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omments3.xml" ContentType="application/vnd.openxmlformats-officedocument.spreadsheetml.comment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omments4.xml" ContentType="application/vnd.openxmlformats-officedocument.spreadsheetml.comments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7.xml" ContentType="application/vnd.openxmlformats-officedocument.drawing+xml"/>
  <Override PartName="/xl/comments5.xml" ContentType="application/vnd.openxmlformats-officedocument.spreadsheetml.comments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8.xml" ContentType="application/vnd.openxmlformats-officedocument.drawing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omments6.xml" ContentType="application/vnd.openxmlformats-officedocument.spreadsheetml.comments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comments7.xml" ContentType="application/vnd.openxmlformats-officedocument.spreadsheetml.comments+xml"/>
  <Override PartName="/xl/drawings/drawing15.xml" ContentType="application/vnd.openxmlformats-officedocument.drawing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drawings/drawing16.xml" ContentType="application/vnd.openxmlformats-officedocument.drawing+xml"/>
  <Override PartName="/xl/comments10.xml" ContentType="application/vnd.openxmlformats-officedocument.spreadsheetml.comments+xml"/>
  <Override PartName="/xl/charts/chart17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18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17.xml" ContentType="application/vnd.openxmlformats-officedocument.drawing+xml"/>
  <Override PartName="/xl/comments11.xml" ContentType="application/vnd.openxmlformats-officedocument.spreadsheetml.comments+xml"/>
  <Override PartName="/xl/drawings/drawing18.xml" ContentType="application/vnd.openxmlformats-officedocument.drawing+xml"/>
  <Override PartName="/xl/comments12.xml" ContentType="application/vnd.openxmlformats-officedocument.spreadsheetml.comments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comments13.xml" ContentType="application/vnd.openxmlformats-officedocument.spreadsheetml.comments+xml"/>
  <Override PartName="/xl/drawings/drawing24.xml" ContentType="application/vnd.openxmlformats-officedocument.drawing+xml"/>
  <Override PartName="/xl/comments14.xml" ContentType="application/vnd.openxmlformats-officedocument.spreadsheetml.comments+xml"/>
  <Override PartName="/xl/drawings/drawing25.xml" ContentType="application/vnd.openxmlformats-officedocument.drawing+xml"/>
  <Override PartName="/xl/comments15.xml" ContentType="application/vnd.openxmlformats-officedocument.spreadsheetml.comments+xml"/>
  <Override PartName="/xl/comments16.xml" ContentType="application/vnd.openxmlformats-officedocument.spreadsheetml.comments+xml"/>
  <Override PartName="/xl/comments17.xml" ContentType="application/vnd.openxmlformats-officedocument.spreadsheetml.comments+xml"/>
  <Override PartName="/xl/comments18.xml" ContentType="application/vnd.openxmlformats-officedocument.spreadsheetml.comments+xml"/>
  <Override PartName="/xl/comments19.xml" ContentType="application/vnd.openxmlformats-officedocument.spreadsheetml.comments+xml"/>
  <Override PartName="/xl/drawings/drawing26.xml" ContentType="application/vnd.openxmlformats-officedocument.drawing+xml"/>
  <Override PartName="/xl/comments20.xml" ContentType="application/vnd.openxmlformats-officedocument.spreadsheetml.comments+xml"/>
  <Override PartName="/xl/drawings/drawing27.xml" ContentType="application/vnd.openxmlformats-officedocument.drawing+xml"/>
  <Override PartName="/xl/comments21.xml" ContentType="application/vnd.openxmlformats-officedocument.spreadsheetml.comments+xml"/>
  <Override PartName="/xl/drawings/drawing28.xml" ContentType="application/vnd.openxmlformats-officedocument.drawing+xml"/>
  <Override PartName="/xl/comments22.xml" ContentType="application/vnd.openxmlformats-officedocument.spreadsheetml.comments+xml"/>
  <Override PartName="/xl/drawings/drawing29.xml" ContentType="application/vnd.openxmlformats-officedocument.drawing+xml"/>
  <Override PartName="/xl/comments2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.xml" ContentType="application/vnd.ms-excel.person+xml"/>
  <Override PartName="/xl/threadedComments/threadedComment1.xml" ContentType="application/vnd.ms-excel.threadedcomments+xml"/>
  <Override PartName="/xl/threadedComments/threadedComment2.xml" ContentType="application/vnd.ms-excel.threadedcomment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showInkAnnotation="0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bake40mypc\Devlop\报价单\ewm\Excel_baojiadan\QCAuto\bin\Debug\shimingfang_2008\"/>
    </mc:Choice>
  </mc:AlternateContent>
  <bookViews>
    <workbookView xWindow="3570" yWindow="3750" windowWidth="19815" windowHeight="8955" tabRatio="707"/>
  </bookViews>
  <sheets>
    <sheet name="Select Drive &amp; Motor" sheetId="7" r:id="rId1"/>
    <sheet name="DATA" sheetId="91" r:id="rId2"/>
    <sheet name="OUT" sheetId="90" r:id="rId3"/>
    <sheet name="OUT (C)" sheetId="92" r:id="rId4"/>
    <sheet name="name_change" sheetId="83" r:id="rId5"/>
    <sheet name="Direct driven" sheetId="8" r:id="rId6"/>
    <sheet name="Coupling driven" sheetId="2" r:id="rId7"/>
    <sheet name="Drawings" sheetId="21" r:id="rId8"/>
    <sheet name="inlet" sheetId="88" r:id="rId9"/>
    <sheet name="vb" sheetId="89" r:id="rId10"/>
    <sheet name="IFB data" sheetId="50" r:id="rId11"/>
    <sheet name="S_HUB_Cone (2)" sheetId="93" r:id="rId12"/>
    <sheet name="C_HUB_Cone (2)" sheetId="94" r:id="rId13"/>
    <sheet name="D_HUB_Cone" sheetId="86" r:id="rId14"/>
    <sheet name="REG. Axle &amp; Bearing Calculation" sheetId="1" r:id="rId15"/>
    <sheet name="PDN Axle &amp; Bearing Calculation" sheetId="5" r:id="rId16"/>
    <sheet name="Axle &amp; Accessories Specs" sheetId="3" r:id="rId17"/>
    <sheet name="House" sheetId="38" r:id="rId18"/>
    <sheet name="Inlet_cone2" sheetId="84" r:id="rId19"/>
    <sheet name="Inlet Cone" sheetId="61" r:id="rId20"/>
    <sheet name="House reinf, Central Frame Side" sheetId="79" r:id="rId21"/>
    <sheet name="House reinf, Support Plate Side" sheetId="80" r:id="rId22"/>
    <sheet name="House reinf, Drive Side" sheetId="59" r:id="rId23"/>
    <sheet name="House reinf, Inlet Side" sheetId="60" r:id="rId24"/>
    <sheet name="Definition" sheetId="19" r:id="rId25"/>
    <sheet name="Frame Dimensions - D" sheetId="77" r:id="rId26"/>
    <sheet name="Frame Dimensions - C" sheetId="78" r:id="rId27"/>
    <sheet name="Frame Dimensions" sheetId="20" r:id="rId28"/>
    <sheet name="MFrame" sheetId="24" r:id="rId29"/>
    <sheet name="BFrame" sheetId="28" r:id="rId30"/>
    <sheet name="HFrame" sheetId="34" r:id="rId31"/>
    <sheet name="SFrame" sheetId="31" r:id="rId32"/>
    <sheet name="Iron Dim." sheetId="32" r:id="rId33"/>
    <sheet name="HUB_data" sheetId="87" r:id="rId34"/>
    <sheet name="stop" sheetId="12" r:id="rId35"/>
    <sheet name="版本控制" sheetId="85" r:id="rId36"/>
    <sheet name="Vibration Calculation" sheetId="16" r:id="rId37"/>
    <sheet name="Bearing Data" sheetId="53" state="hidden" r:id="rId38"/>
    <sheet name="Coupling Data" sheetId="52" state="hidden" r:id="rId39"/>
    <sheet name="Motor Data" sheetId="36" state="hidden" r:id="rId40"/>
    <sheet name="Motor Key Fb" sheetId="63" state="hidden" r:id="rId41"/>
    <sheet name="Hub Key DB" sheetId="62" state="hidden" r:id="rId42"/>
    <sheet name="Fan Name List" sheetId="56" state="hidden" r:id="rId43"/>
    <sheet name="House C Data" sheetId="54" state="hidden" r:id="rId44"/>
    <sheet name="Impeller C &amp; Run Data" sheetId="55" state="hidden" r:id="rId45"/>
    <sheet name="Cost structures, ALL" sheetId="76" state="hidden" r:id="rId46"/>
  </sheets>
  <externalReferences>
    <externalReference r:id="rId47"/>
    <externalReference r:id="rId48"/>
    <externalReference r:id="rId49"/>
  </externalReferences>
  <definedNames>
    <definedName name="_xlnm._FilterDatabase" localSheetId="39" hidden="1">'Motor Data'!$A$1:$BR$364</definedName>
    <definedName name="A_imp" localSheetId="4">'[1]Cost Calculator'!$K$46</definedName>
    <definedName name="A_imp">'Select Drive &amp; Motor'!$E$44</definedName>
    <definedName name="A_NGB">'Iron Dim.'!$B$23:$B$43</definedName>
    <definedName name="AD">'Axle &amp; Accessories Specs'!$B$6</definedName>
    <definedName name="AE_M">Definition!$C$44</definedName>
    <definedName name="AE_PDN">'Coupling driven'!$B$75</definedName>
    <definedName name="AE_Reg">'Coupling driven'!$B$22</definedName>
    <definedName name="Air_speed_limits">'[2]Mechanical data, limits'!$H$60:$O$80</definedName>
    <definedName name="All_Dampers">'Vibration Calculation'!$B$21:$Y$88</definedName>
    <definedName name="Axle_Construction">'Axle &amp; Accessories Specs'!$A$30:$AJ$41</definedName>
    <definedName name="Axle_Hub_Type">Definition!$C$56</definedName>
    <definedName name="Axle_Hub_Type_PDN">'Coupling driven'!$B$91</definedName>
    <definedName name="Axle_Hub_Type_REG">'Coupling driven'!$B$38</definedName>
    <definedName name="AYS">'Select Drive &amp; Motor'!$C$103</definedName>
    <definedName name="b_1_bladeFP" localSheetId="4">'[2]Data for BOSS'!$G$68</definedName>
    <definedName name="b_1_bladeFP">'Select Drive &amp; Motor'!$L$49</definedName>
    <definedName name="b_11">'Frame Dimensions'!$Z$29</definedName>
    <definedName name="b_12">'Frame Dimensions'!$AB$29</definedName>
    <definedName name="b_13">'Frame Dimensions'!$AD$29</definedName>
    <definedName name="b_14">'Frame Dimensions'!$AF$29</definedName>
    <definedName name="b_2" localSheetId="4">'[2]Data for BOSS'!$G$67</definedName>
    <definedName name="b_2">'Select Drive &amp; Motor'!$L$50</definedName>
    <definedName name="B_A">Definition!$T$36</definedName>
    <definedName name="B_AA">Definition!$N$36</definedName>
    <definedName name="B_da">Definition!$J$36</definedName>
    <definedName name="B_H">Definition!$S$36</definedName>
    <definedName name="B_H1">Definition!$K$36</definedName>
    <definedName name="B_H2">Definition!$R$36</definedName>
    <definedName name="b_in" localSheetId="4">'[1]Cost Calculator'!$I$44</definedName>
    <definedName name="b_in">'Select Drive &amp; Motor'!$L$48</definedName>
    <definedName name="B_J">Definition!$L$36</definedName>
    <definedName name="B_L">Definition!$M$36</definedName>
    <definedName name="B_Mass">Definition!$U$36</definedName>
    <definedName name="B_N1">Definition!$P$36</definedName>
    <definedName name="B_Type">'Coupling driven'!$H$4</definedName>
    <definedName name="Back_P_T" localSheetId="4">'[2]Data for BOSS'!$G$70</definedName>
    <definedName name="Back_P_T">'Select Drive &amp; Motor'!$S$45</definedName>
    <definedName name="Bearing_H1">Definition!$C$18</definedName>
    <definedName name="Bearing_name">'Coupling driven'!$G$4</definedName>
    <definedName name="Belt_force">'Axle &amp; Accessories Specs'!$I$10</definedName>
    <definedName name="beta1" localSheetId="4">'[1]Cost Calculator'!$L$44</definedName>
    <definedName name="beta1">'Select Drive &amp; Motor'!$L$51</definedName>
    <definedName name="beta2" localSheetId="4">'[1]Cost Calculator'!$M$44</definedName>
    <definedName name="beta2">'Select Drive &amp; Motor'!$L$52</definedName>
    <definedName name="BF_Ra">BFrame!$N$2</definedName>
    <definedName name="BF_Tr">BFrame!$N$56</definedName>
    <definedName name="BFHe">Definition!$C$35</definedName>
    <definedName name="BFL">Definition!$C$34</definedName>
    <definedName name="BFRa">BFrame!$C$2:$L$17</definedName>
    <definedName name="BFTr">BFrame!$C$56:$L$71</definedName>
    <definedName name="BFTr5_Hefactor">BFrame!$N$74</definedName>
    <definedName name="BFTr5Hefactor">BFrame!$C$74:$L$89</definedName>
    <definedName name="BFTr6_Hefactor">BFrame!$N$92</definedName>
    <definedName name="BFTr6Hefactor">BFrame!$C$92:$L$107</definedName>
    <definedName name="BFW">Definition!$C$33</definedName>
    <definedName name="BHW">Definition!$O$36</definedName>
    <definedName name="BJ2_index">Definition!$E$20</definedName>
    <definedName name="Blade_L" localSheetId="4">'[2]Data for BOSS'!$G$74</definedName>
    <definedName name="Blade_L">'Select Drive &amp; Motor'!$L$65</definedName>
    <definedName name="Blade_Ring_mat">'Select Drive &amp; Motor'!$L$43</definedName>
    <definedName name="Blade_TW">'[2]Data for BOSS'!$G$75</definedName>
    <definedName name="blades">'[2]Data for BOSS'!$D$75</definedName>
    <definedName name="Blades_t">'Select Drive &amp; Motor'!$L$67</definedName>
    <definedName name="Blades_TW">'Select Drive &amp; Motor'!$L$67</definedName>
    <definedName name="Boss_no" localSheetId="4">'[2]Fan Selection'!$A$81</definedName>
    <definedName name="Boss_no">'Select Drive &amp; Motor'!$A$107</definedName>
    <definedName name="Boss_Units">'[2]Data for BOSS'!$D$33</definedName>
    <definedName name="BP_T">'[1]Cost Calculator'!$E$46</definedName>
    <definedName name="BPHole_D">House!$V$28</definedName>
    <definedName name="BS_Hemm">BFrame!$N$38</definedName>
    <definedName name="BS_P">BFrame!$N$20</definedName>
    <definedName name="BSBB_He">'Frame Dimensions'!$E$111</definedName>
    <definedName name="BSBB_w">'Frame Dimensions'!$D$111</definedName>
    <definedName name="BSHemm">BFrame!$C$38:$L$53</definedName>
    <definedName name="BSP">BFrame!$C$20:$L$35</definedName>
    <definedName name="BTY_it">'Axle &amp; Accessories Specs'!$A$1</definedName>
    <definedName name="C_Gap">Definition!$C$54</definedName>
    <definedName name="C_Gap_PDN">'Coupling driven'!$B$86</definedName>
    <definedName name="C_Gap_REG">'Coupling driven'!$B$33</definedName>
    <definedName name="c_hub_L1">'C_HUB_Cone (2)'!$B$17</definedName>
    <definedName name="C_imp" localSheetId="4">'[1]Cost Calculator'!$L$46</definedName>
    <definedName name="C_imp">'Select Drive &amp; Motor'!$E$45</definedName>
    <definedName name="C_slack">'Coupling Data'!$D$2</definedName>
    <definedName name="Center_H">House!$AF$11</definedName>
    <definedName name="CF_max_reinf_area">'House reinf, Central Frame Side'!$E$71</definedName>
    <definedName name="CF_reinf_req">'House reinf, Central Frame Side'!$L$8</definedName>
    <definedName name="CF_smallF_xy_pos">'House reinf, Central Frame Side'!$L$9</definedName>
    <definedName name="CFmin_reinf_area">'House reinf, Central Frame Side'!$L$7</definedName>
    <definedName name="CFRe_start_angle">'House reinf, Central Frame Side'!$I$71</definedName>
    <definedName name="CFRe_stop_angle">'House reinf, Central Frame Side'!$I$72</definedName>
    <definedName name="Chosen_PDN">'Coupling driven'!$G$63</definedName>
    <definedName name="Chosen_REG">'Coupling driven'!$G$10</definedName>
    <definedName name="Cone_D">'Select Drive &amp; Motor'!$S$50</definedName>
    <definedName name="Cone_H">'Select Drive &amp; Motor'!$S$51</definedName>
    <definedName name="Cone_T">'Select Drive &amp; Motor'!$S$52</definedName>
    <definedName name="Cone_W">'Select Drive &amp; Motor'!$L$66</definedName>
    <definedName name="Construction_error_C">'Coupling driven'!$A$4</definedName>
    <definedName name="Construction_error_D">'Direct driven'!$A$4</definedName>
    <definedName name="Coupling_name">'Coupling driven'!$E$4</definedName>
    <definedName name="Coupling_OK">'Coupling Data'!$J$4:$J$105</definedName>
    <definedName name="Coupling_Selection">'Coupling Data'!$A$4:$K$105</definedName>
    <definedName name="CouplingName">'Coupling Data'!$B$4:$B$105</definedName>
    <definedName name="crit_a">'House reinf, Central Frame Side'!$N$71</definedName>
    <definedName name="crit_w_i">'House reinf, Support Plate Side'!$L$12</definedName>
    <definedName name="Cust_Fan_ID" localSheetId="4">'[2]Fan Selection'!$A$83</definedName>
    <definedName name="Cust_Fan_ID">'Select Drive &amp; Motor'!$A$109</definedName>
    <definedName name="Cust_Proj_ID" localSheetId="4">'[2]Fan Selection'!$A$82</definedName>
    <definedName name="Cust_Proj_ID">'Select Drive &amp; Motor'!$A$108</definedName>
    <definedName name="d_1" localSheetId="4">'[2]Data for BOSS'!$D$68</definedName>
    <definedName name="d_1">'Select Drive &amp; Motor'!$L$44</definedName>
    <definedName name="d_2" localSheetId="4">'[2]Data for BOSS'!$D$18</definedName>
    <definedName name="d_2">'Select Drive &amp; Motor'!$L$45</definedName>
    <definedName name="d_5">'Select Drive &amp; Motor'!$L$47</definedName>
    <definedName name="d_in" localSheetId="4">'[1]Cost Calculator'!$G$44</definedName>
    <definedName name="d_in">'Select Drive &amp; Motor'!$L$46</definedName>
    <definedName name="D_Name">'Vibration Calculation'!$E$21:$E$88</definedName>
    <definedName name="d2_org">'[2]Data for BOSS'!$D$10</definedName>
    <definedName name="DBB">Definition!$C$40</definedName>
    <definedName name="DBB_PDN">'Coupling driven'!$B$72</definedName>
    <definedName name="DBB_REG">'Coupling driven'!$B$19</definedName>
    <definedName name="DBdRa6">Definition!$C$37</definedName>
    <definedName name="DBdRa6_PDN">'Coupling driven'!$B$69</definedName>
    <definedName name="DBdRa6_REG">'Coupling driven'!$B$16</definedName>
    <definedName name="DBeBe">'Axle &amp; Accessories Specs'!$B$4</definedName>
    <definedName name="DBeBe_multiplier">'Axle &amp; Accessories Specs'!$M$4:$R$9</definedName>
    <definedName name="DBH">Definition!$C$42</definedName>
    <definedName name="DBH_PDN">'Coupling driven'!$B$74</definedName>
    <definedName name="DBH_REG">'Coupling driven'!$B$21</definedName>
    <definedName name="DBI">Definition!$C$41</definedName>
    <definedName name="DBI_PDN">'Coupling driven'!$B$73</definedName>
    <definedName name="DBI_REG">'Coupling driven'!$B$20</definedName>
    <definedName name="DBndRa5">Definition!$C$39</definedName>
    <definedName name="DBndRa5_PDN">'Coupling driven'!$B$71</definedName>
    <definedName name="DBndRa5_REG">'Coupling driven'!$B$18</definedName>
    <definedName name="DCB">Definition!$C$52</definedName>
    <definedName name="DCB_PDN">'Coupling driven'!$B$84</definedName>
    <definedName name="DCB_REG">'Coupling driven'!$B$31</definedName>
    <definedName name="DCRa5">Definition!$C$53</definedName>
    <definedName name="DCRa5_PDN">'Coupling driven'!$B$85</definedName>
    <definedName name="DCRa5_REG">'Coupling driven'!$B$32</definedName>
    <definedName name="Des_ang_speed">'[2]Fan Data &amp; Deformation'!$E$12</definedName>
    <definedName name="Des_OP_ang_speed">'[2]Fan Data &amp; Deformation'!$B$12</definedName>
    <definedName name="Des_rev">'[2]Fan Data &amp; Deformation'!$E$11</definedName>
    <definedName name="Desired_RPM_max">'[2]Fan Selection'!$D$14</definedName>
    <definedName name="Desired_RPM_min">'[2]Fan Selection'!$D$13</definedName>
    <definedName name="DIB_D">'Direct driven'!$E$18</definedName>
    <definedName name="DIBe">'Axle &amp; Accessories Specs'!$B$3</definedName>
    <definedName name="DIHo">Definition!$C$43</definedName>
    <definedName name="DIHo_C_PDN">'Coupling driven'!$B$100</definedName>
    <definedName name="DIHo_C_REG">'Coupling driven'!$B$47</definedName>
    <definedName name="DIHo_D">'Direct driven'!$E$17</definedName>
    <definedName name="dist_mult">'House reinf, Central Frame Side'!$L$16</definedName>
    <definedName name="DMF_BF">'Frame Dimensions'!$D$173</definedName>
    <definedName name="DMHmin">'Axle &amp; Accessories Specs'!$A$129:$Q$129</definedName>
    <definedName name="DRa2H_D">'Direct driven'!$B$20</definedName>
    <definedName name="DRa5Ra6">Definition!$C$38</definedName>
    <definedName name="DRa5Ra6_PDN">'Coupling driven'!$B$70</definedName>
    <definedName name="DRa5Ra6_REG">'Coupling driven'!$B$17</definedName>
    <definedName name="DRa6H_C">Definition!$C$36</definedName>
    <definedName name="DRa6H_PDN">'Coupling driven'!$B$68</definedName>
    <definedName name="DRa6H_REG">'Coupling driven'!$B$15</definedName>
    <definedName name="DRaH">'Frame Dimensions'!$D$174</definedName>
    <definedName name="drainx">Definition!$C$75</definedName>
    <definedName name="drainy">Definition!$C$76</definedName>
    <definedName name="Drive">'Axle &amp; Accessories Specs'!$C$10</definedName>
    <definedName name="Drive_Frame">'Frame Dimensions'!$D$21</definedName>
    <definedName name="DRIVE_Type">'Axle &amp; Accessories Specs'!$B$10</definedName>
    <definedName name="DS_Hreinf_Frame">'House reinf, Central Frame Side'!#REF!</definedName>
    <definedName name="E_Nmm2">'Select Drive &amp; Motor'!$C$104</definedName>
    <definedName name="Eff_OP">'[2]Data for BOSS'!$D$27</definedName>
    <definedName name="eqdist_reinf">'House reinf, Central Frame Side'!$N$72</definedName>
    <definedName name="ext_cyl1">'Inlet Cone'!$F$30</definedName>
    <definedName name="ext_cyl2">'Inlet Cone'!$F$32</definedName>
    <definedName name="ext_inl_D">'Inlet Cone'!$C$32</definedName>
    <definedName name="ext_inl_H">'Inlet Cone'!$F$31</definedName>
    <definedName name="Ext_ring_D">'[2]Data for BOSS'!$G$78</definedName>
    <definedName name="ext_Ring_D_rad">'Select Drive &amp; Motor'!$L$60</definedName>
    <definedName name="Ext_ring_T">'[2]Data for BOSS'!$D$78</definedName>
    <definedName name="ext_Ring_T_ax">'Select Drive &amp; Motor'!$L$59</definedName>
    <definedName name="ext_Ring_TW">'Select Drive &amp; Motor'!$L$69</definedName>
    <definedName name="Ext_rings">'[2]Data for BOSS'!$D$77</definedName>
    <definedName name="Fan_drive">'[2]Fan Selection'!$B$4</definedName>
    <definedName name="Fan_Eff_OP">'[2]Fan Selection'!$D$50</definedName>
    <definedName name="Fan_Max_rpm">'Select Drive &amp; Motor'!$F$99</definedName>
    <definedName name="Fan_name">'[2]Fan Selection'!$B$39</definedName>
    <definedName name="Fan_name_list">'Fan Name List'!$A$17:$A$250</definedName>
    <definedName name="fan_number">'Select Drive &amp; Motor'!$G$6</definedName>
    <definedName name="Fan_orientation">'Select Drive &amp; Motor'!$C$17</definedName>
    <definedName name="Fan_Type">'Select Drive &amp; Motor'!$C$6</definedName>
    <definedName name="FAXA">'Axle &amp; Accessories Specs'!$B$12</definedName>
    <definedName name="FAXB">'Axle &amp; Accessories Specs'!$B$14</definedName>
    <definedName name="Final_Fan">'[2]Data for BOSS'!$F$7</definedName>
    <definedName name="Force_BIG_F">'Select Drive &amp; Motor'!$I$4</definedName>
    <definedName name="Force_R_limit">'Select Drive &amp; Motor'!$J$28</definedName>
    <definedName name="Forced_PDN_B">'PDN Axle &amp; Bearing Calculation'!$M$2</definedName>
    <definedName name="Forced_REG_B">'REG. Axle &amp; Bearing Calculation'!$M$2</definedName>
    <definedName name="FP_T">'[1]Cost Calculator'!$D$46</definedName>
    <definedName name="FP_tool" localSheetId="4">'[1]Cost Calculator'!$D$44</definedName>
    <definedName name="FP_tool">'Select Drive &amp; Motor'!$E$43</definedName>
    <definedName name="FPHole_D">House!$R$28</definedName>
    <definedName name="FRA">'Axle &amp; Accessories Specs'!$B$13</definedName>
    <definedName name="Frame_Area">'Frame Dimensions'!$U$24</definedName>
    <definedName name="Frame_mat">'Select Drive &amp; Motor'!$F$9</definedName>
    <definedName name="Frame_rmb_kg_XOE">'Cost structures, ALL'!$D$33</definedName>
    <definedName name="Frame_Type">'Frame Dimensions'!$C$21</definedName>
    <definedName name="Frame_Weight">'Frame Dimensions'!$U$23</definedName>
    <definedName name="FRB">'Axle &amp; Accessories Specs'!$B$15</definedName>
    <definedName name="Front_P_T" localSheetId="4">'[2]Data for BOSS'!$D$70</definedName>
    <definedName name="Front_P_T">'Select Drive &amp; Motor'!$S$43</definedName>
    <definedName name="Funnel_height" localSheetId="4">'[1]Cost Calculator'!$N$41</definedName>
    <definedName name="Funnel_height">'Select Drive &amp; Motor'!$E$35</definedName>
    <definedName name="g" localSheetId="4">'[2]Mechanical data, limits'!$E$1</definedName>
    <definedName name="g">'Fan Name List'!$B$3</definedName>
    <definedName name="h_1">'Frame Dimensions'!$Z$28</definedName>
    <definedName name="h_2">'Frame Dimensions'!$AB$28</definedName>
    <definedName name="h_3">'Frame Dimensions'!$AD$28</definedName>
    <definedName name="H_alfaend" localSheetId="4">'[1]Cost Calculator'!$M$41</definedName>
    <definedName name="H_alfaend">'Select Drive &amp; Motor'!$E$34</definedName>
    <definedName name="H_alfastart" localSheetId="4">'[1]Cost Calculator'!$L$41</definedName>
    <definedName name="H_alfastart">'Select Drive &amp; Motor'!$E$33</definedName>
    <definedName name="H_avg_oR">'House reinf, Central Frame Side'!$I$69</definedName>
    <definedName name="H_CurveL">House!$J$28</definedName>
    <definedName name="H_extF_SURe">HFrame!$N$3</definedName>
    <definedName name="H_rotation">'Select Drive &amp; Motor'!$D$17</definedName>
    <definedName name="H_STD_Re">HFrame!$N$2</definedName>
    <definedName name="H_STDRe">HFrame!$C$2:$L$17</definedName>
    <definedName name="HF_V">HFrame!$N$20</definedName>
    <definedName name="HFHi_He">'Frame Dimensions'!$K$96</definedName>
    <definedName name="HFV">HFrame!$C$20:$L$35</definedName>
    <definedName name="Hole_Clearance_factor">'Inlet Cone'!$F$19</definedName>
    <definedName name="HoleD_mult">'Select Drive &amp; Motor'!$N$28</definedName>
    <definedName name="House_Area">House!$G$113</definedName>
    <definedName name="HOUSE_B">'[1]Cost Calculator'!$H$41</definedName>
    <definedName name="House_B_ins">'Select Drive &amp; Motor'!$E$37</definedName>
    <definedName name="HOUSE_C">'[1]Cost Calculator'!$I$41</definedName>
    <definedName name="House_C_ins">'Select Drive &amp; Motor'!$E$38</definedName>
    <definedName name="House_mat">'Select Drive &amp; Motor'!$F$8</definedName>
    <definedName name="House_P_T" localSheetId="4">'[2]Data for BOSS'!$D$11</definedName>
    <definedName name="House_P_T">'Select Drive &amp; Motor'!$E$36</definedName>
    <definedName name="House_rmb_kg_big">'Cost structures, ALL'!$D$18</definedName>
    <definedName name="House_rmb_kg_small">'Cost structures, ALL'!$D$19</definedName>
    <definedName name="House_W">House!$G$107</definedName>
    <definedName name="House_X_Dim">'[2]Data for BOSS'!$D$12</definedName>
    <definedName name="HouseFB_C">House!$F$14</definedName>
    <definedName name="HouseFB_SA">House!$F$15</definedName>
    <definedName name="HS_F">HFrame!$N$42</definedName>
    <definedName name="HS_P">HFrame!$N$38</definedName>
    <definedName name="HSF">HFrame!$C$42:$L$57</definedName>
    <definedName name="Hub_C_eD">Definition!$C$68</definedName>
    <definedName name="Hub_C_eD_D">'Direct driven'!$B$18</definedName>
    <definedName name="Hub_C_eD_PDN">'Coupling driven'!$G$98</definedName>
    <definedName name="Hub_C_eD_REG">'Coupling driven'!$G$45</definedName>
    <definedName name="Hub_C_eMult">'Select Drive &amp; Motor'!$S$68</definedName>
    <definedName name="Hub_C_iD">Definition!$C$66</definedName>
    <definedName name="Hub_C_iD_D">'Direct driven'!$B$16</definedName>
    <definedName name="Hub_C_iD_PDN">'Coupling driven'!$E$98</definedName>
    <definedName name="Hub_C_iD_REG">'Coupling driven'!$E$45</definedName>
    <definedName name="Hub_C_iHe">'Select Drive &amp; Motor'!$S$65</definedName>
    <definedName name="Hub_C_iMult">'Select Drive &amp; Motor'!$S$66</definedName>
    <definedName name="Hub_C_tL">Definition!$C$67</definedName>
    <definedName name="Hub_C_tL_D">'Direct driven'!$B$17</definedName>
    <definedName name="Hub_C_tL_PDN">'Coupling driven'!$F$98</definedName>
    <definedName name="Hub_C_tL_REG">'Coupling driven'!$F$45</definedName>
    <definedName name="hub_out_d2" localSheetId="12">'C_HUB_Cone (2)'!$B$9</definedName>
    <definedName name="hub_out_d2" localSheetId="11">'S_HUB_Cone (2)'!$B$9</definedName>
    <definedName name="hub_out_d2">D_HUB_Cone!$B$9</definedName>
    <definedName name="hub_outd1" localSheetId="12">'C_HUB_Cone (2)'!$B$8</definedName>
    <definedName name="hub_outd1" localSheetId="11">'S_HUB_Cone (2)'!$B$8</definedName>
    <definedName name="hub_outd1">D_HUB_Cone!$B$8</definedName>
    <definedName name="HUB_P_D" localSheetId="4">'[1]Cost Calculator'!$G$46</definedName>
    <definedName name="Hub_P_D">'Select Drive &amp; Motor'!$S$48</definedName>
    <definedName name="HUB_P_T" localSheetId="4">'[1]Cost Calculator'!$F$46</definedName>
    <definedName name="Hub_P_T">'Select Drive &amp; Motor'!$S$47</definedName>
    <definedName name="HubKey_b">Definition!$C$70</definedName>
    <definedName name="HubKey_DB">'Hub Key DB'!$A$1:$J$31</definedName>
    <definedName name="HubKey_h">Definition!$C$71</definedName>
    <definedName name="HubKey_t">Definition!$C$72</definedName>
    <definedName name="I_alfaend" localSheetId="4">'[1]Cost Calculator'!$N$46</definedName>
    <definedName name="I_alfaend">'Select Drive &amp; Motor'!$E$47</definedName>
    <definedName name="I_alfastart" localSheetId="4">'[1]Cost Calculator'!$M$46</definedName>
    <definedName name="I_alfastart">'Select Drive &amp; Motor'!$E$46</definedName>
    <definedName name="ICOM">'Select Drive &amp; Motor'!$E$68</definedName>
    <definedName name="ID">'Select Drive &amp; Motor'!$B$1</definedName>
    <definedName name="IE1_2p50_kW">'Motor Data'!$G$2:$G$56</definedName>
    <definedName name="IE1_2p60_kW">'Motor Data'!$H$2:$H$56</definedName>
    <definedName name="IE1_4p50_kW">'Motor Data'!$G$57:$G$111</definedName>
    <definedName name="IE1_4p60_kW">'Motor Data'!$H$57:$H$111</definedName>
    <definedName name="IE1_6p50_kW">'Motor Data'!$G$112:$G$158</definedName>
    <definedName name="IE1_6p60_kW">'Motor Data'!$H$112:$H$157</definedName>
    <definedName name="IE1_8p50_kW">'Motor Data'!$G$159:$G$204</definedName>
    <definedName name="IE1_8p60_kW">'Motor Data'!$H$159:$H$203</definedName>
    <definedName name="IE2_2p50_kW">'Motor Data'!$G$205:$G$232</definedName>
    <definedName name="IE2_2p60_kW">'Motor Data'!$H$205:$H$231</definedName>
    <definedName name="IE2_4p50_kW">'Motor Data'!$G$233:$G$260</definedName>
    <definedName name="IE2_4p60_kW">'Motor Data'!$H$233:$H$259</definedName>
    <definedName name="IE2_6p50_kW">'Motor Data'!$G$261:$G$286</definedName>
    <definedName name="IE2_6p60_kW">'Motor Data'!$H$261:$H$285</definedName>
    <definedName name="IE3_2p50_kW">'Motor Data'!$G$287:$G$313</definedName>
    <definedName name="IE3_2p60_kW">'Motor Data'!$H$287:$H$312</definedName>
    <definedName name="IE3_4p50_kW">'Motor Data'!$G$314:$G$340</definedName>
    <definedName name="IE3_4p60_kW">'Motor Data'!$H$314:$H$339</definedName>
    <definedName name="IE3_6p50_kW">'Motor Data'!$G$341:$G$365</definedName>
    <definedName name="IE3_6p60_kW">'Motor Data'!$H$341:$H$364</definedName>
    <definedName name="Imoi_1">'Select Drive &amp; Motor'!$E$70</definedName>
    <definedName name="Imoi_3">'Select Drive &amp; Motor'!$E$69</definedName>
    <definedName name="Impeller_Area">'Select Drive &amp; Motor'!$E$65</definedName>
    <definedName name="Impeller_mat">'Select Drive &amp; Motor'!$F$10</definedName>
    <definedName name="Impeller_type">'Select Drive &amp; Motor'!$F$6</definedName>
    <definedName name="Impeller_W">'Select Drive &amp; Motor'!$E$66</definedName>
    <definedName name="ImpellerHole_D">'Inlet Cone'!$B$19</definedName>
    <definedName name="Inlet">'[2]Data for BOSS'!$D$9</definedName>
    <definedName name="Inlet_Area">House!$G$112</definedName>
    <definedName name="Inlet_cone_W">'Inlet Cone'!$I$41</definedName>
    <definedName name="Inlet_D" localSheetId="4">'[1]Cost Calculator'!$E$41</definedName>
    <definedName name="Inlet_D">'Select Drive &amp; Motor'!$E$39</definedName>
    <definedName name="inlet_D_ext">House!$AF$7</definedName>
    <definedName name="Inlet_m">'[2]Data for BOSS'!$G$9</definedName>
    <definedName name="Inlet_P_T">'Inlet Cone'!$B$24</definedName>
    <definedName name="Inlet_R_m">House!$AI$7</definedName>
    <definedName name="Inlet_Type">'Inlet Cone'!$F$45</definedName>
    <definedName name="Inlet_W">House!$G$106</definedName>
    <definedName name="InletHole_D">'Inlet Cone'!$B$20</definedName>
    <definedName name="InlP_D">'Inlet Cone'!$C$27</definedName>
    <definedName name="InlQ_D">'Inlet Cone'!$C$26</definedName>
    <definedName name="InlQ_H">'Inlet Cone'!$F$26</definedName>
    <definedName name="INS">'Select Drive &amp; Motor'!$C$80</definedName>
    <definedName name="int_cyl1">'Inlet Cone'!$F$27</definedName>
    <definedName name="int_cyl2">'Inlet Cone'!$F$29</definedName>
    <definedName name="int_Inl_D">'Inlet Cone'!$C$29</definedName>
    <definedName name="int_Inl_H">'Inlet Cone'!$F$28</definedName>
    <definedName name="int_oRing">'House reinf, Support Plate Side'!#REF!</definedName>
    <definedName name="int_oRing_iD">'House reinf, Support Plate Side'!#REF!</definedName>
    <definedName name="int_rad_reinf">'House reinf, Inlet Side'!#REF!</definedName>
    <definedName name="int_reinf_offs">'House reinf, Support Plate Side'!$C$179</definedName>
    <definedName name="int_reinf_oR">'House reinf, Support Plate Side'!$L$10</definedName>
    <definedName name="int_reinf_req">'House reinf, Support Plate Side'!$L$13</definedName>
    <definedName name="Int_ring_D">'[2]Data for BOSS'!$G$82</definedName>
    <definedName name="int_Ring_D_rad">'Select Drive &amp; Motor'!$L$57</definedName>
    <definedName name="Int_ring_T">'[2]Data for BOSS'!$D$82</definedName>
    <definedName name="int_Ring_T_ax">'Select Drive &amp; Motor'!$L$56</definedName>
    <definedName name="int_Ring_TW">'Select Drive &amp; Motor'!$L$68</definedName>
    <definedName name="Int_rings">'[2]Data for BOSS'!$D$81</definedName>
    <definedName name="Iron_dim">'Iron Dim.'!$B$2:$H$76</definedName>
    <definedName name="IS_Hreinf_Frame">'House reinf, Support Plate Side'!#REF!</definedName>
    <definedName name="J_2_max">Definition!$L$19</definedName>
    <definedName name="J_2_range">MFrame!$B$2:$B$17</definedName>
    <definedName name="K_house" localSheetId="4">'[1]Cost Calculator'!$K$41</definedName>
    <definedName name="K_House">'Select Drive &amp; Motor'!$E$32</definedName>
    <definedName name="l_1">'Frame Dimensions'!$Z$27</definedName>
    <definedName name="l_2">'Frame Dimensions'!$AB$27</definedName>
    <definedName name="l_3">'Frame Dimensions'!$AD$27</definedName>
    <definedName name="l_4">'Frame Dimensions'!$AF$27</definedName>
    <definedName name="L_HSP_He">'Frame Dimensions'!$E$98</definedName>
    <definedName name="L_Iron_dim">'Iron Dim.'!$B$44:$H$63</definedName>
    <definedName name="L_NGB">'Iron Dim.'!$B$44:$B$63</definedName>
    <definedName name="laser_Cut_Mat_cost">'Cost structures, ALL'!$B$23:$H$28</definedName>
    <definedName name="Laser_cut_Material">'Cost structures, ALL'!$B$22:$H$22</definedName>
    <definedName name="laser_WImp">'Select Drive &amp; Motor'!$E$67</definedName>
    <definedName name="Lift_He">'Select Drive &amp; Motor'!$H$80</definedName>
    <definedName name="M_S_Frame_Total_Length">'IFB data'!$B$37</definedName>
    <definedName name="MA">'Select Drive &amp; Motor'!$G$25</definedName>
    <definedName name="MAA">'Select Drive &amp; Motor'!$Y$25</definedName>
    <definedName name="MAB">'Select Drive &amp; Motor'!$R$25</definedName>
    <definedName name="MAC">'Select Drive &amp; Motor'!$S$25</definedName>
    <definedName name="MAD">'Select Drive &amp; Motor'!$T$25</definedName>
    <definedName name="MADit_reg">'REG. Axle &amp; Bearing Calculation'!$D$36</definedName>
    <definedName name="Mat_BLADE">'[2]Data for BOSS'!$D$74</definedName>
    <definedName name="Mat_IMP">'[2]Fan Selection'!$B$24</definedName>
    <definedName name="Mat_opt_BFRAME">'[2]Material Options'!$K$2:'[2]Material Options'!$K$3</definedName>
    <definedName name="Mat_opt_DM">'[2]Material Options'!$E$2:$E$4</definedName>
    <definedName name="Mat_opt_FRAME">'[2]Material Options'!$I$2:$I$3</definedName>
    <definedName name="Mat_opt_HOUSE">'[2]Material Options'!$G$2:$G$8</definedName>
    <definedName name="Mat_opt_IMP">'[2]Material Options'!$A$2:$A$8</definedName>
    <definedName name="max_life">'Axle &amp; Accessories Specs'!$J$3</definedName>
    <definedName name="Max_rev_OP">'[2]Fan Data &amp; Deformation'!$B$56</definedName>
    <definedName name="Max_rev_SC">'[2]Data for BOSS'!$G$66</definedName>
    <definedName name="Max_Stress">'[2]Fan Data &amp; Deformation'!$B$47</definedName>
    <definedName name="Max_Vib_no">'Select Drive &amp; Motor'!$G$81</definedName>
    <definedName name="max_xcurve">House!$AD$22</definedName>
    <definedName name="max_ycurve">House!$AD$23</definedName>
    <definedName name="MB">'Select Drive &amp; Motor'!$H$25</definedName>
    <definedName name="MBe_1">'Select Drive &amp; Motor'!$W$25</definedName>
    <definedName name="MBe_2">'Select Drive &amp; Motor'!$X$25</definedName>
    <definedName name="MBeW">'Axle &amp; Accessories Specs'!$A$130:$Q$130</definedName>
    <definedName name="MC">'Select Drive &amp; Motor'!$I$25</definedName>
    <definedName name="MDH">'Select Drive &amp; Motor'!$O$25</definedName>
    <definedName name="mech_data_type">'[2]Mechanical data, limits'!$A$39:$S$39</definedName>
    <definedName name="Metal_mech_data">'[2]Mechanical data, limits'!$A$41:$S$49</definedName>
    <definedName name="metal_Types">'[2]Mechanical data, limits'!$A$41:$A$49</definedName>
    <definedName name="MF_Ra">MFrame!$N$2</definedName>
    <definedName name="MF_Ra_error">MFrame!$O$2</definedName>
    <definedName name="MF_Tr">MFrame!$N$56</definedName>
    <definedName name="MFHe">Definition!$C$28</definedName>
    <definedName name="MFL">Definition!$C$27</definedName>
    <definedName name="MFRa">MFrame!$C$2:$L$17</definedName>
    <definedName name="MFRa_angle">Definition!$C$25</definedName>
    <definedName name="MFrame">'Select Drive &amp; Motor'!$E$25</definedName>
    <definedName name="MFrameUh">'IFB data'!$B$24</definedName>
    <definedName name="MFTr">MFrame!$C$56:$L$71</definedName>
    <definedName name="MFTr1_Hefactor">MFrame!$N$74</definedName>
    <definedName name="MFTr1Hefactor">MFrame!$C$74:$L$89</definedName>
    <definedName name="MFTr2_Hefactor">MFrame!$N$92</definedName>
    <definedName name="MFTr2Hefactor">MFrame!$C$92:$L$107</definedName>
    <definedName name="MFW">Definition!$C$26</definedName>
    <definedName name="MH">'Select Drive &amp; Motor'!$P$25</definedName>
    <definedName name="MHD">'Select Drive &amp; Motor'!$U$25</definedName>
    <definedName name="min_Blade_T">'Select Drive &amp; Motor'!$L$54</definedName>
    <definedName name="min_Critical_B_rpm">'Select Drive &amp; Motor'!$F$101</definedName>
    <definedName name="min_Critical_V_rpm">'Select Drive &amp; Motor'!$F$100</definedName>
    <definedName name="min_life">'Axle &amp; Accessories Specs'!$J$2</definedName>
    <definedName name="MIN_PDN_BHW">'PDN Axle &amp; Bearing Calculation'!$E$3</definedName>
    <definedName name="MIN_PDN_DBB">'PDN Axle &amp; Bearing Calculation'!$E$5</definedName>
    <definedName name="MIN_PDN_H1">'PDN Axle &amp; Bearing Calculation'!$E$2</definedName>
    <definedName name="MIN_PDN_N1">'PDN Axle &amp; Bearing Calculation'!$E$4</definedName>
    <definedName name="min_re_L">'House reinf, Central Frame Side'!$AB$7</definedName>
    <definedName name="MIN_REG_BHW">'REG. Axle &amp; Bearing Calculation'!$E$3</definedName>
    <definedName name="MIN_REG_DBB">'REG. Axle &amp; Bearing Calculation'!$E$5</definedName>
    <definedName name="MIN_REG_H1">'REG. Axle &amp; Bearing Calculation'!$E$2</definedName>
    <definedName name="MIN_REG_N1">'REG. Axle &amp; Bearing Calculation'!$E$4</definedName>
    <definedName name="Min_Vib_no">'Select Drive &amp; Motor'!$F$81</definedName>
    <definedName name="min_xcurve">House!$AE$22</definedName>
    <definedName name="min_ycurve">House!$AE$23</definedName>
    <definedName name="minbolt_D">'Inlet Cone'!$K$34</definedName>
    <definedName name="minK">'Inlet Cone'!$K$33</definedName>
    <definedName name="minL">'Inlet Cone'!$K$32</definedName>
    <definedName name="minM">'Inlet Cone'!$K$31</definedName>
    <definedName name="minN">'Inlet Cone'!$K$30</definedName>
    <definedName name="minP">'Inlet Cone'!$K$28</definedName>
    <definedName name="minQ">'Inlet Cone'!$K$27</definedName>
    <definedName name="minR1">'Inlet Cone'!$K$29</definedName>
    <definedName name="mirror">House!$F$6</definedName>
    <definedName name="MJ_2">Definition!$C$19</definedName>
    <definedName name="MK">'Select Drive &amp; Motor'!$Q$25</definedName>
    <definedName name="MK_mult">Definition!$W$28</definedName>
    <definedName name="ML">'Select Drive &amp; Motor'!$V$25</definedName>
    <definedName name="MMOM">'Axle &amp; Accessories Specs'!$B$17</definedName>
    <definedName name="modified_d_2">'Select Drive &amp; Motor'!$F$7</definedName>
    <definedName name="MOM_ratio">'Axle &amp; Accessories Specs'!$L$4:$L$8</definedName>
    <definedName name="MOT_B_OK">'Axle &amp; Accessories Specs'!$A$145:$Q$145</definedName>
    <definedName name="Motor_Bearing_Strength">'Axle &amp; Accessories Specs'!$A$131:$Q$145</definedName>
    <definedName name="Motor_Bearing_Type">'Axle &amp; Accessories Specs'!$A$128:$Q$128</definedName>
    <definedName name="Motor_Calculation_data">'Axle &amp; Accessories Specs'!$AM$128:$AP$134</definedName>
    <definedName name="Motor_Data_All">'Motor Data'!$A$1:$BQ$364</definedName>
    <definedName name="Motor_Fa_Co">'Axle &amp; Accessories Specs'!$AM$128:$AM$134</definedName>
    <definedName name="Motor_Frame_Size">'Axle &amp; Accessories Specs'!$A$127:$Q$127</definedName>
    <definedName name="Motor_freq.">'Select Drive &amp; Motor'!$G$20</definedName>
    <definedName name="Motor_IE1_2P">'Motor Data'!$A$2:$BQ$56</definedName>
    <definedName name="Motor_IE1_4p">'Motor Data'!$A$57:$BQ$111</definedName>
    <definedName name="Motor_IE1_6p">'Motor Data'!$A$112:$BQ$157</definedName>
    <definedName name="Motor_IE1_8p">'Motor Data'!$A$159:$BQ$203</definedName>
    <definedName name="Motor_IE2_2p">'Motor Data'!$A$205:$BQ$231</definedName>
    <definedName name="Motor_IE2_4p">'Motor Data'!$A$233:$BQ$259</definedName>
    <definedName name="Motor_IE2_6p">'Motor Data'!$A$261:$BQ$285</definedName>
    <definedName name="Motor_IE3_2p">'Motor Data'!$A$287:$BQ$312</definedName>
    <definedName name="Motor_IE3_4p">'Motor Data'!$A$314:$BQ$339</definedName>
    <definedName name="Motor_IE3_6p">'Motor Data'!$A$341:$BQ$364</definedName>
    <definedName name="Motor_Name">'Select Drive &amp; Motor'!$H$22</definedName>
    <definedName name="Motor_parameter">'Motor Data'!$A$1:$BQ$1</definedName>
    <definedName name="Motor_Possible_SD">'Axle &amp; Accessories Specs'!$A$26:$T$26</definedName>
    <definedName name="Motor_types">'Motor Data'!$D$1:$D$364</definedName>
    <definedName name="MotorKey_Fb">'Motor Key Fb'!$A$1:$B$27</definedName>
    <definedName name="MPoles">'Select Drive &amp; Motor'!$F$25</definedName>
    <definedName name="MPower">'Select Drive &amp; Motor'!$C$25</definedName>
    <definedName name="MS_Hemm">MFrame!$N$38</definedName>
    <definedName name="MS_P">MFrame!$N$20</definedName>
    <definedName name="MSHemm">MFrame!$C$38:$L$53</definedName>
    <definedName name="MSMB_He">'Frame Dimensions'!$E$107</definedName>
    <definedName name="MSMB_w">'Frame Dimensions'!$D$107</definedName>
    <definedName name="MSMM_He">'Frame Dimensions'!$E$103</definedName>
    <definedName name="MSMM_w">'Frame Dimensions'!$D$103</definedName>
    <definedName name="MSP">MFrame!$C$20:$L$35</definedName>
    <definedName name="Mweight">'Select Drive &amp; Motor'!$D$25</definedName>
    <definedName name="Natural_max_rpm">'Axle &amp; Accessories Specs'!$A$24:$N$24</definedName>
    <definedName name="NGB_freight_DK">'Cost structures, ALL'!$B$3</definedName>
    <definedName name="NGB_labor">'Cost structures, ALL'!$B$5</definedName>
    <definedName name="NGB_Liq_rate">'Cost structures, ALL'!$B$7</definedName>
    <definedName name="NGB_OH">'Cost structures, ALL'!$B$4</definedName>
    <definedName name="no_blades">'Select Drive &amp; Motor'!$L$53</definedName>
    <definedName name="no_ext_Rings">'Select Drive &amp; Motor'!$L$58</definedName>
    <definedName name="no_int_Rings">'Select Drive &amp; Motor'!$L$55</definedName>
    <definedName name="No_SidePlate_reinf">House!$G$73</definedName>
    <definedName name="Obl_MB">SFrame!$N$57</definedName>
    <definedName name="OblMB">SFrame!$C$57:$L$72</definedName>
    <definedName name="OMOM_ratio">'Axle &amp; Accessories Specs'!$M$3:$Q$3</definedName>
    <definedName name="P_NGB">'Iron Dim.'!$B$4:$B$13</definedName>
    <definedName name="P_OP_dyn">'[2]Data for BOSS'!$D$22</definedName>
    <definedName name="P_OP_in">'[2]Data for BOSS'!$D$19</definedName>
    <definedName name="P_OP_stat">'[2]Data for BOSS'!$D$21</definedName>
    <definedName name="P_OP_tot">'[2]Data for BOSS'!$D$20</definedName>
    <definedName name="P_std_stat">'[2]Data for BOSS'!$J$40</definedName>
    <definedName name="P_std_tot">'[2]Data for BOSS'!$J$44</definedName>
    <definedName name="PDN_Acolumn">'Axle &amp; Accessories Specs'!$A$96:$A$122</definedName>
    <definedName name="PDN_Axle_Diameter">'Axle &amp; Accessories Specs'!$A$101:$BB$101</definedName>
    <definedName name="PDN_B_OK">'Axle &amp; Accessories Specs'!$A$122:$BB$122</definedName>
    <definedName name="PDN_B_Specs">'Axle &amp; Accessories Specs'!$A$98:$BB$122</definedName>
    <definedName name="PDN_Bearing_Type">'Axle &amp; Accessories Specs'!$A$98:$BB$98</definedName>
    <definedName name="PDN_Calculation_data">'Axle &amp; Accessories Specs'!$BF$99:$BI$106</definedName>
    <definedName name="PDN_constr_data">'Bearing Data'!$A$121:$Z$140</definedName>
    <definedName name="PDN_Fa_Co">'Axle &amp; Accessories Specs'!$BF$99:$BF$106</definedName>
    <definedName name="PDN_H1_it">'PDN Axle &amp; Bearing Calculation'!$G$46</definedName>
    <definedName name="Pin_in_SU">'[2]Fan Selection'!$I$7</definedName>
    <definedName name="Plate_T">'[2]Mechanical data, limits'!$I$40:$S$40</definedName>
    <definedName name="Possible_Axle_Diameter">'Axle &amp; Accessories Specs'!$A$30:$AJ$30</definedName>
    <definedName name="Possible_Imp_mat">'Fan Name List'!$B$4:$H$4</definedName>
    <definedName name="Possible_PDN_Bearings">'Axle &amp; Accessories Specs'!$A$257:$L$354</definedName>
    <definedName name="Possible_REG_Bearings">'Axle &amp; Accessories Specs'!$A$151:$W$248</definedName>
    <definedName name="Powersafe">'Select Drive &amp; Motor'!$G$21</definedName>
    <definedName name="_xlnm.Print_Area" localSheetId="16">'Axle &amp; Accessories Specs'!$A$1:$W$64</definedName>
    <definedName name="_xlnm.Print_Area" localSheetId="6">'Coupling driven'!$A$1:$V$103</definedName>
    <definedName name="_xlnm.Print_Area" localSheetId="7">Drawings!$A$1:$N$60</definedName>
    <definedName name="_xlnm.Print_Area" localSheetId="10">'IFB data'!$A$1:$R$671</definedName>
    <definedName name="_xlnm.Print_Area" localSheetId="2">OUT!$A$1:$J$101</definedName>
    <definedName name="_xlnm.Print_Area" localSheetId="3">'OUT (C)'!$A$1:$J$101</definedName>
    <definedName name="_xlnm.Print_Area" localSheetId="15">'PDN Axle &amp; Bearing Calculation'!$A$1:$V$62</definedName>
    <definedName name="_xlnm.Print_Area" localSheetId="14">'REG. Axle &amp; Bearing Calculation'!$A$1:$T$87</definedName>
    <definedName name="_xlnm.Print_Area" localSheetId="0">'Select Drive &amp; Motor'!$A$1:$X$106</definedName>
    <definedName name="_xlnm.Print_Titles" localSheetId="43">'House C Data'!$1:$16</definedName>
    <definedName name="_xlnm.Print_Titles" localSheetId="44">'Impeller C &amp; Run Data'!$1:$16</definedName>
    <definedName name="Prot_dampers" localSheetId="36">'Vibration Calculation'!$B$82:$Y$88</definedName>
    <definedName name="Ps_in_SU">'[2]Fan Selection'!$I$8</definedName>
    <definedName name="Pt">'Select Drive &amp; Motor'!$C$12</definedName>
    <definedName name="Pt_in_SU">'[2]Fan Selection'!$I$9</definedName>
    <definedName name="Q" localSheetId="4">'[2]Data for BOSS'!$D$24</definedName>
    <definedName name="Q">'Select Drive &amp; Motor'!$C$13</definedName>
    <definedName name="Q_in_SU">'[2]Fan Selection'!$I$12</definedName>
    <definedName name="R_angle">Definition!$E$25</definedName>
    <definedName name="R_HSP_He">'Frame Dimensions'!$E$99</definedName>
    <definedName name="r_in_m">House!$AI$8</definedName>
    <definedName name="r0" localSheetId="4">'[1]Cost Calculator'!$J$41</definedName>
    <definedName name="r0">'Select Drive &amp; Motor'!$E$31</definedName>
    <definedName name="rad_CF_reinf_req">'House reinf, Central Frame Side'!$E$72</definedName>
    <definedName name="rad_SP_reinf_req">'House reinf, Support Plate Side'!$E$102</definedName>
    <definedName name="Radiation_F">'[2]Curves (Std. conditions)'!$C$65</definedName>
    <definedName name="REG_Axle_Diameter">'Axle &amp; Accessories Specs'!$A$72:$DJ$72</definedName>
    <definedName name="REG_B_constr_data">'Bearing Data'!$A$1:$Z$110</definedName>
    <definedName name="REG_B_OK">'Axle &amp; Accessories Specs'!$A$93:$DJ$93</definedName>
    <definedName name="REG_B_Specs">'Axle &amp; Accessories Specs'!$A$69:$DJ$93</definedName>
    <definedName name="REG_Bearing_Type">'Axle &amp; Accessories Specs'!$A$69:$DJ$69</definedName>
    <definedName name="REG_H1_it">'REG. Axle &amp; Bearing Calculation'!$G$46</definedName>
    <definedName name="Reinf_Area">House!$M$114</definedName>
    <definedName name="Reinf_HousePT">House!$B$16</definedName>
    <definedName name="reinf_strt_stp">'House reinf, Central Frame Side'!$AB$9</definedName>
    <definedName name="REQ_Axle_Diam">'Select Drive &amp; Motor'!$C$75</definedName>
    <definedName name="REQ_FrameX">'Select Drive &amp; Motor'!$C$76</definedName>
    <definedName name="rev_safety_f">'[2]Fan Selection'!$C$14</definedName>
    <definedName name="rho_med_20">'[2]Data for BOSS'!$J$38</definedName>
    <definedName name="rho_med_OP">'[2]Data for BOSS'!$P$36</definedName>
    <definedName name="rho_med_std">'[2]Data for BOSS'!$D$26</definedName>
    <definedName name="rho_medium">'Select Drive &amp; Motor'!$C$16</definedName>
    <definedName name="rho_std">'[2]Fan Selection'!$B$61</definedName>
    <definedName name="RPM">'Select Drive &amp; Motor'!$C$15</definedName>
    <definedName name="RPM_index">Definition!$E$21</definedName>
    <definedName name="rpm_OP">'[2]Data for BOSS'!$D$25</definedName>
    <definedName name="RPM_range">MFrame!$C$1:$L$1</definedName>
    <definedName name="RPMSafe">'Select Drive &amp; Motor'!$F$15</definedName>
    <definedName name="S_NGB">'Iron Dim.'!$B$14:$B$22</definedName>
    <definedName name="SD">'Select Drive &amp; Motor'!$J$25</definedName>
    <definedName name="SE">'Select Drive &amp; Motor'!$K$25</definedName>
    <definedName name="Seal_Axle_Diameter">'Axle &amp; Accessories Specs'!$A$46:$CV$46</definedName>
    <definedName name="Seal_Cooling_Selection">'Select Drive &amp; Motor'!$C$79</definedName>
    <definedName name="Seals_Cooling">'Axle &amp; Accessories Specs'!$A$48:$A$64</definedName>
    <definedName name="SealThickness">'Axle &amp; Accessories Specs'!$A$46:$CV$64</definedName>
    <definedName name="Sel_Fan_number">'[2]Fan Selection'!$C$26</definedName>
    <definedName name="Sel_Fan_rev">'[2]Fan Selection'!$C$27</definedName>
    <definedName name="Sel_Fan_type">'[2]Fan Selection'!$D$26</definedName>
    <definedName name="Sel_Impeller_type">'[2]Fan Selection'!$E$26</definedName>
    <definedName name="SF">'Select Drive &amp; Motor'!$L$25</definedName>
    <definedName name="SF_Base">SFrame!$N$20</definedName>
    <definedName name="SF_Hefactor">SFrame!$N$38</definedName>
    <definedName name="SF_P">SFrame!$N$2</definedName>
    <definedName name="SFb">'Select Drive &amp; Motor'!$N$25</definedName>
    <definedName name="SFBase">SFrame!$C$20:$L$35</definedName>
    <definedName name="SFBase_He_L">'Frame Dimensions'!$E$120</definedName>
    <definedName name="SFBase_He_R">'Frame Dimensions'!$E$124</definedName>
    <definedName name="SFBase_l_L">'Frame Dimensions'!$D$120</definedName>
    <definedName name="SFBase_l_R">'Frame Dimensions'!$D$124</definedName>
    <definedName name="SFBB_He">'Frame Dimensions'!$E$132</definedName>
    <definedName name="SFHefactor">SFrame!$C$38:$L$53</definedName>
    <definedName name="SFMM_He">'Frame Dimensions'!$E$128</definedName>
    <definedName name="SFP">SFrame!$C$2:$L$17</definedName>
    <definedName name="SFX_He">'Frame Dimensions'!$E$115</definedName>
    <definedName name="SFX_l">'IFB data'!$B$125</definedName>
    <definedName name="SFX_w">'Frame Dimensions'!$D$115</definedName>
    <definedName name="SG">'Select Drive &amp; Motor'!$M$25</definedName>
    <definedName name="Shaft_Power_OP">'[2]Data for BOSS'!$D$28</definedName>
    <definedName name="Shaft_Power_std">'[2]Data for BOSS'!$J$46</definedName>
    <definedName name="ShaftC">Definition!$C$59</definedName>
    <definedName name="ShaftD">Definition!$C$57</definedName>
    <definedName name="ShaftL">Definition!$C$58</definedName>
    <definedName name="ShaftPD">Definition!$C$61</definedName>
    <definedName name="ShaftPL">Definition!$C$60</definedName>
    <definedName name="ShaftThr">Definition!$C$62</definedName>
    <definedName name="SidePlate_reinf_dist">House!$H$42</definedName>
    <definedName name="Small_F">'Select Drive &amp; Motor'!$M$4</definedName>
    <definedName name="Small_hub_l1">'S_HUB_Cone (2)'!$B$17</definedName>
    <definedName name="SP_eF_xy_pos">'House reinf, Support Plate Side'!$L$11</definedName>
    <definedName name="SP_iD">'Inlet Cone'!$B$22</definedName>
    <definedName name="SP_iF_xy_pos">'House reinf, Support Plate Side'!$L$9</definedName>
    <definedName name="SP_max_reinf_area">'House reinf, Support Plate Side'!$E$101</definedName>
    <definedName name="SP_oD">'Inlet Cone'!$B$21</definedName>
    <definedName name="SP_reinf_req">'House reinf, Support Plate Side'!$L$8</definedName>
    <definedName name="SP_T">'Inlet Cone'!$B$23</definedName>
    <definedName name="SP_Type">'Inlet Cone'!$D$23</definedName>
    <definedName name="SPmin_reinf_area">'House reinf, Support Plate Side'!$L$7</definedName>
    <definedName name="SPRe_start_angle_e">'House reinf, Support Plate Side'!$I$101</definedName>
    <definedName name="SPRe_stop_angle_e">'House reinf, Support Plate Side'!$I$102</definedName>
    <definedName name="Std_dampers" localSheetId="36">'Vibration Calculation'!$C$21:$Y$88</definedName>
    <definedName name="stdCH">House!$AF$12</definedName>
    <definedName name="stdJ_2">Definition!$C$20</definedName>
    <definedName name="steel_density">'Fan Name List'!$B$1</definedName>
    <definedName name="Stock_list">'[2]STOCK LIST'!$A$1:$A$56</definedName>
    <definedName name="Stress_safety">'[2]Fan Data &amp; Deformation'!$H$4</definedName>
    <definedName name="Surace_Treatment_type">'Cost structures, ALL'!$B$36:$H$36</definedName>
    <definedName name="Surface_treatment_cost">'Cost structures, ALL'!$B$37:$H$42</definedName>
    <definedName name="sysJ2_index">Definition!$E$19</definedName>
    <definedName name="System_weight_safe">'Select Drive &amp; Motor'!$C$102</definedName>
    <definedName name="T_House_weight">House!$G$108</definedName>
    <definedName name="T_HR_weight">House!$M$108</definedName>
    <definedName name="T_in_SU">'[2]Fan Selection'!$I$10</definedName>
    <definedName name="T_OP">'[2]Data for BOSS'!$D$23</definedName>
    <definedName name="T_std">'[2]Fan Selection'!$B$57</definedName>
    <definedName name="Temp">'Select Drive &amp; Motor'!$C$14</definedName>
    <definedName name="TMO0">'Select Drive &amp; Motor'!$F$98</definedName>
    <definedName name="Tongue_delta">House!$F$9</definedName>
    <definedName name="Tongue_X">House!$D$22</definedName>
    <definedName name="Tongue_Y">House!$D$23</definedName>
    <definedName name="UNP_NGB">'Iron Dim.'!$B$64:$B$76</definedName>
    <definedName name="V_type">'Vibration Calculation'!$K$6</definedName>
    <definedName name="Ventilator_liste">'House C Data'!$A$17:$A$250</definedName>
    <definedName name="version">'Select Drive &amp; Motor'!$B$3</definedName>
    <definedName name="VHFL_He">'Frame Dimensions'!$K$90</definedName>
    <definedName name="VHFL_Z">House!$K$7</definedName>
    <definedName name="VHFR_He">'Frame Dimensions'!$K$93</definedName>
    <definedName name="VHFR_Z">House!$K$8</definedName>
    <definedName name="WB_P">'Select Drive &amp; Motor'!$S$46</definedName>
    <definedName name="Weld_space">House!$B$15</definedName>
    <definedName name="WF_P">'Select Drive &amp; Motor'!$S$44</definedName>
    <definedName name="WHub_C">Definition!$C$69</definedName>
    <definedName name="WHub_C_D">'Direct driven'!$B$19</definedName>
    <definedName name="WHub_C_PDN">'Coupling driven'!$D$96</definedName>
    <definedName name="WHub_C_REG">'Coupling driven'!$D$43</definedName>
    <definedName name="WHub_P">'Select Drive &amp; Motor'!$S$49</definedName>
    <definedName name="Wsafe">'Select Drive &amp; Motor'!$F$102</definedName>
    <definedName name="x0">'Inlet Cone'!$A$25</definedName>
    <definedName name="Yield_S_safety">'[2]Fan Selection'!$C$15</definedName>
  </definedNames>
  <calcPr calcId="152511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N17" i="7" l="1"/>
  <c r="C12" i="7" l="1"/>
  <c r="G64" i="2" l="1"/>
  <c r="G63" i="2"/>
  <c r="G10" i="2"/>
  <c r="H27" i="92" l="1"/>
  <c r="H26" i="92"/>
  <c r="H23" i="92"/>
  <c r="J89" i="92"/>
  <c r="I89" i="92"/>
  <c r="H89" i="92"/>
  <c r="G89" i="92"/>
  <c r="F89" i="92"/>
  <c r="E89" i="92"/>
  <c r="D89" i="92"/>
  <c r="C89" i="92"/>
  <c r="Q67" i="92"/>
  <c r="P67" i="92"/>
  <c r="O67" i="92"/>
  <c r="N67" i="92"/>
  <c r="M67" i="92"/>
  <c r="S67" i="92" s="1"/>
  <c r="Q66" i="92"/>
  <c r="P66" i="92"/>
  <c r="O66" i="92"/>
  <c r="N66" i="92"/>
  <c r="M66" i="92"/>
  <c r="S66" i="92" s="1"/>
  <c r="Q65" i="92"/>
  <c r="P65" i="92"/>
  <c r="O65" i="92"/>
  <c r="N65" i="92"/>
  <c r="M65" i="92"/>
  <c r="S65" i="92" s="1"/>
  <c r="Q64" i="92"/>
  <c r="P64" i="92"/>
  <c r="O64" i="92"/>
  <c r="N64" i="92"/>
  <c r="M64" i="92"/>
  <c r="S64" i="92" s="1"/>
  <c r="S63" i="92"/>
  <c r="Q63" i="92"/>
  <c r="P63" i="92"/>
  <c r="O63" i="92"/>
  <c r="N63" i="92"/>
  <c r="M63" i="92"/>
  <c r="Q62" i="92"/>
  <c r="P62" i="92"/>
  <c r="O62" i="92"/>
  <c r="N62" i="92"/>
  <c r="M62" i="92"/>
  <c r="S62" i="92" s="1"/>
  <c r="Q61" i="92"/>
  <c r="P61" i="92"/>
  <c r="O61" i="92"/>
  <c r="N61" i="92"/>
  <c r="M61" i="92"/>
  <c r="S61" i="92" s="1"/>
  <c r="Q60" i="92"/>
  <c r="P60" i="92"/>
  <c r="O60" i="92"/>
  <c r="N60" i="92"/>
  <c r="M60" i="92"/>
  <c r="S60" i="92" s="1"/>
  <c r="Q59" i="92"/>
  <c r="P59" i="92"/>
  <c r="O59" i="92"/>
  <c r="N59" i="92"/>
  <c r="M59" i="92"/>
  <c r="S59" i="92" s="1"/>
  <c r="Q58" i="92"/>
  <c r="P58" i="92"/>
  <c r="O58" i="92"/>
  <c r="N58" i="92"/>
  <c r="M58" i="92"/>
  <c r="S58" i="92" s="1"/>
  <c r="L58" i="92"/>
  <c r="E56" i="92"/>
  <c r="E55" i="92"/>
  <c r="C18" i="92"/>
  <c r="E13" i="92"/>
  <c r="C13" i="92"/>
  <c r="E53" i="92" s="1"/>
  <c r="H9" i="92"/>
  <c r="G9" i="92"/>
  <c r="F9" i="92"/>
  <c r="E51" i="92" s="1"/>
  <c r="E9" i="92"/>
  <c r="E54" i="92" s="1"/>
  <c r="D9" i="92"/>
  <c r="E50" i="92" s="1"/>
  <c r="B9" i="92"/>
  <c r="E52" i="92" s="1"/>
  <c r="E4" i="92"/>
  <c r="E3" i="92"/>
  <c r="D89" i="90"/>
  <c r="E89" i="90"/>
  <c r="F89" i="90"/>
  <c r="G89" i="90"/>
  <c r="H89" i="90"/>
  <c r="I89" i="90"/>
  <c r="J89" i="90"/>
  <c r="C89" i="90"/>
  <c r="Q59" i="90"/>
  <c r="Q60" i="90"/>
  <c r="Q61" i="90"/>
  <c r="Q62" i="90"/>
  <c r="Q63" i="90"/>
  <c r="Q64" i="90"/>
  <c r="Q65" i="90"/>
  <c r="Q66" i="90"/>
  <c r="Q67" i="90"/>
  <c r="Q58" i="90"/>
  <c r="P59" i="90"/>
  <c r="P60" i="90"/>
  <c r="P61" i="90"/>
  <c r="P62" i="90"/>
  <c r="P63" i="90"/>
  <c r="P64" i="90"/>
  <c r="P65" i="90"/>
  <c r="P66" i="90"/>
  <c r="P67" i="90"/>
  <c r="P58" i="90"/>
  <c r="O59" i="90"/>
  <c r="O60" i="90"/>
  <c r="O61" i="90"/>
  <c r="O62" i="90"/>
  <c r="O63" i="90"/>
  <c r="O64" i="90"/>
  <c r="O65" i="90"/>
  <c r="O66" i="90"/>
  <c r="O67" i="90"/>
  <c r="O58" i="90"/>
  <c r="N59" i="90"/>
  <c r="N60" i="90"/>
  <c r="N61" i="90"/>
  <c r="N62" i="90"/>
  <c r="N63" i="90"/>
  <c r="N64" i="90"/>
  <c r="N65" i="90"/>
  <c r="N66" i="90"/>
  <c r="N67" i="90"/>
  <c r="N58" i="90"/>
  <c r="M59" i="90"/>
  <c r="S59" i="90" s="1"/>
  <c r="M60" i="90"/>
  <c r="S60" i="90" s="1"/>
  <c r="M61" i="90"/>
  <c r="S61" i="90" s="1"/>
  <c r="M62" i="90"/>
  <c r="S62" i="90" s="1"/>
  <c r="M63" i="90"/>
  <c r="S63" i="90" s="1"/>
  <c r="M64" i="90"/>
  <c r="S64" i="90" s="1"/>
  <c r="M65" i="90"/>
  <c r="S65" i="90" s="1"/>
  <c r="M66" i="90"/>
  <c r="S66" i="90" s="1"/>
  <c r="M67" i="90"/>
  <c r="S67" i="90" s="1"/>
  <c r="M58" i="90"/>
  <c r="S58" i="90" s="1"/>
  <c r="L58" i="90"/>
  <c r="E55" i="90"/>
  <c r="E56" i="90"/>
  <c r="N1" i="92" l="1"/>
  <c r="E3" i="90"/>
  <c r="E4" i="90"/>
  <c r="G81" i="7" l="1"/>
  <c r="F81" i="7"/>
  <c r="F5" i="50" l="1"/>
  <c r="B688" i="50" s="1"/>
  <c r="C18" i="90" l="1"/>
  <c r="N1" i="90" s="1"/>
  <c r="E13" i="90"/>
  <c r="C13" i="90"/>
  <c r="E53" i="90" s="1"/>
  <c r="H9" i="90"/>
  <c r="G9" i="90" l="1"/>
  <c r="F9" i="90"/>
  <c r="E51" i="90" s="1"/>
  <c r="E9" i="90"/>
  <c r="E54" i="90" s="1"/>
  <c r="D9" i="90"/>
  <c r="E50" i="90" s="1"/>
  <c r="B9" i="90"/>
  <c r="E52" i="90" s="1"/>
  <c r="B237" i="50" l="1"/>
  <c r="B238" i="50"/>
  <c r="D15" i="87" l="1"/>
  <c r="D14" i="87"/>
  <c r="N6" i="50" l="1"/>
  <c r="J12" i="50"/>
  <c r="J13" i="50"/>
  <c r="K11" i="50"/>
  <c r="J11" i="50"/>
  <c r="J10" i="50"/>
  <c r="J9" i="50"/>
  <c r="J8" i="50"/>
  <c r="J7" i="50"/>
  <c r="J6" i="50"/>
  <c r="J5" i="50" l="1"/>
  <c r="C16" i="84" l="1"/>
  <c r="C215" i="83" l="1"/>
  <c r="C214" i="83"/>
  <c r="C213" i="83"/>
  <c r="C212" i="83"/>
  <c r="C211" i="83"/>
  <c r="C210" i="83"/>
  <c r="C209" i="83"/>
  <c r="C208" i="83"/>
  <c r="C207" i="83"/>
  <c r="C206" i="83"/>
  <c r="C205" i="83"/>
  <c r="C204" i="83"/>
  <c r="C203" i="83"/>
  <c r="C202" i="83"/>
  <c r="C201" i="83"/>
  <c r="C200" i="83"/>
  <c r="C199" i="83"/>
  <c r="C198" i="83"/>
  <c r="C197" i="83"/>
  <c r="C196" i="83"/>
  <c r="C195" i="83"/>
  <c r="C194" i="83"/>
  <c r="C193" i="83"/>
  <c r="C192" i="83"/>
  <c r="C191" i="83"/>
  <c r="C190" i="83"/>
  <c r="C189" i="83"/>
  <c r="C188" i="83"/>
  <c r="C187" i="83"/>
  <c r="C186" i="83"/>
  <c r="C185" i="83"/>
  <c r="C184" i="83"/>
  <c r="C183" i="83"/>
  <c r="C182" i="83"/>
  <c r="C181" i="83"/>
  <c r="C180" i="83"/>
  <c r="C179" i="83"/>
  <c r="C178" i="83"/>
  <c r="C177" i="83"/>
  <c r="C176" i="83"/>
  <c r="C175" i="83"/>
  <c r="C174" i="83"/>
  <c r="C173" i="83"/>
  <c r="C172" i="83"/>
  <c r="C171" i="83"/>
  <c r="C170" i="83"/>
  <c r="C169" i="83"/>
  <c r="C168" i="83"/>
  <c r="C167" i="83"/>
  <c r="C166" i="83"/>
  <c r="C165" i="83"/>
  <c r="C164" i="83"/>
  <c r="C163" i="83"/>
  <c r="C162" i="83"/>
  <c r="C161" i="83"/>
  <c r="C160" i="83"/>
  <c r="C159" i="83"/>
  <c r="C158" i="83"/>
  <c r="C157" i="83"/>
  <c r="C156" i="83"/>
  <c r="C155" i="83"/>
  <c r="C154" i="83"/>
  <c r="C153" i="83"/>
  <c r="C152" i="83"/>
  <c r="C151" i="83"/>
  <c r="C150" i="83"/>
  <c r="C149" i="83"/>
  <c r="C148" i="83"/>
  <c r="C147" i="83"/>
  <c r="C146" i="83"/>
  <c r="C145" i="83"/>
  <c r="C144" i="83"/>
  <c r="C143" i="83"/>
  <c r="C142" i="83"/>
  <c r="C141" i="83"/>
  <c r="C140" i="83"/>
  <c r="C139" i="83"/>
  <c r="C138" i="83"/>
  <c r="C137" i="83"/>
  <c r="C136" i="83"/>
  <c r="C135" i="83"/>
  <c r="C134" i="83"/>
  <c r="C133" i="83"/>
  <c r="C132" i="83"/>
  <c r="C131" i="83"/>
  <c r="C130" i="83"/>
  <c r="C129" i="83"/>
  <c r="C128" i="83"/>
  <c r="C127" i="83"/>
  <c r="C126" i="83"/>
  <c r="C125" i="83"/>
  <c r="C124" i="83"/>
  <c r="C123" i="83"/>
  <c r="C122" i="83"/>
  <c r="C121" i="83"/>
  <c r="C120" i="83"/>
  <c r="C119" i="83"/>
  <c r="C118" i="83"/>
  <c r="C117" i="83"/>
  <c r="C116" i="83"/>
  <c r="C115" i="83"/>
  <c r="C114" i="83"/>
  <c r="C113" i="83"/>
  <c r="C112" i="83"/>
  <c r="C111" i="83"/>
  <c r="C110" i="83"/>
  <c r="C109" i="83"/>
  <c r="C108" i="83"/>
  <c r="C107" i="83"/>
  <c r="C106" i="83"/>
  <c r="C105" i="83"/>
  <c r="C104" i="83"/>
  <c r="C103" i="83"/>
  <c r="C102" i="83"/>
  <c r="C101" i="83"/>
  <c r="C100" i="83"/>
  <c r="C99" i="83"/>
  <c r="C98" i="83"/>
  <c r="C97" i="83"/>
  <c r="C96" i="83"/>
  <c r="C95" i="83"/>
  <c r="C94" i="83"/>
  <c r="C93" i="83"/>
  <c r="C92" i="83"/>
  <c r="C91" i="83"/>
  <c r="C90" i="83"/>
  <c r="C89" i="83"/>
  <c r="C88" i="83"/>
  <c r="C87" i="83"/>
  <c r="C86" i="83"/>
  <c r="C60" i="83"/>
  <c r="C59" i="83"/>
  <c r="C58" i="83"/>
  <c r="C57" i="83"/>
  <c r="C56" i="83"/>
  <c r="C55" i="83"/>
  <c r="C54" i="83"/>
  <c r="C53" i="83"/>
  <c r="C52" i="83"/>
  <c r="C51" i="83"/>
  <c r="C50" i="83"/>
  <c r="C48" i="83"/>
  <c r="C47" i="83"/>
  <c r="C46" i="83"/>
  <c r="C45" i="83"/>
  <c r="C44" i="83"/>
  <c r="C43" i="83"/>
  <c r="C42" i="83"/>
  <c r="C41" i="83"/>
  <c r="C40" i="83"/>
  <c r="C39" i="83"/>
  <c r="C38" i="83"/>
  <c r="C37" i="83"/>
  <c r="C36" i="83"/>
  <c r="C35" i="83"/>
  <c r="C34" i="83"/>
  <c r="C33" i="83"/>
  <c r="C32" i="83"/>
  <c r="C31" i="83"/>
  <c r="C30" i="83"/>
  <c r="C29" i="83"/>
  <c r="C28" i="83"/>
  <c r="C27" i="83"/>
  <c r="C26" i="83"/>
  <c r="C25" i="83"/>
  <c r="C24" i="83"/>
  <c r="C23" i="83"/>
  <c r="C22" i="83"/>
  <c r="C21" i="83"/>
  <c r="C20" i="83"/>
  <c r="C19" i="83"/>
  <c r="C18" i="83"/>
  <c r="C17" i="83"/>
  <c r="C16" i="83"/>
  <c r="C15" i="83"/>
  <c r="C14" i="83"/>
  <c r="C13" i="83"/>
  <c r="C12" i="83"/>
  <c r="C11" i="83"/>
  <c r="C10" i="83"/>
  <c r="C9" i="83"/>
  <c r="C8" i="83"/>
  <c r="C7" i="83"/>
  <c r="C6" i="83"/>
  <c r="C5" i="83"/>
  <c r="C4" i="83"/>
  <c r="C3" i="83"/>
  <c r="C2" i="83"/>
  <c r="G74" i="1" l="1"/>
  <c r="G74" i="5"/>
  <c r="O170" i="20" l="1"/>
  <c r="L170" i="20"/>
  <c r="I170" i="20"/>
  <c r="H170" i="20"/>
  <c r="G170" i="20"/>
  <c r="F170" i="20"/>
  <c r="E170" i="20"/>
  <c r="D170" i="20"/>
  <c r="C170" i="20"/>
  <c r="B170" i="20"/>
  <c r="O169" i="20"/>
  <c r="L169" i="20"/>
  <c r="I169" i="20"/>
  <c r="H169" i="20"/>
  <c r="G169" i="20"/>
  <c r="F169" i="20"/>
  <c r="E169" i="20"/>
  <c r="D169" i="20"/>
  <c r="C169" i="20"/>
  <c r="B169" i="20"/>
  <c r="O168" i="20"/>
  <c r="L168" i="20"/>
  <c r="I168" i="20"/>
  <c r="H168" i="20"/>
  <c r="G168" i="20"/>
  <c r="F168" i="20"/>
  <c r="E168" i="20"/>
  <c r="D168" i="20"/>
  <c r="C168" i="20"/>
  <c r="B168" i="20"/>
  <c r="O167" i="20"/>
  <c r="L167" i="20"/>
  <c r="I167" i="20"/>
  <c r="H167" i="20"/>
  <c r="G167" i="20"/>
  <c r="F167" i="20"/>
  <c r="E167" i="20"/>
  <c r="D167" i="20"/>
  <c r="C167" i="20"/>
  <c r="B167" i="20"/>
  <c r="O166" i="20"/>
  <c r="N166" i="20"/>
  <c r="M166" i="20"/>
  <c r="L166" i="20"/>
  <c r="K166" i="20"/>
  <c r="J166" i="20"/>
  <c r="I166" i="20"/>
  <c r="H166" i="20"/>
  <c r="G166" i="20"/>
  <c r="F166" i="20"/>
  <c r="E166" i="20"/>
  <c r="D166" i="20"/>
  <c r="C166" i="20"/>
  <c r="B166" i="20"/>
  <c r="O165" i="20"/>
  <c r="N165" i="20"/>
  <c r="M165" i="20"/>
  <c r="L165" i="20"/>
  <c r="K165" i="20"/>
  <c r="J165" i="20"/>
  <c r="I165" i="20"/>
  <c r="H165" i="20"/>
  <c r="G165" i="20"/>
  <c r="F165" i="20"/>
  <c r="E165" i="20"/>
  <c r="D165" i="20"/>
  <c r="C165" i="20"/>
  <c r="B165" i="20"/>
  <c r="I164" i="20"/>
  <c r="H164" i="20"/>
  <c r="G164" i="20"/>
  <c r="F164" i="20"/>
  <c r="E164" i="20"/>
  <c r="D164" i="20"/>
  <c r="C164" i="20"/>
  <c r="I163" i="20"/>
  <c r="H163" i="20"/>
  <c r="G163" i="20"/>
  <c r="F163" i="20"/>
  <c r="E163" i="20"/>
  <c r="D163" i="20"/>
  <c r="C163" i="20"/>
  <c r="I162" i="20"/>
  <c r="H162" i="20"/>
  <c r="G162" i="20"/>
  <c r="F162" i="20"/>
  <c r="E162" i="20"/>
  <c r="D162" i="20"/>
  <c r="C162" i="20"/>
  <c r="I161" i="20"/>
  <c r="H161" i="20"/>
  <c r="G161" i="20"/>
  <c r="F161" i="20"/>
  <c r="E161" i="20"/>
  <c r="D161" i="20"/>
  <c r="C161" i="20"/>
  <c r="O160" i="20"/>
  <c r="N160" i="20"/>
  <c r="M160" i="20"/>
  <c r="L160" i="20"/>
  <c r="K160" i="20"/>
  <c r="J160" i="20"/>
  <c r="I160" i="20"/>
  <c r="H160" i="20"/>
  <c r="G160" i="20"/>
  <c r="F160" i="20"/>
  <c r="E160" i="20"/>
  <c r="D160" i="20"/>
  <c r="C160" i="20"/>
  <c r="B160" i="20"/>
  <c r="O159" i="20"/>
  <c r="N159" i="20"/>
  <c r="M159" i="20"/>
  <c r="L159" i="20"/>
  <c r="K159" i="20"/>
  <c r="J159" i="20"/>
  <c r="I159" i="20"/>
  <c r="H159" i="20"/>
  <c r="G159" i="20"/>
  <c r="F159" i="20"/>
  <c r="E159" i="20"/>
  <c r="D159" i="20"/>
  <c r="C159" i="20"/>
  <c r="B159" i="20"/>
  <c r="I158" i="20"/>
  <c r="H158" i="20"/>
  <c r="G158" i="20"/>
  <c r="F158" i="20"/>
  <c r="E158" i="20"/>
  <c r="D158" i="20"/>
  <c r="C158" i="20"/>
  <c r="B158" i="20"/>
  <c r="I157" i="20"/>
  <c r="H157" i="20"/>
  <c r="G157" i="20"/>
  <c r="F157" i="20"/>
  <c r="E157" i="20"/>
  <c r="D157" i="20"/>
  <c r="C157" i="20"/>
  <c r="B157" i="20"/>
  <c r="I156" i="20"/>
  <c r="H156" i="20"/>
  <c r="G156" i="20"/>
  <c r="F156" i="20"/>
  <c r="E156" i="20"/>
  <c r="D156" i="20"/>
  <c r="C156" i="20"/>
  <c r="B156" i="20"/>
  <c r="I155" i="20"/>
  <c r="H155" i="20"/>
  <c r="G155" i="20"/>
  <c r="F155" i="20"/>
  <c r="E155" i="20"/>
  <c r="D155" i="20"/>
  <c r="C155" i="20"/>
  <c r="B155" i="20"/>
  <c r="I154" i="20"/>
  <c r="H154" i="20"/>
  <c r="G154" i="20"/>
  <c r="F154" i="20"/>
  <c r="E154" i="20"/>
  <c r="D154" i="20"/>
  <c r="C154" i="20"/>
  <c r="B154" i="20"/>
  <c r="I153" i="20"/>
  <c r="H153" i="20"/>
  <c r="G153" i="20"/>
  <c r="F153" i="20"/>
  <c r="E153" i="20"/>
  <c r="D153" i="20"/>
  <c r="C153" i="20"/>
  <c r="B153" i="20"/>
  <c r="L152" i="20"/>
  <c r="I152" i="20"/>
  <c r="H152" i="20"/>
  <c r="G152" i="20"/>
  <c r="F152" i="20"/>
  <c r="E152" i="20"/>
  <c r="D152" i="20"/>
  <c r="C152" i="20"/>
  <c r="B152" i="20"/>
  <c r="O151" i="20"/>
  <c r="N151" i="20"/>
  <c r="M151" i="20"/>
  <c r="L151" i="20"/>
  <c r="K151" i="20"/>
  <c r="J151" i="20"/>
  <c r="I151" i="20"/>
  <c r="H151" i="20"/>
  <c r="G151" i="20"/>
  <c r="F151" i="20"/>
  <c r="E151" i="20"/>
  <c r="D151" i="20"/>
  <c r="C151" i="20"/>
  <c r="B151" i="20"/>
  <c r="O150" i="20"/>
  <c r="L150" i="20"/>
  <c r="I150" i="20"/>
  <c r="H150" i="20"/>
  <c r="G150" i="20"/>
  <c r="F150" i="20"/>
  <c r="E150" i="20"/>
  <c r="D150" i="20"/>
  <c r="C150" i="20"/>
  <c r="B150" i="20"/>
  <c r="O149" i="20"/>
  <c r="L149" i="20"/>
  <c r="I149" i="20"/>
  <c r="H149" i="20"/>
  <c r="G149" i="20"/>
  <c r="F149" i="20"/>
  <c r="E149" i="20"/>
  <c r="D149" i="20"/>
  <c r="C149" i="20"/>
  <c r="B149" i="20"/>
  <c r="O148" i="20"/>
  <c r="L148" i="20"/>
  <c r="I148" i="20"/>
  <c r="H148" i="20"/>
  <c r="G148" i="20"/>
  <c r="F148" i="20"/>
  <c r="E148" i="20"/>
  <c r="D148" i="20"/>
  <c r="C148" i="20"/>
  <c r="B148" i="20"/>
  <c r="O147" i="20"/>
  <c r="L147" i="20"/>
  <c r="I147" i="20"/>
  <c r="H147" i="20"/>
  <c r="G147" i="20"/>
  <c r="F147" i="20"/>
  <c r="E147" i="20"/>
  <c r="D147" i="20"/>
  <c r="C147" i="20"/>
  <c r="B147" i="20"/>
  <c r="O146" i="20"/>
  <c r="L146" i="20"/>
  <c r="I146" i="20"/>
  <c r="H146" i="20"/>
  <c r="G146" i="20"/>
  <c r="F146" i="20"/>
  <c r="E146" i="20"/>
  <c r="D146" i="20"/>
  <c r="C146" i="20"/>
  <c r="B146" i="20"/>
  <c r="O145" i="20"/>
  <c r="L145" i="20"/>
  <c r="I145" i="20"/>
  <c r="H145" i="20"/>
  <c r="G145" i="20"/>
  <c r="F145" i="20"/>
  <c r="E145" i="20"/>
  <c r="D145" i="20"/>
  <c r="C145" i="20"/>
  <c r="B145" i="20"/>
  <c r="O144" i="20"/>
  <c r="L144" i="20"/>
  <c r="I144" i="20"/>
  <c r="H144" i="20"/>
  <c r="G144" i="20"/>
  <c r="F144" i="20"/>
  <c r="E144" i="20"/>
  <c r="D144" i="20"/>
  <c r="C144" i="20"/>
  <c r="B144" i="20"/>
  <c r="O143" i="20"/>
  <c r="L143" i="20"/>
  <c r="I143" i="20"/>
  <c r="H143" i="20"/>
  <c r="G143" i="20"/>
  <c r="F143" i="20"/>
  <c r="E143" i="20"/>
  <c r="D143" i="20"/>
  <c r="C143" i="20"/>
  <c r="B143" i="20"/>
  <c r="O142" i="20"/>
  <c r="L142" i="20"/>
  <c r="I142" i="20"/>
  <c r="H142" i="20"/>
  <c r="G142" i="20"/>
  <c r="F142" i="20"/>
  <c r="E142" i="20"/>
  <c r="D142" i="20"/>
  <c r="C142" i="20"/>
  <c r="B142" i="20"/>
  <c r="O141" i="20"/>
  <c r="L141" i="20"/>
  <c r="I141" i="20"/>
  <c r="H141" i="20"/>
  <c r="G141" i="20"/>
  <c r="F141" i="20"/>
  <c r="E141" i="20"/>
  <c r="D141" i="20"/>
  <c r="C141" i="20"/>
  <c r="B141" i="20"/>
  <c r="O140" i="20"/>
  <c r="L140" i="20"/>
  <c r="I140" i="20"/>
  <c r="H140" i="20"/>
  <c r="G140" i="20"/>
  <c r="F140" i="20"/>
  <c r="E140" i="20"/>
  <c r="D140" i="20"/>
  <c r="C140" i="20"/>
  <c r="B140" i="20"/>
  <c r="O139" i="20"/>
  <c r="L139" i="20"/>
  <c r="I139" i="20"/>
  <c r="H139" i="20"/>
  <c r="G139" i="20"/>
  <c r="F139" i="20"/>
  <c r="E139" i="20"/>
  <c r="D139" i="20"/>
  <c r="C139" i="20"/>
  <c r="B139" i="20"/>
  <c r="O138" i="20"/>
  <c r="N138" i="20"/>
  <c r="M138" i="20"/>
  <c r="L138" i="20"/>
  <c r="K138" i="20"/>
  <c r="J138" i="20"/>
  <c r="I138" i="20"/>
  <c r="H138" i="20"/>
  <c r="G138" i="20"/>
  <c r="F138" i="20"/>
  <c r="E138" i="20"/>
  <c r="D138" i="20"/>
  <c r="C138" i="20"/>
  <c r="B138" i="20"/>
  <c r="O137" i="20"/>
  <c r="N137" i="20"/>
  <c r="M137" i="20"/>
  <c r="L137" i="20"/>
  <c r="K137" i="20"/>
  <c r="J137" i="20"/>
  <c r="I137" i="20"/>
  <c r="H137" i="20"/>
  <c r="G137" i="20"/>
  <c r="F137" i="20"/>
  <c r="E137" i="20"/>
  <c r="D137" i="20"/>
  <c r="C137" i="20"/>
  <c r="B137" i="20"/>
  <c r="O136" i="20"/>
  <c r="N136" i="20"/>
  <c r="M136" i="20"/>
  <c r="L136" i="20"/>
  <c r="K136" i="20"/>
  <c r="J136" i="20"/>
  <c r="I136" i="20"/>
  <c r="H136" i="20"/>
  <c r="G136" i="20"/>
  <c r="F136" i="20"/>
  <c r="E136" i="20"/>
  <c r="D136" i="20"/>
  <c r="C136" i="20"/>
  <c r="B136" i="20"/>
  <c r="Q135" i="20"/>
  <c r="P135" i="20"/>
  <c r="I135" i="20"/>
  <c r="H135" i="20"/>
  <c r="G135" i="20"/>
  <c r="F135" i="20"/>
  <c r="E135" i="20"/>
  <c r="D135" i="20"/>
  <c r="C135" i="20"/>
  <c r="I134" i="20"/>
  <c r="H134" i="20"/>
  <c r="D134" i="20"/>
  <c r="Q133" i="20"/>
  <c r="P133" i="20"/>
  <c r="I133" i="20"/>
  <c r="H133" i="20"/>
  <c r="G133" i="20"/>
  <c r="F133" i="20"/>
  <c r="E133" i="20"/>
  <c r="D133" i="20"/>
  <c r="C133" i="20"/>
  <c r="I132" i="20"/>
  <c r="H132" i="20"/>
  <c r="D132" i="20"/>
  <c r="Q131" i="20"/>
  <c r="P131" i="20"/>
  <c r="I131" i="20"/>
  <c r="H131" i="20"/>
  <c r="G131" i="20"/>
  <c r="F131" i="20"/>
  <c r="E131" i="20"/>
  <c r="D131" i="20"/>
  <c r="C131" i="20"/>
  <c r="I130" i="20"/>
  <c r="H130" i="20"/>
  <c r="D130" i="20"/>
  <c r="Q129" i="20"/>
  <c r="P129" i="20"/>
  <c r="I129" i="20"/>
  <c r="H129" i="20"/>
  <c r="G129" i="20"/>
  <c r="F129" i="20"/>
  <c r="E129" i="20"/>
  <c r="D129" i="20"/>
  <c r="C129" i="20"/>
  <c r="I128" i="20"/>
  <c r="H128" i="20"/>
  <c r="D128" i="20"/>
  <c r="Q127" i="20"/>
  <c r="P127" i="20"/>
  <c r="I127" i="20"/>
  <c r="H127" i="20"/>
  <c r="G127" i="20"/>
  <c r="F127" i="20"/>
  <c r="E127" i="20"/>
  <c r="D127" i="20"/>
  <c r="C127" i="20"/>
  <c r="Q126" i="20"/>
  <c r="P126" i="20"/>
  <c r="I126" i="20"/>
  <c r="H126" i="20"/>
  <c r="G126" i="20"/>
  <c r="F126" i="20"/>
  <c r="E126" i="20"/>
  <c r="D126" i="20"/>
  <c r="C126" i="20"/>
  <c r="Q125" i="20"/>
  <c r="P125" i="20"/>
  <c r="I125" i="20"/>
  <c r="H125" i="20"/>
  <c r="G125" i="20"/>
  <c r="F125" i="20"/>
  <c r="E125" i="20"/>
  <c r="D125" i="20"/>
  <c r="C125" i="20"/>
  <c r="K124" i="20"/>
  <c r="I124" i="20"/>
  <c r="H124" i="20"/>
  <c r="Q123" i="20"/>
  <c r="P123" i="20"/>
  <c r="I123" i="20"/>
  <c r="H123" i="20"/>
  <c r="G123" i="20"/>
  <c r="F123" i="20"/>
  <c r="E123" i="20"/>
  <c r="D123" i="20"/>
  <c r="C123" i="20"/>
  <c r="Q122" i="20"/>
  <c r="P122" i="20"/>
  <c r="I122" i="20"/>
  <c r="H122" i="20"/>
  <c r="G122" i="20"/>
  <c r="F122" i="20"/>
  <c r="E122" i="20"/>
  <c r="D122" i="20"/>
  <c r="C122" i="20"/>
  <c r="Q121" i="20"/>
  <c r="P121" i="20"/>
  <c r="I121" i="20"/>
  <c r="H121" i="20"/>
  <c r="G121" i="20"/>
  <c r="F121" i="20"/>
  <c r="E121" i="20"/>
  <c r="D121" i="20"/>
  <c r="C121" i="20"/>
  <c r="K120" i="20"/>
  <c r="I120" i="20"/>
  <c r="H120" i="20"/>
  <c r="Q119" i="20"/>
  <c r="P119" i="20"/>
  <c r="O119" i="20"/>
  <c r="N119" i="20"/>
  <c r="M119" i="20"/>
  <c r="L119" i="20"/>
  <c r="K119" i="20"/>
  <c r="J119" i="20"/>
  <c r="I119" i="20"/>
  <c r="H119" i="20"/>
  <c r="G119" i="20"/>
  <c r="F119" i="20"/>
  <c r="E119" i="20"/>
  <c r="D119" i="20"/>
  <c r="C119" i="20"/>
  <c r="B119" i="20"/>
  <c r="Q118" i="20"/>
  <c r="P118" i="20"/>
  <c r="I118" i="20"/>
  <c r="H118" i="20"/>
  <c r="G118" i="20"/>
  <c r="F118" i="20"/>
  <c r="E118" i="20"/>
  <c r="D118" i="20"/>
  <c r="C118" i="20"/>
  <c r="Q117" i="20"/>
  <c r="P117" i="20"/>
  <c r="I117" i="20"/>
  <c r="H117" i="20"/>
  <c r="G117" i="20"/>
  <c r="F117" i="20"/>
  <c r="E117" i="20"/>
  <c r="D117" i="20"/>
  <c r="C117" i="20"/>
  <c r="Q116" i="20"/>
  <c r="P116" i="20"/>
  <c r="I116" i="20"/>
  <c r="H116" i="20"/>
  <c r="G116" i="20"/>
  <c r="F116" i="20"/>
  <c r="E116" i="20"/>
  <c r="D116" i="20"/>
  <c r="C116" i="20"/>
  <c r="I115" i="20"/>
  <c r="Q114" i="20"/>
  <c r="P114" i="20"/>
  <c r="I114" i="20"/>
  <c r="H114" i="20"/>
  <c r="G114" i="20"/>
  <c r="F114" i="20"/>
  <c r="E114" i="20"/>
  <c r="D114" i="20"/>
  <c r="C114" i="20"/>
  <c r="Q113" i="20"/>
  <c r="P113" i="20"/>
  <c r="I113" i="20"/>
  <c r="H113" i="20"/>
  <c r="G113" i="20"/>
  <c r="F113" i="20"/>
  <c r="E113" i="20"/>
  <c r="D113" i="20"/>
  <c r="C113" i="20"/>
  <c r="Q112" i="20"/>
  <c r="P112" i="20"/>
  <c r="I112" i="20"/>
  <c r="H112" i="20"/>
  <c r="G112" i="20"/>
  <c r="F112" i="20"/>
  <c r="E112" i="20"/>
  <c r="D112" i="20"/>
  <c r="C112" i="20"/>
  <c r="I111" i="20"/>
  <c r="Q110" i="20"/>
  <c r="P110" i="20"/>
  <c r="I110" i="20"/>
  <c r="H110" i="20"/>
  <c r="G110" i="20"/>
  <c r="F110" i="20"/>
  <c r="E110" i="20"/>
  <c r="D110" i="20"/>
  <c r="C110" i="20"/>
  <c r="Q109" i="20"/>
  <c r="P109" i="20"/>
  <c r="I109" i="20"/>
  <c r="H109" i="20"/>
  <c r="G109" i="20"/>
  <c r="F109" i="20"/>
  <c r="E109" i="20"/>
  <c r="D109" i="20"/>
  <c r="C109" i="20"/>
  <c r="Q108" i="20"/>
  <c r="P108" i="20"/>
  <c r="I108" i="20"/>
  <c r="H108" i="20"/>
  <c r="G108" i="20"/>
  <c r="F108" i="20"/>
  <c r="E108" i="20"/>
  <c r="D108" i="20"/>
  <c r="C108" i="20"/>
  <c r="I107" i="20"/>
  <c r="Q106" i="20"/>
  <c r="P106" i="20"/>
  <c r="I106" i="20"/>
  <c r="H106" i="20"/>
  <c r="G106" i="20"/>
  <c r="F106" i="20"/>
  <c r="E106" i="20"/>
  <c r="D106" i="20"/>
  <c r="C106" i="20"/>
  <c r="Q105" i="20"/>
  <c r="P105" i="20"/>
  <c r="I105" i="20"/>
  <c r="H105" i="20"/>
  <c r="G105" i="20"/>
  <c r="F105" i="20"/>
  <c r="E105" i="20"/>
  <c r="D105" i="20"/>
  <c r="C105" i="20"/>
  <c r="Q104" i="20"/>
  <c r="P104" i="20"/>
  <c r="I104" i="20"/>
  <c r="H104" i="20"/>
  <c r="G104" i="20"/>
  <c r="F104" i="20"/>
  <c r="D104" i="20"/>
  <c r="C104" i="20"/>
  <c r="I103" i="20"/>
  <c r="Q102" i="20"/>
  <c r="P102" i="20"/>
  <c r="O102" i="20"/>
  <c r="N102" i="20"/>
  <c r="M102" i="20"/>
  <c r="L102" i="20"/>
  <c r="K102" i="20"/>
  <c r="J102" i="20"/>
  <c r="I102" i="20"/>
  <c r="H102" i="20"/>
  <c r="G102" i="20"/>
  <c r="F102" i="20"/>
  <c r="E102" i="20"/>
  <c r="D102" i="20"/>
  <c r="C102" i="20"/>
  <c r="B102" i="20"/>
  <c r="Q101" i="20"/>
  <c r="P101" i="20"/>
  <c r="I101" i="20"/>
  <c r="H101" i="20"/>
  <c r="G101" i="20"/>
  <c r="F101" i="20"/>
  <c r="E101" i="20"/>
  <c r="D101" i="20"/>
  <c r="C101" i="20"/>
  <c r="Q100" i="20"/>
  <c r="P100" i="20"/>
  <c r="I100" i="20"/>
  <c r="H100" i="20"/>
  <c r="G100" i="20"/>
  <c r="F100" i="20"/>
  <c r="E100" i="20"/>
  <c r="D100" i="20"/>
  <c r="C100" i="20"/>
  <c r="I99" i="20"/>
  <c r="H99" i="20"/>
  <c r="D99" i="20"/>
  <c r="I98" i="20"/>
  <c r="H98" i="20"/>
  <c r="D98" i="20"/>
  <c r="Q97" i="20"/>
  <c r="P97" i="20"/>
  <c r="I97" i="20"/>
  <c r="H97" i="20"/>
  <c r="G97" i="20"/>
  <c r="F97" i="20"/>
  <c r="E97" i="20"/>
  <c r="D97" i="20"/>
  <c r="C97" i="20"/>
  <c r="I96" i="20"/>
  <c r="H96" i="20"/>
  <c r="Q95" i="20"/>
  <c r="P95" i="20"/>
  <c r="O95" i="20"/>
  <c r="N95" i="20"/>
  <c r="M95" i="20"/>
  <c r="I95" i="20"/>
  <c r="H95" i="20"/>
  <c r="G95" i="20"/>
  <c r="F95" i="20"/>
  <c r="E95" i="20"/>
  <c r="D95" i="20"/>
  <c r="C95" i="20"/>
  <c r="Q94" i="20"/>
  <c r="P94" i="20"/>
  <c r="I94" i="20"/>
  <c r="H94" i="20"/>
  <c r="G94" i="20"/>
  <c r="F94" i="20"/>
  <c r="E94" i="20"/>
  <c r="D94" i="20"/>
  <c r="C94" i="20"/>
  <c r="I93" i="20"/>
  <c r="H93" i="20"/>
  <c r="Q92" i="20"/>
  <c r="P92" i="20"/>
  <c r="O92" i="20"/>
  <c r="N92" i="20"/>
  <c r="M92" i="20"/>
  <c r="I92" i="20"/>
  <c r="H92" i="20"/>
  <c r="G92" i="20"/>
  <c r="F92" i="20"/>
  <c r="E92" i="20"/>
  <c r="D92" i="20"/>
  <c r="C92" i="20"/>
  <c r="Q91" i="20"/>
  <c r="P91" i="20"/>
  <c r="I91" i="20"/>
  <c r="H91" i="20"/>
  <c r="G91" i="20"/>
  <c r="F91" i="20"/>
  <c r="E91" i="20"/>
  <c r="D91" i="20"/>
  <c r="C91" i="20"/>
  <c r="I90" i="20"/>
  <c r="H90" i="20"/>
  <c r="Q89" i="20"/>
  <c r="P89" i="20"/>
  <c r="O89" i="20"/>
  <c r="N89" i="20"/>
  <c r="M89" i="20"/>
  <c r="L89" i="20"/>
  <c r="K89" i="20"/>
  <c r="J89" i="20"/>
  <c r="I89" i="20"/>
  <c r="H89" i="20"/>
  <c r="G89" i="20"/>
  <c r="F89" i="20"/>
  <c r="E89" i="20"/>
  <c r="D89" i="20"/>
  <c r="C89" i="20"/>
  <c r="B89" i="20"/>
  <c r="Q88" i="20"/>
  <c r="P88" i="20"/>
  <c r="I88" i="20"/>
  <c r="H88" i="20"/>
  <c r="G88" i="20"/>
  <c r="F88" i="20"/>
  <c r="E88" i="20"/>
  <c r="D88" i="20"/>
  <c r="C88" i="20"/>
  <c r="Q87" i="20"/>
  <c r="P87" i="20"/>
  <c r="I87" i="20"/>
  <c r="H87" i="20"/>
  <c r="G87" i="20"/>
  <c r="F87" i="20"/>
  <c r="E87" i="20"/>
  <c r="D87" i="20"/>
  <c r="C87" i="20"/>
  <c r="Q86" i="20"/>
  <c r="P86" i="20"/>
  <c r="I86" i="20"/>
  <c r="H86" i="20"/>
  <c r="G86" i="20"/>
  <c r="F86" i="20"/>
  <c r="E86" i="20"/>
  <c r="D86" i="20"/>
  <c r="C86" i="20"/>
  <c r="I85" i="20"/>
  <c r="H85" i="20"/>
  <c r="Q84" i="20"/>
  <c r="P84" i="20"/>
  <c r="I84" i="20"/>
  <c r="H84" i="20"/>
  <c r="G84" i="20"/>
  <c r="F84" i="20"/>
  <c r="E84" i="20"/>
  <c r="D84" i="20"/>
  <c r="C84" i="20"/>
  <c r="Q83" i="20"/>
  <c r="P83" i="20"/>
  <c r="I83" i="20"/>
  <c r="H83" i="20"/>
  <c r="G83" i="20"/>
  <c r="F83" i="20"/>
  <c r="E83" i="20"/>
  <c r="D83" i="20"/>
  <c r="C83" i="20"/>
  <c r="Q82" i="20"/>
  <c r="P82" i="20"/>
  <c r="I82" i="20"/>
  <c r="H82" i="20"/>
  <c r="G82" i="20"/>
  <c r="F82" i="20"/>
  <c r="E82" i="20"/>
  <c r="D82" i="20"/>
  <c r="C82" i="20"/>
  <c r="I81" i="20"/>
  <c r="H81" i="20"/>
  <c r="Q80" i="20"/>
  <c r="P80" i="20"/>
  <c r="I80" i="20"/>
  <c r="H80" i="20"/>
  <c r="G80" i="20"/>
  <c r="F80" i="20"/>
  <c r="E80" i="20"/>
  <c r="D80" i="20"/>
  <c r="C80" i="20"/>
  <c r="Q79" i="20"/>
  <c r="P79" i="20"/>
  <c r="I79" i="20"/>
  <c r="H79" i="20"/>
  <c r="G79" i="20"/>
  <c r="F79" i="20"/>
  <c r="E79" i="20"/>
  <c r="D79" i="20"/>
  <c r="C79" i="20"/>
  <c r="Q78" i="20"/>
  <c r="P78" i="20"/>
  <c r="I78" i="20"/>
  <c r="H78" i="20"/>
  <c r="G78" i="20"/>
  <c r="F78" i="20"/>
  <c r="E78" i="20"/>
  <c r="D78" i="20"/>
  <c r="C78" i="20"/>
  <c r="I77" i="20"/>
  <c r="H77" i="20"/>
  <c r="Q76" i="20"/>
  <c r="P76" i="20"/>
  <c r="I76" i="20"/>
  <c r="H76" i="20"/>
  <c r="G76" i="20"/>
  <c r="F76" i="20"/>
  <c r="E76" i="20"/>
  <c r="D76" i="20"/>
  <c r="C76" i="20"/>
  <c r="Q75" i="20"/>
  <c r="P75" i="20"/>
  <c r="I75" i="20"/>
  <c r="H75" i="20"/>
  <c r="G75" i="20"/>
  <c r="F75" i="20"/>
  <c r="E75" i="20"/>
  <c r="D75" i="20"/>
  <c r="C75" i="20"/>
  <c r="Q74" i="20"/>
  <c r="P74" i="20"/>
  <c r="I74" i="20"/>
  <c r="H74" i="20"/>
  <c r="G74" i="20"/>
  <c r="F74" i="20"/>
  <c r="E74" i="20"/>
  <c r="D74" i="20"/>
  <c r="C74" i="20"/>
  <c r="I73" i="20"/>
  <c r="H73" i="20"/>
  <c r="A73" i="20"/>
  <c r="Q72" i="20"/>
  <c r="P72" i="20"/>
  <c r="I72" i="20"/>
  <c r="H72" i="20"/>
  <c r="G72" i="20"/>
  <c r="F72" i="20"/>
  <c r="E72" i="20"/>
  <c r="D72" i="20"/>
  <c r="C72" i="20"/>
  <c r="Q71" i="20"/>
  <c r="P71" i="20"/>
  <c r="I71" i="20"/>
  <c r="H71" i="20"/>
  <c r="G71" i="20"/>
  <c r="F71" i="20"/>
  <c r="E71" i="20"/>
  <c r="D71" i="20"/>
  <c r="C71" i="20"/>
  <c r="Q70" i="20"/>
  <c r="P70" i="20"/>
  <c r="I70" i="20"/>
  <c r="H70" i="20"/>
  <c r="G70" i="20"/>
  <c r="F70" i="20"/>
  <c r="E70" i="20"/>
  <c r="D70" i="20"/>
  <c r="C70" i="20"/>
  <c r="I69" i="20"/>
  <c r="H69" i="20"/>
  <c r="Q68" i="20"/>
  <c r="P68" i="20"/>
  <c r="I68" i="20"/>
  <c r="H68" i="20"/>
  <c r="G68" i="20"/>
  <c r="F68" i="20"/>
  <c r="E68" i="20"/>
  <c r="D68" i="20"/>
  <c r="C68" i="20"/>
  <c r="Q67" i="20"/>
  <c r="P67" i="20"/>
  <c r="I67" i="20"/>
  <c r="H67" i="20"/>
  <c r="G67" i="20"/>
  <c r="F67" i="20"/>
  <c r="E67" i="20"/>
  <c r="D67" i="20"/>
  <c r="C67" i="20"/>
  <c r="Q66" i="20"/>
  <c r="P66" i="20"/>
  <c r="I66" i="20"/>
  <c r="H66" i="20"/>
  <c r="G66" i="20"/>
  <c r="F66" i="20"/>
  <c r="E66" i="20"/>
  <c r="D66" i="20"/>
  <c r="C66" i="20"/>
  <c r="I65" i="20"/>
  <c r="H65" i="20"/>
  <c r="Q64" i="20"/>
  <c r="P64" i="20"/>
  <c r="I64" i="20"/>
  <c r="H64" i="20"/>
  <c r="G64" i="20"/>
  <c r="F64" i="20"/>
  <c r="E64" i="20"/>
  <c r="D64" i="20"/>
  <c r="C64" i="20"/>
  <c r="Q63" i="20"/>
  <c r="P63" i="20"/>
  <c r="I63" i="20"/>
  <c r="H63" i="20"/>
  <c r="G63" i="20"/>
  <c r="F63" i="20"/>
  <c r="E63" i="20"/>
  <c r="D63" i="20"/>
  <c r="C63" i="20"/>
  <c r="Q62" i="20"/>
  <c r="P62" i="20"/>
  <c r="I62" i="20"/>
  <c r="H62" i="20"/>
  <c r="G62" i="20"/>
  <c r="F62" i="20"/>
  <c r="E62" i="20"/>
  <c r="D62" i="20"/>
  <c r="C62" i="20"/>
  <c r="I61" i="20"/>
  <c r="H61" i="20"/>
  <c r="Q60" i="20"/>
  <c r="P60" i="20"/>
  <c r="I60" i="20"/>
  <c r="H60" i="20"/>
  <c r="G60" i="20"/>
  <c r="F60" i="20"/>
  <c r="E60" i="20"/>
  <c r="D60" i="20"/>
  <c r="C60" i="20"/>
  <c r="Q59" i="20"/>
  <c r="P59" i="20"/>
  <c r="I59" i="20"/>
  <c r="H59" i="20"/>
  <c r="G59" i="20"/>
  <c r="F59" i="20"/>
  <c r="E59" i="20"/>
  <c r="D59" i="20"/>
  <c r="C59" i="20"/>
  <c r="Q58" i="20"/>
  <c r="P58" i="20"/>
  <c r="I58" i="20"/>
  <c r="H58" i="20"/>
  <c r="G58" i="20"/>
  <c r="F58" i="20"/>
  <c r="E58" i="20"/>
  <c r="D58" i="20"/>
  <c r="C58" i="20"/>
  <c r="I57" i="20"/>
  <c r="H57" i="20"/>
  <c r="A57" i="20"/>
  <c r="Q56" i="20"/>
  <c r="P56" i="20"/>
  <c r="I56" i="20"/>
  <c r="H56" i="20"/>
  <c r="G56" i="20"/>
  <c r="F56" i="20"/>
  <c r="E56" i="20"/>
  <c r="D56" i="20"/>
  <c r="C56" i="20"/>
  <c r="Q55" i="20"/>
  <c r="P55" i="20"/>
  <c r="I55" i="20"/>
  <c r="H55" i="20"/>
  <c r="G55" i="20"/>
  <c r="F55" i="20"/>
  <c r="E55" i="20"/>
  <c r="D55" i="20"/>
  <c r="C55" i="20"/>
  <c r="Q54" i="20"/>
  <c r="P54" i="20"/>
  <c r="I54" i="20"/>
  <c r="H54" i="20"/>
  <c r="G54" i="20"/>
  <c r="F54" i="20"/>
  <c r="E54" i="20"/>
  <c r="C54" i="20"/>
  <c r="I53" i="20"/>
  <c r="H53" i="20"/>
  <c r="Q52" i="20"/>
  <c r="P52" i="20"/>
  <c r="I52" i="20"/>
  <c r="H52" i="20"/>
  <c r="G52" i="20"/>
  <c r="F52" i="20"/>
  <c r="E52" i="20"/>
  <c r="D52" i="20"/>
  <c r="C52" i="20"/>
  <c r="Q51" i="20"/>
  <c r="P51" i="20"/>
  <c r="I51" i="20"/>
  <c r="H51" i="20"/>
  <c r="G51" i="20"/>
  <c r="F51" i="20"/>
  <c r="E51" i="20"/>
  <c r="D51" i="20"/>
  <c r="C51" i="20"/>
  <c r="Q50" i="20"/>
  <c r="P50" i="20"/>
  <c r="I50" i="20"/>
  <c r="H50" i="20"/>
  <c r="G50" i="20"/>
  <c r="F50" i="20"/>
  <c r="E50" i="20"/>
  <c r="D50" i="20"/>
  <c r="C50" i="20"/>
  <c r="I49" i="20"/>
  <c r="H49" i="20"/>
  <c r="Q48" i="20"/>
  <c r="P48" i="20"/>
  <c r="I48" i="20"/>
  <c r="H48" i="20"/>
  <c r="G48" i="20"/>
  <c r="F48" i="20"/>
  <c r="E48" i="20"/>
  <c r="D48" i="20"/>
  <c r="C48" i="20"/>
  <c r="Q47" i="20"/>
  <c r="P47" i="20"/>
  <c r="I47" i="20"/>
  <c r="H47" i="20"/>
  <c r="G47" i="20"/>
  <c r="F47" i="20"/>
  <c r="E47" i="20"/>
  <c r="D47" i="20"/>
  <c r="C47" i="20"/>
  <c r="Q46" i="20"/>
  <c r="P46" i="20"/>
  <c r="I46" i="20"/>
  <c r="H46" i="20"/>
  <c r="G46" i="20"/>
  <c r="F46" i="20"/>
  <c r="E46" i="20"/>
  <c r="D46" i="20"/>
  <c r="C46" i="20"/>
  <c r="I45" i="20"/>
  <c r="H45" i="20"/>
  <c r="Q44" i="20"/>
  <c r="P44" i="20"/>
  <c r="I44" i="20"/>
  <c r="H44" i="20"/>
  <c r="G44" i="20"/>
  <c r="F44" i="20"/>
  <c r="E44" i="20"/>
  <c r="D44" i="20"/>
  <c r="C44" i="20"/>
  <c r="Q43" i="20"/>
  <c r="P43" i="20"/>
  <c r="I43" i="20"/>
  <c r="H43" i="20"/>
  <c r="G43" i="20"/>
  <c r="F43" i="20"/>
  <c r="E43" i="20"/>
  <c r="D43" i="20"/>
  <c r="C43" i="20"/>
  <c r="Q42" i="20"/>
  <c r="P42" i="20"/>
  <c r="I42" i="20"/>
  <c r="H42" i="20"/>
  <c r="G42" i="20"/>
  <c r="F42" i="20"/>
  <c r="E42" i="20"/>
  <c r="D42" i="20"/>
  <c r="C42" i="20"/>
  <c r="I41" i="20"/>
  <c r="H41" i="20"/>
  <c r="Q40" i="20"/>
  <c r="P40" i="20"/>
  <c r="I40" i="20"/>
  <c r="H40" i="20"/>
  <c r="G40" i="20"/>
  <c r="F40" i="20"/>
  <c r="E40" i="20"/>
  <c r="D40" i="20"/>
  <c r="C40" i="20"/>
  <c r="Q39" i="20"/>
  <c r="P39" i="20"/>
  <c r="I39" i="20"/>
  <c r="H39" i="20"/>
  <c r="G39" i="20"/>
  <c r="F39" i="20"/>
  <c r="E39" i="20"/>
  <c r="D39" i="20"/>
  <c r="C39" i="20"/>
  <c r="Q38" i="20"/>
  <c r="P38" i="20"/>
  <c r="I38" i="20"/>
  <c r="H38" i="20"/>
  <c r="G38" i="20"/>
  <c r="F38" i="20"/>
  <c r="E38" i="20"/>
  <c r="D38" i="20"/>
  <c r="C38" i="20"/>
  <c r="I37" i="20"/>
  <c r="H37" i="20"/>
  <c r="Q36" i="20"/>
  <c r="P36" i="20"/>
  <c r="I36" i="20"/>
  <c r="H36" i="20"/>
  <c r="G36" i="20"/>
  <c r="F36" i="20"/>
  <c r="E36" i="20"/>
  <c r="D36" i="20"/>
  <c r="C36" i="20"/>
  <c r="Q35" i="20"/>
  <c r="P35" i="20"/>
  <c r="I35" i="20"/>
  <c r="H35" i="20"/>
  <c r="G35" i="20"/>
  <c r="F35" i="20"/>
  <c r="E35" i="20"/>
  <c r="D35" i="20"/>
  <c r="C35" i="20"/>
  <c r="Q34" i="20"/>
  <c r="P34" i="20"/>
  <c r="I34" i="20"/>
  <c r="H34" i="20"/>
  <c r="G34" i="20"/>
  <c r="F34" i="20"/>
  <c r="E34" i="20"/>
  <c r="D34" i="20"/>
  <c r="C34" i="20"/>
  <c r="I33" i="20"/>
  <c r="H33" i="20"/>
  <c r="Q32" i="20"/>
  <c r="P32" i="20"/>
  <c r="I32" i="20"/>
  <c r="H32" i="20"/>
  <c r="G32" i="20"/>
  <c r="F32" i="20"/>
  <c r="E32" i="20"/>
  <c r="D32" i="20"/>
  <c r="C32" i="20"/>
  <c r="Q31" i="20"/>
  <c r="P31" i="20"/>
  <c r="I31" i="20"/>
  <c r="H31" i="20"/>
  <c r="G31" i="20"/>
  <c r="F31" i="20"/>
  <c r="E31" i="20"/>
  <c r="D31" i="20"/>
  <c r="C31" i="20"/>
  <c r="Q30" i="20"/>
  <c r="P30" i="20"/>
  <c r="I30" i="20"/>
  <c r="H30" i="20"/>
  <c r="G30" i="20"/>
  <c r="F30" i="20"/>
  <c r="E30" i="20"/>
  <c r="D30" i="20"/>
  <c r="C30" i="20"/>
  <c r="I29" i="20"/>
  <c r="H29" i="20"/>
  <c r="Q28" i="20"/>
  <c r="P28" i="20"/>
  <c r="I28" i="20"/>
  <c r="H28" i="20"/>
  <c r="G28" i="20"/>
  <c r="F28" i="20"/>
  <c r="E28" i="20"/>
  <c r="D28" i="20"/>
  <c r="C28" i="20"/>
  <c r="Q27" i="20"/>
  <c r="P27" i="20"/>
  <c r="I27" i="20"/>
  <c r="H27" i="20"/>
  <c r="G27" i="20"/>
  <c r="F27" i="20"/>
  <c r="E27" i="20"/>
  <c r="D27" i="20"/>
  <c r="C27" i="20"/>
  <c r="Q26" i="20"/>
  <c r="P26" i="20"/>
  <c r="I26" i="20"/>
  <c r="H26" i="20"/>
  <c r="G26" i="20"/>
  <c r="F26" i="20"/>
  <c r="E26" i="20"/>
  <c r="D26" i="20"/>
  <c r="C26" i="20"/>
  <c r="J25" i="20"/>
  <c r="I25" i="20"/>
  <c r="H25" i="20"/>
  <c r="E59" i="60" l="1"/>
  <c r="D59" i="60"/>
  <c r="C59" i="60"/>
  <c r="B59" i="60"/>
  <c r="B624" i="50" l="1"/>
  <c r="B625" i="50"/>
  <c r="B626" i="50"/>
  <c r="B628" i="50"/>
  <c r="B629" i="50"/>
  <c r="B630" i="50"/>
  <c r="E62" i="60"/>
  <c r="E61" i="60"/>
  <c r="Q8" i="38"/>
  <c r="E511" i="50"/>
  <c r="X7" i="60" l="1"/>
  <c r="X7" i="80"/>
  <c r="D441" i="50"/>
  <c r="D442" i="50"/>
  <c r="AF191" i="80" l="1"/>
  <c r="AD191" i="80"/>
  <c r="AB191" i="80"/>
  <c r="Z191" i="80"/>
  <c r="AF91" i="80"/>
  <c r="AF189" i="80" s="1"/>
  <c r="AE91" i="80"/>
  <c r="AE189" i="80" s="1"/>
  <c r="AD91" i="80"/>
  <c r="AD189" i="80" s="1"/>
  <c r="AC91" i="80"/>
  <c r="AC189" i="80" s="1"/>
  <c r="AB91" i="80"/>
  <c r="AB189" i="80" s="1"/>
  <c r="AA91" i="80"/>
  <c r="AA189" i="80" s="1"/>
  <c r="Z91" i="80"/>
  <c r="Z189" i="80" s="1"/>
  <c r="D622" i="50" l="1"/>
  <c r="B623" i="50"/>
  <c r="X108" i="53"/>
  <c r="X107" i="53"/>
  <c r="X106" i="53"/>
  <c r="X105" i="53"/>
  <c r="X104" i="53"/>
  <c r="X103" i="53"/>
  <c r="B107" i="24" l="1"/>
  <c r="B106" i="24"/>
  <c r="B105" i="24"/>
  <c r="B104" i="24"/>
  <c r="B103" i="24"/>
  <c r="B102" i="24"/>
  <c r="B101" i="24"/>
  <c r="B100" i="24"/>
  <c r="B99" i="24"/>
  <c r="B98" i="24"/>
  <c r="B97" i="24"/>
  <c r="B96" i="24"/>
  <c r="B95" i="24"/>
  <c r="B94" i="24"/>
  <c r="B93" i="24"/>
  <c r="B92" i="24"/>
  <c r="L91" i="24"/>
  <c r="K91" i="24"/>
  <c r="J91" i="24"/>
  <c r="I91" i="24"/>
  <c r="H91" i="24"/>
  <c r="G91" i="24"/>
  <c r="F91" i="24"/>
  <c r="E91" i="24"/>
  <c r="D91" i="24"/>
  <c r="C91" i="24"/>
  <c r="B89" i="24" l="1"/>
  <c r="B88" i="24"/>
  <c r="B87" i="24"/>
  <c r="B86" i="24"/>
  <c r="B85" i="24"/>
  <c r="B84" i="24"/>
  <c r="B83" i="24"/>
  <c r="B82" i="24"/>
  <c r="B81" i="24"/>
  <c r="B80" i="24"/>
  <c r="B79" i="24"/>
  <c r="B78" i="24"/>
  <c r="B77" i="24"/>
  <c r="B76" i="24"/>
  <c r="B75" i="24"/>
  <c r="B74" i="24"/>
  <c r="L73" i="24"/>
  <c r="K73" i="24"/>
  <c r="J73" i="24"/>
  <c r="I73" i="24"/>
  <c r="H73" i="24"/>
  <c r="G73" i="24"/>
  <c r="F73" i="24"/>
  <c r="E73" i="24"/>
  <c r="D73" i="24"/>
  <c r="C73" i="24"/>
  <c r="C38" i="5" l="1"/>
  <c r="K16" i="80" l="1"/>
  <c r="F76" i="2" l="1"/>
  <c r="F23" i="2"/>
  <c r="AG202" i="80" l="1"/>
  <c r="AG206" i="80" s="1"/>
  <c r="AG200" i="80"/>
  <c r="AB82" i="80"/>
  <c r="Q82" i="80"/>
  <c r="I82" i="80"/>
  <c r="H22" i="32"/>
  <c r="H21" i="32"/>
  <c r="AG204" i="80" l="1"/>
  <c r="AG199" i="80"/>
  <c r="AG203" i="80"/>
  <c r="AG205" i="80"/>
  <c r="Z31" i="60" l="1"/>
  <c r="Y31" i="60"/>
  <c r="C31" i="60"/>
  <c r="B31" i="60"/>
  <c r="Z31" i="59"/>
  <c r="Y31" i="59"/>
  <c r="C31" i="59"/>
  <c r="B31" i="59"/>
  <c r="Z19" i="60"/>
  <c r="Y19" i="60"/>
  <c r="C19" i="60"/>
  <c r="B19" i="60"/>
  <c r="Z19" i="59"/>
  <c r="Y19" i="59"/>
  <c r="C19" i="59"/>
  <c r="B19" i="59"/>
  <c r="Z31" i="80" l="1"/>
  <c r="Y31" i="80"/>
  <c r="C31" i="80"/>
  <c r="B31" i="80"/>
  <c r="Z19" i="80"/>
  <c r="Y19" i="80"/>
  <c r="C19" i="80"/>
  <c r="B19" i="80"/>
  <c r="C6" i="80"/>
  <c r="D6" i="80"/>
  <c r="I6" i="80"/>
  <c r="Z31" i="79"/>
  <c r="Y31" i="79"/>
  <c r="C31" i="79"/>
  <c r="B31" i="79"/>
  <c r="Z19" i="79"/>
  <c r="Y19" i="79"/>
  <c r="C19" i="79"/>
  <c r="B19" i="79"/>
  <c r="AJ200" i="80" l="1"/>
  <c r="AI200" i="80"/>
  <c r="AH200" i="80"/>
  <c r="AF200" i="80"/>
  <c r="AE200" i="80"/>
  <c r="AD200" i="80"/>
  <c r="AC200" i="80"/>
  <c r="AJ52" i="80" l="1"/>
  <c r="AJ170" i="80" s="1"/>
  <c r="AI52" i="80"/>
  <c r="AI170" i="80" s="1"/>
  <c r="AH52" i="80"/>
  <c r="AH170" i="80" s="1"/>
  <c r="AG52" i="80"/>
  <c r="AG170" i="80" s="1"/>
  <c r="AF52" i="80"/>
  <c r="AE52" i="80"/>
  <c r="AD52" i="80"/>
  <c r="AC52" i="80"/>
  <c r="AJ91" i="80"/>
  <c r="AJ189" i="80" s="1"/>
  <c r="AI91" i="80"/>
  <c r="AI189" i="80" s="1"/>
  <c r="AH91" i="80"/>
  <c r="AH189" i="80" s="1"/>
  <c r="AG91" i="80"/>
  <c r="AG189" i="80" s="1"/>
  <c r="Y91" i="80"/>
  <c r="Q27" i="38" l="1"/>
  <c r="AI12" i="59"/>
  <c r="AH12" i="59"/>
  <c r="AE12" i="59"/>
  <c r="B18" i="60"/>
  <c r="B30" i="60"/>
  <c r="AE21" i="60"/>
  <c r="AD21" i="60"/>
  <c r="AD20" i="60"/>
  <c r="AE21" i="59"/>
  <c r="AD21" i="59"/>
  <c r="AD20" i="59"/>
  <c r="AE21" i="79"/>
  <c r="AD21" i="79"/>
  <c r="AD20" i="79"/>
  <c r="AI12" i="60"/>
  <c r="AH12" i="60"/>
  <c r="AE12" i="60"/>
  <c r="AI12" i="80"/>
  <c r="AH12" i="80"/>
  <c r="AE12" i="80"/>
  <c r="B18" i="80"/>
  <c r="AD20" i="80"/>
  <c r="AD21" i="80"/>
  <c r="AE21" i="80"/>
  <c r="B18" i="59"/>
  <c r="B30" i="59"/>
  <c r="AI12" i="79"/>
  <c r="AH12" i="79"/>
  <c r="AE12" i="79"/>
  <c r="E15" i="7" l="1"/>
  <c r="F15" i="7" s="1"/>
  <c r="L71" i="28" l="1"/>
  <c r="K71" i="28"/>
  <c r="J71" i="28"/>
  <c r="I71" i="28"/>
  <c r="H71" i="28"/>
  <c r="G71" i="28"/>
  <c r="F71" i="28"/>
  <c r="E71" i="28"/>
  <c r="D71" i="28"/>
  <c r="C71" i="28"/>
  <c r="L70" i="28"/>
  <c r="K70" i="28"/>
  <c r="J70" i="28"/>
  <c r="I70" i="28"/>
  <c r="H70" i="28"/>
  <c r="G70" i="28"/>
  <c r="F70" i="28"/>
  <c r="E70" i="28"/>
  <c r="D70" i="28"/>
  <c r="C70" i="28"/>
  <c r="L69" i="28"/>
  <c r="K69" i="28"/>
  <c r="J69" i="28"/>
  <c r="I69" i="28"/>
  <c r="H69" i="28"/>
  <c r="G69" i="28"/>
  <c r="F69" i="28"/>
  <c r="E69" i="28"/>
  <c r="D69" i="28"/>
  <c r="C69" i="28"/>
  <c r="L68" i="28"/>
  <c r="K68" i="28"/>
  <c r="J68" i="28"/>
  <c r="I68" i="28"/>
  <c r="H68" i="28"/>
  <c r="G68" i="28"/>
  <c r="F68" i="28"/>
  <c r="E68" i="28"/>
  <c r="D68" i="28"/>
  <c r="C68" i="28"/>
  <c r="L67" i="28"/>
  <c r="K67" i="28"/>
  <c r="J67" i="28"/>
  <c r="I67" i="28"/>
  <c r="H67" i="28"/>
  <c r="G67" i="28"/>
  <c r="F67" i="28"/>
  <c r="E67" i="28"/>
  <c r="D67" i="28"/>
  <c r="C67" i="28"/>
  <c r="L66" i="28"/>
  <c r="K66" i="28"/>
  <c r="J66" i="28"/>
  <c r="I66" i="28"/>
  <c r="H66" i="28"/>
  <c r="G66" i="28"/>
  <c r="F66" i="28"/>
  <c r="E66" i="28"/>
  <c r="D66" i="28"/>
  <c r="C66" i="28"/>
  <c r="L65" i="28"/>
  <c r="K65" i="28"/>
  <c r="J65" i="28"/>
  <c r="I65" i="28"/>
  <c r="H65" i="28"/>
  <c r="G65" i="28"/>
  <c r="F65" i="28"/>
  <c r="E65" i="28"/>
  <c r="D65" i="28"/>
  <c r="C65" i="28"/>
  <c r="L64" i="28"/>
  <c r="K64" i="28"/>
  <c r="J64" i="28"/>
  <c r="I64" i="28"/>
  <c r="H64" i="28"/>
  <c r="G64" i="28"/>
  <c r="F64" i="28"/>
  <c r="E64" i="28"/>
  <c r="D64" i="28"/>
  <c r="C64" i="28"/>
  <c r="L63" i="28"/>
  <c r="K63" i="28"/>
  <c r="J63" i="28"/>
  <c r="I63" i="28"/>
  <c r="H63" i="28"/>
  <c r="G63" i="28"/>
  <c r="F63" i="28"/>
  <c r="E63" i="28"/>
  <c r="D63" i="28"/>
  <c r="C63" i="28"/>
  <c r="L62" i="28"/>
  <c r="K62" i="28"/>
  <c r="J62" i="28"/>
  <c r="I62" i="28"/>
  <c r="H62" i="28"/>
  <c r="G62" i="28"/>
  <c r="F62" i="28"/>
  <c r="E62" i="28"/>
  <c r="D62" i="28"/>
  <c r="C62" i="28"/>
  <c r="L61" i="28"/>
  <c r="K61" i="28"/>
  <c r="J61" i="28"/>
  <c r="I61" i="28"/>
  <c r="H61" i="28"/>
  <c r="G61" i="28"/>
  <c r="F61" i="28"/>
  <c r="E61" i="28"/>
  <c r="D61" i="28"/>
  <c r="C61" i="28"/>
  <c r="L60" i="28"/>
  <c r="K60" i="28"/>
  <c r="J60" i="28"/>
  <c r="I60" i="28"/>
  <c r="H60" i="28"/>
  <c r="G60" i="28"/>
  <c r="F60" i="28"/>
  <c r="E60" i="28"/>
  <c r="D60" i="28"/>
  <c r="C60" i="28"/>
  <c r="L59" i="28"/>
  <c r="K59" i="28"/>
  <c r="J59" i="28"/>
  <c r="I59" i="28"/>
  <c r="H59" i="28"/>
  <c r="G59" i="28"/>
  <c r="F59" i="28"/>
  <c r="E59" i="28"/>
  <c r="D59" i="28"/>
  <c r="C59" i="28"/>
  <c r="L58" i="28"/>
  <c r="K58" i="28"/>
  <c r="J58" i="28"/>
  <c r="I58" i="28"/>
  <c r="H58" i="28"/>
  <c r="G58" i="28"/>
  <c r="F58" i="28"/>
  <c r="E58" i="28"/>
  <c r="D58" i="28"/>
  <c r="C58" i="28"/>
  <c r="L57" i="28"/>
  <c r="K57" i="28"/>
  <c r="J57" i="28"/>
  <c r="I57" i="28"/>
  <c r="H57" i="28"/>
  <c r="G57" i="28"/>
  <c r="F57" i="28"/>
  <c r="E57" i="28"/>
  <c r="D57" i="28"/>
  <c r="C57" i="28"/>
  <c r="B79" i="79" l="1"/>
  <c r="C38" i="1" l="1"/>
  <c r="Y189" i="80" l="1"/>
  <c r="D59" i="38" l="1"/>
  <c r="Q5" i="79" l="1"/>
  <c r="B37" i="79" l="1"/>
  <c r="B91" i="60" l="1"/>
  <c r="B91" i="59"/>
  <c r="A214" i="80"/>
  <c r="A212" i="80"/>
  <c r="B211" i="80"/>
  <c r="AG15" i="59" l="1"/>
  <c r="AE15" i="59"/>
  <c r="AG14" i="59"/>
  <c r="AE14" i="59"/>
  <c r="AG11" i="59"/>
  <c r="AG10" i="59"/>
  <c r="AE10" i="59"/>
  <c r="AG9" i="59"/>
  <c r="AE9" i="59"/>
  <c r="AJ8" i="59"/>
  <c r="AH8" i="59"/>
  <c r="AG8" i="59"/>
  <c r="AE8" i="59"/>
  <c r="AJ7" i="59"/>
  <c r="AH7" i="59"/>
  <c r="AG7" i="59"/>
  <c r="AE7" i="59"/>
  <c r="AG6" i="59"/>
  <c r="AE6" i="59"/>
  <c r="AG15" i="80" l="1"/>
  <c r="AE15" i="80"/>
  <c r="AG14" i="80"/>
  <c r="AE14" i="80"/>
  <c r="AG11" i="80"/>
  <c r="AG10" i="80"/>
  <c r="AE10" i="80"/>
  <c r="AG9" i="80"/>
  <c r="AE9" i="80"/>
  <c r="AJ8" i="80"/>
  <c r="AH8" i="80"/>
  <c r="AG8" i="80"/>
  <c r="AE8" i="80"/>
  <c r="AJ7" i="80"/>
  <c r="AH7" i="80"/>
  <c r="AG7" i="80"/>
  <c r="AE7" i="80"/>
  <c r="AG6" i="80"/>
  <c r="AE6" i="80"/>
  <c r="B43" i="38" l="1"/>
  <c r="C43" i="38" s="1"/>
  <c r="D43" i="38" s="1"/>
  <c r="E43" i="38" s="1"/>
  <c r="F43" i="38" s="1"/>
  <c r="G43" i="38" s="1"/>
  <c r="H43" i="38" s="1"/>
  <c r="I43" i="38" s="1"/>
  <c r="J43" i="38" s="1"/>
  <c r="K43" i="38" s="1"/>
  <c r="AB80" i="79"/>
  <c r="AA80" i="79"/>
  <c r="Z80" i="79"/>
  <c r="Y80" i="79"/>
  <c r="X80" i="79"/>
  <c r="W80" i="79"/>
  <c r="V80" i="79"/>
  <c r="U80" i="79"/>
  <c r="T80" i="79"/>
  <c r="S80" i="79"/>
  <c r="R80" i="79"/>
  <c r="Q80" i="79"/>
  <c r="P80" i="79"/>
  <c r="O80" i="79"/>
  <c r="N80" i="79"/>
  <c r="M80" i="79"/>
  <c r="L80" i="79"/>
  <c r="K80" i="79"/>
  <c r="J80" i="79"/>
  <c r="I80" i="79"/>
  <c r="H80" i="79"/>
  <c r="G80" i="79"/>
  <c r="F80" i="79"/>
  <c r="E80" i="79"/>
  <c r="D80" i="79"/>
  <c r="C80" i="79"/>
  <c r="B80" i="79"/>
  <c r="I52" i="79" l="1"/>
  <c r="J52" i="79"/>
  <c r="AI43" i="79" l="1"/>
  <c r="P43" i="79"/>
  <c r="C118" i="80"/>
  <c r="D118" i="80" s="1"/>
  <c r="E118" i="80" s="1"/>
  <c r="F118" i="80" s="1"/>
  <c r="G118" i="80" s="1"/>
  <c r="H118" i="80" s="1"/>
  <c r="I118" i="80" s="1"/>
  <c r="J118" i="80" s="1"/>
  <c r="K118" i="80" s="1"/>
  <c r="L118" i="80" s="1"/>
  <c r="M118" i="80" s="1"/>
  <c r="N118" i="80" s="1"/>
  <c r="O118" i="80" s="1"/>
  <c r="P118" i="80" s="1"/>
  <c r="Q118" i="80" s="1"/>
  <c r="R118" i="80" s="1"/>
  <c r="S118" i="80" s="1"/>
  <c r="T118" i="80" s="1"/>
  <c r="U118" i="80" s="1"/>
  <c r="V118" i="80" s="1"/>
  <c r="W118" i="80" s="1"/>
  <c r="X118" i="80" s="1"/>
  <c r="Y118" i="80" s="1"/>
  <c r="Z118" i="80" s="1"/>
  <c r="AA118" i="80" s="1"/>
  <c r="AB118" i="80" s="1"/>
  <c r="B109" i="80"/>
  <c r="C109" i="80" s="1"/>
  <c r="D109" i="80" s="1"/>
  <c r="E109" i="80" s="1"/>
  <c r="F109" i="80" s="1"/>
  <c r="G109" i="80" s="1"/>
  <c r="H109" i="80" s="1"/>
  <c r="I109" i="80" s="1"/>
  <c r="J109" i="80" s="1"/>
  <c r="K109" i="80" s="1"/>
  <c r="L109" i="80" s="1"/>
  <c r="M109" i="80" s="1"/>
  <c r="N109" i="80" s="1"/>
  <c r="O109" i="80" s="1"/>
  <c r="P109" i="80" s="1"/>
  <c r="Q109" i="80" s="1"/>
  <c r="R109" i="80" s="1"/>
  <c r="S109" i="80" s="1"/>
  <c r="T109" i="80" s="1"/>
  <c r="U109" i="80" s="1"/>
  <c r="V109" i="80" s="1"/>
  <c r="W109" i="80" s="1"/>
  <c r="X109" i="80" s="1"/>
  <c r="Y109" i="80" s="1"/>
  <c r="Z109" i="80" s="1"/>
  <c r="AA109" i="80" s="1"/>
  <c r="AB109" i="80" s="1"/>
  <c r="AB81" i="80"/>
  <c r="I81" i="80"/>
  <c r="Q81" i="80"/>
  <c r="B69" i="80"/>
  <c r="E68" i="80"/>
  <c r="D68" i="80"/>
  <c r="E66" i="80"/>
  <c r="E64" i="80" s="1"/>
  <c r="D66" i="80"/>
  <c r="D64" i="80" s="1"/>
  <c r="C66" i="80"/>
  <c r="C64" i="80" s="1"/>
  <c r="B66" i="80"/>
  <c r="B64" i="80" s="1"/>
  <c r="C65" i="80"/>
  <c r="D65" i="80" s="1"/>
  <c r="E65" i="80" s="1"/>
  <c r="AF170" i="80"/>
  <c r="AE170" i="80"/>
  <c r="AD170" i="80"/>
  <c r="AC170" i="80"/>
  <c r="AI49" i="80"/>
  <c r="AA49" i="80"/>
  <c r="AA44" i="80"/>
  <c r="H44" i="80"/>
  <c r="AI44" i="80"/>
  <c r="P44" i="80"/>
  <c r="C16" i="80"/>
  <c r="A16" i="80"/>
  <c r="C15" i="80"/>
  <c r="B15" i="80"/>
  <c r="A15" i="80"/>
  <c r="C14" i="80"/>
  <c r="A14" i="80"/>
  <c r="C13" i="80"/>
  <c r="A13" i="80"/>
  <c r="C12" i="80"/>
  <c r="A12" i="80"/>
  <c r="C11" i="80"/>
  <c r="A11" i="80"/>
  <c r="C10" i="80"/>
  <c r="A10" i="80"/>
  <c r="I9" i="80"/>
  <c r="G9" i="80"/>
  <c r="F9" i="80"/>
  <c r="E9" i="80"/>
  <c r="C9" i="80"/>
  <c r="A9" i="80"/>
  <c r="C8" i="80"/>
  <c r="A8" i="80"/>
  <c r="C7" i="80"/>
  <c r="A7" i="80"/>
  <c r="B6" i="80"/>
  <c r="A6" i="80"/>
  <c r="B2" i="80"/>
  <c r="A2" i="80"/>
  <c r="A1" i="80"/>
  <c r="C91" i="79"/>
  <c r="D91" i="79" s="1"/>
  <c r="E91" i="79" s="1"/>
  <c r="F91" i="79" s="1"/>
  <c r="G91" i="79" s="1"/>
  <c r="H91" i="79" s="1"/>
  <c r="I91" i="79" s="1"/>
  <c r="J91" i="79" s="1"/>
  <c r="K91" i="79" s="1"/>
  <c r="L91" i="79" s="1"/>
  <c r="M91" i="79" s="1"/>
  <c r="N91" i="79" s="1"/>
  <c r="O91" i="79" s="1"/>
  <c r="P91" i="79" s="1"/>
  <c r="Q91" i="79" s="1"/>
  <c r="R91" i="79" s="1"/>
  <c r="S91" i="79" s="1"/>
  <c r="T91" i="79" s="1"/>
  <c r="U91" i="79" s="1"/>
  <c r="V91" i="79" s="1"/>
  <c r="W91" i="79" s="1"/>
  <c r="X91" i="79" s="1"/>
  <c r="Y91" i="79" s="1"/>
  <c r="Z91" i="79" s="1"/>
  <c r="AA91" i="79" s="1"/>
  <c r="AB91" i="79" s="1"/>
  <c r="AA43" i="79"/>
  <c r="H43" i="79"/>
  <c r="C79" i="79"/>
  <c r="D79" i="79" s="1"/>
  <c r="E79" i="79" s="1"/>
  <c r="F79" i="79" s="1"/>
  <c r="G79" i="79" s="1"/>
  <c r="H79" i="79" s="1"/>
  <c r="I79" i="79" s="1"/>
  <c r="J79" i="79" s="1"/>
  <c r="K79" i="79" s="1"/>
  <c r="L79" i="79" s="1"/>
  <c r="M79" i="79" s="1"/>
  <c r="N79" i="79" s="1"/>
  <c r="O79" i="79" s="1"/>
  <c r="P79" i="79" s="1"/>
  <c r="Q79" i="79" s="1"/>
  <c r="R79" i="79" s="1"/>
  <c r="S79" i="79" s="1"/>
  <c r="T79" i="79" s="1"/>
  <c r="U79" i="79" s="1"/>
  <c r="V79" i="79" s="1"/>
  <c r="W79" i="79" s="1"/>
  <c r="X79" i="79" s="1"/>
  <c r="Y79" i="79" s="1"/>
  <c r="Z79" i="79" s="1"/>
  <c r="AA79" i="79" s="1"/>
  <c r="AB79" i="79" s="1"/>
  <c r="B30" i="79"/>
  <c r="B18" i="79"/>
  <c r="C16" i="79"/>
  <c r="A16" i="79"/>
  <c r="C15" i="79"/>
  <c r="B15" i="79"/>
  <c r="A15" i="79"/>
  <c r="AG15" i="79"/>
  <c r="AE15" i="79"/>
  <c r="C14" i="79"/>
  <c r="A14" i="79"/>
  <c r="AG14" i="79"/>
  <c r="AE14" i="79"/>
  <c r="C13" i="79"/>
  <c r="A13" i="79"/>
  <c r="C12" i="79"/>
  <c r="A12" i="79"/>
  <c r="AG11" i="79"/>
  <c r="C11" i="79"/>
  <c r="A11" i="79"/>
  <c r="AG10" i="79"/>
  <c r="AE10" i="79"/>
  <c r="C10" i="79"/>
  <c r="A10" i="79"/>
  <c r="AG9" i="79"/>
  <c r="AE9" i="79"/>
  <c r="I9" i="79"/>
  <c r="G9" i="79"/>
  <c r="F9" i="79"/>
  <c r="E9" i="79"/>
  <c r="C9" i="79"/>
  <c r="A9" i="79"/>
  <c r="AJ8" i="79"/>
  <c r="AH8" i="79"/>
  <c r="AG8" i="79"/>
  <c r="AE8" i="79"/>
  <c r="C8" i="79"/>
  <c r="A8" i="79"/>
  <c r="AJ7" i="79"/>
  <c r="AH7" i="79"/>
  <c r="AG7" i="79"/>
  <c r="AE7" i="79"/>
  <c r="C7" i="79"/>
  <c r="A7" i="79"/>
  <c r="AG6" i="79"/>
  <c r="AE6" i="79"/>
  <c r="I6" i="79"/>
  <c r="D6" i="79"/>
  <c r="C6" i="79"/>
  <c r="B6" i="79"/>
  <c r="A6" i="79"/>
  <c r="B2" i="79"/>
  <c r="A2" i="79"/>
  <c r="A1" i="79"/>
  <c r="C60" i="38" l="1"/>
  <c r="D60" i="38" s="1"/>
  <c r="O4" i="7"/>
  <c r="C91" i="59" l="1"/>
  <c r="C91" i="60"/>
  <c r="C211" i="80"/>
  <c r="D91" i="60" l="1"/>
  <c r="D211" i="80"/>
  <c r="D91" i="59"/>
  <c r="E60" i="38"/>
  <c r="B16" i="56"/>
  <c r="B12" i="56"/>
  <c r="E91" i="59" l="1"/>
  <c r="E91" i="60"/>
  <c r="E211" i="80"/>
  <c r="F60" i="38"/>
  <c r="F211" i="80" s="1"/>
  <c r="N45" i="7"/>
  <c r="F91" i="59" l="1"/>
  <c r="F91" i="60"/>
  <c r="G60" i="38"/>
  <c r="G211" i="80" s="1"/>
  <c r="J36" i="5"/>
  <c r="J18" i="5"/>
  <c r="J36" i="1"/>
  <c r="J18" i="1"/>
  <c r="R6" i="7"/>
  <c r="G91" i="59" l="1"/>
  <c r="G91" i="60"/>
  <c r="H60" i="38"/>
  <c r="U6" i="7"/>
  <c r="H91" i="60" l="1"/>
  <c r="H211" i="80"/>
  <c r="H91" i="59"/>
  <c r="I60" i="38"/>
  <c r="G38" i="7"/>
  <c r="I91" i="59" l="1"/>
  <c r="I91" i="60"/>
  <c r="I211" i="80"/>
  <c r="J60" i="38"/>
  <c r="E12" i="7"/>
  <c r="D185" i="50"/>
  <c r="B634" i="50"/>
  <c r="B633" i="50"/>
  <c r="B632" i="50"/>
  <c r="B631" i="50"/>
  <c r="J91" i="59" l="1"/>
  <c r="J91" i="60"/>
  <c r="J211" i="80"/>
  <c r="K60" i="38"/>
  <c r="JY14" i="55"/>
  <c r="JZ14" i="55" s="1"/>
  <c r="KA14" i="55" s="1"/>
  <c r="KB14" i="55" s="1"/>
  <c r="KC14" i="55" s="1"/>
  <c r="KD14" i="55" s="1"/>
  <c r="KE14" i="55" s="1"/>
  <c r="KF14" i="55" s="1"/>
  <c r="KG14" i="55" s="1"/>
  <c r="KH14" i="55" s="1"/>
  <c r="KI14" i="55" s="1"/>
  <c r="KJ14" i="55" s="1"/>
  <c r="KK14" i="55" s="1"/>
  <c r="KL14" i="55" s="1"/>
  <c r="KM14" i="55" s="1"/>
  <c r="KN14" i="55" s="1"/>
  <c r="KO14" i="55" s="1"/>
  <c r="JF14" i="55"/>
  <c r="JG14" i="55" s="1"/>
  <c r="JH14" i="55" s="1"/>
  <c r="JI14" i="55" s="1"/>
  <c r="JJ14" i="55" s="1"/>
  <c r="JK14" i="55" s="1"/>
  <c r="JL14" i="55" s="1"/>
  <c r="JM14" i="55" s="1"/>
  <c r="JN14" i="55" s="1"/>
  <c r="JO14" i="55" s="1"/>
  <c r="JP14" i="55" s="1"/>
  <c r="JQ14" i="55" s="1"/>
  <c r="JR14" i="55" s="1"/>
  <c r="JS14" i="55" s="1"/>
  <c r="JT14" i="55" s="1"/>
  <c r="JU14" i="55" s="1"/>
  <c r="JV14" i="55" s="1"/>
  <c r="IM14" i="55"/>
  <c r="IN14" i="55" s="1"/>
  <c r="IO14" i="55" s="1"/>
  <c r="IP14" i="55" s="1"/>
  <c r="IQ14" i="55" s="1"/>
  <c r="IR14" i="55" s="1"/>
  <c r="IS14" i="55" s="1"/>
  <c r="IT14" i="55" s="1"/>
  <c r="IU14" i="55" s="1"/>
  <c r="IV14" i="55" s="1"/>
  <c r="IW14" i="55" s="1"/>
  <c r="IX14" i="55" s="1"/>
  <c r="IY14" i="55" s="1"/>
  <c r="IZ14" i="55" s="1"/>
  <c r="JA14" i="55" s="1"/>
  <c r="JB14" i="55" s="1"/>
  <c r="JC14" i="55" s="1"/>
  <c r="HT14" i="55"/>
  <c r="HU14" i="55" s="1"/>
  <c r="HV14" i="55" s="1"/>
  <c r="HW14" i="55" s="1"/>
  <c r="HX14" i="55" s="1"/>
  <c r="HY14" i="55" s="1"/>
  <c r="HZ14" i="55" s="1"/>
  <c r="IA14" i="55" s="1"/>
  <c r="IB14" i="55" s="1"/>
  <c r="IC14" i="55" s="1"/>
  <c r="ID14" i="55" s="1"/>
  <c r="IE14" i="55" s="1"/>
  <c r="IF14" i="55" s="1"/>
  <c r="IG14" i="55" s="1"/>
  <c r="IH14" i="55" s="1"/>
  <c r="II14" i="55" s="1"/>
  <c r="IJ14" i="55" s="1"/>
  <c r="HA14" i="55"/>
  <c r="HB14" i="55" s="1"/>
  <c r="HC14" i="55" s="1"/>
  <c r="HD14" i="55" s="1"/>
  <c r="HE14" i="55" s="1"/>
  <c r="HF14" i="55" s="1"/>
  <c r="HG14" i="55" s="1"/>
  <c r="HH14" i="55" s="1"/>
  <c r="HI14" i="55" s="1"/>
  <c r="HJ14" i="55" s="1"/>
  <c r="HK14" i="55" s="1"/>
  <c r="HL14" i="55" s="1"/>
  <c r="HM14" i="55" s="1"/>
  <c r="HN14" i="55" s="1"/>
  <c r="HO14" i="55" s="1"/>
  <c r="HP14" i="55" s="1"/>
  <c r="HQ14" i="55" s="1"/>
  <c r="GH14" i="55"/>
  <c r="GI14" i="55" s="1"/>
  <c r="GJ14" i="55" s="1"/>
  <c r="GK14" i="55" s="1"/>
  <c r="GL14" i="55" s="1"/>
  <c r="GM14" i="55" s="1"/>
  <c r="GN14" i="55" s="1"/>
  <c r="GO14" i="55" s="1"/>
  <c r="GP14" i="55" s="1"/>
  <c r="GQ14" i="55" s="1"/>
  <c r="GR14" i="55" s="1"/>
  <c r="GS14" i="55" s="1"/>
  <c r="GT14" i="55" s="1"/>
  <c r="GU14" i="55" s="1"/>
  <c r="GV14" i="55" s="1"/>
  <c r="GW14" i="55" s="1"/>
  <c r="GX14" i="55" s="1"/>
  <c r="FO14" i="55"/>
  <c r="FP14" i="55" s="1"/>
  <c r="FQ14" i="55" s="1"/>
  <c r="FR14" i="55" s="1"/>
  <c r="FS14" i="55" s="1"/>
  <c r="FT14" i="55" s="1"/>
  <c r="FU14" i="55" s="1"/>
  <c r="FV14" i="55" s="1"/>
  <c r="FW14" i="55" s="1"/>
  <c r="FX14" i="55" s="1"/>
  <c r="FY14" i="55" s="1"/>
  <c r="FZ14" i="55" s="1"/>
  <c r="GA14" i="55" s="1"/>
  <c r="GB14" i="55" s="1"/>
  <c r="GC14" i="55" s="1"/>
  <c r="GD14" i="55" s="1"/>
  <c r="GE14" i="55" s="1"/>
  <c r="EV14" i="55"/>
  <c r="EW14" i="55" s="1"/>
  <c r="EX14" i="55" s="1"/>
  <c r="EY14" i="55" s="1"/>
  <c r="EZ14" i="55" s="1"/>
  <c r="FA14" i="55" s="1"/>
  <c r="FB14" i="55" s="1"/>
  <c r="FC14" i="55" s="1"/>
  <c r="FD14" i="55" s="1"/>
  <c r="FE14" i="55" s="1"/>
  <c r="FF14" i="55" s="1"/>
  <c r="FG14" i="55" s="1"/>
  <c r="FH14" i="55" s="1"/>
  <c r="FI14" i="55" s="1"/>
  <c r="FJ14" i="55" s="1"/>
  <c r="FK14" i="55" s="1"/>
  <c r="FL14" i="55" s="1"/>
  <c r="EC14" i="55"/>
  <c r="ED14" i="55" s="1"/>
  <c r="EE14" i="55" s="1"/>
  <c r="EF14" i="55" s="1"/>
  <c r="EG14" i="55" s="1"/>
  <c r="EH14" i="55" s="1"/>
  <c r="EI14" i="55" s="1"/>
  <c r="EJ14" i="55" s="1"/>
  <c r="EK14" i="55" s="1"/>
  <c r="EL14" i="55" s="1"/>
  <c r="EM14" i="55" s="1"/>
  <c r="EN14" i="55" s="1"/>
  <c r="EO14" i="55" s="1"/>
  <c r="EP14" i="55" s="1"/>
  <c r="EQ14" i="55" s="1"/>
  <c r="ER14" i="55" s="1"/>
  <c r="ES14" i="55" s="1"/>
  <c r="DJ14" i="55"/>
  <c r="DK14" i="55" s="1"/>
  <c r="DL14" i="55" s="1"/>
  <c r="DM14" i="55" s="1"/>
  <c r="DN14" i="55" s="1"/>
  <c r="DO14" i="55" s="1"/>
  <c r="DP14" i="55" s="1"/>
  <c r="DQ14" i="55" s="1"/>
  <c r="DR14" i="55" s="1"/>
  <c r="DS14" i="55" s="1"/>
  <c r="DT14" i="55" s="1"/>
  <c r="DU14" i="55" s="1"/>
  <c r="DV14" i="55" s="1"/>
  <c r="DW14" i="55" s="1"/>
  <c r="DX14" i="55" s="1"/>
  <c r="DY14" i="55" s="1"/>
  <c r="DZ14" i="55" s="1"/>
  <c r="CQ14" i="55"/>
  <c r="CR14" i="55" s="1"/>
  <c r="CS14" i="55" s="1"/>
  <c r="CT14" i="55" s="1"/>
  <c r="CU14" i="55" s="1"/>
  <c r="CV14" i="55" s="1"/>
  <c r="CW14" i="55" s="1"/>
  <c r="CX14" i="55" s="1"/>
  <c r="CY14" i="55" s="1"/>
  <c r="CZ14" i="55" s="1"/>
  <c r="DA14" i="55" s="1"/>
  <c r="DB14" i="55" s="1"/>
  <c r="DC14" i="55" s="1"/>
  <c r="DD14" i="55" s="1"/>
  <c r="DE14" i="55" s="1"/>
  <c r="DF14" i="55" s="1"/>
  <c r="DG14" i="55" s="1"/>
  <c r="BX14" i="55"/>
  <c r="BY14" i="55" s="1"/>
  <c r="BZ14" i="55" s="1"/>
  <c r="CA14" i="55" s="1"/>
  <c r="CB14" i="55" s="1"/>
  <c r="CC14" i="55" s="1"/>
  <c r="CD14" i="55" s="1"/>
  <c r="CE14" i="55" s="1"/>
  <c r="CF14" i="55" s="1"/>
  <c r="CG14" i="55" s="1"/>
  <c r="CH14" i="55" s="1"/>
  <c r="CI14" i="55" s="1"/>
  <c r="CJ14" i="55" s="1"/>
  <c r="CK14" i="55" s="1"/>
  <c r="CL14" i="55" s="1"/>
  <c r="CM14" i="55" s="1"/>
  <c r="CN14" i="55" s="1"/>
  <c r="BE14" i="55"/>
  <c r="BF14" i="55" s="1"/>
  <c r="BG14" i="55" s="1"/>
  <c r="BH14" i="55" s="1"/>
  <c r="BI14" i="55" s="1"/>
  <c r="BJ14" i="55" s="1"/>
  <c r="BK14" i="55" s="1"/>
  <c r="BL14" i="55" s="1"/>
  <c r="BM14" i="55" s="1"/>
  <c r="BN14" i="55" s="1"/>
  <c r="BO14" i="55" s="1"/>
  <c r="BP14" i="55" s="1"/>
  <c r="BQ14" i="55" s="1"/>
  <c r="BR14" i="55" s="1"/>
  <c r="BS14" i="55" s="1"/>
  <c r="BT14" i="55" s="1"/>
  <c r="BU14" i="55" s="1"/>
  <c r="AL14" i="55"/>
  <c r="AM14" i="55" s="1"/>
  <c r="AN14" i="55" s="1"/>
  <c r="AO14" i="55" s="1"/>
  <c r="AP14" i="55" s="1"/>
  <c r="AQ14" i="55" s="1"/>
  <c r="AR14" i="55" s="1"/>
  <c r="AS14" i="55" s="1"/>
  <c r="AT14" i="55" s="1"/>
  <c r="AU14" i="55" s="1"/>
  <c r="AV14" i="55" s="1"/>
  <c r="AW14" i="55" s="1"/>
  <c r="AX14" i="55" s="1"/>
  <c r="AY14" i="55" s="1"/>
  <c r="AZ14" i="55" s="1"/>
  <c r="BA14" i="55" s="1"/>
  <c r="BB14" i="55" s="1"/>
  <c r="K91" i="59" l="1"/>
  <c r="K91" i="60"/>
  <c r="K211" i="80"/>
  <c r="L60" i="38"/>
  <c r="G10" i="7"/>
  <c r="N43" i="7" s="1"/>
  <c r="L91" i="60" l="1"/>
  <c r="L211" i="80"/>
  <c r="L91" i="59"/>
  <c r="M60" i="38"/>
  <c r="G65" i="7"/>
  <c r="G47" i="7"/>
  <c r="G46" i="7"/>
  <c r="G45" i="7"/>
  <c r="G44" i="7"/>
  <c r="G43" i="7"/>
  <c r="U52" i="7"/>
  <c r="U51" i="7"/>
  <c r="U50" i="7"/>
  <c r="U49" i="7"/>
  <c r="U48" i="7"/>
  <c r="U47" i="7"/>
  <c r="U46" i="7"/>
  <c r="U45" i="7"/>
  <c r="U44" i="7"/>
  <c r="U43" i="7"/>
  <c r="N53" i="7"/>
  <c r="N52" i="7"/>
  <c r="N51" i="7"/>
  <c r="N50" i="7"/>
  <c r="N49" i="7"/>
  <c r="N48" i="7"/>
  <c r="N47" i="7"/>
  <c r="N46" i="7"/>
  <c r="N44" i="7"/>
  <c r="G69" i="7"/>
  <c r="M91" i="59" l="1"/>
  <c r="M91" i="60"/>
  <c r="M211" i="80"/>
  <c r="N60" i="38"/>
  <c r="N54" i="7"/>
  <c r="N57" i="7"/>
  <c r="N60" i="7"/>
  <c r="N67" i="7"/>
  <c r="N55" i="7"/>
  <c r="N58" i="7"/>
  <c r="G66" i="7"/>
  <c r="N68" i="7"/>
  <c r="N56" i="7"/>
  <c r="G68" i="7"/>
  <c r="N69" i="7"/>
  <c r="N59" i="7"/>
  <c r="N66" i="7"/>
  <c r="N65" i="7"/>
  <c r="N91" i="59" l="1"/>
  <c r="N91" i="60"/>
  <c r="N211" i="80"/>
  <c r="O60" i="38"/>
  <c r="O91" i="59" l="1"/>
  <c r="O91" i="60"/>
  <c r="O211" i="80"/>
  <c r="P60" i="38"/>
  <c r="D635" i="50"/>
  <c r="P91" i="60" l="1"/>
  <c r="P211" i="80"/>
  <c r="P91" i="59"/>
  <c r="Q60" i="38"/>
  <c r="B127" i="77"/>
  <c r="B126" i="77"/>
  <c r="B125" i="77"/>
  <c r="B124" i="77"/>
  <c r="B123" i="77"/>
  <c r="B122" i="77"/>
  <c r="B121" i="77"/>
  <c r="B120" i="77"/>
  <c r="B97" i="77"/>
  <c r="B96" i="77"/>
  <c r="B95" i="77"/>
  <c r="B94" i="77"/>
  <c r="B93" i="77"/>
  <c r="B92" i="77"/>
  <c r="B91" i="77"/>
  <c r="B90" i="77"/>
  <c r="Q91" i="59" l="1"/>
  <c r="Q91" i="60"/>
  <c r="Q211" i="80"/>
  <c r="R60" i="38"/>
  <c r="B127" i="78"/>
  <c r="B127" i="20" s="1"/>
  <c r="B126" i="78"/>
  <c r="B126" i="20" s="1"/>
  <c r="B125" i="78"/>
  <c r="B125" i="20" s="1"/>
  <c r="B124" i="78"/>
  <c r="B124" i="20" s="1"/>
  <c r="B123" i="78"/>
  <c r="B123" i="20" s="1"/>
  <c r="B122" i="78"/>
  <c r="B122" i="20" s="1"/>
  <c r="B121" i="78"/>
  <c r="B121" i="20" s="1"/>
  <c r="B120" i="78"/>
  <c r="B120" i="20" s="1"/>
  <c r="B93" i="78"/>
  <c r="B93" i="20" s="1"/>
  <c r="B90" i="78"/>
  <c r="B90" i="20" s="1"/>
  <c r="B95" i="78"/>
  <c r="B95" i="20" s="1"/>
  <c r="B94" i="78"/>
  <c r="B94" i="20" s="1"/>
  <c r="B92" i="78"/>
  <c r="B92" i="20" s="1"/>
  <c r="B91" i="78"/>
  <c r="B91" i="20" s="1"/>
  <c r="B72" i="78"/>
  <c r="B71" i="78"/>
  <c r="B97" i="78"/>
  <c r="B97" i="20" s="1"/>
  <c r="B96" i="78"/>
  <c r="B96" i="20" s="1"/>
  <c r="B40" i="78"/>
  <c r="B39" i="78"/>
  <c r="B71" i="20" l="1"/>
  <c r="R91" i="59"/>
  <c r="R91" i="60"/>
  <c r="R211" i="80"/>
  <c r="S60" i="38"/>
  <c r="B37" i="77"/>
  <c r="B118" i="78"/>
  <c r="B117" i="78"/>
  <c r="B116" i="78"/>
  <c r="B115" i="78"/>
  <c r="B106" i="78"/>
  <c r="B105" i="78"/>
  <c r="B104" i="78"/>
  <c r="B103" i="78"/>
  <c r="B135" i="77"/>
  <c r="B134" i="77"/>
  <c r="B133" i="77"/>
  <c r="B132" i="77"/>
  <c r="B164" i="77"/>
  <c r="B164" i="20" s="1"/>
  <c r="B163" i="77"/>
  <c r="B163" i="20" s="1"/>
  <c r="B162" i="77"/>
  <c r="B162" i="20" s="1"/>
  <c r="B161" i="77"/>
  <c r="B161" i="20" s="1"/>
  <c r="B40" i="77"/>
  <c r="B40" i="20" s="1"/>
  <c r="B39" i="77"/>
  <c r="B39" i="20" s="1"/>
  <c r="O152" i="77"/>
  <c r="B118" i="77"/>
  <c r="B117" i="77"/>
  <c r="B116" i="77"/>
  <c r="B115" i="77"/>
  <c r="B103" i="77"/>
  <c r="B114" i="77"/>
  <c r="B113" i="77"/>
  <c r="B112" i="77"/>
  <c r="B111" i="77"/>
  <c r="B110" i="77"/>
  <c r="B109" i="77"/>
  <c r="B108" i="77"/>
  <c r="B107" i="77"/>
  <c r="B106" i="77"/>
  <c r="B105" i="77"/>
  <c r="B104" i="77"/>
  <c r="B88" i="77"/>
  <c r="B87" i="77"/>
  <c r="B86" i="77"/>
  <c r="B85" i="77"/>
  <c r="B84" i="77"/>
  <c r="B83" i="77"/>
  <c r="B82" i="77"/>
  <c r="B81" i="77"/>
  <c r="B80" i="77"/>
  <c r="B79" i="77"/>
  <c r="B78" i="77"/>
  <c r="B77" i="77"/>
  <c r="B76" i="77"/>
  <c r="B75" i="77"/>
  <c r="B74" i="77"/>
  <c r="B73" i="77"/>
  <c r="B72" i="77"/>
  <c r="B72" i="20" s="1"/>
  <c r="B71" i="77"/>
  <c r="B70" i="77"/>
  <c r="B69" i="77"/>
  <c r="B68" i="77"/>
  <c r="B67" i="77"/>
  <c r="B66" i="77"/>
  <c r="B65" i="77"/>
  <c r="B64" i="77"/>
  <c r="B63" i="77"/>
  <c r="B62" i="77"/>
  <c r="B61" i="77"/>
  <c r="B60" i="77"/>
  <c r="B59" i="77"/>
  <c r="B58" i="77"/>
  <c r="B57" i="77"/>
  <c r="B38" i="77"/>
  <c r="B38" i="78"/>
  <c r="B37" i="78"/>
  <c r="B70" i="78"/>
  <c r="B69" i="78"/>
  <c r="B37" i="20" l="1"/>
  <c r="B69" i="20"/>
  <c r="B70" i="20"/>
  <c r="B38" i="20"/>
  <c r="B106" i="20"/>
  <c r="B115" i="20"/>
  <c r="B116" i="20"/>
  <c r="B103" i="20"/>
  <c r="B117" i="20"/>
  <c r="B104" i="20"/>
  <c r="B118" i="20"/>
  <c r="B105" i="20"/>
  <c r="S91" i="59"/>
  <c r="S91" i="60"/>
  <c r="S211" i="80"/>
  <c r="T60" i="38"/>
  <c r="O152" i="78"/>
  <c r="O152" i="20" s="1"/>
  <c r="K126" i="78"/>
  <c r="K125" i="78"/>
  <c r="N124" i="78"/>
  <c r="K122" i="78"/>
  <c r="K121" i="78"/>
  <c r="N120" i="78"/>
  <c r="B114" i="78"/>
  <c r="B114" i="20" s="1"/>
  <c r="B113" i="78"/>
  <c r="B113" i="20" s="1"/>
  <c r="B112" i="78"/>
  <c r="B112" i="20" s="1"/>
  <c r="B111" i="78"/>
  <c r="B111" i="20" s="1"/>
  <c r="J29" i="78"/>
  <c r="J26" i="78"/>
  <c r="M25" i="78"/>
  <c r="B21" i="78"/>
  <c r="T91" i="60" l="1"/>
  <c r="T211" i="80"/>
  <c r="T91" i="59"/>
  <c r="U60" i="38"/>
  <c r="N122" i="78"/>
  <c r="K127" i="78"/>
  <c r="M26" i="78"/>
  <c r="K123" i="78"/>
  <c r="N126" i="78"/>
  <c r="J120" i="78"/>
  <c r="J33" i="78"/>
  <c r="M29" i="78"/>
  <c r="J30" i="78"/>
  <c r="Q69" i="77"/>
  <c r="K126" i="77"/>
  <c r="K126" i="20" s="1"/>
  <c r="K125" i="77"/>
  <c r="K127" i="77" s="1"/>
  <c r="N124" i="77"/>
  <c r="N126" i="77" s="1"/>
  <c r="N141" i="77" s="1"/>
  <c r="K122" i="77"/>
  <c r="K122" i="20" s="1"/>
  <c r="K121" i="77"/>
  <c r="K123" i="77" s="1"/>
  <c r="N120" i="77"/>
  <c r="N122" i="77" s="1"/>
  <c r="J29" i="77"/>
  <c r="J120" i="77" s="1"/>
  <c r="J26" i="77"/>
  <c r="M26" i="77" s="1"/>
  <c r="M25" i="77"/>
  <c r="J33" i="77" s="1"/>
  <c r="B21" i="77"/>
  <c r="K123" i="20" l="1"/>
  <c r="J29" i="20"/>
  <c r="J33" i="20"/>
  <c r="M26" i="20"/>
  <c r="K127" i="20"/>
  <c r="N124" i="20"/>
  <c r="N122" i="20"/>
  <c r="N126" i="20"/>
  <c r="J26" i="20"/>
  <c r="M25" i="20"/>
  <c r="K125" i="20"/>
  <c r="J120" i="20"/>
  <c r="N120" i="20"/>
  <c r="K121" i="20"/>
  <c r="J37" i="78"/>
  <c r="M37" i="78" s="1"/>
  <c r="M33" i="78"/>
  <c r="J34" i="78"/>
  <c r="M34" i="78" s="1"/>
  <c r="J124" i="78"/>
  <c r="J125" i="78" s="1"/>
  <c r="U91" i="59"/>
  <c r="U91" i="60"/>
  <c r="U211" i="80"/>
  <c r="V60" i="38"/>
  <c r="J121" i="78"/>
  <c r="M120" i="78"/>
  <c r="N141" i="78"/>
  <c r="N141" i="20" s="1"/>
  <c r="M30" i="78"/>
  <c r="J30" i="77"/>
  <c r="M30" i="77" s="1"/>
  <c r="J124" i="77"/>
  <c r="J34" i="77"/>
  <c r="M34" i="77" s="1"/>
  <c r="M33" i="77"/>
  <c r="J37" i="77"/>
  <c r="M29" i="77"/>
  <c r="M29" i="20" s="1"/>
  <c r="M120" i="77"/>
  <c r="J121" i="77"/>
  <c r="M121" i="77" s="1"/>
  <c r="M120" i="20" l="1"/>
  <c r="M30" i="20"/>
  <c r="J124" i="20"/>
  <c r="M33" i="20"/>
  <c r="J37" i="20"/>
  <c r="J30" i="20"/>
  <c r="M124" i="78"/>
  <c r="M34" i="20"/>
  <c r="J38" i="78"/>
  <c r="M38" i="78" s="1"/>
  <c r="J34" i="20"/>
  <c r="M121" i="78"/>
  <c r="M121" i="20" s="1"/>
  <c r="J121" i="20"/>
  <c r="V91" i="59"/>
  <c r="V91" i="60"/>
  <c r="V211" i="80"/>
  <c r="W60" i="38"/>
  <c r="M125" i="78"/>
  <c r="M37" i="77"/>
  <c r="M37" i="20" s="1"/>
  <c r="J38" i="77"/>
  <c r="M38" i="77" s="1"/>
  <c r="J125" i="77"/>
  <c r="M125" i="77" s="1"/>
  <c r="M124" i="77"/>
  <c r="M125" i="20" l="1"/>
  <c r="M38" i="20"/>
  <c r="J38" i="20"/>
  <c r="J125" i="20"/>
  <c r="M124" i="20"/>
  <c r="W91" i="59"/>
  <c r="W91" i="60"/>
  <c r="W211" i="80"/>
  <c r="X60" i="38"/>
  <c r="H75" i="32"/>
  <c r="I75" i="32"/>
  <c r="H63" i="32"/>
  <c r="I63" i="32"/>
  <c r="I62" i="32"/>
  <c r="I61" i="32"/>
  <c r="I60" i="32"/>
  <c r="I59" i="32"/>
  <c r="I58" i="32"/>
  <c r="I57" i="32"/>
  <c r="I56" i="32"/>
  <c r="I55" i="32"/>
  <c r="I54" i="32"/>
  <c r="I53" i="32"/>
  <c r="I52" i="32"/>
  <c r="I51" i="32"/>
  <c r="I50" i="32"/>
  <c r="I49" i="32"/>
  <c r="I48" i="32"/>
  <c r="I47" i="32"/>
  <c r="I46" i="32"/>
  <c r="I45" i="32"/>
  <c r="I44" i="32"/>
  <c r="I43" i="32"/>
  <c r="I42" i="32"/>
  <c r="I41" i="32"/>
  <c r="I40" i="32"/>
  <c r="I39" i="32"/>
  <c r="I38" i="32"/>
  <c r="I37" i="32"/>
  <c r="I36" i="32"/>
  <c r="I35" i="32"/>
  <c r="I34" i="32"/>
  <c r="I33" i="32"/>
  <c r="I32" i="32"/>
  <c r="I31" i="32"/>
  <c r="I30" i="32"/>
  <c r="I29" i="32"/>
  <c r="I28" i="32"/>
  <c r="I27" i="32"/>
  <c r="I26" i="32"/>
  <c r="I25" i="32"/>
  <c r="I24" i="32"/>
  <c r="I23" i="32"/>
  <c r="H43" i="32"/>
  <c r="I65" i="32"/>
  <c r="I74" i="32"/>
  <c r="I73" i="32"/>
  <c r="I72" i="32"/>
  <c r="I71" i="32"/>
  <c r="I70" i="32"/>
  <c r="I69" i="32"/>
  <c r="I68" i="32"/>
  <c r="I67" i="32"/>
  <c r="I66" i="32"/>
  <c r="C16" i="60"/>
  <c r="A16" i="60"/>
  <c r="C15" i="60"/>
  <c r="B15" i="60"/>
  <c r="A15" i="60"/>
  <c r="C14" i="60"/>
  <c r="A14" i="60"/>
  <c r="C13" i="60"/>
  <c r="A13" i="60"/>
  <c r="C12" i="60"/>
  <c r="A12" i="60"/>
  <c r="C11" i="60"/>
  <c r="A11" i="60"/>
  <c r="C10" i="60"/>
  <c r="A10" i="60"/>
  <c r="I9" i="60"/>
  <c r="G9" i="60"/>
  <c r="F9" i="60"/>
  <c r="E9" i="60"/>
  <c r="C9" i="60"/>
  <c r="A9" i="60"/>
  <c r="C8" i="60"/>
  <c r="A8" i="60"/>
  <c r="C7" i="60"/>
  <c r="A7" i="60"/>
  <c r="I6" i="60"/>
  <c r="D6" i="60"/>
  <c r="C6" i="60"/>
  <c r="B6" i="60"/>
  <c r="A6" i="60"/>
  <c r="C16" i="59"/>
  <c r="A16" i="59"/>
  <c r="C15" i="59"/>
  <c r="B15" i="59"/>
  <c r="A15" i="59"/>
  <c r="C14" i="59"/>
  <c r="A14" i="59"/>
  <c r="C13" i="59"/>
  <c r="A13" i="59"/>
  <c r="C12" i="59"/>
  <c r="A12" i="59"/>
  <c r="C11" i="59"/>
  <c r="A11" i="59"/>
  <c r="C10" i="59"/>
  <c r="A10" i="59"/>
  <c r="C9" i="59"/>
  <c r="A9" i="59"/>
  <c r="C8" i="59"/>
  <c r="A8" i="59"/>
  <c r="C7" i="59"/>
  <c r="A7" i="59"/>
  <c r="C6" i="59"/>
  <c r="A6" i="59"/>
  <c r="X91" i="60" l="1"/>
  <c r="X211" i="80"/>
  <c r="X91" i="59"/>
  <c r="Y60" i="38"/>
  <c r="C14" i="61"/>
  <c r="C13" i="61"/>
  <c r="C12" i="61"/>
  <c r="C11" i="61"/>
  <c r="C10" i="61"/>
  <c r="G9" i="61"/>
  <c r="F9" i="61"/>
  <c r="E9" i="61"/>
  <c r="C9" i="61"/>
  <c r="C8" i="61"/>
  <c r="C7" i="61"/>
  <c r="I6" i="61"/>
  <c r="D6" i="61"/>
  <c r="C6" i="61"/>
  <c r="B6" i="61"/>
  <c r="AG15" i="61"/>
  <c r="AE15" i="61"/>
  <c r="AG14" i="61"/>
  <c r="AE14" i="61"/>
  <c r="AG11" i="61"/>
  <c r="AG10" i="61"/>
  <c r="AE10" i="61"/>
  <c r="AG9" i="61"/>
  <c r="AE9" i="61"/>
  <c r="AJ8" i="61"/>
  <c r="AH8" i="61"/>
  <c r="AG8" i="61"/>
  <c r="AE8" i="61"/>
  <c r="AJ7" i="61"/>
  <c r="AH7" i="61"/>
  <c r="AG7" i="61"/>
  <c r="AE7" i="61"/>
  <c r="AG6" i="61"/>
  <c r="AE6" i="61"/>
  <c r="Y91" i="59" l="1"/>
  <c r="Y91" i="60"/>
  <c r="Y211" i="80"/>
  <c r="Z60" i="38"/>
  <c r="Z91" i="59" l="1"/>
  <c r="Z91" i="60"/>
  <c r="Z211" i="80"/>
  <c r="AA60" i="38"/>
  <c r="E574" i="50"/>
  <c r="E355" i="50"/>
  <c r="AA91" i="59" l="1"/>
  <c r="AA91" i="60"/>
  <c r="AA211" i="80"/>
  <c r="AB60" i="38"/>
  <c r="AB91" i="60" l="1"/>
  <c r="AB211" i="80"/>
  <c r="AB91" i="59"/>
  <c r="AC60" i="38"/>
  <c r="E22" i="7"/>
  <c r="AC91" i="59" l="1"/>
  <c r="AC91" i="60"/>
  <c r="AC211" i="80"/>
  <c r="AD60" i="38"/>
  <c r="D6" i="59"/>
  <c r="AD91" i="59" l="1"/>
  <c r="AD91" i="60"/>
  <c r="AD211" i="80"/>
  <c r="AE60" i="38"/>
  <c r="AE91" i="59" l="1"/>
  <c r="AE91" i="60"/>
  <c r="AE211" i="80"/>
  <c r="AF60" i="38"/>
  <c r="AF91" i="60" l="1"/>
  <c r="AF211" i="80"/>
  <c r="AF91" i="59"/>
  <c r="AG60" i="38"/>
  <c r="AG211" i="80" s="1"/>
  <c r="AG91" i="59" l="1"/>
  <c r="AG91" i="60"/>
  <c r="AH60" i="38"/>
  <c r="AH91" i="59" l="1"/>
  <c r="AH91" i="60"/>
  <c r="AH211" i="80"/>
  <c r="AI60" i="38"/>
  <c r="AI91" i="59" l="1"/>
  <c r="AI91" i="60"/>
  <c r="AI211" i="80"/>
  <c r="AJ60" i="38"/>
  <c r="D502" i="50"/>
  <c r="D501" i="50"/>
  <c r="D500" i="50"/>
  <c r="D499" i="50"/>
  <c r="D498" i="50"/>
  <c r="D497" i="50"/>
  <c r="D467" i="50"/>
  <c r="D466" i="50"/>
  <c r="D465" i="50"/>
  <c r="D464" i="50"/>
  <c r="D463" i="50"/>
  <c r="D462" i="50"/>
  <c r="D461" i="50"/>
  <c r="D460" i="50"/>
  <c r="B225" i="50"/>
  <c r="AJ91" i="60" l="1"/>
  <c r="AJ211" i="80"/>
  <c r="AJ91" i="59"/>
  <c r="I9" i="59" l="1"/>
  <c r="G9" i="59"/>
  <c r="H11" i="32" l="1"/>
  <c r="B11" i="32"/>
  <c r="H9" i="32"/>
  <c r="B9" i="32"/>
  <c r="B122" i="53" l="1"/>
  <c r="B124" i="53" s="1"/>
  <c r="B125" i="53" s="1"/>
  <c r="B126" i="53" s="1"/>
  <c r="B127" i="53" s="1"/>
  <c r="B128" i="53" s="1"/>
  <c r="B129" i="53" s="1"/>
  <c r="B130" i="53" s="1"/>
  <c r="B131" i="53" s="1"/>
  <c r="B132" i="53" s="1"/>
  <c r="B133" i="53" s="1"/>
  <c r="B134" i="53" s="1"/>
  <c r="B135" i="53" s="1"/>
  <c r="B136" i="53" s="1"/>
  <c r="B137" i="53" s="1"/>
  <c r="B138" i="53" s="1"/>
  <c r="B139" i="53" s="1"/>
  <c r="B140" i="53" s="1"/>
  <c r="B45" i="50" l="1"/>
  <c r="B5" i="50"/>
  <c r="B17" i="50" l="1"/>
  <c r="B20" i="50" l="1"/>
  <c r="C23" i="7" l="1"/>
  <c r="G22" i="7"/>
  <c r="H22" i="7" l="1"/>
  <c r="AA79" i="56"/>
  <c r="J14" i="50" l="1"/>
  <c r="F99" i="7"/>
  <c r="F101" i="7" l="1"/>
  <c r="H101" i="7" s="1"/>
  <c r="F100" i="7"/>
  <c r="N71" i="79" s="1"/>
  <c r="N101" i="80" l="1"/>
  <c r="H100" i="7"/>
  <c r="J100" i="7" s="1"/>
  <c r="BQ365" i="36"/>
  <c r="BP365" i="36"/>
  <c r="BO365" i="36"/>
  <c r="BN365" i="36"/>
  <c r="BM365" i="36"/>
  <c r="BL365" i="36"/>
  <c r="BK365" i="36"/>
  <c r="BJ365" i="36"/>
  <c r="BI365" i="36"/>
  <c r="BH365" i="36"/>
  <c r="BG365" i="36"/>
  <c r="BF365" i="36"/>
  <c r="BE365" i="36"/>
  <c r="BD365" i="36"/>
  <c r="BC365" i="36"/>
  <c r="BB365" i="36"/>
  <c r="BA365" i="36"/>
  <c r="AZ365" i="36"/>
  <c r="AY365" i="36"/>
  <c r="AX365" i="36"/>
  <c r="AW365" i="36"/>
  <c r="AV365" i="36"/>
  <c r="AU365" i="36"/>
  <c r="AT365" i="36"/>
  <c r="AS365" i="36"/>
  <c r="AR365" i="36"/>
  <c r="AQ365" i="36"/>
  <c r="AP365" i="36"/>
  <c r="AO365" i="36"/>
  <c r="AN365" i="36"/>
  <c r="AM365" i="36"/>
  <c r="AL365" i="36"/>
  <c r="AK365" i="36"/>
  <c r="AJ365" i="36"/>
  <c r="AI365" i="36"/>
  <c r="AH365" i="36"/>
  <c r="AG365" i="36"/>
  <c r="AF365" i="36"/>
  <c r="AE365" i="36"/>
  <c r="AD365" i="36"/>
  <c r="AC365" i="36"/>
  <c r="AB365" i="36"/>
  <c r="AA365" i="36"/>
  <c r="Z365" i="36"/>
  <c r="Y365" i="36"/>
  <c r="X365" i="36"/>
  <c r="W365" i="36"/>
  <c r="V365" i="36"/>
  <c r="U365" i="36"/>
  <c r="T365" i="36"/>
  <c r="S365" i="36"/>
  <c r="R365" i="36"/>
  <c r="Q365" i="36"/>
  <c r="P365" i="36"/>
  <c r="O365" i="36"/>
  <c r="N365" i="36"/>
  <c r="L365" i="36"/>
  <c r="K365" i="36"/>
  <c r="I365" i="36"/>
  <c r="G365" i="36"/>
  <c r="F365" i="36"/>
  <c r="E365" i="36"/>
  <c r="D365" i="36"/>
  <c r="C365" i="36"/>
  <c r="B365" i="36"/>
  <c r="A365" i="36"/>
  <c r="BQ340" i="36"/>
  <c r="BP340" i="36"/>
  <c r="BO340" i="36"/>
  <c r="BN340" i="36"/>
  <c r="BM340" i="36"/>
  <c r="BL340" i="36"/>
  <c r="BK340" i="36"/>
  <c r="BJ340" i="36"/>
  <c r="BI340" i="36"/>
  <c r="BH340" i="36"/>
  <c r="BG340" i="36"/>
  <c r="BF340" i="36"/>
  <c r="BE340" i="36"/>
  <c r="BD340" i="36"/>
  <c r="BC340" i="36"/>
  <c r="BB340" i="36"/>
  <c r="BA340" i="36"/>
  <c r="AZ340" i="36"/>
  <c r="AY340" i="36"/>
  <c r="AX340" i="36"/>
  <c r="AW340" i="36"/>
  <c r="AV340" i="36"/>
  <c r="AU340" i="36"/>
  <c r="AT340" i="36"/>
  <c r="AS340" i="36"/>
  <c r="AR340" i="36"/>
  <c r="AQ340" i="36"/>
  <c r="AP340" i="36"/>
  <c r="AO340" i="36"/>
  <c r="AN340" i="36"/>
  <c r="AM340" i="36"/>
  <c r="AL340" i="36"/>
  <c r="AK340" i="36"/>
  <c r="AJ340" i="36"/>
  <c r="AI340" i="36"/>
  <c r="AH340" i="36"/>
  <c r="AG340" i="36"/>
  <c r="AF340" i="36"/>
  <c r="AE340" i="36"/>
  <c r="AD340" i="36"/>
  <c r="AC340" i="36"/>
  <c r="AB340" i="36"/>
  <c r="AA340" i="36"/>
  <c r="Z340" i="36"/>
  <c r="Y340" i="36"/>
  <c r="X340" i="36"/>
  <c r="W340" i="36"/>
  <c r="V340" i="36"/>
  <c r="U340" i="36"/>
  <c r="T340" i="36"/>
  <c r="S340" i="36"/>
  <c r="R340" i="36"/>
  <c r="Q340" i="36"/>
  <c r="P340" i="36"/>
  <c r="O340" i="36"/>
  <c r="N340" i="36"/>
  <c r="L340" i="36"/>
  <c r="K340" i="36"/>
  <c r="I340" i="36"/>
  <c r="G340" i="36"/>
  <c r="F340" i="36"/>
  <c r="E340" i="36"/>
  <c r="D340" i="36"/>
  <c r="C340" i="36"/>
  <c r="B340" i="36"/>
  <c r="A340" i="36"/>
  <c r="BQ313" i="36"/>
  <c r="BP313" i="36"/>
  <c r="BO313" i="36"/>
  <c r="BN313" i="36"/>
  <c r="BM313" i="36"/>
  <c r="BL313" i="36"/>
  <c r="BK313" i="36"/>
  <c r="BJ313" i="36"/>
  <c r="BI313" i="36"/>
  <c r="BH313" i="36"/>
  <c r="BG313" i="36"/>
  <c r="BF313" i="36"/>
  <c r="BE313" i="36"/>
  <c r="BD313" i="36"/>
  <c r="BC313" i="36"/>
  <c r="BB313" i="36"/>
  <c r="BA313" i="36"/>
  <c r="AZ313" i="36"/>
  <c r="AY313" i="36"/>
  <c r="AX313" i="36"/>
  <c r="AW313" i="36"/>
  <c r="AV313" i="36"/>
  <c r="AU313" i="36"/>
  <c r="AT313" i="36"/>
  <c r="AS313" i="36"/>
  <c r="AR313" i="36"/>
  <c r="AQ313" i="36"/>
  <c r="AP313" i="36"/>
  <c r="AO313" i="36"/>
  <c r="AN313" i="36"/>
  <c r="AM313" i="36"/>
  <c r="AL313" i="36"/>
  <c r="AK313" i="36"/>
  <c r="AJ313" i="36"/>
  <c r="AI313" i="36"/>
  <c r="AH313" i="36"/>
  <c r="AG313" i="36"/>
  <c r="AF313" i="36"/>
  <c r="AE313" i="36"/>
  <c r="AD313" i="36"/>
  <c r="AC313" i="36"/>
  <c r="AB313" i="36"/>
  <c r="AA313" i="36"/>
  <c r="Z313" i="36"/>
  <c r="Y313" i="36"/>
  <c r="X313" i="36"/>
  <c r="W313" i="36"/>
  <c r="V313" i="36"/>
  <c r="U313" i="36"/>
  <c r="T313" i="36"/>
  <c r="S313" i="36"/>
  <c r="R313" i="36"/>
  <c r="Q313" i="36"/>
  <c r="P313" i="36"/>
  <c r="O313" i="36"/>
  <c r="N313" i="36"/>
  <c r="L313" i="36"/>
  <c r="K313" i="36"/>
  <c r="I313" i="36"/>
  <c r="G313" i="36"/>
  <c r="F313" i="36"/>
  <c r="E313" i="36"/>
  <c r="D313" i="36"/>
  <c r="C313" i="36"/>
  <c r="B313" i="36"/>
  <c r="A313" i="36"/>
  <c r="BQ286" i="36"/>
  <c r="BP286" i="36"/>
  <c r="BO286" i="36"/>
  <c r="BN286" i="36"/>
  <c r="BM286" i="36"/>
  <c r="BL286" i="36"/>
  <c r="BK286" i="36"/>
  <c r="BJ286" i="36"/>
  <c r="BI286" i="36"/>
  <c r="BH286" i="36"/>
  <c r="BG286" i="36"/>
  <c r="BF286" i="36"/>
  <c r="BE286" i="36"/>
  <c r="BD286" i="36"/>
  <c r="BC286" i="36"/>
  <c r="BB286" i="36"/>
  <c r="BA286" i="36"/>
  <c r="AZ286" i="36"/>
  <c r="AY286" i="36"/>
  <c r="AX286" i="36"/>
  <c r="AW286" i="36"/>
  <c r="AV286" i="36"/>
  <c r="AU286" i="36"/>
  <c r="AT286" i="36"/>
  <c r="AS286" i="36"/>
  <c r="AR286" i="36"/>
  <c r="AQ286" i="36"/>
  <c r="AP286" i="36"/>
  <c r="AO286" i="36"/>
  <c r="AN286" i="36"/>
  <c r="AM286" i="36"/>
  <c r="AL286" i="36"/>
  <c r="AK286" i="36"/>
  <c r="AJ286" i="36"/>
  <c r="AI286" i="36"/>
  <c r="AH286" i="36"/>
  <c r="AG286" i="36"/>
  <c r="AF286" i="36"/>
  <c r="AE286" i="36"/>
  <c r="AD286" i="36"/>
  <c r="AC286" i="36"/>
  <c r="AB286" i="36"/>
  <c r="AA286" i="36"/>
  <c r="Z286" i="36"/>
  <c r="Y286" i="36"/>
  <c r="X286" i="36"/>
  <c r="W286" i="36"/>
  <c r="V286" i="36"/>
  <c r="U286" i="36"/>
  <c r="T286" i="36"/>
  <c r="S286" i="36"/>
  <c r="R286" i="36"/>
  <c r="Q286" i="36"/>
  <c r="P286" i="36"/>
  <c r="O286" i="36"/>
  <c r="N286" i="36"/>
  <c r="L286" i="36"/>
  <c r="K286" i="36"/>
  <c r="J286" i="36"/>
  <c r="I286" i="36"/>
  <c r="H286" i="36"/>
  <c r="G286" i="36"/>
  <c r="F286" i="36"/>
  <c r="E286" i="36"/>
  <c r="D286" i="36"/>
  <c r="C286" i="36"/>
  <c r="B286" i="36"/>
  <c r="A286" i="36"/>
  <c r="BQ260" i="36"/>
  <c r="BP260" i="36"/>
  <c r="BO260" i="36"/>
  <c r="BN260" i="36"/>
  <c r="BM260" i="36"/>
  <c r="BL260" i="36"/>
  <c r="BK260" i="36"/>
  <c r="BJ260" i="36"/>
  <c r="BI260" i="36"/>
  <c r="BH260" i="36"/>
  <c r="BG260" i="36"/>
  <c r="BF260" i="36"/>
  <c r="BE260" i="36"/>
  <c r="BD260" i="36"/>
  <c r="BC260" i="36"/>
  <c r="BB260" i="36"/>
  <c r="BA260" i="36"/>
  <c r="AZ260" i="36"/>
  <c r="AY260" i="36"/>
  <c r="AX260" i="36"/>
  <c r="AW260" i="36"/>
  <c r="AV260" i="36"/>
  <c r="AU260" i="36"/>
  <c r="AT260" i="36"/>
  <c r="AS260" i="36"/>
  <c r="AR260" i="36"/>
  <c r="AQ260" i="36"/>
  <c r="AP260" i="36"/>
  <c r="AO260" i="36"/>
  <c r="AN260" i="36"/>
  <c r="AM260" i="36"/>
  <c r="AL260" i="36"/>
  <c r="AK260" i="36"/>
  <c r="AJ260" i="36"/>
  <c r="AI260" i="36"/>
  <c r="AH260" i="36"/>
  <c r="AG260" i="36"/>
  <c r="AF260" i="36"/>
  <c r="AE260" i="36"/>
  <c r="AD260" i="36"/>
  <c r="AC260" i="36"/>
  <c r="AB260" i="36"/>
  <c r="AA260" i="36"/>
  <c r="Z260" i="36"/>
  <c r="Y260" i="36"/>
  <c r="X260" i="36"/>
  <c r="W260" i="36"/>
  <c r="V260" i="36"/>
  <c r="U260" i="36"/>
  <c r="T260" i="36"/>
  <c r="S260" i="36"/>
  <c r="R260" i="36"/>
  <c r="Q260" i="36"/>
  <c r="P260" i="36"/>
  <c r="O260" i="36"/>
  <c r="N260" i="36"/>
  <c r="L260" i="36"/>
  <c r="K260" i="36"/>
  <c r="J260" i="36"/>
  <c r="I260" i="36"/>
  <c r="H260" i="36"/>
  <c r="G260" i="36"/>
  <c r="F260" i="36"/>
  <c r="E260" i="36"/>
  <c r="D260" i="36"/>
  <c r="C260" i="36"/>
  <c r="B260" i="36"/>
  <c r="A260" i="36"/>
  <c r="BQ232" i="36"/>
  <c r="BP232" i="36"/>
  <c r="BO232" i="36"/>
  <c r="BN232" i="36"/>
  <c r="BM232" i="36"/>
  <c r="BL232" i="36"/>
  <c r="BK232" i="36"/>
  <c r="BJ232" i="36"/>
  <c r="BI232" i="36"/>
  <c r="BH232" i="36"/>
  <c r="BG232" i="36"/>
  <c r="BF232" i="36"/>
  <c r="BE232" i="36"/>
  <c r="BD232" i="36"/>
  <c r="BC232" i="36"/>
  <c r="BB232" i="36"/>
  <c r="BA232" i="36"/>
  <c r="AZ232" i="36"/>
  <c r="AY232" i="36"/>
  <c r="AX232" i="36"/>
  <c r="AW232" i="36"/>
  <c r="AV232" i="36"/>
  <c r="AU232" i="36"/>
  <c r="AT232" i="36"/>
  <c r="AS232" i="36"/>
  <c r="AR232" i="36"/>
  <c r="AQ232" i="36"/>
  <c r="AP232" i="36"/>
  <c r="AO232" i="36"/>
  <c r="AN232" i="36"/>
  <c r="AM232" i="36"/>
  <c r="AL232" i="36"/>
  <c r="AK232" i="36"/>
  <c r="AJ232" i="36"/>
  <c r="AI232" i="36"/>
  <c r="AH232" i="36"/>
  <c r="AG232" i="36"/>
  <c r="AF232" i="36"/>
  <c r="AE232" i="36"/>
  <c r="AD232" i="36"/>
  <c r="AC232" i="36"/>
  <c r="AB232" i="36"/>
  <c r="AA232" i="36"/>
  <c r="Z232" i="36"/>
  <c r="Y232" i="36"/>
  <c r="X232" i="36"/>
  <c r="W232" i="36"/>
  <c r="V232" i="36"/>
  <c r="U232" i="36"/>
  <c r="T232" i="36"/>
  <c r="S232" i="36"/>
  <c r="R232" i="36"/>
  <c r="Q232" i="36"/>
  <c r="P232" i="36"/>
  <c r="O232" i="36"/>
  <c r="N232" i="36"/>
  <c r="L232" i="36"/>
  <c r="K232" i="36"/>
  <c r="J232" i="36"/>
  <c r="I232" i="36"/>
  <c r="H232" i="36"/>
  <c r="G232" i="36"/>
  <c r="F232" i="36"/>
  <c r="E232" i="36"/>
  <c r="D232" i="36"/>
  <c r="C232" i="36"/>
  <c r="B232" i="36"/>
  <c r="A232" i="36"/>
  <c r="BQ204" i="36"/>
  <c r="BP204" i="36"/>
  <c r="BO204" i="36"/>
  <c r="BN204" i="36"/>
  <c r="BM204" i="36"/>
  <c r="BL204" i="36"/>
  <c r="BK204" i="36"/>
  <c r="BJ204" i="36"/>
  <c r="BI204" i="36"/>
  <c r="BH204" i="36"/>
  <c r="BG204" i="36"/>
  <c r="BF204" i="36"/>
  <c r="BE204" i="36"/>
  <c r="BD204" i="36"/>
  <c r="BC204" i="36"/>
  <c r="BB204" i="36"/>
  <c r="BA204" i="36"/>
  <c r="AZ204" i="36"/>
  <c r="AY204" i="36"/>
  <c r="AX204" i="36"/>
  <c r="AW204" i="36"/>
  <c r="AV204" i="36"/>
  <c r="AU204" i="36"/>
  <c r="AT204" i="36"/>
  <c r="AS204" i="36"/>
  <c r="AR204" i="36"/>
  <c r="AQ204" i="36"/>
  <c r="AP204" i="36"/>
  <c r="AO204" i="36"/>
  <c r="AN204" i="36"/>
  <c r="AM204" i="36"/>
  <c r="AL204" i="36"/>
  <c r="AK204" i="36"/>
  <c r="AJ204" i="36"/>
  <c r="AI204" i="36"/>
  <c r="AH204" i="36"/>
  <c r="AG204" i="36"/>
  <c r="AF204" i="36"/>
  <c r="AE204" i="36"/>
  <c r="AD204" i="36"/>
  <c r="AC204" i="36"/>
  <c r="AB204" i="36"/>
  <c r="AA204" i="36"/>
  <c r="Z204" i="36"/>
  <c r="Y204" i="36"/>
  <c r="X204" i="36"/>
  <c r="W204" i="36"/>
  <c r="V204" i="36"/>
  <c r="U204" i="36"/>
  <c r="T204" i="36"/>
  <c r="S204" i="36"/>
  <c r="R204" i="36"/>
  <c r="Q204" i="36"/>
  <c r="P204" i="36"/>
  <c r="O204" i="36"/>
  <c r="N204" i="36"/>
  <c r="L204" i="36"/>
  <c r="K204" i="36"/>
  <c r="J204" i="36"/>
  <c r="I204" i="36"/>
  <c r="H204" i="36"/>
  <c r="G204" i="36"/>
  <c r="F204" i="36"/>
  <c r="E204" i="36"/>
  <c r="D204" i="36"/>
  <c r="C204" i="36"/>
  <c r="B204" i="36"/>
  <c r="A204" i="36"/>
  <c r="BQ158" i="36"/>
  <c r="BP158" i="36"/>
  <c r="BO158" i="36"/>
  <c r="BN158" i="36"/>
  <c r="BM158" i="36"/>
  <c r="BL158" i="36"/>
  <c r="BK158" i="36"/>
  <c r="BJ158" i="36"/>
  <c r="BI158" i="36"/>
  <c r="BH158" i="36"/>
  <c r="BG158" i="36"/>
  <c r="BF158" i="36"/>
  <c r="BE158" i="36"/>
  <c r="BD158" i="36"/>
  <c r="BC158" i="36"/>
  <c r="BB158" i="36"/>
  <c r="BA158" i="36"/>
  <c r="AZ158" i="36"/>
  <c r="AY158" i="36"/>
  <c r="AX158" i="36"/>
  <c r="AW158" i="36"/>
  <c r="AV158" i="36"/>
  <c r="AU158" i="36"/>
  <c r="AT158" i="36"/>
  <c r="AS158" i="36"/>
  <c r="AR158" i="36"/>
  <c r="AQ158" i="36"/>
  <c r="AP158" i="36"/>
  <c r="AO158" i="36"/>
  <c r="AN158" i="36"/>
  <c r="AM158" i="36"/>
  <c r="AL158" i="36"/>
  <c r="AK158" i="36"/>
  <c r="AJ158" i="36"/>
  <c r="AI158" i="36"/>
  <c r="AH158" i="36"/>
  <c r="AG158" i="36"/>
  <c r="AF158" i="36"/>
  <c r="AE158" i="36"/>
  <c r="AD158" i="36"/>
  <c r="AC158" i="36"/>
  <c r="AB158" i="36"/>
  <c r="AA158" i="36"/>
  <c r="Z158" i="36"/>
  <c r="Y158" i="36"/>
  <c r="X158" i="36"/>
  <c r="W158" i="36"/>
  <c r="V158" i="36"/>
  <c r="U158" i="36"/>
  <c r="T158" i="36"/>
  <c r="S158" i="36"/>
  <c r="R158" i="36"/>
  <c r="Q158" i="36"/>
  <c r="P158" i="36"/>
  <c r="O158" i="36"/>
  <c r="N158" i="36"/>
  <c r="L158" i="36"/>
  <c r="K158" i="36"/>
  <c r="J158" i="36"/>
  <c r="I158" i="36"/>
  <c r="H158" i="36"/>
  <c r="G158" i="36"/>
  <c r="F158" i="36"/>
  <c r="E158" i="36"/>
  <c r="D158" i="36"/>
  <c r="C158" i="36"/>
  <c r="B158" i="36"/>
  <c r="A158" i="36"/>
  <c r="BQ111" i="36"/>
  <c r="BP111" i="36"/>
  <c r="BO111" i="36"/>
  <c r="BN111" i="36"/>
  <c r="BM111" i="36"/>
  <c r="BL111" i="36"/>
  <c r="BK111" i="36"/>
  <c r="BJ111" i="36"/>
  <c r="BI111" i="36"/>
  <c r="BH111" i="36"/>
  <c r="BG111" i="36"/>
  <c r="BF111" i="36"/>
  <c r="BE111" i="36"/>
  <c r="BD111" i="36"/>
  <c r="BC111" i="36"/>
  <c r="BB111" i="36"/>
  <c r="BA111" i="36"/>
  <c r="AZ111" i="36"/>
  <c r="AY111" i="36"/>
  <c r="AX111" i="36"/>
  <c r="AW111" i="36"/>
  <c r="AV111" i="36"/>
  <c r="AU111" i="36"/>
  <c r="AT111" i="36"/>
  <c r="AS111" i="36"/>
  <c r="AR111" i="36"/>
  <c r="AQ111" i="36"/>
  <c r="AP111" i="36"/>
  <c r="AO111" i="36"/>
  <c r="AN111" i="36"/>
  <c r="AM111" i="36"/>
  <c r="AL111" i="36"/>
  <c r="AK111" i="36"/>
  <c r="AJ111" i="36"/>
  <c r="AI111" i="36"/>
  <c r="AH111" i="36"/>
  <c r="AG111" i="36"/>
  <c r="AF111" i="36"/>
  <c r="AE111" i="36"/>
  <c r="AD111" i="36"/>
  <c r="AC111" i="36"/>
  <c r="AB111" i="36"/>
  <c r="AA111" i="36"/>
  <c r="Z111" i="36"/>
  <c r="Y111" i="36"/>
  <c r="X111" i="36"/>
  <c r="W111" i="36"/>
  <c r="V111" i="36"/>
  <c r="U111" i="36"/>
  <c r="T111" i="36"/>
  <c r="S111" i="36"/>
  <c r="R111" i="36"/>
  <c r="Q111" i="36"/>
  <c r="P111" i="36"/>
  <c r="O111" i="36"/>
  <c r="N111" i="36"/>
  <c r="L111" i="36"/>
  <c r="K111" i="36"/>
  <c r="J111" i="36"/>
  <c r="I111" i="36"/>
  <c r="H111" i="36"/>
  <c r="G111" i="36"/>
  <c r="F111" i="36"/>
  <c r="E111" i="36"/>
  <c r="D111" i="36"/>
  <c r="C111" i="36"/>
  <c r="B111" i="36"/>
  <c r="A111" i="36"/>
  <c r="M110" i="36"/>
  <c r="M111" i="36" s="1"/>
  <c r="BQ56" i="36"/>
  <c r="BP56" i="36"/>
  <c r="BO56" i="36"/>
  <c r="BN56" i="36"/>
  <c r="BM56" i="36"/>
  <c r="BL56" i="36"/>
  <c r="BK56" i="36"/>
  <c r="BJ56" i="36"/>
  <c r="BI56" i="36"/>
  <c r="BH56" i="36"/>
  <c r="BG56" i="36"/>
  <c r="BF56" i="36"/>
  <c r="BE56" i="36"/>
  <c r="BD56" i="36"/>
  <c r="BC56" i="36"/>
  <c r="BB56" i="36"/>
  <c r="BA56" i="36"/>
  <c r="AZ56" i="36"/>
  <c r="AY56" i="36"/>
  <c r="AX56" i="36"/>
  <c r="AW56" i="36"/>
  <c r="AV56" i="36"/>
  <c r="AU56" i="36"/>
  <c r="AT56" i="36"/>
  <c r="AS56" i="36"/>
  <c r="AR56" i="36"/>
  <c r="AQ56" i="36"/>
  <c r="AP56" i="36"/>
  <c r="AO56" i="36"/>
  <c r="AN56" i="36"/>
  <c r="AM56" i="36"/>
  <c r="AL56" i="36"/>
  <c r="AK56" i="36"/>
  <c r="AJ56" i="36"/>
  <c r="AI56" i="36"/>
  <c r="AH56" i="36"/>
  <c r="AG56" i="36"/>
  <c r="AF56" i="36"/>
  <c r="AE56" i="36"/>
  <c r="AD56" i="36"/>
  <c r="AC56" i="36"/>
  <c r="AB56" i="36"/>
  <c r="AA56" i="36"/>
  <c r="Z56" i="36"/>
  <c r="Y56" i="36"/>
  <c r="X56" i="36"/>
  <c r="W56" i="36"/>
  <c r="V56" i="36"/>
  <c r="U56" i="36"/>
  <c r="T56" i="36"/>
  <c r="S56" i="36"/>
  <c r="R56" i="36"/>
  <c r="Q56" i="36"/>
  <c r="P56" i="36"/>
  <c r="O56" i="36"/>
  <c r="N56" i="36"/>
  <c r="L56" i="36"/>
  <c r="K56" i="36"/>
  <c r="J56" i="36"/>
  <c r="I56" i="36"/>
  <c r="H56" i="36"/>
  <c r="G56" i="36"/>
  <c r="F56" i="36"/>
  <c r="E56" i="36"/>
  <c r="D56" i="36"/>
  <c r="C56" i="36"/>
  <c r="B56" i="36"/>
  <c r="A56" i="36"/>
  <c r="M55" i="36"/>
  <c r="M56" i="36" s="1"/>
  <c r="G75" i="32" l="1"/>
  <c r="G63" i="32"/>
  <c r="G43" i="32"/>
  <c r="B1" i="7" l="1"/>
  <c r="B1" i="80" l="1"/>
  <c r="B1" i="79"/>
  <c r="B1" i="2"/>
  <c r="B1" i="60"/>
  <c r="B1" i="59"/>
  <c r="B1" i="61"/>
  <c r="B1" i="38"/>
  <c r="B1" i="8"/>
  <c r="B1" i="21"/>
  <c r="CQ59" i="3" l="1"/>
  <c r="CQ58" i="3"/>
  <c r="CQ55" i="3"/>
  <c r="CN59" i="3"/>
  <c r="CN58" i="3"/>
  <c r="CN55" i="3"/>
  <c r="CK59" i="3"/>
  <c r="CK58" i="3"/>
  <c r="CK55" i="3"/>
  <c r="CH59" i="3"/>
  <c r="CH58" i="3"/>
  <c r="CH55" i="3"/>
  <c r="W110" i="53"/>
  <c r="W109" i="53"/>
  <c r="X109" i="53"/>
  <c r="CE59" i="3" l="1"/>
  <c r="CE58" i="3"/>
  <c r="CE55" i="3"/>
  <c r="I10" i="3" l="1"/>
  <c r="F26" i="2" l="1"/>
  <c r="F79" i="2"/>
  <c r="H99" i="7"/>
  <c r="J99" i="7" s="1"/>
  <c r="C21" i="19"/>
  <c r="B3" i="16"/>
  <c r="E21" i="19"/>
  <c r="B21" i="20" l="1"/>
  <c r="C4" i="8"/>
  <c r="C10" i="3"/>
  <c r="B20" i="32" l="1"/>
  <c r="B19" i="32"/>
  <c r="B18" i="32"/>
  <c r="B17" i="32"/>
  <c r="B16" i="32"/>
  <c r="B15" i="32"/>
  <c r="B14" i="32"/>
  <c r="H15" i="32"/>
  <c r="H16" i="32"/>
  <c r="B12" i="32"/>
  <c r="B10" i="32"/>
  <c r="B8" i="32"/>
  <c r="B7" i="32"/>
  <c r="B6" i="32"/>
  <c r="B5" i="32"/>
  <c r="B4" i="32"/>
  <c r="H6" i="32"/>
  <c r="T8" i="38" l="1"/>
  <c r="R8" i="38"/>
  <c r="S8" i="38"/>
  <c r="AA7" i="80"/>
  <c r="Z7" i="80"/>
  <c r="AA7" i="60"/>
  <c r="Y7" i="60"/>
  <c r="Z7" i="60"/>
  <c r="Y7" i="80"/>
  <c r="L17" i="31"/>
  <c r="K17" i="31"/>
  <c r="J17" i="31"/>
  <c r="I17" i="31"/>
  <c r="H17" i="31"/>
  <c r="G17" i="31"/>
  <c r="F17" i="31"/>
  <c r="E17" i="31"/>
  <c r="D17" i="31"/>
  <c r="C17" i="31"/>
  <c r="L16" i="31"/>
  <c r="K16" i="31"/>
  <c r="J16" i="31"/>
  <c r="I16" i="31"/>
  <c r="H16" i="31"/>
  <c r="G16" i="31"/>
  <c r="F16" i="31"/>
  <c r="E16" i="31"/>
  <c r="D16" i="31"/>
  <c r="C16" i="31"/>
  <c r="L15" i="31"/>
  <c r="K15" i="31"/>
  <c r="J15" i="31"/>
  <c r="I15" i="31"/>
  <c r="H15" i="31"/>
  <c r="G15" i="31"/>
  <c r="F15" i="31"/>
  <c r="E15" i="31"/>
  <c r="D15" i="31"/>
  <c r="C15" i="31"/>
  <c r="L14" i="31"/>
  <c r="K14" i="31"/>
  <c r="J14" i="31"/>
  <c r="I14" i="31"/>
  <c r="H14" i="31"/>
  <c r="G14" i="31"/>
  <c r="F14" i="31"/>
  <c r="E14" i="31"/>
  <c r="D14" i="31"/>
  <c r="C14" i="31"/>
  <c r="L13" i="31"/>
  <c r="K13" i="31"/>
  <c r="J13" i="31"/>
  <c r="I13" i="31"/>
  <c r="H13" i="31"/>
  <c r="G13" i="31"/>
  <c r="F13" i="31"/>
  <c r="E13" i="31"/>
  <c r="D13" i="31"/>
  <c r="C13" i="31"/>
  <c r="L12" i="31"/>
  <c r="K12" i="31"/>
  <c r="J12" i="31"/>
  <c r="I12" i="31"/>
  <c r="H12" i="31"/>
  <c r="G12" i="31"/>
  <c r="F12" i="31"/>
  <c r="E12" i="31"/>
  <c r="D12" i="31"/>
  <c r="C12" i="31"/>
  <c r="L11" i="31"/>
  <c r="K11" i="31"/>
  <c r="J11" i="31"/>
  <c r="I11" i="31"/>
  <c r="H11" i="31"/>
  <c r="G11" i="31"/>
  <c r="F11" i="31"/>
  <c r="E11" i="31"/>
  <c r="D11" i="31"/>
  <c r="C11" i="31"/>
  <c r="L10" i="31"/>
  <c r="K10" i="31"/>
  <c r="J10" i="31"/>
  <c r="I10" i="31"/>
  <c r="H10" i="31"/>
  <c r="G10" i="31"/>
  <c r="F10" i="31"/>
  <c r="E10" i="31"/>
  <c r="D10" i="31"/>
  <c r="C10" i="31"/>
  <c r="L9" i="31"/>
  <c r="K9" i="31"/>
  <c r="J9" i="31"/>
  <c r="I9" i="31"/>
  <c r="H9" i="31"/>
  <c r="G9" i="31"/>
  <c r="F9" i="31"/>
  <c r="E9" i="31"/>
  <c r="D9" i="31"/>
  <c r="C9" i="31"/>
  <c r="L8" i="31"/>
  <c r="K8" i="31"/>
  <c r="J8" i="31"/>
  <c r="I8" i="31"/>
  <c r="H8" i="31"/>
  <c r="G8" i="31"/>
  <c r="F8" i="31"/>
  <c r="E8" i="31"/>
  <c r="D8" i="31"/>
  <c r="C8" i="31"/>
  <c r="L7" i="31"/>
  <c r="K7" i="31"/>
  <c r="J7" i="31"/>
  <c r="I7" i="31"/>
  <c r="H7" i="31"/>
  <c r="G7" i="31"/>
  <c r="F7" i="31"/>
  <c r="E7" i="31"/>
  <c r="D7" i="31"/>
  <c r="C7" i="31"/>
  <c r="L6" i="31"/>
  <c r="K6" i="31"/>
  <c r="J6" i="31"/>
  <c r="I6" i="31"/>
  <c r="H6" i="31"/>
  <c r="G6" i="31"/>
  <c r="F6" i="31"/>
  <c r="E6" i="31"/>
  <c r="D6" i="31"/>
  <c r="C6" i="31"/>
  <c r="L5" i="31"/>
  <c r="K5" i="31"/>
  <c r="J5" i="31"/>
  <c r="I5" i="31"/>
  <c r="H5" i="31"/>
  <c r="G5" i="31"/>
  <c r="F5" i="31"/>
  <c r="E5" i="31"/>
  <c r="D5" i="31"/>
  <c r="C5" i="31"/>
  <c r="L4" i="31"/>
  <c r="K4" i="31"/>
  <c r="J4" i="31"/>
  <c r="I4" i="31"/>
  <c r="H4" i="31"/>
  <c r="G4" i="31"/>
  <c r="F4" i="31"/>
  <c r="E4" i="31"/>
  <c r="D4" i="31"/>
  <c r="C4" i="31"/>
  <c r="L3" i="31"/>
  <c r="K3" i="31"/>
  <c r="J3" i="31"/>
  <c r="I3" i="31"/>
  <c r="H3" i="31"/>
  <c r="G3" i="31"/>
  <c r="F3" i="31"/>
  <c r="E3" i="31"/>
  <c r="D3" i="31"/>
  <c r="C3" i="31"/>
  <c r="H12" i="32" l="1"/>
  <c r="H20" i="32"/>
  <c r="B43" i="32"/>
  <c r="B42" i="32"/>
  <c r="B75" i="32"/>
  <c r="B74" i="32"/>
  <c r="B63" i="32"/>
  <c r="B16" i="31" l="1"/>
  <c r="B70" i="28" s="1"/>
  <c r="B17" i="34"/>
  <c r="B35" i="34" s="1"/>
  <c r="B16" i="34"/>
  <c r="B34" i="34" s="1"/>
  <c r="B15" i="34"/>
  <c r="B33" i="34" s="1"/>
  <c r="B14" i="34"/>
  <c r="B32" i="34" s="1"/>
  <c r="B13" i="34"/>
  <c r="B31" i="34" s="1"/>
  <c r="B12" i="34"/>
  <c r="B30" i="34" s="1"/>
  <c r="B11" i="34"/>
  <c r="B29" i="34" s="1"/>
  <c r="B10" i="34"/>
  <c r="B28" i="34" s="1"/>
  <c r="B9" i="34"/>
  <c r="B27" i="34" s="1"/>
  <c r="B8" i="34"/>
  <c r="B26" i="34" s="1"/>
  <c r="B7" i="34"/>
  <c r="B25" i="34" s="1"/>
  <c r="B6" i="34"/>
  <c r="B24" i="34" s="1"/>
  <c r="B5" i="34"/>
  <c r="B23" i="34" s="1"/>
  <c r="B4" i="34"/>
  <c r="B22" i="34" s="1"/>
  <c r="B3" i="34"/>
  <c r="B21" i="34" s="1"/>
  <c r="B2" i="34"/>
  <c r="B20" i="34" s="1"/>
  <c r="L1" i="34"/>
  <c r="L19" i="34" s="1"/>
  <c r="K1" i="34"/>
  <c r="K19" i="34" s="1"/>
  <c r="J1" i="34"/>
  <c r="J19" i="34" s="1"/>
  <c r="I1" i="34"/>
  <c r="I19" i="34" s="1"/>
  <c r="H1" i="34"/>
  <c r="H19" i="34" s="1"/>
  <c r="G1" i="34"/>
  <c r="G19" i="34" s="1"/>
  <c r="F1" i="34"/>
  <c r="F19" i="34" s="1"/>
  <c r="E1" i="34"/>
  <c r="E19" i="34" s="1"/>
  <c r="D1" i="34"/>
  <c r="D19" i="34" s="1"/>
  <c r="C1" i="34"/>
  <c r="C19" i="34" s="1"/>
  <c r="L52" i="28"/>
  <c r="K52" i="28"/>
  <c r="J52" i="28"/>
  <c r="I52" i="28"/>
  <c r="H52" i="28"/>
  <c r="G52" i="28"/>
  <c r="F52" i="28"/>
  <c r="E52" i="28"/>
  <c r="D52" i="28"/>
  <c r="C52" i="28"/>
  <c r="L34" i="28"/>
  <c r="K34" i="28"/>
  <c r="J34" i="28"/>
  <c r="I34" i="28"/>
  <c r="H34" i="28"/>
  <c r="G34" i="28"/>
  <c r="F34" i="28"/>
  <c r="E34" i="28"/>
  <c r="D34" i="28"/>
  <c r="C34" i="28"/>
  <c r="B16" i="28"/>
  <c r="B52" i="28" s="1"/>
  <c r="B34" i="28" l="1"/>
  <c r="B106" i="28"/>
  <c r="B88" i="28"/>
  <c r="B34" i="31"/>
  <c r="B70" i="24"/>
  <c r="G41" i="34"/>
  <c r="B57" i="34"/>
  <c r="J41" i="34"/>
  <c r="B53" i="34"/>
  <c r="B45" i="34"/>
  <c r="C41" i="34"/>
  <c r="K41" i="34"/>
  <c r="B49" i="34"/>
  <c r="F41" i="34"/>
  <c r="B42" i="34"/>
  <c r="B50" i="34"/>
  <c r="B43" i="34"/>
  <c r="B47" i="34"/>
  <c r="B51" i="34"/>
  <c r="B55" i="34"/>
  <c r="D41" i="34"/>
  <c r="H41" i="34"/>
  <c r="L41" i="34"/>
  <c r="B46" i="34"/>
  <c r="B54" i="34"/>
  <c r="B44" i="34"/>
  <c r="B48" i="34"/>
  <c r="B52" i="34"/>
  <c r="B56" i="34"/>
  <c r="E41" i="34"/>
  <c r="I41" i="34"/>
  <c r="B52" i="31"/>
  <c r="B71" i="31"/>
  <c r="H5" i="32" l="1"/>
  <c r="H7" i="32"/>
  <c r="H17" i="32"/>
  <c r="E1" i="50" l="1"/>
  <c r="E2" i="50"/>
  <c r="F2" i="50"/>
  <c r="B3" i="50"/>
  <c r="Q3" i="50"/>
  <c r="B207" i="50" l="1"/>
  <c r="B204" i="50"/>
  <c r="B64" i="32" l="1"/>
  <c r="AA237" i="56" l="1"/>
  <c r="AA235" i="56"/>
  <c r="AA233" i="56"/>
  <c r="AA231" i="56"/>
  <c r="AA229" i="56"/>
  <c r="AA227" i="56"/>
  <c r="AA225" i="56"/>
  <c r="AA223" i="56"/>
  <c r="AA221" i="56"/>
  <c r="AA219" i="56"/>
  <c r="AA217" i="56"/>
  <c r="AA215" i="56"/>
  <c r="AA213" i="56"/>
  <c r="AA211" i="56"/>
  <c r="AA209" i="56"/>
  <c r="AA207" i="56"/>
  <c r="AA205" i="56"/>
  <c r="AA203" i="56"/>
  <c r="AA201" i="56"/>
  <c r="AA199" i="56"/>
  <c r="AA197" i="56"/>
  <c r="AA195" i="56"/>
  <c r="AA193" i="56"/>
  <c r="AA191" i="56"/>
  <c r="AA189" i="56"/>
  <c r="AA187" i="56"/>
  <c r="AA185" i="56"/>
  <c r="AA183" i="56"/>
  <c r="AA181" i="56"/>
  <c r="AA179" i="56"/>
  <c r="AA177" i="56"/>
  <c r="AA175" i="56"/>
  <c r="AA173" i="56"/>
  <c r="AA171" i="56"/>
  <c r="AA169" i="56"/>
  <c r="AA167" i="56"/>
  <c r="AA165" i="56"/>
  <c r="AA163" i="56"/>
  <c r="AA161" i="56"/>
  <c r="AA159" i="56"/>
  <c r="AA157" i="56"/>
  <c r="AA155" i="56"/>
  <c r="AA153" i="56"/>
  <c r="AA151" i="56"/>
  <c r="AA149" i="56"/>
  <c r="AA147" i="56"/>
  <c r="AA145" i="56"/>
  <c r="AA143" i="56"/>
  <c r="AA141" i="56"/>
  <c r="AA139" i="56"/>
  <c r="AA137" i="56"/>
  <c r="AA135" i="56"/>
  <c r="AA133" i="56"/>
  <c r="AA131" i="56"/>
  <c r="AA129" i="56"/>
  <c r="AA127" i="56"/>
  <c r="AA125" i="56"/>
  <c r="AA123" i="56"/>
  <c r="AA121" i="56"/>
  <c r="AA119" i="56"/>
  <c r="AA118" i="56"/>
  <c r="AA117" i="56"/>
  <c r="AA116" i="56"/>
  <c r="AA115" i="56"/>
  <c r="AA114" i="56"/>
  <c r="AA113" i="56"/>
  <c r="AA112" i="56"/>
  <c r="AA111" i="56"/>
  <c r="AA110" i="56"/>
  <c r="AA109" i="56"/>
  <c r="AA108" i="56"/>
  <c r="AA107" i="56"/>
  <c r="AA106" i="56"/>
  <c r="AA105" i="56"/>
  <c r="AA104" i="56"/>
  <c r="AA103" i="56"/>
  <c r="AA102" i="56"/>
  <c r="AA101" i="56"/>
  <c r="AA100" i="56"/>
  <c r="AA99" i="56"/>
  <c r="AA98" i="56"/>
  <c r="AA97" i="56"/>
  <c r="AA96" i="56"/>
  <c r="AA95" i="56"/>
  <c r="AA94" i="56"/>
  <c r="AA93" i="56"/>
  <c r="AA92" i="56"/>
  <c r="AA91" i="56"/>
  <c r="AA90" i="56"/>
  <c r="AA89" i="56"/>
  <c r="AA88" i="56"/>
  <c r="AA87" i="56"/>
  <c r="AA86" i="56"/>
  <c r="AA85" i="56"/>
  <c r="AA84" i="56"/>
  <c r="AA83" i="56"/>
  <c r="AA82" i="56"/>
  <c r="AA81" i="56"/>
  <c r="AA80" i="56"/>
  <c r="AA78" i="56"/>
  <c r="AA77" i="56"/>
  <c r="AA76" i="56"/>
  <c r="AA75" i="56"/>
  <c r="AA74" i="56"/>
  <c r="AA73" i="56"/>
  <c r="AA72" i="56"/>
  <c r="AA71" i="56"/>
  <c r="AA70" i="56"/>
  <c r="AA69" i="56"/>
  <c r="AA68" i="56"/>
  <c r="AA67" i="56"/>
  <c r="AA66" i="56"/>
  <c r="AA65" i="56"/>
  <c r="AA64" i="56"/>
  <c r="AA63" i="56"/>
  <c r="AA62" i="56"/>
  <c r="AA61" i="56"/>
  <c r="AA60" i="56"/>
  <c r="AA59" i="56"/>
  <c r="AA58" i="56"/>
  <c r="AA57" i="56"/>
  <c r="AA56" i="56"/>
  <c r="AA55" i="56"/>
  <c r="AA54" i="56"/>
  <c r="AA53" i="56"/>
  <c r="AA52" i="56"/>
  <c r="AA51" i="56"/>
  <c r="AA50" i="56"/>
  <c r="AA49" i="56"/>
  <c r="AA48" i="56"/>
  <c r="AA47" i="56"/>
  <c r="AA46" i="56"/>
  <c r="AA45" i="56"/>
  <c r="AA44" i="56"/>
  <c r="AA43" i="56"/>
  <c r="AA42" i="56"/>
  <c r="AA41" i="56"/>
  <c r="AA40" i="56"/>
  <c r="AA39" i="56"/>
  <c r="AA38" i="56"/>
  <c r="AA37" i="56"/>
  <c r="AA36" i="56"/>
  <c r="AA35" i="56"/>
  <c r="AA34" i="56"/>
  <c r="AA33" i="56"/>
  <c r="AA32" i="56"/>
  <c r="AA31" i="56"/>
  <c r="AA30" i="56"/>
  <c r="AA29" i="56"/>
  <c r="AA28" i="56"/>
  <c r="AA27" i="56"/>
  <c r="AA26" i="56"/>
  <c r="AA25" i="56"/>
  <c r="Z24" i="56"/>
  <c r="AA23" i="56"/>
  <c r="AA22" i="56"/>
  <c r="AA21" i="56"/>
  <c r="AA20" i="56"/>
  <c r="AA19" i="56"/>
  <c r="AA18" i="56"/>
  <c r="Z18" i="56" l="1"/>
  <c r="Z22" i="56"/>
  <c r="Z26" i="56"/>
  <c r="Z30" i="56"/>
  <c r="Z34" i="56"/>
  <c r="Z38" i="56"/>
  <c r="Z42" i="56"/>
  <c r="Z46" i="56"/>
  <c r="Z50" i="56"/>
  <c r="Z54" i="56"/>
  <c r="Z58" i="56"/>
  <c r="Z62" i="56"/>
  <c r="Z66" i="56"/>
  <c r="Z70" i="56"/>
  <c r="Z74" i="56"/>
  <c r="Z78" i="56"/>
  <c r="Z82" i="56"/>
  <c r="Z86" i="56"/>
  <c r="Z90" i="56"/>
  <c r="Z94" i="56"/>
  <c r="Z98" i="56"/>
  <c r="Z102" i="56"/>
  <c r="Z106" i="56"/>
  <c r="Z110" i="56"/>
  <c r="Z114" i="56"/>
  <c r="Z118" i="56"/>
  <c r="Z125" i="56"/>
  <c r="Z133" i="56"/>
  <c r="Z141" i="56"/>
  <c r="Z149" i="56"/>
  <c r="Z157" i="56"/>
  <c r="Z165" i="56"/>
  <c r="Z173" i="56"/>
  <c r="Z181" i="56"/>
  <c r="Z189" i="56"/>
  <c r="Z197" i="56"/>
  <c r="Z205" i="56"/>
  <c r="Z213" i="56"/>
  <c r="Z221" i="56"/>
  <c r="Z229" i="56"/>
  <c r="Z237" i="56"/>
  <c r="AA24" i="56"/>
  <c r="AA120" i="56"/>
  <c r="Z120" i="56"/>
  <c r="AA124" i="56"/>
  <c r="Z124" i="56"/>
  <c r="AA128" i="56"/>
  <c r="Z128" i="56"/>
  <c r="AA132" i="56"/>
  <c r="Z132" i="56"/>
  <c r="AA136" i="56"/>
  <c r="Z136" i="56"/>
  <c r="AA140" i="56"/>
  <c r="Z140" i="56"/>
  <c r="AA144" i="56"/>
  <c r="Z144" i="56"/>
  <c r="AA148" i="56"/>
  <c r="Z148" i="56"/>
  <c r="AA152" i="56"/>
  <c r="Z152" i="56"/>
  <c r="AA156" i="56"/>
  <c r="Z156" i="56"/>
  <c r="AA160" i="56"/>
  <c r="Z160" i="56"/>
  <c r="AA164" i="56"/>
  <c r="Z164" i="56"/>
  <c r="AA168" i="56"/>
  <c r="Z168" i="56"/>
  <c r="AA172" i="56"/>
  <c r="Z172" i="56"/>
  <c r="AA176" i="56"/>
  <c r="Z176" i="56"/>
  <c r="AA180" i="56"/>
  <c r="Z180" i="56"/>
  <c r="AA184" i="56"/>
  <c r="Z184" i="56"/>
  <c r="AA188" i="56"/>
  <c r="Z188" i="56"/>
  <c r="AA192" i="56"/>
  <c r="Z192" i="56"/>
  <c r="AA196" i="56"/>
  <c r="Z196" i="56"/>
  <c r="AA200" i="56"/>
  <c r="Z200" i="56"/>
  <c r="AA204" i="56"/>
  <c r="Z204" i="56"/>
  <c r="AA208" i="56"/>
  <c r="Z208" i="56"/>
  <c r="AA212" i="56"/>
  <c r="Z212" i="56"/>
  <c r="AA216" i="56"/>
  <c r="Z216" i="56"/>
  <c r="AA220" i="56"/>
  <c r="Z220" i="56"/>
  <c r="AA224" i="56"/>
  <c r="Z224" i="56"/>
  <c r="AA228" i="56"/>
  <c r="Z228" i="56"/>
  <c r="AA232" i="56"/>
  <c r="Z232" i="56"/>
  <c r="AA236" i="56"/>
  <c r="Z236" i="56"/>
  <c r="Z19" i="56"/>
  <c r="Z23" i="56"/>
  <c r="Z27" i="56"/>
  <c r="Z31" i="56"/>
  <c r="Z35" i="56"/>
  <c r="Z39" i="56"/>
  <c r="Z43" i="56"/>
  <c r="Z47" i="56"/>
  <c r="Z51" i="56"/>
  <c r="Z55" i="56"/>
  <c r="Z59" i="56"/>
  <c r="Z63" i="56"/>
  <c r="Z67" i="56"/>
  <c r="Z71" i="56"/>
  <c r="Z75" i="56"/>
  <c r="Z79" i="56"/>
  <c r="Z83" i="56"/>
  <c r="Z87" i="56"/>
  <c r="Z91" i="56"/>
  <c r="Z95" i="56"/>
  <c r="Z99" i="56"/>
  <c r="Z103" i="56"/>
  <c r="Z107" i="56"/>
  <c r="Z111" i="56"/>
  <c r="Z115" i="56"/>
  <c r="Z119" i="56"/>
  <c r="Z127" i="56"/>
  <c r="Z135" i="56"/>
  <c r="Z143" i="56"/>
  <c r="Z151" i="56"/>
  <c r="Z159" i="56"/>
  <c r="Z167" i="56"/>
  <c r="Z175" i="56"/>
  <c r="Z183" i="56"/>
  <c r="Z191" i="56"/>
  <c r="Z199" i="56"/>
  <c r="Z207" i="56"/>
  <c r="Z215" i="56"/>
  <c r="Z223" i="56"/>
  <c r="Z231" i="56"/>
  <c r="Z20" i="56"/>
  <c r="Z28" i="56"/>
  <c r="Z32" i="56"/>
  <c r="Z36" i="56"/>
  <c r="Z40" i="56"/>
  <c r="Z44" i="56"/>
  <c r="Z48" i="56"/>
  <c r="Z52" i="56"/>
  <c r="Z56" i="56"/>
  <c r="Z60" i="56"/>
  <c r="Z64" i="56"/>
  <c r="Z68" i="56"/>
  <c r="Z72" i="56"/>
  <c r="Z76" i="56"/>
  <c r="Z80" i="56"/>
  <c r="Z84" i="56"/>
  <c r="Z88" i="56"/>
  <c r="Z92" i="56"/>
  <c r="Z96" i="56"/>
  <c r="Z100" i="56"/>
  <c r="Z104" i="56"/>
  <c r="Z108" i="56"/>
  <c r="Z112" i="56"/>
  <c r="Z116" i="56"/>
  <c r="Z121" i="56"/>
  <c r="Z129" i="56"/>
  <c r="Z137" i="56"/>
  <c r="Z145" i="56"/>
  <c r="Z153" i="56"/>
  <c r="Z161" i="56"/>
  <c r="Z169" i="56"/>
  <c r="Z177" i="56"/>
  <c r="Z185" i="56"/>
  <c r="Z193" i="56"/>
  <c r="Z201" i="56"/>
  <c r="Z209" i="56"/>
  <c r="Z217" i="56"/>
  <c r="Z225" i="56"/>
  <c r="Z233" i="56"/>
  <c r="AA122" i="56"/>
  <c r="Z122" i="56"/>
  <c r="AA126" i="56"/>
  <c r="Z126" i="56"/>
  <c r="AA130" i="56"/>
  <c r="Z130" i="56"/>
  <c r="AA134" i="56"/>
  <c r="Z134" i="56"/>
  <c r="AA138" i="56"/>
  <c r="Z138" i="56"/>
  <c r="AA142" i="56"/>
  <c r="Z142" i="56"/>
  <c r="AA146" i="56"/>
  <c r="Z146" i="56"/>
  <c r="AA150" i="56"/>
  <c r="Z150" i="56"/>
  <c r="AA154" i="56"/>
  <c r="Z154" i="56"/>
  <c r="AA158" i="56"/>
  <c r="Z158" i="56"/>
  <c r="AA162" i="56"/>
  <c r="Z162" i="56"/>
  <c r="AA166" i="56"/>
  <c r="Z166" i="56"/>
  <c r="AA170" i="56"/>
  <c r="Z170" i="56"/>
  <c r="AA174" i="56"/>
  <c r="Z174" i="56"/>
  <c r="AA178" i="56"/>
  <c r="Z178" i="56"/>
  <c r="AA182" i="56"/>
  <c r="Z182" i="56"/>
  <c r="AA186" i="56"/>
  <c r="Z186" i="56"/>
  <c r="AA190" i="56"/>
  <c r="Z190" i="56"/>
  <c r="AA194" i="56"/>
  <c r="Z194" i="56"/>
  <c r="AA198" i="56"/>
  <c r="Z198" i="56"/>
  <c r="AA202" i="56"/>
  <c r="Z202" i="56"/>
  <c r="AA206" i="56"/>
  <c r="Z206" i="56"/>
  <c r="AA210" i="56"/>
  <c r="Z210" i="56"/>
  <c r="AA214" i="56"/>
  <c r="Z214" i="56"/>
  <c r="AA218" i="56"/>
  <c r="Z218" i="56"/>
  <c r="AA222" i="56"/>
  <c r="Z222" i="56"/>
  <c r="AA226" i="56"/>
  <c r="Z226" i="56"/>
  <c r="AA230" i="56"/>
  <c r="Z230" i="56"/>
  <c r="AA234" i="56"/>
  <c r="Z234" i="56"/>
  <c r="AA238" i="56"/>
  <c r="Z238" i="56"/>
  <c r="Z21" i="56"/>
  <c r="Z25" i="56"/>
  <c r="Z29" i="56"/>
  <c r="Z33" i="56"/>
  <c r="Z37" i="56"/>
  <c r="Z41" i="56"/>
  <c r="Z45" i="56"/>
  <c r="Z49" i="56"/>
  <c r="Z53" i="56"/>
  <c r="Z57" i="56"/>
  <c r="Z61" i="56"/>
  <c r="Z65" i="56"/>
  <c r="Z69" i="56"/>
  <c r="Z73" i="56"/>
  <c r="Z77" i="56"/>
  <c r="Z81" i="56"/>
  <c r="Z85" i="56"/>
  <c r="Z89" i="56"/>
  <c r="Z93" i="56"/>
  <c r="Z97" i="56"/>
  <c r="Z101" i="56"/>
  <c r="Z105" i="56"/>
  <c r="Z109" i="56"/>
  <c r="Z113" i="56"/>
  <c r="Z117" i="56"/>
  <c r="Z123" i="56"/>
  <c r="Z131" i="56"/>
  <c r="Z139" i="56"/>
  <c r="Z147" i="56"/>
  <c r="Z155" i="56"/>
  <c r="Z163" i="56"/>
  <c r="Z171" i="56"/>
  <c r="Z179" i="56"/>
  <c r="Z187" i="56"/>
  <c r="Z195" i="56"/>
  <c r="Z203" i="56"/>
  <c r="Z211" i="56"/>
  <c r="Z219" i="56"/>
  <c r="Z227" i="56"/>
  <c r="Z235" i="56"/>
  <c r="B6" i="76" l="1"/>
  <c r="AD13" i="56" l="1"/>
  <c r="AE13" i="56" s="1"/>
  <c r="AF13" i="56" s="1"/>
  <c r="AG13" i="56" s="1"/>
  <c r="AH13" i="56" s="1"/>
  <c r="AI13" i="56" s="1"/>
  <c r="AJ13" i="56" s="1"/>
  <c r="AK13" i="56" s="1"/>
  <c r="AL13" i="56" s="1"/>
  <c r="AM13" i="56" s="1"/>
  <c r="AN13" i="56" s="1"/>
  <c r="AO13" i="56" s="1"/>
  <c r="AP13" i="56" s="1"/>
  <c r="AQ13" i="56" s="1"/>
  <c r="AR13" i="56" s="1"/>
  <c r="AS13" i="56" s="1"/>
  <c r="AT13" i="56" s="1"/>
  <c r="AU13" i="56" s="1"/>
  <c r="AV13" i="56" s="1"/>
  <c r="AW13" i="56" s="1"/>
  <c r="AX13" i="56" s="1"/>
  <c r="AY13" i="56" s="1"/>
  <c r="AZ13" i="56" s="1"/>
  <c r="BA13" i="56" s="1"/>
  <c r="BB13" i="56" s="1"/>
  <c r="BC13" i="56" s="1"/>
  <c r="BD13" i="56" s="1"/>
  <c r="BE13" i="56" s="1"/>
  <c r="BF13" i="56" s="1"/>
  <c r="BG13" i="56" s="1"/>
  <c r="BH13" i="56" s="1"/>
  <c r="BI13" i="56" s="1"/>
  <c r="BJ13" i="56" s="1"/>
  <c r="BK13" i="56" s="1"/>
  <c r="BL13" i="56" s="1"/>
  <c r="BM13" i="56" s="1"/>
  <c r="BN13" i="56" s="1"/>
  <c r="BO13" i="56" s="1"/>
  <c r="BP13" i="56" s="1"/>
  <c r="BQ13" i="56" s="1"/>
  <c r="BR13" i="56" s="1"/>
  <c r="BS13" i="56" s="1"/>
  <c r="BT13" i="56" s="1"/>
  <c r="BU13" i="56" s="1"/>
  <c r="BV13" i="56" s="1"/>
  <c r="BW13" i="56" s="1"/>
  <c r="BX13" i="56" s="1"/>
  <c r="BY13" i="56" s="1"/>
  <c r="BZ13" i="56" s="1"/>
  <c r="CA13" i="56" s="1"/>
  <c r="CB13" i="56" s="1"/>
  <c r="CC13" i="56" s="1"/>
  <c r="CD13" i="56" s="1"/>
  <c r="B23" i="32" l="1"/>
  <c r="B44" i="32"/>
  <c r="B73" i="32"/>
  <c r="B72" i="32"/>
  <c r="B71" i="32"/>
  <c r="B70" i="32"/>
  <c r="B69" i="32"/>
  <c r="B68" i="32"/>
  <c r="B67" i="32"/>
  <c r="B66" i="32"/>
  <c r="B65" i="32"/>
  <c r="H44" i="32"/>
  <c r="B57" i="32"/>
  <c r="B41" i="32"/>
  <c r="B40" i="32"/>
  <c r="B39" i="32"/>
  <c r="B38" i="32"/>
  <c r="B37" i="32"/>
  <c r="B36" i="32"/>
  <c r="B35" i="32"/>
  <c r="B34" i="32"/>
  <c r="B33" i="32"/>
  <c r="B32" i="32"/>
  <c r="B31" i="32"/>
  <c r="B30" i="32"/>
  <c r="B29" i="32"/>
  <c r="B28" i="32"/>
  <c r="B27" i="32"/>
  <c r="B26" i="32"/>
  <c r="B25" i="32"/>
  <c r="B24" i="32"/>
  <c r="B61" i="32"/>
  <c r="B60" i="32"/>
  <c r="B59" i="32"/>
  <c r="B58" i="32"/>
  <c r="B56" i="32"/>
  <c r="B55" i="32"/>
  <c r="B54" i="32"/>
  <c r="B53" i="32"/>
  <c r="B52" i="32"/>
  <c r="B51" i="32"/>
  <c r="B49" i="32"/>
  <c r="B46" i="32"/>
  <c r="B50" i="32"/>
  <c r="B48" i="32"/>
  <c r="B47" i="32"/>
  <c r="B45" i="32"/>
  <c r="H23" i="32"/>
  <c r="C1" i="32" l="1"/>
  <c r="D1" i="32" s="1"/>
  <c r="E1" i="32" s="1"/>
  <c r="F1" i="32" s="1"/>
  <c r="G1" i="32" s="1"/>
  <c r="H1" i="32" s="1"/>
  <c r="A39" i="31" l="1"/>
  <c r="B53" i="24" l="1"/>
  <c r="B51" i="24"/>
  <c r="B50" i="24"/>
  <c r="B49" i="24"/>
  <c r="B48" i="24"/>
  <c r="B47" i="24"/>
  <c r="B46" i="24"/>
  <c r="B45" i="24"/>
  <c r="B44" i="24"/>
  <c r="B43" i="24"/>
  <c r="B42" i="24"/>
  <c r="B41" i="24"/>
  <c r="B40" i="24"/>
  <c r="B39" i="24"/>
  <c r="B38" i="24"/>
  <c r="B35" i="24"/>
  <c r="B33" i="24"/>
  <c r="B32" i="24"/>
  <c r="B31" i="24"/>
  <c r="B30" i="24"/>
  <c r="B29" i="24"/>
  <c r="B28" i="24"/>
  <c r="B27" i="24"/>
  <c r="B26" i="24"/>
  <c r="B25" i="24"/>
  <c r="B24" i="24"/>
  <c r="B23" i="24"/>
  <c r="B22" i="24"/>
  <c r="B21" i="24"/>
  <c r="B20" i="24"/>
  <c r="B17" i="28"/>
  <c r="B15" i="28"/>
  <c r="B14" i="28"/>
  <c r="B13" i="28"/>
  <c r="B49" i="28" s="1"/>
  <c r="B12" i="28"/>
  <c r="B48" i="28" s="1"/>
  <c r="B11" i="28"/>
  <c r="B10" i="28"/>
  <c r="B9" i="28"/>
  <c r="B8" i="28"/>
  <c r="B7" i="28"/>
  <c r="B6" i="28"/>
  <c r="B5" i="28"/>
  <c r="B4" i="28"/>
  <c r="B3" i="28"/>
  <c r="B2" i="28"/>
  <c r="B17" i="31"/>
  <c r="B71" i="28" s="1"/>
  <c r="B15" i="31"/>
  <c r="B14" i="31"/>
  <c r="B13" i="31"/>
  <c r="B12" i="31"/>
  <c r="B11" i="31"/>
  <c r="B10" i="31"/>
  <c r="B9" i="31"/>
  <c r="B8" i="31"/>
  <c r="B7" i="31"/>
  <c r="B6" i="31"/>
  <c r="B4" i="31"/>
  <c r="B3" i="31"/>
  <c r="B5" i="31"/>
  <c r="B2" i="31"/>
  <c r="B53" i="28"/>
  <c r="B30" i="28" l="1"/>
  <c r="B47" i="28"/>
  <c r="B101" i="28"/>
  <c r="B83" i="28"/>
  <c r="B24" i="28"/>
  <c r="B96" i="28"/>
  <c r="B78" i="28"/>
  <c r="B102" i="28"/>
  <c r="B84" i="28"/>
  <c r="B23" i="28"/>
  <c r="B95" i="28"/>
  <c r="B77" i="28"/>
  <c r="B43" i="28"/>
  <c r="B97" i="28"/>
  <c r="B79" i="28"/>
  <c r="B31" i="28"/>
  <c r="B103" i="28"/>
  <c r="B85" i="28"/>
  <c r="B38" i="28"/>
  <c r="B92" i="28"/>
  <c r="B74" i="28"/>
  <c r="B44" i="28"/>
  <c r="B98" i="28"/>
  <c r="B80" i="28"/>
  <c r="B32" i="28"/>
  <c r="B104" i="28"/>
  <c r="B86" i="28"/>
  <c r="B39" i="28"/>
  <c r="B93" i="28"/>
  <c r="B75" i="28"/>
  <c r="B27" i="28"/>
  <c r="B99" i="28"/>
  <c r="B81" i="28"/>
  <c r="B51" i="28"/>
  <c r="B105" i="28"/>
  <c r="B87" i="28"/>
  <c r="B22" i="28"/>
  <c r="B94" i="28"/>
  <c r="B76" i="28"/>
  <c r="B46" i="28"/>
  <c r="B100" i="28"/>
  <c r="B82" i="28"/>
  <c r="B35" i="28"/>
  <c r="B107" i="28"/>
  <c r="B89" i="28"/>
  <c r="B67" i="24"/>
  <c r="B67" i="28"/>
  <c r="B56" i="24"/>
  <c r="B56" i="28"/>
  <c r="B60" i="24"/>
  <c r="B60" i="28"/>
  <c r="B64" i="24"/>
  <c r="B64" i="28"/>
  <c r="B68" i="24"/>
  <c r="B68" i="28"/>
  <c r="B58" i="24"/>
  <c r="B58" i="28"/>
  <c r="B59" i="24"/>
  <c r="B59" i="28"/>
  <c r="B61" i="24"/>
  <c r="B61" i="28"/>
  <c r="B65" i="24"/>
  <c r="B65" i="28"/>
  <c r="B69" i="24"/>
  <c r="B69" i="28"/>
  <c r="B63" i="24"/>
  <c r="B63" i="28"/>
  <c r="B57" i="24"/>
  <c r="B57" i="28"/>
  <c r="B62" i="24"/>
  <c r="B62" i="28"/>
  <c r="B66" i="24"/>
  <c r="B66" i="28"/>
  <c r="B40" i="28"/>
  <c r="B50" i="28"/>
  <c r="B53" i="31"/>
  <c r="B71" i="24"/>
  <c r="B25" i="28"/>
  <c r="B26" i="28"/>
  <c r="B21" i="28"/>
  <c r="B33" i="28"/>
  <c r="B42" i="28"/>
  <c r="B28" i="28"/>
  <c r="B29" i="28"/>
  <c r="B20" i="28"/>
  <c r="B45" i="28"/>
  <c r="B41" i="28"/>
  <c r="C14" i="56" l="1"/>
  <c r="D14" i="56" l="1"/>
  <c r="E14" i="56" s="1"/>
  <c r="F14" i="56" s="1"/>
  <c r="G14" i="56" s="1"/>
  <c r="H14" i="56" s="1"/>
  <c r="I14" i="56" s="1"/>
  <c r="J14" i="56" s="1"/>
  <c r="K14" i="56" s="1"/>
  <c r="L14" i="56" s="1"/>
  <c r="M14" i="56" s="1"/>
  <c r="N14" i="56" s="1"/>
  <c r="O14" i="56" s="1"/>
  <c r="P14" i="56" s="1"/>
  <c r="Q14" i="56" s="1"/>
  <c r="R14" i="56" s="1"/>
  <c r="S14" i="56" s="1"/>
  <c r="T14" i="56" s="1"/>
  <c r="U14" i="56" s="1"/>
  <c r="V14" i="56" s="1"/>
  <c r="W14" i="56" s="1"/>
  <c r="X14" i="56" s="1"/>
  <c r="Y14" i="56" s="1"/>
  <c r="Z14" i="56" s="1"/>
  <c r="AA14" i="56" s="1"/>
  <c r="AB14" i="56" s="1"/>
  <c r="AC14" i="56" l="1"/>
  <c r="AD14" i="56" s="1"/>
  <c r="AE14" i="56" l="1"/>
  <c r="AF14" i="56" s="1"/>
  <c r="AG14" i="56" s="1"/>
  <c r="AH14" i="56" s="1"/>
  <c r="AI14" i="56" s="1"/>
  <c r="AJ14" i="56" s="1"/>
  <c r="AK14" i="56" s="1"/>
  <c r="AL14" i="56" s="1"/>
  <c r="AM14" i="56" s="1"/>
  <c r="AN14" i="56" s="1"/>
  <c r="AO14" i="56" s="1"/>
  <c r="AP14" i="56" s="1"/>
  <c r="AQ14" i="56" s="1"/>
  <c r="AR14" i="56" s="1"/>
  <c r="AS14" i="56" s="1"/>
  <c r="AT14" i="56" s="1"/>
  <c r="AU14" i="56" s="1"/>
  <c r="AV14" i="56" s="1"/>
  <c r="AW14" i="56" s="1"/>
  <c r="AX14" i="56" s="1"/>
  <c r="AY14" i="56" s="1"/>
  <c r="AZ14" i="56" s="1"/>
  <c r="BA14" i="56" s="1"/>
  <c r="BB14" i="56" s="1"/>
  <c r="BC14" i="56" s="1"/>
  <c r="BD14" i="56" s="1"/>
  <c r="BE14" i="56" s="1"/>
  <c r="BF14" i="56" s="1"/>
  <c r="BG14" i="56" s="1"/>
  <c r="BH14" i="56" s="1"/>
  <c r="BI14" i="56" s="1"/>
  <c r="BJ14" i="56" s="1"/>
  <c r="BK14" i="56" s="1"/>
  <c r="BL14" i="56" s="1"/>
  <c r="BM14" i="56" s="1"/>
  <c r="BN14" i="56" s="1"/>
  <c r="BO14" i="56" s="1"/>
  <c r="BP14" i="56" s="1"/>
  <c r="BQ14" i="56" s="1"/>
  <c r="BR14" i="56" s="1"/>
  <c r="BS14" i="56" s="1"/>
  <c r="BT14" i="56" s="1"/>
  <c r="BU14" i="56" s="1"/>
  <c r="BV14" i="56" s="1"/>
  <c r="BW14" i="56" s="1"/>
  <c r="BX14" i="56" s="1"/>
  <c r="BY14" i="56" s="1"/>
  <c r="BZ14" i="56" s="1"/>
  <c r="CA14" i="56" s="1"/>
  <c r="CB14" i="56" s="1"/>
  <c r="CC14" i="56" s="1"/>
  <c r="CD14" i="56" s="1"/>
  <c r="A14" i="56" s="1"/>
  <c r="F13" i="56"/>
  <c r="D13" i="56"/>
  <c r="B13" i="56"/>
  <c r="F49" i="8"/>
  <c r="E20" i="7" l="1"/>
  <c r="Q86" i="2" l="1"/>
  <c r="K86" i="2"/>
  <c r="Q35" i="2"/>
  <c r="K35" i="2"/>
  <c r="F93" i="2" l="1"/>
  <c r="F40" i="2"/>
  <c r="B4" i="8" l="1"/>
  <c r="B1" i="52" l="1"/>
  <c r="A5" i="52"/>
  <c r="A6" i="52" s="1"/>
  <c r="A7" i="52" s="1"/>
  <c r="A8" i="52" s="1"/>
  <c r="A9" i="52" s="1"/>
  <c r="A10" i="52" s="1"/>
  <c r="A11" i="52" s="1"/>
  <c r="A12" i="52" s="1"/>
  <c r="A13" i="52" s="1"/>
  <c r="A14" i="52" s="1"/>
  <c r="A15" i="52" s="1"/>
  <c r="A16" i="52" s="1"/>
  <c r="A17" i="52" s="1"/>
  <c r="A18" i="52" s="1"/>
  <c r="A19" i="52" s="1"/>
  <c r="A20" i="52" s="1"/>
  <c r="A21" i="52" s="1"/>
  <c r="A22" i="52" s="1"/>
  <c r="A23" i="52" s="1"/>
  <c r="A24" i="52" s="1"/>
  <c r="A25" i="52" s="1"/>
  <c r="A26" i="52" s="1"/>
  <c r="A27" i="52" s="1"/>
  <c r="A28" i="52" s="1"/>
  <c r="A29" i="52" s="1"/>
  <c r="A30" i="52" s="1"/>
  <c r="A31" i="52" s="1"/>
  <c r="A32" i="52" s="1"/>
  <c r="A33" i="52" s="1"/>
  <c r="A34" i="52" s="1"/>
  <c r="A35" i="52" s="1"/>
  <c r="A36" i="52" s="1"/>
  <c r="A37" i="52" s="1"/>
  <c r="A38" i="52" s="1"/>
  <c r="A39" i="52" s="1"/>
  <c r="A40" i="52" s="1"/>
  <c r="A41" i="52" s="1"/>
  <c r="A42" i="52" s="1"/>
  <c r="A43" i="52" s="1"/>
  <c r="A44" i="52" s="1"/>
  <c r="A45" i="52" s="1"/>
  <c r="A46" i="52" s="1"/>
  <c r="A47" i="52" s="1"/>
  <c r="A48" i="52" s="1"/>
  <c r="A49" i="52" s="1"/>
  <c r="A50" i="52" s="1"/>
  <c r="A51" i="52" s="1"/>
  <c r="A52" i="52" s="1"/>
  <c r="A53" i="52" s="1"/>
  <c r="A54" i="52" s="1"/>
  <c r="A55" i="52" s="1"/>
  <c r="A56" i="52" s="1"/>
  <c r="A57" i="52" s="1"/>
  <c r="A58" i="52" s="1"/>
  <c r="A59" i="52" s="1"/>
  <c r="A60" i="52" s="1"/>
  <c r="A61" i="52" s="1"/>
  <c r="A62" i="52" s="1"/>
  <c r="A63" i="52" s="1"/>
  <c r="A64" i="52" s="1"/>
  <c r="A65" i="52" s="1"/>
  <c r="A66" i="52" s="1"/>
  <c r="A67" i="52" s="1"/>
  <c r="A68" i="52" s="1"/>
  <c r="A69" i="52" s="1"/>
  <c r="A70" i="52" s="1"/>
  <c r="A71" i="52" s="1"/>
  <c r="A72" i="52" s="1"/>
  <c r="A73" i="52" s="1"/>
  <c r="A74" i="52" s="1"/>
  <c r="A75" i="52" s="1"/>
  <c r="A76" i="52" s="1"/>
  <c r="A77" i="52" s="1"/>
  <c r="A78" i="52" s="1"/>
  <c r="A79" i="52" s="1"/>
  <c r="A80" i="52" s="1"/>
  <c r="A81" i="52" s="1"/>
  <c r="A82" i="52" s="1"/>
  <c r="A83" i="52" s="1"/>
  <c r="A84" i="52" s="1"/>
  <c r="A85" i="52" s="1"/>
  <c r="A86" i="52" s="1"/>
  <c r="A87" i="52" s="1"/>
  <c r="A88" i="52" s="1"/>
  <c r="A89" i="52" s="1"/>
  <c r="A90" i="52" s="1"/>
  <c r="A91" i="52" s="1"/>
  <c r="A92" i="52" s="1"/>
  <c r="A93" i="52" s="1"/>
  <c r="A94" i="52" s="1"/>
  <c r="A95" i="52" s="1"/>
  <c r="A96" i="52" s="1"/>
  <c r="A97" i="52" s="1"/>
  <c r="A98" i="52" s="1"/>
  <c r="A99" i="52" s="1"/>
  <c r="A100" i="52" s="1"/>
  <c r="A101" i="52" s="1"/>
  <c r="A102" i="52" s="1"/>
  <c r="A103" i="52" s="1"/>
  <c r="A104" i="52" s="1"/>
  <c r="AG15" i="60" l="1"/>
  <c r="AE15" i="60"/>
  <c r="AG14" i="60"/>
  <c r="AE14" i="60"/>
  <c r="AG11" i="60"/>
  <c r="AG10" i="60"/>
  <c r="AE10" i="60"/>
  <c r="AG9" i="60"/>
  <c r="AE9" i="60"/>
  <c r="AJ8" i="60"/>
  <c r="AH8" i="60"/>
  <c r="AG8" i="60"/>
  <c r="AE8" i="60"/>
  <c r="AJ7" i="60"/>
  <c r="AH7" i="60"/>
  <c r="AG7" i="60"/>
  <c r="AE7" i="60"/>
  <c r="AG6" i="60"/>
  <c r="AE6" i="60"/>
  <c r="F9" i="59"/>
  <c r="E9" i="59"/>
  <c r="I6" i="59"/>
  <c r="B6" i="59"/>
  <c r="B2" i="61" l="1"/>
  <c r="A2" i="61"/>
  <c r="A1" i="61"/>
  <c r="B2" i="60"/>
  <c r="A2" i="60"/>
  <c r="A1" i="60"/>
  <c r="B2" i="59"/>
  <c r="A2" i="59"/>
  <c r="A1" i="59"/>
  <c r="A39" i="28" l="1"/>
  <c r="A21" i="28"/>
  <c r="A3" i="28" l="1"/>
  <c r="L53" i="28"/>
  <c r="K53" i="28"/>
  <c r="J53" i="28"/>
  <c r="I53" i="28"/>
  <c r="H53" i="28"/>
  <c r="G53" i="28"/>
  <c r="F53" i="28"/>
  <c r="E53" i="28"/>
  <c r="D53" i="28"/>
  <c r="C53" i="28"/>
  <c r="L51" i="28"/>
  <c r="K51" i="28"/>
  <c r="J51" i="28"/>
  <c r="I51" i="28"/>
  <c r="H51" i="28"/>
  <c r="G51" i="28"/>
  <c r="F51" i="28"/>
  <c r="E51" i="28"/>
  <c r="D51" i="28"/>
  <c r="C51" i="28"/>
  <c r="L50" i="28"/>
  <c r="K50" i="28"/>
  <c r="J50" i="28"/>
  <c r="I50" i="28"/>
  <c r="H50" i="28"/>
  <c r="G50" i="28"/>
  <c r="F50" i="28"/>
  <c r="E50" i="28"/>
  <c r="D50" i="28"/>
  <c r="C50" i="28"/>
  <c r="L49" i="28"/>
  <c r="K49" i="28"/>
  <c r="J49" i="28"/>
  <c r="I49" i="28"/>
  <c r="H49" i="28"/>
  <c r="G49" i="28"/>
  <c r="F49" i="28"/>
  <c r="E49" i="28"/>
  <c r="D49" i="28"/>
  <c r="C49" i="28"/>
  <c r="L48" i="28"/>
  <c r="K48" i="28"/>
  <c r="J48" i="28"/>
  <c r="I48" i="28"/>
  <c r="H48" i="28"/>
  <c r="G48" i="28"/>
  <c r="F48" i="28"/>
  <c r="E48" i="28"/>
  <c r="D48" i="28"/>
  <c r="C48" i="28"/>
  <c r="L47" i="28"/>
  <c r="K47" i="28"/>
  <c r="J47" i="28"/>
  <c r="I47" i="28"/>
  <c r="H47" i="28"/>
  <c r="G47" i="28"/>
  <c r="F47" i="28"/>
  <c r="E47" i="28"/>
  <c r="D47" i="28"/>
  <c r="C47" i="28"/>
  <c r="L46" i="28"/>
  <c r="K46" i="28"/>
  <c r="J46" i="28"/>
  <c r="I46" i="28"/>
  <c r="H46" i="28"/>
  <c r="G46" i="28"/>
  <c r="F46" i="28"/>
  <c r="E46" i="28"/>
  <c r="D46" i="28"/>
  <c r="C46" i="28"/>
  <c r="L45" i="28"/>
  <c r="K45" i="28"/>
  <c r="J45" i="28"/>
  <c r="I45" i="28"/>
  <c r="H45" i="28"/>
  <c r="G45" i="28"/>
  <c r="F45" i="28"/>
  <c r="E45" i="28"/>
  <c r="D45" i="28"/>
  <c r="C45" i="28"/>
  <c r="L44" i="28"/>
  <c r="K44" i="28"/>
  <c r="J44" i="28"/>
  <c r="I44" i="28"/>
  <c r="H44" i="28"/>
  <c r="G44" i="28"/>
  <c r="F44" i="28"/>
  <c r="E44" i="28"/>
  <c r="D44" i="28"/>
  <c r="C44" i="28"/>
  <c r="L43" i="28"/>
  <c r="K43" i="28"/>
  <c r="J43" i="28"/>
  <c r="I43" i="28"/>
  <c r="H43" i="28"/>
  <c r="G43" i="28"/>
  <c r="F43" i="28"/>
  <c r="E43" i="28"/>
  <c r="D43" i="28"/>
  <c r="C43" i="28"/>
  <c r="L42" i="28"/>
  <c r="K42" i="28"/>
  <c r="J42" i="28"/>
  <c r="I42" i="28"/>
  <c r="H42" i="28"/>
  <c r="G42" i="28"/>
  <c r="F42" i="28"/>
  <c r="E42" i="28"/>
  <c r="D42" i="28"/>
  <c r="C42" i="28"/>
  <c r="L41" i="28"/>
  <c r="K41" i="28"/>
  <c r="J41" i="28"/>
  <c r="I41" i="28"/>
  <c r="H41" i="28"/>
  <c r="G41" i="28"/>
  <c r="F41" i="28"/>
  <c r="E41" i="28"/>
  <c r="D41" i="28"/>
  <c r="C41" i="28"/>
  <c r="L40" i="28"/>
  <c r="K40" i="28"/>
  <c r="J40" i="28"/>
  <c r="I40" i="28"/>
  <c r="H40" i="28"/>
  <c r="G40" i="28"/>
  <c r="F40" i="28"/>
  <c r="E40" i="28"/>
  <c r="D40" i="28"/>
  <c r="C40" i="28"/>
  <c r="L39" i="28"/>
  <c r="K39" i="28"/>
  <c r="J39" i="28"/>
  <c r="I39" i="28"/>
  <c r="H39" i="28"/>
  <c r="G39" i="28"/>
  <c r="F39" i="28"/>
  <c r="E39" i="28"/>
  <c r="D39" i="28"/>
  <c r="C39" i="28"/>
  <c r="L35" i="28"/>
  <c r="K35" i="28"/>
  <c r="J35" i="28"/>
  <c r="I35" i="28"/>
  <c r="H35" i="28"/>
  <c r="G35" i="28"/>
  <c r="F35" i="28"/>
  <c r="E35" i="28"/>
  <c r="D35" i="28"/>
  <c r="C35" i="28"/>
  <c r="L33" i="28"/>
  <c r="K33" i="28"/>
  <c r="J33" i="28"/>
  <c r="I33" i="28"/>
  <c r="H33" i="28"/>
  <c r="G33" i="28"/>
  <c r="F33" i="28"/>
  <c r="E33" i="28"/>
  <c r="D33" i="28"/>
  <c r="C33" i="28"/>
  <c r="L32" i="28"/>
  <c r="K32" i="28"/>
  <c r="J32" i="28"/>
  <c r="I32" i="28"/>
  <c r="H32" i="28"/>
  <c r="G32" i="28"/>
  <c r="F32" i="28"/>
  <c r="E32" i="28"/>
  <c r="D32" i="28"/>
  <c r="C32" i="28"/>
  <c r="L31" i="28"/>
  <c r="K31" i="28"/>
  <c r="J31" i="28"/>
  <c r="I31" i="28"/>
  <c r="H31" i="28"/>
  <c r="G31" i="28"/>
  <c r="F31" i="28"/>
  <c r="E31" i="28"/>
  <c r="D31" i="28"/>
  <c r="C31" i="28"/>
  <c r="L30" i="28"/>
  <c r="K30" i="28"/>
  <c r="J30" i="28"/>
  <c r="I30" i="28"/>
  <c r="H30" i="28"/>
  <c r="G30" i="28"/>
  <c r="F30" i="28"/>
  <c r="E30" i="28"/>
  <c r="D30" i="28"/>
  <c r="C30" i="28"/>
  <c r="L29" i="28"/>
  <c r="K29" i="28"/>
  <c r="J29" i="28"/>
  <c r="I29" i="28"/>
  <c r="H29" i="28"/>
  <c r="G29" i="28"/>
  <c r="F29" i="28"/>
  <c r="E29" i="28"/>
  <c r="D29" i="28"/>
  <c r="C29" i="28"/>
  <c r="L28" i="28"/>
  <c r="K28" i="28"/>
  <c r="J28" i="28"/>
  <c r="I28" i="28"/>
  <c r="H28" i="28"/>
  <c r="G28" i="28"/>
  <c r="F28" i="28"/>
  <c r="E28" i="28"/>
  <c r="D28" i="28"/>
  <c r="C28" i="28"/>
  <c r="L27" i="28"/>
  <c r="K27" i="28"/>
  <c r="J27" i="28"/>
  <c r="I27" i="28"/>
  <c r="H27" i="28"/>
  <c r="G27" i="28"/>
  <c r="F27" i="28"/>
  <c r="E27" i="28"/>
  <c r="D27" i="28"/>
  <c r="C27" i="28"/>
  <c r="L26" i="28"/>
  <c r="K26" i="28"/>
  <c r="J26" i="28"/>
  <c r="I26" i="28"/>
  <c r="H26" i="28"/>
  <c r="G26" i="28"/>
  <c r="F26" i="28"/>
  <c r="E26" i="28"/>
  <c r="D26" i="28"/>
  <c r="C26" i="28"/>
  <c r="L25" i="28"/>
  <c r="K25" i="28"/>
  <c r="J25" i="28"/>
  <c r="I25" i="28"/>
  <c r="H25" i="28"/>
  <c r="G25" i="28"/>
  <c r="F25" i="28"/>
  <c r="E25" i="28"/>
  <c r="D25" i="28"/>
  <c r="C25" i="28"/>
  <c r="L24" i="28"/>
  <c r="K24" i="28"/>
  <c r="J24" i="28"/>
  <c r="I24" i="28"/>
  <c r="H24" i="28"/>
  <c r="G24" i="28"/>
  <c r="F24" i="28"/>
  <c r="E24" i="28"/>
  <c r="D24" i="28"/>
  <c r="C24" i="28"/>
  <c r="L23" i="28"/>
  <c r="K23" i="28"/>
  <c r="J23" i="28"/>
  <c r="I23" i="28"/>
  <c r="H23" i="28"/>
  <c r="G23" i="28"/>
  <c r="F23" i="28"/>
  <c r="E23" i="28"/>
  <c r="D23" i="28"/>
  <c r="C23" i="28"/>
  <c r="L22" i="28"/>
  <c r="K22" i="28"/>
  <c r="J22" i="28"/>
  <c r="I22" i="28"/>
  <c r="H22" i="28"/>
  <c r="G22" i="28"/>
  <c r="F22" i="28"/>
  <c r="E22" i="28"/>
  <c r="D22" i="28"/>
  <c r="C22" i="28"/>
  <c r="L21" i="28"/>
  <c r="K21" i="28"/>
  <c r="J21" i="28"/>
  <c r="I21" i="28"/>
  <c r="H21" i="28"/>
  <c r="G21" i="28"/>
  <c r="F21" i="28"/>
  <c r="E21" i="28"/>
  <c r="D21" i="28"/>
  <c r="C21" i="28"/>
  <c r="L1" i="28"/>
  <c r="K1" i="28"/>
  <c r="J1" i="28"/>
  <c r="I1" i="28"/>
  <c r="H1" i="28"/>
  <c r="G1" i="28"/>
  <c r="F1" i="28"/>
  <c r="E1" i="28"/>
  <c r="D1" i="28"/>
  <c r="C1" i="28"/>
  <c r="L1" i="31"/>
  <c r="K1" i="31"/>
  <c r="K55" i="28" s="1"/>
  <c r="J1" i="31"/>
  <c r="I1" i="31"/>
  <c r="H1" i="31"/>
  <c r="G1" i="31"/>
  <c r="G55" i="28" s="1"/>
  <c r="F1" i="31"/>
  <c r="E1" i="31"/>
  <c r="D1" i="31"/>
  <c r="C1" i="31"/>
  <c r="L37" i="24"/>
  <c r="K37" i="24"/>
  <c r="J37" i="24"/>
  <c r="I37" i="24"/>
  <c r="H37" i="24"/>
  <c r="G37" i="24"/>
  <c r="F37" i="24"/>
  <c r="E37" i="24"/>
  <c r="D37" i="24"/>
  <c r="C37" i="24"/>
  <c r="L19" i="24"/>
  <c r="K19" i="24"/>
  <c r="J19" i="24"/>
  <c r="I19" i="24"/>
  <c r="H19" i="24"/>
  <c r="G19" i="24"/>
  <c r="F19" i="24"/>
  <c r="E19" i="24"/>
  <c r="D19" i="24"/>
  <c r="C19" i="24"/>
  <c r="E12" i="19"/>
  <c r="E11" i="19"/>
  <c r="E10" i="19"/>
  <c r="E9" i="19"/>
  <c r="E8" i="19"/>
  <c r="E7" i="19"/>
  <c r="E6" i="19"/>
  <c r="E5" i="19"/>
  <c r="F4" i="19"/>
  <c r="F10" i="19" s="1"/>
  <c r="H64" i="32"/>
  <c r="G91" i="28" l="1"/>
  <c r="G73" i="28"/>
  <c r="H37" i="28"/>
  <c r="H91" i="28"/>
  <c r="H73" i="28"/>
  <c r="L37" i="28"/>
  <c r="L91" i="28"/>
  <c r="L73" i="28"/>
  <c r="C91" i="28"/>
  <c r="C73" i="28"/>
  <c r="I91" i="28"/>
  <c r="I73" i="28"/>
  <c r="D37" i="28"/>
  <c r="D91" i="28"/>
  <c r="D73" i="28"/>
  <c r="J37" i="28"/>
  <c r="J91" i="28"/>
  <c r="J73" i="28"/>
  <c r="F37" i="28"/>
  <c r="F91" i="28"/>
  <c r="F73" i="28"/>
  <c r="E91" i="28"/>
  <c r="E73" i="28"/>
  <c r="K91" i="28"/>
  <c r="K73" i="28"/>
  <c r="H55" i="24"/>
  <c r="H55" i="28"/>
  <c r="E55" i="24"/>
  <c r="E55" i="28"/>
  <c r="I55" i="24"/>
  <c r="I55" i="28"/>
  <c r="L55" i="24"/>
  <c r="L55" i="28"/>
  <c r="F55" i="24"/>
  <c r="F55" i="28"/>
  <c r="J55" i="24"/>
  <c r="J55" i="28"/>
  <c r="D55" i="24"/>
  <c r="D55" i="28"/>
  <c r="C55" i="24"/>
  <c r="C55" i="28"/>
  <c r="G37" i="31"/>
  <c r="G55" i="24"/>
  <c r="K37" i="31"/>
  <c r="K55" i="24"/>
  <c r="F19" i="28"/>
  <c r="I37" i="28"/>
  <c r="E37" i="28"/>
  <c r="F56" i="31"/>
  <c r="F19" i="31"/>
  <c r="J56" i="31"/>
  <c r="J19" i="31"/>
  <c r="B41" i="31"/>
  <c r="B60" i="31"/>
  <c r="B23" i="31"/>
  <c r="B45" i="31"/>
  <c r="B27" i="31"/>
  <c r="B64" i="31"/>
  <c r="B49" i="31"/>
  <c r="B68" i="31"/>
  <c r="B31" i="31"/>
  <c r="E19" i="31"/>
  <c r="E56" i="31"/>
  <c r="B38" i="31"/>
  <c r="B20" i="31"/>
  <c r="B57" i="31"/>
  <c r="C56" i="31"/>
  <c r="C19" i="31"/>
  <c r="G56" i="31"/>
  <c r="G19" i="31"/>
  <c r="K56" i="31"/>
  <c r="K19" i="31"/>
  <c r="B59" i="31"/>
  <c r="B22" i="31"/>
  <c r="B40" i="31"/>
  <c r="B63" i="31"/>
  <c r="B44" i="31"/>
  <c r="B26" i="31"/>
  <c r="B67" i="31"/>
  <c r="B30" i="31"/>
  <c r="B48" i="31"/>
  <c r="B72" i="31"/>
  <c r="B35" i="31"/>
  <c r="I19" i="31"/>
  <c r="I56" i="31"/>
  <c r="B42" i="31"/>
  <c r="B24" i="31"/>
  <c r="B61" i="31"/>
  <c r="B46" i="31"/>
  <c r="B28" i="31"/>
  <c r="B65" i="31"/>
  <c r="B50" i="31"/>
  <c r="B32" i="31"/>
  <c r="B69" i="31"/>
  <c r="C37" i="31"/>
  <c r="D19" i="31"/>
  <c r="D56" i="31"/>
  <c r="H19" i="31"/>
  <c r="H56" i="31"/>
  <c r="L19" i="31"/>
  <c r="L56" i="31"/>
  <c r="B21" i="31"/>
  <c r="B58" i="31"/>
  <c r="B39" i="31"/>
  <c r="B25" i="31"/>
  <c r="B62" i="31"/>
  <c r="B43" i="31"/>
  <c r="B29" i="31"/>
  <c r="B66" i="31"/>
  <c r="B47" i="31"/>
  <c r="B33" i="31"/>
  <c r="B70" i="31"/>
  <c r="B51" i="31"/>
  <c r="F37" i="31"/>
  <c r="J37" i="31"/>
  <c r="D37" i="31"/>
  <c r="H37" i="31"/>
  <c r="L37" i="31"/>
  <c r="F5" i="19"/>
  <c r="F9" i="19"/>
  <c r="J19" i="28"/>
  <c r="E37" i="31"/>
  <c r="I37" i="31"/>
  <c r="C19" i="28"/>
  <c r="G19" i="28"/>
  <c r="K19" i="28"/>
  <c r="C37" i="28"/>
  <c r="G37" i="28"/>
  <c r="K37" i="28"/>
  <c r="D19" i="28"/>
  <c r="H19" i="28"/>
  <c r="L19" i="28"/>
  <c r="E19" i="28"/>
  <c r="I19" i="28"/>
  <c r="F8" i="19"/>
  <c r="F12" i="19"/>
  <c r="G4" i="19"/>
  <c r="G9" i="19" s="1"/>
  <c r="F7" i="19"/>
  <c r="F11" i="19"/>
  <c r="F6" i="19"/>
  <c r="G12" i="19" l="1"/>
  <c r="G8" i="19"/>
  <c r="G11" i="19"/>
  <c r="G7" i="19"/>
  <c r="H4" i="19"/>
  <c r="G10" i="19"/>
  <c r="G6" i="19"/>
  <c r="G5" i="19"/>
  <c r="H7" i="19" l="1"/>
  <c r="I4" i="19"/>
  <c r="H11" i="19"/>
  <c r="H10" i="19"/>
  <c r="H9" i="19"/>
  <c r="H5" i="19"/>
  <c r="H6" i="19"/>
  <c r="H8" i="19"/>
  <c r="H12" i="19"/>
  <c r="I12" i="19" l="1"/>
  <c r="J4" i="19"/>
  <c r="I5" i="19"/>
  <c r="I11" i="19"/>
  <c r="I8" i="19"/>
  <c r="I10" i="19"/>
  <c r="I9" i="19"/>
  <c r="I6" i="19"/>
  <c r="I7" i="19"/>
  <c r="J101" i="7" l="1"/>
  <c r="J10" i="19"/>
  <c r="J9" i="19"/>
  <c r="J5" i="19"/>
  <c r="K4" i="19"/>
  <c r="J11" i="19"/>
  <c r="J7" i="19"/>
  <c r="J6" i="19"/>
  <c r="J8" i="19"/>
  <c r="J12" i="19"/>
  <c r="K11" i="19" l="1"/>
  <c r="K10" i="19"/>
  <c r="K6" i="19"/>
  <c r="K7" i="19"/>
  <c r="K9" i="19"/>
  <c r="K5" i="19"/>
  <c r="K8" i="19"/>
  <c r="K12" i="19"/>
  <c r="A106" i="19" l="1"/>
  <c r="G109" i="19" s="1"/>
  <c r="A81" i="19"/>
  <c r="A97" i="19"/>
  <c r="A86" i="19" l="1"/>
  <c r="K91" i="19" s="1"/>
  <c r="A82" i="19" l="1"/>
  <c r="A98" i="19" l="1"/>
  <c r="A88" i="19"/>
  <c r="G91" i="19" s="1"/>
  <c r="G98" i="2" l="1"/>
  <c r="E98" i="2"/>
  <c r="G93" i="2"/>
  <c r="J91" i="2" s="1"/>
  <c r="G40" i="2"/>
  <c r="J40" i="2" s="1"/>
  <c r="C1" i="52"/>
  <c r="D1" i="52" s="1"/>
  <c r="E1" i="52" s="1"/>
  <c r="F1" i="52" s="1"/>
  <c r="G1" i="52" s="1"/>
  <c r="H1" i="52" s="1"/>
  <c r="I1" i="52" s="1"/>
  <c r="J1" i="52" s="1"/>
  <c r="K1" i="52" s="1"/>
  <c r="B186" i="50" l="1"/>
  <c r="Q39" i="38" l="1"/>
  <c r="G101" i="38" l="1"/>
  <c r="C101" i="38"/>
  <c r="D101" i="38" s="1"/>
  <c r="H101" i="38" l="1"/>
  <c r="B201" i="50" l="1"/>
  <c r="W49" i="8"/>
  <c r="D346" i="50" l="1"/>
  <c r="D345" i="50"/>
  <c r="D344" i="50"/>
  <c r="D343" i="50"/>
  <c r="D342" i="50"/>
  <c r="D341" i="50"/>
  <c r="D340" i="50"/>
  <c r="D339" i="50"/>
  <c r="D338" i="50"/>
  <c r="D337" i="50"/>
  <c r="D336" i="50"/>
  <c r="D335" i="50"/>
  <c r="D334" i="50"/>
  <c r="D333" i="50"/>
  <c r="D332" i="50"/>
  <c r="D331" i="50"/>
  <c r="D330" i="50"/>
  <c r="D329" i="50"/>
  <c r="D328" i="50"/>
  <c r="D327" i="50"/>
  <c r="D326" i="50"/>
  <c r="D325" i="50"/>
  <c r="D324" i="50"/>
  <c r="D323" i="50"/>
  <c r="D322" i="50"/>
  <c r="D321" i="50"/>
  <c r="D320" i="50"/>
  <c r="D311" i="50"/>
  <c r="D310" i="50"/>
  <c r="D309" i="50"/>
  <c r="D308" i="50"/>
  <c r="D307" i="50"/>
  <c r="D306" i="50"/>
  <c r="D305" i="50"/>
  <c r="D304" i="50"/>
  <c r="D303" i="50"/>
  <c r="D302" i="50"/>
  <c r="D301" i="50"/>
  <c r="D300" i="50"/>
  <c r="D299" i="50"/>
  <c r="D298" i="50"/>
  <c r="D297" i="50"/>
  <c r="D296" i="50"/>
  <c r="D295" i="50"/>
  <c r="D294" i="50"/>
  <c r="D293" i="50"/>
  <c r="D292" i="50"/>
  <c r="D291" i="50"/>
  <c r="D290" i="50"/>
  <c r="D289" i="50"/>
  <c r="D288" i="50"/>
  <c r="D287" i="50"/>
  <c r="D286" i="50"/>
  <c r="D285" i="50"/>
  <c r="D496" i="50" l="1"/>
  <c r="D495" i="50"/>
  <c r="D494" i="50"/>
  <c r="D493" i="50"/>
  <c r="D492" i="50"/>
  <c r="D491" i="50"/>
  <c r="D490" i="50"/>
  <c r="D489" i="50"/>
  <c r="D488" i="50"/>
  <c r="D487" i="50"/>
  <c r="D486" i="50"/>
  <c r="D485" i="50"/>
  <c r="D484" i="50"/>
  <c r="D483" i="50"/>
  <c r="D482" i="50"/>
  <c r="D481" i="50"/>
  <c r="D480" i="50"/>
  <c r="D479" i="50"/>
  <c r="D478" i="50"/>
  <c r="D477" i="50"/>
  <c r="D476" i="50"/>
  <c r="D459" i="50"/>
  <c r="D458" i="50"/>
  <c r="D457" i="50"/>
  <c r="D456" i="50"/>
  <c r="D455" i="50"/>
  <c r="D454" i="50"/>
  <c r="D453" i="50"/>
  <c r="D452" i="50"/>
  <c r="D451" i="50"/>
  <c r="D450" i="50"/>
  <c r="D449" i="50"/>
  <c r="D448" i="50"/>
  <c r="D447" i="50"/>
  <c r="D446" i="50"/>
  <c r="D445" i="50"/>
  <c r="D444" i="50"/>
  <c r="D443" i="50"/>
  <c r="B88" i="3" l="1"/>
  <c r="C88" i="3" s="1"/>
  <c r="B87" i="3"/>
  <c r="B86" i="3"/>
  <c r="C86" i="3" s="1"/>
  <c r="B85" i="3"/>
  <c r="C85" i="3" s="1"/>
  <c r="B84" i="3"/>
  <c r="C84" i="3" s="1"/>
  <c r="B83" i="3"/>
  <c r="C83" i="3" s="1"/>
  <c r="B82" i="3"/>
  <c r="C82" i="3" s="1"/>
  <c r="B81" i="3"/>
  <c r="C81" i="3" s="1"/>
  <c r="B80" i="3"/>
  <c r="C80" i="3" s="1"/>
  <c r="B77" i="3"/>
  <c r="C77" i="3" s="1"/>
  <c r="B76" i="3"/>
  <c r="C76" i="3" s="1"/>
  <c r="B75" i="3"/>
  <c r="C75" i="3" s="1"/>
  <c r="B74" i="3"/>
  <c r="C74" i="3" s="1"/>
  <c r="B73" i="3"/>
  <c r="C73" i="3" s="1"/>
  <c r="B72" i="3"/>
  <c r="B70" i="3"/>
  <c r="C70" i="3" s="1"/>
  <c r="B69" i="3"/>
  <c r="X110" i="53"/>
  <c r="X101" i="53"/>
  <c r="W101" i="53"/>
  <c r="X98" i="53"/>
  <c r="W98" i="53"/>
  <c r="X95" i="53"/>
  <c r="W95" i="53"/>
  <c r="X92" i="53"/>
  <c r="W92" i="53"/>
  <c r="X89" i="53"/>
  <c r="W89" i="53"/>
  <c r="X84" i="53"/>
  <c r="W84" i="53"/>
  <c r="X75" i="53"/>
  <c r="W75" i="53"/>
  <c r="X60" i="53"/>
  <c r="W60" i="53"/>
  <c r="W58" i="53"/>
  <c r="X51" i="53"/>
  <c r="W51" i="53"/>
  <c r="W49" i="53"/>
  <c r="X102" i="53"/>
  <c r="W102" i="53"/>
  <c r="X100" i="53"/>
  <c r="W100" i="53"/>
  <c r="X99" i="53"/>
  <c r="W99" i="53"/>
  <c r="X97" i="53"/>
  <c r="W97" i="53"/>
  <c r="X96" i="53"/>
  <c r="W96" i="53"/>
  <c r="X94" i="53"/>
  <c r="W94" i="53"/>
  <c r="X93" i="53"/>
  <c r="W93" i="53"/>
  <c r="X91" i="53"/>
  <c r="W91" i="53"/>
  <c r="X90" i="53"/>
  <c r="W90" i="53"/>
  <c r="X88" i="53"/>
  <c r="W88" i="53"/>
  <c r="X87" i="53"/>
  <c r="W87" i="53"/>
  <c r="W86" i="53"/>
  <c r="X85" i="53"/>
  <c r="W85" i="53"/>
  <c r="X83" i="53"/>
  <c r="W83" i="53"/>
  <c r="W82" i="53"/>
  <c r="W81" i="53"/>
  <c r="X80" i="53"/>
  <c r="W80" i="53"/>
  <c r="X79" i="53"/>
  <c r="W79" i="53"/>
  <c r="W78" i="53"/>
  <c r="W77" i="53"/>
  <c r="X76" i="53"/>
  <c r="W76" i="53"/>
  <c r="X74" i="53"/>
  <c r="W74" i="53"/>
  <c r="W73" i="53"/>
  <c r="W72" i="53"/>
  <c r="X71" i="53"/>
  <c r="W71" i="53"/>
  <c r="X70" i="53"/>
  <c r="W70" i="53"/>
  <c r="W69" i="53"/>
  <c r="W68" i="53"/>
  <c r="X67" i="53"/>
  <c r="W67" i="53"/>
  <c r="W66" i="53"/>
  <c r="W65" i="53"/>
  <c r="X64" i="53"/>
  <c r="W64" i="53"/>
  <c r="W63" i="53"/>
  <c r="W62" i="53"/>
  <c r="X61" i="53"/>
  <c r="W61" i="53"/>
  <c r="X59" i="53"/>
  <c r="W59" i="53"/>
  <c r="W57" i="53"/>
  <c r="W56" i="53"/>
  <c r="X55" i="53"/>
  <c r="W55" i="53"/>
  <c r="X54" i="53"/>
  <c r="W54" i="53"/>
  <c r="W53" i="53"/>
  <c r="W52" i="53"/>
  <c r="W50" i="53"/>
  <c r="W48" i="53"/>
  <c r="W47" i="53"/>
  <c r="X46" i="53"/>
  <c r="W46" i="53"/>
  <c r="X45" i="53"/>
  <c r="W45" i="53"/>
  <c r="W44" i="53"/>
  <c r="W43" i="53"/>
  <c r="X42" i="53"/>
  <c r="W42" i="53"/>
  <c r="W41" i="53"/>
  <c r="W40" i="53"/>
  <c r="X39" i="53"/>
  <c r="W39" i="53"/>
  <c r="X38" i="53"/>
  <c r="W38" i="53"/>
  <c r="W37" i="53"/>
  <c r="W36" i="53"/>
  <c r="X35" i="53"/>
  <c r="W35" i="53"/>
  <c r="W34" i="53"/>
  <c r="W33" i="53"/>
  <c r="X32" i="53"/>
  <c r="W32" i="53"/>
  <c r="X31" i="53"/>
  <c r="W31" i="53"/>
  <c r="W30" i="53"/>
  <c r="W29" i="53"/>
  <c r="X28" i="53"/>
  <c r="W28" i="53"/>
  <c r="W27" i="53"/>
  <c r="W26" i="53"/>
  <c r="X25" i="53"/>
  <c r="W25" i="53"/>
  <c r="X24" i="53"/>
  <c r="W24" i="53"/>
  <c r="W23" i="53"/>
  <c r="W22" i="53"/>
  <c r="X21" i="53"/>
  <c r="W21" i="53"/>
  <c r="W20" i="53"/>
  <c r="W19" i="53"/>
  <c r="W18" i="53"/>
  <c r="W17" i="53"/>
  <c r="W16" i="53"/>
  <c r="W15" i="53"/>
  <c r="W14" i="53"/>
  <c r="W13" i="53"/>
  <c r="W12" i="53"/>
  <c r="W11" i="53"/>
  <c r="W10" i="53"/>
  <c r="W9" i="53"/>
  <c r="W8" i="53"/>
  <c r="W7" i="53"/>
  <c r="W6" i="53"/>
  <c r="W5" i="53"/>
  <c r="W4" i="53"/>
  <c r="W3" i="53"/>
  <c r="C72" i="3" l="1"/>
  <c r="C87" i="3"/>
  <c r="C69" i="3"/>
  <c r="G6" i="7" l="1"/>
  <c r="L43" i="7" l="1"/>
  <c r="B627" i="50" s="1"/>
  <c r="L45" i="7"/>
  <c r="C10" i="84" s="1"/>
  <c r="G7" i="7"/>
  <c r="E38" i="7"/>
  <c r="B14" i="38" s="1"/>
  <c r="L68" i="7"/>
  <c r="E69" i="7"/>
  <c r="B686" i="50" s="1"/>
  <c r="S49" i="7"/>
  <c r="S45" i="7"/>
  <c r="E46" i="7"/>
  <c r="B639" i="50" s="1"/>
  <c r="L53" i="7"/>
  <c r="B651" i="50" s="1"/>
  <c r="L49" i="7"/>
  <c r="L58" i="7"/>
  <c r="B656" i="50" s="1"/>
  <c r="L54" i="7"/>
  <c r="B652" i="50" s="1"/>
  <c r="L65" i="7"/>
  <c r="S46" i="7"/>
  <c r="B662" i="50" s="1"/>
  <c r="E47" i="7"/>
  <c r="B640" i="50" s="1"/>
  <c r="E43" i="7"/>
  <c r="B636" i="50" s="1"/>
  <c r="L59" i="7"/>
  <c r="B657" i="50" s="1"/>
  <c r="L67" i="7"/>
  <c r="E68" i="7"/>
  <c r="S52" i="7"/>
  <c r="S48" i="7"/>
  <c r="B11" i="94" s="1"/>
  <c r="S44" i="7"/>
  <c r="E45" i="7"/>
  <c r="B638" i="50" s="1"/>
  <c r="L52" i="7"/>
  <c r="B650" i="50" s="1"/>
  <c r="L48" i="7"/>
  <c r="L44" i="7"/>
  <c r="L57" i="7"/>
  <c r="L50" i="7"/>
  <c r="L66" i="7"/>
  <c r="E66" i="7"/>
  <c r="S51" i="7"/>
  <c r="S47" i="7"/>
  <c r="S43" i="7"/>
  <c r="B659" i="50" s="1"/>
  <c r="E44" i="7"/>
  <c r="B637" i="50" s="1"/>
  <c r="L51" i="7"/>
  <c r="B649" i="50" s="1"/>
  <c r="L47" i="7"/>
  <c r="B10" i="94" s="1"/>
  <c r="L60" i="7"/>
  <c r="L56" i="7"/>
  <c r="B654" i="50" s="1"/>
  <c r="L69" i="7"/>
  <c r="E65" i="7"/>
  <c r="S50" i="7"/>
  <c r="L46" i="7"/>
  <c r="D7" i="88" s="1"/>
  <c r="B233" i="50" s="1"/>
  <c r="L55" i="7"/>
  <c r="B653" i="50" s="1"/>
  <c r="Q3" i="93" l="1"/>
  <c r="Q3" i="94"/>
  <c r="Q4" i="93"/>
  <c r="Q4" i="94"/>
  <c r="B16" i="94"/>
  <c r="B15" i="94"/>
  <c r="Q5" i="93"/>
  <c r="Q5" i="94"/>
  <c r="B11" i="86"/>
  <c r="B11" i="93"/>
  <c r="B10" i="86"/>
  <c r="B681" i="50" s="1"/>
  <c r="B10" i="93"/>
  <c r="B16" i="93"/>
  <c r="B15" i="93"/>
  <c r="B667" i="50"/>
  <c r="Q3" i="86"/>
  <c r="B15" i="86"/>
  <c r="B16" i="86"/>
  <c r="B668" i="50"/>
  <c r="Q5" i="86"/>
  <c r="C11" i="84"/>
  <c r="D41" i="88"/>
  <c r="B241" i="50" s="1"/>
  <c r="B666" i="50"/>
  <c r="Q4" i="86"/>
  <c r="B641" i="50"/>
  <c r="F26" i="61"/>
  <c r="B14" i="80"/>
  <c r="B14" i="79"/>
  <c r="B655" i="50"/>
  <c r="B658" i="50"/>
  <c r="D6" i="88" l="1"/>
  <c r="B232" i="50" s="1"/>
  <c r="E55" i="3"/>
  <c r="H55" i="3"/>
  <c r="K55" i="3"/>
  <c r="N55" i="3"/>
  <c r="Q55" i="3"/>
  <c r="T55" i="3"/>
  <c r="W55" i="3"/>
  <c r="Z55" i="3"/>
  <c r="AC55" i="3"/>
  <c r="AF55" i="3"/>
  <c r="AI55" i="3"/>
  <c r="AL55" i="3"/>
  <c r="AO55" i="3"/>
  <c r="AR55" i="3"/>
  <c r="AU55" i="3"/>
  <c r="AX55" i="3"/>
  <c r="BA55" i="3"/>
  <c r="BD55" i="3"/>
  <c r="BG55" i="3"/>
  <c r="BJ55" i="3"/>
  <c r="BM55" i="3"/>
  <c r="BP55" i="3"/>
  <c r="BS55" i="3"/>
  <c r="BV55" i="3"/>
  <c r="BY55" i="3"/>
  <c r="CB55" i="3"/>
  <c r="CT55" i="3"/>
  <c r="E58" i="3"/>
  <c r="H58" i="3"/>
  <c r="K58" i="3"/>
  <c r="N58" i="3"/>
  <c r="Q58" i="3"/>
  <c r="T58" i="3"/>
  <c r="W58" i="3"/>
  <c r="Z58" i="3"/>
  <c r="AC58" i="3"/>
  <c r="AF58" i="3"/>
  <c r="AI58" i="3"/>
  <c r="AL58" i="3"/>
  <c r="AO58" i="3"/>
  <c r="AR58" i="3"/>
  <c r="AU58" i="3"/>
  <c r="AX58" i="3"/>
  <c r="BA58" i="3"/>
  <c r="BD58" i="3"/>
  <c r="BG58" i="3"/>
  <c r="BJ58" i="3"/>
  <c r="BM58" i="3"/>
  <c r="BP58" i="3"/>
  <c r="BS58" i="3"/>
  <c r="BV58" i="3"/>
  <c r="BY58" i="3"/>
  <c r="CB58" i="3"/>
  <c r="CT58" i="3"/>
  <c r="C30" i="3" l="1"/>
  <c r="B38" i="2" l="1"/>
  <c r="B43" i="2" s="1"/>
  <c r="B91" i="2"/>
  <c r="B96" i="2" s="1"/>
  <c r="B40" i="2"/>
  <c r="C45" i="2" s="1"/>
  <c r="B93" i="2"/>
  <c r="B98" i="2"/>
  <c r="E93" i="2"/>
  <c r="D93" i="2"/>
  <c r="U94" i="2" s="1"/>
  <c r="C98" i="2" l="1"/>
  <c r="B13" i="55"/>
  <c r="C13" i="55" s="1"/>
  <c r="D13" i="55" s="1"/>
  <c r="E13" i="55" s="1"/>
  <c r="F13" i="55" s="1"/>
  <c r="G13" i="55" s="1"/>
  <c r="H13" i="55" s="1"/>
  <c r="I13" i="55" s="1"/>
  <c r="J13" i="55" s="1"/>
  <c r="K13" i="55" s="1"/>
  <c r="L13" i="55" s="1"/>
  <c r="M13" i="55" s="1"/>
  <c r="N13" i="55" s="1"/>
  <c r="O13" i="55" s="1"/>
  <c r="P13" i="55" s="1"/>
  <c r="Q13" i="55" s="1"/>
  <c r="R13" i="55" s="1"/>
  <c r="S13" i="55" s="1"/>
  <c r="T13" i="55" s="1"/>
  <c r="U13" i="55" s="1"/>
  <c r="V13" i="55" s="1"/>
  <c r="W13" i="55" s="1"/>
  <c r="X13" i="55" s="1"/>
  <c r="Y13" i="55" s="1"/>
  <c r="Z13" i="55" s="1"/>
  <c r="AA13" i="55" s="1"/>
  <c r="AB13" i="55" s="1"/>
  <c r="AC13" i="55" s="1"/>
  <c r="AD13" i="55" s="1"/>
  <c r="AE13" i="55" s="1"/>
  <c r="AF13" i="55" s="1"/>
  <c r="AG13" i="55" s="1"/>
  <c r="AH13" i="55" s="1"/>
  <c r="AI13" i="55" s="1"/>
  <c r="AJ13" i="55" s="1"/>
  <c r="AK13" i="55" s="1"/>
  <c r="AL13" i="55" s="1"/>
  <c r="AM13" i="55" s="1"/>
  <c r="AN13" i="55" s="1"/>
  <c r="AO13" i="55" s="1"/>
  <c r="AP13" i="55" s="1"/>
  <c r="AQ13" i="55" s="1"/>
  <c r="AR13" i="55" s="1"/>
  <c r="AS13" i="55" s="1"/>
  <c r="AT13" i="55" s="1"/>
  <c r="AU13" i="55" s="1"/>
  <c r="AV13" i="55" s="1"/>
  <c r="AW13" i="55" s="1"/>
  <c r="AX13" i="55" s="1"/>
  <c r="AY13" i="55" s="1"/>
  <c r="AZ13" i="55" s="1"/>
  <c r="BA13" i="55" s="1"/>
  <c r="BB13" i="55" s="1"/>
  <c r="BC13" i="55" s="1"/>
  <c r="BD13" i="55" s="1"/>
  <c r="BE13" i="55" s="1"/>
  <c r="BF13" i="55" s="1"/>
  <c r="BG13" i="55" s="1"/>
  <c r="BH13" i="55" s="1"/>
  <c r="BI13" i="55" s="1"/>
  <c r="BJ13" i="55" s="1"/>
  <c r="BK13" i="55" s="1"/>
  <c r="BL13" i="55" s="1"/>
  <c r="BM13" i="55" s="1"/>
  <c r="BN13" i="55" s="1"/>
  <c r="BO13" i="55" s="1"/>
  <c r="BP13" i="55" s="1"/>
  <c r="BQ13" i="55" s="1"/>
  <c r="BR13" i="55" s="1"/>
  <c r="BS13" i="55" s="1"/>
  <c r="BT13" i="55" s="1"/>
  <c r="BU13" i="55" s="1"/>
  <c r="BV13" i="55" s="1"/>
  <c r="BW13" i="55" s="1"/>
  <c r="BX13" i="55" s="1"/>
  <c r="BY13" i="55" s="1"/>
  <c r="BZ13" i="55" s="1"/>
  <c r="CA13" i="55" s="1"/>
  <c r="CB13" i="55" s="1"/>
  <c r="CC13" i="55" s="1"/>
  <c r="CD13" i="55" s="1"/>
  <c r="CE13" i="55" s="1"/>
  <c r="CF13" i="55" s="1"/>
  <c r="CG13" i="55" s="1"/>
  <c r="CH13" i="55" s="1"/>
  <c r="CI13" i="55" s="1"/>
  <c r="CJ13" i="55" s="1"/>
  <c r="CK13" i="55" s="1"/>
  <c r="CL13" i="55" s="1"/>
  <c r="CM13" i="55" s="1"/>
  <c r="CN13" i="55" s="1"/>
  <c r="CO13" i="55" s="1"/>
  <c r="CP13" i="55" s="1"/>
  <c r="CQ13" i="55" s="1"/>
  <c r="CR13" i="55" s="1"/>
  <c r="CS13" i="55" s="1"/>
  <c r="CT13" i="55" s="1"/>
  <c r="CU13" i="55" s="1"/>
  <c r="CV13" i="55" s="1"/>
  <c r="CW13" i="55" s="1"/>
  <c r="CX13" i="55" s="1"/>
  <c r="CY13" i="55" s="1"/>
  <c r="CZ13" i="55" s="1"/>
  <c r="DA13" i="55" s="1"/>
  <c r="DB13" i="55" s="1"/>
  <c r="DC13" i="55" s="1"/>
  <c r="DD13" i="55" s="1"/>
  <c r="DE13" i="55" s="1"/>
  <c r="DF13" i="55" s="1"/>
  <c r="DG13" i="55" s="1"/>
  <c r="DH13" i="55" s="1"/>
  <c r="DI13" i="55" s="1"/>
  <c r="DJ13" i="55" s="1"/>
  <c r="DK13" i="55" s="1"/>
  <c r="DL13" i="55" s="1"/>
  <c r="DM13" i="55" s="1"/>
  <c r="DN13" i="55" s="1"/>
  <c r="DO13" i="55" s="1"/>
  <c r="DP13" i="55" s="1"/>
  <c r="DQ13" i="55" s="1"/>
  <c r="DR13" i="55" s="1"/>
  <c r="DS13" i="55" s="1"/>
  <c r="DT13" i="55" s="1"/>
  <c r="DU13" i="55" s="1"/>
  <c r="DV13" i="55" s="1"/>
  <c r="DW13" i="55" s="1"/>
  <c r="DX13" i="55" s="1"/>
  <c r="DY13" i="55" s="1"/>
  <c r="DZ13" i="55" s="1"/>
  <c r="EA13" i="55" s="1"/>
  <c r="EB13" i="55" s="1"/>
  <c r="EC13" i="55" s="1"/>
  <c r="ED13" i="55" s="1"/>
  <c r="EE13" i="55" s="1"/>
  <c r="EF13" i="55" s="1"/>
  <c r="EG13" i="55" s="1"/>
  <c r="EH13" i="55" s="1"/>
  <c r="EI13" i="55" s="1"/>
  <c r="EJ13" i="55" s="1"/>
  <c r="EK13" i="55" s="1"/>
  <c r="EL13" i="55" s="1"/>
  <c r="EM13" i="55" s="1"/>
  <c r="EN13" i="55" s="1"/>
  <c r="EO13" i="55" s="1"/>
  <c r="EP13" i="55" s="1"/>
  <c r="EQ13" i="55" s="1"/>
  <c r="ER13" i="55" s="1"/>
  <c r="ES13" i="55" s="1"/>
  <c r="ET13" i="55" s="1"/>
  <c r="EU13" i="55" s="1"/>
  <c r="EV13" i="55" s="1"/>
  <c r="EW13" i="55" s="1"/>
  <c r="EX13" i="55" s="1"/>
  <c r="EY13" i="55" s="1"/>
  <c r="EZ13" i="55" s="1"/>
  <c r="FA13" i="55" s="1"/>
  <c r="FB13" i="55" s="1"/>
  <c r="FC13" i="55" s="1"/>
  <c r="FD13" i="55" s="1"/>
  <c r="FE13" i="55" s="1"/>
  <c r="FF13" i="55" s="1"/>
  <c r="FG13" i="55" s="1"/>
  <c r="FH13" i="55" s="1"/>
  <c r="FI13" i="55" s="1"/>
  <c r="FJ13" i="55" s="1"/>
  <c r="FK13" i="55" s="1"/>
  <c r="FL13" i="55" s="1"/>
  <c r="FM13" i="55" s="1"/>
  <c r="FN13" i="55" s="1"/>
  <c r="FO13" i="55" s="1"/>
  <c r="FP13" i="55" s="1"/>
  <c r="FQ13" i="55" s="1"/>
  <c r="FR13" i="55" s="1"/>
  <c r="FS13" i="55" s="1"/>
  <c r="FT13" i="55" s="1"/>
  <c r="FU13" i="55" s="1"/>
  <c r="FV13" i="55" s="1"/>
  <c r="FW13" i="55" s="1"/>
  <c r="FX13" i="55" s="1"/>
  <c r="FY13" i="55" s="1"/>
  <c r="FZ13" i="55" s="1"/>
  <c r="GA13" i="55" s="1"/>
  <c r="GB13" i="55" s="1"/>
  <c r="GC13" i="55" s="1"/>
  <c r="GD13" i="55" s="1"/>
  <c r="GE13" i="55" s="1"/>
  <c r="GF13" i="55" s="1"/>
  <c r="GG13" i="55" s="1"/>
  <c r="GH13" i="55" s="1"/>
  <c r="GI13" i="55" s="1"/>
  <c r="GJ13" i="55" s="1"/>
  <c r="GK13" i="55" s="1"/>
  <c r="GL13" i="55" s="1"/>
  <c r="GM13" i="55" s="1"/>
  <c r="GN13" i="55" s="1"/>
  <c r="GO13" i="55" s="1"/>
  <c r="GP13" i="55" s="1"/>
  <c r="GQ13" i="55" s="1"/>
  <c r="GR13" i="55" s="1"/>
  <c r="GS13" i="55" s="1"/>
  <c r="GT13" i="55" s="1"/>
  <c r="GU13" i="55" s="1"/>
  <c r="GV13" i="55" s="1"/>
  <c r="GW13" i="55" s="1"/>
  <c r="GX13" i="55" s="1"/>
  <c r="GY13" i="55" s="1"/>
  <c r="GZ13" i="55" s="1"/>
  <c r="HA13" i="55" s="1"/>
  <c r="HB13" i="55" s="1"/>
  <c r="HC13" i="55" s="1"/>
  <c r="HD13" i="55" s="1"/>
  <c r="HE13" i="55" s="1"/>
  <c r="HF13" i="55" s="1"/>
  <c r="HG13" i="55" s="1"/>
  <c r="HH13" i="55" s="1"/>
  <c r="HI13" i="55" s="1"/>
  <c r="HJ13" i="55" s="1"/>
  <c r="HK13" i="55" s="1"/>
  <c r="HL13" i="55" s="1"/>
  <c r="HM13" i="55" s="1"/>
  <c r="HN13" i="55" s="1"/>
  <c r="HO13" i="55" s="1"/>
  <c r="HP13" i="55" s="1"/>
  <c r="HQ13" i="55" s="1"/>
  <c r="HR13" i="55" s="1"/>
  <c r="HS13" i="55" s="1"/>
  <c r="HT13" i="55" s="1"/>
  <c r="HU13" i="55" s="1"/>
  <c r="HV13" i="55" s="1"/>
  <c r="HW13" i="55" s="1"/>
  <c r="HX13" i="55" s="1"/>
  <c r="HY13" i="55" s="1"/>
  <c r="HZ13" i="55" s="1"/>
  <c r="IA13" i="55" s="1"/>
  <c r="IB13" i="55" s="1"/>
  <c r="IC13" i="55" s="1"/>
  <c r="ID13" i="55" s="1"/>
  <c r="IE13" i="55" s="1"/>
  <c r="IF13" i="55" s="1"/>
  <c r="IG13" i="55" s="1"/>
  <c r="IH13" i="55" s="1"/>
  <c r="II13" i="55" s="1"/>
  <c r="IJ13" i="55" s="1"/>
  <c r="IK13" i="55" s="1"/>
  <c r="IL13" i="55" s="1"/>
  <c r="IM13" i="55" s="1"/>
  <c r="IN13" i="55" s="1"/>
  <c r="IO13" i="55" s="1"/>
  <c r="IP13" i="55" s="1"/>
  <c r="IQ13" i="55" s="1"/>
  <c r="IR13" i="55" s="1"/>
  <c r="IS13" i="55" s="1"/>
  <c r="IT13" i="55" s="1"/>
  <c r="IU13" i="55" s="1"/>
  <c r="IV13" i="55" s="1"/>
  <c r="IW13" i="55" s="1"/>
  <c r="IX13" i="55" s="1"/>
  <c r="IY13" i="55" s="1"/>
  <c r="IZ13" i="55" s="1"/>
  <c r="JA13" i="55" s="1"/>
  <c r="JB13" i="55" s="1"/>
  <c r="JC13" i="55" s="1"/>
  <c r="JD13" i="55" s="1"/>
  <c r="JE13" i="55" s="1"/>
  <c r="JF13" i="55" s="1"/>
  <c r="JG13" i="55" s="1"/>
  <c r="JH13" i="55" s="1"/>
  <c r="JI13" i="55" s="1"/>
  <c r="JJ13" i="55" s="1"/>
  <c r="JK13" i="55" s="1"/>
  <c r="JL13" i="55" s="1"/>
  <c r="JM13" i="55" s="1"/>
  <c r="JN13" i="55" s="1"/>
  <c r="JO13" i="55" s="1"/>
  <c r="JP13" i="55" s="1"/>
  <c r="JQ13" i="55" s="1"/>
  <c r="JR13" i="55" s="1"/>
  <c r="JS13" i="55" s="1"/>
  <c r="JT13" i="55" s="1"/>
  <c r="JU13" i="55" s="1"/>
  <c r="JV13" i="55" s="1"/>
  <c r="JW13" i="55" s="1"/>
  <c r="JX13" i="55" s="1"/>
  <c r="JY13" i="55" s="1"/>
  <c r="JZ13" i="55" s="1"/>
  <c r="KA13" i="55" s="1"/>
  <c r="KB13" i="55" s="1"/>
  <c r="KC13" i="55" s="1"/>
  <c r="KD13" i="55" s="1"/>
  <c r="KE13" i="55" s="1"/>
  <c r="KF13" i="55" s="1"/>
  <c r="KG13" i="55" s="1"/>
  <c r="KH13" i="55" s="1"/>
  <c r="KI13" i="55" s="1"/>
  <c r="KJ13" i="55" s="1"/>
  <c r="KK13" i="55" s="1"/>
  <c r="KL13" i="55" s="1"/>
  <c r="KM13" i="55" s="1"/>
  <c r="KN13" i="55" s="1"/>
  <c r="KO13" i="55" s="1"/>
  <c r="B648" i="50" l="1"/>
  <c r="B664" i="50"/>
  <c r="R1" i="7"/>
  <c r="E88" i="16" l="1"/>
  <c r="E87" i="16"/>
  <c r="E86" i="16"/>
  <c r="E85" i="16"/>
  <c r="E84" i="16"/>
  <c r="E83" i="16"/>
  <c r="E77" i="16"/>
  <c r="E76" i="16"/>
  <c r="E75" i="16"/>
  <c r="E74" i="16"/>
  <c r="E73" i="16"/>
  <c r="E72" i="16"/>
  <c r="E71" i="16"/>
  <c r="E70" i="16"/>
  <c r="E69" i="16"/>
  <c r="E68" i="16"/>
  <c r="E67" i="16"/>
  <c r="E66" i="16"/>
  <c r="E64" i="16"/>
  <c r="E63" i="16"/>
  <c r="E62" i="16"/>
  <c r="E61" i="16"/>
  <c r="E60" i="16"/>
  <c r="E59" i="16"/>
  <c r="E58" i="16"/>
  <c r="E57" i="16"/>
  <c r="E56" i="16"/>
  <c r="E55" i="16"/>
  <c r="E54" i="16"/>
  <c r="E53" i="16"/>
  <c r="E52" i="16"/>
  <c r="E51" i="16"/>
  <c r="E50" i="16"/>
  <c r="E49" i="16"/>
  <c r="E48" i="16"/>
  <c r="E47" i="16"/>
  <c r="E45" i="16"/>
  <c r="E44" i="16"/>
  <c r="E43" i="16"/>
  <c r="E41" i="16"/>
  <c r="E40" i="16"/>
  <c r="E39" i="16"/>
  <c r="E38" i="16"/>
  <c r="E37" i="16"/>
  <c r="E36" i="16"/>
  <c r="E35" i="16"/>
  <c r="E34" i="16"/>
  <c r="E33" i="16"/>
  <c r="E32" i="16"/>
  <c r="E31" i="16"/>
  <c r="E30" i="16"/>
  <c r="E29" i="16"/>
  <c r="E28" i="16"/>
  <c r="E27" i="16"/>
  <c r="E26" i="16"/>
  <c r="E25" i="16"/>
  <c r="E24" i="16"/>
  <c r="E23" i="16"/>
  <c r="E22" i="16"/>
  <c r="AF15" i="38" l="1"/>
  <c r="AF14" i="38"/>
  <c r="B660" i="50"/>
  <c r="B665" i="50"/>
  <c r="B647" i="50"/>
  <c r="B642" i="50"/>
  <c r="G37" i="7"/>
  <c r="E37" i="7" s="1"/>
  <c r="T19" i="88" s="1"/>
  <c r="G36" i="7"/>
  <c r="G35" i="7"/>
  <c r="E35" i="7" s="1"/>
  <c r="G34" i="7"/>
  <c r="E34" i="7" s="1"/>
  <c r="G33" i="7"/>
  <c r="E33" i="7" s="1"/>
  <c r="I102" i="80" s="1"/>
  <c r="G32" i="7"/>
  <c r="E32" i="7" s="1"/>
  <c r="G31" i="7"/>
  <c r="E31" i="7" s="1"/>
  <c r="B189" i="50" s="1"/>
  <c r="G39" i="7"/>
  <c r="C30" i="80" l="1"/>
  <c r="AF14" i="80"/>
  <c r="AF14" i="59"/>
  <c r="AF15" i="80"/>
  <c r="AF15" i="59"/>
  <c r="AF14" i="61"/>
  <c r="AF14" i="79"/>
  <c r="AF15" i="61"/>
  <c r="AF15" i="79"/>
  <c r="E39" i="7"/>
  <c r="AF7" i="38" s="1"/>
  <c r="E36" i="7"/>
  <c r="E70" i="7"/>
  <c r="B687" i="50" s="1"/>
  <c r="B643" i="50"/>
  <c r="B646" i="50"/>
  <c r="B661" i="50"/>
  <c r="S65" i="7"/>
  <c r="D98" i="2" s="1"/>
  <c r="B645" i="50"/>
  <c r="B663" i="50"/>
  <c r="B644" i="50"/>
  <c r="B685" i="50"/>
  <c r="B77" i="2"/>
  <c r="B24" i="2"/>
  <c r="B14" i="3"/>
  <c r="B12" i="3"/>
  <c r="B205" i="50"/>
  <c r="G15" i="38"/>
  <c r="B206" i="50"/>
  <c r="B208" i="50"/>
  <c r="AF15" i="60"/>
  <c r="AF14" i="60"/>
  <c r="C30" i="38"/>
  <c r="AI8" i="38"/>
  <c r="I101" i="38"/>
  <c r="J101" i="38" s="1"/>
  <c r="E101" i="38"/>
  <c r="F101" i="38" s="1"/>
  <c r="G45" i="2"/>
  <c r="E45" i="2"/>
  <c r="B16" i="38" l="1"/>
  <c r="B16" i="59" s="1"/>
  <c r="T21" i="88"/>
  <c r="E87" i="80"/>
  <c r="AF82" i="80"/>
  <c r="E82" i="80"/>
  <c r="X82" i="80"/>
  <c r="M82" i="80"/>
  <c r="X87" i="80"/>
  <c r="M87" i="80"/>
  <c r="AF87" i="80"/>
  <c r="C27" i="38"/>
  <c r="E27" i="38"/>
  <c r="AF12" i="38" s="1"/>
  <c r="L27" i="38"/>
  <c r="C30" i="60"/>
  <c r="C30" i="59"/>
  <c r="AI8" i="80"/>
  <c r="AI8" i="59"/>
  <c r="AF7" i="80"/>
  <c r="AF7" i="59"/>
  <c r="C30" i="79"/>
  <c r="AF81" i="80"/>
  <c r="X81" i="80"/>
  <c r="M86" i="80"/>
  <c r="N38" i="34"/>
  <c r="C99" i="78" s="1"/>
  <c r="AF7" i="79"/>
  <c r="M81" i="80"/>
  <c r="AF86" i="80"/>
  <c r="B16" i="79"/>
  <c r="E86" i="80"/>
  <c r="AI8" i="61"/>
  <c r="AI8" i="79"/>
  <c r="D23" i="61"/>
  <c r="B23" i="61" s="1"/>
  <c r="X86" i="80"/>
  <c r="E81" i="80"/>
  <c r="AI7" i="38"/>
  <c r="C26" i="61"/>
  <c r="B23" i="2"/>
  <c r="B76" i="2"/>
  <c r="AI8" i="60"/>
  <c r="B44" i="3"/>
  <c r="C44" i="3" s="1"/>
  <c r="D44" i="3" s="1"/>
  <c r="B16" i="80" l="1"/>
  <c r="B16" i="60"/>
  <c r="AF12" i="60"/>
  <c r="AF12" i="80"/>
  <c r="AF12" i="59"/>
  <c r="AF12" i="79"/>
  <c r="B217" i="50"/>
  <c r="C27" i="61"/>
  <c r="B219" i="50" s="1"/>
  <c r="C98" i="77"/>
  <c r="AI7" i="80"/>
  <c r="AI7" i="59"/>
  <c r="D210" i="50"/>
  <c r="C98" i="78"/>
  <c r="G98" i="78" s="1"/>
  <c r="C99" i="77"/>
  <c r="B24" i="61"/>
  <c r="AI7" i="79"/>
  <c r="H60" i="80"/>
  <c r="G99" i="78"/>
  <c r="AF7" i="61"/>
  <c r="E44" i="3"/>
  <c r="F44" i="3" s="1"/>
  <c r="G44" i="3" s="1"/>
  <c r="Z59" i="3"/>
  <c r="B215" i="50" l="1"/>
  <c r="D14" i="88"/>
  <c r="D39" i="88" s="1"/>
  <c r="G98" i="77"/>
  <c r="G98" i="20" s="1"/>
  <c r="C98" i="20"/>
  <c r="D105" i="50" s="1"/>
  <c r="G99" i="77"/>
  <c r="G99" i="20" s="1"/>
  <c r="C99" i="20"/>
  <c r="AI7" i="61"/>
  <c r="AI7" i="60"/>
  <c r="H44" i="3"/>
  <c r="I44" i="3" s="1"/>
  <c r="J44" i="3" s="1"/>
  <c r="BA59" i="3"/>
  <c r="K44" i="3" l="1"/>
  <c r="L44" i="3" s="1"/>
  <c r="M44" i="3" s="1"/>
  <c r="W64" i="2"/>
  <c r="N44" i="3" l="1"/>
  <c r="O44" i="3" s="1"/>
  <c r="P44" i="3" s="1"/>
  <c r="B96" i="3"/>
  <c r="C96" i="3" s="1"/>
  <c r="D96" i="3" s="1"/>
  <c r="E96" i="3" s="1"/>
  <c r="F96" i="3" s="1"/>
  <c r="G96" i="3" s="1"/>
  <c r="H96" i="3" s="1"/>
  <c r="I96" i="3" s="1"/>
  <c r="J96" i="3" s="1"/>
  <c r="K96" i="3" s="1"/>
  <c r="L96" i="3" s="1"/>
  <c r="M96" i="3" s="1"/>
  <c r="N96" i="3" s="1"/>
  <c r="O96" i="3" s="1"/>
  <c r="P96" i="3" s="1"/>
  <c r="Q96" i="3" s="1"/>
  <c r="R96" i="3" s="1"/>
  <c r="S96" i="3" s="1"/>
  <c r="T96" i="3" s="1"/>
  <c r="U96" i="3" s="1"/>
  <c r="V96" i="3" s="1"/>
  <c r="W96" i="3" s="1"/>
  <c r="X96" i="3" s="1"/>
  <c r="Y96" i="3" s="1"/>
  <c r="Z96" i="3" s="1"/>
  <c r="AA96" i="3" s="1"/>
  <c r="AB96" i="3" s="1"/>
  <c r="AC96" i="3" s="1"/>
  <c r="AD96" i="3" s="1"/>
  <c r="AE96" i="3" s="1"/>
  <c r="Q44" i="3" l="1"/>
  <c r="R44" i="3" s="1"/>
  <c r="S44" i="3" s="1"/>
  <c r="G6" i="38"/>
  <c r="G6" i="80" s="1"/>
  <c r="E6" i="38"/>
  <c r="E6" i="80" s="1"/>
  <c r="Y188" i="80" l="1"/>
  <c r="AC169" i="80"/>
  <c r="I190" i="80"/>
  <c r="G190" i="80"/>
  <c r="AF90" i="80"/>
  <c r="AD90" i="80"/>
  <c r="J5" i="80"/>
  <c r="G6" i="79"/>
  <c r="D30" i="38"/>
  <c r="E6" i="79"/>
  <c r="D30" i="80"/>
  <c r="C1" i="7"/>
  <c r="E6" i="60"/>
  <c r="G6" i="61"/>
  <c r="G6" i="60"/>
  <c r="D30" i="60" s="1"/>
  <c r="P4" i="21"/>
  <c r="P5" i="21"/>
  <c r="P3" i="21"/>
  <c r="E6" i="59"/>
  <c r="E6" i="61"/>
  <c r="G6" i="59"/>
  <c r="D30" i="59" s="1"/>
  <c r="AE11" i="38"/>
  <c r="J5" i="38"/>
  <c r="F6" i="38"/>
  <c r="F6" i="80" s="1"/>
  <c r="T44" i="3"/>
  <c r="U44" i="3" s="1"/>
  <c r="V44" i="3" s="1"/>
  <c r="AC49" i="59" l="1"/>
  <c r="Y68" i="60"/>
  <c r="AC49" i="60"/>
  <c r="Y68" i="59"/>
  <c r="Z8" i="79"/>
  <c r="B39" i="79"/>
  <c r="D30" i="79"/>
  <c r="U5" i="79"/>
  <c r="J5" i="79"/>
  <c r="U39" i="79"/>
  <c r="AE11" i="80"/>
  <c r="AE11" i="59"/>
  <c r="B88" i="79"/>
  <c r="J5" i="60"/>
  <c r="J5" i="59"/>
  <c r="AB52" i="80"/>
  <c r="X90" i="80"/>
  <c r="AE11" i="61"/>
  <c r="AE11" i="79"/>
  <c r="C1" i="60"/>
  <c r="C1" i="80"/>
  <c r="C1" i="79"/>
  <c r="F6" i="79"/>
  <c r="F6" i="60"/>
  <c r="C1" i="38"/>
  <c r="C1" i="59"/>
  <c r="C1" i="61"/>
  <c r="G1" i="50"/>
  <c r="C1" i="2"/>
  <c r="C1" i="21"/>
  <c r="C1" i="8"/>
  <c r="F6" i="59"/>
  <c r="F6" i="61"/>
  <c r="AE11" i="60"/>
  <c r="W44" i="3"/>
  <c r="X44" i="3" s="1"/>
  <c r="Y44" i="3" s="1"/>
  <c r="E3" i="5"/>
  <c r="Z44" i="3" l="1"/>
  <c r="AA44" i="3" s="1"/>
  <c r="AB44" i="3" s="1"/>
  <c r="B2" i="38"/>
  <c r="A2" i="38"/>
  <c r="A1" i="38"/>
  <c r="AC44" i="3" l="1"/>
  <c r="AD44" i="3" s="1"/>
  <c r="AE44" i="3" s="1"/>
  <c r="AF44" i="3" l="1"/>
  <c r="AG44" i="3" s="1"/>
  <c r="AH44" i="3" s="1"/>
  <c r="AI44" i="3" l="1"/>
  <c r="AJ44" i="3" s="1"/>
  <c r="AK44" i="3" s="1"/>
  <c r="E4" i="5"/>
  <c r="AL44" i="3" l="1"/>
  <c r="AM44" i="3" s="1"/>
  <c r="AN44" i="3" s="1"/>
  <c r="AO44" i="3" l="1"/>
  <c r="AP44" i="3" s="1"/>
  <c r="AQ44" i="3" s="1"/>
  <c r="AR44" i="3" l="1"/>
  <c r="AS44" i="3" s="1"/>
  <c r="AT44" i="3" s="1"/>
  <c r="D78" i="5"/>
  <c r="AU44" i="3" l="1"/>
  <c r="AV44" i="3" s="1"/>
  <c r="AW44" i="3" s="1"/>
  <c r="AX44" i="3" l="1"/>
  <c r="AY44" i="3" s="1"/>
  <c r="AZ44" i="3" s="1"/>
  <c r="BA44" i="3" l="1"/>
  <c r="BB44" i="3" s="1"/>
  <c r="BC44" i="3" s="1"/>
  <c r="BD44" i="3" l="1"/>
  <c r="BE44" i="3" s="1"/>
  <c r="BF44" i="3" s="1"/>
  <c r="M2" i="5"/>
  <c r="M2" i="1"/>
  <c r="D28" i="5" l="1"/>
  <c r="BG44" i="3"/>
  <c r="BH44" i="3" s="1"/>
  <c r="BI44" i="3" s="1"/>
  <c r="B340" i="3"/>
  <c r="B337" i="3"/>
  <c r="B334" i="3"/>
  <c r="B331" i="3"/>
  <c r="B262" i="3"/>
  <c r="L261" i="3"/>
  <c r="L260" i="3" s="1"/>
  <c r="K261" i="3"/>
  <c r="K260" i="3" s="1"/>
  <c r="J261" i="3"/>
  <c r="J260" i="3" s="1"/>
  <c r="I261" i="3"/>
  <c r="I260" i="3" s="1"/>
  <c r="H261" i="3"/>
  <c r="H260" i="3" s="1"/>
  <c r="G261" i="3"/>
  <c r="G260" i="3" s="1"/>
  <c r="F261" i="3"/>
  <c r="F260" i="3" s="1"/>
  <c r="E261" i="3"/>
  <c r="E260" i="3" s="1"/>
  <c r="D261" i="3"/>
  <c r="D260" i="3" s="1"/>
  <c r="C261" i="3"/>
  <c r="C260" i="3" s="1"/>
  <c r="L155" i="3"/>
  <c r="L154" i="3" s="1"/>
  <c r="K155" i="3"/>
  <c r="K154" i="3" s="1"/>
  <c r="J155" i="3"/>
  <c r="J154" i="3" s="1"/>
  <c r="I155" i="3"/>
  <c r="I154" i="3" s="1"/>
  <c r="H155" i="3"/>
  <c r="H154" i="3" s="1"/>
  <c r="G155" i="3"/>
  <c r="G154" i="3" s="1"/>
  <c r="F155" i="3"/>
  <c r="F154" i="3" s="1"/>
  <c r="E155" i="3"/>
  <c r="E154" i="3" s="1"/>
  <c r="D155" i="3"/>
  <c r="D154" i="3" s="1"/>
  <c r="C155" i="3"/>
  <c r="C154" i="3" s="1"/>
  <c r="D257" i="3"/>
  <c r="E257" i="3" s="1"/>
  <c r="F257" i="3" s="1"/>
  <c r="G257" i="3" s="1"/>
  <c r="H257" i="3" s="1"/>
  <c r="I257" i="3" s="1"/>
  <c r="A343" i="3"/>
  <c r="A346" i="3" s="1"/>
  <c r="A349" i="3" s="1"/>
  <c r="A265" i="3"/>
  <c r="B265" i="3" s="1"/>
  <c r="B349" i="3" l="1"/>
  <c r="A352" i="3"/>
  <c r="B352" i="3" s="1"/>
  <c r="BJ44" i="3"/>
  <c r="BK44" i="3" s="1"/>
  <c r="BL44" i="3" s="1"/>
  <c r="A268" i="3"/>
  <c r="A271" i="3" s="1"/>
  <c r="A274" i="3" s="1"/>
  <c r="A277" i="3" s="1"/>
  <c r="A280" i="3" s="1"/>
  <c r="A283" i="3" s="1"/>
  <c r="A286" i="3" s="1"/>
  <c r="A289" i="3" s="1"/>
  <c r="A292" i="3" s="1"/>
  <c r="A295" i="3" s="1"/>
  <c r="A298" i="3" s="1"/>
  <c r="A301" i="3" s="1"/>
  <c r="A304" i="3" s="1"/>
  <c r="A307" i="3" s="1"/>
  <c r="A310" i="3" s="1"/>
  <c r="A313" i="3" s="1"/>
  <c r="A316" i="3" s="1"/>
  <c r="A319" i="3" s="1"/>
  <c r="A322" i="3" s="1"/>
  <c r="A325" i="3" s="1"/>
  <c r="A328" i="3" s="1"/>
  <c r="B328" i="3" s="1"/>
  <c r="B346" i="3"/>
  <c r="K346" i="3" s="1"/>
  <c r="K348" i="3" s="1"/>
  <c r="K347" i="3" s="1"/>
  <c r="B343" i="3"/>
  <c r="G343" i="3" s="1"/>
  <c r="G345" i="3" s="1"/>
  <c r="G344" i="3" s="1"/>
  <c r="K257" i="3"/>
  <c r="J257" i="3"/>
  <c r="L257" i="3" s="1"/>
  <c r="K352" i="3" l="1"/>
  <c r="K354" i="3" s="1"/>
  <c r="K353" i="3" s="1"/>
  <c r="J352" i="3"/>
  <c r="J354" i="3" s="1"/>
  <c r="J353" i="3" s="1"/>
  <c r="I352" i="3"/>
  <c r="I354" i="3" s="1"/>
  <c r="I353" i="3" s="1"/>
  <c r="L352" i="3"/>
  <c r="L354" i="3" s="1"/>
  <c r="L353" i="3" s="1"/>
  <c r="G352" i="3"/>
  <c r="G354" i="3" s="1"/>
  <c r="G353" i="3" s="1"/>
  <c r="F352" i="3"/>
  <c r="F354" i="3" s="1"/>
  <c r="F353" i="3" s="1"/>
  <c r="H352" i="3"/>
  <c r="H354" i="3" s="1"/>
  <c r="H353" i="3" s="1"/>
  <c r="C352" i="3"/>
  <c r="C354" i="3" s="1"/>
  <c r="C353" i="3" s="1"/>
  <c r="E352" i="3"/>
  <c r="E354" i="3" s="1"/>
  <c r="E353" i="3" s="1"/>
  <c r="D352" i="3"/>
  <c r="D354" i="3" s="1"/>
  <c r="D353" i="3" s="1"/>
  <c r="H349" i="3"/>
  <c r="H351" i="3" s="1"/>
  <c r="H350" i="3" s="1"/>
  <c r="C349" i="3"/>
  <c r="C351" i="3" s="1"/>
  <c r="C350" i="3" s="1"/>
  <c r="E349" i="3"/>
  <c r="E351" i="3" s="1"/>
  <c r="E350" i="3" s="1"/>
  <c r="I349" i="3"/>
  <c r="I351" i="3" s="1"/>
  <c r="I350" i="3" s="1"/>
  <c r="D349" i="3"/>
  <c r="D351" i="3" s="1"/>
  <c r="D350" i="3" s="1"/>
  <c r="J349" i="3"/>
  <c r="J351" i="3" s="1"/>
  <c r="J350" i="3" s="1"/>
  <c r="G349" i="3"/>
  <c r="G351" i="3" s="1"/>
  <c r="G350" i="3" s="1"/>
  <c r="K349" i="3"/>
  <c r="K351" i="3" s="1"/>
  <c r="K350" i="3" s="1"/>
  <c r="F349" i="3"/>
  <c r="F351" i="3" s="1"/>
  <c r="F350" i="3" s="1"/>
  <c r="L349" i="3"/>
  <c r="L351" i="3" s="1"/>
  <c r="L350" i="3" s="1"/>
  <c r="BM44" i="3"/>
  <c r="BN44" i="3" s="1"/>
  <c r="BO44" i="3" s="1"/>
  <c r="B268" i="3"/>
  <c r="B283" i="3"/>
  <c r="B310" i="3"/>
  <c r="B271" i="3"/>
  <c r="B286" i="3"/>
  <c r="B319" i="3"/>
  <c r="B307" i="3"/>
  <c r="B280" i="3"/>
  <c r="B274" i="3"/>
  <c r="B313" i="3"/>
  <c r="B295" i="3"/>
  <c r="B304" i="3"/>
  <c r="B322" i="3"/>
  <c r="B301" i="3"/>
  <c r="B292" i="3"/>
  <c r="B298" i="3"/>
  <c r="B289" i="3"/>
  <c r="B316" i="3"/>
  <c r="B325" i="3"/>
  <c r="B277" i="3"/>
  <c r="F343" i="3"/>
  <c r="F345" i="3" s="1"/>
  <c r="F344" i="3" s="1"/>
  <c r="D343" i="3"/>
  <c r="D345" i="3" s="1"/>
  <c r="D344" i="3" s="1"/>
  <c r="L343" i="3"/>
  <c r="L345" i="3" s="1"/>
  <c r="L344" i="3" s="1"/>
  <c r="J346" i="3"/>
  <c r="J348" i="3" s="1"/>
  <c r="J347" i="3" s="1"/>
  <c r="E343" i="3"/>
  <c r="E345" i="3" s="1"/>
  <c r="E344" i="3" s="1"/>
  <c r="F346" i="3"/>
  <c r="F348" i="3" s="1"/>
  <c r="F347" i="3" s="1"/>
  <c r="I346" i="3"/>
  <c r="I348" i="3" s="1"/>
  <c r="I347" i="3" s="1"/>
  <c r="L346" i="3"/>
  <c r="L348" i="3" s="1"/>
  <c r="L347" i="3" s="1"/>
  <c r="G346" i="3"/>
  <c r="G348" i="3" s="1"/>
  <c r="G347" i="3" s="1"/>
  <c r="E346" i="3"/>
  <c r="E348" i="3" s="1"/>
  <c r="E347" i="3" s="1"/>
  <c r="D346" i="3"/>
  <c r="D348" i="3" s="1"/>
  <c r="D347" i="3" s="1"/>
  <c r="J343" i="3"/>
  <c r="J345" i="3" s="1"/>
  <c r="J344" i="3" s="1"/>
  <c r="C343" i="3"/>
  <c r="C345" i="3" s="1"/>
  <c r="C344" i="3" s="1"/>
  <c r="H343" i="3"/>
  <c r="H345" i="3" s="1"/>
  <c r="H344" i="3" s="1"/>
  <c r="C346" i="3"/>
  <c r="C348" i="3" s="1"/>
  <c r="C347" i="3" s="1"/>
  <c r="H346" i="3"/>
  <c r="H348" i="3" s="1"/>
  <c r="H347" i="3" s="1"/>
  <c r="K343" i="3"/>
  <c r="K345" i="3" s="1"/>
  <c r="K344" i="3" s="1"/>
  <c r="I343" i="3"/>
  <c r="I345" i="3" s="1"/>
  <c r="I344" i="3" s="1"/>
  <c r="F1" i="50" l="1"/>
  <c r="BP44" i="3"/>
  <c r="BQ44" i="3" s="1"/>
  <c r="BR44" i="3" s="1"/>
  <c r="C4" i="2"/>
  <c r="B4" i="2"/>
  <c r="BS44" i="3" l="1"/>
  <c r="BT44" i="3" s="1"/>
  <c r="BU44" i="3" s="1"/>
  <c r="B2" i="8"/>
  <c r="P2" i="7"/>
  <c r="Q2" i="50" l="1"/>
  <c r="M2" i="79"/>
  <c r="M2" i="80"/>
  <c r="M2" i="59"/>
  <c r="M2" i="61"/>
  <c r="M2" i="60"/>
  <c r="BV44" i="3"/>
  <c r="BW44" i="3" s="1"/>
  <c r="BX44" i="3" s="1"/>
  <c r="M2" i="8"/>
  <c r="M2" i="38"/>
  <c r="Y82" i="16"/>
  <c r="X82" i="16"/>
  <c r="Y81" i="16"/>
  <c r="X81" i="16"/>
  <c r="Y80" i="16"/>
  <c r="X80" i="16"/>
  <c r="Y79" i="16"/>
  <c r="X79" i="16"/>
  <c r="Y78" i="16"/>
  <c r="X78" i="16"/>
  <c r="J77" i="16"/>
  <c r="J76" i="16"/>
  <c r="J75" i="16"/>
  <c r="J74" i="16"/>
  <c r="J73" i="16"/>
  <c r="J72" i="16"/>
  <c r="J71" i="16"/>
  <c r="J70" i="16"/>
  <c r="J69" i="16"/>
  <c r="J68" i="16"/>
  <c r="J67" i="16"/>
  <c r="J66" i="16"/>
  <c r="Y65" i="16"/>
  <c r="X65" i="16"/>
  <c r="J64" i="16"/>
  <c r="J63" i="16"/>
  <c r="J62" i="16"/>
  <c r="J61" i="16"/>
  <c r="J60" i="16"/>
  <c r="J59" i="16"/>
  <c r="J58" i="16"/>
  <c r="J57" i="16"/>
  <c r="J56" i="16"/>
  <c r="J55" i="16"/>
  <c r="J54" i="16"/>
  <c r="J53" i="16"/>
  <c r="J52" i="16"/>
  <c r="J51" i="16"/>
  <c r="J50" i="16"/>
  <c r="J49" i="16"/>
  <c r="J48" i="16"/>
  <c r="J47" i="16"/>
  <c r="Y46" i="16"/>
  <c r="X46" i="16"/>
  <c r="J45" i="16"/>
  <c r="J44" i="16"/>
  <c r="J43" i="16"/>
  <c r="Y42" i="16"/>
  <c r="X42" i="16"/>
  <c r="AB41" i="16"/>
  <c r="J41" i="16"/>
  <c r="AB40" i="16"/>
  <c r="J40" i="16"/>
  <c r="AB39" i="16"/>
  <c r="J39" i="16"/>
  <c r="AB38" i="16"/>
  <c r="J38" i="16"/>
  <c r="AB37" i="16"/>
  <c r="J37" i="16"/>
  <c r="AB36" i="16"/>
  <c r="J36" i="16"/>
  <c r="AB35" i="16"/>
  <c r="J35" i="16"/>
  <c r="AB34" i="16"/>
  <c r="J34" i="16"/>
  <c r="AB33" i="16"/>
  <c r="J33" i="16"/>
  <c r="AB32" i="16"/>
  <c r="J32" i="16"/>
  <c r="AB31" i="16"/>
  <c r="J31" i="16"/>
  <c r="AB30" i="16"/>
  <c r="J30" i="16"/>
  <c r="AB29" i="16"/>
  <c r="J29" i="16"/>
  <c r="AB28" i="16"/>
  <c r="J28" i="16"/>
  <c r="AB27" i="16"/>
  <c r="J27" i="16"/>
  <c r="AB26" i="16"/>
  <c r="J26" i="16"/>
  <c r="AB25" i="16"/>
  <c r="J25" i="16"/>
  <c r="AB24" i="16"/>
  <c r="J24" i="16"/>
  <c r="AB23" i="16"/>
  <c r="J23" i="16"/>
  <c r="AB22" i="16"/>
  <c r="A23" i="16"/>
  <c r="A24" i="16" s="1"/>
  <c r="A25" i="16" s="1"/>
  <c r="A26" i="16" s="1"/>
  <c r="A27" i="16" s="1"/>
  <c r="A28" i="16" s="1"/>
  <c r="A29" i="16" s="1"/>
  <c r="A30" i="16" s="1"/>
  <c r="A31" i="16" s="1"/>
  <c r="A32" i="16" s="1"/>
  <c r="A33" i="16" s="1"/>
  <c r="A34" i="16" s="1"/>
  <c r="A35" i="16" s="1"/>
  <c r="A36" i="16" s="1"/>
  <c r="A37" i="16" s="1"/>
  <c r="A38" i="16" s="1"/>
  <c r="A39" i="16" s="1"/>
  <c r="A40" i="16" s="1"/>
  <c r="A41" i="16" s="1"/>
  <c r="A42" i="16" s="1"/>
  <c r="A43" i="16" s="1"/>
  <c r="A44" i="16" s="1"/>
  <c r="A45" i="16" s="1"/>
  <c r="A46" i="16" s="1"/>
  <c r="A47" i="16" s="1"/>
  <c r="A48" i="16" s="1"/>
  <c r="A49" i="16" s="1"/>
  <c r="A50" i="16" s="1"/>
  <c r="A51" i="16" s="1"/>
  <c r="A52" i="16" s="1"/>
  <c r="A53" i="16" s="1"/>
  <c r="A54" i="16" s="1"/>
  <c r="A55" i="16" s="1"/>
  <c r="A56" i="16" s="1"/>
  <c r="A57" i="16" s="1"/>
  <c r="A58" i="16" s="1"/>
  <c r="A59" i="16" s="1"/>
  <c r="A60" i="16" s="1"/>
  <c r="A61" i="16" s="1"/>
  <c r="A62" i="16" s="1"/>
  <c r="A63" i="16" s="1"/>
  <c r="A64" i="16" s="1"/>
  <c r="A65" i="16" s="1"/>
  <c r="A66" i="16" s="1"/>
  <c r="A67" i="16" s="1"/>
  <c r="A68" i="16" s="1"/>
  <c r="A69" i="16" s="1"/>
  <c r="A70" i="16" s="1"/>
  <c r="A71" i="16" s="1"/>
  <c r="A72" i="16" s="1"/>
  <c r="A73" i="16" s="1"/>
  <c r="A74" i="16" s="1"/>
  <c r="A75" i="16" s="1"/>
  <c r="A76" i="16" s="1"/>
  <c r="A77" i="16" s="1"/>
  <c r="A78" i="16" s="1"/>
  <c r="A79" i="16" s="1"/>
  <c r="A80" i="16" s="1"/>
  <c r="A81" i="16" s="1"/>
  <c r="A82" i="16" s="1"/>
  <c r="A83" i="16" s="1"/>
  <c r="A84" i="16" s="1"/>
  <c r="A85" i="16" s="1"/>
  <c r="A86" i="16" s="1"/>
  <c r="A87" i="16" s="1"/>
  <c r="A88" i="16" s="1"/>
  <c r="J22" i="16"/>
  <c r="D19" i="16"/>
  <c r="E19" i="16" s="1"/>
  <c r="F19" i="16" s="1"/>
  <c r="G19" i="16" s="1"/>
  <c r="H19" i="16" s="1"/>
  <c r="I19" i="16" s="1"/>
  <c r="J19" i="16" s="1"/>
  <c r="K19" i="16" s="1"/>
  <c r="L19" i="16" s="1"/>
  <c r="M19" i="16" s="1"/>
  <c r="N19" i="16" s="1"/>
  <c r="O19" i="16" s="1"/>
  <c r="P19" i="16" s="1"/>
  <c r="Q19" i="16" s="1"/>
  <c r="R19" i="16" s="1"/>
  <c r="S19" i="16" s="1"/>
  <c r="T19" i="16" s="1"/>
  <c r="U19" i="16" s="1"/>
  <c r="V19" i="16" s="1"/>
  <c r="W19" i="16" s="1"/>
  <c r="X19" i="16" s="1"/>
  <c r="Y19" i="16" s="1"/>
  <c r="Z19" i="16" s="1"/>
  <c r="AA19" i="16" s="1"/>
  <c r="AB19" i="16" s="1"/>
  <c r="AC19" i="16" s="1"/>
  <c r="AD19" i="16" s="1"/>
  <c r="AE19" i="16" s="1"/>
  <c r="AF19" i="16" s="1"/>
  <c r="AG19" i="16" s="1"/>
  <c r="AH19" i="16" s="1"/>
  <c r="B17" i="16"/>
  <c r="B16" i="16"/>
  <c r="BY44" i="3" l="1"/>
  <c r="BZ44" i="3" s="1"/>
  <c r="CA44" i="3" s="1"/>
  <c r="B14" i="16"/>
  <c r="Q87" i="16" s="1"/>
  <c r="CB44" i="3" l="1"/>
  <c r="CC44" i="3" s="1"/>
  <c r="CD44" i="3" s="1"/>
  <c r="Q86" i="16"/>
  <c r="Q25" i="16"/>
  <c r="Q34" i="16"/>
  <c r="Q24" i="16"/>
  <c r="Q51" i="16"/>
  <c r="Q47" i="16"/>
  <c r="Q37" i="16"/>
  <c r="Q44" i="16"/>
  <c r="Q28" i="16"/>
  <c r="Q26" i="16"/>
  <c r="Q48" i="16"/>
  <c r="Q63" i="16"/>
  <c r="Q41" i="16"/>
  <c r="Q27" i="16"/>
  <c r="Q55" i="16"/>
  <c r="Q60" i="16"/>
  <c r="Q72" i="16"/>
  <c r="Q57" i="16"/>
  <c r="Q58" i="16"/>
  <c r="Q73" i="16"/>
  <c r="Q56" i="16"/>
  <c r="Q70" i="16"/>
  <c r="Q39" i="16"/>
  <c r="Q54" i="16"/>
  <c r="Q71" i="16"/>
  <c r="Q32" i="16"/>
  <c r="Q29" i="16"/>
  <c r="Q22" i="16"/>
  <c r="Q23" i="16"/>
  <c r="Q45" i="16"/>
  <c r="Q31" i="16"/>
  <c r="Q38" i="16"/>
  <c r="Q64" i="16"/>
  <c r="Q76" i="16"/>
  <c r="Q61" i="16"/>
  <c r="Q62" i="16"/>
  <c r="Q84" i="16"/>
  <c r="Q43" i="16"/>
  <c r="Q36" i="16"/>
  <c r="Q33" i="16"/>
  <c r="Q40" i="16"/>
  <c r="Q30" i="16"/>
  <c r="Q59" i="16"/>
  <c r="Q35" i="16"/>
  <c r="Q52" i="16"/>
  <c r="Q68" i="16"/>
  <c r="Q85" i="16"/>
  <c r="Q49" i="16"/>
  <c r="Q69" i="16"/>
  <c r="Q88" i="16"/>
  <c r="Q66" i="16"/>
  <c r="Q74" i="16"/>
  <c r="Q53" i="16"/>
  <c r="Q50" i="16"/>
  <c r="Q67" i="16"/>
  <c r="Q75" i="16"/>
  <c r="Q83" i="16"/>
  <c r="Q77" i="16"/>
  <c r="CE44" i="3" l="1"/>
  <c r="CF44" i="3" s="1"/>
  <c r="CG44" i="3" s="1"/>
  <c r="B187" i="50"/>
  <c r="H76" i="32"/>
  <c r="H19" i="32"/>
  <c r="H18" i="32"/>
  <c r="H14" i="32"/>
  <c r="H13" i="32"/>
  <c r="H10" i="32"/>
  <c r="H8" i="32"/>
  <c r="H4" i="32"/>
  <c r="B2" i="21"/>
  <c r="A2" i="21"/>
  <c r="A1" i="21"/>
  <c r="H97" i="38"/>
  <c r="D97" i="38"/>
  <c r="U34" i="19"/>
  <c r="T34" i="19"/>
  <c r="S34" i="19"/>
  <c r="R34" i="19"/>
  <c r="B29" i="19"/>
  <c r="E25" i="19"/>
  <c r="A1" i="19"/>
  <c r="M364" i="36"/>
  <c r="M365" i="36" s="1"/>
  <c r="J364" i="36"/>
  <c r="J365" i="36" s="1"/>
  <c r="H364" i="36"/>
  <c r="H365" i="36" s="1"/>
  <c r="M363" i="36"/>
  <c r="J363" i="36"/>
  <c r="H363" i="36"/>
  <c r="M362" i="36"/>
  <c r="J362" i="36"/>
  <c r="H362" i="36"/>
  <c r="M361" i="36"/>
  <c r="J361" i="36"/>
  <c r="H361" i="36"/>
  <c r="M360" i="36"/>
  <c r="J360" i="36"/>
  <c r="H360" i="36"/>
  <c r="M359" i="36"/>
  <c r="J359" i="36"/>
  <c r="H359" i="36"/>
  <c r="M358" i="36"/>
  <c r="J358" i="36"/>
  <c r="H358" i="36"/>
  <c r="M357" i="36"/>
  <c r="J357" i="36"/>
  <c r="H357" i="36"/>
  <c r="M356" i="36"/>
  <c r="J356" i="36"/>
  <c r="H356" i="36"/>
  <c r="M355" i="36"/>
  <c r="J355" i="36"/>
  <c r="H355" i="36"/>
  <c r="M354" i="36"/>
  <c r="J354" i="36"/>
  <c r="H354" i="36"/>
  <c r="M353" i="36"/>
  <c r="J353" i="36"/>
  <c r="H353" i="36"/>
  <c r="M352" i="36"/>
  <c r="J352" i="36"/>
  <c r="H352" i="36"/>
  <c r="M351" i="36"/>
  <c r="J351" i="36"/>
  <c r="H351" i="36"/>
  <c r="M350" i="36"/>
  <c r="J350" i="36"/>
  <c r="H350" i="36"/>
  <c r="M349" i="36"/>
  <c r="J349" i="36"/>
  <c r="H349" i="36"/>
  <c r="M348" i="36"/>
  <c r="J348" i="36"/>
  <c r="H348" i="36"/>
  <c r="M347" i="36"/>
  <c r="J347" i="36"/>
  <c r="H347" i="36"/>
  <c r="M346" i="36"/>
  <c r="J346" i="36"/>
  <c r="H346" i="36"/>
  <c r="M345" i="36"/>
  <c r="J345" i="36"/>
  <c r="H345" i="36"/>
  <c r="M344" i="36"/>
  <c r="J344" i="36"/>
  <c r="H344" i="36"/>
  <c r="M343" i="36"/>
  <c r="J343" i="36"/>
  <c r="H343" i="36"/>
  <c r="M342" i="36"/>
  <c r="J342" i="36"/>
  <c r="H342" i="36"/>
  <c r="M341" i="36"/>
  <c r="J341" i="36"/>
  <c r="H341" i="36"/>
  <c r="M339" i="36"/>
  <c r="M340" i="36" s="1"/>
  <c r="J339" i="36"/>
  <c r="J340" i="36" s="1"/>
  <c r="H339" i="36"/>
  <c r="H340" i="36" s="1"/>
  <c r="M338" i="36"/>
  <c r="J338" i="36"/>
  <c r="H338" i="36"/>
  <c r="M337" i="36"/>
  <c r="J337" i="36"/>
  <c r="H337" i="36"/>
  <c r="M336" i="36"/>
  <c r="J336" i="36"/>
  <c r="H336" i="36"/>
  <c r="M335" i="36"/>
  <c r="J335" i="36"/>
  <c r="H335" i="36"/>
  <c r="M334" i="36"/>
  <c r="J334" i="36"/>
  <c r="H334" i="36"/>
  <c r="M333" i="36"/>
  <c r="J333" i="36"/>
  <c r="H333" i="36"/>
  <c r="M332" i="36"/>
  <c r="J332" i="36"/>
  <c r="H332" i="36"/>
  <c r="M331" i="36"/>
  <c r="J331" i="36"/>
  <c r="H331" i="36"/>
  <c r="M330" i="36"/>
  <c r="J330" i="36"/>
  <c r="H330" i="36"/>
  <c r="M329" i="36"/>
  <c r="J329" i="36"/>
  <c r="H329" i="36"/>
  <c r="M328" i="36"/>
  <c r="J328" i="36"/>
  <c r="H328" i="36"/>
  <c r="M327" i="36"/>
  <c r="J327" i="36"/>
  <c r="H327" i="36"/>
  <c r="M326" i="36"/>
  <c r="J326" i="36"/>
  <c r="H326" i="36"/>
  <c r="M325" i="36"/>
  <c r="J325" i="36"/>
  <c r="H325" i="36"/>
  <c r="M324" i="36"/>
  <c r="J324" i="36"/>
  <c r="H324" i="36"/>
  <c r="M323" i="36"/>
  <c r="J323" i="36"/>
  <c r="H323" i="36"/>
  <c r="M322" i="36"/>
  <c r="J322" i="36"/>
  <c r="H322" i="36"/>
  <c r="M321" i="36"/>
  <c r="J321" i="36"/>
  <c r="H321" i="36"/>
  <c r="M320" i="36"/>
  <c r="J320" i="36"/>
  <c r="H320" i="36"/>
  <c r="M319" i="36"/>
  <c r="J319" i="36"/>
  <c r="H319" i="36"/>
  <c r="M318" i="36"/>
  <c r="J318" i="36"/>
  <c r="H318" i="36"/>
  <c r="M317" i="36"/>
  <c r="J317" i="36"/>
  <c r="H317" i="36"/>
  <c r="M316" i="36"/>
  <c r="J316" i="36"/>
  <c r="H316" i="36"/>
  <c r="M315" i="36"/>
  <c r="J315" i="36"/>
  <c r="H315" i="36"/>
  <c r="M314" i="36"/>
  <c r="J314" i="36"/>
  <c r="H314" i="36"/>
  <c r="M312" i="36"/>
  <c r="M313" i="36" s="1"/>
  <c r="J312" i="36"/>
  <c r="J313" i="36" s="1"/>
  <c r="H312" i="36"/>
  <c r="H313" i="36" s="1"/>
  <c r="M311" i="36"/>
  <c r="J311" i="36"/>
  <c r="H311" i="36"/>
  <c r="M310" i="36"/>
  <c r="J310" i="36"/>
  <c r="H310" i="36"/>
  <c r="M309" i="36"/>
  <c r="J309" i="36"/>
  <c r="H309" i="36"/>
  <c r="M308" i="36"/>
  <c r="J308" i="36"/>
  <c r="H308" i="36"/>
  <c r="M307" i="36"/>
  <c r="J307" i="36"/>
  <c r="H307" i="36"/>
  <c r="M306" i="36"/>
  <c r="J306" i="36"/>
  <c r="H306" i="36"/>
  <c r="M305" i="36"/>
  <c r="J305" i="36"/>
  <c r="H305" i="36"/>
  <c r="M304" i="36"/>
  <c r="J304" i="36"/>
  <c r="H304" i="36"/>
  <c r="M303" i="36"/>
  <c r="J303" i="36"/>
  <c r="H303" i="36"/>
  <c r="M302" i="36"/>
  <c r="J302" i="36"/>
  <c r="H302" i="36"/>
  <c r="M301" i="36"/>
  <c r="J301" i="36"/>
  <c r="H301" i="36"/>
  <c r="M300" i="36"/>
  <c r="J300" i="36"/>
  <c r="H300" i="36"/>
  <c r="M299" i="36"/>
  <c r="J299" i="36"/>
  <c r="H299" i="36"/>
  <c r="M298" i="36"/>
  <c r="J298" i="36"/>
  <c r="H298" i="36"/>
  <c r="M297" i="36"/>
  <c r="J297" i="36"/>
  <c r="H297" i="36"/>
  <c r="M296" i="36"/>
  <c r="J296" i="36"/>
  <c r="H296" i="36"/>
  <c r="M295" i="36"/>
  <c r="J295" i="36"/>
  <c r="H295" i="36"/>
  <c r="M294" i="36"/>
  <c r="J294" i="36"/>
  <c r="H294" i="36"/>
  <c r="M293" i="36"/>
  <c r="J293" i="36"/>
  <c r="H293" i="36"/>
  <c r="M292" i="36"/>
  <c r="J292" i="36"/>
  <c r="H292" i="36"/>
  <c r="M291" i="36"/>
  <c r="J291" i="36"/>
  <c r="H291" i="36"/>
  <c r="M290" i="36"/>
  <c r="J290" i="36"/>
  <c r="H290" i="36"/>
  <c r="M289" i="36"/>
  <c r="J289" i="36"/>
  <c r="H289" i="36"/>
  <c r="M288" i="36"/>
  <c r="J288" i="36"/>
  <c r="H288" i="36"/>
  <c r="M287" i="36"/>
  <c r="J287" i="36"/>
  <c r="H287" i="36"/>
  <c r="M285" i="36"/>
  <c r="M286" i="36" s="1"/>
  <c r="M284" i="36"/>
  <c r="M283" i="36"/>
  <c r="M282" i="36"/>
  <c r="M281" i="36"/>
  <c r="M280" i="36"/>
  <c r="M279" i="36"/>
  <c r="M278" i="36"/>
  <c r="M277" i="36"/>
  <c r="M276" i="36"/>
  <c r="M275" i="36"/>
  <c r="M274" i="36"/>
  <c r="M273" i="36"/>
  <c r="M272" i="36"/>
  <c r="M271" i="36"/>
  <c r="M270" i="36"/>
  <c r="M269" i="36"/>
  <c r="M268" i="36"/>
  <c r="M267" i="36"/>
  <c r="M266" i="36"/>
  <c r="M265" i="36"/>
  <c r="M264" i="36"/>
  <c r="M263" i="36"/>
  <c r="M262" i="36"/>
  <c r="M261" i="36"/>
  <c r="M259" i="36"/>
  <c r="M260" i="36" s="1"/>
  <c r="M258" i="36"/>
  <c r="M257" i="36"/>
  <c r="M256" i="36"/>
  <c r="M255" i="36"/>
  <c r="M254" i="36"/>
  <c r="M253" i="36"/>
  <c r="M252" i="36"/>
  <c r="M251" i="36"/>
  <c r="M250" i="36"/>
  <c r="M249" i="36"/>
  <c r="M248" i="36"/>
  <c r="M247" i="36"/>
  <c r="M246" i="36"/>
  <c r="M245" i="36"/>
  <c r="M244" i="36"/>
  <c r="M243" i="36"/>
  <c r="M242" i="36"/>
  <c r="M241" i="36"/>
  <c r="M240" i="36"/>
  <c r="M239" i="36"/>
  <c r="M238" i="36"/>
  <c r="M237" i="36"/>
  <c r="M236" i="36"/>
  <c r="M235" i="36"/>
  <c r="M234" i="36"/>
  <c r="M233" i="36"/>
  <c r="M231" i="36"/>
  <c r="M232" i="36" s="1"/>
  <c r="M230" i="36"/>
  <c r="M229" i="36"/>
  <c r="M228" i="36"/>
  <c r="M227" i="36"/>
  <c r="M226" i="36"/>
  <c r="M225" i="36"/>
  <c r="M224" i="36"/>
  <c r="M223" i="36"/>
  <c r="M222" i="36"/>
  <c r="M221" i="36"/>
  <c r="M220" i="36"/>
  <c r="M219" i="36"/>
  <c r="M218" i="36"/>
  <c r="M217" i="36"/>
  <c r="M216" i="36"/>
  <c r="M215" i="36"/>
  <c r="M214" i="36"/>
  <c r="M213" i="36"/>
  <c r="M212" i="36"/>
  <c r="M211" i="36"/>
  <c r="M210" i="36"/>
  <c r="M209" i="36"/>
  <c r="M208" i="36"/>
  <c r="M207" i="36"/>
  <c r="M206" i="36"/>
  <c r="M205" i="36"/>
  <c r="M203" i="36"/>
  <c r="M204" i="36" s="1"/>
  <c r="M202" i="36"/>
  <c r="M201" i="36"/>
  <c r="M200" i="36"/>
  <c r="M199" i="36"/>
  <c r="M198" i="36"/>
  <c r="M197" i="36"/>
  <c r="M196" i="36"/>
  <c r="M195" i="36"/>
  <c r="M194" i="36"/>
  <c r="M193" i="36"/>
  <c r="M192" i="36"/>
  <c r="M191" i="36"/>
  <c r="M190" i="36"/>
  <c r="M189" i="36"/>
  <c r="M188" i="36"/>
  <c r="M187" i="36"/>
  <c r="M186" i="36"/>
  <c r="M185" i="36"/>
  <c r="M184" i="36"/>
  <c r="M183" i="36"/>
  <c r="M182" i="36"/>
  <c r="M181" i="36"/>
  <c r="M180" i="36"/>
  <c r="M179" i="36"/>
  <c r="M178" i="36"/>
  <c r="M177" i="36"/>
  <c r="M176" i="36"/>
  <c r="M175" i="36"/>
  <c r="M174" i="36"/>
  <c r="M173" i="36"/>
  <c r="M172" i="36"/>
  <c r="M171" i="36"/>
  <c r="M170" i="36"/>
  <c r="M169" i="36"/>
  <c r="M168" i="36"/>
  <c r="M167" i="36"/>
  <c r="M166" i="36"/>
  <c r="M165" i="36"/>
  <c r="M164" i="36"/>
  <c r="M163" i="36"/>
  <c r="M162" i="36"/>
  <c r="M161" i="36"/>
  <c r="M160" i="36"/>
  <c r="M159" i="36"/>
  <c r="M157" i="36"/>
  <c r="M158" i="36" s="1"/>
  <c r="M156" i="36"/>
  <c r="M155" i="36"/>
  <c r="M154" i="36"/>
  <c r="M153" i="36"/>
  <c r="M152" i="36"/>
  <c r="M151" i="36"/>
  <c r="M150" i="36"/>
  <c r="M149" i="36"/>
  <c r="M148" i="36"/>
  <c r="M147" i="36"/>
  <c r="M146" i="36"/>
  <c r="M145" i="36"/>
  <c r="M144" i="36"/>
  <c r="M143" i="36"/>
  <c r="M142" i="36"/>
  <c r="M141" i="36"/>
  <c r="M140" i="36"/>
  <c r="M139" i="36"/>
  <c r="M138" i="36"/>
  <c r="M137" i="36"/>
  <c r="M136" i="36"/>
  <c r="M135" i="36"/>
  <c r="M134" i="36"/>
  <c r="M133" i="36"/>
  <c r="M132" i="36"/>
  <c r="M131" i="36"/>
  <c r="M130" i="36"/>
  <c r="M129" i="36"/>
  <c r="M128" i="36"/>
  <c r="M127" i="36"/>
  <c r="M126" i="36"/>
  <c r="M125" i="36"/>
  <c r="M124" i="36"/>
  <c r="M123" i="36"/>
  <c r="M122" i="36"/>
  <c r="M121" i="36"/>
  <c r="M120" i="36"/>
  <c r="M119" i="36"/>
  <c r="M118" i="36"/>
  <c r="M117" i="36"/>
  <c r="M116" i="36"/>
  <c r="M115" i="36"/>
  <c r="M114" i="36"/>
  <c r="M113" i="36"/>
  <c r="M112" i="36"/>
  <c r="M109" i="36"/>
  <c r="M108" i="36"/>
  <c r="M107" i="36"/>
  <c r="M106" i="36"/>
  <c r="M105" i="36"/>
  <c r="M104" i="36"/>
  <c r="M103" i="36"/>
  <c r="M102" i="36"/>
  <c r="M101" i="36"/>
  <c r="M100" i="36"/>
  <c r="M99" i="36"/>
  <c r="M98" i="36"/>
  <c r="M97" i="36"/>
  <c r="M96" i="36"/>
  <c r="M95" i="36"/>
  <c r="M94" i="36"/>
  <c r="M93" i="36"/>
  <c r="M92" i="36"/>
  <c r="M91" i="36"/>
  <c r="M90" i="36"/>
  <c r="M89" i="36"/>
  <c r="M88" i="36"/>
  <c r="M87" i="36"/>
  <c r="M86" i="36"/>
  <c r="M85" i="36"/>
  <c r="M84" i="36"/>
  <c r="M83" i="36"/>
  <c r="M82" i="36"/>
  <c r="M81" i="36"/>
  <c r="M80" i="36"/>
  <c r="M79" i="36"/>
  <c r="M78" i="36"/>
  <c r="M77" i="36"/>
  <c r="M76" i="36"/>
  <c r="M75" i="36"/>
  <c r="M74" i="36"/>
  <c r="M73" i="36"/>
  <c r="M72" i="36"/>
  <c r="M71" i="36"/>
  <c r="M70" i="36"/>
  <c r="M69" i="36"/>
  <c r="M68" i="36"/>
  <c r="M67" i="36"/>
  <c r="M66" i="36"/>
  <c r="M65" i="36"/>
  <c r="M64" i="36"/>
  <c r="M63" i="36"/>
  <c r="M62" i="36"/>
  <c r="M61" i="36"/>
  <c r="M60" i="36"/>
  <c r="M59" i="36"/>
  <c r="M58" i="36"/>
  <c r="M57" i="36"/>
  <c r="M54" i="36"/>
  <c r="M53" i="36"/>
  <c r="M52" i="36"/>
  <c r="M51" i="36"/>
  <c r="M50" i="36"/>
  <c r="M49" i="36"/>
  <c r="M48" i="36"/>
  <c r="M47" i="36"/>
  <c r="M46" i="36"/>
  <c r="M45" i="36"/>
  <c r="M44" i="36"/>
  <c r="M43" i="36"/>
  <c r="M42" i="36"/>
  <c r="M41" i="36"/>
  <c r="M40" i="36"/>
  <c r="M39" i="36"/>
  <c r="M38" i="36"/>
  <c r="M37" i="36"/>
  <c r="M36" i="36"/>
  <c r="M35" i="36"/>
  <c r="M34" i="36"/>
  <c r="M33" i="36"/>
  <c r="M32" i="36"/>
  <c r="M31" i="36"/>
  <c r="M30" i="36"/>
  <c r="M29" i="36"/>
  <c r="M28" i="36"/>
  <c r="M27" i="36"/>
  <c r="M26" i="36"/>
  <c r="M25" i="36"/>
  <c r="M24" i="36"/>
  <c r="M23" i="36"/>
  <c r="M22" i="36"/>
  <c r="M21" i="36"/>
  <c r="M20" i="36"/>
  <c r="M19" i="36"/>
  <c r="M18" i="36"/>
  <c r="M17" i="36"/>
  <c r="M16" i="36"/>
  <c r="M15" i="36"/>
  <c r="M14" i="36"/>
  <c r="M13" i="36"/>
  <c r="M12" i="36"/>
  <c r="M11" i="36"/>
  <c r="M10" i="36"/>
  <c r="M9" i="36"/>
  <c r="M8" i="36"/>
  <c r="M7" i="36"/>
  <c r="M6" i="36"/>
  <c r="M5" i="36"/>
  <c r="M4" i="36"/>
  <c r="M3" i="36"/>
  <c r="M2" i="36"/>
  <c r="K105" i="52"/>
  <c r="K104" i="52"/>
  <c r="K103" i="52"/>
  <c r="K102" i="52"/>
  <c r="K101" i="52"/>
  <c r="K100" i="52"/>
  <c r="K99" i="52"/>
  <c r="K98" i="52"/>
  <c r="K97" i="52"/>
  <c r="K96" i="52"/>
  <c r="K95" i="52"/>
  <c r="K94" i="52"/>
  <c r="K93" i="52"/>
  <c r="K92" i="52"/>
  <c r="K91" i="52"/>
  <c r="K90" i="52"/>
  <c r="K89" i="52"/>
  <c r="K88" i="52"/>
  <c r="K87" i="52"/>
  <c r="K86" i="52"/>
  <c r="K85" i="52"/>
  <c r="K84" i="52"/>
  <c r="K83" i="52"/>
  <c r="K82" i="52"/>
  <c r="K81" i="52"/>
  <c r="K80" i="52"/>
  <c r="K79" i="52"/>
  <c r="K78" i="52"/>
  <c r="K77" i="52"/>
  <c r="K76" i="52"/>
  <c r="K75" i="52"/>
  <c r="K74" i="52"/>
  <c r="K73" i="52"/>
  <c r="K72" i="52"/>
  <c r="K71" i="52"/>
  <c r="K70" i="52"/>
  <c r="K69" i="52"/>
  <c r="K68" i="52"/>
  <c r="K67" i="52"/>
  <c r="K66" i="52"/>
  <c r="K65" i="52"/>
  <c r="K64" i="52"/>
  <c r="K63" i="52"/>
  <c r="K62" i="52"/>
  <c r="K61" i="52"/>
  <c r="K60" i="52"/>
  <c r="K59" i="52"/>
  <c r="K58" i="52"/>
  <c r="K57" i="52"/>
  <c r="K56" i="52"/>
  <c r="K55" i="52"/>
  <c r="K54" i="52"/>
  <c r="K53" i="52"/>
  <c r="K52" i="52"/>
  <c r="K51" i="52"/>
  <c r="K50" i="52"/>
  <c r="K49" i="52"/>
  <c r="K48" i="52"/>
  <c r="K47" i="52"/>
  <c r="K46" i="52"/>
  <c r="K45" i="52"/>
  <c r="K44" i="52"/>
  <c r="K43" i="52"/>
  <c r="K42" i="52"/>
  <c r="K41" i="52"/>
  <c r="K40" i="52"/>
  <c r="K39" i="52"/>
  <c r="K38" i="52"/>
  <c r="K37" i="52"/>
  <c r="K36" i="52"/>
  <c r="K35" i="52"/>
  <c r="K34" i="52"/>
  <c r="K33" i="52"/>
  <c r="K32" i="52"/>
  <c r="K31" i="52"/>
  <c r="K30" i="52"/>
  <c r="K29" i="52"/>
  <c r="K28" i="52"/>
  <c r="K27" i="52"/>
  <c r="K26" i="52"/>
  <c r="K25" i="52"/>
  <c r="K24" i="52"/>
  <c r="K23" i="52"/>
  <c r="K22" i="52"/>
  <c r="K21" i="52"/>
  <c r="K20" i="52"/>
  <c r="K19" i="52"/>
  <c r="K18" i="52"/>
  <c r="K17" i="52"/>
  <c r="K16" i="52"/>
  <c r="K15" i="52"/>
  <c r="K14" i="52"/>
  <c r="K13" i="52"/>
  <c r="K12" i="52"/>
  <c r="K11" i="52"/>
  <c r="K10" i="52"/>
  <c r="K9" i="52"/>
  <c r="K8" i="52"/>
  <c r="K7" i="52"/>
  <c r="K6" i="52"/>
  <c r="K5" i="52"/>
  <c r="K4" i="52"/>
  <c r="B1" i="53"/>
  <c r="C1" i="53" s="1"/>
  <c r="D1" i="53" s="1"/>
  <c r="E1" i="53" s="1"/>
  <c r="F1" i="53" s="1"/>
  <c r="G1" i="53" s="1"/>
  <c r="H1" i="53" s="1"/>
  <c r="I1" i="53" s="1"/>
  <c r="J1" i="53" s="1"/>
  <c r="K1" i="53" s="1"/>
  <c r="L1" i="53" s="1"/>
  <c r="M1" i="53" s="1"/>
  <c r="N1" i="53" s="1"/>
  <c r="O1" i="53" s="1"/>
  <c r="P1" i="53" s="1"/>
  <c r="Q1" i="53" s="1"/>
  <c r="R1" i="53" s="1"/>
  <c r="S1" i="53" s="1"/>
  <c r="T1" i="53" s="1"/>
  <c r="U1" i="53" s="1"/>
  <c r="V1" i="53" s="1"/>
  <c r="W1" i="53" s="1"/>
  <c r="X1" i="53" s="1"/>
  <c r="Y1" i="53" s="1"/>
  <c r="A159" i="3"/>
  <c r="D151" i="3"/>
  <c r="E151" i="3" s="1"/>
  <c r="F151" i="3" s="1"/>
  <c r="G151" i="3" s="1"/>
  <c r="H151" i="3" s="1"/>
  <c r="I151" i="3" s="1"/>
  <c r="C125" i="3"/>
  <c r="D125" i="3" s="1"/>
  <c r="E125" i="3" s="1"/>
  <c r="F125" i="3" s="1"/>
  <c r="G125" i="3" s="1"/>
  <c r="H125" i="3" s="1"/>
  <c r="I125" i="3" s="1"/>
  <c r="J125" i="3" s="1"/>
  <c r="K125" i="3" s="1"/>
  <c r="L125" i="3" s="1"/>
  <c r="M125" i="3" s="1"/>
  <c r="N125" i="3" s="1"/>
  <c r="O125" i="3" s="1"/>
  <c r="P125" i="3" s="1"/>
  <c r="Q125" i="3" s="1"/>
  <c r="D67" i="3"/>
  <c r="E67" i="3" s="1"/>
  <c r="F67" i="3" s="1"/>
  <c r="G67" i="3" s="1"/>
  <c r="H67" i="3" s="1"/>
  <c r="I67" i="3" s="1"/>
  <c r="J67" i="3" s="1"/>
  <c r="K67" i="3" s="1"/>
  <c r="L67" i="3" s="1"/>
  <c r="M67" i="3" s="1"/>
  <c r="N67" i="3" s="1"/>
  <c r="O67" i="3" s="1"/>
  <c r="P67" i="3" s="1"/>
  <c r="Q67" i="3" s="1"/>
  <c r="R67" i="3" s="1"/>
  <c r="S67" i="3" s="1"/>
  <c r="T67" i="3" s="1"/>
  <c r="U67" i="3" s="1"/>
  <c r="V67" i="3" s="1"/>
  <c r="W67" i="3" s="1"/>
  <c r="X67" i="3" s="1"/>
  <c r="Y67" i="3" s="1"/>
  <c r="Z67" i="3" s="1"/>
  <c r="AA67" i="3" s="1"/>
  <c r="AB67" i="3" s="1"/>
  <c r="AC67" i="3" s="1"/>
  <c r="AD67" i="3" s="1"/>
  <c r="AE67" i="3" s="1"/>
  <c r="AF67" i="3" s="1"/>
  <c r="AG67" i="3" s="1"/>
  <c r="AH67" i="3" s="1"/>
  <c r="AI67" i="3" s="1"/>
  <c r="AJ67" i="3" s="1"/>
  <c r="AK67" i="3" s="1"/>
  <c r="AL67" i="3" s="1"/>
  <c r="AM67" i="3" s="1"/>
  <c r="AN67" i="3" s="1"/>
  <c r="AO67" i="3" s="1"/>
  <c r="AP67" i="3" s="1"/>
  <c r="AQ67" i="3" s="1"/>
  <c r="AR67" i="3" s="1"/>
  <c r="AS67" i="3" s="1"/>
  <c r="AT67" i="3" s="1"/>
  <c r="AU67" i="3" s="1"/>
  <c r="AV67" i="3" s="1"/>
  <c r="AW67" i="3" s="1"/>
  <c r="AX67" i="3" s="1"/>
  <c r="AY67" i="3" s="1"/>
  <c r="AZ67" i="3" s="1"/>
  <c r="BA67" i="3" s="1"/>
  <c r="BB67" i="3" s="1"/>
  <c r="BC67" i="3" s="1"/>
  <c r="BD67" i="3" s="1"/>
  <c r="BE67" i="3" s="1"/>
  <c r="BF67" i="3" s="1"/>
  <c r="BG67" i="3" s="1"/>
  <c r="BH67" i="3" s="1"/>
  <c r="BI67" i="3" s="1"/>
  <c r="BJ67" i="3" s="1"/>
  <c r="BK67" i="3" s="1"/>
  <c r="BL67" i="3" s="1"/>
  <c r="BM67" i="3" s="1"/>
  <c r="BN67" i="3" s="1"/>
  <c r="BO67" i="3" s="1"/>
  <c r="BP67" i="3" s="1"/>
  <c r="BQ67" i="3" s="1"/>
  <c r="BR67" i="3" s="1"/>
  <c r="BS67" i="3" s="1"/>
  <c r="BT67" i="3" s="1"/>
  <c r="BU67" i="3" s="1"/>
  <c r="BV67" i="3" s="1"/>
  <c r="BW67" i="3" s="1"/>
  <c r="BX67" i="3" s="1"/>
  <c r="BY67" i="3" s="1"/>
  <c r="BZ67" i="3" s="1"/>
  <c r="CA67" i="3" s="1"/>
  <c r="CB67" i="3" s="1"/>
  <c r="CC67" i="3" s="1"/>
  <c r="CD67" i="3" s="1"/>
  <c r="CE67" i="3" s="1"/>
  <c r="CF67" i="3" s="1"/>
  <c r="CG67" i="3" s="1"/>
  <c r="CH67" i="3" s="1"/>
  <c r="CI67" i="3" s="1"/>
  <c r="CJ67" i="3" s="1"/>
  <c r="CK67" i="3" s="1"/>
  <c r="CL67" i="3" s="1"/>
  <c r="CM67" i="3" s="1"/>
  <c r="CN67" i="3" s="1"/>
  <c r="CO67" i="3" s="1"/>
  <c r="CP67" i="3" s="1"/>
  <c r="CQ67" i="3" s="1"/>
  <c r="CR67" i="3" s="1"/>
  <c r="CS67" i="3" s="1"/>
  <c r="CT67" i="3" s="1"/>
  <c r="CU67" i="3" s="1"/>
  <c r="CV67" i="3" s="1"/>
  <c r="CW67" i="3" s="1"/>
  <c r="CX67" i="3" s="1"/>
  <c r="CY67" i="3" s="1"/>
  <c r="CZ67" i="3" s="1"/>
  <c r="DA67" i="3" s="1"/>
  <c r="DB67" i="3" s="1"/>
  <c r="DC67" i="3" s="1"/>
  <c r="DD67" i="3" s="1"/>
  <c r="DE67" i="3" s="1"/>
  <c r="DF67" i="3" s="1"/>
  <c r="DG67" i="3" s="1"/>
  <c r="DH67" i="3" s="1"/>
  <c r="DI67" i="3" s="1"/>
  <c r="DJ67" i="3" s="1"/>
  <c r="CT59" i="3"/>
  <c r="CB59" i="3"/>
  <c r="BY59" i="3"/>
  <c r="BV59" i="3"/>
  <c r="BS59" i="3"/>
  <c r="BP59" i="3"/>
  <c r="BM59" i="3"/>
  <c r="BJ59" i="3"/>
  <c r="BG59" i="3"/>
  <c r="BD59" i="3"/>
  <c r="AX59" i="3"/>
  <c r="AU59" i="3"/>
  <c r="AR59" i="3"/>
  <c r="AO59" i="3"/>
  <c r="AL59" i="3"/>
  <c r="AI59" i="3"/>
  <c r="AF59" i="3"/>
  <c r="AC59" i="3"/>
  <c r="W59" i="3"/>
  <c r="T59" i="3"/>
  <c r="Q59" i="3"/>
  <c r="N59" i="3"/>
  <c r="K59" i="3"/>
  <c r="H59" i="3"/>
  <c r="E59" i="3"/>
  <c r="E5" i="5"/>
  <c r="D13" i="5" s="1"/>
  <c r="E1" i="5"/>
  <c r="E1" i="1"/>
  <c r="U101" i="2"/>
  <c r="T101" i="2"/>
  <c r="S101" i="2"/>
  <c r="R101" i="2"/>
  <c r="Q101" i="2"/>
  <c r="P101" i="2"/>
  <c r="O101" i="2"/>
  <c r="N101" i="2"/>
  <c r="M101" i="2"/>
  <c r="O88" i="2"/>
  <c r="J86" i="2"/>
  <c r="R85" i="2"/>
  <c r="U83" i="2"/>
  <c r="R82" i="2"/>
  <c r="N81" i="2"/>
  <c r="J81" i="2"/>
  <c r="R80" i="2"/>
  <c r="G67" i="2"/>
  <c r="W63" i="2"/>
  <c r="U48" i="2"/>
  <c r="T48" i="2"/>
  <c r="S48" i="2"/>
  <c r="R48" i="2"/>
  <c r="Q48" i="2"/>
  <c r="P48" i="2"/>
  <c r="O48" i="2"/>
  <c r="N48" i="2"/>
  <c r="M48" i="2"/>
  <c r="O37" i="2"/>
  <c r="J35" i="2"/>
  <c r="R34" i="2"/>
  <c r="U32" i="2"/>
  <c r="R31" i="2"/>
  <c r="N30" i="2"/>
  <c r="J30" i="2"/>
  <c r="R29" i="2"/>
  <c r="G14" i="2"/>
  <c r="G13" i="2"/>
  <c r="G12" i="2"/>
  <c r="H24" i="92" s="1"/>
  <c r="G11" i="2"/>
  <c r="H22" i="92" s="1"/>
  <c r="W10" i="2"/>
  <c r="B2" i="2"/>
  <c r="A2" i="2"/>
  <c r="A1" i="2"/>
  <c r="O36" i="8"/>
  <c r="E49" i="8"/>
  <c r="D49" i="8"/>
  <c r="B49" i="8"/>
  <c r="U46" i="8"/>
  <c r="T46" i="8"/>
  <c r="S46" i="8"/>
  <c r="R46" i="8"/>
  <c r="Q46" i="8"/>
  <c r="P46" i="8"/>
  <c r="O46" i="8"/>
  <c r="N46" i="8"/>
  <c r="M46" i="8"/>
  <c r="A2" i="8"/>
  <c r="F104" i="7"/>
  <c r="J2" i="16"/>
  <c r="I2" i="16"/>
  <c r="B28" i="7"/>
  <c r="Y23" i="7"/>
  <c r="AH51" i="79" l="1"/>
  <c r="AH52" i="79"/>
  <c r="V51" i="79"/>
  <c r="V52" i="79"/>
  <c r="D88" i="3"/>
  <c r="D87" i="3"/>
  <c r="D86" i="3"/>
  <c r="D84" i="3"/>
  <c r="D81" i="3"/>
  <c r="D80" i="3"/>
  <c r="D69" i="3"/>
  <c r="D76" i="3"/>
  <c r="D72" i="3"/>
  <c r="D75" i="3"/>
  <c r="D83" i="3"/>
  <c r="D70" i="3"/>
  <c r="D82" i="3"/>
  <c r="D74" i="3"/>
  <c r="D77" i="3"/>
  <c r="D85" i="3"/>
  <c r="D73" i="3"/>
  <c r="E68" i="2"/>
  <c r="E15" i="2"/>
  <c r="A162" i="3"/>
  <c r="A165" i="3" s="1"/>
  <c r="K151" i="3"/>
  <c r="J151" i="3"/>
  <c r="L151" i="3" s="1"/>
  <c r="B9" i="8"/>
  <c r="B156" i="3"/>
  <c r="M2" i="2"/>
  <c r="M2" i="21"/>
  <c r="D51" i="1"/>
  <c r="D51" i="5"/>
  <c r="G66" i="2"/>
  <c r="G65" i="2"/>
  <c r="H28" i="92" s="1"/>
  <c r="J22" i="7"/>
  <c r="A126" i="3"/>
  <c r="D146" i="50"/>
  <c r="C24" i="19"/>
  <c r="D71" i="3" l="1"/>
  <c r="E87" i="3"/>
  <c r="E88" i="3"/>
  <c r="E83" i="3"/>
  <c r="E77" i="3"/>
  <c r="E76" i="3"/>
  <c r="E75" i="3"/>
  <c r="E74" i="3"/>
  <c r="E73" i="3"/>
  <c r="E72" i="3"/>
  <c r="E82" i="3"/>
  <c r="E70" i="3"/>
  <c r="E85" i="3"/>
  <c r="E84" i="3"/>
  <c r="E81" i="3"/>
  <c r="E80" i="3"/>
  <c r="E86" i="3"/>
  <c r="E69" i="3"/>
  <c r="D40" i="2"/>
  <c r="T94" i="2"/>
  <c r="C93" i="2"/>
  <c r="F98" i="2" s="1"/>
  <c r="V92" i="2"/>
  <c r="C40" i="2"/>
  <c r="E40" i="2"/>
  <c r="B45" i="2"/>
  <c r="A168" i="3"/>
  <c r="Q25" i="7"/>
  <c r="H25" i="7"/>
  <c r="X25" i="7"/>
  <c r="AE27" i="19" s="1"/>
  <c r="W25" i="7"/>
  <c r="O25" i="7"/>
  <c r="V27" i="19" s="1"/>
  <c r="F25" i="7"/>
  <c r="D13" i="92" s="1"/>
  <c r="V25" i="7"/>
  <c r="M25" i="7"/>
  <c r="E25" i="7"/>
  <c r="K25" i="7"/>
  <c r="U25" i="7"/>
  <c r="AB27" i="19" s="1"/>
  <c r="L25" i="7"/>
  <c r="D25" i="7"/>
  <c r="C25" i="7"/>
  <c r="S25" i="7"/>
  <c r="J25" i="7"/>
  <c r="G25" i="7"/>
  <c r="R25" i="7"/>
  <c r="I25" i="7"/>
  <c r="P25" i="7"/>
  <c r="T25" i="7"/>
  <c r="AA27" i="19" s="1"/>
  <c r="B13" i="92" l="1"/>
  <c r="B20" i="94"/>
  <c r="G7" i="94"/>
  <c r="B19" i="94"/>
  <c r="B7" i="94"/>
  <c r="C14" i="94"/>
  <c r="B9" i="94"/>
  <c r="B8" i="94"/>
  <c r="B13" i="94"/>
  <c r="C14" i="93"/>
  <c r="B9" i="93"/>
  <c r="B13" i="93"/>
  <c r="B8" i="93"/>
  <c r="B20" i="93"/>
  <c r="G7" i="93"/>
  <c r="B19" i="93"/>
  <c r="B7" i="93"/>
  <c r="G13" i="90"/>
  <c r="G13" i="92"/>
  <c r="B11" i="8"/>
  <c r="D13" i="90"/>
  <c r="J15" i="50"/>
  <c r="B13" i="90"/>
  <c r="B19" i="86"/>
  <c r="B679" i="50" s="1"/>
  <c r="B20" i="86"/>
  <c r="B13" i="86"/>
  <c r="C14" i="86"/>
  <c r="B8" i="86"/>
  <c r="B9" i="86"/>
  <c r="B7" i="86"/>
  <c r="G7" i="86"/>
  <c r="F98" i="7"/>
  <c r="J93" i="52" s="1"/>
  <c r="L153" i="77"/>
  <c r="L153" i="78"/>
  <c r="L155" i="77"/>
  <c r="L155" i="78"/>
  <c r="D96" i="2"/>
  <c r="S27" i="19"/>
  <c r="B152" i="50"/>
  <c r="N25" i="7"/>
  <c r="T27" i="19"/>
  <c r="B153" i="50"/>
  <c r="J92" i="2"/>
  <c r="J41" i="2"/>
  <c r="E71" i="3"/>
  <c r="F86" i="3"/>
  <c r="F85" i="3"/>
  <c r="F84" i="3"/>
  <c r="F83" i="3"/>
  <c r="F82" i="3"/>
  <c r="F87" i="3"/>
  <c r="F75" i="3"/>
  <c r="F70" i="3"/>
  <c r="F88" i="3"/>
  <c r="F81" i="3"/>
  <c r="F74" i="3"/>
  <c r="F80" i="3"/>
  <c r="F77" i="3"/>
  <c r="F73" i="3"/>
  <c r="F72" i="3"/>
  <c r="F69" i="3"/>
  <c r="F76" i="3"/>
  <c r="B12" i="8"/>
  <c r="B17" i="8"/>
  <c r="B158" i="50"/>
  <c r="U42" i="2"/>
  <c r="V41" i="2"/>
  <c r="F45" i="2"/>
  <c r="T42" i="2"/>
  <c r="B683" i="50"/>
  <c r="A171" i="3"/>
  <c r="A174" i="3" s="1"/>
  <c r="K27" i="19"/>
  <c r="B23" i="8"/>
  <c r="C23" i="8" s="1"/>
  <c r="AD27" i="19"/>
  <c r="P27" i="19"/>
  <c r="B149" i="50"/>
  <c r="Y27" i="19"/>
  <c r="Y25" i="7"/>
  <c r="AF27" i="19" s="1"/>
  <c r="B13" i="8"/>
  <c r="R27" i="19"/>
  <c r="B151" i="50"/>
  <c r="O27" i="19"/>
  <c r="B148" i="50"/>
  <c r="W27" i="19"/>
  <c r="B156" i="50"/>
  <c r="N27" i="19"/>
  <c r="B147" i="50"/>
  <c r="B10" i="8"/>
  <c r="X27" i="19"/>
  <c r="B155" i="50"/>
  <c r="B150" i="50"/>
  <c r="Q27" i="19"/>
  <c r="B159" i="50"/>
  <c r="Z27" i="19"/>
  <c r="B14" i="8"/>
  <c r="B157" i="50"/>
  <c r="AC27" i="19"/>
  <c r="J27" i="19"/>
  <c r="M27" i="19"/>
  <c r="B672" i="50" l="1"/>
  <c r="B674" i="50"/>
  <c r="J26" i="52"/>
  <c r="J12" i="52"/>
  <c r="J60" i="52"/>
  <c r="J46" i="52"/>
  <c r="J63" i="52"/>
  <c r="J35" i="52"/>
  <c r="J83" i="52"/>
  <c r="J82" i="52"/>
  <c r="J32" i="52"/>
  <c r="J80" i="52"/>
  <c r="J47" i="52"/>
  <c r="J95" i="52"/>
  <c r="J7" i="52"/>
  <c r="J44" i="52"/>
  <c r="J54" i="52"/>
  <c r="J10" i="52"/>
  <c r="J51" i="52"/>
  <c r="J99" i="52"/>
  <c r="J23" i="52"/>
  <c r="J48" i="52"/>
  <c r="J90" i="52"/>
  <c r="J62" i="52"/>
  <c r="J67" i="52"/>
  <c r="J38" i="52"/>
  <c r="J16" i="52"/>
  <c r="J64" i="52"/>
  <c r="J19" i="52"/>
  <c r="J79" i="52"/>
  <c r="J78" i="52"/>
  <c r="J28" i="52"/>
  <c r="J76" i="52"/>
  <c r="J98" i="52"/>
  <c r="J92" i="52"/>
  <c r="J22" i="52"/>
  <c r="J96" i="52"/>
  <c r="J14" i="52"/>
  <c r="J21" i="52"/>
  <c r="J17" i="52"/>
  <c r="J31" i="52"/>
  <c r="J37" i="52"/>
  <c r="J66" i="52"/>
  <c r="J5" i="52"/>
  <c r="J33" i="52"/>
  <c r="J53" i="52"/>
  <c r="J49" i="52"/>
  <c r="J81" i="52"/>
  <c r="J65" i="52"/>
  <c r="J97" i="52"/>
  <c r="J69" i="52"/>
  <c r="J85" i="52"/>
  <c r="J101" i="52"/>
  <c r="J18" i="52"/>
  <c r="J70" i="52"/>
  <c r="J39" i="52"/>
  <c r="J55" i="52"/>
  <c r="J71" i="52"/>
  <c r="J87" i="52"/>
  <c r="J103" i="52"/>
  <c r="J50" i="52"/>
  <c r="J94" i="52"/>
  <c r="J4" i="52"/>
  <c r="J20" i="52"/>
  <c r="J36" i="52"/>
  <c r="J52" i="52"/>
  <c r="J68" i="52"/>
  <c r="J84" i="52"/>
  <c r="J100" i="52"/>
  <c r="J34" i="52"/>
  <c r="J74" i="52"/>
  <c r="J15" i="52"/>
  <c r="J9" i="52"/>
  <c r="J25" i="52"/>
  <c r="J41" i="52"/>
  <c r="J57" i="52"/>
  <c r="J73" i="52"/>
  <c r="J89" i="52"/>
  <c r="J105" i="52"/>
  <c r="J30" i="52"/>
  <c r="J11" i="52"/>
  <c r="J43" i="52"/>
  <c r="J59" i="52"/>
  <c r="J75" i="52"/>
  <c r="J91" i="52"/>
  <c r="J6" i="52"/>
  <c r="J58" i="52"/>
  <c r="J102" i="52"/>
  <c r="J8" i="52"/>
  <c r="J24" i="52"/>
  <c r="J40" i="52"/>
  <c r="J56" i="52"/>
  <c r="J72" i="52"/>
  <c r="J88" i="52"/>
  <c r="J104" i="52"/>
  <c r="J42" i="52"/>
  <c r="J86" i="52"/>
  <c r="J27" i="52"/>
  <c r="J13" i="52"/>
  <c r="J29" i="52"/>
  <c r="J45" i="52"/>
  <c r="J61" i="52"/>
  <c r="J77" i="52"/>
  <c r="L157" i="77"/>
  <c r="L155" i="20"/>
  <c r="L154" i="77"/>
  <c r="L153" i="20"/>
  <c r="O153" i="77"/>
  <c r="L156" i="77"/>
  <c r="O155" i="77"/>
  <c r="L157" i="78"/>
  <c r="O155" i="78"/>
  <c r="L156" i="78"/>
  <c r="O153" i="78"/>
  <c r="L154" i="78"/>
  <c r="D43" i="2"/>
  <c r="B154" i="50"/>
  <c r="U27" i="19"/>
  <c r="F71" i="3"/>
  <c r="G88" i="3"/>
  <c r="G87" i="3"/>
  <c r="G86" i="3"/>
  <c r="G82" i="3"/>
  <c r="G70" i="3"/>
  <c r="G81" i="3"/>
  <c r="G74" i="3"/>
  <c r="G85" i="3"/>
  <c r="G84" i="3"/>
  <c r="G83" i="3"/>
  <c r="G80" i="3"/>
  <c r="G77" i="3"/>
  <c r="G73" i="3"/>
  <c r="G69" i="3"/>
  <c r="G76" i="3"/>
  <c r="G72" i="3"/>
  <c r="G75" i="3"/>
  <c r="B16" i="8"/>
  <c r="B18" i="8"/>
  <c r="U30" i="2"/>
  <c r="U81" i="2"/>
  <c r="A177" i="3"/>
  <c r="B24" i="8"/>
  <c r="B32" i="8"/>
  <c r="B31" i="8"/>
  <c r="B30" i="8"/>
  <c r="B29" i="8"/>
  <c r="B26" i="8"/>
  <c r="S35" i="8"/>
  <c r="O155" i="20" l="1"/>
  <c r="L156" i="20"/>
  <c r="O153" i="20"/>
  <c r="O154" i="77"/>
  <c r="L154" i="20"/>
  <c r="O157" i="77"/>
  <c r="L157" i="20"/>
  <c r="O154" i="78"/>
  <c r="O157" i="78"/>
  <c r="L158" i="77"/>
  <c r="O156" i="77"/>
  <c r="L158" i="78"/>
  <c r="O156" i="78"/>
  <c r="B19" i="8"/>
  <c r="B159" i="3"/>
  <c r="G71" i="3"/>
  <c r="H85" i="3"/>
  <c r="H81" i="3"/>
  <c r="H80" i="3"/>
  <c r="H69" i="3"/>
  <c r="H88" i="3"/>
  <c r="H84" i="3"/>
  <c r="H83" i="3"/>
  <c r="H82" i="3"/>
  <c r="H77" i="3"/>
  <c r="H73" i="3"/>
  <c r="H76" i="3"/>
  <c r="H72" i="3"/>
  <c r="H86" i="3"/>
  <c r="H75" i="3"/>
  <c r="H70" i="3"/>
  <c r="H87" i="3"/>
  <c r="H74" i="3"/>
  <c r="A180" i="3"/>
  <c r="O156" i="20" l="1"/>
  <c r="O157" i="20"/>
  <c r="O154" i="20"/>
  <c r="O158" i="77"/>
  <c r="L158" i="20"/>
  <c r="O158" i="78"/>
  <c r="H71" i="3"/>
  <c r="I88" i="3"/>
  <c r="I84" i="3"/>
  <c r="I77" i="3"/>
  <c r="I76" i="3"/>
  <c r="I75" i="3"/>
  <c r="I74" i="3"/>
  <c r="I73" i="3"/>
  <c r="I72" i="3"/>
  <c r="I85" i="3"/>
  <c r="I80" i="3"/>
  <c r="I69" i="3"/>
  <c r="I86" i="3"/>
  <c r="I87" i="3"/>
  <c r="I70" i="3"/>
  <c r="I83" i="3"/>
  <c r="I81" i="3"/>
  <c r="I82" i="3"/>
  <c r="A183" i="3"/>
  <c r="O158" i="20" l="1"/>
  <c r="J87" i="3"/>
  <c r="J85" i="3"/>
  <c r="J84" i="3"/>
  <c r="J83" i="3"/>
  <c r="J82" i="3"/>
  <c r="J81" i="3"/>
  <c r="J86" i="3"/>
  <c r="J76" i="3"/>
  <c r="J72" i="3"/>
  <c r="J75" i="3"/>
  <c r="J70" i="3"/>
  <c r="J74" i="3"/>
  <c r="J73" i="3"/>
  <c r="J88" i="3"/>
  <c r="J77" i="3"/>
  <c r="J80" i="3"/>
  <c r="J69" i="3"/>
  <c r="I71" i="3"/>
  <c r="A186" i="3"/>
  <c r="J71" i="3" l="1"/>
  <c r="K88" i="3"/>
  <c r="K87" i="3"/>
  <c r="K86" i="3"/>
  <c r="K83" i="3"/>
  <c r="K70" i="3"/>
  <c r="K75" i="3"/>
  <c r="K74" i="3"/>
  <c r="K82" i="3"/>
  <c r="K80" i="3"/>
  <c r="K77" i="3"/>
  <c r="K73" i="3"/>
  <c r="K81" i="3"/>
  <c r="K85" i="3"/>
  <c r="K76" i="3"/>
  <c r="K84" i="3"/>
  <c r="K69" i="3"/>
  <c r="K72" i="3"/>
  <c r="A189" i="3"/>
  <c r="L86" i="3" l="1"/>
  <c r="L88" i="3"/>
  <c r="L87" i="3"/>
  <c r="L82" i="3"/>
  <c r="L80" i="3"/>
  <c r="L69" i="3"/>
  <c r="L74" i="3"/>
  <c r="L70" i="3"/>
  <c r="L81" i="3"/>
  <c r="L77" i="3"/>
  <c r="L73" i="3"/>
  <c r="L85" i="3"/>
  <c r="L84" i="3"/>
  <c r="L83" i="3"/>
  <c r="L72" i="3"/>
  <c r="L76" i="3"/>
  <c r="L75" i="3"/>
  <c r="K71" i="3"/>
  <c r="B162" i="3"/>
  <c r="A192" i="3"/>
  <c r="M85" i="3" l="1"/>
  <c r="M81" i="3"/>
  <c r="M77" i="3"/>
  <c r="M76" i="3"/>
  <c r="M75" i="3"/>
  <c r="M74" i="3"/>
  <c r="M73" i="3"/>
  <c r="M72" i="3"/>
  <c r="M86" i="3"/>
  <c r="M87" i="3"/>
  <c r="M84" i="3"/>
  <c r="M83" i="3"/>
  <c r="M82" i="3"/>
  <c r="M80" i="3"/>
  <c r="M69" i="3"/>
  <c r="M88" i="3"/>
  <c r="M70" i="3"/>
  <c r="L71" i="3"/>
  <c r="A195" i="3"/>
  <c r="N88" i="3" l="1"/>
  <c r="N85" i="3"/>
  <c r="N84" i="3"/>
  <c r="N83" i="3"/>
  <c r="N82" i="3"/>
  <c r="N81" i="3"/>
  <c r="N87" i="3"/>
  <c r="N80" i="3"/>
  <c r="N77" i="3"/>
  <c r="N73" i="3"/>
  <c r="N69" i="3"/>
  <c r="N76" i="3"/>
  <c r="N72" i="3"/>
  <c r="N70" i="3"/>
  <c r="N75" i="3"/>
  <c r="N74" i="3"/>
  <c r="N86" i="3"/>
  <c r="M71" i="3"/>
  <c r="A198" i="3"/>
  <c r="N71" i="3" l="1"/>
  <c r="O88" i="3"/>
  <c r="O87" i="3"/>
  <c r="O86" i="3"/>
  <c r="O84" i="3"/>
  <c r="O70" i="3"/>
  <c r="O83" i="3"/>
  <c r="O82" i="3"/>
  <c r="O81" i="3"/>
  <c r="O76" i="3"/>
  <c r="O72" i="3"/>
  <c r="O85" i="3"/>
  <c r="O75" i="3"/>
  <c r="O74" i="3"/>
  <c r="O77" i="3"/>
  <c r="O80" i="3"/>
  <c r="O73" i="3"/>
  <c r="O69" i="3"/>
  <c r="A201" i="3"/>
  <c r="P87" i="3" l="1"/>
  <c r="P83" i="3"/>
  <c r="P80" i="3"/>
  <c r="P69" i="3"/>
  <c r="P85" i="3"/>
  <c r="P84" i="3"/>
  <c r="P75" i="3"/>
  <c r="P88" i="3"/>
  <c r="P74" i="3"/>
  <c r="P70" i="3"/>
  <c r="P86" i="3"/>
  <c r="P77" i="3"/>
  <c r="P73" i="3"/>
  <c r="P82" i="3"/>
  <c r="P72" i="3"/>
  <c r="P81" i="3"/>
  <c r="P76" i="3"/>
  <c r="O71" i="3"/>
  <c r="A204" i="3"/>
  <c r="P71" i="3" l="1"/>
  <c r="Q86" i="3"/>
  <c r="Q82" i="3"/>
  <c r="Q77" i="3"/>
  <c r="Q76" i="3"/>
  <c r="Q75" i="3"/>
  <c r="Q74" i="3"/>
  <c r="Q73" i="3"/>
  <c r="Q72" i="3"/>
  <c r="Q88" i="3"/>
  <c r="Q70" i="3"/>
  <c r="Q81" i="3"/>
  <c r="Q80" i="3"/>
  <c r="Q87" i="3"/>
  <c r="Q69" i="3"/>
  <c r="Q84" i="3"/>
  <c r="Q83" i="3"/>
  <c r="Q85" i="3"/>
  <c r="A207" i="3"/>
  <c r="Q71" i="3" l="1"/>
  <c r="R85" i="3"/>
  <c r="R84" i="3"/>
  <c r="R83" i="3"/>
  <c r="R82" i="3"/>
  <c r="R81" i="3"/>
  <c r="R88" i="3"/>
  <c r="R87" i="3"/>
  <c r="R86" i="3"/>
  <c r="R74" i="3"/>
  <c r="R80" i="3"/>
  <c r="R77" i="3"/>
  <c r="R73" i="3"/>
  <c r="R69" i="3"/>
  <c r="R76" i="3"/>
  <c r="R72" i="3"/>
  <c r="R75" i="3"/>
  <c r="R70" i="3"/>
  <c r="A210" i="3"/>
  <c r="S88" i="3" l="1"/>
  <c r="S87" i="3"/>
  <c r="S86" i="3"/>
  <c r="S85" i="3"/>
  <c r="S81" i="3"/>
  <c r="S70" i="3"/>
  <c r="S80" i="3"/>
  <c r="S77" i="3"/>
  <c r="S73" i="3"/>
  <c r="S69" i="3"/>
  <c r="S76" i="3"/>
  <c r="S72" i="3"/>
  <c r="S84" i="3"/>
  <c r="S83" i="3"/>
  <c r="S82" i="3"/>
  <c r="S75" i="3"/>
  <c r="S74" i="3"/>
  <c r="R71" i="3"/>
  <c r="A213" i="3"/>
  <c r="S71" i="3" l="1"/>
  <c r="T88" i="3"/>
  <c r="T84" i="3"/>
  <c r="T80" i="3"/>
  <c r="T69" i="3"/>
  <c r="T76" i="3"/>
  <c r="T72" i="3"/>
  <c r="T86" i="3"/>
  <c r="T83" i="3"/>
  <c r="T82" i="3"/>
  <c r="T81" i="3"/>
  <c r="T75" i="3"/>
  <c r="T87" i="3"/>
  <c r="T85" i="3"/>
  <c r="T74" i="3"/>
  <c r="T70" i="3"/>
  <c r="T73" i="3"/>
  <c r="T77" i="3"/>
  <c r="A216" i="3"/>
  <c r="U87" i="3" l="1"/>
  <c r="U83" i="3"/>
  <c r="U77" i="3"/>
  <c r="U76" i="3"/>
  <c r="U75" i="3"/>
  <c r="U74" i="3"/>
  <c r="U73" i="3"/>
  <c r="U72" i="3"/>
  <c r="U86" i="3"/>
  <c r="U82" i="3"/>
  <c r="U81" i="3"/>
  <c r="U85" i="3"/>
  <c r="U84" i="3"/>
  <c r="U70" i="3"/>
  <c r="U88" i="3"/>
  <c r="U80" i="3"/>
  <c r="U69" i="3"/>
  <c r="T71" i="3"/>
  <c r="A219" i="3"/>
  <c r="U71" i="3" l="1"/>
  <c r="V86" i="3"/>
  <c r="V85" i="3"/>
  <c r="V84" i="3"/>
  <c r="V83" i="3"/>
  <c r="V82" i="3"/>
  <c r="V81" i="3"/>
  <c r="V75" i="3"/>
  <c r="V70" i="3"/>
  <c r="V87" i="3"/>
  <c r="V74" i="3"/>
  <c r="V88" i="3"/>
  <c r="V80" i="3"/>
  <c r="V77" i="3"/>
  <c r="V73" i="3"/>
  <c r="V76" i="3"/>
  <c r="V69" i="3"/>
  <c r="V72" i="3"/>
  <c r="A222" i="3"/>
  <c r="W88" i="3" l="1"/>
  <c r="W87" i="3"/>
  <c r="W86" i="3"/>
  <c r="W82" i="3"/>
  <c r="W70" i="3"/>
  <c r="W85" i="3"/>
  <c r="W84" i="3"/>
  <c r="W83" i="3"/>
  <c r="W74" i="3"/>
  <c r="W80" i="3"/>
  <c r="W77" i="3"/>
  <c r="W73" i="3"/>
  <c r="W69" i="3"/>
  <c r="W72" i="3"/>
  <c r="W76" i="3"/>
  <c r="W81" i="3"/>
  <c r="W75" i="3"/>
  <c r="V71" i="3"/>
  <c r="C20" i="5"/>
  <c r="G42" i="5"/>
  <c r="C20" i="1"/>
  <c r="W71" i="3" l="1"/>
  <c r="X85" i="3"/>
  <c r="X81" i="3"/>
  <c r="X80" i="3"/>
  <c r="X69" i="3"/>
  <c r="X87" i="3"/>
  <c r="X77" i="3"/>
  <c r="X73" i="3"/>
  <c r="X88" i="3"/>
  <c r="X76" i="3"/>
  <c r="X72" i="3"/>
  <c r="X75" i="3"/>
  <c r="X83" i="3"/>
  <c r="X74" i="3"/>
  <c r="X86" i="3"/>
  <c r="X84" i="3"/>
  <c r="X70" i="3"/>
  <c r="X82" i="3"/>
  <c r="Y88" i="3" l="1"/>
  <c r="Y87" i="3"/>
  <c r="Y86" i="3"/>
  <c r="Y84" i="3"/>
  <c r="Y77" i="3"/>
  <c r="Y76" i="3"/>
  <c r="Y75" i="3"/>
  <c r="Y74" i="3"/>
  <c r="Y73" i="3"/>
  <c r="Y72" i="3"/>
  <c r="Y80" i="3"/>
  <c r="Y69" i="3"/>
  <c r="Y83" i="3"/>
  <c r="Y82" i="3"/>
  <c r="Y70" i="3"/>
  <c r="Y81" i="3"/>
  <c r="Y85" i="3"/>
  <c r="X71" i="3"/>
  <c r="H6" i="38"/>
  <c r="H6" i="80" s="1"/>
  <c r="H6" i="79" l="1"/>
  <c r="H6" i="61"/>
  <c r="H6" i="60"/>
  <c r="H6" i="59"/>
  <c r="Y71" i="3"/>
  <c r="Z87" i="3"/>
  <c r="Z85" i="3"/>
  <c r="Z84" i="3"/>
  <c r="Z83" i="3"/>
  <c r="Z82" i="3"/>
  <c r="Z81" i="3"/>
  <c r="Z88" i="3"/>
  <c r="Z76" i="3"/>
  <c r="Z72" i="3"/>
  <c r="Z75" i="3"/>
  <c r="Z70" i="3"/>
  <c r="Z86" i="3"/>
  <c r="Z74" i="3"/>
  <c r="Z80" i="3"/>
  <c r="Z77" i="3"/>
  <c r="Z69" i="3"/>
  <c r="Z73" i="3"/>
  <c r="L39" i="38"/>
  <c r="B51" i="79" l="1"/>
  <c r="C51" i="79"/>
  <c r="D51" i="79"/>
  <c r="AA88" i="3"/>
  <c r="AA87" i="3"/>
  <c r="AA86" i="3"/>
  <c r="AA83" i="3"/>
  <c r="AA70" i="3"/>
  <c r="AA75" i="3"/>
  <c r="AA82" i="3"/>
  <c r="AA81" i="3"/>
  <c r="AA74" i="3"/>
  <c r="AA85" i="3"/>
  <c r="AA84" i="3"/>
  <c r="AA77" i="3"/>
  <c r="AA73" i="3"/>
  <c r="AA80" i="3"/>
  <c r="AA72" i="3"/>
  <c r="AA69" i="3"/>
  <c r="AA76" i="3"/>
  <c r="Z71" i="3"/>
  <c r="AA71" i="3" l="1"/>
  <c r="AB86" i="3"/>
  <c r="AB82" i="3"/>
  <c r="AB80" i="3"/>
  <c r="AB69" i="3"/>
  <c r="AB88" i="3"/>
  <c r="AB81" i="3"/>
  <c r="AB74" i="3"/>
  <c r="AB70" i="3"/>
  <c r="AB85" i="3"/>
  <c r="AB84" i="3"/>
  <c r="AB83" i="3"/>
  <c r="AB77" i="3"/>
  <c r="AB73" i="3"/>
  <c r="AB76" i="3"/>
  <c r="AB72" i="3"/>
  <c r="AB75" i="3"/>
  <c r="AB87" i="3"/>
  <c r="AC85" i="3" l="1"/>
  <c r="AC81" i="3"/>
  <c r="AC77" i="3"/>
  <c r="AC76" i="3"/>
  <c r="AC75" i="3"/>
  <c r="AC74" i="3"/>
  <c r="AC73" i="3"/>
  <c r="AC72" i="3"/>
  <c r="AC84" i="3"/>
  <c r="AC83" i="3"/>
  <c r="AC82" i="3"/>
  <c r="AC86" i="3"/>
  <c r="AC80" i="3"/>
  <c r="AC69" i="3"/>
  <c r="AC87" i="3"/>
  <c r="AC70" i="3"/>
  <c r="AC88" i="3"/>
  <c r="AB71" i="3"/>
  <c r="B673" i="50"/>
  <c r="C65" i="19"/>
  <c r="E17" i="8"/>
  <c r="B100" i="2"/>
  <c r="B47" i="2"/>
  <c r="C135" i="3"/>
  <c r="Q135" i="3"/>
  <c r="M133" i="3"/>
  <c r="K136" i="3"/>
  <c r="E133" i="3"/>
  <c r="D136" i="3"/>
  <c r="R110" i="3"/>
  <c r="G133" i="3"/>
  <c r="J133" i="3"/>
  <c r="N136" i="3"/>
  <c r="Z113" i="3"/>
  <c r="O112" i="3"/>
  <c r="AB110" i="3"/>
  <c r="F135" i="3"/>
  <c r="H133" i="3"/>
  <c r="K133" i="3"/>
  <c r="R113" i="3"/>
  <c r="T113" i="3"/>
  <c r="K110" i="3"/>
  <c r="AD112" i="3"/>
  <c r="P113" i="3"/>
  <c r="AD113" i="3"/>
  <c r="AC110" i="3"/>
  <c r="N110" i="3"/>
  <c r="Y110" i="3"/>
  <c r="S110" i="3"/>
  <c r="AB112" i="3"/>
  <c r="U113" i="3"/>
  <c r="D112" i="3"/>
  <c r="Y113" i="3"/>
  <c r="O136" i="3"/>
  <c r="O135" i="3"/>
  <c r="Q136" i="3"/>
  <c r="N135" i="3"/>
  <c r="D135" i="3"/>
  <c r="N133" i="3"/>
  <c r="D133" i="3"/>
  <c r="I136" i="3"/>
  <c r="L136" i="3"/>
  <c r="J112" i="3"/>
  <c r="D113" i="3"/>
  <c r="P110" i="3"/>
  <c r="F133" i="3"/>
  <c r="J136" i="3"/>
  <c r="M136" i="3"/>
  <c r="Q112" i="3"/>
  <c r="J110" i="3"/>
  <c r="AB113" i="3"/>
  <c r="F112" i="3"/>
  <c r="W110" i="3"/>
  <c r="Y112" i="3"/>
  <c r="J113" i="3"/>
  <c r="S113" i="3"/>
  <c r="K112" i="3"/>
  <c r="W113" i="3"/>
  <c r="M112" i="3"/>
  <c r="R112" i="3"/>
  <c r="AD110" i="3"/>
  <c r="H113" i="3"/>
  <c r="N112" i="3"/>
  <c r="X112" i="3"/>
  <c r="Q113" i="3"/>
  <c r="E113" i="3"/>
  <c r="T112" i="3"/>
  <c r="E136" i="3"/>
  <c r="J135" i="3"/>
  <c r="C133" i="3"/>
  <c r="P136" i="3"/>
  <c r="F136" i="3"/>
  <c r="P135" i="3"/>
  <c r="F113" i="3"/>
  <c r="G112" i="3"/>
  <c r="G136" i="3"/>
  <c r="I135" i="3"/>
  <c r="L135" i="3"/>
  <c r="N113" i="3"/>
  <c r="AA113" i="3"/>
  <c r="T110" i="3"/>
  <c r="I110" i="3"/>
  <c r="W112" i="3"/>
  <c r="H136" i="3"/>
  <c r="C136" i="3"/>
  <c r="M135" i="3"/>
  <c r="E112" i="3"/>
  <c r="M110" i="3"/>
  <c r="AE113" i="3"/>
  <c r="I112" i="3"/>
  <c r="Q110" i="3"/>
  <c r="F110" i="3"/>
  <c r="AA112" i="3"/>
  <c r="E110" i="3"/>
  <c r="G110" i="3"/>
  <c r="U112" i="3"/>
  <c r="C113" i="3"/>
  <c r="C112" i="3"/>
  <c r="X113" i="3"/>
  <c r="G113" i="3"/>
  <c r="L112" i="3"/>
  <c r="AC113" i="3"/>
  <c r="O110" i="3"/>
  <c r="O133" i="3"/>
  <c r="E135" i="3"/>
  <c r="P133" i="3"/>
  <c r="D110" i="3"/>
  <c r="I133" i="3"/>
  <c r="K113" i="3"/>
  <c r="H110" i="3"/>
  <c r="G135" i="3"/>
  <c r="Q133" i="3"/>
  <c r="L133" i="3"/>
  <c r="Z110" i="3"/>
  <c r="AC112" i="3"/>
  <c r="Z112" i="3"/>
  <c r="L113" i="3"/>
  <c r="H135" i="3"/>
  <c r="K135" i="3"/>
  <c r="U110" i="3"/>
  <c r="AE112" i="3"/>
  <c r="V112" i="3"/>
  <c r="O113" i="3"/>
  <c r="C110" i="3"/>
  <c r="X110" i="3"/>
  <c r="V113" i="3"/>
  <c r="V110" i="3"/>
  <c r="AA110" i="3"/>
  <c r="L110" i="3"/>
  <c r="S112" i="3"/>
  <c r="P112" i="3"/>
  <c r="H112" i="3"/>
  <c r="M113" i="3"/>
  <c r="AE110" i="3"/>
  <c r="I113" i="3"/>
  <c r="G14" i="1"/>
  <c r="G33" i="5"/>
  <c r="G14" i="5"/>
  <c r="AF10" i="38"/>
  <c r="R40" i="8"/>
  <c r="U85" i="2"/>
  <c r="U35" i="2"/>
  <c r="B13" i="38"/>
  <c r="I97" i="38"/>
  <c r="J97" i="38" s="1"/>
  <c r="E97" i="38"/>
  <c r="B196" i="50"/>
  <c r="D45" i="2"/>
  <c r="T30" i="2" s="1"/>
  <c r="R31" i="8"/>
  <c r="T81" i="2"/>
  <c r="B15" i="8"/>
  <c r="AF9" i="38"/>
  <c r="B12" i="38"/>
  <c r="B188" i="50"/>
  <c r="B9" i="38"/>
  <c r="D20" i="38"/>
  <c r="B191" i="50"/>
  <c r="B10" i="38"/>
  <c r="C18" i="38"/>
  <c r="B192" i="50"/>
  <c r="M106" i="38"/>
  <c r="B8" i="38"/>
  <c r="B190" i="50"/>
  <c r="E5" i="7"/>
  <c r="B684" i="50"/>
  <c r="AF6" i="38"/>
  <c r="B193" i="50"/>
  <c r="B11" i="38"/>
  <c r="AF8" i="38"/>
  <c r="B7" i="38"/>
  <c r="D20" i="59" l="1"/>
  <c r="D20" i="80"/>
  <c r="D20" i="60"/>
  <c r="C18" i="60"/>
  <c r="C18" i="59"/>
  <c r="C18" i="80"/>
  <c r="AF6" i="80"/>
  <c r="AF6" i="59"/>
  <c r="AF8" i="80"/>
  <c r="AF8" i="59"/>
  <c r="AF9" i="80"/>
  <c r="AF9" i="59"/>
  <c r="AF10" i="80"/>
  <c r="AF10" i="59"/>
  <c r="B12" i="80"/>
  <c r="B12" i="79"/>
  <c r="AF6" i="61"/>
  <c r="AF6" i="79"/>
  <c r="B10" i="79"/>
  <c r="B10" i="80"/>
  <c r="B11" i="80"/>
  <c r="B11" i="79"/>
  <c r="D20" i="79"/>
  <c r="AF9" i="61"/>
  <c r="AF9" i="79"/>
  <c r="B13" i="80"/>
  <c r="B13" i="79"/>
  <c r="AF10" i="61"/>
  <c r="AF10" i="79"/>
  <c r="B7" i="80"/>
  <c r="B7" i="79"/>
  <c r="B8" i="80"/>
  <c r="B8" i="79"/>
  <c r="AF8" i="61"/>
  <c r="AF8" i="79"/>
  <c r="C18" i="79"/>
  <c r="B9" i="80"/>
  <c r="B9" i="79"/>
  <c r="D23" i="38"/>
  <c r="D22" i="38"/>
  <c r="B12" i="61"/>
  <c r="B12" i="60"/>
  <c r="B12" i="59"/>
  <c r="B11" i="61"/>
  <c r="B11" i="60"/>
  <c r="B11" i="59"/>
  <c r="B13" i="61"/>
  <c r="B13" i="60"/>
  <c r="B13" i="59"/>
  <c r="B9" i="59"/>
  <c r="B9" i="60"/>
  <c r="B7" i="61"/>
  <c r="B7" i="60"/>
  <c r="B7" i="59"/>
  <c r="B8" i="61"/>
  <c r="B8" i="60"/>
  <c r="B8" i="59"/>
  <c r="B10" i="61"/>
  <c r="B10" i="60"/>
  <c r="B10" i="59"/>
  <c r="H9" i="38"/>
  <c r="B9" i="61"/>
  <c r="D32" i="38"/>
  <c r="B90" i="2"/>
  <c r="F88" i="2" s="1"/>
  <c r="F61" i="2" s="1"/>
  <c r="F99" i="2"/>
  <c r="B37" i="2"/>
  <c r="F46" i="2"/>
  <c r="AF10" i="60"/>
  <c r="AF6" i="60"/>
  <c r="AF9" i="60"/>
  <c r="AF8" i="60"/>
  <c r="AF7" i="60"/>
  <c r="AC71" i="3"/>
  <c r="F68" i="2"/>
  <c r="AD88" i="3"/>
  <c r="AD85" i="3"/>
  <c r="AD84" i="3"/>
  <c r="AD83" i="3"/>
  <c r="AD82" i="3"/>
  <c r="AD81" i="3"/>
  <c r="AD86" i="3"/>
  <c r="AD80" i="3"/>
  <c r="AD77" i="3"/>
  <c r="AD73" i="3"/>
  <c r="AD69" i="3"/>
  <c r="AD87" i="3"/>
  <c r="AD76" i="3"/>
  <c r="AD72" i="3"/>
  <c r="AD75" i="3"/>
  <c r="AD70" i="3"/>
  <c r="AD74" i="3"/>
  <c r="D21" i="38"/>
  <c r="B28" i="8"/>
  <c r="B27" i="8"/>
  <c r="B25" i="8"/>
  <c r="F15" i="2"/>
  <c r="E20" i="38"/>
  <c r="B211" i="50"/>
  <c r="B216" i="50"/>
  <c r="F20" i="8"/>
  <c r="T44" i="8"/>
  <c r="F97" i="38"/>
  <c r="D32" i="80" l="1"/>
  <c r="D32" i="59"/>
  <c r="D32" i="60"/>
  <c r="D23" i="80"/>
  <c r="D23" i="59"/>
  <c r="D23" i="60"/>
  <c r="D21" i="80"/>
  <c r="D21" i="59"/>
  <c r="D21" i="60"/>
  <c r="D22" i="80"/>
  <c r="D22" i="60"/>
  <c r="D22" i="59"/>
  <c r="E20" i="59"/>
  <c r="E20" i="80"/>
  <c r="E20" i="60"/>
  <c r="H9" i="80"/>
  <c r="H9" i="79"/>
  <c r="D22" i="79"/>
  <c r="E20" i="79"/>
  <c r="D21" i="79"/>
  <c r="D32" i="79"/>
  <c r="D23" i="79"/>
  <c r="E23" i="38"/>
  <c r="E22" i="38"/>
  <c r="H9" i="59"/>
  <c r="H9" i="60"/>
  <c r="M43" i="2"/>
  <c r="F35" i="2"/>
  <c r="Q27" i="2"/>
  <c r="E32" i="38"/>
  <c r="E26" i="38"/>
  <c r="D55" i="38"/>
  <c r="D35" i="38"/>
  <c r="D34" i="38"/>
  <c r="Z23" i="38"/>
  <c r="D26" i="38"/>
  <c r="N78" i="2"/>
  <c r="AE88" i="3"/>
  <c r="AE87" i="3"/>
  <c r="AE86" i="3"/>
  <c r="AE84" i="3"/>
  <c r="AE70" i="3"/>
  <c r="AE85" i="3"/>
  <c r="AE76" i="3"/>
  <c r="AE72" i="3"/>
  <c r="AE75" i="3"/>
  <c r="AE74" i="3"/>
  <c r="AE82" i="3"/>
  <c r="AE73" i="3"/>
  <c r="AE81" i="3"/>
  <c r="AE80" i="3"/>
  <c r="AE83" i="3"/>
  <c r="AE77" i="3"/>
  <c r="AE69" i="3"/>
  <c r="AD71" i="3"/>
  <c r="B23" i="38"/>
  <c r="D36" i="38"/>
  <c r="D33" i="38"/>
  <c r="E21" i="38"/>
  <c r="C22" i="38"/>
  <c r="D25" i="38"/>
  <c r="E25" i="38"/>
  <c r="M94" i="2"/>
  <c r="F20" i="38"/>
  <c r="E22" i="59" l="1"/>
  <c r="E22" i="80"/>
  <c r="E22" i="60"/>
  <c r="E21" i="59"/>
  <c r="E21" i="80"/>
  <c r="E21" i="60"/>
  <c r="E23" i="59"/>
  <c r="E23" i="80"/>
  <c r="E23" i="60"/>
  <c r="C22" i="59"/>
  <c r="C22" i="60"/>
  <c r="C22" i="80"/>
  <c r="D34" i="80"/>
  <c r="D34" i="59"/>
  <c r="D34" i="60"/>
  <c r="E32" i="80"/>
  <c r="E32" i="59"/>
  <c r="E32" i="60"/>
  <c r="F20" i="80"/>
  <c r="F20" i="59"/>
  <c r="F20" i="60"/>
  <c r="D33" i="80"/>
  <c r="D33" i="59"/>
  <c r="D33" i="60"/>
  <c r="D35" i="80"/>
  <c r="D35" i="59"/>
  <c r="D35" i="60"/>
  <c r="B23" i="80"/>
  <c r="B23" i="59"/>
  <c r="B23" i="60"/>
  <c r="Z23" i="80"/>
  <c r="Z23" i="59"/>
  <c r="Z23" i="60"/>
  <c r="E21" i="79"/>
  <c r="Z23" i="79"/>
  <c r="D33" i="79"/>
  <c r="D34" i="79"/>
  <c r="E32" i="79"/>
  <c r="E23" i="79"/>
  <c r="E22" i="79"/>
  <c r="D35" i="79"/>
  <c r="F20" i="79"/>
  <c r="C22" i="79"/>
  <c r="B23" i="79"/>
  <c r="F22" i="38"/>
  <c r="F23" i="38"/>
  <c r="F8" i="2"/>
  <c r="H4" i="2" s="1"/>
  <c r="F32" i="38"/>
  <c r="E35" i="38"/>
  <c r="E34" i="38"/>
  <c r="C25" i="38"/>
  <c r="D38" i="38"/>
  <c r="D37" i="38"/>
  <c r="D68" i="38" s="1"/>
  <c r="D69" i="38" s="1"/>
  <c r="E37" i="38"/>
  <c r="E38" i="38"/>
  <c r="AE71" i="3"/>
  <c r="AF87" i="3"/>
  <c r="AF86" i="3"/>
  <c r="AF83" i="3"/>
  <c r="AF80" i="3"/>
  <c r="AF69" i="3"/>
  <c r="AF75" i="3"/>
  <c r="AF74" i="3"/>
  <c r="AF70" i="3"/>
  <c r="AF88" i="3"/>
  <c r="AF81" i="3"/>
  <c r="AF77" i="3"/>
  <c r="AF82" i="3"/>
  <c r="AF73" i="3"/>
  <c r="AF84" i="3"/>
  <c r="AF76" i="3"/>
  <c r="AF85" i="3"/>
  <c r="AF72" i="3"/>
  <c r="B22" i="38"/>
  <c r="E33" i="38"/>
  <c r="E36" i="38"/>
  <c r="E55" i="38"/>
  <c r="F21" i="38"/>
  <c r="F26" i="38"/>
  <c r="F25" i="38"/>
  <c r="G20" i="38"/>
  <c r="F32" i="80" l="1"/>
  <c r="F32" i="59"/>
  <c r="F32" i="60"/>
  <c r="F21" i="80"/>
  <c r="F21" i="59"/>
  <c r="F21" i="60"/>
  <c r="B22" i="59"/>
  <c r="B22" i="80"/>
  <c r="B22" i="60"/>
  <c r="E34" i="80"/>
  <c r="E34" i="59"/>
  <c r="E34" i="60"/>
  <c r="E35" i="80"/>
  <c r="E35" i="59"/>
  <c r="E35" i="60"/>
  <c r="F23" i="80"/>
  <c r="F23" i="59"/>
  <c r="F23" i="60"/>
  <c r="E33" i="80"/>
  <c r="E33" i="59"/>
  <c r="E33" i="60"/>
  <c r="G20" i="80"/>
  <c r="G20" i="59"/>
  <c r="G20" i="60"/>
  <c r="F22" i="59"/>
  <c r="F22" i="80"/>
  <c r="F22" i="60"/>
  <c r="E33" i="79"/>
  <c r="F22" i="79"/>
  <c r="F23" i="79"/>
  <c r="F21" i="79"/>
  <c r="B22" i="79"/>
  <c r="E34" i="79"/>
  <c r="F32" i="79"/>
  <c r="G20" i="79"/>
  <c r="E35" i="79"/>
  <c r="G23" i="38"/>
  <c r="G22" i="38"/>
  <c r="C69" i="19"/>
  <c r="G32" i="38"/>
  <c r="B21" i="38"/>
  <c r="C56" i="19"/>
  <c r="D182" i="50" s="1"/>
  <c r="C59" i="19"/>
  <c r="C57" i="19"/>
  <c r="C60" i="19"/>
  <c r="F55" i="38"/>
  <c r="B20" i="38"/>
  <c r="F34" i="38"/>
  <c r="F35" i="38"/>
  <c r="F38" i="38"/>
  <c r="F37" i="38"/>
  <c r="AF71" i="3"/>
  <c r="AG86" i="3"/>
  <c r="AG88" i="3"/>
  <c r="AG87" i="3"/>
  <c r="AG82" i="3"/>
  <c r="AG77" i="3"/>
  <c r="AG76" i="3"/>
  <c r="AG75" i="3"/>
  <c r="AG74" i="3"/>
  <c r="AG73" i="3"/>
  <c r="AG72" i="3"/>
  <c r="AG70" i="3"/>
  <c r="AG81" i="3"/>
  <c r="AG85" i="3"/>
  <c r="AG84" i="3"/>
  <c r="AG83" i="3"/>
  <c r="AG80" i="3"/>
  <c r="AG69" i="3"/>
  <c r="B35" i="38"/>
  <c r="B34" i="38"/>
  <c r="F33" i="38"/>
  <c r="F36" i="38"/>
  <c r="E68" i="38"/>
  <c r="E69" i="38" s="1"/>
  <c r="E56" i="38"/>
  <c r="G21" i="38"/>
  <c r="D56" i="38"/>
  <c r="D57" i="38" s="1"/>
  <c r="G26" i="38"/>
  <c r="G25" i="38"/>
  <c r="H20" i="38"/>
  <c r="B33" i="38" l="1"/>
  <c r="B33" i="80" s="1"/>
  <c r="H20" i="59"/>
  <c r="H20" i="80"/>
  <c r="H20" i="60"/>
  <c r="F34" i="80"/>
  <c r="F34" i="59"/>
  <c r="F34" i="60"/>
  <c r="G21" i="80"/>
  <c r="G21" i="59"/>
  <c r="G21" i="60"/>
  <c r="G22" i="59"/>
  <c r="G22" i="60"/>
  <c r="G22" i="80"/>
  <c r="F33" i="80"/>
  <c r="F33" i="59"/>
  <c r="F33" i="60"/>
  <c r="G32" i="80"/>
  <c r="G32" i="59"/>
  <c r="G32" i="60"/>
  <c r="F35" i="80"/>
  <c r="F35" i="60"/>
  <c r="F35" i="59"/>
  <c r="G23" i="80"/>
  <c r="G23" i="59"/>
  <c r="G23" i="60"/>
  <c r="B34" i="80"/>
  <c r="B34" i="59"/>
  <c r="B34" i="60"/>
  <c r="B20" i="80"/>
  <c r="B20" i="60"/>
  <c r="B20" i="59"/>
  <c r="B35" i="59"/>
  <c r="B35" i="60"/>
  <c r="B35" i="80"/>
  <c r="B21" i="60"/>
  <c r="B21" i="80"/>
  <c r="B21" i="59"/>
  <c r="B34" i="79"/>
  <c r="AF49" i="79" s="1"/>
  <c r="B35" i="79"/>
  <c r="B20" i="79"/>
  <c r="F35" i="79"/>
  <c r="B21" i="79"/>
  <c r="G22" i="79"/>
  <c r="G32" i="79"/>
  <c r="H20" i="79"/>
  <c r="G21" i="79"/>
  <c r="F33" i="79"/>
  <c r="F34" i="79"/>
  <c r="G23" i="79"/>
  <c r="H23" i="38"/>
  <c r="H22" i="38"/>
  <c r="E67" i="7"/>
  <c r="C54" i="19"/>
  <c r="H32" i="38"/>
  <c r="B32" i="38"/>
  <c r="G55" i="38"/>
  <c r="B56" i="38"/>
  <c r="B57" i="38" s="1"/>
  <c r="G35" i="38"/>
  <c r="G34" i="38"/>
  <c r="G37" i="38"/>
  <c r="G38" i="38"/>
  <c r="AG71" i="3"/>
  <c r="AH85" i="3"/>
  <c r="AH84" i="3"/>
  <c r="AH83" i="3"/>
  <c r="AH82" i="3"/>
  <c r="AH81" i="3"/>
  <c r="AH87" i="3"/>
  <c r="AH74" i="3"/>
  <c r="AH88" i="3"/>
  <c r="AH80" i="3"/>
  <c r="AH77" i="3"/>
  <c r="AH73" i="3"/>
  <c r="AH69" i="3"/>
  <c r="AH76" i="3"/>
  <c r="AH72" i="3"/>
  <c r="AH86" i="3"/>
  <c r="AH75" i="3"/>
  <c r="AH70" i="3"/>
  <c r="F56" i="38"/>
  <c r="F57" i="38" s="1"/>
  <c r="F68" i="38"/>
  <c r="F69" i="38" s="1"/>
  <c r="G33" i="38"/>
  <c r="G36" i="38"/>
  <c r="H21" i="38"/>
  <c r="H26" i="38"/>
  <c r="H25" i="38"/>
  <c r="E57" i="38"/>
  <c r="I20" i="38"/>
  <c r="B33" i="79" l="1"/>
  <c r="B33" i="60"/>
  <c r="B33" i="59"/>
  <c r="I20" i="59"/>
  <c r="I20" i="60"/>
  <c r="I20" i="80"/>
  <c r="H21" i="80"/>
  <c r="H21" i="60"/>
  <c r="H21" i="59"/>
  <c r="G34" i="80"/>
  <c r="G34" i="60"/>
  <c r="G34" i="59"/>
  <c r="H22" i="80"/>
  <c r="H22" i="59"/>
  <c r="H22" i="60"/>
  <c r="G33" i="59"/>
  <c r="G33" i="80"/>
  <c r="G33" i="60"/>
  <c r="G35" i="80"/>
  <c r="G35" i="59"/>
  <c r="G35" i="60"/>
  <c r="H32" i="80"/>
  <c r="H32" i="59"/>
  <c r="H32" i="60"/>
  <c r="H23" i="80"/>
  <c r="H23" i="60"/>
  <c r="H23" i="59"/>
  <c r="B32" i="80"/>
  <c r="B32" i="59"/>
  <c r="B32" i="60"/>
  <c r="B32" i="79"/>
  <c r="H22" i="79"/>
  <c r="AH147" i="79"/>
  <c r="AH139" i="79"/>
  <c r="AH131" i="79"/>
  <c r="AH123" i="79"/>
  <c r="P147" i="79"/>
  <c r="P139" i="79"/>
  <c r="P131" i="79"/>
  <c r="P123" i="79"/>
  <c r="I20" i="79"/>
  <c r="H32" i="79"/>
  <c r="H23" i="79"/>
  <c r="G33" i="79"/>
  <c r="G35" i="79"/>
  <c r="H21" i="79"/>
  <c r="G34" i="79"/>
  <c r="I23" i="38"/>
  <c r="I22" i="38"/>
  <c r="I32" i="38"/>
  <c r="H55" i="38"/>
  <c r="H35" i="38"/>
  <c r="H34" i="38"/>
  <c r="H37" i="38"/>
  <c r="H38" i="38"/>
  <c r="AH71" i="3"/>
  <c r="AI88" i="3"/>
  <c r="AI87" i="3"/>
  <c r="AI86" i="3"/>
  <c r="AI85" i="3"/>
  <c r="AI81" i="3"/>
  <c r="AI70" i="3"/>
  <c r="AI80" i="3"/>
  <c r="AI77" i="3"/>
  <c r="AI73" i="3"/>
  <c r="AI69" i="3"/>
  <c r="AI84" i="3"/>
  <c r="AI83" i="3"/>
  <c r="AI82" i="3"/>
  <c r="AI76" i="3"/>
  <c r="AI72" i="3"/>
  <c r="AI75" i="3"/>
  <c r="AI74" i="3"/>
  <c r="G68" i="38"/>
  <c r="G69" i="38" s="1"/>
  <c r="G56" i="38"/>
  <c r="H33" i="38"/>
  <c r="H36" i="38"/>
  <c r="I21" i="38"/>
  <c r="I26" i="38"/>
  <c r="I25" i="38"/>
  <c r="J20" i="38"/>
  <c r="I21" i="59" l="1"/>
  <c r="I21" i="80"/>
  <c r="I21" i="60"/>
  <c r="I32" i="80"/>
  <c r="I32" i="59"/>
  <c r="I32" i="60"/>
  <c r="J20" i="80"/>
  <c r="J20" i="59"/>
  <c r="J20" i="60"/>
  <c r="H34" i="80"/>
  <c r="H34" i="59"/>
  <c r="H34" i="60"/>
  <c r="I22" i="59"/>
  <c r="I22" i="80"/>
  <c r="I22" i="60"/>
  <c r="H33" i="80"/>
  <c r="H33" i="59"/>
  <c r="H33" i="60"/>
  <c r="H35" i="80"/>
  <c r="H35" i="60"/>
  <c r="H35" i="59"/>
  <c r="I23" i="59"/>
  <c r="I23" i="80"/>
  <c r="I23" i="60"/>
  <c r="I32" i="79"/>
  <c r="J20" i="79"/>
  <c r="H34" i="79"/>
  <c r="I23" i="79"/>
  <c r="H33" i="79"/>
  <c r="H35" i="79"/>
  <c r="I21" i="79"/>
  <c r="I22" i="79"/>
  <c r="J22" i="38"/>
  <c r="J23" i="38"/>
  <c r="J32" i="38"/>
  <c r="I55" i="38"/>
  <c r="I34" i="38"/>
  <c r="I35" i="38"/>
  <c r="I37" i="38"/>
  <c r="I38" i="38"/>
  <c r="AJ88" i="3"/>
  <c r="AJ84" i="3"/>
  <c r="AJ80" i="3"/>
  <c r="AJ69" i="3"/>
  <c r="AJ83" i="3"/>
  <c r="AJ82" i="3"/>
  <c r="AJ81" i="3"/>
  <c r="AJ76" i="3"/>
  <c r="AJ72" i="3"/>
  <c r="AJ85" i="3"/>
  <c r="AJ75" i="3"/>
  <c r="AJ86" i="3"/>
  <c r="AJ74" i="3"/>
  <c r="AJ70" i="3"/>
  <c r="AJ77" i="3"/>
  <c r="AJ87" i="3"/>
  <c r="AJ73" i="3"/>
  <c r="AI71" i="3"/>
  <c r="H68" i="38"/>
  <c r="H69" i="38" s="1"/>
  <c r="H56" i="38"/>
  <c r="H57" i="38" s="1"/>
  <c r="I33" i="38"/>
  <c r="I36" i="38"/>
  <c r="J21" i="38"/>
  <c r="J26" i="38"/>
  <c r="J25" i="38"/>
  <c r="G57" i="38"/>
  <c r="K20" i="38"/>
  <c r="K20" i="80" l="1"/>
  <c r="K20" i="59"/>
  <c r="K20" i="60"/>
  <c r="J21" i="80"/>
  <c r="J21" i="59"/>
  <c r="J21" i="60"/>
  <c r="J32" i="80"/>
  <c r="J32" i="59"/>
  <c r="J32" i="60"/>
  <c r="I35" i="80"/>
  <c r="I35" i="59"/>
  <c r="I35" i="60"/>
  <c r="J23" i="80"/>
  <c r="J23" i="59"/>
  <c r="J23" i="60"/>
  <c r="I33" i="80"/>
  <c r="I33" i="59"/>
  <c r="I33" i="60"/>
  <c r="I34" i="80"/>
  <c r="I34" i="59"/>
  <c r="I34" i="60"/>
  <c r="J22" i="59"/>
  <c r="J22" i="80"/>
  <c r="J22" i="60"/>
  <c r="K20" i="79"/>
  <c r="J23" i="79"/>
  <c r="I35" i="79"/>
  <c r="J22" i="79"/>
  <c r="J21" i="79"/>
  <c r="I34" i="79"/>
  <c r="I33" i="79"/>
  <c r="J32" i="79"/>
  <c r="K23" i="38"/>
  <c r="K22" i="38"/>
  <c r="K32" i="38"/>
  <c r="J55" i="38"/>
  <c r="J34" i="38"/>
  <c r="J35" i="38"/>
  <c r="J38" i="38"/>
  <c r="J37" i="38"/>
  <c r="AJ71" i="3"/>
  <c r="AK87" i="3"/>
  <c r="AK83" i="3"/>
  <c r="AK77" i="3"/>
  <c r="AK76" i="3"/>
  <c r="AK75" i="3"/>
  <c r="AK74" i="3"/>
  <c r="AK73" i="3"/>
  <c r="AK72" i="3"/>
  <c r="AK88" i="3"/>
  <c r="AK85" i="3"/>
  <c r="AK84" i="3"/>
  <c r="AK86" i="3"/>
  <c r="AK70" i="3"/>
  <c r="AK82" i="3"/>
  <c r="AK69" i="3"/>
  <c r="AK81" i="3"/>
  <c r="AK80" i="3"/>
  <c r="I68" i="38"/>
  <c r="I69" i="38" s="1"/>
  <c r="I56" i="38"/>
  <c r="J33" i="38"/>
  <c r="J36" i="38"/>
  <c r="K21" i="38"/>
  <c r="K26" i="38"/>
  <c r="K25" i="38"/>
  <c r="L20" i="38"/>
  <c r="K21" i="80" l="1"/>
  <c r="K21" i="59"/>
  <c r="K21" i="60"/>
  <c r="K32" i="80"/>
  <c r="K32" i="59"/>
  <c r="K32" i="60"/>
  <c r="J35" i="80"/>
  <c r="J35" i="59"/>
  <c r="J35" i="60"/>
  <c r="K22" i="59"/>
  <c r="K22" i="60"/>
  <c r="K22" i="80"/>
  <c r="L20" i="59"/>
  <c r="L20" i="80"/>
  <c r="L20" i="60"/>
  <c r="J33" i="80"/>
  <c r="J33" i="59"/>
  <c r="J33" i="60"/>
  <c r="J34" i="80"/>
  <c r="J34" i="59"/>
  <c r="J34" i="60"/>
  <c r="K23" i="80"/>
  <c r="K23" i="59"/>
  <c r="K23" i="60"/>
  <c r="K32" i="79"/>
  <c r="K21" i="79"/>
  <c r="K22" i="79"/>
  <c r="J35" i="79"/>
  <c r="K23" i="79"/>
  <c r="L20" i="79"/>
  <c r="J33" i="79"/>
  <c r="J34" i="79"/>
  <c r="L32" i="38"/>
  <c r="L23" i="38"/>
  <c r="L22" i="38"/>
  <c r="K55" i="38"/>
  <c r="K35" i="38"/>
  <c r="K34" i="38"/>
  <c r="K38" i="38"/>
  <c r="K37" i="38"/>
  <c r="AK71" i="3"/>
  <c r="AL86" i="3"/>
  <c r="AL85" i="3"/>
  <c r="AL84" i="3"/>
  <c r="AL83" i="3"/>
  <c r="AL82" i="3"/>
  <c r="AL81" i="3"/>
  <c r="AL75" i="3"/>
  <c r="AL70" i="3"/>
  <c r="AL74" i="3"/>
  <c r="AL87" i="3"/>
  <c r="AL77" i="3"/>
  <c r="AL73" i="3"/>
  <c r="AL80" i="3"/>
  <c r="AL69" i="3"/>
  <c r="AL88" i="3"/>
  <c r="AL72" i="3"/>
  <c r="AL76" i="3"/>
  <c r="J56" i="38"/>
  <c r="J68" i="38"/>
  <c r="J69" i="38" s="1"/>
  <c r="K33" i="38"/>
  <c r="K36" i="38"/>
  <c r="L21" i="38"/>
  <c r="L26" i="38"/>
  <c r="L25" i="38"/>
  <c r="I57" i="38"/>
  <c r="M20" i="38"/>
  <c r="M20" i="59" l="1"/>
  <c r="M20" i="80"/>
  <c r="M20" i="60"/>
  <c r="L21" i="80"/>
  <c r="L21" i="60"/>
  <c r="L21" i="59"/>
  <c r="L22" i="80"/>
  <c r="L22" i="59"/>
  <c r="L22" i="60"/>
  <c r="K34" i="80"/>
  <c r="K34" i="59"/>
  <c r="K34" i="60"/>
  <c r="L23" i="80"/>
  <c r="L23" i="60"/>
  <c r="L23" i="59"/>
  <c r="K33" i="80"/>
  <c r="K33" i="59"/>
  <c r="K33" i="60"/>
  <c r="K35" i="80"/>
  <c r="K35" i="59"/>
  <c r="K35" i="60"/>
  <c r="L32" i="80"/>
  <c r="L32" i="59"/>
  <c r="L32" i="60"/>
  <c r="M20" i="79"/>
  <c r="L21" i="79"/>
  <c r="L23" i="79"/>
  <c r="L22" i="79"/>
  <c r="K34" i="79"/>
  <c r="L32" i="79"/>
  <c r="K33" i="79"/>
  <c r="K35" i="79"/>
  <c r="M32" i="38"/>
  <c r="M23" i="38"/>
  <c r="M22" i="38"/>
  <c r="L55" i="38"/>
  <c r="L35" i="38"/>
  <c r="L34" i="38"/>
  <c r="L37" i="38"/>
  <c r="L38" i="38"/>
  <c r="AM88" i="3"/>
  <c r="AM87" i="3"/>
  <c r="AM86" i="3"/>
  <c r="AM82" i="3"/>
  <c r="AM70" i="3"/>
  <c r="AM74" i="3"/>
  <c r="AM80" i="3"/>
  <c r="AM77" i="3"/>
  <c r="AM73" i="3"/>
  <c r="AM69" i="3"/>
  <c r="AM81" i="3"/>
  <c r="AM76" i="3"/>
  <c r="AM72" i="3"/>
  <c r="AM83" i="3"/>
  <c r="AM85" i="3"/>
  <c r="AM75" i="3"/>
  <c r="AM84" i="3"/>
  <c r="AL71" i="3"/>
  <c r="K68" i="38"/>
  <c r="K69" i="38" s="1"/>
  <c r="L33" i="38"/>
  <c r="L36" i="38"/>
  <c r="M21" i="38"/>
  <c r="M26" i="38"/>
  <c r="M25" i="38"/>
  <c r="J57" i="38"/>
  <c r="K56" i="38"/>
  <c r="N20" i="38"/>
  <c r="N20" i="80" l="1"/>
  <c r="N20" i="59"/>
  <c r="N20" i="60"/>
  <c r="M22" i="59"/>
  <c r="M22" i="80"/>
  <c r="M22" i="60"/>
  <c r="L34" i="80"/>
  <c r="L34" i="59"/>
  <c r="L34" i="60"/>
  <c r="M23" i="59"/>
  <c r="M23" i="80"/>
  <c r="M23" i="60"/>
  <c r="L33" i="80"/>
  <c r="L33" i="60"/>
  <c r="L33" i="59"/>
  <c r="M21" i="59"/>
  <c r="M21" i="60"/>
  <c r="M21" i="80"/>
  <c r="L35" i="80"/>
  <c r="L35" i="60"/>
  <c r="L35" i="59"/>
  <c r="M32" i="80"/>
  <c r="M32" i="59"/>
  <c r="M32" i="60"/>
  <c r="L33" i="79"/>
  <c r="N20" i="79"/>
  <c r="M23" i="79"/>
  <c r="M22" i="79"/>
  <c r="L34" i="79"/>
  <c r="M32" i="79"/>
  <c r="M21" i="79"/>
  <c r="L35" i="79"/>
  <c r="N32" i="38"/>
  <c r="N22" i="38"/>
  <c r="N23" i="38"/>
  <c r="M55" i="38"/>
  <c r="M34" i="38"/>
  <c r="M35" i="38"/>
  <c r="M38" i="38"/>
  <c r="M37" i="38"/>
  <c r="AM71" i="3"/>
  <c r="AN88" i="3"/>
  <c r="AN87" i="3"/>
  <c r="AN86" i="3"/>
  <c r="AN85" i="3"/>
  <c r="AN81" i="3"/>
  <c r="AN80" i="3"/>
  <c r="AN69" i="3"/>
  <c r="AN77" i="3"/>
  <c r="AN73" i="3"/>
  <c r="AN76" i="3"/>
  <c r="AN72" i="3"/>
  <c r="AN84" i="3"/>
  <c r="AN83" i="3"/>
  <c r="AN82" i="3"/>
  <c r="AN75" i="3"/>
  <c r="AN70" i="3"/>
  <c r="AN74" i="3"/>
  <c r="M33" i="38"/>
  <c r="M36" i="38"/>
  <c r="L68" i="38"/>
  <c r="L69" i="38" s="1"/>
  <c r="L56" i="38"/>
  <c r="N21" i="38"/>
  <c r="N26" i="38"/>
  <c r="N25" i="38"/>
  <c r="K57" i="38"/>
  <c r="O20" i="38"/>
  <c r="O20" i="80" l="1"/>
  <c r="O20" i="60"/>
  <c r="O20" i="59"/>
  <c r="N21" i="80"/>
  <c r="N21" i="59"/>
  <c r="N21" i="60"/>
  <c r="M33" i="80"/>
  <c r="M33" i="59"/>
  <c r="M33" i="60"/>
  <c r="N23" i="80"/>
  <c r="N23" i="59"/>
  <c r="N23" i="60"/>
  <c r="M35" i="80"/>
  <c r="M35" i="59"/>
  <c r="M35" i="60"/>
  <c r="N22" i="59"/>
  <c r="N22" i="80"/>
  <c r="N22" i="60"/>
  <c r="M34" i="80"/>
  <c r="M34" i="59"/>
  <c r="M34" i="60"/>
  <c r="N32" i="80"/>
  <c r="N32" i="59"/>
  <c r="N32" i="60"/>
  <c r="O20" i="79"/>
  <c r="N21" i="79"/>
  <c r="M33" i="79"/>
  <c r="N22" i="79"/>
  <c r="N23" i="79"/>
  <c r="M35" i="79"/>
  <c r="N32" i="79"/>
  <c r="M34" i="79"/>
  <c r="O32" i="38"/>
  <c r="O23" i="38"/>
  <c r="O22" i="38"/>
  <c r="N37" i="38"/>
  <c r="N55" i="38"/>
  <c r="N35" i="38"/>
  <c r="N34" i="38"/>
  <c r="N38" i="38"/>
  <c r="AO88" i="3"/>
  <c r="AO84" i="3"/>
  <c r="AO77" i="3"/>
  <c r="AO76" i="3"/>
  <c r="AO75" i="3"/>
  <c r="AO74" i="3"/>
  <c r="AO73" i="3"/>
  <c r="AO72" i="3"/>
  <c r="AO86" i="3"/>
  <c r="AO80" i="3"/>
  <c r="AO69" i="3"/>
  <c r="AO87" i="3"/>
  <c r="AO83" i="3"/>
  <c r="AO82" i="3"/>
  <c r="AO81" i="3"/>
  <c r="AO85" i="3"/>
  <c r="AO70" i="3"/>
  <c r="AN71" i="3"/>
  <c r="N33" i="38"/>
  <c r="N36" i="38"/>
  <c r="M68" i="38"/>
  <c r="M69" i="38" s="1"/>
  <c r="O21" i="38"/>
  <c r="O26" i="38"/>
  <c r="O25" i="38"/>
  <c r="M56" i="38"/>
  <c r="L57" i="38"/>
  <c r="P20" i="38"/>
  <c r="N33" i="80" l="1"/>
  <c r="N33" i="59"/>
  <c r="N33" i="60"/>
  <c r="N34" i="80"/>
  <c r="N34" i="59"/>
  <c r="N34" i="60"/>
  <c r="O22" i="59"/>
  <c r="O22" i="80"/>
  <c r="O22" i="60"/>
  <c r="P20" i="59"/>
  <c r="P20" i="80"/>
  <c r="P20" i="60"/>
  <c r="O23" i="80"/>
  <c r="O23" i="59"/>
  <c r="O23" i="60"/>
  <c r="O21" i="80"/>
  <c r="O21" i="59"/>
  <c r="O21" i="60"/>
  <c r="N35" i="80"/>
  <c r="N35" i="60"/>
  <c r="N35" i="59"/>
  <c r="O32" i="80"/>
  <c r="O32" i="60"/>
  <c r="O32" i="59"/>
  <c r="N33" i="79"/>
  <c r="N34" i="79"/>
  <c r="O23" i="79"/>
  <c r="O21" i="79"/>
  <c r="N35" i="79"/>
  <c r="O32" i="79"/>
  <c r="O22" i="79"/>
  <c r="P20" i="79"/>
  <c r="P32" i="38"/>
  <c r="P23" i="38"/>
  <c r="P22" i="38"/>
  <c r="O35" i="38"/>
  <c r="O34" i="38"/>
  <c r="O38" i="38"/>
  <c r="O37" i="38"/>
  <c r="AO71" i="3"/>
  <c r="AP87" i="3"/>
  <c r="AP85" i="3"/>
  <c r="AP84" i="3"/>
  <c r="AP83" i="3"/>
  <c r="AP82" i="3"/>
  <c r="AP81" i="3"/>
  <c r="AP76" i="3"/>
  <c r="AP72" i="3"/>
  <c r="AP75" i="3"/>
  <c r="AP70" i="3"/>
  <c r="AP88" i="3"/>
  <c r="AP74" i="3"/>
  <c r="AP73" i="3"/>
  <c r="AP69" i="3"/>
  <c r="AP86" i="3"/>
  <c r="AP80" i="3"/>
  <c r="AP77" i="3"/>
  <c r="O33" i="38"/>
  <c r="O36" i="38"/>
  <c r="O55" i="38"/>
  <c r="N68" i="38"/>
  <c r="N69" i="38" s="1"/>
  <c r="P21" i="38"/>
  <c r="P26" i="38"/>
  <c r="P25" i="38"/>
  <c r="N56" i="38"/>
  <c r="M57" i="38"/>
  <c r="Q20" i="38"/>
  <c r="Q20" i="59" l="1"/>
  <c r="Q20" i="80"/>
  <c r="Q20" i="60"/>
  <c r="P22" i="80"/>
  <c r="P22" i="60"/>
  <c r="P22" i="59"/>
  <c r="O35" i="80"/>
  <c r="O35" i="59"/>
  <c r="O35" i="60"/>
  <c r="P23" i="80"/>
  <c r="P23" i="59"/>
  <c r="P23" i="60"/>
  <c r="P21" i="80"/>
  <c r="P21" i="59"/>
  <c r="P21" i="60"/>
  <c r="O33" i="80"/>
  <c r="O33" i="59"/>
  <c r="O33" i="60"/>
  <c r="O34" i="80"/>
  <c r="O34" i="59"/>
  <c r="O34" i="60"/>
  <c r="P32" i="80"/>
  <c r="P32" i="59"/>
  <c r="P32" i="60"/>
  <c r="O35" i="79"/>
  <c r="P21" i="79"/>
  <c r="P22" i="79"/>
  <c r="O33" i="79"/>
  <c r="P23" i="79"/>
  <c r="Q20" i="79"/>
  <c r="O34" i="79"/>
  <c r="P32" i="79"/>
  <c r="Q32" i="38"/>
  <c r="Q23" i="38"/>
  <c r="Q22" i="38"/>
  <c r="P55" i="38"/>
  <c r="AP71" i="3"/>
  <c r="P35" i="38"/>
  <c r="P34" i="38"/>
  <c r="P37" i="38"/>
  <c r="P38" i="38"/>
  <c r="AQ88" i="3"/>
  <c r="AQ87" i="3"/>
  <c r="AQ86" i="3"/>
  <c r="AQ83" i="3"/>
  <c r="AQ70" i="3"/>
  <c r="AQ82" i="3"/>
  <c r="AQ81" i="3"/>
  <c r="AQ75" i="3"/>
  <c r="AQ85" i="3"/>
  <c r="AQ84" i="3"/>
  <c r="AQ74" i="3"/>
  <c r="AQ80" i="3"/>
  <c r="AQ77" i="3"/>
  <c r="AQ73" i="3"/>
  <c r="AQ76" i="3"/>
  <c r="AQ72" i="3"/>
  <c r="AQ69" i="3"/>
  <c r="Q21" i="38"/>
  <c r="P33" i="38"/>
  <c r="P36" i="38"/>
  <c r="O56" i="38"/>
  <c r="O68" i="38"/>
  <c r="O69" i="38" s="1"/>
  <c r="R20" i="38"/>
  <c r="Q26" i="38"/>
  <c r="Q25" i="38"/>
  <c r="N57" i="38"/>
  <c r="R20" i="80" l="1"/>
  <c r="R20" i="59"/>
  <c r="R20" i="60"/>
  <c r="Q21" i="59"/>
  <c r="Q21" i="80"/>
  <c r="Q21" i="60"/>
  <c r="P34" i="80"/>
  <c r="P34" i="59"/>
  <c r="P34" i="60"/>
  <c r="Q22" i="59"/>
  <c r="Q22" i="80"/>
  <c r="Q22" i="60"/>
  <c r="P33" i="80"/>
  <c r="P33" i="59"/>
  <c r="P33" i="60"/>
  <c r="P35" i="60"/>
  <c r="P35" i="59"/>
  <c r="P35" i="80"/>
  <c r="Q23" i="59"/>
  <c r="Q23" i="60"/>
  <c r="Q23" i="80"/>
  <c r="Q32" i="80"/>
  <c r="Q32" i="59"/>
  <c r="Q32" i="60"/>
  <c r="R20" i="79"/>
  <c r="P33" i="79"/>
  <c r="Q22" i="79"/>
  <c r="Q21" i="79"/>
  <c r="P34" i="79"/>
  <c r="Q23" i="79"/>
  <c r="P35" i="79"/>
  <c r="Q32" i="79"/>
  <c r="R32" i="38"/>
  <c r="R22" i="38"/>
  <c r="R23" i="38"/>
  <c r="Q55" i="38"/>
  <c r="Q35" i="38"/>
  <c r="Q34" i="38"/>
  <c r="Q38" i="38"/>
  <c r="Q37" i="38"/>
  <c r="AQ71" i="3"/>
  <c r="AR86" i="3"/>
  <c r="AR82" i="3"/>
  <c r="AR80" i="3"/>
  <c r="AR69" i="3"/>
  <c r="AR87" i="3"/>
  <c r="AR85" i="3"/>
  <c r="AR84" i="3"/>
  <c r="AR83" i="3"/>
  <c r="AR74" i="3"/>
  <c r="AR70" i="3"/>
  <c r="AR88" i="3"/>
  <c r="AR77" i="3"/>
  <c r="AR73" i="3"/>
  <c r="AR76" i="3"/>
  <c r="AR72" i="3"/>
  <c r="AR81" i="3"/>
  <c r="AR75" i="3"/>
  <c r="P56" i="38"/>
  <c r="P68" i="38"/>
  <c r="P69" i="38" s="1"/>
  <c r="Q33" i="38"/>
  <c r="Q36" i="38"/>
  <c r="R21" i="38"/>
  <c r="R26" i="38"/>
  <c r="R25" i="38"/>
  <c r="O57" i="38"/>
  <c r="S20" i="38"/>
  <c r="S20" i="80" l="1"/>
  <c r="S20" i="60"/>
  <c r="S20" i="59"/>
  <c r="R21" i="80"/>
  <c r="R21" i="59"/>
  <c r="R21" i="60"/>
  <c r="R23" i="80"/>
  <c r="R23" i="59"/>
  <c r="R23" i="60"/>
  <c r="Q34" i="80"/>
  <c r="Q34" i="59"/>
  <c r="Q34" i="60"/>
  <c r="R22" i="59"/>
  <c r="R22" i="80"/>
  <c r="R22" i="60"/>
  <c r="Q33" i="80"/>
  <c r="Q33" i="59"/>
  <c r="Q33" i="60"/>
  <c r="Q35" i="80"/>
  <c r="Q35" i="59"/>
  <c r="Q35" i="60"/>
  <c r="R32" i="80"/>
  <c r="R32" i="59"/>
  <c r="R32" i="60"/>
  <c r="R23" i="79"/>
  <c r="S20" i="79"/>
  <c r="R21" i="79"/>
  <c r="R22" i="79"/>
  <c r="Q34" i="79"/>
  <c r="R32" i="79"/>
  <c r="Q33" i="79"/>
  <c r="Q35" i="79"/>
  <c r="S32" i="38"/>
  <c r="S23" i="38"/>
  <c r="S22" i="38"/>
  <c r="R55" i="38"/>
  <c r="R34" i="38"/>
  <c r="R35" i="38"/>
  <c r="R38" i="38"/>
  <c r="R37" i="38"/>
  <c r="AS85" i="3"/>
  <c r="AS81" i="3"/>
  <c r="AS77" i="3"/>
  <c r="AS76" i="3"/>
  <c r="AS75" i="3"/>
  <c r="AS74" i="3"/>
  <c r="AS73" i="3"/>
  <c r="AS72" i="3"/>
  <c r="AS88" i="3"/>
  <c r="AS80" i="3"/>
  <c r="AS69" i="3"/>
  <c r="AS86" i="3"/>
  <c r="AS82" i="3"/>
  <c r="AS84" i="3"/>
  <c r="AS83" i="3"/>
  <c r="AS87" i="3"/>
  <c r="AS70" i="3"/>
  <c r="AR71" i="3"/>
  <c r="Q56" i="38"/>
  <c r="Q68" i="38"/>
  <c r="Q69" i="38" s="1"/>
  <c r="R33" i="38"/>
  <c r="R36" i="38"/>
  <c r="S21" i="38"/>
  <c r="S26" i="38"/>
  <c r="S25" i="38"/>
  <c r="P57" i="38"/>
  <c r="T20" i="38"/>
  <c r="T20" i="59" l="1"/>
  <c r="T20" i="80"/>
  <c r="T20" i="60"/>
  <c r="S21" i="80"/>
  <c r="S21" i="59"/>
  <c r="S21" i="60"/>
  <c r="S22" i="59"/>
  <c r="S22" i="60"/>
  <c r="S22" i="80"/>
  <c r="R35" i="80"/>
  <c r="R35" i="59"/>
  <c r="R35" i="60"/>
  <c r="S23" i="80"/>
  <c r="S23" i="59"/>
  <c r="S23" i="60"/>
  <c r="R33" i="80"/>
  <c r="R33" i="59"/>
  <c r="R33" i="60"/>
  <c r="R34" i="80"/>
  <c r="R34" i="59"/>
  <c r="R34" i="60"/>
  <c r="S32" i="59"/>
  <c r="S32" i="60"/>
  <c r="S32" i="80"/>
  <c r="S32" i="79"/>
  <c r="S22" i="79"/>
  <c r="R33" i="79"/>
  <c r="R34" i="79"/>
  <c r="T20" i="79"/>
  <c r="S21" i="79"/>
  <c r="S23" i="79"/>
  <c r="R35" i="79"/>
  <c r="T32" i="38"/>
  <c r="T23" i="38"/>
  <c r="T22" i="38"/>
  <c r="S55" i="38"/>
  <c r="S35" i="38"/>
  <c r="S34" i="38"/>
  <c r="S38" i="38"/>
  <c r="S37" i="38"/>
  <c r="AS71" i="3"/>
  <c r="AT88" i="3"/>
  <c r="AT85" i="3"/>
  <c r="AT84" i="3"/>
  <c r="AT83" i="3"/>
  <c r="AT82" i="3"/>
  <c r="AT81" i="3"/>
  <c r="AT87" i="3"/>
  <c r="AT86" i="3"/>
  <c r="AT80" i="3"/>
  <c r="AT77" i="3"/>
  <c r="AT73" i="3"/>
  <c r="AT69" i="3"/>
  <c r="AT76" i="3"/>
  <c r="AT72" i="3"/>
  <c r="AT70" i="3"/>
  <c r="AT75" i="3"/>
  <c r="AT74" i="3"/>
  <c r="R68" i="38"/>
  <c r="R69" i="38" s="1"/>
  <c r="R56" i="38"/>
  <c r="S33" i="38"/>
  <c r="S36" i="38"/>
  <c r="T21" i="38"/>
  <c r="T26" i="38"/>
  <c r="T25" i="38"/>
  <c r="Q57" i="38"/>
  <c r="U20" i="38"/>
  <c r="U20" i="59" l="1"/>
  <c r="U20" i="80"/>
  <c r="U20" i="60"/>
  <c r="T21" i="80"/>
  <c r="T21" i="59"/>
  <c r="T21" i="60"/>
  <c r="T22" i="80"/>
  <c r="T22" i="60"/>
  <c r="T22" i="59"/>
  <c r="S34" i="80"/>
  <c r="S34" i="60"/>
  <c r="S34" i="59"/>
  <c r="T23" i="80"/>
  <c r="T23" i="59"/>
  <c r="T23" i="60"/>
  <c r="S33" i="59"/>
  <c r="S33" i="80"/>
  <c r="S33" i="60"/>
  <c r="S35" i="80"/>
  <c r="S35" i="59"/>
  <c r="S35" i="60"/>
  <c r="T32" i="80"/>
  <c r="T32" i="59"/>
  <c r="T32" i="60"/>
  <c r="T22" i="79"/>
  <c r="S33" i="79"/>
  <c r="U20" i="79"/>
  <c r="T23" i="79"/>
  <c r="T21" i="79"/>
  <c r="S34" i="79"/>
  <c r="T32" i="79"/>
  <c r="S35" i="79"/>
  <c r="U32" i="38"/>
  <c r="U23" i="38"/>
  <c r="U22" i="38"/>
  <c r="T35" i="38"/>
  <c r="T34" i="38"/>
  <c r="T38" i="38"/>
  <c r="T37" i="38"/>
  <c r="AU88" i="3"/>
  <c r="AU87" i="3"/>
  <c r="AU86" i="3"/>
  <c r="AU84" i="3"/>
  <c r="AU70" i="3"/>
  <c r="AU76" i="3"/>
  <c r="AU72" i="3"/>
  <c r="AU75" i="3"/>
  <c r="AU82" i="3"/>
  <c r="AU74" i="3"/>
  <c r="AU83" i="3"/>
  <c r="AU81" i="3"/>
  <c r="AU80" i="3"/>
  <c r="AU77" i="3"/>
  <c r="AU69" i="3"/>
  <c r="AU85" i="3"/>
  <c r="AU73" i="3"/>
  <c r="AT71" i="3"/>
  <c r="T33" i="38"/>
  <c r="T36" i="38"/>
  <c r="T55" i="38"/>
  <c r="S56" i="38"/>
  <c r="S68" i="38"/>
  <c r="S69" i="38" s="1"/>
  <c r="U21" i="38"/>
  <c r="U26" i="38"/>
  <c r="U25" i="38"/>
  <c r="R57" i="38"/>
  <c r="V20" i="38"/>
  <c r="T35" i="80" l="1"/>
  <c r="T35" i="59"/>
  <c r="T35" i="60"/>
  <c r="V20" i="80"/>
  <c r="V20" i="59"/>
  <c r="V20" i="60"/>
  <c r="U21" i="59"/>
  <c r="U21" i="80"/>
  <c r="U21" i="60"/>
  <c r="U22" i="59"/>
  <c r="U22" i="80"/>
  <c r="U22" i="60"/>
  <c r="T33" i="80"/>
  <c r="T33" i="60"/>
  <c r="T33" i="59"/>
  <c r="U23" i="59"/>
  <c r="U23" i="80"/>
  <c r="U23" i="60"/>
  <c r="T34" i="80"/>
  <c r="T34" i="59"/>
  <c r="T34" i="60"/>
  <c r="U32" i="80"/>
  <c r="U32" i="59"/>
  <c r="U32" i="60"/>
  <c r="V20" i="79"/>
  <c r="U21" i="79"/>
  <c r="T35" i="79"/>
  <c r="U22" i="79"/>
  <c r="U23" i="79"/>
  <c r="T33" i="79"/>
  <c r="T34" i="79"/>
  <c r="U32" i="79"/>
  <c r="V32" i="38"/>
  <c r="V22" i="38"/>
  <c r="V23" i="38"/>
  <c r="U55" i="38"/>
  <c r="U35" i="38"/>
  <c r="U34" i="38"/>
  <c r="U37" i="38"/>
  <c r="U38" i="38"/>
  <c r="AU71" i="3"/>
  <c r="AV87" i="3"/>
  <c r="AV88" i="3"/>
  <c r="AV83" i="3"/>
  <c r="AV80" i="3"/>
  <c r="AV69" i="3"/>
  <c r="AV75" i="3"/>
  <c r="AV86" i="3"/>
  <c r="AV82" i="3"/>
  <c r="AV81" i="3"/>
  <c r="AV74" i="3"/>
  <c r="AV70" i="3"/>
  <c r="AV85" i="3"/>
  <c r="AV84" i="3"/>
  <c r="AV77" i="3"/>
  <c r="AV73" i="3"/>
  <c r="AV72" i="3"/>
  <c r="AV76" i="3"/>
  <c r="U33" i="38"/>
  <c r="U36" i="38"/>
  <c r="T56" i="38"/>
  <c r="T68" i="38"/>
  <c r="T69" i="38" s="1"/>
  <c r="V21" i="38"/>
  <c r="V26" i="38"/>
  <c r="V25" i="38"/>
  <c r="S57" i="38"/>
  <c r="W20" i="38"/>
  <c r="V21" i="80" l="1"/>
  <c r="V21" i="59"/>
  <c r="V21" i="60"/>
  <c r="U33" i="80"/>
  <c r="U33" i="59"/>
  <c r="U33" i="60"/>
  <c r="V23" i="80"/>
  <c r="V23" i="59"/>
  <c r="V23" i="60"/>
  <c r="U34" i="80"/>
  <c r="U34" i="59"/>
  <c r="U34" i="60"/>
  <c r="V22" i="59"/>
  <c r="V22" i="80"/>
  <c r="V22" i="60"/>
  <c r="W20" i="80"/>
  <c r="W20" i="59"/>
  <c r="W20" i="60"/>
  <c r="U35" i="80"/>
  <c r="U35" i="59"/>
  <c r="U35" i="60"/>
  <c r="V32" i="80"/>
  <c r="V32" i="59"/>
  <c r="V32" i="60"/>
  <c r="U35" i="79"/>
  <c r="V23" i="79"/>
  <c r="V21" i="79"/>
  <c r="U33" i="79"/>
  <c r="V22" i="79"/>
  <c r="W20" i="79"/>
  <c r="U34" i="79"/>
  <c r="V32" i="79"/>
  <c r="W32" i="38"/>
  <c r="W23" i="38"/>
  <c r="W22" i="38"/>
  <c r="V55" i="38"/>
  <c r="V34" i="38"/>
  <c r="V35" i="38"/>
  <c r="V38" i="38"/>
  <c r="V37" i="38"/>
  <c r="AV71" i="3"/>
  <c r="AW86" i="3"/>
  <c r="AW82" i="3"/>
  <c r="AW77" i="3"/>
  <c r="AW76" i="3"/>
  <c r="AW75" i="3"/>
  <c r="AW74" i="3"/>
  <c r="AW73" i="3"/>
  <c r="AW72" i="3"/>
  <c r="AW81" i="3"/>
  <c r="AW70" i="3"/>
  <c r="AW85" i="3"/>
  <c r="AW84" i="3"/>
  <c r="AW83" i="3"/>
  <c r="AW87" i="3"/>
  <c r="AW80" i="3"/>
  <c r="AW69" i="3"/>
  <c r="AW88" i="3"/>
  <c r="V33" i="38"/>
  <c r="V36" i="38"/>
  <c r="U68" i="38"/>
  <c r="U69" i="38" s="1"/>
  <c r="U56" i="38"/>
  <c r="W21" i="38"/>
  <c r="W26" i="38"/>
  <c r="W25" i="38"/>
  <c r="T57" i="38"/>
  <c r="X20" i="38"/>
  <c r="X20" i="59" l="1"/>
  <c r="X20" i="80"/>
  <c r="X20" i="60"/>
  <c r="W21" i="80"/>
  <c r="W21" i="59"/>
  <c r="W21" i="60"/>
  <c r="V33" i="80"/>
  <c r="V33" i="59"/>
  <c r="V33" i="60"/>
  <c r="W22" i="59"/>
  <c r="W22" i="60"/>
  <c r="W22" i="80"/>
  <c r="V35" i="80"/>
  <c r="V35" i="60"/>
  <c r="V35" i="59"/>
  <c r="W23" i="80"/>
  <c r="W23" i="59"/>
  <c r="W23" i="60"/>
  <c r="V34" i="80"/>
  <c r="V34" i="59"/>
  <c r="V34" i="60"/>
  <c r="W32" i="80"/>
  <c r="W32" i="59"/>
  <c r="W32" i="60"/>
  <c r="W22" i="79"/>
  <c r="W21" i="79"/>
  <c r="W23" i="79"/>
  <c r="X20" i="79"/>
  <c r="V33" i="79"/>
  <c r="V35" i="79"/>
  <c r="W32" i="79"/>
  <c r="V34" i="79"/>
  <c r="X32" i="38"/>
  <c r="X23" i="38"/>
  <c r="X22" i="38"/>
  <c r="W35" i="38"/>
  <c r="W34" i="38"/>
  <c r="W37" i="38"/>
  <c r="W38" i="38"/>
  <c r="AX85" i="3"/>
  <c r="AX84" i="3"/>
  <c r="AX83" i="3"/>
  <c r="AX82" i="3"/>
  <c r="AX81" i="3"/>
  <c r="AX86" i="3"/>
  <c r="AX74" i="3"/>
  <c r="AX87" i="3"/>
  <c r="AX80" i="3"/>
  <c r="AX77" i="3"/>
  <c r="AX73" i="3"/>
  <c r="AX69" i="3"/>
  <c r="AX88" i="3"/>
  <c r="AX76" i="3"/>
  <c r="AX72" i="3"/>
  <c r="AX75" i="3"/>
  <c r="AX70" i="3"/>
  <c r="AW71" i="3"/>
  <c r="W33" i="38"/>
  <c r="W36" i="38"/>
  <c r="W55" i="38"/>
  <c r="V56" i="38"/>
  <c r="V68" i="38"/>
  <c r="V69" i="38" s="1"/>
  <c r="X21" i="38"/>
  <c r="X26" i="38"/>
  <c r="Y26" i="38" s="1"/>
  <c r="C26" i="38" s="1"/>
  <c r="X25" i="38"/>
  <c r="U57" i="38"/>
  <c r="X21" i="80" l="1"/>
  <c r="X21" i="60"/>
  <c r="X21" i="59"/>
  <c r="X22" i="80"/>
  <c r="X22" i="59"/>
  <c r="X22" i="60"/>
  <c r="X23" i="80"/>
  <c r="X23" i="60"/>
  <c r="X23" i="59"/>
  <c r="W35" i="80"/>
  <c r="W35" i="59"/>
  <c r="W35" i="60"/>
  <c r="W33" i="80"/>
  <c r="W33" i="60"/>
  <c r="W33" i="59"/>
  <c r="W34" i="60"/>
  <c r="W34" i="59"/>
  <c r="W34" i="80"/>
  <c r="X32" i="80"/>
  <c r="X32" i="59"/>
  <c r="X32" i="60"/>
  <c r="W35" i="79"/>
  <c r="X21" i="79"/>
  <c r="X22" i="79"/>
  <c r="W33" i="79"/>
  <c r="X23" i="79"/>
  <c r="W34" i="79"/>
  <c r="X32" i="79"/>
  <c r="AD23" i="38"/>
  <c r="AE23" i="38"/>
  <c r="AE22" i="38"/>
  <c r="AD22" i="38"/>
  <c r="Y23" i="38"/>
  <c r="Y22" i="38"/>
  <c r="X35" i="38"/>
  <c r="X34" i="38"/>
  <c r="X37" i="38"/>
  <c r="X38" i="38"/>
  <c r="AX71" i="3"/>
  <c r="AY88" i="3"/>
  <c r="AY87" i="3"/>
  <c r="AY86" i="3"/>
  <c r="AY85" i="3"/>
  <c r="AY81" i="3"/>
  <c r="AY70" i="3"/>
  <c r="AY84" i="3"/>
  <c r="AY83" i="3"/>
  <c r="AY82" i="3"/>
  <c r="AY80" i="3"/>
  <c r="AY77" i="3"/>
  <c r="AY73" i="3"/>
  <c r="AY69" i="3"/>
  <c r="AY76" i="3"/>
  <c r="AY72" i="3"/>
  <c r="AY75" i="3"/>
  <c r="AY74" i="3"/>
  <c r="X55" i="38"/>
  <c r="C39" i="38"/>
  <c r="D65" i="38" s="1"/>
  <c r="W68" i="38"/>
  <c r="W69" i="38" s="1"/>
  <c r="W56" i="38"/>
  <c r="X36" i="38"/>
  <c r="X33" i="38"/>
  <c r="Y25" i="38"/>
  <c r="V57" i="38"/>
  <c r="X34" i="80" l="1"/>
  <c r="X34" i="59"/>
  <c r="X34" i="60"/>
  <c r="AD22" i="79"/>
  <c r="AD22" i="59"/>
  <c r="AD22" i="60"/>
  <c r="AD22" i="80"/>
  <c r="X35" i="80"/>
  <c r="X35" i="59"/>
  <c r="X35" i="60"/>
  <c r="AE22" i="79"/>
  <c r="AE22" i="80"/>
  <c r="AE22" i="59"/>
  <c r="AE22" i="60"/>
  <c r="X33" i="80"/>
  <c r="X33" i="59"/>
  <c r="X33" i="60"/>
  <c r="Y22" i="59"/>
  <c r="Y22" i="80"/>
  <c r="Y22" i="60"/>
  <c r="AE23" i="60"/>
  <c r="AE23" i="80"/>
  <c r="AE23" i="79"/>
  <c r="AE23" i="59"/>
  <c r="Y23" i="59"/>
  <c r="Y23" i="80"/>
  <c r="Y23" i="60"/>
  <c r="AD23" i="59"/>
  <c r="AD23" i="80"/>
  <c r="AD23" i="60"/>
  <c r="AD23" i="79"/>
  <c r="N28" i="38"/>
  <c r="X34" i="79"/>
  <c r="Y23" i="79"/>
  <c r="X33" i="79"/>
  <c r="E39" i="38"/>
  <c r="AF11" i="38" s="1"/>
  <c r="X35" i="79"/>
  <c r="Y22" i="79"/>
  <c r="Y21" i="38"/>
  <c r="Z22" i="38"/>
  <c r="C23" i="38"/>
  <c r="Y37" i="38"/>
  <c r="Y68" i="38" s="1"/>
  <c r="Y69" i="38" s="1"/>
  <c r="Y38" i="38"/>
  <c r="AZ88" i="3"/>
  <c r="AZ84" i="3"/>
  <c r="AZ80" i="3"/>
  <c r="AZ69" i="3"/>
  <c r="AZ87" i="3"/>
  <c r="AZ85" i="3"/>
  <c r="AZ76" i="3"/>
  <c r="AZ72" i="3"/>
  <c r="AZ75" i="3"/>
  <c r="AZ74" i="3"/>
  <c r="AZ70" i="3"/>
  <c r="AZ81" i="3"/>
  <c r="AZ86" i="3"/>
  <c r="AZ83" i="3"/>
  <c r="AZ73" i="3"/>
  <c r="AZ82" i="3"/>
  <c r="AZ77" i="3"/>
  <c r="AY71" i="3"/>
  <c r="C75" i="19"/>
  <c r="B202" i="50" s="1"/>
  <c r="X68" i="38"/>
  <c r="X69" i="38" s="1"/>
  <c r="Y34" i="38"/>
  <c r="W57" i="38"/>
  <c r="Y20" i="38"/>
  <c r="Y35" i="38"/>
  <c r="I69" i="79" l="1"/>
  <c r="B178" i="80"/>
  <c r="B197" i="80"/>
  <c r="B169" i="80"/>
  <c r="B188" i="80"/>
  <c r="B197" i="79"/>
  <c r="B58" i="59"/>
  <c r="B58" i="60"/>
  <c r="B49" i="59"/>
  <c r="B49" i="60"/>
  <c r="B160" i="79"/>
  <c r="Y33" i="38"/>
  <c r="Y33" i="60" s="1"/>
  <c r="B157" i="80"/>
  <c r="B209" i="80"/>
  <c r="Y35" i="80"/>
  <c r="Y35" i="59"/>
  <c r="Y35" i="60"/>
  <c r="Y21" i="59"/>
  <c r="Y21" i="80"/>
  <c r="Y21" i="60"/>
  <c r="Y34" i="80"/>
  <c r="Y34" i="59"/>
  <c r="Y34" i="60"/>
  <c r="Z22" i="59"/>
  <c r="Z22" i="80"/>
  <c r="Z22" i="60"/>
  <c r="Y20" i="59"/>
  <c r="Y20" i="80"/>
  <c r="Y20" i="60"/>
  <c r="C23" i="80"/>
  <c r="C23" i="59"/>
  <c r="C23" i="60"/>
  <c r="B157" i="79"/>
  <c r="B77" i="60"/>
  <c r="B68" i="59"/>
  <c r="B68" i="60"/>
  <c r="B77" i="59"/>
  <c r="B40" i="60"/>
  <c r="S49" i="79"/>
  <c r="B89" i="59"/>
  <c r="AF11" i="59"/>
  <c r="AE77" i="60"/>
  <c r="O77" i="60"/>
  <c r="AB77" i="60"/>
  <c r="AD77" i="60"/>
  <c r="N77" i="60"/>
  <c r="AF77" i="60"/>
  <c r="AG77" i="60"/>
  <c r="Q77" i="60"/>
  <c r="AJ77" i="60"/>
  <c r="B89" i="60"/>
  <c r="B37" i="60"/>
  <c r="AA77" i="60"/>
  <c r="K77" i="60"/>
  <c r="L77" i="60"/>
  <c r="Z77" i="60"/>
  <c r="J77" i="60"/>
  <c r="T77" i="60"/>
  <c r="AC77" i="60"/>
  <c r="M77" i="60"/>
  <c r="X77" i="60"/>
  <c r="B45" i="79"/>
  <c r="N48" i="79"/>
  <c r="W77" i="60"/>
  <c r="G77" i="60"/>
  <c r="V77" i="60"/>
  <c r="F77" i="60"/>
  <c r="H77" i="60"/>
  <c r="Y77" i="60"/>
  <c r="I77" i="60"/>
  <c r="P77" i="60"/>
  <c r="B57" i="79"/>
  <c r="B116" i="79"/>
  <c r="AI77" i="60"/>
  <c r="S77" i="60"/>
  <c r="C77" i="60"/>
  <c r="AH77" i="60"/>
  <c r="R77" i="60"/>
  <c r="U77" i="60"/>
  <c r="E77" i="60"/>
  <c r="D77" i="60"/>
  <c r="B37" i="59"/>
  <c r="AF11" i="80"/>
  <c r="A72" i="38"/>
  <c r="A51" i="38"/>
  <c r="A59" i="79"/>
  <c r="A61" i="79"/>
  <c r="A52" i="79"/>
  <c r="Z48" i="79"/>
  <c r="N49" i="79"/>
  <c r="N50" i="79"/>
  <c r="A51" i="79"/>
  <c r="Z50" i="79"/>
  <c r="A60" i="79"/>
  <c r="A50" i="79"/>
  <c r="Z49" i="79"/>
  <c r="A62" i="79"/>
  <c r="N51" i="79"/>
  <c r="N52" i="79"/>
  <c r="A49" i="79"/>
  <c r="B52" i="79"/>
  <c r="D52" i="79"/>
  <c r="D53" i="79" s="1"/>
  <c r="C52" i="79"/>
  <c r="AF50" i="79"/>
  <c r="S50" i="79"/>
  <c r="B2" i="50"/>
  <c r="AF11" i="61"/>
  <c r="A53" i="38"/>
  <c r="Y34" i="79"/>
  <c r="T49" i="79" s="1"/>
  <c r="C23" i="79"/>
  <c r="Y35" i="79"/>
  <c r="T50" i="79" s="1"/>
  <c r="Y21" i="79"/>
  <c r="AA148" i="79"/>
  <c r="AA140" i="79"/>
  <c r="AA132" i="79"/>
  <c r="AA124" i="79"/>
  <c r="I148" i="79"/>
  <c r="I140" i="79"/>
  <c r="I132" i="79"/>
  <c r="I124" i="79"/>
  <c r="Z21" i="38"/>
  <c r="Z22" i="79"/>
  <c r="AA147" i="79"/>
  <c r="AA139" i="79"/>
  <c r="AA131" i="79"/>
  <c r="AA123" i="79"/>
  <c r="I147" i="79"/>
  <c r="I139" i="79"/>
  <c r="I131" i="79"/>
  <c r="I123" i="79"/>
  <c r="Y20" i="79"/>
  <c r="AC150" i="79"/>
  <c r="Q150" i="79"/>
  <c r="AC142" i="79"/>
  <c r="Q142" i="79"/>
  <c r="AC134" i="79"/>
  <c r="Q134" i="79"/>
  <c r="AC126" i="79"/>
  <c r="Q126" i="79"/>
  <c r="AI150" i="79"/>
  <c r="K150" i="79"/>
  <c r="AI142" i="79"/>
  <c r="K142" i="79"/>
  <c r="AI134" i="79"/>
  <c r="K134" i="79"/>
  <c r="AI126" i="79"/>
  <c r="K126" i="79"/>
  <c r="AF11" i="79"/>
  <c r="B138" i="79"/>
  <c r="T138" i="79"/>
  <c r="B130" i="79"/>
  <c r="T130" i="79"/>
  <c r="B146" i="79"/>
  <c r="B122" i="79"/>
  <c r="T122" i="79"/>
  <c r="T146" i="79"/>
  <c r="AH132" i="79"/>
  <c r="P132" i="79"/>
  <c r="P140" i="79"/>
  <c r="AH124" i="79"/>
  <c r="P124" i="79"/>
  <c r="AH148" i="79"/>
  <c r="P148" i="79"/>
  <c r="AH140" i="79"/>
  <c r="B14" i="61"/>
  <c r="B14" i="60"/>
  <c r="B14" i="59"/>
  <c r="J28" i="38"/>
  <c r="B194" i="50" s="1"/>
  <c r="F14" i="38"/>
  <c r="B209" i="50" s="1"/>
  <c r="AZ71" i="3"/>
  <c r="Y32" i="38"/>
  <c r="C21" i="38"/>
  <c r="C20" i="38"/>
  <c r="C35" i="38"/>
  <c r="C34" i="38"/>
  <c r="X56" i="38"/>
  <c r="X57" i="38" s="1"/>
  <c r="BA87" i="3"/>
  <c r="BA86" i="3"/>
  <c r="BA83" i="3"/>
  <c r="BA77" i="3"/>
  <c r="BA76" i="3"/>
  <c r="BA75" i="3"/>
  <c r="BA74" i="3"/>
  <c r="BA73" i="3"/>
  <c r="BA72" i="3"/>
  <c r="BA88" i="3"/>
  <c r="BA70" i="3"/>
  <c r="BA82" i="3"/>
  <c r="BA81" i="3"/>
  <c r="BA85" i="3"/>
  <c r="BA84" i="3"/>
  <c r="BA69" i="3"/>
  <c r="BA80" i="3"/>
  <c r="C37" i="38"/>
  <c r="C68" i="38" s="1"/>
  <c r="C69" i="38" s="1"/>
  <c r="C38" i="38"/>
  <c r="Z34" i="38"/>
  <c r="Z35" i="38"/>
  <c r="Z20" i="38"/>
  <c r="Y56" i="38"/>
  <c r="Y57" i="38" s="1"/>
  <c r="B195" i="50"/>
  <c r="M107" i="38"/>
  <c r="Y33" i="59" l="1"/>
  <c r="Y33" i="80"/>
  <c r="Y33" i="79"/>
  <c r="C33" i="38"/>
  <c r="C33" i="79" s="1"/>
  <c r="Z33" i="38"/>
  <c r="Z33" i="80" s="1"/>
  <c r="C21" i="80"/>
  <c r="C21" i="59"/>
  <c r="C21" i="60"/>
  <c r="C34" i="80"/>
  <c r="C34" i="60"/>
  <c r="C34" i="59"/>
  <c r="Y32" i="80"/>
  <c r="Y32" i="59"/>
  <c r="Y32" i="60"/>
  <c r="C35" i="80"/>
  <c r="C35" i="59"/>
  <c r="C35" i="60"/>
  <c r="C20" i="80"/>
  <c r="C20" i="60"/>
  <c r="C20" i="59"/>
  <c r="Z20" i="80"/>
  <c r="Z20" i="60"/>
  <c r="Z20" i="59"/>
  <c r="Z35" i="80"/>
  <c r="Z35" i="59"/>
  <c r="Z35" i="60"/>
  <c r="Z21" i="60"/>
  <c r="Z21" i="59"/>
  <c r="Z21" i="80"/>
  <c r="Z34" i="80"/>
  <c r="Z34" i="59"/>
  <c r="Z34" i="60"/>
  <c r="V50" i="79"/>
  <c r="V49" i="79"/>
  <c r="Z32" i="38"/>
  <c r="Z20" i="79"/>
  <c r="C34" i="79"/>
  <c r="Z21" i="79"/>
  <c r="Z35" i="79"/>
  <c r="AE50" i="79" s="1"/>
  <c r="C35" i="79"/>
  <c r="C21" i="79"/>
  <c r="J148" i="79"/>
  <c r="J140" i="79"/>
  <c r="J132" i="79"/>
  <c r="J124" i="79"/>
  <c r="AB148" i="79"/>
  <c r="AB140" i="79"/>
  <c r="AB132" i="79"/>
  <c r="AB124" i="79"/>
  <c r="Z34" i="79"/>
  <c r="AE49" i="79" s="1"/>
  <c r="C20" i="79"/>
  <c r="J147" i="79"/>
  <c r="J139" i="79"/>
  <c r="J131" i="79"/>
  <c r="J123" i="79"/>
  <c r="AB147" i="79"/>
  <c r="AB139" i="79"/>
  <c r="AB131" i="79"/>
  <c r="AB123" i="79"/>
  <c r="Y32" i="79"/>
  <c r="C32" i="38"/>
  <c r="C56" i="38"/>
  <c r="BB86" i="3"/>
  <c r="BB85" i="3"/>
  <c r="BB84" i="3"/>
  <c r="BB83" i="3"/>
  <c r="BB82" i="3"/>
  <c r="BB81" i="3"/>
  <c r="BB88" i="3"/>
  <c r="BB87" i="3"/>
  <c r="BB75" i="3"/>
  <c r="BB70" i="3"/>
  <c r="BB74" i="3"/>
  <c r="BB80" i="3"/>
  <c r="BB77" i="3"/>
  <c r="BB73" i="3"/>
  <c r="BB69" i="3"/>
  <c r="BB76" i="3"/>
  <c r="BB72" i="3"/>
  <c r="BA71" i="3"/>
  <c r="Z56" i="38"/>
  <c r="Z57" i="38" s="1"/>
  <c r="C33" i="80" l="1"/>
  <c r="C33" i="60"/>
  <c r="C33" i="59"/>
  <c r="Z33" i="79"/>
  <c r="Z33" i="60"/>
  <c r="Z33" i="59"/>
  <c r="C32" i="59"/>
  <c r="C32" i="80"/>
  <c r="C32" i="60"/>
  <c r="Z32" i="80"/>
  <c r="Z32" i="59"/>
  <c r="Z32" i="60"/>
  <c r="AD123" i="79"/>
  <c r="AD147" i="79"/>
  <c r="AH49" i="79"/>
  <c r="AH50" i="79"/>
  <c r="AD139" i="79"/>
  <c r="L124" i="79"/>
  <c r="L147" i="79"/>
  <c r="AD132" i="79"/>
  <c r="L139" i="79"/>
  <c r="L132" i="79"/>
  <c r="C32" i="79"/>
  <c r="L123" i="79"/>
  <c r="AD148" i="79"/>
  <c r="L140" i="79"/>
  <c r="AD131" i="79"/>
  <c r="L131" i="79"/>
  <c r="AD124" i="79"/>
  <c r="L148" i="79"/>
  <c r="AG148" i="79"/>
  <c r="AG140" i="79"/>
  <c r="AG132" i="79"/>
  <c r="AG124" i="79"/>
  <c r="O148" i="79"/>
  <c r="O140" i="79"/>
  <c r="O132" i="79"/>
  <c r="O124" i="79"/>
  <c r="AG147" i="79"/>
  <c r="AG139" i="79"/>
  <c r="AG131" i="79"/>
  <c r="AG123" i="79"/>
  <c r="O139" i="79"/>
  <c r="O131" i="79"/>
  <c r="O123" i="79"/>
  <c r="O147" i="79"/>
  <c r="AD140" i="79"/>
  <c r="Z32" i="79"/>
  <c r="C57" i="38"/>
  <c r="H53" i="38"/>
  <c r="BB71" i="3"/>
  <c r="BC88" i="3"/>
  <c r="BC87" i="3"/>
  <c r="BC86" i="3"/>
  <c r="BC82" i="3"/>
  <c r="BC70" i="3"/>
  <c r="BC74" i="3"/>
  <c r="BC81" i="3"/>
  <c r="BC80" i="3"/>
  <c r="BC77" i="3"/>
  <c r="BC73" i="3"/>
  <c r="BC69" i="3"/>
  <c r="BC85" i="3"/>
  <c r="BC84" i="3"/>
  <c r="BC83" i="3"/>
  <c r="BC72" i="3"/>
  <c r="BC76" i="3"/>
  <c r="BC75" i="3"/>
  <c r="AJ147" i="79" l="1"/>
  <c r="R147" i="79"/>
  <c r="R131" i="79"/>
  <c r="AJ131" i="79"/>
  <c r="R123" i="79"/>
  <c r="AJ123" i="79"/>
  <c r="R139" i="79"/>
  <c r="AJ139" i="79"/>
  <c r="R148" i="79"/>
  <c r="AJ148" i="79"/>
  <c r="R124" i="79"/>
  <c r="AJ124" i="79"/>
  <c r="R132" i="79"/>
  <c r="AJ132" i="79"/>
  <c r="R140" i="79"/>
  <c r="AJ140" i="79"/>
  <c r="BC71" i="3"/>
  <c r="BD85" i="3"/>
  <c r="BD81" i="3"/>
  <c r="BD80" i="3"/>
  <c r="BD69" i="3"/>
  <c r="BD88" i="3"/>
  <c r="BD77" i="3"/>
  <c r="BD73" i="3"/>
  <c r="BD84" i="3"/>
  <c r="BD83" i="3"/>
  <c r="BD82" i="3"/>
  <c r="BD76" i="3"/>
  <c r="BD72" i="3"/>
  <c r="BD86" i="3"/>
  <c r="BD75" i="3"/>
  <c r="BD87" i="3"/>
  <c r="BD74" i="3"/>
  <c r="BD70" i="3"/>
  <c r="BD71" i="3" l="1"/>
  <c r="BE88" i="3"/>
  <c r="BE84" i="3"/>
  <c r="BE77" i="3"/>
  <c r="BE76" i="3"/>
  <c r="BE75" i="3"/>
  <c r="BE74" i="3"/>
  <c r="BE73" i="3"/>
  <c r="BE72" i="3"/>
  <c r="BE83" i="3"/>
  <c r="BE82" i="3"/>
  <c r="BE81" i="3"/>
  <c r="BE80" i="3"/>
  <c r="BE69" i="3"/>
  <c r="BE86" i="3"/>
  <c r="BE85" i="3"/>
  <c r="BE87" i="3"/>
  <c r="BE70" i="3"/>
  <c r="BF87" i="3" l="1"/>
  <c r="BF85" i="3"/>
  <c r="BF84" i="3"/>
  <c r="BF83" i="3"/>
  <c r="BF82" i="3"/>
  <c r="BF81" i="3"/>
  <c r="BF86" i="3"/>
  <c r="BF76" i="3"/>
  <c r="BF72" i="3"/>
  <c r="BF75" i="3"/>
  <c r="BF70" i="3"/>
  <c r="BF74" i="3"/>
  <c r="BF77" i="3"/>
  <c r="BF69" i="3"/>
  <c r="BF88" i="3"/>
  <c r="BF80" i="3"/>
  <c r="BF73" i="3"/>
  <c r="BE71" i="3"/>
  <c r="BF71" i="3" l="1"/>
  <c r="BG88" i="3"/>
  <c r="BG87" i="3"/>
  <c r="BG86" i="3"/>
  <c r="BG83" i="3"/>
  <c r="BG70" i="3"/>
  <c r="BG85" i="3"/>
  <c r="BG84" i="3"/>
  <c r="BG75" i="3"/>
  <c r="BG74" i="3"/>
  <c r="BG77" i="3"/>
  <c r="BG73" i="3"/>
  <c r="BG69" i="3"/>
  <c r="BG80" i="3"/>
  <c r="BG72" i="3"/>
  <c r="BG76" i="3"/>
  <c r="BG82" i="3"/>
  <c r="BG81" i="3"/>
  <c r="BH86" i="3" l="1"/>
  <c r="BH82" i="3"/>
  <c r="BH80" i="3"/>
  <c r="BH69" i="3"/>
  <c r="BH74" i="3"/>
  <c r="BH70" i="3"/>
  <c r="BH87" i="3"/>
  <c r="BH77" i="3"/>
  <c r="BH73" i="3"/>
  <c r="BH88" i="3"/>
  <c r="BH76" i="3"/>
  <c r="BH81" i="3"/>
  <c r="BH72" i="3"/>
  <c r="BH84" i="3"/>
  <c r="BH75" i="3"/>
  <c r="BH83" i="3"/>
  <c r="BH85" i="3"/>
  <c r="BG71" i="3"/>
  <c r="BH71" i="3" l="1"/>
  <c r="BI88" i="3"/>
  <c r="BI87" i="3"/>
  <c r="BI86" i="3"/>
  <c r="BI85" i="3"/>
  <c r="BI81" i="3"/>
  <c r="BI77" i="3"/>
  <c r="BI76" i="3"/>
  <c r="BI75" i="3"/>
  <c r="BI74" i="3"/>
  <c r="BI73" i="3"/>
  <c r="BI72" i="3"/>
  <c r="BI80" i="3"/>
  <c r="BI69" i="3"/>
  <c r="BI84" i="3"/>
  <c r="BI83" i="3"/>
  <c r="BI82" i="3"/>
  <c r="BI70" i="3"/>
  <c r="BJ88" i="3" l="1"/>
  <c r="BJ85" i="3"/>
  <c r="BJ84" i="3"/>
  <c r="BJ83" i="3"/>
  <c r="BJ82" i="3"/>
  <c r="BJ81" i="3"/>
  <c r="BJ87" i="3"/>
  <c r="BJ80" i="3"/>
  <c r="BJ77" i="3"/>
  <c r="BJ73" i="3"/>
  <c r="BJ69" i="3"/>
  <c r="BJ76" i="3"/>
  <c r="BJ72" i="3"/>
  <c r="BJ75" i="3"/>
  <c r="BJ70" i="3"/>
  <c r="BJ86" i="3"/>
  <c r="BJ74" i="3"/>
  <c r="BI71" i="3"/>
  <c r="BJ71" i="3" l="1"/>
  <c r="BK88" i="3"/>
  <c r="BK87" i="3"/>
  <c r="BK86" i="3"/>
  <c r="BK84" i="3"/>
  <c r="BK70" i="3"/>
  <c r="BK76" i="3"/>
  <c r="BK72" i="3"/>
  <c r="BK83" i="3"/>
  <c r="BK82" i="3"/>
  <c r="BK81" i="3"/>
  <c r="BK75" i="3"/>
  <c r="BK85" i="3"/>
  <c r="BK74" i="3"/>
  <c r="BK73" i="3"/>
  <c r="BK77" i="3"/>
  <c r="BK80" i="3"/>
  <c r="BK69" i="3"/>
  <c r="BK71" i="3" l="1"/>
  <c r="BL87" i="3"/>
  <c r="BL83" i="3"/>
  <c r="BL80" i="3"/>
  <c r="BL69" i="3"/>
  <c r="BL82" i="3"/>
  <c r="BL81" i="3"/>
  <c r="BL75" i="3"/>
  <c r="BL88" i="3"/>
  <c r="BL85" i="3"/>
  <c r="BL84" i="3"/>
  <c r="BL74" i="3"/>
  <c r="BL70" i="3"/>
  <c r="BL86" i="3"/>
  <c r="BL77" i="3"/>
  <c r="BL73" i="3"/>
  <c r="BL76" i="3"/>
  <c r="BL72" i="3"/>
  <c r="BM86" i="3" l="1"/>
  <c r="BM82" i="3"/>
  <c r="BM77" i="3"/>
  <c r="BM76" i="3"/>
  <c r="BM75" i="3"/>
  <c r="BM74" i="3"/>
  <c r="BM73" i="3"/>
  <c r="BM72" i="3"/>
  <c r="BM88" i="3"/>
  <c r="BM85" i="3"/>
  <c r="BM84" i="3"/>
  <c r="BM83" i="3"/>
  <c r="BM70" i="3"/>
  <c r="BM80" i="3"/>
  <c r="BM69" i="3"/>
  <c r="BM87" i="3"/>
  <c r="BM81" i="3"/>
  <c r="BL71" i="3"/>
  <c r="BM71" i="3" l="1"/>
  <c r="BN85" i="3"/>
  <c r="BN84" i="3"/>
  <c r="BN83" i="3"/>
  <c r="BN82" i="3"/>
  <c r="BN81" i="3"/>
  <c r="BN74" i="3"/>
  <c r="BN86" i="3"/>
  <c r="BN80" i="3"/>
  <c r="BN77" i="3"/>
  <c r="BN73" i="3"/>
  <c r="BN69" i="3"/>
  <c r="BN87" i="3"/>
  <c r="BN76" i="3"/>
  <c r="BN72" i="3"/>
  <c r="BN88" i="3"/>
  <c r="BN75" i="3"/>
  <c r="BN70" i="3"/>
  <c r="BN71" i="3" l="1"/>
  <c r="BO88" i="3"/>
  <c r="BO87" i="3"/>
  <c r="BO86" i="3"/>
  <c r="BO85" i="3"/>
  <c r="BO81" i="3"/>
  <c r="BO70" i="3"/>
  <c r="BO80" i="3"/>
  <c r="BO77" i="3"/>
  <c r="BO73" i="3"/>
  <c r="BO69" i="3"/>
  <c r="BO76" i="3"/>
  <c r="BO72" i="3"/>
  <c r="BO75" i="3"/>
  <c r="BO83" i="3"/>
  <c r="BO74" i="3"/>
  <c r="BO84" i="3"/>
  <c r="BO82" i="3"/>
  <c r="BP88" i="3" l="1"/>
  <c r="BP87" i="3"/>
  <c r="BP86" i="3"/>
  <c r="BP85" i="3"/>
  <c r="BP84" i="3"/>
  <c r="BP80" i="3"/>
  <c r="BP69" i="3"/>
  <c r="BP76" i="3"/>
  <c r="BP72" i="3"/>
  <c r="BP75" i="3"/>
  <c r="BP83" i="3"/>
  <c r="BP82" i="3"/>
  <c r="BP81" i="3"/>
  <c r="BP74" i="3"/>
  <c r="BP70" i="3"/>
  <c r="BP77" i="3"/>
  <c r="BP73" i="3"/>
  <c r="BO71" i="3"/>
  <c r="BP71" i="3" l="1"/>
  <c r="BQ87" i="3"/>
  <c r="BQ88" i="3"/>
  <c r="BQ83" i="3"/>
  <c r="BQ77" i="3"/>
  <c r="BQ76" i="3"/>
  <c r="BQ75" i="3"/>
  <c r="BQ74" i="3"/>
  <c r="BQ73" i="3"/>
  <c r="BQ72" i="3"/>
  <c r="BQ86" i="3"/>
  <c r="BQ82" i="3"/>
  <c r="BQ81" i="3"/>
  <c r="BQ70" i="3"/>
  <c r="BQ84" i="3"/>
  <c r="BQ80" i="3"/>
  <c r="BQ85" i="3"/>
  <c r="BQ69" i="3"/>
  <c r="BQ71" i="3" l="1"/>
  <c r="BR86" i="3"/>
  <c r="BR84" i="3"/>
  <c r="BR83" i="3"/>
  <c r="BR82" i="3"/>
  <c r="BR81" i="3"/>
  <c r="BR75" i="3"/>
  <c r="BR70" i="3"/>
  <c r="BR87" i="3"/>
  <c r="BR74" i="3"/>
  <c r="BR85" i="3"/>
  <c r="BR77" i="3"/>
  <c r="BR73" i="3"/>
  <c r="BR69" i="3"/>
  <c r="BR88" i="3"/>
  <c r="BR80" i="3"/>
  <c r="BR72" i="3"/>
  <c r="BR76" i="3"/>
  <c r="BR71" i="3" l="1"/>
  <c r="BS88" i="3"/>
  <c r="BS87" i="3"/>
  <c r="BS86" i="3"/>
  <c r="BS85" i="3"/>
  <c r="BS82" i="3"/>
  <c r="BS70" i="3"/>
  <c r="BS81" i="3"/>
  <c r="BS74" i="3"/>
  <c r="BS84" i="3"/>
  <c r="BS83" i="3"/>
  <c r="BS80" i="3"/>
  <c r="BS77" i="3"/>
  <c r="BS73" i="3"/>
  <c r="BS69" i="3"/>
  <c r="BS76" i="3"/>
  <c r="BS72" i="3"/>
  <c r="BS75" i="3"/>
  <c r="BT85" i="3" l="1"/>
  <c r="BT81" i="3"/>
  <c r="BT80" i="3"/>
  <c r="BT69" i="3"/>
  <c r="BT87" i="3"/>
  <c r="BT84" i="3"/>
  <c r="BT83" i="3"/>
  <c r="BT82" i="3"/>
  <c r="BT77" i="3"/>
  <c r="BT73" i="3"/>
  <c r="BT88" i="3"/>
  <c r="BT76" i="3"/>
  <c r="BT72" i="3"/>
  <c r="BT75" i="3"/>
  <c r="BT86" i="3"/>
  <c r="BT70" i="3"/>
  <c r="BT74" i="3"/>
  <c r="BS71" i="3"/>
  <c r="BT71" i="3" l="1"/>
  <c r="BU88" i="3"/>
  <c r="BU84" i="3"/>
  <c r="BU77" i="3"/>
  <c r="BU76" i="3"/>
  <c r="BU75" i="3"/>
  <c r="BU74" i="3"/>
  <c r="BU73" i="3"/>
  <c r="BU72" i="3"/>
  <c r="BU80" i="3"/>
  <c r="BU69" i="3"/>
  <c r="BU85" i="3"/>
  <c r="BU86" i="3"/>
  <c r="BU70" i="3"/>
  <c r="BU82" i="3"/>
  <c r="BU87" i="3"/>
  <c r="BU81" i="3"/>
  <c r="BU83" i="3"/>
  <c r="BU71" i="3" l="1"/>
  <c r="BV87" i="3"/>
  <c r="BV84" i="3"/>
  <c r="BV83" i="3"/>
  <c r="BV82" i="3"/>
  <c r="BV81" i="3"/>
  <c r="BV86" i="3"/>
  <c r="BV85" i="3"/>
  <c r="BV88" i="3"/>
  <c r="BV76" i="3"/>
  <c r="BV72" i="3"/>
  <c r="BV75" i="3"/>
  <c r="BV70" i="3"/>
  <c r="BV74" i="3"/>
  <c r="BV73" i="3"/>
  <c r="BV80" i="3"/>
  <c r="BV77" i="3"/>
  <c r="BV69" i="3"/>
  <c r="BW88" i="3" l="1"/>
  <c r="BW87" i="3"/>
  <c r="BW86" i="3"/>
  <c r="BW85" i="3"/>
  <c r="BW83" i="3"/>
  <c r="BW70" i="3"/>
  <c r="BW75" i="3"/>
  <c r="BW74" i="3"/>
  <c r="BW81" i="3"/>
  <c r="BW80" i="3"/>
  <c r="BW77" i="3"/>
  <c r="BW82" i="3"/>
  <c r="BW73" i="3"/>
  <c r="BW69" i="3"/>
  <c r="BW84" i="3"/>
  <c r="BW76" i="3"/>
  <c r="BW72" i="3"/>
  <c r="BV71" i="3"/>
  <c r="BW71" i="3" l="1"/>
  <c r="BX86" i="3"/>
  <c r="BX88" i="3"/>
  <c r="BX87" i="3"/>
  <c r="BX82" i="3"/>
  <c r="BX80" i="3"/>
  <c r="BX69" i="3"/>
  <c r="BX85" i="3"/>
  <c r="BX74" i="3"/>
  <c r="BX70" i="3"/>
  <c r="BX81" i="3"/>
  <c r="BX77" i="3"/>
  <c r="BX73" i="3"/>
  <c r="BX84" i="3"/>
  <c r="BX83" i="3"/>
  <c r="BX76" i="3"/>
  <c r="BX72" i="3"/>
  <c r="BX75" i="3"/>
  <c r="BX71" i="3" l="1"/>
  <c r="BY85" i="3"/>
  <c r="BY81" i="3"/>
  <c r="BY77" i="3"/>
  <c r="BY76" i="3"/>
  <c r="BY75" i="3"/>
  <c r="BY74" i="3"/>
  <c r="BY73" i="3"/>
  <c r="BY72" i="3"/>
  <c r="BY86" i="3"/>
  <c r="BY84" i="3"/>
  <c r="BY83" i="3"/>
  <c r="BY82" i="3"/>
  <c r="BY80" i="3"/>
  <c r="BY69" i="3"/>
  <c r="BY87" i="3"/>
  <c r="BY88" i="3"/>
  <c r="BY70" i="3"/>
  <c r="BY71" i="3" l="1"/>
  <c r="BZ88" i="3"/>
  <c r="BZ84" i="3"/>
  <c r="BZ83" i="3"/>
  <c r="BZ82" i="3"/>
  <c r="BZ81" i="3"/>
  <c r="BZ86" i="3"/>
  <c r="BZ80" i="3"/>
  <c r="BZ77" i="3"/>
  <c r="BZ73" i="3"/>
  <c r="BZ69" i="3"/>
  <c r="BZ87" i="3"/>
  <c r="BZ76" i="3"/>
  <c r="BZ72" i="3"/>
  <c r="BZ75" i="3"/>
  <c r="BZ70" i="3"/>
  <c r="BZ74" i="3"/>
  <c r="BZ85" i="3"/>
  <c r="CA88" i="3" l="1"/>
  <c r="CA87" i="3"/>
  <c r="CA86" i="3"/>
  <c r="CA85" i="3"/>
  <c r="CA84" i="3"/>
  <c r="CA70" i="3"/>
  <c r="CA83" i="3"/>
  <c r="CA82" i="3"/>
  <c r="CA81" i="3"/>
  <c r="CA76" i="3"/>
  <c r="CA72" i="3"/>
  <c r="CA75" i="3"/>
  <c r="CA74" i="3"/>
  <c r="CA77" i="3"/>
  <c r="CA69" i="3"/>
  <c r="CA73" i="3"/>
  <c r="CA80" i="3"/>
  <c r="BZ71" i="3"/>
  <c r="CA71" i="3" l="1"/>
  <c r="CB87" i="3"/>
  <c r="CB83" i="3"/>
  <c r="CB80" i="3"/>
  <c r="CB69" i="3"/>
  <c r="CB84" i="3"/>
  <c r="CB75" i="3"/>
  <c r="CB74" i="3"/>
  <c r="CB70" i="3"/>
  <c r="CB88" i="3"/>
  <c r="CB85" i="3"/>
  <c r="CB77" i="3"/>
  <c r="CB73" i="3"/>
  <c r="CB81" i="3"/>
  <c r="CB72" i="3"/>
  <c r="CB86" i="3"/>
  <c r="CB76" i="3"/>
  <c r="CB82" i="3"/>
  <c r="CC86" i="3" l="1"/>
  <c r="CC85" i="3"/>
  <c r="CC82" i="3"/>
  <c r="CC77" i="3"/>
  <c r="CC76" i="3"/>
  <c r="CC75" i="3"/>
  <c r="CC74" i="3"/>
  <c r="CC73" i="3"/>
  <c r="CC72" i="3"/>
  <c r="CC87" i="3"/>
  <c r="CC70" i="3"/>
  <c r="CC88" i="3"/>
  <c r="CC69" i="3"/>
  <c r="CC81" i="3"/>
  <c r="CC80" i="3"/>
  <c r="CC83" i="3"/>
  <c r="CC84" i="3"/>
  <c r="CB71" i="3"/>
  <c r="CC71" i="3" l="1"/>
  <c r="CD85" i="3"/>
  <c r="CD84" i="3"/>
  <c r="CD83" i="3"/>
  <c r="CD82" i="3"/>
  <c r="CD81" i="3"/>
  <c r="CD88" i="3"/>
  <c r="CD87" i="3"/>
  <c r="CD86" i="3"/>
  <c r="CD74" i="3"/>
  <c r="CD80" i="3"/>
  <c r="CD77" i="3"/>
  <c r="CD73" i="3"/>
  <c r="CD69" i="3"/>
  <c r="CD76" i="3"/>
  <c r="CD72" i="3"/>
  <c r="CD75" i="3"/>
  <c r="CD70" i="3"/>
  <c r="CD71" i="3" l="1"/>
  <c r="CE88" i="3"/>
  <c r="CE87" i="3"/>
  <c r="CE86" i="3"/>
  <c r="CE85" i="3"/>
  <c r="CE81" i="3"/>
  <c r="CE70" i="3"/>
  <c r="CE80" i="3"/>
  <c r="CE77" i="3"/>
  <c r="CE73" i="3"/>
  <c r="CE69" i="3"/>
  <c r="CE76" i="3"/>
  <c r="CE72" i="3"/>
  <c r="CE84" i="3"/>
  <c r="CE83" i="3"/>
  <c r="CE82" i="3"/>
  <c r="CE75" i="3"/>
  <c r="CE74" i="3"/>
  <c r="CF88" i="3" l="1"/>
  <c r="CF84" i="3"/>
  <c r="CF80" i="3"/>
  <c r="CF69" i="3"/>
  <c r="CF76" i="3"/>
  <c r="CF72" i="3"/>
  <c r="CF85" i="3"/>
  <c r="CF83" i="3"/>
  <c r="CF82" i="3"/>
  <c r="CF81" i="3"/>
  <c r="CF75" i="3"/>
  <c r="CF86" i="3"/>
  <c r="CF70" i="3"/>
  <c r="CF74" i="3"/>
  <c r="CF73" i="3"/>
  <c r="CF87" i="3"/>
  <c r="CF77" i="3"/>
  <c r="CE71" i="3"/>
  <c r="CF71" i="3" l="1"/>
  <c r="CG87" i="3"/>
  <c r="CG83" i="3"/>
  <c r="CG77" i="3"/>
  <c r="CG76" i="3"/>
  <c r="CG75" i="3"/>
  <c r="CG74" i="3"/>
  <c r="CG73" i="3"/>
  <c r="CG72" i="3"/>
  <c r="CG88" i="3"/>
  <c r="CG85" i="3"/>
  <c r="CG82" i="3"/>
  <c r="CG81" i="3"/>
  <c r="CG86" i="3"/>
  <c r="CG84" i="3"/>
  <c r="CG70" i="3"/>
  <c r="CG80" i="3"/>
  <c r="CG69" i="3"/>
  <c r="CH86" i="3" l="1"/>
  <c r="CH84" i="3"/>
  <c r="CH83" i="3"/>
  <c r="CH82" i="3"/>
  <c r="CH81" i="3"/>
  <c r="CH75" i="3"/>
  <c r="CH70" i="3"/>
  <c r="CH74" i="3"/>
  <c r="CH87" i="3"/>
  <c r="CH80" i="3"/>
  <c r="CH77" i="3"/>
  <c r="CH73" i="3"/>
  <c r="CH69" i="3"/>
  <c r="CH85" i="3"/>
  <c r="CH76" i="3"/>
  <c r="CH72" i="3"/>
  <c r="CH88" i="3"/>
  <c r="CG71" i="3"/>
  <c r="CH71" i="3" l="1"/>
  <c r="CI88" i="3"/>
  <c r="CI87" i="3"/>
  <c r="CI86" i="3"/>
  <c r="CI85" i="3"/>
  <c r="CI82" i="3"/>
  <c r="CI70" i="3"/>
  <c r="CI84" i="3"/>
  <c r="CI83" i="3"/>
  <c r="CI74" i="3"/>
  <c r="CI80" i="3"/>
  <c r="CI77" i="3"/>
  <c r="CI73" i="3"/>
  <c r="CI69" i="3"/>
  <c r="CI76" i="3"/>
  <c r="CI72" i="3"/>
  <c r="CI81" i="3"/>
  <c r="CI75" i="3"/>
  <c r="CJ85" i="3" l="1"/>
  <c r="CJ81" i="3"/>
  <c r="CJ80" i="3"/>
  <c r="CJ69" i="3"/>
  <c r="CJ86" i="3"/>
  <c r="CJ77" i="3"/>
  <c r="CJ73" i="3"/>
  <c r="CJ87" i="3"/>
  <c r="CJ76" i="3"/>
  <c r="CJ72" i="3"/>
  <c r="CJ88" i="3"/>
  <c r="CJ75" i="3"/>
  <c r="CJ84" i="3"/>
  <c r="CJ82" i="3"/>
  <c r="CJ74" i="3"/>
  <c r="CJ83" i="3"/>
  <c r="CJ70" i="3"/>
  <c r="CI71" i="3"/>
  <c r="CJ71" i="3" l="1"/>
  <c r="CK88" i="3"/>
  <c r="CK87" i="3"/>
  <c r="CK86" i="3"/>
  <c r="CK85" i="3"/>
  <c r="CK84" i="3"/>
  <c r="CK77" i="3"/>
  <c r="CK76" i="3"/>
  <c r="CK75" i="3"/>
  <c r="CK74" i="3"/>
  <c r="CK73" i="3"/>
  <c r="CK72" i="3"/>
  <c r="CK80" i="3"/>
  <c r="CK69" i="3"/>
  <c r="CK83" i="3"/>
  <c r="CK82" i="3"/>
  <c r="CK81" i="3"/>
  <c r="CK70" i="3"/>
  <c r="CL87" i="3" l="1"/>
  <c r="CL84" i="3"/>
  <c r="CL83" i="3"/>
  <c r="CL82" i="3"/>
  <c r="CL81" i="3"/>
  <c r="CL88" i="3"/>
  <c r="CL76" i="3"/>
  <c r="CL72" i="3"/>
  <c r="CL75" i="3"/>
  <c r="CL70" i="3"/>
  <c r="CL85" i="3"/>
  <c r="CL74" i="3"/>
  <c r="CL80" i="3"/>
  <c r="CL86" i="3"/>
  <c r="CL77" i="3"/>
  <c r="CL69" i="3"/>
  <c r="CL73" i="3"/>
  <c r="CK71" i="3"/>
  <c r="CL71" i="3" l="1"/>
  <c r="CM88" i="3"/>
  <c r="CM87" i="3"/>
  <c r="CM86" i="3"/>
  <c r="CM85" i="3"/>
  <c r="CM83" i="3"/>
  <c r="CM70" i="3"/>
  <c r="CM75" i="3"/>
  <c r="CM82" i="3"/>
  <c r="CM81" i="3"/>
  <c r="CM74" i="3"/>
  <c r="CM84" i="3"/>
  <c r="CM77" i="3"/>
  <c r="CM73" i="3"/>
  <c r="CM69" i="3"/>
  <c r="CM80" i="3"/>
  <c r="CM72" i="3"/>
  <c r="CM76" i="3"/>
  <c r="CM71" i="3" l="1"/>
  <c r="CN86" i="3"/>
  <c r="CN82" i="3"/>
  <c r="CN80" i="3"/>
  <c r="CN69" i="3"/>
  <c r="CN87" i="3"/>
  <c r="CN81" i="3"/>
  <c r="CN74" i="3"/>
  <c r="CN70" i="3"/>
  <c r="CN88" i="3"/>
  <c r="CN85" i="3"/>
  <c r="CN84" i="3"/>
  <c r="CN83" i="3"/>
  <c r="CN77" i="3"/>
  <c r="CN73" i="3"/>
  <c r="CN76" i="3"/>
  <c r="CN72" i="3"/>
  <c r="CN75" i="3"/>
  <c r="CN71" i="3" l="1"/>
  <c r="CO85" i="3"/>
  <c r="CO81" i="3"/>
  <c r="CO77" i="3"/>
  <c r="CO76" i="3"/>
  <c r="CO75" i="3"/>
  <c r="CO74" i="3"/>
  <c r="CO73" i="3"/>
  <c r="CO72" i="3"/>
  <c r="CO88" i="3"/>
  <c r="CO84" i="3"/>
  <c r="CO83" i="3"/>
  <c r="CO82" i="3"/>
  <c r="CO80" i="3"/>
  <c r="CO69" i="3"/>
  <c r="CO86" i="3"/>
  <c r="CO87" i="3"/>
  <c r="CO70" i="3"/>
  <c r="CO71" i="3" l="1"/>
  <c r="CP88" i="3"/>
  <c r="CP84" i="3"/>
  <c r="CP83" i="3"/>
  <c r="CP82" i="3"/>
  <c r="CP81" i="3"/>
  <c r="CP85" i="3"/>
  <c r="CP80" i="3"/>
  <c r="CP77" i="3"/>
  <c r="CP73" i="3"/>
  <c r="CP69" i="3"/>
  <c r="CP86" i="3"/>
  <c r="CP76" i="3"/>
  <c r="CP72" i="3"/>
  <c r="CP87" i="3"/>
  <c r="CP70" i="3"/>
  <c r="CP75" i="3"/>
  <c r="CP74" i="3"/>
  <c r="CQ88" i="3" l="1"/>
  <c r="CQ86" i="3"/>
  <c r="CQ85" i="3"/>
  <c r="CQ84" i="3"/>
  <c r="CQ70" i="3"/>
  <c r="CQ76" i="3"/>
  <c r="CQ72" i="3"/>
  <c r="CQ75" i="3"/>
  <c r="E3" i="1" s="1"/>
  <c r="CQ74" i="3"/>
  <c r="CQ83" i="3"/>
  <c r="CQ81" i="3"/>
  <c r="CQ73" i="3"/>
  <c r="CQ82" i="3"/>
  <c r="CQ77" i="3"/>
  <c r="E4" i="1" s="1"/>
  <c r="CQ69" i="3"/>
  <c r="CQ80" i="3"/>
  <c r="CP71" i="3"/>
  <c r="E2" i="5" l="1"/>
  <c r="E2" i="1"/>
  <c r="E5" i="1"/>
  <c r="D13" i="1" s="1"/>
  <c r="CQ71" i="3"/>
  <c r="CR82" i="3"/>
  <c r="CR76" i="3"/>
  <c r="CR77" i="3"/>
  <c r="CR86" i="3"/>
  <c r="CR85" i="3"/>
  <c r="CR70" i="3"/>
  <c r="CR69" i="3"/>
  <c r="CR74" i="3"/>
  <c r="CR75" i="3"/>
  <c r="CR81" i="3"/>
  <c r="CR73" i="3"/>
  <c r="CR88" i="3"/>
  <c r="CR72" i="3"/>
  <c r="CR87" i="3"/>
  <c r="CR84" i="3"/>
  <c r="CR83" i="3"/>
  <c r="CR80" i="3"/>
  <c r="CS80" i="3" l="1"/>
  <c r="CS76" i="3"/>
  <c r="CS69" i="3"/>
  <c r="CS70" i="3"/>
  <c r="CS84" i="3"/>
  <c r="CS73" i="3"/>
  <c r="CS75" i="3"/>
  <c r="CS72" i="3"/>
  <c r="CS86" i="3"/>
  <c r="CS77" i="3"/>
  <c r="CS88" i="3"/>
  <c r="CS85" i="3"/>
  <c r="CS82" i="3"/>
  <c r="CS83" i="3"/>
  <c r="CS81" i="3"/>
  <c r="CS74" i="3"/>
  <c r="CS87" i="3"/>
  <c r="CR71" i="3"/>
  <c r="CS71" i="3" l="1"/>
  <c r="CT85" i="3"/>
  <c r="CT86" i="3"/>
  <c r="CT83" i="3"/>
  <c r="CT84" i="3"/>
  <c r="CT80" i="3"/>
  <c r="CT72" i="3"/>
  <c r="CT73" i="3"/>
  <c r="CT87" i="3"/>
  <c r="CT81" i="3"/>
  <c r="CT82" i="3"/>
  <c r="CT74" i="3"/>
  <c r="CT75" i="3"/>
  <c r="CT69" i="3"/>
  <c r="CT76" i="3"/>
  <c r="CT77" i="3"/>
  <c r="CT70" i="3"/>
  <c r="CT88" i="3"/>
  <c r="CT71" i="3" l="1"/>
  <c r="CU77" i="3"/>
  <c r="CU74" i="3"/>
  <c r="CU88" i="3"/>
  <c r="CU69" i="3"/>
  <c r="CU82" i="3"/>
  <c r="CU73" i="3"/>
  <c r="CU84" i="3"/>
  <c r="CU85" i="3"/>
  <c r="CU81" i="3"/>
  <c r="CU86" i="3"/>
  <c r="CU87" i="3"/>
  <c r="CU75" i="3"/>
  <c r="CU76" i="3"/>
  <c r="CU72" i="3"/>
  <c r="CU83" i="3"/>
  <c r="CU80" i="3"/>
  <c r="CU70" i="3"/>
  <c r="CU71" i="3" l="1"/>
  <c r="CV74" i="3"/>
  <c r="CV75" i="3"/>
  <c r="CV86" i="3"/>
  <c r="CV70" i="3"/>
  <c r="CV73" i="3"/>
  <c r="CV80" i="3"/>
  <c r="CV81" i="3"/>
  <c r="CV88" i="3"/>
  <c r="CV85" i="3"/>
  <c r="CV77" i="3"/>
  <c r="CV82" i="3"/>
  <c r="CV87" i="3"/>
  <c r="CV84" i="3"/>
  <c r="CV76" i="3"/>
  <c r="CV69" i="3"/>
  <c r="CV83" i="3"/>
  <c r="CV72" i="3"/>
  <c r="CV71" i="3" l="1"/>
  <c r="CW80" i="3"/>
  <c r="CW76" i="3"/>
  <c r="CW69" i="3"/>
  <c r="CW82" i="3"/>
  <c r="CW85" i="3"/>
  <c r="CW86" i="3"/>
  <c r="CW83" i="3"/>
  <c r="CW81" i="3"/>
  <c r="CW77" i="3"/>
  <c r="CW74" i="3"/>
  <c r="CW75" i="3"/>
  <c r="CW72" i="3"/>
  <c r="CW73" i="3"/>
  <c r="CW88" i="3"/>
  <c r="CW87" i="3"/>
  <c r="CW84" i="3"/>
  <c r="CW70" i="3"/>
  <c r="CX76" i="3" l="1"/>
  <c r="CX77" i="3"/>
  <c r="CX74" i="3"/>
  <c r="CX83" i="3"/>
  <c r="CX85" i="3"/>
  <c r="CX87" i="3"/>
  <c r="CX75" i="3"/>
  <c r="CX81" i="3"/>
  <c r="CX82" i="3"/>
  <c r="CX69" i="3"/>
  <c r="CX72" i="3"/>
  <c r="CX73" i="3"/>
  <c r="CX88" i="3"/>
  <c r="CX84" i="3"/>
  <c r="CX86" i="3"/>
  <c r="CX80" i="3"/>
  <c r="CX70" i="3"/>
  <c r="CW71" i="3"/>
  <c r="CY77" i="3" l="1"/>
  <c r="CY74" i="3"/>
  <c r="CY75" i="3"/>
  <c r="CY69" i="3"/>
  <c r="CY80" i="3"/>
  <c r="CY73" i="3"/>
  <c r="CY70" i="3"/>
  <c r="CY81" i="3"/>
  <c r="CY85" i="3"/>
  <c r="CY86" i="3"/>
  <c r="CY87" i="3"/>
  <c r="CY88" i="3"/>
  <c r="CY72" i="3"/>
  <c r="CY76" i="3"/>
  <c r="CY82" i="3"/>
  <c r="CY83" i="3"/>
  <c r="CY84" i="3"/>
  <c r="CX71" i="3"/>
  <c r="CZ87" i="3" l="1"/>
  <c r="CZ85" i="3"/>
  <c r="CZ83" i="3"/>
  <c r="CZ81" i="3"/>
  <c r="CZ77" i="3"/>
  <c r="CZ75" i="3"/>
  <c r="CZ73" i="3"/>
  <c r="CZ70" i="3"/>
  <c r="CZ69" i="3"/>
  <c r="CZ88" i="3"/>
  <c r="CZ86" i="3"/>
  <c r="CZ84" i="3"/>
  <c r="CZ82" i="3"/>
  <c r="CZ80" i="3"/>
  <c r="CZ76" i="3"/>
  <c r="CZ74" i="3"/>
  <c r="CZ72" i="3"/>
  <c r="B228" i="3" s="1"/>
  <c r="CY71" i="3"/>
  <c r="B168" i="3"/>
  <c r="B225" i="3"/>
  <c r="B180" i="3"/>
  <c r="B165" i="3"/>
  <c r="B177" i="3"/>
  <c r="B174" i="3"/>
  <c r="B186" i="3"/>
  <c r="B171" i="3"/>
  <c r="B183" i="3"/>
  <c r="B189" i="3"/>
  <c r="B195" i="3"/>
  <c r="B201" i="3"/>
  <c r="B204" i="3"/>
  <c r="B210" i="3"/>
  <c r="B219" i="3"/>
  <c r="B216" i="3"/>
  <c r="CZ71" i="3" l="1"/>
  <c r="DA87" i="3"/>
  <c r="DA85" i="3"/>
  <c r="DA83" i="3"/>
  <c r="DA81" i="3"/>
  <c r="DA77" i="3"/>
  <c r="DA75" i="3"/>
  <c r="DA73" i="3"/>
  <c r="DA70" i="3"/>
  <c r="DA88" i="3"/>
  <c r="DA86" i="3"/>
  <c r="DA84" i="3"/>
  <c r="DA82" i="3"/>
  <c r="DA80" i="3"/>
  <c r="DA76" i="3"/>
  <c r="DA74" i="3"/>
  <c r="DA72" i="3"/>
  <c r="DA69" i="3"/>
  <c r="DA71" i="3" l="1"/>
  <c r="B231" i="3"/>
  <c r="DB83" i="3"/>
  <c r="DB81" i="3"/>
  <c r="DB77" i="3"/>
  <c r="DB75" i="3"/>
  <c r="DB73" i="3"/>
  <c r="DB70" i="3"/>
  <c r="DB88" i="3"/>
  <c r="DB86" i="3"/>
  <c r="DB84" i="3"/>
  <c r="DB82" i="3"/>
  <c r="DB80" i="3"/>
  <c r="DB76" i="3"/>
  <c r="DB74" i="3"/>
  <c r="DB72" i="3"/>
  <c r="DB69" i="3"/>
  <c r="DB87" i="3"/>
  <c r="DB85" i="3"/>
  <c r="DC88" i="3" l="1"/>
  <c r="DC86" i="3"/>
  <c r="DC84" i="3"/>
  <c r="DC82" i="3"/>
  <c r="DC80" i="3"/>
  <c r="DC76" i="3"/>
  <c r="DC74" i="3"/>
  <c r="DC72" i="3"/>
  <c r="DC69" i="3"/>
  <c r="DC87" i="3"/>
  <c r="DC85" i="3"/>
  <c r="DC83" i="3"/>
  <c r="DC81" i="3"/>
  <c r="DC77" i="3"/>
  <c r="DC75" i="3"/>
  <c r="DC73" i="3"/>
  <c r="DC70" i="3"/>
  <c r="DB71" i="3"/>
  <c r="B234" i="3"/>
  <c r="C58" i="19"/>
  <c r="W4" i="2"/>
  <c r="C67" i="19"/>
  <c r="B18" i="94" s="1"/>
  <c r="B18" i="86" l="1"/>
  <c r="B18" i="93"/>
  <c r="DC71" i="3"/>
  <c r="B240" i="3"/>
  <c r="B184" i="50"/>
  <c r="DD88" i="3"/>
  <c r="DD86" i="3"/>
  <c r="DD84" i="3"/>
  <c r="DD87" i="3"/>
  <c r="DD85" i="3"/>
  <c r="DD83" i="3"/>
  <c r="DD81" i="3"/>
  <c r="DD77" i="3"/>
  <c r="DD75" i="3"/>
  <c r="DD73" i="3"/>
  <c r="DD70" i="3"/>
  <c r="DD82" i="3"/>
  <c r="DD80" i="3"/>
  <c r="DD76" i="3"/>
  <c r="DD74" i="3"/>
  <c r="DD72" i="3"/>
  <c r="C6" i="3" s="1"/>
  <c r="DD69" i="3"/>
  <c r="Q37" i="8"/>
  <c r="Q32" i="8"/>
  <c r="B675" i="50"/>
  <c r="C53" i="19"/>
  <c r="B180" i="50" s="1"/>
  <c r="C42" i="19"/>
  <c r="B94" i="50" s="1"/>
  <c r="C52" i="19"/>
  <c r="C39" i="19"/>
  <c r="B75" i="50" s="1"/>
  <c r="C61" i="19"/>
  <c r="C41" i="19"/>
  <c r="C31" i="19"/>
  <c r="C62" i="19"/>
  <c r="C38" i="19"/>
  <c r="C37" i="19"/>
  <c r="B76" i="50" s="1"/>
  <c r="C36" i="19"/>
  <c r="C44" i="19"/>
  <c r="G172" i="20" s="1"/>
  <c r="C40" i="19"/>
  <c r="B95" i="50" s="1"/>
  <c r="C68" i="19"/>
  <c r="G4" i="2"/>
  <c r="T36" i="19" s="1"/>
  <c r="E4" i="2"/>
  <c r="C43" i="19"/>
  <c r="B17" i="94" s="1"/>
  <c r="C66" i="19"/>
  <c r="T17" i="88" l="1"/>
  <c r="E40" i="7"/>
  <c r="E69" i="79"/>
  <c r="B669" i="50"/>
  <c r="G174" i="78"/>
  <c r="G174" i="20"/>
  <c r="G172" i="78"/>
  <c r="M167" i="77"/>
  <c r="M167" i="78"/>
  <c r="K168" i="77"/>
  <c r="K168" i="78"/>
  <c r="K167" i="77"/>
  <c r="K167" i="78"/>
  <c r="J167" i="78"/>
  <c r="J167" i="77"/>
  <c r="P36" i="19"/>
  <c r="B168" i="50" s="1"/>
  <c r="L36" i="19"/>
  <c r="O36" i="19"/>
  <c r="B166" i="50" s="1"/>
  <c r="K36" i="19"/>
  <c r="C35" i="19" s="1"/>
  <c r="K161" i="78" s="1"/>
  <c r="K161" i="20" s="1"/>
  <c r="J36" i="19"/>
  <c r="B167" i="50" s="1"/>
  <c r="M36" i="19"/>
  <c r="DD71" i="3"/>
  <c r="DE87" i="3"/>
  <c r="DE85" i="3"/>
  <c r="DE83" i="3"/>
  <c r="DE81" i="3"/>
  <c r="DE77" i="3"/>
  <c r="DE75" i="3"/>
  <c r="DE73" i="3"/>
  <c r="DE70" i="3"/>
  <c r="DE88" i="3"/>
  <c r="DE86" i="3"/>
  <c r="DE84" i="3"/>
  <c r="DE82" i="3"/>
  <c r="DE80" i="3"/>
  <c r="DE76" i="3"/>
  <c r="DE74" i="3"/>
  <c r="DE69" i="3"/>
  <c r="B15" i="3"/>
  <c r="B13" i="3"/>
  <c r="C51" i="19"/>
  <c r="D51" i="19"/>
  <c r="B176" i="50" s="1"/>
  <c r="S36" i="19"/>
  <c r="B173" i="50" s="1"/>
  <c r="R36" i="19"/>
  <c r="B172" i="50" s="1"/>
  <c r="B174" i="50"/>
  <c r="U36" i="19"/>
  <c r="B175" i="50" s="1"/>
  <c r="G26" i="61"/>
  <c r="G27" i="61" s="1"/>
  <c r="F27" i="61" s="1"/>
  <c r="D176" i="50"/>
  <c r="C72" i="19"/>
  <c r="C70" i="19"/>
  <c r="C71" i="19"/>
  <c r="D165" i="50"/>
  <c r="T37" i="2"/>
  <c r="T87" i="2"/>
  <c r="B181" i="50"/>
  <c r="B183" i="50"/>
  <c r="B671" i="50"/>
  <c r="C32" i="19"/>
  <c r="B93" i="50"/>
  <c r="B200" i="50"/>
  <c r="J169" i="77" l="1"/>
  <c r="J167" i="20"/>
  <c r="K170" i="77"/>
  <c r="K168" i="20"/>
  <c r="K169" i="77"/>
  <c r="K167" i="20"/>
  <c r="J168" i="77"/>
  <c r="M167" i="20"/>
  <c r="J169" i="78"/>
  <c r="B171" i="50"/>
  <c r="L161" i="78"/>
  <c r="L161" i="20" s="1"/>
  <c r="K163" i="78"/>
  <c r="K163" i="20" s="1"/>
  <c r="N161" i="78"/>
  <c r="N161" i="20" s="1"/>
  <c r="K162" i="78"/>
  <c r="K162" i="20" s="1"/>
  <c r="M169" i="77"/>
  <c r="N167" i="77"/>
  <c r="N168" i="77"/>
  <c r="K170" i="78"/>
  <c r="N168" i="78"/>
  <c r="K169" i="78"/>
  <c r="N167" i="78"/>
  <c r="M169" i="78"/>
  <c r="J168" i="78"/>
  <c r="B169" i="50"/>
  <c r="B177" i="50"/>
  <c r="B178" i="50"/>
  <c r="B179" i="50"/>
  <c r="CZ89" i="3"/>
  <c r="CZ90" i="3" s="1"/>
  <c r="DD89" i="3"/>
  <c r="DD90" i="3" s="1"/>
  <c r="DB89" i="3"/>
  <c r="DB90" i="3" s="1"/>
  <c r="DE89" i="3"/>
  <c r="DE90" i="3" s="1"/>
  <c r="DE93" i="3" s="1"/>
  <c r="DC89" i="3"/>
  <c r="DC90" i="3" s="1"/>
  <c r="DA89" i="3"/>
  <c r="DA90" i="3" s="1"/>
  <c r="DE71" i="3"/>
  <c r="DF88" i="3"/>
  <c r="DF84" i="3"/>
  <c r="DF80" i="3"/>
  <c r="DF74" i="3"/>
  <c r="DF70" i="3"/>
  <c r="DF81" i="3"/>
  <c r="DF87" i="3"/>
  <c r="DF83" i="3"/>
  <c r="DF77" i="3"/>
  <c r="DF73" i="3"/>
  <c r="DF69" i="3"/>
  <c r="DF75" i="3"/>
  <c r="DF86" i="3"/>
  <c r="DF82" i="3"/>
  <c r="DF76" i="3"/>
  <c r="B249" i="3"/>
  <c r="DF85" i="3"/>
  <c r="CZ91" i="3"/>
  <c r="CZ92" i="3" s="1"/>
  <c r="DA91" i="3"/>
  <c r="DA92" i="3" s="1"/>
  <c r="DB91" i="3"/>
  <c r="DB92" i="3" s="1"/>
  <c r="DC91" i="3"/>
  <c r="DC92" i="3" s="1"/>
  <c r="DE91" i="3"/>
  <c r="DE92" i="3" s="1"/>
  <c r="DD91" i="3"/>
  <c r="DD92" i="3" s="1"/>
  <c r="B677" i="50"/>
  <c r="B676" i="50"/>
  <c r="B678" i="50"/>
  <c r="CT91" i="3"/>
  <c r="CT92" i="3" s="1"/>
  <c r="CL91" i="3"/>
  <c r="CL92" i="3" s="1"/>
  <c r="CD91" i="3"/>
  <c r="CD92" i="3" s="1"/>
  <c r="BV91" i="3"/>
  <c r="BV92" i="3" s="1"/>
  <c r="BN91" i="3"/>
  <c r="BN92" i="3" s="1"/>
  <c r="BF91" i="3"/>
  <c r="BF92" i="3" s="1"/>
  <c r="AX91" i="3"/>
  <c r="AX92" i="3" s="1"/>
  <c r="AP91" i="3"/>
  <c r="AP92" i="3" s="1"/>
  <c r="AF91" i="3"/>
  <c r="AF92" i="3" s="1"/>
  <c r="V120" i="3"/>
  <c r="V121" i="3" s="1"/>
  <c r="H143" i="3"/>
  <c r="H144" i="3" s="1"/>
  <c r="E91" i="3"/>
  <c r="E92" i="3" s="1"/>
  <c r="N143" i="3"/>
  <c r="N144" i="3" s="1"/>
  <c r="CR91" i="3"/>
  <c r="CR92" i="3" s="1"/>
  <c r="CJ91" i="3"/>
  <c r="CJ92" i="3" s="1"/>
  <c r="CB91" i="3"/>
  <c r="CB92" i="3" s="1"/>
  <c r="BT91" i="3"/>
  <c r="BT92" i="3" s="1"/>
  <c r="BL91" i="3"/>
  <c r="BL92" i="3" s="1"/>
  <c r="BD91" i="3"/>
  <c r="BD92" i="3" s="1"/>
  <c r="AV91" i="3"/>
  <c r="AV92" i="3" s="1"/>
  <c r="AN91" i="3"/>
  <c r="AN92" i="3" s="1"/>
  <c r="AE91" i="3"/>
  <c r="AE92" i="3" s="1"/>
  <c r="N25" i="5"/>
  <c r="N26" i="5" s="1"/>
  <c r="N25" i="1"/>
  <c r="N26" i="1" s="1"/>
  <c r="AA120" i="3"/>
  <c r="AA121" i="3" s="1"/>
  <c r="AB120" i="3"/>
  <c r="AB121" i="3" s="1"/>
  <c r="R120" i="3"/>
  <c r="R121" i="3" s="1"/>
  <c r="CX91" i="3"/>
  <c r="CX92" i="3" s="1"/>
  <c r="CP91" i="3"/>
  <c r="CP92" i="3" s="1"/>
  <c r="CH91" i="3"/>
  <c r="CH92" i="3" s="1"/>
  <c r="BZ91" i="3"/>
  <c r="BZ92" i="3" s="1"/>
  <c r="BR91" i="3"/>
  <c r="BR92" i="3" s="1"/>
  <c r="BJ91" i="3"/>
  <c r="BJ92" i="3" s="1"/>
  <c r="BB91" i="3"/>
  <c r="BB92" i="3" s="1"/>
  <c r="AT91" i="3"/>
  <c r="AT92" i="3" s="1"/>
  <c r="AL91" i="3"/>
  <c r="AL92" i="3" s="1"/>
  <c r="D120" i="3"/>
  <c r="D121" i="3" s="1"/>
  <c r="J120" i="3"/>
  <c r="J121" i="3" s="1"/>
  <c r="L91" i="3"/>
  <c r="L92" i="3" s="1"/>
  <c r="M120" i="3"/>
  <c r="M121" i="3" s="1"/>
  <c r="K91" i="3"/>
  <c r="K92" i="3" s="1"/>
  <c r="CV91" i="3"/>
  <c r="CV92" i="3" s="1"/>
  <c r="CN91" i="3"/>
  <c r="CN92" i="3" s="1"/>
  <c r="CF91" i="3"/>
  <c r="CF92" i="3" s="1"/>
  <c r="BX91" i="3"/>
  <c r="BX92" i="3" s="1"/>
  <c r="BP91" i="3"/>
  <c r="BP92" i="3" s="1"/>
  <c r="BH91" i="3"/>
  <c r="BH92" i="3" s="1"/>
  <c r="AZ91" i="3"/>
  <c r="AZ92" i="3" s="1"/>
  <c r="AR91" i="3"/>
  <c r="AR92" i="3" s="1"/>
  <c r="AJ91" i="3"/>
  <c r="AJ92" i="3" s="1"/>
  <c r="D91" i="3"/>
  <c r="D92" i="3" s="1"/>
  <c r="AE120" i="3"/>
  <c r="AE121" i="3" s="1"/>
  <c r="G120" i="3"/>
  <c r="G121" i="3" s="1"/>
  <c r="V91" i="3"/>
  <c r="V92" i="3" s="1"/>
  <c r="CY91" i="3"/>
  <c r="CY92" i="3" s="1"/>
  <c r="CU91" i="3"/>
  <c r="CU92" i="3" s="1"/>
  <c r="CQ91" i="3"/>
  <c r="CQ92" i="3" s="1"/>
  <c r="CM91" i="3"/>
  <c r="CM92" i="3" s="1"/>
  <c r="CI91" i="3"/>
  <c r="CI92" i="3" s="1"/>
  <c r="CE91" i="3"/>
  <c r="CE92" i="3" s="1"/>
  <c r="CA91" i="3"/>
  <c r="CA92" i="3" s="1"/>
  <c r="BW91" i="3"/>
  <c r="BW92" i="3" s="1"/>
  <c r="BS91" i="3"/>
  <c r="BS92" i="3" s="1"/>
  <c r="BO91" i="3"/>
  <c r="BO92" i="3" s="1"/>
  <c r="BK91" i="3"/>
  <c r="BK92" i="3" s="1"/>
  <c r="BG91" i="3"/>
  <c r="BG92" i="3" s="1"/>
  <c r="BC91" i="3"/>
  <c r="BC92" i="3" s="1"/>
  <c r="AY91" i="3"/>
  <c r="AY92" i="3" s="1"/>
  <c r="AU91" i="3"/>
  <c r="AU92" i="3" s="1"/>
  <c r="AQ91" i="3"/>
  <c r="AQ92" i="3" s="1"/>
  <c r="AM91" i="3"/>
  <c r="AM92" i="3" s="1"/>
  <c r="AI91" i="3"/>
  <c r="AI92" i="3" s="1"/>
  <c r="W91" i="3"/>
  <c r="W92" i="3" s="1"/>
  <c r="S120" i="3"/>
  <c r="S121" i="3" s="1"/>
  <c r="P91" i="3"/>
  <c r="P92" i="3" s="1"/>
  <c r="J143" i="3"/>
  <c r="J144" i="3" s="1"/>
  <c r="M143" i="3"/>
  <c r="M144" i="3" s="1"/>
  <c r="H120" i="3"/>
  <c r="H121" i="3" s="1"/>
  <c r="Z91" i="3"/>
  <c r="Z92" i="3" s="1"/>
  <c r="N91" i="3"/>
  <c r="N92" i="3" s="1"/>
  <c r="C143" i="3"/>
  <c r="C144" i="3" s="1"/>
  <c r="Y120" i="3"/>
  <c r="Y121" i="3" s="1"/>
  <c r="H91" i="3"/>
  <c r="H92" i="3" s="1"/>
  <c r="X91" i="3"/>
  <c r="X92" i="3" s="1"/>
  <c r="Y91" i="3"/>
  <c r="Y92" i="3" s="1"/>
  <c r="G143" i="3"/>
  <c r="G144" i="3" s="1"/>
  <c r="AA91" i="3"/>
  <c r="AA92" i="3" s="1"/>
  <c r="F120" i="3"/>
  <c r="F121" i="3" s="1"/>
  <c r="J91" i="3"/>
  <c r="J92" i="3" s="1"/>
  <c r="F91" i="3"/>
  <c r="F92" i="3" s="1"/>
  <c r="U120" i="3"/>
  <c r="U121" i="3" s="1"/>
  <c r="P143" i="3"/>
  <c r="P144" i="3" s="1"/>
  <c r="N120" i="3"/>
  <c r="N121" i="3" s="1"/>
  <c r="Z120" i="3"/>
  <c r="Z121" i="3" s="1"/>
  <c r="E120" i="3"/>
  <c r="E121" i="3" s="1"/>
  <c r="I143" i="3"/>
  <c r="I144" i="3" s="1"/>
  <c r="AG91" i="3"/>
  <c r="AG92" i="3" s="1"/>
  <c r="C91" i="3"/>
  <c r="C92" i="3" s="1"/>
  <c r="G91" i="3"/>
  <c r="G92" i="3" s="1"/>
  <c r="L120" i="3"/>
  <c r="L121" i="3" s="1"/>
  <c r="I91" i="3"/>
  <c r="I92" i="3" s="1"/>
  <c r="CW91" i="3"/>
  <c r="CW92" i="3" s="1"/>
  <c r="CS91" i="3"/>
  <c r="CS92" i="3" s="1"/>
  <c r="CO91" i="3"/>
  <c r="CO92" i="3" s="1"/>
  <c r="CK91" i="3"/>
  <c r="CK92" i="3" s="1"/>
  <c r="CG91" i="3"/>
  <c r="CG92" i="3" s="1"/>
  <c r="CC91" i="3"/>
  <c r="CC92" i="3" s="1"/>
  <c r="BY91" i="3"/>
  <c r="BY92" i="3" s="1"/>
  <c r="BU91" i="3"/>
  <c r="BU92" i="3" s="1"/>
  <c r="BQ91" i="3"/>
  <c r="BQ92" i="3" s="1"/>
  <c r="BM91" i="3"/>
  <c r="BM92" i="3" s="1"/>
  <c r="BI91" i="3"/>
  <c r="BI92" i="3" s="1"/>
  <c r="BE91" i="3"/>
  <c r="BE92" i="3" s="1"/>
  <c r="BA91" i="3"/>
  <c r="BA92" i="3" s="1"/>
  <c r="AW91" i="3"/>
  <c r="AW92" i="3" s="1"/>
  <c r="AS91" i="3"/>
  <c r="AS92" i="3" s="1"/>
  <c r="AO91" i="3"/>
  <c r="AO92" i="3" s="1"/>
  <c r="AK91" i="3"/>
  <c r="AK92" i="3" s="1"/>
  <c r="AH91" i="3"/>
  <c r="AH92" i="3" s="1"/>
  <c r="K143" i="3"/>
  <c r="K144" i="3" s="1"/>
  <c r="T120" i="3"/>
  <c r="T121" i="3" s="1"/>
  <c r="M91" i="3"/>
  <c r="M92" i="3" s="1"/>
  <c r="AC120" i="3"/>
  <c r="AC121" i="3" s="1"/>
  <c r="O91" i="3"/>
  <c r="O92" i="3" s="1"/>
  <c r="AD91" i="3"/>
  <c r="AD92" i="3" s="1"/>
  <c r="AC91" i="3"/>
  <c r="AC92" i="3" s="1"/>
  <c r="P120" i="3"/>
  <c r="P121" i="3" s="1"/>
  <c r="Q91" i="3"/>
  <c r="Q92" i="3" s="1"/>
  <c r="D143" i="3"/>
  <c r="D144" i="3" s="1"/>
  <c r="AB91" i="3"/>
  <c r="AB92" i="3" s="1"/>
  <c r="L143" i="3"/>
  <c r="L144" i="3" s="1"/>
  <c r="F143" i="3"/>
  <c r="F144" i="3" s="1"/>
  <c r="Q143" i="3"/>
  <c r="Q144" i="3" s="1"/>
  <c r="R91" i="3"/>
  <c r="R92" i="3" s="1"/>
  <c r="E143" i="3"/>
  <c r="E144" i="3" s="1"/>
  <c r="S91" i="3"/>
  <c r="S92" i="3" s="1"/>
  <c r="T91" i="3"/>
  <c r="T92" i="3" s="1"/>
  <c r="C120" i="3"/>
  <c r="C121" i="3" s="1"/>
  <c r="I120" i="3"/>
  <c r="I121" i="3" s="1"/>
  <c r="U91" i="3"/>
  <c r="U92" i="3" s="1"/>
  <c r="O143" i="3"/>
  <c r="O144" i="3" s="1"/>
  <c r="W120" i="3"/>
  <c r="W121" i="3" s="1"/>
  <c r="O120" i="3"/>
  <c r="O121" i="3" s="1"/>
  <c r="X120" i="3"/>
  <c r="X121" i="3" s="1"/>
  <c r="Q120" i="3"/>
  <c r="Q121" i="3" s="1"/>
  <c r="AD120" i="3"/>
  <c r="AD121" i="3" s="1"/>
  <c r="K120" i="3"/>
  <c r="K121" i="3" s="1"/>
  <c r="CW89" i="3"/>
  <c r="CW90" i="3" s="1"/>
  <c r="CA89" i="3"/>
  <c r="CA90" i="3" s="1"/>
  <c r="BG89" i="3"/>
  <c r="BG90" i="3" s="1"/>
  <c r="BF89" i="3"/>
  <c r="BF90" i="3" s="1"/>
  <c r="CF89" i="3"/>
  <c r="CF90" i="3" s="1"/>
  <c r="BN89" i="3"/>
  <c r="BN90" i="3" s="1"/>
  <c r="BH89" i="3"/>
  <c r="BH90" i="3" s="1"/>
  <c r="CK89" i="3"/>
  <c r="CK90" i="3" s="1"/>
  <c r="BR89" i="3"/>
  <c r="BR90" i="3" s="1"/>
  <c r="CQ89" i="3"/>
  <c r="CQ90" i="3" s="1"/>
  <c r="BW89" i="3"/>
  <c r="BW90" i="3" s="1"/>
  <c r="AQ89" i="3"/>
  <c r="AQ90" i="3" s="1"/>
  <c r="CR89" i="3"/>
  <c r="CR90" i="3" s="1"/>
  <c r="BX89" i="3"/>
  <c r="BX90" i="3" s="1"/>
  <c r="AT89" i="3"/>
  <c r="AT90" i="3" s="1"/>
  <c r="AN89" i="3"/>
  <c r="AN90" i="3" s="1"/>
  <c r="CM89" i="3"/>
  <c r="CM90" i="3" s="1"/>
  <c r="BD89" i="3"/>
  <c r="BD90" i="3" s="1"/>
  <c r="Z89" i="3"/>
  <c r="Z90" i="3" s="1"/>
  <c r="CP89" i="3"/>
  <c r="CP90" i="3" s="1"/>
  <c r="CS89" i="3"/>
  <c r="CS90" i="3" s="1"/>
  <c r="S89" i="3"/>
  <c r="S90" i="3" s="1"/>
  <c r="BT89" i="3"/>
  <c r="BT90" i="3" s="1"/>
  <c r="CI89" i="3"/>
  <c r="CI90" i="3" s="1"/>
  <c r="CD89" i="3"/>
  <c r="CD90" i="3" s="1"/>
  <c r="BQ89" i="3"/>
  <c r="BQ90" i="3" s="1"/>
  <c r="BK89" i="3"/>
  <c r="BK90" i="3" s="1"/>
  <c r="BC89" i="3"/>
  <c r="BC90" i="3" s="1"/>
  <c r="AX89" i="3"/>
  <c r="AX90" i="3" s="1"/>
  <c r="AR89" i="3"/>
  <c r="AR90" i="3" s="1"/>
  <c r="AI89" i="3"/>
  <c r="AI90" i="3" s="1"/>
  <c r="R89" i="3"/>
  <c r="R90" i="3" s="1"/>
  <c r="O118" i="3"/>
  <c r="O119" i="3" s="1"/>
  <c r="CX89" i="3"/>
  <c r="CX90" i="3" s="1"/>
  <c r="CB89" i="3"/>
  <c r="CB90" i="3" s="1"/>
  <c r="BJ89" i="3"/>
  <c r="BJ90" i="3" s="1"/>
  <c r="AZ89" i="3"/>
  <c r="AZ90" i="3" s="1"/>
  <c r="CT89" i="3"/>
  <c r="CT90" i="3" s="1"/>
  <c r="CE89" i="3"/>
  <c r="CE90" i="3" s="1"/>
  <c r="BY89" i="3"/>
  <c r="BY90" i="3" s="1"/>
  <c r="BL89" i="3"/>
  <c r="BL90" i="3" s="1"/>
  <c r="BE89" i="3"/>
  <c r="BE90" i="3" s="1"/>
  <c r="C141" i="3"/>
  <c r="C142" i="3" s="1"/>
  <c r="AB89" i="3"/>
  <c r="AB90" i="3" s="1"/>
  <c r="AL89" i="3"/>
  <c r="AL90" i="3" s="1"/>
  <c r="CG89" i="3"/>
  <c r="CG90" i="3" s="1"/>
  <c r="BO89" i="3"/>
  <c r="BO90" i="3" s="1"/>
  <c r="AW89" i="3"/>
  <c r="AW90" i="3" s="1"/>
  <c r="AS89" i="3"/>
  <c r="AS90" i="3" s="1"/>
  <c r="AU89" i="3"/>
  <c r="AU90" i="3" s="1"/>
  <c r="O89" i="3"/>
  <c r="O90" i="3" s="1"/>
  <c r="CC89" i="3"/>
  <c r="CC90" i="3" s="1"/>
  <c r="CV89" i="3"/>
  <c r="CV90" i="3" s="1"/>
  <c r="AG89" i="3"/>
  <c r="AG90" i="3" s="1"/>
  <c r="BM89" i="3"/>
  <c r="BM90" i="3" s="1"/>
  <c r="CJ89" i="3"/>
  <c r="CJ90" i="3" s="1"/>
  <c r="CY89" i="3"/>
  <c r="CY90" i="3" s="1"/>
  <c r="CU89" i="3"/>
  <c r="CU90" i="3" s="1"/>
  <c r="CN89" i="3"/>
  <c r="CN90" i="3" s="1"/>
  <c r="BZ89" i="3"/>
  <c r="BZ90" i="3" s="1"/>
  <c r="BU89" i="3"/>
  <c r="BU90" i="3" s="1"/>
  <c r="BI89" i="3"/>
  <c r="BI90" i="3" s="1"/>
  <c r="BB89" i="3"/>
  <c r="BB90" i="3" s="1"/>
  <c r="BA89" i="3"/>
  <c r="BA90" i="3" s="1"/>
  <c r="AV89" i="3"/>
  <c r="AV90" i="3" s="1"/>
  <c r="N141" i="3"/>
  <c r="N142" i="3" s="1"/>
  <c r="E141" i="3"/>
  <c r="E142" i="3" s="1"/>
  <c r="X89" i="3"/>
  <c r="X90" i="3" s="1"/>
  <c r="AC89" i="3"/>
  <c r="AC90" i="3" s="1"/>
  <c r="CL89" i="3"/>
  <c r="CL90" i="3" s="1"/>
  <c r="BS89" i="3"/>
  <c r="BS90" i="3" s="1"/>
  <c r="AY89" i="3"/>
  <c r="AY90" i="3" s="1"/>
  <c r="AO89" i="3"/>
  <c r="AO90" i="3" s="1"/>
  <c r="CO89" i="3"/>
  <c r="CO90" i="3" s="1"/>
  <c r="CH89" i="3"/>
  <c r="CH90" i="3" s="1"/>
  <c r="BV89" i="3"/>
  <c r="BV90" i="3" s="1"/>
  <c r="BP89" i="3"/>
  <c r="BP90" i="3" s="1"/>
  <c r="AP89" i="3"/>
  <c r="AP90" i="3" s="1"/>
  <c r="Y89" i="3"/>
  <c r="Y90" i="3" s="1"/>
  <c r="L141" i="3"/>
  <c r="L142" i="3" s="1"/>
  <c r="P89" i="3"/>
  <c r="P90" i="3" s="1"/>
  <c r="AJ89" i="3"/>
  <c r="AJ90" i="3" s="1"/>
  <c r="E118" i="3"/>
  <c r="E119" i="3" s="1"/>
  <c r="AE89" i="3"/>
  <c r="AE90" i="3" s="1"/>
  <c r="AE118" i="3"/>
  <c r="AE119" i="3" s="1"/>
  <c r="AB118" i="3"/>
  <c r="AB119" i="3" s="1"/>
  <c r="I118" i="3"/>
  <c r="I119" i="3" s="1"/>
  <c r="K141" i="3"/>
  <c r="K142" i="3" s="1"/>
  <c r="AD118" i="3"/>
  <c r="V89" i="3"/>
  <c r="V90" i="3" s="1"/>
  <c r="L89" i="3"/>
  <c r="L90" i="3" s="1"/>
  <c r="AA89" i="3"/>
  <c r="AA90" i="3" s="1"/>
  <c r="G118" i="3"/>
  <c r="G119" i="3" s="1"/>
  <c r="K118" i="3"/>
  <c r="K119" i="3" s="1"/>
  <c r="H89" i="3"/>
  <c r="H90" i="3" s="1"/>
  <c r="AM89" i="3"/>
  <c r="AM90" i="3" s="1"/>
  <c r="AK89" i="3"/>
  <c r="AK90" i="3" s="1"/>
  <c r="C89" i="3"/>
  <c r="C90" i="3" s="1"/>
  <c r="V118" i="3"/>
  <c r="V119" i="3" s="1"/>
  <c r="J118" i="3"/>
  <c r="J119" i="3" s="1"/>
  <c r="N118" i="3"/>
  <c r="N119" i="3" s="1"/>
  <c r="AH89" i="3"/>
  <c r="AH90" i="3" s="1"/>
  <c r="O141" i="3"/>
  <c r="O142" i="3" s="1"/>
  <c r="U89" i="3"/>
  <c r="U90" i="3" s="1"/>
  <c r="Y118" i="3"/>
  <c r="Y119" i="3" s="1"/>
  <c r="N23" i="1"/>
  <c r="N24" i="1" s="1"/>
  <c r="N27" i="1" s="1"/>
  <c r="J89" i="3"/>
  <c r="J90" i="3" s="1"/>
  <c r="M89" i="3"/>
  <c r="M90" i="3" s="1"/>
  <c r="M118" i="3"/>
  <c r="M119" i="3" s="1"/>
  <c r="J141" i="3"/>
  <c r="J142" i="3" s="1"/>
  <c r="H141" i="3"/>
  <c r="H142" i="3" s="1"/>
  <c r="I141" i="3"/>
  <c r="I142" i="3" s="1"/>
  <c r="Q118" i="3"/>
  <c r="Q119" i="3" s="1"/>
  <c r="D118" i="3"/>
  <c r="D119" i="3" s="1"/>
  <c r="X118" i="3"/>
  <c r="X119" i="3" s="1"/>
  <c r="Z118" i="3"/>
  <c r="Z119" i="3" s="1"/>
  <c r="N89" i="3"/>
  <c r="N90" i="3" s="1"/>
  <c r="P141" i="3"/>
  <c r="P142" i="3" s="1"/>
  <c r="D89" i="3"/>
  <c r="D90" i="3" s="1"/>
  <c r="G141" i="3"/>
  <c r="G142" i="3" s="1"/>
  <c r="AF89" i="3"/>
  <c r="AF90" i="3" s="1"/>
  <c r="F89" i="3"/>
  <c r="F90" i="3" s="1"/>
  <c r="E89" i="3"/>
  <c r="E90" i="3" s="1"/>
  <c r="AA118" i="3"/>
  <c r="AA119" i="3" s="1"/>
  <c r="G89" i="3"/>
  <c r="G90" i="3" s="1"/>
  <c r="F141" i="3"/>
  <c r="F142" i="3" s="1"/>
  <c r="D141" i="3"/>
  <c r="D142" i="3" s="1"/>
  <c r="T89" i="3"/>
  <c r="T90" i="3" s="1"/>
  <c r="Q89" i="3"/>
  <c r="Q90" i="3" s="1"/>
  <c r="R118" i="3"/>
  <c r="R119" i="3" s="1"/>
  <c r="H118" i="3"/>
  <c r="H119" i="3" s="1"/>
  <c r="L118" i="3"/>
  <c r="L119" i="3" s="1"/>
  <c r="T118" i="3"/>
  <c r="T119" i="3" s="1"/>
  <c r="K89" i="3"/>
  <c r="K90" i="3" s="1"/>
  <c r="F118" i="3"/>
  <c r="F119" i="3" s="1"/>
  <c r="C118" i="3"/>
  <c r="C119" i="3" s="1"/>
  <c r="P118" i="3"/>
  <c r="P119" i="3" s="1"/>
  <c r="M141" i="3"/>
  <c r="M142" i="3" s="1"/>
  <c r="W89" i="3"/>
  <c r="W90" i="3" s="1"/>
  <c r="Q141" i="3"/>
  <c r="Q142" i="3" s="1"/>
  <c r="U118" i="3"/>
  <c r="U119" i="3" s="1"/>
  <c r="AC118" i="3"/>
  <c r="AC119" i="3" s="1"/>
  <c r="AD89" i="3"/>
  <c r="AD90" i="3" s="1"/>
  <c r="I89" i="3"/>
  <c r="I90" i="3" s="1"/>
  <c r="S118" i="3"/>
  <c r="S119" i="3" s="1"/>
  <c r="C340" i="3"/>
  <c r="W118" i="3"/>
  <c r="W119" i="3" s="1"/>
  <c r="N23" i="5"/>
  <c r="N24" i="5" s="1"/>
  <c r="N27" i="5" s="1"/>
  <c r="N36" i="19"/>
  <c r="B170" i="50"/>
  <c r="G28" i="61"/>
  <c r="F28" i="61" s="1"/>
  <c r="M169" i="20" l="1"/>
  <c r="J168" i="20"/>
  <c r="K170" i="20"/>
  <c r="K169" i="20"/>
  <c r="J169" i="20"/>
  <c r="J170" i="77"/>
  <c r="M168" i="77"/>
  <c r="M170" i="77" s="1"/>
  <c r="N169" i="77"/>
  <c r="N167" i="20"/>
  <c r="N170" i="77"/>
  <c r="N168" i="20"/>
  <c r="AB122" i="3"/>
  <c r="C29" i="61"/>
  <c r="K164" i="78"/>
  <c r="K164" i="20" s="1"/>
  <c r="N170" i="78"/>
  <c r="N169" i="78"/>
  <c r="N164" i="78"/>
  <c r="N164" i="20" s="1"/>
  <c r="N163" i="78"/>
  <c r="N163" i="20" s="1"/>
  <c r="N162" i="78"/>
  <c r="N162" i="20" s="1"/>
  <c r="L163" i="78"/>
  <c r="L163" i="20" s="1"/>
  <c r="L162" i="78"/>
  <c r="L162" i="20" s="1"/>
  <c r="O161" i="78"/>
  <c r="O161" i="20" s="1"/>
  <c r="M168" i="78"/>
  <c r="J170" i="78"/>
  <c r="I93" i="3"/>
  <c r="CR93" i="3"/>
  <c r="BD93" i="3"/>
  <c r="F122" i="3"/>
  <c r="BL93" i="3"/>
  <c r="AC122" i="3"/>
  <c r="R122" i="3"/>
  <c r="AH93" i="3"/>
  <c r="CL93" i="3"/>
  <c r="X122" i="3"/>
  <c r="D122" i="3"/>
  <c r="C265" i="3" s="1"/>
  <c r="C267" i="3" s="1"/>
  <c r="C266" i="3" s="1"/>
  <c r="W93" i="3"/>
  <c r="N122" i="3"/>
  <c r="T122" i="3"/>
  <c r="Y93" i="3"/>
  <c r="M122" i="3"/>
  <c r="AE122" i="3"/>
  <c r="C331" i="3" s="1"/>
  <c r="AS93" i="3"/>
  <c r="L122" i="3"/>
  <c r="BV93" i="3"/>
  <c r="AY93" i="3"/>
  <c r="J122" i="3"/>
  <c r="V122" i="3"/>
  <c r="H122" i="3"/>
  <c r="C122" i="3"/>
  <c r="C262" i="3" s="1"/>
  <c r="C264" i="3" s="1"/>
  <c r="C263" i="3" s="1"/>
  <c r="Z122" i="3"/>
  <c r="P122" i="3"/>
  <c r="G93" i="3"/>
  <c r="AM93" i="3"/>
  <c r="AA93" i="3"/>
  <c r="CC93" i="3"/>
  <c r="AW93" i="3"/>
  <c r="D93" i="3"/>
  <c r="BS93" i="3"/>
  <c r="E122" i="3"/>
  <c r="CB93" i="3"/>
  <c r="AN93" i="3"/>
  <c r="AT93" i="3"/>
  <c r="U122" i="3"/>
  <c r="BT93" i="3"/>
  <c r="H93" i="3"/>
  <c r="AJ93" i="3"/>
  <c r="AP93" i="3"/>
  <c r="CU93" i="3"/>
  <c r="CX93" i="3"/>
  <c r="C342" i="3"/>
  <c r="C341" i="3" s="1"/>
  <c r="D340" i="3"/>
  <c r="K93" i="3"/>
  <c r="AV93" i="3"/>
  <c r="AX93" i="3"/>
  <c r="CD93" i="3"/>
  <c r="BE93" i="3"/>
  <c r="Q122" i="3"/>
  <c r="M93" i="3"/>
  <c r="Y122" i="3"/>
  <c r="C93" i="3"/>
  <c r="P93" i="3"/>
  <c r="AC93" i="3"/>
  <c r="CY93" i="3"/>
  <c r="C225" i="3" s="1"/>
  <c r="C227" i="3" s="1"/>
  <c r="C226" i="3" s="1"/>
  <c r="W122" i="3"/>
  <c r="E93" i="3"/>
  <c r="AU93" i="3"/>
  <c r="CT93" i="3"/>
  <c r="BN93" i="3"/>
  <c r="J93" i="3"/>
  <c r="G122" i="3"/>
  <c r="AE93" i="3"/>
  <c r="BJ93" i="3"/>
  <c r="CP93" i="3"/>
  <c r="AF93" i="3"/>
  <c r="AA122" i="3"/>
  <c r="N93" i="3"/>
  <c r="CN93" i="3"/>
  <c r="AG93" i="3"/>
  <c r="CQ93" i="3"/>
  <c r="CA93" i="3"/>
  <c r="O93" i="3"/>
  <c r="BK93" i="3"/>
  <c r="BH93" i="3"/>
  <c r="L93" i="3"/>
  <c r="BZ93" i="3"/>
  <c r="BP93" i="3"/>
  <c r="CO93" i="3"/>
  <c r="BI93" i="3"/>
  <c r="S93" i="3"/>
  <c r="Q93" i="3"/>
  <c r="U93" i="3"/>
  <c r="BY93" i="3"/>
  <c r="CV93" i="3"/>
  <c r="AL93" i="3"/>
  <c r="BR93" i="3"/>
  <c r="I122" i="3"/>
  <c r="BM93" i="3"/>
  <c r="BO93" i="3"/>
  <c r="CE93" i="3"/>
  <c r="AI93" i="3"/>
  <c r="Z93" i="3"/>
  <c r="S122" i="3"/>
  <c r="AD93" i="3"/>
  <c r="F93" i="3"/>
  <c r="K122" i="3"/>
  <c r="AO93" i="3"/>
  <c r="BU93" i="3"/>
  <c r="AZ93" i="3"/>
  <c r="O122" i="3"/>
  <c r="CS93" i="3"/>
  <c r="CM93" i="3"/>
  <c r="CF93" i="3"/>
  <c r="C319" i="3"/>
  <c r="D319" i="3" s="1"/>
  <c r="X93" i="3"/>
  <c r="CJ93" i="3"/>
  <c r="AQ93" i="3"/>
  <c r="CK93" i="3"/>
  <c r="BF93" i="3"/>
  <c r="T93" i="3"/>
  <c r="V93" i="3"/>
  <c r="CH93" i="3"/>
  <c r="BB93" i="3"/>
  <c r="BW93" i="3"/>
  <c r="BG93" i="3"/>
  <c r="CG93" i="3"/>
  <c r="AR93" i="3"/>
  <c r="BQ93" i="3"/>
  <c r="BX93" i="3"/>
  <c r="CW93" i="3"/>
  <c r="AK93" i="3"/>
  <c r="BA93" i="3"/>
  <c r="AB93" i="3"/>
  <c r="R93" i="3"/>
  <c r="BC93" i="3"/>
  <c r="CI93" i="3"/>
  <c r="DB93" i="3"/>
  <c r="C234" i="3" s="1"/>
  <c r="DA93" i="3"/>
  <c r="C231" i="3" s="1"/>
  <c r="DD93" i="3"/>
  <c r="DC93" i="3"/>
  <c r="CZ93" i="3"/>
  <c r="C228" i="3" s="1"/>
  <c r="K145" i="3"/>
  <c r="F145" i="3"/>
  <c r="P145" i="3"/>
  <c r="Q145" i="3"/>
  <c r="D145" i="3"/>
  <c r="H145" i="3"/>
  <c r="B243" i="3"/>
  <c r="C243" i="3" s="1"/>
  <c r="C245" i="3" s="1"/>
  <c r="C244" i="3" s="1"/>
  <c r="B222" i="3"/>
  <c r="L222" i="3" s="1"/>
  <c r="L224" i="3" s="1"/>
  <c r="L223" i="3" s="1"/>
  <c r="B237" i="3"/>
  <c r="M145" i="3"/>
  <c r="L145" i="3"/>
  <c r="G145" i="3"/>
  <c r="J145" i="3"/>
  <c r="N145" i="3"/>
  <c r="I145" i="3"/>
  <c r="B198" i="3"/>
  <c r="L198" i="3" s="1"/>
  <c r="L200" i="3" s="1"/>
  <c r="L199" i="3" s="1"/>
  <c r="B246" i="3"/>
  <c r="B192" i="3"/>
  <c r="F192" i="3" s="1"/>
  <c r="F194" i="3" s="1"/>
  <c r="F193" i="3" s="1"/>
  <c r="DF91" i="3"/>
  <c r="DF92" i="3" s="1"/>
  <c r="B252" i="3"/>
  <c r="K252" i="3" s="1"/>
  <c r="K254" i="3" s="1"/>
  <c r="K253" i="3" s="1"/>
  <c r="B207" i="3"/>
  <c r="C207" i="3" s="1"/>
  <c r="C209" i="3" s="1"/>
  <c r="C208" i="3" s="1"/>
  <c r="B213" i="3"/>
  <c r="K213" i="3" s="1"/>
  <c r="K215" i="3" s="1"/>
  <c r="K214" i="3" s="1"/>
  <c r="E145" i="3"/>
  <c r="DF89" i="3"/>
  <c r="DF90" i="3" s="1"/>
  <c r="DF93" i="3" s="1"/>
  <c r="C249" i="3" s="1"/>
  <c r="C251" i="3" s="1"/>
  <c r="C250" i="3" s="1"/>
  <c r="DF71" i="3"/>
  <c r="O145" i="3"/>
  <c r="C145" i="3"/>
  <c r="AD119" i="3"/>
  <c r="B220" i="50"/>
  <c r="B36" i="8"/>
  <c r="B35" i="8"/>
  <c r="B34" i="8"/>
  <c r="B33" i="8"/>
  <c r="G29" i="61"/>
  <c r="F29" i="61" s="1"/>
  <c r="B218" i="50"/>
  <c r="C41" i="61"/>
  <c r="B20" i="61" l="1"/>
  <c r="L9" i="79" s="1"/>
  <c r="N169" i="20"/>
  <c r="N170" i="20"/>
  <c r="J170" i="20"/>
  <c r="M168" i="20"/>
  <c r="O163" i="78"/>
  <c r="O163" i="20" s="1"/>
  <c r="M170" i="78"/>
  <c r="M170" i="20" s="1"/>
  <c r="L164" i="78"/>
  <c r="L164" i="20" s="1"/>
  <c r="O162" i="78"/>
  <c r="O162" i="20" s="1"/>
  <c r="B221" i="50"/>
  <c r="C32" i="61"/>
  <c r="F31" i="61"/>
  <c r="C268" i="3"/>
  <c r="C270" i="3" s="1"/>
  <c r="C269" i="3" s="1"/>
  <c r="C283" i="3"/>
  <c r="D283" i="3" s="1"/>
  <c r="E283" i="3" s="1"/>
  <c r="C307" i="3"/>
  <c r="C309" i="3" s="1"/>
  <c r="C308" i="3" s="1"/>
  <c r="C280" i="3"/>
  <c r="C282" i="3" s="1"/>
  <c r="C281" i="3" s="1"/>
  <c r="C271" i="3"/>
  <c r="D271" i="3" s="1"/>
  <c r="D273" i="3" s="1"/>
  <c r="D272" i="3" s="1"/>
  <c r="C295" i="3"/>
  <c r="D295" i="3" s="1"/>
  <c r="D297" i="3" s="1"/>
  <c r="D296" i="3" s="1"/>
  <c r="C274" i="3"/>
  <c r="C276" i="3" s="1"/>
  <c r="C275" i="3" s="1"/>
  <c r="C301" i="3"/>
  <c r="C303" i="3" s="1"/>
  <c r="C292" i="3"/>
  <c r="C294" i="3" s="1"/>
  <c r="C293" i="3" s="1"/>
  <c r="C286" i="3"/>
  <c r="D286" i="3" s="1"/>
  <c r="C298" i="3"/>
  <c r="C300" i="3" s="1"/>
  <c r="C299" i="3" s="1"/>
  <c r="C289" i="3"/>
  <c r="D289" i="3" s="1"/>
  <c r="C277" i="3"/>
  <c r="C279" i="3" s="1"/>
  <c r="C278" i="3" s="1"/>
  <c r="L252" i="3"/>
  <c r="L254" i="3" s="1"/>
  <c r="L253" i="3" s="1"/>
  <c r="I252" i="3"/>
  <c r="I254" i="3" s="1"/>
  <c r="I253" i="3" s="1"/>
  <c r="C252" i="3"/>
  <c r="C254" i="3" s="1"/>
  <c r="C253" i="3" s="1"/>
  <c r="H222" i="3"/>
  <c r="H224" i="3" s="1"/>
  <c r="H223" i="3" s="1"/>
  <c r="D222" i="3"/>
  <c r="D224" i="3" s="1"/>
  <c r="D223" i="3" s="1"/>
  <c r="C222" i="3"/>
  <c r="C224" i="3" s="1"/>
  <c r="C223" i="3" s="1"/>
  <c r="D252" i="3"/>
  <c r="D254" i="3" s="1"/>
  <c r="D253" i="3" s="1"/>
  <c r="G252" i="3"/>
  <c r="G254" i="3" s="1"/>
  <c r="G253" i="3" s="1"/>
  <c r="H252" i="3"/>
  <c r="H254" i="3" s="1"/>
  <c r="H253" i="3" s="1"/>
  <c r="F222" i="3"/>
  <c r="F224" i="3" s="1"/>
  <c r="F223" i="3" s="1"/>
  <c r="G222" i="3"/>
  <c r="G224" i="3" s="1"/>
  <c r="G223" i="3" s="1"/>
  <c r="I222" i="3"/>
  <c r="I224" i="3" s="1"/>
  <c r="I223" i="3" s="1"/>
  <c r="E222" i="3"/>
  <c r="E224" i="3" s="1"/>
  <c r="E223" i="3" s="1"/>
  <c r="E252" i="3"/>
  <c r="E254" i="3" s="1"/>
  <c r="E253" i="3" s="1"/>
  <c r="J252" i="3"/>
  <c r="J254" i="3" s="1"/>
  <c r="J253" i="3" s="1"/>
  <c r="F252" i="3"/>
  <c r="F254" i="3" s="1"/>
  <c r="F253" i="3" s="1"/>
  <c r="J222" i="3"/>
  <c r="J224" i="3" s="1"/>
  <c r="J223" i="3" s="1"/>
  <c r="K222" i="3"/>
  <c r="K224" i="3" s="1"/>
  <c r="K223" i="3" s="1"/>
  <c r="D342" i="3"/>
  <c r="D341" i="3" s="1"/>
  <c r="E340" i="3"/>
  <c r="AD122" i="3"/>
  <c r="C304" i="3" s="1"/>
  <c r="C328" i="3"/>
  <c r="C316" i="3"/>
  <c r="C322" i="3"/>
  <c r="C310" i="3"/>
  <c r="C313" i="3"/>
  <c r="D313" i="3" s="1"/>
  <c r="D315" i="3" s="1"/>
  <c r="D314" i="3" s="1"/>
  <c r="E192" i="3"/>
  <c r="E194" i="3" s="1"/>
  <c r="E193" i="3" s="1"/>
  <c r="L192" i="3"/>
  <c r="L194" i="3" s="1"/>
  <c r="L193" i="3" s="1"/>
  <c r="H192" i="3"/>
  <c r="H194" i="3" s="1"/>
  <c r="H193" i="3" s="1"/>
  <c r="D192" i="3"/>
  <c r="D194" i="3" s="1"/>
  <c r="D193" i="3" s="1"/>
  <c r="F207" i="3"/>
  <c r="F209" i="3" s="1"/>
  <c r="F208" i="3" s="1"/>
  <c r="G198" i="3"/>
  <c r="G200" i="3" s="1"/>
  <c r="G199" i="3" s="1"/>
  <c r="H198" i="3"/>
  <c r="H200" i="3" s="1"/>
  <c r="H199" i="3" s="1"/>
  <c r="K207" i="3"/>
  <c r="K209" i="3" s="1"/>
  <c r="K208" i="3" s="1"/>
  <c r="J192" i="3"/>
  <c r="J194" i="3" s="1"/>
  <c r="J193" i="3" s="1"/>
  <c r="K192" i="3"/>
  <c r="K194" i="3" s="1"/>
  <c r="K193" i="3" s="1"/>
  <c r="L213" i="3"/>
  <c r="L215" i="3" s="1"/>
  <c r="L214" i="3" s="1"/>
  <c r="E207" i="3"/>
  <c r="E209" i="3" s="1"/>
  <c r="E208" i="3" s="1"/>
  <c r="C192" i="3"/>
  <c r="C194" i="3" s="1"/>
  <c r="C193" i="3" s="1"/>
  <c r="I192" i="3"/>
  <c r="I194" i="3" s="1"/>
  <c r="I193" i="3" s="1"/>
  <c r="D207" i="3"/>
  <c r="D209" i="3" s="1"/>
  <c r="D208" i="3" s="1"/>
  <c r="G207" i="3"/>
  <c r="G209" i="3" s="1"/>
  <c r="G208" i="3" s="1"/>
  <c r="J207" i="3"/>
  <c r="J209" i="3" s="1"/>
  <c r="J208" i="3" s="1"/>
  <c r="L207" i="3"/>
  <c r="L209" i="3" s="1"/>
  <c r="L208" i="3" s="1"/>
  <c r="D213" i="3"/>
  <c r="D215" i="3" s="1"/>
  <c r="D214" i="3" s="1"/>
  <c r="J198" i="3"/>
  <c r="J200" i="3" s="1"/>
  <c r="J199" i="3" s="1"/>
  <c r="I198" i="3"/>
  <c r="I200" i="3" s="1"/>
  <c r="I199" i="3" s="1"/>
  <c r="C198" i="3"/>
  <c r="C200" i="3" s="1"/>
  <c r="C199" i="3" s="1"/>
  <c r="J213" i="3"/>
  <c r="J215" i="3" s="1"/>
  <c r="J214" i="3" s="1"/>
  <c r="E213" i="3"/>
  <c r="E215" i="3" s="1"/>
  <c r="E214" i="3" s="1"/>
  <c r="E198" i="3"/>
  <c r="E200" i="3" s="1"/>
  <c r="E199" i="3" s="1"/>
  <c r="K198" i="3"/>
  <c r="K200" i="3" s="1"/>
  <c r="K199" i="3" s="1"/>
  <c r="F198" i="3"/>
  <c r="F200" i="3" s="1"/>
  <c r="F199" i="3" s="1"/>
  <c r="G192" i="3"/>
  <c r="G194" i="3" s="1"/>
  <c r="G193" i="3" s="1"/>
  <c r="I213" i="3"/>
  <c r="I215" i="3" s="1"/>
  <c r="I214" i="3" s="1"/>
  <c r="H207" i="3"/>
  <c r="H209" i="3" s="1"/>
  <c r="H208" i="3" s="1"/>
  <c r="I207" i="3"/>
  <c r="I209" i="3" s="1"/>
  <c r="I208" i="3" s="1"/>
  <c r="D198" i="3"/>
  <c r="D200" i="3" s="1"/>
  <c r="D199" i="3" s="1"/>
  <c r="C246" i="3"/>
  <c r="C248" i="3" s="1"/>
  <c r="C247" i="3" s="1"/>
  <c r="C240" i="3"/>
  <c r="C242" i="3" s="1"/>
  <c r="C241" i="3" s="1"/>
  <c r="C237" i="3"/>
  <c r="C239" i="3" s="1"/>
  <c r="C238" i="3" s="1"/>
  <c r="D243" i="3"/>
  <c r="D249" i="3"/>
  <c r="H213" i="3"/>
  <c r="H215" i="3" s="1"/>
  <c r="H214" i="3" s="1"/>
  <c r="F213" i="3"/>
  <c r="F215" i="3" s="1"/>
  <c r="F214" i="3" s="1"/>
  <c r="C213" i="3"/>
  <c r="C215" i="3" s="1"/>
  <c r="C214" i="3" s="1"/>
  <c r="G213" i="3"/>
  <c r="G215" i="3" s="1"/>
  <c r="G214" i="3" s="1"/>
  <c r="C233" i="3"/>
  <c r="C232" i="3" s="1"/>
  <c r="D231" i="3"/>
  <c r="C236" i="3"/>
  <c r="C235" i="3" s="1"/>
  <c r="D234" i="3"/>
  <c r="C230" i="3"/>
  <c r="C229" i="3" s="1"/>
  <c r="D228" i="3"/>
  <c r="C165" i="3"/>
  <c r="D165" i="3" s="1"/>
  <c r="C162" i="3"/>
  <c r="D162" i="3" s="1"/>
  <c r="E162" i="3" s="1"/>
  <c r="D262" i="3"/>
  <c r="D264" i="3" s="1"/>
  <c r="D263" i="3" s="1"/>
  <c r="C159" i="3"/>
  <c r="C161" i="3" s="1"/>
  <c r="C160" i="3" s="1"/>
  <c r="D265" i="3"/>
  <c r="E265" i="3" s="1"/>
  <c r="D225" i="3"/>
  <c r="E225" i="3" s="1"/>
  <c r="C216" i="3"/>
  <c r="D216" i="3" s="1"/>
  <c r="E216" i="3" s="1"/>
  <c r="C219" i="3"/>
  <c r="D219" i="3" s="1"/>
  <c r="D221" i="3" s="1"/>
  <c r="D220" i="3" s="1"/>
  <c r="C156" i="3"/>
  <c r="D156" i="3" s="1"/>
  <c r="C204" i="3"/>
  <c r="D204" i="3" s="1"/>
  <c r="D206" i="3" s="1"/>
  <c r="D205" i="3" s="1"/>
  <c r="C201" i="3"/>
  <c r="D201" i="3" s="1"/>
  <c r="D203" i="3" s="1"/>
  <c r="D202" i="3" s="1"/>
  <c r="C210" i="3"/>
  <c r="C212" i="3" s="1"/>
  <c r="C211" i="3" s="1"/>
  <c r="C195" i="3"/>
  <c r="C197" i="3" s="1"/>
  <c r="C196" i="3" s="1"/>
  <c r="C174" i="3"/>
  <c r="D174" i="3" s="1"/>
  <c r="C189" i="3"/>
  <c r="C191" i="3" s="1"/>
  <c r="C190" i="3" s="1"/>
  <c r="C171" i="3"/>
  <c r="D171" i="3" s="1"/>
  <c r="C321" i="3"/>
  <c r="C320" i="3" s="1"/>
  <c r="C180" i="3"/>
  <c r="C182" i="3" s="1"/>
  <c r="C186" i="3"/>
  <c r="D186" i="3" s="1"/>
  <c r="D188" i="3" s="1"/>
  <c r="D187" i="3" s="1"/>
  <c r="C183" i="3"/>
  <c r="D183" i="3" s="1"/>
  <c r="C177" i="3"/>
  <c r="D177" i="3" s="1"/>
  <c r="B37" i="8"/>
  <c r="C168" i="3"/>
  <c r="D168" i="3" s="1"/>
  <c r="D331" i="3"/>
  <c r="C333" i="3"/>
  <c r="C332" i="3" s="1"/>
  <c r="D321" i="3"/>
  <c r="D320" i="3" s="1"/>
  <c r="E319" i="3"/>
  <c r="B226" i="50" l="1"/>
  <c r="D5" i="88"/>
  <c r="O164" i="78"/>
  <c r="O164" i="20" s="1"/>
  <c r="D268" i="3"/>
  <c r="D270" i="3" s="1"/>
  <c r="D269" i="3" s="1"/>
  <c r="D285" i="3"/>
  <c r="D284" i="3" s="1"/>
  <c r="C285" i="3"/>
  <c r="C284" i="3" s="1"/>
  <c r="C273" i="3"/>
  <c r="C272" i="3" s="1"/>
  <c r="D277" i="3"/>
  <c r="D279" i="3" s="1"/>
  <c r="D278" i="3" s="1"/>
  <c r="D307" i="3"/>
  <c r="E307" i="3" s="1"/>
  <c r="D274" i="3"/>
  <c r="D276" i="3" s="1"/>
  <c r="D275" i="3" s="1"/>
  <c r="D298" i="3"/>
  <c r="D300" i="3" s="1"/>
  <c r="D299" i="3" s="1"/>
  <c r="D292" i="3"/>
  <c r="E292" i="3" s="1"/>
  <c r="C288" i="3"/>
  <c r="C287" i="3" s="1"/>
  <c r="D280" i="3"/>
  <c r="E280" i="3" s="1"/>
  <c r="E282" i="3" s="1"/>
  <c r="E281" i="3" s="1"/>
  <c r="C291" i="3"/>
  <c r="C290" i="3" s="1"/>
  <c r="C297" i="3"/>
  <c r="C296" i="3" s="1"/>
  <c r="D301" i="3"/>
  <c r="E301" i="3" s="1"/>
  <c r="C325" i="3"/>
  <c r="E342" i="3"/>
  <c r="E341" i="3" s="1"/>
  <c r="F340" i="3"/>
  <c r="C334" i="3"/>
  <c r="D334" i="3" s="1"/>
  <c r="E334" i="3" s="1"/>
  <c r="E336" i="3" s="1"/>
  <c r="E335" i="3" s="1"/>
  <c r="C337" i="3"/>
  <c r="E313" i="3"/>
  <c r="E315" i="3" s="1"/>
  <c r="E314" i="3" s="1"/>
  <c r="C302" i="3"/>
  <c r="D322" i="3"/>
  <c r="E322" i="3" s="1"/>
  <c r="F322" i="3" s="1"/>
  <c r="C324" i="3"/>
  <c r="C323" i="3" s="1"/>
  <c r="C330" i="3"/>
  <c r="C329" i="3" s="1"/>
  <c r="D328" i="3"/>
  <c r="E328" i="3" s="1"/>
  <c r="F328" i="3" s="1"/>
  <c r="C306" i="3"/>
  <c r="C305" i="3" s="1"/>
  <c r="D304" i="3"/>
  <c r="E304" i="3" s="1"/>
  <c r="F304" i="3" s="1"/>
  <c r="C318" i="3"/>
  <c r="C317" i="3" s="1"/>
  <c r="D316" i="3"/>
  <c r="E316" i="3" s="1"/>
  <c r="F316" i="3" s="1"/>
  <c r="C312" i="3"/>
  <c r="C311" i="3" s="1"/>
  <c r="D310" i="3"/>
  <c r="E310" i="3" s="1"/>
  <c r="F310" i="3" s="1"/>
  <c r="C315" i="3"/>
  <c r="C314" i="3" s="1"/>
  <c r="D240" i="3"/>
  <c r="E240" i="3" s="1"/>
  <c r="D237" i="3"/>
  <c r="D239" i="3" s="1"/>
  <c r="D238" i="3" s="1"/>
  <c r="D251" i="3"/>
  <c r="D250" i="3" s="1"/>
  <c r="E249" i="3"/>
  <c r="D245" i="3"/>
  <c r="D244" i="3" s="1"/>
  <c r="E243" i="3"/>
  <c r="D246" i="3"/>
  <c r="D236" i="3"/>
  <c r="D235" i="3" s="1"/>
  <c r="E234" i="3"/>
  <c r="D230" i="3"/>
  <c r="D229" i="3" s="1"/>
  <c r="E228" i="3"/>
  <c r="E231" i="3"/>
  <c r="D233" i="3"/>
  <c r="D232" i="3" s="1"/>
  <c r="D164" i="3"/>
  <c r="D163" i="3" s="1"/>
  <c r="D267" i="3"/>
  <c r="D266" i="3" s="1"/>
  <c r="C167" i="3"/>
  <c r="C166" i="3" s="1"/>
  <c r="C164" i="3"/>
  <c r="C163" i="3" s="1"/>
  <c r="E262" i="3"/>
  <c r="E264" i="3" s="1"/>
  <c r="E263" i="3" s="1"/>
  <c r="D159" i="3"/>
  <c r="E159" i="3" s="1"/>
  <c r="C158" i="3"/>
  <c r="C157" i="3" s="1"/>
  <c r="C203" i="3"/>
  <c r="C202" i="3" s="1"/>
  <c r="D218" i="3"/>
  <c r="D217" i="3" s="1"/>
  <c r="D227" i="3"/>
  <c r="D226" i="3" s="1"/>
  <c r="C185" i="3"/>
  <c r="C184" i="3" s="1"/>
  <c r="E219" i="3"/>
  <c r="E221" i="3" s="1"/>
  <c r="E220" i="3" s="1"/>
  <c r="D210" i="3"/>
  <c r="E210" i="3" s="1"/>
  <c r="F210" i="3" s="1"/>
  <c r="C221" i="3"/>
  <c r="C220" i="3" s="1"/>
  <c r="D189" i="3"/>
  <c r="D191" i="3" s="1"/>
  <c r="D190" i="3" s="1"/>
  <c r="C218" i="3"/>
  <c r="C217" i="3" s="1"/>
  <c r="E295" i="3"/>
  <c r="E297" i="3" s="1"/>
  <c r="E296" i="3" s="1"/>
  <c r="C206" i="3"/>
  <c r="C205" i="3" s="1"/>
  <c r="C176" i="3"/>
  <c r="C175" i="3" s="1"/>
  <c r="D195" i="3"/>
  <c r="E195" i="3" s="1"/>
  <c r="E197" i="3" s="1"/>
  <c r="E196" i="3" s="1"/>
  <c r="C173" i="3"/>
  <c r="C172" i="3" s="1"/>
  <c r="E201" i="3"/>
  <c r="E203" i="3" s="1"/>
  <c r="E202" i="3" s="1"/>
  <c r="C188" i="3"/>
  <c r="C187" i="3" s="1"/>
  <c r="E271" i="3"/>
  <c r="E273" i="3" s="1"/>
  <c r="E272" i="3" s="1"/>
  <c r="D180" i="3"/>
  <c r="D182" i="3" s="1"/>
  <c r="C179" i="3"/>
  <c r="C178" i="3" s="1"/>
  <c r="C170" i="3"/>
  <c r="C169" i="3" s="1"/>
  <c r="E204" i="3"/>
  <c r="F204" i="3" s="1"/>
  <c r="E186" i="3"/>
  <c r="E188" i="3" s="1"/>
  <c r="E187" i="3" s="1"/>
  <c r="B222" i="50"/>
  <c r="E218" i="3"/>
  <c r="E217" i="3" s="1"/>
  <c r="F216" i="3"/>
  <c r="E285" i="3"/>
  <c r="E284" i="3" s="1"/>
  <c r="F283" i="3"/>
  <c r="D291" i="3"/>
  <c r="E289" i="3"/>
  <c r="E41" i="61"/>
  <c r="D173" i="3"/>
  <c r="D172" i="3" s="1"/>
  <c r="E171" i="3"/>
  <c r="E174" i="3"/>
  <c r="D176" i="3"/>
  <c r="D175" i="3" s="1"/>
  <c r="E321" i="3"/>
  <c r="E320" i="3" s="1"/>
  <c r="F319" i="3"/>
  <c r="E331" i="3"/>
  <c r="D333" i="3"/>
  <c r="D332" i="3" s="1"/>
  <c r="D170" i="3"/>
  <c r="D169" i="3" s="1"/>
  <c r="E168" i="3"/>
  <c r="G30" i="61"/>
  <c r="D185" i="3"/>
  <c r="E183" i="3"/>
  <c r="D288" i="3"/>
  <c r="D287" i="3" s="1"/>
  <c r="E286" i="3"/>
  <c r="F225" i="3"/>
  <c r="E227" i="3"/>
  <c r="E226" i="3" s="1"/>
  <c r="E177" i="3"/>
  <c r="D179" i="3"/>
  <c r="D178" i="3" s="1"/>
  <c r="C181" i="3"/>
  <c r="E156" i="3"/>
  <c r="D158" i="3"/>
  <c r="D157" i="3" s="1"/>
  <c r="E165" i="3"/>
  <c r="D167" i="3"/>
  <c r="D166" i="3" s="1"/>
  <c r="E164" i="3"/>
  <c r="E163" i="3" s="1"/>
  <c r="F162" i="3"/>
  <c r="E267" i="3"/>
  <c r="E266" i="3" s="1"/>
  <c r="F265" i="3"/>
  <c r="T9" i="88" l="1"/>
  <c r="B231" i="50"/>
  <c r="B224" i="50"/>
  <c r="E268" i="3"/>
  <c r="E270" i="3" s="1"/>
  <c r="E269" i="3" s="1"/>
  <c r="E298" i="3"/>
  <c r="F298" i="3" s="1"/>
  <c r="G298" i="3" s="1"/>
  <c r="E274" i="3"/>
  <c r="F274" i="3" s="1"/>
  <c r="F276" i="3" s="1"/>
  <c r="F275" i="3" s="1"/>
  <c r="E277" i="3"/>
  <c r="E279" i="3" s="1"/>
  <c r="E278" i="3" s="1"/>
  <c r="D309" i="3"/>
  <c r="D308" i="3" s="1"/>
  <c r="D294" i="3"/>
  <c r="D293" i="3" s="1"/>
  <c r="F280" i="3"/>
  <c r="F282" i="3" s="1"/>
  <c r="F281" i="3" s="1"/>
  <c r="D282" i="3"/>
  <c r="D281" i="3" s="1"/>
  <c r="D303" i="3"/>
  <c r="D302" i="3" s="1"/>
  <c r="C327" i="3"/>
  <c r="C326" i="3" s="1"/>
  <c r="G43" i="5" s="1"/>
  <c r="G44" i="5" s="1"/>
  <c r="G46" i="5" s="1"/>
  <c r="D325" i="3"/>
  <c r="G21" i="5"/>
  <c r="G19" i="5"/>
  <c r="G20" i="5" s="1"/>
  <c r="G19" i="1"/>
  <c r="G20" i="1" s="1"/>
  <c r="F313" i="3"/>
  <c r="G313" i="3" s="1"/>
  <c r="C336" i="3"/>
  <c r="C335" i="3" s="1"/>
  <c r="G340" i="3"/>
  <c r="F342" i="3"/>
  <c r="F341" i="3" s="1"/>
  <c r="D337" i="3"/>
  <c r="C339" i="3"/>
  <c r="C338" i="3" s="1"/>
  <c r="E306" i="3"/>
  <c r="E305" i="3" s="1"/>
  <c r="E324" i="3"/>
  <c r="E323" i="3" s="1"/>
  <c r="F334" i="3"/>
  <c r="G334" i="3" s="1"/>
  <c r="E330" i="3"/>
  <c r="E329" i="3" s="1"/>
  <c r="D324" i="3"/>
  <c r="D323" i="3" s="1"/>
  <c r="E312" i="3"/>
  <c r="E311" i="3" s="1"/>
  <c r="D312" i="3"/>
  <c r="D311" i="3" s="1"/>
  <c r="D330" i="3"/>
  <c r="D329" i="3" s="1"/>
  <c r="E318" i="3"/>
  <c r="E317" i="3" s="1"/>
  <c r="D336" i="3"/>
  <c r="D335" i="3" s="1"/>
  <c r="D318" i="3"/>
  <c r="D317" i="3" s="1"/>
  <c r="D306" i="3"/>
  <c r="D305" i="3" s="1"/>
  <c r="D242" i="3"/>
  <c r="D241" i="3" s="1"/>
  <c r="E237" i="3"/>
  <c r="E239" i="3" s="1"/>
  <c r="E238" i="3" s="1"/>
  <c r="E251" i="3"/>
  <c r="E250" i="3" s="1"/>
  <c r="F249" i="3"/>
  <c r="E245" i="3"/>
  <c r="E244" i="3" s="1"/>
  <c r="F243" i="3"/>
  <c r="D248" i="3"/>
  <c r="D247" i="3" s="1"/>
  <c r="E246" i="3"/>
  <c r="E236" i="3"/>
  <c r="E235" i="3" s="1"/>
  <c r="F234" i="3"/>
  <c r="E233" i="3"/>
  <c r="E232" i="3" s="1"/>
  <c r="F231" i="3"/>
  <c r="E230" i="3"/>
  <c r="E229" i="3" s="1"/>
  <c r="F228" i="3"/>
  <c r="E242" i="3"/>
  <c r="E241" i="3" s="1"/>
  <c r="F240" i="3"/>
  <c r="F262" i="3"/>
  <c r="F264" i="3" s="1"/>
  <c r="F263" i="3" s="1"/>
  <c r="D161" i="3"/>
  <c r="D160" i="3" s="1"/>
  <c r="D212" i="3"/>
  <c r="D211" i="3" s="1"/>
  <c r="F219" i="3"/>
  <c r="G219" i="3" s="1"/>
  <c r="E212" i="3"/>
  <c r="E211" i="3" s="1"/>
  <c r="E189" i="3"/>
  <c r="E191" i="3" s="1"/>
  <c r="E190" i="3" s="1"/>
  <c r="F201" i="3"/>
  <c r="F203" i="3" s="1"/>
  <c r="F202" i="3" s="1"/>
  <c r="F295" i="3"/>
  <c r="F297" i="3" s="1"/>
  <c r="F296" i="3" s="1"/>
  <c r="F195" i="3"/>
  <c r="F197" i="3" s="1"/>
  <c r="F196" i="3" s="1"/>
  <c r="G21" i="1"/>
  <c r="E180" i="3"/>
  <c r="E182" i="3" s="1"/>
  <c r="D197" i="3"/>
  <c r="D196" i="3" s="1"/>
  <c r="F271" i="3"/>
  <c r="F273" i="3" s="1"/>
  <c r="F272" i="3" s="1"/>
  <c r="D184" i="3"/>
  <c r="F186" i="3"/>
  <c r="F188" i="3" s="1"/>
  <c r="F187" i="3" s="1"/>
  <c r="E206" i="3"/>
  <c r="E205" i="3" s="1"/>
  <c r="F156" i="3"/>
  <c r="E158" i="3"/>
  <c r="E157" i="3" s="1"/>
  <c r="G204" i="3"/>
  <c r="F206" i="3"/>
  <c r="F205" i="3" s="1"/>
  <c r="G210" i="3"/>
  <c r="F212" i="3"/>
  <c r="F211" i="3" s="1"/>
  <c r="E333" i="3"/>
  <c r="E332" i="3" s="1"/>
  <c r="F331" i="3"/>
  <c r="F289" i="3"/>
  <c r="E291" i="3"/>
  <c r="F267" i="3"/>
  <c r="F266" i="3" s="1"/>
  <c r="G265" i="3"/>
  <c r="G225" i="3"/>
  <c r="F227" i="3"/>
  <c r="F226" i="3" s="1"/>
  <c r="E294" i="3"/>
  <c r="E293" i="3" s="1"/>
  <c r="F292" i="3"/>
  <c r="D290" i="3"/>
  <c r="F312" i="3"/>
  <c r="F311" i="3" s="1"/>
  <c r="G310" i="3"/>
  <c r="F330" i="3"/>
  <c r="F329" i="3" s="1"/>
  <c r="G328" i="3"/>
  <c r="F318" i="3"/>
  <c r="F317" i="3" s="1"/>
  <c r="G316" i="3"/>
  <c r="F164" i="3"/>
  <c r="F163" i="3" s="1"/>
  <c r="G162" i="3"/>
  <c r="E309" i="3"/>
  <c r="E308" i="3" s="1"/>
  <c r="F307" i="3"/>
  <c r="E167" i="3"/>
  <c r="E166" i="3" s="1"/>
  <c r="F165" i="3"/>
  <c r="F159" i="3"/>
  <c r="E161" i="3"/>
  <c r="E160" i="3" s="1"/>
  <c r="E179" i="3"/>
  <c r="E178" i="3" s="1"/>
  <c r="F177" i="3"/>
  <c r="D181" i="3"/>
  <c r="F286" i="3"/>
  <c r="E288" i="3"/>
  <c r="E287" i="3" s="1"/>
  <c r="E170" i="3"/>
  <c r="E169" i="3" s="1"/>
  <c r="F168" i="3"/>
  <c r="E176" i="3"/>
  <c r="E175" i="3" s="1"/>
  <c r="F174" i="3"/>
  <c r="E303" i="3"/>
  <c r="F301" i="3"/>
  <c r="F324" i="3"/>
  <c r="F323" i="3" s="1"/>
  <c r="G322" i="3"/>
  <c r="E185" i="3"/>
  <c r="F183" i="3"/>
  <c r="F321" i="3"/>
  <c r="F320" i="3" s="1"/>
  <c r="G319" i="3"/>
  <c r="E173" i="3"/>
  <c r="E172" i="3" s="1"/>
  <c r="F171" i="3"/>
  <c r="F306" i="3"/>
  <c r="F305" i="3" s="1"/>
  <c r="G304" i="3"/>
  <c r="F285" i="3"/>
  <c r="F284" i="3" s="1"/>
  <c r="G283" i="3"/>
  <c r="F218" i="3"/>
  <c r="F217" i="3" s="1"/>
  <c r="G216" i="3"/>
  <c r="F277" i="3" l="1"/>
  <c r="G277" i="3" s="1"/>
  <c r="H277" i="3" s="1"/>
  <c r="F268" i="3"/>
  <c r="G268" i="3" s="1"/>
  <c r="H268" i="3" s="1"/>
  <c r="E276" i="3"/>
  <c r="E275" i="3" s="1"/>
  <c r="G274" i="3"/>
  <c r="G276" i="3" s="1"/>
  <c r="G275" i="3" s="1"/>
  <c r="E300" i="3"/>
  <c r="E299" i="3" s="1"/>
  <c r="F300" i="3"/>
  <c r="F299" i="3" s="1"/>
  <c r="H21" i="5"/>
  <c r="G280" i="3"/>
  <c r="H280" i="3" s="1"/>
  <c r="F315" i="3"/>
  <c r="F314" i="3" s="1"/>
  <c r="D327" i="3"/>
  <c r="D326" i="3" s="1"/>
  <c r="H43" i="5" s="1"/>
  <c r="E325" i="3"/>
  <c r="H340" i="3"/>
  <c r="G342" i="3"/>
  <c r="G341" i="3" s="1"/>
  <c r="D339" i="3"/>
  <c r="D338" i="3" s="1"/>
  <c r="E337" i="3"/>
  <c r="G45" i="5"/>
  <c r="G48" i="5"/>
  <c r="G47" i="5"/>
  <c r="F336" i="3"/>
  <c r="F335" i="3" s="1"/>
  <c r="H19" i="5"/>
  <c r="H20" i="5" s="1"/>
  <c r="E302" i="3"/>
  <c r="F237" i="3"/>
  <c r="F239" i="3" s="1"/>
  <c r="F238" i="3" s="1"/>
  <c r="F245" i="3"/>
  <c r="F244" i="3" s="1"/>
  <c r="G243" i="3"/>
  <c r="F251" i="3"/>
  <c r="F250" i="3" s="1"/>
  <c r="G249" i="3"/>
  <c r="E248" i="3"/>
  <c r="E247" i="3" s="1"/>
  <c r="F246" i="3"/>
  <c r="F242" i="3"/>
  <c r="F241" i="3" s="1"/>
  <c r="G240" i="3"/>
  <c r="F233" i="3"/>
  <c r="F232" i="3" s="1"/>
  <c r="G231" i="3"/>
  <c r="F230" i="3"/>
  <c r="F229" i="3" s="1"/>
  <c r="G228" i="3"/>
  <c r="F236" i="3"/>
  <c r="F235" i="3" s="1"/>
  <c r="G234" i="3"/>
  <c r="G262" i="3"/>
  <c r="H262" i="3" s="1"/>
  <c r="H21" i="1"/>
  <c r="F221" i="3"/>
  <c r="F220" i="3" s="1"/>
  <c r="G195" i="3"/>
  <c r="G197" i="3" s="1"/>
  <c r="G196" i="3" s="1"/>
  <c r="F189" i="3"/>
  <c r="F191" i="3" s="1"/>
  <c r="F190" i="3" s="1"/>
  <c r="F180" i="3"/>
  <c r="G180" i="3" s="1"/>
  <c r="G201" i="3"/>
  <c r="H201" i="3" s="1"/>
  <c r="G295" i="3"/>
  <c r="H295" i="3" s="1"/>
  <c r="G271" i="3"/>
  <c r="H271" i="3" s="1"/>
  <c r="E184" i="3"/>
  <c r="I21" i="1"/>
  <c r="D52" i="5"/>
  <c r="G186" i="3"/>
  <c r="G188" i="3" s="1"/>
  <c r="G187" i="3" s="1"/>
  <c r="H298" i="3"/>
  <c r="G300" i="3"/>
  <c r="G299" i="3" s="1"/>
  <c r="G218" i="3"/>
  <c r="G217" i="3" s="1"/>
  <c r="H216" i="3"/>
  <c r="H304" i="3"/>
  <c r="G306" i="3"/>
  <c r="G305" i="3" s="1"/>
  <c r="H319" i="3"/>
  <c r="G321" i="3"/>
  <c r="G320" i="3" s="1"/>
  <c r="G168" i="3"/>
  <c r="F170" i="3"/>
  <c r="F169" i="3" s="1"/>
  <c r="F288" i="3"/>
  <c r="F287" i="3" s="1"/>
  <c r="G286" i="3"/>
  <c r="F294" i="3"/>
  <c r="F293" i="3" s="1"/>
  <c r="G292" i="3"/>
  <c r="H265" i="3"/>
  <c r="G267" i="3"/>
  <c r="G266" i="3" s="1"/>
  <c r="E290" i="3"/>
  <c r="G212" i="3"/>
  <c r="G211" i="3" s="1"/>
  <c r="H210" i="3"/>
  <c r="G156" i="3"/>
  <c r="F158" i="3"/>
  <c r="F157" i="3" s="1"/>
  <c r="F176" i="3"/>
  <c r="F175" i="3" s="1"/>
  <c r="G174" i="3"/>
  <c r="H19" i="1"/>
  <c r="H20" i="1" s="1"/>
  <c r="G159" i="3"/>
  <c r="F161" i="3"/>
  <c r="F160" i="3" s="1"/>
  <c r="F309" i="3"/>
  <c r="F308" i="3" s="1"/>
  <c r="G307" i="3"/>
  <c r="G318" i="3"/>
  <c r="G317" i="3" s="1"/>
  <c r="H316" i="3"/>
  <c r="H310" i="3"/>
  <c r="G312" i="3"/>
  <c r="G311" i="3" s="1"/>
  <c r="F291" i="3"/>
  <c r="G289" i="3"/>
  <c r="F333" i="3"/>
  <c r="F332" i="3" s="1"/>
  <c r="G331" i="3"/>
  <c r="G285" i="3"/>
  <c r="G284" i="3" s="1"/>
  <c r="H283" i="3"/>
  <c r="F173" i="3"/>
  <c r="F172" i="3" s="1"/>
  <c r="G171" i="3"/>
  <c r="H219" i="3"/>
  <c r="G221" i="3"/>
  <c r="G220" i="3" s="1"/>
  <c r="F185" i="3"/>
  <c r="G183" i="3"/>
  <c r="G177" i="3"/>
  <c r="F179" i="3"/>
  <c r="F178" i="3" s="1"/>
  <c r="H313" i="3"/>
  <c r="G315" i="3"/>
  <c r="G314" i="3" s="1"/>
  <c r="H334" i="3"/>
  <c r="G336" i="3"/>
  <c r="G335" i="3" s="1"/>
  <c r="G206" i="3"/>
  <c r="G205" i="3" s="1"/>
  <c r="H204" i="3"/>
  <c r="E181" i="3"/>
  <c r="H322" i="3"/>
  <c r="G324" i="3"/>
  <c r="G323" i="3" s="1"/>
  <c r="G301" i="3"/>
  <c r="F303" i="3"/>
  <c r="G165" i="3"/>
  <c r="F167" i="3"/>
  <c r="F166" i="3" s="1"/>
  <c r="H162" i="3"/>
  <c r="G164" i="3"/>
  <c r="G163" i="3" s="1"/>
  <c r="G330" i="3"/>
  <c r="G329" i="3" s="1"/>
  <c r="H328" i="3"/>
  <c r="H225" i="3"/>
  <c r="G227" i="3"/>
  <c r="G226" i="3" s="1"/>
  <c r="G279" i="3" l="1"/>
  <c r="G278" i="3" s="1"/>
  <c r="F270" i="3"/>
  <c r="F269" i="3" s="1"/>
  <c r="G270" i="3"/>
  <c r="G269" i="3" s="1"/>
  <c r="F279" i="3"/>
  <c r="F278" i="3" s="1"/>
  <c r="I21" i="5"/>
  <c r="H274" i="3"/>
  <c r="H276" i="3" s="1"/>
  <c r="H275" i="3" s="1"/>
  <c r="G282" i="3"/>
  <c r="G281" i="3" s="1"/>
  <c r="F325" i="3"/>
  <c r="E327" i="3"/>
  <c r="E326" i="3" s="1"/>
  <c r="I43" i="5" s="1"/>
  <c r="I340" i="3"/>
  <c r="H342" i="3"/>
  <c r="H341" i="3" s="1"/>
  <c r="E339" i="3"/>
  <c r="E338" i="3" s="1"/>
  <c r="F337" i="3"/>
  <c r="I19" i="5"/>
  <c r="I20" i="5" s="1"/>
  <c r="H48" i="5"/>
  <c r="H45" i="5"/>
  <c r="E54" i="5" s="1"/>
  <c r="H44" i="5"/>
  <c r="H46" i="5" s="1"/>
  <c r="H47" i="5"/>
  <c r="F302" i="3"/>
  <c r="G237" i="3"/>
  <c r="G239" i="3" s="1"/>
  <c r="G238" i="3" s="1"/>
  <c r="G251" i="3"/>
  <c r="G250" i="3" s="1"/>
  <c r="H249" i="3"/>
  <c r="G245" i="3"/>
  <c r="G244" i="3" s="1"/>
  <c r="H243" i="3"/>
  <c r="F248" i="3"/>
  <c r="F247" i="3" s="1"/>
  <c r="G246" i="3"/>
  <c r="G236" i="3"/>
  <c r="G235" i="3" s="1"/>
  <c r="H234" i="3"/>
  <c r="G233" i="3"/>
  <c r="G232" i="3" s="1"/>
  <c r="H231" i="3"/>
  <c r="G230" i="3"/>
  <c r="G229" i="3" s="1"/>
  <c r="H228" i="3"/>
  <c r="G242" i="3"/>
  <c r="G241" i="3" s="1"/>
  <c r="H240" i="3"/>
  <c r="D56" i="5"/>
  <c r="D54" i="5"/>
  <c r="D53" i="5"/>
  <c r="D55" i="5"/>
  <c r="G264" i="3"/>
  <c r="G263" i="3" s="1"/>
  <c r="H195" i="3"/>
  <c r="H197" i="3" s="1"/>
  <c r="H196" i="3" s="1"/>
  <c r="F182" i="3"/>
  <c r="J21" i="1" s="1"/>
  <c r="G189" i="3"/>
  <c r="H189" i="3" s="1"/>
  <c r="G273" i="3"/>
  <c r="G272" i="3" s="1"/>
  <c r="G297" i="3"/>
  <c r="G296" i="3" s="1"/>
  <c r="H186" i="3"/>
  <c r="H188" i="3" s="1"/>
  <c r="H187" i="3" s="1"/>
  <c r="G203" i="3"/>
  <c r="G202" i="3" s="1"/>
  <c r="E52" i="5"/>
  <c r="F184" i="3"/>
  <c r="H164" i="3"/>
  <c r="H163" i="3" s="1"/>
  <c r="I162" i="3"/>
  <c r="H301" i="3"/>
  <c r="G303" i="3"/>
  <c r="G302" i="3" s="1"/>
  <c r="I19" i="1"/>
  <c r="I20" i="1" s="1"/>
  <c r="I225" i="3"/>
  <c r="H227" i="3"/>
  <c r="H226" i="3" s="1"/>
  <c r="I328" i="3"/>
  <c r="H330" i="3"/>
  <c r="H329" i="3" s="1"/>
  <c r="I277" i="3"/>
  <c r="H279" i="3"/>
  <c r="H278" i="3" s="1"/>
  <c r="H285" i="3"/>
  <c r="H284" i="3" s="1"/>
  <c r="I283" i="3"/>
  <c r="H331" i="3"/>
  <c r="G333" i="3"/>
  <c r="G332" i="3" s="1"/>
  <c r="H289" i="3"/>
  <c r="G291" i="3"/>
  <c r="G290" i="3" s="1"/>
  <c r="I316" i="3"/>
  <c r="H318" i="3"/>
  <c r="H317" i="3" s="1"/>
  <c r="H156" i="3"/>
  <c r="G158" i="3"/>
  <c r="G157" i="3" s="1"/>
  <c r="G294" i="3"/>
  <c r="G293" i="3" s="1"/>
  <c r="H292" i="3"/>
  <c r="H286" i="3"/>
  <c r="G288" i="3"/>
  <c r="G287" i="3" s="1"/>
  <c r="I319" i="3"/>
  <c r="H321" i="3"/>
  <c r="H320" i="3" s="1"/>
  <c r="H297" i="3"/>
  <c r="H296" i="3" s="1"/>
  <c r="I295" i="3"/>
  <c r="G167" i="3"/>
  <c r="G166" i="3" s="1"/>
  <c r="H165" i="3"/>
  <c r="I322" i="3"/>
  <c r="H324" i="3"/>
  <c r="H323" i="3" s="1"/>
  <c r="H180" i="3"/>
  <c r="G182" i="3"/>
  <c r="I219" i="3"/>
  <c r="H221" i="3"/>
  <c r="H220" i="3" s="1"/>
  <c r="G69" i="5"/>
  <c r="D75" i="5" s="1"/>
  <c r="D69" i="5"/>
  <c r="F290" i="3"/>
  <c r="I310" i="3"/>
  <c r="H312" i="3"/>
  <c r="H311" i="3" s="1"/>
  <c r="H212" i="3"/>
  <c r="H211" i="3" s="1"/>
  <c r="I210" i="3"/>
  <c r="H267" i="3"/>
  <c r="H266" i="3" s="1"/>
  <c r="I265" i="3"/>
  <c r="G170" i="3"/>
  <c r="G169" i="3" s="1"/>
  <c r="H168" i="3"/>
  <c r="H206" i="3"/>
  <c r="H205" i="3" s="1"/>
  <c r="I204" i="3"/>
  <c r="H315" i="3"/>
  <c r="H314" i="3" s="1"/>
  <c r="I313" i="3"/>
  <c r="H177" i="3"/>
  <c r="G179" i="3"/>
  <c r="G178" i="3" s="1"/>
  <c r="I268" i="3"/>
  <c r="H270" i="3"/>
  <c r="H269" i="3" s="1"/>
  <c r="H183" i="3"/>
  <c r="G185" i="3"/>
  <c r="G184" i="3" s="1"/>
  <c r="H171" i="3"/>
  <c r="G173" i="3"/>
  <c r="G172" i="3" s="1"/>
  <c r="H307" i="3"/>
  <c r="G309" i="3"/>
  <c r="G308" i="3" s="1"/>
  <c r="G176" i="3"/>
  <c r="G175" i="3" s="1"/>
  <c r="H174" i="3"/>
  <c r="I280" i="3"/>
  <c r="H282" i="3"/>
  <c r="H281" i="3" s="1"/>
  <c r="H306" i="3"/>
  <c r="H305" i="3" s="1"/>
  <c r="I304" i="3"/>
  <c r="H336" i="3"/>
  <c r="H335" i="3" s="1"/>
  <c r="I334" i="3"/>
  <c r="I271" i="3"/>
  <c r="H273" i="3"/>
  <c r="H272" i="3" s="1"/>
  <c r="G161" i="3"/>
  <c r="G160" i="3" s="1"/>
  <c r="H159" i="3"/>
  <c r="I262" i="3"/>
  <c r="H264" i="3"/>
  <c r="H263" i="3" s="1"/>
  <c r="I201" i="3"/>
  <c r="H203" i="3"/>
  <c r="H202" i="3" s="1"/>
  <c r="I216" i="3"/>
  <c r="H218" i="3"/>
  <c r="H217" i="3" s="1"/>
  <c r="H300" i="3"/>
  <c r="H299" i="3" s="1"/>
  <c r="I298" i="3"/>
  <c r="J21" i="5" l="1"/>
  <c r="I274" i="3"/>
  <c r="I276" i="3" s="1"/>
  <c r="I275" i="3" s="1"/>
  <c r="G325" i="3"/>
  <c r="F327" i="3"/>
  <c r="F326" i="3" s="1"/>
  <c r="J43" i="5" s="1"/>
  <c r="J340" i="3"/>
  <c r="I342" i="3"/>
  <c r="I341" i="3" s="1"/>
  <c r="F339" i="3"/>
  <c r="F338" i="3" s="1"/>
  <c r="G337" i="3"/>
  <c r="J19" i="5"/>
  <c r="J20" i="5" s="1"/>
  <c r="I46" i="5"/>
  <c r="I48" i="5"/>
  <c r="I45" i="5"/>
  <c r="F54" i="5" s="1"/>
  <c r="I44" i="5"/>
  <c r="I47" i="5"/>
  <c r="E53" i="5"/>
  <c r="H237" i="3"/>
  <c r="H239" i="3" s="1"/>
  <c r="H238" i="3" s="1"/>
  <c r="H251" i="3"/>
  <c r="H250" i="3" s="1"/>
  <c r="I249" i="3"/>
  <c r="H245" i="3"/>
  <c r="H244" i="3" s="1"/>
  <c r="I243" i="3"/>
  <c r="G248" i="3"/>
  <c r="G247" i="3" s="1"/>
  <c r="H246" i="3"/>
  <c r="H242" i="3"/>
  <c r="H241" i="3" s="1"/>
  <c r="I240" i="3"/>
  <c r="H233" i="3"/>
  <c r="H232" i="3" s="1"/>
  <c r="I231" i="3"/>
  <c r="H230" i="3"/>
  <c r="H229" i="3" s="1"/>
  <c r="I228" i="3"/>
  <c r="H236" i="3"/>
  <c r="H235" i="3" s="1"/>
  <c r="I234" i="3"/>
  <c r="I195" i="3"/>
  <c r="I197" i="3" s="1"/>
  <c r="I196" i="3" s="1"/>
  <c r="G191" i="3"/>
  <c r="G190" i="3" s="1"/>
  <c r="D72" i="5"/>
  <c r="F181" i="3"/>
  <c r="J19" i="1" s="1"/>
  <c r="J20" i="1" s="1"/>
  <c r="I186" i="3"/>
  <c r="I188" i="3" s="1"/>
  <c r="I187" i="3" s="1"/>
  <c r="E56" i="5"/>
  <c r="E55" i="5"/>
  <c r="F52" i="5"/>
  <c r="F56" i="5" s="1"/>
  <c r="J216" i="3"/>
  <c r="I218" i="3"/>
  <c r="I217" i="3" s="1"/>
  <c r="J334" i="3"/>
  <c r="I336" i="3"/>
  <c r="I335" i="3" s="1"/>
  <c r="I183" i="3"/>
  <c r="H185" i="3"/>
  <c r="H184" i="3" s="1"/>
  <c r="J298" i="3"/>
  <c r="I300" i="3"/>
  <c r="I299" i="3" s="1"/>
  <c r="D70" i="5"/>
  <c r="D71" i="5"/>
  <c r="G181" i="3"/>
  <c r="I324" i="3"/>
  <c r="I323" i="3" s="1"/>
  <c r="J322" i="3"/>
  <c r="H158" i="3"/>
  <c r="H157" i="3" s="1"/>
  <c r="I156" i="3"/>
  <c r="I227" i="3"/>
  <c r="I226" i="3" s="1"/>
  <c r="J225" i="3"/>
  <c r="H303" i="3"/>
  <c r="H302" i="3" s="1"/>
  <c r="I301" i="3"/>
  <c r="J162" i="3"/>
  <c r="I164" i="3"/>
  <c r="I163" i="3" s="1"/>
  <c r="I203" i="3"/>
  <c r="I202" i="3" s="1"/>
  <c r="J201" i="3"/>
  <c r="H173" i="3"/>
  <c r="H172" i="3" s="1"/>
  <c r="I171" i="3"/>
  <c r="I177" i="3"/>
  <c r="H179" i="3"/>
  <c r="H178" i="3" s="1"/>
  <c r="I315" i="3"/>
  <c r="I314" i="3" s="1"/>
  <c r="J313" i="3"/>
  <c r="I206" i="3"/>
  <c r="I205" i="3" s="1"/>
  <c r="J204" i="3"/>
  <c r="H170" i="3"/>
  <c r="H169" i="3" s="1"/>
  <c r="I168" i="3"/>
  <c r="I267" i="3"/>
  <c r="I266" i="3" s="1"/>
  <c r="J265" i="3"/>
  <c r="I212" i="3"/>
  <c r="I211" i="3" s="1"/>
  <c r="J210" i="3"/>
  <c r="I180" i="3"/>
  <c r="H182" i="3"/>
  <c r="I165" i="3"/>
  <c r="H167" i="3"/>
  <c r="H166" i="3" s="1"/>
  <c r="J319" i="3"/>
  <c r="I321" i="3"/>
  <c r="I320" i="3" s="1"/>
  <c r="I318" i="3"/>
  <c r="I317" i="3" s="1"/>
  <c r="J316" i="3"/>
  <c r="I331" i="3"/>
  <c r="H333" i="3"/>
  <c r="H332" i="3" s="1"/>
  <c r="I273" i="3"/>
  <c r="I272" i="3" s="1"/>
  <c r="J271" i="3"/>
  <c r="I174" i="3"/>
  <c r="H176" i="3"/>
  <c r="H175" i="3" s="1"/>
  <c r="J268" i="3"/>
  <c r="I270" i="3"/>
  <c r="I269" i="3" s="1"/>
  <c r="I312" i="3"/>
  <c r="I311" i="3" s="1"/>
  <c r="J310" i="3"/>
  <c r="I221" i="3"/>
  <c r="I220" i="3" s="1"/>
  <c r="J219" i="3"/>
  <c r="I264" i="3"/>
  <c r="I263" i="3" s="1"/>
  <c r="J262" i="3"/>
  <c r="J304" i="3"/>
  <c r="I306" i="3"/>
  <c r="I305" i="3" s="1"/>
  <c r="J280" i="3"/>
  <c r="I282" i="3"/>
  <c r="I281" i="3" s="1"/>
  <c r="H161" i="3"/>
  <c r="H160" i="3" s="1"/>
  <c r="I159" i="3"/>
  <c r="I189" i="3"/>
  <c r="H191" i="3"/>
  <c r="H190" i="3" s="1"/>
  <c r="I307" i="3"/>
  <c r="H309" i="3"/>
  <c r="H308" i="3" s="1"/>
  <c r="I286" i="3"/>
  <c r="H288" i="3"/>
  <c r="H287" i="3" s="1"/>
  <c r="I285" i="3"/>
  <c r="I284" i="3" s="1"/>
  <c r="J283" i="3"/>
  <c r="I279" i="3"/>
  <c r="I278" i="3" s="1"/>
  <c r="J277" i="3"/>
  <c r="J328" i="3"/>
  <c r="I330" i="3"/>
  <c r="I329" i="3" s="1"/>
  <c r="J295" i="3"/>
  <c r="I297" i="3"/>
  <c r="I296" i="3" s="1"/>
  <c r="I292" i="3"/>
  <c r="H294" i="3"/>
  <c r="H293" i="3" s="1"/>
  <c r="I289" i="3"/>
  <c r="H291" i="3"/>
  <c r="H290" i="3" s="1"/>
  <c r="J274" i="3" l="1"/>
  <c r="K274" i="3" s="1"/>
  <c r="G327" i="3"/>
  <c r="G326" i="3" s="1"/>
  <c r="H325" i="3"/>
  <c r="K340" i="3"/>
  <c r="J342" i="3"/>
  <c r="J341" i="3" s="1"/>
  <c r="H337" i="3"/>
  <c r="G339" i="3"/>
  <c r="G338" i="3" s="1"/>
  <c r="J46" i="5"/>
  <c r="J45" i="5"/>
  <c r="G54" i="5" s="1"/>
  <c r="J44" i="5"/>
  <c r="J48" i="5"/>
  <c r="J47" i="5"/>
  <c r="I237" i="3"/>
  <c r="I239" i="3" s="1"/>
  <c r="I238" i="3" s="1"/>
  <c r="I245" i="3"/>
  <c r="I244" i="3" s="1"/>
  <c r="J243" i="3"/>
  <c r="I251" i="3"/>
  <c r="I250" i="3" s="1"/>
  <c r="J249" i="3"/>
  <c r="H248" i="3"/>
  <c r="H247" i="3" s="1"/>
  <c r="I246" i="3"/>
  <c r="I236" i="3"/>
  <c r="I235" i="3" s="1"/>
  <c r="J234" i="3"/>
  <c r="I233" i="3"/>
  <c r="I232" i="3" s="1"/>
  <c r="J231" i="3"/>
  <c r="I230" i="3"/>
  <c r="I229" i="3" s="1"/>
  <c r="J228" i="3"/>
  <c r="I242" i="3"/>
  <c r="I241" i="3" s="1"/>
  <c r="J240" i="3"/>
  <c r="J195" i="3"/>
  <c r="K195" i="3" s="1"/>
  <c r="J186" i="3"/>
  <c r="K186" i="3" s="1"/>
  <c r="F53" i="5"/>
  <c r="F55" i="5"/>
  <c r="G52" i="5"/>
  <c r="G53" i="5" s="1"/>
  <c r="I288" i="3"/>
  <c r="I287" i="3" s="1"/>
  <c r="J286" i="3"/>
  <c r="I291" i="3"/>
  <c r="I290" i="3" s="1"/>
  <c r="J289" i="3"/>
  <c r="J159" i="3"/>
  <c r="I161" i="3"/>
  <c r="I160" i="3" s="1"/>
  <c r="I176" i="3"/>
  <c r="I175" i="3" s="1"/>
  <c r="J174" i="3"/>
  <c r="H181" i="3"/>
  <c r="K204" i="3"/>
  <c r="J206" i="3"/>
  <c r="J205" i="3" s="1"/>
  <c r="I303" i="3"/>
  <c r="I302" i="3" s="1"/>
  <c r="J301" i="3"/>
  <c r="J297" i="3"/>
  <c r="J296" i="3" s="1"/>
  <c r="K295" i="3"/>
  <c r="I309" i="3"/>
  <c r="I308" i="3" s="1"/>
  <c r="J307" i="3"/>
  <c r="K280" i="3"/>
  <c r="J282" i="3"/>
  <c r="J281" i="3" s="1"/>
  <c r="J264" i="3"/>
  <c r="J263" i="3" s="1"/>
  <c r="K262" i="3"/>
  <c r="J318" i="3"/>
  <c r="J317" i="3" s="1"/>
  <c r="K316" i="3"/>
  <c r="J165" i="3"/>
  <c r="I167" i="3"/>
  <c r="I166" i="3" s="1"/>
  <c r="J180" i="3"/>
  <c r="I182" i="3"/>
  <c r="J212" i="3"/>
  <c r="J211" i="3" s="1"/>
  <c r="K210" i="3"/>
  <c r="J267" i="3"/>
  <c r="J266" i="3" s="1"/>
  <c r="K265" i="3"/>
  <c r="J177" i="3"/>
  <c r="I179" i="3"/>
  <c r="I178" i="3" s="1"/>
  <c r="I158" i="3"/>
  <c r="I157" i="3" s="1"/>
  <c r="J156" i="3"/>
  <c r="K334" i="3"/>
  <c r="J336" i="3"/>
  <c r="J335" i="3" s="1"/>
  <c r="J218" i="3"/>
  <c r="J217" i="3" s="1"/>
  <c r="K216" i="3"/>
  <c r="K328" i="3"/>
  <c r="J330" i="3"/>
  <c r="J329" i="3" s="1"/>
  <c r="K277" i="3"/>
  <c r="J279" i="3"/>
  <c r="J278" i="3" s="1"/>
  <c r="K304" i="3"/>
  <c r="J306" i="3"/>
  <c r="J305" i="3" s="1"/>
  <c r="J221" i="3"/>
  <c r="J220" i="3" s="1"/>
  <c r="K219" i="3"/>
  <c r="K310" i="3"/>
  <c r="J312" i="3"/>
  <c r="J311" i="3" s="1"/>
  <c r="K268" i="3"/>
  <c r="J270" i="3"/>
  <c r="J269" i="3" s="1"/>
  <c r="K271" i="3"/>
  <c r="J273" i="3"/>
  <c r="J272" i="3" s="1"/>
  <c r="I333" i="3"/>
  <c r="I332" i="3" s="1"/>
  <c r="J331" i="3"/>
  <c r="J321" i="3"/>
  <c r="J320" i="3" s="1"/>
  <c r="K319" i="3"/>
  <c r="K313" i="3"/>
  <c r="J315" i="3"/>
  <c r="J314" i="3" s="1"/>
  <c r="I173" i="3"/>
  <c r="I172" i="3" s="1"/>
  <c r="J171" i="3"/>
  <c r="K201" i="3"/>
  <c r="J203" i="3"/>
  <c r="J202" i="3" s="1"/>
  <c r="K225" i="3"/>
  <c r="J227" i="3"/>
  <c r="J226" i="3" s="1"/>
  <c r="K298" i="3"/>
  <c r="J300" i="3"/>
  <c r="J299" i="3" s="1"/>
  <c r="I294" i="3"/>
  <c r="I293" i="3" s="1"/>
  <c r="J292" i="3"/>
  <c r="J285" i="3"/>
  <c r="J284" i="3" s="1"/>
  <c r="K283" i="3"/>
  <c r="I191" i="3"/>
  <c r="I190" i="3" s="1"/>
  <c r="J189" i="3"/>
  <c r="I170" i="3"/>
  <c r="I169" i="3" s="1"/>
  <c r="J168" i="3"/>
  <c r="K162" i="3"/>
  <c r="J164" i="3"/>
  <c r="J163" i="3" s="1"/>
  <c r="K322" i="3"/>
  <c r="J324" i="3"/>
  <c r="J323" i="3" s="1"/>
  <c r="I185" i="3"/>
  <c r="I184" i="3" s="1"/>
  <c r="J183" i="3"/>
  <c r="J276" i="3" l="1"/>
  <c r="J275" i="3" s="1"/>
  <c r="H327" i="3"/>
  <c r="H326" i="3" s="1"/>
  <c r="I325" i="3"/>
  <c r="L340" i="3"/>
  <c r="L342" i="3" s="1"/>
  <c r="L341" i="3" s="1"/>
  <c r="K342" i="3"/>
  <c r="K341" i="3" s="1"/>
  <c r="H339" i="3"/>
  <c r="H338" i="3" s="1"/>
  <c r="I337" i="3"/>
  <c r="J237" i="3"/>
  <c r="J239" i="3" s="1"/>
  <c r="J238" i="3" s="1"/>
  <c r="J251" i="3"/>
  <c r="J250" i="3" s="1"/>
  <c r="K249" i="3"/>
  <c r="J245" i="3"/>
  <c r="J244" i="3" s="1"/>
  <c r="K243" i="3"/>
  <c r="I248" i="3"/>
  <c r="I247" i="3" s="1"/>
  <c r="J246" i="3"/>
  <c r="J242" i="3"/>
  <c r="J241" i="3" s="1"/>
  <c r="K240" i="3"/>
  <c r="J233" i="3"/>
  <c r="J232" i="3" s="1"/>
  <c r="K231" i="3"/>
  <c r="J230" i="3"/>
  <c r="J229" i="3" s="1"/>
  <c r="K228" i="3"/>
  <c r="J236" i="3"/>
  <c r="J235" i="3" s="1"/>
  <c r="K234" i="3"/>
  <c r="J197" i="3"/>
  <c r="J196" i="3" s="1"/>
  <c r="J188" i="3"/>
  <c r="J187" i="3" s="1"/>
  <c r="G55" i="5"/>
  <c r="G56" i="5"/>
  <c r="K197" i="3"/>
  <c r="K196" i="3" s="1"/>
  <c r="L195" i="3"/>
  <c r="L197" i="3" s="1"/>
  <c r="L196" i="3" s="1"/>
  <c r="K330" i="3"/>
  <c r="K329" i="3" s="1"/>
  <c r="L328" i="3"/>
  <c r="L330" i="3" s="1"/>
  <c r="L329" i="3" s="1"/>
  <c r="I181" i="3"/>
  <c r="J309" i="3"/>
  <c r="J308" i="3" s="1"/>
  <c r="K307" i="3"/>
  <c r="L295" i="3"/>
  <c r="L297" i="3" s="1"/>
  <c r="L296" i="3" s="1"/>
  <c r="K297" i="3"/>
  <c r="K296" i="3" s="1"/>
  <c r="K206" i="3"/>
  <c r="K205" i="3" s="1"/>
  <c r="L204" i="3"/>
  <c r="L206" i="3" s="1"/>
  <c r="L205" i="3" s="1"/>
  <c r="L283" i="3"/>
  <c r="L285" i="3" s="1"/>
  <c r="L284" i="3" s="1"/>
  <c r="K285" i="3"/>
  <c r="K284" i="3" s="1"/>
  <c r="K270" i="3"/>
  <c r="K269" i="3" s="1"/>
  <c r="L268" i="3"/>
  <c r="L270" i="3" s="1"/>
  <c r="L269" i="3" s="1"/>
  <c r="K312" i="3"/>
  <c r="K311" i="3" s="1"/>
  <c r="L310" i="3"/>
  <c r="L312" i="3" s="1"/>
  <c r="L311" i="3" s="1"/>
  <c r="L304" i="3"/>
  <c r="L306" i="3" s="1"/>
  <c r="L305" i="3" s="1"/>
  <c r="K306" i="3"/>
  <c r="K305" i="3" s="1"/>
  <c r="J191" i="3"/>
  <c r="J190" i="3" s="1"/>
  <c r="K189" i="3"/>
  <c r="K315" i="3"/>
  <c r="K314" i="3" s="1"/>
  <c r="L313" i="3"/>
  <c r="L315" i="3" s="1"/>
  <c r="L314" i="3" s="1"/>
  <c r="J333" i="3"/>
  <c r="J332" i="3" s="1"/>
  <c r="K331" i="3"/>
  <c r="K221" i="3"/>
  <c r="K220" i="3" s="1"/>
  <c r="L219" i="3"/>
  <c r="L221" i="3" s="1"/>
  <c r="L220" i="3" s="1"/>
  <c r="K336" i="3"/>
  <c r="K335" i="3" s="1"/>
  <c r="L334" i="3"/>
  <c r="L336" i="3" s="1"/>
  <c r="L335" i="3" s="1"/>
  <c r="J182" i="3"/>
  <c r="J181" i="3" s="1"/>
  <c r="K180" i="3"/>
  <c r="L316" i="3"/>
  <c r="L318" i="3" s="1"/>
  <c r="L317" i="3" s="1"/>
  <c r="K318" i="3"/>
  <c r="K317" i="3" s="1"/>
  <c r="K282" i="3"/>
  <c r="K281" i="3" s="1"/>
  <c r="L280" i="3"/>
  <c r="L282" i="3" s="1"/>
  <c r="L281" i="3" s="1"/>
  <c r="K174" i="3"/>
  <c r="J176" i="3"/>
  <c r="J175" i="3" s="1"/>
  <c r="L201" i="3"/>
  <c r="L203" i="3" s="1"/>
  <c r="L202" i="3" s="1"/>
  <c r="K203" i="3"/>
  <c r="K202" i="3" s="1"/>
  <c r="K168" i="3"/>
  <c r="J170" i="3"/>
  <c r="J169" i="3" s="1"/>
  <c r="J185" i="3"/>
  <c r="J184" i="3" s="1"/>
  <c r="K183" i="3"/>
  <c r="L322" i="3"/>
  <c r="L324" i="3" s="1"/>
  <c r="L323" i="3" s="1"/>
  <c r="K324" i="3"/>
  <c r="K323" i="3" s="1"/>
  <c r="J294" i="3"/>
  <c r="J293" i="3" s="1"/>
  <c r="K292" i="3"/>
  <c r="L298" i="3"/>
  <c r="L300" i="3" s="1"/>
  <c r="L299" i="3" s="1"/>
  <c r="K300" i="3"/>
  <c r="K299" i="3" s="1"/>
  <c r="K171" i="3"/>
  <c r="J173" i="3"/>
  <c r="J172" i="3" s="1"/>
  <c r="L271" i="3"/>
  <c r="L273" i="3" s="1"/>
  <c r="L272" i="3" s="1"/>
  <c r="K273" i="3"/>
  <c r="K272" i="3" s="1"/>
  <c r="K279" i="3"/>
  <c r="K278" i="3" s="1"/>
  <c r="L277" i="3"/>
  <c r="L279" i="3" s="1"/>
  <c r="L278" i="3" s="1"/>
  <c r="K218" i="3"/>
  <c r="K217" i="3" s="1"/>
  <c r="L216" i="3"/>
  <c r="L218" i="3" s="1"/>
  <c r="L217" i="3" s="1"/>
  <c r="K276" i="3"/>
  <c r="K275" i="3" s="1"/>
  <c r="L274" i="3"/>
  <c r="L276" i="3" s="1"/>
  <c r="L275" i="3" s="1"/>
  <c r="J158" i="3"/>
  <c r="J157" i="3" s="1"/>
  <c r="K156" i="3"/>
  <c r="J179" i="3"/>
  <c r="J178" i="3" s="1"/>
  <c r="K177" i="3"/>
  <c r="L210" i="3"/>
  <c r="L212" i="3" s="1"/>
  <c r="L211" i="3" s="1"/>
  <c r="K212" i="3"/>
  <c r="K211" i="3" s="1"/>
  <c r="K264" i="3"/>
  <c r="K263" i="3" s="1"/>
  <c r="L262" i="3"/>
  <c r="L264" i="3" s="1"/>
  <c r="L263" i="3" s="1"/>
  <c r="J291" i="3"/>
  <c r="J290" i="3" s="1"/>
  <c r="K289" i="3"/>
  <c r="K286" i="3"/>
  <c r="J288" i="3"/>
  <c r="J287" i="3" s="1"/>
  <c r="L162" i="3"/>
  <c r="L164" i="3" s="1"/>
  <c r="L163" i="3" s="1"/>
  <c r="K164" i="3"/>
  <c r="K163" i="3" s="1"/>
  <c r="L186" i="3"/>
  <c r="L188" i="3" s="1"/>
  <c r="L187" i="3" s="1"/>
  <c r="K188" i="3"/>
  <c r="K187" i="3" s="1"/>
  <c r="K227" i="3"/>
  <c r="K226" i="3" s="1"/>
  <c r="L225" i="3"/>
  <c r="L227" i="3" s="1"/>
  <c r="L226" i="3" s="1"/>
  <c r="L319" i="3"/>
  <c r="L321" i="3" s="1"/>
  <c r="L320" i="3" s="1"/>
  <c r="K321" i="3"/>
  <c r="K320" i="3" s="1"/>
  <c r="K267" i="3"/>
  <c r="K266" i="3" s="1"/>
  <c r="L265" i="3"/>
  <c r="L267" i="3" s="1"/>
  <c r="L266" i="3" s="1"/>
  <c r="K165" i="3"/>
  <c r="J167" i="3"/>
  <c r="J166" i="3" s="1"/>
  <c r="K301" i="3"/>
  <c r="J303" i="3"/>
  <c r="J302" i="3" s="1"/>
  <c r="J161" i="3"/>
  <c r="J160" i="3" s="1"/>
  <c r="K159" i="3"/>
  <c r="J325" i="3" l="1"/>
  <c r="I327" i="3"/>
  <c r="I326" i="3" s="1"/>
  <c r="I339" i="3"/>
  <c r="I338" i="3" s="1"/>
  <c r="J337" i="3"/>
  <c r="K237" i="3"/>
  <c r="K239" i="3" s="1"/>
  <c r="K238" i="3" s="1"/>
  <c r="K251" i="3"/>
  <c r="K250" i="3" s="1"/>
  <c r="L249" i="3"/>
  <c r="L251" i="3" s="1"/>
  <c r="L250" i="3" s="1"/>
  <c r="K245" i="3"/>
  <c r="K244" i="3" s="1"/>
  <c r="L243" i="3"/>
  <c r="L245" i="3" s="1"/>
  <c r="L244" i="3" s="1"/>
  <c r="J248" i="3"/>
  <c r="J247" i="3" s="1"/>
  <c r="K246" i="3"/>
  <c r="K236" i="3"/>
  <c r="K235" i="3" s="1"/>
  <c r="L234" i="3"/>
  <c r="L236" i="3" s="1"/>
  <c r="L235" i="3" s="1"/>
  <c r="K233" i="3"/>
  <c r="K232" i="3" s="1"/>
  <c r="L231" i="3"/>
  <c r="L233" i="3" s="1"/>
  <c r="L232" i="3" s="1"/>
  <c r="K230" i="3"/>
  <c r="K229" i="3" s="1"/>
  <c r="L228" i="3"/>
  <c r="L230" i="3" s="1"/>
  <c r="L229" i="3" s="1"/>
  <c r="K242" i="3"/>
  <c r="K241" i="3" s="1"/>
  <c r="L240" i="3"/>
  <c r="L242" i="3" s="1"/>
  <c r="L241" i="3" s="1"/>
  <c r="K288" i="3"/>
  <c r="K287" i="3" s="1"/>
  <c r="L286" i="3"/>
  <c r="L288" i="3" s="1"/>
  <c r="L287" i="3" s="1"/>
  <c r="K303" i="3"/>
  <c r="K302" i="3" s="1"/>
  <c r="L301" i="3"/>
  <c r="L303" i="3" s="1"/>
  <c r="L302" i="3" s="1"/>
  <c r="K161" i="3"/>
  <c r="K160" i="3" s="1"/>
  <c r="L159" i="3"/>
  <c r="L161" i="3" s="1"/>
  <c r="L160" i="3" s="1"/>
  <c r="L156" i="3"/>
  <c r="L158" i="3" s="1"/>
  <c r="L157" i="3" s="1"/>
  <c r="K158" i="3"/>
  <c r="K157" i="3" s="1"/>
  <c r="L171" i="3"/>
  <c r="L173" i="3" s="1"/>
  <c r="L172" i="3" s="1"/>
  <c r="K173" i="3"/>
  <c r="K172" i="3" s="1"/>
  <c r="K170" i="3"/>
  <c r="K169" i="3" s="1"/>
  <c r="L168" i="3"/>
  <c r="L170" i="3" s="1"/>
  <c r="L169" i="3" s="1"/>
  <c r="K176" i="3"/>
  <c r="K175" i="3" s="1"/>
  <c r="L174" i="3"/>
  <c r="L176" i="3" s="1"/>
  <c r="L175" i="3" s="1"/>
  <c r="L289" i="3"/>
  <c r="L291" i="3" s="1"/>
  <c r="L290" i="3" s="1"/>
  <c r="K291" i="3"/>
  <c r="K290" i="3" s="1"/>
  <c r="L183" i="3"/>
  <c r="L185" i="3" s="1"/>
  <c r="L184" i="3" s="1"/>
  <c r="K185" i="3"/>
  <c r="K184" i="3" s="1"/>
  <c r="L331" i="3"/>
  <c r="L333" i="3" s="1"/>
  <c r="L332" i="3" s="1"/>
  <c r="K333" i="3"/>
  <c r="K332" i="3" s="1"/>
  <c r="K191" i="3"/>
  <c r="K190" i="3" s="1"/>
  <c r="L189" i="3"/>
  <c r="L191" i="3" s="1"/>
  <c r="L190" i="3" s="1"/>
  <c r="K309" i="3"/>
  <c r="K308" i="3" s="1"/>
  <c r="L307" i="3"/>
  <c r="L309" i="3" s="1"/>
  <c r="L308" i="3" s="1"/>
  <c r="K167" i="3"/>
  <c r="K166" i="3" s="1"/>
  <c r="L165" i="3"/>
  <c r="L167" i="3" s="1"/>
  <c r="L166" i="3" s="1"/>
  <c r="K179" i="3"/>
  <c r="K178" i="3" s="1"/>
  <c r="L177" i="3"/>
  <c r="L179" i="3" s="1"/>
  <c r="L178" i="3" s="1"/>
  <c r="L292" i="3"/>
  <c r="L294" i="3" s="1"/>
  <c r="L293" i="3" s="1"/>
  <c r="K294" i="3"/>
  <c r="K293" i="3" s="1"/>
  <c r="K182" i="3"/>
  <c r="K181" i="3" s="1"/>
  <c r="L180" i="3"/>
  <c r="L182" i="3" s="1"/>
  <c r="L181" i="3" s="1"/>
  <c r="J327" i="3" l="1"/>
  <c r="J326" i="3" s="1"/>
  <c r="K325" i="3"/>
  <c r="J339" i="3"/>
  <c r="J338" i="3" s="1"/>
  <c r="K337" i="3"/>
  <c r="L237" i="3"/>
  <c r="L239" i="3" s="1"/>
  <c r="L238" i="3" s="1"/>
  <c r="K248" i="3"/>
  <c r="K247" i="3" s="1"/>
  <c r="L246" i="3"/>
  <c r="L248" i="3" s="1"/>
  <c r="L247" i="3" s="1"/>
  <c r="L325" i="3" l="1"/>
  <c r="L327" i="3" s="1"/>
  <c r="L326" i="3" s="1"/>
  <c r="K327" i="3"/>
  <c r="K326" i="3" s="1"/>
  <c r="K339" i="3"/>
  <c r="K338" i="3" s="1"/>
  <c r="L337" i="3"/>
  <c r="L339" i="3" s="1"/>
  <c r="L338" i="3" s="1"/>
  <c r="M70" i="38" l="1"/>
  <c r="P70" i="38"/>
  <c r="V70" i="38"/>
  <c r="F28" i="7"/>
  <c r="X58" i="38"/>
  <c r="J70" i="38"/>
  <c r="U70" i="38"/>
  <c r="F58" i="38"/>
  <c r="G70" i="38"/>
  <c r="O58" i="38"/>
  <c r="B58" i="38"/>
  <c r="J58" i="38"/>
  <c r="AF11" i="60"/>
  <c r="B39" i="61"/>
  <c r="F70" i="38"/>
  <c r="M58" i="38"/>
  <c r="T70" i="38"/>
  <c r="K70" i="38"/>
  <c r="S58" i="38"/>
  <c r="R58" i="38"/>
  <c r="C17" i="19"/>
  <c r="H70" i="38"/>
  <c r="I70" i="38"/>
  <c r="L58" i="38"/>
  <c r="T58" i="38"/>
  <c r="Q58" i="38"/>
  <c r="Y70" i="38"/>
  <c r="X70" i="38"/>
  <c r="O70" i="38"/>
  <c r="G58" i="38"/>
  <c r="L70" i="38"/>
  <c r="S70" i="38"/>
  <c r="K58" i="38"/>
  <c r="V58" i="38"/>
  <c r="Z58" i="38"/>
  <c r="N70" i="38"/>
  <c r="W70" i="38"/>
  <c r="E58" i="38"/>
  <c r="W58" i="38"/>
  <c r="N58" i="38"/>
  <c r="B38" i="61"/>
  <c r="E70" i="38"/>
  <c r="U58" i="38"/>
  <c r="H58" i="38"/>
  <c r="R70" i="38"/>
  <c r="P58" i="38"/>
  <c r="Q70" i="38"/>
  <c r="I58" i="38"/>
  <c r="AI11" i="38"/>
  <c r="AH11" i="38"/>
  <c r="H38" i="61"/>
  <c r="I38" i="61" s="1"/>
  <c r="H39" i="61"/>
  <c r="I39" i="61" s="1"/>
  <c r="E38" i="61"/>
  <c r="F38" i="61" s="1"/>
  <c r="G38" i="61" s="1"/>
  <c r="C38" i="61"/>
  <c r="C39" i="61"/>
  <c r="D39" i="61" s="1"/>
  <c r="C70" i="38"/>
  <c r="C58" i="38"/>
  <c r="K145" i="77" s="1"/>
  <c r="D58" i="38"/>
  <c r="B98" i="38" s="1"/>
  <c r="D70" i="38"/>
  <c r="C28" i="19"/>
  <c r="E39" i="61"/>
  <c r="F39" i="61" s="1"/>
  <c r="G39" i="61" s="1"/>
  <c r="Y58" i="38"/>
  <c r="F65" i="38"/>
  <c r="C76" i="19" s="1"/>
  <c r="B203" i="50" s="1"/>
  <c r="AH11" i="80" l="1"/>
  <c r="AH11" i="59"/>
  <c r="AI11" i="80"/>
  <c r="AI11" i="59"/>
  <c r="AH11" i="79"/>
  <c r="AI11" i="79"/>
  <c r="K153" i="77"/>
  <c r="K146" i="78"/>
  <c r="K146" i="77"/>
  <c r="K144" i="78"/>
  <c r="K144" i="77"/>
  <c r="K155" i="78"/>
  <c r="K153" i="78"/>
  <c r="N155" i="78"/>
  <c r="K152" i="78"/>
  <c r="K154" i="78"/>
  <c r="N145" i="77"/>
  <c r="K145" i="78"/>
  <c r="K145" i="20" s="1"/>
  <c r="K155" i="77"/>
  <c r="N155" i="77"/>
  <c r="K152" i="77"/>
  <c r="K154" i="77"/>
  <c r="AI11" i="61"/>
  <c r="AH11" i="61"/>
  <c r="AA56" i="38"/>
  <c r="AA58" i="38"/>
  <c r="AB58" i="38" s="1"/>
  <c r="D38" i="61"/>
  <c r="C98" i="38"/>
  <c r="E98" i="38" s="1"/>
  <c r="L53" i="38"/>
  <c r="D102" i="38"/>
  <c r="F102" i="38" s="1"/>
  <c r="G102" i="38"/>
  <c r="D98" i="38"/>
  <c r="F98" i="38" s="1"/>
  <c r="B102" i="38"/>
  <c r="H98" i="38"/>
  <c r="K139" i="77" s="1"/>
  <c r="H102" i="38"/>
  <c r="K147" i="77" s="1"/>
  <c r="G98" i="38"/>
  <c r="N139" i="77" s="1"/>
  <c r="AH11" i="60"/>
  <c r="AI11" i="60"/>
  <c r="C102" i="38"/>
  <c r="E102" i="38" s="1"/>
  <c r="K155" i="20" l="1"/>
  <c r="N155" i="20"/>
  <c r="N144" i="77"/>
  <c r="K144" i="20"/>
  <c r="N146" i="77"/>
  <c r="K146" i="20"/>
  <c r="N153" i="77"/>
  <c r="K153" i="20"/>
  <c r="N154" i="77"/>
  <c r="K154" i="20"/>
  <c r="N152" i="77"/>
  <c r="K152" i="20"/>
  <c r="N145" i="78"/>
  <c r="N145" i="20" s="1"/>
  <c r="N144" i="78"/>
  <c r="N146" i="78"/>
  <c r="N154" i="78"/>
  <c r="N152" i="78"/>
  <c r="N153" i="78"/>
  <c r="N148" i="77"/>
  <c r="N147" i="77"/>
  <c r="K143" i="77"/>
  <c r="K139" i="78"/>
  <c r="K139" i="20" s="1"/>
  <c r="N148" i="78"/>
  <c r="N147" i="78"/>
  <c r="K142" i="77"/>
  <c r="N139" i="78"/>
  <c r="N139" i="20" s="1"/>
  <c r="N158" i="78"/>
  <c r="N156" i="78"/>
  <c r="N157" i="78"/>
  <c r="K150" i="77"/>
  <c r="K147" i="78"/>
  <c r="K147" i="20" s="1"/>
  <c r="K157" i="78"/>
  <c r="K156" i="78"/>
  <c r="Q85" i="77"/>
  <c r="Q81" i="77"/>
  <c r="Q77" i="77"/>
  <c r="Q73" i="77"/>
  <c r="Q65" i="77"/>
  <c r="Q61" i="77"/>
  <c r="Q57" i="77"/>
  <c r="N158" i="77"/>
  <c r="N156" i="77"/>
  <c r="N157" i="77"/>
  <c r="I102" i="38"/>
  <c r="K157" i="77"/>
  <c r="K156" i="77"/>
  <c r="AB56" i="38"/>
  <c r="I98" i="38"/>
  <c r="J102" i="38"/>
  <c r="J98" i="38"/>
  <c r="N146" i="20" l="1"/>
  <c r="N148" i="20"/>
  <c r="N144" i="20"/>
  <c r="K157" i="20"/>
  <c r="N154" i="20"/>
  <c r="N157" i="20"/>
  <c r="N152" i="20"/>
  <c r="N153" i="20"/>
  <c r="N156" i="20"/>
  <c r="N158" i="20"/>
  <c r="N150" i="77"/>
  <c r="N142" i="77"/>
  <c r="N143" i="77"/>
  <c r="K149" i="77"/>
  <c r="N147" i="20"/>
  <c r="K158" i="77"/>
  <c r="K156" i="20"/>
  <c r="K150" i="78"/>
  <c r="K150" i="20" s="1"/>
  <c r="K143" i="78"/>
  <c r="K143" i="20" s="1"/>
  <c r="K142" i="78"/>
  <c r="K142" i="20" s="1"/>
  <c r="K149" i="78"/>
  <c r="K158" i="78"/>
  <c r="N140" i="78"/>
  <c r="N140" i="77"/>
  <c r="K140" i="78"/>
  <c r="K140" i="77"/>
  <c r="K148" i="78"/>
  <c r="K148" i="77"/>
  <c r="B9" i="50"/>
  <c r="M97" i="38"/>
  <c r="M101" i="38"/>
  <c r="K148" i="20" l="1"/>
  <c r="N140" i="20"/>
  <c r="K140" i="20"/>
  <c r="K158" i="20"/>
  <c r="N149" i="77"/>
  <c r="K149" i="20"/>
  <c r="N149" i="78"/>
  <c r="N143" i="78"/>
  <c r="N143" i="20" s="1"/>
  <c r="N142" i="78"/>
  <c r="N142" i="20" s="1"/>
  <c r="N150" i="78"/>
  <c r="N150" i="20" s="1"/>
  <c r="M102" i="38"/>
  <c r="N101" i="38"/>
  <c r="N102" i="38" s="1"/>
  <c r="M98" i="38"/>
  <c r="N97" i="38"/>
  <c r="N98" i="38" s="1"/>
  <c r="N149" i="20" l="1"/>
  <c r="Q132" i="77"/>
  <c r="B106" i="50" l="1"/>
  <c r="J102" i="80" l="1"/>
  <c r="H41" i="61"/>
  <c r="Q134" i="77" l="1"/>
  <c r="AD202" i="80" l="1"/>
  <c r="AE202" i="80"/>
  <c r="AC202" i="80"/>
  <c r="AC206" i="80" l="1"/>
  <c r="AC205" i="80"/>
  <c r="AC204" i="80"/>
  <c r="AC203" i="80"/>
  <c r="AE206" i="80"/>
  <c r="AE205" i="80"/>
  <c r="AE204" i="80"/>
  <c r="AE203" i="80"/>
  <c r="AD206" i="80"/>
  <c r="AD205" i="80"/>
  <c r="AD204" i="80"/>
  <c r="AD203" i="80"/>
  <c r="AC199" i="80"/>
  <c r="AC201" i="80"/>
  <c r="AE201" i="80"/>
  <c r="AE199" i="80"/>
  <c r="AD201" i="80"/>
  <c r="AD199" i="80"/>
  <c r="AF202" i="80"/>
  <c r="AF206" i="80" l="1"/>
  <c r="AF205" i="80"/>
  <c r="AF204" i="80"/>
  <c r="AF203" i="80"/>
  <c r="AF201" i="80"/>
  <c r="AF199" i="80"/>
  <c r="AG201" i="80" l="1"/>
  <c r="AH202" i="80"/>
  <c r="AH206" i="80" l="1"/>
  <c r="AH205" i="80"/>
  <c r="AH204" i="80"/>
  <c r="AH203" i="80"/>
  <c r="AH201" i="80"/>
  <c r="AH199" i="80"/>
  <c r="AJ202" i="80"/>
  <c r="AI202" i="80"/>
  <c r="AJ206" i="80" l="1"/>
  <c r="AJ205" i="80"/>
  <c r="AJ204" i="80"/>
  <c r="AJ203" i="80"/>
  <c r="AI206" i="80"/>
  <c r="AI205" i="80"/>
  <c r="AI204" i="80"/>
  <c r="AI203" i="80"/>
  <c r="AI201" i="80"/>
  <c r="AI199" i="80"/>
  <c r="AJ201" i="80"/>
  <c r="AJ199" i="80"/>
  <c r="B14" i="50"/>
  <c r="Q107" i="77" l="1"/>
  <c r="Q111" i="77" l="1"/>
  <c r="K141" i="77" l="1"/>
  <c r="G33" i="1" l="1"/>
  <c r="D28" i="1"/>
  <c r="D78" i="1"/>
  <c r="G42" i="1"/>
  <c r="J43" i="1" s="1"/>
  <c r="G52" i="1" l="1"/>
  <c r="J48" i="1"/>
  <c r="J45" i="1"/>
  <c r="G54" i="1" s="1"/>
  <c r="J47" i="1"/>
  <c r="J44" i="1"/>
  <c r="J46" i="1" s="1"/>
  <c r="I43" i="1"/>
  <c r="H43" i="1"/>
  <c r="G43" i="1"/>
  <c r="G45" i="1" l="1"/>
  <c r="G44" i="1"/>
  <c r="G46" i="1" s="1"/>
  <c r="C18" i="19" s="1"/>
  <c r="C20" i="19" s="1"/>
  <c r="D52" i="1"/>
  <c r="H44" i="1"/>
  <c r="H46" i="1" s="1"/>
  <c r="H47" i="1"/>
  <c r="H48" i="1"/>
  <c r="E52" i="1"/>
  <c r="H45" i="1"/>
  <c r="E54" i="1" s="1"/>
  <c r="I44" i="1"/>
  <c r="I46" i="1" s="1"/>
  <c r="I47" i="1"/>
  <c r="I48" i="1"/>
  <c r="I45" i="1"/>
  <c r="F54" i="1" s="1"/>
  <c r="F52" i="1"/>
  <c r="G53" i="1"/>
  <c r="G56" i="1"/>
  <c r="G55" i="1"/>
  <c r="C19" i="19" l="1"/>
  <c r="N22" i="7" s="1"/>
  <c r="G47" i="1"/>
  <c r="D56" i="1" s="1"/>
  <c r="G48" i="1"/>
  <c r="E55" i="1"/>
  <c r="E53" i="1"/>
  <c r="E56" i="1"/>
  <c r="F56" i="1"/>
  <c r="F55" i="1"/>
  <c r="F53" i="1"/>
  <c r="D54" i="1"/>
  <c r="D55" i="1"/>
  <c r="D53" i="1"/>
  <c r="G69" i="1"/>
  <c r="D75" i="1" s="1"/>
  <c r="D69" i="1"/>
  <c r="M4" i="7" l="1"/>
  <c r="D72" i="1"/>
  <c r="D70" i="1"/>
  <c r="D71" i="1"/>
  <c r="D59" i="59" l="1"/>
  <c r="A71" i="59"/>
  <c r="X71" i="59"/>
  <c r="A52" i="59"/>
  <c r="AB52" i="59"/>
  <c r="C59" i="59"/>
  <c r="B59" i="59"/>
  <c r="AB52" i="60"/>
  <c r="AB51" i="60"/>
  <c r="AB50" i="60"/>
  <c r="X71" i="60"/>
  <c r="X70" i="60"/>
  <c r="X69" i="60"/>
  <c r="A71" i="60"/>
  <c r="A70" i="60"/>
  <c r="A69" i="60"/>
  <c r="A62" i="60"/>
  <c r="A61" i="60"/>
  <c r="A60" i="60"/>
  <c r="A42" i="60"/>
  <c r="A41" i="60"/>
  <c r="A51" i="60"/>
  <c r="A50" i="60"/>
  <c r="X70" i="59"/>
  <c r="X69" i="59"/>
  <c r="AB51" i="59"/>
  <c r="AB50" i="59"/>
  <c r="A51" i="59"/>
  <c r="A50" i="59"/>
  <c r="A70" i="59"/>
  <c r="A69" i="59"/>
  <c r="G71" i="60"/>
  <c r="I71" i="60"/>
  <c r="AF70" i="60"/>
  <c r="AF71" i="60"/>
  <c r="Z70" i="60"/>
  <c r="AD70" i="60"/>
  <c r="Z71" i="60"/>
  <c r="AD71" i="60"/>
  <c r="AB70" i="60"/>
  <c r="AB71" i="60"/>
  <c r="I70" i="60"/>
  <c r="G70" i="60"/>
  <c r="B162" i="79"/>
  <c r="B42" i="60" s="1"/>
  <c r="D162" i="79"/>
  <c r="D42" i="60" s="1"/>
  <c r="C162" i="79"/>
  <c r="C42" i="60" s="1"/>
  <c r="E162" i="79"/>
  <c r="E42" i="60" s="1"/>
  <c r="A43" i="60"/>
  <c r="A52" i="60"/>
  <c r="L92" i="28"/>
  <c r="H92" i="28"/>
  <c r="D92" i="28"/>
  <c r="J92" i="28"/>
  <c r="I92" i="28"/>
  <c r="E92" i="28"/>
  <c r="K92" i="28"/>
  <c r="G92" i="28"/>
  <c r="C92" i="28"/>
  <c r="F92" i="28"/>
  <c r="L92" i="24"/>
  <c r="H92" i="24"/>
  <c r="D92" i="24"/>
  <c r="J92" i="24"/>
  <c r="K92" i="24"/>
  <c r="G92" i="24"/>
  <c r="C92" i="24"/>
  <c r="F92" i="24"/>
  <c r="I92" i="24"/>
  <c r="E92" i="24"/>
  <c r="I74" i="28"/>
  <c r="L74" i="28"/>
  <c r="H74" i="28"/>
  <c r="D74" i="28"/>
  <c r="J74" i="28"/>
  <c r="F74" i="28"/>
  <c r="E74" i="28"/>
  <c r="K74" i="28"/>
  <c r="G74" i="28"/>
  <c r="C74" i="28"/>
  <c r="L16" i="79"/>
  <c r="L16" i="80" s="1"/>
  <c r="I74" i="24"/>
  <c r="E74" i="24"/>
  <c r="J74" i="24"/>
  <c r="L74" i="24"/>
  <c r="H74" i="24"/>
  <c r="D74" i="24"/>
  <c r="K74" i="24"/>
  <c r="G74" i="24"/>
  <c r="C74" i="24"/>
  <c r="F74" i="24"/>
  <c r="AB56" i="60"/>
  <c r="AB54" i="60"/>
  <c r="AB53" i="60"/>
  <c r="X75" i="59"/>
  <c r="X72" i="59"/>
  <c r="X73" i="59"/>
  <c r="AB56" i="59"/>
  <c r="AB54" i="59"/>
  <c r="AB53" i="59"/>
  <c r="A56" i="59"/>
  <c r="A55" i="59"/>
  <c r="A54" i="59"/>
  <c r="A53" i="59"/>
  <c r="B52" i="77"/>
  <c r="B47" i="77"/>
  <c r="B50" i="77"/>
  <c r="B31" i="77"/>
  <c r="B44" i="77"/>
  <c r="B33" i="77"/>
  <c r="B28" i="77"/>
  <c r="B43" i="77"/>
  <c r="B55" i="77"/>
  <c r="B56" i="77"/>
  <c r="B54" i="77"/>
  <c r="K25" i="77"/>
  <c r="B32" i="77"/>
  <c r="B27" i="77"/>
  <c r="B130" i="77"/>
  <c r="B41" i="77"/>
  <c r="B128" i="77"/>
  <c r="B48" i="77"/>
  <c r="B46" i="77"/>
  <c r="B51" i="77"/>
  <c r="B131" i="77"/>
  <c r="B25" i="77"/>
  <c r="B42" i="77"/>
  <c r="B45" i="77"/>
  <c r="B36" i="77"/>
  <c r="B26" i="77"/>
  <c r="B29" i="77"/>
  <c r="B34" i="77"/>
  <c r="B35" i="77"/>
  <c r="B30" i="77"/>
  <c r="B49" i="77"/>
  <c r="B53" i="77"/>
  <c r="B129" i="77"/>
  <c r="L2" i="28"/>
  <c r="H2" i="28"/>
  <c r="D2" i="28"/>
  <c r="F2" i="28"/>
  <c r="E2" i="28"/>
  <c r="K2" i="28"/>
  <c r="G2" i="28"/>
  <c r="C2" i="28"/>
  <c r="J2" i="28"/>
  <c r="I2" i="28"/>
  <c r="L57" i="31"/>
  <c r="H57" i="31"/>
  <c r="D57" i="31"/>
  <c r="F57" i="31"/>
  <c r="E57" i="31"/>
  <c r="K57" i="31"/>
  <c r="G57" i="31"/>
  <c r="C57" i="31"/>
  <c r="J57" i="31"/>
  <c r="I57" i="31"/>
  <c r="L38" i="31"/>
  <c r="H38" i="31"/>
  <c r="K38" i="31"/>
  <c r="G38" i="31"/>
  <c r="C38" i="31"/>
  <c r="E38" i="31"/>
  <c r="J38" i="31"/>
  <c r="F38" i="31"/>
  <c r="I38" i="31"/>
  <c r="D38" i="31"/>
  <c r="L20" i="31"/>
  <c r="K20" i="31"/>
  <c r="G20" i="31"/>
  <c r="C20" i="31"/>
  <c r="E20" i="31"/>
  <c r="D20" i="31"/>
  <c r="J20" i="31"/>
  <c r="F20" i="31"/>
  <c r="I20" i="31"/>
  <c r="H20" i="31"/>
  <c r="L42" i="34"/>
  <c r="H42" i="34"/>
  <c r="D42" i="34"/>
  <c r="E42" i="34"/>
  <c r="K42" i="34"/>
  <c r="G42" i="34"/>
  <c r="C42" i="34"/>
  <c r="F42" i="34"/>
  <c r="I42" i="34"/>
  <c r="J42" i="34"/>
  <c r="L20" i="34"/>
  <c r="H20" i="34"/>
  <c r="D20" i="34"/>
  <c r="K20" i="34"/>
  <c r="G20" i="34"/>
  <c r="C20" i="34"/>
  <c r="J20" i="34"/>
  <c r="F20" i="34"/>
  <c r="I20" i="34"/>
  <c r="E20" i="34"/>
  <c r="L2" i="34"/>
  <c r="H2" i="34"/>
  <c r="D2" i="34"/>
  <c r="K2" i="34"/>
  <c r="G2" i="34"/>
  <c r="C2" i="34"/>
  <c r="E2" i="34"/>
  <c r="J2" i="34"/>
  <c r="F2" i="34"/>
  <c r="I2" i="34"/>
  <c r="K38" i="24"/>
  <c r="K38" i="28" s="1"/>
  <c r="G38" i="24"/>
  <c r="G38" i="28" s="1"/>
  <c r="C38" i="24"/>
  <c r="C38" i="28" s="1"/>
  <c r="E38" i="24"/>
  <c r="E38" i="28" s="1"/>
  <c r="H38" i="24"/>
  <c r="H38" i="28" s="1"/>
  <c r="J38" i="24"/>
  <c r="J38" i="28" s="1"/>
  <c r="F38" i="24"/>
  <c r="F38" i="28" s="1"/>
  <c r="I38" i="24"/>
  <c r="I38" i="28" s="1"/>
  <c r="L38" i="24"/>
  <c r="L38" i="28" s="1"/>
  <c r="D38" i="24"/>
  <c r="D38" i="28" s="1"/>
  <c r="L20" i="24"/>
  <c r="H20" i="24"/>
  <c r="D20" i="24"/>
  <c r="F20" i="24"/>
  <c r="I20" i="24"/>
  <c r="K20" i="24"/>
  <c r="G20" i="24"/>
  <c r="C20" i="24"/>
  <c r="J20" i="24"/>
  <c r="E20" i="24"/>
  <c r="L2" i="24"/>
  <c r="H2" i="24"/>
  <c r="D2" i="24"/>
  <c r="E2" i="24"/>
  <c r="K2" i="24"/>
  <c r="G2" i="24"/>
  <c r="J2" i="24"/>
  <c r="F2" i="24"/>
  <c r="I2" i="24"/>
  <c r="E20" i="19"/>
  <c r="C2" i="24"/>
  <c r="E19" i="19"/>
  <c r="B87" i="78"/>
  <c r="B87" i="20" s="1"/>
  <c r="A54" i="60"/>
  <c r="M42" i="79"/>
  <c r="B77" i="78"/>
  <c r="B77" i="20" s="1"/>
  <c r="S8" i="59"/>
  <c r="Q13" i="59"/>
  <c r="A84" i="60"/>
  <c r="A92" i="59"/>
  <c r="B88" i="78"/>
  <c r="B88" i="20" s="1"/>
  <c r="B74" i="78"/>
  <c r="B74" i="20" s="1"/>
  <c r="B61" i="78"/>
  <c r="B61" i="20" s="1"/>
  <c r="Q13" i="60"/>
  <c r="B107" i="78"/>
  <c r="B107" i="20" s="1"/>
  <c r="A92" i="60"/>
  <c r="C21" i="78"/>
  <c r="S6" i="59"/>
  <c r="A95" i="60"/>
  <c r="B45" i="78"/>
  <c r="A86" i="60"/>
  <c r="A85" i="60"/>
  <c r="B84" i="78"/>
  <c r="B84" i="20" s="1"/>
  <c r="B66" i="78"/>
  <c r="B66" i="20" s="1"/>
  <c r="B75" i="78"/>
  <c r="B75" i="20" s="1"/>
  <c r="B67" i="78"/>
  <c r="B67" i="20" s="1"/>
  <c r="B44" i="78"/>
  <c r="U8" i="60"/>
  <c r="A74" i="59"/>
  <c r="A80" i="59"/>
  <c r="A81" i="60"/>
  <c r="B73" i="78"/>
  <c r="B73" i="20" s="1"/>
  <c r="A75" i="59"/>
  <c r="I5" i="79"/>
  <c r="S6" i="60"/>
  <c r="K57" i="78"/>
  <c r="B129" i="78"/>
  <c r="A66" i="60"/>
  <c r="A79" i="60"/>
  <c r="B53" i="78"/>
  <c r="AF42" i="79"/>
  <c r="A94" i="59"/>
  <c r="B35" i="78"/>
  <c r="B43" i="78"/>
  <c r="Q8" i="60"/>
  <c r="T8" i="59"/>
  <c r="I5" i="60"/>
  <c r="X75" i="60"/>
  <c r="A46" i="60"/>
  <c r="A64" i="60"/>
  <c r="A93" i="59"/>
  <c r="Q7" i="59"/>
  <c r="A45" i="60"/>
  <c r="B108" i="78"/>
  <c r="B108" i="20" s="1"/>
  <c r="B57" i="78"/>
  <c r="B57" i="20" s="1"/>
  <c r="B60" i="78"/>
  <c r="B60" i="20" s="1"/>
  <c r="B134" i="78"/>
  <c r="B134" i="20" s="1"/>
  <c r="B83" i="78"/>
  <c r="B83" i="20" s="1"/>
  <c r="B29" i="78"/>
  <c r="B33" i="78"/>
  <c r="B32" i="78"/>
  <c r="B49" i="78"/>
  <c r="B34" i="78"/>
  <c r="A83" i="60"/>
  <c r="A72" i="60"/>
  <c r="Q11" i="59"/>
  <c r="B78" i="78"/>
  <c r="B78" i="20" s="1"/>
  <c r="B132" i="78"/>
  <c r="B132" i="20" s="1"/>
  <c r="A82" i="60"/>
  <c r="A59" i="60"/>
  <c r="T6" i="60"/>
  <c r="B86" i="78"/>
  <c r="B86" i="20" s="1"/>
  <c r="X73" i="60"/>
  <c r="R6" i="60"/>
  <c r="I5" i="38"/>
  <c r="Q14" i="59"/>
  <c r="B135" i="78"/>
  <c r="B135" i="20" s="1"/>
  <c r="R8" i="60"/>
  <c r="A56" i="60"/>
  <c r="B30" i="78"/>
  <c r="B110" i="78"/>
  <c r="B110" i="20" s="1"/>
  <c r="S8" i="60"/>
  <c r="A73" i="60"/>
  <c r="A65" i="60"/>
  <c r="B64" i="78"/>
  <c r="B64" i="20" s="1"/>
  <c r="A47" i="60"/>
  <c r="A93" i="60"/>
  <c r="B133" i="78"/>
  <c r="B133" i="20" s="1"/>
  <c r="R8" i="59"/>
  <c r="A82" i="59"/>
  <c r="A75" i="60"/>
  <c r="U6" i="59"/>
  <c r="D21" i="78"/>
  <c r="B62" i="78"/>
  <c r="B62" i="20" s="1"/>
  <c r="Q14" i="60"/>
  <c r="B25" i="78"/>
  <c r="B28" i="78"/>
  <c r="E42" i="79"/>
  <c r="B131" i="78"/>
  <c r="B47" i="78"/>
  <c r="B48" i="78"/>
  <c r="B128" i="78"/>
  <c r="B52" i="78"/>
  <c r="B59" i="78"/>
  <c r="B59" i="20" s="1"/>
  <c r="B80" i="78"/>
  <c r="B80" i="20" s="1"/>
  <c r="B81" i="78"/>
  <c r="B81" i="20" s="1"/>
  <c r="Q12" i="59"/>
  <c r="A79" i="59"/>
  <c r="B68" i="78"/>
  <c r="B68" i="20" s="1"/>
  <c r="U6" i="60"/>
  <c r="A95" i="59"/>
  <c r="T6" i="59"/>
  <c r="A81" i="59"/>
  <c r="Q8" i="59"/>
  <c r="A53" i="60"/>
  <c r="Q9" i="59"/>
  <c r="I5" i="61"/>
  <c r="I5" i="80"/>
  <c r="A72" i="59"/>
  <c r="C21" i="77"/>
  <c r="B26" i="78"/>
  <c r="B46" i="78"/>
  <c r="B130" i="78"/>
  <c r="B109" i="78"/>
  <c r="B109" i="20" s="1"/>
  <c r="X72" i="60"/>
  <c r="U8" i="59"/>
  <c r="A85" i="59"/>
  <c r="Q10" i="60"/>
  <c r="A84" i="59"/>
  <c r="A73" i="59"/>
  <c r="B82" i="78"/>
  <c r="B82" i="20" s="1"/>
  <c r="B65" i="78"/>
  <c r="B65" i="20" s="1"/>
  <c r="A94" i="60"/>
  <c r="A86" i="59"/>
  <c r="B85" i="78"/>
  <c r="B85" i="20" s="1"/>
  <c r="A44" i="60"/>
  <c r="T8" i="60"/>
  <c r="B79" i="78"/>
  <c r="B79" i="20" s="1"/>
  <c r="A74" i="60"/>
  <c r="Q9" i="60"/>
  <c r="B58" i="78"/>
  <c r="B58" i="20" s="1"/>
  <c r="I5" i="59"/>
  <c r="B63" i="78"/>
  <c r="B63" i="20" s="1"/>
  <c r="A63" i="60"/>
  <c r="A55" i="60"/>
  <c r="R6" i="59"/>
  <c r="D21" i="77"/>
  <c r="A83" i="59"/>
  <c r="Q7" i="60"/>
  <c r="Q12" i="60"/>
  <c r="Q10" i="59"/>
  <c r="B76" i="78"/>
  <c r="B76" i="20" s="1"/>
  <c r="Q11" i="60"/>
  <c r="A80" i="60"/>
  <c r="B50" i="78"/>
  <c r="X42" i="79"/>
  <c r="B55" i="78"/>
  <c r="B27" i="78"/>
  <c r="K25" i="78"/>
  <c r="C21" i="20"/>
  <c r="B36" i="78"/>
  <c r="B31" i="78"/>
  <c r="B51" i="78"/>
  <c r="B41" i="78"/>
  <c r="B56" i="78"/>
  <c r="D21" i="20"/>
  <c r="B42" i="78"/>
  <c r="B54" i="78"/>
  <c r="B22" i="61"/>
  <c r="B1" i="50" l="1"/>
  <c r="C95" i="60"/>
  <c r="D1" i="50"/>
  <c r="K57" i="20"/>
  <c r="B68" i="50" s="1"/>
  <c r="B129" i="20"/>
  <c r="B35" i="20"/>
  <c r="B36" i="20"/>
  <c r="B131" i="20"/>
  <c r="B128" i="20"/>
  <c r="B32" i="20"/>
  <c r="B55" i="20"/>
  <c r="B44" i="20"/>
  <c r="B52" i="20"/>
  <c r="B53" i="20"/>
  <c r="B34" i="20"/>
  <c r="B45" i="20"/>
  <c r="B51" i="20"/>
  <c r="B41" i="20"/>
  <c r="B43" i="20"/>
  <c r="B31" i="20"/>
  <c r="B49" i="20"/>
  <c r="B29" i="20"/>
  <c r="B42" i="20"/>
  <c r="B46" i="20"/>
  <c r="B130" i="20"/>
  <c r="B54" i="20"/>
  <c r="B28" i="20"/>
  <c r="B50" i="20"/>
  <c r="B30" i="20"/>
  <c r="B26" i="20"/>
  <c r="B25" i="20"/>
  <c r="B48" i="20"/>
  <c r="B27" i="20"/>
  <c r="B56" i="20"/>
  <c r="B33" i="20"/>
  <c r="B47" i="20"/>
  <c r="K27" i="77"/>
  <c r="K25" i="20"/>
  <c r="N74" i="28"/>
  <c r="N92" i="28"/>
  <c r="N92" i="24"/>
  <c r="C198" i="80"/>
  <c r="N74" i="24"/>
  <c r="C78" i="60"/>
  <c r="C78" i="59"/>
  <c r="G95" i="59"/>
  <c r="K95" i="59"/>
  <c r="X94" i="59"/>
  <c r="AD95" i="59"/>
  <c r="B95" i="59"/>
  <c r="E94" i="59"/>
  <c r="AF95" i="59"/>
  <c r="R94" i="59"/>
  <c r="Y95" i="59"/>
  <c r="F95" i="59"/>
  <c r="AB94" i="59"/>
  <c r="AD94" i="59"/>
  <c r="W94" i="59"/>
  <c r="G94" i="59"/>
  <c r="M95" i="59"/>
  <c r="I94" i="59"/>
  <c r="V95" i="59"/>
  <c r="AB95" i="59"/>
  <c r="AE95" i="59"/>
  <c r="H94" i="59"/>
  <c r="F94" i="59"/>
  <c r="R95" i="59"/>
  <c r="U94" i="59"/>
  <c r="J94" i="59"/>
  <c r="AG94" i="59"/>
  <c r="M94" i="59"/>
  <c r="T95" i="59"/>
  <c r="AC95" i="59"/>
  <c r="L94" i="59"/>
  <c r="L95" i="59"/>
  <c r="X95" i="59"/>
  <c r="V94" i="59"/>
  <c r="D95" i="59"/>
  <c r="J95" i="59"/>
  <c r="AC94" i="59"/>
  <c r="N2" i="28"/>
  <c r="E95" i="59"/>
  <c r="B94" i="59"/>
  <c r="H95" i="59"/>
  <c r="Z94" i="59"/>
  <c r="AE94" i="59"/>
  <c r="K94" i="59"/>
  <c r="P94" i="59"/>
  <c r="AA94" i="59"/>
  <c r="T94" i="59"/>
  <c r="AG95" i="59"/>
  <c r="U95" i="59"/>
  <c r="AF94" i="59"/>
  <c r="C94" i="59"/>
  <c r="P95" i="59"/>
  <c r="S94" i="59"/>
  <c r="AI94" i="59"/>
  <c r="Z95" i="59"/>
  <c r="N57" i="31"/>
  <c r="N95" i="59"/>
  <c r="S95" i="59"/>
  <c r="O94" i="59"/>
  <c r="D94" i="59"/>
  <c r="AI95" i="59"/>
  <c r="Q94" i="59"/>
  <c r="C95" i="59"/>
  <c r="Q95" i="59"/>
  <c r="W95" i="59"/>
  <c r="AH94" i="59"/>
  <c r="I95" i="59"/>
  <c r="N94" i="59"/>
  <c r="AJ95" i="59"/>
  <c r="Y94" i="59"/>
  <c r="AH95" i="59"/>
  <c r="AA95" i="59"/>
  <c r="AJ94" i="59"/>
  <c r="O95" i="59"/>
  <c r="N29" i="77"/>
  <c r="K41" i="77"/>
  <c r="N25" i="77"/>
  <c r="G2" i="31"/>
  <c r="G20" i="28"/>
  <c r="G56" i="24"/>
  <c r="G56" i="28" s="1"/>
  <c r="D2" i="31"/>
  <c r="D20" i="28"/>
  <c r="D56" i="24"/>
  <c r="D56" i="28" s="1"/>
  <c r="F2" i="31"/>
  <c r="F20" i="28"/>
  <c r="F56" i="24"/>
  <c r="F56" i="28" s="1"/>
  <c r="E2" i="31"/>
  <c r="E20" i="28"/>
  <c r="E56" i="24"/>
  <c r="E56" i="28" s="1"/>
  <c r="K2" i="31"/>
  <c r="K20" i="28"/>
  <c r="K56" i="24"/>
  <c r="K56" i="28" s="1"/>
  <c r="H2" i="31"/>
  <c r="H20" i="28"/>
  <c r="H56" i="24"/>
  <c r="H56" i="28" s="1"/>
  <c r="C2" i="31"/>
  <c r="C20" i="28"/>
  <c r="C56" i="24"/>
  <c r="C56" i="28" s="1"/>
  <c r="J2" i="31"/>
  <c r="J20" i="28"/>
  <c r="J56" i="24"/>
  <c r="J56" i="28" s="1"/>
  <c r="I2" i="31"/>
  <c r="I20" i="28"/>
  <c r="I56" i="24"/>
  <c r="I56" i="28" s="1"/>
  <c r="L2" i="31"/>
  <c r="L20" i="28"/>
  <c r="L56" i="24"/>
  <c r="L56" i="28" s="1"/>
  <c r="N29" i="78"/>
  <c r="N31" i="78" s="1"/>
  <c r="K41" i="78"/>
  <c r="N41" i="78" s="1"/>
  <c r="N42" i="34"/>
  <c r="N38" i="24"/>
  <c r="K27" i="78"/>
  <c r="N2" i="24"/>
  <c r="C49" i="77" s="1"/>
  <c r="N20" i="34"/>
  <c r="C90" i="78" s="1"/>
  <c r="G90" i="78" s="1"/>
  <c r="N25" i="78"/>
  <c r="N33" i="78" s="1"/>
  <c r="N2" i="34"/>
  <c r="M21" i="31"/>
  <c r="N20" i="24"/>
  <c r="C103" i="78" s="1"/>
  <c r="G103" i="78" s="1"/>
  <c r="E104" i="78" s="1"/>
  <c r="K59" i="78"/>
  <c r="K59" i="20" s="1"/>
  <c r="N38" i="31"/>
  <c r="N38" i="28"/>
  <c r="N61" i="78"/>
  <c r="N61" i="20" s="1"/>
  <c r="N57" i="78"/>
  <c r="K73" i="78"/>
  <c r="K73" i="20" s="1"/>
  <c r="P4" i="7"/>
  <c r="W214" i="80"/>
  <c r="Q215" i="80"/>
  <c r="V95" i="60"/>
  <c r="K215" i="80"/>
  <c r="U94" i="60"/>
  <c r="H214" i="80"/>
  <c r="O215" i="80"/>
  <c r="AH95" i="60"/>
  <c r="M94" i="60"/>
  <c r="X215" i="80"/>
  <c r="AC215" i="80"/>
  <c r="AD94" i="60"/>
  <c r="D214" i="80"/>
  <c r="V215" i="80"/>
  <c r="D95" i="60"/>
  <c r="AC95" i="60"/>
  <c r="AG214" i="80"/>
  <c r="N214" i="80"/>
  <c r="P94" i="60"/>
  <c r="Q214" i="80"/>
  <c r="J94" i="60"/>
  <c r="K95" i="60"/>
  <c r="I95" i="60"/>
  <c r="G214" i="80"/>
  <c r="AD95" i="60"/>
  <c r="AB94" i="60"/>
  <c r="P215" i="80"/>
  <c r="AA214" i="80"/>
  <c r="AF94" i="60"/>
  <c r="S94" i="60"/>
  <c r="AE214" i="80"/>
  <c r="X214" i="80"/>
  <c r="AI95" i="60"/>
  <c r="Y214" i="80"/>
  <c r="AF95" i="60"/>
  <c r="Y215" i="80"/>
  <c r="Z214" i="80"/>
  <c r="W95" i="60"/>
  <c r="B19" i="61"/>
  <c r="V28" i="38" s="1"/>
  <c r="I214" i="80"/>
  <c r="H215" i="80"/>
  <c r="AJ214" i="80"/>
  <c r="AA215" i="80"/>
  <c r="AG94" i="60"/>
  <c r="C94" i="60"/>
  <c r="U95" i="60"/>
  <c r="S95" i="60"/>
  <c r="AJ215" i="80"/>
  <c r="W215" i="80"/>
  <c r="AH94" i="60"/>
  <c r="W94" i="60"/>
  <c r="T94" i="60"/>
  <c r="O95" i="60"/>
  <c r="G94" i="60"/>
  <c r="D4" i="8"/>
  <c r="B214" i="80"/>
  <c r="I215" i="80"/>
  <c r="V94" i="60"/>
  <c r="T215" i="80"/>
  <c r="G215" i="80"/>
  <c r="AB95" i="60"/>
  <c r="O214" i="80"/>
  <c r="AJ95" i="60"/>
  <c r="Q4" i="7"/>
  <c r="AI94" i="60"/>
  <c r="AC214" i="80"/>
  <c r="AG215" i="80"/>
  <c r="R214" i="80"/>
  <c r="AB214" i="80"/>
  <c r="S215" i="80"/>
  <c r="F214" i="80"/>
  <c r="R215" i="80"/>
  <c r="E95" i="60"/>
  <c r="F95" i="60"/>
  <c r="AC94" i="60"/>
  <c r="C214" i="80"/>
  <c r="AH214" i="80"/>
  <c r="Y95" i="60"/>
  <c r="AJ94" i="60"/>
  <c r="F94" i="60"/>
  <c r="N95" i="60"/>
  <c r="AF215" i="80"/>
  <c r="V214" i="80"/>
  <c r="N215" i="80"/>
  <c r="AI215" i="80"/>
  <c r="F215" i="80"/>
  <c r="AH215" i="80"/>
  <c r="J214" i="80"/>
  <c r="G95" i="60"/>
  <c r="O94" i="60"/>
  <c r="AG95" i="60"/>
  <c r="Z95" i="60"/>
  <c r="M215" i="80"/>
  <c r="AB215" i="80"/>
  <c r="Y94" i="60"/>
  <c r="P95" i="60"/>
  <c r="E94" i="60"/>
  <c r="J95" i="60"/>
  <c r="AE94" i="60"/>
  <c r="B94" i="60"/>
  <c r="E214" i="80"/>
  <c r="B215" i="80"/>
  <c r="T214" i="80"/>
  <c r="I94" i="60"/>
  <c r="M95" i="60"/>
  <c r="R95" i="60"/>
  <c r="X94" i="60"/>
  <c r="M214" i="80"/>
  <c r="X95" i="60"/>
  <c r="D4" i="2"/>
  <c r="K214" i="80"/>
  <c r="D215" i="80"/>
  <c r="S214" i="80"/>
  <c r="AD214" i="80"/>
  <c r="J215" i="80"/>
  <c r="AE215" i="80"/>
  <c r="U215" i="80"/>
  <c r="H95" i="60"/>
  <c r="K94" i="60"/>
  <c r="AA94" i="60"/>
  <c r="U214" i="80"/>
  <c r="P214" i="80"/>
  <c r="B212" i="50"/>
  <c r="L95" i="60"/>
  <c r="AA95" i="60"/>
  <c r="H94" i="60"/>
  <c r="Q94" i="60"/>
  <c r="AI214" i="80"/>
  <c r="L215" i="80"/>
  <c r="Z215" i="80"/>
  <c r="E215" i="80"/>
  <c r="L214" i="80"/>
  <c r="C215" i="80"/>
  <c r="L9" i="80"/>
  <c r="Q95" i="60"/>
  <c r="L94" i="60"/>
  <c r="D94" i="60"/>
  <c r="AE95" i="60"/>
  <c r="AF214" i="80"/>
  <c r="AD215" i="80"/>
  <c r="B95" i="60"/>
  <c r="R94" i="60"/>
  <c r="Z94" i="60"/>
  <c r="T95" i="60"/>
  <c r="N94" i="60"/>
  <c r="N65" i="78" l="1"/>
  <c r="N65" i="20" s="1"/>
  <c r="N57" i="20"/>
  <c r="K27" i="20"/>
  <c r="E49" i="77"/>
  <c r="N41" i="77"/>
  <c r="N41" i="20" s="1"/>
  <c r="K41" i="20"/>
  <c r="N31" i="77"/>
  <c r="N31" i="20" s="1"/>
  <c r="N29" i="20"/>
  <c r="N33" i="77"/>
  <c r="N25" i="20"/>
  <c r="D242" i="50"/>
  <c r="D142" i="50"/>
  <c r="G175" i="78"/>
  <c r="F49" i="77"/>
  <c r="F90" i="78"/>
  <c r="N2" i="31"/>
  <c r="C130" i="78" s="1"/>
  <c r="G130" i="78" s="1"/>
  <c r="N56" i="28"/>
  <c r="N20" i="28"/>
  <c r="C111" i="78" s="1"/>
  <c r="K43" i="77"/>
  <c r="D27" i="1"/>
  <c r="D57" i="1" s="1"/>
  <c r="N56" i="24"/>
  <c r="C37" i="77" s="1"/>
  <c r="G9" i="1"/>
  <c r="D10" i="1" s="1"/>
  <c r="G27" i="5"/>
  <c r="G175" i="20"/>
  <c r="G28" i="5"/>
  <c r="C81" i="78"/>
  <c r="C65" i="78"/>
  <c r="G27" i="1"/>
  <c r="C57" i="78"/>
  <c r="C57" i="20" s="1"/>
  <c r="C61" i="78"/>
  <c r="G9" i="5"/>
  <c r="D10" i="5" s="1"/>
  <c r="G8" i="5"/>
  <c r="G30" i="1"/>
  <c r="G28" i="1"/>
  <c r="C73" i="78"/>
  <c r="C73" i="20" s="1"/>
  <c r="C77" i="78"/>
  <c r="G30" i="5"/>
  <c r="G8" i="1"/>
  <c r="N27" i="77"/>
  <c r="N45" i="77"/>
  <c r="Z63" i="38"/>
  <c r="B198" i="50"/>
  <c r="G49" i="77"/>
  <c r="N27" i="78"/>
  <c r="C103" i="77"/>
  <c r="C107" i="78"/>
  <c r="C107" i="20" s="1"/>
  <c r="N59" i="78"/>
  <c r="N59" i="20" s="1"/>
  <c r="N63" i="78"/>
  <c r="N63" i="20" s="1"/>
  <c r="N45" i="78"/>
  <c r="O2" i="24"/>
  <c r="A4" i="2" s="1"/>
  <c r="P4" i="2" s="1"/>
  <c r="C96" i="77"/>
  <c r="C45" i="77"/>
  <c r="C45" i="78"/>
  <c r="E45" i="78" s="1"/>
  <c r="C25" i="77"/>
  <c r="R7" i="80"/>
  <c r="E179" i="80" s="1"/>
  <c r="E59" i="59" s="1"/>
  <c r="D559" i="50" s="1"/>
  <c r="C33" i="77"/>
  <c r="N73" i="78"/>
  <c r="C25" i="78"/>
  <c r="G25" i="78" s="1"/>
  <c r="C29" i="77"/>
  <c r="C41" i="78"/>
  <c r="E41" i="78" s="1"/>
  <c r="K43" i="78"/>
  <c r="B20" i="8"/>
  <c r="E18" i="8" s="1"/>
  <c r="B42" i="8" s="1"/>
  <c r="C49" i="78"/>
  <c r="G49" i="78" s="1"/>
  <c r="Q7" i="38"/>
  <c r="U7" i="79"/>
  <c r="C29" i="78"/>
  <c r="E29" i="78" s="1"/>
  <c r="C41" i="77"/>
  <c r="C33" i="78"/>
  <c r="F33" i="78" s="1"/>
  <c r="C96" i="78"/>
  <c r="F96" i="78" s="1"/>
  <c r="F93" i="78" s="1"/>
  <c r="D8" i="5"/>
  <c r="C93" i="78"/>
  <c r="E93" i="78" s="1"/>
  <c r="C90" i="77"/>
  <c r="E90" i="78"/>
  <c r="C93" i="77"/>
  <c r="D8" i="1"/>
  <c r="D27" i="5"/>
  <c r="D57" i="5" s="1"/>
  <c r="E20" i="8"/>
  <c r="D403" i="50"/>
  <c r="D247" i="50"/>
  <c r="N77" i="78"/>
  <c r="N77" i="20" s="1"/>
  <c r="K75" i="78"/>
  <c r="K75" i="20" s="1"/>
  <c r="L10" i="80"/>
  <c r="U63" i="38"/>
  <c r="H64" i="38"/>
  <c r="F64" i="38"/>
  <c r="AH64" i="38"/>
  <c r="AH63" i="38"/>
  <c r="M63" i="38"/>
  <c r="N63" i="38"/>
  <c r="H63" i="38"/>
  <c r="Q64" i="38"/>
  <c r="AD64" i="38"/>
  <c r="O64" i="38"/>
  <c r="Y64" i="38"/>
  <c r="T64" i="38"/>
  <c r="Z64" i="38"/>
  <c r="P64" i="38"/>
  <c r="AG63" i="38"/>
  <c r="M64" i="38"/>
  <c r="R28" i="38"/>
  <c r="S63" i="38"/>
  <c r="AJ63" i="38"/>
  <c r="AJ64" i="38"/>
  <c r="D64" i="38"/>
  <c r="C63" i="38"/>
  <c r="I64" i="38"/>
  <c r="U64" i="38"/>
  <c r="AA63" i="38"/>
  <c r="T63" i="38"/>
  <c r="D63" i="38"/>
  <c r="L63" i="38"/>
  <c r="AC63" i="38"/>
  <c r="AA64" i="38"/>
  <c r="B64" i="38"/>
  <c r="AI63" i="38"/>
  <c r="K64" i="38"/>
  <c r="Y63" i="38"/>
  <c r="W63" i="38"/>
  <c r="K63" i="38"/>
  <c r="AB63" i="38"/>
  <c r="I63" i="38"/>
  <c r="X63" i="38"/>
  <c r="Q63" i="38"/>
  <c r="G63" i="38"/>
  <c r="S64" i="38"/>
  <c r="P63" i="38"/>
  <c r="AI64" i="38"/>
  <c r="AF63" i="38"/>
  <c r="B63" i="38"/>
  <c r="E63" i="38"/>
  <c r="R63" i="38"/>
  <c r="X64" i="38"/>
  <c r="AE63" i="38"/>
  <c r="AC64" i="38"/>
  <c r="B21" i="61"/>
  <c r="AE64" i="38"/>
  <c r="W64" i="38"/>
  <c r="AG64" i="38"/>
  <c r="L64" i="38"/>
  <c r="N64" i="38"/>
  <c r="AB64" i="38"/>
  <c r="O63" i="38"/>
  <c r="V63" i="38"/>
  <c r="C64" i="38"/>
  <c r="G64" i="38"/>
  <c r="J64" i="38"/>
  <c r="F63" i="38"/>
  <c r="AF64" i="38"/>
  <c r="V64" i="38"/>
  <c r="AD63" i="38"/>
  <c r="E64" i="38"/>
  <c r="R64" i="38"/>
  <c r="J63" i="38"/>
  <c r="H103" i="78"/>
  <c r="N43" i="78"/>
  <c r="N49" i="78"/>
  <c r="N35" i="78"/>
  <c r="N20" i="31" l="1"/>
  <c r="C120" i="78" s="1"/>
  <c r="G120" i="78" s="1"/>
  <c r="B197" i="50"/>
  <c r="B199" i="50" s="1"/>
  <c r="B31" i="50"/>
  <c r="N43" i="77"/>
  <c r="N43" i="20" s="1"/>
  <c r="N67" i="78"/>
  <c r="N67" i="20" s="1"/>
  <c r="G49" i="20"/>
  <c r="N27" i="20"/>
  <c r="E65" i="78"/>
  <c r="E65" i="20" s="1"/>
  <c r="C65" i="20"/>
  <c r="K43" i="20"/>
  <c r="N81" i="78"/>
  <c r="N81" i="20" s="1"/>
  <c r="N73" i="20"/>
  <c r="G61" i="78"/>
  <c r="G61" i="20" s="1"/>
  <c r="C61" i="20"/>
  <c r="G81" i="78"/>
  <c r="G81" i="20" s="1"/>
  <c r="C81" i="20"/>
  <c r="G111" i="78"/>
  <c r="C111" i="20"/>
  <c r="D85" i="50" s="1"/>
  <c r="E77" i="78"/>
  <c r="E77" i="20" s="1"/>
  <c r="C77" i="20"/>
  <c r="C49" i="20"/>
  <c r="N49" i="77"/>
  <c r="N51" i="77" s="1"/>
  <c r="C90" i="20"/>
  <c r="G103" i="77"/>
  <c r="E104" i="77" s="1"/>
  <c r="E104" i="20" s="1"/>
  <c r="C103" i="20"/>
  <c r="F33" i="77"/>
  <c r="F33" i="20" s="1"/>
  <c r="C33" i="20"/>
  <c r="F45" i="77"/>
  <c r="C45" i="20"/>
  <c r="G37" i="77"/>
  <c r="N35" i="77"/>
  <c r="N35" i="20" s="1"/>
  <c r="N33" i="20"/>
  <c r="G93" i="77"/>
  <c r="C93" i="20"/>
  <c r="F41" i="77"/>
  <c r="C41" i="20"/>
  <c r="G29" i="77"/>
  <c r="C29" i="20"/>
  <c r="F96" i="77"/>
  <c r="F96" i="20" s="1"/>
  <c r="C96" i="20"/>
  <c r="N47" i="77"/>
  <c r="N45" i="20"/>
  <c r="F25" i="77"/>
  <c r="L25" i="77" s="1"/>
  <c r="C25" i="20"/>
  <c r="D60" i="50"/>
  <c r="B61" i="50" s="1"/>
  <c r="B249" i="50"/>
  <c r="B248" i="50"/>
  <c r="B243" i="50"/>
  <c r="B244" i="50"/>
  <c r="R7" i="38"/>
  <c r="S7" i="38"/>
  <c r="C85" i="78"/>
  <c r="L7" i="80"/>
  <c r="X7" i="79"/>
  <c r="D163" i="79"/>
  <c r="D43" i="60" s="1"/>
  <c r="B163" i="79"/>
  <c r="B43" i="60" s="1"/>
  <c r="E163" i="79"/>
  <c r="E43" i="60" s="1"/>
  <c r="C163" i="79"/>
  <c r="C43" i="60" s="1"/>
  <c r="B40" i="8"/>
  <c r="B39" i="8" s="1"/>
  <c r="S7" i="80"/>
  <c r="C69" i="78"/>
  <c r="C130" i="77"/>
  <c r="C128" i="77"/>
  <c r="C115" i="77"/>
  <c r="C134" i="78"/>
  <c r="C132" i="78"/>
  <c r="C115" i="78"/>
  <c r="G115" i="78" s="1"/>
  <c r="H115" i="78" s="1"/>
  <c r="C128" i="78"/>
  <c r="G128" i="78" s="1"/>
  <c r="E57" i="78"/>
  <c r="E57" i="20" s="1"/>
  <c r="AI92" i="59"/>
  <c r="L11" i="80"/>
  <c r="E81" i="78"/>
  <c r="E81" i="20" s="1"/>
  <c r="F81" i="78"/>
  <c r="F81" i="20" s="1"/>
  <c r="C53" i="78"/>
  <c r="G53" i="78" s="1"/>
  <c r="C37" i="78"/>
  <c r="C37" i="20" s="1"/>
  <c r="C53" i="77"/>
  <c r="G57" i="78"/>
  <c r="G57" i="20" s="1"/>
  <c r="F57" i="78"/>
  <c r="F57" i="20" s="1"/>
  <c r="E61" i="78"/>
  <c r="E61" i="20" s="1"/>
  <c r="G65" i="78"/>
  <c r="G65" i="20" s="1"/>
  <c r="F61" i="78"/>
  <c r="F61" i="20" s="1"/>
  <c r="D29" i="5"/>
  <c r="D31" i="5" s="1"/>
  <c r="D60" i="5" s="1"/>
  <c r="F65" i="78"/>
  <c r="F65" i="20" s="1"/>
  <c r="D29" i="1"/>
  <c r="D58" i="1" s="1"/>
  <c r="F73" i="78"/>
  <c r="F73" i="20" s="1"/>
  <c r="G73" i="78"/>
  <c r="G73" i="20" s="1"/>
  <c r="E73" i="78"/>
  <c r="E73" i="20" s="1"/>
  <c r="F77" i="78"/>
  <c r="F77" i="20" s="1"/>
  <c r="G77" i="78"/>
  <c r="G77" i="20" s="1"/>
  <c r="D14" i="1"/>
  <c r="C18" i="1" s="1"/>
  <c r="I92" i="59"/>
  <c r="D14" i="5"/>
  <c r="C18" i="5" s="1"/>
  <c r="F93" i="59"/>
  <c r="Q92" i="59"/>
  <c r="U92" i="59"/>
  <c r="C92" i="59"/>
  <c r="L92" i="59"/>
  <c r="S92" i="59"/>
  <c r="D92" i="59"/>
  <c r="E92" i="59"/>
  <c r="AA92" i="59"/>
  <c r="B92" i="59"/>
  <c r="AH92" i="59"/>
  <c r="O93" i="59"/>
  <c r="F92" i="59"/>
  <c r="D93" i="59"/>
  <c r="T92" i="59"/>
  <c r="S93" i="59"/>
  <c r="AJ93" i="59"/>
  <c r="AJ92" i="59"/>
  <c r="R92" i="59"/>
  <c r="E93" i="59"/>
  <c r="AE93" i="59"/>
  <c r="R93" i="59"/>
  <c r="M92" i="59"/>
  <c r="C93" i="59"/>
  <c r="AF92" i="59"/>
  <c r="I90" i="59"/>
  <c r="Y92" i="59"/>
  <c r="Z92" i="59"/>
  <c r="H93" i="59"/>
  <c r="AG93" i="59"/>
  <c r="AI93" i="59"/>
  <c r="Y93" i="59"/>
  <c r="AG92" i="59"/>
  <c r="O92" i="59"/>
  <c r="G93" i="59"/>
  <c r="AB93" i="59"/>
  <c r="G92" i="59"/>
  <c r="AH93" i="59"/>
  <c r="V93" i="59"/>
  <c r="I93" i="59"/>
  <c r="J93" i="59"/>
  <c r="P93" i="59"/>
  <c r="H92" i="59"/>
  <c r="M93" i="59"/>
  <c r="N93" i="59"/>
  <c r="AB92" i="59"/>
  <c r="T93" i="59"/>
  <c r="L93" i="59"/>
  <c r="AF93" i="59"/>
  <c r="X93" i="59"/>
  <c r="V92" i="59"/>
  <c r="K92" i="59"/>
  <c r="J92" i="59"/>
  <c r="Q93" i="59"/>
  <c r="P92" i="59"/>
  <c r="N92" i="59"/>
  <c r="W93" i="59"/>
  <c r="AA93" i="59"/>
  <c r="U93" i="59"/>
  <c r="K93" i="59"/>
  <c r="X92" i="59"/>
  <c r="AE92" i="59"/>
  <c r="AC92" i="59"/>
  <c r="AD92" i="59"/>
  <c r="Z93" i="59"/>
  <c r="W92" i="59"/>
  <c r="B93" i="59"/>
  <c r="AC93" i="59"/>
  <c r="AD93" i="59"/>
  <c r="E45" i="77"/>
  <c r="E45" i="20" s="1"/>
  <c r="G33" i="77"/>
  <c r="G96" i="77"/>
  <c r="E41" i="77"/>
  <c r="E41" i="20" s="1"/>
  <c r="E90" i="77"/>
  <c r="E90" i="20" s="1"/>
  <c r="E33" i="77"/>
  <c r="G45" i="77"/>
  <c r="G41" i="77"/>
  <c r="E96" i="77"/>
  <c r="AI62" i="38"/>
  <c r="H213" i="80"/>
  <c r="N47" i="78"/>
  <c r="AA61" i="38"/>
  <c r="E49" i="78"/>
  <c r="E49" i="20" s="1"/>
  <c r="E29" i="77"/>
  <c r="G174" i="77"/>
  <c r="E93" i="77"/>
  <c r="E93" i="20" s="1"/>
  <c r="F90" i="77"/>
  <c r="F90" i="20" s="1"/>
  <c r="G90" i="77"/>
  <c r="F29" i="77"/>
  <c r="G25" i="77"/>
  <c r="G25" i="20" s="1"/>
  <c r="E25" i="77"/>
  <c r="F93" i="77"/>
  <c r="F93" i="20" s="1"/>
  <c r="F25" i="78"/>
  <c r="L25" i="78" s="1"/>
  <c r="F45" i="78"/>
  <c r="E25" i="78"/>
  <c r="J153" i="78" s="1"/>
  <c r="G45" i="78"/>
  <c r="S4" i="2"/>
  <c r="G33" i="78"/>
  <c r="M48" i="80"/>
  <c r="N75" i="78"/>
  <c r="N75" i="20" s="1"/>
  <c r="O4" i="2"/>
  <c r="G107" i="78"/>
  <c r="G107" i="20" s="1"/>
  <c r="F49" i="78"/>
  <c r="F49" i="20" s="1"/>
  <c r="Z62" i="38"/>
  <c r="E96" i="78"/>
  <c r="T4" i="2"/>
  <c r="W7" i="79"/>
  <c r="AB7" i="79" s="1"/>
  <c r="R4" i="2"/>
  <c r="Q4" i="2"/>
  <c r="X48" i="80"/>
  <c r="E43" i="80"/>
  <c r="V7" i="79"/>
  <c r="R7" i="59"/>
  <c r="T7" i="80"/>
  <c r="T7" i="38"/>
  <c r="E33" i="78"/>
  <c r="R7" i="60"/>
  <c r="AA212" i="80"/>
  <c r="U7" i="80"/>
  <c r="G96" i="78"/>
  <c r="L212" i="80"/>
  <c r="J212" i="80"/>
  <c r="G29" i="78"/>
  <c r="G41" i="78"/>
  <c r="O92" i="60"/>
  <c r="K93" i="60"/>
  <c r="F41" i="78"/>
  <c r="AG212" i="80"/>
  <c r="AC93" i="60"/>
  <c r="F29" i="78"/>
  <c r="D92" i="60"/>
  <c r="K92" i="60"/>
  <c r="AC92" i="60"/>
  <c r="H212" i="80"/>
  <c r="L92" i="60"/>
  <c r="B93" i="60"/>
  <c r="M213" i="80"/>
  <c r="AB213" i="80"/>
  <c r="Q92" i="60"/>
  <c r="P92" i="60"/>
  <c r="G213" i="80"/>
  <c r="Y92" i="60"/>
  <c r="Q93" i="60"/>
  <c r="AD93" i="60"/>
  <c r="AD92" i="60"/>
  <c r="AC213" i="80"/>
  <c r="T213" i="80"/>
  <c r="C93" i="60"/>
  <c r="AB212" i="80"/>
  <c r="AE213" i="80"/>
  <c r="Y212" i="80"/>
  <c r="K213" i="80"/>
  <c r="O212" i="80"/>
  <c r="B213" i="80"/>
  <c r="S92" i="60"/>
  <c r="U212" i="80"/>
  <c r="R93" i="60"/>
  <c r="AH93" i="60"/>
  <c r="G93" i="78"/>
  <c r="R62" i="38"/>
  <c r="AH61" i="38"/>
  <c r="V62" i="38"/>
  <c r="E62" i="38"/>
  <c r="Q62" i="38"/>
  <c r="J61" i="38"/>
  <c r="U61" i="38"/>
  <c r="O61" i="38"/>
  <c r="Z61" i="38"/>
  <c r="W62" i="38"/>
  <c r="AG61" i="38"/>
  <c r="N79" i="78"/>
  <c r="N79" i="20" s="1"/>
  <c r="AD62" i="38"/>
  <c r="I62" i="38"/>
  <c r="C62" i="38"/>
  <c r="AG62" i="38"/>
  <c r="M61" i="38"/>
  <c r="X43" i="80"/>
  <c r="AF48" i="80"/>
  <c r="M43" i="80"/>
  <c r="AF43" i="80"/>
  <c r="E48" i="80"/>
  <c r="P62" i="38"/>
  <c r="B61" i="38"/>
  <c r="R61" i="38"/>
  <c r="W61" i="38"/>
  <c r="O62" i="38"/>
  <c r="T62" i="38"/>
  <c r="F28" i="38"/>
  <c r="B28" i="38" s="1"/>
  <c r="D53" i="38" s="1"/>
  <c r="U62" i="38"/>
  <c r="AB62" i="38"/>
  <c r="L61" i="38"/>
  <c r="P61" i="38"/>
  <c r="AH62" i="38"/>
  <c r="J62" i="38"/>
  <c r="AC61" i="38"/>
  <c r="G62" i="38"/>
  <c r="S62" i="38"/>
  <c r="C61" i="38"/>
  <c r="AE61" i="38"/>
  <c r="AA62" i="38"/>
  <c r="V61" i="38"/>
  <c r="D61" i="38"/>
  <c r="N62" i="38"/>
  <c r="X61" i="38"/>
  <c r="AF61" i="38"/>
  <c r="D62" i="38"/>
  <c r="AJ62" i="38"/>
  <c r="E61" i="38"/>
  <c r="AI61" i="38"/>
  <c r="AC62" i="38"/>
  <c r="N61" i="38"/>
  <c r="L62" i="38"/>
  <c r="AE62" i="38"/>
  <c r="AD61" i="38"/>
  <c r="Y61" i="38"/>
  <c r="F62" i="38"/>
  <c r="I212" i="80"/>
  <c r="D212" i="80"/>
  <c r="I99" i="80"/>
  <c r="I100" i="80" s="1"/>
  <c r="P212" i="80"/>
  <c r="AH92" i="60"/>
  <c r="J92" i="60"/>
  <c r="AI212" i="80"/>
  <c r="O93" i="60"/>
  <c r="R213" i="80"/>
  <c r="AG213" i="80"/>
  <c r="U213" i="80"/>
  <c r="F61" i="38"/>
  <c r="K62" i="38"/>
  <c r="X62" i="38"/>
  <c r="G61" i="38"/>
  <c r="H62" i="38"/>
  <c r="AF62" i="38"/>
  <c r="S61" i="38"/>
  <c r="Y62" i="38"/>
  <c r="T61" i="38"/>
  <c r="I61" i="38"/>
  <c r="Q61" i="38"/>
  <c r="B62" i="38"/>
  <c r="AB61" i="38"/>
  <c r="AJ61" i="38"/>
  <c r="M62" i="38"/>
  <c r="K61" i="38"/>
  <c r="H61" i="38"/>
  <c r="C213" i="80"/>
  <c r="S93" i="60"/>
  <c r="X213" i="80"/>
  <c r="V213" i="80"/>
  <c r="M92" i="60"/>
  <c r="M93" i="60"/>
  <c r="AJ92" i="60"/>
  <c r="N93" i="60"/>
  <c r="R212" i="80"/>
  <c r="AH212" i="80"/>
  <c r="G212" i="80"/>
  <c r="N212" i="80"/>
  <c r="J213" i="80"/>
  <c r="AF93" i="60"/>
  <c r="Q212" i="80"/>
  <c r="R92" i="60"/>
  <c r="L93" i="60"/>
  <c r="X93" i="60"/>
  <c r="Q213" i="80"/>
  <c r="P213" i="80"/>
  <c r="AI92" i="60"/>
  <c r="S212" i="80"/>
  <c r="W92" i="60"/>
  <c r="D93" i="60"/>
  <c r="W93" i="60"/>
  <c r="AF212" i="80"/>
  <c r="AB93" i="60"/>
  <c r="D213" i="80"/>
  <c r="E212" i="80"/>
  <c r="AE93" i="60"/>
  <c r="E213" i="80"/>
  <c r="V92" i="60"/>
  <c r="H92" i="60"/>
  <c r="I90" i="60"/>
  <c r="W213" i="80"/>
  <c r="B213" i="50"/>
  <c r="N213" i="80"/>
  <c r="Z93" i="60"/>
  <c r="E92" i="60"/>
  <c r="P93" i="60"/>
  <c r="AA92" i="60"/>
  <c r="I92" i="60"/>
  <c r="C92" i="60"/>
  <c r="AD213" i="80"/>
  <c r="H93" i="60"/>
  <c r="W212" i="80"/>
  <c r="U93" i="60"/>
  <c r="AJ213" i="80"/>
  <c r="G93" i="60"/>
  <c r="N92" i="60"/>
  <c r="F213" i="80"/>
  <c r="Z92" i="60"/>
  <c r="C212" i="80"/>
  <c r="S213" i="80"/>
  <c r="I213" i="80"/>
  <c r="T93" i="60"/>
  <c r="K212" i="80"/>
  <c r="I210" i="80"/>
  <c r="AH213" i="80"/>
  <c r="J93" i="60"/>
  <c r="M99" i="80"/>
  <c r="AE92" i="60"/>
  <c r="Z213" i="80"/>
  <c r="Y213" i="80"/>
  <c r="AI93" i="60"/>
  <c r="AG93" i="60"/>
  <c r="AF213" i="80"/>
  <c r="F93" i="60"/>
  <c r="AD212" i="80"/>
  <c r="F212" i="80"/>
  <c r="AG92" i="60"/>
  <c r="B212" i="80"/>
  <c r="V212" i="80"/>
  <c r="AE212" i="80"/>
  <c r="F92" i="60"/>
  <c r="AI213" i="80"/>
  <c r="Z212" i="80"/>
  <c r="E93" i="60"/>
  <c r="X212" i="80"/>
  <c r="AJ93" i="60"/>
  <c r="M212" i="80"/>
  <c r="AA93" i="60"/>
  <c r="Y93" i="60"/>
  <c r="I93" i="60"/>
  <c r="V93" i="60"/>
  <c r="AC212" i="80"/>
  <c r="U92" i="60"/>
  <c r="L213" i="80"/>
  <c r="B92" i="60"/>
  <c r="T212" i="80"/>
  <c r="AA213" i="80"/>
  <c r="AF92" i="60"/>
  <c r="AB92" i="60"/>
  <c r="X92" i="60"/>
  <c r="AJ212" i="80"/>
  <c r="G92" i="60"/>
  <c r="O213" i="80"/>
  <c r="T92" i="60"/>
  <c r="F7" i="8"/>
  <c r="A4" i="8" s="1"/>
  <c r="O4" i="8" s="1"/>
  <c r="J31" i="78"/>
  <c r="N51" i="78"/>
  <c r="C120" i="77" l="1"/>
  <c r="C120" i="20" s="1"/>
  <c r="F120" i="78"/>
  <c r="F69" i="78" s="1"/>
  <c r="C124" i="77"/>
  <c r="G124" i="77" s="1"/>
  <c r="C124" i="78"/>
  <c r="F124" i="78" s="1"/>
  <c r="D130" i="50"/>
  <c r="D47" i="50"/>
  <c r="B404" i="50"/>
  <c r="D23" i="50"/>
  <c r="B28" i="50" s="1"/>
  <c r="N49" i="20"/>
  <c r="K103" i="77"/>
  <c r="N103" i="77" s="1"/>
  <c r="N83" i="78"/>
  <c r="N83" i="20" s="1"/>
  <c r="L25" i="20"/>
  <c r="G41" i="20"/>
  <c r="C134" i="20"/>
  <c r="D118" i="50" s="1"/>
  <c r="F25" i="20"/>
  <c r="F41" i="20"/>
  <c r="N51" i="20"/>
  <c r="G45" i="20"/>
  <c r="G96" i="20"/>
  <c r="G33" i="20"/>
  <c r="G69" i="78"/>
  <c r="G69" i="20" s="1"/>
  <c r="B78" i="50" s="1"/>
  <c r="C69" i="20"/>
  <c r="N47" i="20"/>
  <c r="G29" i="20"/>
  <c r="G93" i="20"/>
  <c r="F45" i="20"/>
  <c r="F29" i="20"/>
  <c r="E96" i="20"/>
  <c r="G132" i="78"/>
  <c r="C132" i="20"/>
  <c r="C85" i="20"/>
  <c r="D77" i="50" s="1"/>
  <c r="H111" i="78"/>
  <c r="H111" i="20" s="1"/>
  <c r="G111" i="20"/>
  <c r="B86" i="50" s="1"/>
  <c r="K26" i="77"/>
  <c r="N30" i="77" s="1"/>
  <c r="F124" i="77"/>
  <c r="G53" i="77"/>
  <c r="G53" i="20" s="1"/>
  <c r="C53" i="20"/>
  <c r="G115" i="77"/>
  <c r="C115" i="20"/>
  <c r="J35" i="77"/>
  <c r="M35" i="77" s="1"/>
  <c r="E33" i="20"/>
  <c r="G128" i="77"/>
  <c r="G128" i="20" s="1"/>
  <c r="C128" i="20"/>
  <c r="H103" i="77"/>
  <c r="H103" i="20" s="1"/>
  <c r="G103" i="20"/>
  <c r="G130" i="77"/>
  <c r="G130" i="20" s="1"/>
  <c r="C130" i="20"/>
  <c r="G90" i="20"/>
  <c r="J31" i="77"/>
  <c r="J32" i="77" s="1"/>
  <c r="E29" i="20"/>
  <c r="J155" i="77"/>
  <c r="J156" i="77" s="1"/>
  <c r="E25" i="20"/>
  <c r="B62" i="50"/>
  <c r="B64" i="50"/>
  <c r="B63" i="50"/>
  <c r="B65" i="50"/>
  <c r="G85" i="78"/>
  <c r="G85" i="20" s="1"/>
  <c r="B144" i="50"/>
  <c r="B405" i="50"/>
  <c r="B143" i="50"/>
  <c r="U7" i="60"/>
  <c r="F90" i="60" s="1"/>
  <c r="S7" i="59"/>
  <c r="K70" i="78"/>
  <c r="K70" i="20" s="1"/>
  <c r="K86" i="78"/>
  <c r="K54" i="78"/>
  <c r="N54" i="78" s="1"/>
  <c r="E103" i="78"/>
  <c r="K38" i="78"/>
  <c r="G37" i="78"/>
  <c r="G37" i="20" s="1"/>
  <c r="G134" i="78"/>
  <c r="G134" i="20" s="1"/>
  <c r="K111" i="78"/>
  <c r="D39" i="50"/>
  <c r="K58" i="78"/>
  <c r="K58" i="20" s="1"/>
  <c r="D30" i="5"/>
  <c r="D59" i="5" s="1"/>
  <c r="D33" i="5"/>
  <c r="D58" i="5"/>
  <c r="D30" i="1"/>
  <c r="D59" i="1" s="1"/>
  <c r="D31" i="1"/>
  <c r="D60" i="1" s="1"/>
  <c r="D74" i="1" s="1"/>
  <c r="D63" i="1"/>
  <c r="D33" i="1"/>
  <c r="C23" i="5"/>
  <c r="D23" i="5" s="1"/>
  <c r="C23" i="1"/>
  <c r="D23" i="1" s="1"/>
  <c r="D16" i="5"/>
  <c r="D18" i="5" s="1"/>
  <c r="D19" i="5" s="1"/>
  <c r="D17" i="5"/>
  <c r="D17" i="1"/>
  <c r="D16" i="1"/>
  <c r="D18" i="1" s="1"/>
  <c r="U7" i="59"/>
  <c r="F90" i="59" s="1"/>
  <c r="S7" i="60"/>
  <c r="T7" i="60"/>
  <c r="K31" i="61" s="1"/>
  <c r="F30" i="61" s="1"/>
  <c r="J27" i="77"/>
  <c r="J152" i="77"/>
  <c r="K103" i="78"/>
  <c r="K105" i="78" s="1"/>
  <c r="K26" i="78"/>
  <c r="J27" i="78"/>
  <c r="J155" i="78"/>
  <c r="M155" i="78" s="1"/>
  <c r="J152" i="78"/>
  <c r="M152" i="78" s="1"/>
  <c r="T7" i="59"/>
  <c r="H107" i="78"/>
  <c r="H107" i="20" s="1"/>
  <c r="J35" i="78"/>
  <c r="J36" i="78" s="1"/>
  <c r="F210" i="80"/>
  <c r="E99" i="80"/>
  <c r="T4" i="8"/>
  <c r="Q4" i="8"/>
  <c r="S4" i="8"/>
  <c r="P4" i="8"/>
  <c r="R4" i="8"/>
  <c r="L27" i="77"/>
  <c r="L41" i="77"/>
  <c r="O29" i="77"/>
  <c r="L26" i="77"/>
  <c r="O25" i="77"/>
  <c r="L103" i="77"/>
  <c r="E120" i="78"/>
  <c r="B44" i="38"/>
  <c r="B76" i="38" s="1"/>
  <c r="B74" i="38" s="1"/>
  <c r="B46" i="38"/>
  <c r="B45" i="38"/>
  <c r="J32" i="78"/>
  <c r="M31" i="78"/>
  <c r="J128" i="78"/>
  <c r="K61" i="78"/>
  <c r="K61" i="20" s="1"/>
  <c r="K29" i="78"/>
  <c r="K108" i="78"/>
  <c r="K108" i="20" s="1"/>
  <c r="M153" i="78"/>
  <c r="J154" i="78"/>
  <c r="O29" i="78"/>
  <c r="O25" i="78"/>
  <c r="L103" i="78"/>
  <c r="L26" i="78"/>
  <c r="L27" i="78"/>
  <c r="L41" i="78"/>
  <c r="F120" i="77" l="1"/>
  <c r="F53" i="77" s="1"/>
  <c r="G120" i="77"/>
  <c r="G120" i="20" s="1"/>
  <c r="V15" i="79" s="1"/>
  <c r="F37" i="78"/>
  <c r="J39" i="78" s="1"/>
  <c r="F53" i="78"/>
  <c r="F85" i="78"/>
  <c r="F85" i="20" s="1"/>
  <c r="G124" i="78"/>
  <c r="E124" i="78" s="1"/>
  <c r="C124" i="20"/>
  <c r="B25" i="50"/>
  <c r="B24" i="50"/>
  <c r="B27" i="50"/>
  <c r="B26" i="50"/>
  <c r="E45" i="61"/>
  <c r="D113" i="50"/>
  <c r="B114" i="50"/>
  <c r="B131" i="50"/>
  <c r="D96" i="50"/>
  <c r="B48" i="50"/>
  <c r="D123" i="50"/>
  <c r="K105" i="77"/>
  <c r="N105" i="77" s="1"/>
  <c r="N26" i="77"/>
  <c r="N34" i="77" s="1"/>
  <c r="K42" i="77"/>
  <c r="K44" i="77" s="1"/>
  <c r="K28" i="77"/>
  <c r="K115" i="77"/>
  <c r="N115" i="77" s="1"/>
  <c r="D63" i="5"/>
  <c r="D74" i="5"/>
  <c r="D73" i="5" s="1"/>
  <c r="D73" i="1"/>
  <c r="O25" i="20"/>
  <c r="L27" i="20"/>
  <c r="O29" i="20"/>
  <c r="G132" i="20"/>
  <c r="B119" i="50" s="1"/>
  <c r="L103" i="20"/>
  <c r="L41" i="20"/>
  <c r="K111" i="20"/>
  <c r="AD28" i="20" s="1"/>
  <c r="F124" i="20"/>
  <c r="F69" i="20"/>
  <c r="B81" i="50" s="1"/>
  <c r="N86" i="78"/>
  <c r="N86" i="20" s="1"/>
  <c r="K86" i="20"/>
  <c r="K26" i="20"/>
  <c r="L26" i="20"/>
  <c r="K103" i="20"/>
  <c r="J128" i="77"/>
  <c r="J128" i="20" s="1"/>
  <c r="J130" i="77"/>
  <c r="J131" i="77" s="1"/>
  <c r="J157" i="77"/>
  <c r="M32" i="77"/>
  <c r="J32" i="20"/>
  <c r="M31" i="77"/>
  <c r="M31" i="20" s="1"/>
  <c r="J31" i="20"/>
  <c r="J36" i="77"/>
  <c r="J35" i="20"/>
  <c r="E124" i="77"/>
  <c r="J41" i="77"/>
  <c r="J43" i="77" s="1"/>
  <c r="J27" i="20"/>
  <c r="N32" i="77"/>
  <c r="M152" i="77"/>
  <c r="M152" i="20" s="1"/>
  <c r="J152" i="20"/>
  <c r="M155" i="77"/>
  <c r="J155" i="20"/>
  <c r="H115" i="77"/>
  <c r="H115" i="20" s="1"/>
  <c r="G115" i="20"/>
  <c r="B40" i="50"/>
  <c r="E85" i="78"/>
  <c r="E85" i="20" s="1"/>
  <c r="E53" i="78"/>
  <c r="K53" i="78" s="1"/>
  <c r="N53" i="78" s="1"/>
  <c r="K60" i="78"/>
  <c r="K60" i="20" s="1"/>
  <c r="N26" i="78"/>
  <c r="C39" i="5"/>
  <c r="K91" i="78"/>
  <c r="C39" i="1"/>
  <c r="G35" i="5"/>
  <c r="N111" i="78"/>
  <c r="N111" i="20" s="1"/>
  <c r="K113" i="78"/>
  <c r="N62" i="78"/>
  <c r="D32" i="5"/>
  <c r="N58" i="78"/>
  <c r="N58" i="20" s="1"/>
  <c r="K74" i="78"/>
  <c r="K74" i="20" s="1"/>
  <c r="D62" i="5"/>
  <c r="G34" i="5"/>
  <c r="D62" i="1"/>
  <c r="D32" i="1"/>
  <c r="G16" i="5"/>
  <c r="B223" i="50"/>
  <c r="G34" i="1"/>
  <c r="G35" i="1"/>
  <c r="I18" i="5"/>
  <c r="G18" i="5"/>
  <c r="G17" i="5"/>
  <c r="G17" i="1"/>
  <c r="G16" i="1"/>
  <c r="K107" i="78"/>
  <c r="F41" i="61"/>
  <c r="G31" i="61"/>
  <c r="G32" i="61" s="1"/>
  <c r="E111" i="78"/>
  <c r="K104" i="78"/>
  <c r="M27" i="77"/>
  <c r="J28" i="77"/>
  <c r="J103" i="77"/>
  <c r="J153" i="77"/>
  <c r="J153" i="20" s="1"/>
  <c r="J41" i="78"/>
  <c r="M41" i="78" s="1"/>
  <c r="N103" i="78"/>
  <c r="N103" i="20" s="1"/>
  <c r="K28" i="78"/>
  <c r="J28" i="78"/>
  <c r="M28" i="78" s="1"/>
  <c r="M27" i="78"/>
  <c r="J103" i="78"/>
  <c r="N30" i="78"/>
  <c r="N32" i="78" s="1"/>
  <c r="K33" i="77"/>
  <c r="K115" i="78"/>
  <c r="K42" i="78"/>
  <c r="J157" i="78"/>
  <c r="J156" i="78"/>
  <c r="M156" i="78" s="1"/>
  <c r="M35" i="78"/>
  <c r="M35" i="20" s="1"/>
  <c r="J130" i="78"/>
  <c r="J131" i="78" s="1"/>
  <c r="L115" i="77"/>
  <c r="L42" i="77"/>
  <c r="O30" i="77"/>
  <c r="L28" i="77"/>
  <c r="O26" i="77"/>
  <c r="J158" i="77"/>
  <c r="M156" i="77"/>
  <c r="O31" i="77"/>
  <c r="O103" i="77"/>
  <c r="L105" i="77"/>
  <c r="O45" i="77"/>
  <c r="L43" i="77"/>
  <c r="D25" i="77"/>
  <c r="O27" i="77"/>
  <c r="O33" i="77"/>
  <c r="O41" i="77"/>
  <c r="I18" i="1"/>
  <c r="D19" i="1"/>
  <c r="G18" i="1"/>
  <c r="B75" i="38"/>
  <c r="B48" i="38"/>
  <c r="B47" i="38"/>
  <c r="B77" i="38"/>
  <c r="B78" i="38"/>
  <c r="M36" i="78"/>
  <c r="N70" i="78"/>
  <c r="N70" i="20" s="1"/>
  <c r="K71" i="78"/>
  <c r="K71" i="20" s="1"/>
  <c r="K39" i="78"/>
  <c r="N38" i="78"/>
  <c r="K31" i="78"/>
  <c r="K30" i="78"/>
  <c r="K45" i="78"/>
  <c r="K77" i="78"/>
  <c r="K77" i="20" s="1"/>
  <c r="K62" i="78"/>
  <c r="K62" i="20" s="1"/>
  <c r="K63" i="78"/>
  <c r="K63" i="20" s="1"/>
  <c r="M32" i="78"/>
  <c r="N108" i="78"/>
  <c r="N108" i="20" s="1"/>
  <c r="K110" i="78"/>
  <c r="K110" i="20" s="1"/>
  <c r="J129" i="78"/>
  <c r="O30" i="78"/>
  <c r="O26" i="78"/>
  <c r="L28" i="78"/>
  <c r="L42" i="78"/>
  <c r="L115" i="78"/>
  <c r="L29" i="78"/>
  <c r="O31" i="78"/>
  <c r="M157" i="78"/>
  <c r="L107" i="78"/>
  <c r="L107" i="20" s="1"/>
  <c r="L105" i="78"/>
  <c r="O103" i="78"/>
  <c r="M154" i="78"/>
  <c r="N105" i="78"/>
  <c r="O45" i="78"/>
  <c r="L43" i="78"/>
  <c r="O41" i="78"/>
  <c r="D25" i="78"/>
  <c r="O27" i="78"/>
  <c r="O33" i="78"/>
  <c r="F53" i="20" l="1"/>
  <c r="E103" i="77"/>
  <c r="K104" i="77" s="1"/>
  <c r="F120" i="20"/>
  <c r="B99" i="50" s="1"/>
  <c r="F37" i="77"/>
  <c r="J39" i="77" s="1"/>
  <c r="M39" i="77" s="1"/>
  <c r="K116" i="77"/>
  <c r="K116" i="78" s="1"/>
  <c r="N116" i="78" s="1"/>
  <c r="K38" i="77"/>
  <c r="K38" i="20" s="1"/>
  <c r="K29" i="77"/>
  <c r="K31" i="77" s="1"/>
  <c r="K54" i="77"/>
  <c r="E53" i="77" s="1"/>
  <c r="E120" i="77"/>
  <c r="E120" i="20" s="1"/>
  <c r="K65" i="78"/>
  <c r="K65" i="20" s="1"/>
  <c r="K33" i="78"/>
  <c r="K49" i="78" s="1"/>
  <c r="K51" i="78" s="1"/>
  <c r="G124" i="20"/>
  <c r="B101" i="50" s="1"/>
  <c r="E124" i="20"/>
  <c r="B102" i="50" s="1"/>
  <c r="B103" i="50"/>
  <c r="B124" i="50"/>
  <c r="B6" i="50"/>
  <c r="B230" i="50"/>
  <c r="D9" i="88" s="1"/>
  <c r="K105" i="20"/>
  <c r="N28" i="77"/>
  <c r="N26" i="20"/>
  <c r="J129" i="77"/>
  <c r="J129" i="20" s="1"/>
  <c r="N42" i="77"/>
  <c r="N50" i="77" s="1"/>
  <c r="K42" i="20"/>
  <c r="K28" i="20"/>
  <c r="N46" i="77"/>
  <c r="N48" i="77" s="1"/>
  <c r="K117" i="77"/>
  <c r="K115" i="20"/>
  <c r="J105" i="77"/>
  <c r="J106" i="77" s="1"/>
  <c r="B88" i="50"/>
  <c r="O31" i="20"/>
  <c r="O103" i="20"/>
  <c r="O26" i="20"/>
  <c r="L115" i="20"/>
  <c r="E111" i="20"/>
  <c r="K112" i="78" s="1"/>
  <c r="K112" i="20" s="1"/>
  <c r="O41" i="20"/>
  <c r="L43" i="20"/>
  <c r="L28" i="20"/>
  <c r="N64" i="78"/>
  <c r="N64" i="20" s="1"/>
  <c r="N62" i="20"/>
  <c r="N30" i="20"/>
  <c r="M32" i="20"/>
  <c r="N105" i="20"/>
  <c r="O33" i="20"/>
  <c r="M27" i="20"/>
  <c r="N113" i="78"/>
  <c r="K113" i="20"/>
  <c r="N32" i="20"/>
  <c r="J157" i="20"/>
  <c r="O27" i="20"/>
  <c r="L42" i="20"/>
  <c r="N107" i="78"/>
  <c r="N107" i="20" s="1"/>
  <c r="K107" i="20"/>
  <c r="B59" i="50" s="1"/>
  <c r="J131" i="20"/>
  <c r="J130" i="20"/>
  <c r="J156" i="20"/>
  <c r="J45" i="77"/>
  <c r="J47" i="77" s="1"/>
  <c r="M90" i="77" s="1"/>
  <c r="J42" i="77"/>
  <c r="M42" i="77" s="1"/>
  <c r="O47" i="77"/>
  <c r="O45" i="20"/>
  <c r="N117" i="77"/>
  <c r="O32" i="77"/>
  <c r="O30" i="20"/>
  <c r="K35" i="77"/>
  <c r="J104" i="77"/>
  <c r="J103" i="20"/>
  <c r="M28" i="77"/>
  <c r="M28" i="20" s="1"/>
  <c r="J28" i="20"/>
  <c r="M157" i="77"/>
  <c r="M157" i="20" s="1"/>
  <c r="M155" i="20"/>
  <c r="M41" i="77"/>
  <c r="J41" i="20"/>
  <c r="M36" i="77"/>
  <c r="M36" i="20" s="1"/>
  <c r="J36" i="20"/>
  <c r="O105" i="77"/>
  <c r="L105" i="20"/>
  <c r="N36" i="77"/>
  <c r="M158" i="77"/>
  <c r="M156" i="20"/>
  <c r="J115" i="77"/>
  <c r="P25" i="77"/>
  <c r="D25" i="20"/>
  <c r="K85" i="78"/>
  <c r="N28" i="78"/>
  <c r="N34" i="78"/>
  <c r="N34" i="20" s="1"/>
  <c r="E44" i="5"/>
  <c r="C35" i="5"/>
  <c r="D35" i="5" s="1"/>
  <c r="C44" i="5"/>
  <c r="E39" i="5"/>
  <c r="C41" i="5" s="1"/>
  <c r="C44" i="1"/>
  <c r="E44" i="1"/>
  <c r="C35" i="1"/>
  <c r="K94" i="78"/>
  <c r="B36" i="50"/>
  <c r="S14" i="80"/>
  <c r="U14" i="80" s="1"/>
  <c r="K106" i="78"/>
  <c r="N106" i="78" s="1"/>
  <c r="J34" i="1"/>
  <c r="J34" i="5"/>
  <c r="D61" i="1"/>
  <c r="D64" i="1" s="1"/>
  <c r="N60" i="78"/>
  <c r="N60" i="20" s="1"/>
  <c r="N74" i="78"/>
  <c r="N66" i="78"/>
  <c r="N66" i="20" s="1"/>
  <c r="D61" i="5"/>
  <c r="I78" i="5" s="1"/>
  <c r="K76" i="78"/>
  <c r="K76" i="20" s="1"/>
  <c r="N78" i="78"/>
  <c r="N78" i="20" s="1"/>
  <c r="B97" i="50"/>
  <c r="J35" i="5"/>
  <c r="J17" i="5"/>
  <c r="E39" i="1"/>
  <c r="J35" i="1"/>
  <c r="J9" i="1"/>
  <c r="K109" i="78"/>
  <c r="N104" i="78"/>
  <c r="E128" i="78"/>
  <c r="E130" i="78" s="1"/>
  <c r="E107" i="78"/>
  <c r="L104" i="78"/>
  <c r="O104" i="78" s="1"/>
  <c r="N125" i="78"/>
  <c r="N127" i="78" s="1"/>
  <c r="Z28" i="20"/>
  <c r="S9" i="80"/>
  <c r="S11" i="80" s="1"/>
  <c r="S13" i="80"/>
  <c r="U13" i="80" s="1"/>
  <c r="S10" i="80"/>
  <c r="S12" i="80" s="1"/>
  <c r="M103" i="77"/>
  <c r="J154" i="77"/>
  <c r="M43" i="77"/>
  <c r="J44" i="77"/>
  <c r="M153" i="77"/>
  <c r="M153" i="20" s="1"/>
  <c r="J42" i="78"/>
  <c r="M42" i="78" s="1"/>
  <c r="J45" i="78"/>
  <c r="M128" i="78" s="1"/>
  <c r="J57" i="78"/>
  <c r="J43" i="78"/>
  <c r="J44" i="78" s="1"/>
  <c r="B50" i="50"/>
  <c r="J104" i="78"/>
  <c r="M104" i="78" s="1"/>
  <c r="M103" i="78"/>
  <c r="K44" i="78"/>
  <c r="K44" i="20" s="1"/>
  <c r="N46" i="78"/>
  <c r="N48" i="78" s="1"/>
  <c r="K117" i="78"/>
  <c r="N42" i="78"/>
  <c r="N44" i="78" s="1"/>
  <c r="K34" i="77"/>
  <c r="K49" i="77"/>
  <c r="N115" i="78"/>
  <c r="J158" i="78"/>
  <c r="J158" i="20" s="1"/>
  <c r="D41" i="77"/>
  <c r="O43" i="77"/>
  <c r="O49" i="77"/>
  <c r="O46" i="77"/>
  <c r="L44" i="77"/>
  <c r="O35" i="77"/>
  <c r="L33" i="77"/>
  <c r="O42" i="77"/>
  <c r="O28" i="77"/>
  <c r="O34" i="77"/>
  <c r="L117" i="77"/>
  <c r="O115" i="77"/>
  <c r="B80" i="38"/>
  <c r="B79" i="38"/>
  <c r="N110" i="78"/>
  <c r="N110" i="20" s="1"/>
  <c r="K47" i="78"/>
  <c r="K79" i="78"/>
  <c r="K79" i="20" s="1"/>
  <c r="K55" i="78"/>
  <c r="K133" i="78"/>
  <c r="K133" i="20" s="1"/>
  <c r="K46" i="78"/>
  <c r="K32" i="78"/>
  <c r="K40" i="78"/>
  <c r="N39" i="78"/>
  <c r="K87" i="78"/>
  <c r="K87" i="20" s="1"/>
  <c r="M39" i="78"/>
  <c r="J40" i="78"/>
  <c r="K78" i="78"/>
  <c r="K78" i="20" s="1"/>
  <c r="K64" i="78"/>
  <c r="K64" i="20" s="1"/>
  <c r="B50" i="79"/>
  <c r="AG52" i="79" s="1"/>
  <c r="S15" i="80"/>
  <c r="S15" i="60" s="1"/>
  <c r="K129" i="78"/>
  <c r="N71" i="78"/>
  <c r="N71" i="20" s="1"/>
  <c r="K72" i="78"/>
  <c r="K72" i="20" s="1"/>
  <c r="O43" i="78"/>
  <c r="D41" i="78"/>
  <c r="O49" i="78"/>
  <c r="O28" i="78"/>
  <c r="O34" i="78"/>
  <c r="O42" i="78"/>
  <c r="O35" i="78"/>
  <c r="O107" i="78"/>
  <c r="O107" i="20" s="1"/>
  <c r="D103" i="78"/>
  <c r="O115" i="78"/>
  <c r="L117" i="78"/>
  <c r="O32" i="78"/>
  <c r="O105" i="78"/>
  <c r="L31" i="78"/>
  <c r="L45" i="78"/>
  <c r="D29" i="78"/>
  <c r="L30" i="78"/>
  <c r="L129" i="78"/>
  <c r="L44" i="78"/>
  <c r="O46" i="78"/>
  <c r="M158" i="78"/>
  <c r="P25" i="78"/>
  <c r="O47" i="78"/>
  <c r="L109" i="78"/>
  <c r="L109" i="20" s="1"/>
  <c r="J49" i="78"/>
  <c r="K39" i="77" l="1"/>
  <c r="N39" i="77" s="1"/>
  <c r="D103" i="77"/>
  <c r="D103" i="20" s="1"/>
  <c r="E103" i="20"/>
  <c r="B35" i="50" s="1"/>
  <c r="K118" i="77"/>
  <c r="E115" i="77"/>
  <c r="D115" i="77" s="1"/>
  <c r="L116" i="77"/>
  <c r="O116" i="77" s="1"/>
  <c r="N38" i="77"/>
  <c r="N38" i="20" s="1"/>
  <c r="L29" i="77"/>
  <c r="D29" i="77" s="1"/>
  <c r="F37" i="20"/>
  <c r="B43" i="50" s="1"/>
  <c r="K30" i="77"/>
  <c r="K30" i="20" s="1"/>
  <c r="K29" i="20"/>
  <c r="K45" i="77"/>
  <c r="K47" i="77" s="1"/>
  <c r="K47" i="20" s="1"/>
  <c r="K54" i="20"/>
  <c r="N54" i="77"/>
  <c r="N54" i="20" s="1"/>
  <c r="N116" i="77"/>
  <c r="N118" i="77" s="1"/>
  <c r="E37" i="77"/>
  <c r="K37" i="77" s="1"/>
  <c r="L33" i="78"/>
  <c r="L35" i="78" s="1"/>
  <c r="K34" i="78"/>
  <c r="K50" i="78" s="1"/>
  <c r="K52" i="78" s="1"/>
  <c r="K35" i="78"/>
  <c r="K131" i="78" s="1"/>
  <c r="K130" i="78" s="1"/>
  <c r="N130" i="78" s="1"/>
  <c r="K66" i="78"/>
  <c r="K68" i="78" s="1"/>
  <c r="K68" i="20" s="1"/>
  <c r="K81" i="78"/>
  <c r="K83" i="78" s="1"/>
  <c r="K83" i="20" s="1"/>
  <c r="K67" i="78"/>
  <c r="K67" i="20" s="1"/>
  <c r="K33" i="20"/>
  <c r="V16" i="79"/>
  <c r="S16" i="80" s="1"/>
  <c r="S16" i="60" s="1"/>
  <c r="V19" i="88"/>
  <c r="D8" i="88" s="1"/>
  <c r="B234" i="50" s="1"/>
  <c r="D37" i="88"/>
  <c r="B235" i="50"/>
  <c r="D10" i="88"/>
  <c r="B236" i="50" s="1"/>
  <c r="B29" i="50"/>
  <c r="B7" i="50"/>
  <c r="R14" i="79"/>
  <c r="N28" i="20"/>
  <c r="B72" i="50"/>
  <c r="N44" i="77"/>
  <c r="N44" i="20" s="1"/>
  <c r="K117" i="20"/>
  <c r="J46" i="77"/>
  <c r="M46" i="77" s="1"/>
  <c r="M128" i="77"/>
  <c r="F128" i="77" s="1"/>
  <c r="M105" i="77"/>
  <c r="F103" i="77"/>
  <c r="M45" i="77"/>
  <c r="B91" i="50"/>
  <c r="E115" i="78"/>
  <c r="L116" i="78"/>
  <c r="O35" i="20"/>
  <c r="O42" i="20"/>
  <c r="K116" i="20"/>
  <c r="L44" i="20"/>
  <c r="J43" i="20"/>
  <c r="O105" i="20"/>
  <c r="R10" i="80" s="1"/>
  <c r="U10" i="80" s="1"/>
  <c r="N46" i="20"/>
  <c r="J61" i="78"/>
  <c r="J61" i="20" s="1"/>
  <c r="J57" i="20"/>
  <c r="B10" i="50" s="1"/>
  <c r="N85" i="78"/>
  <c r="N85" i="20" s="1"/>
  <c r="K85" i="20"/>
  <c r="O32" i="20"/>
  <c r="O47" i="20"/>
  <c r="N48" i="20"/>
  <c r="N42" i="20"/>
  <c r="O28" i="20"/>
  <c r="M103" i="20"/>
  <c r="E107" i="20"/>
  <c r="B58" i="50" s="1"/>
  <c r="N109" i="78"/>
  <c r="N109" i="20" s="1"/>
  <c r="K109" i="20"/>
  <c r="M42" i="20"/>
  <c r="N115" i="20"/>
  <c r="R10" i="79" s="1"/>
  <c r="J42" i="20"/>
  <c r="O115" i="20"/>
  <c r="O43" i="20"/>
  <c r="N82" i="78"/>
  <c r="N74" i="20"/>
  <c r="M158" i="20"/>
  <c r="J45" i="20"/>
  <c r="N113" i="20"/>
  <c r="B73" i="50" s="1"/>
  <c r="K118" i="78"/>
  <c r="N118" i="78" s="1"/>
  <c r="J139" i="77"/>
  <c r="J147" i="77" s="1"/>
  <c r="J98" i="77"/>
  <c r="J100" i="77" s="1"/>
  <c r="M115" i="77"/>
  <c r="J48" i="77"/>
  <c r="M48" i="77" s="1"/>
  <c r="J116" i="77"/>
  <c r="M47" i="77"/>
  <c r="J92" i="77" s="1"/>
  <c r="K106" i="77"/>
  <c r="K104" i="20"/>
  <c r="O117" i="77"/>
  <c r="L117" i="20"/>
  <c r="O48" i="77"/>
  <c r="O46" i="20"/>
  <c r="K51" i="77"/>
  <c r="K51" i="20" s="1"/>
  <c r="K49" i="20"/>
  <c r="M154" i="77"/>
  <c r="M154" i="20" s="1"/>
  <c r="J154" i="20"/>
  <c r="K53" i="77"/>
  <c r="E53" i="20"/>
  <c r="K129" i="77"/>
  <c r="K31" i="20"/>
  <c r="J49" i="77"/>
  <c r="M41" i="20"/>
  <c r="M104" i="77"/>
  <c r="M104" i="20" s="1"/>
  <c r="J104" i="20"/>
  <c r="K131" i="77"/>
  <c r="M106" i="77"/>
  <c r="N52" i="77"/>
  <c r="O51" i="77"/>
  <c r="O49" i="20"/>
  <c r="O36" i="77"/>
  <c r="O34" i="20"/>
  <c r="P41" i="77"/>
  <c r="D41" i="20"/>
  <c r="K36" i="77"/>
  <c r="M40" i="77"/>
  <c r="M39" i="20"/>
  <c r="M44" i="77"/>
  <c r="J44" i="20"/>
  <c r="J40" i="77"/>
  <c r="J40" i="20" s="1"/>
  <c r="J39" i="20"/>
  <c r="Q25" i="77"/>
  <c r="P25" i="20"/>
  <c r="E128" i="77"/>
  <c r="L104" i="77"/>
  <c r="N104" i="77"/>
  <c r="N104" i="20" s="1"/>
  <c r="N36" i="78"/>
  <c r="N36" i="20" s="1"/>
  <c r="N121" i="77"/>
  <c r="E37" i="78"/>
  <c r="K37" i="78" s="1"/>
  <c r="E69" i="78"/>
  <c r="K55" i="77"/>
  <c r="E41" i="5"/>
  <c r="E42" i="5" s="1"/>
  <c r="E40" i="5"/>
  <c r="C40" i="5" s="1"/>
  <c r="C43" i="5" s="1"/>
  <c r="C36" i="5"/>
  <c r="D36" i="5" s="1"/>
  <c r="E40" i="1"/>
  <c r="B98" i="50"/>
  <c r="N121" i="78"/>
  <c r="N123" i="78" s="1"/>
  <c r="N125" i="77"/>
  <c r="R9" i="80"/>
  <c r="U9" i="80" s="1"/>
  <c r="E132" i="78"/>
  <c r="J29" i="1"/>
  <c r="I78" i="1"/>
  <c r="J29" i="5"/>
  <c r="G78" i="1"/>
  <c r="C41" i="1"/>
  <c r="E41" i="1"/>
  <c r="E42" i="1" s="1"/>
  <c r="N76" i="78"/>
  <c r="N76" i="20" s="1"/>
  <c r="N68" i="78"/>
  <c r="N68" i="20" s="1"/>
  <c r="G78" i="5"/>
  <c r="D64" i="5"/>
  <c r="N80" i="78"/>
  <c r="N80" i="20" s="1"/>
  <c r="B92" i="50"/>
  <c r="B56" i="50"/>
  <c r="M43" i="78"/>
  <c r="M43" i="20" s="1"/>
  <c r="K114" i="78"/>
  <c r="K114" i="20" s="1"/>
  <c r="N112" i="78"/>
  <c r="N112" i="20" s="1"/>
  <c r="M45" i="78"/>
  <c r="J47" i="78"/>
  <c r="J48" i="78" s="1"/>
  <c r="J46" i="78"/>
  <c r="L106" i="78"/>
  <c r="O106" i="78" s="1"/>
  <c r="J73" i="78"/>
  <c r="R9" i="79"/>
  <c r="J109" i="78"/>
  <c r="J109" i="20" s="1"/>
  <c r="M57" i="78"/>
  <c r="J58" i="78"/>
  <c r="J59" i="78"/>
  <c r="R13" i="79"/>
  <c r="N117" i="78"/>
  <c r="N117" i="20" s="1"/>
  <c r="B129" i="50"/>
  <c r="N50" i="78"/>
  <c r="N50" i="20" s="1"/>
  <c r="K50" i="77"/>
  <c r="O50" i="77"/>
  <c r="O44" i="77"/>
  <c r="J117" i="77"/>
  <c r="J90" i="77"/>
  <c r="M91" i="77"/>
  <c r="L49" i="77"/>
  <c r="L34" i="77"/>
  <c r="L35" i="77"/>
  <c r="D33" i="77"/>
  <c r="S15" i="59"/>
  <c r="M40" i="78"/>
  <c r="K48" i="78"/>
  <c r="K80" i="78"/>
  <c r="K80" i="20" s="1"/>
  <c r="N40" i="78"/>
  <c r="N133" i="78"/>
  <c r="N133" i="20" s="1"/>
  <c r="N55" i="78"/>
  <c r="K56" i="78"/>
  <c r="N129" i="78"/>
  <c r="K128" i="78"/>
  <c r="L128" i="78" s="1"/>
  <c r="N87" i="78"/>
  <c r="N87" i="20" s="1"/>
  <c r="K88" i="78"/>
  <c r="K88" i="20" s="1"/>
  <c r="N72" i="78"/>
  <c r="N72" i="20" s="1"/>
  <c r="O48" i="78"/>
  <c r="O129" i="78"/>
  <c r="O109" i="78"/>
  <c r="O109" i="20" s="1"/>
  <c r="D107" i="78"/>
  <c r="D107" i="20" s="1"/>
  <c r="O50" i="78"/>
  <c r="O44" i="78"/>
  <c r="M129" i="78"/>
  <c r="F128" i="78"/>
  <c r="O51" i="78"/>
  <c r="Q25" i="78"/>
  <c r="L32" i="78"/>
  <c r="L46" i="78"/>
  <c r="L54" i="78" s="1"/>
  <c r="O54" i="78" s="1"/>
  <c r="O117" i="78"/>
  <c r="B34" i="50"/>
  <c r="AF29" i="20"/>
  <c r="Z29" i="20"/>
  <c r="B52" i="50"/>
  <c r="O36" i="78"/>
  <c r="P29" i="78"/>
  <c r="M44" i="78"/>
  <c r="P41" i="78"/>
  <c r="J51" i="78"/>
  <c r="M49" i="78"/>
  <c r="J50" i="78"/>
  <c r="M130" i="78"/>
  <c r="L47" i="78"/>
  <c r="D45" i="78"/>
  <c r="L108" i="78"/>
  <c r="L108" i="20" s="1"/>
  <c r="L33" i="20" l="1"/>
  <c r="K40" i="77"/>
  <c r="K40" i="20" s="1"/>
  <c r="K39" i="20"/>
  <c r="B53" i="50"/>
  <c r="K36" i="78"/>
  <c r="L49" i="78"/>
  <c r="L51" i="78" s="1"/>
  <c r="L45" i="77"/>
  <c r="L45" i="20" s="1"/>
  <c r="L129" i="77"/>
  <c r="O129" i="77" s="1"/>
  <c r="O129" i="20" s="1"/>
  <c r="L118" i="77"/>
  <c r="O118" i="77" s="1"/>
  <c r="L116" i="20"/>
  <c r="E115" i="20"/>
  <c r="L31" i="77"/>
  <c r="L31" i="20" s="1"/>
  <c r="L30" i="77"/>
  <c r="L30" i="20" s="1"/>
  <c r="K46" i="77"/>
  <c r="K48" i="77" s="1"/>
  <c r="K48" i="20" s="1"/>
  <c r="L29" i="20"/>
  <c r="K32" i="77"/>
  <c r="K32" i="20" s="1"/>
  <c r="N116" i="20"/>
  <c r="K45" i="20"/>
  <c r="N131" i="78"/>
  <c r="D33" i="78"/>
  <c r="D33" i="20" s="1"/>
  <c r="L34" i="78"/>
  <c r="L34" i="20" s="1"/>
  <c r="K82" i="78"/>
  <c r="K82" i="20" s="1"/>
  <c r="K34" i="20"/>
  <c r="K35" i="20"/>
  <c r="K66" i="20"/>
  <c r="K135" i="78"/>
  <c r="K135" i="20" s="1"/>
  <c r="C50" i="79"/>
  <c r="U52" i="79" s="1"/>
  <c r="K81" i="20"/>
  <c r="O116" i="78"/>
  <c r="O116" i="20" s="1"/>
  <c r="S16" i="59"/>
  <c r="K99" i="78" s="1"/>
  <c r="K101" i="78" s="1"/>
  <c r="D38" i="88"/>
  <c r="B240" i="50" s="1"/>
  <c r="B239" i="50"/>
  <c r="B54" i="50"/>
  <c r="B8" i="50"/>
  <c r="B128" i="50"/>
  <c r="B127" i="50"/>
  <c r="J46" i="20"/>
  <c r="M129" i="77"/>
  <c r="M129" i="20" s="1"/>
  <c r="M128" i="20"/>
  <c r="M45" i="20"/>
  <c r="P103" i="77"/>
  <c r="Q103" i="77" s="1"/>
  <c r="M139" i="77"/>
  <c r="J142" i="77" s="1"/>
  <c r="J143" i="77"/>
  <c r="J144" i="77"/>
  <c r="J140" i="77"/>
  <c r="M144" i="77" s="1"/>
  <c r="D115" i="78"/>
  <c r="D115" i="20" s="1"/>
  <c r="L118" i="78"/>
  <c r="J69" i="78"/>
  <c r="J69" i="20" s="1"/>
  <c r="B83" i="50" s="1"/>
  <c r="M61" i="78"/>
  <c r="M61" i="20" s="1"/>
  <c r="N118" i="20"/>
  <c r="J63" i="78"/>
  <c r="J63" i="20" s="1"/>
  <c r="J62" i="78"/>
  <c r="J62" i="20" s="1"/>
  <c r="O117" i="20"/>
  <c r="J59" i="20"/>
  <c r="B11" i="50" s="1"/>
  <c r="M44" i="20"/>
  <c r="K36" i="20"/>
  <c r="O36" i="20"/>
  <c r="O44" i="20"/>
  <c r="M58" i="78"/>
  <c r="M58" i="20" s="1"/>
  <c r="J58" i="20"/>
  <c r="J77" i="78"/>
  <c r="J77" i="20" s="1"/>
  <c r="J73" i="20"/>
  <c r="B12" i="50" s="1"/>
  <c r="E132" i="20"/>
  <c r="B121" i="50" s="1"/>
  <c r="K69" i="78"/>
  <c r="K69" i="20" s="1"/>
  <c r="E69" i="20"/>
  <c r="E37" i="20"/>
  <c r="O48" i="20"/>
  <c r="R12" i="79"/>
  <c r="J65" i="78"/>
  <c r="J65" i="20" s="1"/>
  <c r="M57" i="20"/>
  <c r="Q25" i="20"/>
  <c r="F128" i="20"/>
  <c r="M40" i="20"/>
  <c r="O51" i="20"/>
  <c r="K37" i="20"/>
  <c r="N84" i="78"/>
  <c r="N84" i="20" s="1"/>
  <c r="N82" i="20"/>
  <c r="K118" i="20"/>
  <c r="J47" i="20"/>
  <c r="J48" i="20"/>
  <c r="M116" i="77"/>
  <c r="O52" i="77"/>
  <c r="O50" i="20"/>
  <c r="N127" i="77"/>
  <c r="N127" i="20" s="1"/>
  <c r="N125" i="20"/>
  <c r="M96" i="77"/>
  <c r="K52" i="77"/>
  <c r="K52" i="20" s="1"/>
  <c r="K50" i="20"/>
  <c r="N123" i="77"/>
  <c r="N123" i="20" s="1"/>
  <c r="N121" i="20"/>
  <c r="L106" i="77"/>
  <c r="L104" i="20"/>
  <c r="N40" i="77"/>
  <c r="N40" i="20" s="1"/>
  <c r="N39" i="20"/>
  <c r="N131" i="77"/>
  <c r="N131" i="20" s="1"/>
  <c r="K131" i="20"/>
  <c r="J49" i="20"/>
  <c r="J50" i="77"/>
  <c r="M49" i="77"/>
  <c r="M49" i="20" s="1"/>
  <c r="J51" i="77"/>
  <c r="M130" i="77"/>
  <c r="F130" i="77" s="1"/>
  <c r="N53" i="77"/>
  <c r="N53" i="20" s="1"/>
  <c r="K53" i="20"/>
  <c r="J91" i="77"/>
  <c r="N106" i="77"/>
  <c r="N106" i="20" s="1"/>
  <c r="K106" i="20"/>
  <c r="P33" i="77"/>
  <c r="L131" i="77"/>
  <c r="L35" i="20"/>
  <c r="N55" i="77"/>
  <c r="K55" i="20"/>
  <c r="E130" i="77"/>
  <c r="E128" i="20"/>
  <c r="P29" i="77"/>
  <c r="D29" i="20"/>
  <c r="Q41" i="77"/>
  <c r="P41" i="20"/>
  <c r="K129" i="20"/>
  <c r="N129" i="77"/>
  <c r="N129" i="20" s="1"/>
  <c r="B33" i="50"/>
  <c r="K128" i="77"/>
  <c r="P128" i="77"/>
  <c r="B51" i="50"/>
  <c r="O104" i="77"/>
  <c r="O104" i="20" s="1"/>
  <c r="K56" i="77"/>
  <c r="K56" i="20" s="1"/>
  <c r="E43" i="5"/>
  <c r="C42" i="5"/>
  <c r="E43" i="1"/>
  <c r="C40" i="1"/>
  <c r="C43" i="1" s="1"/>
  <c r="B42" i="50"/>
  <c r="N37" i="78"/>
  <c r="R11" i="80"/>
  <c r="T9" i="80"/>
  <c r="R13" i="80"/>
  <c r="R14" i="80" s="1"/>
  <c r="R12" i="80"/>
  <c r="K132" i="78"/>
  <c r="T10" i="80"/>
  <c r="E134" i="78"/>
  <c r="E134" i="20" s="1"/>
  <c r="B80" i="50"/>
  <c r="D35" i="1"/>
  <c r="C36" i="1" s="1"/>
  <c r="N37" i="77"/>
  <c r="T13" i="79"/>
  <c r="R11" i="79"/>
  <c r="J107" i="78"/>
  <c r="M47" i="78"/>
  <c r="M47" i="20" s="1"/>
  <c r="M46" i="78"/>
  <c r="M46" i="20" s="1"/>
  <c r="N114" i="78"/>
  <c r="N114" i="20" s="1"/>
  <c r="J74" i="78"/>
  <c r="J74" i="20" s="1"/>
  <c r="M109" i="78"/>
  <c r="M109" i="20" s="1"/>
  <c r="M59" i="78"/>
  <c r="M59" i="20" s="1"/>
  <c r="M73" i="78"/>
  <c r="M73" i="20" s="1"/>
  <c r="J75" i="78"/>
  <c r="J111" i="78"/>
  <c r="J60" i="78"/>
  <c r="J110" i="78"/>
  <c r="N52" i="78"/>
  <c r="N52" i="20" s="1"/>
  <c r="K98" i="78"/>
  <c r="K100" i="78" s="1"/>
  <c r="K98" i="77"/>
  <c r="L36" i="77"/>
  <c r="L50" i="77"/>
  <c r="J118" i="77"/>
  <c r="F115" i="77"/>
  <c r="M117" i="77"/>
  <c r="J150" i="77"/>
  <c r="M147" i="77"/>
  <c r="L51" i="77"/>
  <c r="D49" i="77"/>
  <c r="J113" i="78"/>
  <c r="J113" i="20" s="1"/>
  <c r="N88" i="78"/>
  <c r="N88" i="20" s="1"/>
  <c r="N128" i="78"/>
  <c r="N56" i="78"/>
  <c r="J161" i="78"/>
  <c r="J161" i="20" s="1"/>
  <c r="L110" i="78"/>
  <c r="L110" i="20" s="1"/>
  <c r="J52" i="78"/>
  <c r="M51" i="78"/>
  <c r="J53" i="78"/>
  <c r="Q29" i="78"/>
  <c r="L48" i="78"/>
  <c r="P128" i="78"/>
  <c r="O52" i="78"/>
  <c r="D49" i="78"/>
  <c r="O108" i="78"/>
  <c r="O108" i="20" s="1"/>
  <c r="F130" i="78"/>
  <c r="M131" i="78"/>
  <c r="P45" i="78"/>
  <c r="M50" i="78"/>
  <c r="Q41" i="78"/>
  <c r="B57" i="50"/>
  <c r="M48" i="78"/>
  <c r="M48" i="20" s="1"/>
  <c r="L131" i="78"/>
  <c r="O128" i="78"/>
  <c r="B32" i="50" l="1"/>
  <c r="L49" i="20"/>
  <c r="P33" i="78"/>
  <c r="P33" i="20" s="1"/>
  <c r="L47" i="77"/>
  <c r="L47" i="20" s="1"/>
  <c r="L129" i="20"/>
  <c r="D45" i="77"/>
  <c r="P45" i="77" s="1"/>
  <c r="L118" i="20"/>
  <c r="L46" i="77"/>
  <c r="L46" i="20" s="1"/>
  <c r="L38" i="77"/>
  <c r="L39" i="77" s="1"/>
  <c r="L32" i="77"/>
  <c r="L32" i="20" s="1"/>
  <c r="K46" i="20"/>
  <c r="K99" i="77"/>
  <c r="K101" i="77" s="1"/>
  <c r="K101" i="20" s="1"/>
  <c r="L36" i="78"/>
  <c r="L36" i="20" s="1"/>
  <c r="L50" i="78"/>
  <c r="L52" i="78" s="1"/>
  <c r="K84" i="78"/>
  <c r="K84" i="20" s="1"/>
  <c r="N135" i="78"/>
  <c r="N135" i="20" s="1"/>
  <c r="P50" i="79"/>
  <c r="B30" i="50"/>
  <c r="B115" i="50"/>
  <c r="B116" i="50"/>
  <c r="B126" i="50"/>
  <c r="J145" i="77"/>
  <c r="M145" i="77" s="1"/>
  <c r="J146" i="77"/>
  <c r="M146" i="77" s="1"/>
  <c r="M140" i="77"/>
  <c r="M142" i="77" s="1"/>
  <c r="J141" i="77"/>
  <c r="M141" i="77" s="1"/>
  <c r="J148" i="77"/>
  <c r="M148" i="77" s="1"/>
  <c r="M143" i="77"/>
  <c r="O118" i="78"/>
  <c r="O118" i="20" s="1"/>
  <c r="M69" i="78"/>
  <c r="M69" i="20" s="1"/>
  <c r="J71" i="78"/>
  <c r="J71" i="20" s="1"/>
  <c r="J70" i="78"/>
  <c r="J70" i="20" s="1"/>
  <c r="M63" i="78"/>
  <c r="M63" i="20" s="1"/>
  <c r="J64" i="78"/>
  <c r="J64" i="20" s="1"/>
  <c r="J132" i="78"/>
  <c r="J132" i="20" s="1"/>
  <c r="M62" i="78"/>
  <c r="M62" i="20" s="1"/>
  <c r="M65" i="78"/>
  <c r="M65" i="20" s="1"/>
  <c r="J78" i="78"/>
  <c r="J78" i="20" s="1"/>
  <c r="M132" i="78"/>
  <c r="M132" i="20" s="1"/>
  <c r="J66" i="78"/>
  <c r="J66" i="20" s="1"/>
  <c r="D173" i="78"/>
  <c r="P130" i="77"/>
  <c r="Q130" i="77" s="1"/>
  <c r="J79" i="78"/>
  <c r="J79" i="20" s="1"/>
  <c r="N69" i="78"/>
  <c r="N69" i="20" s="1"/>
  <c r="M77" i="78"/>
  <c r="M77" i="20" s="1"/>
  <c r="J115" i="78"/>
  <c r="J115" i="20" s="1"/>
  <c r="J75" i="20"/>
  <c r="B13" i="50" s="1"/>
  <c r="K132" i="20"/>
  <c r="B122" i="50" s="1"/>
  <c r="Q41" i="20"/>
  <c r="L51" i="20"/>
  <c r="M110" i="78"/>
  <c r="M110" i="20" s="1"/>
  <c r="J110" i="20"/>
  <c r="M60" i="78"/>
  <c r="M60" i="20" s="1"/>
  <c r="J60" i="20"/>
  <c r="F107" i="78"/>
  <c r="P107" i="78" s="1"/>
  <c r="J107" i="20"/>
  <c r="L131" i="20"/>
  <c r="J112" i="78"/>
  <c r="J112" i="20" s="1"/>
  <c r="J111" i="20"/>
  <c r="N37" i="20"/>
  <c r="F130" i="20"/>
  <c r="O52" i="20"/>
  <c r="O131" i="77"/>
  <c r="P49" i="77"/>
  <c r="D49" i="20"/>
  <c r="M118" i="77"/>
  <c r="L52" i="77"/>
  <c r="Q128" i="77"/>
  <c r="P128" i="20"/>
  <c r="K130" i="77"/>
  <c r="L130" i="77" s="1"/>
  <c r="O130" i="77" s="1"/>
  <c r="E130" i="20"/>
  <c r="M50" i="77"/>
  <c r="M50" i="20" s="1"/>
  <c r="J50" i="20"/>
  <c r="N128" i="77"/>
  <c r="N128" i="20" s="1"/>
  <c r="K128" i="20"/>
  <c r="M130" i="20"/>
  <c r="M131" i="77"/>
  <c r="M131" i="20" s="1"/>
  <c r="O106" i="77"/>
  <c r="O106" i="20" s="1"/>
  <c r="L106" i="20"/>
  <c r="M97" i="77"/>
  <c r="Q29" i="77"/>
  <c r="Q29" i="20" s="1"/>
  <c r="P29" i="20"/>
  <c r="N56" i="77"/>
  <c r="N56" i="20" s="1"/>
  <c r="N55" i="20"/>
  <c r="Q33" i="77"/>
  <c r="J51" i="20"/>
  <c r="D173" i="20" s="1"/>
  <c r="M51" i="77"/>
  <c r="J53" i="77"/>
  <c r="J52" i="77"/>
  <c r="J149" i="77"/>
  <c r="K100" i="77"/>
  <c r="K100" i="20" s="1"/>
  <c r="K98" i="20"/>
  <c r="L128" i="77"/>
  <c r="AB29" i="20"/>
  <c r="B38" i="50"/>
  <c r="C26" i="19"/>
  <c r="B79" i="50"/>
  <c r="B41" i="50"/>
  <c r="C45" i="5"/>
  <c r="E45" i="5"/>
  <c r="C42" i="1"/>
  <c r="E45" i="1" s="1"/>
  <c r="T13" i="80"/>
  <c r="T14" i="80" s="1"/>
  <c r="N132" i="78"/>
  <c r="N132" i="20" s="1"/>
  <c r="P115" i="77"/>
  <c r="K134" i="78"/>
  <c r="D36" i="1"/>
  <c r="G36" i="5"/>
  <c r="I36" i="5"/>
  <c r="G36" i="1"/>
  <c r="I36" i="1"/>
  <c r="J108" i="78"/>
  <c r="M107" i="78"/>
  <c r="M107" i="20" s="1"/>
  <c r="M74" i="78"/>
  <c r="M74" i="20" s="1"/>
  <c r="F111" i="78"/>
  <c r="F111" i="20" s="1"/>
  <c r="J81" i="78"/>
  <c r="M111" i="78"/>
  <c r="M111" i="20" s="1"/>
  <c r="J76" i="78"/>
  <c r="J76" i="20" s="1"/>
  <c r="M75" i="78"/>
  <c r="M75" i="20" s="1"/>
  <c r="M113" i="78"/>
  <c r="M113" i="20" s="1"/>
  <c r="J114" i="78"/>
  <c r="J114" i="20" s="1"/>
  <c r="O110" i="78"/>
  <c r="O110" i="20" s="1"/>
  <c r="M52" i="78"/>
  <c r="Q45" i="78"/>
  <c r="Q128" i="78"/>
  <c r="P130" i="78"/>
  <c r="P49" i="78"/>
  <c r="J54" i="78"/>
  <c r="J55" i="78"/>
  <c r="M53" i="78"/>
  <c r="L130" i="78"/>
  <c r="O131" i="78"/>
  <c r="M161" i="78"/>
  <c r="M161" i="20" s="1"/>
  <c r="J163" i="78"/>
  <c r="J163" i="20" s="1"/>
  <c r="J162" i="78"/>
  <c r="J162" i="20" s="1"/>
  <c r="Q33" i="78" l="1"/>
  <c r="L50" i="20"/>
  <c r="L37" i="77"/>
  <c r="O37" i="77" s="1"/>
  <c r="O38" i="77"/>
  <c r="O39" i="77" s="1"/>
  <c r="D45" i="20"/>
  <c r="L54" i="77"/>
  <c r="L55" i="77" s="1"/>
  <c r="L48" i="77"/>
  <c r="L48" i="20" s="1"/>
  <c r="K99" i="20"/>
  <c r="B117" i="50"/>
  <c r="P130" i="20"/>
  <c r="L130" i="20"/>
  <c r="J67" i="78"/>
  <c r="J67" i="20" s="1"/>
  <c r="M71" i="78"/>
  <c r="M71" i="20" s="1"/>
  <c r="J72" i="78"/>
  <c r="J72" i="20" s="1"/>
  <c r="M70" i="78"/>
  <c r="M70" i="20" s="1"/>
  <c r="J133" i="78"/>
  <c r="J133" i="20" s="1"/>
  <c r="M64" i="78"/>
  <c r="M64" i="20" s="1"/>
  <c r="M78" i="78"/>
  <c r="M78" i="20" s="1"/>
  <c r="M133" i="78"/>
  <c r="M133" i="20" s="1"/>
  <c r="F132" i="78"/>
  <c r="F132" i="20" s="1"/>
  <c r="M90" i="78"/>
  <c r="M90" i="20" s="1"/>
  <c r="M79" i="78"/>
  <c r="M79" i="20" s="1"/>
  <c r="J116" i="78"/>
  <c r="J116" i="20" s="1"/>
  <c r="M115" i="78"/>
  <c r="M115" i="20" s="1"/>
  <c r="AF27" i="20" s="1"/>
  <c r="M66" i="78"/>
  <c r="M66" i="20" s="1"/>
  <c r="J98" i="78"/>
  <c r="J98" i="20" s="1"/>
  <c r="J80" i="78"/>
  <c r="J80" i="20" s="1"/>
  <c r="M112" i="78"/>
  <c r="M112" i="20" s="1"/>
  <c r="Q107" i="78"/>
  <c r="Q107" i="20" s="1"/>
  <c r="P107" i="20"/>
  <c r="O131" i="20"/>
  <c r="N134" i="78"/>
  <c r="N134" i="20" s="1"/>
  <c r="K134" i="20"/>
  <c r="Q33" i="20"/>
  <c r="Q128" i="20"/>
  <c r="L52" i="20"/>
  <c r="F107" i="20"/>
  <c r="B55" i="50" s="1"/>
  <c r="M134" i="78"/>
  <c r="M134" i="20" s="1"/>
  <c r="J81" i="20"/>
  <c r="M108" i="78"/>
  <c r="M108" i="20" s="1"/>
  <c r="J108" i="20"/>
  <c r="J99" i="77"/>
  <c r="M93" i="77"/>
  <c r="J95" i="77"/>
  <c r="L40" i="77"/>
  <c r="M52" i="77"/>
  <c r="M52" i="20" s="1"/>
  <c r="AD27" i="20" s="1"/>
  <c r="J52" i="20"/>
  <c r="J53" i="20"/>
  <c r="J54" i="77"/>
  <c r="M53" i="77"/>
  <c r="M53" i="20" s="1"/>
  <c r="J55" i="77"/>
  <c r="Q49" i="77"/>
  <c r="P49" i="20"/>
  <c r="O128" i="77"/>
  <c r="O128" i="20" s="1"/>
  <c r="L128" i="20"/>
  <c r="M51" i="20"/>
  <c r="D174" i="77"/>
  <c r="Q115" i="77"/>
  <c r="Q45" i="77"/>
  <c r="Q45" i="20" s="1"/>
  <c r="P45" i="20"/>
  <c r="N130" i="77"/>
  <c r="N130" i="20" s="1"/>
  <c r="K130" i="20"/>
  <c r="M149" i="77"/>
  <c r="B46" i="5"/>
  <c r="B66" i="5" s="1"/>
  <c r="C45" i="1"/>
  <c r="B46" i="1" s="1"/>
  <c r="D47" i="1" s="1"/>
  <c r="M81" i="78"/>
  <c r="M81" i="20" s="1"/>
  <c r="J83" i="78"/>
  <c r="J83" i="20" s="1"/>
  <c r="U26" i="20"/>
  <c r="C34" i="19" s="1"/>
  <c r="J82" i="78"/>
  <c r="M76" i="78"/>
  <c r="M76" i="20" s="1"/>
  <c r="B87" i="50"/>
  <c r="M114" i="78"/>
  <c r="M114" i="20" s="1"/>
  <c r="Q49" i="78"/>
  <c r="Q130" i="78"/>
  <c r="Q130" i="20" s="1"/>
  <c r="B120" i="50"/>
  <c r="M163" i="78"/>
  <c r="M163" i="20" s="1"/>
  <c r="M55" i="78"/>
  <c r="J56" i="78"/>
  <c r="J105" i="78"/>
  <c r="J105" i="20" s="1"/>
  <c r="O130" i="78"/>
  <c r="O130" i="20" s="1"/>
  <c r="M54" i="78"/>
  <c r="J164" i="78"/>
  <c r="J164" i="20" s="1"/>
  <c r="M162" i="78"/>
  <c r="M162" i="20" s="1"/>
  <c r="D37" i="77" l="1"/>
  <c r="P37" i="77" s="1"/>
  <c r="L54" i="20"/>
  <c r="L53" i="77"/>
  <c r="O53" i="77" s="1"/>
  <c r="O54" i="77"/>
  <c r="O54" i="20" s="1"/>
  <c r="D175" i="78"/>
  <c r="B46" i="50"/>
  <c r="B15" i="50"/>
  <c r="J134" i="78"/>
  <c r="J134" i="20" s="1"/>
  <c r="M67" i="78"/>
  <c r="M67" i="20" s="1"/>
  <c r="M72" i="78"/>
  <c r="M72" i="20" s="1"/>
  <c r="J68" i="78"/>
  <c r="J68" i="20" s="1"/>
  <c r="J100" i="78"/>
  <c r="J100" i="20" s="1"/>
  <c r="P132" i="78"/>
  <c r="P132" i="20" s="1"/>
  <c r="J92" i="78"/>
  <c r="J92" i="20" s="1"/>
  <c r="J117" i="78"/>
  <c r="J117" i="20" s="1"/>
  <c r="J90" i="78"/>
  <c r="J90" i="20" s="1"/>
  <c r="J139" i="78"/>
  <c r="J139" i="20" s="1"/>
  <c r="B37" i="61" s="1"/>
  <c r="C37" i="61" s="1"/>
  <c r="D37" i="61" s="1"/>
  <c r="E37" i="61" s="1"/>
  <c r="M91" i="78"/>
  <c r="M91" i="20" s="1"/>
  <c r="M80" i="78"/>
  <c r="M80" i="20" s="1"/>
  <c r="M116" i="78"/>
  <c r="M116" i="20" s="1"/>
  <c r="M135" i="78"/>
  <c r="M135" i="20" s="1"/>
  <c r="M82" i="78"/>
  <c r="M82" i="20" s="1"/>
  <c r="J82" i="20"/>
  <c r="Q49" i="20"/>
  <c r="J94" i="77"/>
  <c r="J93" i="77"/>
  <c r="M94" i="77"/>
  <c r="J96" i="77"/>
  <c r="J101" i="77"/>
  <c r="J55" i="20"/>
  <c r="M55" i="77"/>
  <c r="J56" i="77"/>
  <c r="J56" i="20" s="1"/>
  <c r="M150" i="77"/>
  <c r="M54" i="77"/>
  <c r="M54" i="20" s="1"/>
  <c r="J54" i="20"/>
  <c r="O40" i="77"/>
  <c r="L56" i="77"/>
  <c r="D47" i="5"/>
  <c r="B48" i="5" s="1"/>
  <c r="C48" i="5" s="1"/>
  <c r="D48" i="5" s="1"/>
  <c r="I66" i="5" s="1"/>
  <c r="C46" i="5"/>
  <c r="B66" i="1"/>
  <c r="C46" i="1"/>
  <c r="D46" i="1" s="1"/>
  <c r="J84" i="78"/>
  <c r="J85" i="78"/>
  <c r="M83" i="78"/>
  <c r="M83" i="20" s="1"/>
  <c r="D175" i="20"/>
  <c r="M105" i="78"/>
  <c r="M105" i="20" s="1"/>
  <c r="F103" i="78"/>
  <c r="F103" i="20" s="1"/>
  <c r="J106" i="78"/>
  <c r="J106" i="20" s="1"/>
  <c r="M56" i="78"/>
  <c r="M164" i="78"/>
  <c r="M164" i="20" s="1"/>
  <c r="O55" i="77" l="1"/>
  <c r="O56" i="77" s="1"/>
  <c r="D53" i="77"/>
  <c r="P53" i="77" s="1"/>
  <c r="F134" i="78"/>
  <c r="F134" i="20" s="1"/>
  <c r="J135" i="78"/>
  <c r="J135" i="20" s="1"/>
  <c r="B136" i="50"/>
  <c r="B125" i="50"/>
  <c r="M68" i="78"/>
  <c r="M68" i="20" s="1"/>
  <c r="M117" i="78"/>
  <c r="M117" i="20" s="1"/>
  <c r="J91" i="78"/>
  <c r="J91" i="20" s="1"/>
  <c r="Q132" i="78"/>
  <c r="Q132" i="20" s="1"/>
  <c r="J118" i="78"/>
  <c r="J118" i="20" s="1"/>
  <c r="F115" i="78"/>
  <c r="F115" i="20" s="1"/>
  <c r="J140" i="78"/>
  <c r="J140" i="20" s="1"/>
  <c r="M139" i="78"/>
  <c r="M139" i="20" s="1"/>
  <c r="J144" i="78"/>
  <c r="J144" i="20" s="1"/>
  <c r="J147" i="78"/>
  <c r="J147" i="20" s="1"/>
  <c r="M96" i="78"/>
  <c r="M96" i="20" s="1"/>
  <c r="J143" i="78"/>
  <c r="J143" i="20" s="1"/>
  <c r="M84" i="78"/>
  <c r="M84" i="20" s="1"/>
  <c r="J84" i="20"/>
  <c r="M85" i="78"/>
  <c r="M85" i="20" s="1"/>
  <c r="J85" i="20"/>
  <c r="B84" i="50" s="1"/>
  <c r="J97" i="77"/>
  <c r="Q37" i="77"/>
  <c r="M56" i="77"/>
  <c r="M56" i="20" s="1"/>
  <c r="M55" i="20"/>
  <c r="G66" i="5"/>
  <c r="D46" i="5"/>
  <c r="D66" i="5" s="1"/>
  <c r="C66" i="5"/>
  <c r="H66" i="5"/>
  <c r="D66" i="1"/>
  <c r="B48" i="1"/>
  <c r="C66" i="1"/>
  <c r="J99" i="78"/>
  <c r="J86" i="78"/>
  <c r="J95" i="78"/>
  <c r="M93" i="78"/>
  <c r="M93" i="20" s="1"/>
  <c r="J87" i="78"/>
  <c r="U25" i="20"/>
  <c r="B37" i="50"/>
  <c r="B17" i="93" s="1"/>
  <c r="B49" i="50"/>
  <c r="P103" i="78"/>
  <c r="P103" i="20" s="1"/>
  <c r="M106" i="78"/>
  <c r="M106" i="20" s="1"/>
  <c r="D41" i="61"/>
  <c r="F37" i="61"/>
  <c r="G37" i="61" s="1"/>
  <c r="P134" i="78" l="1"/>
  <c r="P134" i="20" s="1"/>
  <c r="B17" i="86"/>
  <c r="B680" i="50" s="1"/>
  <c r="M118" i="78"/>
  <c r="M118" i="20" s="1"/>
  <c r="P115" i="78"/>
  <c r="P115" i="20" s="1"/>
  <c r="M143" i="78"/>
  <c r="M143" i="20" s="1"/>
  <c r="J142" i="78"/>
  <c r="J142" i="20" s="1"/>
  <c r="J146" i="78"/>
  <c r="J146" i="20" s="1"/>
  <c r="J145" i="78"/>
  <c r="J145" i="20" s="1"/>
  <c r="M140" i="78"/>
  <c r="M140" i="20" s="1"/>
  <c r="M147" i="78"/>
  <c r="M147" i="20" s="1"/>
  <c r="J148" i="78"/>
  <c r="J148" i="20" s="1"/>
  <c r="J141" i="78"/>
  <c r="J141" i="20" s="1"/>
  <c r="M144" i="78"/>
  <c r="M144" i="20" s="1"/>
  <c r="J150" i="78"/>
  <c r="J150" i="20" s="1"/>
  <c r="M97" i="78"/>
  <c r="M97" i="20" s="1"/>
  <c r="M86" i="78"/>
  <c r="M86" i="20" s="1"/>
  <c r="J86" i="20"/>
  <c r="M87" i="78"/>
  <c r="M87" i="20" s="1"/>
  <c r="J87" i="20"/>
  <c r="J101" i="78"/>
  <c r="J101" i="20" s="1"/>
  <c r="J99" i="20"/>
  <c r="J95" i="20"/>
  <c r="Q53" i="77"/>
  <c r="G66" i="1"/>
  <c r="C48" i="1"/>
  <c r="J88" i="78"/>
  <c r="J88" i="20" s="1"/>
  <c r="J94" i="78"/>
  <c r="J94" i="20" s="1"/>
  <c r="J96" i="78"/>
  <c r="D172" i="78"/>
  <c r="J93" i="78"/>
  <c r="J93" i="20" s="1"/>
  <c r="M94" i="78"/>
  <c r="M94" i="20" s="1"/>
  <c r="D174" i="78"/>
  <c r="H37" i="61"/>
  <c r="D45" i="61" s="1"/>
  <c r="Z27" i="20"/>
  <c r="C27" i="19"/>
  <c r="Q103" i="78"/>
  <c r="Q103" i="20" s="1"/>
  <c r="D174" i="20"/>
  <c r="C29" i="19" s="1"/>
  <c r="D172" i="20"/>
  <c r="Q134" i="78" l="1"/>
  <c r="Q134" i="20" s="1"/>
  <c r="Q115" i="78"/>
  <c r="Q115" i="20" s="1"/>
  <c r="F45" i="61"/>
  <c r="B141" i="50"/>
  <c r="M146" i="78"/>
  <c r="M146" i="20" s="1"/>
  <c r="J149" i="78"/>
  <c r="J149" i="20" s="1"/>
  <c r="M142" i="78"/>
  <c r="M142" i="20" s="1"/>
  <c r="M145" i="78"/>
  <c r="M145" i="20" s="1"/>
  <c r="M141" i="78"/>
  <c r="M141" i="20" s="1"/>
  <c r="M148" i="78"/>
  <c r="M148" i="20" s="1"/>
  <c r="M88" i="78"/>
  <c r="M88" i="20" s="1"/>
  <c r="J97" i="78"/>
  <c r="J97" i="20" s="1"/>
  <c r="J96" i="20"/>
  <c r="H66" i="1"/>
  <c r="D48" i="1"/>
  <c r="I66" i="1" s="1"/>
  <c r="B45" i="61"/>
  <c r="C45" i="61"/>
  <c r="I37" i="61"/>
  <c r="B227" i="50"/>
  <c r="G41" i="61"/>
  <c r="I41" i="61" s="1"/>
  <c r="G106" i="38" s="1"/>
  <c r="B229" i="50" l="1"/>
  <c r="B228" i="50"/>
  <c r="D214" i="50"/>
  <c r="M4" i="8"/>
  <c r="M149" i="78"/>
  <c r="M149" i="20" s="1"/>
  <c r="M4" i="2"/>
  <c r="G112" i="38"/>
  <c r="L12" i="80"/>
  <c r="L13" i="80" s="1"/>
  <c r="D5" i="7"/>
  <c r="N4" i="2" l="1"/>
  <c r="M150" i="78"/>
  <c r="M150" i="20" s="1"/>
  <c r="L15" i="80"/>
  <c r="N15" i="80" s="1"/>
  <c r="B48" i="80"/>
  <c r="D53" i="80" s="1"/>
  <c r="B43" i="80"/>
  <c r="U43" i="80"/>
  <c r="U48" i="80"/>
  <c r="E53" i="80" s="1"/>
  <c r="L14" i="80"/>
  <c r="N4" i="8"/>
  <c r="AC43" i="80" l="1"/>
  <c r="AH43" i="80" s="1"/>
  <c r="C57" i="80" s="1"/>
  <c r="C53" i="80"/>
  <c r="C54" i="80" s="1"/>
  <c r="J43" i="80"/>
  <c r="O43" i="80" s="1"/>
  <c r="B57" i="80" s="1"/>
  <c r="B53" i="80"/>
  <c r="B54" i="80" s="1"/>
  <c r="H61" i="80"/>
  <c r="K55" i="80" s="1"/>
  <c r="K56" i="80" s="1"/>
  <c r="E101" i="80"/>
  <c r="Z43" i="80"/>
  <c r="C55" i="80" s="1"/>
  <c r="G43" i="80"/>
  <c r="B55" i="80" s="1"/>
  <c r="F48" i="80"/>
  <c r="D56" i="80" s="1"/>
  <c r="AE55" i="80" s="1"/>
  <c r="D54" i="80"/>
  <c r="Y48" i="80"/>
  <c r="E56" i="80" s="1"/>
  <c r="AF55" i="80" s="1"/>
  <c r="E54" i="80"/>
  <c r="J48" i="80"/>
  <c r="AC48" i="80"/>
  <c r="F53" i="80" l="1"/>
  <c r="I53" i="80"/>
  <c r="H53" i="80"/>
  <c r="G53" i="80"/>
  <c r="B171" i="80"/>
  <c r="C171" i="80"/>
  <c r="D171" i="80"/>
  <c r="D51" i="60" s="1"/>
  <c r="AE53" i="80"/>
  <c r="AE171" i="80" s="1"/>
  <c r="AE51" i="60" s="1"/>
  <c r="E171" i="80"/>
  <c r="E51" i="60" s="1"/>
  <c r="AF53" i="80"/>
  <c r="AF171" i="80" s="1"/>
  <c r="AF51" i="60" s="1"/>
  <c r="AC53" i="80"/>
  <c r="AC171" i="80" s="1"/>
  <c r="AC51" i="60" s="1"/>
  <c r="AD53" i="80"/>
  <c r="AD171" i="80" s="1"/>
  <c r="AD51" i="60" s="1"/>
  <c r="AE54" i="80"/>
  <c r="O93" i="80"/>
  <c r="I101" i="80"/>
  <c r="L8" i="80"/>
  <c r="B61" i="80"/>
  <c r="D61" i="80"/>
  <c r="AC55" i="80"/>
  <c r="AC173" i="80" s="1"/>
  <c r="AC53" i="60" s="1"/>
  <c r="AD55" i="80"/>
  <c r="AD173" i="80" s="1"/>
  <c r="AD53" i="60" s="1"/>
  <c r="Z48" i="80"/>
  <c r="E55" i="80" s="1"/>
  <c r="AF56" i="80" s="1"/>
  <c r="F43" i="80"/>
  <c r="B56" i="80" s="1"/>
  <c r="G48" i="80"/>
  <c r="D55" i="80" s="1"/>
  <c r="AE56" i="80" s="1"/>
  <c r="AG48" i="80"/>
  <c r="E58" i="80" s="1"/>
  <c r="N48" i="80"/>
  <c r="D58" i="80" s="1"/>
  <c r="AG43" i="80"/>
  <c r="C58" i="80" s="1"/>
  <c r="Y43" i="80"/>
  <c r="C56" i="80" s="1"/>
  <c r="N43" i="80"/>
  <c r="B58" i="80" s="1"/>
  <c r="C51" i="59" l="1"/>
  <c r="C51" i="60"/>
  <c r="B51" i="59"/>
  <c r="B51" i="60"/>
  <c r="U81" i="80"/>
  <c r="B81" i="80"/>
  <c r="AE51" i="59"/>
  <c r="AC51" i="59"/>
  <c r="D51" i="59"/>
  <c r="AD53" i="59"/>
  <c r="AF51" i="59"/>
  <c r="AC53" i="59"/>
  <c r="AD51" i="59"/>
  <c r="E51" i="59"/>
  <c r="B172" i="80"/>
  <c r="E172" i="80"/>
  <c r="AF54" i="80"/>
  <c r="AF172" i="80" s="1"/>
  <c r="AE172" i="80"/>
  <c r="D172" i="80"/>
  <c r="C172" i="80"/>
  <c r="AD54" i="80"/>
  <c r="AD172" i="80" s="1"/>
  <c r="AC54" i="80"/>
  <c r="AC172" i="80" s="1"/>
  <c r="AC58" i="80"/>
  <c r="AC176" i="80" s="1"/>
  <c r="AC56" i="60" s="1"/>
  <c r="U86" i="80"/>
  <c r="AD56" i="80"/>
  <c r="AD174" i="80" s="1"/>
  <c r="AD54" i="60" s="1"/>
  <c r="AC56" i="80"/>
  <c r="AC174" i="80" s="1"/>
  <c r="AC54" i="60" s="1"/>
  <c r="AD58" i="80"/>
  <c r="AD176" i="80" s="1"/>
  <c r="AD56" i="60" s="1"/>
  <c r="AF174" i="80"/>
  <c r="AF54" i="60" s="1"/>
  <c r="AE174" i="80"/>
  <c r="AE54" i="60" s="1"/>
  <c r="C176" i="80"/>
  <c r="C56" i="60" s="1"/>
  <c r="B173" i="80"/>
  <c r="B53" i="60" s="1"/>
  <c r="B174" i="80"/>
  <c r="B54" i="60" s="1"/>
  <c r="C175" i="80"/>
  <c r="C55" i="60" s="1"/>
  <c r="O48" i="80"/>
  <c r="D57" i="80" s="1"/>
  <c r="AE58" i="80" s="1"/>
  <c r="B59" i="80"/>
  <c r="E174" i="80"/>
  <c r="E54" i="60" s="1"/>
  <c r="C59" i="80"/>
  <c r="C173" i="80"/>
  <c r="C53" i="60" s="1"/>
  <c r="E173" i="80"/>
  <c r="E53" i="60" s="1"/>
  <c r="D173" i="80"/>
  <c r="D53" i="60" s="1"/>
  <c r="C174" i="80"/>
  <c r="C54" i="60" s="1"/>
  <c r="D174" i="80"/>
  <c r="D54" i="60" s="1"/>
  <c r="B175" i="80"/>
  <c r="B55" i="60" s="1"/>
  <c r="B176" i="80"/>
  <c r="B56" i="60" s="1"/>
  <c r="AH48" i="80"/>
  <c r="E57" i="80" s="1"/>
  <c r="AF58" i="80" s="1"/>
  <c r="AF173" i="80"/>
  <c r="AF53" i="60" s="1"/>
  <c r="AE173" i="80"/>
  <c r="AE53" i="60" s="1"/>
  <c r="C52" i="60" l="1"/>
  <c r="C52" i="59"/>
  <c r="E52" i="60"/>
  <c r="E52" i="59"/>
  <c r="D52" i="60"/>
  <c r="D52" i="59"/>
  <c r="B52" i="60"/>
  <c r="B52" i="59"/>
  <c r="AC52" i="60"/>
  <c r="AC52" i="59"/>
  <c r="AE52" i="60"/>
  <c r="AE52" i="59"/>
  <c r="AD52" i="60"/>
  <c r="AD52" i="59"/>
  <c r="AF52" i="60"/>
  <c r="AF52" i="59"/>
  <c r="AE53" i="59"/>
  <c r="AD56" i="59"/>
  <c r="AF53" i="59"/>
  <c r="AC54" i="59"/>
  <c r="AE54" i="59"/>
  <c r="AD54" i="59"/>
  <c r="AC56" i="59"/>
  <c r="AF54" i="59"/>
  <c r="AF176" i="80"/>
  <c r="AF56" i="60" s="1"/>
  <c r="AE176" i="80"/>
  <c r="AE56" i="60" s="1"/>
  <c r="B583" i="50"/>
  <c r="B577" i="50"/>
  <c r="D54" i="59"/>
  <c r="C53" i="59"/>
  <c r="C56" i="59"/>
  <c r="C54" i="59"/>
  <c r="C55" i="59"/>
  <c r="B56" i="59"/>
  <c r="D53" i="59"/>
  <c r="E54" i="59"/>
  <c r="B54" i="59"/>
  <c r="B55" i="59"/>
  <c r="E53" i="59"/>
  <c r="B53" i="59"/>
  <c r="D175" i="80"/>
  <c r="D55" i="60" s="1"/>
  <c r="D176" i="80"/>
  <c r="D56" i="60" s="1"/>
  <c r="D59" i="80"/>
  <c r="E59" i="80"/>
  <c r="E176" i="80"/>
  <c r="E56" i="60" s="1"/>
  <c r="E175" i="80"/>
  <c r="E55" i="60" s="1"/>
  <c r="D592" i="50" l="1"/>
  <c r="D586" i="50"/>
  <c r="D580" i="50"/>
  <c r="D574" i="50"/>
  <c r="B576" i="50" s="1"/>
  <c r="B584" i="50"/>
  <c r="AF56" i="59"/>
  <c r="AE56" i="59"/>
  <c r="B591" i="50"/>
  <c r="B579" i="50"/>
  <c r="B585" i="50"/>
  <c r="B597" i="50"/>
  <c r="B595" i="50"/>
  <c r="B578" i="50"/>
  <c r="B589" i="50"/>
  <c r="D56" i="59"/>
  <c r="E55" i="59"/>
  <c r="D55" i="59"/>
  <c r="E56" i="59"/>
  <c r="B575" i="50" l="1"/>
  <c r="B596" i="50"/>
  <c r="B590" i="50"/>
  <c r="L55" i="78" l="1"/>
  <c r="L55" i="20" s="1"/>
  <c r="L53" i="78"/>
  <c r="L53" i="20" s="1"/>
  <c r="D53" i="78"/>
  <c r="D53" i="20" s="1"/>
  <c r="O55" i="78"/>
  <c r="O55" i="20" s="1"/>
  <c r="O53" i="78" l="1"/>
  <c r="O53" i="20" s="1"/>
  <c r="L56" i="78"/>
  <c r="L56" i="20" s="1"/>
  <c r="O56" i="78"/>
  <c r="O56" i="20" s="1"/>
  <c r="P53" i="78"/>
  <c r="P53" i="20" s="1"/>
  <c r="Q53" i="78" l="1"/>
  <c r="Q53" i="20" s="1"/>
  <c r="O121" i="78" l="1"/>
  <c r="O123" i="78" s="1"/>
  <c r="L121" i="78"/>
  <c r="L123" i="78" s="1"/>
  <c r="L120" i="78"/>
  <c r="L122" i="78" l="1"/>
  <c r="L57" i="78"/>
  <c r="O120" i="78"/>
  <c r="B99" i="78"/>
  <c r="B101" i="78"/>
  <c r="O122" i="78" l="1"/>
  <c r="L38" i="78"/>
  <c r="O61" i="78"/>
  <c r="L73" i="78"/>
  <c r="L57" i="20"/>
  <c r="L58" i="78"/>
  <c r="O57" i="78"/>
  <c r="L59" i="78"/>
  <c r="L59" i="20" s="1"/>
  <c r="L111" i="78"/>
  <c r="L38" i="20" l="1"/>
  <c r="L37" i="78"/>
  <c r="O38" i="78"/>
  <c r="L39" i="78"/>
  <c r="O62" i="78"/>
  <c r="L74" i="78"/>
  <c r="L58" i="20"/>
  <c r="L60" i="78"/>
  <c r="L60" i="20" s="1"/>
  <c r="O58" i="78"/>
  <c r="L113" i="78"/>
  <c r="O111" i="78"/>
  <c r="L111" i="20"/>
  <c r="L112" i="78"/>
  <c r="L73" i="20"/>
  <c r="L75" i="78"/>
  <c r="L75" i="20" s="1"/>
  <c r="O77" i="78"/>
  <c r="D57" i="78"/>
  <c r="O59" i="78"/>
  <c r="O59" i="20" s="1"/>
  <c r="O65" i="78"/>
  <c r="O57" i="20"/>
  <c r="O73" i="78"/>
  <c r="O63" i="78"/>
  <c r="O63" i="20" s="1"/>
  <c r="L61" i="78"/>
  <c r="O61" i="20"/>
  <c r="L39" i="20" l="1"/>
  <c r="L40" i="78"/>
  <c r="L40" i="20" s="1"/>
  <c r="O38" i="20"/>
  <c r="O39" i="78"/>
  <c r="D37" i="78"/>
  <c r="L37" i="20"/>
  <c r="O37" i="78"/>
  <c r="O37" i="20" s="1"/>
  <c r="Q37" i="78"/>
  <c r="Q37" i="20" s="1"/>
  <c r="O77" i="20"/>
  <c r="O79" i="78"/>
  <c r="O79" i="20" s="1"/>
  <c r="D61" i="78"/>
  <c r="L77" i="78"/>
  <c r="L61" i="20"/>
  <c r="L63" i="78"/>
  <c r="L62" i="78"/>
  <c r="O65" i="20"/>
  <c r="L65" i="78"/>
  <c r="O67" i="78"/>
  <c r="O67" i="20" s="1"/>
  <c r="O111" i="20"/>
  <c r="D111" i="78"/>
  <c r="D111" i="20" s="1"/>
  <c r="L113" i="20"/>
  <c r="O113" i="78"/>
  <c r="O113" i="20" s="1"/>
  <c r="B71" i="50" s="1"/>
  <c r="L76" i="78"/>
  <c r="L76" i="20" s="1"/>
  <c r="L74" i="20"/>
  <c r="O78" i="78"/>
  <c r="O75" i="78"/>
  <c r="O75" i="20" s="1"/>
  <c r="O81" i="78"/>
  <c r="O73" i="20"/>
  <c r="D73" i="78"/>
  <c r="D57" i="20"/>
  <c r="B66" i="50" s="1"/>
  <c r="P57" i="78"/>
  <c r="L112" i="20"/>
  <c r="L114" i="78"/>
  <c r="O112" i="78"/>
  <c r="O112" i="20" s="1"/>
  <c r="O74" i="78"/>
  <c r="O66" i="78"/>
  <c r="O58" i="20"/>
  <c r="O60" i="78"/>
  <c r="O60" i="20" s="1"/>
  <c r="O62" i="20"/>
  <c r="O64" i="78"/>
  <c r="O64" i="20" s="1"/>
  <c r="B74" i="50" l="1"/>
  <c r="O39" i="20"/>
  <c r="O40" i="78"/>
  <c r="O40" i="20" s="1"/>
  <c r="D37" i="20"/>
  <c r="B44" i="50" s="1"/>
  <c r="P37" i="78"/>
  <c r="P37" i="20" s="1"/>
  <c r="O66" i="20"/>
  <c r="O68" i="78"/>
  <c r="O68" i="20" s="1"/>
  <c r="B70" i="50"/>
  <c r="B89" i="50"/>
  <c r="P111" i="78"/>
  <c r="D77" i="78"/>
  <c r="L79" i="78"/>
  <c r="L79" i="20" s="1"/>
  <c r="L77" i="20"/>
  <c r="O74" i="20"/>
  <c r="O82" i="78"/>
  <c r="O76" i="78"/>
  <c r="O76" i="20" s="1"/>
  <c r="P57" i="20"/>
  <c r="Q57" i="78"/>
  <c r="Q57" i="20" s="1"/>
  <c r="O83" i="78"/>
  <c r="O83" i="20" s="1"/>
  <c r="O81" i="20"/>
  <c r="AD29" i="20"/>
  <c r="B90" i="50"/>
  <c r="L70" i="78"/>
  <c r="L62" i="20"/>
  <c r="L64" i="78"/>
  <c r="L64" i="20" s="1"/>
  <c r="L78" i="78"/>
  <c r="D61" i="20"/>
  <c r="B67" i="50" s="1"/>
  <c r="P61" i="78"/>
  <c r="L133" i="78"/>
  <c r="L63" i="20"/>
  <c r="O114" i="78"/>
  <c r="O114" i="20" s="1"/>
  <c r="L114" i="20"/>
  <c r="P73" i="78"/>
  <c r="D73" i="20"/>
  <c r="O78" i="20"/>
  <c r="O80" i="78"/>
  <c r="O80" i="20" s="1"/>
  <c r="L81" i="78"/>
  <c r="L66" i="78"/>
  <c r="L65" i="20"/>
  <c r="D65" i="78"/>
  <c r="L67" i="78"/>
  <c r="L67" i="20" l="1"/>
  <c r="L135" i="78"/>
  <c r="L83" i="78"/>
  <c r="L83" i="20" s="1"/>
  <c r="D81" i="78"/>
  <c r="L81" i="20"/>
  <c r="P73" i="20"/>
  <c r="Q73" i="78"/>
  <c r="Q73" i="20" s="1"/>
  <c r="O133" i="78"/>
  <c r="O133" i="20" s="1"/>
  <c r="L132" i="78"/>
  <c r="L133" i="20"/>
  <c r="D65" i="20"/>
  <c r="P65" i="78"/>
  <c r="P61" i="20"/>
  <c r="Q61" i="78"/>
  <c r="Q61" i="20" s="1"/>
  <c r="C33" i="19"/>
  <c r="B69" i="50"/>
  <c r="L70" i="20"/>
  <c r="O70" i="78"/>
  <c r="L71" i="78"/>
  <c r="L69" i="78"/>
  <c r="O82" i="20"/>
  <c r="O84" i="78"/>
  <c r="O84" i="20" s="1"/>
  <c r="D77" i="20"/>
  <c r="P77" i="78"/>
  <c r="L68" i="78"/>
  <c r="L68" i="20" s="1"/>
  <c r="L82" i="78"/>
  <c r="L66" i="20"/>
  <c r="L80" i="78"/>
  <c r="L80" i="20" s="1"/>
  <c r="L86" i="78"/>
  <c r="L78" i="20"/>
  <c r="P111" i="20"/>
  <c r="Q111" i="78"/>
  <c r="Q111" i="20" s="1"/>
  <c r="L69" i="20" l="1"/>
  <c r="O69" i="78"/>
  <c r="O69" i="20" s="1"/>
  <c r="Q65" i="78"/>
  <c r="Q65" i="20" s="1"/>
  <c r="P65" i="20"/>
  <c r="D81" i="20"/>
  <c r="P81" i="78"/>
  <c r="L71" i="20"/>
  <c r="L72" i="78"/>
  <c r="L72" i="20" s="1"/>
  <c r="P77" i="20"/>
  <c r="Q77" i="78"/>
  <c r="Q77" i="20" s="1"/>
  <c r="L82" i="20"/>
  <c r="L84" i="78"/>
  <c r="L84" i="20" s="1"/>
  <c r="O70" i="20"/>
  <c r="O71" i="78"/>
  <c r="D69" i="78"/>
  <c r="L135" i="20"/>
  <c r="O135" i="78"/>
  <c r="O135" i="20" s="1"/>
  <c r="L134" i="78"/>
  <c r="L86" i="20"/>
  <c r="L87" i="78"/>
  <c r="L85" i="78"/>
  <c r="O86" i="78"/>
  <c r="L132" i="20"/>
  <c r="O132" i="78"/>
  <c r="O132" i="20" s="1"/>
  <c r="B62" i="80"/>
  <c r="D62" i="80"/>
  <c r="J101" i="80"/>
  <c r="O94" i="80"/>
  <c r="O87" i="78" l="1"/>
  <c r="O86" i="20"/>
  <c r="D85" i="78"/>
  <c r="L87" i="20"/>
  <c r="L88" i="78"/>
  <c r="L88" i="20" s="1"/>
  <c r="D69" i="20"/>
  <c r="B82" i="50" s="1"/>
  <c r="P69" i="78"/>
  <c r="Q81" i="78"/>
  <c r="Q81" i="20" s="1"/>
  <c r="P81" i="20"/>
  <c r="L134" i="20"/>
  <c r="O134" i="78"/>
  <c r="O134" i="20" s="1"/>
  <c r="O71" i="20"/>
  <c r="O72" i="78"/>
  <c r="O72" i="20" s="1"/>
  <c r="O85" i="78"/>
  <c r="O85" i="20" s="1"/>
  <c r="L85" i="20"/>
  <c r="F54" i="80"/>
  <c r="E69" i="80"/>
  <c r="D69" i="80"/>
  <c r="B86" i="80"/>
  <c r="Q87" i="80" s="1"/>
  <c r="E102" i="80"/>
  <c r="B106" i="80" s="1"/>
  <c r="C70" i="80"/>
  <c r="B71" i="80"/>
  <c r="D71" i="80"/>
  <c r="C68" i="80"/>
  <c r="B68" i="80"/>
  <c r="D70" i="80"/>
  <c r="B70" i="80"/>
  <c r="E70" i="80"/>
  <c r="C71" i="80"/>
  <c r="E71" i="80"/>
  <c r="I54" i="80"/>
  <c r="H54" i="80"/>
  <c r="G54" i="80"/>
  <c r="P69" i="20" l="1"/>
  <c r="Q69" i="78"/>
  <c r="Q69" i="20" s="1"/>
  <c r="D85" i="20"/>
  <c r="P85" i="78"/>
  <c r="O87" i="20"/>
  <c r="O88" i="78"/>
  <c r="O88" i="20" s="1"/>
  <c r="N83" i="80"/>
  <c r="F92" i="80" s="1"/>
  <c r="Q86" i="80"/>
  <c r="F171" i="80"/>
  <c r="H171" i="80"/>
  <c r="I171" i="80"/>
  <c r="G171" i="80"/>
  <c r="AJ53" i="80"/>
  <c r="AJ171" i="80" s="1"/>
  <c r="AJ51" i="60" s="1"/>
  <c r="AG53" i="80"/>
  <c r="AG171" i="80" s="1"/>
  <c r="AG51" i="60" s="1"/>
  <c r="AI53" i="80"/>
  <c r="AI171" i="80" s="1"/>
  <c r="AI51" i="60" s="1"/>
  <c r="AH53" i="80"/>
  <c r="AH171" i="80" s="1"/>
  <c r="AH51" i="60" s="1"/>
  <c r="C67" i="80"/>
  <c r="C182" i="80" s="1"/>
  <c r="H176" i="80"/>
  <c r="H56" i="60" s="1"/>
  <c r="H175" i="80"/>
  <c r="H55" i="60" s="1"/>
  <c r="H173" i="80"/>
  <c r="H53" i="60" s="1"/>
  <c r="H174" i="80"/>
  <c r="H54" i="60" s="1"/>
  <c r="H57" i="80"/>
  <c r="H55" i="80"/>
  <c r="AI55" i="80" s="1"/>
  <c r="AI173" i="80" s="1"/>
  <c r="AI53" i="60" s="1"/>
  <c r="H58" i="80"/>
  <c r="AI58" i="80" s="1"/>
  <c r="AI176" i="80" s="1"/>
  <c r="AI56" i="60" s="1"/>
  <c r="H56" i="80"/>
  <c r="AI56" i="80" s="1"/>
  <c r="AI174" i="80" s="1"/>
  <c r="AI54" i="60" s="1"/>
  <c r="B67" i="80"/>
  <c r="B182" i="80" s="1"/>
  <c r="Z81" i="80"/>
  <c r="D93" i="80" s="1"/>
  <c r="Z82" i="80"/>
  <c r="E93" i="80" s="1"/>
  <c r="D90" i="80"/>
  <c r="Y82" i="80"/>
  <c r="AC81" i="80"/>
  <c r="Y81" i="80"/>
  <c r="V81" i="80" s="1"/>
  <c r="I176" i="80"/>
  <c r="I56" i="60" s="1"/>
  <c r="I175" i="80"/>
  <c r="I55" i="60" s="1"/>
  <c r="I173" i="80"/>
  <c r="I53" i="60" s="1"/>
  <c r="I174" i="80"/>
  <c r="I54" i="60" s="1"/>
  <c r="I56" i="80"/>
  <c r="AJ56" i="80" s="1"/>
  <c r="AJ174" i="80" s="1"/>
  <c r="AJ54" i="60" s="1"/>
  <c r="I58" i="80"/>
  <c r="AJ58" i="80" s="1"/>
  <c r="AJ176" i="80" s="1"/>
  <c r="AJ56" i="60" s="1"/>
  <c r="I55" i="80"/>
  <c r="AJ55" i="80" s="1"/>
  <c r="AJ173" i="80" s="1"/>
  <c r="AJ53" i="60" s="1"/>
  <c r="I57" i="80"/>
  <c r="G82" i="80"/>
  <c r="C93" i="80" s="1"/>
  <c r="G81" i="80"/>
  <c r="B93" i="80" s="1"/>
  <c r="B90" i="80"/>
  <c r="M90" i="80"/>
  <c r="M92" i="80" s="1"/>
  <c r="F81" i="80"/>
  <c r="F82" i="80"/>
  <c r="C94" i="80" s="1"/>
  <c r="J81" i="80"/>
  <c r="F90" i="80"/>
  <c r="J86" i="80"/>
  <c r="G87" i="80"/>
  <c r="G93" i="80" s="1"/>
  <c r="AD94" i="80" s="1"/>
  <c r="F86" i="80"/>
  <c r="F94" i="80" s="1"/>
  <c r="AC93" i="80" s="1"/>
  <c r="F87" i="80"/>
  <c r="G94" i="80" s="1"/>
  <c r="G86" i="80"/>
  <c r="F93" i="80" s="1"/>
  <c r="AC94" i="80" s="1"/>
  <c r="C86" i="80"/>
  <c r="D86" i="80"/>
  <c r="D87" i="80"/>
  <c r="G175" i="80"/>
  <c r="G55" i="60" s="1"/>
  <c r="G173" i="80"/>
  <c r="G53" i="60" s="1"/>
  <c r="G174" i="80"/>
  <c r="G54" i="60" s="1"/>
  <c r="G176" i="80"/>
  <c r="G56" i="60" s="1"/>
  <c r="G58" i="80"/>
  <c r="AH58" i="80" s="1"/>
  <c r="AH176" i="80" s="1"/>
  <c r="AH56" i="60" s="1"/>
  <c r="G57" i="80"/>
  <c r="G56" i="80"/>
  <c r="AH56" i="80" s="1"/>
  <c r="AH174" i="80" s="1"/>
  <c r="AH54" i="60" s="1"/>
  <c r="G55" i="80"/>
  <c r="AH55" i="80" s="1"/>
  <c r="AH173" i="80" s="1"/>
  <c r="AH53" i="60" s="1"/>
  <c r="AC86" i="80"/>
  <c r="H90" i="80"/>
  <c r="D67" i="80"/>
  <c r="D182" i="80" s="1"/>
  <c r="F173" i="80"/>
  <c r="F53" i="60" s="1"/>
  <c r="F176" i="80"/>
  <c r="F56" i="60" s="1"/>
  <c r="F175" i="80"/>
  <c r="F55" i="60" s="1"/>
  <c r="F174" i="80"/>
  <c r="F54" i="60" s="1"/>
  <c r="F56" i="80"/>
  <c r="AG56" i="80" s="1"/>
  <c r="AG174" i="80" s="1"/>
  <c r="AG54" i="60" s="1"/>
  <c r="F58" i="80"/>
  <c r="AG58" i="80" s="1"/>
  <c r="AG176" i="80" s="1"/>
  <c r="AG56" i="60" s="1"/>
  <c r="F57" i="80"/>
  <c r="F55" i="80"/>
  <c r="AG55" i="80" s="1"/>
  <c r="AG173" i="80" s="1"/>
  <c r="AG53" i="60" s="1"/>
  <c r="B108" i="80"/>
  <c r="B111" i="80"/>
  <c r="B110" i="80"/>
  <c r="B119" i="80"/>
  <c r="E67" i="80"/>
  <c r="E182" i="80" s="1"/>
  <c r="Q85" i="78" l="1"/>
  <c r="Q85" i="20" s="1"/>
  <c r="P85" i="20"/>
  <c r="E62" i="59"/>
  <c r="B573" i="50" s="1"/>
  <c r="E180" i="80"/>
  <c r="E60" i="59" s="1"/>
  <c r="D62" i="59"/>
  <c r="D180" i="80"/>
  <c r="D60" i="59" s="1"/>
  <c r="C62" i="59"/>
  <c r="C180" i="80"/>
  <c r="C60" i="59" s="1"/>
  <c r="B62" i="59"/>
  <c r="B180" i="80"/>
  <c r="B60" i="59" s="1"/>
  <c r="D62" i="60"/>
  <c r="C62" i="60"/>
  <c r="C183" i="80"/>
  <c r="C63" i="59" s="1"/>
  <c r="B62" i="60"/>
  <c r="G51" i="59"/>
  <c r="G51" i="60"/>
  <c r="I51" i="59"/>
  <c r="I51" i="60"/>
  <c r="H51" i="59"/>
  <c r="H51" i="60"/>
  <c r="F51" i="59"/>
  <c r="F51" i="60"/>
  <c r="B190" i="80"/>
  <c r="B70" i="59" s="1"/>
  <c r="AG53" i="59"/>
  <c r="AH54" i="59"/>
  <c r="AJ53" i="59"/>
  <c r="AI53" i="59"/>
  <c r="AH51" i="59"/>
  <c r="AG51" i="59"/>
  <c r="AJ56" i="59"/>
  <c r="AG56" i="59"/>
  <c r="AH56" i="59"/>
  <c r="AJ54" i="59"/>
  <c r="AI54" i="59"/>
  <c r="AI51" i="59"/>
  <c r="AJ51" i="59"/>
  <c r="AG54" i="59"/>
  <c r="AH53" i="59"/>
  <c r="AI56" i="59"/>
  <c r="Y93" i="80"/>
  <c r="Y192" i="80" s="1"/>
  <c r="AA93" i="80"/>
  <c r="AA192" i="80" s="1"/>
  <c r="D190" i="80"/>
  <c r="D70" i="59" s="1"/>
  <c r="AE90" i="80"/>
  <c r="AE190" i="80" s="1"/>
  <c r="H190" i="80"/>
  <c r="H70" i="59" s="1"/>
  <c r="AC92" i="80"/>
  <c r="AC191" i="80" s="1"/>
  <c r="AC71" i="59" s="1"/>
  <c r="F191" i="80"/>
  <c r="AC90" i="80"/>
  <c r="AC190" i="80" s="1"/>
  <c r="F190" i="80"/>
  <c r="F70" i="59" s="1"/>
  <c r="AD93" i="80"/>
  <c r="Y90" i="80"/>
  <c r="Y190" i="80" s="1"/>
  <c r="G172" i="80"/>
  <c r="F172" i="80"/>
  <c r="AI54" i="80"/>
  <c r="AI172" i="80" s="1"/>
  <c r="H172" i="80"/>
  <c r="AJ54" i="80"/>
  <c r="AJ172" i="80" s="1"/>
  <c r="I172" i="80"/>
  <c r="AB93" i="80"/>
  <c r="AB192" i="80" s="1"/>
  <c r="Z93" i="80"/>
  <c r="Z192" i="80" s="1"/>
  <c r="AB90" i="80"/>
  <c r="AA90" i="80"/>
  <c r="AA190" i="80" s="1"/>
  <c r="Z90" i="80"/>
  <c r="AH54" i="80"/>
  <c r="AH172" i="80" s="1"/>
  <c r="AG54" i="80"/>
  <c r="AG172" i="80" s="1"/>
  <c r="G55" i="59"/>
  <c r="G56" i="59"/>
  <c r="G54" i="59"/>
  <c r="G53" i="59"/>
  <c r="AB86" i="80"/>
  <c r="AB87" i="80"/>
  <c r="AH81" i="80"/>
  <c r="D95" i="80" s="1"/>
  <c r="Y87" i="80"/>
  <c r="I94" i="80" s="1"/>
  <c r="AF93" i="80" s="1"/>
  <c r="Z86" i="80"/>
  <c r="H93" i="80" s="1"/>
  <c r="AE94" i="80" s="1"/>
  <c r="C184" i="80"/>
  <c r="C64" i="59" s="1"/>
  <c r="C186" i="80"/>
  <c r="C66" i="59" s="1"/>
  <c r="C185" i="80"/>
  <c r="C65" i="59" s="1"/>
  <c r="C181" i="80"/>
  <c r="C61" i="59" s="1"/>
  <c r="Y86" i="80"/>
  <c r="H94" i="80" s="1"/>
  <c r="AE93" i="80" s="1"/>
  <c r="W81" i="80"/>
  <c r="C81" i="80"/>
  <c r="F59" i="80"/>
  <c r="F54" i="59"/>
  <c r="AH87" i="80"/>
  <c r="I95" i="80" s="1"/>
  <c r="AF96" i="80" s="1"/>
  <c r="AG86" i="80"/>
  <c r="AH86" i="80"/>
  <c r="N87" i="80"/>
  <c r="G96" i="80" s="1"/>
  <c r="O86" i="80"/>
  <c r="N86" i="80"/>
  <c r="F96" i="80" s="1"/>
  <c r="O87" i="80"/>
  <c r="G95" i="80" s="1"/>
  <c r="K86" i="80"/>
  <c r="L87" i="80"/>
  <c r="L86" i="80"/>
  <c r="N82" i="80"/>
  <c r="C96" i="80" s="1"/>
  <c r="J90" i="80"/>
  <c r="J92" i="80" s="1"/>
  <c r="O81" i="80"/>
  <c r="B95" i="80" s="1"/>
  <c r="O82" i="80"/>
  <c r="C95" i="80" s="1"/>
  <c r="N81" i="80"/>
  <c r="N78" i="80" s="1"/>
  <c r="I53" i="59"/>
  <c r="AG82" i="80"/>
  <c r="E96" i="80" s="1"/>
  <c r="K90" i="80"/>
  <c r="K92" i="80" s="1"/>
  <c r="AG81" i="80"/>
  <c r="AG78" i="80" s="1"/>
  <c r="H53" i="59"/>
  <c r="B117" i="80"/>
  <c r="F55" i="59"/>
  <c r="H169" i="80"/>
  <c r="F169" i="80" s="1"/>
  <c r="G193" i="80"/>
  <c r="F195" i="80"/>
  <c r="F75" i="59" s="1"/>
  <c r="G192" i="80"/>
  <c r="F194" i="80"/>
  <c r="F74" i="59" s="1"/>
  <c r="G195" i="80"/>
  <c r="F193" i="80"/>
  <c r="F73" i="59" s="1"/>
  <c r="G194" i="80"/>
  <c r="F192" i="80"/>
  <c r="F72" i="59" s="1"/>
  <c r="I55" i="59"/>
  <c r="E94" i="80"/>
  <c r="C192" i="80" s="1"/>
  <c r="B185" i="80"/>
  <c r="B65" i="59" s="1"/>
  <c r="B183" i="80"/>
  <c r="B63" i="59" s="1"/>
  <c r="B184" i="80"/>
  <c r="B64" i="59" s="1"/>
  <c r="B186" i="80"/>
  <c r="B66" i="59" s="1"/>
  <c r="B181" i="80"/>
  <c r="B61" i="59" s="1"/>
  <c r="H178" i="80"/>
  <c r="H59" i="80"/>
  <c r="H55" i="59"/>
  <c r="E184" i="80"/>
  <c r="E64" i="59" s="1"/>
  <c r="E183" i="80"/>
  <c r="E63" i="59" s="1"/>
  <c r="E186" i="80"/>
  <c r="E66" i="59" s="1"/>
  <c r="E181" i="80"/>
  <c r="E61" i="59" s="1"/>
  <c r="E185" i="80"/>
  <c r="E65" i="59" s="1"/>
  <c r="D185" i="80"/>
  <c r="D65" i="59" s="1"/>
  <c r="D184" i="80"/>
  <c r="D64" i="59" s="1"/>
  <c r="D183" i="80"/>
  <c r="D63" i="59" s="1"/>
  <c r="D186" i="80"/>
  <c r="D66" i="59" s="1"/>
  <c r="D181" i="80"/>
  <c r="D61" i="59" s="1"/>
  <c r="B107" i="80"/>
  <c r="B104" i="80" s="1"/>
  <c r="F56" i="59"/>
  <c r="G59" i="80"/>
  <c r="D81" i="80"/>
  <c r="Z87" i="80"/>
  <c r="I93" i="80" s="1"/>
  <c r="AF94" i="80" s="1"/>
  <c r="B94" i="80"/>
  <c r="I59" i="80"/>
  <c r="I56" i="59"/>
  <c r="L90" i="80"/>
  <c r="H56" i="59"/>
  <c r="B112" i="80"/>
  <c r="B122" i="80" s="1"/>
  <c r="B113" i="80"/>
  <c r="F53" i="59"/>
  <c r="M96" i="80"/>
  <c r="M94" i="80"/>
  <c r="M95" i="80"/>
  <c r="M93" i="80"/>
  <c r="I54" i="59"/>
  <c r="D94" i="80"/>
  <c r="H54" i="59"/>
  <c r="B192" i="80" l="1"/>
  <c r="B572" i="50"/>
  <c r="AI52" i="60"/>
  <c r="AI52" i="59"/>
  <c r="F71" i="60"/>
  <c r="F71" i="59"/>
  <c r="I52" i="60"/>
  <c r="I52" i="59"/>
  <c r="F52" i="60"/>
  <c r="F52" i="59"/>
  <c r="AG52" i="60"/>
  <c r="AG52" i="59"/>
  <c r="AJ52" i="60"/>
  <c r="AJ52" i="59"/>
  <c r="G52" i="60"/>
  <c r="G52" i="59"/>
  <c r="AH52" i="60"/>
  <c r="AH52" i="59"/>
  <c r="H52" i="60"/>
  <c r="H52" i="59"/>
  <c r="H58" i="59"/>
  <c r="B571" i="50"/>
  <c r="E60" i="60"/>
  <c r="B63" i="60"/>
  <c r="C64" i="60"/>
  <c r="E66" i="60"/>
  <c r="D60" i="60"/>
  <c r="D65" i="60"/>
  <c r="E63" i="60"/>
  <c r="B65" i="60"/>
  <c r="C60" i="60"/>
  <c r="B60" i="60"/>
  <c r="D66" i="60"/>
  <c r="E65" i="60"/>
  <c r="B66" i="60"/>
  <c r="C65" i="60"/>
  <c r="C63" i="60"/>
  <c r="D64" i="60"/>
  <c r="D63" i="60"/>
  <c r="E64" i="60"/>
  <c r="B64" i="60"/>
  <c r="C66" i="60"/>
  <c r="C61" i="60"/>
  <c r="B569" i="50"/>
  <c r="D61" i="60"/>
  <c r="B61" i="60"/>
  <c r="B561" i="50"/>
  <c r="B560" i="50"/>
  <c r="AG83" i="80"/>
  <c r="M190" i="80"/>
  <c r="M70" i="59" s="1"/>
  <c r="L92" i="80"/>
  <c r="L191" i="80" s="1"/>
  <c r="L71" i="59" s="1"/>
  <c r="D192" i="80"/>
  <c r="D72" i="59" s="1"/>
  <c r="D193" i="80"/>
  <c r="D73" i="59" s="1"/>
  <c r="E192" i="80"/>
  <c r="E72" i="59" s="1"/>
  <c r="E193" i="80"/>
  <c r="C193" i="80"/>
  <c r="B193" i="80"/>
  <c r="AC70" i="60"/>
  <c r="AC70" i="59"/>
  <c r="Z72" i="60"/>
  <c r="Z72" i="59"/>
  <c r="AE70" i="60"/>
  <c r="AE70" i="59"/>
  <c r="G75" i="60"/>
  <c r="G75" i="59"/>
  <c r="G73" i="60"/>
  <c r="G73" i="59"/>
  <c r="AB72" i="60"/>
  <c r="AB72" i="59"/>
  <c r="Y70" i="60"/>
  <c r="Y70" i="59"/>
  <c r="AA70" i="60"/>
  <c r="AA70" i="59"/>
  <c r="AC71" i="60"/>
  <c r="D523" i="50"/>
  <c r="AA72" i="60"/>
  <c r="AA72" i="59"/>
  <c r="C72" i="60"/>
  <c r="C72" i="59"/>
  <c r="G74" i="60"/>
  <c r="G74" i="59"/>
  <c r="G72" i="60"/>
  <c r="G72" i="59"/>
  <c r="Y72" i="60"/>
  <c r="Y72" i="59"/>
  <c r="J190" i="80"/>
  <c r="J70" i="59" s="1"/>
  <c r="Z96" i="80"/>
  <c r="Z195" i="80" s="1"/>
  <c r="AI90" i="80"/>
  <c r="AI190" i="80" s="1"/>
  <c r="L190" i="80"/>
  <c r="L70" i="59" s="1"/>
  <c r="K190" i="80"/>
  <c r="K70" i="59" s="1"/>
  <c r="AB96" i="80"/>
  <c r="AB195" i="80" s="1"/>
  <c r="AB94" i="80"/>
  <c r="AB193" i="80" s="1"/>
  <c r="H193" i="80"/>
  <c r="H73" i="59" s="1"/>
  <c r="I193" i="80"/>
  <c r="AD96" i="80"/>
  <c r="AF193" i="80"/>
  <c r="AD192" i="80"/>
  <c r="AF192" i="80"/>
  <c r="AD193" i="80"/>
  <c r="AJ90" i="80"/>
  <c r="AJ190" i="80" s="1"/>
  <c r="AG90" i="80"/>
  <c r="AG190" i="80" s="1"/>
  <c r="AH90" i="80"/>
  <c r="AH190" i="80" s="1"/>
  <c r="AE192" i="80"/>
  <c r="Z94" i="80"/>
  <c r="Z193" i="80" s="1"/>
  <c r="AA94" i="80"/>
  <c r="AA193" i="80" s="1"/>
  <c r="AJ93" i="80"/>
  <c r="AJ192" i="80" s="1"/>
  <c r="D92" i="80"/>
  <c r="K81" i="80"/>
  <c r="M195" i="80"/>
  <c r="M192" i="80"/>
  <c r="M194" i="80"/>
  <c r="M193" i="80"/>
  <c r="B615" i="50"/>
  <c r="B620" i="50"/>
  <c r="B601" i="50"/>
  <c r="B619" i="50"/>
  <c r="B609" i="50"/>
  <c r="B614" i="50"/>
  <c r="B607" i="50"/>
  <c r="B621" i="50"/>
  <c r="B608" i="50"/>
  <c r="B613" i="50"/>
  <c r="B603" i="50"/>
  <c r="F73" i="60"/>
  <c r="F75" i="60"/>
  <c r="H49" i="59"/>
  <c r="F49" i="59" s="1"/>
  <c r="F72" i="60"/>
  <c r="F74" i="60"/>
  <c r="B602" i="50"/>
  <c r="Y94" i="80"/>
  <c r="Y193" i="80" s="1"/>
  <c r="AC192" i="80"/>
  <c r="AJ81" i="80"/>
  <c r="H96" i="80"/>
  <c r="AJ86" i="80"/>
  <c r="V86" i="80"/>
  <c r="W86" i="80"/>
  <c r="H192" i="80"/>
  <c r="H72" i="59" s="1"/>
  <c r="C97" i="80"/>
  <c r="L81" i="80"/>
  <c r="I192" i="80"/>
  <c r="AE81" i="80"/>
  <c r="AE86" i="80"/>
  <c r="AD86" i="80"/>
  <c r="L95" i="80"/>
  <c r="L94" i="80"/>
  <c r="L93" i="80"/>
  <c r="AI93" i="80" s="1"/>
  <c r="AI192" i="80" s="1"/>
  <c r="L96" i="80"/>
  <c r="H58" i="60"/>
  <c r="B570" i="50"/>
  <c r="D96" i="80"/>
  <c r="J96" i="80"/>
  <c r="AG96" i="80" s="1"/>
  <c r="AG195" i="80" s="1"/>
  <c r="J192" i="80"/>
  <c r="J72" i="59" s="1"/>
  <c r="J94" i="80"/>
  <c r="AG94" i="80" s="1"/>
  <c r="AG193" i="80" s="1"/>
  <c r="J195" i="80"/>
  <c r="J75" i="59" s="1"/>
  <c r="J93" i="80"/>
  <c r="AG93" i="80" s="1"/>
  <c r="AG192" i="80" s="1"/>
  <c r="J194" i="80"/>
  <c r="J74" i="59" s="1"/>
  <c r="J95" i="80"/>
  <c r="J193" i="80"/>
  <c r="J73" i="59" s="1"/>
  <c r="I87" i="80"/>
  <c r="B96" i="80"/>
  <c r="I86" i="80"/>
  <c r="G97" i="80"/>
  <c r="H95" i="80"/>
  <c r="AE96" i="80" s="1"/>
  <c r="AD81" i="80"/>
  <c r="K93" i="80"/>
  <c r="AH93" i="80" s="1"/>
  <c r="AH192" i="80" s="1"/>
  <c r="K94" i="80"/>
  <c r="K95" i="80"/>
  <c r="M97" i="80"/>
  <c r="B123" i="80"/>
  <c r="B103" i="80"/>
  <c r="B105" i="80" s="1"/>
  <c r="C106" i="80" s="1"/>
  <c r="H49" i="60"/>
  <c r="F49" i="60" s="1"/>
  <c r="F95" i="80"/>
  <c r="AC96" i="80" s="1"/>
  <c r="K96" i="80" l="1"/>
  <c r="K195" i="80" s="1"/>
  <c r="K75" i="59" s="1"/>
  <c r="K192" i="80"/>
  <c r="K72" i="59" s="1"/>
  <c r="K193" i="80"/>
  <c r="K73" i="59" s="1"/>
  <c r="B194" i="80"/>
  <c r="B74" i="59" s="1"/>
  <c r="B566" i="50"/>
  <c r="B568" i="50"/>
  <c r="B564" i="50"/>
  <c r="B565" i="50"/>
  <c r="B514" i="50"/>
  <c r="B567" i="50"/>
  <c r="B563" i="50"/>
  <c r="B520" i="50"/>
  <c r="D598" i="50"/>
  <c r="D610" i="50"/>
  <c r="D604" i="50"/>
  <c r="D616" i="50"/>
  <c r="B562" i="50"/>
  <c r="L71" i="60"/>
  <c r="B525" i="50"/>
  <c r="B524" i="50"/>
  <c r="B358" i="50"/>
  <c r="B364" i="50"/>
  <c r="D367" i="50"/>
  <c r="D195" i="80"/>
  <c r="D75" i="59" s="1"/>
  <c r="D194" i="80"/>
  <c r="D74" i="59" s="1"/>
  <c r="B195" i="80"/>
  <c r="E72" i="60"/>
  <c r="AI72" i="60"/>
  <c r="AI72" i="59"/>
  <c r="AC72" i="60"/>
  <c r="AC72" i="59"/>
  <c r="M74" i="60"/>
  <c r="M74" i="59"/>
  <c r="AA73" i="60"/>
  <c r="AA73" i="59"/>
  <c r="AF73" i="60"/>
  <c r="AF73" i="59"/>
  <c r="AI70" i="60"/>
  <c r="AI70" i="59"/>
  <c r="M72" i="60"/>
  <c r="M72" i="59"/>
  <c r="Z73" i="60"/>
  <c r="Z73" i="59"/>
  <c r="AG70" i="60"/>
  <c r="AG70" i="59"/>
  <c r="AD73" i="60"/>
  <c r="AD73" i="59"/>
  <c r="I73" i="60"/>
  <c r="I73" i="59"/>
  <c r="AB75" i="60"/>
  <c r="AB75" i="59"/>
  <c r="AG75" i="60"/>
  <c r="AG75" i="59"/>
  <c r="Y73" i="60"/>
  <c r="Y73" i="59"/>
  <c r="I72" i="60"/>
  <c r="I72" i="59"/>
  <c r="M75" i="60"/>
  <c r="M75" i="59"/>
  <c r="AE72" i="60"/>
  <c r="AE72" i="59"/>
  <c r="AF72" i="60"/>
  <c r="AF72" i="59"/>
  <c r="E73" i="60"/>
  <c r="E73" i="59"/>
  <c r="AG72" i="60"/>
  <c r="AG72" i="59"/>
  <c r="AH72" i="60"/>
  <c r="AH72" i="59"/>
  <c r="AG73" i="60"/>
  <c r="AG73" i="59"/>
  <c r="M73" i="60"/>
  <c r="M73" i="59"/>
  <c r="AJ72" i="60"/>
  <c r="AJ72" i="59"/>
  <c r="AH70" i="60"/>
  <c r="AH70" i="59"/>
  <c r="AJ70" i="60"/>
  <c r="AJ70" i="59"/>
  <c r="AD72" i="60"/>
  <c r="AD72" i="59"/>
  <c r="C73" i="60"/>
  <c r="C73" i="59"/>
  <c r="AB73" i="60"/>
  <c r="AB73" i="59"/>
  <c r="Z75" i="60"/>
  <c r="Z75" i="59"/>
  <c r="AI92" i="80"/>
  <c r="AI191" i="80" s="1"/>
  <c r="AI71" i="59" s="1"/>
  <c r="AD195" i="80"/>
  <c r="AH92" i="80"/>
  <c r="AH191" i="80" s="1"/>
  <c r="AH71" i="59" s="1"/>
  <c r="K191" i="80"/>
  <c r="AJ92" i="80"/>
  <c r="AJ191" i="80" s="1"/>
  <c r="AJ71" i="59" s="1"/>
  <c r="M191" i="80"/>
  <c r="AG92" i="80"/>
  <c r="AG191" i="80" s="1"/>
  <c r="AG71" i="59" s="1"/>
  <c r="J191" i="80"/>
  <c r="AE193" i="80"/>
  <c r="AC193" i="80"/>
  <c r="B97" i="80"/>
  <c r="D97" i="80"/>
  <c r="H92" i="80"/>
  <c r="H191" i="80" s="1"/>
  <c r="H71" i="59" s="1"/>
  <c r="B92" i="80"/>
  <c r="D191" i="80" s="1"/>
  <c r="D71" i="59" s="1"/>
  <c r="L194" i="80"/>
  <c r="L195" i="80"/>
  <c r="L193" i="80"/>
  <c r="L192" i="80"/>
  <c r="J73" i="60"/>
  <c r="D73" i="60"/>
  <c r="B73" i="60"/>
  <c r="B73" i="59"/>
  <c r="J75" i="60"/>
  <c r="B72" i="60"/>
  <c r="B72" i="59"/>
  <c r="D72" i="60"/>
  <c r="H73" i="60"/>
  <c r="J72" i="60"/>
  <c r="H72" i="60"/>
  <c r="Q83" i="80"/>
  <c r="P83" i="80"/>
  <c r="O83" i="80"/>
  <c r="AJ83" i="80"/>
  <c r="AI83" i="80"/>
  <c r="AH83" i="80"/>
  <c r="Y96" i="80"/>
  <c r="Y195" i="80" s="1"/>
  <c r="J97" i="80"/>
  <c r="AA96" i="80"/>
  <c r="AA195" i="80" s="1"/>
  <c r="L97" i="80"/>
  <c r="AI94" i="80" s="1"/>
  <c r="AI193" i="80" s="1"/>
  <c r="J74" i="60"/>
  <c r="AI78" i="80"/>
  <c r="AJ78" i="80"/>
  <c r="AH78" i="80"/>
  <c r="F97" i="80"/>
  <c r="AC195" i="80" s="1"/>
  <c r="C108" i="80"/>
  <c r="C111" i="80"/>
  <c r="C110" i="80"/>
  <c r="C119" i="80"/>
  <c r="H97" i="80"/>
  <c r="AE195" i="80" s="1"/>
  <c r="H195" i="80"/>
  <c r="H75" i="59" s="1"/>
  <c r="H194" i="80"/>
  <c r="H74" i="59" s="1"/>
  <c r="O78" i="80"/>
  <c r="Q78" i="80"/>
  <c r="P78" i="80"/>
  <c r="K73" i="60" l="1"/>
  <c r="K72" i="60"/>
  <c r="AH96" i="80"/>
  <c r="AH195" i="80" s="1"/>
  <c r="K97" i="80"/>
  <c r="AH94" i="80" s="1"/>
  <c r="AH193" i="80" s="1"/>
  <c r="AH73" i="60" s="1"/>
  <c r="K75" i="60"/>
  <c r="K194" i="80"/>
  <c r="H188" i="80" s="1"/>
  <c r="F188" i="80" s="1"/>
  <c r="B544" i="50"/>
  <c r="B538" i="50"/>
  <c r="B532" i="50"/>
  <c r="B516" i="50"/>
  <c r="B526" i="50"/>
  <c r="B556" i="50"/>
  <c r="B540" i="50"/>
  <c r="B539" i="50"/>
  <c r="B522" i="50"/>
  <c r="B550" i="50"/>
  <c r="J71" i="60"/>
  <c r="J71" i="59"/>
  <c r="K71" i="60"/>
  <c r="K71" i="59"/>
  <c r="M71" i="60"/>
  <c r="M71" i="59"/>
  <c r="D71" i="60"/>
  <c r="H71" i="60"/>
  <c r="B388" i="50"/>
  <c r="B376" i="50"/>
  <c r="B383" i="50"/>
  <c r="B394" i="50"/>
  <c r="B400" i="50"/>
  <c r="B384" i="50"/>
  <c r="B382" i="50"/>
  <c r="B360" i="50"/>
  <c r="B366" i="50"/>
  <c r="B370" i="50"/>
  <c r="AA75" i="60"/>
  <c r="AA75" i="59"/>
  <c r="AH75" i="60"/>
  <c r="AH75" i="59"/>
  <c r="AI73" i="60"/>
  <c r="AI73" i="59"/>
  <c r="L72" i="60"/>
  <c r="L72" i="59"/>
  <c r="AE73" i="60"/>
  <c r="AE73" i="59"/>
  <c r="AJ71" i="60"/>
  <c r="D553" i="50"/>
  <c r="L73" i="60"/>
  <c r="L73" i="59"/>
  <c r="AH73" i="59"/>
  <c r="L75" i="60"/>
  <c r="L75" i="59"/>
  <c r="AG71" i="60"/>
  <c r="D535" i="50"/>
  <c r="AH71" i="60"/>
  <c r="D541" i="50"/>
  <c r="AE75" i="60"/>
  <c r="AE75" i="59"/>
  <c r="AC75" i="60"/>
  <c r="AC75" i="59"/>
  <c r="Y75" i="60"/>
  <c r="Y75" i="59"/>
  <c r="L74" i="60"/>
  <c r="L74" i="59"/>
  <c r="AC73" i="60"/>
  <c r="AC73" i="59"/>
  <c r="AD75" i="60"/>
  <c r="AD75" i="59"/>
  <c r="AI71" i="60"/>
  <c r="D547" i="50"/>
  <c r="Y92" i="80"/>
  <c r="Y191" i="80" s="1"/>
  <c r="Y71" i="59" s="1"/>
  <c r="B191" i="80"/>
  <c r="AE92" i="80"/>
  <c r="AE191" i="80" s="1"/>
  <c r="AE71" i="59" s="1"/>
  <c r="AA92" i="80"/>
  <c r="AA191" i="80" s="1"/>
  <c r="AA71" i="59" s="1"/>
  <c r="AJ96" i="80"/>
  <c r="AJ94" i="80"/>
  <c r="AJ193" i="80" s="1"/>
  <c r="AI96" i="80"/>
  <c r="H74" i="60"/>
  <c r="D75" i="60"/>
  <c r="H75" i="60"/>
  <c r="D74" i="60"/>
  <c r="B75" i="60"/>
  <c r="B75" i="59"/>
  <c r="C113" i="80"/>
  <c r="C123" i="80" s="1"/>
  <c r="C107" i="80"/>
  <c r="C104" i="80" s="1"/>
  <c r="C112" i="80"/>
  <c r="B74" i="60"/>
  <c r="C117" i="80"/>
  <c r="D82" i="80"/>
  <c r="L82" i="80"/>
  <c r="AH82" i="80"/>
  <c r="AJ82" i="80" s="1"/>
  <c r="W82" i="80"/>
  <c r="W87" i="80"/>
  <c r="AG87" i="80"/>
  <c r="AJ87" i="80" s="1"/>
  <c r="K74" i="59" l="1"/>
  <c r="K74" i="60"/>
  <c r="H68" i="60" s="1"/>
  <c r="F68" i="60" s="1"/>
  <c r="B533" i="50"/>
  <c r="B552" i="50"/>
  <c r="B527" i="50"/>
  <c r="B521" i="50"/>
  <c r="B515" i="50"/>
  <c r="B546" i="50"/>
  <c r="B534" i="50"/>
  <c r="B545" i="50"/>
  <c r="B528" i="50"/>
  <c r="B71" i="60"/>
  <c r="B71" i="59"/>
  <c r="B537" i="50"/>
  <c r="B536" i="50"/>
  <c r="B549" i="50"/>
  <c r="B548" i="50"/>
  <c r="B542" i="50"/>
  <c r="B543" i="50"/>
  <c r="B554" i="50"/>
  <c r="B555" i="50"/>
  <c r="D391" i="50"/>
  <c r="B392" i="50" s="1"/>
  <c r="B372" i="50"/>
  <c r="B359" i="50"/>
  <c r="B377" i="50"/>
  <c r="D379" i="50"/>
  <c r="B390" i="50"/>
  <c r="B378" i="50"/>
  <c r="B396" i="50"/>
  <c r="B365" i="50"/>
  <c r="B371" i="50"/>
  <c r="D385" i="50"/>
  <c r="B386" i="50" s="1"/>
  <c r="D397" i="50"/>
  <c r="B398" i="50" s="1"/>
  <c r="B618" i="50"/>
  <c r="B617" i="50"/>
  <c r="H68" i="59"/>
  <c r="F68" i="59" s="1"/>
  <c r="Y71" i="60"/>
  <c r="D511" i="50"/>
  <c r="AJ73" i="60"/>
  <c r="AJ73" i="59"/>
  <c r="AE71" i="60"/>
  <c r="D529" i="50"/>
  <c r="AA71" i="60"/>
  <c r="D517" i="50"/>
  <c r="E191" i="80"/>
  <c r="E71" i="60" s="1"/>
  <c r="C191" i="80"/>
  <c r="C71" i="60" s="1"/>
  <c r="AJ195" i="80"/>
  <c r="AI195" i="80"/>
  <c r="B389" i="50"/>
  <c r="C122" i="80"/>
  <c r="C103" i="80"/>
  <c r="C105" i="80" s="1"/>
  <c r="D106" i="80" s="1"/>
  <c r="B114" i="80"/>
  <c r="I96" i="80"/>
  <c r="AE87" i="80"/>
  <c r="E95" i="80"/>
  <c r="AE82" i="80"/>
  <c r="B558" i="50" l="1"/>
  <c r="B518" i="50"/>
  <c r="B519" i="50"/>
  <c r="B530" i="50"/>
  <c r="B531" i="50"/>
  <c r="B513" i="50"/>
  <c r="B512" i="50"/>
  <c r="B402" i="50"/>
  <c r="D373" i="50"/>
  <c r="B375" i="50" s="1"/>
  <c r="D355" i="50"/>
  <c r="B357" i="50" s="1"/>
  <c r="D361" i="50"/>
  <c r="B399" i="50"/>
  <c r="B612" i="50"/>
  <c r="B611" i="50"/>
  <c r="B605" i="50"/>
  <c r="B606" i="50"/>
  <c r="B600" i="50"/>
  <c r="B599" i="50"/>
  <c r="B393" i="50"/>
  <c r="B594" i="50"/>
  <c r="B593" i="50"/>
  <c r="B588" i="50"/>
  <c r="B587" i="50"/>
  <c r="B582" i="50"/>
  <c r="B581" i="50"/>
  <c r="B387" i="50"/>
  <c r="E195" i="80"/>
  <c r="E194" i="80"/>
  <c r="C194" i="80"/>
  <c r="C195" i="80"/>
  <c r="AI75" i="60"/>
  <c r="AI75" i="59"/>
  <c r="AJ75" i="60"/>
  <c r="AJ75" i="59"/>
  <c r="D110" i="80"/>
  <c r="D108" i="80"/>
  <c r="D119" i="80"/>
  <c r="D117" i="80" s="1"/>
  <c r="D107" i="80"/>
  <c r="D111" i="80"/>
  <c r="D103" i="80"/>
  <c r="E97" i="80"/>
  <c r="B120" i="80"/>
  <c r="C120" i="80"/>
  <c r="I194" i="80"/>
  <c r="I195" i="80"/>
  <c r="I97" i="80"/>
  <c r="AF195" i="80" s="1"/>
  <c r="B557" i="50" l="1"/>
  <c r="B551" i="50"/>
  <c r="B401" i="50"/>
  <c r="B395" i="50"/>
  <c r="B374" i="50"/>
  <c r="B381" i="50"/>
  <c r="B380" i="50"/>
  <c r="B368" i="50"/>
  <c r="B369" i="50"/>
  <c r="B356" i="50"/>
  <c r="B363" i="50"/>
  <c r="B362" i="50"/>
  <c r="I75" i="60"/>
  <c r="I75" i="59"/>
  <c r="C75" i="60"/>
  <c r="C75" i="59"/>
  <c r="I74" i="60"/>
  <c r="I74" i="59"/>
  <c r="C74" i="60"/>
  <c r="C74" i="59"/>
  <c r="E75" i="60"/>
  <c r="E75" i="59"/>
  <c r="AF75" i="60"/>
  <c r="AF75" i="59"/>
  <c r="E74" i="60"/>
  <c r="E74" i="59"/>
  <c r="D113" i="80"/>
  <c r="D123" i="80" s="1"/>
  <c r="D104" i="80"/>
  <c r="D105" i="80" s="1"/>
  <c r="E106" i="80" s="1"/>
  <c r="D112" i="80"/>
  <c r="D122" i="80" s="1"/>
  <c r="C121" i="80"/>
  <c r="C124" i="80" s="1"/>
  <c r="B121" i="80"/>
  <c r="B124" i="80" s="1"/>
  <c r="D120" i="80" l="1"/>
  <c r="D121" i="80" s="1"/>
  <c r="D124" i="80" s="1"/>
  <c r="C114" i="80"/>
  <c r="C202" i="80" s="1"/>
  <c r="E108" i="80"/>
  <c r="E119" i="80"/>
  <c r="E117" i="80" s="1"/>
  <c r="E111" i="80"/>
  <c r="E103" i="80"/>
  <c r="E110" i="80"/>
  <c r="E107" i="80"/>
  <c r="B202" i="80"/>
  <c r="E112" i="80" l="1"/>
  <c r="E122" i="80" s="1"/>
  <c r="E104" i="80"/>
  <c r="E105" i="80" s="1"/>
  <c r="F106" i="80" s="1"/>
  <c r="F107" i="80" s="1"/>
  <c r="E113" i="80"/>
  <c r="E123" i="80" s="1"/>
  <c r="C205" i="80"/>
  <c r="C206" i="80"/>
  <c r="C204" i="80"/>
  <c r="C203" i="80"/>
  <c r="C199" i="80"/>
  <c r="B205" i="80"/>
  <c r="B199" i="80"/>
  <c r="B203" i="80"/>
  <c r="B206" i="80"/>
  <c r="B204" i="80"/>
  <c r="D114" i="80" l="1"/>
  <c r="D202" i="80" s="1"/>
  <c r="D206" i="80" s="1"/>
  <c r="F108" i="80"/>
  <c r="F113" i="80" s="1"/>
  <c r="F123" i="80" s="1"/>
  <c r="F119" i="80"/>
  <c r="F117" i="80" s="1"/>
  <c r="F103" i="80"/>
  <c r="F110" i="80"/>
  <c r="E120" i="80"/>
  <c r="E121" i="80" s="1"/>
  <c r="E124" i="80" s="1"/>
  <c r="F111" i="80"/>
  <c r="B201" i="80"/>
  <c r="C201" i="80"/>
  <c r="B200" i="80"/>
  <c r="C200" i="80"/>
  <c r="F104" i="80" l="1"/>
  <c r="F105" i="80" s="1"/>
  <c r="G106" i="80" s="1"/>
  <c r="G107" i="80" s="1"/>
  <c r="F112" i="80"/>
  <c r="F122" i="80" s="1"/>
  <c r="F120" i="80" s="1"/>
  <c r="D199" i="80"/>
  <c r="D203" i="80"/>
  <c r="D204" i="80"/>
  <c r="D205" i="80"/>
  <c r="D200" i="80" s="1"/>
  <c r="F121" i="80" l="1"/>
  <c r="F124" i="80" s="1"/>
  <c r="G119" i="80"/>
  <c r="G117" i="80" s="1"/>
  <c r="G111" i="80"/>
  <c r="G103" i="80"/>
  <c r="G110" i="80"/>
  <c r="G108" i="80"/>
  <c r="G104" i="80" s="1"/>
  <c r="D201" i="80"/>
  <c r="E114" i="80"/>
  <c r="E202" i="80" s="1"/>
  <c r="E203" i="80" s="1"/>
  <c r="G105" i="80" l="1"/>
  <c r="H106" i="80" s="1"/>
  <c r="H111" i="80" s="1"/>
  <c r="G113" i="80"/>
  <c r="G123" i="80" s="1"/>
  <c r="G112" i="80"/>
  <c r="G122" i="80" s="1"/>
  <c r="E205" i="80"/>
  <c r="E204" i="80"/>
  <c r="E206" i="80"/>
  <c r="E199" i="80"/>
  <c r="E201" i="80" l="1"/>
  <c r="F114" i="80"/>
  <c r="F202" i="80" s="1"/>
  <c r="F204" i="80" s="1"/>
  <c r="H119" i="80"/>
  <c r="H117" i="80" s="1"/>
  <c r="H107" i="80"/>
  <c r="H108" i="80"/>
  <c r="H112" i="80" s="1"/>
  <c r="H122" i="80" s="1"/>
  <c r="H103" i="80"/>
  <c r="H110" i="80"/>
  <c r="G120" i="80"/>
  <c r="G121" i="80" s="1"/>
  <c r="G124" i="80" s="1"/>
  <c r="E200" i="80"/>
  <c r="F203" i="80" l="1"/>
  <c r="F206" i="80"/>
  <c r="F199" i="80"/>
  <c r="F205" i="80"/>
  <c r="H113" i="80"/>
  <c r="H123" i="80" s="1"/>
  <c r="H120" i="80" s="1"/>
  <c r="H121" i="80" s="1"/>
  <c r="H124" i="80" s="1"/>
  <c r="H104" i="80"/>
  <c r="H105" i="80" s="1"/>
  <c r="I106" i="80" s="1"/>
  <c r="I103" i="80" s="1"/>
  <c r="F200" i="80" l="1"/>
  <c r="G114" i="80"/>
  <c r="G202" i="80" s="1"/>
  <c r="G206" i="80" s="1"/>
  <c r="F201" i="80"/>
  <c r="I108" i="80"/>
  <c r="I113" i="80" s="1"/>
  <c r="I123" i="80" s="1"/>
  <c r="I110" i="80"/>
  <c r="I111" i="80"/>
  <c r="I119" i="80"/>
  <c r="I117" i="80" s="1"/>
  <c r="I107" i="80"/>
  <c r="I112" i="80" l="1"/>
  <c r="I122" i="80" s="1"/>
  <c r="I120" i="80" s="1"/>
  <c r="I121" i="80" s="1"/>
  <c r="I124" i="80" s="1"/>
  <c r="G204" i="80"/>
  <c r="G205" i="80"/>
  <c r="G201" i="80" s="1"/>
  <c r="G199" i="80"/>
  <c r="G203" i="80"/>
  <c r="I104" i="80"/>
  <c r="I105" i="80" s="1"/>
  <c r="J106" i="80" s="1"/>
  <c r="H114" i="80" l="1"/>
  <c r="H202" i="80" s="1"/>
  <c r="H205" i="80" s="1"/>
  <c r="G200" i="80"/>
  <c r="J111" i="80"/>
  <c r="J110" i="80"/>
  <c r="J119" i="80"/>
  <c r="J117" i="80" s="1"/>
  <c r="J108" i="80"/>
  <c r="J112" i="80" s="1"/>
  <c r="J122" i="80" s="1"/>
  <c r="J107" i="80"/>
  <c r="J103" i="80"/>
  <c r="J113" i="80" l="1"/>
  <c r="J123" i="80" s="1"/>
  <c r="H203" i="80"/>
  <c r="H206" i="80"/>
  <c r="H200" i="80" s="1"/>
  <c r="H199" i="80"/>
  <c r="H204" i="80"/>
  <c r="J104" i="80"/>
  <c r="J105" i="80" s="1"/>
  <c r="K106" i="80" s="1"/>
  <c r="K110" i="80" s="1"/>
  <c r="H201" i="80" l="1"/>
  <c r="J120" i="80"/>
  <c r="J121" i="80" s="1"/>
  <c r="I114" i="80"/>
  <c r="I202" i="80" s="1"/>
  <c r="I204" i="80" s="1"/>
  <c r="K111" i="80"/>
  <c r="K107" i="80"/>
  <c r="K119" i="80"/>
  <c r="K108" i="80"/>
  <c r="K103" i="80"/>
  <c r="K104" i="80" l="1"/>
  <c r="K105" i="80" s="1"/>
  <c r="L106" i="80" s="1"/>
  <c r="L111" i="80" s="1"/>
  <c r="J124" i="80"/>
  <c r="K112" i="80"/>
  <c r="K122" i="80" s="1"/>
  <c r="K113" i="80"/>
  <c r="K123" i="80" s="1"/>
  <c r="K117" i="80"/>
  <c r="I199" i="80"/>
  <c r="I206" i="80"/>
  <c r="I205" i="80"/>
  <c r="I203" i="80"/>
  <c r="J114" i="80"/>
  <c r="K120" i="80" l="1"/>
  <c r="J202" i="80"/>
  <c r="J205" i="80" s="1"/>
  <c r="L110" i="80"/>
  <c r="L107" i="80"/>
  <c r="L119" i="80"/>
  <c r="L117" i="80" s="1"/>
  <c r="L103" i="80"/>
  <c r="L108" i="80"/>
  <c r="L113" i="80" s="1"/>
  <c r="L123" i="80" s="1"/>
  <c r="K121" i="80"/>
  <c r="I201" i="80"/>
  <c r="I200" i="80"/>
  <c r="K124" i="80" l="1"/>
  <c r="J199" i="80"/>
  <c r="J204" i="80"/>
  <c r="J206" i="80"/>
  <c r="J200" i="80" s="1"/>
  <c r="J203" i="80"/>
  <c r="L104" i="80"/>
  <c r="L105" i="80" s="1"/>
  <c r="M106" i="80" s="1"/>
  <c r="L112" i="80"/>
  <c r="L122" i="80" s="1"/>
  <c r="J201" i="80" l="1"/>
  <c r="M119" i="80"/>
  <c r="M117" i="80" s="1"/>
  <c r="M107" i="80"/>
  <c r="M110" i="80"/>
  <c r="M108" i="80"/>
  <c r="M112" i="80" s="1"/>
  <c r="M122" i="80" s="1"/>
  <c r="M103" i="80"/>
  <c r="M111" i="80"/>
  <c r="K114" i="80"/>
  <c r="K202" i="80" s="1"/>
  <c r="K205" i="80" s="1"/>
  <c r="L120" i="80"/>
  <c r="L121" i="80"/>
  <c r="M113" i="80"/>
  <c r="M123" i="80" s="1"/>
  <c r="M105" i="80"/>
  <c r="N106" i="80" s="1"/>
  <c r="M120" i="80" l="1"/>
  <c r="M121" i="80"/>
  <c r="M104" i="80"/>
  <c r="K203" i="80"/>
  <c r="K206" i="80"/>
  <c r="K200" i="80" s="1"/>
  <c r="K204" i="80"/>
  <c r="L124" i="80"/>
  <c r="L200" i="80" s="1"/>
  <c r="K199" i="80"/>
  <c r="L114" i="80"/>
  <c r="N111" i="80"/>
  <c r="N110" i="80"/>
  <c r="N113" i="80"/>
  <c r="N123" i="80" s="1"/>
  <c r="N119" i="80"/>
  <c r="N107" i="80"/>
  <c r="N108" i="80"/>
  <c r="N112" i="80"/>
  <c r="N122" i="80" s="1"/>
  <c r="N103" i="80"/>
  <c r="L202" i="80" l="1"/>
  <c r="L203" i="80" s="1"/>
  <c r="M124" i="80"/>
  <c r="M200" i="80" s="1"/>
  <c r="K201" i="80"/>
  <c r="N104" i="80"/>
  <c r="M114" i="80"/>
  <c r="N121" i="80"/>
  <c r="N117" i="80"/>
  <c r="N120" i="80"/>
  <c r="N105" i="80"/>
  <c r="O106" i="80" s="1"/>
  <c r="N114" i="80"/>
  <c r="M202" i="80" l="1"/>
  <c r="M204" i="80" s="1"/>
  <c r="L206" i="80"/>
  <c r="L201" i="80"/>
  <c r="L204" i="80"/>
  <c r="L199" i="80"/>
  <c r="L205" i="80"/>
  <c r="O110" i="80"/>
  <c r="O112" i="80"/>
  <c r="O122" i="80" s="1"/>
  <c r="O111" i="80"/>
  <c r="O113" i="80"/>
  <c r="O123" i="80" s="1"/>
  <c r="O119" i="80"/>
  <c r="O108" i="80"/>
  <c r="O103" i="80"/>
  <c r="O107" i="80"/>
  <c r="N124" i="80"/>
  <c r="N200" i="80" s="1"/>
  <c r="M201" i="80" l="1"/>
  <c r="M203" i="80"/>
  <c r="M206" i="80"/>
  <c r="M205" i="80"/>
  <c r="M199" i="80"/>
  <c r="O105" i="80"/>
  <c r="P106" i="80" s="1"/>
  <c r="P111" i="80" s="1"/>
  <c r="O104" i="80"/>
  <c r="N202" i="80"/>
  <c r="N199" i="80" s="1"/>
  <c r="O114" i="80"/>
  <c r="O120" i="80"/>
  <c r="O117" i="80"/>
  <c r="O121" i="80"/>
  <c r="P110" i="80" l="1"/>
  <c r="P112" i="80"/>
  <c r="P122" i="80" s="1"/>
  <c r="P108" i="80"/>
  <c r="P104" i="80" s="1"/>
  <c r="P119" i="80"/>
  <c r="P121" i="80" s="1"/>
  <c r="P103" i="80"/>
  <c r="P105" i="80"/>
  <c r="Q106" i="80" s="1"/>
  <c r="Q112" i="80" s="1"/>
  <c r="Q122" i="80" s="1"/>
  <c r="P107" i="80"/>
  <c r="P113" i="80"/>
  <c r="P123" i="80" s="1"/>
  <c r="N205" i="80"/>
  <c r="N203" i="80"/>
  <c r="N201" i="80"/>
  <c r="N204" i="80"/>
  <c r="N206" i="80"/>
  <c r="O124" i="80"/>
  <c r="Q108" i="80" l="1"/>
  <c r="Q104" i="80" s="1"/>
  <c r="Q103" i="80"/>
  <c r="P114" i="80"/>
  <c r="P117" i="80"/>
  <c r="Q119" i="80"/>
  <c r="Q117" i="80" s="1"/>
  <c r="Q107" i="80"/>
  <c r="P120" i="80"/>
  <c r="P124" i="80" s="1"/>
  <c r="P200" i="80" s="1"/>
  <c r="Q110" i="80"/>
  <c r="Q111" i="80"/>
  <c r="Q113" i="80"/>
  <c r="Q123" i="80" s="1"/>
  <c r="Q105" i="80"/>
  <c r="R106" i="80" s="1"/>
  <c r="O202" i="80"/>
  <c r="O200" i="80"/>
  <c r="Q120" i="80" l="1"/>
  <c r="Q114" i="80"/>
  <c r="Q121" i="80"/>
  <c r="P202" i="80"/>
  <c r="P199" i="80" s="1"/>
  <c r="O199" i="80"/>
  <c r="O204" i="80"/>
  <c r="O206" i="80"/>
  <c r="O201" i="80"/>
  <c r="O205" i="80"/>
  <c r="O203" i="80"/>
  <c r="R107" i="80"/>
  <c r="R108" i="80"/>
  <c r="R104" i="80" s="1"/>
  <c r="R111" i="80"/>
  <c r="R112" i="80"/>
  <c r="R122" i="80" s="1"/>
  <c r="R110" i="80"/>
  <c r="R119" i="80"/>
  <c r="R103" i="80"/>
  <c r="R113" i="80"/>
  <c r="R123" i="80" s="1"/>
  <c r="Q124" i="80" l="1"/>
  <c r="Q200" i="80" s="1"/>
  <c r="P206" i="80"/>
  <c r="P201" i="80"/>
  <c r="P205" i="80"/>
  <c r="P203" i="80"/>
  <c r="P204" i="80"/>
  <c r="R121" i="80"/>
  <c r="R117" i="80"/>
  <c r="R120" i="80"/>
  <c r="R105" i="80"/>
  <c r="S106" i="80" s="1"/>
  <c r="R114" i="80"/>
  <c r="Q202" i="80" l="1"/>
  <c r="Q205" i="80" s="1"/>
  <c r="R124" i="80"/>
  <c r="R200" i="80" s="1"/>
  <c r="S108" i="80"/>
  <c r="S104" i="80" s="1"/>
  <c r="S119" i="80"/>
  <c r="S107" i="80"/>
  <c r="S103" i="80"/>
  <c r="S111" i="80"/>
  <c r="S113" i="80"/>
  <c r="S123" i="80" s="1"/>
  <c r="S112" i="80"/>
  <c r="S122" i="80" s="1"/>
  <c r="S110" i="80"/>
  <c r="Q203" i="80" l="1"/>
  <c r="Q199" i="80"/>
  <c r="Q201" i="80"/>
  <c r="Q206" i="80"/>
  <c r="Q204" i="80"/>
  <c r="R202" i="80"/>
  <c r="R204" i="80" s="1"/>
  <c r="S121" i="80"/>
  <c r="S120" i="80"/>
  <c r="S117" i="80"/>
  <c r="S114" i="80"/>
  <c r="S105" i="80"/>
  <c r="T106" i="80" s="1"/>
  <c r="R205" i="80" l="1"/>
  <c r="R206" i="80"/>
  <c r="R201" i="80"/>
  <c r="R199" i="80"/>
  <c r="R203" i="80"/>
  <c r="S124" i="80"/>
  <c r="S200" i="80" s="1"/>
  <c r="T111" i="80"/>
  <c r="T113" i="80"/>
  <c r="T123" i="80" s="1"/>
  <c r="T108" i="80"/>
  <c r="T104" i="80" s="1"/>
  <c r="T103" i="80"/>
  <c r="T119" i="80"/>
  <c r="T107" i="80"/>
  <c r="T110" i="80"/>
  <c r="T112" i="80"/>
  <c r="T122" i="80" s="1"/>
  <c r="S202" i="80" l="1"/>
  <c r="S206" i="80" s="1"/>
  <c r="T114" i="80"/>
  <c r="T105" i="80"/>
  <c r="U106" i="80" s="1"/>
  <c r="T120" i="80"/>
  <c r="T121" i="80"/>
  <c r="T117" i="80"/>
  <c r="S204" i="80" l="1"/>
  <c r="S203" i="80"/>
  <c r="S201" i="80"/>
  <c r="S205" i="80"/>
  <c r="S199" i="80"/>
  <c r="T124" i="80"/>
  <c r="T200" i="80" s="1"/>
  <c r="U103" i="80"/>
  <c r="U112" i="80"/>
  <c r="U122" i="80" s="1"/>
  <c r="U107" i="80"/>
  <c r="U113" i="80"/>
  <c r="U123" i="80" s="1"/>
  <c r="U108" i="80"/>
  <c r="U104" i="80" s="1"/>
  <c r="U111" i="80"/>
  <c r="U110" i="80"/>
  <c r="U119" i="80"/>
  <c r="T202" i="80" l="1"/>
  <c r="T204" i="80" s="1"/>
  <c r="U114" i="80"/>
  <c r="U105" i="80"/>
  <c r="V106" i="80" s="1"/>
  <c r="U117" i="80"/>
  <c r="U120" i="80"/>
  <c r="U121" i="80"/>
  <c r="T199" i="80" l="1"/>
  <c r="T201" i="80"/>
  <c r="T205" i="80"/>
  <c r="T203" i="80"/>
  <c r="T206" i="80"/>
  <c r="U124" i="80"/>
  <c r="U200" i="80" s="1"/>
  <c r="V111" i="80"/>
  <c r="V107" i="80"/>
  <c r="V113" i="80"/>
  <c r="V123" i="80" s="1"/>
  <c r="V112" i="80"/>
  <c r="V122" i="80" s="1"/>
  <c r="V110" i="80"/>
  <c r="V119" i="80"/>
  <c r="V108" i="80"/>
  <c r="V104" i="80" s="1"/>
  <c r="V103" i="80"/>
  <c r="U202" i="80" l="1"/>
  <c r="U204" i="80" s="1"/>
  <c r="V121" i="80"/>
  <c r="V117" i="80"/>
  <c r="V120" i="80"/>
  <c r="V105" i="80"/>
  <c r="W106" i="80" s="1"/>
  <c r="V114" i="80"/>
  <c r="U201" i="80" l="1"/>
  <c r="U206" i="80"/>
  <c r="U203" i="80"/>
  <c r="U205" i="80"/>
  <c r="U199" i="80"/>
  <c r="W113" i="80"/>
  <c r="W123" i="80" s="1"/>
  <c r="W119" i="80"/>
  <c r="W103" i="80"/>
  <c r="W108" i="80"/>
  <c r="W104" i="80" s="1"/>
  <c r="W111" i="80"/>
  <c r="W110" i="80"/>
  <c r="W107" i="80"/>
  <c r="W112" i="80"/>
  <c r="W122" i="80" s="1"/>
  <c r="V124" i="80"/>
  <c r="V200" i="80" s="1"/>
  <c r="V202" i="80" l="1"/>
  <c r="V203" i="80" s="1"/>
  <c r="W105" i="80"/>
  <c r="X106" i="80" s="1"/>
  <c r="W114" i="80"/>
  <c r="W117" i="80"/>
  <c r="W121" i="80"/>
  <c r="W120" i="80"/>
  <c r="V205" i="80" l="1"/>
  <c r="V204" i="80"/>
  <c r="V201" i="80"/>
  <c r="V206" i="80"/>
  <c r="V199" i="80"/>
  <c r="W124" i="80"/>
  <c r="X112" i="80"/>
  <c r="X122" i="80" s="1"/>
  <c r="X110" i="80"/>
  <c r="X111" i="80"/>
  <c r="X119" i="80"/>
  <c r="X113" i="80"/>
  <c r="X123" i="80" s="1"/>
  <c r="X103" i="80"/>
  <c r="X108" i="80"/>
  <c r="X104" i="80" s="1"/>
  <c r="X107" i="80"/>
  <c r="X121" i="80" l="1"/>
  <c r="X117" i="80"/>
  <c r="X120" i="80"/>
  <c r="X105" i="80"/>
  <c r="Y106" i="80" s="1"/>
  <c r="X114" i="80"/>
  <c r="W202" i="80"/>
  <c r="W200" i="80"/>
  <c r="Y107" i="80" l="1"/>
  <c r="Y119" i="80"/>
  <c r="Y110" i="80"/>
  <c r="Y108" i="80"/>
  <c r="Y104" i="80" s="1"/>
  <c r="Y103" i="80"/>
  <c r="Y113" i="80"/>
  <c r="Y123" i="80" s="1"/>
  <c r="Y112" i="80"/>
  <c r="Y122" i="80" s="1"/>
  <c r="Y111" i="80"/>
  <c r="X124" i="80"/>
  <c r="X200" i="80" s="1"/>
  <c r="W203" i="80"/>
  <c r="W199" i="80"/>
  <c r="W205" i="80"/>
  <c r="W204" i="80"/>
  <c r="W206" i="80"/>
  <c r="W201" i="80"/>
  <c r="X202" i="80" l="1"/>
  <c r="X204" i="80" s="1"/>
  <c r="Y114" i="80"/>
  <c r="Y105" i="80"/>
  <c r="Z106" i="80" s="1"/>
  <c r="Y121" i="80"/>
  <c r="Y117" i="80"/>
  <c r="Y120" i="80"/>
  <c r="X203" i="80" l="1"/>
  <c r="X206" i="80"/>
  <c r="X205" i="80"/>
  <c r="X199" i="80"/>
  <c r="X201" i="80"/>
  <c r="Y124" i="80"/>
  <c r="Y200" i="80" s="1"/>
  <c r="Z113" i="80"/>
  <c r="Z123" i="80" s="1"/>
  <c r="Z111" i="80"/>
  <c r="Z107" i="80"/>
  <c r="Z108" i="80"/>
  <c r="Z104" i="80" s="1"/>
  <c r="Z105" i="80"/>
  <c r="AA106" i="80" s="1"/>
  <c r="Z110" i="80"/>
  <c r="Z119" i="80"/>
  <c r="Z103" i="80"/>
  <c r="Z112" i="80"/>
  <c r="Z122" i="80" s="1"/>
  <c r="Y202" i="80" l="1"/>
  <c r="Y204" i="80" s="1"/>
  <c r="Z120" i="80"/>
  <c r="Z121" i="80"/>
  <c r="Z117" i="80"/>
  <c r="AA103" i="80"/>
  <c r="AA108" i="80"/>
  <c r="AA104" i="80" s="1"/>
  <c r="AA119" i="80"/>
  <c r="AA113" i="80"/>
  <c r="AA123" i="80" s="1"/>
  <c r="AA110" i="80"/>
  <c r="AA112" i="80"/>
  <c r="AA122" i="80" s="1"/>
  <c r="AA107" i="80"/>
  <c r="AA111" i="80"/>
  <c r="AA105" i="80"/>
  <c r="AB106" i="80" s="1"/>
  <c r="Z114" i="80"/>
  <c r="Y206" i="80" l="1"/>
  <c r="Y201" i="80"/>
  <c r="Y199" i="80"/>
  <c r="Y205" i="80"/>
  <c r="Y203" i="80"/>
  <c r="Z124" i="80"/>
  <c r="AA114" i="80"/>
  <c r="AA117" i="80"/>
  <c r="AA120" i="80"/>
  <c r="AA121" i="80"/>
  <c r="AB113" i="80"/>
  <c r="AB123" i="80" s="1"/>
  <c r="AB105" i="80"/>
  <c r="AB119" i="80"/>
  <c r="AB111" i="80"/>
  <c r="AB103" i="80"/>
  <c r="AB108" i="80"/>
  <c r="AB104" i="80" s="1"/>
  <c r="AB112" i="80"/>
  <c r="AB122" i="80" s="1"/>
  <c r="AB107" i="80"/>
  <c r="AB110" i="80"/>
  <c r="Z202" i="80" l="1"/>
  <c r="Z200" i="80"/>
  <c r="AB121" i="80"/>
  <c r="AB120" i="80"/>
  <c r="AB117" i="80"/>
  <c r="AA124" i="80"/>
  <c r="AB114" i="80"/>
  <c r="AB124" i="80" l="1"/>
  <c r="AB200" i="80" s="1"/>
  <c r="Z199" i="80"/>
  <c r="Z205" i="80"/>
  <c r="Z204" i="80"/>
  <c r="Z201" i="80"/>
  <c r="Z206" i="80"/>
  <c r="Z203" i="80"/>
  <c r="AA200" i="80"/>
  <c r="AA202" i="80"/>
  <c r="AB202" i="80" l="1"/>
  <c r="AB199" i="80" s="1"/>
  <c r="AA203" i="80"/>
  <c r="AA201" i="80"/>
  <c r="AA204" i="80"/>
  <c r="AA199" i="80"/>
  <c r="AA205" i="80"/>
  <c r="AA206" i="80"/>
  <c r="AB203" i="80" l="1"/>
  <c r="F198" i="80"/>
  <c r="AB206" i="80"/>
  <c r="AB204" i="80"/>
  <c r="AB201" i="80"/>
  <c r="AB205" i="80"/>
  <c r="L70" i="60" l="1"/>
  <c r="M70" i="60"/>
  <c r="H70" i="60"/>
  <c r="K70" i="60"/>
  <c r="D70" i="60"/>
  <c r="B70" i="60"/>
  <c r="E190" i="80"/>
  <c r="E70" i="60" s="1"/>
  <c r="F70" i="60"/>
  <c r="J70" i="60"/>
  <c r="C190" i="80"/>
  <c r="C70" i="60" s="1"/>
  <c r="L125" i="78" l="1"/>
  <c r="L127" i="78" s="1"/>
  <c r="O125" i="78"/>
  <c r="O127" i="78" s="1"/>
  <c r="AA49" i="79" l="1"/>
  <c r="AA50" i="79"/>
  <c r="T11" i="80" l="1"/>
  <c r="B58" i="79" l="1"/>
  <c r="T15" i="79" s="1"/>
  <c r="B60" i="79" l="1"/>
  <c r="Q15" i="80"/>
  <c r="Q15" i="60" s="1"/>
  <c r="B100" i="78" l="1"/>
  <c r="B98" i="78"/>
  <c r="Q15" i="59"/>
  <c r="B100" i="77"/>
  <c r="B100" i="20" s="1"/>
  <c r="B98" i="77"/>
  <c r="B98" i="20" s="1"/>
  <c r="O98" i="78" l="1"/>
  <c r="O100" i="78" s="1"/>
  <c r="N98" i="78"/>
  <c r="E98" i="78" l="1"/>
  <c r="N100" i="78"/>
  <c r="L93" i="78" l="1"/>
  <c r="L94" i="78" s="1"/>
  <c r="O93" i="78" l="1"/>
  <c r="O96" i="78"/>
  <c r="O94" i="78"/>
  <c r="L95" i="78"/>
  <c r="O97" i="78" l="1"/>
  <c r="L90" i="78" l="1"/>
  <c r="O90" i="78" s="1"/>
  <c r="L96" i="78" l="1"/>
  <c r="L97" i="78" s="1"/>
  <c r="L91" i="78"/>
  <c r="O91" i="78" s="1"/>
  <c r="D96" i="78" l="1"/>
  <c r="P96" i="78" s="1"/>
  <c r="Q96" i="78" s="1"/>
  <c r="L92" i="78"/>
  <c r="L98" i="78" l="1"/>
  <c r="L100" i="78" s="1"/>
  <c r="J122" i="78" s="1"/>
  <c r="M122" i="78" l="1"/>
  <c r="M98" i="78" s="1"/>
  <c r="D120" i="78"/>
  <c r="P120" i="78" s="1"/>
  <c r="Q120" i="78" s="1"/>
  <c r="J123" i="78"/>
  <c r="M123" i="78" s="1"/>
  <c r="F98" i="78" l="1"/>
  <c r="P98" i="78" s="1"/>
  <c r="Q98" i="78" s="1"/>
  <c r="M100" i="78"/>
  <c r="K95" i="78" l="1"/>
  <c r="N94" i="78" s="1"/>
  <c r="O125" i="77" l="1"/>
  <c r="L124" i="77"/>
  <c r="L125" i="77"/>
  <c r="K92" i="78"/>
  <c r="N91" i="78" s="1"/>
  <c r="L126" i="77" l="1"/>
  <c r="O124" i="77"/>
  <c r="O126" i="77" s="1"/>
  <c r="L127" i="77"/>
  <c r="L127" i="20" s="1"/>
  <c r="L125" i="20"/>
  <c r="O125" i="20"/>
  <c r="O127" i="77"/>
  <c r="O127" i="20" s="1"/>
  <c r="Q11" i="79" l="1"/>
  <c r="Q14" i="79" s="1"/>
  <c r="F42" i="79"/>
  <c r="Y42" i="79"/>
  <c r="N42" i="79"/>
  <c r="AG42" i="79"/>
  <c r="V9" i="79"/>
  <c r="N93" i="78"/>
  <c r="K93" i="78" s="1"/>
  <c r="D93" i="78" s="1"/>
  <c r="P93" i="78" s="1"/>
  <c r="Q93" i="78" s="1"/>
  <c r="S9" i="60" l="1"/>
  <c r="S9" i="59"/>
  <c r="K92" i="77" s="1"/>
  <c r="U11" i="79"/>
  <c r="R11" i="59" s="1"/>
  <c r="V11" i="79"/>
  <c r="V10" i="79"/>
  <c r="R11" i="60"/>
  <c r="U13" i="60"/>
  <c r="S12" i="60"/>
  <c r="U14" i="79"/>
  <c r="S14" i="79"/>
  <c r="V13" i="79"/>
  <c r="R9" i="60"/>
  <c r="V14" i="79"/>
  <c r="N90" i="78"/>
  <c r="K90" i="78" s="1"/>
  <c r="D90" i="78" s="1"/>
  <c r="P90" i="78" s="1"/>
  <c r="S11" i="60" l="1"/>
  <c r="S11" i="59"/>
  <c r="K91" i="77"/>
  <c r="K91" i="20" s="1"/>
  <c r="B135" i="50" s="1"/>
  <c r="N91" i="77"/>
  <c r="N91" i="20" s="1"/>
  <c r="K92" i="20"/>
  <c r="B134" i="50" s="1"/>
  <c r="S14" i="59"/>
  <c r="T14" i="79"/>
  <c r="X14" i="79" s="1"/>
  <c r="S10" i="60"/>
  <c r="S10" i="59"/>
  <c r="K95" i="77" s="1"/>
  <c r="U10" i="60"/>
  <c r="D164" i="79"/>
  <c r="D44" i="60" s="1"/>
  <c r="C164" i="79"/>
  <c r="C44" i="60" s="1"/>
  <c r="T10" i="60"/>
  <c r="U9" i="60"/>
  <c r="D166" i="79"/>
  <c r="D46" i="60" s="1"/>
  <c r="T13" i="60"/>
  <c r="S14" i="60"/>
  <c r="S13" i="59"/>
  <c r="K96" i="77" s="1"/>
  <c r="S13" i="60"/>
  <c r="W14" i="79"/>
  <c r="B164" i="79"/>
  <c r="B44" i="60" s="1"/>
  <c r="T9" i="60"/>
  <c r="R14" i="59"/>
  <c r="E164" i="79"/>
  <c r="E44" i="60" s="1"/>
  <c r="R14" i="60"/>
  <c r="Q90" i="78"/>
  <c r="N94" i="77" l="1"/>
  <c r="N94" i="20" s="1"/>
  <c r="K94" i="77"/>
  <c r="K94" i="20" s="1"/>
  <c r="B140" i="50" s="1"/>
  <c r="K95" i="20"/>
  <c r="B139" i="50" s="1"/>
  <c r="U14" i="59"/>
  <c r="U14" i="60"/>
  <c r="T11" i="60"/>
  <c r="B166" i="79"/>
  <c r="T14" i="59"/>
  <c r="E166" i="79"/>
  <c r="E46" i="60" s="1"/>
  <c r="T14" i="60"/>
  <c r="K97" i="77"/>
  <c r="N97" i="77" s="1"/>
  <c r="N96" i="77"/>
  <c r="K96" i="20"/>
  <c r="B145" i="50" s="1"/>
  <c r="B46" i="60" l="1"/>
  <c r="K97" i="78"/>
  <c r="N96" i="20"/>
  <c r="N97" i="78" l="1"/>
  <c r="N97" i="20" s="1"/>
  <c r="K97" i="20"/>
  <c r="AF86" i="60" l="1"/>
  <c r="AE86" i="60"/>
  <c r="AC86" i="60"/>
  <c r="AD86" i="60"/>
  <c r="AF80" i="60" l="1"/>
  <c r="B315" i="50" s="1"/>
  <c r="AD84" i="60"/>
  <c r="AF83" i="60"/>
  <c r="AE84" i="60"/>
  <c r="AC85" i="60"/>
  <c r="AD80" i="60"/>
  <c r="B313" i="50" s="1"/>
  <c r="AD83" i="60"/>
  <c r="AE80" i="60"/>
  <c r="B314" i="50" s="1"/>
  <c r="AE83" i="60"/>
  <c r="AC80" i="60"/>
  <c r="B312" i="50" s="1"/>
  <c r="AF85" i="60"/>
  <c r="AC83" i="60"/>
  <c r="AD85" i="60"/>
  <c r="AF84" i="60"/>
  <c r="AE85" i="60"/>
  <c r="AC84" i="60"/>
  <c r="AF82" i="60" l="1"/>
  <c r="B350" i="50" s="1"/>
  <c r="AC82" i="60"/>
  <c r="B347" i="50" s="1"/>
  <c r="AE82" i="60"/>
  <c r="B349" i="50" s="1"/>
  <c r="AD82" i="60"/>
  <c r="B348" i="50" s="1"/>
  <c r="AC79" i="60" l="1"/>
  <c r="AF79" i="60"/>
  <c r="AE79" i="60"/>
  <c r="AC81" i="60"/>
  <c r="B277" i="50" s="1"/>
  <c r="AF81" i="60"/>
  <c r="B280" i="50" s="1"/>
  <c r="AD79" i="60"/>
  <c r="AE81" i="60"/>
  <c r="B279" i="50" s="1"/>
  <c r="AD81" i="60"/>
  <c r="B278" i="50" s="1"/>
  <c r="J4" i="2" l="1"/>
  <c r="L4" i="2" l="1"/>
  <c r="L124" i="78" l="1"/>
  <c r="O124" i="78" s="1"/>
  <c r="O126" i="78" l="1"/>
  <c r="O126" i="20" s="1"/>
  <c r="O124" i="20"/>
  <c r="U16" i="79" s="1"/>
  <c r="L126" i="78"/>
  <c r="L126" i="20" s="1"/>
  <c r="L124" i="20"/>
  <c r="C49" i="79" l="1"/>
  <c r="J53" i="79" s="1"/>
  <c r="R16" i="80"/>
  <c r="R16" i="60" s="1"/>
  <c r="B22" i="50"/>
  <c r="J126" i="78"/>
  <c r="C53" i="79" l="1"/>
  <c r="J50" i="79"/>
  <c r="P49" i="79"/>
  <c r="E49" i="79"/>
  <c r="U51" i="79"/>
  <c r="V48" i="79" s="1"/>
  <c r="S54" i="79" s="1"/>
  <c r="E52" i="79" s="1"/>
  <c r="R16" i="59"/>
  <c r="J127" i="78"/>
  <c r="D124" i="78"/>
  <c r="M126" i="78"/>
  <c r="L99" i="78" l="1"/>
  <c r="L101" i="78" s="1"/>
  <c r="S53" i="79"/>
  <c r="E51" i="79" s="1"/>
  <c r="M99" i="78"/>
  <c r="P124" i="78"/>
  <c r="M127" i="78"/>
  <c r="E53" i="79" l="1"/>
  <c r="P52" i="79"/>
  <c r="B62" i="79" s="1"/>
  <c r="X15" i="79" s="1"/>
  <c r="P51" i="79"/>
  <c r="B61" i="79" s="1"/>
  <c r="W15" i="79" s="1"/>
  <c r="Q124" i="78"/>
  <c r="F99" i="78"/>
  <c r="M101" i="78"/>
  <c r="U15" i="80" l="1"/>
  <c r="U15" i="60" s="1"/>
  <c r="U15" i="59"/>
  <c r="N98" i="77" s="1"/>
  <c r="T15" i="80"/>
  <c r="T15" i="60" s="1"/>
  <c r="T15" i="59"/>
  <c r="O98" i="77" s="1"/>
  <c r="AB49" i="79"/>
  <c r="P53" i="79"/>
  <c r="AB50" i="79"/>
  <c r="O100" i="77" l="1"/>
  <c r="O100" i="20" s="1"/>
  <c r="O98" i="20"/>
  <c r="H59" i="79"/>
  <c r="G59" i="79"/>
  <c r="S11" i="79" s="1"/>
  <c r="W11" i="79" s="1"/>
  <c r="T11" i="59" s="1"/>
  <c r="H60" i="79"/>
  <c r="G60" i="79"/>
  <c r="U11" i="80" s="1"/>
  <c r="U11" i="60" s="1"/>
  <c r="E98" i="77"/>
  <c r="E98" i="20" s="1"/>
  <c r="B107" i="50" s="1"/>
  <c r="N98" i="20"/>
  <c r="B108" i="50" s="1"/>
  <c r="N100" i="77"/>
  <c r="N100" i="20" s="1"/>
  <c r="S12" i="79"/>
  <c r="T12" i="80"/>
  <c r="U12" i="80"/>
  <c r="T12" i="79"/>
  <c r="W12" i="79" l="1"/>
  <c r="O99" i="78"/>
  <c r="N99" i="78"/>
  <c r="K141" i="78" s="1"/>
  <c r="K141" i="20" s="1"/>
  <c r="O101" i="78"/>
  <c r="X12" i="79"/>
  <c r="Y12" i="79"/>
  <c r="U4" i="2"/>
  <c r="E99" i="78" l="1"/>
  <c r="T12" i="59"/>
  <c r="T12" i="60"/>
  <c r="C166" i="79"/>
  <c r="U12" i="60"/>
  <c r="N101" i="78"/>
  <c r="P99" i="78"/>
  <c r="Z12" i="79"/>
  <c r="T120" i="79" s="1"/>
  <c r="U12" i="59"/>
  <c r="V4" i="2"/>
  <c r="C46" i="60" l="1"/>
  <c r="T121" i="79"/>
  <c r="P24" i="78"/>
  <c r="Q99" i="78"/>
  <c r="Q24" i="78" l="1"/>
  <c r="AH86" i="60" l="1"/>
  <c r="AI83" i="60" l="1"/>
  <c r="S80" i="60"/>
  <c r="B302" i="50" s="1"/>
  <c r="AH83" i="60"/>
  <c r="AG80" i="60"/>
  <c r="B316" i="50" s="1"/>
  <c r="AH84" i="60"/>
  <c r="M80" i="60"/>
  <c r="B296" i="50" s="1"/>
  <c r="AJ86" i="60"/>
  <c r="AG86" i="60"/>
  <c r="AI86" i="60"/>
  <c r="AH80" i="60"/>
  <c r="B317" i="50" s="1"/>
  <c r="AA86" i="60"/>
  <c r="AJ83" i="60"/>
  <c r="AG83" i="60"/>
  <c r="P80" i="60"/>
  <c r="B299" i="50" s="1"/>
  <c r="B80" i="60"/>
  <c r="B285" i="50" s="1"/>
  <c r="C80" i="60"/>
  <c r="B286" i="50" s="1"/>
  <c r="R80" i="60"/>
  <c r="B301" i="50" s="1"/>
  <c r="E82" i="60" l="1"/>
  <c r="B323" i="50" s="1"/>
  <c r="F86" i="60"/>
  <c r="I79" i="60"/>
  <c r="K80" i="60"/>
  <c r="B294" i="50" s="1"/>
  <c r="Q80" i="60"/>
  <c r="B300" i="50" s="1"/>
  <c r="AJ85" i="60"/>
  <c r="AG84" i="60"/>
  <c r="J80" i="60"/>
  <c r="B293" i="50" s="1"/>
  <c r="L80" i="60"/>
  <c r="B295" i="50" s="1"/>
  <c r="AB80" i="60"/>
  <c r="B311" i="50" s="1"/>
  <c r="R82" i="60"/>
  <c r="B336" i="50" s="1"/>
  <c r="Z80" i="60"/>
  <c r="B309" i="50" s="1"/>
  <c r="AI85" i="60"/>
  <c r="AJ84" i="60"/>
  <c r="Y86" i="60"/>
  <c r="I85" i="60"/>
  <c r="N80" i="60"/>
  <c r="B297" i="50" s="1"/>
  <c r="O80" i="60"/>
  <c r="B298" i="50" s="1"/>
  <c r="E80" i="60"/>
  <c r="B288" i="50" s="1"/>
  <c r="Z82" i="60"/>
  <c r="B344" i="50" s="1"/>
  <c r="B82" i="60"/>
  <c r="I84" i="60"/>
  <c r="I81" i="60"/>
  <c r="B257" i="50" s="1"/>
  <c r="AJ80" i="60"/>
  <c r="B319" i="50" s="1"/>
  <c r="M82" i="60"/>
  <c r="B331" i="50" s="1"/>
  <c r="AG85" i="60"/>
  <c r="J82" i="60"/>
  <c r="B328" i="50" s="1"/>
  <c r="Y82" i="60" l="1"/>
  <c r="B343" i="50" s="1"/>
  <c r="AB86" i="60"/>
  <c r="C83" i="60"/>
  <c r="AB79" i="60"/>
  <c r="AB85" i="60"/>
  <c r="N79" i="60"/>
  <c r="L86" i="60"/>
  <c r="L79" i="60"/>
  <c r="C79" i="60"/>
  <c r="W81" i="60"/>
  <c r="B271" i="50" s="1"/>
  <c r="Q86" i="60"/>
  <c r="Q85" i="60"/>
  <c r="K81" i="60"/>
  <c r="B259" i="50" s="1"/>
  <c r="O85" i="60"/>
  <c r="M85" i="60"/>
  <c r="E85" i="60"/>
  <c r="E83" i="60"/>
  <c r="AG82" i="60"/>
  <c r="B351" i="50" s="1"/>
  <c r="Z85" i="60"/>
  <c r="J81" i="60"/>
  <c r="B258" i="50" s="1"/>
  <c r="B85" i="60"/>
  <c r="B84" i="60"/>
  <c r="B320" i="50"/>
  <c r="AB84" i="60"/>
  <c r="N83" i="60"/>
  <c r="C84" i="60"/>
  <c r="W85" i="60"/>
  <c r="Q84" i="60"/>
  <c r="K85" i="60"/>
  <c r="K79" i="60"/>
  <c r="O86" i="60"/>
  <c r="O79" i="60"/>
  <c r="M84" i="60"/>
  <c r="M83" i="60"/>
  <c r="E84" i="60"/>
  <c r="Z84" i="60"/>
  <c r="J85" i="60"/>
  <c r="B79" i="60"/>
  <c r="B86" i="60"/>
  <c r="Z86" i="60"/>
  <c r="AH79" i="60"/>
  <c r="AB81" i="60"/>
  <c r="B276" i="50" s="1"/>
  <c r="N85" i="60"/>
  <c r="L83" i="60"/>
  <c r="L84" i="60"/>
  <c r="C85" i="60"/>
  <c r="C86" i="60"/>
  <c r="W83" i="60"/>
  <c r="Q83" i="60"/>
  <c r="Q81" i="60"/>
  <c r="B265" i="50" s="1"/>
  <c r="K86" i="60"/>
  <c r="O81" i="60"/>
  <c r="B263" i="50" s="1"/>
  <c r="O83" i="60"/>
  <c r="U81" i="60"/>
  <c r="B269" i="50" s="1"/>
  <c r="M86" i="60"/>
  <c r="R84" i="60"/>
  <c r="R83" i="60"/>
  <c r="E86" i="60"/>
  <c r="Z79" i="60"/>
  <c r="D80" i="60"/>
  <c r="B287" i="50" s="1"/>
  <c r="J79" i="60"/>
  <c r="J83" i="60"/>
  <c r="B83" i="60"/>
  <c r="N86" i="60"/>
  <c r="W79" i="60"/>
  <c r="AH81" i="60"/>
  <c r="B282" i="50" s="1"/>
  <c r="AI79" i="60"/>
  <c r="AB83" i="60"/>
  <c r="N81" i="60"/>
  <c r="B262" i="50" s="1"/>
  <c r="N84" i="60"/>
  <c r="L81" i="60"/>
  <c r="B260" i="50" s="1"/>
  <c r="L85" i="60"/>
  <c r="W84" i="60"/>
  <c r="W86" i="60"/>
  <c r="Q79" i="60"/>
  <c r="K83" i="60"/>
  <c r="K84" i="60"/>
  <c r="O84" i="60"/>
  <c r="M79" i="60"/>
  <c r="R81" i="60"/>
  <c r="B266" i="50" s="1"/>
  <c r="R79" i="60"/>
  <c r="R85" i="60"/>
  <c r="Z83" i="60"/>
  <c r="AI82" i="60"/>
  <c r="B353" i="50" s="1"/>
  <c r="J86" i="60"/>
  <c r="Z81" i="60"/>
  <c r="B274" i="50" s="1"/>
  <c r="X80" i="60"/>
  <c r="B307" i="50" s="1"/>
  <c r="J84" i="60"/>
  <c r="M81" i="60"/>
  <c r="B261" i="50" s="1"/>
  <c r="R86" i="60"/>
  <c r="U85" i="60"/>
  <c r="E79" i="60"/>
  <c r="I4" i="2"/>
  <c r="K4" i="2"/>
  <c r="D82" i="60" l="1"/>
  <c r="C81" i="60"/>
  <c r="B251" i="50" s="1"/>
  <c r="AI81" i="60"/>
  <c r="B283" i="50" s="1"/>
  <c r="AG81" i="60"/>
  <c r="B281" i="50" s="1"/>
  <c r="B81" i="60"/>
  <c r="B250" i="50" s="1"/>
  <c r="AG79" i="60"/>
  <c r="D84" i="60" l="1"/>
  <c r="D83" i="60"/>
  <c r="D86" i="60"/>
  <c r="D85" i="60"/>
  <c r="B322" i="50"/>
  <c r="D79" i="60"/>
  <c r="L120" i="77" l="1"/>
  <c r="O120" i="77" s="1"/>
  <c r="O120" i="20" s="1"/>
  <c r="U15" i="79" s="1"/>
  <c r="R15" i="80" s="1"/>
  <c r="R15" i="59" s="1"/>
  <c r="L98" i="77" s="1"/>
  <c r="L100" i="77" s="1"/>
  <c r="J122" i="77" s="1"/>
  <c r="J122" i="20" s="1"/>
  <c r="L121" i="77"/>
  <c r="O121" i="77"/>
  <c r="R15" i="60" l="1"/>
  <c r="J123" i="77"/>
  <c r="J123" i="20" s="1"/>
  <c r="M122" i="77"/>
  <c r="M98" i="77" s="1"/>
  <c r="L98" i="20"/>
  <c r="B18" i="50"/>
  <c r="D120" i="77"/>
  <c r="P120" i="77" s="1"/>
  <c r="L100" i="20"/>
  <c r="B49" i="79"/>
  <c r="I53" i="79" s="1"/>
  <c r="O122" i="77"/>
  <c r="O122" i="20" s="1"/>
  <c r="L122" i="77"/>
  <c r="L122" i="20" s="1"/>
  <c r="L120" i="20"/>
  <c r="M123" i="77"/>
  <c r="M123" i="20" s="1"/>
  <c r="O123" i="77"/>
  <c r="O123" i="20" s="1"/>
  <c r="O121" i="20"/>
  <c r="L121" i="20"/>
  <c r="L123" i="77"/>
  <c r="L123" i="20" s="1"/>
  <c r="D120" i="20"/>
  <c r="B100" i="50" s="1"/>
  <c r="B59" i="79"/>
  <c r="M122" i="20" l="1"/>
  <c r="O48" i="79"/>
  <c r="B63" i="79"/>
  <c r="I50" i="79"/>
  <c r="B53" i="79"/>
  <c r="AG51" i="79"/>
  <c r="AH48" i="79" s="1"/>
  <c r="AE54" i="79" s="1"/>
  <c r="B19" i="50"/>
  <c r="U28" i="20"/>
  <c r="F98" i="77"/>
  <c r="M98" i="20"/>
  <c r="M100" i="77"/>
  <c r="M100" i="20" s="1"/>
  <c r="P120" i="20"/>
  <c r="Q120" i="77"/>
  <c r="Q120" i="20" s="1"/>
  <c r="C58" i="79" l="1"/>
  <c r="T16" i="79" s="1"/>
  <c r="O52" i="79"/>
  <c r="C62" i="79" s="1"/>
  <c r="X16" i="79" s="1"/>
  <c r="O51" i="79"/>
  <c r="O50" i="79"/>
  <c r="C60" i="79" s="1"/>
  <c r="O49" i="79"/>
  <c r="C59" i="79" s="1"/>
  <c r="AE53" i="79"/>
  <c r="B109" i="50"/>
  <c r="P98" i="77"/>
  <c r="F98" i="20"/>
  <c r="C61" i="79" l="1"/>
  <c r="W16" i="79" s="1"/>
  <c r="O53" i="79"/>
  <c r="C63" i="79" s="1"/>
  <c r="U16" i="80"/>
  <c r="U16" i="60" s="1"/>
  <c r="U16" i="59"/>
  <c r="N99" i="77" s="1"/>
  <c r="Q16" i="80"/>
  <c r="Q16" i="60" s="1"/>
  <c r="Q16" i="59"/>
  <c r="P98" i="20"/>
  <c r="Q98" i="77"/>
  <c r="N99" i="20" l="1"/>
  <c r="E99" i="77"/>
  <c r="N101" i="77"/>
  <c r="N101" i="20" s="1"/>
  <c r="B99" i="77"/>
  <c r="B101" i="77"/>
  <c r="B101" i="20" s="1"/>
  <c r="T16" i="80"/>
  <c r="T16" i="60" s="1"/>
  <c r="T16" i="59"/>
  <c r="O99" i="77" s="1"/>
  <c r="Q98" i="20"/>
  <c r="B99" i="20" l="1"/>
  <c r="L99" i="77"/>
  <c r="O101" i="77"/>
  <c r="O101" i="20" s="1"/>
  <c r="O99" i="20"/>
  <c r="E99" i="20"/>
  <c r="B110" i="50" s="1"/>
  <c r="B111" i="50"/>
  <c r="AB28" i="20"/>
  <c r="A102" i="19" l="1"/>
  <c r="K109" i="19" s="1"/>
  <c r="L101" i="77"/>
  <c r="L99" i="20"/>
  <c r="J126" i="77" l="1"/>
  <c r="L101" i="20"/>
  <c r="L90" i="77"/>
  <c r="L90" i="20" s="1"/>
  <c r="B133" i="50" s="1"/>
  <c r="L93" i="77"/>
  <c r="L93" i="20" s="1"/>
  <c r="Q10" i="79" s="1"/>
  <c r="C82" i="60"/>
  <c r="F82" i="60"/>
  <c r="B324" i="50" s="1"/>
  <c r="G82" i="60"/>
  <c r="B325" i="50" s="1"/>
  <c r="H82" i="60"/>
  <c r="B326" i="50" s="1"/>
  <c r="I82" i="60"/>
  <c r="K82" i="60"/>
  <c r="L82" i="60"/>
  <c r="B330" i="50" s="1"/>
  <c r="N82" i="60"/>
  <c r="B332" i="50" s="1"/>
  <c r="O82" i="60"/>
  <c r="P82" i="60"/>
  <c r="Q82" i="60"/>
  <c r="B335" i="50" s="1"/>
  <c r="S82" i="60"/>
  <c r="B337" i="50" s="1"/>
  <c r="T82" i="60"/>
  <c r="U82" i="60"/>
  <c r="V82" i="60"/>
  <c r="B340" i="50" s="1"/>
  <c r="W82" i="60"/>
  <c r="B341" i="50" s="1"/>
  <c r="X82" i="60"/>
  <c r="AA82" i="60"/>
  <c r="AB82" i="60"/>
  <c r="AH82" i="60"/>
  <c r="B352" i="50" s="1"/>
  <c r="AJ82" i="60"/>
  <c r="T11" i="79"/>
  <c r="AC11" i="79" s="1"/>
  <c r="AA11" i="79" s="1"/>
  <c r="Q12" i="79"/>
  <c r="V12" i="79"/>
  <c r="S12" i="59" s="1"/>
  <c r="X13" i="79"/>
  <c r="B321" i="50"/>
  <c r="D81" i="60"/>
  <c r="B252" i="50" s="1"/>
  <c r="E81" i="60"/>
  <c r="B253" i="50" s="1"/>
  <c r="X86" i="60"/>
  <c r="AJ79" i="60"/>
  <c r="U79" i="60"/>
  <c r="X79" i="60"/>
  <c r="U84" i="60"/>
  <c r="X85" i="60"/>
  <c r="X83" i="60"/>
  <c r="X81" i="60"/>
  <c r="B272" i="50" s="1"/>
  <c r="U86" i="60"/>
  <c r="U83" i="60"/>
  <c r="X84" i="60"/>
  <c r="AJ81" i="60"/>
  <c r="B284" i="50" s="1"/>
  <c r="S81" i="60"/>
  <c r="B267" i="50" s="1"/>
  <c r="P83" i="60"/>
  <c r="Y85" i="60"/>
  <c r="G85" i="60"/>
  <c r="S83" i="60"/>
  <c r="P86" i="60"/>
  <c r="H83" i="60"/>
  <c r="I83" i="60"/>
  <c r="P84" i="60"/>
  <c r="G79" i="60"/>
  <c r="S85" i="60"/>
  <c r="G86" i="60"/>
  <c r="S79" i="60"/>
  <c r="Y83" i="60"/>
  <c r="P79" i="60"/>
  <c r="G83" i="60"/>
  <c r="S84" i="60"/>
  <c r="B354" i="50"/>
  <c r="B342" i="50"/>
  <c r="P81" i="60"/>
  <c r="B264" i="50" s="1"/>
  <c r="Y84" i="60"/>
  <c r="H86" i="60"/>
  <c r="H79" i="60"/>
  <c r="F79" i="60"/>
  <c r="G84" i="60"/>
  <c r="Y79" i="60"/>
  <c r="Y81" i="60"/>
  <c r="B273" i="50" s="1"/>
  <c r="G81" i="60"/>
  <c r="B255" i="50" s="1"/>
  <c r="F83" i="60"/>
  <c r="S86" i="60"/>
  <c r="B346" i="50"/>
  <c r="B329" i="50"/>
  <c r="B333" i="50"/>
  <c r="B339" i="50"/>
  <c r="H81" i="60"/>
  <c r="B256" i="50" s="1"/>
  <c r="P85" i="60"/>
  <c r="U80" i="60"/>
  <c r="B304" i="50" s="1"/>
  <c r="W80" i="60"/>
  <c r="B306" i="50" s="1"/>
  <c r="F84" i="60"/>
  <c r="H85" i="60"/>
  <c r="I86" i="60"/>
  <c r="F81" i="60"/>
  <c r="B254" i="50" s="1"/>
  <c r="H84" i="60"/>
  <c r="F85" i="60"/>
  <c r="AA84" i="60"/>
  <c r="T81" i="60"/>
  <c r="B268" i="50" s="1"/>
  <c r="AA81" i="60"/>
  <c r="B275" i="50" s="1"/>
  <c r="V84" i="60"/>
  <c r="AA80" i="60"/>
  <c r="B310" i="50" s="1"/>
  <c r="T83" i="60"/>
  <c r="B334" i="50"/>
  <c r="F80" i="60"/>
  <c r="B289" i="50" s="1"/>
  <c r="T85" i="60"/>
  <c r="V86" i="60"/>
  <c r="AA79" i="60"/>
  <c r="T79" i="60"/>
  <c r="B327" i="50"/>
  <c r="T80" i="60"/>
  <c r="B303" i="50" s="1"/>
  <c r="I80" i="60"/>
  <c r="B292" i="50" s="1"/>
  <c r="V85" i="60"/>
  <c r="AI80" i="60"/>
  <c r="B318" i="50" s="1"/>
  <c r="T86" i="60"/>
  <c r="AA85" i="60"/>
  <c r="V81" i="60"/>
  <c r="B270" i="50" s="1"/>
  <c r="AH85" i="60"/>
  <c r="V80" i="60"/>
  <c r="B305" i="50" s="1"/>
  <c r="V79" i="60"/>
  <c r="T84" i="60"/>
  <c r="V83" i="60"/>
  <c r="AA83" i="60"/>
  <c r="G80" i="60"/>
  <c r="B290" i="50" s="1"/>
  <c r="H80" i="60"/>
  <c r="B291" i="50" s="1"/>
  <c r="AI84" i="60"/>
  <c r="B345" i="50"/>
  <c r="B338" i="50"/>
  <c r="Y80" i="60"/>
  <c r="B308" i="50" s="1"/>
  <c r="K96" i="78"/>
  <c r="N96" i="78" s="1"/>
  <c r="Y11" i="79"/>
  <c r="U13" i="59"/>
  <c r="R13" i="60"/>
  <c r="R10" i="60"/>
  <c r="R12" i="60"/>
  <c r="L91" i="77" l="1"/>
  <c r="L91" i="20" s="1"/>
  <c r="O90" i="77"/>
  <c r="O90" i="20" s="1"/>
  <c r="O93" i="77"/>
  <c r="O93" i="20" s="1"/>
  <c r="L94" i="77"/>
  <c r="O94" i="77" s="1"/>
  <c r="O94" i="20" s="1"/>
  <c r="B138" i="50"/>
  <c r="J126" i="20"/>
  <c r="D124" i="77"/>
  <c r="M126" i="77"/>
  <c r="J127" i="77"/>
  <c r="F78" i="60"/>
  <c r="L92" i="77"/>
  <c r="L92" i="20" s="1"/>
  <c r="X11" i="79"/>
  <c r="O91" i="77"/>
  <c r="O91" i="20" s="1"/>
  <c r="U12" i="79"/>
  <c r="AC12" i="79"/>
  <c r="AB12" i="79" s="1"/>
  <c r="U10" i="79"/>
  <c r="Z42" i="79"/>
  <c r="V42" i="79" s="1"/>
  <c r="T10" i="79" s="1"/>
  <c r="S10" i="79"/>
  <c r="W10" i="79" s="1"/>
  <c r="Q9" i="79"/>
  <c r="M8" i="79"/>
  <c r="L14" i="79"/>
  <c r="AB11" i="79"/>
  <c r="L94" i="20" l="1"/>
  <c r="L95" i="77"/>
  <c r="L95" i="20" s="1"/>
  <c r="M127" i="77"/>
  <c r="M127" i="20" s="1"/>
  <c r="J127" i="20"/>
  <c r="M126" i="20"/>
  <c r="B16" i="50" s="1"/>
  <c r="M99" i="77"/>
  <c r="P124" i="77"/>
  <c r="D124" i="20"/>
  <c r="B21" i="50"/>
  <c r="U27" i="20"/>
  <c r="Z11" i="79"/>
  <c r="V120" i="79" s="1"/>
  <c r="V121" i="79" s="1"/>
  <c r="U11" i="59"/>
  <c r="R12" i="59"/>
  <c r="K12" i="79"/>
  <c r="J12" i="79" s="1"/>
  <c r="AA12" i="79"/>
  <c r="AE42" i="79"/>
  <c r="W42" i="79"/>
  <c r="AH42" i="79"/>
  <c r="AD42" i="79" s="1"/>
  <c r="T10" i="59"/>
  <c r="Y10" i="79"/>
  <c r="L15" i="79"/>
  <c r="L7" i="79"/>
  <c r="D42" i="38" s="1"/>
  <c r="H42" i="38" s="1"/>
  <c r="I41" i="79"/>
  <c r="I42" i="79" s="1"/>
  <c r="AJ41" i="79"/>
  <c r="AJ42" i="79" s="1"/>
  <c r="R10" i="59"/>
  <c r="Q41" i="79"/>
  <c r="Q42" i="79" s="1"/>
  <c r="AB41" i="79"/>
  <c r="AB42" i="79" s="1"/>
  <c r="Q13" i="79"/>
  <c r="G42" i="79"/>
  <c r="C42" i="79" s="1"/>
  <c r="T9" i="79" s="1"/>
  <c r="X10" i="79" s="1"/>
  <c r="S9" i="79"/>
  <c r="W9" i="79" s="1"/>
  <c r="U9" i="79"/>
  <c r="R9" i="59" s="1"/>
  <c r="L8" i="79" l="1"/>
  <c r="D167" i="79" s="1"/>
  <c r="D47" i="60" s="1"/>
  <c r="F99" i="77"/>
  <c r="M101" i="77"/>
  <c r="M101" i="20" s="1"/>
  <c r="M99" i="20"/>
  <c r="B112" i="50" s="1"/>
  <c r="AB27" i="20"/>
  <c r="B104" i="50"/>
  <c r="P124" i="20"/>
  <c r="Q124" i="77"/>
  <c r="Q124" i="20" s="1"/>
  <c r="E71" i="79"/>
  <c r="L12" i="79" s="1"/>
  <c r="M12" i="79" s="1"/>
  <c r="T141" i="79" s="1"/>
  <c r="K42" i="38"/>
  <c r="B246" i="50"/>
  <c r="U13" i="79"/>
  <c r="S13" i="79"/>
  <c r="D42" i="79"/>
  <c r="O42" i="79"/>
  <c r="K42" i="79" s="1"/>
  <c r="L42" i="79"/>
  <c r="T9" i="59"/>
  <c r="X9" i="79"/>
  <c r="K10" i="79" s="1"/>
  <c r="Y9" i="79"/>
  <c r="Z10" i="79"/>
  <c r="D120" i="79" s="1"/>
  <c r="D121" i="79" s="1"/>
  <c r="U10" i="59"/>
  <c r="N93" i="77" s="1"/>
  <c r="D165" i="79" l="1"/>
  <c r="D45" i="60" s="1"/>
  <c r="E72" i="79"/>
  <c r="B42" i="79"/>
  <c r="J42" i="79" s="1"/>
  <c r="C167" i="79"/>
  <c r="C47" i="60" s="1"/>
  <c r="U42" i="79"/>
  <c r="AC42" i="79" s="1"/>
  <c r="B165" i="79"/>
  <c r="B45" i="60" s="1"/>
  <c r="B167" i="79"/>
  <c r="C165" i="79"/>
  <c r="C45" i="60" s="1"/>
  <c r="E165" i="79"/>
  <c r="E45" i="60" s="1"/>
  <c r="E167" i="79"/>
  <c r="E47" i="60" s="1"/>
  <c r="A100" i="19"/>
  <c r="C109" i="19" s="1"/>
  <c r="A84" i="19"/>
  <c r="C91" i="19" s="1"/>
  <c r="A104" i="19"/>
  <c r="X120" i="79"/>
  <c r="X121" i="79" s="1"/>
  <c r="T149" i="79"/>
  <c r="U149" i="79" s="1"/>
  <c r="S72" i="79"/>
  <c r="R71" i="79" s="1"/>
  <c r="S71" i="79" s="1"/>
  <c r="F99" i="20"/>
  <c r="P99" i="77"/>
  <c r="J10" i="79"/>
  <c r="T125" i="79"/>
  <c r="U9" i="59"/>
  <c r="N90" i="77" s="1"/>
  <c r="Z9" i="79"/>
  <c r="B120" i="79" s="1"/>
  <c r="L10" i="79"/>
  <c r="M10" i="79" s="1"/>
  <c r="R13" i="59"/>
  <c r="L96" i="77" s="1"/>
  <c r="W13" i="79"/>
  <c r="T13" i="59" s="1"/>
  <c r="K93" i="77"/>
  <c r="N93" i="20"/>
  <c r="U141" i="79"/>
  <c r="V141" i="79"/>
  <c r="AI206" i="79" s="1"/>
  <c r="AI86" i="59" s="1"/>
  <c r="AJ141" i="79"/>
  <c r="AJ142" i="79"/>
  <c r="AD142" i="79"/>
  <c r="T142" i="79"/>
  <c r="X141" i="79"/>
  <c r="AD141" i="79"/>
  <c r="B47" i="60"/>
  <c r="T133" i="79"/>
  <c r="H44" i="38"/>
  <c r="G44" i="38"/>
  <c r="K44" i="38"/>
  <c r="C46" i="38"/>
  <c r="F44" i="38"/>
  <c r="J44" i="38"/>
  <c r="C44" i="38"/>
  <c r="C45" i="38"/>
  <c r="C77" i="38" s="1"/>
  <c r="E44" i="38"/>
  <c r="I44" i="38"/>
  <c r="J46" i="38"/>
  <c r="K46" i="38"/>
  <c r="G45" i="38"/>
  <c r="F46" i="38"/>
  <c r="E46" i="38"/>
  <c r="H46" i="38"/>
  <c r="K45" i="38"/>
  <c r="G46" i="38"/>
  <c r="J45" i="38"/>
  <c r="J77" i="38" s="1"/>
  <c r="I45" i="38"/>
  <c r="F45" i="38"/>
  <c r="E45" i="38"/>
  <c r="I46" i="38"/>
  <c r="H45" i="38"/>
  <c r="H77" i="38" s="1"/>
  <c r="H40" i="60" l="1"/>
  <c r="H160" i="79"/>
  <c r="N72" i="79"/>
  <c r="I71" i="79" s="1"/>
  <c r="AJ150" i="79"/>
  <c r="AJ149" i="79"/>
  <c r="T150" i="79"/>
  <c r="X149" i="79"/>
  <c r="AJ200" i="79" s="1"/>
  <c r="AJ80" i="59" s="1"/>
  <c r="B475" i="50" s="1"/>
  <c r="AD150" i="79"/>
  <c r="V149" i="79"/>
  <c r="AJ206" i="79" s="1"/>
  <c r="AJ86" i="59" s="1"/>
  <c r="AD149" i="79"/>
  <c r="P99" i="20"/>
  <c r="Q99" i="77"/>
  <c r="Q99" i="20" s="1"/>
  <c r="AD138" i="79"/>
  <c r="AA144" i="79" s="1"/>
  <c r="E77" i="38"/>
  <c r="I77" i="38"/>
  <c r="D44" i="38"/>
  <c r="D46" i="38" s="1"/>
  <c r="D48" i="38" s="1"/>
  <c r="B141" i="79"/>
  <c r="B133" i="79"/>
  <c r="B149" i="79"/>
  <c r="F77" i="38"/>
  <c r="K77" i="38"/>
  <c r="G77" i="38"/>
  <c r="C76" i="38"/>
  <c r="C47" i="38"/>
  <c r="C48" i="38"/>
  <c r="K76" i="38"/>
  <c r="K47" i="38"/>
  <c r="K48" i="38"/>
  <c r="X133" i="79"/>
  <c r="U133" i="79" s="1"/>
  <c r="V133" i="79" s="1"/>
  <c r="AH206" i="79" s="1"/>
  <c r="AH86" i="59" s="1"/>
  <c r="AJ133" i="79"/>
  <c r="AD133" i="79"/>
  <c r="AJ134" i="79"/>
  <c r="T134" i="79"/>
  <c r="AD134" i="79"/>
  <c r="X142" i="79"/>
  <c r="AI200" i="79"/>
  <c r="AI80" i="59" s="1"/>
  <c r="B474" i="50" s="1"/>
  <c r="AJ138" i="79"/>
  <c r="D93" i="77"/>
  <c r="K93" i="20"/>
  <c r="B137" i="50" s="1"/>
  <c r="F120" i="79"/>
  <c r="F121" i="79" s="1"/>
  <c r="B121" i="79"/>
  <c r="I76" i="38"/>
  <c r="I47" i="38"/>
  <c r="I48" i="38"/>
  <c r="J76" i="38"/>
  <c r="J48" i="38"/>
  <c r="J47" i="38"/>
  <c r="G76" i="38"/>
  <c r="G47" i="38"/>
  <c r="G48" i="38"/>
  <c r="K90" i="77"/>
  <c r="N90" i="20"/>
  <c r="E76" i="38"/>
  <c r="E48" i="38"/>
  <c r="E47" i="38"/>
  <c r="E79" i="38" s="1"/>
  <c r="F76" i="38"/>
  <c r="F47" i="38"/>
  <c r="F48" i="38"/>
  <c r="H76" i="38"/>
  <c r="H48" i="38"/>
  <c r="H47" i="38"/>
  <c r="W141" i="79"/>
  <c r="AI205" i="79" s="1"/>
  <c r="AI204" i="79"/>
  <c r="AI84" i="59" s="1"/>
  <c r="AI203" i="79"/>
  <c r="AI83" i="59" s="1"/>
  <c r="O96" i="77"/>
  <c r="L96" i="20"/>
  <c r="L97" i="77"/>
  <c r="AJ203" i="79"/>
  <c r="AJ83" i="59" s="1"/>
  <c r="W149" i="79"/>
  <c r="AJ205" i="79" s="1"/>
  <c r="AJ204" i="79"/>
  <c r="AJ84" i="59" s="1"/>
  <c r="AD126" i="79"/>
  <c r="X125" i="79"/>
  <c r="AD125" i="79"/>
  <c r="AJ126" i="79"/>
  <c r="AJ125" i="79"/>
  <c r="T126" i="79"/>
  <c r="I72" i="79" l="1"/>
  <c r="J72" i="79" s="1"/>
  <c r="B125" i="79"/>
  <c r="L125" i="79" s="1"/>
  <c r="X150" i="79"/>
  <c r="AJ146" i="79"/>
  <c r="AG152" i="79" s="1"/>
  <c r="AA143" i="79"/>
  <c r="AD122" i="79"/>
  <c r="AA127" i="79" s="1"/>
  <c r="U125" i="79" s="1"/>
  <c r="AD146" i="79"/>
  <c r="G79" i="38"/>
  <c r="AD130" i="79"/>
  <c r="AA136" i="79" s="1"/>
  <c r="D76" i="38"/>
  <c r="D74" i="38" s="1"/>
  <c r="AJ122" i="79"/>
  <c r="AG127" i="79" s="1"/>
  <c r="D45" i="38"/>
  <c r="D77" i="38" s="1"/>
  <c r="F74" i="38"/>
  <c r="F75" i="38"/>
  <c r="F78" i="38"/>
  <c r="F80" i="38"/>
  <c r="J71" i="79"/>
  <c r="B76" i="79"/>
  <c r="I74" i="38"/>
  <c r="I80" i="38"/>
  <c r="I78" i="38"/>
  <c r="I75" i="38"/>
  <c r="K74" i="38"/>
  <c r="K80" i="38"/>
  <c r="K78" i="38"/>
  <c r="K75" i="38"/>
  <c r="C149" i="79"/>
  <c r="D149" i="79"/>
  <c r="AF206" i="79" s="1"/>
  <c r="AF86" i="59" s="1"/>
  <c r="R150" i="79"/>
  <c r="L149" i="79"/>
  <c r="B150" i="79"/>
  <c r="L150" i="79"/>
  <c r="F149" i="79"/>
  <c r="R149" i="79"/>
  <c r="AG128" i="79"/>
  <c r="J74" i="38"/>
  <c r="J75" i="38"/>
  <c r="J78" i="38"/>
  <c r="J80" i="38"/>
  <c r="W133" i="79"/>
  <c r="AH205" i="79" s="1"/>
  <c r="AH204" i="79"/>
  <c r="AH84" i="59" s="1"/>
  <c r="C133" i="79"/>
  <c r="D133" i="79"/>
  <c r="AD206" i="79" s="1"/>
  <c r="AD86" i="59" s="1"/>
  <c r="R134" i="79"/>
  <c r="F133" i="79"/>
  <c r="B134" i="79"/>
  <c r="L133" i="79"/>
  <c r="R133" i="79"/>
  <c r="R130" i="79" s="1"/>
  <c r="L134" i="79"/>
  <c r="AG200" i="79"/>
  <c r="AG80" i="59" s="1"/>
  <c r="B472" i="50" s="1"/>
  <c r="X126" i="79"/>
  <c r="O97" i="77"/>
  <c r="O97" i="20" s="1"/>
  <c r="L97" i="20"/>
  <c r="H74" i="38"/>
  <c r="H78" i="38"/>
  <c r="H75" i="38"/>
  <c r="H80" i="38"/>
  <c r="AI202" i="79"/>
  <c r="AI85" i="59"/>
  <c r="G74" i="38"/>
  <c r="G80" i="38"/>
  <c r="G75" i="38"/>
  <c r="G78" i="38"/>
  <c r="P93" i="77"/>
  <c r="D93" i="20"/>
  <c r="AJ130" i="79"/>
  <c r="C79" i="38"/>
  <c r="D47" i="38"/>
  <c r="D79" i="38" s="1"/>
  <c r="C141" i="79"/>
  <c r="D141" i="79"/>
  <c r="AE206" i="79" s="1"/>
  <c r="AE86" i="59" s="1"/>
  <c r="L141" i="79"/>
  <c r="F141" i="79"/>
  <c r="R142" i="79"/>
  <c r="L142" i="79"/>
  <c r="R141" i="79"/>
  <c r="B142" i="79"/>
  <c r="AJ202" i="79"/>
  <c r="AJ85" i="59"/>
  <c r="D96" i="77"/>
  <c r="O96" i="20"/>
  <c r="H79" i="38"/>
  <c r="F79" i="38"/>
  <c r="E74" i="38"/>
  <c r="E75" i="38"/>
  <c r="E78" i="38"/>
  <c r="E80" i="38"/>
  <c r="D90" i="77"/>
  <c r="K90" i="20"/>
  <c r="J79" i="38"/>
  <c r="I79" i="38"/>
  <c r="AG144" i="79"/>
  <c r="AG143" i="79"/>
  <c r="AH200" i="79"/>
  <c r="AH80" i="59" s="1"/>
  <c r="B473" i="50" s="1"/>
  <c r="X134" i="79"/>
  <c r="K79" i="38"/>
  <c r="C74" i="38"/>
  <c r="C80" i="38"/>
  <c r="C78" i="38"/>
  <c r="C75" i="38"/>
  <c r="D80" i="38"/>
  <c r="D78" i="38"/>
  <c r="D75" i="38"/>
  <c r="R125" i="79"/>
  <c r="L126" i="79"/>
  <c r="B126" i="79"/>
  <c r="R126" i="79"/>
  <c r="F125" i="79" l="1"/>
  <c r="C125" i="79" s="1"/>
  <c r="D125" i="79" s="1"/>
  <c r="AC206" i="79" s="1"/>
  <c r="AC86" i="59" s="1"/>
  <c r="AG151" i="79"/>
  <c r="AA135" i="79"/>
  <c r="R146" i="79"/>
  <c r="O152" i="79" s="1"/>
  <c r="AA128" i="79"/>
  <c r="AA151" i="79"/>
  <c r="AA152" i="79"/>
  <c r="L138" i="79"/>
  <c r="I144" i="79" s="1"/>
  <c r="L130" i="79"/>
  <c r="I136" i="79" s="1"/>
  <c r="L146" i="79"/>
  <c r="I151" i="79" s="1"/>
  <c r="L122" i="79"/>
  <c r="W125" i="79"/>
  <c r="AG205" i="79" s="1"/>
  <c r="AG204" i="79"/>
  <c r="AG84" i="59" s="1"/>
  <c r="V125" i="79"/>
  <c r="AG206" i="79" s="1"/>
  <c r="AG86" i="59" s="1"/>
  <c r="R122" i="79"/>
  <c r="P90" i="77"/>
  <c r="D90" i="20"/>
  <c r="P96" i="77"/>
  <c r="D96" i="20"/>
  <c r="AJ82" i="59"/>
  <c r="B510" i="50" s="1"/>
  <c r="AJ199" i="79"/>
  <c r="AJ79" i="59" s="1"/>
  <c r="AJ201" i="79"/>
  <c r="AJ81" i="59" s="1"/>
  <c r="B440" i="50" s="1"/>
  <c r="R138" i="79"/>
  <c r="I143" i="79"/>
  <c r="O136" i="79"/>
  <c r="O135" i="79"/>
  <c r="AH203" i="79"/>
  <c r="AH83" i="59" s="1"/>
  <c r="AC200" i="79"/>
  <c r="AC80" i="59" s="1"/>
  <c r="B468" i="50" s="1"/>
  <c r="F126" i="79"/>
  <c r="I127" i="79"/>
  <c r="I128" i="79"/>
  <c r="AG135" i="79"/>
  <c r="AG136" i="79"/>
  <c r="AI82" i="59"/>
  <c r="B509" i="50" s="1"/>
  <c r="AI201" i="79"/>
  <c r="AI81" i="59" s="1"/>
  <c r="B439" i="50" s="1"/>
  <c r="AI199" i="79"/>
  <c r="AI79" i="59" s="1"/>
  <c r="AH85" i="59"/>
  <c r="E149" i="79"/>
  <c r="AF205" i="79" s="1"/>
  <c r="AF204" i="79"/>
  <c r="AF84" i="59" s="1"/>
  <c r="AF203" i="79"/>
  <c r="AF83" i="59" s="1"/>
  <c r="AE203" i="79"/>
  <c r="AE83" i="59" s="1"/>
  <c r="E141" i="79"/>
  <c r="AE205" i="79" s="1"/>
  <c r="AE204" i="79"/>
  <c r="AE84" i="59" s="1"/>
  <c r="E133" i="79"/>
  <c r="AD205" i="79" s="1"/>
  <c r="AD204" i="79"/>
  <c r="AD84" i="59" s="1"/>
  <c r="AD203" i="79"/>
  <c r="AD83" i="59" s="1"/>
  <c r="O151" i="79"/>
  <c r="I152" i="79"/>
  <c r="B78" i="79"/>
  <c r="B82" i="79" s="1"/>
  <c r="B92" i="79"/>
  <c r="E125" i="79"/>
  <c r="AC205" i="79" s="1"/>
  <c r="AC204" i="79"/>
  <c r="AC84" i="59" s="1"/>
  <c r="G73" i="38"/>
  <c r="Z24" i="20"/>
  <c r="Y24" i="20"/>
  <c r="Y25" i="20" s="1"/>
  <c r="AA24" i="20"/>
  <c r="AA25" i="20" s="1"/>
  <c r="B132" i="50"/>
  <c r="F142" i="79"/>
  <c r="AE200" i="79"/>
  <c r="AE80" i="59" s="1"/>
  <c r="B470" i="50" s="1"/>
  <c r="P93" i="20"/>
  <c r="Q93" i="77"/>
  <c r="Q93" i="20" s="1"/>
  <c r="F134" i="79"/>
  <c r="AD200" i="79"/>
  <c r="AD80" i="59" s="1"/>
  <c r="B469" i="50" s="1"/>
  <c r="AF200" i="79"/>
  <c r="AF80" i="59" s="1"/>
  <c r="B471" i="50" s="1"/>
  <c r="F150" i="79"/>
  <c r="AC203" i="79" l="1"/>
  <c r="AC83" i="59" s="1"/>
  <c r="AH202" i="79"/>
  <c r="AH199" i="79" s="1"/>
  <c r="AH79" i="59" s="1"/>
  <c r="I135" i="79"/>
  <c r="B83" i="79"/>
  <c r="B96" i="79" s="1"/>
  <c r="B77" i="79"/>
  <c r="B74" i="79" s="1"/>
  <c r="C73" i="38"/>
  <c r="B245" i="50"/>
  <c r="B90" i="79"/>
  <c r="AE202" i="79"/>
  <c r="AE85" i="59"/>
  <c r="AF202" i="79"/>
  <c r="AF85" i="59"/>
  <c r="P96" i="20"/>
  <c r="Q96" i="77"/>
  <c r="Q96" i="20" s="1"/>
  <c r="B95" i="79"/>
  <c r="AC85" i="59"/>
  <c r="B73" i="79"/>
  <c r="AD202" i="79"/>
  <c r="AD85" i="59"/>
  <c r="AH82" i="59"/>
  <c r="B508" i="50" s="1"/>
  <c r="P90" i="20"/>
  <c r="Q90" i="77"/>
  <c r="P24" i="77"/>
  <c r="AG203" i="79"/>
  <c r="AG83" i="59" s="1"/>
  <c r="O144" i="79"/>
  <c r="O143" i="79"/>
  <c r="O127" i="79"/>
  <c r="O128" i="79"/>
  <c r="AG85" i="59"/>
  <c r="AH201" i="79" l="1"/>
  <c r="AH81" i="59" s="1"/>
  <c r="B438" i="50" s="1"/>
  <c r="AC202" i="79"/>
  <c r="AC201" i="79" s="1"/>
  <c r="AC81" i="59" s="1"/>
  <c r="B433" i="50" s="1"/>
  <c r="B99" i="79"/>
  <c r="B93" i="79" s="1"/>
  <c r="B94" i="79" s="1"/>
  <c r="B98" i="79" s="1"/>
  <c r="B100" i="79"/>
  <c r="B75" i="79"/>
  <c r="C76" i="79" s="1"/>
  <c r="C92" i="79" s="1"/>
  <c r="P24" i="20"/>
  <c r="U23" i="20" s="1"/>
  <c r="U4" i="8" s="1"/>
  <c r="AG202" i="79"/>
  <c r="AG82" i="59" s="1"/>
  <c r="B507" i="50" s="1"/>
  <c r="B97" i="79"/>
  <c r="Q90" i="20"/>
  <c r="Q24" i="20" s="1"/>
  <c r="U24" i="20" s="1"/>
  <c r="V4" i="8" s="1"/>
  <c r="Q24" i="77"/>
  <c r="AF82" i="59"/>
  <c r="B506" i="50" s="1"/>
  <c r="AF199" i="79"/>
  <c r="AF79" i="59" s="1"/>
  <c r="AF201" i="79"/>
  <c r="AF81" i="59" s="1"/>
  <c r="B436" i="50" s="1"/>
  <c r="AC82" i="59"/>
  <c r="B503" i="50" s="1"/>
  <c r="AD82" i="59"/>
  <c r="B504" i="50" s="1"/>
  <c r="AD201" i="79"/>
  <c r="AD81" i="59" s="1"/>
  <c r="B434" i="50" s="1"/>
  <c r="AD199" i="79"/>
  <c r="AD79" i="59" s="1"/>
  <c r="AE82" i="59"/>
  <c r="B505" i="50" s="1"/>
  <c r="AE199" i="79"/>
  <c r="AE79" i="59" s="1"/>
  <c r="AE201" i="79"/>
  <c r="AE81" i="59" s="1"/>
  <c r="B435" i="50" s="1"/>
  <c r="C78" i="79" l="1"/>
  <c r="C83" i="79" s="1"/>
  <c r="B101" i="79"/>
  <c r="AC199" i="79"/>
  <c r="AC79" i="59" s="1"/>
  <c r="F5" i="7"/>
  <c r="AG199" i="79"/>
  <c r="AG79" i="59" s="1"/>
  <c r="AG201" i="79"/>
  <c r="AG81" i="59" s="1"/>
  <c r="B437" i="50" s="1"/>
  <c r="B103" i="79"/>
  <c r="B102" i="79"/>
  <c r="B105" i="79" s="1"/>
  <c r="C96" i="79"/>
  <c r="C77" i="79"/>
  <c r="C82" i="79"/>
  <c r="C90" i="79"/>
  <c r="B104" i="79" l="1"/>
  <c r="B106" i="79" s="1"/>
  <c r="C99" i="79"/>
  <c r="C100" i="79"/>
  <c r="C95" i="79"/>
  <c r="C73" i="79"/>
  <c r="B84" i="79"/>
  <c r="C74" i="79"/>
  <c r="C75" i="79" s="1"/>
  <c r="D76" i="79" s="1"/>
  <c r="B107" i="79" l="1"/>
  <c r="B109" i="79" s="1"/>
  <c r="B108" i="79"/>
  <c r="D78" i="79"/>
  <c r="D82" i="79" s="1"/>
  <c r="D92" i="79"/>
  <c r="C101" i="79"/>
  <c r="B110" i="79" l="1"/>
  <c r="B111" i="79"/>
  <c r="D77" i="79"/>
  <c r="D74" i="79" s="1"/>
  <c r="D83" i="79"/>
  <c r="D96" i="79" s="1"/>
  <c r="D95" i="79"/>
  <c r="C93" i="79"/>
  <c r="D90" i="79"/>
  <c r="C84" i="79"/>
  <c r="B85" i="79" s="1"/>
  <c r="B112" i="79" l="1"/>
  <c r="B200" i="79" s="1"/>
  <c r="B80" i="59" s="1"/>
  <c r="B441" i="50" s="1"/>
  <c r="D73" i="79"/>
  <c r="D75" i="79" s="1"/>
  <c r="E76" i="79" s="1"/>
  <c r="D99" i="79"/>
  <c r="D100" i="79"/>
  <c r="C97" i="79"/>
  <c r="C94" i="79"/>
  <c r="C98" i="79" s="1"/>
  <c r="C103" i="79" s="1"/>
  <c r="D101" i="79" l="1"/>
  <c r="E92" i="79"/>
  <c r="E90" i="79" s="1"/>
  <c r="E78" i="79"/>
  <c r="E77" i="79" s="1"/>
  <c r="E74" i="79" s="1"/>
  <c r="C102" i="79"/>
  <c r="C104" i="79" s="1"/>
  <c r="B202" i="79"/>
  <c r="C105" i="79"/>
  <c r="D93" i="79"/>
  <c r="E83" i="79" l="1"/>
  <c r="E82" i="79"/>
  <c r="E100" i="79" s="1"/>
  <c r="C106" i="79"/>
  <c r="C107" i="79" s="1"/>
  <c r="C109" i="79" s="1"/>
  <c r="D97" i="79"/>
  <c r="D94" i="79"/>
  <c r="D98" i="79" s="1"/>
  <c r="D103" i="79" s="1"/>
  <c r="D84" i="79"/>
  <c r="C85" i="79" s="1"/>
  <c r="B82" i="59"/>
  <c r="B199" i="79"/>
  <c r="B79" i="59" s="1"/>
  <c r="B205" i="79"/>
  <c r="B85" i="59" s="1"/>
  <c r="B204" i="79"/>
  <c r="B84" i="59" s="1"/>
  <c r="B206" i="79"/>
  <c r="B86" i="59" s="1"/>
  <c r="B203" i="79"/>
  <c r="B83" i="59" s="1"/>
  <c r="E96" i="79"/>
  <c r="E73" i="79"/>
  <c r="E75" i="79" s="1"/>
  <c r="F76" i="79" s="1"/>
  <c r="E95" i="79"/>
  <c r="C108" i="79" l="1"/>
  <c r="E99" i="79"/>
  <c r="E101" i="79" s="1"/>
  <c r="D102" i="79"/>
  <c r="D105" i="79" s="1"/>
  <c r="B201" i="79"/>
  <c r="B81" i="59" s="1"/>
  <c r="B406" i="50" s="1"/>
  <c r="F78" i="79"/>
  <c r="F83" i="79" s="1"/>
  <c r="F96" i="79" s="1"/>
  <c r="F92" i="79"/>
  <c r="F77" i="79"/>
  <c r="F73" i="79"/>
  <c r="C111" i="79"/>
  <c r="C110" i="79"/>
  <c r="B476" i="50"/>
  <c r="D104" i="79" l="1"/>
  <c r="C112" i="79"/>
  <c r="C200" i="79" s="1"/>
  <c r="C80" i="59" s="1"/>
  <c r="B442" i="50" s="1"/>
  <c r="E93" i="79"/>
  <c r="D106" i="79"/>
  <c r="F90" i="79"/>
  <c r="F82" i="79"/>
  <c r="E84" i="79" s="1"/>
  <c r="D85" i="79" s="1"/>
  <c r="F74" i="79"/>
  <c r="F75" i="79" s="1"/>
  <c r="G76" i="79" s="1"/>
  <c r="B113" i="79" l="1"/>
  <c r="E97" i="79"/>
  <c r="E94" i="79"/>
  <c r="E98" i="79" s="1"/>
  <c r="E103" i="79" s="1"/>
  <c r="G77" i="79"/>
  <c r="G92" i="79"/>
  <c r="G78" i="79"/>
  <c r="G82" i="79" s="1"/>
  <c r="G73" i="79"/>
  <c r="C202" i="79"/>
  <c r="F99" i="79"/>
  <c r="F100" i="79"/>
  <c r="F95" i="79"/>
  <c r="D108" i="79"/>
  <c r="D107" i="79"/>
  <c r="D109" i="79" s="1"/>
  <c r="E102" i="79" l="1"/>
  <c r="E104" i="79" s="1"/>
  <c r="G74" i="79"/>
  <c r="G75" i="79" s="1"/>
  <c r="H76" i="79" s="1"/>
  <c r="F101" i="79"/>
  <c r="G90" i="79"/>
  <c r="C82" i="59"/>
  <c r="C205" i="79"/>
  <c r="C85" i="59" s="1"/>
  <c r="C204" i="79"/>
  <c r="C84" i="59" s="1"/>
  <c r="C203" i="79"/>
  <c r="C83" i="59" s="1"/>
  <c r="C206" i="79"/>
  <c r="C86" i="59" s="1"/>
  <c r="C199" i="79"/>
  <c r="C79" i="59" s="1"/>
  <c r="G95" i="79"/>
  <c r="D110" i="79"/>
  <c r="D111" i="79"/>
  <c r="G83" i="79"/>
  <c r="G96" i="79" s="1"/>
  <c r="E105" i="79" l="1"/>
  <c r="E106" i="79" s="1"/>
  <c r="E107" i="79" s="1"/>
  <c r="E109" i="79" s="1"/>
  <c r="C201" i="79"/>
  <c r="C81" i="59" s="1"/>
  <c r="B407" i="50" s="1"/>
  <c r="D112" i="79"/>
  <c r="C113" i="79" s="1"/>
  <c r="H92" i="79"/>
  <c r="H73" i="79"/>
  <c r="H78" i="79"/>
  <c r="H83" i="79" s="1"/>
  <c r="H96" i="79" s="1"/>
  <c r="H77" i="79"/>
  <c r="G100" i="79"/>
  <c r="G99" i="79"/>
  <c r="B477" i="50"/>
  <c r="F84" i="79"/>
  <c r="E85" i="79" s="1"/>
  <c r="D200" i="79" l="1"/>
  <c r="D80" i="59" s="1"/>
  <c r="B443" i="50" s="1"/>
  <c r="E108" i="79"/>
  <c r="E111" i="79" s="1"/>
  <c r="H74" i="79"/>
  <c r="H75" i="79" s="1"/>
  <c r="I76" i="79" s="1"/>
  <c r="G101" i="79"/>
  <c r="H82" i="79"/>
  <c r="G84" i="79" s="1"/>
  <c r="F85" i="79" s="1"/>
  <c r="H90" i="79"/>
  <c r="E110" i="79" l="1"/>
  <c r="E112" i="79" s="1"/>
  <c r="D113" i="79" s="1"/>
  <c r="D202" i="79"/>
  <c r="D204" i="79" s="1"/>
  <c r="D84" i="59" s="1"/>
  <c r="F93" i="79"/>
  <c r="I92" i="79"/>
  <c r="I73" i="79"/>
  <c r="I78" i="79"/>
  <c r="I82" i="79" s="1"/>
  <c r="I77" i="79"/>
  <c r="G93" i="79"/>
  <c r="H99" i="79"/>
  <c r="H100" i="79"/>
  <c r="H95" i="79"/>
  <c r="F97" i="79" l="1"/>
  <c r="F94" i="79"/>
  <c r="F98" i="79" s="1"/>
  <c r="F102" i="79" s="1"/>
  <c r="D206" i="79"/>
  <c r="D86" i="59" s="1"/>
  <c r="D199" i="79"/>
  <c r="D79" i="59" s="1"/>
  <c r="D203" i="79"/>
  <c r="D83" i="59" s="1"/>
  <c r="D205" i="79"/>
  <c r="D85" i="59" s="1"/>
  <c r="D82" i="59"/>
  <c r="B478" i="50" s="1"/>
  <c r="E200" i="79"/>
  <c r="F103" i="79"/>
  <c r="G97" i="79"/>
  <c r="G94" i="79"/>
  <c r="G98" i="79" s="1"/>
  <c r="I95" i="79"/>
  <c r="I90" i="79"/>
  <c r="H101" i="79"/>
  <c r="I74" i="79"/>
  <c r="I75" i="79" s="1"/>
  <c r="J76" i="79" s="1"/>
  <c r="I83" i="79"/>
  <c r="I96" i="79" s="1"/>
  <c r="D201" i="79" l="1"/>
  <c r="D81" i="59" s="1"/>
  <c r="B408" i="50" s="1"/>
  <c r="E80" i="59"/>
  <c r="B444" i="50" s="1"/>
  <c r="E202" i="79"/>
  <c r="G103" i="79"/>
  <c r="F104" i="79"/>
  <c r="F105" i="79"/>
  <c r="H84" i="79"/>
  <c r="G85" i="79" s="1"/>
  <c r="G102" i="79"/>
  <c r="G105" i="79" s="1"/>
  <c r="J77" i="79"/>
  <c r="J92" i="79"/>
  <c r="J73" i="79"/>
  <c r="J78" i="79"/>
  <c r="J83" i="79" s="1"/>
  <c r="J96" i="79" s="1"/>
  <c r="I100" i="79"/>
  <c r="I99" i="79"/>
  <c r="H94" i="79"/>
  <c r="H98" i="79" l="1"/>
  <c r="H93" i="79"/>
  <c r="H97" i="79" s="1"/>
  <c r="E203" i="79"/>
  <c r="E83" i="59" s="1"/>
  <c r="E205" i="79"/>
  <c r="E199" i="79"/>
  <c r="E79" i="59" s="1"/>
  <c r="E82" i="59"/>
  <c r="B479" i="50" s="1"/>
  <c r="E206" i="79"/>
  <c r="E86" i="59" s="1"/>
  <c r="E204" i="79"/>
  <c r="E84" i="59" s="1"/>
  <c r="F106" i="79"/>
  <c r="F108" i="79" s="1"/>
  <c r="G104" i="79"/>
  <c r="G106" i="79" s="1"/>
  <c r="H102" i="79"/>
  <c r="J90" i="79"/>
  <c r="I101" i="79"/>
  <c r="J74" i="79"/>
  <c r="J75" i="79" s="1"/>
  <c r="K76" i="79" s="1"/>
  <c r="J82" i="79"/>
  <c r="I84" i="79" s="1"/>
  <c r="H85" i="79" s="1"/>
  <c r="H103" i="79" l="1"/>
  <c r="E85" i="59"/>
  <c r="E201" i="79"/>
  <c r="E81" i="59" s="1"/>
  <c r="B409" i="50" s="1"/>
  <c r="F107" i="79"/>
  <c r="F109" i="79" s="1"/>
  <c r="F110" i="79" s="1"/>
  <c r="I94" i="79"/>
  <c r="G107" i="79"/>
  <c r="G109" i="79" s="1"/>
  <c r="G108" i="79"/>
  <c r="K92" i="79"/>
  <c r="K73" i="79"/>
  <c r="K78" i="79"/>
  <c r="K83" i="79" s="1"/>
  <c r="K96" i="79" s="1"/>
  <c r="K77" i="79"/>
  <c r="H105" i="79"/>
  <c r="H104" i="79"/>
  <c r="J99" i="79"/>
  <c r="J100" i="79"/>
  <c r="J95" i="79"/>
  <c r="I98" i="79" l="1"/>
  <c r="I93" i="79"/>
  <c r="I97" i="79" s="1"/>
  <c r="I102" i="79" s="1"/>
  <c r="F111" i="79"/>
  <c r="F112" i="79" s="1"/>
  <c r="G111" i="79"/>
  <c r="G110" i="79"/>
  <c r="K74" i="79"/>
  <c r="K75" i="79" s="1"/>
  <c r="L76" i="79" s="1"/>
  <c r="J101" i="79"/>
  <c r="H106" i="79"/>
  <c r="K82" i="79"/>
  <c r="K90" i="79"/>
  <c r="I103" i="79" l="1"/>
  <c r="I104" i="79" s="1"/>
  <c r="I105" i="79"/>
  <c r="F200" i="79"/>
  <c r="E113" i="79"/>
  <c r="G112" i="79"/>
  <c r="L77" i="79"/>
  <c r="L92" i="79"/>
  <c r="L73" i="79"/>
  <c r="L78" i="79"/>
  <c r="L83" i="79" s="1"/>
  <c r="L96" i="79" s="1"/>
  <c r="H107" i="79"/>
  <c r="H109" i="79" s="1"/>
  <c r="H108" i="79"/>
  <c r="K99" i="79"/>
  <c r="K100" i="79"/>
  <c r="K95" i="79"/>
  <c r="J84" i="79"/>
  <c r="I85" i="79" s="1"/>
  <c r="I106" i="79" l="1"/>
  <c r="I107" i="79" s="1"/>
  <c r="I109" i="79" s="1"/>
  <c r="F80" i="59"/>
  <c r="B445" i="50" s="1"/>
  <c r="F202" i="79"/>
  <c r="J93" i="79"/>
  <c r="G200" i="79"/>
  <c r="F113" i="79"/>
  <c r="K101" i="79"/>
  <c r="H110" i="79"/>
  <c r="H111" i="79"/>
  <c r="L74" i="79"/>
  <c r="L75" i="79" s="1"/>
  <c r="M76" i="79" s="1"/>
  <c r="L82" i="79"/>
  <c r="K84" i="79" s="1"/>
  <c r="J85" i="79" s="1"/>
  <c r="L90" i="79"/>
  <c r="I108" i="79" l="1"/>
  <c r="I110" i="79" s="1"/>
  <c r="J97" i="79"/>
  <c r="J94" i="79"/>
  <c r="J98" i="79" s="1"/>
  <c r="F199" i="79"/>
  <c r="F79" i="59" s="1"/>
  <c r="F203" i="79"/>
  <c r="F83" i="59" s="1"/>
  <c r="F206" i="79"/>
  <c r="F86" i="59" s="1"/>
  <c r="F204" i="79"/>
  <c r="F84" i="59" s="1"/>
  <c r="F82" i="59"/>
  <c r="B480" i="50" s="1"/>
  <c r="F205" i="79"/>
  <c r="F85" i="59" s="1"/>
  <c r="G80" i="59"/>
  <c r="B446" i="50" s="1"/>
  <c r="G202" i="79"/>
  <c r="M73" i="79"/>
  <c r="M78" i="79"/>
  <c r="M83" i="79" s="1"/>
  <c r="M96" i="79" s="1"/>
  <c r="M92" i="79"/>
  <c r="M77" i="79"/>
  <c r="L99" i="79"/>
  <c r="L100" i="79"/>
  <c r="L95" i="79"/>
  <c r="H112" i="79"/>
  <c r="I111" i="79" l="1"/>
  <c r="I112" i="79" s="1"/>
  <c r="F201" i="79"/>
  <c r="F81" i="59" s="1"/>
  <c r="B410" i="50" s="1"/>
  <c r="J103" i="79"/>
  <c r="J102" i="79"/>
  <c r="K93" i="79"/>
  <c r="G203" i="79"/>
  <c r="G83" i="59" s="1"/>
  <c r="G82" i="59"/>
  <c r="B481" i="50" s="1"/>
  <c r="G199" i="79"/>
  <c r="G79" i="59" s="1"/>
  <c r="G206" i="79"/>
  <c r="G86" i="59" s="1"/>
  <c r="G205" i="79"/>
  <c r="G85" i="59" s="1"/>
  <c r="G204" i="79"/>
  <c r="G84" i="59" s="1"/>
  <c r="I82" i="59"/>
  <c r="B483" i="50" s="1"/>
  <c r="M74" i="79"/>
  <c r="M75" i="79" s="1"/>
  <c r="N76" i="79" s="1"/>
  <c r="M90" i="79"/>
  <c r="L101" i="79"/>
  <c r="L93" i="79"/>
  <c r="L97" i="79" s="1"/>
  <c r="L94" i="79"/>
  <c r="L98" i="79" s="1"/>
  <c r="L103" i="79" s="1"/>
  <c r="H200" i="79"/>
  <c r="H80" i="59" s="1"/>
  <c r="B447" i="50" s="1"/>
  <c r="G113" i="79"/>
  <c r="M82" i="79"/>
  <c r="L84" i="79" s="1"/>
  <c r="K85" i="79" s="1"/>
  <c r="I200" i="79" l="1"/>
  <c r="I80" i="59" s="1"/>
  <c r="B448" i="50" s="1"/>
  <c r="H113" i="79"/>
  <c r="I202" i="79"/>
  <c r="I201" i="79" s="1"/>
  <c r="I81" i="59" s="1"/>
  <c r="B413" i="50" s="1"/>
  <c r="K97" i="79"/>
  <c r="K94" i="79"/>
  <c r="K98" i="79" s="1"/>
  <c r="K103" i="79" s="1"/>
  <c r="J104" i="79"/>
  <c r="J105" i="79"/>
  <c r="G201" i="79"/>
  <c r="G81" i="59" s="1"/>
  <c r="B411" i="50" s="1"/>
  <c r="N77" i="79"/>
  <c r="N92" i="79"/>
  <c r="N73" i="79"/>
  <c r="N78" i="79"/>
  <c r="N83" i="79" s="1"/>
  <c r="N96" i="79" s="1"/>
  <c r="M100" i="79"/>
  <c r="M99" i="79"/>
  <c r="M95" i="79"/>
  <c r="L102" i="79"/>
  <c r="H202" i="79"/>
  <c r="I206" i="79" l="1"/>
  <c r="I86" i="59" s="1"/>
  <c r="I203" i="79"/>
  <c r="I83" i="59" s="1"/>
  <c r="I204" i="79"/>
  <c r="I84" i="59" s="1"/>
  <c r="I199" i="79"/>
  <c r="I79" i="59" s="1"/>
  <c r="I205" i="79"/>
  <c r="I85" i="59" s="1"/>
  <c r="K102" i="79"/>
  <c r="K105" i="79" s="1"/>
  <c r="K104" i="79"/>
  <c r="J106" i="79"/>
  <c r="N90" i="79"/>
  <c r="L105" i="79"/>
  <c r="L104" i="79"/>
  <c r="H82" i="59"/>
  <c r="H206" i="79"/>
  <c r="H86" i="59" s="1"/>
  <c r="H203" i="79"/>
  <c r="H83" i="59" s="1"/>
  <c r="H199" i="79"/>
  <c r="H79" i="59" s="1"/>
  <c r="H205" i="79"/>
  <c r="H85" i="59" s="1"/>
  <c r="H204" i="79"/>
  <c r="H84" i="59" s="1"/>
  <c r="N74" i="79"/>
  <c r="N75" i="79" s="1"/>
  <c r="O76" i="79" s="1"/>
  <c r="M101" i="79"/>
  <c r="N82" i="79"/>
  <c r="K106" i="79" l="1"/>
  <c r="K107" i="79" s="1"/>
  <c r="K109" i="79" s="1"/>
  <c r="H201" i="79"/>
  <c r="H81" i="59" s="1"/>
  <c r="B412" i="50" s="1"/>
  <c r="J108" i="79"/>
  <c r="J107" i="79"/>
  <c r="J109" i="79" s="1"/>
  <c r="L106" i="79"/>
  <c r="L108" i="79" s="1"/>
  <c r="M93" i="79"/>
  <c r="O92" i="79"/>
  <c r="O73" i="79"/>
  <c r="O78" i="79"/>
  <c r="O83" i="79" s="1"/>
  <c r="O96" i="79" s="1"/>
  <c r="O77" i="79"/>
  <c r="N99" i="79"/>
  <c r="N100" i="79"/>
  <c r="N95" i="79"/>
  <c r="B482" i="50"/>
  <c r="M84" i="79"/>
  <c r="L85" i="79" s="1"/>
  <c r="K108" i="79" l="1"/>
  <c r="K111" i="79" s="1"/>
  <c r="M97" i="79"/>
  <c r="M94" i="79"/>
  <c r="M98" i="79" s="1"/>
  <c r="M103" i="79" s="1"/>
  <c r="L107" i="79"/>
  <c r="L109" i="79" s="1"/>
  <c r="L111" i="79" s="1"/>
  <c r="J110" i="79"/>
  <c r="J111" i="79"/>
  <c r="N101" i="79"/>
  <c r="N93" i="79"/>
  <c r="N97" i="79" s="1"/>
  <c r="O74" i="79"/>
  <c r="O75" i="79" s="1"/>
  <c r="P76" i="79" s="1"/>
  <c r="N84" i="79"/>
  <c r="M85" i="79" s="1"/>
  <c r="O82" i="79"/>
  <c r="O90" i="79"/>
  <c r="K110" i="79" l="1"/>
  <c r="M102" i="79"/>
  <c r="M105" i="79" s="1"/>
  <c r="L110" i="79"/>
  <c r="L112" i="79" s="1"/>
  <c r="K113" i="79" s="1"/>
  <c r="J112" i="79"/>
  <c r="K112" i="79"/>
  <c r="K200" i="79" s="1"/>
  <c r="K80" i="59" s="1"/>
  <c r="B450" i="50" s="1"/>
  <c r="M104" i="79"/>
  <c r="P77" i="79"/>
  <c r="P92" i="79"/>
  <c r="P73" i="79"/>
  <c r="P78" i="79"/>
  <c r="P83" i="79" s="1"/>
  <c r="P96" i="79" s="1"/>
  <c r="O99" i="79"/>
  <c r="O100" i="79"/>
  <c r="O95" i="79"/>
  <c r="N94" i="79"/>
  <c r="N98" i="79" s="1"/>
  <c r="N103" i="79" s="1"/>
  <c r="M106" i="79" l="1"/>
  <c r="M107" i="79" s="1"/>
  <c r="M109" i="79" s="1"/>
  <c r="J113" i="79"/>
  <c r="J200" i="79"/>
  <c r="J80" i="59" s="1"/>
  <c r="B449" i="50" s="1"/>
  <c r="I113" i="79"/>
  <c r="P74" i="79"/>
  <c r="P75" i="79" s="1"/>
  <c r="Q76" i="79" s="1"/>
  <c r="P82" i="79"/>
  <c r="O101" i="79"/>
  <c r="O94" i="79"/>
  <c r="O98" i="79" s="1"/>
  <c r="L200" i="79"/>
  <c r="L80" i="59" s="1"/>
  <c r="B451" i="50" s="1"/>
  <c r="K202" i="79"/>
  <c r="P90" i="79"/>
  <c r="N102" i="79"/>
  <c r="M108" i="79" l="1"/>
  <c r="O93" i="79"/>
  <c r="O97" i="79" s="1"/>
  <c r="O103" i="79" s="1"/>
  <c r="J202" i="79"/>
  <c r="J82" i="59" s="1"/>
  <c r="B484" i="50" s="1"/>
  <c r="M111" i="79"/>
  <c r="M110" i="79"/>
  <c r="Q78" i="79"/>
  <c r="Q83" i="79" s="1"/>
  <c r="Q92" i="79"/>
  <c r="Q77" i="79"/>
  <c r="Q73" i="79"/>
  <c r="N105" i="79"/>
  <c r="N104" i="79"/>
  <c r="O102" i="79"/>
  <c r="P99" i="79"/>
  <c r="P100" i="79"/>
  <c r="P95" i="79"/>
  <c r="K82" i="59"/>
  <c r="B485" i="50" s="1"/>
  <c r="K199" i="79"/>
  <c r="K79" i="59" s="1"/>
  <c r="K206" i="79"/>
  <c r="K86" i="59" s="1"/>
  <c r="K203" i="79"/>
  <c r="K83" i="59" s="1"/>
  <c r="K204" i="79"/>
  <c r="K84" i="59" s="1"/>
  <c r="K205" i="79"/>
  <c r="K85" i="59" s="1"/>
  <c r="L202" i="79"/>
  <c r="O84" i="79"/>
  <c r="N85" i="79" s="1"/>
  <c r="M112" i="79" l="1"/>
  <c r="J199" i="79"/>
  <c r="J79" i="59" s="1"/>
  <c r="J205" i="79"/>
  <c r="J85" i="59" s="1"/>
  <c r="J206" i="79"/>
  <c r="J86" i="59" s="1"/>
  <c r="J204" i="79"/>
  <c r="J84" i="59" s="1"/>
  <c r="J203" i="79"/>
  <c r="J83" i="59" s="1"/>
  <c r="N106" i="79"/>
  <c r="N107" i="79" s="1"/>
  <c r="N109" i="79" s="1"/>
  <c r="K201" i="79"/>
  <c r="K81" i="59" s="1"/>
  <c r="B415" i="50" s="1"/>
  <c r="Q82" i="79"/>
  <c r="Q100" i="79" s="1"/>
  <c r="Q96" i="79"/>
  <c r="P101" i="79"/>
  <c r="O104" i="79"/>
  <c r="O105" i="79"/>
  <c r="Q74" i="79"/>
  <c r="Q75" i="79" s="1"/>
  <c r="R76" i="79" s="1"/>
  <c r="R73" i="79" s="1"/>
  <c r="P84" i="79"/>
  <c r="O85" i="79" s="1"/>
  <c r="L82" i="59"/>
  <c r="B486" i="50" s="1"/>
  <c r="L206" i="79"/>
  <c r="L86" i="59" s="1"/>
  <c r="L205" i="79"/>
  <c r="L85" i="59" s="1"/>
  <c r="L199" i="79"/>
  <c r="L79" i="59" s="1"/>
  <c r="L204" i="79"/>
  <c r="L84" i="59" s="1"/>
  <c r="L203" i="79"/>
  <c r="L83" i="59" s="1"/>
  <c r="Q90" i="79"/>
  <c r="N108" i="79" l="1"/>
  <c r="J201" i="79"/>
  <c r="J81" i="59" s="1"/>
  <c r="B414" i="50" s="1"/>
  <c r="R75" i="79"/>
  <c r="S76" i="79" s="1"/>
  <c r="S78" i="79" s="1"/>
  <c r="R78" i="79"/>
  <c r="R98" i="79" s="1"/>
  <c r="R77" i="79"/>
  <c r="R92" i="79"/>
  <c r="L113" i="79"/>
  <c r="M200" i="79"/>
  <c r="Q99" i="79"/>
  <c r="Q95" i="79"/>
  <c r="P94" i="79"/>
  <c r="Q101" i="79"/>
  <c r="O106" i="79"/>
  <c r="R90" i="79"/>
  <c r="L201" i="79"/>
  <c r="L81" i="59" s="1"/>
  <c r="B416" i="50" s="1"/>
  <c r="N110" i="79"/>
  <c r="N111" i="79"/>
  <c r="R103" i="79" l="1"/>
  <c r="R94" i="79"/>
  <c r="R83" i="79"/>
  <c r="R96" i="79" s="1"/>
  <c r="R74" i="79"/>
  <c r="R97" i="79"/>
  <c r="S77" i="79"/>
  <c r="S92" i="79"/>
  <c r="R93" i="79"/>
  <c r="R102" i="79"/>
  <c r="R84" i="79"/>
  <c r="Q85" i="79" s="1"/>
  <c r="S75" i="79"/>
  <c r="T76" i="79" s="1"/>
  <c r="T92" i="79" s="1"/>
  <c r="S82" i="79"/>
  <c r="S100" i="79" s="1"/>
  <c r="S83" i="79"/>
  <c r="S96" i="79" s="1"/>
  <c r="S73" i="79"/>
  <c r="Q94" i="79"/>
  <c r="Q98" i="79" s="1"/>
  <c r="M80" i="59"/>
  <c r="B452" i="50" s="1"/>
  <c r="M202" i="79"/>
  <c r="R82" i="79"/>
  <c r="R95" i="79" s="1"/>
  <c r="Q84" i="79"/>
  <c r="P85" i="79" s="1"/>
  <c r="P98" i="79"/>
  <c r="P93" i="79"/>
  <c r="P97" i="79" s="1"/>
  <c r="P102" i="79" s="1"/>
  <c r="R104" i="79"/>
  <c r="R105" i="79"/>
  <c r="N112" i="79"/>
  <c r="S102" i="79"/>
  <c r="S103" i="79"/>
  <c r="S97" i="79"/>
  <c r="S98" i="79"/>
  <c r="S74" i="79"/>
  <c r="S94" i="79"/>
  <c r="S84" i="79"/>
  <c r="R85" i="79" s="1"/>
  <c r="S93" i="79"/>
  <c r="O107" i="79"/>
  <c r="O109" i="79" s="1"/>
  <c r="O108" i="79"/>
  <c r="S90" i="79"/>
  <c r="R100" i="79" l="1"/>
  <c r="T77" i="79"/>
  <c r="T73" i="79"/>
  <c r="T78" i="79"/>
  <c r="T83" i="79" s="1"/>
  <c r="T96" i="79" s="1"/>
  <c r="T75" i="79"/>
  <c r="U76" i="79" s="1"/>
  <c r="S95" i="79"/>
  <c r="S99" i="79"/>
  <c r="S101" i="79" s="1"/>
  <c r="R99" i="79"/>
  <c r="R101" i="79" s="1"/>
  <c r="P103" i="79"/>
  <c r="Q93" i="79"/>
  <c r="Q97" i="79" s="1"/>
  <c r="Q102" i="79" s="1"/>
  <c r="M203" i="79"/>
  <c r="M83" i="59" s="1"/>
  <c r="M205" i="79"/>
  <c r="M85" i="59" s="1"/>
  <c r="M206" i="79"/>
  <c r="M86" i="59" s="1"/>
  <c r="M199" i="79"/>
  <c r="M79" i="59" s="1"/>
  <c r="M204" i="79"/>
  <c r="M84" i="59" s="1"/>
  <c r="M82" i="59"/>
  <c r="B487" i="50" s="1"/>
  <c r="S105" i="79"/>
  <c r="S104" i="79"/>
  <c r="P105" i="79"/>
  <c r="P104" i="79"/>
  <c r="U78" i="79"/>
  <c r="U82" i="79" s="1"/>
  <c r="U75" i="79"/>
  <c r="V76" i="79" s="1"/>
  <c r="U92" i="79"/>
  <c r="U77" i="79"/>
  <c r="U73" i="79"/>
  <c r="T90" i="79"/>
  <c r="O110" i="79"/>
  <c r="O111" i="79"/>
  <c r="N200" i="79"/>
  <c r="N80" i="59" s="1"/>
  <c r="B453" i="50" s="1"/>
  <c r="M113" i="79"/>
  <c r="T84" i="79" l="1"/>
  <c r="S85" i="79" s="1"/>
  <c r="T98" i="79"/>
  <c r="R106" i="79"/>
  <c r="R108" i="79" s="1"/>
  <c r="T93" i="79"/>
  <c r="T103" i="79"/>
  <c r="T94" i="79"/>
  <c r="T102" i="79"/>
  <c r="T74" i="79"/>
  <c r="T97" i="79"/>
  <c r="T82" i="79"/>
  <c r="S106" i="79"/>
  <c r="S107" i="79" s="1"/>
  <c r="S109" i="79" s="1"/>
  <c r="Q103" i="79"/>
  <c r="Q105" i="79" s="1"/>
  <c r="M201" i="79"/>
  <c r="M81" i="59" s="1"/>
  <c r="B417" i="50" s="1"/>
  <c r="T104" i="79"/>
  <c r="T105" i="79"/>
  <c r="P106" i="79"/>
  <c r="U95" i="79"/>
  <c r="N202" i="79"/>
  <c r="U90" i="79"/>
  <c r="U102" i="79"/>
  <c r="U103" i="79"/>
  <c r="U97" i="79"/>
  <c r="U98" i="79"/>
  <c r="U84" i="79"/>
  <c r="T85" i="79" s="1"/>
  <c r="U74" i="79"/>
  <c r="U94" i="79"/>
  <c r="U93" i="79"/>
  <c r="V92" i="79"/>
  <c r="V75" i="79"/>
  <c r="W76" i="79" s="1"/>
  <c r="V78" i="79"/>
  <c r="V83" i="79" s="1"/>
  <c r="V96" i="79" s="1"/>
  <c r="V73" i="79"/>
  <c r="V77" i="79"/>
  <c r="O112" i="79"/>
  <c r="U83" i="79"/>
  <c r="U100" i="79" s="1"/>
  <c r="R107" i="79" l="1"/>
  <c r="R109" i="79" s="1"/>
  <c r="R110" i="79" s="1"/>
  <c r="T99" i="79"/>
  <c r="T95" i="79"/>
  <c r="T100" i="79"/>
  <c r="T101" i="79" s="1"/>
  <c r="S108" i="79"/>
  <c r="S111" i="79" s="1"/>
  <c r="R111" i="79"/>
  <c r="Q104" i="79"/>
  <c r="Q106" i="79" s="1"/>
  <c r="T106" i="79"/>
  <c r="T108" i="79" s="1"/>
  <c r="U104" i="79"/>
  <c r="U105" i="79"/>
  <c r="V82" i="79"/>
  <c r="V100" i="79" s="1"/>
  <c r="P108" i="79"/>
  <c r="P107" i="79"/>
  <c r="P109" i="79" s="1"/>
  <c r="R112" i="79"/>
  <c r="R200" i="79" s="1"/>
  <c r="R80" i="59" s="1"/>
  <c r="B457" i="50" s="1"/>
  <c r="O200" i="79"/>
  <c r="O80" i="59" s="1"/>
  <c r="B454" i="50" s="1"/>
  <c r="N113" i="79"/>
  <c r="W92" i="79"/>
  <c r="W78" i="79"/>
  <c r="W75" i="79"/>
  <c r="X76" i="79" s="1"/>
  <c r="W77" i="79"/>
  <c r="W73" i="79"/>
  <c r="N82" i="59"/>
  <c r="B488" i="50" s="1"/>
  <c r="N203" i="79"/>
  <c r="N83" i="59" s="1"/>
  <c r="N206" i="79"/>
  <c r="N86" i="59" s="1"/>
  <c r="N199" i="79"/>
  <c r="N79" i="59" s="1"/>
  <c r="N204" i="79"/>
  <c r="N84" i="59" s="1"/>
  <c r="N205" i="79"/>
  <c r="N85" i="59" s="1"/>
  <c r="U96" i="79"/>
  <c r="V98" i="79"/>
  <c r="V102" i="79"/>
  <c r="V97" i="79"/>
  <c r="V103" i="79"/>
  <c r="V74" i="79"/>
  <c r="V94" i="79"/>
  <c r="V93" i="79"/>
  <c r="V84" i="79"/>
  <c r="U85" i="79" s="1"/>
  <c r="V90" i="79"/>
  <c r="U99" i="79"/>
  <c r="V99" i="79" l="1"/>
  <c r="S110" i="79"/>
  <c r="T107" i="79"/>
  <c r="T109" i="79" s="1"/>
  <c r="T110" i="79" s="1"/>
  <c r="N201" i="79"/>
  <c r="N81" i="59" s="1"/>
  <c r="B418" i="50" s="1"/>
  <c r="Q107" i="79"/>
  <c r="Q109" i="79" s="1"/>
  <c r="Q108" i="79"/>
  <c r="R202" i="79"/>
  <c r="R203" i="79" s="1"/>
  <c r="R83" i="59" s="1"/>
  <c r="V95" i="79"/>
  <c r="V104" i="79"/>
  <c r="V105" i="79"/>
  <c r="P110" i="79"/>
  <c r="P111" i="79"/>
  <c r="O202" i="79"/>
  <c r="O199" i="79" s="1"/>
  <c r="O79" i="59" s="1"/>
  <c r="S112" i="79"/>
  <c r="X78" i="79"/>
  <c r="X82" i="79" s="1"/>
  <c r="X75" i="79"/>
  <c r="Y76" i="79" s="1"/>
  <c r="X92" i="79"/>
  <c r="X77" i="79"/>
  <c r="X73" i="79"/>
  <c r="W102" i="79"/>
  <c r="W103" i="79"/>
  <c r="W97" i="79"/>
  <c r="W98" i="79"/>
  <c r="W74" i="79"/>
  <c r="W94" i="79"/>
  <c r="W93" i="79"/>
  <c r="W84" i="79"/>
  <c r="V85" i="79" s="1"/>
  <c r="W90" i="79"/>
  <c r="U106" i="79"/>
  <c r="U101" i="79"/>
  <c r="R82" i="59"/>
  <c r="B492" i="50" s="1"/>
  <c r="V101" i="79"/>
  <c r="W82" i="79"/>
  <c r="W83" i="79"/>
  <c r="T111" i="79" l="1"/>
  <c r="R204" i="79"/>
  <c r="R84" i="59" s="1"/>
  <c r="R199" i="79"/>
  <c r="R79" i="59" s="1"/>
  <c r="R205" i="79"/>
  <c r="R85" i="59" s="1"/>
  <c r="R201" i="79"/>
  <c r="R81" i="59" s="1"/>
  <c r="B422" i="50" s="1"/>
  <c r="R206" i="79"/>
  <c r="R86" i="59" s="1"/>
  <c r="Q111" i="79"/>
  <c r="Q110" i="79"/>
  <c r="V106" i="79"/>
  <c r="V107" i="79" s="1"/>
  <c r="V109" i="79" s="1"/>
  <c r="O206" i="79"/>
  <c r="O86" i="59" s="1"/>
  <c r="O82" i="59"/>
  <c r="B489" i="50" s="1"/>
  <c r="W104" i="79"/>
  <c r="W105" i="79"/>
  <c r="X83" i="79"/>
  <c r="X96" i="79" s="1"/>
  <c r="O203" i="79"/>
  <c r="O83" i="59" s="1"/>
  <c r="O205" i="79"/>
  <c r="O85" i="59" s="1"/>
  <c r="P112" i="79"/>
  <c r="O204" i="79"/>
  <c r="O84" i="59" s="1"/>
  <c r="X90" i="79"/>
  <c r="X102" i="79"/>
  <c r="X103" i="79"/>
  <c r="X97" i="79"/>
  <c r="X98" i="79"/>
  <c r="X93" i="79"/>
  <c r="X94" i="79"/>
  <c r="X74" i="79"/>
  <c r="X84" i="79"/>
  <c r="W85" i="79" s="1"/>
  <c r="U107" i="79"/>
  <c r="U109" i="79" s="1"/>
  <c r="U108" i="79"/>
  <c r="S202" i="79"/>
  <c r="S200" i="79"/>
  <c r="S80" i="59" s="1"/>
  <c r="B458" i="50" s="1"/>
  <c r="R113" i="79"/>
  <c r="W99" i="79"/>
  <c r="W100" i="79"/>
  <c r="W95" i="79"/>
  <c r="X95" i="79"/>
  <c r="W96" i="79"/>
  <c r="Y92" i="79"/>
  <c r="Y78" i="79"/>
  <c r="Y83" i="79" s="1"/>
  <c r="Y96" i="79" s="1"/>
  <c r="Y75" i="79"/>
  <c r="Z76" i="79" s="1"/>
  <c r="Y73" i="79"/>
  <c r="Y77" i="79"/>
  <c r="T112" i="79"/>
  <c r="Q112" i="79" l="1"/>
  <c r="P113" i="79" s="1"/>
  <c r="X100" i="79"/>
  <c r="X99" i="79"/>
  <c r="V108" i="79"/>
  <c r="V111" i="79" s="1"/>
  <c r="Q113" i="79"/>
  <c r="X104" i="79"/>
  <c r="Y82" i="79"/>
  <c r="Y95" i="79" s="1"/>
  <c r="O201" i="79"/>
  <c r="O81" i="59" s="1"/>
  <c r="B419" i="50" s="1"/>
  <c r="X105" i="79"/>
  <c r="O113" i="79"/>
  <c r="P200" i="79"/>
  <c r="P80" i="59" s="1"/>
  <c r="B455" i="50" s="1"/>
  <c r="T202" i="79"/>
  <c r="T200" i="79"/>
  <c r="T80" i="59" s="1"/>
  <c r="B459" i="50" s="1"/>
  <c r="S113" i="79"/>
  <c r="Y102" i="79"/>
  <c r="Y103" i="79"/>
  <c r="Y97" i="79"/>
  <c r="Y98" i="79"/>
  <c r="Y74" i="79"/>
  <c r="Y93" i="79"/>
  <c r="Y94" i="79"/>
  <c r="Y84" i="79"/>
  <c r="X85" i="79" s="1"/>
  <c r="W106" i="79"/>
  <c r="W101" i="79"/>
  <c r="U110" i="79"/>
  <c r="U111" i="79"/>
  <c r="Z78" i="79"/>
  <c r="Z82" i="79" s="1"/>
  <c r="Z75" i="79"/>
  <c r="AA76" i="79" s="1"/>
  <c r="Z92" i="79"/>
  <c r="Z73" i="79"/>
  <c r="Z77" i="79"/>
  <c r="S82" i="59"/>
  <c r="B493" i="50" s="1"/>
  <c r="S205" i="79"/>
  <c r="S85" i="59" s="1"/>
  <c r="S203" i="79"/>
  <c r="S83" i="59" s="1"/>
  <c r="S199" i="79"/>
  <c r="S79" i="59" s="1"/>
  <c r="S204" i="79"/>
  <c r="S84" i="59" s="1"/>
  <c r="S201" i="79"/>
  <c r="S81" i="59" s="1"/>
  <c r="B423" i="50" s="1"/>
  <c r="S206" i="79"/>
  <c r="S86" i="59" s="1"/>
  <c r="Y90" i="79"/>
  <c r="X101" i="79"/>
  <c r="V110" i="79" l="1"/>
  <c r="Y99" i="79"/>
  <c r="Q200" i="79"/>
  <c r="Q80" i="59" s="1"/>
  <c r="B456" i="50" s="1"/>
  <c r="Y100" i="79"/>
  <c r="Y101" i="79" s="1"/>
  <c r="Q202" i="79"/>
  <c r="X106" i="79"/>
  <c r="X108" i="79" s="1"/>
  <c r="V112" i="79"/>
  <c r="V200" i="79" s="1"/>
  <c r="V80" i="59" s="1"/>
  <c r="B461" i="50" s="1"/>
  <c r="Z83" i="79"/>
  <c r="Z96" i="79" s="1"/>
  <c r="Y105" i="79"/>
  <c r="P202" i="79"/>
  <c r="X107" i="79"/>
  <c r="X109" i="79" s="1"/>
  <c r="Z90" i="79"/>
  <c r="Z102" i="79"/>
  <c r="Z103" i="79"/>
  <c r="Z97" i="79"/>
  <c r="Z98" i="79"/>
  <c r="Z74" i="79"/>
  <c r="Z93" i="79"/>
  <c r="Z84" i="79"/>
  <c r="Y85" i="79" s="1"/>
  <c r="Z94" i="79"/>
  <c r="U112" i="79"/>
  <c r="Y104" i="79"/>
  <c r="Z95" i="79"/>
  <c r="W108" i="79"/>
  <c r="W107" i="79"/>
  <c r="W109" i="79" s="1"/>
  <c r="AA92" i="79"/>
  <c r="AA78" i="79"/>
  <c r="AA83" i="79" s="1"/>
  <c r="AA96" i="79" s="1"/>
  <c r="AA75" i="79"/>
  <c r="AB76" i="79" s="1"/>
  <c r="AA77" i="79"/>
  <c r="AA73" i="79"/>
  <c r="T82" i="59"/>
  <c r="B494" i="50" s="1"/>
  <c r="T201" i="79"/>
  <c r="T81" i="59" s="1"/>
  <c r="B424" i="50" s="1"/>
  <c r="T203" i="79"/>
  <c r="T83" i="59" s="1"/>
  <c r="T205" i="79"/>
  <c r="T85" i="59" s="1"/>
  <c r="T199" i="79"/>
  <c r="T79" i="59" s="1"/>
  <c r="T204" i="79"/>
  <c r="T84" i="59" s="1"/>
  <c r="T206" i="79"/>
  <c r="T86" i="59" s="1"/>
  <c r="Z100" i="79" l="1"/>
  <c r="U113" i="79"/>
  <c r="V202" i="79"/>
  <c r="V201" i="79" s="1"/>
  <c r="V81" i="59" s="1"/>
  <c r="B426" i="50" s="1"/>
  <c r="Q203" i="79"/>
  <c r="Q83" i="59" s="1"/>
  <c r="Q82" i="59"/>
  <c r="B491" i="50" s="1"/>
  <c r="Q204" i="79"/>
  <c r="Q84" i="59" s="1"/>
  <c r="Q206" i="79"/>
  <c r="Q86" i="59" s="1"/>
  <c r="Q201" i="79"/>
  <c r="Q81" i="59" s="1"/>
  <c r="B421" i="50" s="1"/>
  <c r="Q199" i="79"/>
  <c r="Q79" i="59" s="1"/>
  <c r="Q205" i="79"/>
  <c r="Q85" i="59" s="1"/>
  <c r="Z99" i="79"/>
  <c r="Z104" i="79"/>
  <c r="AA82" i="79"/>
  <c r="AA100" i="79" s="1"/>
  <c r="Y106" i="79"/>
  <c r="Z105" i="79"/>
  <c r="Z106" i="79" s="1"/>
  <c r="P204" i="79"/>
  <c r="P84" i="59" s="1"/>
  <c r="P82" i="59"/>
  <c r="B490" i="50" s="1"/>
  <c r="P205" i="79"/>
  <c r="P85" i="59" s="1"/>
  <c r="P203" i="79"/>
  <c r="P83" i="59" s="1"/>
  <c r="P199" i="79"/>
  <c r="P79" i="59" s="1"/>
  <c r="P206" i="79"/>
  <c r="P86" i="59" s="1"/>
  <c r="P201" i="79"/>
  <c r="P81" i="59" s="1"/>
  <c r="B420" i="50" s="1"/>
  <c r="AA90" i="79"/>
  <c r="AA99" i="79"/>
  <c r="AA95" i="79"/>
  <c r="W110" i="79"/>
  <c r="W111" i="79"/>
  <c r="Z101" i="79"/>
  <c r="U202" i="79"/>
  <c r="U200" i="79"/>
  <c r="U80" i="59" s="1"/>
  <c r="B460" i="50" s="1"/>
  <c r="T113" i="79"/>
  <c r="AB78" i="79"/>
  <c r="AB82" i="79" s="1"/>
  <c r="AB92" i="79"/>
  <c r="AB75" i="79"/>
  <c r="AB77" i="79"/>
  <c r="AB73" i="79"/>
  <c r="X111" i="79"/>
  <c r="X110" i="79"/>
  <c r="AA102" i="79"/>
  <c r="AA105" i="79" s="1"/>
  <c r="AA103" i="79"/>
  <c r="AA97" i="79"/>
  <c r="AA98" i="79"/>
  <c r="AA94" i="79"/>
  <c r="AA93" i="79"/>
  <c r="AA74" i="79"/>
  <c r="AA84" i="79"/>
  <c r="Z85" i="79" s="1"/>
  <c r="Y108" i="79"/>
  <c r="Y107" i="79"/>
  <c r="Y109" i="79" s="1"/>
  <c r="V82" i="59"/>
  <c r="B496" i="50" s="1"/>
  <c r="V206" i="79"/>
  <c r="V86" i="59" s="1"/>
  <c r="V199" i="79"/>
  <c r="V79" i="59" s="1"/>
  <c r="V205" i="79"/>
  <c r="V85" i="59" s="1"/>
  <c r="V203" i="79" l="1"/>
  <c r="V83" i="59" s="1"/>
  <c r="V204" i="79"/>
  <c r="V84" i="59" s="1"/>
  <c r="W112" i="79"/>
  <c r="V113" i="79" s="1"/>
  <c r="X112" i="79"/>
  <c r="X200" i="79" s="1"/>
  <c r="X80" i="59" s="1"/>
  <c r="B463" i="50" s="1"/>
  <c r="AA104" i="79"/>
  <c r="AB83" i="79"/>
  <c r="AB96" i="79" s="1"/>
  <c r="AB95" i="79"/>
  <c r="U82" i="59"/>
  <c r="B495" i="50" s="1"/>
  <c r="U204" i="79"/>
  <c r="U84" i="59" s="1"/>
  <c r="U205" i="79"/>
  <c r="U85" i="59" s="1"/>
  <c r="U199" i="79"/>
  <c r="U79" i="59" s="1"/>
  <c r="U201" i="79"/>
  <c r="U81" i="59" s="1"/>
  <c r="B425" i="50" s="1"/>
  <c r="U206" i="79"/>
  <c r="U86" i="59" s="1"/>
  <c r="U203" i="79"/>
  <c r="U83" i="59" s="1"/>
  <c r="W202" i="79"/>
  <c r="W200" i="79"/>
  <c r="W80" i="59" s="1"/>
  <c r="B462" i="50" s="1"/>
  <c r="Y110" i="79"/>
  <c r="Y111" i="79"/>
  <c r="AB102" i="79"/>
  <c r="AB103" i="79"/>
  <c r="AB97" i="79"/>
  <c r="AB98" i="79"/>
  <c r="AB93" i="79"/>
  <c r="AB94" i="79"/>
  <c r="AB74" i="79"/>
  <c r="AB84" i="79"/>
  <c r="AA85" i="79" s="1"/>
  <c r="AB90" i="79"/>
  <c r="Z107" i="79"/>
  <c r="Z109" i="79" s="1"/>
  <c r="Z108" i="79"/>
  <c r="AA106" i="79"/>
  <c r="AA101" i="79"/>
  <c r="W113" i="79" l="1"/>
  <c r="X202" i="79"/>
  <c r="X206" i="79" s="1"/>
  <c r="X86" i="59" s="1"/>
  <c r="AB104" i="79"/>
  <c r="AB85" i="79"/>
  <c r="AB99" i="79"/>
  <c r="AB105" i="79"/>
  <c r="AB100" i="79"/>
  <c r="AA108" i="79"/>
  <c r="AA107" i="79"/>
  <c r="AA109" i="79" s="1"/>
  <c r="W82" i="59"/>
  <c r="B497" i="50" s="1"/>
  <c r="W199" i="79"/>
  <c r="W79" i="59" s="1"/>
  <c r="W201" i="79"/>
  <c r="W81" i="59" s="1"/>
  <c r="B427" i="50" s="1"/>
  <c r="W204" i="79"/>
  <c r="W84" i="59" s="1"/>
  <c r="W203" i="79"/>
  <c r="W83" i="59" s="1"/>
  <c r="W205" i="79"/>
  <c r="W85" i="59" s="1"/>
  <c r="W206" i="79"/>
  <c r="W86" i="59" s="1"/>
  <c r="Y112" i="79"/>
  <c r="X82" i="59"/>
  <c r="B498" i="50" s="1"/>
  <c r="X199" i="79"/>
  <c r="X79" i="59" s="1"/>
  <c r="X201" i="79"/>
  <c r="X81" i="59" s="1"/>
  <c r="B428" i="50" s="1"/>
  <c r="X204" i="79"/>
  <c r="X84" i="59" s="1"/>
  <c r="X203" i="79"/>
  <c r="X83" i="59" s="1"/>
  <c r="X205" i="79"/>
  <c r="X85" i="59" s="1"/>
  <c r="Z111" i="79"/>
  <c r="Z110" i="79"/>
  <c r="AB106" i="79" l="1"/>
  <c r="AB108" i="79" s="1"/>
  <c r="AB101" i="79"/>
  <c r="Z112" i="79"/>
  <c r="Y202" i="79"/>
  <c r="Y200" i="79"/>
  <c r="Y80" i="59" s="1"/>
  <c r="B464" i="50" s="1"/>
  <c r="X113" i="79"/>
  <c r="AA110" i="79"/>
  <c r="AA111" i="79"/>
  <c r="AB107" i="79" l="1"/>
  <c r="AB109" i="79" s="1"/>
  <c r="AA112" i="79"/>
  <c r="Z113" i="79" s="1"/>
  <c r="Y82" i="59"/>
  <c r="B499" i="50" s="1"/>
  <c r="Y203" i="79"/>
  <c r="Y83" i="59" s="1"/>
  <c r="Y205" i="79"/>
  <c r="Y85" i="59" s="1"/>
  <c r="Y204" i="79"/>
  <c r="Y84" i="59" s="1"/>
  <c r="Y201" i="79"/>
  <c r="Y81" i="59" s="1"/>
  <c r="B429" i="50" s="1"/>
  <c r="Y199" i="79"/>
  <c r="Y79" i="59" s="1"/>
  <c r="Y206" i="79"/>
  <c r="Y86" i="59" s="1"/>
  <c r="AA202" i="79"/>
  <c r="AA200" i="79"/>
  <c r="AA80" i="59" s="1"/>
  <c r="B466" i="50" s="1"/>
  <c r="Z202" i="79"/>
  <c r="Z200" i="79"/>
  <c r="Z80" i="59" s="1"/>
  <c r="B465" i="50" s="1"/>
  <c r="Y113" i="79"/>
  <c r="AB111" i="79"/>
  <c r="AB110" i="79"/>
  <c r="AB112" i="79" l="1"/>
  <c r="AA113" i="79" s="1"/>
  <c r="AA82" i="59"/>
  <c r="B501" i="50" s="1"/>
  <c r="AA203" i="79"/>
  <c r="AA83" i="59" s="1"/>
  <c r="AA204" i="79"/>
  <c r="AA84" i="59" s="1"/>
  <c r="AA206" i="79"/>
  <c r="AA86" i="59" s="1"/>
  <c r="AA205" i="79"/>
  <c r="AA85" i="59" s="1"/>
  <c r="AA201" i="79"/>
  <c r="AA81" i="59" s="1"/>
  <c r="B431" i="50" s="1"/>
  <c r="AA199" i="79"/>
  <c r="AA79" i="59" s="1"/>
  <c r="Z82" i="59"/>
  <c r="B500" i="50" s="1"/>
  <c r="Z203" i="79"/>
  <c r="Z83" i="59" s="1"/>
  <c r="Z206" i="79"/>
  <c r="Z86" i="59" s="1"/>
  <c r="Z204" i="79"/>
  <c r="Z84" i="59" s="1"/>
  <c r="Z205" i="79"/>
  <c r="Z85" i="59" s="1"/>
  <c r="Z199" i="79"/>
  <c r="Z79" i="59" s="1"/>
  <c r="Z201" i="79"/>
  <c r="Z81" i="59" s="1"/>
  <c r="B430" i="50" s="1"/>
  <c r="AB202" i="79"/>
  <c r="AB200" i="79"/>
  <c r="AB80" i="59" s="1"/>
  <c r="B467" i="50" s="1"/>
  <c r="AB113" i="79"/>
  <c r="AB82" i="59" l="1"/>
  <c r="AB199" i="79"/>
  <c r="AB79" i="59" s="1"/>
  <c r="AB203" i="79"/>
  <c r="AB83" i="59" s="1"/>
  <c r="AB206" i="79"/>
  <c r="AB86" i="59" s="1"/>
  <c r="AB204" i="79"/>
  <c r="AB84" i="59" s="1"/>
  <c r="AB205" i="79"/>
  <c r="AB85" i="59" s="1"/>
  <c r="AB201" i="79"/>
  <c r="AB81" i="59" s="1"/>
  <c r="B432" i="50" s="1"/>
  <c r="F198" i="79"/>
  <c r="B502" i="50" l="1"/>
  <c r="F78" i="59"/>
  <c r="G113" i="38" l="1"/>
  <c r="J4" i="8" s="1"/>
  <c r="M108" i="38"/>
  <c r="G107" i="38"/>
  <c r="I4" i="8" s="1"/>
  <c r="M114" i="38" l="1"/>
  <c r="L4" i="8" s="1"/>
  <c r="K4" i="8"/>
  <c r="G108" i="38"/>
  <c r="C102" i="7" s="1"/>
  <c r="C5" i="7"/>
  <c r="J16" i="50" s="1"/>
  <c r="J17" i="50" s="1"/>
  <c r="B2" i="16" l="1"/>
  <c r="E18" i="92"/>
  <c r="E18" i="90"/>
  <c r="R22" i="16" l="1"/>
  <c r="S22" i="16" s="1"/>
  <c r="R24" i="16"/>
  <c r="S24" i="16" s="1"/>
  <c r="R26" i="16"/>
  <c r="S26" i="16" s="1"/>
  <c r="R28" i="16"/>
  <c r="S28" i="16" s="1"/>
  <c r="R30" i="16"/>
  <c r="S30" i="16" s="1"/>
  <c r="R27" i="16"/>
  <c r="S27" i="16" s="1"/>
  <c r="R32" i="16"/>
  <c r="S32" i="16" s="1"/>
  <c r="R34" i="16"/>
  <c r="S34" i="16" s="1"/>
  <c r="R36" i="16"/>
  <c r="S36" i="16" s="1"/>
  <c r="R38" i="16"/>
  <c r="S38" i="16" s="1"/>
  <c r="R40" i="16"/>
  <c r="S40" i="16" s="1"/>
  <c r="R43" i="16"/>
  <c r="S43" i="16" s="1"/>
  <c r="R45" i="16"/>
  <c r="S45" i="16" s="1"/>
  <c r="R48" i="16"/>
  <c r="S48" i="16" s="1"/>
  <c r="R50" i="16"/>
  <c r="S50" i="16" s="1"/>
  <c r="R52" i="16"/>
  <c r="S52" i="16" s="1"/>
  <c r="R54" i="16"/>
  <c r="S54" i="16" s="1"/>
  <c r="R56" i="16"/>
  <c r="S56" i="16" s="1"/>
  <c r="R58" i="16"/>
  <c r="S58" i="16" s="1"/>
  <c r="R60" i="16"/>
  <c r="S60" i="16" s="1"/>
  <c r="R62" i="16"/>
  <c r="S62" i="16" s="1"/>
  <c r="R64" i="16"/>
  <c r="S64" i="16" s="1"/>
  <c r="R67" i="16"/>
  <c r="S67" i="16" s="1"/>
  <c r="R69" i="16"/>
  <c r="S69" i="16" s="1"/>
  <c r="R71" i="16"/>
  <c r="S71" i="16" s="1"/>
  <c r="R73" i="16"/>
  <c r="S73" i="16" s="1"/>
  <c r="R75" i="16"/>
  <c r="S75" i="16" s="1"/>
  <c r="R77" i="16"/>
  <c r="S77" i="16" s="1"/>
  <c r="R25" i="16"/>
  <c r="S25" i="16" s="1"/>
  <c r="R23" i="16"/>
  <c r="S23" i="16" s="1"/>
  <c r="R31" i="16"/>
  <c r="S31" i="16" s="1"/>
  <c r="R33" i="16"/>
  <c r="S33" i="16" s="1"/>
  <c r="R35" i="16"/>
  <c r="S35" i="16" s="1"/>
  <c r="R37" i="16"/>
  <c r="S37" i="16" s="1"/>
  <c r="R39" i="16"/>
  <c r="S39" i="16" s="1"/>
  <c r="R41" i="16"/>
  <c r="S41" i="16" s="1"/>
  <c r="R44" i="16"/>
  <c r="S44" i="16" s="1"/>
  <c r="R47" i="16"/>
  <c r="S47" i="16" s="1"/>
  <c r="R49" i="16"/>
  <c r="S49" i="16" s="1"/>
  <c r="R51" i="16"/>
  <c r="S51" i="16" s="1"/>
  <c r="R53" i="16"/>
  <c r="S53" i="16" s="1"/>
  <c r="R55" i="16"/>
  <c r="S55" i="16" s="1"/>
  <c r="R57" i="16"/>
  <c r="S57" i="16" s="1"/>
  <c r="R59" i="16"/>
  <c r="S59" i="16" s="1"/>
  <c r="R61" i="16"/>
  <c r="S61" i="16" s="1"/>
  <c r="R63" i="16"/>
  <c r="S63" i="16" s="1"/>
  <c r="R66" i="16"/>
  <c r="S66" i="16" s="1"/>
  <c r="R68" i="16"/>
  <c r="S68" i="16" s="1"/>
  <c r="R70" i="16"/>
  <c r="S70" i="16" s="1"/>
  <c r="R72" i="16"/>
  <c r="S72" i="16" s="1"/>
  <c r="R74" i="16"/>
  <c r="S74" i="16" s="1"/>
  <c r="R76" i="16"/>
  <c r="S76" i="16" s="1"/>
  <c r="R29" i="16"/>
  <c r="S29" i="16" s="1"/>
  <c r="R83" i="16"/>
  <c r="S83" i="16" s="1"/>
  <c r="R85" i="16"/>
  <c r="S85" i="16" s="1"/>
  <c r="R87" i="16"/>
  <c r="S87" i="16" s="1"/>
  <c r="R84" i="16"/>
  <c r="S84" i="16" s="1"/>
  <c r="R86" i="16"/>
  <c r="S86" i="16" s="1"/>
  <c r="R88" i="16"/>
  <c r="S88" i="16" s="1"/>
  <c r="T87" i="16" l="1"/>
  <c r="U87" i="16" s="1"/>
  <c r="V87" i="16" s="1"/>
  <c r="Y87" i="16"/>
  <c r="T76" i="16"/>
  <c r="U76" i="16" s="1"/>
  <c r="V76" i="16" s="1"/>
  <c r="Y76" i="16"/>
  <c r="T68" i="16"/>
  <c r="U68" i="16" s="1"/>
  <c r="V68" i="16" s="1"/>
  <c r="Y68" i="16"/>
  <c r="T59" i="16"/>
  <c r="U59" i="16" s="1"/>
  <c r="V59" i="16" s="1"/>
  <c r="Y59" i="16"/>
  <c r="T51" i="16"/>
  <c r="U51" i="16" s="1"/>
  <c r="V51" i="16" s="1"/>
  <c r="Y51" i="16"/>
  <c r="T41" i="16"/>
  <c r="U41" i="16" s="1"/>
  <c r="V41" i="16" s="1"/>
  <c r="Y41" i="16"/>
  <c r="T33" i="16"/>
  <c r="U33" i="16" s="1"/>
  <c r="V33" i="16" s="1"/>
  <c r="Y33" i="16"/>
  <c r="T77" i="16"/>
  <c r="U77" i="16" s="1"/>
  <c r="V77" i="16" s="1"/>
  <c r="Y77" i="16"/>
  <c r="T69" i="16"/>
  <c r="U69" i="16" s="1"/>
  <c r="V69" i="16" s="1"/>
  <c r="Y69" i="16"/>
  <c r="T60" i="16"/>
  <c r="U60" i="16" s="1"/>
  <c r="V60" i="16" s="1"/>
  <c r="Y60" i="16"/>
  <c r="T52" i="16"/>
  <c r="U52" i="16" s="1"/>
  <c r="V52" i="16" s="1"/>
  <c r="Y52" i="16"/>
  <c r="T43" i="16"/>
  <c r="U43" i="16" s="1"/>
  <c r="V43" i="16" s="1"/>
  <c r="Y43" i="16"/>
  <c r="T34" i="16"/>
  <c r="U34" i="16" s="1"/>
  <c r="V34" i="16" s="1"/>
  <c r="Y34" i="16"/>
  <c r="T28" i="16"/>
  <c r="U28" i="16" s="1"/>
  <c r="V28" i="16" s="1"/>
  <c r="Y28" i="16"/>
  <c r="Y85" i="16"/>
  <c r="T85" i="16"/>
  <c r="U85" i="16" s="1"/>
  <c r="V85" i="16" s="1"/>
  <c r="T74" i="16"/>
  <c r="U74" i="16" s="1"/>
  <c r="V74" i="16" s="1"/>
  <c r="Y74" i="16"/>
  <c r="T66" i="16"/>
  <c r="U66" i="16" s="1"/>
  <c r="V66" i="16" s="1"/>
  <c r="Y66" i="16"/>
  <c r="T57" i="16"/>
  <c r="U57" i="16" s="1"/>
  <c r="V57" i="16" s="1"/>
  <c r="Y57" i="16"/>
  <c r="T49" i="16"/>
  <c r="U49" i="16" s="1"/>
  <c r="V49" i="16" s="1"/>
  <c r="Y49" i="16"/>
  <c r="T39" i="16"/>
  <c r="U39" i="16" s="1"/>
  <c r="V39" i="16" s="1"/>
  <c r="Y39" i="16"/>
  <c r="T31" i="16"/>
  <c r="U31" i="16" s="1"/>
  <c r="V31" i="16" s="1"/>
  <c r="Y31" i="16"/>
  <c r="T75" i="16"/>
  <c r="U75" i="16" s="1"/>
  <c r="V75" i="16" s="1"/>
  <c r="Y75" i="16"/>
  <c r="T67" i="16"/>
  <c r="U67" i="16" s="1"/>
  <c r="V67" i="16" s="1"/>
  <c r="Y67" i="16"/>
  <c r="T58" i="16"/>
  <c r="U58" i="16" s="1"/>
  <c r="V58" i="16" s="1"/>
  <c r="Y58" i="16"/>
  <c r="T50" i="16"/>
  <c r="U50" i="16" s="1"/>
  <c r="V50" i="16" s="1"/>
  <c r="Y50" i="16"/>
  <c r="T40" i="16"/>
  <c r="U40" i="16" s="1"/>
  <c r="V40" i="16" s="1"/>
  <c r="Y40" i="16"/>
  <c r="T32" i="16"/>
  <c r="U32" i="16" s="1"/>
  <c r="V32" i="16" s="1"/>
  <c r="Y32" i="16"/>
  <c r="T26" i="16"/>
  <c r="U26" i="16" s="1"/>
  <c r="V26" i="16" s="1"/>
  <c r="Y26" i="16"/>
  <c r="T86" i="16"/>
  <c r="U86" i="16" s="1"/>
  <c r="V86" i="16" s="1"/>
  <c r="Y86" i="16"/>
  <c r="T83" i="16"/>
  <c r="U83" i="16" s="1"/>
  <c r="V83" i="16" s="1"/>
  <c r="Y83" i="16"/>
  <c r="T72" i="16"/>
  <c r="U72" i="16" s="1"/>
  <c r="V72" i="16" s="1"/>
  <c r="Y72" i="16"/>
  <c r="T63" i="16"/>
  <c r="U63" i="16" s="1"/>
  <c r="V63" i="16" s="1"/>
  <c r="Y63" i="16"/>
  <c r="T55" i="16"/>
  <c r="U55" i="16" s="1"/>
  <c r="V55" i="16" s="1"/>
  <c r="Y55" i="16"/>
  <c r="T47" i="16"/>
  <c r="U47" i="16" s="1"/>
  <c r="V47" i="16" s="1"/>
  <c r="Y47" i="16"/>
  <c r="T37" i="16"/>
  <c r="U37" i="16" s="1"/>
  <c r="V37" i="16" s="1"/>
  <c r="Y37" i="16"/>
  <c r="T23" i="16"/>
  <c r="U23" i="16" s="1"/>
  <c r="V23" i="16" s="1"/>
  <c r="Y23" i="16"/>
  <c r="T73" i="16"/>
  <c r="U73" i="16" s="1"/>
  <c r="V73" i="16" s="1"/>
  <c r="Y73" i="16"/>
  <c r="T64" i="16"/>
  <c r="U64" i="16" s="1"/>
  <c r="V64" i="16" s="1"/>
  <c r="Y64" i="16"/>
  <c r="T56" i="16"/>
  <c r="U56" i="16" s="1"/>
  <c r="V56" i="16" s="1"/>
  <c r="Y56" i="16"/>
  <c r="T48" i="16"/>
  <c r="U48" i="16" s="1"/>
  <c r="V48" i="16" s="1"/>
  <c r="Y48" i="16"/>
  <c r="T38" i="16"/>
  <c r="U38" i="16" s="1"/>
  <c r="V38" i="16" s="1"/>
  <c r="Y38" i="16"/>
  <c r="T27" i="16"/>
  <c r="U27" i="16" s="1"/>
  <c r="V27" i="16" s="1"/>
  <c r="Y27" i="16"/>
  <c r="T24" i="16"/>
  <c r="U24" i="16" s="1"/>
  <c r="V24" i="16" s="1"/>
  <c r="Y24" i="16"/>
  <c r="T88" i="16"/>
  <c r="U88" i="16" s="1"/>
  <c r="V88" i="16" s="1"/>
  <c r="Y88" i="16"/>
  <c r="T84" i="16"/>
  <c r="U84" i="16" s="1"/>
  <c r="V84" i="16" s="1"/>
  <c r="Y84" i="16"/>
  <c r="T29" i="16"/>
  <c r="U29" i="16" s="1"/>
  <c r="V29" i="16" s="1"/>
  <c r="Y29" i="16"/>
  <c r="T70" i="16"/>
  <c r="U70" i="16" s="1"/>
  <c r="V70" i="16" s="1"/>
  <c r="Y70" i="16"/>
  <c r="T61" i="16"/>
  <c r="U61" i="16" s="1"/>
  <c r="V61" i="16" s="1"/>
  <c r="Y61" i="16"/>
  <c r="T53" i="16"/>
  <c r="U53" i="16" s="1"/>
  <c r="V53" i="16" s="1"/>
  <c r="Y53" i="16"/>
  <c r="T44" i="16"/>
  <c r="U44" i="16" s="1"/>
  <c r="V44" i="16" s="1"/>
  <c r="Y44" i="16"/>
  <c r="T35" i="16"/>
  <c r="U35" i="16" s="1"/>
  <c r="V35" i="16" s="1"/>
  <c r="Y35" i="16"/>
  <c r="T25" i="16"/>
  <c r="U25" i="16" s="1"/>
  <c r="V25" i="16" s="1"/>
  <c r="Y25" i="16"/>
  <c r="T71" i="16"/>
  <c r="U71" i="16" s="1"/>
  <c r="V71" i="16" s="1"/>
  <c r="Y71" i="16"/>
  <c r="T62" i="16"/>
  <c r="U62" i="16" s="1"/>
  <c r="V62" i="16" s="1"/>
  <c r="Y62" i="16"/>
  <c r="T54" i="16"/>
  <c r="U54" i="16" s="1"/>
  <c r="V54" i="16" s="1"/>
  <c r="Y54" i="16"/>
  <c r="T45" i="16"/>
  <c r="U45" i="16" s="1"/>
  <c r="V45" i="16" s="1"/>
  <c r="Y45" i="16"/>
  <c r="T36" i="16"/>
  <c r="U36" i="16" s="1"/>
  <c r="V36" i="16" s="1"/>
  <c r="Y36" i="16"/>
  <c r="T30" i="16"/>
  <c r="U30" i="16" s="1"/>
  <c r="V30" i="16" s="1"/>
  <c r="Y30" i="16"/>
  <c r="T22" i="16"/>
  <c r="U22" i="16" s="1"/>
  <c r="V22" i="16" s="1"/>
  <c r="Y22" i="16"/>
  <c r="X62" i="16" l="1"/>
  <c r="W62" i="16"/>
  <c r="X54" i="16"/>
  <c r="W54" i="16"/>
  <c r="W84" i="16"/>
  <c r="X84" i="16"/>
  <c r="X38" i="16"/>
  <c r="W38" i="16"/>
  <c r="X30" i="16"/>
  <c r="W30" i="16"/>
  <c r="X44" i="16"/>
  <c r="W44" i="16"/>
  <c r="W88" i="16"/>
  <c r="X88" i="16"/>
  <c r="X48" i="16"/>
  <c r="W48" i="16"/>
  <c r="X64" i="16"/>
  <c r="W64" i="16"/>
  <c r="X23" i="16"/>
  <c r="W23" i="16"/>
  <c r="X47" i="16"/>
  <c r="W47" i="16"/>
  <c r="X63" i="16"/>
  <c r="W63" i="16"/>
  <c r="X83" i="16"/>
  <c r="W83" i="16"/>
  <c r="X26" i="16"/>
  <c r="W26" i="16"/>
  <c r="X40" i="16"/>
  <c r="W40" i="16"/>
  <c r="X58" i="16"/>
  <c r="W58" i="16"/>
  <c r="X75" i="16"/>
  <c r="W75" i="16"/>
  <c r="X39" i="16"/>
  <c r="W39" i="16"/>
  <c r="X57" i="16"/>
  <c r="W57" i="16"/>
  <c r="X74" i="16"/>
  <c r="W74" i="16"/>
  <c r="X28" i="16"/>
  <c r="W28" i="16"/>
  <c r="X43" i="16"/>
  <c r="W43" i="16"/>
  <c r="X60" i="16"/>
  <c r="W60" i="16"/>
  <c r="X77" i="16"/>
  <c r="W77" i="16"/>
  <c r="X41" i="16"/>
  <c r="W41" i="16"/>
  <c r="X59" i="16"/>
  <c r="W59" i="16"/>
  <c r="X76" i="16"/>
  <c r="W76" i="16"/>
  <c r="X25" i="16"/>
  <c r="W25" i="16"/>
  <c r="X61" i="16"/>
  <c r="W61" i="16"/>
  <c r="X29" i="16"/>
  <c r="W29" i="16"/>
  <c r="X27" i="16"/>
  <c r="W27" i="16"/>
  <c r="W85" i="16"/>
  <c r="X85" i="16"/>
  <c r="X45" i="16"/>
  <c r="W45" i="16"/>
  <c r="X22" i="16"/>
  <c r="W22" i="16"/>
  <c r="X36" i="16"/>
  <c r="W36" i="16"/>
  <c r="X71" i="16"/>
  <c r="W71" i="16"/>
  <c r="X35" i="16"/>
  <c r="W35" i="16"/>
  <c r="X53" i="16"/>
  <c r="W53" i="16"/>
  <c r="X70" i="16"/>
  <c r="W70" i="16"/>
  <c r="X24" i="16"/>
  <c r="W24" i="16"/>
  <c r="X56" i="16"/>
  <c r="W56" i="16"/>
  <c r="X73" i="16"/>
  <c r="W73" i="16"/>
  <c r="X37" i="16"/>
  <c r="W37" i="16"/>
  <c r="X55" i="16"/>
  <c r="W55" i="16"/>
  <c r="X72" i="16"/>
  <c r="W72" i="16"/>
  <c r="W86" i="16"/>
  <c r="X86" i="16"/>
  <c r="X32" i="16"/>
  <c r="W32" i="16"/>
  <c r="X50" i="16"/>
  <c r="W50" i="16"/>
  <c r="X67" i="16"/>
  <c r="W67" i="16"/>
  <c r="X31" i="16"/>
  <c r="W31" i="16"/>
  <c r="X49" i="16"/>
  <c r="W49" i="16"/>
  <c r="X66" i="16"/>
  <c r="W66" i="16"/>
  <c r="X34" i="16"/>
  <c r="W34" i="16"/>
  <c r="W52" i="16"/>
  <c r="X52" i="16"/>
  <c r="X69" i="16"/>
  <c r="W69" i="16"/>
  <c r="X33" i="16"/>
  <c r="W33" i="16"/>
  <c r="X51" i="16"/>
  <c r="W51" i="16"/>
  <c r="X68" i="16"/>
  <c r="W68" i="16"/>
  <c r="X87" i="16"/>
  <c r="W87" i="16"/>
  <c r="W16" i="16" l="1"/>
  <c r="V16" i="16" s="1"/>
  <c r="W17" i="16"/>
  <c r="V17" i="16" s="1"/>
  <c r="R17" i="16" l="1"/>
  <c r="S17" i="16"/>
  <c r="D8" i="16" s="1"/>
  <c r="T17" i="16"/>
  <c r="D9" i="16" s="1"/>
  <c r="P17" i="16"/>
  <c r="E8" i="16" s="1"/>
  <c r="D6" i="16"/>
  <c r="Q17" i="16"/>
  <c r="E9" i="16" s="1"/>
  <c r="U17" i="16"/>
  <c r="B6" i="16"/>
  <c r="S16" i="16"/>
  <c r="B8" i="16" s="1"/>
  <c r="Q16" i="16"/>
  <c r="C9" i="16" s="1"/>
  <c r="K6" i="16"/>
  <c r="G4" i="89" s="1"/>
  <c r="T16" i="16"/>
  <c r="B9" i="16" s="1"/>
  <c r="P16" i="16"/>
  <c r="C8" i="16" s="1"/>
  <c r="U16" i="16"/>
  <c r="R16" i="16"/>
  <c r="H5" i="89" l="1"/>
  <c r="B689" i="50" s="1"/>
  <c r="H4" i="89"/>
  <c r="B164" i="50" s="1"/>
  <c r="H6" i="16"/>
  <c r="B50" i="2"/>
  <c r="B48" i="8"/>
  <c r="F6" i="16"/>
  <c r="J6" i="16" s="1"/>
  <c r="B103" i="2"/>
  <c r="E50" i="8"/>
  <c r="E105" i="2"/>
  <c r="E52" i="2"/>
  <c r="G3" i="89"/>
  <c r="D164" i="50"/>
  <c r="U11" i="16"/>
  <c r="W11" i="16" s="1"/>
  <c r="V11" i="16" s="1"/>
  <c r="D11" i="16" s="1"/>
  <c r="D10" i="16"/>
  <c r="D106" i="2"/>
  <c r="D53" i="2"/>
  <c r="D51" i="8"/>
  <c r="B53" i="2"/>
  <c r="B51" i="8"/>
  <c r="B106" i="2"/>
  <c r="U10" i="16"/>
  <c r="W10" i="16" s="1"/>
  <c r="V10" i="16" s="1"/>
  <c r="B11" i="16" s="1"/>
  <c r="B10" i="16"/>
  <c r="C106" i="2"/>
  <c r="C51" i="8"/>
  <c r="C53" i="2"/>
  <c r="E53" i="2"/>
  <c r="E51" i="8"/>
  <c r="E106" i="2"/>
  <c r="D52" i="2"/>
  <c r="D105" i="2"/>
  <c r="D50" i="8"/>
  <c r="C10" i="16"/>
  <c r="R10" i="16"/>
  <c r="T10" i="16" s="1"/>
  <c r="S10" i="16" s="1"/>
  <c r="C11" i="16" s="1"/>
  <c r="C50" i="8"/>
  <c r="C105" i="2"/>
  <c r="C52" i="2"/>
  <c r="B50" i="8"/>
  <c r="B52" i="2"/>
  <c r="B105" i="2"/>
  <c r="D103" i="2"/>
  <c r="D50" i="2"/>
  <c r="I6" i="16"/>
  <c r="D48" i="8"/>
  <c r="R11" i="16"/>
  <c r="T11" i="16" s="1"/>
  <c r="S11" i="16" s="1"/>
  <c r="E11" i="16" s="1"/>
  <c r="E10" i="16"/>
  <c r="C53" i="8" l="1"/>
  <c r="C55" i="2"/>
  <c r="C108" i="2"/>
  <c r="E108" i="2"/>
  <c r="E53" i="8"/>
  <c r="E55" i="2"/>
  <c r="C54" i="2"/>
  <c r="C52" i="8"/>
  <c r="C107" i="2"/>
  <c r="B55" i="2"/>
  <c r="B108" i="2"/>
  <c r="B53" i="8"/>
  <c r="X52" i="2"/>
  <c r="G52" i="2"/>
  <c r="F105" i="2"/>
  <c r="F106" i="2" s="1"/>
  <c r="W105" i="2"/>
  <c r="X105" i="2"/>
  <c r="G105" i="2"/>
  <c r="F48" i="8"/>
  <c r="W48" i="8"/>
  <c r="K48" i="8"/>
  <c r="E48" i="8" s="1"/>
  <c r="K103" i="2"/>
  <c r="E103" i="2" s="1"/>
  <c r="K50" i="2"/>
  <c r="E50" i="2" s="1"/>
  <c r="W52" i="2"/>
  <c r="F52" i="2"/>
  <c r="F53" i="2" s="1"/>
  <c r="X50" i="8"/>
  <c r="G50" i="8"/>
  <c r="C49" i="19" s="1"/>
  <c r="B162" i="50" s="1"/>
  <c r="B54" i="2"/>
  <c r="B52" i="8"/>
  <c r="B107" i="2"/>
  <c r="D107" i="2"/>
  <c r="D54" i="2"/>
  <c r="D52" i="8"/>
  <c r="F103" i="2"/>
  <c r="F50" i="2"/>
  <c r="W50" i="2"/>
  <c r="W103" i="2"/>
  <c r="E107" i="2"/>
  <c r="E54" i="2"/>
  <c r="E52" i="8"/>
  <c r="F50" i="8"/>
  <c r="W50" i="8"/>
  <c r="D55" i="2"/>
  <c r="D108" i="2"/>
  <c r="D53" i="8"/>
  <c r="H3" i="89"/>
  <c r="B163" i="50" s="1"/>
  <c r="D163" i="50"/>
  <c r="J103" i="2"/>
  <c r="J48" i="8"/>
  <c r="J50" i="2"/>
  <c r="F9" i="16"/>
  <c r="G10" i="16"/>
  <c r="I11" i="16" s="1"/>
  <c r="I12" i="16" s="1"/>
  <c r="G11" i="16" s="1"/>
  <c r="F10" i="16"/>
  <c r="H11" i="16" s="1"/>
  <c r="H12" i="16" s="1"/>
  <c r="F11" i="16" s="1"/>
  <c r="G9" i="16"/>
  <c r="F8" i="16"/>
  <c r="G8" i="16"/>
  <c r="C103" i="2" l="1"/>
  <c r="O103" i="2"/>
  <c r="R103" i="2"/>
  <c r="Q103" i="2"/>
  <c r="S103" i="2"/>
  <c r="M103" i="2"/>
  <c r="N103" i="2"/>
  <c r="P103" i="2"/>
  <c r="U103" i="2"/>
  <c r="T103" i="2"/>
  <c r="X50" i="2"/>
  <c r="G50" i="2"/>
  <c r="G48" i="8"/>
  <c r="C46" i="19" s="1"/>
  <c r="D160" i="50" s="1"/>
  <c r="X48" i="8"/>
  <c r="R50" i="2"/>
  <c r="M50" i="2"/>
  <c r="N50" i="2"/>
  <c r="O50" i="2"/>
  <c r="U50" i="2"/>
  <c r="T50" i="2"/>
  <c r="P50" i="2"/>
  <c r="C50" i="2"/>
  <c r="S50" i="2"/>
  <c r="Q50" i="2"/>
  <c r="G103" i="2"/>
  <c r="X103" i="2"/>
  <c r="S48" i="8"/>
  <c r="C48" i="8"/>
  <c r="T48" i="8"/>
  <c r="M48" i="8"/>
  <c r="N48" i="8"/>
  <c r="O48" i="8"/>
  <c r="U48" i="8"/>
  <c r="Q48" i="8"/>
  <c r="R48" i="8"/>
  <c r="P48" i="8"/>
  <c r="E46" i="19"/>
  <c r="B160" i="50" s="1"/>
  <c r="C48" i="19"/>
  <c r="B161" i="50" s="1"/>
  <c r="F51" i="8"/>
</calcChain>
</file>

<file path=xl/comments1.xml><?xml version="1.0" encoding="utf-8"?>
<comments xmlns="http://schemas.openxmlformats.org/spreadsheetml/2006/main">
  <authors>
    <author>Kleinberg Standard User</author>
    <author>Jan Berg</author>
  </authors>
  <commentList>
    <comment ref="S3" authorId="0" shapeId="0">
      <text>
        <r>
          <rPr>
            <b/>
            <sz val="9"/>
            <color indexed="81"/>
            <rFont val="宋体"/>
            <family val="2"/>
            <scheme val="minor"/>
          </rPr>
          <t xml:space="preserve">180202: RELEASED
180201-1: RELEASED
180201: RELEASED
180116: RELEASED
180114: RELEASED
180101: RELEASED
171027: RELEASED
171025: RELEASED
RELEASED
171024: see STOP sheet for changes
</t>
        </r>
        <r>
          <rPr>
            <sz val="9"/>
            <color indexed="81"/>
            <rFont val="宋体"/>
            <family val="2"/>
            <scheme val="minor"/>
          </rPr>
          <t>171023: changed angle calc in CF frame to avg R, startangle=alphastart+2pi, stopangle=alphastart+last angleincr/angle, dist mult</t>
        </r>
        <r>
          <rPr>
            <b/>
            <sz val="9"/>
            <color indexed="81"/>
            <rFont val="宋体"/>
            <family val="2"/>
            <scheme val="minor"/>
          </rPr>
          <t xml:space="preserve">
RELEASED
</t>
        </r>
        <r>
          <rPr>
            <sz val="9"/>
            <color indexed="81"/>
            <rFont val="宋体"/>
            <family val="2"/>
            <scheme val="minor"/>
          </rPr>
          <t>170720: checked calc's with Mathcad, ensured REG=PDN formulas. Fixed macro error Find House coord.</t>
        </r>
        <r>
          <rPr>
            <b/>
            <sz val="9"/>
            <color indexed="81"/>
            <rFont val="宋体"/>
            <family val="2"/>
            <scheme val="minor"/>
          </rPr>
          <t xml:space="preserve">
</t>
        </r>
        <r>
          <rPr>
            <sz val="9"/>
            <color indexed="81"/>
            <rFont val="宋体"/>
            <family val="2"/>
            <scheme val="minor"/>
          </rPr>
          <t>171017: changed min R L factor  to 2,5. Added code in macro setting range(iteration) to prevent error messages. Changed effect of DBB on DynCF to 1/2 from 3/4
170923: various bug fixes in angle calcs</t>
        </r>
        <r>
          <rPr>
            <b/>
            <sz val="9"/>
            <color indexed="81"/>
            <rFont val="宋体"/>
            <family val="2"/>
            <scheme val="minor"/>
          </rPr>
          <t xml:space="preserve">
</t>
        </r>
        <r>
          <rPr>
            <sz val="9"/>
            <color indexed="81"/>
            <rFont val="宋体"/>
            <family val="2"/>
            <scheme val="minor"/>
          </rPr>
          <t>170920: changed inlet cone calc. back to early 17 version</t>
        </r>
        <r>
          <rPr>
            <b/>
            <sz val="9"/>
            <color indexed="81"/>
            <rFont val="宋体"/>
            <family val="2"/>
            <scheme val="minor"/>
          </rPr>
          <t xml:space="preserve">
</t>
        </r>
        <r>
          <rPr>
            <sz val="9"/>
            <color indexed="81"/>
            <rFont val="宋体"/>
            <family val="2"/>
            <scheme val="minor"/>
          </rPr>
          <t>170915: Added calculations of Dyn Critical Speed in axle calc's</t>
        </r>
        <r>
          <rPr>
            <b/>
            <sz val="9"/>
            <color indexed="81"/>
            <rFont val="宋体"/>
            <family val="2"/>
            <scheme val="minor"/>
          </rPr>
          <t xml:space="preserve">
RELEASED TO ALAN only
</t>
        </r>
        <r>
          <rPr>
            <sz val="9"/>
            <color indexed="81"/>
            <rFont val="宋体"/>
            <family val="2"/>
            <scheme val="minor"/>
          </rPr>
          <t xml:space="preserve">170901 finished new small Frame with rotating CF, corrected standard frame angle calc. Updated and corrected IFB
</t>
        </r>
        <r>
          <rPr>
            <b/>
            <sz val="9"/>
            <color indexed="81"/>
            <rFont val="宋体"/>
            <family val="2"/>
            <scheme val="minor"/>
          </rPr>
          <t xml:space="preserve">RELEASED TO ALAN only
</t>
        </r>
        <r>
          <rPr>
            <sz val="9"/>
            <color indexed="81"/>
            <rFont val="宋体"/>
            <family val="2"/>
            <scheme val="minor"/>
          </rPr>
          <t>170830: improved calc of reinf required</t>
        </r>
        <r>
          <rPr>
            <b/>
            <sz val="9"/>
            <color indexed="81"/>
            <rFont val="宋体"/>
            <family val="2"/>
            <scheme val="minor"/>
          </rPr>
          <t xml:space="preserve">
</t>
        </r>
        <r>
          <rPr>
            <sz val="9"/>
            <color indexed="81"/>
            <rFont val="宋体"/>
            <family val="2"/>
            <scheme val="minor"/>
          </rPr>
          <t xml:space="preserve">170829: New small Frame
</t>
        </r>
        <r>
          <rPr>
            <b/>
            <sz val="9"/>
            <color indexed="81"/>
            <rFont val="宋体"/>
            <family val="2"/>
            <scheme val="minor"/>
          </rPr>
          <t xml:space="preserve">RELEASED
</t>
        </r>
        <r>
          <rPr>
            <sz val="9"/>
            <color indexed="81"/>
            <rFont val="宋体"/>
            <family val="2"/>
            <scheme val="minor"/>
          </rPr>
          <t>170824: corrected calc of area left. Corrected MFTr1 drawing small F.
Created FB template &amp; Load FCC macro</t>
        </r>
        <r>
          <rPr>
            <b/>
            <sz val="9"/>
            <color indexed="81"/>
            <rFont val="宋体"/>
            <family val="2"/>
            <scheme val="minor"/>
          </rPr>
          <t xml:space="preserve">
RELEASED
</t>
        </r>
        <r>
          <rPr>
            <sz val="9"/>
            <color indexed="81"/>
            <rFont val="宋体"/>
            <family val="2"/>
            <scheme val="minor"/>
          </rPr>
          <t xml:space="preserve">170823: checked &amp; aligned Load_FCC &amp; FCC
</t>
        </r>
        <r>
          <rPr>
            <b/>
            <sz val="9"/>
            <color indexed="81"/>
            <rFont val="宋体"/>
            <family val="2"/>
            <scheme val="minor"/>
          </rPr>
          <t xml:space="preserve">RELEASED
</t>
        </r>
        <r>
          <rPr>
            <sz val="9"/>
            <color indexed="81"/>
            <rFont val="宋体"/>
            <family val="2"/>
            <scheme val="minor"/>
          </rPr>
          <t>170818  Fixed Coupling bug in Load CC macro</t>
        </r>
        <r>
          <rPr>
            <b/>
            <sz val="9"/>
            <color indexed="81"/>
            <rFont val="宋体"/>
            <family val="2"/>
            <scheme val="minor"/>
          </rPr>
          <t xml:space="preserve">
</t>
        </r>
        <r>
          <rPr>
            <sz val="9"/>
            <color indexed="81"/>
            <rFont val="宋体"/>
            <family val="2"/>
            <scheme val="minor"/>
          </rPr>
          <t>170816:Clarified HouseB&amp;C as ins. loaded BOM</t>
        </r>
        <r>
          <rPr>
            <b/>
            <sz val="9"/>
            <color indexed="81"/>
            <rFont val="宋体"/>
            <family val="2"/>
            <scheme val="minor"/>
          </rPr>
          <t xml:space="preserve">
RELEASED
</t>
        </r>
        <r>
          <rPr>
            <sz val="9"/>
            <color indexed="81"/>
            <rFont val="宋体"/>
            <family val="2"/>
            <scheme val="minor"/>
          </rPr>
          <t xml:space="preserve">170811: fixed reset data j43.
</t>
        </r>
        <r>
          <rPr>
            <b/>
            <sz val="9"/>
            <color indexed="81"/>
            <rFont val="宋体"/>
            <family val="2"/>
            <scheme val="minor"/>
          </rPr>
          <t xml:space="preserve">RELEASED
</t>
        </r>
        <r>
          <rPr>
            <sz val="9"/>
            <color indexed="81"/>
            <rFont val="宋体"/>
            <family val="2"/>
            <scheme val="minor"/>
          </rPr>
          <t>170810: bug fix in load CFOE</t>
        </r>
        <r>
          <rPr>
            <b/>
            <sz val="9"/>
            <color indexed="81"/>
            <rFont val="宋体"/>
            <family val="2"/>
            <scheme val="minor"/>
          </rPr>
          <t xml:space="preserve">
</t>
        </r>
        <r>
          <rPr>
            <sz val="9"/>
            <color indexed="81"/>
            <rFont val="宋体"/>
            <family val="2"/>
            <scheme val="minor"/>
          </rPr>
          <t xml:space="preserve">170809: bug fixes (wrong units in house data)
added modified d_2 to fan name, 
</t>
        </r>
        <r>
          <rPr>
            <b/>
            <sz val="9"/>
            <color indexed="81"/>
            <rFont val="宋体"/>
            <family val="2"/>
            <scheme val="minor"/>
          </rPr>
          <t>RELEASED
170808: corrected Vent Ber. load FB macro
RELEASED
170806: new data entry formats.</t>
        </r>
        <r>
          <rPr>
            <sz val="9"/>
            <color indexed="81"/>
            <rFont val="宋体"/>
            <family val="2"/>
            <scheme val="minor"/>
          </rPr>
          <t xml:space="preserve">
</t>
        </r>
        <r>
          <rPr>
            <b/>
            <sz val="9"/>
            <color indexed="81"/>
            <rFont val="宋体"/>
            <family val="2"/>
            <scheme val="minor"/>
          </rPr>
          <t>RELEASED</t>
        </r>
        <r>
          <rPr>
            <sz val="9"/>
            <color indexed="81"/>
            <rFont val="宋体"/>
            <family val="2"/>
            <scheme val="minor"/>
          </rPr>
          <t xml:space="preserve">
170804: finished new small fan frame, blocked DS_reinf_Frame=true
170801: fixed HFV position for small F</t>
        </r>
        <r>
          <rPr>
            <b/>
            <sz val="9"/>
            <color indexed="81"/>
            <rFont val="宋体"/>
            <family val="2"/>
            <scheme val="minor"/>
          </rPr>
          <t xml:space="preserve">
RELEASED to Alan
</t>
        </r>
        <r>
          <rPr>
            <sz val="9"/>
            <color indexed="81"/>
            <rFont val="宋体"/>
            <family val="2"/>
            <scheme val="minor"/>
          </rPr>
          <t xml:space="preserve">170731,1: changed reinf calc to get closer to 170506 version, introduced reinf-HousePT=max 4mm, correct crit_a calc.
corrected material weights from Alan
Generated new matrices
</t>
        </r>
        <r>
          <rPr>
            <b/>
            <sz val="9"/>
            <color indexed="81"/>
            <rFont val="宋体"/>
            <family val="2"/>
            <scheme val="minor"/>
          </rPr>
          <t>RELEASED to Alan</t>
        </r>
        <r>
          <rPr>
            <sz val="9"/>
            <color indexed="81"/>
            <rFont val="宋体"/>
            <family val="2"/>
            <scheme val="minor"/>
          </rPr>
          <t xml:space="preserve">
170731: changed position of VHFL &amp; VHFR for coupling fans
170722: reformatted headers</t>
        </r>
        <r>
          <rPr>
            <b/>
            <sz val="9"/>
            <color indexed="81"/>
            <rFont val="宋体"/>
            <family val="2"/>
            <scheme val="minor"/>
          </rPr>
          <t xml:space="preserve">
RELEASED to Alan</t>
        </r>
        <r>
          <rPr>
            <sz val="9"/>
            <color indexed="81"/>
            <rFont val="宋体"/>
            <family val="2"/>
            <scheme val="minor"/>
          </rPr>
          <t xml:space="preserve">
170721: mirror bug fix in IFB, changed inket_D to outer D
</t>
        </r>
        <r>
          <rPr>
            <b/>
            <sz val="9"/>
            <color indexed="81"/>
            <rFont val="宋体"/>
            <family val="2"/>
            <scheme val="minor"/>
          </rPr>
          <t>RELEASED to Alan</t>
        </r>
        <r>
          <rPr>
            <sz val="9"/>
            <color indexed="81"/>
            <rFont val="宋体"/>
            <family val="2"/>
            <scheme val="minor"/>
          </rPr>
          <t xml:space="preserve">
170720: Changed view L &amp; R to ALWAYs be seen from DRIVE SIDE.
Set inlet_PT to round(0,5*ISP_T;0)</t>
        </r>
        <r>
          <rPr>
            <b/>
            <sz val="9"/>
            <color indexed="81"/>
            <rFont val="宋体"/>
            <family val="2"/>
            <scheme val="minor"/>
          </rPr>
          <t xml:space="preserve">
RELEASED to Alan</t>
        </r>
        <r>
          <rPr>
            <sz val="9"/>
            <color indexed="81"/>
            <rFont val="宋体"/>
            <family val="2"/>
            <scheme val="minor"/>
          </rPr>
          <t xml:space="preserve">
170717: fixed orientation bug in IFB ISi&amp;eFV_L&amp;R&amp;O
corrected U126 iron specs
170714: bug fixes, Rerun Matrices
</t>
        </r>
        <r>
          <rPr>
            <b/>
            <sz val="9"/>
            <color indexed="81"/>
            <rFont val="宋体"/>
            <family val="2"/>
            <scheme val="minor"/>
          </rPr>
          <t>RELEASED to Alan</t>
        </r>
        <r>
          <rPr>
            <sz val="9"/>
            <color indexed="81"/>
            <rFont val="宋体"/>
            <family val="2"/>
            <scheme val="minor"/>
          </rPr>
          <t xml:space="preserve">
170710: bug fixes in IS ext F reinf
170709 bug fixes in IS ext rad reinf</t>
        </r>
        <r>
          <rPr>
            <b/>
            <sz val="9"/>
            <color indexed="81"/>
            <rFont val="宋体"/>
            <family val="2"/>
            <scheme val="minor"/>
          </rPr>
          <t xml:space="preserve">
RELEASED to Alan
</t>
        </r>
        <r>
          <rPr>
            <sz val="9"/>
            <color indexed="81"/>
            <rFont val="宋体"/>
            <family val="2"/>
            <scheme val="minor"/>
          </rPr>
          <t>170708: fixed bug in t1-t4; b1-b4 RD</t>
        </r>
        <r>
          <rPr>
            <b/>
            <sz val="9"/>
            <color indexed="81"/>
            <rFont val="宋体"/>
            <family val="2"/>
            <scheme val="minor"/>
          </rPr>
          <t xml:space="preserve">
RELEASED to Alan</t>
        </r>
        <r>
          <rPr>
            <sz val="9"/>
            <color indexed="81"/>
            <rFont val="宋体"/>
            <family val="2"/>
            <scheme val="minor"/>
          </rPr>
          <t xml:space="preserve">
170704,1: added b4,t4</t>
        </r>
        <r>
          <rPr>
            <b/>
            <sz val="9"/>
            <color indexed="81"/>
            <rFont val="宋体"/>
            <family val="2"/>
            <scheme val="minor"/>
          </rPr>
          <t xml:space="preserve">
RELEASED to Alan
</t>
        </r>
        <r>
          <rPr>
            <sz val="9"/>
            <color indexed="81"/>
            <rFont val="宋体"/>
            <family val="2"/>
            <scheme val="minor"/>
          </rPr>
          <t>170704: bug fixes (Rick&amp;Alan)</t>
        </r>
        <r>
          <rPr>
            <b/>
            <sz val="9"/>
            <color indexed="81"/>
            <rFont val="宋体"/>
            <family val="2"/>
            <scheme val="minor"/>
          </rPr>
          <t xml:space="preserve">
RELEASED to Alan
</t>
        </r>
        <r>
          <rPr>
            <sz val="9"/>
            <color indexed="81"/>
            <rFont val="宋体"/>
            <family val="2"/>
            <scheme val="minor"/>
          </rPr>
          <t>170703: fixed errors in HF macro, Calculated CFOE 400-100</t>
        </r>
        <r>
          <rPr>
            <b/>
            <sz val="9"/>
            <color indexed="81"/>
            <rFont val="宋体"/>
            <family val="2"/>
            <scheme val="minor"/>
          </rPr>
          <t xml:space="preserve">
RELEASSED to Alan
</t>
        </r>
        <r>
          <rPr>
            <sz val="9"/>
            <color indexed="81"/>
            <rFont val="宋体"/>
            <family val="2"/>
            <scheme val="minor"/>
          </rPr>
          <t>170701: finished new frame IS&amp;DS and IFB</t>
        </r>
        <r>
          <rPr>
            <b/>
            <sz val="9"/>
            <color indexed="81"/>
            <rFont val="宋体"/>
            <family val="2"/>
            <scheme val="minor"/>
          </rPr>
          <t xml:space="preserve">
</t>
        </r>
        <r>
          <rPr>
            <sz val="9"/>
            <color indexed="81"/>
            <rFont val="宋体"/>
            <family val="2"/>
            <scheme val="minor"/>
          </rPr>
          <t>170629: finished new inlet house frame</t>
        </r>
        <r>
          <rPr>
            <b/>
            <sz val="9"/>
            <color indexed="81"/>
            <rFont val="宋体"/>
            <family val="2"/>
            <scheme val="minor"/>
          </rPr>
          <t xml:space="preserve">
</t>
        </r>
        <r>
          <rPr>
            <sz val="9"/>
            <color indexed="81"/>
            <rFont val="宋体"/>
            <family val="2"/>
            <scheme val="minor"/>
          </rPr>
          <t>170627: Allowed choice of HF type on inlet side, Frame / Radial
170727: New PDN data from Terry</t>
        </r>
        <r>
          <rPr>
            <b/>
            <sz val="9"/>
            <color indexed="81"/>
            <rFont val="宋体"/>
            <family val="2"/>
            <scheme val="minor"/>
          </rPr>
          <t xml:space="preserve">
RELEASED to Alan
</t>
        </r>
        <r>
          <rPr>
            <sz val="9"/>
            <color indexed="81"/>
            <rFont val="宋体"/>
            <family val="2"/>
            <scheme val="minor"/>
          </rPr>
          <t>170607: checked Bearing placement versus QPD</t>
        </r>
        <r>
          <rPr>
            <b/>
            <sz val="9"/>
            <color indexed="81"/>
            <rFont val="宋体"/>
            <family val="2"/>
            <scheme val="minor"/>
          </rPr>
          <t xml:space="preserve">
RELEASED to Alan
</t>
        </r>
        <r>
          <rPr>
            <sz val="9"/>
            <color indexed="81"/>
            <rFont val="宋体"/>
            <family val="2"/>
            <scheme val="minor"/>
          </rPr>
          <t>170605: changed placement of first bearin in Ra5 to optimal (shortest) axle length</t>
        </r>
        <r>
          <rPr>
            <b/>
            <sz val="9"/>
            <color indexed="81"/>
            <rFont val="宋体"/>
            <family val="2"/>
            <scheme val="minor"/>
          </rPr>
          <t xml:space="preserve">
</t>
        </r>
        <r>
          <rPr>
            <sz val="9"/>
            <color indexed="81"/>
            <rFont val="宋体"/>
            <family val="2"/>
            <scheme val="minor"/>
          </rPr>
          <t>170526: separated k1 and k/d^4 in REG. &amp; PDN</t>
        </r>
        <r>
          <rPr>
            <b/>
            <sz val="9"/>
            <color indexed="81"/>
            <rFont val="宋体"/>
            <family val="2"/>
            <scheme val="minor"/>
          </rPr>
          <t xml:space="preserve">
RELEASED to Alan
</t>
        </r>
        <r>
          <rPr>
            <sz val="9"/>
            <color indexed="81"/>
            <rFont val="宋体"/>
            <family val="2"/>
            <scheme val="minor"/>
          </rPr>
          <t>170524: added vib number and d_5</t>
        </r>
        <r>
          <rPr>
            <b/>
            <sz val="9"/>
            <color indexed="81"/>
            <rFont val="宋体"/>
            <family val="2"/>
            <scheme val="minor"/>
          </rPr>
          <t xml:space="preserve">
</t>
        </r>
        <r>
          <rPr>
            <sz val="9"/>
            <color indexed="81"/>
            <rFont val="宋体"/>
            <family val="2"/>
            <scheme val="minor"/>
          </rPr>
          <t>170516: Restructured 'Frame Dimensions' and checked against 170513</t>
        </r>
        <r>
          <rPr>
            <b/>
            <sz val="9"/>
            <color indexed="81"/>
            <rFont val="宋体"/>
            <family val="2"/>
            <scheme val="minor"/>
          </rPr>
          <t xml:space="preserve">
</t>
        </r>
        <r>
          <rPr>
            <sz val="9"/>
            <color indexed="81"/>
            <rFont val="宋体"/>
            <family val="2"/>
            <scheme val="minor"/>
          </rPr>
          <t>170513: corrected selection of SF_Base.</t>
        </r>
        <r>
          <rPr>
            <b/>
            <sz val="9"/>
            <color indexed="81"/>
            <rFont val="宋体"/>
            <family val="2"/>
            <scheme val="minor"/>
          </rPr>
          <t xml:space="preserve">
RELEASED to Alan
</t>
        </r>
        <r>
          <rPr>
            <sz val="9"/>
            <color indexed="81"/>
            <rFont val="宋体"/>
            <family val="2"/>
            <scheme val="minor"/>
          </rPr>
          <t>170510,1: forced HFHI below vertical reinforcement height</t>
        </r>
        <r>
          <rPr>
            <b/>
            <sz val="9"/>
            <color indexed="81"/>
            <rFont val="宋体"/>
            <family val="2"/>
            <scheme val="minor"/>
          </rPr>
          <t xml:space="preserve">
RELEASED to Alan</t>
        </r>
        <r>
          <rPr>
            <sz val="9"/>
            <color indexed="81"/>
            <rFont val="宋体"/>
            <family val="2"/>
            <scheme val="minor"/>
          </rPr>
          <t xml:space="preserve">
170510: corrected position of L_HSP &amp; R_HSP. Chabged bent part of Tr frames to = SFBase
</t>
        </r>
        <r>
          <rPr>
            <b/>
            <sz val="9"/>
            <color indexed="81"/>
            <rFont val="宋体"/>
            <family val="2"/>
            <scheme val="minor"/>
          </rPr>
          <t>RELEASED to Alan</t>
        </r>
        <r>
          <rPr>
            <sz val="9"/>
            <color indexed="81"/>
            <rFont val="宋体"/>
            <family val="2"/>
            <scheme val="minor"/>
          </rPr>
          <t xml:space="preserve">
170509: added ability to choose between 50/60 hz motors, 50 hz default
</t>
        </r>
        <r>
          <rPr>
            <b/>
            <sz val="9"/>
            <color indexed="81"/>
            <rFont val="宋体"/>
            <family val="2"/>
            <scheme val="minor"/>
          </rPr>
          <t>RELEASED to Alan</t>
        </r>
        <r>
          <rPr>
            <sz val="9"/>
            <color indexed="81"/>
            <rFont val="宋体"/>
            <family val="2"/>
            <scheme val="minor"/>
          </rPr>
          <t xml:space="preserve">
170506: Calculated FB Matrices
170506: loaded data from BOM
170505: changed SFTr to plate all over incl QPD 170503-3
170504: changed/reduced X dimension(old Ub: 200, t: 30)
170503: remove MIO_z angle correction
170502: checked, corrected, finished formulas
170430: added MOI_Z to calculation of axles &amp; crit speeds
170428: added data needed for COUPLING QPD
170426: corrected axle length calc's
170425: introduced X Iron dimensions.
170420: fixed addressing error for MF Ubar
170418: changed mat matrices to allow simulation of BIG fans
170417: Cleaned up addressing in IF tabs
170415: corrected HFL &amp; HFR coordinates, dimensions &amp; drawing
170413: added all calc's for QPD
170412: moved SFX in to inner edge of racks
170411: HFV = HRe, changed z pos and y start of HFL&amp;HFR
170410: QPD data per AA
170329: fixed problem with offset - </t>
        </r>
        <r>
          <rPr>
            <b/>
            <sz val="9"/>
            <color indexed="81"/>
            <rFont val="宋体"/>
            <family val="2"/>
            <scheme val="minor"/>
          </rPr>
          <t>no formula allowed!!!!? in offset function</t>
        </r>
        <r>
          <rPr>
            <sz val="9"/>
            <color indexed="81"/>
            <rFont val="宋体"/>
            <family val="2"/>
            <scheme val="minor"/>
          </rPr>
          <t xml:space="preserve">
170328: QPD files
170324: added values in Natural Rev list. Loaded BOM
170317: added weld space for House F&amp;B T welding
170315: finished new design including IFfiles &amp; plane drawings
170213: fixed Force_small_F
170312: changed inlet design
170311: removed SFTr7 and replaced it with HSkirt.
170310: cost calculator macroes
170303: added Fan summary sheet
170220: limited ra1-ra2 dist to &gt;40
170216: calculated Weight matrices, exported to Cost Calc.
170212: added weight matrices
</t>
        </r>
        <r>
          <rPr>
            <b/>
            <sz val="9"/>
            <color indexed="81"/>
            <rFont val="宋体"/>
            <family val="2"/>
            <scheme val="minor"/>
          </rPr>
          <t>RELEASED</t>
        </r>
        <r>
          <rPr>
            <sz val="9"/>
            <color indexed="81"/>
            <rFont val="宋体"/>
            <family val="2"/>
            <scheme val="minor"/>
          </rPr>
          <t xml:space="preserve">
170210: Fixed seal thickness error.
170208: Reenf-&gt;Reinf
170208: changes as per AA mails. 
</t>
        </r>
        <r>
          <rPr>
            <b/>
            <sz val="9"/>
            <color indexed="81"/>
            <rFont val="宋体"/>
            <family val="2"/>
            <scheme val="minor"/>
          </rPr>
          <t>RELEASED</t>
        </r>
        <r>
          <rPr>
            <sz val="9"/>
            <color indexed="81"/>
            <rFont val="宋体"/>
            <family val="2"/>
            <scheme val="minor"/>
          </rPr>
          <t xml:space="preserve">
170120: changed inlet_D to rnd_inlet_D to make outer diameter of inlet multiple of 5. made front_plate HD multipple of 5.
170118: added rig dimensions to IF files, added key data for axle &amp; hub
170116: Force big frame for Coupling
170115: corrected smallF for coupling construction
removed rotation of reenf int inlet
</t>
        </r>
      </text>
    </comment>
    <comment ref="U3" authorId="1" shapeId="0">
      <text>
        <r>
          <rPr>
            <b/>
            <sz val="9"/>
            <color indexed="81"/>
            <rFont val="Tahoma"/>
            <family val="2"/>
          </rPr>
          <t>Jan Berg: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7" authorId="1" shapeId="0">
      <text>
        <r>
          <rPr>
            <b/>
            <sz val="9"/>
            <color indexed="81"/>
            <rFont val="Tahoma"/>
            <family val="2"/>
          </rPr>
          <t>standard d_2</t>
        </r>
      </text>
    </comment>
    <comment ref="B17" authorId="1" shapeId="0">
      <text>
        <r>
          <rPr>
            <b/>
            <sz val="9"/>
            <color indexed="81"/>
            <rFont val="Tahoma"/>
            <family val="2"/>
          </rPr>
          <t>Standard orientation notation</t>
        </r>
      </text>
    </comment>
    <comment ref="G21" authorId="1" shapeId="0">
      <text>
        <r>
          <rPr>
            <b/>
            <sz val="9"/>
            <color indexed="81"/>
            <rFont val="Tahoma"/>
            <family val="2"/>
          </rPr>
          <t>Power safety factor</t>
        </r>
      </text>
    </comment>
    <comment ref="J28" authorId="1" shapeId="0">
      <text>
        <r>
          <rPr>
            <b/>
            <sz val="9"/>
            <color indexed="81"/>
            <rFont val="Tahoma"/>
            <family val="2"/>
          </rPr>
          <t>If actual force ratio &lt; 0,9*Frlimit warning in coupling sheet. 0,9 to take care of possible rounding errors</t>
        </r>
      </text>
    </comment>
    <comment ref="N28" authorId="1" shapeId="0">
      <text>
        <r>
          <rPr>
            <b/>
            <sz val="9"/>
            <color indexed="81"/>
            <rFont val="Tahoma"/>
            <family val="2"/>
          </rPr>
          <t>1,5 x hole diameter
to account for bolt &amp; tooling space.</t>
        </r>
      </text>
    </comment>
    <comment ref="A30" authorId="1" shapeId="0">
      <text>
        <r>
          <rPr>
            <b/>
            <sz val="9"/>
            <color indexed="81"/>
            <rFont val="Tahoma"/>
            <family val="2"/>
          </rPr>
          <t>r = ro*exp(K*alfa)</t>
        </r>
      </text>
    </comment>
    <comment ref="S66" authorId="1" shapeId="0">
      <text>
        <r>
          <rPr>
            <b/>
            <sz val="9"/>
            <color indexed="81"/>
            <rFont val="Tahoma"/>
            <family val="2"/>
          </rPr>
          <t>Internal mult on axle D</t>
        </r>
      </text>
    </comment>
    <comment ref="S68" authorId="1" shapeId="0">
      <text>
        <r>
          <rPr>
            <b/>
            <sz val="9"/>
            <color indexed="81"/>
            <rFont val="Tahoma"/>
            <family val="2"/>
          </rPr>
          <t xml:space="preserve">external mult on axle D
</t>
        </r>
      </text>
    </comment>
    <comment ref="F102" authorId="1" shapeId="0">
      <text>
        <r>
          <rPr>
            <b/>
            <sz val="9"/>
            <color indexed="81"/>
            <rFont val="Tahoma"/>
            <family val="2"/>
          </rPr>
          <t>Weight safety factor</t>
        </r>
      </text>
    </comment>
  </commentList>
</comments>
</file>

<file path=xl/comments2.xml><?xml version="1.0" encoding="utf-8"?>
<comments xmlns="http://schemas.openxmlformats.org/spreadsheetml/2006/main">
  <authors>
    <author>tc={FA68256C-41A3-4C36-BA62-BDF260814A21}</author>
  </authors>
  <commentList>
    <comment ref="G17" authorId="0" shapeId="0">
      <text>
        <r>
          <rPr>
            <sz val="10"/>
            <color theme="1"/>
            <rFont val="Calibri"/>
            <family val="2"/>
          </rPr>
          <t>[线程批注]
你的Excel版本可读取此线程批注; 但如果在更新版本的Excel中打开文件，则对批注所作的任何改动都将被删除。了解详细信息: https://go.microsoft.com/fwlink/?linkid=870924
注释:
    默认：
1、进气温度60~150℃配特氟龙轴封。                                                              2、进气温度＞150℃配铜环轴封。                                                                               如有特殊的密封要求，请务必注明</t>
        </r>
      </text>
    </comment>
  </commentList>
</comments>
</file>

<file path=xl/comments3.xml><?xml version="1.0" encoding="utf-8"?>
<comments xmlns="http://schemas.openxmlformats.org/spreadsheetml/2006/main">
  <authors>
    <author>tc={75908F5B-3328-4E2B-B9EF-6727993D4F60}</author>
  </authors>
  <commentList>
    <comment ref="G17" authorId="0" shapeId="0">
      <text>
        <r>
          <rPr>
            <sz val="10"/>
            <color theme="1"/>
            <rFont val="Calibri"/>
            <family val="2"/>
          </rPr>
          <t>[线程批注]
你的Excel版本可读取此线程批注; 但如果在更新版本的Excel中打开文件，则对批注所作的任何改动都将被删除。了解详细信息: https://go.microsoft.com/fwlink/?linkid=870924
注释:
    默认：
1、进气温度60~150℃配特氟龙轴封。                                                              2、进气温度＞150℃配铜环轴封。                                                                               如有特殊的密封要求，请务必注明</t>
        </r>
      </text>
    </comment>
  </commentList>
</comments>
</file>

<file path=xl/comments4.xml><?xml version="1.0" encoding="utf-8"?>
<comments xmlns="http://schemas.openxmlformats.org/spreadsheetml/2006/main">
  <authors>
    <author>Jan Berg</author>
  </authors>
  <commentList>
    <comment ref="E20" authorId="0" shapeId="0">
      <text>
        <r>
          <rPr>
            <b/>
            <sz val="9"/>
            <color indexed="81"/>
            <rFont val="Tahoma"/>
            <family val="2"/>
          </rPr>
          <t xml:space="preserve">Required hub center outside house
</t>
        </r>
      </text>
    </comment>
    <comment ref="F20" authorId="0" shapeId="0">
      <text>
        <r>
          <rPr>
            <b/>
            <sz val="9"/>
            <color indexed="81"/>
            <rFont val="Tahoma"/>
            <family val="2"/>
          </rPr>
          <t>Actual</t>
        </r>
      </text>
    </comment>
    <comment ref="B42" authorId="0" shapeId="0">
      <text>
        <r>
          <rPr>
            <b/>
            <sz val="9"/>
            <color indexed="81"/>
            <rFont val="Tahoma"/>
            <family val="2"/>
          </rPr>
          <t>Jan Berg:</t>
        </r>
        <r>
          <rPr>
            <sz val="9"/>
            <color indexed="81"/>
            <rFont val="Tahoma"/>
            <family val="2"/>
          </rPr>
          <t xml:space="preserve">
Motor axle is 5 mm bigger in bearing</t>
        </r>
      </text>
    </comment>
  </commentList>
</comments>
</file>

<file path=xl/comments5.xml><?xml version="1.0" encoding="utf-8"?>
<comments xmlns="http://schemas.openxmlformats.org/spreadsheetml/2006/main">
  <authors>
    <author>Jan Berg</author>
  </authors>
  <commentList>
    <comment ref="E15" authorId="0" shapeId="0">
      <text>
        <r>
          <rPr>
            <b/>
            <sz val="9"/>
            <color indexed="81"/>
            <rFont val="Tahoma"/>
            <family val="2"/>
          </rPr>
          <t xml:space="preserve">Required
</t>
        </r>
      </text>
    </comment>
    <comment ref="F15" authorId="0" shapeId="0">
      <text>
        <r>
          <rPr>
            <b/>
            <sz val="9"/>
            <color indexed="81"/>
            <rFont val="Tahoma"/>
            <family val="2"/>
          </rPr>
          <t>Actual</t>
        </r>
      </text>
    </comment>
    <comment ref="E68" authorId="0" shapeId="0">
      <text>
        <r>
          <rPr>
            <b/>
            <sz val="9"/>
            <color indexed="81"/>
            <rFont val="Tahoma"/>
            <family val="2"/>
          </rPr>
          <t xml:space="preserve">Required
</t>
        </r>
      </text>
    </comment>
    <comment ref="F68" authorId="0" shapeId="0">
      <text>
        <r>
          <rPr>
            <b/>
            <sz val="9"/>
            <color indexed="81"/>
            <rFont val="Tahoma"/>
            <family val="2"/>
          </rPr>
          <t>Actual</t>
        </r>
      </text>
    </comment>
  </commentList>
</comments>
</file>

<file path=xl/comments6.xml><?xml version="1.0" encoding="utf-8"?>
<comments xmlns="http://schemas.openxmlformats.org/spreadsheetml/2006/main">
  <authors>
    <author>Jan Berg</author>
  </authors>
  <commentList>
    <comment ref="I11" authorId="0" shapeId="0">
      <text>
        <r>
          <rPr>
            <b/>
            <sz val="9"/>
            <color indexed="81"/>
            <rFont val="Tahoma"/>
            <family val="2"/>
          </rPr>
          <t>Standard orientation notation</t>
        </r>
      </text>
    </comment>
  </commentList>
</comments>
</file>

<file path=xl/comments7.xml><?xml version="1.0" encoding="utf-8"?>
<comments xmlns="http://schemas.openxmlformats.org/spreadsheetml/2006/main">
  <authors>
    <author>Jan Berg</author>
  </authors>
  <commentList>
    <comment ref="J9" authorId="0" shapeId="0">
      <text>
        <r>
          <rPr>
            <b/>
            <sz val="9"/>
            <color indexed="81"/>
            <rFont val="Tahoma"/>
            <family val="2"/>
          </rPr>
          <t>Used in macrro</t>
        </r>
      </text>
    </comment>
    <comment ref="D20" authorId="0" shapeId="0">
      <text>
        <r>
          <rPr>
            <b/>
            <sz val="9"/>
            <color indexed="81"/>
            <rFont val="Tahoma"/>
            <family val="2"/>
          </rPr>
          <t>Copied in macro</t>
        </r>
      </text>
    </comment>
    <comment ref="G21" authorId="0" shapeId="0">
      <text>
        <r>
          <rPr>
            <b/>
            <sz val="9"/>
            <color indexed="81"/>
            <rFont val="Tahoma"/>
            <family val="2"/>
          </rPr>
          <t>Used in macro</t>
        </r>
      </text>
    </comment>
    <comment ref="D23" authorId="0" shapeId="0">
      <text>
        <r>
          <rPr>
            <b/>
            <sz val="9"/>
            <color indexed="81"/>
            <rFont val="Tahoma"/>
            <family val="2"/>
          </rPr>
          <t>Jan Berg:</t>
        </r>
        <r>
          <rPr>
            <sz val="9"/>
            <color indexed="81"/>
            <rFont val="Tahoma"/>
            <family val="2"/>
          </rPr>
          <t xml:space="preserve">
950 -&gt; 60 / (2*pi) * sqrt(1000*g)
g hører ikke til i ligningen, 1000 fra mm enhederne</t>
        </r>
      </text>
    </comment>
    <comment ref="D26" authorId="0" shapeId="0">
      <text>
        <r>
          <rPr>
            <b/>
            <sz val="9"/>
            <color indexed="81"/>
            <rFont val="Tahoma"/>
            <family val="2"/>
          </rPr>
          <t>copied in maccro</t>
        </r>
      </text>
    </comment>
    <comment ref="J28" authorId="0" shapeId="0">
      <text>
        <r>
          <rPr>
            <b/>
            <sz val="9"/>
            <color indexed="81"/>
            <rFont val="Tahoma"/>
            <family val="2"/>
          </rPr>
          <t>Copied in macro</t>
        </r>
      </text>
    </comment>
    <comment ref="J29" authorId="0" shapeId="0">
      <text>
        <r>
          <rPr>
            <b/>
            <sz val="9"/>
            <color indexed="81"/>
            <rFont val="Tahoma"/>
            <family val="2"/>
          </rPr>
          <t>Used in macro</t>
        </r>
      </text>
    </comment>
    <comment ref="G45" authorId="0" shapeId="0">
      <text>
        <r>
          <rPr>
            <b/>
            <sz val="9"/>
            <color indexed="81"/>
            <rFont val="Tahoma"/>
            <family val="2"/>
          </rPr>
          <t>Used in macro</t>
        </r>
      </text>
    </comment>
    <comment ref="B46" authorId="0" shapeId="0">
      <text>
        <r>
          <rPr>
            <b/>
            <sz val="9"/>
            <color indexed="81"/>
            <rFont val="Tahoma"/>
            <family val="2"/>
          </rPr>
          <t>Jan Berg:</t>
        </r>
        <r>
          <rPr>
            <sz val="9"/>
            <color indexed="81"/>
            <rFont val="Tahoma"/>
            <family val="2"/>
          </rPr>
          <t xml:space="preserve">
rev's rad/s</t>
        </r>
      </text>
    </comment>
    <comment ref="C46" authorId="0" shapeId="0">
      <text>
        <r>
          <rPr>
            <b/>
            <sz val="9"/>
            <color indexed="81"/>
            <rFont val="Tahoma"/>
            <family val="2"/>
          </rPr>
          <t>Jan Berg:</t>
        </r>
        <r>
          <rPr>
            <sz val="9"/>
            <color indexed="81"/>
            <rFont val="Tahoma"/>
            <family val="2"/>
          </rPr>
          <t xml:space="preserve">
rev's hz</t>
        </r>
      </text>
    </comment>
    <comment ref="B48" authorId="0" shapeId="0">
      <text>
        <r>
          <rPr>
            <b/>
            <sz val="9"/>
            <color indexed="81"/>
            <rFont val="Tahoma"/>
            <family val="2"/>
          </rPr>
          <t>Jan Berg:</t>
        </r>
        <r>
          <rPr>
            <sz val="9"/>
            <color indexed="81"/>
            <rFont val="Tahoma"/>
            <family val="2"/>
          </rPr>
          <t xml:space="preserve">
rev's rad/s</t>
        </r>
      </text>
    </comment>
    <comment ref="C48" authorId="0" shapeId="0">
      <text>
        <r>
          <rPr>
            <b/>
            <sz val="9"/>
            <color indexed="81"/>
            <rFont val="Tahoma"/>
            <family val="2"/>
          </rPr>
          <t>Jan Berg:</t>
        </r>
        <r>
          <rPr>
            <sz val="9"/>
            <color indexed="81"/>
            <rFont val="Tahoma"/>
            <family val="2"/>
          </rPr>
          <t xml:space="preserve">
rev's hz</t>
        </r>
      </text>
    </comment>
  </commentList>
</comments>
</file>

<file path=xl/comments8.xml><?xml version="1.0" encoding="utf-8"?>
<comments xmlns="http://schemas.openxmlformats.org/spreadsheetml/2006/main">
  <authors>
    <author>Jan Berg</author>
  </authors>
  <commentList>
    <comment ref="B8" authorId="0" shapeId="0">
      <text>
        <r>
          <rPr>
            <b/>
            <sz val="9"/>
            <color indexed="81"/>
            <rFont val="Tahoma"/>
            <family val="2"/>
          </rPr>
          <t>Sets min or avg distance in Axle&amp;Acc.</t>
        </r>
      </text>
    </comment>
    <comment ref="J17" authorId="0" shapeId="0">
      <text>
        <r>
          <rPr>
            <b/>
            <sz val="9"/>
            <color indexed="81"/>
            <rFont val="Tahoma"/>
            <family val="2"/>
          </rPr>
          <t>Used in macrro</t>
        </r>
      </text>
    </comment>
    <comment ref="D20" authorId="0" shapeId="0">
      <text>
        <r>
          <rPr>
            <b/>
            <sz val="9"/>
            <color indexed="81"/>
            <rFont val="Tahoma"/>
            <family val="2"/>
          </rPr>
          <t>Copied in macro</t>
        </r>
      </text>
    </comment>
    <comment ref="G21" authorId="0" shapeId="0">
      <text>
        <r>
          <rPr>
            <b/>
            <sz val="9"/>
            <color indexed="81"/>
            <rFont val="Tahoma"/>
            <family val="2"/>
          </rPr>
          <t>Used in macro</t>
        </r>
      </text>
    </comment>
    <comment ref="D23" authorId="0" shapeId="0">
      <text>
        <r>
          <rPr>
            <b/>
            <sz val="9"/>
            <color indexed="81"/>
            <rFont val="Tahoma"/>
            <family val="2"/>
          </rPr>
          <t>Jan Berg:</t>
        </r>
        <r>
          <rPr>
            <sz val="9"/>
            <color indexed="81"/>
            <rFont val="Tahoma"/>
            <family val="2"/>
          </rPr>
          <t xml:space="preserve">
950 -&gt; 60 / (2*pi) * sqrt(1000*g)
g hører ikke til i ligningen, 1000 fra mm enhederne</t>
        </r>
      </text>
    </comment>
    <comment ref="D26" authorId="0" shapeId="0">
      <text>
        <r>
          <rPr>
            <b/>
            <sz val="9"/>
            <color indexed="81"/>
            <rFont val="Tahoma"/>
            <family val="2"/>
          </rPr>
          <t>copied in maccro</t>
        </r>
      </text>
    </comment>
    <comment ref="J28" authorId="0" shapeId="0">
      <text>
        <r>
          <rPr>
            <b/>
            <sz val="9"/>
            <color indexed="81"/>
            <rFont val="Tahoma"/>
            <family val="2"/>
          </rPr>
          <t>Copied in macro</t>
        </r>
      </text>
    </comment>
    <comment ref="J29" authorId="0" shapeId="0">
      <text>
        <r>
          <rPr>
            <b/>
            <sz val="9"/>
            <color indexed="81"/>
            <rFont val="Tahoma"/>
            <family val="2"/>
          </rPr>
          <t>Used in macro</t>
        </r>
      </text>
    </comment>
    <comment ref="G45" authorId="0" shapeId="0">
      <text>
        <r>
          <rPr>
            <b/>
            <sz val="9"/>
            <color indexed="81"/>
            <rFont val="Tahoma"/>
            <family val="2"/>
          </rPr>
          <t>Used in macro</t>
        </r>
      </text>
    </comment>
    <comment ref="B46" authorId="0" shapeId="0">
      <text>
        <r>
          <rPr>
            <b/>
            <sz val="9"/>
            <color indexed="81"/>
            <rFont val="Tahoma"/>
            <family val="2"/>
          </rPr>
          <t>Jan Berg:</t>
        </r>
        <r>
          <rPr>
            <sz val="9"/>
            <color indexed="81"/>
            <rFont val="Tahoma"/>
            <family val="2"/>
          </rPr>
          <t xml:space="preserve">
rev's rad/s</t>
        </r>
      </text>
    </comment>
    <comment ref="C46" authorId="0" shapeId="0">
      <text>
        <r>
          <rPr>
            <b/>
            <sz val="9"/>
            <color indexed="81"/>
            <rFont val="Tahoma"/>
            <family val="2"/>
          </rPr>
          <t>Jan Berg:</t>
        </r>
        <r>
          <rPr>
            <sz val="9"/>
            <color indexed="81"/>
            <rFont val="Tahoma"/>
            <family val="2"/>
          </rPr>
          <t xml:space="preserve">
rev's hz</t>
        </r>
      </text>
    </comment>
    <comment ref="B48" authorId="0" shapeId="0">
      <text>
        <r>
          <rPr>
            <b/>
            <sz val="9"/>
            <color indexed="81"/>
            <rFont val="Tahoma"/>
            <family val="2"/>
          </rPr>
          <t>Jan Berg:</t>
        </r>
        <r>
          <rPr>
            <sz val="9"/>
            <color indexed="81"/>
            <rFont val="Tahoma"/>
            <family val="2"/>
          </rPr>
          <t xml:space="preserve">
rev's rad/s</t>
        </r>
      </text>
    </comment>
    <comment ref="C48" authorId="0" shapeId="0">
      <text>
        <r>
          <rPr>
            <b/>
            <sz val="9"/>
            <color indexed="81"/>
            <rFont val="Tahoma"/>
            <family val="2"/>
          </rPr>
          <t>Jan Berg:</t>
        </r>
        <r>
          <rPr>
            <sz val="9"/>
            <color indexed="81"/>
            <rFont val="Tahoma"/>
            <family val="2"/>
          </rPr>
          <t xml:space="preserve">
rev's hz</t>
        </r>
      </text>
    </comment>
  </commentList>
</comments>
</file>

<file path=xl/comments9.xml><?xml version="1.0" encoding="utf-8"?>
<comments xmlns="http://schemas.openxmlformats.org/spreadsheetml/2006/main">
  <authors>
    <author>Jan Berg</author>
  </authors>
  <commentList>
    <comment ref="A13" authorId="0" shapeId="0">
      <text>
        <r>
          <rPr>
            <b/>
            <sz val="9"/>
            <color indexed="81"/>
            <rFont val="Tahoma"/>
            <family val="2"/>
          </rPr>
          <t>Impeller end</t>
        </r>
      </text>
    </comment>
    <comment ref="A15" authorId="0" shapeId="0">
      <text>
        <r>
          <rPr>
            <b/>
            <sz val="9"/>
            <color indexed="81"/>
            <rFont val="Tahoma"/>
            <family val="2"/>
          </rPr>
          <t>Motor end</t>
        </r>
      </text>
    </comment>
  </commentList>
</comments>
</file>

<file path=xl/comments10.xml><?xml version="1.0" encoding="utf-8"?>
<comments xmlns="http://schemas.openxmlformats.org/spreadsheetml/2006/main">
  <authors>
    <author>Jan Berg</author>
  </authors>
  <commentList>
    <comment ref="F6" authorId="0" shapeId="0">
      <text>
        <r>
          <rPr>
            <sz val="9"/>
            <color indexed="81"/>
            <rFont val="Tahoma"/>
            <family val="2"/>
          </rPr>
          <t xml:space="preserve">mirror: LG=1, RD=-1
</t>
        </r>
      </text>
    </comment>
    <comment ref="AH11" authorId="0" shapeId="0">
      <text>
        <r>
          <rPr>
            <b/>
            <sz val="9"/>
            <color indexed="81"/>
            <rFont val="Tahoma"/>
            <family val="2"/>
          </rPr>
          <t>used for drawings only</t>
        </r>
      </text>
    </comment>
    <comment ref="AI11" authorId="0" shapeId="0">
      <text>
        <r>
          <rPr>
            <b/>
            <sz val="9"/>
            <color indexed="81"/>
            <rFont val="Tahoma"/>
            <family val="2"/>
          </rPr>
          <t>Used for Drawings only</t>
        </r>
      </text>
    </comment>
    <comment ref="B16" authorId="0" shapeId="0">
      <text>
        <r>
          <rPr>
            <sz val="9"/>
            <color indexed="81"/>
            <rFont val="Tahoma"/>
            <family val="2"/>
          </rPr>
          <t xml:space="preserve">Forces more reinf for thicker HousePT
</t>
        </r>
      </text>
    </comment>
  </commentList>
</comments>
</file>

<file path=xl/comments11.xml><?xml version="1.0" encoding="utf-8"?>
<comments xmlns="http://schemas.openxmlformats.org/spreadsheetml/2006/main">
  <authors>
    <author>Jan Berg</author>
  </authors>
  <commentList>
    <comment ref="B19" authorId="0" shapeId="0">
      <text>
        <r>
          <rPr>
            <sz val="9"/>
            <color indexed="81"/>
            <rFont val="Tahoma"/>
            <family val="2"/>
          </rPr>
          <t xml:space="preserve">use modified d_2 if &gt; d_2
</t>
        </r>
      </text>
    </comment>
    <comment ref="K29" authorId="0" shapeId="0">
      <text>
        <r>
          <rPr>
            <b/>
            <sz val="9"/>
            <color indexed="81"/>
            <rFont val="Tahoma"/>
            <family val="2"/>
          </rPr>
          <t>min length for conical section</t>
        </r>
      </text>
    </comment>
    <comment ref="K31" authorId="0" shapeId="0">
      <text>
        <r>
          <rPr>
            <b/>
            <sz val="9"/>
            <color indexed="81"/>
            <rFont val="Tahoma"/>
            <family val="2"/>
          </rPr>
          <t>max(75; rad reenf H)</t>
        </r>
      </text>
    </comment>
    <comment ref="K32" authorId="0" shapeId="0">
      <text>
        <r>
          <rPr>
            <b/>
            <sz val="9"/>
            <color indexed="81"/>
            <rFont val="Tahoma"/>
            <family val="2"/>
          </rPr>
          <t>min length for conical section</t>
        </r>
      </text>
    </comment>
    <comment ref="F45" authorId="0" shapeId="0">
      <text>
        <r>
          <rPr>
            <b/>
            <sz val="9"/>
            <color indexed="81"/>
            <rFont val="Tahoma"/>
            <family val="2"/>
          </rPr>
          <t>1: cone only inside xor outside house
2: cone both inside and outside house</t>
        </r>
      </text>
    </comment>
  </commentList>
</comments>
</file>

<file path=xl/comments12.xml><?xml version="1.0" encoding="utf-8"?>
<comments xmlns="http://schemas.openxmlformats.org/spreadsheetml/2006/main">
  <authors>
    <author>Jan Berg</author>
  </authors>
  <commentList>
    <comment ref="M8" authorId="0" shapeId="0">
      <text>
        <r>
          <rPr>
            <sz val="9"/>
            <color indexed="81"/>
            <rFont val="Tahoma"/>
            <family val="2"/>
          </rPr>
          <t xml:space="preserve">Eq. radius of Area inside CF
</t>
        </r>
      </text>
    </comment>
    <comment ref="L10" authorId="0" shapeId="0">
      <text>
        <r>
          <rPr>
            <b/>
            <sz val="9"/>
            <color indexed="81"/>
            <rFont val="Tahoma"/>
            <family val="2"/>
          </rPr>
          <t>TOP</t>
        </r>
      </text>
    </comment>
    <comment ref="M10" authorId="0" shapeId="0">
      <text>
        <r>
          <rPr>
            <sz val="9"/>
            <color indexed="81"/>
            <rFont val="Tahoma"/>
            <family val="2"/>
          </rPr>
          <t xml:space="preserve">max 4 reinf
</t>
        </r>
      </text>
    </comment>
    <comment ref="L12" authorId="0" shapeId="0">
      <text>
        <r>
          <rPr>
            <b/>
            <sz val="9"/>
            <color indexed="81"/>
            <rFont val="Tahoma"/>
            <family val="2"/>
          </rPr>
          <t>BOTTOM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M12" authorId="0" shapeId="0">
      <text>
        <r>
          <rPr>
            <sz val="9"/>
            <color indexed="81"/>
            <rFont val="Tahoma"/>
            <family val="2"/>
          </rPr>
          <t xml:space="preserve">max 4 reinf
</t>
        </r>
      </text>
    </comment>
    <comment ref="N71" authorId="0" shapeId="0">
      <text>
        <r>
          <rPr>
            <b/>
            <sz val="9"/>
            <color indexed="81"/>
            <rFont val="Tahoma"/>
            <family val="2"/>
          </rPr>
          <t>Jan Berg:</t>
        </r>
        <r>
          <rPr>
            <sz val="9"/>
            <color indexed="81"/>
            <rFont val="Tahoma"/>
            <family val="2"/>
          </rPr>
          <t xml:space="preserve">
2 min Critical vib rpm limit</t>
        </r>
      </text>
    </comment>
    <comment ref="R72" authorId="0" shapeId="0">
      <text>
        <r>
          <rPr>
            <b/>
            <sz val="9"/>
            <color indexed="81"/>
            <rFont val="Tahoma"/>
            <family val="2"/>
          </rPr>
          <t>limit no of eq d 
reinf</t>
        </r>
      </text>
    </comment>
  </commentList>
</comments>
</file>

<file path=xl/comments13.xml><?xml version="1.0" encoding="utf-8"?>
<comments xmlns="http://schemas.openxmlformats.org/spreadsheetml/2006/main">
  <authors>
    <author>Jan Berg</author>
  </authors>
  <commentList>
    <comment ref="F37" authorId="0" shapeId="0">
      <text>
        <r>
          <rPr>
            <b/>
            <sz val="9"/>
            <color indexed="81"/>
            <rFont val="Tahoma"/>
            <family val="2"/>
          </rPr>
          <t>x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53" authorId="0" shapeId="0">
      <text>
        <r>
          <rPr>
            <b/>
            <sz val="9"/>
            <color indexed="81"/>
            <rFont val="Tahoma"/>
            <family val="2"/>
          </rPr>
          <t>x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98" authorId="0" shapeId="0">
      <text>
        <r>
          <rPr>
            <b/>
            <sz val="9"/>
            <color indexed="81"/>
            <rFont val="Tahoma"/>
            <family val="2"/>
          </rPr>
          <t>y dim @ angle</t>
        </r>
      </text>
    </comment>
    <comment ref="E99" authorId="0" shapeId="0">
      <text>
        <r>
          <rPr>
            <b/>
            <sz val="9"/>
            <color indexed="81"/>
            <rFont val="Tahoma"/>
            <family val="2"/>
          </rPr>
          <t>y dim @ angle</t>
        </r>
      </text>
    </comment>
    <comment ref="D103" authorId="0" shapeId="0">
      <text>
        <r>
          <rPr>
            <b/>
            <sz val="9"/>
            <color indexed="81"/>
            <rFont val="Tahoma"/>
            <family val="2"/>
          </rPr>
          <t>Jan Berg:</t>
        </r>
        <r>
          <rPr>
            <sz val="9"/>
            <color indexed="81"/>
            <rFont val="Tahoma"/>
            <family val="2"/>
          </rPr>
          <t xml:space="preserve">
unfolded flat total width</t>
        </r>
      </text>
    </comment>
    <comment ref="E103" authorId="0" shapeId="0">
      <text>
        <r>
          <rPr>
            <b/>
            <sz val="9"/>
            <color indexed="81"/>
            <rFont val="Tahoma"/>
            <family val="2"/>
          </rPr>
          <t>y dim @ angle</t>
        </r>
      </text>
    </comment>
    <comment ref="F103" authorId="0" shapeId="0">
      <text>
        <r>
          <rPr>
            <b/>
            <sz val="9"/>
            <color indexed="81"/>
            <rFont val="Tahoma"/>
            <family val="2"/>
          </rPr>
          <t>x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104" authorId="0" shapeId="0">
      <text>
        <r>
          <rPr>
            <b/>
            <sz val="9"/>
            <color indexed="81"/>
            <rFont val="Tahoma"/>
            <family val="2"/>
          </rPr>
          <t>Jan Berg:</t>
        </r>
        <r>
          <rPr>
            <sz val="9"/>
            <color indexed="81"/>
            <rFont val="Tahoma"/>
            <family val="2"/>
          </rPr>
          <t xml:space="preserve">
y offset of start @ rack angle small frame
</t>
        </r>
      </text>
    </comment>
    <comment ref="D115" authorId="0" shapeId="0">
      <text>
        <r>
          <rPr>
            <b/>
            <sz val="9"/>
            <color indexed="81"/>
            <rFont val="Tahoma"/>
            <family val="2"/>
          </rPr>
          <t>Jan Berg:</t>
        </r>
        <r>
          <rPr>
            <sz val="9"/>
            <color indexed="81"/>
            <rFont val="Tahoma"/>
            <family val="2"/>
          </rPr>
          <t xml:space="preserve">
unfolded flat total width</t>
        </r>
      </text>
    </comment>
    <comment ref="E115" authorId="0" shapeId="0">
      <text>
        <r>
          <rPr>
            <b/>
            <sz val="9"/>
            <color indexed="81"/>
            <rFont val="Tahoma"/>
            <family val="2"/>
          </rPr>
          <t>y dim @ angle</t>
        </r>
      </text>
    </comment>
    <comment ref="F115" authorId="0" shapeId="0">
      <text>
        <r>
          <rPr>
            <b/>
            <sz val="9"/>
            <color indexed="81"/>
            <rFont val="Tahoma"/>
            <family val="2"/>
          </rPr>
          <t>x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120" authorId="0" shapeId="0">
      <text>
        <r>
          <rPr>
            <b/>
            <sz val="9"/>
            <color indexed="81"/>
            <rFont val="Tahoma"/>
            <family val="2"/>
          </rPr>
          <t>y dim @ angle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120" authorId="0" shapeId="0">
      <text>
        <r>
          <rPr>
            <b/>
            <sz val="9"/>
            <color indexed="81"/>
            <rFont val="Tahoma"/>
            <family val="2"/>
          </rPr>
          <t>z</t>
        </r>
      </text>
    </comment>
    <comment ref="E124" authorId="0" shapeId="0">
      <text>
        <r>
          <rPr>
            <b/>
            <sz val="9"/>
            <color indexed="81"/>
            <rFont val="Tahoma"/>
            <family val="2"/>
          </rPr>
          <t>y dim @ angle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124" authorId="0" shapeId="0">
      <text>
        <r>
          <rPr>
            <b/>
            <sz val="9"/>
            <color indexed="81"/>
            <rFont val="Tahoma"/>
            <family val="2"/>
          </rPr>
          <t>z</t>
        </r>
      </text>
    </comment>
    <comment ref="E128" authorId="0" shapeId="0">
      <text>
        <r>
          <rPr>
            <b/>
            <sz val="9"/>
            <color indexed="81"/>
            <rFont val="Tahoma"/>
            <family val="2"/>
          </rPr>
          <t>y dim @ angle</t>
        </r>
      </text>
    </comment>
    <comment ref="F128" authorId="0" shapeId="0">
      <text>
        <r>
          <rPr>
            <b/>
            <sz val="9"/>
            <color indexed="81"/>
            <rFont val="Tahoma"/>
            <family val="2"/>
          </rPr>
          <t>x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130" authorId="0" shapeId="0">
      <text>
        <r>
          <rPr>
            <b/>
            <sz val="9"/>
            <color indexed="81"/>
            <rFont val="Tahoma"/>
            <family val="2"/>
          </rPr>
          <t>x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14.xml><?xml version="1.0" encoding="utf-8"?>
<comments xmlns="http://schemas.openxmlformats.org/spreadsheetml/2006/main">
  <authors>
    <author>Jan Berg</author>
  </authors>
  <commentList>
    <comment ref="F37" authorId="0" shapeId="0">
      <text>
        <r>
          <rPr>
            <b/>
            <sz val="9"/>
            <color indexed="81"/>
            <rFont val="Tahoma"/>
            <family val="2"/>
          </rPr>
          <t>x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53" authorId="0" shapeId="0">
      <text>
        <r>
          <rPr>
            <b/>
            <sz val="9"/>
            <color indexed="81"/>
            <rFont val="Tahoma"/>
            <family val="2"/>
          </rPr>
          <t>x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69" authorId="0" shapeId="0">
      <text>
        <r>
          <rPr>
            <b/>
            <sz val="9"/>
            <color indexed="81"/>
            <rFont val="Tahoma"/>
            <family val="2"/>
          </rPr>
          <t>x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85" authorId="0" shapeId="0">
      <text>
        <r>
          <rPr>
            <b/>
            <sz val="9"/>
            <color indexed="81"/>
            <rFont val="Tahoma"/>
            <family val="2"/>
          </rPr>
          <t>x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98" authorId="0" shapeId="0">
      <text>
        <r>
          <rPr>
            <b/>
            <sz val="9"/>
            <color indexed="81"/>
            <rFont val="Tahoma"/>
            <family val="2"/>
          </rPr>
          <t>y dim @ angle</t>
        </r>
      </text>
    </comment>
    <comment ref="E99" authorId="0" shapeId="0">
      <text>
        <r>
          <rPr>
            <b/>
            <sz val="9"/>
            <color indexed="81"/>
            <rFont val="Tahoma"/>
            <family val="2"/>
          </rPr>
          <t>y dim @ angle</t>
        </r>
      </text>
    </comment>
    <comment ref="D103" authorId="0" shapeId="0">
      <text>
        <r>
          <rPr>
            <b/>
            <sz val="9"/>
            <color indexed="81"/>
            <rFont val="Tahoma"/>
            <family val="2"/>
          </rPr>
          <t>Jan Berg:</t>
        </r>
        <r>
          <rPr>
            <sz val="9"/>
            <color indexed="81"/>
            <rFont val="Tahoma"/>
            <family val="2"/>
          </rPr>
          <t xml:space="preserve">
unfolded flat total width</t>
        </r>
      </text>
    </comment>
    <comment ref="E103" authorId="0" shapeId="0">
      <text>
        <r>
          <rPr>
            <b/>
            <sz val="9"/>
            <color indexed="81"/>
            <rFont val="Tahoma"/>
            <family val="2"/>
          </rPr>
          <t>y dim @ angle</t>
        </r>
      </text>
    </comment>
    <comment ref="F103" authorId="0" shapeId="0">
      <text>
        <r>
          <rPr>
            <b/>
            <sz val="9"/>
            <color indexed="81"/>
            <rFont val="Tahoma"/>
            <family val="2"/>
          </rPr>
          <t>x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104" authorId="0" shapeId="0">
      <text>
        <r>
          <rPr>
            <b/>
            <sz val="9"/>
            <color indexed="81"/>
            <rFont val="Tahoma"/>
            <family val="2"/>
          </rPr>
          <t>Jan Berg:</t>
        </r>
        <r>
          <rPr>
            <sz val="9"/>
            <color indexed="81"/>
            <rFont val="Tahoma"/>
            <family val="2"/>
          </rPr>
          <t xml:space="preserve">
y offset of start @ rack angle small frame
</t>
        </r>
      </text>
    </comment>
    <comment ref="D107" authorId="0" shapeId="0">
      <text>
        <r>
          <rPr>
            <b/>
            <sz val="9"/>
            <color indexed="81"/>
            <rFont val="Tahoma"/>
            <family val="2"/>
          </rPr>
          <t>Jan Berg:</t>
        </r>
        <r>
          <rPr>
            <sz val="9"/>
            <color indexed="81"/>
            <rFont val="Tahoma"/>
            <family val="2"/>
          </rPr>
          <t xml:space="preserve">
unfolded flat total width</t>
        </r>
      </text>
    </comment>
    <comment ref="E107" authorId="0" shapeId="0">
      <text>
        <r>
          <rPr>
            <b/>
            <sz val="9"/>
            <color indexed="81"/>
            <rFont val="Tahoma"/>
            <family val="2"/>
          </rPr>
          <t>y dim @ angle</t>
        </r>
      </text>
    </comment>
    <comment ref="F107" authorId="0" shapeId="0">
      <text>
        <r>
          <rPr>
            <b/>
            <sz val="9"/>
            <color indexed="81"/>
            <rFont val="Tahoma"/>
            <family val="2"/>
          </rPr>
          <t>x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111" authorId="0" shapeId="0">
      <text>
        <r>
          <rPr>
            <b/>
            <sz val="9"/>
            <color indexed="81"/>
            <rFont val="Tahoma"/>
            <family val="2"/>
          </rPr>
          <t>Jan Berg:</t>
        </r>
        <r>
          <rPr>
            <sz val="9"/>
            <color indexed="81"/>
            <rFont val="Tahoma"/>
            <family val="2"/>
          </rPr>
          <t xml:space="preserve">
unfolded flat total width</t>
        </r>
      </text>
    </comment>
    <comment ref="E111" authorId="0" shapeId="0">
      <text>
        <r>
          <rPr>
            <b/>
            <sz val="9"/>
            <color indexed="81"/>
            <rFont val="Tahoma"/>
            <family val="2"/>
          </rPr>
          <t>y dim @ angle</t>
        </r>
      </text>
    </comment>
    <comment ref="F111" authorId="0" shapeId="0">
      <text>
        <r>
          <rPr>
            <b/>
            <sz val="9"/>
            <color indexed="81"/>
            <rFont val="Tahoma"/>
            <family val="2"/>
          </rPr>
          <t>x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115" authorId="0" shapeId="0">
      <text>
        <r>
          <rPr>
            <b/>
            <sz val="9"/>
            <color indexed="81"/>
            <rFont val="Tahoma"/>
            <family val="2"/>
          </rPr>
          <t>Jan Berg:</t>
        </r>
        <r>
          <rPr>
            <sz val="9"/>
            <color indexed="81"/>
            <rFont val="Tahoma"/>
            <family val="2"/>
          </rPr>
          <t xml:space="preserve">
unfolded flat total width</t>
        </r>
      </text>
    </comment>
    <comment ref="E115" authorId="0" shapeId="0">
      <text>
        <r>
          <rPr>
            <b/>
            <sz val="9"/>
            <color indexed="81"/>
            <rFont val="Tahoma"/>
            <family val="2"/>
          </rPr>
          <t>y dim @ angle</t>
        </r>
      </text>
    </comment>
    <comment ref="F115" authorId="0" shapeId="0">
      <text>
        <r>
          <rPr>
            <b/>
            <sz val="9"/>
            <color indexed="81"/>
            <rFont val="Tahoma"/>
            <family val="2"/>
          </rPr>
          <t>x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20" authorId="0" shapeId="0">
      <text>
        <r>
          <rPr>
            <b/>
            <sz val="9"/>
            <color indexed="81"/>
            <rFont val="Tahoma"/>
            <family val="2"/>
          </rPr>
          <t>Jan Berg:</t>
        </r>
        <r>
          <rPr>
            <sz val="9"/>
            <color indexed="81"/>
            <rFont val="Tahoma"/>
            <family val="2"/>
          </rPr>
          <t xml:space="preserve">
special formula: SF_base if iron b/sin(r_angle)&lt;width of S iron else SF_P</t>
        </r>
      </text>
    </comment>
    <comment ref="E120" authorId="0" shapeId="0">
      <text>
        <r>
          <rPr>
            <b/>
            <sz val="9"/>
            <color indexed="81"/>
            <rFont val="Tahoma"/>
            <family val="2"/>
          </rPr>
          <t>y dim @ angle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120" authorId="0" shapeId="0">
      <text>
        <r>
          <rPr>
            <b/>
            <sz val="9"/>
            <color indexed="81"/>
            <rFont val="Tahoma"/>
            <family val="2"/>
          </rPr>
          <t>z</t>
        </r>
      </text>
    </comment>
    <comment ref="C124" authorId="0" shapeId="0">
      <text>
        <r>
          <rPr>
            <b/>
            <sz val="9"/>
            <color indexed="81"/>
            <rFont val="Tahoma"/>
            <family val="2"/>
          </rPr>
          <t>Jan Berg:</t>
        </r>
        <r>
          <rPr>
            <sz val="9"/>
            <color indexed="81"/>
            <rFont val="Tahoma"/>
            <family val="2"/>
          </rPr>
          <t xml:space="preserve">
special formula: SF_base if iron b/sin(r_angle)&lt;width of S iron else SF_P</t>
        </r>
      </text>
    </comment>
    <comment ref="E124" authorId="0" shapeId="0">
      <text>
        <r>
          <rPr>
            <b/>
            <sz val="9"/>
            <color indexed="81"/>
            <rFont val="Tahoma"/>
            <family val="2"/>
          </rPr>
          <t>y dim @ angle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124" authorId="0" shapeId="0">
      <text>
        <r>
          <rPr>
            <b/>
            <sz val="9"/>
            <color indexed="81"/>
            <rFont val="Tahoma"/>
            <family val="2"/>
          </rPr>
          <t>z</t>
        </r>
      </text>
    </comment>
    <comment ref="E128" authorId="0" shapeId="0">
      <text>
        <r>
          <rPr>
            <b/>
            <sz val="9"/>
            <color indexed="81"/>
            <rFont val="Tahoma"/>
            <family val="2"/>
          </rPr>
          <t>y dim @ angle</t>
        </r>
      </text>
    </comment>
    <comment ref="F128" authorId="0" shapeId="0">
      <text>
        <r>
          <rPr>
            <b/>
            <sz val="9"/>
            <color indexed="81"/>
            <rFont val="Tahoma"/>
            <family val="2"/>
          </rPr>
          <t>x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130" authorId="0" shapeId="0">
      <text>
        <r>
          <rPr>
            <b/>
            <sz val="9"/>
            <color indexed="81"/>
            <rFont val="Tahoma"/>
            <family val="2"/>
          </rPr>
          <t>x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132" authorId="0" shapeId="0">
      <text>
        <r>
          <rPr>
            <b/>
            <sz val="9"/>
            <color indexed="81"/>
            <rFont val="Tahoma"/>
            <family val="2"/>
          </rPr>
          <t>y dim @ angle</t>
        </r>
      </text>
    </comment>
    <comment ref="F132" authorId="0" shapeId="0">
      <text>
        <r>
          <rPr>
            <b/>
            <sz val="9"/>
            <color indexed="81"/>
            <rFont val="Tahoma"/>
            <family val="2"/>
          </rPr>
          <t>x</t>
        </r>
      </text>
    </comment>
    <comment ref="F134" authorId="0" shapeId="0">
      <text>
        <r>
          <rPr>
            <b/>
            <sz val="9"/>
            <color indexed="81"/>
            <rFont val="Tahoma"/>
            <family val="2"/>
          </rPr>
          <t>x</t>
        </r>
      </text>
    </comment>
  </commentList>
</comments>
</file>

<file path=xl/comments15.xml><?xml version="1.0" encoding="utf-8"?>
<comments xmlns="http://schemas.openxmlformats.org/spreadsheetml/2006/main">
  <authors>
    <author>Jan Berg</author>
  </authors>
  <commentList>
    <comment ref="F37" authorId="0" shapeId="0">
      <text>
        <r>
          <rPr>
            <b/>
            <sz val="9"/>
            <color indexed="81"/>
            <rFont val="Tahoma"/>
            <family val="2"/>
          </rPr>
          <t>x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53" authorId="0" shapeId="0">
      <text>
        <r>
          <rPr>
            <b/>
            <sz val="9"/>
            <color indexed="81"/>
            <rFont val="Tahoma"/>
            <family val="2"/>
          </rPr>
          <t>x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69" authorId="0" shapeId="0">
      <text>
        <r>
          <rPr>
            <b/>
            <sz val="9"/>
            <color indexed="81"/>
            <rFont val="Tahoma"/>
            <family val="2"/>
          </rPr>
          <t>x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85" authorId="0" shapeId="0">
      <text>
        <r>
          <rPr>
            <b/>
            <sz val="9"/>
            <color indexed="81"/>
            <rFont val="Tahoma"/>
            <family val="2"/>
          </rPr>
          <t>x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98" authorId="0" shapeId="0">
      <text>
        <r>
          <rPr>
            <b/>
            <sz val="9"/>
            <color indexed="81"/>
            <rFont val="Tahoma"/>
            <family val="2"/>
          </rPr>
          <t>y dim @ angle</t>
        </r>
      </text>
    </comment>
    <comment ref="E99" authorId="0" shapeId="0">
      <text>
        <r>
          <rPr>
            <b/>
            <sz val="9"/>
            <color indexed="81"/>
            <rFont val="Tahoma"/>
            <family val="2"/>
          </rPr>
          <t>y dim @ angle</t>
        </r>
      </text>
    </comment>
    <comment ref="D103" authorId="0" shapeId="0">
      <text>
        <r>
          <rPr>
            <b/>
            <sz val="9"/>
            <color indexed="81"/>
            <rFont val="Tahoma"/>
            <family val="2"/>
          </rPr>
          <t>Jan Berg:</t>
        </r>
        <r>
          <rPr>
            <sz val="9"/>
            <color indexed="81"/>
            <rFont val="Tahoma"/>
            <family val="2"/>
          </rPr>
          <t xml:space="preserve">
unfolded flat total width</t>
        </r>
      </text>
    </comment>
    <comment ref="E103" authorId="0" shapeId="0">
      <text>
        <r>
          <rPr>
            <b/>
            <sz val="9"/>
            <color indexed="81"/>
            <rFont val="Tahoma"/>
            <family val="2"/>
          </rPr>
          <t>y dim @ angle</t>
        </r>
      </text>
    </comment>
    <comment ref="F103" authorId="0" shapeId="0">
      <text>
        <r>
          <rPr>
            <b/>
            <sz val="9"/>
            <color indexed="81"/>
            <rFont val="Tahoma"/>
            <family val="2"/>
          </rPr>
          <t>x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104" authorId="0" shapeId="0">
      <text>
        <r>
          <rPr>
            <b/>
            <sz val="9"/>
            <color indexed="81"/>
            <rFont val="Tahoma"/>
            <family val="2"/>
          </rPr>
          <t>Jan Berg:</t>
        </r>
        <r>
          <rPr>
            <sz val="9"/>
            <color indexed="81"/>
            <rFont val="Tahoma"/>
            <family val="2"/>
          </rPr>
          <t xml:space="preserve">
y offset of start @ rack angle small frame
</t>
        </r>
      </text>
    </comment>
    <comment ref="D107" authorId="0" shapeId="0">
      <text>
        <r>
          <rPr>
            <b/>
            <sz val="9"/>
            <color indexed="81"/>
            <rFont val="Tahoma"/>
            <family val="2"/>
          </rPr>
          <t>Jan Berg:</t>
        </r>
        <r>
          <rPr>
            <sz val="9"/>
            <color indexed="81"/>
            <rFont val="Tahoma"/>
            <family val="2"/>
          </rPr>
          <t xml:space="preserve">
unfolded flat total width</t>
        </r>
      </text>
    </comment>
    <comment ref="E107" authorId="0" shapeId="0">
      <text>
        <r>
          <rPr>
            <b/>
            <sz val="9"/>
            <color indexed="81"/>
            <rFont val="Tahoma"/>
            <family val="2"/>
          </rPr>
          <t>y dim @ angle</t>
        </r>
      </text>
    </comment>
    <comment ref="F107" authorId="0" shapeId="0">
      <text>
        <r>
          <rPr>
            <b/>
            <sz val="9"/>
            <color indexed="81"/>
            <rFont val="Tahoma"/>
            <family val="2"/>
          </rPr>
          <t>x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111" authorId="0" shapeId="0">
      <text>
        <r>
          <rPr>
            <b/>
            <sz val="9"/>
            <color indexed="81"/>
            <rFont val="Tahoma"/>
            <family val="2"/>
          </rPr>
          <t>Jan Berg:</t>
        </r>
        <r>
          <rPr>
            <sz val="9"/>
            <color indexed="81"/>
            <rFont val="Tahoma"/>
            <family val="2"/>
          </rPr>
          <t xml:space="preserve">
unfolded flat total width</t>
        </r>
      </text>
    </comment>
    <comment ref="E111" authorId="0" shapeId="0">
      <text>
        <r>
          <rPr>
            <b/>
            <sz val="9"/>
            <color indexed="81"/>
            <rFont val="Tahoma"/>
            <family val="2"/>
          </rPr>
          <t>y dim @ angle</t>
        </r>
      </text>
    </comment>
    <comment ref="F111" authorId="0" shapeId="0">
      <text>
        <r>
          <rPr>
            <b/>
            <sz val="9"/>
            <color indexed="81"/>
            <rFont val="Tahoma"/>
            <family val="2"/>
          </rPr>
          <t>x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115" authorId="0" shapeId="0">
      <text>
        <r>
          <rPr>
            <b/>
            <sz val="9"/>
            <color indexed="81"/>
            <rFont val="Tahoma"/>
            <family val="2"/>
          </rPr>
          <t>Jan Berg:</t>
        </r>
        <r>
          <rPr>
            <sz val="9"/>
            <color indexed="81"/>
            <rFont val="Tahoma"/>
            <family val="2"/>
          </rPr>
          <t xml:space="preserve">
unfolded flat total width</t>
        </r>
      </text>
    </comment>
    <comment ref="E115" authorId="0" shapeId="0">
      <text>
        <r>
          <rPr>
            <b/>
            <sz val="9"/>
            <color indexed="81"/>
            <rFont val="Tahoma"/>
            <family val="2"/>
          </rPr>
          <t>y dim @ angle</t>
        </r>
      </text>
    </comment>
    <comment ref="F115" authorId="0" shapeId="0">
      <text>
        <r>
          <rPr>
            <b/>
            <sz val="9"/>
            <color indexed="81"/>
            <rFont val="Tahoma"/>
            <family val="2"/>
          </rPr>
          <t>x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120" authorId="0" shapeId="0">
      <text>
        <r>
          <rPr>
            <b/>
            <sz val="9"/>
            <color indexed="81"/>
            <rFont val="Tahoma"/>
            <family val="2"/>
          </rPr>
          <t>y dim @ angle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120" authorId="0" shapeId="0">
      <text>
        <r>
          <rPr>
            <b/>
            <sz val="9"/>
            <color indexed="81"/>
            <rFont val="Tahoma"/>
            <family val="2"/>
          </rPr>
          <t>z</t>
        </r>
      </text>
    </comment>
    <comment ref="E124" authorId="0" shapeId="0">
      <text>
        <r>
          <rPr>
            <b/>
            <sz val="9"/>
            <color indexed="81"/>
            <rFont val="Tahoma"/>
            <family val="2"/>
          </rPr>
          <t>y dim @ angle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124" authorId="0" shapeId="0">
      <text>
        <r>
          <rPr>
            <b/>
            <sz val="9"/>
            <color indexed="81"/>
            <rFont val="Tahoma"/>
            <family val="2"/>
          </rPr>
          <t>z</t>
        </r>
      </text>
    </comment>
    <comment ref="E128" authorId="0" shapeId="0">
      <text>
        <r>
          <rPr>
            <b/>
            <sz val="9"/>
            <color indexed="81"/>
            <rFont val="Tahoma"/>
            <family val="2"/>
          </rPr>
          <t>y dim @ angle</t>
        </r>
      </text>
    </comment>
    <comment ref="F128" authorId="0" shapeId="0">
      <text>
        <r>
          <rPr>
            <b/>
            <sz val="9"/>
            <color indexed="81"/>
            <rFont val="Tahoma"/>
            <family val="2"/>
          </rPr>
          <t>x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130" authorId="0" shapeId="0">
      <text>
        <r>
          <rPr>
            <b/>
            <sz val="9"/>
            <color indexed="81"/>
            <rFont val="Tahoma"/>
            <family val="2"/>
          </rPr>
          <t>x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132" authorId="0" shapeId="0">
      <text>
        <r>
          <rPr>
            <b/>
            <sz val="9"/>
            <color indexed="81"/>
            <rFont val="Tahoma"/>
            <family val="2"/>
          </rPr>
          <t>y dim @ angle</t>
        </r>
      </text>
    </comment>
    <comment ref="F132" authorId="0" shapeId="0">
      <text>
        <r>
          <rPr>
            <b/>
            <sz val="9"/>
            <color indexed="81"/>
            <rFont val="Tahoma"/>
            <family val="2"/>
          </rPr>
          <t>x</t>
        </r>
      </text>
    </comment>
    <comment ref="F134" authorId="0" shapeId="0">
      <text>
        <r>
          <rPr>
            <b/>
            <sz val="9"/>
            <color indexed="81"/>
            <rFont val="Tahoma"/>
            <family val="2"/>
          </rPr>
          <t>x</t>
        </r>
      </text>
    </comment>
  </commentList>
</comments>
</file>

<file path=xl/comments16.xml><?xml version="1.0" encoding="utf-8"?>
<comments xmlns="http://schemas.openxmlformats.org/spreadsheetml/2006/main">
  <authors>
    <author>Jan Berg</author>
  </authors>
  <commentList>
    <comment ref="N2" authorId="0" shapeId="0">
      <text>
        <r>
          <rPr>
            <b/>
            <sz val="9"/>
            <color indexed="81"/>
            <rFont val="Tahoma"/>
            <family val="2"/>
          </rPr>
          <t>Jan Berg:</t>
        </r>
        <r>
          <rPr>
            <sz val="9"/>
            <color indexed="81"/>
            <rFont val="Tahoma"/>
            <family val="2"/>
          </rPr>
          <t xml:space="preserve">
U type iron of MF_Ra</t>
        </r>
      </text>
    </comment>
    <comment ref="N20" authorId="0" shapeId="0">
      <text>
        <r>
          <rPr>
            <b/>
            <sz val="9"/>
            <color indexed="81"/>
            <rFont val="Tahoma"/>
            <family val="2"/>
          </rPr>
          <t>Jan Berg:</t>
        </r>
        <r>
          <rPr>
            <sz val="9"/>
            <color indexed="81"/>
            <rFont val="Tahoma"/>
            <family val="2"/>
          </rPr>
          <t xml:space="preserve">
Plate type of MS_P = BS_P = SF_P</t>
        </r>
      </text>
    </comment>
    <comment ref="N38" authorId="0" shapeId="0">
      <text>
        <r>
          <rPr>
            <b/>
            <sz val="9"/>
            <color indexed="81"/>
            <rFont val="Tahoma"/>
            <family val="2"/>
          </rPr>
          <t>Jan Berg:</t>
        </r>
        <r>
          <rPr>
            <sz val="9"/>
            <color indexed="81"/>
            <rFont val="Tahoma"/>
            <family val="2"/>
          </rPr>
          <t xml:space="preserve">
mm y @ rack angle of MS_P = y @ Rack angle BS_P</t>
        </r>
      </text>
    </comment>
    <comment ref="N56" authorId="0" shapeId="0">
      <text>
        <r>
          <rPr>
            <b/>
            <sz val="9"/>
            <color indexed="81"/>
            <rFont val="Tahoma"/>
            <family val="2"/>
          </rPr>
          <t>Jan Berg:</t>
        </r>
        <r>
          <rPr>
            <sz val="9"/>
            <color indexed="81"/>
            <rFont val="Tahoma"/>
            <family val="2"/>
          </rPr>
          <t xml:space="preserve">
Type of Motor Support Bottom iron, MF_Tr1=MF_Tr2
</t>
        </r>
      </text>
    </comment>
    <comment ref="N74" authorId="0" shapeId="0">
      <text>
        <r>
          <rPr>
            <b/>
            <sz val="9"/>
            <color indexed="81"/>
            <rFont val="Tahoma"/>
            <family val="2"/>
          </rPr>
          <t>Jan Berg:</t>
        </r>
        <r>
          <rPr>
            <sz val="9"/>
            <color indexed="81"/>
            <rFont val="Tahoma"/>
            <family val="2"/>
          </rPr>
          <t xml:space="preserve">
Height of MFTr = MFTr_Hefactor * length from MF to SF_Base</t>
        </r>
      </text>
    </comment>
    <comment ref="N92" authorId="0" shapeId="0">
      <text>
        <r>
          <rPr>
            <b/>
            <sz val="9"/>
            <color indexed="81"/>
            <rFont val="Tahoma"/>
            <family val="2"/>
          </rPr>
          <t>Jan Berg:</t>
        </r>
        <r>
          <rPr>
            <sz val="9"/>
            <color indexed="81"/>
            <rFont val="Tahoma"/>
            <family val="2"/>
          </rPr>
          <t xml:space="preserve">
Height of MFTr = MFTr_Hefactor * length from MF to SF_Base</t>
        </r>
      </text>
    </comment>
  </commentList>
</comments>
</file>

<file path=xl/comments17.xml><?xml version="1.0" encoding="utf-8"?>
<comments xmlns="http://schemas.openxmlformats.org/spreadsheetml/2006/main">
  <authors>
    <author>Jan Berg</author>
  </authors>
  <commentList>
    <comment ref="N2" authorId="0" shapeId="0">
      <text>
        <r>
          <rPr>
            <b/>
            <sz val="9"/>
            <color indexed="81"/>
            <rFont val="Tahoma"/>
            <family val="2"/>
          </rPr>
          <t>Jan Berg:</t>
        </r>
        <r>
          <rPr>
            <sz val="9"/>
            <color indexed="81"/>
            <rFont val="Tahoma"/>
            <family val="2"/>
          </rPr>
          <t xml:space="preserve">
U type iron of BF_Ra</t>
        </r>
      </text>
    </comment>
    <comment ref="N20" authorId="0" shapeId="0">
      <text>
        <r>
          <rPr>
            <b/>
            <sz val="9"/>
            <color indexed="81"/>
            <rFont val="Tahoma"/>
            <family val="2"/>
          </rPr>
          <t>Jan Berg:</t>
        </r>
        <r>
          <rPr>
            <sz val="9"/>
            <color indexed="81"/>
            <rFont val="Tahoma"/>
            <family val="2"/>
          </rPr>
          <t xml:space="preserve">
Plate type BS_P = MS_P = SF_P</t>
        </r>
      </text>
    </comment>
    <comment ref="N38" authorId="0" shapeId="0">
      <text>
        <r>
          <rPr>
            <b/>
            <sz val="9"/>
            <color indexed="81"/>
            <rFont val="Tahoma"/>
            <family val="2"/>
          </rPr>
          <t>Jan Berg:</t>
        </r>
        <r>
          <rPr>
            <sz val="9"/>
            <color indexed="81"/>
            <rFont val="Tahoma"/>
            <family val="2"/>
          </rPr>
          <t xml:space="preserve">
mm y @ rack angle of MS_P = y @ Rack angle BS_P</t>
        </r>
      </text>
    </comment>
    <comment ref="N56" authorId="0" shapeId="0">
      <text>
        <r>
          <rPr>
            <b/>
            <sz val="9"/>
            <color indexed="81"/>
            <rFont val="Tahoma"/>
            <family val="2"/>
          </rPr>
          <t>Jan Berg:</t>
        </r>
        <r>
          <rPr>
            <sz val="9"/>
            <color indexed="81"/>
            <rFont val="Tahoma"/>
            <family val="2"/>
          </rPr>
          <t xml:space="preserve">
Type of Bearing Support Bottom iron, BF_Tr5=BF_Tr6.
</t>
        </r>
      </text>
    </comment>
    <comment ref="N74" authorId="0" shapeId="0">
      <text>
        <r>
          <rPr>
            <b/>
            <sz val="9"/>
            <color indexed="81"/>
            <rFont val="Tahoma"/>
            <family val="2"/>
          </rPr>
          <t>Jan Berg:</t>
        </r>
        <r>
          <rPr>
            <sz val="9"/>
            <color indexed="81"/>
            <rFont val="Tahoma"/>
            <family val="2"/>
          </rPr>
          <t xml:space="preserve">
Height of BFTr = BFTr_Hefactor * length from BF to SF_Base</t>
        </r>
      </text>
    </comment>
    <comment ref="N92" authorId="0" shapeId="0">
      <text>
        <r>
          <rPr>
            <b/>
            <sz val="9"/>
            <color indexed="81"/>
            <rFont val="Tahoma"/>
            <family val="2"/>
          </rPr>
          <t>Jan Berg:</t>
        </r>
        <r>
          <rPr>
            <sz val="9"/>
            <color indexed="81"/>
            <rFont val="Tahoma"/>
            <family val="2"/>
          </rPr>
          <t xml:space="preserve">
Height of BFTr = BFTr_Hefactor * length from BF to SF_Base</t>
        </r>
      </text>
    </comment>
  </commentList>
</comments>
</file>

<file path=xl/comments18.xml><?xml version="1.0" encoding="utf-8"?>
<comments xmlns="http://schemas.openxmlformats.org/spreadsheetml/2006/main">
  <authors>
    <author>Jan Berg</author>
  </authors>
  <commentList>
    <comment ref="N2" authorId="0" shapeId="0">
      <text>
        <r>
          <rPr>
            <b/>
            <sz val="9"/>
            <color indexed="81"/>
            <rFont val="Tahoma"/>
            <family val="2"/>
          </rPr>
          <t>Jan Berg:</t>
        </r>
        <r>
          <rPr>
            <sz val="9"/>
            <color indexed="81"/>
            <rFont val="Tahoma"/>
            <family val="2"/>
          </rPr>
          <t xml:space="preserve">
House rad. reinforcement type
House extFrame SU reinforcement type</t>
        </r>
      </text>
    </comment>
    <comment ref="A3" authorId="0" shapeId="0">
      <text>
        <r>
          <rPr>
            <b/>
            <sz val="9"/>
            <color indexed="81"/>
            <rFont val="Tahoma"/>
            <family val="2"/>
          </rPr>
          <t>New values from JRB</t>
        </r>
      </text>
    </comment>
    <comment ref="N20" authorId="0" shapeId="0">
      <text>
        <r>
          <rPr>
            <b/>
            <sz val="9"/>
            <color indexed="81"/>
            <rFont val="Tahoma"/>
            <family val="2"/>
          </rPr>
          <t>Jan Berg:</t>
        </r>
        <r>
          <rPr>
            <sz val="9"/>
            <color indexed="81"/>
            <rFont val="Tahoma"/>
            <family val="2"/>
          </rPr>
          <t xml:space="preserve">
House Vertical reinforcement type</t>
        </r>
      </text>
    </comment>
    <comment ref="N38" authorId="0" shapeId="0">
      <text>
        <r>
          <rPr>
            <b/>
            <sz val="9"/>
            <color indexed="81"/>
            <rFont val="Tahoma"/>
            <family val="2"/>
          </rPr>
          <t>Jan Berg:</t>
        </r>
        <r>
          <rPr>
            <sz val="9"/>
            <color indexed="81"/>
            <rFont val="Tahoma"/>
            <family val="2"/>
          </rPr>
          <t xml:space="preserve">
House support plates</t>
        </r>
      </text>
    </comment>
  </commentList>
</comments>
</file>

<file path=xl/comments19.xml><?xml version="1.0" encoding="utf-8"?>
<comments xmlns="http://schemas.openxmlformats.org/spreadsheetml/2006/main">
  <authors>
    <author>Jan Berg</author>
  </authors>
  <commentList>
    <comment ref="N2" authorId="0" shapeId="0">
      <text>
        <r>
          <rPr>
            <b/>
            <sz val="9"/>
            <color indexed="81"/>
            <rFont val="Tahoma"/>
            <family val="2"/>
          </rPr>
          <t>Jan Berg:</t>
        </r>
        <r>
          <rPr>
            <sz val="9"/>
            <color indexed="81"/>
            <rFont val="Tahoma"/>
            <family val="2"/>
          </rPr>
          <t xml:space="preserve">
Plate type SF_P = MS_P = BS_P</t>
        </r>
      </text>
    </comment>
    <comment ref="N20" authorId="0" shapeId="0">
      <text>
        <r>
          <rPr>
            <b/>
            <sz val="9"/>
            <color indexed="81"/>
            <rFont val="Tahoma"/>
            <family val="2"/>
          </rPr>
          <t>Jan Berg:</t>
        </r>
        <r>
          <rPr>
            <sz val="9"/>
            <color indexed="81"/>
            <rFont val="Tahoma"/>
            <family val="2"/>
          </rPr>
          <t xml:space="preserve">
SF_Base type
thickness = SF_P.
if MF_ra b/sin(r_angle)
&gt; width SF_Base use SF_P</t>
        </r>
      </text>
    </comment>
    <comment ref="N38" authorId="0" shapeId="0">
      <text>
        <r>
          <rPr>
            <b/>
            <sz val="9"/>
            <color indexed="81"/>
            <rFont val="Tahoma"/>
            <family val="2"/>
          </rPr>
          <t>Jan Berg:</t>
        </r>
        <r>
          <rPr>
            <sz val="9"/>
            <color indexed="81"/>
            <rFont val="Tahoma"/>
            <family val="2"/>
          </rPr>
          <t xml:space="preserve">
Height of SF_P = SF_Hefactor * length from MS_P (BS_P) to SF_Base</t>
        </r>
      </text>
    </comment>
    <comment ref="A39" authorId="0" shapeId="0">
      <text>
        <r>
          <rPr>
            <b/>
            <sz val="9"/>
            <color indexed="81"/>
            <rFont val="Tahoma"/>
            <family val="2"/>
          </rPr>
          <t>New values from JRB</t>
        </r>
      </text>
    </comment>
    <comment ref="A58" authorId="0" shapeId="0">
      <text>
        <r>
          <rPr>
            <b/>
            <sz val="9"/>
            <color indexed="81"/>
            <rFont val="Tahoma"/>
            <family val="2"/>
          </rPr>
          <t>New values from JRB</t>
        </r>
      </text>
    </comment>
  </commentList>
</comments>
</file>

<file path=xl/comments20.xml><?xml version="1.0" encoding="utf-8"?>
<comments xmlns="http://schemas.openxmlformats.org/spreadsheetml/2006/main">
  <authors>
    <author>Jan Berg</author>
  </authors>
  <commentList>
    <comment ref="H4" authorId="0" shapeId="0">
      <text>
        <r>
          <rPr>
            <sz val="9"/>
            <color indexed="81"/>
            <rFont val="Tahoma"/>
            <family val="2"/>
          </rPr>
          <t>kg/m2</t>
        </r>
      </text>
    </comment>
    <comment ref="H14" authorId="0" shapeId="0">
      <text>
        <r>
          <rPr>
            <sz val="9"/>
            <color indexed="81"/>
            <rFont val="Tahoma"/>
            <family val="2"/>
          </rPr>
          <t>kg/m</t>
        </r>
      </text>
    </comment>
    <comment ref="H23" authorId="0" shapeId="0">
      <text>
        <r>
          <rPr>
            <sz val="9"/>
            <color indexed="81"/>
            <rFont val="Tahoma"/>
            <family val="2"/>
          </rPr>
          <t>kg/m</t>
        </r>
      </text>
    </comment>
    <comment ref="H44" authorId="0" shapeId="0">
      <text>
        <r>
          <rPr>
            <sz val="9"/>
            <color indexed="81"/>
            <rFont val="Tahoma"/>
            <family val="2"/>
          </rPr>
          <t>kg/m</t>
        </r>
      </text>
    </comment>
    <comment ref="H64" authorId="0" shapeId="0">
      <text>
        <r>
          <rPr>
            <sz val="9"/>
            <color indexed="81"/>
            <rFont val="Tahoma"/>
            <family val="2"/>
          </rPr>
          <t>kg/m</t>
        </r>
      </text>
    </comment>
  </commentList>
</comments>
</file>

<file path=xl/comments21.xml><?xml version="1.0" encoding="utf-8"?>
<comments xmlns="http://schemas.openxmlformats.org/spreadsheetml/2006/main">
  <authors>
    <author>Jan Berg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 xml:space="preserve">
130417: Corrected logic to show range of number of dampers. Released.
130403: Corrected rounding in No. Abs. To Roundup. Added Conditional formatting. Released to 'Vibration Damper Calculation' and Sales Tools.
130402: Corrected rounding in no. Abs., released to 'Vibration Damper Calculation'</t>
        </r>
      </text>
    </comment>
  </commentList>
</comments>
</file>

<file path=xl/comments22.xml><?xml version="1.0" encoding="utf-8"?>
<comments xmlns="http://schemas.openxmlformats.org/spreadsheetml/2006/main">
  <authors>
    <author>Jan Berg</author>
  </authors>
  <commentList>
    <comment ref="A56" authorId="0" shapeId="0">
      <text>
        <r>
          <rPr>
            <b/>
            <sz val="9"/>
            <color indexed="81"/>
            <rFont val="Tahoma"/>
            <family val="2"/>
          </rPr>
          <t>Jan Berg:</t>
        </r>
        <r>
          <rPr>
            <sz val="9"/>
            <color indexed="81"/>
            <rFont val="Tahoma"/>
            <family val="2"/>
          </rPr>
          <t xml:space="preserve">
copied to be able to get the last.</t>
        </r>
      </text>
    </comment>
    <comment ref="A111" authorId="0" shapeId="0">
      <text>
        <r>
          <rPr>
            <b/>
            <sz val="9"/>
            <color indexed="81"/>
            <rFont val="Tahoma"/>
            <family val="2"/>
          </rPr>
          <t>Jan Berg:</t>
        </r>
        <r>
          <rPr>
            <sz val="9"/>
            <color indexed="81"/>
            <rFont val="Tahoma"/>
            <family val="2"/>
          </rPr>
          <t xml:space="preserve">
copied to be able to get the last.</t>
        </r>
      </text>
    </comment>
    <comment ref="A158" authorId="0" shapeId="0">
      <text>
        <r>
          <rPr>
            <b/>
            <sz val="9"/>
            <color indexed="81"/>
            <rFont val="Tahoma"/>
            <family val="2"/>
          </rPr>
          <t>Jan Berg:</t>
        </r>
        <r>
          <rPr>
            <sz val="9"/>
            <color indexed="81"/>
            <rFont val="Tahoma"/>
            <family val="2"/>
          </rPr>
          <t xml:space="preserve">
copied to be able to get the last.</t>
        </r>
      </text>
    </comment>
    <comment ref="A204" authorId="0" shapeId="0">
      <text>
        <r>
          <rPr>
            <b/>
            <sz val="9"/>
            <color indexed="81"/>
            <rFont val="Tahoma"/>
            <family val="2"/>
          </rPr>
          <t>Jan Berg:</t>
        </r>
        <r>
          <rPr>
            <sz val="9"/>
            <color indexed="81"/>
            <rFont val="Tahoma"/>
            <family val="2"/>
          </rPr>
          <t xml:space="preserve">
copied to be able to get the last.</t>
        </r>
      </text>
    </comment>
    <comment ref="A232" authorId="0" shapeId="0">
      <text>
        <r>
          <rPr>
            <b/>
            <sz val="9"/>
            <color indexed="81"/>
            <rFont val="Tahoma"/>
            <family val="2"/>
          </rPr>
          <t>Jan Berg:</t>
        </r>
        <r>
          <rPr>
            <sz val="9"/>
            <color indexed="81"/>
            <rFont val="Tahoma"/>
            <family val="2"/>
          </rPr>
          <t xml:space="preserve">
copied to be able to get the last.</t>
        </r>
      </text>
    </comment>
    <comment ref="A260" authorId="0" shapeId="0">
      <text>
        <r>
          <rPr>
            <b/>
            <sz val="9"/>
            <color indexed="81"/>
            <rFont val="Tahoma"/>
            <family val="2"/>
          </rPr>
          <t>Jan Berg:</t>
        </r>
        <r>
          <rPr>
            <sz val="9"/>
            <color indexed="81"/>
            <rFont val="Tahoma"/>
            <family val="2"/>
          </rPr>
          <t xml:space="preserve">
copied to be able to get the last.</t>
        </r>
      </text>
    </comment>
    <comment ref="A286" authorId="0" shapeId="0">
      <text>
        <r>
          <rPr>
            <b/>
            <sz val="9"/>
            <color indexed="81"/>
            <rFont val="Tahoma"/>
            <family val="2"/>
          </rPr>
          <t>Jan Berg:</t>
        </r>
        <r>
          <rPr>
            <sz val="9"/>
            <color indexed="81"/>
            <rFont val="Tahoma"/>
            <family val="2"/>
          </rPr>
          <t xml:space="preserve">
copied to be able to get the last.</t>
        </r>
      </text>
    </comment>
    <comment ref="A313" authorId="0" shapeId="0">
      <text>
        <r>
          <rPr>
            <b/>
            <sz val="9"/>
            <color indexed="81"/>
            <rFont val="Tahoma"/>
            <family val="2"/>
          </rPr>
          <t>Jan Berg:</t>
        </r>
        <r>
          <rPr>
            <sz val="9"/>
            <color indexed="81"/>
            <rFont val="Tahoma"/>
            <family val="2"/>
          </rPr>
          <t xml:space="preserve">
copied to be able to get the last.</t>
        </r>
      </text>
    </comment>
    <comment ref="A340" authorId="0" shapeId="0">
      <text>
        <r>
          <rPr>
            <b/>
            <sz val="9"/>
            <color indexed="81"/>
            <rFont val="Tahoma"/>
            <family val="2"/>
          </rPr>
          <t>Jan Berg:</t>
        </r>
        <r>
          <rPr>
            <sz val="9"/>
            <color indexed="81"/>
            <rFont val="Tahoma"/>
            <family val="2"/>
          </rPr>
          <t xml:space="preserve">
copied to be able to get the last.</t>
        </r>
      </text>
    </comment>
    <comment ref="A365" authorId="0" shapeId="0">
      <text>
        <r>
          <rPr>
            <b/>
            <sz val="9"/>
            <color indexed="81"/>
            <rFont val="Tahoma"/>
            <family val="2"/>
          </rPr>
          <t>Jan Berg:</t>
        </r>
        <r>
          <rPr>
            <sz val="9"/>
            <color indexed="81"/>
            <rFont val="Tahoma"/>
            <family val="2"/>
          </rPr>
          <t xml:space="preserve">
copied to be able to get the last.</t>
        </r>
      </text>
    </comment>
  </commentList>
</comments>
</file>

<file path=xl/comments23.xml><?xml version="1.0" encoding="utf-8"?>
<comments xmlns="http://schemas.openxmlformats.org/spreadsheetml/2006/main">
  <authors>
    <author>Jan Berg</author>
  </authors>
  <commentList>
    <comment ref="U16" authorId="0" shapeId="0">
      <text>
        <r>
          <rPr>
            <b/>
            <sz val="9"/>
            <color indexed="81"/>
            <rFont val="Tahoma"/>
            <family val="2"/>
          </rPr>
          <t>Not correct. Precise numbers in fan Builder</t>
        </r>
      </text>
    </comment>
    <comment ref="V16" authorId="0" shapeId="0">
      <text>
        <r>
          <rPr>
            <b/>
            <sz val="9"/>
            <color indexed="81"/>
            <rFont val="Tahoma"/>
            <family val="2"/>
          </rPr>
          <t>Not correct. Precise numbers in fan Builder</t>
        </r>
      </text>
    </comment>
    <comment ref="W16" authorId="0" shapeId="0">
      <text>
        <r>
          <rPr>
            <b/>
            <sz val="9"/>
            <color indexed="81"/>
            <rFont val="Tahoma"/>
            <family val="2"/>
          </rPr>
          <t>15% hub_D, 20%hub_H.
25% centerbore</t>
        </r>
      </text>
    </comment>
  </commentList>
</comments>
</file>

<file path=xl/sharedStrings.xml><?xml version="1.0" encoding="utf-8"?>
<sst xmlns="http://schemas.openxmlformats.org/spreadsheetml/2006/main" count="19839" uniqueCount="4845">
  <si>
    <t>Bearing</t>
  </si>
  <si>
    <t>e</t>
  </si>
  <si>
    <t>C</t>
  </si>
  <si>
    <t>max rpm</t>
  </si>
  <si>
    <t>Drive</t>
  </si>
  <si>
    <t>P eq, A</t>
  </si>
  <si>
    <t>L10h, A</t>
  </si>
  <si>
    <t>P eq, B</t>
  </si>
  <si>
    <t>L10h, B</t>
  </si>
  <si>
    <t>X1 (Fa/Fr&lt;=e)</t>
  </si>
  <si>
    <t>X2(Fa(Fr&gt;e)</t>
  </si>
  <si>
    <t>Y1 (Fa/Fr&lt;=e)</t>
  </si>
  <si>
    <t>Y2(Fa(Fr&gt;e)</t>
  </si>
  <si>
    <t>exp</t>
  </si>
  <si>
    <t>&lt;N&gt;</t>
  </si>
  <si>
    <t>Radial Force (A), FRA</t>
  </si>
  <si>
    <t>Radial Force (B), FRB</t>
  </si>
  <si>
    <t>Axle Diam</t>
  </si>
  <si>
    <t>Pt</t>
  </si>
  <si>
    <t>Power</t>
  </si>
  <si>
    <t>Accessories</t>
  </si>
  <si>
    <t>Insulation</t>
  </si>
  <si>
    <t>W cooling Disc</t>
  </si>
  <si>
    <t>Al cooling Disc</t>
  </si>
  <si>
    <t>GACO Shaft seal</t>
  </si>
  <si>
    <t>IGS Shaft seal</t>
  </si>
  <si>
    <t>Teflon Shaft seal</t>
  </si>
  <si>
    <t>GACO + W cooling Disc</t>
  </si>
  <si>
    <t>GACO + Al cooling Disc</t>
  </si>
  <si>
    <t>ESPEY Shaft seal</t>
  </si>
  <si>
    <t>ESPEY + W cooling Disc</t>
  </si>
  <si>
    <t>ESPEY + Al cooling Disc</t>
  </si>
  <si>
    <t>COPPER + W cooling Disc</t>
  </si>
  <si>
    <t>COPPER Shaft seal</t>
  </si>
  <si>
    <t>COPPER + Al cooling Disc</t>
  </si>
  <si>
    <t>Shaft seal &amp; Cooling disc, select</t>
  </si>
  <si>
    <t>Start DATA</t>
  </si>
  <si>
    <t>empty</t>
  </si>
  <si>
    <t>Dist. Bearing / Bearing</t>
  </si>
  <si>
    <t>Min Axle Diameter</t>
  </si>
  <si>
    <t>Actual Axle Diameter</t>
  </si>
  <si>
    <t>Dist. Bearing/Bearing</t>
  </si>
  <si>
    <t>ICOM</t>
  </si>
  <si>
    <t>ADACT</t>
  </si>
  <si>
    <t>&lt;Nmm&gt;</t>
  </si>
  <si>
    <t>Axle Yield Strength, AYS</t>
  </si>
  <si>
    <t>max life</t>
  </si>
  <si>
    <t>min life</t>
  </si>
  <si>
    <t>Bearing min Life</t>
  </si>
  <si>
    <t>Axle Length</t>
  </si>
  <si>
    <t>Axle Diameter</t>
  </si>
  <si>
    <t>Torsional Moment</t>
  </si>
  <si>
    <t>Bearing Type</t>
  </si>
  <si>
    <t>P</t>
  </si>
  <si>
    <t>Co</t>
  </si>
  <si>
    <t>Reg.</t>
  </si>
  <si>
    <t>PDN</t>
  </si>
  <si>
    <t>X</t>
  </si>
  <si>
    <t>Y</t>
  </si>
  <si>
    <t>Possible AXLE Diam.</t>
  </si>
  <si>
    <t>REG.</t>
  </si>
  <si>
    <t>REGULAR BEARINGS</t>
  </si>
  <si>
    <t>Teflon + Al cooling Disc</t>
  </si>
  <si>
    <t>Max MOM</t>
  </si>
  <si>
    <t>OMOMratio</t>
  </si>
  <si>
    <t>MOMratio</t>
  </si>
  <si>
    <t>Bearing Strength</t>
  </si>
  <si>
    <t>Momentum</t>
  </si>
  <si>
    <t>Outer Momentum</t>
  </si>
  <si>
    <t>PDN Calculation data</t>
  </si>
  <si>
    <t>Mech. Specs</t>
  </si>
  <si>
    <t>AE Measure</t>
  </si>
  <si>
    <t>Diameter</t>
  </si>
  <si>
    <t>Iteration Data</t>
  </si>
  <si>
    <t>Final Data</t>
  </si>
  <si>
    <t>Required Axle Diameter</t>
  </si>
  <si>
    <t>default = 0</t>
  </si>
  <si>
    <t>Motor Data</t>
  </si>
  <si>
    <t>Axle Diam.</t>
  </si>
  <si>
    <t>Axle Strength</t>
  </si>
  <si>
    <t>Min Axle diameter</t>
  </si>
  <si>
    <t>Bearing Data</t>
  </si>
  <si>
    <t>DBB_multiplier</t>
  </si>
  <si>
    <t>MOM_ratio</t>
  </si>
  <si>
    <t>OMOM_ratio</t>
  </si>
  <si>
    <t>Double Seal / CIP Nozzles</t>
  </si>
  <si>
    <t>Motor Length</t>
  </si>
  <si>
    <t>D</t>
  </si>
  <si>
    <t>stop</t>
  </si>
  <si>
    <t>AE measure</t>
  </si>
  <si>
    <t>MOTOR Bearings BEVI</t>
  </si>
  <si>
    <t>Motor Calculation data</t>
  </si>
  <si>
    <t>Motor Frame size</t>
  </si>
  <si>
    <t>Poles</t>
  </si>
  <si>
    <t>M_Fa/Co</t>
  </si>
  <si>
    <t>PDN_Fa/Co</t>
  </si>
  <si>
    <t>DCBr</t>
  </si>
  <si>
    <t>BeHW</t>
  </si>
  <si>
    <t>AD</t>
  </si>
  <si>
    <t>MADit</t>
  </si>
  <si>
    <t>MADst</t>
  </si>
  <si>
    <t>AADst</t>
  </si>
  <si>
    <t>AADit</t>
  </si>
  <si>
    <t>Rounded MAD</t>
  </si>
  <si>
    <t>min</t>
  </si>
  <si>
    <t>DBB_mult_st</t>
  </si>
  <si>
    <t>DBB_mult</t>
  </si>
  <si>
    <t>AXLE &amp; BEARING SELECTION</t>
  </si>
  <si>
    <t>Select Version</t>
  </si>
  <si>
    <t>*</t>
  </si>
  <si>
    <t>House</t>
  </si>
  <si>
    <t>Distance Impeller House</t>
  </si>
  <si>
    <t>Impeller</t>
  </si>
  <si>
    <t>Thread</t>
  </si>
  <si>
    <t>AXLE Construction</t>
  </si>
  <si>
    <t>AXLE DETAILS</t>
  </si>
  <si>
    <t>BEARING &amp; CONSTRUCTION DETAILS</t>
  </si>
  <si>
    <t>Pin Length</t>
  </si>
  <si>
    <t>Max D</t>
  </si>
  <si>
    <t>nom torque</t>
  </si>
  <si>
    <t>max RPM</t>
  </si>
  <si>
    <t>Max Bore</t>
  </si>
  <si>
    <t>Max RPM</t>
  </si>
  <si>
    <t>Nom. Torque</t>
  </si>
  <si>
    <t>ABB</t>
  </si>
  <si>
    <t>Vibration Damping</t>
  </si>
  <si>
    <t>Number of Dampers</t>
  </si>
  <si>
    <t>Weight / Damper</t>
  </si>
  <si>
    <t>VIBRATION DAMPING</t>
  </si>
  <si>
    <t>Numer of Dampers</t>
  </si>
  <si>
    <t>System Weight</t>
  </si>
  <si>
    <t>kg</t>
  </si>
  <si>
    <t>Best Vibr. Absorber</t>
  </si>
  <si>
    <t>System RPM</t>
  </si>
  <si>
    <t>min-1</t>
  </si>
  <si>
    <t>Desired Compression</t>
  </si>
  <si>
    <t>mm</t>
  </si>
  <si>
    <t>Color</t>
  </si>
  <si>
    <t>min wght</t>
  </si>
  <si>
    <t>max wght</t>
  </si>
  <si>
    <t>min comp.</t>
  </si>
  <si>
    <t>max comp.</t>
  </si>
  <si>
    <t>slope</t>
  </si>
  <si>
    <t>Cost</t>
  </si>
  <si>
    <t>ad1215</t>
  </si>
  <si>
    <t>W</t>
  </si>
  <si>
    <t>ad2015</t>
  </si>
  <si>
    <t>R</t>
  </si>
  <si>
    <t>B</t>
  </si>
  <si>
    <t>ad3025</t>
  </si>
  <si>
    <t>ad4030</t>
  </si>
  <si>
    <t>ad5035</t>
  </si>
  <si>
    <t>ad7535</t>
  </si>
  <si>
    <t>ad10050</t>
  </si>
  <si>
    <t>sd 4343</t>
  </si>
  <si>
    <t>sandwich100</t>
  </si>
  <si>
    <t>sandwich200</t>
  </si>
  <si>
    <t>sandwich400</t>
  </si>
  <si>
    <t>sandwich500</t>
  </si>
  <si>
    <t>sandwich600</t>
  </si>
  <si>
    <t>sandwich700</t>
  </si>
  <si>
    <t>1 AMC 150</t>
  </si>
  <si>
    <t>1 AMC 200</t>
  </si>
  <si>
    <t>1 AMC 250</t>
  </si>
  <si>
    <t>1 AMC 350</t>
  </si>
  <si>
    <t>1 AMC 500</t>
  </si>
  <si>
    <t>1 AMC 750</t>
  </si>
  <si>
    <t>2 AMC 300</t>
  </si>
  <si>
    <t>2 AMC 400</t>
  </si>
  <si>
    <t>2 AMC 500</t>
  </si>
  <si>
    <t>2 AMC 700</t>
  </si>
  <si>
    <t>2 AMC 1000</t>
  </si>
  <si>
    <t>2 AMC 1500</t>
  </si>
  <si>
    <t>BRB 180 40</t>
  </si>
  <si>
    <t>BRB 180 50</t>
  </si>
  <si>
    <t>BRB 220 40</t>
  </si>
  <si>
    <t>BRB 220 50</t>
  </si>
  <si>
    <t>BRB 220 60</t>
  </si>
  <si>
    <t>BRB 220 70</t>
  </si>
  <si>
    <t>Compression</t>
  </si>
  <si>
    <t>Isolation level</t>
  </si>
  <si>
    <t>INPUT</t>
  </si>
  <si>
    <t>RESULT</t>
  </si>
  <si>
    <t>Best Abs.#</t>
  </si>
  <si>
    <t>No. Abs.</t>
  </si>
  <si>
    <t>Vibration Damper</t>
  </si>
  <si>
    <t>rpm</t>
  </si>
  <si>
    <t>col no</t>
  </si>
  <si>
    <t>kW</t>
  </si>
  <si>
    <t>Nmm</t>
  </si>
  <si>
    <t>mmh2o</t>
  </si>
  <si>
    <t>N/mm2</t>
  </si>
  <si>
    <t>Min. / Max. # Vibration Dampers</t>
  </si>
  <si>
    <t>Standard</t>
  </si>
  <si>
    <t>Protected</t>
  </si>
  <si>
    <t>Protected Dampers</t>
  </si>
  <si>
    <t>Act. Weight/D</t>
  </si>
  <si>
    <t>Act. Comp.</t>
  </si>
  <si>
    <t>Desired isolation</t>
  </si>
  <si>
    <t>Min</t>
  </si>
  <si>
    <t>Max</t>
  </si>
  <si>
    <t>Act. Beta C=log(c)-alfa C*log(rpm)</t>
  </si>
  <si>
    <t>Isol</t>
  </si>
  <si>
    <t>Min.</t>
  </si>
  <si>
    <t>alfa C</t>
  </si>
  <si>
    <t>beta C</t>
  </si>
  <si>
    <t>Amin. Cmp.</t>
  </si>
  <si>
    <t>Amax Cmp.</t>
  </si>
  <si>
    <t>Min. Cost</t>
  </si>
  <si>
    <t>Max Cost</t>
  </si>
  <si>
    <t>alfa D</t>
  </si>
  <si>
    <t>beta D</t>
  </si>
  <si>
    <t>w=10^(log(c)-beta D))/alfa D)</t>
  </si>
  <si>
    <t>c=10^(alfa D*log(w)+beta D)</t>
  </si>
  <si>
    <t>CHOSEN</t>
  </si>
  <si>
    <t>D Name</t>
  </si>
  <si>
    <t>min. W/D</t>
  </si>
  <si>
    <t>min no. D</t>
  </si>
  <si>
    <t>Amin. W/D</t>
  </si>
  <si>
    <t>max no. D</t>
  </si>
  <si>
    <t>Amax W/D</t>
  </si>
  <si>
    <t>Chosen</t>
  </si>
  <si>
    <t>Pa</t>
  </si>
  <si>
    <t>fr</t>
  </si>
  <si>
    <t>force ratio</t>
  </si>
  <si>
    <t>hrs</t>
  </si>
  <si>
    <t>Bearing Max Speed</t>
  </si>
  <si>
    <t>RPM</t>
  </si>
  <si>
    <t>Bearing Max RPM</t>
  </si>
  <si>
    <t>Axial Force, FAXA</t>
  </si>
  <si>
    <t>Axial Force, FAXB</t>
  </si>
  <si>
    <t>BJ construction consequence</t>
  </si>
  <si>
    <t>Nm</t>
  </si>
  <si>
    <t>A</t>
  </si>
  <si>
    <t>E</t>
  </si>
  <si>
    <t>F</t>
  </si>
  <si>
    <t>G</t>
  </si>
  <si>
    <t>DH</t>
  </si>
  <si>
    <t>H</t>
  </si>
  <si>
    <t>K</t>
  </si>
  <si>
    <t>AB</t>
  </si>
  <si>
    <t>AC</t>
  </si>
  <si>
    <t>HD</t>
  </si>
  <si>
    <t>L</t>
  </si>
  <si>
    <t>M6</t>
  </si>
  <si>
    <t>M8</t>
  </si>
  <si>
    <t>M10</t>
  </si>
  <si>
    <t>M12</t>
  </si>
  <si>
    <t>M16</t>
  </si>
  <si>
    <t>M20</t>
  </si>
  <si>
    <t>M24</t>
  </si>
  <si>
    <t>-</t>
  </si>
  <si>
    <t>T</t>
  </si>
  <si>
    <t>Direct</t>
  </si>
  <si>
    <t>DCB</t>
  </si>
  <si>
    <t>DBB</t>
  </si>
  <si>
    <t>DBH</t>
  </si>
  <si>
    <t>FP</t>
  </si>
  <si>
    <t>Center Height</t>
  </si>
  <si>
    <t>Motor Frame</t>
  </si>
  <si>
    <t>MFH</t>
  </si>
  <si>
    <t>R1</t>
  </si>
  <si>
    <t>R_Angle</t>
  </si>
  <si>
    <t>degr.</t>
  </si>
  <si>
    <t>R_angle</t>
  </si>
  <si>
    <t>MFW</t>
  </si>
  <si>
    <t>MFL</t>
  </si>
  <si>
    <t>Motor</t>
  </si>
  <si>
    <t>Type</t>
  </si>
  <si>
    <t>Z</t>
  </si>
  <si>
    <t>AA</t>
  </si>
  <si>
    <t>BFW</t>
  </si>
  <si>
    <t>BFL</t>
  </si>
  <si>
    <t>B&amp;</t>
  </si>
  <si>
    <t>calx</t>
  </si>
  <si>
    <t>caly</t>
  </si>
  <si>
    <t>calz</t>
  </si>
  <si>
    <t>Start</t>
  </si>
  <si>
    <t>Stop</t>
  </si>
  <si>
    <t>weight</t>
  </si>
  <si>
    <t>Orientation</t>
  </si>
  <si>
    <t>X+Y+</t>
  </si>
  <si>
    <t>r1</t>
  </si>
  <si>
    <t>r2</t>
  </si>
  <si>
    <t>Bearing Frame Length</t>
  </si>
  <si>
    <t>MOTOR</t>
  </si>
  <si>
    <t>Axle</t>
  </si>
  <si>
    <t>Iron_dim</t>
  </si>
  <si>
    <t>Coupling</t>
  </si>
  <si>
    <t>Motor Name</t>
  </si>
  <si>
    <t>iterate</t>
  </si>
  <si>
    <t>Frame Data</t>
  </si>
  <si>
    <t>AE_M</t>
  </si>
  <si>
    <t>BEARING</t>
  </si>
  <si>
    <t>MFrame</t>
  </si>
  <si>
    <t>MMR1+</t>
  </si>
  <si>
    <t>MMR2+</t>
  </si>
  <si>
    <t>MMR1-</t>
  </si>
  <si>
    <t>MMR2-</t>
  </si>
  <si>
    <t>BMR5+</t>
  </si>
  <si>
    <t>BMR6+</t>
  </si>
  <si>
    <t>BMR5-</t>
  </si>
  <si>
    <t>BMR6-</t>
  </si>
  <si>
    <t>row</t>
  </si>
  <si>
    <t>b</t>
  </si>
  <si>
    <t>P5</t>
  </si>
  <si>
    <t>P6</t>
  </si>
  <si>
    <t>P8</t>
  </si>
  <si>
    <t>P10</t>
  </si>
  <si>
    <t>Bearing House</t>
  </si>
  <si>
    <t>SONL 220-520</t>
  </si>
  <si>
    <t>SONL 222-522</t>
  </si>
  <si>
    <t>SONL 224-524</t>
  </si>
  <si>
    <t>SONL 226-526</t>
  </si>
  <si>
    <t>SONL 228-528</t>
  </si>
  <si>
    <t>SONL 230-530</t>
  </si>
  <si>
    <t>SONL 232-532</t>
  </si>
  <si>
    <t>SNL 508-607</t>
  </si>
  <si>
    <t>SNL 510-608</t>
  </si>
  <si>
    <t>SNL 509</t>
  </si>
  <si>
    <t>SNL 512-610</t>
  </si>
  <si>
    <t>SNL 513-611</t>
  </si>
  <si>
    <t>SNL 515-612</t>
  </si>
  <si>
    <t>SNL 516-613</t>
  </si>
  <si>
    <t>SNL 518-615</t>
  </si>
  <si>
    <t>SNL 519-616</t>
  </si>
  <si>
    <t>SNL 520-617</t>
  </si>
  <si>
    <t>SNL 522-619</t>
  </si>
  <si>
    <t>SNL 524-620</t>
  </si>
  <si>
    <t>SNL 526</t>
  </si>
  <si>
    <t>SNL 528</t>
  </si>
  <si>
    <t>SNL 530</t>
  </si>
  <si>
    <t>SNL 532</t>
  </si>
  <si>
    <t>SNL 511-609</t>
  </si>
  <si>
    <t>X2(Fa/Fr&gt;e)</t>
  </si>
  <si>
    <t>Y2(Fa/Fr&gt;e)</t>
  </si>
  <si>
    <t>X1(Fa/Fr&lt;=e)</t>
  </si>
  <si>
    <t>Y1(Fa/Fr&lt;=e)</t>
  </si>
  <si>
    <t>PDN Bearing OK</t>
  </si>
  <si>
    <t>REG Bearing OK</t>
  </si>
  <si>
    <t>col#</t>
  </si>
  <si>
    <t>Build normal/minimum</t>
  </si>
  <si>
    <t>Build normal/minimun</t>
  </si>
  <si>
    <t>Force Ratio Limit</t>
  </si>
  <si>
    <t>SONL 218-518</t>
  </si>
  <si>
    <t>SONL 217-517</t>
  </si>
  <si>
    <t>h</t>
  </si>
  <si>
    <t>s</t>
  </si>
  <si>
    <t>t</t>
  </si>
  <si>
    <t>h1</t>
  </si>
  <si>
    <t>d</t>
  </si>
  <si>
    <t>Ø</t>
  </si>
  <si>
    <t>emin</t>
  </si>
  <si>
    <t>emax</t>
  </si>
  <si>
    <t>AL</t>
  </si>
  <si>
    <t>AG</t>
  </si>
  <si>
    <t>cm2</t>
  </si>
  <si>
    <t>kg/m</t>
  </si>
  <si>
    <t>m2/m</t>
  </si>
  <si>
    <t>UPE 80</t>
  </si>
  <si>
    <t>UPE 100</t>
  </si>
  <si>
    <t>UPE 120</t>
  </si>
  <si>
    <t>UPE 140</t>
  </si>
  <si>
    <t>UPE 160</t>
  </si>
  <si>
    <t>UPE 180</t>
  </si>
  <si>
    <t>UPE 200</t>
  </si>
  <si>
    <t>UPE 220</t>
  </si>
  <si>
    <t>M22</t>
  </si>
  <si>
    <t>UPE 240</t>
  </si>
  <si>
    <t>UPE 270</t>
  </si>
  <si>
    <t>M27</t>
  </si>
  <si>
    <t>UPE 300</t>
  </si>
  <si>
    <t>UPE 330</t>
  </si>
  <si>
    <t>UPE 360</t>
  </si>
  <si>
    <t>UPE 400</t>
  </si>
  <si>
    <t>Nominal dimensions</t>
  </si>
  <si>
    <t>Section properties, static data</t>
  </si>
  <si>
    <t>Cross-section</t>
  </si>
  <si>
    <t>Nominal weight 1m</t>
  </si>
  <si>
    <t>Ix=Iy</t>
  </si>
  <si>
    <t>Wx=Wy</t>
  </si>
  <si>
    <t>ix=iy</t>
  </si>
  <si>
    <t>h=b </t>
  </si>
  <si>
    <t>cm4</t>
  </si>
  <si>
    <t>cm3</t>
  </si>
  <si>
    <t>cm</t>
  </si>
  <si>
    <t>?</t>
  </si>
  <si>
    <t>?.</t>
  </si>
  <si>
    <t>2×63×1.5</t>
  </si>
  <si>
    <t>6319/C3</t>
  </si>
  <si>
    <t>6322/C3</t>
  </si>
  <si>
    <t>91</t>
  </si>
  <si>
    <t>3D3 3552-6</t>
  </si>
  <si>
    <t>IE3</t>
  </si>
  <si>
    <t>3D3</t>
  </si>
  <si>
    <t>2176</t>
  </si>
  <si>
    <t>85</t>
  </si>
  <si>
    <t>15.2860</t>
  </si>
  <si>
    <t>3D3 355L-6</t>
  </si>
  <si>
    <t>1854</t>
  </si>
  <si>
    <t>11.7758</t>
  </si>
  <si>
    <t>3D3 355M2-6</t>
  </si>
  <si>
    <t>1798</t>
  </si>
  <si>
    <t>10.3039</t>
  </si>
  <si>
    <t>3D3 355M1-6</t>
  </si>
  <si>
    <t>M20×1.5</t>
  </si>
  <si>
    <t>1161</t>
  </si>
  <si>
    <t>83</t>
  </si>
  <si>
    <t>6.5817</t>
  </si>
  <si>
    <t>3D3 315L2-6</t>
  </si>
  <si>
    <t>1057</t>
  </si>
  <si>
    <t>5.4614</t>
  </si>
  <si>
    <t>3D3 315L1-6</t>
  </si>
  <si>
    <t>1008</t>
  </si>
  <si>
    <t>4.2711</t>
  </si>
  <si>
    <t>3D3 315M-6</t>
  </si>
  <si>
    <t>877</t>
  </si>
  <si>
    <t>3.9210</t>
  </si>
  <si>
    <t>3D3 315S-6</t>
  </si>
  <si>
    <t>80x100x10</t>
  </si>
  <si>
    <t>6316/C3</t>
  </si>
  <si>
    <t>670</t>
  </si>
  <si>
    <t>78</t>
  </si>
  <si>
    <t>2.0619</t>
  </si>
  <si>
    <t>3D3 280M-6</t>
  </si>
  <si>
    <t>518</t>
  </si>
  <si>
    <t>1.7050</t>
  </si>
  <si>
    <t>3D3 280S-6</t>
  </si>
  <si>
    <t>75x95x10</t>
  </si>
  <si>
    <t>6314/C3</t>
  </si>
  <si>
    <t>371</t>
  </si>
  <si>
    <t>76</t>
  </si>
  <si>
    <t>1.0787</t>
  </si>
  <si>
    <t>3D3 250M-6</t>
  </si>
  <si>
    <t>2×50×1.5</t>
  </si>
  <si>
    <t>65x85x10</t>
  </si>
  <si>
    <t>6313/C3</t>
  </si>
  <si>
    <t>297.5</t>
  </si>
  <si>
    <t>74</t>
  </si>
  <si>
    <t>0.6342</t>
  </si>
  <si>
    <t>3D3 225M-6</t>
  </si>
  <si>
    <t>60x75x8</t>
  </si>
  <si>
    <t>6312/C3</t>
  </si>
  <si>
    <t>254</t>
  </si>
  <si>
    <t>73</t>
  </si>
  <si>
    <t>0.4478</t>
  </si>
  <si>
    <t>3D3 200L2-6</t>
  </si>
  <si>
    <t>236</t>
  </si>
  <si>
    <t>0.3881</t>
  </si>
  <si>
    <t>3D3 200L1-6</t>
  </si>
  <si>
    <t>2×40×1.5</t>
  </si>
  <si>
    <t>55x70x8</t>
  </si>
  <si>
    <t>6311/C3</t>
  </si>
  <si>
    <t>186</t>
  </si>
  <si>
    <t>0.2574</t>
  </si>
  <si>
    <t>3D3 180L-6</t>
  </si>
  <si>
    <t>45x60x7</t>
  </si>
  <si>
    <t>6309/C3</t>
  </si>
  <si>
    <t>135</t>
  </si>
  <si>
    <t>0.1492</t>
  </si>
  <si>
    <t>3D3 160L-6</t>
  </si>
  <si>
    <t>115</t>
  </si>
  <si>
    <t>0.1119</t>
  </si>
  <si>
    <t>3D3 160M-6</t>
  </si>
  <si>
    <t>2×25×1.5</t>
  </si>
  <si>
    <t>6208-2Z/C3</t>
  </si>
  <si>
    <t>69</t>
  </si>
  <si>
    <t>0.0630</t>
  </si>
  <si>
    <t>3D3 132M2-6</t>
  </si>
  <si>
    <t>75</t>
  </si>
  <si>
    <t>0.0477</t>
  </si>
  <si>
    <t>3D3 132M1-6</t>
  </si>
  <si>
    <t>64</t>
  </si>
  <si>
    <t>0.0357</t>
  </si>
  <si>
    <t>3D3 132S-6</t>
  </si>
  <si>
    <t>6206-2Z/C3</t>
  </si>
  <si>
    <t>48</t>
  </si>
  <si>
    <t>65</t>
  </si>
  <si>
    <t>0.0191</t>
  </si>
  <si>
    <t>3D3 112M-6</t>
  </si>
  <si>
    <t>1×20×1.5</t>
  </si>
  <si>
    <t>38</t>
  </si>
  <si>
    <t>61</t>
  </si>
  <si>
    <t>0.0126</t>
  </si>
  <si>
    <t>3D3 100L-6</t>
  </si>
  <si>
    <t>6205-2Z/C3</t>
  </si>
  <si>
    <t>30</t>
  </si>
  <si>
    <t>57</t>
  </si>
  <si>
    <t>0.0071</t>
  </si>
  <si>
    <t>3D3 90L-6</t>
  </si>
  <si>
    <t>25</t>
  </si>
  <si>
    <t>0.0048</t>
  </si>
  <si>
    <t>3D3 90S-6</t>
  </si>
  <si>
    <t>3D3 3552-4</t>
  </si>
  <si>
    <t>102</t>
  </si>
  <si>
    <t>3D3 3551-4</t>
  </si>
  <si>
    <t>1933</t>
  </si>
  <si>
    <t>95</t>
  </si>
  <si>
    <t>10.5721</t>
  </si>
  <si>
    <t>3D3 355L-4</t>
  </si>
  <si>
    <t>9.6762</t>
  </si>
  <si>
    <t>3D3 355M-4</t>
  </si>
  <si>
    <t>1603</t>
  </si>
  <si>
    <t>88</t>
  </si>
  <si>
    <t>5.9135</t>
  </si>
  <si>
    <t>3D3 315L2-4</t>
  </si>
  <si>
    <t>1153</t>
  </si>
  <si>
    <t>4.2239</t>
  </si>
  <si>
    <t>3D3 315L1-4</t>
  </si>
  <si>
    <t>1061</t>
  </si>
  <si>
    <t>3.6959</t>
  </si>
  <si>
    <t>3D3 315M-4</t>
  </si>
  <si>
    <t>1012</t>
  </si>
  <si>
    <t>3.2735</t>
  </si>
  <si>
    <t>3D3 315S-4</t>
  </si>
  <si>
    <t>675</t>
  </si>
  <si>
    <t>80</t>
  </si>
  <si>
    <t>1.9672</t>
  </si>
  <si>
    <t>3D3 280M-4</t>
  </si>
  <si>
    <t>615</t>
  </si>
  <si>
    <t>1.6251</t>
  </si>
  <si>
    <t>3D3 280S-4</t>
  </si>
  <si>
    <t>476</t>
  </si>
  <si>
    <t>79</t>
  </si>
  <si>
    <t>0.8994</t>
  </si>
  <si>
    <t>3D3 250M-4</t>
  </si>
  <si>
    <t>353</t>
  </si>
  <si>
    <t>0.6351</t>
  </si>
  <si>
    <t>3D3 225M-4</t>
  </si>
  <si>
    <t>332</t>
  </si>
  <si>
    <t>0.5589</t>
  </si>
  <si>
    <t>3D3 225S-4</t>
  </si>
  <si>
    <t>290</t>
  </si>
  <si>
    <t>0.3631</t>
  </si>
  <si>
    <t>3D3 200L-4</t>
  </si>
  <si>
    <t>227</t>
  </si>
  <si>
    <t>0.2242</t>
  </si>
  <si>
    <t>3D3 180L-4</t>
  </si>
  <si>
    <t>203</t>
  </si>
  <si>
    <t>0.1811</t>
  </si>
  <si>
    <t>3D3 180M-4</t>
  </si>
  <si>
    <t>147</t>
  </si>
  <si>
    <t>0.1239</t>
  </si>
  <si>
    <t>3D3 160L-4</t>
  </si>
  <si>
    <t>126</t>
  </si>
  <si>
    <t>0.0974</t>
  </si>
  <si>
    <t>3D3 160M-4</t>
  </si>
  <si>
    <t>81</t>
  </si>
  <si>
    <t>71</t>
  </si>
  <si>
    <t>0.0447</t>
  </si>
  <si>
    <t>3D3 132M-4</t>
  </si>
  <si>
    <t>0.0350</t>
  </si>
  <si>
    <t>3D3 132S-4</t>
  </si>
  <si>
    <t>53</t>
  </si>
  <si>
    <t>0.0175</t>
  </si>
  <si>
    <t>3D3 112M-4</t>
  </si>
  <si>
    <t>41</t>
  </si>
  <si>
    <t>0.0120</t>
  </si>
  <si>
    <t>3D3 100L2-4</t>
  </si>
  <si>
    <t>37</t>
  </si>
  <si>
    <t>0.0090</t>
  </si>
  <si>
    <t>3D3 100L1-4</t>
  </si>
  <si>
    <t>29</t>
  </si>
  <si>
    <t>59</t>
  </si>
  <si>
    <t>3D3 90L-4</t>
  </si>
  <si>
    <t>24</t>
  </si>
  <si>
    <t>0.0037</t>
  </si>
  <si>
    <t>3D3 90S-4</t>
  </si>
  <si>
    <t>6204-2Z/C3</t>
  </si>
  <si>
    <t>19</t>
  </si>
  <si>
    <t>56</t>
  </si>
  <si>
    <t>0.0023</t>
  </si>
  <si>
    <t>3D3 80M2-4</t>
  </si>
  <si>
    <t>104</t>
  </si>
  <si>
    <t>3D3 3552-2</t>
  </si>
  <si>
    <t>3D3 3551-2</t>
  </si>
  <si>
    <t>1838</t>
  </si>
  <si>
    <t>100</t>
  </si>
  <si>
    <t>3.7504</t>
  </si>
  <si>
    <t>3D3 355L-2</t>
  </si>
  <si>
    <t>1655</t>
  </si>
  <si>
    <t>3.1254</t>
  </si>
  <si>
    <t>3D3 355M-2</t>
  </si>
  <si>
    <t>1347</t>
  </si>
  <si>
    <t>92</t>
  </si>
  <si>
    <t>2.5045</t>
  </si>
  <si>
    <t>3D3 315L2-2</t>
  </si>
  <si>
    <t>2.0592</t>
  </si>
  <si>
    <t>3D3 315L1-2</t>
  </si>
  <si>
    <t>987</t>
  </si>
  <si>
    <t>1.7253</t>
  </si>
  <si>
    <t>3D3 315M-2</t>
  </si>
  <si>
    <t>957</t>
  </si>
  <si>
    <t>1.5305</t>
  </si>
  <si>
    <t>3D3 315S-2</t>
  </si>
  <si>
    <t>578</t>
  </si>
  <si>
    <t>0.8015</t>
  </si>
  <si>
    <t>3D3 280M-2</t>
  </si>
  <si>
    <t>527</t>
  </si>
  <si>
    <t>0.6849</t>
  </si>
  <si>
    <t>3D3 280S-2</t>
  </si>
  <si>
    <t>422</t>
  </si>
  <si>
    <t>89</t>
  </si>
  <si>
    <t>0.4168</t>
  </si>
  <si>
    <t>3D3 250M-2</t>
  </si>
  <si>
    <t>345</t>
  </si>
  <si>
    <t>86</t>
  </si>
  <si>
    <t>0.3097</t>
  </si>
  <si>
    <t>3D3 225M-2</t>
  </si>
  <si>
    <t>265</t>
  </si>
  <si>
    <t>84</t>
  </si>
  <si>
    <t>0.1945</t>
  </si>
  <si>
    <t>3D3 200L2-2</t>
  </si>
  <si>
    <t>246</t>
  </si>
  <si>
    <t>0.1649</t>
  </si>
  <si>
    <t>3D3 200L1-2</t>
  </si>
  <si>
    <t>209.5</t>
  </si>
  <si>
    <t>0.1183</t>
  </si>
  <si>
    <t>3D3 180M-2</t>
  </si>
  <si>
    <t>151</t>
  </si>
  <si>
    <t>0.0760</t>
  </si>
  <si>
    <t>3D3 160L-2</t>
  </si>
  <si>
    <t>132</t>
  </si>
  <si>
    <t>0.0654</t>
  </si>
  <si>
    <t>3D3 160M2-2</t>
  </si>
  <si>
    <t>130</t>
  </si>
  <si>
    <t>0.0513</t>
  </si>
  <si>
    <t>3D3 160M1-2</t>
  </si>
  <si>
    <t>0.0176</t>
  </si>
  <si>
    <t>3D3 132S2-2</t>
  </si>
  <si>
    <t>68</t>
  </si>
  <si>
    <t>0.0145</t>
  </si>
  <si>
    <t>3D3 132S1-2</t>
  </si>
  <si>
    <t>49</t>
  </si>
  <si>
    <t>77</t>
  </si>
  <si>
    <t>0.0074</t>
  </si>
  <si>
    <t>3D3 112M-2</t>
  </si>
  <si>
    <t>39</t>
  </si>
  <si>
    <t>0.0046</t>
  </si>
  <si>
    <t>3D3 100L-2</t>
  </si>
  <si>
    <t>28</t>
  </si>
  <si>
    <t>67</t>
  </si>
  <si>
    <t>0.0028</t>
  </si>
  <si>
    <t>3D3 90L-2</t>
  </si>
  <si>
    <t>23</t>
  </si>
  <si>
    <t>0.0021</t>
  </si>
  <si>
    <t>3D3 90S-2</t>
  </si>
  <si>
    <t>18</t>
  </si>
  <si>
    <t>62</t>
  </si>
  <si>
    <t>0.0013</t>
  </si>
  <si>
    <t>3D3 802-2</t>
  </si>
  <si>
    <t>15</t>
  </si>
  <si>
    <t>0.0010</t>
  </si>
  <si>
    <t>3D3 801-2</t>
  </si>
  <si>
    <t>3D2 355 L-6</t>
  </si>
  <si>
    <t>IE2</t>
  </si>
  <si>
    <t>3D2</t>
  </si>
  <si>
    <t>3D2 355 M2-6</t>
  </si>
  <si>
    <t>3D2 355 M1-6</t>
  </si>
  <si>
    <t>3D2 315 L2-6</t>
  </si>
  <si>
    <t>3D2 315 L1-6</t>
  </si>
  <si>
    <t>3D2 315 M-6</t>
  </si>
  <si>
    <t>3D2 315 S-6</t>
  </si>
  <si>
    <t>3D2 280 M-6</t>
  </si>
  <si>
    <t>3D2 280 S-6</t>
  </si>
  <si>
    <t>3D2 250 M-6</t>
  </si>
  <si>
    <t>3D2 225 M-6</t>
  </si>
  <si>
    <t>3D2 200 L2-6</t>
  </si>
  <si>
    <t>3D2 200 L1-6</t>
  </si>
  <si>
    <t>3D2 180 L-6</t>
  </si>
  <si>
    <t>3D2 160 L-6</t>
  </si>
  <si>
    <t>62x45x8</t>
  </si>
  <si>
    <t>6309-2ZC3</t>
  </si>
  <si>
    <t>4A2 160 L-6</t>
  </si>
  <si>
    <t>4A2</t>
  </si>
  <si>
    <t>3D2 160 M-6</t>
  </si>
  <si>
    <t>4A2 160 M-6</t>
  </si>
  <si>
    <t>40x62x8</t>
  </si>
  <si>
    <t>6308-2Z/C3</t>
  </si>
  <si>
    <t>4A2 132 M2-6</t>
  </si>
  <si>
    <t>4A2 132 M1-6</t>
  </si>
  <si>
    <t>4A2 132 S-6</t>
  </si>
  <si>
    <t>30x47x7</t>
  </si>
  <si>
    <t>6306-2Z/C3</t>
  </si>
  <si>
    <t>4A2 112 M-6</t>
  </si>
  <si>
    <t>4A2 100 L-6</t>
  </si>
  <si>
    <t>25x40x7</t>
  </si>
  <si>
    <t>4A2 90 L-6</t>
  </si>
  <si>
    <t>4A2 90 S-6</t>
  </si>
  <si>
    <t>3D2 355 L-4</t>
  </si>
  <si>
    <t>3D2 355 M-4</t>
  </si>
  <si>
    <t>3D2 315 L2-4</t>
  </si>
  <si>
    <t>3D2 315 L1-4</t>
  </si>
  <si>
    <t>3D2 315 M-4</t>
  </si>
  <si>
    <t>3D2 315 S-4</t>
  </si>
  <si>
    <t>3D2 280 M-4</t>
  </si>
  <si>
    <t>3D2 280 S-4</t>
  </si>
  <si>
    <t>3D2 250 M-4</t>
  </si>
  <si>
    <t>3D2 225 M-4</t>
  </si>
  <si>
    <t>3D2 225 S-4</t>
  </si>
  <si>
    <t>3D2 200 L-4</t>
  </si>
  <si>
    <t>3D2 180 L-4</t>
  </si>
  <si>
    <t>3D2 180 M-4</t>
  </si>
  <si>
    <t>3D2 160 L-4</t>
  </si>
  <si>
    <t>4A2 160 L-4</t>
  </si>
  <si>
    <t>3D2 160 M-4</t>
  </si>
  <si>
    <t>4A2 160 M-4</t>
  </si>
  <si>
    <t>4A2 132 M-4</t>
  </si>
  <si>
    <t>4A2 132 S-4</t>
  </si>
  <si>
    <t>4A2 112 M-4</t>
  </si>
  <si>
    <t>4A2 100 L2-4</t>
  </si>
  <si>
    <t>4A2 100 L1-4</t>
  </si>
  <si>
    <t>4A2 90 L-4</t>
  </si>
  <si>
    <t>4A2 90 S-4</t>
  </si>
  <si>
    <t>20x35x7</t>
  </si>
  <si>
    <t>4A2 80 2-4</t>
  </si>
  <si>
    <t>4A2 80 1-4</t>
  </si>
  <si>
    <t>3D2 355 L-2</t>
  </si>
  <si>
    <t>3D2 355 M-2</t>
  </si>
  <si>
    <t>3D2 315 L2-2</t>
  </si>
  <si>
    <t>3D2 315 L1-2</t>
  </si>
  <si>
    <t>3D2 315 M-2</t>
  </si>
  <si>
    <t>3D2 315 S-2</t>
  </si>
  <si>
    <t>3D2 280 M-2</t>
  </si>
  <si>
    <t>3D2 280 S-2</t>
  </si>
  <si>
    <t>3D2 250 M-2</t>
  </si>
  <si>
    <t>3D2 225 M-2</t>
  </si>
  <si>
    <t>3D2 200 L2-2</t>
  </si>
  <si>
    <t>3D2 200 L1-2</t>
  </si>
  <si>
    <t>3D2 180 M-2</t>
  </si>
  <si>
    <t>3D2 160 L-2</t>
  </si>
  <si>
    <t>4A2 160 L-2</t>
  </si>
  <si>
    <t>3D2 160 M2-2</t>
  </si>
  <si>
    <t>4A2 160 M2-2</t>
  </si>
  <si>
    <t>3D2 160 M1-2</t>
  </si>
  <si>
    <t>4A2 160 M1-2</t>
  </si>
  <si>
    <t>4A2 132 S2-2</t>
  </si>
  <si>
    <t>4A2 132 S1-2</t>
  </si>
  <si>
    <t>4A2 112 M-2</t>
  </si>
  <si>
    <t>4A2 100 L-2</t>
  </si>
  <si>
    <t>4A2 90 L-2</t>
  </si>
  <si>
    <t>4A2 90 S-2</t>
  </si>
  <si>
    <t>4A2 802-2</t>
  </si>
  <si>
    <t>4A2 801-2</t>
  </si>
  <si>
    <t>3D 400 L3-8</t>
  </si>
  <si>
    <t>Eff2</t>
  </si>
  <si>
    <t>3D</t>
  </si>
  <si>
    <t>3D 400 L2-8</t>
  </si>
  <si>
    <t>3D 400 L1-8</t>
  </si>
  <si>
    <t>3D 400 M2-8</t>
  </si>
  <si>
    <t>3D 400 M1-8</t>
  </si>
  <si>
    <t>3D 355 L-8</t>
  </si>
  <si>
    <t>3D 355 M2-8</t>
  </si>
  <si>
    <t>3D 355 M1-8</t>
  </si>
  <si>
    <t>3D 315 L2-8</t>
  </si>
  <si>
    <t>3D 315 L1-8</t>
  </si>
  <si>
    <t>3D 315 M-8</t>
  </si>
  <si>
    <t>3D 315 S-8</t>
  </si>
  <si>
    <t>3D 280 M-8</t>
  </si>
  <si>
    <t>3D 280 S-8</t>
  </si>
  <si>
    <t>3D 250 M-8</t>
  </si>
  <si>
    <t>3D 225 M-8</t>
  </si>
  <si>
    <t>3D 225 S-8</t>
  </si>
  <si>
    <t>3D 200 L-8</t>
  </si>
  <si>
    <t>3D 180 L-8</t>
  </si>
  <si>
    <t>3D 160 L-8</t>
  </si>
  <si>
    <t>4A 160 L-8</t>
  </si>
  <si>
    <t>4A</t>
  </si>
  <si>
    <t>3D 160 M2-8</t>
  </si>
  <si>
    <t>4A 160 M2-8</t>
  </si>
  <si>
    <t>3D 160 M1-8</t>
  </si>
  <si>
    <t>4A 160 M1-8</t>
  </si>
  <si>
    <t>3D 132 M-8</t>
  </si>
  <si>
    <t>4A 132 M-8</t>
  </si>
  <si>
    <t>3D 132 S-8</t>
  </si>
  <si>
    <t>4A 132 S-8</t>
  </si>
  <si>
    <t>3D 112 M-8</t>
  </si>
  <si>
    <t>4A 112 M-8</t>
  </si>
  <si>
    <t>3D 100 L2-8</t>
  </si>
  <si>
    <t>4A 100 L2-8</t>
  </si>
  <si>
    <t>3D 100 L1-8</t>
  </si>
  <si>
    <t>4A 100 L1-8</t>
  </si>
  <si>
    <t>3D 90 L-8</t>
  </si>
  <si>
    <t>4A 90 L-8</t>
  </si>
  <si>
    <t>3D 90 S-8</t>
  </si>
  <si>
    <t>4A 90 S-8</t>
  </si>
  <si>
    <t>3D 80 2-8</t>
  </si>
  <si>
    <t>4A 80 M2-8</t>
  </si>
  <si>
    <t>3D 80 1-8</t>
  </si>
  <si>
    <t>4A 80 M1-8</t>
  </si>
  <si>
    <t>15x30x7</t>
  </si>
  <si>
    <t>6202-2Z/C3</t>
  </si>
  <si>
    <t>M5</t>
  </si>
  <si>
    <t>4A 71 2-8</t>
  </si>
  <si>
    <t>4A 71 1-8</t>
  </si>
  <si>
    <t>3D 400 L4-6</t>
  </si>
  <si>
    <t>3D 400 L3-6</t>
  </si>
  <si>
    <t>3D 400 L2-6</t>
  </si>
  <si>
    <t>3D 400 L1-6</t>
  </si>
  <si>
    <t>3D 400 M2-6</t>
  </si>
  <si>
    <t xml:space="preserve"> </t>
  </si>
  <si>
    <t>3D 400 M1-6</t>
  </si>
  <si>
    <t>3D 355 L-6</t>
  </si>
  <si>
    <t>3D 355 M2-6</t>
  </si>
  <si>
    <t>3D 355 M1-6</t>
  </si>
  <si>
    <t>3D 315 L2-6</t>
  </si>
  <si>
    <t>3D 315 L1-6</t>
  </si>
  <si>
    <t>3D 315 M-6</t>
  </si>
  <si>
    <t>3D 315 S-6</t>
  </si>
  <si>
    <t>3D 280 M-6</t>
  </si>
  <si>
    <t>3D 280 S-6</t>
  </si>
  <si>
    <t>3D 250 M-6</t>
  </si>
  <si>
    <t>3D 225 M-6</t>
  </si>
  <si>
    <t>3D 200 L2-6</t>
  </si>
  <si>
    <t>3D 200 L1-6</t>
  </si>
  <si>
    <t>3D 180 L-6</t>
  </si>
  <si>
    <t>3D 160 L-6</t>
  </si>
  <si>
    <t>4A 160 L-6</t>
  </si>
  <si>
    <t>3D 160 M-6</t>
  </si>
  <si>
    <t>4A 160 M-6</t>
  </si>
  <si>
    <t>3D 132 M2-6</t>
  </si>
  <si>
    <t>4A 132 M2-6</t>
  </si>
  <si>
    <t>3D 132 M1-6</t>
  </si>
  <si>
    <t>4A 132 M1-6</t>
  </si>
  <si>
    <t>3D 132 S-6</t>
  </si>
  <si>
    <t>4A 132 S-6</t>
  </si>
  <si>
    <t>3D 112 M-6</t>
  </si>
  <si>
    <t>4A 112 M-6</t>
  </si>
  <si>
    <t>3D 100 L-6</t>
  </si>
  <si>
    <t>4A 100 L-6</t>
  </si>
  <si>
    <t>3D 90 L-6</t>
  </si>
  <si>
    <t>4A 90 L-6</t>
  </si>
  <si>
    <t>3D 90 S-6</t>
  </si>
  <si>
    <t>4A 90 S-6</t>
  </si>
  <si>
    <t>3D 80 2-6</t>
  </si>
  <si>
    <t>4A 80 2-6</t>
  </si>
  <si>
    <t>3D 80 1-6</t>
  </si>
  <si>
    <t>4A 80 1-6</t>
  </si>
  <si>
    <t>4A 71 2-6</t>
  </si>
  <si>
    <t>4A 71 1-6</t>
  </si>
  <si>
    <t>12x24x7</t>
  </si>
  <si>
    <t>6201-2Z/C3</t>
  </si>
  <si>
    <t>M4</t>
  </si>
  <si>
    <t>4A 63 2-6</t>
  </si>
  <si>
    <t>4A 63 1-6</t>
  </si>
  <si>
    <t>3D 400 L3-4</t>
  </si>
  <si>
    <t>3D 400 L2-4</t>
  </si>
  <si>
    <t>3D 400 L1-4</t>
  </si>
  <si>
    <t>3D 400 M2-4</t>
  </si>
  <si>
    <t>3D 400 M1-4</t>
  </si>
  <si>
    <t>3D 355 L2-4</t>
  </si>
  <si>
    <t>3D 355 L1-4</t>
  </si>
  <si>
    <t>3D 355 M-4</t>
  </si>
  <si>
    <t>3D 315 L2-4</t>
  </si>
  <si>
    <t>3D 315 L1-4</t>
  </si>
  <si>
    <t>3D 315 M-4</t>
  </si>
  <si>
    <t>3D 315 S-4</t>
  </si>
  <si>
    <t>3D 280 M2-4</t>
  </si>
  <si>
    <t>3D 280 M1-4</t>
  </si>
  <si>
    <t>3D 280 S-4</t>
  </si>
  <si>
    <t>3D 250 M2-4</t>
  </si>
  <si>
    <t>3D 250 M1-4</t>
  </si>
  <si>
    <t>3D 225 M-4</t>
  </si>
  <si>
    <t>3D 225 S-4</t>
  </si>
  <si>
    <t>3D 200 L-4</t>
  </si>
  <si>
    <t>3D 180 L-4</t>
  </si>
  <si>
    <t>3D 180 M-4</t>
  </si>
  <si>
    <t>3D 160 L-4</t>
  </si>
  <si>
    <t>4A 160 L-4</t>
  </si>
  <si>
    <t>3D 160 M-4</t>
  </si>
  <si>
    <t>4A 160 M-4</t>
  </si>
  <si>
    <t>3D 132 M2-4</t>
  </si>
  <si>
    <t>4A 132 M2-4</t>
  </si>
  <si>
    <t>3D 132 M1-4</t>
  </si>
  <si>
    <t>4A 132 M1-4</t>
  </si>
  <si>
    <t>3D 132 S-4</t>
  </si>
  <si>
    <t>4A 132 S-4</t>
  </si>
  <si>
    <t>3D 112 M 2-4</t>
  </si>
  <si>
    <t>4A 112 M 2-4</t>
  </si>
  <si>
    <t>3D 112 M 1-4</t>
  </si>
  <si>
    <t>4A 112 M 1-4</t>
  </si>
  <si>
    <t>3D 100 L2-4</t>
  </si>
  <si>
    <t>4A 100 L2-4</t>
  </si>
  <si>
    <t>3D 100 L1-4</t>
  </si>
  <si>
    <t>4A 100 L1-4</t>
  </si>
  <si>
    <t>3D 90 L-4</t>
  </si>
  <si>
    <t>4A 90 L-4</t>
  </si>
  <si>
    <t>3D 90 S-4</t>
  </si>
  <si>
    <t>4A 90 S-4</t>
  </si>
  <si>
    <t>3D 80 2-4</t>
  </si>
  <si>
    <t>4A 80 M2-4</t>
  </si>
  <si>
    <t>3D 80 1-4</t>
  </si>
  <si>
    <t>4A 80 M1-4</t>
  </si>
  <si>
    <t>4A 71 M2-4</t>
  </si>
  <si>
    <t>4A 71 M1-4</t>
  </si>
  <si>
    <t>4A 63 M2-4</t>
  </si>
  <si>
    <t>4A 63 M1-4</t>
  </si>
  <si>
    <t>4A 56 2-4</t>
  </si>
  <si>
    <t>4A 56 1-4</t>
  </si>
  <si>
    <t>3D 400 L4-2</t>
  </si>
  <si>
    <t>3D 400 L3-2</t>
  </si>
  <si>
    <t>3D 400 L2-2</t>
  </si>
  <si>
    <t>3D 400 L1-2</t>
  </si>
  <si>
    <t>3D 400 M2-2</t>
  </si>
  <si>
    <t>3D 400 M1-2</t>
  </si>
  <si>
    <t>3D 355 L2-2</t>
  </si>
  <si>
    <t>3D 355 L1-2</t>
  </si>
  <si>
    <t>3D 355 M-2</t>
  </si>
  <si>
    <t>3D 315 L2-2</t>
  </si>
  <si>
    <t>3D 315 L1-2</t>
  </si>
  <si>
    <t>3D 315 M-2</t>
  </si>
  <si>
    <t>3D 315 S-2</t>
  </si>
  <si>
    <t>3D 280 M2-2</t>
  </si>
  <si>
    <t>3D 280 M1-2</t>
  </si>
  <si>
    <t>3D 280 S-2</t>
  </si>
  <si>
    <t>3D 250 M2-2</t>
  </si>
  <si>
    <t>3D 250 M1-2</t>
  </si>
  <si>
    <t>3D 225 M-2</t>
  </si>
  <si>
    <t>3D 200 L2-2</t>
  </si>
  <si>
    <t>3D 200 L1-2</t>
  </si>
  <si>
    <t>3D 180 M-2</t>
  </si>
  <si>
    <t>3D 160 L-2</t>
  </si>
  <si>
    <t>4A 160 L-2</t>
  </si>
  <si>
    <t>3D 160 M2-2</t>
  </si>
  <si>
    <t>4A 160 M2-2</t>
  </si>
  <si>
    <t>3D 160 M1-2</t>
  </si>
  <si>
    <t>4A 160 M1-2</t>
  </si>
  <si>
    <t>3D 132 M-2</t>
  </si>
  <si>
    <t>4A 132 M-2</t>
  </si>
  <si>
    <t>3D 132 S2-2</t>
  </si>
  <si>
    <t>4A 132 S2-2</t>
  </si>
  <si>
    <t>3D 132 S1-2</t>
  </si>
  <si>
    <t>4A 132 S1-2</t>
  </si>
  <si>
    <t>3D 112 M2-2</t>
  </si>
  <si>
    <t>4A 112 M2-2</t>
  </si>
  <si>
    <t>3D 112 M1-2</t>
  </si>
  <si>
    <t>4A 112 M1-2</t>
  </si>
  <si>
    <t>3D 100 L-2</t>
  </si>
  <si>
    <t>4A 100 L-2</t>
  </si>
  <si>
    <t>3D 90 L-2</t>
  </si>
  <si>
    <t>4A 90 L-2</t>
  </si>
  <si>
    <t>3D 90 S-2</t>
  </si>
  <si>
    <t>4A 90 S-2</t>
  </si>
  <si>
    <t>3D 802-2</t>
  </si>
  <si>
    <t>4A 80 M2-2</t>
  </si>
  <si>
    <t>3D 801-2</t>
  </si>
  <si>
    <t>4A 80 M1-2</t>
  </si>
  <si>
    <t>4A 71 M2-2</t>
  </si>
  <si>
    <t>4A 71 M1-2</t>
  </si>
  <si>
    <t>4A 63 M2-2</t>
  </si>
  <si>
    <t>4A 63 M1-2</t>
  </si>
  <si>
    <t>4A 56 2-2</t>
  </si>
  <si>
    <t>4A 56 1-2</t>
  </si>
  <si>
    <t>Glands</t>
  </si>
  <si>
    <t>Tætninger ND</t>
  </si>
  <si>
    <t>Tætninger D</t>
  </si>
  <si>
    <t>FLANGE B5-T</t>
  </si>
  <si>
    <t>FLANGE B5-S</t>
  </si>
  <si>
    <t>FLANGE B5-P</t>
  </si>
  <si>
    <t>FLANGE B5-N</t>
  </si>
  <si>
    <t>FLANGE B5-M</t>
  </si>
  <si>
    <t>FLANGE B14B-T</t>
  </si>
  <si>
    <t>FLANGE B14B-S</t>
  </si>
  <si>
    <t>FLANGE B14B-P</t>
  </si>
  <si>
    <t>FLANGE B14B-N</t>
  </si>
  <si>
    <t>FLANGE B14B-M</t>
  </si>
  <si>
    <t>FLANGE B14A-T</t>
  </si>
  <si>
    <t>FLANGE B14A-S</t>
  </si>
  <si>
    <t>FLANGE B14A-P</t>
  </si>
  <si>
    <t>FLANGE B14A-N</t>
  </si>
  <si>
    <t>FLANGE B14A-M</t>
  </si>
  <si>
    <t>MOTOR-L - V1</t>
  </si>
  <si>
    <t>MOTOR-L</t>
  </si>
  <si>
    <t>MOTOR-HD</t>
  </si>
  <si>
    <t>MOTOR-AD</t>
  </si>
  <si>
    <t>MOTOR-AC</t>
  </si>
  <si>
    <t>MOTOR-AB</t>
  </si>
  <si>
    <t>MOTOR-K</t>
  </si>
  <si>
    <t>MOTOR-H</t>
  </si>
  <si>
    <t>MOTOR-DH</t>
  </si>
  <si>
    <t>SHAFT-G</t>
  </si>
  <si>
    <t>SHAFT-F</t>
  </si>
  <si>
    <t>SHAFT-E</t>
  </si>
  <si>
    <t>SHAFT-D</t>
  </si>
  <si>
    <t>MOTOR-C</t>
  </si>
  <si>
    <t>MOTOR-B</t>
  </si>
  <si>
    <t>MOTOR-A</t>
  </si>
  <si>
    <t>DIV3</t>
  </si>
  <si>
    <t>DIV2</t>
  </si>
  <si>
    <t>Temp. rise in stator</t>
  </si>
  <si>
    <t>Vægt-Kg (B3)</t>
  </si>
  <si>
    <t>Lydtryk-Ld1A-db(A)-L</t>
  </si>
  <si>
    <t>Inertimoment-Kgm2</t>
  </si>
  <si>
    <t>Beregnet Kipmoment-L</t>
  </si>
  <si>
    <t>Beregnet Startmoment-L</t>
  </si>
  <si>
    <t>Beregnet Startstrøm-L</t>
  </si>
  <si>
    <t>(f)x=Kipmoment-L</t>
  </si>
  <si>
    <t>(f)x=Startmoment-L</t>
  </si>
  <si>
    <t>(f)x=Startstrøm-L</t>
  </si>
  <si>
    <t>Virkningsgrad- 50%L  60Hz</t>
  </si>
  <si>
    <t>Virkningsgrad- 75%L  60Hz</t>
  </si>
  <si>
    <t>Virkningsgrad- 100%L  60Hz</t>
  </si>
  <si>
    <t>Cos.j -L  60Hz</t>
  </si>
  <si>
    <t>Virkningsgrad- 50%L</t>
  </si>
  <si>
    <t>Virkningsgrad- 75%L</t>
  </si>
  <si>
    <t>Virkningsgrad- 100%L</t>
  </si>
  <si>
    <t>Cos.j -L</t>
  </si>
  <si>
    <t>Amp.-460V-60Hz-L</t>
  </si>
  <si>
    <t>Amp.-400V-50Hz-L</t>
  </si>
  <si>
    <t>Amp.-230V-50Hz-L</t>
  </si>
  <si>
    <t>Omdr.-60Hz-L</t>
  </si>
  <si>
    <t>Omdr.-50Hz-L</t>
  </si>
  <si>
    <t>Kw.-254/440V-60Hz-L</t>
  </si>
  <si>
    <t>Kw.-230/400V-50Hz-L</t>
  </si>
  <si>
    <t>Pol</t>
  </si>
  <si>
    <t>Byg.st.</t>
  </si>
  <si>
    <t>Energi klasse</t>
  </si>
  <si>
    <t>Fab.</t>
  </si>
  <si>
    <t>nr</t>
  </si>
  <si>
    <t>Req. Shaft Power</t>
  </si>
  <si>
    <t>Be_1</t>
  </si>
  <si>
    <t>Weight</t>
  </si>
  <si>
    <t>Frame</t>
  </si>
  <si>
    <t>M or S&amp;</t>
  </si>
  <si>
    <t>MOTOR Bearing OK</t>
  </si>
  <si>
    <t>Motor Bearing OK</t>
  </si>
  <si>
    <t>BJ 1062-444</t>
  </si>
  <si>
    <t>BJ 937-362</t>
  </si>
  <si>
    <t>HFR</t>
  </si>
  <si>
    <t>HFL</t>
  </si>
  <si>
    <t>HFHi</t>
  </si>
  <si>
    <t>MFR</t>
  </si>
  <si>
    <t>MFT</t>
  </si>
  <si>
    <t>SFL</t>
  </si>
  <si>
    <t>SFR</t>
  </si>
  <si>
    <t>na</t>
  </si>
  <si>
    <t>U100</t>
  </si>
  <si>
    <t>U140</t>
  </si>
  <si>
    <t>U160</t>
  </si>
  <si>
    <t>U180</t>
  </si>
  <si>
    <t>U200</t>
  </si>
  <si>
    <t>U250</t>
  </si>
  <si>
    <t>U280</t>
  </si>
  <si>
    <t>U320</t>
  </si>
  <si>
    <t>U400</t>
  </si>
  <si>
    <t>X+Y-Z+</t>
  </si>
  <si>
    <t>X+Y-Z-</t>
  </si>
  <si>
    <t>X+Y+Z+</t>
  </si>
  <si>
    <t>X-Y+Z-</t>
  </si>
  <si>
    <t>X-Y+Z+</t>
  </si>
  <si>
    <t>X+Y+Z-</t>
  </si>
  <si>
    <t>HF</t>
  </si>
  <si>
    <t>SF</t>
  </si>
  <si>
    <t>angle(XZ)X</t>
  </si>
  <si>
    <t>MSP</t>
  </si>
  <si>
    <t>BSP</t>
  </si>
  <si>
    <t>SE+MC</t>
  </si>
  <si>
    <t>FL</t>
  </si>
  <si>
    <t>Motor Frame Length</t>
  </si>
  <si>
    <t>Frame Length</t>
  </si>
  <si>
    <t>Frame Width</t>
  </si>
  <si>
    <t>Fan Ops Data</t>
  </si>
  <si>
    <t>Steel</t>
  </si>
  <si>
    <t>CORTEN</t>
  </si>
  <si>
    <t>DOMEX</t>
  </si>
  <si>
    <t>Density</t>
  </si>
  <si>
    <t>Steel, REG</t>
  </si>
  <si>
    <t>beta1</t>
  </si>
  <si>
    <t>beta2</t>
  </si>
  <si>
    <t>Target Max RPM</t>
  </si>
  <si>
    <t>Max RPM (d1)</t>
  </si>
  <si>
    <t>Max RPM (d2)</t>
  </si>
  <si>
    <t>per. Speed &lt;m/s&gt;</t>
  </si>
  <si>
    <t>blank</t>
  </si>
  <si>
    <t>b155</t>
  </si>
  <si>
    <t>b121</t>
  </si>
  <si>
    <t>b154</t>
  </si>
  <si>
    <t>b122</t>
  </si>
  <si>
    <t>b96</t>
  </si>
  <si>
    <t>b76</t>
  </si>
  <si>
    <t>b72</t>
  </si>
  <si>
    <t>b62</t>
  </si>
  <si>
    <t>b71</t>
  </si>
  <si>
    <t>b146</t>
  </si>
  <si>
    <t>b148</t>
  </si>
  <si>
    <t>Belt tension</t>
  </si>
  <si>
    <t>N</t>
  </si>
  <si>
    <t>Total Belt force</t>
  </si>
  <si>
    <t>Minimum</t>
  </si>
  <si>
    <t>r0</t>
  </si>
  <si>
    <t>alfaend</t>
  </si>
  <si>
    <t>Funnel height</t>
  </si>
  <si>
    <t>x</t>
  </si>
  <si>
    <t>y</t>
  </si>
  <si>
    <t>xstart</t>
  </si>
  <si>
    <t>ystart</t>
  </si>
  <si>
    <t>xstop</t>
  </si>
  <si>
    <t>ystop</t>
  </si>
  <si>
    <t>Envelope(0)</t>
  </si>
  <si>
    <t>Envelope(angle)</t>
  </si>
  <si>
    <t>calibration</t>
  </si>
  <si>
    <t>max-</t>
  </si>
  <si>
    <t>max+</t>
  </si>
  <si>
    <t>delta angle</t>
  </si>
  <si>
    <t>angle</t>
  </si>
  <si>
    <t>r</t>
  </si>
  <si>
    <t>alfa incr</t>
  </si>
  <si>
    <t>y-</t>
  </si>
  <si>
    <t>z-</t>
  </si>
  <si>
    <t>x+</t>
  </si>
  <si>
    <t>y+</t>
  </si>
  <si>
    <t>z+</t>
  </si>
  <si>
    <t>x diff</t>
  </si>
  <si>
    <t>dV</t>
  </si>
  <si>
    <t>ul</t>
  </si>
  <si>
    <t>ur</t>
  </si>
  <si>
    <t>ll</t>
  </si>
  <si>
    <t>lr</t>
  </si>
  <si>
    <t>S5</t>
  </si>
  <si>
    <t>S6</t>
  </si>
  <si>
    <t>S8</t>
  </si>
  <si>
    <t>S10</t>
  </si>
  <si>
    <t>sidev L</t>
  </si>
  <si>
    <t>sidev T</t>
  </si>
  <si>
    <t>sidev R</t>
  </si>
  <si>
    <t>sidev B</t>
  </si>
  <si>
    <t>xstop  int</t>
  </si>
  <si>
    <t>ystop int</t>
  </si>
  <si>
    <t>xstart ext</t>
  </si>
  <si>
    <t>ystart ext</t>
  </si>
  <si>
    <t>xstop ext</t>
  </si>
  <si>
    <t>ystop ext</t>
  </si>
  <si>
    <t>d_in</t>
  </si>
  <si>
    <t>xstart  int</t>
  </si>
  <si>
    <t>ystart int</t>
  </si>
  <si>
    <t>m</t>
  </si>
  <si>
    <t/>
  </si>
  <si>
    <t>rad</t>
  </si>
  <si>
    <t>1/rad</t>
  </si>
  <si>
    <t>Coupling Selection</t>
  </si>
  <si>
    <t>Coupling OK</t>
  </si>
  <si>
    <t>Coupling DETAILS</t>
  </si>
  <si>
    <t>Dist. Bracket/House</t>
  </si>
  <si>
    <t>FrameCH</t>
  </si>
  <si>
    <t>Height of left house support</t>
  </si>
  <si>
    <t>Height of Right house support</t>
  </si>
  <si>
    <t>MotorB</t>
  </si>
  <si>
    <t>MotorC</t>
  </si>
  <si>
    <t>Motor C measure (Foot to Shaft)</t>
  </si>
  <si>
    <t>Motor D measure (Shaft Diameter)</t>
  </si>
  <si>
    <t>Motor E measure (Shaft Length)</t>
  </si>
  <si>
    <t>MotorK</t>
  </si>
  <si>
    <t>Motor K measure (Mounting hole Diameter)</t>
  </si>
  <si>
    <t>MotorH</t>
  </si>
  <si>
    <t>Motor H measure (Center height)</t>
  </si>
  <si>
    <t>MotorL</t>
  </si>
  <si>
    <t>Motor L measure (Length)</t>
  </si>
  <si>
    <t>MotorAC</t>
  </si>
  <si>
    <t>MotorMass</t>
  </si>
  <si>
    <t>House start radius</t>
  </si>
  <si>
    <t>HouseK</t>
  </si>
  <si>
    <t>House exponential coefficient</t>
  </si>
  <si>
    <t>HouseAlphaStart</t>
  </si>
  <si>
    <t>House start angle</t>
  </si>
  <si>
    <t>HouseAlphaSlut</t>
  </si>
  <si>
    <t>House end angle</t>
  </si>
  <si>
    <t>House plate thickness</t>
  </si>
  <si>
    <t>HouseCinside</t>
  </si>
  <si>
    <t>House C measure</t>
  </si>
  <si>
    <t>HouseBinside</t>
  </si>
  <si>
    <t>House B measure</t>
  </si>
  <si>
    <t>House exhaust angle ex. 0 for LG/RD0</t>
  </si>
  <si>
    <t>InletConeN</t>
  </si>
  <si>
    <t>InletConeM</t>
  </si>
  <si>
    <t>InletConeR1</t>
  </si>
  <si>
    <t>MFrameUb</t>
  </si>
  <si>
    <t>MFrameUs</t>
  </si>
  <si>
    <t>MFrameUr</t>
  </si>
  <si>
    <t>MFrameUt</t>
  </si>
  <si>
    <t>MFrameUh</t>
  </si>
  <si>
    <t>MotorSD</t>
  </si>
  <si>
    <t>MotorSE</t>
  </si>
  <si>
    <t>HousePT</t>
  </si>
  <si>
    <t>HouseB</t>
  </si>
  <si>
    <t>HouseC</t>
  </si>
  <si>
    <t>HRotation</t>
  </si>
  <si>
    <t>Top</t>
  </si>
  <si>
    <t>Left</t>
  </si>
  <si>
    <t>Right</t>
  </si>
  <si>
    <t>Bottom</t>
  </si>
  <si>
    <t>Dist. BBracket / BBracket</t>
  </si>
  <si>
    <t>Naming conventions</t>
  </si>
  <si>
    <t>M</t>
  </si>
  <si>
    <t>S</t>
  </si>
  <si>
    <t>Support</t>
  </si>
  <si>
    <t>Plate</t>
  </si>
  <si>
    <t>Hi</t>
  </si>
  <si>
    <t>Lo</t>
  </si>
  <si>
    <t>O</t>
  </si>
  <si>
    <t>Oblique</t>
  </si>
  <si>
    <t>Bo</t>
  </si>
  <si>
    <t>Rack</t>
  </si>
  <si>
    <t>Ra</t>
  </si>
  <si>
    <t>MFRa</t>
  </si>
  <si>
    <t>BFRa</t>
  </si>
  <si>
    <t>HFV</t>
  </si>
  <si>
    <t>V</t>
  </si>
  <si>
    <t>Vertical</t>
  </si>
  <si>
    <t>horizontal High</t>
  </si>
  <si>
    <t>horizontal Low</t>
  </si>
  <si>
    <t>horizontal End</t>
  </si>
  <si>
    <t>MFrameRack</t>
  </si>
  <si>
    <t>SFP</t>
  </si>
  <si>
    <t>Angle Horizontal/Rack</t>
  </si>
  <si>
    <t>UPN  "h" measure</t>
  </si>
  <si>
    <t>UPN  "b" measure</t>
  </si>
  <si>
    <t>UPN  "t" measure</t>
  </si>
  <si>
    <t>UPN  "s" measure</t>
  </si>
  <si>
    <t>UPN  "r" measure</t>
  </si>
  <si>
    <t>"t" measure</t>
  </si>
  <si>
    <t>Height of Horizontal house support</t>
  </si>
  <si>
    <t>MSP_Hemm</t>
  </si>
  <si>
    <t>BFrameRack</t>
  </si>
  <si>
    <t>BFrameUh</t>
  </si>
  <si>
    <t>BFrameUb</t>
  </si>
  <si>
    <t>BFrameUt</t>
  </si>
  <si>
    <t>BFrameUs</t>
  </si>
  <si>
    <t>BFrameUr</t>
  </si>
  <si>
    <t>RackAngle</t>
  </si>
  <si>
    <t>HFrameVerticalT</t>
  </si>
  <si>
    <t>InletConeP</t>
  </si>
  <si>
    <t>Diameter of Bolt holes ISP</t>
  </si>
  <si>
    <t>HFrontPBoltholeDiameter</t>
  </si>
  <si>
    <t>InletConeData</t>
  </si>
  <si>
    <t>HouseData</t>
  </si>
  <si>
    <t>MotorData</t>
  </si>
  <si>
    <t>K_house</t>
  </si>
  <si>
    <t>H_alfastart</t>
  </si>
  <si>
    <t>H_alfaend</t>
  </si>
  <si>
    <t>Funnel_height</t>
  </si>
  <si>
    <t>A_imp</t>
  </si>
  <si>
    <t>C_imp</t>
  </si>
  <si>
    <t>I_alfastart</t>
  </si>
  <si>
    <t>I_alfaend</t>
  </si>
  <si>
    <t>Whub_C</t>
  </si>
  <si>
    <t>Cone-index&lt;kW&gt;</t>
  </si>
  <si>
    <t>Tongue_delta</t>
  </si>
  <si>
    <t>BearingData</t>
  </si>
  <si>
    <t>CouplingData</t>
  </si>
  <si>
    <t>Fan Orientation</t>
  </si>
  <si>
    <t>rad.</t>
  </si>
  <si>
    <t>Total Frame Weight</t>
  </si>
  <si>
    <t>House weight</t>
  </si>
  <si>
    <t>TOTAL HOUSE WEIGHT</t>
  </si>
  <si>
    <t>Rotation direction; 1=L; 2=R</t>
  </si>
  <si>
    <t>C_slack</t>
  </si>
  <si>
    <t>AE_measure</t>
  </si>
  <si>
    <t>Dist_BH</t>
  </si>
  <si>
    <t>Dist_BB</t>
  </si>
  <si>
    <t>Distance Bearing House</t>
  </si>
  <si>
    <t>Distance Bearing Bearing</t>
  </si>
  <si>
    <t>J2_index</t>
  </si>
  <si>
    <t>RPM_index</t>
  </si>
  <si>
    <t>center_h</t>
  </si>
  <si>
    <t>MAX HOUSE DIM</t>
  </si>
  <si>
    <t>MotorA</t>
  </si>
  <si>
    <t>Motor A measure (Mounting Hole Width)</t>
  </si>
  <si>
    <t>Motor B measure (Mounting Hole Length)</t>
  </si>
  <si>
    <t>HOrientation</t>
  </si>
  <si>
    <t>DBB_it</t>
  </si>
  <si>
    <t>DIB_st</t>
  </si>
  <si>
    <t>DBB_st</t>
  </si>
  <si>
    <t>DIB_it</t>
  </si>
  <si>
    <t>Dist. Bearing/Impeller</t>
  </si>
  <si>
    <t>Dist. Bearing/House</t>
  </si>
  <si>
    <t>Dist. Coupling/Bearing</t>
  </si>
  <si>
    <t>Weight/Damper</t>
  </si>
  <si>
    <t>DBI</t>
  </si>
  <si>
    <t>DBI_REG</t>
  </si>
  <si>
    <t>DBH_REG</t>
  </si>
  <si>
    <t>DBB_REG</t>
  </si>
  <si>
    <t>DBI_PDN</t>
  </si>
  <si>
    <t>DBH_PDN</t>
  </si>
  <si>
    <t>DBB_PDN</t>
  </si>
  <si>
    <t>calc values</t>
  </si>
  <si>
    <t>given values</t>
  </si>
  <si>
    <t>BFHe</t>
  </si>
  <si>
    <t>MFHe</t>
  </si>
  <si>
    <t>Dist. MF_BF</t>
  </si>
  <si>
    <t>DMH(direct)</t>
  </si>
  <si>
    <t>check</t>
  </si>
  <si>
    <t>HOUSE</t>
  </si>
  <si>
    <t>HL</t>
  </si>
  <si>
    <t>HR</t>
  </si>
  <si>
    <t>Lifting Height</t>
  </si>
  <si>
    <t>Tongue</t>
  </si>
  <si>
    <t>Motor AC measure (Outer Casing Diameter)</t>
  </si>
  <si>
    <t>alfastart (tongue position)</t>
  </si>
  <si>
    <t>FunnelHeight</t>
  </si>
  <si>
    <t>House Funnel Height Right from Center_H</t>
  </si>
  <si>
    <t>Outer D</t>
  </si>
  <si>
    <t>Length</t>
  </si>
  <si>
    <t>1020T10</t>
  </si>
  <si>
    <t>1030T10</t>
  </si>
  <si>
    <t>1040T10</t>
  </si>
  <si>
    <t>1050T10</t>
  </si>
  <si>
    <t>1060T10</t>
  </si>
  <si>
    <t>1070T10</t>
  </si>
  <si>
    <t>1080T10</t>
  </si>
  <si>
    <t>1090T10</t>
  </si>
  <si>
    <t>1100T10</t>
  </si>
  <si>
    <t>1110T10</t>
  </si>
  <si>
    <t>1120T10</t>
  </si>
  <si>
    <t>1130T10</t>
  </si>
  <si>
    <t>1140T10</t>
  </si>
  <si>
    <t>1150T10</t>
  </si>
  <si>
    <t>1160T10</t>
  </si>
  <si>
    <t>1170T10</t>
  </si>
  <si>
    <t>1180T10</t>
  </si>
  <si>
    <t>1190T10</t>
  </si>
  <si>
    <t>1200T10</t>
  </si>
  <si>
    <t>F40</t>
  </si>
  <si>
    <t>F50</t>
  </si>
  <si>
    <t>F60</t>
  </si>
  <si>
    <t>F70</t>
  </si>
  <si>
    <t>F80</t>
  </si>
  <si>
    <t>F90</t>
  </si>
  <si>
    <t>F100</t>
  </si>
  <si>
    <t>F110</t>
  </si>
  <si>
    <t>F120</t>
  </si>
  <si>
    <t>F140</t>
  </si>
  <si>
    <t>F160</t>
  </si>
  <si>
    <t>F180</t>
  </si>
  <si>
    <t>F200</t>
  </si>
  <si>
    <t>F220</t>
  </si>
  <si>
    <t>F250</t>
  </si>
  <si>
    <t>1020T20</t>
  </si>
  <si>
    <t>1030T20</t>
  </si>
  <si>
    <t>1040T20</t>
  </si>
  <si>
    <t>1050T20</t>
  </si>
  <si>
    <t>1060T20</t>
  </si>
  <si>
    <t>1070T20</t>
  </si>
  <si>
    <t>1080T20</t>
  </si>
  <si>
    <t>1090T20</t>
  </si>
  <si>
    <t>1100T20</t>
  </si>
  <si>
    <t>1110T20</t>
  </si>
  <si>
    <t>1120T20</t>
  </si>
  <si>
    <t>1130T20</t>
  </si>
  <si>
    <t>1140T20</t>
  </si>
  <si>
    <t>1150T20</t>
  </si>
  <si>
    <t>1160T20</t>
  </si>
  <si>
    <t>1170T20</t>
  </si>
  <si>
    <t>1180T20</t>
  </si>
  <si>
    <t>1190T20</t>
  </si>
  <si>
    <t>1200T20</t>
  </si>
  <si>
    <t>1020T31</t>
  </si>
  <si>
    <t>1030T31</t>
  </si>
  <si>
    <t>1040T31</t>
  </si>
  <si>
    <t>1050T31</t>
  </si>
  <si>
    <t>1060T31</t>
  </si>
  <si>
    <t>1070T31</t>
  </si>
  <si>
    <t>1080T31</t>
  </si>
  <si>
    <t>1090T31</t>
  </si>
  <si>
    <t>1100T31</t>
  </si>
  <si>
    <t>1110T31</t>
  </si>
  <si>
    <t>1120T31</t>
  </si>
  <si>
    <t>1130T31</t>
  </si>
  <si>
    <t>1140T31</t>
  </si>
  <si>
    <t>1150T31</t>
  </si>
  <si>
    <t>1160T31</t>
  </si>
  <si>
    <t>1170T31</t>
  </si>
  <si>
    <t>1180T31</t>
  </si>
  <si>
    <t>1190T31</t>
  </si>
  <si>
    <t>1200T31</t>
  </si>
  <si>
    <t>TD6-4</t>
  </si>
  <si>
    <t>TD6-11</t>
  </si>
  <si>
    <t>TD6-21</t>
  </si>
  <si>
    <t>TD6-42</t>
  </si>
  <si>
    <t>TD6-66</t>
  </si>
  <si>
    <t>TD6-150</t>
  </si>
  <si>
    <t>TD6-210</t>
  </si>
  <si>
    <t>TD6-370</t>
  </si>
  <si>
    <t>TD6-470</t>
  </si>
  <si>
    <t>TD6-523</t>
  </si>
  <si>
    <t>TD6-840</t>
  </si>
  <si>
    <t>TD6-1300</t>
  </si>
  <si>
    <t>TD6-2100</t>
  </si>
  <si>
    <t>TD6-2700</t>
  </si>
  <si>
    <t>TD6-3300</t>
  </si>
  <si>
    <t>TD6-4200</t>
  </si>
  <si>
    <t>DCBr (min)</t>
  </si>
  <si>
    <t>InletSupportPlateOD</t>
  </si>
  <si>
    <t>reinf. angle</t>
  </si>
  <si>
    <t>InletSupportPlateID</t>
  </si>
  <si>
    <t>InletSupportPlateT</t>
  </si>
  <si>
    <t>Ful</t>
  </si>
  <si>
    <t>Fur</t>
  </si>
  <si>
    <t>max C_H</t>
  </si>
  <si>
    <t>ID</t>
  </si>
  <si>
    <t>Comments</t>
  </si>
  <si>
    <t>H2</t>
  </si>
  <si>
    <t>MASS</t>
  </si>
  <si>
    <t>N1</t>
  </si>
  <si>
    <t>A1</t>
  </si>
  <si>
    <t>J</t>
  </si>
  <si>
    <t>H1</t>
  </si>
  <si>
    <t>da</t>
  </si>
  <si>
    <t>Center H(H1)</t>
  </si>
  <si>
    <t>Hole dist. (J)</t>
  </si>
  <si>
    <t>Hole Diam. (N1)</t>
  </si>
  <si>
    <t>Diameter(da)</t>
  </si>
  <si>
    <t>B foot Length(L)</t>
  </si>
  <si>
    <t>BHW(A1)</t>
  </si>
  <si>
    <t>Min_PDN_DBB</t>
  </si>
  <si>
    <t>Bearing A1 measure (Width)</t>
  </si>
  <si>
    <t>Bearing da measure (Axle Diameter)</t>
  </si>
  <si>
    <t>Bearingda</t>
  </si>
  <si>
    <t>BearingA1</t>
  </si>
  <si>
    <t>BearingN1</t>
  </si>
  <si>
    <t>Bearing N1 measure (Mounting hole Diameter)</t>
  </si>
  <si>
    <t>BearingH1</t>
  </si>
  <si>
    <t>Bearing H1 measure (Center height)</t>
  </si>
  <si>
    <t>BearingL</t>
  </si>
  <si>
    <t>Bearing L measure (Foot Length)</t>
  </si>
  <si>
    <t>BearingJ</t>
  </si>
  <si>
    <t>Bearing J measure (Hole distance)</t>
  </si>
  <si>
    <t>col Bearing Data</t>
  </si>
  <si>
    <t>Inlet Cone</t>
  </si>
  <si>
    <t>b_in</t>
  </si>
  <si>
    <t>b_1_bladeFP</t>
  </si>
  <si>
    <t>ext. inl_D</t>
  </si>
  <si>
    <t>int. inl_D</t>
  </si>
  <si>
    <t>InletConeK</t>
  </si>
  <si>
    <t>InletConeintD</t>
  </si>
  <si>
    <t>InletSupportPlate</t>
  </si>
  <si>
    <t>Inlet Support plate Thickness</t>
  </si>
  <si>
    <t>Inlet Support plate Inner diameter</t>
  </si>
  <si>
    <t>Inlet Support plate Outer diameter</t>
  </si>
  <si>
    <t>Horizontal dim.</t>
  </si>
  <si>
    <t>end</t>
  </si>
  <si>
    <t>e/b</t>
  </si>
  <si>
    <t>House w</t>
  </si>
  <si>
    <t>Imp w</t>
  </si>
  <si>
    <t>Frame w</t>
  </si>
  <si>
    <t>Inlet flange</t>
  </si>
  <si>
    <t>Outlet flange</t>
  </si>
  <si>
    <t>T factor</t>
  </si>
  <si>
    <t>R width</t>
  </si>
  <si>
    <t>Inlet Cone Measure"P", int_cyl1</t>
  </si>
  <si>
    <t>Inlet Cone Measure"R1", Int_inl_H</t>
  </si>
  <si>
    <t>Inlet Cone Measure"N"; int_cyl2</t>
  </si>
  <si>
    <t>Inlet Cone Measure"M", ext_cyl1</t>
  </si>
  <si>
    <t>Inlet Cone Measure"L", Ext_inl_H</t>
  </si>
  <si>
    <t>Inlet Cone Measure"K", ext_cyl2</t>
  </si>
  <si>
    <t>Side view</t>
  </si>
  <si>
    <t>HubDiameter</t>
  </si>
  <si>
    <t>Diameter of hole for Hub in backplate</t>
  </si>
  <si>
    <t>HFrontPHoleD</t>
  </si>
  <si>
    <t>Diameter of Hole in Frontlplate</t>
  </si>
  <si>
    <t>K-Ext_Cyl2</t>
  </si>
  <si>
    <t>L-Ext_inl</t>
  </si>
  <si>
    <t>M-Ext_cyl1</t>
  </si>
  <si>
    <t>N-int_cyl2</t>
  </si>
  <si>
    <t>P-int_cyl1</t>
  </si>
  <si>
    <t>int_inl_D</t>
  </si>
  <si>
    <t>P-Int. Cyl1</t>
  </si>
  <si>
    <t>N-Int. Cyl2</t>
  </si>
  <si>
    <t>M-Ext. Cyl1</t>
  </si>
  <si>
    <t>L-Ext. Inlet_H</t>
  </si>
  <si>
    <t>K-Ext. Cyl2</t>
  </si>
  <si>
    <t>Inlet w</t>
  </si>
  <si>
    <t>j_2</t>
  </si>
  <si>
    <t>offset</t>
  </si>
  <si>
    <t>InletConeextD</t>
  </si>
  <si>
    <t>drawings</t>
  </si>
  <si>
    <t>House Drive View</t>
  </si>
  <si>
    <t>House Inlet View</t>
  </si>
  <si>
    <t>fixed number</t>
  </si>
  <si>
    <t>named variable</t>
  </si>
  <si>
    <t>copied cells</t>
  </si>
  <si>
    <t>SFBase</t>
  </si>
  <si>
    <t>HLup</t>
  </si>
  <si>
    <t>HLlo</t>
  </si>
  <si>
    <t>alfa1</t>
  </si>
  <si>
    <t>alfa1 it start</t>
  </si>
  <si>
    <t>alfa</t>
  </si>
  <si>
    <t>m1-m2</t>
  </si>
  <si>
    <t>RFun X-SP</t>
  </si>
  <si>
    <t>Support frame</t>
  </si>
  <si>
    <t>degr</t>
  </si>
  <si>
    <t>BearingH</t>
  </si>
  <si>
    <t>BearingA</t>
  </si>
  <si>
    <t>BearingMass</t>
  </si>
  <si>
    <t>Mass</t>
  </si>
  <si>
    <t>Bearing H2 measure</t>
  </si>
  <si>
    <t>Bearing H measure</t>
  </si>
  <si>
    <t>Bearing A measure</t>
  </si>
  <si>
    <t>Bearing Mass</t>
  </si>
  <si>
    <t>VibH</t>
  </si>
  <si>
    <t>VibL</t>
  </si>
  <si>
    <t>VibB</t>
  </si>
  <si>
    <t>Vibf</t>
  </si>
  <si>
    <t>Vibd</t>
  </si>
  <si>
    <t>ad_L; ar_L</t>
  </si>
  <si>
    <t>ad_a; ar_f</t>
  </si>
  <si>
    <t>ad_t</t>
  </si>
  <si>
    <t>ad_H</t>
  </si>
  <si>
    <t>ar_B; ad_W</t>
  </si>
  <si>
    <t>AD_d</t>
  </si>
  <si>
    <t>ad_d; ar_d</t>
  </si>
  <si>
    <t>VibDampingData</t>
  </si>
  <si>
    <t>FrameType</t>
  </si>
  <si>
    <t>FP_TOOL</t>
  </si>
  <si>
    <t>XOE 96-35</t>
  </si>
  <si>
    <t>XOE 116-35</t>
  </si>
  <si>
    <t>XOE 116-40</t>
  </si>
  <si>
    <t>XOE 116-60</t>
  </si>
  <si>
    <t>XOE 138-45</t>
  </si>
  <si>
    <t>XOE 135-45</t>
  </si>
  <si>
    <t>XOE 135-55</t>
  </si>
  <si>
    <t>XOE 135-65</t>
  </si>
  <si>
    <t>XOE 153-55</t>
  </si>
  <si>
    <t>XOE 153-63</t>
  </si>
  <si>
    <t>XOE 153-70</t>
  </si>
  <si>
    <t>XOE 166-45</t>
  </si>
  <si>
    <t>XOE 166-50</t>
  </si>
  <si>
    <t>XOE 166-55</t>
  </si>
  <si>
    <t>XOE 166-60</t>
  </si>
  <si>
    <t>XOE 166-70</t>
  </si>
  <si>
    <t>XOE 166-63</t>
  </si>
  <si>
    <t>XOE 166-80</t>
  </si>
  <si>
    <t>XOE 181-45</t>
  </si>
  <si>
    <t>XOE 191-55</t>
  </si>
  <si>
    <t>XOE 191-60</t>
  </si>
  <si>
    <t>XOE 191-63</t>
  </si>
  <si>
    <t>XOE 191-80</t>
  </si>
  <si>
    <t>XOE 191-85</t>
  </si>
  <si>
    <t>XOE 210-60</t>
  </si>
  <si>
    <t>XOE 210-63</t>
  </si>
  <si>
    <t>XOE 210-75</t>
  </si>
  <si>
    <t>XOE 210-95</t>
  </si>
  <si>
    <t>XOE 210-90</t>
  </si>
  <si>
    <t>XOE 237-60</t>
  </si>
  <si>
    <t>XOE 237-75</t>
  </si>
  <si>
    <t>XOE 237-90</t>
  </si>
  <si>
    <t>XOE 237-110</t>
  </si>
  <si>
    <t>XOE 237-100</t>
  </si>
  <si>
    <t>XOE 273-65</t>
  </si>
  <si>
    <t>XOE 273-80</t>
  </si>
  <si>
    <t>XOE 273-90</t>
  </si>
  <si>
    <t>XOE 273-110</t>
  </si>
  <si>
    <t>XOE 273-120</t>
  </si>
  <si>
    <t>XOE 253-120</t>
  </si>
  <si>
    <t>XOE 306-85</t>
  </si>
  <si>
    <t>XOE 306-95</t>
  </si>
  <si>
    <t>XOE 306-100</t>
  </si>
  <si>
    <t>XOE 306-130</t>
  </si>
  <si>
    <t>XOE 306-125</t>
  </si>
  <si>
    <t>XOE 306-120</t>
  </si>
  <si>
    <t>XOE 320-75</t>
  </si>
  <si>
    <t>XOE 337-95</t>
  </si>
  <si>
    <t>XOE 337-125</t>
  </si>
  <si>
    <t>XOE 337-130</t>
  </si>
  <si>
    <t>XOE 68-23</t>
  </si>
  <si>
    <t>XOE 339-180</t>
  </si>
  <si>
    <t>XOE 173-50</t>
  </si>
  <si>
    <t>XOE 153-45</t>
  </si>
  <si>
    <t>XOE 355-166</t>
  </si>
  <si>
    <t>XOE 111-32</t>
  </si>
  <si>
    <t>XOE 128-34</t>
  </si>
  <si>
    <t>XMP 39-10</t>
  </si>
  <si>
    <t>XMP 48-10</t>
  </si>
  <si>
    <t>XMP 49-10</t>
  </si>
  <si>
    <t>XMP 48-13</t>
  </si>
  <si>
    <t>XMP 52-10</t>
  </si>
  <si>
    <t>XMP 52-16</t>
  </si>
  <si>
    <t>XMP 52-20</t>
  </si>
  <si>
    <t>XMP 52-25</t>
  </si>
  <si>
    <t>XMP 76-20</t>
  </si>
  <si>
    <t>XMP 76-25</t>
  </si>
  <si>
    <t>XMP 76-31</t>
  </si>
  <si>
    <t>XMP 89-20</t>
  </si>
  <si>
    <t>XMP 90-25</t>
  </si>
  <si>
    <t>XMP 90-31</t>
  </si>
  <si>
    <t>XMP 90-35</t>
  </si>
  <si>
    <t>XMP 98-20</t>
  </si>
  <si>
    <t>XMP 98-25</t>
  </si>
  <si>
    <t>XMP 98-31</t>
  </si>
  <si>
    <t>XMP 98-35</t>
  </si>
  <si>
    <t>XMP 98-40</t>
  </si>
  <si>
    <t>XMP 107-45</t>
  </si>
  <si>
    <t>XMP 123-20</t>
  </si>
  <si>
    <t>XMP 123-25</t>
  </si>
  <si>
    <t>XMP 123-31</t>
  </si>
  <si>
    <t>XMP 123-35</t>
  </si>
  <si>
    <t>XMP 123-40</t>
  </si>
  <si>
    <t>XMP 123-50</t>
  </si>
  <si>
    <t>XMP 138-55</t>
  </si>
  <si>
    <t>XMP 144-63</t>
  </si>
  <si>
    <t>XMP 198-70</t>
  </si>
  <si>
    <t>XMP 215-80</t>
  </si>
  <si>
    <t>XSP 58-16</t>
  </si>
  <si>
    <t>XSP 58-20</t>
  </si>
  <si>
    <t>XSP 70-25</t>
  </si>
  <si>
    <t>XSP 76-25</t>
  </si>
  <si>
    <t>XSP 76-31</t>
  </si>
  <si>
    <t>XSP 90-25</t>
  </si>
  <si>
    <t>XSP 90-35</t>
  </si>
  <si>
    <t>XSP 98-35</t>
  </si>
  <si>
    <t>XSP 98-40</t>
  </si>
  <si>
    <t>XSP 108-45</t>
  </si>
  <si>
    <t>XSP 123-40</t>
  </si>
  <si>
    <t>XSP 123-50</t>
  </si>
  <si>
    <t>XSP 138-55</t>
  </si>
  <si>
    <t>XSP 144-63</t>
  </si>
  <si>
    <t>XSP 198-70</t>
  </si>
  <si>
    <t>XSP 215-80</t>
  </si>
  <si>
    <t>XHP 63-10</t>
  </si>
  <si>
    <t>XHP 63-15</t>
  </si>
  <si>
    <t>XHP 63-13</t>
  </si>
  <si>
    <t>XHP 68-16</t>
  </si>
  <si>
    <t>XHP 68-20</t>
  </si>
  <si>
    <t>XHP 68-10</t>
  </si>
  <si>
    <t>XHP 68-15</t>
  </si>
  <si>
    <t>XHP 68-13</t>
  </si>
  <si>
    <t>XHP 72-16</t>
  </si>
  <si>
    <t>XHP 72-20</t>
  </si>
  <si>
    <t>XHP 81-10</t>
  </si>
  <si>
    <t>XHP 81-15</t>
  </si>
  <si>
    <t>XHP 81-19</t>
  </si>
  <si>
    <t>XHP 82-19</t>
  </si>
  <si>
    <t>XHP 90-10</t>
  </si>
  <si>
    <t>XHP 90-15</t>
  </si>
  <si>
    <t>XHP 90-13</t>
  </si>
  <si>
    <t>XHP 90-19</t>
  </si>
  <si>
    <t>XHP 94-15</t>
  </si>
  <si>
    <t>XHP 103-19</t>
  </si>
  <si>
    <t>XLP 34-15</t>
  </si>
  <si>
    <t>XLP 41-18</t>
  </si>
  <si>
    <t>XLP 52-20</t>
  </si>
  <si>
    <t>XLP 60-25</t>
  </si>
  <si>
    <t>XLP 70-31</t>
  </si>
  <si>
    <t>XLP 79-35</t>
  </si>
  <si>
    <t>XLP 91-40</t>
  </si>
  <si>
    <t>XLP 100-45</t>
  </si>
  <si>
    <t>XLP 104-50</t>
  </si>
  <si>
    <t>XLP 145-70</t>
  </si>
  <si>
    <t>XLP 150-80</t>
  </si>
  <si>
    <t>XLP 176-90</t>
  </si>
  <si>
    <t>XLP 215-100</t>
  </si>
  <si>
    <t>XLP 117-58</t>
  </si>
  <si>
    <t>XLP 130-55</t>
  </si>
  <si>
    <t>XTS_52-20</t>
  </si>
  <si>
    <t>XTS_60-25</t>
  </si>
  <si>
    <t>XTS_70-31</t>
  </si>
  <si>
    <t>XTS_70-43</t>
  </si>
  <si>
    <t>XTS_79-35</t>
  </si>
  <si>
    <t>XTS_91-40</t>
  </si>
  <si>
    <t>XVSB_52-20</t>
  </si>
  <si>
    <t>XVSB_60-25</t>
  </si>
  <si>
    <t>XVSB_70-31</t>
  </si>
  <si>
    <t>XVSB_70-43</t>
  </si>
  <si>
    <t>XOE 135-45A</t>
  </si>
  <si>
    <t>22220EK</t>
  </si>
  <si>
    <t>SNL 517</t>
  </si>
  <si>
    <t>CH Standard Dampers</t>
  </si>
  <si>
    <t>EU Std.</t>
  </si>
  <si>
    <t>VD 1215</t>
  </si>
  <si>
    <t>VD 2015</t>
  </si>
  <si>
    <t>VD 3025</t>
  </si>
  <si>
    <t>VD 4030</t>
  </si>
  <si>
    <t>VD 5035</t>
  </si>
  <si>
    <t>VD 7535</t>
  </si>
  <si>
    <t>VD 10050</t>
  </si>
  <si>
    <t>BJ 100</t>
  </si>
  <si>
    <t>BJ 200</t>
  </si>
  <si>
    <t>BJ 400</t>
  </si>
  <si>
    <t>BJ 500</t>
  </si>
  <si>
    <t>BJ 600</t>
  </si>
  <si>
    <t>BJ 700</t>
  </si>
  <si>
    <t>XOE 116-60A</t>
  </si>
  <si>
    <t>XOE 153-70A</t>
  </si>
  <si>
    <t>XOE 166-45A</t>
  </si>
  <si>
    <t>XOE 166-50A</t>
  </si>
  <si>
    <t>XOE 191-80A</t>
  </si>
  <si>
    <t>XOE 210-60A</t>
  </si>
  <si>
    <t>XOE 210-95A</t>
  </si>
  <si>
    <t>XOE 337-125B</t>
  </si>
  <si>
    <t>XMP 90-25A</t>
  </si>
  <si>
    <t>XMP 90-25B</t>
  </si>
  <si>
    <t>XMP 90-31A</t>
  </si>
  <si>
    <t>XMP 90-31B</t>
  </si>
  <si>
    <t>XMP 90-35A</t>
  </si>
  <si>
    <t>XMP 90-35B</t>
  </si>
  <si>
    <t>XSP 58-16A</t>
  </si>
  <si>
    <t>XSP 58-16B</t>
  </si>
  <si>
    <t>XHP 63-10B</t>
  </si>
  <si>
    <t>XHP 63-15B</t>
  </si>
  <si>
    <t>XHP 63-15D</t>
  </si>
  <si>
    <t>XHP 68-20A</t>
  </si>
  <si>
    <t>XHP 68-20B</t>
  </si>
  <si>
    <t>XHP 68-10B</t>
  </si>
  <si>
    <t>XHP 68-15B</t>
  </si>
  <si>
    <t>XHP 68-15D</t>
  </si>
  <si>
    <t>XHP 81-10B</t>
  </si>
  <si>
    <t>XHP 81-15B</t>
  </si>
  <si>
    <t>XHP 81-15C</t>
  </si>
  <si>
    <t>XHP 90-10B</t>
  </si>
  <si>
    <t>XHP 90-15B</t>
  </si>
  <si>
    <t>XHP 90-15D</t>
  </si>
  <si>
    <t>XHP 94-15A</t>
  </si>
  <si>
    <t>XHP 94-15B</t>
  </si>
  <si>
    <t>XHP 94-15D</t>
  </si>
  <si>
    <t>XHP 103-19B</t>
  </si>
  <si>
    <t>XLP 34-15A</t>
  </si>
  <si>
    <t>XLP 41-18A</t>
  </si>
  <si>
    <t>XLP 52-20A</t>
  </si>
  <si>
    <t>XLP 60-25A</t>
  </si>
  <si>
    <t>XLP 70-31A</t>
  </si>
  <si>
    <t>XLP 79-35A</t>
  </si>
  <si>
    <t>XTS_52-20A</t>
  </si>
  <si>
    <t>XTS_60-25A</t>
  </si>
  <si>
    <t>XTS_70-31A</t>
  </si>
  <si>
    <t>XTS_70-43A</t>
  </si>
  <si>
    <t>XTS_79-35A</t>
  </si>
  <si>
    <t>XVSB_52-20A</t>
  </si>
  <si>
    <t>XVSB_60-25A</t>
  </si>
  <si>
    <t>XVSB_70-31A</t>
  </si>
  <si>
    <t>XVSB_70-43A</t>
  </si>
  <si>
    <t>Bearing D</t>
  </si>
  <si>
    <t>Bearing ND</t>
  </si>
  <si>
    <t>Required FrameX</t>
  </si>
  <si>
    <t>bearing name</t>
  </si>
  <si>
    <t>bearing life</t>
  </si>
  <si>
    <t>col number; -3: no axle, -2: next axle diam, -1: bearing not OK</t>
  </si>
  <si>
    <t>Possible REG Bearings, Coupling Driven</t>
  </si>
  <si>
    <t>Possible PDN Bearings, Coupling Driven</t>
  </si>
  <si>
    <t>Force Bearing Selection</t>
  </si>
  <si>
    <t>REG. Bearing</t>
  </si>
  <si>
    <t>hr</t>
  </si>
  <si>
    <t>Direct Driven</t>
  </si>
  <si>
    <t>Prelim DBB</t>
  </si>
  <si>
    <t>DBB_mult_it</t>
  </si>
  <si>
    <t>Dist. Impeller/Bearing</t>
  </si>
  <si>
    <t>min DBB</t>
  </si>
  <si>
    <t>DBndRa5</t>
  </si>
  <si>
    <t>DRa5Ra6</t>
  </si>
  <si>
    <t>DBdRa6</t>
  </si>
  <si>
    <t>Dist. Ra6/House</t>
  </si>
  <si>
    <t>DRa6H_REG</t>
  </si>
  <si>
    <t>DBdRa6_REG</t>
  </si>
  <si>
    <t>DRa5Ra6_REG</t>
  </si>
  <si>
    <t>DBndRa5_REG</t>
  </si>
  <si>
    <t>Dist.  Ra/House</t>
  </si>
  <si>
    <t>Dist. Bearingd/Ra6</t>
  </si>
  <si>
    <t>Dist. Ra5/Ra6</t>
  </si>
  <si>
    <t>Dist. Bearingnd/Ra5</t>
  </si>
  <si>
    <t>Dist. Coupling/Ra5</t>
  </si>
  <si>
    <t>DRa6H_PDN</t>
  </si>
  <si>
    <t>DBdRa6_PDN</t>
  </si>
  <si>
    <t>DRa5Ra6_PDN</t>
  </si>
  <si>
    <t>DBndRa5_PDN</t>
  </si>
  <si>
    <t>BearingH2</t>
  </si>
  <si>
    <t>MinRaW</t>
  </si>
  <si>
    <t>Ra(t)+Ra(R)</t>
  </si>
  <si>
    <t>Ra(h)_it</t>
  </si>
  <si>
    <t>MIN_REG_DBB</t>
  </si>
  <si>
    <t>BN1</t>
  </si>
  <si>
    <t>Bearing N1</t>
  </si>
  <si>
    <t>DCRa5</t>
  </si>
  <si>
    <t>DRa6H_C</t>
  </si>
  <si>
    <t>HZ - 18D</t>
  </si>
  <si>
    <t>max x-dim</t>
  </si>
  <si>
    <t>max y-dim</t>
  </si>
  <si>
    <t>MIN_REG_N1</t>
  </si>
  <si>
    <t>MIN_REG_BHW</t>
  </si>
  <si>
    <t>Iteration DATA</t>
  </si>
  <si>
    <t>B_LIFE_it</t>
  </si>
  <si>
    <t>B_LIFE_st</t>
  </si>
  <si>
    <t>MIN_PDN_BHW</t>
  </si>
  <si>
    <t>MIN_PDN_N1</t>
  </si>
  <si>
    <t>Iron#</t>
  </si>
  <si>
    <t>l</t>
  </si>
  <si>
    <t>xstart-c</t>
  </si>
  <si>
    <t>ystart-d</t>
  </si>
  <si>
    <t>Unit vector(reinf) x-gamma</t>
  </si>
  <si>
    <t>Unit vector(reinf) y-delta</t>
  </si>
  <si>
    <t>y-b</t>
  </si>
  <si>
    <t>beta</t>
  </si>
  <si>
    <t>intersection Low Houseframe L or R, x</t>
  </si>
  <si>
    <t>intersection Low Houseframe L or R, y</t>
  </si>
  <si>
    <t>House Orientation &amp; Rotation</t>
  </si>
  <si>
    <t>HOUSE CONSTRUCTION data</t>
  </si>
  <si>
    <t>x(z)-a</t>
  </si>
  <si>
    <t>x(z)</t>
  </si>
  <si>
    <t>start / stop</t>
  </si>
  <si>
    <t>Impeller data</t>
  </si>
  <si>
    <t>d_2</t>
  </si>
  <si>
    <t>House Plate thickness</t>
  </si>
  <si>
    <t>Steel_density</t>
  </si>
  <si>
    <t>kg/m3</t>
  </si>
  <si>
    <t>General data</t>
  </si>
  <si>
    <t>VRE307-A</t>
  </si>
  <si>
    <t>HZ-4A</t>
  </si>
  <si>
    <t>HZ-4B</t>
  </si>
  <si>
    <t>HZ-6</t>
  </si>
  <si>
    <t>HZ-8</t>
  </si>
  <si>
    <t>HZ-10</t>
  </si>
  <si>
    <t>VRE314-A</t>
  </si>
  <si>
    <t>HZ-12</t>
  </si>
  <si>
    <t>VRE317-A</t>
  </si>
  <si>
    <t>VRE318-A</t>
  </si>
  <si>
    <t>VRE324-A</t>
  </si>
  <si>
    <t>HZ-18D</t>
  </si>
  <si>
    <t>Q</t>
  </si>
  <si>
    <t xml:space="preserve">  M</t>
  </si>
  <si>
    <t>R1-int. Inlet_H</t>
  </si>
  <si>
    <t>InletCone Q</t>
  </si>
  <si>
    <t>ext_inl_D</t>
  </si>
  <si>
    <t>b1_blade_ FP</t>
  </si>
  <si>
    <t>R1-int_inl</t>
  </si>
  <si>
    <t>b1_blad_FP</t>
  </si>
  <si>
    <t>InlQ_D</t>
  </si>
  <si>
    <t>inlet_P_T</t>
  </si>
  <si>
    <t>InlP_D</t>
  </si>
  <si>
    <t>min(N)</t>
  </si>
  <si>
    <t>min(R1)</t>
  </si>
  <si>
    <t>min(M)</t>
  </si>
  <si>
    <t>Q  P</t>
  </si>
  <si>
    <t>InletConeQ</t>
  </si>
  <si>
    <t>InletConeQD</t>
  </si>
  <si>
    <t>InletConePD</t>
  </si>
  <si>
    <t>Inlet Cone Measure"Q", 25*cos(30)</t>
  </si>
  <si>
    <t>Inlet Cone Measure"Q", outer diameter</t>
  </si>
  <si>
    <t>Inlet Cone Measure"P", outer diameter</t>
  </si>
  <si>
    <t>Dist. Ra/House</t>
  </si>
  <si>
    <t>ImpellerMass</t>
  </si>
  <si>
    <t>ImpellerCOM</t>
  </si>
  <si>
    <t>Impeller mass</t>
  </si>
  <si>
    <t>Motor mass</t>
  </si>
  <si>
    <t>SimData</t>
  </si>
  <si>
    <t>CONE_H</t>
  </si>
  <si>
    <t>Seal Thickness</t>
  </si>
  <si>
    <t>DIHo_D</t>
  </si>
  <si>
    <t>Ax_Hub_C</t>
  </si>
  <si>
    <t>int</t>
  </si>
  <si>
    <t>ext</t>
  </si>
  <si>
    <t>DISeal</t>
  </si>
  <si>
    <t>AXLE &amp; HUB_C DETAILS</t>
  </si>
  <si>
    <t>Hub_C_iD</t>
  </si>
  <si>
    <t>DIHo_C_REG</t>
  </si>
  <si>
    <t>DIHo_C_PDN</t>
  </si>
  <si>
    <t>DIB</t>
  </si>
  <si>
    <t>DIHo</t>
  </si>
  <si>
    <t>R / A Ext.Hub_C</t>
  </si>
  <si>
    <t>HUB_C</t>
  </si>
  <si>
    <t>Hub_C_tL</t>
  </si>
  <si>
    <t>Hub_C_iHe</t>
  </si>
  <si>
    <t>Hub_C_tL_REG</t>
  </si>
  <si>
    <t>Hub_C_iD_REG</t>
  </si>
  <si>
    <t>Hub_C_tL_D</t>
  </si>
  <si>
    <t>Hub_C_iD_D</t>
  </si>
  <si>
    <t>Hubo+</t>
  </si>
  <si>
    <t>Hubi+</t>
  </si>
  <si>
    <t>Hubo-</t>
  </si>
  <si>
    <t>Hubi-</t>
  </si>
  <si>
    <t>SP OD factor</t>
  </si>
  <si>
    <t>min(L)</t>
  </si>
  <si>
    <t>min(K)</t>
  </si>
  <si>
    <t>minQ</t>
  </si>
  <si>
    <t>minP</t>
  </si>
  <si>
    <t>K_House</t>
  </si>
  <si>
    <t>Old Name</t>
  </si>
  <si>
    <t>mt 29</t>
  </si>
  <si>
    <t>New Name</t>
  </si>
  <si>
    <t>xoe 253-120</t>
  </si>
  <si>
    <t>HOUSE_P_T</t>
  </si>
  <si>
    <t>HOUSE_X_DIM</t>
  </si>
  <si>
    <t>HOUSE_D</t>
  </si>
  <si>
    <t>raw name</t>
  </si>
  <si>
    <t>Row in Jimmy sheet</t>
  </si>
  <si>
    <t xml:space="preserve">OE </t>
  </si>
  <si>
    <t>BJ 560-350</t>
  </si>
  <si>
    <t>HN 560-350</t>
  </si>
  <si>
    <t>BJ 690-350</t>
  </si>
  <si>
    <t>HN 690-350</t>
  </si>
  <si>
    <t>BJ 690-450</t>
  </si>
  <si>
    <t>HN 690-450</t>
  </si>
  <si>
    <t>BJ 690-560</t>
  </si>
  <si>
    <t>HN 690-560</t>
  </si>
  <si>
    <t>BJ 690-560vA</t>
  </si>
  <si>
    <t>HN 690-560vA</t>
  </si>
  <si>
    <t>BJ 800-350</t>
  </si>
  <si>
    <t>HN 800-350</t>
  </si>
  <si>
    <t>BJ 800-400</t>
  </si>
  <si>
    <t>HN 800-400</t>
  </si>
  <si>
    <t>BJ 800-450</t>
  </si>
  <si>
    <t>HN 800-450</t>
  </si>
  <si>
    <t>BJ 800-500</t>
  </si>
  <si>
    <t>HN 800-500</t>
  </si>
  <si>
    <t>BJ 800-630</t>
  </si>
  <si>
    <t>HN 800-630</t>
  </si>
  <si>
    <t>BJ 900-500</t>
  </si>
  <si>
    <t>HN 900-500</t>
  </si>
  <si>
    <t>BJ 900-560</t>
  </si>
  <si>
    <t>HN 900-560</t>
  </si>
  <si>
    <t>BJ 900-630</t>
  </si>
  <si>
    <t>HN 900-630</t>
  </si>
  <si>
    <t>BJ 900-710</t>
  </si>
  <si>
    <t>HN 900-710</t>
  </si>
  <si>
    <t>BJ 1000-400,45</t>
  </si>
  <si>
    <t>HN 1000-400,45</t>
  </si>
  <si>
    <t>BJ 1000-400</t>
  </si>
  <si>
    <t>HN 1000-400</t>
  </si>
  <si>
    <t>BJ 1000-450</t>
  </si>
  <si>
    <t>HN 1000-450</t>
  </si>
  <si>
    <t>BJ 1000-500</t>
  </si>
  <si>
    <t>HN 1000-500</t>
  </si>
  <si>
    <t>BJ 1000-560</t>
  </si>
  <si>
    <t>HN 1000-560</t>
  </si>
  <si>
    <t>BJ 1000-630</t>
  </si>
  <si>
    <t>HN 1000-630</t>
  </si>
  <si>
    <t>BJ 1000-710</t>
  </si>
  <si>
    <t>HN 1000-710</t>
  </si>
  <si>
    <t>BJ 1000-800</t>
  </si>
  <si>
    <t>HN 1000-800</t>
  </si>
  <si>
    <t>BJ 1120-400</t>
  </si>
  <si>
    <t>HN 1120-400</t>
  </si>
  <si>
    <t>BJ 1120-500</t>
  </si>
  <si>
    <t>HN 1120-500</t>
  </si>
  <si>
    <t>BJ 1120-560</t>
  </si>
  <si>
    <t>HN 1120-560</t>
  </si>
  <si>
    <t>BJ 1120-630</t>
  </si>
  <si>
    <t>HN 1120-630</t>
  </si>
  <si>
    <t>BJ 1120-710</t>
  </si>
  <si>
    <t>HN 1120-710</t>
  </si>
  <si>
    <t>BJ 1120-800</t>
  </si>
  <si>
    <t>HN 1120-800</t>
  </si>
  <si>
    <t>BJ 1120-900</t>
  </si>
  <si>
    <t>HN 1120-900</t>
  </si>
  <si>
    <t>BJ 1250-500</t>
  </si>
  <si>
    <t>HN 1250-500</t>
  </si>
  <si>
    <t>BJ 1250-560</t>
  </si>
  <si>
    <t>HN 1250-560</t>
  </si>
  <si>
    <t>BJ 1250-630</t>
  </si>
  <si>
    <t>HN 1250-630</t>
  </si>
  <si>
    <t>BJ 1250-710</t>
  </si>
  <si>
    <t>HN 1250-710</t>
  </si>
  <si>
    <t>BJ 1250-800</t>
  </si>
  <si>
    <t>HN 1250-800</t>
  </si>
  <si>
    <t>BJ 1250-900</t>
  </si>
  <si>
    <t>HN 1250-900</t>
  </si>
  <si>
    <t>BJ 1250-1000</t>
  </si>
  <si>
    <t>HN 1250-1000</t>
  </si>
  <si>
    <t>BJ 1400-560</t>
  </si>
  <si>
    <t>HN 1400-560</t>
  </si>
  <si>
    <t>BJ 1400-710</t>
  </si>
  <si>
    <t>HN 1400-710</t>
  </si>
  <si>
    <t>BJ 1400-900</t>
  </si>
  <si>
    <t>HN 1400-900</t>
  </si>
  <si>
    <t>BJ 1400-1000</t>
  </si>
  <si>
    <t>HN 1400-1000</t>
  </si>
  <si>
    <t>BJ 1400-1120</t>
  </si>
  <si>
    <t>HN 1400-1120</t>
  </si>
  <si>
    <t>BJ 1600-560</t>
  </si>
  <si>
    <t>HN 1600-560</t>
  </si>
  <si>
    <t>BJ 1600-710</t>
  </si>
  <si>
    <t>HN 1600-710</t>
  </si>
  <si>
    <t>BJ 1600-900</t>
  </si>
  <si>
    <t>HN 1600-900</t>
  </si>
  <si>
    <t>BJ 1600-1000</t>
  </si>
  <si>
    <t>HN 1600-1000</t>
  </si>
  <si>
    <t>BJ 1600-1120</t>
  </si>
  <si>
    <t>HN 1600-1120</t>
  </si>
  <si>
    <t>BJ 1600-1250</t>
  </si>
  <si>
    <t>HN 1600-1250</t>
  </si>
  <si>
    <t>BJ 1800-710</t>
  </si>
  <si>
    <t>HN 1800-710</t>
  </si>
  <si>
    <t>BJ 1800-900</t>
  </si>
  <si>
    <t>HN 1800-900</t>
  </si>
  <si>
    <t>BJ 1800-1000</t>
  </si>
  <si>
    <t>HN 1800-1000</t>
  </si>
  <si>
    <t>BJ 1800-1120</t>
  </si>
  <si>
    <t>HN 1800-1120</t>
  </si>
  <si>
    <t>BJ 1800-1250</t>
  </si>
  <si>
    <t>HN 1800-1250</t>
  </si>
  <si>
    <t>BJ 1800-1400</t>
  </si>
  <si>
    <t>HN 1800-1400</t>
  </si>
  <si>
    <t>BJ 2000-710</t>
  </si>
  <si>
    <t>HN 2000-710</t>
  </si>
  <si>
    <t>BJ 2000-900</t>
  </si>
  <si>
    <t>HN 2000-900</t>
  </si>
  <si>
    <t>BJ 2000-1120</t>
  </si>
  <si>
    <t>HN 2000-1120</t>
  </si>
  <si>
    <t>BJ 2000-1400</t>
  </si>
  <si>
    <t>HN 2000-1400</t>
  </si>
  <si>
    <t>BJ 2000-1600</t>
  </si>
  <si>
    <t>HN 2000-1600</t>
  </si>
  <si>
    <t>MT 26</t>
  </si>
  <si>
    <t>BJ 424-230</t>
  </si>
  <si>
    <t>CF 424-230</t>
  </si>
  <si>
    <t>MT 28</t>
  </si>
  <si>
    <t>BJ 494-229</t>
  </si>
  <si>
    <t>CF 494-229</t>
  </si>
  <si>
    <t>MT 28-100</t>
  </si>
  <si>
    <t>BJ 2009-1906</t>
  </si>
  <si>
    <t>CF 2009-1906</t>
  </si>
  <si>
    <t>MT 28-125</t>
  </si>
  <si>
    <t>BJ 1140-481</t>
  </si>
  <si>
    <t>CF 1140-481</t>
  </si>
  <si>
    <t>MT 29</t>
  </si>
  <si>
    <t>BJ 1020-350</t>
  </si>
  <si>
    <t>CF 1020-350</t>
  </si>
  <si>
    <t>MT 400-160</t>
  </si>
  <si>
    <t>BJ 1021-441</t>
  </si>
  <si>
    <t>CF 1021-441</t>
  </si>
  <si>
    <t>MT 400-200</t>
  </si>
  <si>
    <t>BJ 603-295</t>
  </si>
  <si>
    <t>CF 603-295</t>
  </si>
  <si>
    <t>MT 425-250</t>
  </si>
  <si>
    <t>BJ 1788-1661</t>
  </si>
  <si>
    <t>CF 1788-1661</t>
  </si>
  <si>
    <t>MT 500-200</t>
  </si>
  <si>
    <t>BJ 723-324</t>
  </si>
  <si>
    <t>CF 723-324</t>
  </si>
  <si>
    <t>MT 500-250</t>
  </si>
  <si>
    <t>BJ 842-340</t>
  </si>
  <si>
    <t>CF 842-340</t>
  </si>
  <si>
    <t>MT 500-310</t>
  </si>
  <si>
    <t>BJ 903-376</t>
  </si>
  <si>
    <t>CF 903-376</t>
  </si>
  <si>
    <t>MT 600-200</t>
  </si>
  <si>
    <t>CF 937-362</t>
  </si>
  <si>
    <t>MT 600-250</t>
  </si>
  <si>
    <t>BJ 481-293</t>
  </si>
  <si>
    <t>CF 481-293</t>
  </si>
  <si>
    <t>MT 600-250vA</t>
  </si>
  <si>
    <t>BJ 638-510</t>
  </si>
  <si>
    <t>CF 638-510</t>
  </si>
  <si>
    <t>MT 600-250vB</t>
  </si>
  <si>
    <t>BJ 784-331</t>
  </si>
  <si>
    <t>CF 784-331</t>
  </si>
  <si>
    <t>MT 600-310</t>
  </si>
  <si>
    <t>CF 1062-444</t>
  </si>
  <si>
    <t>MT 600-310vA</t>
  </si>
  <si>
    <t xml:space="preserve">MP </t>
  </si>
  <si>
    <t>MT 600-310vB</t>
  </si>
  <si>
    <t>MT 600-350</t>
  </si>
  <si>
    <t>MT 600-350vA</t>
  </si>
  <si>
    <t>MT 600-350vB</t>
  </si>
  <si>
    <t>MT 675-200</t>
  </si>
  <si>
    <t>MT 675-250</t>
  </si>
  <si>
    <t>MT 675-310</t>
  </si>
  <si>
    <t>MT 675-350</t>
  </si>
  <si>
    <t>MT 675-400</t>
  </si>
  <si>
    <t>MT 725-450</t>
  </si>
  <si>
    <t>MT 800-200</t>
  </si>
  <si>
    <t>MT 800-250</t>
  </si>
  <si>
    <t>MT 800-310</t>
  </si>
  <si>
    <t>MT 800-350</t>
  </si>
  <si>
    <t>MT 800-400</t>
  </si>
  <si>
    <t>MT 800-500</t>
  </si>
  <si>
    <t>MT 900-550</t>
  </si>
  <si>
    <t>MT 950-625</t>
  </si>
  <si>
    <t>MT 1100-700</t>
  </si>
  <si>
    <t>MT 1250-800</t>
  </si>
  <si>
    <t>FT 24</t>
  </si>
  <si>
    <t>FT 33</t>
  </si>
  <si>
    <t>VB 400-160</t>
  </si>
  <si>
    <t>VB 400-200</t>
  </si>
  <si>
    <t>VB 425-250</t>
  </si>
  <si>
    <t>VB 500-250</t>
  </si>
  <si>
    <t>VB 500-310</t>
  </si>
  <si>
    <t>VB 600-250</t>
  </si>
  <si>
    <t>VB 600-350</t>
  </si>
  <si>
    <t>VB 675-350</t>
  </si>
  <si>
    <t>VB 675-400</t>
  </si>
  <si>
    <t>VB 725-450</t>
  </si>
  <si>
    <t>VB 800-400</t>
  </si>
  <si>
    <t>VB 800-500</t>
  </si>
  <si>
    <t>VB 900-550</t>
  </si>
  <si>
    <t>VB 950-625</t>
  </si>
  <si>
    <t>VB 1100-700</t>
  </si>
  <si>
    <t xml:space="preserve">SP </t>
  </si>
  <si>
    <t>VB 1250-800</t>
  </si>
  <si>
    <t>HT 5-370</t>
  </si>
  <si>
    <t>HT 10-370</t>
  </si>
  <si>
    <t>HT 15-370</t>
  </si>
  <si>
    <t>HT 20-370</t>
  </si>
  <si>
    <t>HT 30-370</t>
  </si>
  <si>
    <t>HT 30-370vA</t>
  </si>
  <si>
    <t>HT 30-370vB</t>
  </si>
  <si>
    <t>HT 5-530</t>
  </si>
  <si>
    <t>HT 10-530</t>
  </si>
  <si>
    <t>HT 15-530</t>
  </si>
  <si>
    <t>HT 25-530</t>
  </si>
  <si>
    <t xml:space="preserve">HP </t>
  </si>
  <si>
    <t>HT 35-530</t>
  </si>
  <si>
    <t>HT 5-630</t>
  </si>
  <si>
    <t>HT 10-630</t>
  </si>
  <si>
    <t>HT 15-630</t>
  </si>
  <si>
    <t>HT 25-630</t>
  </si>
  <si>
    <t>HT 35-630</t>
  </si>
  <si>
    <t>HT 5-700</t>
  </si>
  <si>
    <t>HT 10-700</t>
  </si>
  <si>
    <t>HT 15-700</t>
  </si>
  <si>
    <t>HT 25-700</t>
  </si>
  <si>
    <t>HT 5-750</t>
  </si>
  <si>
    <t>HT 10-750</t>
  </si>
  <si>
    <t>HT 15-750</t>
  </si>
  <si>
    <t>HT 25-750</t>
  </si>
  <si>
    <t>HT 10-775</t>
  </si>
  <si>
    <t>HT 25-775</t>
  </si>
  <si>
    <t>LT 200</t>
  </si>
  <si>
    <t>LT 200vA</t>
  </si>
  <si>
    <t>LT 265</t>
  </si>
  <si>
    <t>LTX 265</t>
  </si>
  <si>
    <t>LT 315</t>
  </si>
  <si>
    <t>LTX 315</t>
  </si>
  <si>
    <t>LT 365</t>
  </si>
  <si>
    <t>LTX 365</t>
  </si>
  <si>
    <t>LT 425</t>
  </si>
  <si>
    <t>LTX 425</t>
  </si>
  <si>
    <t>LT 465</t>
  </si>
  <si>
    <t>LTX 465</t>
  </si>
  <si>
    <t>LT 515</t>
  </si>
  <si>
    <t>LT 565</t>
  </si>
  <si>
    <t>LT 615</t>
  </si>
  <si>
    <t>LT 765</t>
  </si>
  <si>
    <t>LT 815</t>
  </si>
  <si>
    <t xml:space="preserve">LP </t>
  </si>
  <si>
    <t>LT 1000</t>
  </si>
  <si>
    <t>LT 1100</t>
  </si>
  <si>
    <t>LT 650</t>
  </si>
  <si>
    <t>LT 700</t>
  </si>
  <si>
    <t>TS 315</t>
  </si>
  <si>
    <t>TSX 315</t>
  </si>
  <si>
    <t>TS 365</t>
  </si>
  <si>
    <t>TSX 365</t>
  </si>
  <si>
    <t>TS 425</t>
  </si>
  <si>
    <t>TSX 425</t>
  </si>
  <si>
    <t>TS 425-370</t>
  </si>
  <si>
    <t>TS 425-400</t>
  </si>
  <si>
    <t>TS 465</t>
  </si>
  <si>
    <t>TSX 465</t>
  </si>
  <si>
    <t>TS 515</t>
  </si>
  <si>
    <t>VSB 315</t>
  </si>
  <si>
    <t>VSBX 315</t>
  </si>
  <si>
    <t>VSB 365</t>
  </si>
  <si>
    <t>VSBX 365</t>
  </si>
  <si>
    <t>VSB 425</t>
  </si>
  <si>
    <t>VSBX 425</t>
  </si>
  <si>
    <t>TS_</t>
  </si>
  <si>
    <t>VSB 425-370</t>
  </si>
  <si>
    <t>VSB 425-415</t>
  </si>
  <si>
    <t>VSB_</t>
  </si>
  <si>
    <t>cone angle</t>
  </si>
  <si>
    <t>Gravity</t>
  </si>
  <si>
    <t>m/s2</t>
  </si>
  <si>
    <t>Steel, HS</t>
  </si>
  <si>
    <t>CORTEN, REG</t>
  </si>
  <si>
    <t>CORTEN, HS</t>
  </si>
  <si>
    <t>DOMEX, REG</t>
  </si>
  <si>
    <t>DOMEX, HS</t>
  </si>
  <si>
    <t>d_1</t>
  </si>
  <si>
    <t>d_5</t>
  </si>
  <si>
    <t>b_2</t>
  </si>
  <si>
    <t>Blade_L</t>
  </si>
  <si>
    <t>Front_P_T</t>
  </si>
  <si>
    <t>Back_P_T</t>
  </si>
  <si>
    <t>HUB_P_T</t>
  </si>
  <si>
    <t>HUB_P_D</t>
  </si>
  <si>
    <t>Hub_C_D</t>
  </si>
  <si>
    <t>CONE_D</t>
  </si>
  <si>
    <t>CONE_T</t>
  </si>
  <si>
    <t>CONE_W</t>
  </si>
  <si>
    <t>Impeller_A</t>
  </si>
  <si>
    <t>Impeller_W</t>
  </si>
  <si>
    <t>Blade&amp;Ring Mat</t>
  </si>
  <si>
    <t>House_P_T</t>
  </si>
  <si>
    <t>Hub_P_T</t>
  </si>
  <si>
    <t>WF_P</t>
  </si>
  <si>
    <t>WB_P</t>
  </si>
  <si>
    <t>WHub_P</t>
  </si>
  <si>
    <t>ShaftData</t>
  </si>
  <si>
    <t>ShaftLength</t>
  </si>
  <si>
    <t>ShaftD</t>
  </si>
  <si>
    <t>SHAFT</t>
  </si>
  <si>
    <t>ShaftL</t>
  </si>
  <si>
    <t>ShaftC</t>
  </si>
  <si>
    <t>ShaftPL</t>
  </si>
  <si>
    <t>ShaftPD</t>
  </si>
  <si>
    <t>ShaftThr</t>
  </si>
  <si>
    <t>Shaft Diameter</t>
  </si>
  <si>
    <t>Shaft Length</t>
  </si>
  <si>
    <t>Cost index, Direct</t>
  </si>
  <si>
    <t>TESTFAN</t>
  </si>
  <si>
    <t>Inlet_D</t>
  </si>
  <si>
    <t>XOE 99-35</t>
  </si>
  <si>
    <t>XOE 120-35</t>
  </si>
  <si>
    <t>XOE 120-40</t>
  </si>
  <si>
    <t>XOE 119-60</t>
  </si>
  <si>
    <t>XOE 140-45</t>
  </si>
  <si>
    <t>XOE 140-50</t>
  </si>
  <si>
    <t>XOE 140-55</t>
  </si>
  <si>
    <t>XOE 138-65</t>
  </si>
  <si>
    <t>XOE 158-55</t>
  </si>
  <si>
    <t>XOE 158-63</t>
  </si>
  <si>
    <t>XOE 158-70</t>
  </si>
  <si>
    <t>XOE 158-75</t>
  </si>
  <si>
    <t>XOE 171-45</t>
  </si>
  <si>
    <t>XOE 172-45</t>
  </si>
  <si>
    <t>XOE 165-50</t>
  </si>
  <si>
    <t>XOE 173-55</t>
  </si>
  <si>
    <t>XOE 173-60</t>
  </si>
  <si>
    <t>XOE 173-70</t>
  </si>
  <si>
    <t>XOE 173-63</t>
  </si>
  <si>
    <t>XOE 172-80</t>
  </si>
  <si>
    <t>XOE 196-45</t>
  </si>
  <si>
    <t>XOE 196-55</t>
  </si>
  <si>
    <t>XOE 196-60</t>
  </si>
  <si>
    <t>XOE 196-65</t>
  </si>
  <si>
    <t>XOE 196-80</t>
  </si>
  <si>
    <t>XOE 196-85</t>
  </si>
  <si>
    <t>XOE 215-60</t>
  </si>
  <si>
    <t>XOE 215-63</t>
  </si>
  <si>
    <t>XOE 215-75</t>
  </si>
  <si>
    <t>XOE 215-95</t>
  </si>
  <si>
    <t>XOE 215-90</t>
  </si>
  <si>
    <t>XOE 240-60</t>
  </si>
  <si>
    <t>XOE 240-75</t>
  </si>
  <si>
    <t>XOE 240-90</t>
  </si>
  <si>
    <t>XOE 242-110</t>
  </si>
  <si>
    <t>XOE 240-100</t>
  </si>
  <si>
    <t>XOE 279-70</t>
  </si>
  <si>
    <t>XOE 279-80</t>
  </si>
  <si>
    <t>XOE 279-95</t>
  </si>
  <si>
    <t>XOE 279-110</t>
  </si>
  <si>
    <t>XOE 279-120</t>
  </si>
  <si>
    <t>XOE 309-85</t>
  </si>
  <si>
    <t>XOE 309-95</t>
  </si>
  <si>
    <t>XOE 309-100</t>
  </si>
  <si>
    <t>XOE 309-130</t>
  </si>
  <si>
    <t>XOE 309-125</t>
  </si>
  <si>
    <t>XOE 309-120</t>
  </si>
  <si>
    <t>XOE 342-75</t>
  </si>
  <si>
    <t>XOE 343-95</t>
  </si>
  <si>
    <t>XOE 343-130</t>
  </si>
  <si>
    <t>XOE 343-125</t>
  </si>
  <si>
    <t>XOE 73-23</t>
  </si>
  <si>
    <t>XOE 358-180</t>
  </si>
  <si>
    <t>XOE 153-50</t>
  </si>
  <si>
    <t>Blades_TW</t>
  </si>
  <si>
    <t>fan names</t>
  </si>
  <si>
    <t>Inlet_d</t>
  </si>
  <si>
    <t>DIHo or DISeal</t>
  </si>
  <si>
    <t>Type</t>
    <phoneticPr fontId="31" type="noConversion"/>
  </si>
  <si>
    <t>Torque</t>
    <phoneticPr fontId="31" type="noConversion"/>
  </si>
  <si>
    <t>max speed</t>
    <phoneticPr fontId="31" type="noConversion"/>
  </si>
  <si>
    <t>max bore</t>
    <phoneticPr fontId="31" type="noConversion"/>
  </si>
  <si>
    <t>coupling weight</t>
    <phoneticPr fontId="31" type="noConversion"/>
  </si>
  <si>
    <t>Price</t>
    <phoneticPr fontId="31" type="noConversion"/>
  </si>
  <si>
    <t>Kg</t>
  </si>
  <si>
    <t>RMB</t>
  </si>
  <si>
    <t>F40F</t>
  </si>
  <si>
    <t>F50F</t>
  </si>
  <si>
    <t>F60F</t>
  </si>
  <si>
    <t>F70F</t>
  </si>
  <si>
    <t>F80F</t>
  </si>
  <si>
    <t>F90F</t>
  </si>
  <si>
    <t>F100F</t>
  </si>
  <si>
    <t>F110F</t>
  </si>
  <si>
    <t>F120F</t>
  </si>
  <si>
    <t>F140F</t>
  </si>
  <si>
    <t>F160F</t>
  </si>
  <si>
    <t>F180F</t>
  </si>
  <si>
    <t>F200F</t>
  </si>
  <si>
    <t>F220F</t>
  </si>
  <si>
    <t>F250F</t>
  </si>
  <si>
    <t>MotorAB</t>
  </si>
  <si>
    <t>Motor AB measure (Motor foot width)</t>
  </si>
  <si>
    <t>1029-200</t>
  </si>
  <si>
    <t>560-350</t>
  </si>
  <si>
    <t>690-350</t>
  </si>
  <si>
    <t>690-400</t>
  </si>
  <si>
    <t>690-600</t>
  </si>
  <si>
    <t>800-450</t>
  </si>
  <si>
    <t>800-500</t>
  </si>
  <si>
    <t>800-550</t>
  </si>
  <si>
    <t>800-650</t>
  </si>
  <si>
    <t>900-550</t>
  </si>
  <si>
    <t>900-630</t>
  </si>
  <si>
    <t>900-700</t>
  </si>
  <si>
    <t>900-750</t>
  </si>
  <si>
    <t>980-450</t>
  </si>
  <si>
    <t>980-500</t>
  </si>
  <si>
    <t>980-550</t>
  </si>
  <si>
    <t>980-600</t>
  </si>
  <si>
    <t>980-700</t>
  </si>
  <si>
    <t>980-630</t>
  </si>
  <si>
    <t>980-800</t>
  </si>
  <si>
    <t>1120-450</t>
  </si>
  <si>
    <t>1120-550</t>
  </si>
  <si>
    <t>1120-600</t>
  </si>
  <si>
    <t>1120-650</t>
  </si>
  <si>
    <t>1120-800</t>
  </si>
  <si>
    <t>1120-850</t>
  </si>
  <si>
    <t>1235-600</t>
  </si>
  <si>
    <t>1235-630</t>
  </si>
  <si>
    <t>1235-750</t>
  </si>
  <si>
    <t>1235-950</t>
  </si>
  <si>
    <t>1235-900</t>
  </si>
  <si>
    <t>1400-600</t>
  </si>
  <si>
    <t>1400-750</t>
  </si>
  <si>
    <t>1400-900</t>
  </si>
  <si>
    <t>1400-1100</t>
  </si>
  <si>
    <t>1400-1000</t>
  </si>
  <si>
    <t>1600-700</t>
  </si>
  <si>
    <t>1600-800</t>
  </si>
  <si>
    <t>1600-950</t>
  </si>
  <si>
    <t>1600-1100</t>
  </si>
  <si>
    <t>1600-1200</t>
  </si>
  <si>
    <t>1800-850</t>
  </si>
  <si>
    <t>1800-950</t>
  </si>
  <si>
    <t>1800-1000</t>
  </si>
  <si>
    <t>1800-1300</t>
  </si>
  <si>
    <t>1800-1250</t>
  </si>
  <si>
    <t>1800-1200</t>
  </si>
  <si>
    <t>1980-750</t>
  </si>
  <si>
    <t>1980-950</t>
  </si>
  <si>
    <t>1980-1300</t>
  </si>
  <si>
    <t>1980-1250</t>
  </si>
  <si>
    <t>424-225</t>
  </si>
  <si>
    <t>XOE 74-23</t>
  </si>
  <si>
    <t>503-225</t>
  </si>
  <si>
    <t>2009-1800</t>
  </si>
  <si>
    <t>1140-500</t>
  </si>
  <si>
    <t>XOE 147-35</t>
  </si>
  <si>
    <t>1024-350</t>
  </si>
  <si>
    <t>XOE 147-25</t>
  </si>
  <si>
    <t>1021-500</t>
  </si>
  <si>
    <t>XOE 93-30</t>
  </si>
  <si>
    <t>603-300</t>
  </si>
  <si>
    <t>1788-1661</t>
  </si>
  <si>
    <t>723-324</t>
  </si>
  <si>
    <t>842-340</t>
  </si>
  <si>
    <t>XOE 136-38</t>
  </si>
  <si>
    <t>903-375</t>
  </si>
  <si>
    <t>XOE 135-38</t>
  </si>
  <si>
    <t>XOE 83-30</t>
  </si>
  <si>
    <t>481-300</t>
  </si>
  <si>
    <t>XOE 111-50</t>
  </si>
  <si>
    <t>638-500</t>
  </si>
  <si>
    <t>XOE 123-33</t>
  </si>
  <si>
    <t>XOE 166-45G</t>
  </si>
  <si>
    <t>1062-450</t>
  </si>
  <si>
    <t>XOE 88-40</t>
  </si>
  <si>
    <t>504-400</t>
  </si>
  <si>
    <t>XOE 134-20</t>
  </si>
  <si>
    <t>XOE 132-35</t>
  </si>
  <si>
    <t>882-350</t>
  </si>
  <si>
    <t>no fanA</t>
  </si>
  <si>
    <t>XOE 281-135</t>
  </si>
  <si>
    <t>1313-1350</t>
  </si>
  <si>
    <t>XOE 318-170</t>
  </si>
  <si>
    <t>1597-1700</t>
  </si>
  <si>
    <t>325-102</t>
  </si>
  <si>
    <t>325-125</t>
  </si>
  <si>
    <t>600-250</t>
  </si>
  <si>
    <t>600-310</t>
  </si>
  <si>
    <t>600-350</t>
  </si>
  <si>
    <t>950-625</t>
  </si>
  <si>
    <t>1100-700</t>
  </si>
  <si>
    <t>1235-800</t>
  </si>
  <si>
    <t>0-160</t>
  </si>
  <si>
    <t>200-150</t>
  </si>
  <si>
    <t>265-175</t>
  </si>
  <si>
    <t>315-200</t>
  </si>
  <si>
    <t>365-250</t>
  </si>
  <si>
    <t>425-310</t>
  </si>
  <si>
    <t>465-350</t>
  </si>
  <si>
    <t>515-400</t>
  </si>
  <si>
    <t>565-450</t>
  </si>
  <si>
    <t>615-500</t>
  </si>
  <si>
    <t>765-700</t>
  </si>
  <si>
    <t>815-800</t>
  </si>
  <si>
    <t>1100-1000</t>
  </si>
  <si>
    <t>650-575</t>
  </si>
  <si>
    <t>700-550</t>
  </si>
  <si>
    <t>370-425</t>
  </si>
  <si>
    <t>400-425</t>
  </si>
  <si>
    <t>415-425</t>
  </si>
  <si>
    <t>revmax</t>
  </si>
  <si>
    <t>DrainPipeX</t>
  </si>
  <si>
    <t>DrainPipeY</t>
  </si>
  <si>
    <t>Drain</t>
  </si>
  <si>
    <t>Drain X</t>
  </si>
  <si>
    <t>Drain Y</t>
  </si>
  <si>
    <t>HuBData</t>
  </si>
  <si>
    <t>HubCenterInternalHE</t>
  </si>
  <si>
    <t>HubCenterOuterD</t>
  </si>
  <si>
    <t>HubCenterTotalL</t>
  </si>
  <si>
    <t>HubCenterInnerD</t>
  </si>
  <si>
    <t>Diameter of hubC inside impeller</t>
  </si>
  <si>
    <t>Length of HubCenter inside Impeller</t>
  </si>
  <si>
    <t>Diameter of HubC outside impeller</t>
  </si>
  <si>
    <t>HubC total Length</t>
  </si>
  <si>
    <t>ImpellerData</t>
  </si>
  <si>
    <t>Hub_P_D</t>
  </si>
  <si>
    <t>DIHO</t>
  </si>
  <si>
    <t>CurveLength</t>
  </si>
  <si>
    <t>Length of Curved side of house incl Funnel</t>
  </si>
  <si>
    <t>XOE 322-163</t>
  </si>
  <si>
    <t>1455-1625</t>
  </si>
  <si>
    <t>1208EKTN9</t>
  </si>
  <si>
    <t>2208EKTN9</t>
  </si>
  <si>
    <t>1308EKTN9</t>
  </si>
  <si>
    <t>2308EKTN9</t>
  </si>
  <si>
    <t>1209EKTN9</t>
  </si>
  <si>
    <t>2209EKTN9</t>
  </si>
  <si>
    <t>1309EKTN9</t>
  </si>
  <si>
    <t>2309EKTN9</t>
  </si>
  <si>
    <t>1210EKTN9</t>
  </si>
  <si>
    <t>2210EKTN9</t>
  </si>
  <si>
    <t>1310EKTN9</t>
  </si>
  <si>
    <t>2310K</t>
  </si>
  <si>
    <t>1211EKTN9</t>
  </si>
  <si>
    <t>2211EKTN9</t>
  </si>
  <si>
    <t>1311EKTN9</t>
  </si>
  <si>
    <t>2311K</t>
  </si>
  <si>
    <t>1212EKTN9</t>
  </si>
  <si>
    <t>2212EKTN9</t>
  </si>
  <si>
    <t>22212EK</t>
  </si>
  <si>
    <t>1312EKTN9</t>
  </si>
  <si>
    <t>2312K</t>
  </si>
  <si>
    <t>21312EK</t>
  </si>
  <si>
    <t>22312EK</t>
  </si>
  <si>
    <t>1213EKTN9</t>
  </si>
  <si>
    <t>2213EKTN9</t>
  </si>
  <si>
    <t>22213EK</t>
  </si>
  <si>
    <t>1313EKTN9</t>
  </si>
  <si>
    <t>2313K</t>
  </si>
  <si>
    <t>21313EK</t>
  </si>
  <si>
    <t>22313EK</t>
  </si>
  <si>
    <t>1215K</t>
  </si>
  <si>
    <t>2215EKTN9</t>
  </si>
  <si>
    <t>22215EK</t>
  </si>
  <si>
    <t>1315K</t>
  </si>
  <si>
    <t>2315K</t>
  </si>
  <si>
    <t>21315EK</t>
  </si>
  <si>
    <t>22315EK</t>
  </si>
  <si>
    <t>1216K</t>
  </si>
  <si>
    <t>2216EKTN9</t>
  </si>
  <si>
    <t>22216EK</t>
  </si>
  <si>
    <t>1316K</t>
  </si>
  <si>
    <t>2316K</t>
  </si>
  <si>
    <t>21316EK</t>
  </si>
  <si>
    <t>22316EK</t>
  </si>
  <si>
    <t>1217K</t>
  </si>
  <si>
    <t>2217K</t>
  </si>
  <si>
    <t>22217EK</t>
  </si>
  <si>
    <t>1317K</t>
  </si>
  <si>
    <t>2317K</t>
  </si>
  <si>
    <t>21317EK</t>
  </si>
  <si>
    <t>22317EK</t>
  </si>
  <si>
    <t>1218K</t>
  </si>
  <si>
    <t>2218K</t>
  </si>
  <si>
    <t>22218EK</t>
  </si>
  <si>
    <t>23218CCK/W33</t>
  </si>
  <si>
    <t>1219K</t>
  </si>
  <si>
    <t>2219KM</t>
  </si>
  <si>
    <t>22219EK</t>
  </si>
  <si>
    <t>1319K</t>
  </si>
  <si>
    <t>2319KM</t>
  </si>
  <si>
    <t>21319EK</t>
  </si>
  <si>
    <t>22319EK</t>
  </si>
  <si>
    <t>1220K</t>
  </si>
  <si>
    <t>2220KM</t>
  </si>
  <si>
    <t>23220CCK/W33</t>
  </si>
  <si>
    <t>1320K</t>
  </si>
  <si>
    <t>2320KM</t>
  </si>
  <si>
    <t>21320EK</t>
  </si>
  <si>
    <t>22320EK</t>
  </si>
  <si>
    <t>1222K</t>
  </si>
  <si>
    <t>2222KM</t>
  </si>
  <si>
    <t>22222EK</t>
  </si>
  <si>
    <t>23222CCK/W33</t>
  </si>
  <si>
    <t>22224EK</t>
  </si>
  <si>
    <t>23224CCK/W33</t>
  </si>
  <si>
    <t>22226EK</t>
  </si>
  <si>
    <t>23226CCK/W33</t>
  </si>
  <si>
    <t>22228CCK/W33</t>
  </si>
  <si>
    <t>22230CCK/W33</t>
  </si>
  <si>
    <t>23230CCK/W33</t>
  </si>
  <si>
    <t>22232CCK/W33</t>
  </si>
  <si>
    <t>23232CCK/W33</t>
  </si>
  <si>
    <t>Bearing speed limit form SKF catalog</t>
    <phoneticPr fontId="33" type="noConversion"/>
  </si>
  <si>
    <t>Bearing Max Speed</t>
    <phoneticPr fontId="33" type="noConversion"/>
  </si>
  <si>
    <t>Lubrication</t>
    <phoneticPr fontId="33" type="noConversion"/>
  </si>
  <si>
    <t>Grease</t>
    <phoneticPr fontId="33" type="noConversion"/>
  </si>
  <si>
    <t>1318K</t>
  </si>
  <si>
    <t>2318K</t>
  </si>
  <si>
    <t>22318K</t>
  </si>
  <si>
    <t>spec</t>
  </si>
  <si>
    <t>1322KM</t>
  </si>
  <si>
    <t>22322K</t>
  </si>
  <si>
    <t>Oil</t>
    <phoneticPr fontId="33" type="noConversion"/>
  </si>
  <si>
    <t>2218K</t>
    <phoneticPr fontId="33" type="noConversion"/>
  </si>
  <si>
    <t>23228CCK/W33</t>
  </si>
  <si>
    <t>row Bearing Data</t>
  </si>
  <si>
    <t>raw House weight</t>
  </si>
  <si>
    <t>m2</t>
  </si>
  <si>
    <t>inlet_R_m</t>
  </si>
  <si>
    <t>r_in_m</t>
  </si>
  <si>
    <t>HubCenterHoleD</t>
  </si>
  <si>
    <t>Diameter of Hub center hole</t>
  </si>
  <si>
    <t>ShaftGap</t>
  </si>
  <si>
    <t>C_Gap</t>
  </si>
  <si>
    <t>Shaft gap between motor&amp;drive-axle</t>
  </si>
  <si>
    <t>min dist</t>
  </si>
  <si>
    <t>st. pos</t>
  </si>
  <si>
    <t>937-362</t>
  </si>
  <si>
    <t>1070-233</t>
  </si>
  <si>
    <t>784-331</t>
  </si>
  <si>
    <t>XOE 130-28</t>
  </si>
  <si>
    <t>943-278</t>
  </si>
  <si>
    <t>1062-0</t>
  </si>
  <si>
    <t>XOE 107-15</t>
  </si>
  <si>
    <t>744-150</t>
  </si>
  <si>
    <t>Total Height</t>
  </si>
  <si>
    <t>XOE 144-23</t>
  </si>
  <si>
    <t>CF 1070-233</t>
  </si>
  <si>
    <t>XOE 136-36</t>
  </si>
  <si>
    <t>XOE 121-33</t>
  </si>
  <si>
    <t>CF 504-468</t>
  </si>
  <si>
    <t>CF 1029-200</t>
  </si>
  <si>
    <t>CF 882-345</t>
  </si>
  <si>
    <t>XOE 0-0</t>
  </si>
  <si>
    <t>CF 1313-1342</t>
  </si>
  <si>
    <t>CF 1597-1658</t>
  </si>
  <si>
    <t>CF 1455-1629</t>
  </si>
  <si>
    <t>0-0</t>
  </si>
  <si>
    <t>CFOE 0-0</t>
  </si>
  <si>
    <t>CF 943-278</t>
  </si>
  <si>
    <t>CF 744-150</t>
  </si>
  <si>
    <t>raw H weight</t>
  </si>
  <si>
    <t>minboltD</t>
  </si>
  <si>
    <t>minVIb</t>
  </si>
  <si>
    <t>maxVib</t>
  </si>
  <si>
    <t>min number of vib dampers</t>
  </si>
  <si>
    <t>max number of vib dampers</t>
  </si>
  <si>
    <t>Vibmin</t>
  </si>
  <si>
    <t>Vibmax</t>
  </si>
  <si>
    <t>Dist coupling rack 5</t>
  </si>
  <si>
    <t>mm insulation</t>
  </si>
  <si>
    <t>Insulation Drive View</t>
  </si>
  <si>
    <t>Insulation Inlet View</t>
  </si>
  <si>
    <t>HfunnelL</t>
  </si>
  <si>
    <t>HfunnelR</t>
  </si>
  <si>
    <t>IfunnelL</t>
  </si>
  <si>
    <t>IfunnelR</t>
  </si>
  <si>
    <t>IL</t>
  </si>
  <si>
    <t>IR</t>
  </si>
  <si>
    <t>Iup</t>
  </si>
  <si>
    <t>Ilo</t>
  </si>
  <si>
    <t>Curve (side view)</t>
  </si>
  <si>
    <t>Max corners (side view)</t>
  </si>
  <si>
    <t>DRAWING DATA side view</t>
  </si>
  <si>
    <t>dy/dalfa</t>
  </si>
  <si>
    <t>xdrain</t>
  </si>
  <si>
    <t>ydrain</t>
  </si>
  <si>
    <t>(0-180 or 270-360 degr.)</t>
  </si>
  <si>
    <t>best guess</t>
  </si>
  <si>
    <t>= target angle</t>
  </si>
  <si>
    <t>XOE 128-30</t>
  </si>
  <si>
    <t>version</t>
  </si>
  <si>
    <t>Seal AXLE Diam.</t>
  </si>
  <si>
    <t>Zhouse</t>
  </si>
  <si>
    <t>Yhouse</t>
  </si>
  <si>
    <t>area left part</t>
  </si>
  <si>
    <t>REG</t>
  </si>
  <si>
    <t>Force Coupling Selection</t>
  </si>
  <si>
    <t>Ax_Hub_endC</t>
  </si>
  <si>
    <t>Hub_Bore</t>
  </si>
  <si>
    <t>Hole depth</t>
  </si>
  <si>
    <t>Key_L</t>
  </si>
  <si>
    <t>Key_b</t>
  </si>
  <si>
    <t>Axle_C_D</t>
  </si>
  <si>
    <t>Axle_C_L</t>
  </si>
  <si>
    <t>Direct adressing below this line in macro</t>
  </si>
  <si>
    <t>Direct adressing in macro</t>
  </si>
  <si>
    <t>Motor Possible SD</t>
  </si>
  <si>
    <t>data from 'House data'</t>
  </si>
  <si>
    <t>Type 1: no cutout= 1co=1; no weldings: 1W=5</t>
  </si>
  <si>
    <t>Type 2: no cutout= 2co=1; no weldings: 2W=3</t>
  </si>
  <si>
    <t>Type 3: no cutout= 3co=0; no weldings: 3W=2</t>
  </si>
  <si>
    <t>l1</t>
  </si>
  <si>
    <t>l2</t>
  </si>
  <si>
    <t>l3</t>
  </si>
  <si>
    <t>l4</t>
  </si>
  <si>
    <t>h2</t>
  </si>
  <si>
    <t>h3</t>
  </si>
  <si>
    <t>b1</t>
  </si>
  <si>
    <t>b2</t>
  </si>
  <si>
    <t>b3</t>
  </si>
  <si>
    <t>No C Parts: N=2*l1 + 2*l2 + 2*l3 + 2*l4 + 3*b1 + 5*b2 + 2*b3 + 4*h1 + 4*h3 + 4*h2 = 30</t>
  </si>
  <si>
    <t>Total C Length: L=2*l1 + 2*l2 + 2*l3 + 2*l4 + 3*b1 + 5*b2 + 2*b3 + 4*h1 + 4*h3 + 4*h2</t>
  </si>
  <si>
    <t>Total D Length: L=2*l1 + 2*l2 + 3*b1 + 3*b2 + 4*h1 + 4*h2</t>
  </si>
  <si>
    <t>Total C welding length: WL=(2*9*1W + 2*2*2W + 2*2*3W)*ironB = 110*ironB</t>
  </si>
  <si>
    <t>Total D welding length: WL=(2*5*1W + 2*2*2W)*ironB = 62*ironB</t>
  </si>
  <si>
    <t xml:space="preserve">Total C No cuts: C=N + 2*9*1co + 2*2*2co + 2*2*3co = 52 </t>
  </si>
  <si>
    <t>Total C Area: L=l1*(2*h1+2*b4+b1) + l3*(2*h3+2*b4+b3)+ l4*(2*h1+2*b4+b1)+ 2*(l2-(l1+l3+l4))*(h2+b4) +  4*(b2+b1)/2*h1/2 + h2/2*b2</t>
  </si>
  <si>
    <t>Total D Area: A=l1*(2*h1+2*b4+b1) + 2*(l2-l1)*(h2+b4) + 2*(b2+b1)/2*h1/2 + h2/2*b2</t>
  </si>
  <si>
    <t>Total D welding length: WL= 2*(h2+b4) + 4*h1/2 +2*h2/2</t>
  </si>
  <si>
    <t>Total C welding length: WL=2*(h1+b4) + 2*(h1+b4) + 2*(h2+b4) + 4*2*h1/2 + 2*h2/2</t>
  </si>
  <si>
    <t>b4</t>
  </si>
  <si>
    <t>Total weight</t>
  </si>
  <si>
    <t>No D Parts: N=2*l1 + 2*l2 + 3*b1 + 3*b2 + 4*h1 + 4*h2 = 18</t>
  </si>
  <si>
    <t xml:space="preserve">Total D No cuts: C=N + 2*5*1co + 2*2*2co = 32 </t>
  </si>
  <si>
    <t>No C Parts: N=3 + 2 +5</t>
  </si>
  <si>
    <t>No D Parts: N=1 + 2 + 3</t>
  </si>
  <si>
    <t>Total C cutlength: 2*(2*h1+2*b4+b1)+l1 + 2*(2*h3+2*b4+b3)+l3  + 2*(2*h1+2*b4+b1)+l4  + 2*(h2+b4+(l2-(l1+l3+l4))) + 4*((b1+b2)/2+2*h1/2) + (2*h2/2+b2)</t>
  </si>
  <si>
    <t>Total D cutlength: 2*(2*h1+2*b4+b1)+l1 + 2*(2*h2+(l2-l1)) + 2*((b1+b2)/2+2*h1/2) + (2*h2/2+b2)</t>
  </si>
  <si>
    <t>Total Cut time:</t>
  </si>
  <si>
    <t>Total bend time:</t>
  </si>
  <si>
    <t>Total weld time:</t>
  </si>
  <si>
    <t>Total Weld time:</t>
  </si>
  <si>
    <t>No C bends: 14</t>
  </si>
  <si>
    <t>No D bends: 6</t>
  </si>
  <si>
    <t>XOE 164-65</t>
  </si>
  <si>
    <t>Natural max rpm</t>
  </si>
  <si>
    <t>j2index</t>
  </si>
  <si>
    <t>Spec.</t>
  </si>
  <si>
    <t>OblMB</t>
  </si>
  <si>
    <t>small frame data</t>
  </si>
  <si>
    <t>iron #</t>
  </si>
  <si>
    <t>B_H1</t>
  </si>
  <si>
    <t>IW</t>
  </si>
  <si>
    <t>MH</t>
  </si>
  <si>
    <t>MW</t>
  </si>
  <si>
    <t>direct J_2</t>
  </si>
  <si>
    <t>SQRT((Mweight+Impeller_W)*(Center_H/1000)*((Center_H-MH)/1000))</t>
  </si>
  <si>
    <t>Coupling j_2</t>
  </si>
  <si>
    <t>SQRT(Mweight*(Center_H/1000)*((Center_H-MH)/1000)^2+Impeller_W*(Center_H/1000)*((Center_H-B_H1)/1000)^2)</t>
  </si>
  <si>
    <t>I/O</t>
  </si>
  <si>
    <t>DRIVE VIEW</t>
  </si>
  <si>
    <t>INLET VIEW</t>
  </si>
  <si>
    <t>MIN_REG_H1</t>
  </si>
  <si>
    <t>CH(H1)</t>
  </si>
  <si>
    <t>Hole D(N1)</t>
  </si>
  <si>
    <t>#</t>
  </si>
  <si>
    <t>MIN_PDN_H1</t>
  </si>
  <si>
    <t>Bearing H1</t>
  </si>
  <si>
    <t>Bearing Name</t>
  </si>
  <si>
    <t>Vib Damper Name</t>
  </si>
  <si>
    <t>Coupling Name</t>
  </si>
  <si>
    <t>max</t>
  </si>
  <si>
    <t>curve</t>
  </si>
  <si>
    <t>dist(SF (ground);SF (house))</t>
  </si>
  <si>
    <t>alfa1 degr</t>
  </si>
  <si>
    <t>a</t>
  </si>
  <si>
    <t>c,e</t>
  </si>
  <si>
    <t>d,f</t>
  </si>
  <si>
    <t>o</t>
  </si>
  <si>
    <t>start point, vector</t>
  </si>
  <si>
    <t>right funnel intersection</t>
  </si>
  <si>
    <t>Bearing number</t>
  </si>
  <si>
    <t>critical area</t>
  </si>
  <si>
    <t>m-2</t>
  </si>
  <si>
    <t>start_angle</t>
  </si>
  <si>
    <t>rad/s</t>
  </si>
  <si>
    <t>crit_w_i</t>
  </si>
  <si>
    <t>crit_a</t>
  </si>
  <si>
    <t>crit area</t>
  </si>
  <si>
    <t>act area</t>
  </si>
  <si>
    <t>stop_angle</t>
  </si>
  <si>
    <t>crit w</t>
  </si>
  <si>
    <t>y1</t>
  </si>
  <si>
    <t>z1</t>
  </si>
  <si>
    <t>startangle</t>
  </si>
  <si>
    <t>stopangle</t>
  </si>
  <si>
    <t>rot angle</t>
  </si>
  <si>
    <t>start vector</t>
  </si>
  <si>
    <t>y2</t>
  </si>
  <si>
    <t>z2</t>
  </si>
  <si>
    <t>TOP, DRIVE  VIEW</t>
  </si>
  <si>
    <t>BOTTOM, DRIVE  VIEW</t>
  </si>
  <si>
    <t>area ISP_oD</t>
  </si>
  <si>
    <t>990-450</t>
  </si>
  <si>
    <t>XOE 115-49</t>
  </si>
  <si>
    <t>262-98</t>
  </si>
  <si>
    <t>327-98</t>
  </si>
  <si>
    <t>392-98</t>
  </si>
  <si>
    <t>402-160</t>
  </si>
  <si>
    <t>402-200</t>
  </si>
  <si>
    <t>427-250</t>
  </si>
  <si>
    <t>502-200</t>
  </si>
  <si>
    <t>502-250</t>
  </si>
  <si>
    <t>502-310</t>
  </si>
  <si>
    <t>602-200</t>
  </si>
  <si>
    <t>602-250</t>
  </si>
  <si>
    <t>602-310</t>
  </si>
  <si>
    <t>602-350</t>
  </si>
  <si>
    <t>677-200</t>
  </si>
  <si>
    <t>677-250</t>
  </si>
  <si>
    <t>677-310</t>
  </si>
  <si>
    <t>677-350</t>
  </si>
  <si>
    <t>677-400</t>
  </si>
  <si>
    <t>727-450</t>
  </si>
  <si>
    <t>802-200</t>
  </si>
  <si>
    <t>802-250</t>
  </si>
  <si>
    <t>802-310</t>
  </si>
  <si>
    <t>802-350</t>
  </si>
  <si>
    <t>802-400</t>
  </si>
  <si>
    <t>802-500</t>
  </si>
  <si>
    <t>902-550</t>
  </si>
  <si>
    <t>952-625</t>
  </si>
  <si>
    <t>1102-700</t>
  </si>
  <si>
    <t>467-102</t>
  </si>
  <si>
    <t>467-150</t>
  </si>
  <si>
    <t>467-125</t>
  </si>
  <si>
    <t>467-160</t>
  </si>
  <si>
    <t>467-200</t>
  </si>
  <si>
    <t>532-102</t>
  </si>
  <si>
    <t>532-150</t>
  </si>
  <si>
    <t>532-125</t>
  </si>
  <si>
    <t>532-160</t>
  </si>
  <si>
    <t>532-200</t>
  </si>
  <si>
    <t>632-102</t>
  </si>
  <si>
    <t>632-150</t>
  </si>
  <si>
    <t>632-190</t>
  </si>
  <si>
    <t>702-102</t>
  </si>
  <si>
    <t>702-150</t>
  </si>
  <si>
    <t>702-125</t>
  </si>
  <si>
    <t>702-190</t>
  </si>
  <si>
    <t>752-150</t>
  </si>
  <si>
    <t>752-190</t>
  </si>
  <si>
    <t>777-150</t>
  </si>
  <si>
    <t>777-190</t>
  </si>
  <si>
    <t>1000-900</t>
  </si>
  <si>
    <t>262-298</t>
  </si>
  <si>
    <t>CFOE 262-298</t>
  </si>
  <si>
    <t>262-650</t>
  </si>
  <si>
    <t>CFOE 262-650</t>
  </si>
  <si>
    <t>262-488</t>
  </si>
  <si>
    <t>CFOE 262-488</t>
  </si>
  <si>
    <t>CouplingD</t>
  </si>
  <si>
    <t>CouplingL</t>
  </si>
  <si>
    <t>Coupling length</t>
  </si>
  <si>
    <t>Coupling diameter</t>
  </si>
  <si>
    <t>Hub_Type</t>
  </si>
  <si>
    <t>Cone</t>
  </si>
  <si>
    <t>Cylinder</t>
  </si>
  <si>
    <t>Cyl_L/Cone_L</t>
  </si>
  <si>
    <t>Axle/Hub_Type</t>
  </si>
  <si>
    <t>CouplingMaxBore</t>
  </si>
  <si>
    <t>Coupling Max Bore</t>
  </si>
  <si>
    <t>min axle delta</t>
  </si>
  <si>
    <t>small fan angle incr.</t>
  </si>
  <si>
    <t>PDN BEARINGS</t>
  </si>
  <si>
    <t>Shaft</t>
  </si>
  <si>
    <t>Key</t>
  </si>
  <si>
    <t>Keyway</t>
  </si>
  <si>
    <r>
      <rPr>
        <b/>
        <sz val="10"/>
        <color rgb="FF000000"/>
        <rFont val="Tahoma"/>
        <family val="2"/>
      </rPr>
      <t>d</t>
    </r>
    <r>
      <rPr>
        <b/>
        <vertAlign val="subscript"/>
        <sz val="10"/>
        <color rgb="FF000000"/>
        <rFont val="Tahoma"/>
        <family val="2"/>
      </rPr>
      <t>min</t>
    </r>
  </si>
  <si>
    <r>
      <t>d</t>
    </r>
    <r>
      <rPr>
        <b/>
        <vertAlign val="subscript"/>
        <sz val="10"/>
        <color rgb="FF000000"/>
        <rFont val="Tahoma"/>
        <family val="2"/>
      </rPr>
      <t>max</t>
    </r>
  </si>
  <si>
    <t>Nominal Size</t>
  </si>
  <si>
    <t>Width</t>
  </si>
  <si>
    <t>Depth</t>
  </si>
  <si>
    <r>
      <t>L</t>
    </r>
    <r>
      <rPr>
        <b/>
        <vertAlign val="subscript"/>
        <sz val="10"/>
        <color rgb="FF000000"/>
        <rFont val="Tahoma"/>
        <family val="2"/>
      </rPr>
      <t>min</t>
    </r>
  </si>
  <si>
    <r>
      <t>L</t>
    </r>
    <r>
      <rPr>
        <b/>
        <vertAlign val="subscript"/>
        <sz val="10"/>
        <color rgb="FF000000"/>
        <rFont val="Tahoma"/>
        <family val="2"/>
      </rPr>
      <t>max</t>
    </r>
  </si>
  <si>
    <t>cr</t>
  </si>
  <si>
    <t>t1</t>
  </si>
  <si>
    <t>Shaft-F</t>
  </si>
  <si>
    <t>Shaft-Fb</t>
  </si>
  <si>
    <t>SHAFT-Fb</t>
  </si>
  <si>
    <t>Fb</t>
  </si>
  <si>
    <t>HubKey_b</t>
  </si>
  <si>
    <t>HubKey_h</t>
  </si>
  <si>
    <t>HubKey_t</t>
  </si>
  <si>
    <t>MotorSF</t>
  </si>
  <si>
    <t>MotorSG</t>
  </si>
  <si>
    <t>MotorSFb</t>
  </si>
  <si>
    <t>Motor SF measure</t>
  </si>
  <si>
    <t>Motor SG measure</t>
  </si>
  <si>
    <t>Motor SFb measure</t>
  </si>
  <si>
    <t>HubKeyb</t>
  </si>
  <si>
    <t>HubKeyh</t>
  </si>
  <si>
    <t>HubKeyt</t>
  </si>
  <si>
    <t>min reinf length</t>
  </si>
  <si>
    <t>reinf start/stop</t>
  </si>
  <si>
    <t>Length of reinf</t>
  </si>
  <si>
    <t># reinf</t>
  </si>
  <si>
    <t>eq dist reinf</t>
  </si>
  <si>
    <t>max #eq d reinf</t>
  </si>
  <si>
    <t>reinf top intersection</t>
  </si>
  <si>
    <t>TOP HF reinf</t>
  </si>
  <si>
    <t>BOTTOM HF reinf</t>
  </si>
  <si>
    <t>rev</t>
  </si>
  <si>
    <t>p</t>
  </si>
  <si>
    <t>q</t>
  </si>
  <si>
    <t>eff</t>
  </si>
  <si>
    <t>power</t>
  </si>
  <si>
    <t>start</t>
  </si>
  <si>
    <t>WHub_C</t>
  </si>
  <si>
    <t>laser_Wimp</t>
  </si>
  <si>
    <t>Whub_C_D</t>
  </si>
  <si>
    <t>WHub_C_REG</t>
  </si>
  <si>
    <t>WHub_C_PDN</t>
  </si>
  <si>
    <t>Hub_C_eD</t>
  </si>
  <si>
    <t>Hub_C_eD_D</t>
  </si>
  <si>
    <t>Hub_C_eD_REG</t>
  </si>
  <si>
    <t>Total Frame Area</t>
  </si>
  <si>
    <t>Total R Weight</t>
  </si>
  <si>
    <t>House Areas</t>
  </si>
  <si>
    <t>WH_Reinf</t>
  </si>
  <si>
    <t>Ahouse</t>
  </si>
  <si>
    <t>Areinf</t>
  </si>
  <si>
    <t>Ainlet</t>
  </si>
  <si>
    <t>Wimp</t>
  </si>
  <si>
    <t>Aimp</t>
  </si>
  <si>
    <t>Aframe</t>
  </si>
  <si>
    <t>Wframe</t>
  </si>
  <si>
    <t>T R Area</t>
  </si>
  <si>
    <t>93-30</t>
  </si>
  <si>
    <t>153-55</t>
  </si>
  <si>
    <t>XOE 67-17</t>
  </si>
  <si>
    <t>XOE 136-30</t>
  </si>
  <si>
    <t>XOE 83-25</t>
  </si>
  <si>
    <t>XOE 134-35</t>
  </si>
  <si>
    <t>XOE 126-30</t>
  </si>
  <si>
    <t>XOE 73-25</t>
  </si>
  <si>
    <t>XOE 109-40</t>
  </si>
  <si>
    <t>XOE 117-30</t>
  </si>
  <si>
    <t>XOE 139-35</t>
  </si>
  <si>
    <t>SF_P</t>
  </si>
  <si>
    <t>Obl_MB</t>
  </si>
  <si>
    <t>SFTr</t>
  </si>
  <si>
    <t>SF_Base</t>
  </si>
  <si>
    <t>SFHefactor</t>
  </si>
  <si>
    <t>SF_Hefactor</t>
  </si>
  <si>
    <t>HF_V</t>
  </si>
  <si>
    <t>BF_Ra</t>
  </si>
  <si>
    <t>MF_Ra</t>
  </si>
  <si>
    <t>MSPHemm</t>
  </si>
  <si>
    <t>HSF</t>
  </si>
  <si>
    <t>HS_F</t>
  </si>
  <si>
    <t>P:kg/m2, S/A/L/U:kg/m</t>
  </si>
  <si>
    <t>A63</t>
  </si>
  <si>
    <t>A70</t>
  </si>
  <si>
    <t>A80</t>
  </si>
  <si>
    <t>A100</t>
  </si>
  <si>
    <t>A125</t>
  </si>
  <si>
    <t>shaft power</t>
  </si>
  <si>
    <t>NINGBO COST FACTORS</t>
  </si>
  <si>
    <t>Freight</t>
  </si>
  <si>
    <t>Markup, OH</t>
  </si>
  <si>
    <t>Ningbo Labor</t>
  </si>
  <si>
    <t>Total OH</t>
  </si>
  <si>
    <t>NET NINGBO LIQ. RATE</t>
  </si>
  <si>
    <t>RMB/hr</t>
  </si>
  <si>
    <t>VAT</t>
  </si>
  <si>
    <t>unit weight cost</t>
  </si>
  <si>
    <t>UPDATED ON 2017-2-14</t>
  </si>
  <si>
    <t>Currency:</t>
  </si>
  <si>
    <t>Complete house</t>
  </si>
  <si>
    <t>material</t>
  </si>
  <si>
    <t>remarks</t>
  </si>
  <si>
    <t>cost w/o vat</t>
  </si>
  <si>
    <t>steel</t>
  </si>
  <si>
    <t>&gt;40KG</t>
  </si>
  <si>
    <t>rmb/kg</t>
  </si>
  <si>
    <t>&lt;=40KG</t>
  </si>
  <si>
    <t>Laser cut parts</t>
  </si>
  <si>
    <t>STEEL</t>
  </si>
  <si>
    <t>AISI304</t>
  </si>
  <si>
    <t>AISI304L</t>
  </si>
  <si>
    <t>AISI316</t>
  </si>
  <si>
    <t>AISI2205</t>
  </si>
  <si>
    <t>Corten</t>
  </si>
  <si>
    <t>Domex</t>
  </si>
  <si>
    <t>Inlet</t>
  </si>
  <si>
    <t>DM</t>
  </si>
  <si>
    <t>Purchased frame cost</t>
  </si>
  <si>
    <t>old style frame</t>
  </si>
  <si>
    <t>XOE style</t>
  </si>
  <si>
    <t>Surface treatment cost</t>
  </si>
  <si>
    <t>none</t>
  </si>
  <si>
    <t>Paint</t>
  </si>
  <si>
    <t>Glass</t>
  </si>
  <si>
    <t>Epoxy</t>
  </si>
  <si>
    <t>Deacidifaction</t>
  </si>
  <si>
    <t>Chemflake</t>
  </si>
  <si>
    <t>Sand</t>
  </si>
  <si>
    <t>rmb/m2</t>
  </si>
  <si>
    <t>J_2_max</t>
  </si>
  <si>
    <t>Old name convention</t>
  </si>
  <si>
    <t>New names 1' rev</t>
  </si>
  <si>
    <t>96-35</t>
  </si>
  <si>
    <t>116-35</t>
  </si>
  <si>
    <t>116-40</t>
  </si>
  <si>
    <t>690-450</t>
  </si>
  <si>
    <t>116-60</t>
  </si>
  <si>
    <t>690-560</t>
  </si>
  <si>
    <t>116-60A</t>
  </si>
  <si>
    <t>690-560vA</t>
  </si>
  <si>
    <t>138-45</t>
  </si>
  <si>
    <t>800-350</t>
  </si>
  <si>
    <t>135-45</t>
  </si>
  <si>
    <t>800-400</t>
  </si>
  <si>
    <t>135-45A</t>
  </si>
  <si>
    <t>135-55</t>
  </si>
  <si>
    <t>135-65</t>
  </si>
  <si>
    <t>800-630</t>
  </si>
  <si>
    <t>900-500</t>
  </si>
  <si>
    <t>153-63</t>
  </si>
  <si>
    <t>900-560</t>
  </si>
  <si>
    <t>153-70</t>
  </si>
  <si>
    <t>153-70A</t>
  </si>
  <si>
    <t>900-710</t>
  </si>
  <si>
    <t>166-45</t>
  </si>
  <si>
    <t>1000-400,45</t>
  </si>
  <si>
    <t>166-45A</t>
  </si>
  <si>
    <t>1000-400</t>
  </si>
  <si>
    <t>166-50</t>
  </si>
  <si>
    <t>1000-450</t>
  </si>
  <si>
    <t>166-50A</t>
  </si>
  <si>
    <t>166-55</t>
  </si>
  <si>
    <t>1000-500</t>
  </si>
  <si>
    <t>166-60</t>
  </si>
  <si>
    <t>1000-560</t>
  </si>
  <si>
    <t>166-70</t>
  </si>
  <si>
    <t>1000-630</t>
  </si>
  <si>
    <t>166-63</t>
  </si>
  <si>
    <t>1000-710</t>
  </si>
  <si>
    <t>166-80</t>
  </si>
  <si>
    <t>1000-800</t>
  </si>
  <si>
    <t>181-45</t>
  </si>
  <si>
    <t>1120-400</t>
  </si>
  <si>
    <t>191-55</t>
  </si>
  <si>
    <t>1120-500</t>
  </si>
  <si>
    <t>191-60</t>
  </si>
  <si>
    <t>1120-560</t>
  </si>
  <si>
    <t>191-63</t>
  </si>
  <si>
    <t>1120-630</t>
  </si>
  <si>
    <t>191-80</t>
  </si>
  <si>
    <t>1120-710</t>
  </si>
  <si>
    <t>191-80A</t>
  </si>
  <si>
    <t>191-85</t>
  </si>
  <si>
    <t>1120-900</t>
  </si>
  <si>
    <t>210-60</t>
  </si>
  <si>
    <t>1250-500</t>
  </si>
  <si>
    <t>210-60A</t>
  </si>
  <si>
    <t>1250-560</t>
  </si>
  <si>
    <t>210-63</t>
  </si>
  <si>
    <t>1250-630</t>
  </si>
  <si>
    <t>210-75</t>
  </si>
  <si>
    <t>1250-710</t>
  </si>
  <si>
    <t>210-95</t>
  </si>
  <si>
    <t>1250-800</t>
  </si>
  <si>
    <t>210-95A</t>
  </si>
  <si>
    <t>1250-900</t>
  </si>
  <si>
    <t>210-90</t>
  </si>
  <si>
    <t>1250-1000</t>
  </si>
  <si>
    <t>237-60</t>
  </si>
  <si>
    <t>1400-560</t>
  </si>
  <si>
    <t>237-75</t>
  </si>
  <si>
    <t>1400-710</t>
  </si>
  <si>
    <t>237-90</t>
  </si>
  <si>
    <t>237-110</t>
  </si>
  <si>
    <t>237-100</t>
  </si>
  <si>
    <t>1400-1120</t>
  </si>
  <si>
    <t>273-65</t>
  </si>
  <si>
    <t>1600-560</t>
  </si>
  <si>
    <t>273-80</t>
  </si>
  <si>
    <t>1600-710</t>
  </si>
  <si>
    <t>273-90</t>
  </si>
  <si>
    <t>1600-900</t>
  </si>
  <si>
    <t>273-110</t>
  </si>
  <si>
    <t>1600-1000</t>
  </si>
  <si>
    <t>273-120</t>
  </si>
  <si>
    <t>1600-1120</t>
  </si>
  <si>
    <t>253-120</t>
  </si>
  <si>
    <t>1600-1250</t>
  </si>
  <si>
    <t>306-85</t>
  </si>
  <si>
    <t>1800-710</t>
  </si>
  <si>
    <t>306-95</t>
  </si>
  <si>
    <t>1800-900</t>
  </si>
  <si>
    <t>306-100</t>
  </si>
  <si>
    <t>306-130</t>
  </si>
  <si>
    <t>1800-1120</t>
  </si>
  <si>
    <t>306-125</t>
  </si>
  <si>
    <t>306-120</t>
  </si>
  <si>
    <t>1800-1400</t>
  </si>
  <si>
    <t>320-75</t>
  </si>
  <si>
    <t>2000-710</t>
  </si>
  <si>
    <t>337-95</t>
  </si>
  <si>
    <t>2000-900</t>
  </si>
  <si>
    <t>337-125</t>
  </si>
  <si>
    <t>2000-1120</t>
  </si>
  <si>
    <t>337-130</t>
  </si>
  <si>
    <t>2000-1400</t>
  </si>
  <si>
    <t>337-125B</t>
  </si>
  <si>
    <t>2000-1600</t>
  </si>
  <si>
    <t>68-23</t>
  </si>
  <si>
    <t>424-230</t>
  </si>
  <si>
    <t>74-23</t>
  </si>
  <si>
    <t>494-229</t>
  </si>
  <si>
    <t>67-17</t>
  </si>
  <si>
    <t>339-180</t>
  </si>
  <si>
    <t>2009-1906</t>
  </si>
  <si>
    <t>173-50</t>
  </si>
  <si>
    <t>1140-481</t>
  </si>
  <si>
    <t>147-35</t>
  </si>
  <si>
    <t>1020-350</t>
  </si>
  <si>
    <t>136-30</t>
  </si>
  <si>
    <t>147-25</t>
  </si>
  <si>
    <t>153-45</t>
  </si>
  <si>
    <t>1021-441</t>
  </si>
  <si>
    <t>603-295</t>
  </si>
  <si>
    <t>83-25</t>
  </si>
  <si>
    <t>355-166</t>
  </si>
  <si>
    <t>111-32</t>
  </si>
  <si>
    <t>128-34</t>
  </si>
  <si>
    <t>136-38</t>
  </si>
  <si>
    <t>903-376</t>
  </si>
  <si>
    <t>134-35</t>
  </si>
  <si>
    <t>135-38</t>
  </si>
  <si>
    <t>126-30</t>
  </si>
  <si>
    <t>83-30</t>
  </si>
  <si>
    <t>481-293</t>
  </si>
  <si>
    <t>73-25</t>
  </si>
  <si>
    <t>111-50</t>
  </si>
  <si>
    <t>638-510</t>
  </si>
  <si>
    <t>109-40</t>
  </si>
  <si>
    <t>123-33</t>
  </si>
  <si>
    <t>117-30</t>
  </si>
  <si>
    <t>166-45G</t>
  </si>
  <si>
    <t>1062-444</t>
  </si>
  <si>
    <t>139-35</t>
  </si>
  <si>
    <t>88-40</t>
  </si>
  <si>
    <t>504-468</t>
  </si>
  <si>
    <t>134-20</t>
  </si>
  <si>
    <t>132-35</t>
  </si>
  <si>
    <t>882-345</t>
  </si>
  <si>
    <t>130-28</t>
  </si>
  <si>
    <t>fanA</t>
  </si>
  <si>
    <t>281-135</t>
  </si>
  <si>
    <t>1313-1342</t>
  </si>
  <si>
    <t>318-170</t>
  </si>
  <si>
    <t>1597-1658</t>
  </si>
  <si>
    <t>322-163</t>
  </si>
  <si>
    <t>1455-1629</t>
  </si>
  <si>
    <t>107-15</t>
  </si>
  <si>
    <t>128-30</t>
  </si>
  <si>
    <t xml:space="preserve">CFOE </t>
  </si>
  <si>
    <t>164-65</t>
  </si>
  <si>
    <t>115-49</t>
  </si>
  <si>
    <t>39-10</t>
  </si>
  <si>
    <t>26</t>
  </si>
  <si>
    <t>48-10</t>
  </si>
  <si>
    <t>49-10</t>
  </si>
  <si>
    <t>28-100</t>
  </si>
  <si>
    <t>48-13</t>
  </si>
  <si>
    <t>28-125</t>
  </si>
  <si>
    <t>52-10</t>
  </si>
  <si>
    <t>52-16</t>
  </si>
  <si>
    <t>400-160</t>
  </si>
  <si>
    <t>52-20</t>
  </si>
  <si>
    <t>400-200</t>
  </si>
  <si>
    <t>52-25</t>
  </si>
  <si>
    <t>425-250</t>
  </si>
  <si>
    <t>76-20</t>
  </si>
  <si>
    <t>500-200</t>
  </si>
  <si>
    <t>76-25</t>
  </si>
  <si>
    <t>500-250</t>
  </si>
  <si>
    <t>76-31</t>
  </si>
  <si>
    <t>500-310</t>
  </si>
  <si>
    <t>89-20</t>
  </si>
  <si>
    <t>600-200</t>
  </si>
  <si>
    <t>90-25</t>
  </si>
  <si>
    <t>90-25A</t>
  </si>
  <si>
    <t>600-250vA</t>
  </si>
  <si>
    <t>90-25B</t>
  </si>
  <si>
    <t>600-250vB</t>
  </si>
  <si>
    <t>90-31</t>
  </si>
  <si>
    <t>90-31A</t>
  </si>
  <si>
    <t>600-310vA</t>
  </si>
  <si>
    <t>90-31B</t>
  </si>
  <si>
    <t>600-310vB</t>
  </si>
  <si>
    <t>90-35</t>
  </si>
  <si>
    <t>90-35A</t>
  </si>
  <si>
    <t>600-350vA</t>
  </si>
  <si>
    <t>90-35B</t>
  </si>
  <si>
    <t>600-350vB</t>
  </si>
  <si>
    <t>98-20</t>
  </si>
  <si>
    <t>675-200</t>
  </si>
  <si>
    <t>98-25</t>
  </si>
  <si>
    <t>675-250</t>
  </si>
  <si>
    <t>98-31</t>
  </si>
  <si>
    <t>675-310</t>
  </si>
  <si>
    <t>98-35</t>
  </si>
  <si>
    <t>675-350</t>
  </si>
  <si>
    <t>98-40</t>
  </si>
  <si>
    <t>675-400</t>
  </si>
  <si>
    <t>107-45</t>
  </si>
  <si>
    <t>725-450</t>
  </si>
  <si>
    <t>123-20</t>
  </si>
  <si>
    <t>800-200</t>
  </si>
  <si>
    <t>123-25</t>
  </si>
  <si>
    <t>800-250</t>
  </si>
  <si>
    <t>123-31</t>
  </si>
  <si>
    <t>800-310</t>
  </si>
  <si>
    <t>123-35</t>
  </si>
  <si>
    <t>123-40</t>
  </si>
  <si>
    <t>123-50</t>
  </si>
  <si>
    <t>138-55</t>
  </si>
  <si>
    <t>144-63</t>
  </si>
  <si>
    <t>198-70</t>
  </si>
  <si>
    <t>215-80</t>
  </si>
  <si>
    <t>58-16</t>
  </si>
  <si>
    <t>58-16A</t>
  </si>
  <si>
    <t>33</t>
  </si>
  <si>
    <t>58-16B</t>
  </si>
  <si>
    <t>58-20</t>
  </si>
  <si>
    <t>70-25</t>
  </si>
  <si>
    <t>108-45</t>
  </si>
  <si>
    <t>63-10</t>
  </si>
  <si>
    <t>5-370</t>
  </si>
  <si>
    <t>63-15</t>
  </si>
  <si>
    <t>63-10B</t>
  </si>
  <si>
    <t>10-370</t>
  </si>
  <si>
    <t>63-15B</t>
  </si>
  <si>
    <t>63-13</t>
  </si>
  <si>
    <t>15-370</t>
  </si>
  <si>
    <t>63-15D</t>
  </si>
  <si>
    <t>68-16</t>
  </si>
  <si>
    <t>20-370</t>
  </si>
  <si>
    <t>68-20</t>
  </si>
  <si>
    <t>30-370</t>
  </si>
  <si>
    <t>68-20A</t>
  </si>
  <si>
    <t>30-370vA</t>
  </si>
  <si>
    <t>68-20B</t>
  </si>
  <si>
    <t>30-370vB</t>
  </si>
  <si>
    <t>68-10</t>
  </si>
  <si>
    <t>5-530</t>
  </si>
  <si>
    <t>68-15</t>
  </si>
  <si>
    <t>68-10B</t>
  </si>
  <si>
    <t>10-530</t>
  </si>
  <si>
    <t>68-15B</t>
  </si>
  <si>
    <t>68-13</t>
  </si>
  <si>
    <t>15-530</t>
  </si>
  <si>
    <t>68-15D</t>
  </si>
  <si>
    <t>72-16</t>
  </si>
  <si>
    <t>25-530</t>
  </si>
  <si>
    <t>72-20</t>
  </si>
  <si>
    <t>35-530</t>
  </si>
  <si>
    <t>81-10</t>
  </si>
  <si>
    <t>5-630</t>
  </si>
  <si>
    <t>81-15</t>
  </si>
  <si>
    <t>81-10B</t>
  </si>
  <si>
    <t>10-630</t>
  </si>
  <si>
    <t>81-15B</t>
  </si>
  <si>
    <t>81-15C</t>
  </si>
  <si>
    <t>15-630</t>
  </si>
  <si>
    <t>81-19</t>
  </si>
  <si>
    <t>25-630</t>
  </si>
  <si>
    <t>82-19</t>
  </si>
  <si>
    <t>35-630</t>
  </si>
  <si>
    <t>90-10</t>
  </si>
  <si>
    <t>5-700</t>
  </si>
  <si>
    <t>90-15</t>
  </si>
  <si>
    <t>90-10B</t>
  </si>
  <si>
    <t>10-700</t>
  </si>
  <si>
    <t>90-15B</t>
  </si>
  <si>
    <t>90-13</t>
  </si>
  <si>
    <t>15-700</t>
  </si>
  <si>
    <t>90-15D</t>
  </si>
  <si>
    <t>90-19</t>
  </si>
  <si>
    <t>25-700</t>
  </si>
  <si>
    <t>94-15</t>
  </si>
  <si>
    <t>5-750</t>
  </si>
  <si>
    <t>94-15A</t>
  </si>
  <si>
    <t>10-750</t>
  </si>
  <si>
    <t>94-15B</t>
  </si>
  <si>
    <t>15-750</t>
  </si>
  <si>
    <t>103-19</t>
  </si>
  <si>
    <t>25-750</t>
  </si>
  <si>
    <t>94-15D</t>
  </si>
  <si>
    <t>10-775</t>
  </si>
  <si>
    <t>103-19B</t>
  </si>
  <si>
    <t>25-775</t>
  </si>
  <si>
    <t>34-15</t>
  </si>
  <si>
    <t>200</t>
  </si>
  <si>
    <t>34-15A</t>
  </si>
  <si>
    <t>200vA</t>
  </si>
  <si>
    <t>41-18</t>
  </si>
  <si>
    <t>41-18A</t>
  </si>
  <si>
    <t>315</t>
  </si>
  <si>
    <t>52-20A</t>
  </si>
  <si>
    <t>60-25</t>
  </si>
  <si>
    <t>365</t>
  </si>
  <si>
    <t>60-25A</t>
  </si>
  <si>
    <t>70-31</t>
  </si>
  <si>
    <t>425</t>
  </si>
  <si>
    <t>70-31A</t>
  </si>
  <si>
    <t>79-35</t>
  </si>
  <si>
    <t>465</t>
  </si>
  <si>
    <t>79-35A</t>
  </si>
  <si>
    <t>91-40</t>
  </si>
  <si>
    <t>515</t>
  </si>
  <si>
    <t>100-45</t>
  </si>
  <si>
    <t>565</t>
  </si>
  <si>
    <t>104-50</t>
  </si>
  <si>
    <t>145-70</t>
  </si>
  <si>
    <t>765</t>
  </si>
  <si>
    <t>150-80</t>
  </si>
  <si>
    <t>815</t>
  </si>
  <si>
    <t>176-90</t>
  </si>
  <si>
    <t>1000</t>
  </si>
  <si>
    <t>215-100</t>
  </si>
  <si>
    <t>1100</t>
  </si>
  <si>
    <t>117-58</t>
  </si>
  <si>
    <t>650</t>
  </si>
  <si>
    <t>130-55</t>
  </si>
  <si>
    <t>700</t>
  </si>
  <si>
    <t>425-370</t>
  </si>
  <si>
    <t>425-400</t>
  </si>
  <si>
    <t>425-415</t>
  </si>
  <si>
    <t>new names check</t>
  </si>
  <si>
    <t>max power</t>
  </si>
  <si>
    <t>DIB_D</t>
  </si>
  <si>
    <t>INSULATION</t>
  </si>
  <si>
    <t>HskirtR</t>
  </si>
  <si>
    <t>Small Frame</t>
  </si>
  <si>
    <t>MotorSupportPlate</t>
  </si>
  <si>
    <t>MSMM</t>
  </si>
  <si>
    <t>MS_t</t>
  </si>
  <si>
    <t>MSMM_w</t>
  </si>
  <si>
    <t>MSMM_l</t>
  </si>
  <si>
    <t>MSMM_He</t>
  </si>
  <si>
    <t>SFMM_t</t>
  </si>
  <si>
    <t>SFX_t</t>
  </si>
  <si>
    <t>SFX_w</t>
  </si>
  <si>
    <t>SFX_l</t>
  </si>
  <si>
    <t>MSMM_h</t>
  </si>
  <si>
    <t>Length of SFBase - x dim</t>
  </si>
  <si>
    <t>Width of SFBase - z dim</t>
  </si>
  <si>
    <t>Thickness of SFBase - y dim</t>
  </si>
  <si>
    <t>SFMM_l</t>
  </si>
  <si>
    <t>Length of SFX - x dim</t>
  </si>
  <si>
    <t>SFBase_t_L</t>
  </si>
  <si>
    <t>SFBase_w_L</t>
  </si>
  <si>
    <t>SFBase_l_L</t>
  </si>
  <si>
    <t>SFBase_t_R</t>
  </si>
  <si>
    <t>SFBase_l_R</t>
  </si>
  <si>
    <t>SFBase_w_R</t>
  </si>
  <si>
    <t>SFMM length - x dim</t>
  </si>
  <si>
    <t>BSupportPlate</t>
  </si>
  <si>
    <t>BS_t</t>
  </si>
  <si>
    <t>BSBB_h</t>
  </si>
  <si>
    <t>BSBB_w</t>
  </si>
  <si>
    <t>BSBB_He</t>
  </si>
  <si>
    <t>BSBB_l</t>
  </si>
  <si>
    <t>SFMM height, @ Rack angle - y dim</t>
  </si>
  <si>
    <t>SFMM Plate t</t>
  </si>
  <si>
    <t>MS Plate Thickness</t>
  </si>
  <si>
    <t>MSMB_l</t>
  </si>
  <si>
    <t>MSMB_w</t>
  </si>
  <si>
    <t>Length of MSMB - x dim</t>
  </si>
  <si>
    <t>Height of MSMM, @ Rack angle</t>
  </si>
  <si>
    <t>Length of MSMM - x dim</t>
  </si>
  <si>
    <t>BS Plate Thickness</t>
  </si>
  <si>
    <t>Length of BSBB - x dim</t>
  </si>
  <si>
    <t>SFBB_t</t>
  </si>
  <si>
    <t>SFBB_l</t>
  </si>
  <si>
    <t>SFBB Plate t</t>
  </si>
  <si>
    <t>SFBB length - x dim</t>
  </si>
  <si>
    <t>SFBB height, @ Rack angle - y dim</t>
  </si>
  <si>
    <t>Height of BSBB, @ Rack angle - y dim</t>
  </si>
  <si>
    <t>Vertical Height of BSBB - y dim</t>
  </si>
  <si>
    <t>UNP  "h" measure</t>
  </si>
  <si>
    <t>UNP  "b" measure</t>
  </si>
  <si>
    <t>UNP  "t" measure</t>
  </si>
  <si>
    <t>UNP  "s" measure</t>
  </si>
  <si>
    <t>UNP  "r" measure</t>
  </si>
  <si>
    <t>MS_P</t>
  </si>
  <si>
    <t>BS_P</t>
  </si>
  <si>
    <t>BSHemm</t>
  </si>
  <si>
    <t>BS_Hemm</t>
  </si>
  <si>
    <t>NOT USED</t>
  </si>
  <si>
    <t>MF1start_xpos</t>
  </si>
  <si>
    <t>MF2start_xpos</t>
  </si>
  <si>
    <t>Hstart_xpos</t>
  </si>
  <si>
    <t>MF2stop_xpos</t>
  </si>
  <si>
    <t>Hstop_xpos</t>
  </si>
  <si>
    <t>House start x position, x=0 @ start of MF1</t>
  </si>
  <si>
    <t>MF1 start x position, x=0 @ start of MF1</t>
  </si>
  <si>
    <t>MF1 stop x position, x=0 @ start of MF1</t>
  </si>
  <si>
    <t>MF2 start x position, x=0 @ start of MF1</t>
  </si>
  <si>
    <t>MF2 stop x position, x=0 @ start of MF1</t>
  </si>
  <si>
    <t>House stop x position, x=0 @ start of MF1</t>
  </si>
  <si>
    <t>MF1stop_xpos</t>
  </si>
  <si>
    <t>SFLstart_xpos</t>
  </si>
  <si>
    <t>SFLstop_xpos</t>
  </si>
  <si>
    <t>SFLstart_zpos</t>
  </si>
  <si>
    <t>SFL start x position, x=0 @ start of MF1</t>
  </si>
  <si>
    <t>SFL stop x position, x=0 @ start of MF1</t>
  </si>
  <si>
    <t>SFL start z position, z=0 @ center plane</t>
  </si>
  <si>
    <t>SFRstart_xpos</t>
  </si>
  <si>
    <t>SFR start x position, x=0 @ start of MF1</t>
  </si>
  <si>
    <t>SFRstop_xpos</t>
  </si>
  <si>
    <t>SFR stop x position, x=0 @ start of MF1</t>
  </si>
  <si>
    <t>SFRstart_zpos</t>
  </si>
  <si>
    <t>SFR start z position, z=0 @ center plane</t>
  </si>
  <si>
    <t>MFTop_ypos</t>
  </si>
  <si>
    <t>MF top y position, y=0 @ groundlevel</t>
  </si>
  <si>
    <t>FramePlane_xyzpos</t>
  </si>
  <si>
    <t>BF5start_xpos</t>
  </si>
  <si>
    <t>BF5stop_xpos</t>
  </si>
  <si>
    <t>BF6start_xpos</t>
  </si>
  <si>
    <t>BF6stop_xpos</t>
  </si>
  <si>
    <t>BFTop_ypos</t>
  </si>
  <si>
    <t>BF5 start x position, x=0 @ start of MF1</t>
  </si>
  <si>
    <t>BF5 stop x position, x=0 @ start of MF1</t>
  </si>
  <si>
    <t>BF6 start x position, x=0 @ start of MF1</t>
  </si>
  <si>
    <t>BF6 stop x position, x=0 @ start of MF1</t>
  </si>
  <si>
    <t>BF top y position, y=0 @ groundlevel</t>
  </si>
  <si>
    <t>OP_power</t>
  </si>
  <si>
    <t>max_power</t>
  </si>
  <si>
    <t>min_power</t>
  </si>
  <si>
    <t>House Curve L</t>
  </si>
  <si>
    <t>HouseFrontBack_K</t>
  </si>
  <si>
    <t>HouseFrontBack_AlphaStart</t>
  </si>
  <si>
    <t>HouseFrontBack_AlphaSlut</t>
  </si>
  <si>
    <t>House Front&amp;Back start radius</t>
  </si>
  <si>
    <t>House Front&amp;Back start angle</t>
  </si>
  <si>
    <t>House Front&amp;Back end angle</t>
  </si>
  <si>
    <t>House Front&amp;Back exponential coefficient</t>
  </si>
  <si>
    <t>Welding space</t>
  </si>
  <si>
    <t>HouseFB_C</t>
  </si>
  <si>
    <t>HouseFB_SA</t>
  </si>
  <si>
    <t>House Front&amp;Back C</t>
  </si>
  <si>
    <t>HouseFB_weldspace</t>
  </si>
  <si>
    <t>House Front&amp;Back weld space</t>
  </si>
  <si>
    <t>HouseFrontBack_r0</t>
  </si>
  <si>
    <t>TODO: add new fan in FB matrices etc.</t>
  </si>
  <si>
    <t>SFMM_He</t>
  </si>
  <si>
    <t>SFBB_He</t>
  </si>
  <si>
    <t>L2</t>
  </si>
  <si>
    <t>L3</t>
  </si>
  <si>
    <t>MSMM_Yhe</t>
  </si>
  <si>
    <t>SFX_Yhe</t>
  </si>
  <si>
    <t>House Support Plate Height , @ Rack angle</t>
  </si>
  <si>
    <t>Vertical Height of SFX - ground=0</t>
  </si>
  <si>
    <t>SFMM_YHe</t>
  </si>
  <si>
    <t>MSMB_He</t>
  </si>
  <si>
    <t>Vertical Height of MSMM from top</t>
  </si>
  <si>
    <t>Vertical SFMM height - ground=0</t>
  </si>
  <si>
    <t>Total width of flat SFX - z dim</t>
  </si>
  <si>
    <t>Total width of flat MSMM - z dim</t>
  </si>
  <si>
    <t>Total width of flat MSMB - z dim</t>
  </si>
  <si>
    <t>MSMB_Yhe</t>
  </si>
  <si>
    <t>Height of MSMB, @ Rack angle</t>
  </si>
  <si>
    <t>BSBB_YHe</t>
  </si>
  <si>
    <t>Vertical Height of BSBB from top</t>
  </si>
  <si>
    <t>SFBB_YHe</t>
  </si>
  <si>
    <t>Vertical SFBB height - ground=0</t>
  </si>
  <si>
    <t>SFX_He</t>
  </si>
  <si>
    <t>SFX height, @ Rack angle - y dim</t>
  </si>
  <si>
    <t>Length of L_HSP - x dim</t>
  </si>
  <si>
    <t>Z Position of deepest point - INLET VIEW</t>
  </si>
  <si>
    <t>Y Position of deepest point - INLET VIEW</t>
  </si>
  <si>
    <t>FPHole</t>
  </si>
  <si>
    <t>FPHoley</t>
  </si>
  <si>
    <t>MF1</t>
  </si>
  <si>
    <t>MF2</t>
  </si>
  <si>
    <t>BF1</t>
  </si>
  <si>
    <t>BF2</t>
  </si>
  <si>
    <t>L4</t>
  </si>
  <si>
    <t>L5</t>
  </si>
  <si>
    <t>1' Cyl.</t>
  </si>
  <si>
    <t>2'Cyl.</t>
  </si>
  <si>
    <t>Inlet constuction data</t>
  </si>
  <si>
    <t>Length of vertical U bar in motor rack @rack angle</t>
  </si>
  <si>
    <t>M_Frame_Top_Width</t>
  </si>
  <si>
    <t>M_Frame_Height</t>
  </si>
  <si>
    <t>M_S_Frame_Height</t>
  </si>
  <si>
    <t>M_Frame_Rack_Length</t>
  </si>
  <si>
    <t>M_S_Frame_Width</t>
  </si>
  <si>
    <t>Length of vertical plate in small motor frame @rack angle</t>
  </si>
  <si>
    <t>M_S_Frame_Side_Length</t>
  </si>
  <si>
    <t>Vertical Height of the motor rack, y=0 @ groundlevel</t>
  </si>
  <si>
    <t>Vertical Height of MSMM, y=0 @ groundlevel</t>
  </si>
  <si>
    <t>Vertical Height of MSMB, y=0 @ groundlevel</t>
  </si>
  <si>
    <t>MSMB_h</t>
  </si>
  <si>
    <t>B_Frame_Top_Width</t>
  </si>
  <si>
    <t>B_Frame_Rack_Length</t>
  </si>
  <si>
    <t>B_Frame_Height</t>
  </si>
  <si>
    <t>Length of vertical U bar in bearing rack @rack angle</t>
  </si>
  <si>
    <t>Vertical Height of the bearing rack, y=0 @ groundlevel</t>
  </si>
  <si>
    <t>Length of vertical plate in small bearing frame @rack angle</t>
  </si>
  <si>
    <t>Height of small motor frame top surface, y=0 @ groundlevel</t>
  </si>
  <si>
    <t>Height of small bearing frame top surface, y=0 @ groundlevel</t>
  </si>
  <si>
    <t>B_S_Frame_Width</t>
  </si>
  <si>
    <t>B_S_Frame_Side_Length</t>
  </si>
  <si>
    <t>B_S_Frame_Height</t>
  </si>
  <si>
    <t>Vertical Height of MSMB from top</t>
  </si>
  <si>
    <t>B_S_Frame_Top_Width</t>
  </si>
  <si>
    <t>M_S_Frame_Top_Width</t>
  </si>
  <si>
    <t>Width of horizontal MSMM - z dim</t>
  </si>
  <si>
    <t>MSMM_Top_w</t>
  </si>
  <si>
    <t>Width (z) of horizontal plate in small motor frame</t>
  </si>
  <si>
    <t>Width (z) of horizontal motor rack U bar (tip to tip)</t>
  </si>
  <si>
    <t>Width (z) of horizontal bearing rack U bar (tip to tip)</t>
  </si>
  <si>
    <t>Width (z) of small sheet bearing frame (unfolded)</t>
  </si>
  <si>
    <t>Width (z) of Horizontal plate in small bearing frame</t>
  </si>
  <si>
    <t>SFX Plate t</t>
  </si>
  <si>
    <t>BSBB_Top_w</t>
  </si>
  <si>
    <t>Width (z) of horizontal BSBB - z dim</t>
  </si>
  <si>
    <t>Total width of flat BSBB - z dim</t>
  </si>
  <si>
    <t>Width(z) of horizontal SFX - z dim</t>
  </si>
  <si>
    <t>SFX_Top_w</t>
  </si>
  <si>
    <t>Width (z) of small sheet motor frame (unfolded)</t>
  </si>
  <si>
    <t>Total Length (x) of small motor frame</t>
  </si>
  <si>
    <t>inlet view</t>
  </si>
  <si>
    <t>L2_InletCone</t>
  </si>
  <si>
    <t>L3_InletCone</t>
  </si>
  <si>
    <t>L4_InletCone</t>
  </si>
  <si>
    <t>L5_InletCone</t>
  </si>
  <si>
    <t>Cone length of Inlet cone</t>
  </si>
  <si>
    <t>Second (outer) cylinder length of inlet cone</t>
  </si>
  <si>
    <t>First (inner) cylinder length of inlet cone</t>
  </si>
  <si>
    <t>Inlet cone Plate T</t>
  </si>
  <si>
    <t>Inlet_P_T</t>
  </si>
  <si>
    <t>ypos of Left house support start</t>
  </si>
  <si>
    <t>y2pos of Left house support start</t>
  </si>
  <si>
    <t>xpos of Left house support start</t>
  </si>
  <si>
    <t>y2pos of Right house support start</t>
  </si>
  <si>
    <t>xpos of Right house support start</t>
  </si>
  <si>
    <t>ypos of Right house support start</t>
  </si>
  <si>
    <t>zpos (inner) of Left house support</t>
  </si>
  <si>
    <t>zpos (inner) of Right house support</t>
  </si>
  <si>
    <t>House Support Plate Vertical Height - ground=0</t>
  </si>
  <si>
    <t>SupportFrameBase</t>
  </si>
  <si>
    <t>SupportFrameMM</t>
  </si>
  <si>
    <t>SupportFrameBB</t>
  </si>
  <si>
    <t>SupportFrameX</t>
  </si>
  <si>
    <t>HSP_t</t>
  </si>
  <si>
    <t>House Support Plate thickness</t>
  </si>
  <si>
    <t>u0</t>
  </si>
  <si>
    <t>L200</t>
  </si>
  <si>
    <t>PX</t>
  </si>
  <si>
    <t>SX</t>
  </si>
  <si>
    <t>UX</t>
  </si>
  <si>
    <t>AX</t>
  </si>
  <si>
    <t>Whouse(H,R,Fl)</t>
  </si>
  <si>
    <t>WInlet(IC,Fl,ISP,R)</t>
  </si>
  <si>
    <t>Force Big Frame</t>
  </si>
  <si>
    <t>Force Small Frame</t>
  </si>
  <si>
    <t>Drive / Frame</t>
  </si>
  <si>
    <r>
      <t xml:space="preserve">Distance from </t>
    </r>
    <r>
      <rPr>
        <sz val="11"/>
        <color rgb="FFFF0000"/>
        <rFont val="宋体"/>
        <family val="2"/>
        <scheme val="minor"/>
      </rPr>
      <t xml:space="preserve">start </t>
    </r>
    <r>
      <rPr>
        <sz val="11"/>
        <color theme="1"/>
        <rFont val="宋体"/>
        <family val="2"/>
        <scheme val="minor"/>
      </rPr>
      <t>Ra5 to non drive Bearing</t>
    </r>
  </si>
  <si>
    <r>
      <t xml:space="preserve">Distance from </t>
    </r>
    <r>
      <rPr>
        <sz val="11"/>
        <color rgb="FFFF0000"/>
        <rFont val="宋体"/>
        <family val="2"/>
        <scheme val="minor"/>
      </rPr>
      <t xml:space="preserve">end </t>
    </r>
    <r>
      <rPr>
        <sz val="11"/>
        <color theme="1"/>
        <rFont val="宋体"/>
        <family val="2"/>
        <scheme val="minor"/>
      </rPr>
      <t>Ra6 to drive Bearing</t>
    </r>
  </si>
  <si>
    <t>HoleD_mult</t>
  </si>
  <si>
    <t>HouseSupportPlate</t>
  </si>
  <si>
    <t>HSP</t>
  </si>
  <si>
    <t>L_HSP_He</t>
  </si>
  <si>
    <t>L_HSP_Yhe</t>
  </si>
  <si>
    <t>L_HSP_l</t>
  </si>
  <si>
    <t>R_HSP_He</t>
  </si>
  <si>
    <t>R_HSP_Yhe</t>
  </si>
  <si>
    <t>R_HSP_l</t>
  </si>
  <si>
    <t>SFBase_He_L</t>
  </si>
  <si>
    <t>SFBase_He_R</t>
  </si>
  <si>
    <t>Height of SFBase @ Rack angle - y dim</t>
  </si>
  <si>
    <t>VerticalHouseFrame</t>
  </si>
  <si>
    <t>kgm2</t>
  </si>
  <si>
    <t>N/mm2=Mpa</t>
  </si>
  <si>
    <t>Fan Max rpm</t>
  </si>
  <si>
    <t>Hz</t>
  </si>
  <si>
    <t>Grease</t>
  </si>
  <si>
    <t>MFrameTr</t>
  </si>
  <si>
    <t>MFTr_t</t>
  </si>
  <si>
    <t>Thickness of MFTr</t>
  </si>
  <si>
    <t>MFTr_b</t>
  </si>
  <si>
    <t>Width (x) of MFTr</t>
  </si>
  <si>
    <t>MFTr_l</t>
  </si>
  <si>
    <t>Length (z) of MFTr</t>
  </si>
  <si>
    <t>MFTr1_x</t>
  </si>
  <si>
    <t>x pos of MFTr1</t>
  </si>
  <si>
    <t>MFTr2_x</t>
  </si>
  <si>
    <t>x pos of MFTr2</t>
  </si>
  <si>
    <t>BFrameTr</t>
  </si>
  <si>
    <t>BFTr_t</t>
  </si>
  <si>
    <t>Thickness of BFTr</t>
  </si>
  <si>
    <t>BFTr_b</t>
  </si>
  <si>
    <t>Width (x) of BFTr</t>
  </si>
  <si>
    <t>BFTr_l</t>
  </si>
  <si>
    <t>Length (z) of BFTr</t>
  </si>
  <si>
    <t>BFTr5_x</t>
  </si>
  <si>
    <t>x pos of BFTr5</t>
  </si>
  <si>
    <t>BFTr6_x</t>
  </si>
  <si>
    <t>x pos of BFTr6</t>
  </si>
  <si>
    <t>M_Frame_Total_Width</t>
  </si>
  <si>
    <t>Frame Total width (z) @ SF</t>
  </si>
  <si>
    <t>M_S_Frame_Total_Width</t>
  </si>
  <si>
    <t>B_Frame_Total_Width</t>
  </si>
  <si>
    <t>Bearing Frame Total width @ SF</t>
  </si>
  <si>
    <t>B_S_Frame_Total_Width</t>
  </si>
  <si>
    <t>Bearing small Frame Total width @ MS</t>
  </si>
  <si>
    <t>BFTr</t>
  </si>
  <si>
    <t>BF_Tr</t>
  </si>
  <si>
    <t>MFTr</t>
  </si>
  <si>
    <t>MF_Tr</t>
  </si>
  <si>
    <t>Critical rpm</t>
  </si>
  <si>
    <t>Actual Critical speed</t>
  </si>
  <si>
    <t>Actual Critical Frequency</t>
  </si>
  <si>
    <t>SNL 3234</t>
  </si>
  <si>
    <t>SNL 3236</t>
  </si>
  <si>
    <t>SNL 3238</t>
  </si>
  <si>
    <t>SNL 3240</t>
  </si>
  <si>
    <t>SNL 3244</t>
  </si>
  <si>
    <t>SNL 3248</t>
  </si>
  <si>
    <t>VHFL_He</t>
  </si>
  <si>
    <t>VHFL_z</t>
  </si>
  <si>
    <t>VHFL_y</t>
  </si>
  <si>
    <t>VHFL_y2</t>
  </si>
  <si>
    <t>VHFL_x</t>
  </si>
  <si>
    <t>VHFR_He</t>
  </si>
  <si>
    <t>VHFR_z</t>
  </si>
  <si>
    <t>VHFR_y</t>
  </si>
  <si>
    <t>VHFR_y2</t>
  </si>
  <si>
    <t>VHFR_x</t>
  </si>
  <si>
    <t>Criterion: maxPower</t>
  </si>
  <si>
    <t>Possible motor power of IE1 60Hz * 0,9 to get shaftpower</t>
  </si>
  <si>
    <t>Side &amp; Drive View</t>
  </si>
  <si>
    <t>BSBB</t>
  </si>
  <si>
    <t>MSMB</t>
  </si>
  <si>
    <t>SFX</t>
  </si>
  <si>
    <t>BF5</t>
  </si>
  <si>
    <t>BF6</t>
  </si>
  <si>
    <t>Vib number</t>
  </si>
  <si>
    <t>k1</t>
  </si>
  <si>
    <t>k/d^4</t>
  </si>
  <si>
    <t>dist I_Hub front</t>
  </si>
  <si>
    <t>ImpellerMOI_X</t>
  </si>
  <si>
    <t>ImpellerMOI_Z</t>
  </si>
  <si>
    <t>Impeller axial (x) moment of inertia</t>
  </si>
  <si>
    <t>Impeller diameter (z) moment of inertia</t>
  </si>
  <si>
    <t>y- +CH</t>
  </si>
  <si>
    <t>y+ +CH</t>
  </si>
  <si>
    <t>z- diff</t>
  </si>
  <si>
    <t>z+ diff</t>
  </si>
  <si>
    <t>critical area L/R</t>
  </si>
  <si>
    <t>critical area Hi/Lo</t>
  </si>
  <si>
    <t>critical area C</t>
  </si>
  <si>
    <t>Critical Speed</t>
  </si>
  <si>
    <t>Critical Frequency</t>
  </si>
  <si>
    <t>B foot length(L)</t>
  </si>
  <si>
    <t>Hole dist.(J)</t>
  </si>
  <si>
    <t>Hole Diam.(N1)</t>
  </si>
  <si>
    <t>Formula</t>
    <phoneticPr fontId="24" type="noConversion"/>
  </si>
  <si>
    <t>Formula</t>
    <phoneticPr fontId="24" type="noConversion"/>
  </si>
  <si>
    <t>HOUSE (LG, 0, 0)</t>
  </si>
  <si>
    <t>max reinf dist. n:n+1</t>
  </si>
  <si>
    <t>Min Critical Bearing rpm</t>
  </si>
  <si>
    <t>Min Critical Vibration rpm</t>
  </si>
  <si>
    <t>area n:n+1</t>
  </si>
  <si>
    <t>Max reinf area</t>
  </si>
  <si>
    <t>Reinforcement angle</t>
  </si>
  <si>
    <t>Max reinf dist</t>
  </si>
  <si>
    <t>no irons</t>
  </si>
  <si>
    <t>Housesideplate_reinf</t>
  </si>
  <si>
    <t>W sp R</t>
  </si>
  <si>
    <t>t3</t>
  </si>
  <si>
    <t>t2</t>
  </si>
  <si>
    <t>Reinf outer R</t>
  </si>
  <si>
    <t>t1R28</t>
  </si>
  <si>
    <t>t2R29</t>
  </si>
  <si>
    <t>t1A28</t>
  </si>
  <si>
    <t>t2A29</t>
  </si>
  <si>
    <t>t1L28</t>
  </si>
  <si>
    <t>t2L29</t>
  </si>
  <si>
    <t>InletSideExtRadReinf</t>
  </si>
  <si>
    <t>ISeRadR1</t>
  </si>
  <si>
    <t>ISeRad1</t>
  </si>
  <si>
    <t>ISeRadR2</t>
  </si>
  <si>
    <t>ISeRad2</t>
  </si>
  <si>
    <t>ISeRadR3</t>
  </si>
  <si>
    <t>ISeRad3</t>
  </si>
  <si>
    <t>ISeRadR4</t>
  </si>
  <si>
    <t>ISeRad4</t>
  </si>
  <si>
    <t>ISeRadR5</t>
  </si>
  <si>
    <t>ISeRad5</t>
  </si>
  <si>
    <t>ISeRadR6</t>
  </si>
  <si>
    <t>ISeRad6</t>
  </si>
  <si>
    <t>ISeRadR7</t>
  </si>
  <si>
    <t>ISeRad7</t>
  </si>
  <si>
    <t>ISeRadR8</t>
  </si>
  <si>
    <t>ISeRad8</t>
  </si>
  <si>
    <t>ISeRadR9</t>
  </si>
  <si>
    <t>ISeRad9</t>
  </si>
  <si>
    <t>ISeRadR10</t>
  </si>
  <si>
    <t>ISeRad10</t>
  </si>
  <si>
    <t>ISeRadR11</t>
  </si>
  <si>
    <t>ISeRad11</t>
  </si>
  <si>
    <t>ISeRadR12</t>
  </si>
  <si>
    <t>ISeRad12</t>
  </si>
  <si>
    <t>ISeRadR13</t>
  </si>
  <si>
    <t>ISeRad13</t>
  </si>
  <si>
    <t>ISeRadR14</t>
  </si>
  <si>
    <t>ISeRad14</t>
  </si>
  <si>
    <t>ISeRadR15</t>
  </si>
  <si>
    <t>ISeRad15</t>
  </si>
  <si>
    <t>ISeRadR16</t>
  </si>
  <si>
    <t>ISeRad16</t>
  </si>
  <si>
    <t>ISeRadR17</t>
  </si>
  <si>
    <t>ISeRad17</t>
  </si>
  <si>
    <t>ISeRadR18</t>
  </si>
  <si>
    <t>ISeRad18</t>
  </si>
  <si>
    <t>ISeRadR19</t>
  </si>
  <si>
    <t>ISeRad19</t>
  </si>
  <si>
    <t>ISeRadR20</t>
  </si>
  <si>
    <t>ISeRad20</t>
  </si>
  <si>
    <t>ISeRadR21</t>
  </si>
  <si>
    <t>ISeRad21</t>
  </si>
  <si>
    <t>ISeRadR22</t>
  </si>
  <si>
    <t>ISeRad22</t>
  </si>
  <si>
    <t>ISeRadR23</t>
  </si>
  <si>
    <t>ISeRad23</t>
  </si>
  <si>
    <t>ISeRadR24</t>
  </si>
  <si>
    <t>ISeRad24</t>
  </si>
  <si>
    <t>ISeRadR25</t>
  </si>
  <si>
    <t>ISeRad25</t>
  </si>
  <si>
    <t>ISeRadR26</t>
  </si>
  <si>
    <t>ISeRad26</t>
  </si>
  <si>
    <t>ISeRadR27</t>
  </si>
  <si>
    <t>ISeRad27</t>
  </si>
  <si>
    <t>ISeRadA1</t>
  </si>
  <si>
    <t>ISeRadA2</t>
  </si>
  <si>
    <t>ISeRadA3</t>
  </si>
  <si>
    <t>ISeRadA4</t>
  </si>
  <si>
    <t>ISeRadA5</t>
  </si>
  <si>
    <t>ISeRadA6</t>
  </si>
  <si>
    <t>ISeRadA7</t>
  </si>
  <si>
    <t>ISeRadA8</t>
  </si>
  <si>
    <t>ISeRadA9</t>
  </si>
  <si>
    <t>ISeRadA10</t>
  </si>
  <si>
    <t>ISeRadA11</t>
  </si>
  <si>
    <t>ISeRadA12</t>
  </si>
  <si>
    <t>ISeRadA13</t>
  </si>
  <si>
    <t>ISeRadA14</t>
  </si>
  <si>
    <t>ISeRadA15</t>
  </si>
  <si>
    <t>ISeRadA16</t>
  </si>
  <si>
    <t>ISeRadA17</t>
  </si>
  <si>
    <t>ISeRadA18</t>
  </si>
  <si>
    <t>ISeRadA19</t>
  </si>
  <si>
    <t>ISeRadA20</t>
  </si>
  <si>
    <t>ISeRadA21</t>
  </si>
  <si>
    <t>ISeRadA22</t>
  </si>
  <si>
    <t>ISeRadA23</t>
  </si>
  <si>
    <t>ISeRadA24</t>
  </si>
  <si>
    <t>ISeRadA25</t>
  </si>
  <si>
    <t>ISeRadA26</t>
  </si>
  <si>
    <t>ISeRadA27</t>
  </si>
  <si>
    <t>ISeRadL1</t>
  </si>
  <si>
    <t>ISeRadL2</t>
  </si>
  <si>
    <t>ISeRadL3</t>
  </si>
  <si>
    <t>ISeRadL4</t>
  </si>
  <si>
    <t>ISeRadL5</t>
  </si>
  <si>
    <t>ISeRadL6</t>
  </si>
  <si>
    <t>ISeRadL7</t>
  </si>
  <si>
    <t>ISeRadL8</t>
  </si>
  <si>
    <t>ISeRadL9</t>
  </si>
  <si>
    <t>ISeRadL10</t>
  </si>
  <si>
    <t>ISeRadL11</t>
  </si>
  <si>
    <t>ISeRadL12</t>
  </si>
  <si>
    <t>ISeRadL13</t>
  </si>
  <si>
    <t>ISeRadL14</t>
  </si>
  <si>
    <t>ISeRadL15</t>
  </si>
  <si>
    <t>ISeRadL16</t>
  </si>
  <si>
    <t>ISeRadL17</t>
  </si>
  <si>
    <t>ISeRadL18</t>
  </si>
  <si>
    <t>ISeRadL19</t>
  </si>
  <si>
    <t>ISeRadL20</t>
  </si>
  <si>
    <t>ISeRadL21</t>
  </si>
  <si>
    <t>ISeRadL22</t>
  </si>
  <si>
    <t>ISeRadL23</t>
  </si>
  <si>
    <t>ISeRadL24</t>
  </si>
  <si>
    <t>ISeRadL25</t>
  </si>
  <si>
    <t>ISeRadL26</t>
  </si>
  <si>
    <t>ISeRadL27</t>
  </si>
  <si>
    <t>DSRadR1</t>
  </si>
  <si>
    <t>DSRad1</t>
  </si>
  <si>
    <t>DSRadR2</t>
  </si>
  <si>
    <t>DSRad2</t>
  </si>
  <si>
    <t>DSRadR3</t>
  </si>
  <si>
    <t>DSRad3</t>
  </si>
  <si>
    <t>DSRadR4</t>
  </si>
  <si>
    <t>DSRad4</t>
  </si>
  <si>
    <t>DSRadR5</t>
  </si>
  <si>
    <t>DSRad5</t>
  </si>
  <si>
    <t>DSRadR6</t>
  </si>
  <si>
    <t>DSRad6</t>
  </si>
  <si>
    <t>DSRadR7</t>
  </si>
  <si>
    <t>DSRad7</t>
  </si>
  <si>
    <t>DSRadR8</t>
  </si>
  <si>
    <t>DSRad8</t>
  </si>
  <si>
    <t>DSRadR9</t>
  </si>
  <si>
    <t>DSRad9</t>
  </si>
  <si>
    <t>DSRadR10</t>
  </si>
  <si>
    <t>DSRad10</t>
  </si>
  <si>
    <t>DSRadR11</t>
  </si>
  <si>
    <t>DSRad11</t>
  </si>
  <si>
    <t>DSRadR12</t>
  </si>
  <si>
    <t>DSRad12</t>
  </si>
  <si>
    <t>DSRadR13</t>
  </si>
  <si>
    <t>DSRad13</t>
  </si>
  <si>
    <t>DSRadR14</t>
  </si>
  <si>
    <t>DSRad14</t>
  </si>
  <si>
    <t>DSRadR15</t>
  </si>
  <si>
    <t>DSRad15</t>
  </si>
  <si>
    <t>DSRadR16</t>
  </si>
  <si>
    <t>DSRad16</t>
  </si>
  <si>
    <t>DSRadR17</t>
  </si>
  <si>
    <t>DSRad17</t>
  </si>
  <si>
    <t>DSRadR18</t>
  </si>
  <si>
    <t>DSRad18</t>
  </si>
  <si>
    <t>DSRadR19</t>
  </si>
  <si>
    <t>DSRad19</t>
  </si>
  <si>
    <t>DSRadR20</t>
  </si>
  <si>
    <t>DSRad20</t>
  </si>
  <si>
    <t>DSRadR21</t>
  </si>
  <si>
    <t>DSRad21</t>
  </si>
  <si>
    <t>DSRadR22</t>
  </si>
  <si>
    <t>DSRad22</t>
  </si>
  <si>
    <t>DSRadR23</t>
  </si>
  <si>
    <t>DSRad23</t>
  </si>
  <si>
    <t>DSRadR24</t>
  </si>
  <si>
    <t>DSRad24</t>
  </si>
  <si>
    <t>DSRadR25</t>
  </si>
  <si>
    <t>DSRad25</t>
  </si>
  <si>
    <t>DSRadR26</t>
  </si>
  <si>
    <t>DSRad26</t>
  </si>
  <si>
    <t>DSRadR27</t>
  </si>
  <si>
    <t>DSRad27</t>
  </si>
  <si>
    <t>DSRadA1</t>
  </si>
  <si>
    <t>DSRadA2</t>
  </si>
  <si>
    <t>DSRadA3</t>
  </si>
  <si>
    <t>DSRadA4</t>
  </si>
  <si>
    <t>DSRadA5</t>
  </si>
  <si>
    <t>DSRadA6</t>
  </si>
  <si>
    <t>DSRadA7</t>
  </si>
  <si>
    <t>DSRadA8</t>
  </si>
  <si>
    <t>DSRadA9</t>
  </si>
  <si>
    <t>DSRadA10</t>
  </si>
  <si>
    <t>DSRadA11</t>
  </si>
  <si>
    <t>DSRadA12</t>
  </si>
  <si>
    <t>DSRadA13</t>
  </si>
  <si>
    <t>DSRadA14</t>
  </si>
  <si>
    <t>DSRadA15</t>
  </si>
  <si>
    <t>DSRadA16</t>
  </si>
  <si>
    <t>DSRadA17</t>
  </si>
  <si>
    <t>DSRadA18</t>
  </si>
  <si>
    <t>DSRadA19</t>
  </si>
  <si>
    <t>DSRadA20</t>
  </si>
  <si>
    <t>DSRadA21</t>
  </si>
  <si>
    <t>DSRadA22</t>
  </si>
  <si>
    <t>DSRadA23</t>
  </si>
  <si>
    <t>DSRadA24</t>
  </si>
  <si>
    <t>DSRadA25</t>
  </si>
  <si>
    <t>DSRadA26</t>
  </si>
  <si>
    <t>DSRadA27</t>
  </si>
  <si>
    <t>DSRadL1</t>
  </si>
  <si>
    <t>DSRadL2</t>
  </si>
  <si>
    <t>DSRadL3</t>
  </si>
  <si>
    <t>DSRadL4</t>
  </si>
  <si>
    <t>DSRadL5</t>
  </si>
  <si>
    <t>DSRadL6</t>
  </si>
  <si>
    <t>DSRadL7</t>
  </si>
  <si>
    <t>DSRadL8</t>
  </si>
  <si>
    <t>DSRadL9</t>
  </si>
  <si>
    <t>DSRadL10</t>
  </si>
  <si>
    <t>DSRadL11</t>
  </si>
  <si>
    <t>DSRadL12</t>
  </si>
  <si>
    <t>DSRadL13</t>
  </si>
  <si>
    <t>DSRadL14</t>
  </si>
  <si>
    <t>DSRadL15</t>
  </si>
  <si>
    <t>DSRadL16</t>
  </si>
  <si>
    <t>DSRadL17</t>
  </si>
  <si>
    <t>DSRadL18</t>
  </si>
  <si>
    <t>DSRadL19</t>
  </si>
  <si>
    <t>DSRadL20</t>
  </si>
  <si>
    <t>DSRadL21</t>
  </si>
  <si>
    <t>DSRadL22</t>
  </si>
  <si>
    <t>DSRadL23</t>
  </si>
  <si>
    <t>DSRadL24</t>
  </si>
  <si>
    <t>DSRadL25</t>
  </si>
  <si>
    <t>DSRadL26</t>
  </si>
  <si>
    <t>DSRadL27</t>
  </si>
  <si>
    <t>reinf angle</t>
  </si>
  <si>
    <t>Int reinf oR</t>
  </si>
  <si>
    <t>ext reinf iR</t>
  </si>
  <si>
    <t>Ext reinf oR</t>
  </si>
  <si>
    <t>ISeFV_L_start_Hoffset</t>
  </si>
  <si>
    <t>ISeFV_L_start_lup</t>
  </si>
  <si>
    <t>ISeFV_L_stop_ldown</t>
  </si>
  <si>
    <t>ISeFV_R_start_Hoffset</t>
  </si>
  <si>
    <t>ISeFV_R_start_lup</t>
  </si>
  <si>
    <t>ISeFV_R_stop_ldown</t>
  </si>
  <si>
    <t>ISeFH_hi_start_Voffset</t>
  </si>
  <si>
    <t>ISeFH_hi_start_lright</t>
  </si>
  <si>
    <t>ISeFH_lo_start_Voffset</t>
  </si>
  <si>
    <t>ISeFH_lo_start_lright</t>
  </si>
  <si>
    <t>ISeFV_L_Hoffset</t>
  </si>
  <si>
    <t>ISeFV_L_lup</t>
  </si>
  <si>
    <t>ISeFV_R_Hoffset</t>
  </si>
  <si>
    <t>ISeFV_R_lup</t>
  </si>
  <si>
    <t>ISeFH_hi_Voffset</t>
  </si>
  <si>
    <t>ISeFH_hi_lright</t>
  </si>
  <si>
    <t>ISeFH_lo_Voffset</t>
  </si>
  <si>
    <t>ISeFH_lo_lright</t>
  </si>
  <si>
    <t>ISeFV_L_ldown</t>
  </si>
  <si>
    <t>ISeFV_R_ldown</t>
  </si>
  <si>
    <t>t3R30</t>
  </si>
  <si>
    <t>t4R31</t>
  </si>
  <si>
    <t>b1R32</t>
  </si>
  <si>
    <t>b2R33</t>
  </si>
  <si>
    <t>b3R34</t>
  </si>
  <si>
    <t>b4R35</t>
  </si>
  <si>
    <t>t3A30</t>
  </si>
  <si>
    <t>t4A31</t>
  </si>
  <si>
    <t>b1A32</t>
  </si>
  <si>
    <t>b2A33</t>
  </si>
  <si>
    <t>b3A34</t>
  </si>
  <si>
    <t>b4A35</t>
  </si>
  <si>
    <t>t3L30</t>
  </si>
  <si>
    <t>t4L31</t>
  </si>
  <si>
    <t>b1L32</t>
  </si>
  <si>
    <t>b2L33</t>
  </si>
  <si>
    <t>b3L34</t>
  </si>
  <si>
    <t>b4L35</t>
  </si>
  <si>
    <t>t4</t>
  </si>
  <si>
    <t>no Side Reinf</t>
  </si>
  <si>
    <t>No_SidePlate_reinf</t>
  </si>
  <si>
    <t>SidePlate_reinf_dist</t>
  </si>
  <si>
    <t>y+ diff</t>
  </si>
  <si>
    <t>y- diff</t>
  </si>
  <si>
    <t>Rad reinf weight</t>
  </si>
  <si>
    <t>if entire inlet fits inside house construction is unchanged, else entire cone is outside the house connected to M. K is set to 0.</t>
  </si>
  <si>
    <t>Min (Q) reinf area</t>
  </si>
  <si>
    <t>ISP T factor</t>
  </si>
  <si>
    <t>Thicker ISP req.</t>
  </si>
  <si>
    <t>ISP_T req</t>
  </si>
  <si>
    <t>SFX BOTTOM</t>
  </si>
  <si>
    <t>L_SFX</t>
  </si>
  <si>
    <t>R_SFX</t>
  </si>
  <si>
    <t>U120</t>
  </si>
  <si>
    <t>inlet_D_ext</t>
  </si>
  <si>
    <t>Internal Inlet Cone D, outer diameter</t>
  </si>
  <si>
    <t>External Inlet Cone diameter, outer diameter</t>
  </si>
  <si>
    <t>inl_d_in clear</t>
  </si>
  <si>
    <t>Reinf_HousePT (used for reinf calc only)</t>
  </si>
  <si>
    <t>A50</t>
  </si>
  <si>
    <t>length reinf vector-inters</t>
  </si>
  <si>
    <t>length HF vector-inters</t>
  </si>
  <si>
    <t>Reg</t>
  </si>
  <si>
    <t>m3/hr</t>
  </si>
  <si>
    <t>Temp</t>
  </si>
  <si>
    <t>Fan Data &amp; Specs</t>
  </si>
  <si>
    <t>System Weight (safe) incl. Motor</t>
  </si>
  <si>
    <t>no_Blades</t>
  </si>
  <si>
    <t>Motor Data, Details</t>
  </si>
  <si>
    <t>Hub  ext Diameter Mult.</t>
  </si>
  <si>
    <t>Hub  int Diameter Mult.</t>
  </si>
  <si>
    <t>House mat</t>
  </si>
  <si>
    <t>Frame mat</t>
  </si>
  <si>
    <t>Impeller mat</t>
  </si>
  <si>
    <t>Distance Impeller House, DIHo</t>
  </si>
  <si>
    <t>Impeller Derived data</t>
  </si>
  <si>
    <t>Impeller Construction Data</t>
  </si>
  <si>
    <t>House Construction Data</t>
  </si>
  <si>
    <t>int_Ring_TW</t>
  </si>
  <si>
    <t>ext_Ring_TW</t>
  </si>
  <si>
    <t>possible imp mat</t>
  </si>
  <si>
    <t>AISI316L</t>
  </si>
  <si>
    <t>AISI304, REG</t>
  </si>
  <si>
    <t>AISI304, HS</t>
  </si>
  <si>
    <t>AISI2205, REG</t>
  </si>
  <si>
    <t>AISI2205, HS</t>
  </si>
  <si>
    <t>AISI321</t>
  </si>
  <si>
    <t>E_Nmm2</t>
  </si>
  <si>
    <t>measOP @ max power</t>
  </si>
  <si>
    <t>max OP</t>
  </si>
  <si>
    <t>min OP (rev @ 1/5 OP power)</t>
  </si>
  <si>
    <t>Fan type</t>
  </si>
  <si>
    <t>AISI304L, REG</t>
  </si>
  <si>
    <t>AISI304L, HS</t>
  </si>
  <si>
    <t>AISI316L, REG</t>
  </si>
  <si>
    <t>AISI316L, HS</t>
  </si>
  <si>
    <t>FanData</t>
  </si>
  <si>
    <t>Fan_type</t>
  </si>
  <si>
    <t>Impeller_type</t>
  </si>
  <si>
    <t>Drive_type</t>
  </si>
  <si>
    <t>min_Blade_T</t>
  </si>
  <si>
    <t>no_int_Rings</t>
  </si>
  <si>
    <t>int_Ring_T_ax</t>
  </si>
  <si>
    <t>int_Ring_D_rad</t>
  </si>
  <si>
    <t>no_ext_Rings</t>
  </si>
  <si>
    <t>ext_Ring_T_ax</t>
  </si>
  <si>
    <t>ext_Ring_D_rad</t>
  </si>
  <si>
    <t>rho_medium</t>
  </si>
  <si>
    <t>Blade_Ring_mat</t>
  </si>
  <si>
    <t>Cone_D</t>
  </si>
  <si>
    <t>Cone_T</t>
  </si>
  <si>
    <t>Cone_H</t>
  </si>
  <si>
    <t>House_mat</t>
  </si>
  <si>
    <t>Frame_mat</t>
  </si>
  <si>
    <t>Impeller_mat</t>
  </si>
  <si>
    <t>Imp type</t>
  </si>
  <si>
    <t>modified d_2</t>
  </si>
  <si>
    <t>HOUSE_B_ins</t>
  </si>
  <si>
    <t>HOUSE_C_ins</t>
  </si>
  <si>
    <t>BOM:170816</t>
  </si>
  <si>
    <t>House_B_ins</t>
  </si>
  <si>
    <t>House_C_ins</t>
  </si>
  <si>
    <t>HouseB_ins</t>
  </si>
  <si>
    <t>HouseC_ins</t>
  </si>
  <si>
    <t>SupportPlateOD</t>
  </si>
  <si>
    <t>SupportPlateID</t>
  </si>
  <si>
    <t>SupportPlateT</t>
  </si>
  <si>
    <t>Circ angle incr</t>
  </si>
  <si>
    <t>BPHoley</t>
  </si>
  <si>
    <t>Hole Clearance factor</t>
  </si>
  <si>
    <t>BPHole</t>
  </si>
  <si>
    <t>HFL top</t>
  </si>
  <si>
    <t>HFR top</t>
  </si>
  <si>
    <t>HFR bottom, small F</t>
  </si>
  <si>
    <t>Central Frame Side Rad. Reinf (LG, 0, 0)</t>
  </si>
  <si>
    <t xml:space="preserve"> BOTTOM &amp; SUPPORT</t>
  </si>
  <si>
    <t>unit vectors (x,y)</t>
  </si>
  <si>
    <t>CFV TOP L (os)</t>
  </si>
  <si>
    <t>CFV TOP R (os)</t>
  </si>
  <si>
    <t>CFH Hi (os)</t>
  </si>
  <si>
    <t>HOUSE side plate reinf. (LG, 0, 0)</t>
  </si>
  <si>
    <t>House area(CF side)</t>
  </si>
  <si>
    <t>House os area</t>
  </si>
  <si>
    <t>Raw plate area</t>
  </si>
  <si>
    <t>InletHole_D</t>
  </si>
  <si>
    <t>Impellerhole_D</t>
  </si>
  <si>
    <t>BPHoleD</t>
  </si>
  <si>
    <t>FPHoleD</t>
  </si>
  <si>
    <t>SPoD y</t>
  </si>
  <si>
    <t>SPiD y</t>
  </si>
  <si>
    <t>Support Plate Side Int Frame (LG, 0, 0)</t>
  </si>
  <si>
    <t>Support Plate Side Ext Reinf (LG, 0, 0)</t>
  </si>
  <si>
    <t>Support Plate Side Int Reinf (LG, 0, 0)</t>
  </si>
  <si>
    <t>Support Plate Side Ext Frame</t>
  </si>
  <si>
    <t>Small_F</t>
  </si>
  <si>
    <t>Support Plate side Ext Frame (LG, 0, 0)</t>
  </si>
  <si>
    <t>Support Plate Side Ext Rad. Reinf (LG, 0, 0)</t>
  </si>
  <si>
    <t>Support Plate Side Int Rad. Reinf (LG, 0, 0)</t>
  </si>
  <si>
    <t xml:space="preserve">Filtered for Ext Frame interference </t>
  </si>
  <si>
    <t>OblW</t>
  </si>
  <si>
    <t>SP Side extF V L (LG, 0, 0)</t>
  </si>
  <si>
    <t>SP Side extF V R (LG, 0, 0)</t>
  </si>
  <si>
    <t>SP Side eFV L start</t>
  </si>
  <si>
    <t>SP Side eFV L stop</t>
  </si>
  <si>
    <t>SP Side eFV R start</t>
  </si>
  <si>
    <t>SP Side eFV R stop</t>
  </si>
  <si>
    <t>SP Side extF H hi (LG, 0, 0)</t>
  </si>
  <si>
    <t>SP Side extF H lo (LG, 0, 0)</t>
  </si>
  <si>
    <t>SP Side eFH hi start</t>
  </si>
  <si>
    <t>SP Side eFH hi stop</t>
  </si>
  <si>
    <t>SP Side eFH lo start</t>
  </si>
  <si>
    <t>SP Side eFH lo stop</t>
  </si>
  <si>
    <t>SP Side intF V L (LG, 0, 0)</t>
  </si>
  <si>
    <t>SP Side intF V R (LG, 0, 0)</t>
  </si>
  <si>
    <t>SP Side iFV L start</t>
  </si>
  <si>
    <t>SP Side iFV L stop</t>
  </si>
  <si>
    <t>SP Side iFV R start</t>
  </si>
  <si>
    <t>SP Side iFV R stop</t>
  </si>
  <si>
    <t>SP Side intF H hi (LG, 0, 0)</t>
  </si>
  <si>
    <t>SP Side intF H lo (LG, 0, 0)</t>
  </si>
  <si>
    <t>SP Side iFH hi start</t>
  </si>
  <si>
    <t>SP Side iFH hi stop</t>
  </si>
  <si>
    <t>SP Side iFH lo start</t>
  </si>
  <si>
    <t>SP Side iFH lo stop</t>
  </si>
  <si>
    <t>SPSiFVL</t>
  </si>
  <si>
    <t>SPSiFVR</t>
  </si>
  <si>
    <t>SPSiFHhi</t>
  </si>
  <si>
    <t>SPSiFHlo</t>
  </si>
  <si>
    <t>SPSiFOuL</t>
  </si>
  <si>
    <t>SPSiFOuR</t>
  </si>
  <si>
    <t>SPSiFOloR</t>
  </si>
  <si>
    <t>SPSiFOloL</t>
  </si>
  <si>
    <t>SPSeFOuL</t>
  </si>
  <si>
    <t>SPSeFOuR</t>
  </si>
  <si>
    <t>SPSeFOloR</t>
  </si>
  <si>
    <t>SPSeFOloL</t>
  </si>
  <si>
    <t>int_reinf_req</t>
  </si>
  <si>
    <t>y-corr</t>
  </si>
  <si>
    <t>y+corr</t>
  </si>
  <si>
    <t>SPV TOP L (os)</t>
  </si>
  <si>
    <t>SPV TOP R (os)</t>
  </si>
  <si>
    <t>SPV BOT L (os)</t>
  </si>
  <si>
    <t>SPV BOT R (os)</t>
  </si>
  <si>
    <t>SPH Hi (os)</t>
  </si>
  <si>
    <t>SPH Lo (os)</t>
  </si>
  <si>
    <t>SPS ext rad W</t>
  </si>
  <si>
    <t>OblFW</t>
  </si>
  <si>
    <t>ExtFW</t>
  </si>
  <si>
    <t>IntFW</t>
  </si>
  <si>
    <t>Int rad W</t>
  </si>
  <si>
    <t>type</t>
  </si>
  <si>
    <t>CFV L</t>
  </si>
  <si>
    <t>CFV R</t>
  </si>
  <si>
    <t>CFH Hi</t>
  </si>
  <si>
    <t>CFV Lo</t>
  </si>
  <si>
    <t>CFV W</t>
  </si>
  <si>
    <t>Lstart</t>
  </si>
  <si>
    <t>Rstart</t>
  </si>
  <si>
    <t>Lstop</t>
  </si>
  <si>
    <t>Rstop</t>
  </si>
  <si>
    <t>CFV lo/SFX L (os)</t>
  </si>
  <si>
    <t>CFV lo/SFX R (os)</t>
  </si>
  <si>
    <t>CFH lo/SFX (os)</t>
  </si>
  <si>
    <t>House Area(H,R,ISP,F)</t>
  </si>
  <si>
    <t>House Weight (incl ISP,R,Flange excl inlet)</t>
  </si>
  <si>
    <t>Inlet Weight (incl Inlet cone,Flange)</t>
  </si>
  <si>
    <t>SP W</t>
  </si>
  <si>
    <t>SPS W</t>
  </si>
  <si>
    <t>Inlet Area(IC,F)</t>
  </si>
  <si>
    <t>Area</t>
  </si>
  <si>
    <t>Reinf req</t>
  </si>
  <si>
    <t>Rad reinf req</t>
  </si>
  <si>
    <t>House area(SP side)</t>
  </si>
  <si>
    <t>Max unreinf area allowed</t>
  </si>
  <si>
    <t>CF_smallF_xy_pos</t>
  </si>
  <si>
    <t>x-a, 0 rot</t>
  </si>
  <si>
    <t>y-b, 0 rot</t>
  </si>
  <si>
    <t>x-a</t>
  </si>
  <si>
    <t>x, 0 rot</t>
  </si>
  <si>
    <t>y, 0 rot</t>
  </si>
  <si>
    <t>xstart, 0 rot</t>
  </si>
  <si>
    <t>ystart, 0 rot</t>
  </si>
  <si>
    <t>xstop, 0 rot</t>
  </si>
  <si>
    <t>ystop, 0 rot</t>
  </si>
  <si>
    <t>angle (0:2*pi())</t>
  </si>
  <si>
    <t>angle (0:2*pi)</t>
  </si>
  <si>
    <t>ISet1R28</t>
  </si>
  <si>
    <t>ISet2R29</t>
  </si>
  <si>
    <t>ISet3R30</t>
  </si>
  <si>
    <t>ISet4R31</t>
  </si>
  <si>
    <t>ISeb1R32</t>
  </si>
  <si>
    <t>ISeb2R33</t>
  </si>
  <si>
    <t>ISeb3R34</t>
  </si>
  <si>
    <t>ISeb4R35</t>
  </si>
  <si>
    <t>ISet1A28</t>
  </si>
  <si>
    <t>ISet2A29</t>
  </si>
  <si>
    <t>ISet3A30</t>
  </si>
  <si>
    <t>ISet4A31</t>
  </si>
  <si>
    <t>ISeb1A32</t>
  </si>
  <si>
    <t>ISeb2A33</t>
  </si>
  <si>
    <t>ISeb3A34</t>
  </si>
  <si>
    <t>ISeb4A35</t>
  </si>
  <si>
    <t>ISet1L28</t>
  </si>
  <si>
    <t>ISet2L29</t>
  </si>
  <si>
    <t>ISet3L30</t>
  </si>
  <si>
    <t>ISet4L31</t>
  </si>
  <si>
    <t>ISeb1L32</t>
  </si>
  <si>
    <t>ISeb2L33</t>
  </si>
  <si>
    <t>ISeb3L34</t>
  </si>
  <si>
    <t>ISeb4L35</t>
  </si>
  <si>
    <t>AMa</t>
  </si>
  <si>
    <t>AMb</t>
  </si>
  <si>
    <t>Amoi1</t>
  </si>
  <si>
    <t>Amoi3</t>
  </si>
  <si>
    <t>I1</t>
  </si>
  <si>
    <t>I3</t>
  </si>
  <si>
    <t>Scom</t>
  </si>
  <si>
    <t>Dyn Crit speed</t>
  </si>
  <si>
    <t>rownumber</t>
  </si>
  <si>
    <t>Stat Critical Speed</t>
  </si>
  <si>
    <t>Dyn Critical Speed</t>
  </si>
  <si>
    <t>AMm</t>
  </si>
  <si>
    <t>Imoi_3</t>
  </si>
  <si>
    <t>Imoi_1</t>
  </si>
  <si>
    <t>CF Reinf req</t>
  </si>
  <si>
    <t>HOUSE outside (LG, 0, 0), DRIVE VIEW</t>
  </si>
  <si>
    <t>Area ins CF reinf</t>
  </si>
  <si>
    <t>R ins CF reinf</t>
  </si>
  <si>
    <t>Ext reinf avg oR</t>
  </si>
  <si>
    <t>Version control</t>
  </si>
  <si>
    <t>Worksheet Calc</t>
  </si>
  <si>
    <t>IFB parameter</t>
  </si>
  <si>
    <t>Generator</t>
  </si>
  <si>
    <t>BJ2_index</t>
  </si>
  <si>
    <t>MJ_2</t>
  </si>
  <si>
    <t>stdJ_2</t>
  </si>
  <si>
    <t>sysJ2_index</t>
  </si>
  <si>
    <t>changed small_F reinf angle calc to start @ 2pi.</t>
  </si>
  <si>
    <t>offset/radius</t>
  </si>
  <si>
    <t>L/dwn</t>
  </si>
  <si>
    <t>R/up</t>
  </si>
  <si>
    <t>ISeFO_uL_offset</t>
  </si>
  <si>
    <t>ISeFO_uR_offset</t>
  </si>
  <si>
    <t>ISeFO_loR_offset</t>
  </si>
  <si>
    <t>ISeFO_loL_offset</t>
  </si>
  <si>
    <t>ISeFO_uL_down</t>
  </si>
  <si>
    <t>ISeFO_uR_down</t>
  </si>
  <si>
    <t>ISeFO_loR_down</t>
  </si>
  <si>
    <t>ISeFO_loL_down</t>
  </si>
  <si>
    <t>ISeFO_uL_up</t>
  </si>
  <si>
    <t>ISeFO_uR_up</t>
  </si>
  <si>
    <t>ISeFO_loR_up</t>
  </si>
  <si>
    <t>ISeFO_loL_up</t>
  </si>
  <si>
    <t>HBPHoleD</t>
  </si>
  <si>
    <t>Diameter of Hole in Backplate</t>
  </si>
  <si>
    <t>changed normal F DS reinf to always start @ alpfastart.</t>
  </si>
  <si>
    <t>Changed Obl reinf to offset/up/down. Fixed FrontPlatehole D bug, added BackPlateholeD.</t>
  </si>
  <si>
    <t>added stdCH, BJ2_index. Changed BF to always use std position(LG,0) for BFRA calc and actual pos for calc of MFRA. If MF&lt;BF use BF overall.</t>
  </si>
  <si>
    <t>stdCH (LG,0)</t>
  </si>
  <si>
    <t>Fixed stdCH bug</t>
  </si>
  <si>
    <t>171024-1</t>
  </si>
  <si>
    <t>Fixed AADst initialization error in macro</t>
  </si>
  <si>
    <t>RF stop</t>
  </si>
  <si>
    <t>Rreinf</t>
  </si>
  <si>
    <t>LF stop</t>
  </si>
  <si>
    <t>Lreinf</t>
  </si>
  <si>
    <t>Reinf avg oR</t>
  </si>
  <si>
    <t>Reinf oR</t>
  </si>
  <si>
    <t>House avg oR</t>
  </si>
  <si>
    <t>Refined calc of reinf avg oR. Corrected calc of CF areas, and house avg oR</t>
  </si>
  <si>
    <t>Min/Max vib Dampers</t>
  </si>
  <si>
    <t>Load NSC macro created, incl Template</t>
  </si>
  <si>
    <t>Iron type</t>
  </si>
  <si>
    <t>H_radRe</t>
  </si>
  <si>
    <t>H_rad_Re</t>
  </si>
  <si>
    <t>SU</t>
  </si>
  <si>
    <t>H_extF_SURe</t>
  </si>
  <si>
    <t>SPSeFVL_i</t>
  </si>
  <si>
    <t>SPSeFVL_o</t>
  </si>
  <si>
    <t>SPSeFVR_i</t>
  </si>
  <si>
    <t>SPSeFVR_o</t>
  </si>
  <si>
    <t>SPSeFHhi_i</t>
  </si>
  <si>
    <t>SPSeFHhi_o</t>
  </si>
  <si>
    <t>SPSeFHlo_i</t>
  </si>
  <si>
    <t>SPSeFHlo_o</t>
  </si>
  <si>
    <t>re_distmult</t>
  </si>
  <si>
    <t>SP eF xy pos (ins)</t>
  </si>
  <si>
    <t>SP iF xy pos (ins)</t>
  </si>
  <si>
    <t>L limit</t>
  </si>
  <si>
    <t>dist limit</t>
  </si>
  <si>
    <t>kf/d^4</t>
  </si>
  <si>
    <t>hz</t>
  </si>
  <si>
    <t>Corrected calc of dyn crit freq to MathCad algorithm. Changed level of min crit V rpm to 1.1. Changed calc of min re area. Checked against MathCad</t>
  </si>
  <si>
    <t>res freq.</t>
  </si>
  <si>
    <t>SPMin reinf area</t>
  </si>
  <si>
    <t>CFMin reinf area</t>
  </si>
  <si>
    <t>changed SFmin reinf area &amp; angle calc in startangle. Thickness of mtr, btr plates</t>
  </si>
  <si>
    <t>Re dist mult</t>
  </si>
  <si>
    <t>I_2</t>
  </si>
  <si>
    <t>I_3</t>
  </si>
  <si>
    <t>mu</t>
  </si>
  <si>
    <t>kf</t>
  </si>
  <si>
    <t>kt</t>
  </si>
  <si>
    <t>sqrt</t>
  </si>
  <si>
    <t>fact</t>
  </si>
  <si>
    <t>Kstat</t>
  </si>
  <si>
    <t>Changed calc of crit speeds in bearing selection to be based on eigenvector calcs from MathCad. Changed iteration speed to Stat_CS in macro. Changed crit V speed factor to 1.00. Removed round in calcs of min reinf areas.</t>
  </si>
  <si>
    <t>MFTr1Hefactor</t>
  </si>
  <si>
    <t>MFTr1_Hefactor</t>
  </si>
  <si>
    <t>MFTr2_Hefactor</t>
  </si>
  <si>
    <t>MFTr2Hefactor</t>
  </si>
  <si>
    <t>BFTr1Hefactor</t>
  </si>
  <si>
    <t>BFTr1_Hefactor</t>
  </si>
  <si>
    <t>BFTr2Hefactor</t>
  </si>
  <si>
    <t>BFTr2_Hefactor</t>
  </si>
  <si>
    <t>MFTr1_h</t>
  </si>
  <si>
    <t>MFTr2_h</t>
  </si>
  <si>
    <t>Height (y) of MFTr1</t>
  </si>
  <si>
    <t>Height (y) of MFTr2</t>
  </si>
  <si>
    <t>BFTr5_h</t>
  </si>
  <si>
    <t>Height (y) of BFTr5</t>
  </si>
  <si>
    <t>BFTr6_h</t>
  </si>
  <si>
    <t>Height (y) of BFTr6</t>
  </si>
  <si>
    <t>Added and changed M(B)FTr1,2(5,6)_Hefactor. Changed M(B)FTr plate T. Set M(B)Tr2(6)_Hefactor to 0. Added Imoi_1 to Direct axle calc.</t>
  </si>
  <si>
    <t>23234CCK/W33</t>
  </si>
  <si>
    <t>23236CCK/W33</t>
  </si>
  <si>
    <t>23238CCK/W33</t>
  </si>
  <si>
    <t>23240CCK/W33</t>
  </si>
  <si>
    <t>23244CCK/W33</t>
  </si>
  <si>
    <t>23248CCK/W33</t>
  </si>
  <si>
    <t>Correct bearing data in rows 103-108 from Alan (mail 171227). Added house vertical reinf type.</t>
  </si>
  <si>
    <t xml:space="preserve">Corrected orientation of IS Ext reinf </t>
  </si>
  <si>
    <t>ISeFV_L_B</t>
  </si>
  <si>
    <t>ISeFV_L_T</t>
  </si>
  <si>
    <t>ISeFV_R_B</t>
  </si>
  <si>
    <t>ISeFV_R_T</t>
  </si>
  <si>
    <t>ISeFH_hi_B</t>
  </si>
  <si>
    <t>ISeFH_hi_T</t>
  </si>
  <si>
    <t>ISeFH_lo_B</t>
  </si>
  <si>
    <t>ISeFH_lo_T</t>
  </si>
  <si>
    <t>IS_Rad_reinforcement_B</t>
  </si>
  <si>
    <t>IS_Rad_reinforcement_T</t>
  </si>
  <si>
    <t>H_side_reinforcement_T</t>
  </si>
  <si>
    <t>H_side_reinforcement_B</t>
  </si>
  <si>
    <t>House Standard Reinf</t>
  </si>
  <si>
    <t>House STD Reinf</t>
  </si>
  <si>
    <t>House SU Reinf</t>
  </si>
  <si>
    <t>Name</t>
  </si>
  <si>
    <t>Present</t>
  </si>
  <si>
    <t>ISextFrame_Vreinf_L</t>
  </si>
  <si>
    <t>ISextFrame_Vreinf_R</t>
  </si>
  <si>
    <t>ISextFrame_Hreinf_hi</t>
  </si>
  <si>
    <t>ISextFrame_Hreinf_lo</t>
  </si>
  <si>
    <t>ISextFrame_Oreinf_uL</t>
  </si>
  <si>
    <t>DSRadReinf</t>
  </si>
  <si>
    <t>DSextFrame_Vreinf_L</t>
  </si>
  <si>
    <t>DSeFV_L_B</t>
  </si>
  <si>
    <t>DSeFV_L_T</t>
  </si>
  <si>
    <t>DSeFV_L_Hoffset</t>
  </si>
  <si>
    <t>DSeFV_L_start_Hoffset</t>
  </si>
  <si>
    <t>DSeFV_L_lup</t>
  </si>
  <si>
    <t>DSeFV_L_start_lup</t>
  </si>
  <si>
    <t>DSeFV_L_ldown</t>
  </si>
  <si>
    <t>DSeFV_L_stop_ldown</t>
  </si>
  <si>
    <t>DSextFrame_Vreinf_R</t>
  </si>
  <si>
    <t>DSeFV_R_B</t>
  </si>
  <si>
    <t>DSeFV_R_T</t>
  </si>
  <si>
    <t>DSeFV_R_Hoffset</t>
  </si>
  <si>
    <t>DSeFV_R_start_Hoffset</t>
  </si>
  <si>
    <t>DSeFV_R_lup</t>
  </si>
  <si>
    <t>DSeFV_R_start_lup</t>
  </si>
  <si>
    <t>DSeFV_R_ldown</t>
  </si>
  <si>
    <t>DSeFV_R_stop_ldown</t>
  </si>
  <si>
    <t>DSextFrame_Hreinf_hi</t>
  </si>
  <si>
    <t>DSeFH_hi_B</t>
  </si>
  <si>
    <t>DSeFH_hi_T</t>
  </si>
  <si>
    <t>DSeFH_hi_Voffset</t>
  </si>
  <si>
    <t>DSeFH_hi_start_Voffset</t>
  </si>
  <si>
    <t>DSeFH_hi_lright</t>
  </si>
  <si>
    <t>DSeFH_hi_start_lright</t>
  </si>
  <si>
    <t>DSeFH_hi_lleft</t>
  </si>
  <si>
    <t>DSextFrame_Hreinf_lo</t>
  </si>
  <si>
    <t>DSeFH_lo_B</t>
  </si>
  <si>
    <t>DSeFH_lo_T</t>
  </si>
  <si>
    <t>DSeFH_lo_Voffset</t>
  </si>
  <si>
    <t>DSeFH_lo_start_Voffset</t>
  </si>
  <si>
    <t>DSeFH_lo_lright</t>
  </si>
  <si>
    <t>DSeFH_lo_start_lright</t>
  </si>
  <si>
    <t>DSeFH_lo_lleft</t>
  </si>
  <si>
    <t>DSextFrame_Oreinf_uL</t>
  </si>
  <si>
    <t>DSeFO_uL_offset</t>
  </si>
  <si>
    <t>DSeFO_uL_up</t>
  </si>
  <si>
    <t>DSeFO_uL_down</t>
  </si>
  <si>
    <t>DSeFO_uR_offset</t>
  </si>
  <si>
    <t>DSeFO_uR_up</t>
  </si>
  <si>
    <t>DSeFO_uR_down</t>
  </si>
  <si>
    <t>DSeFO_loR_offset</t>
  </si>
  <si>
    <t>DSeFO_loR_up</t>
  </si>
  <si>
    <t>DSeFO_loR_down</t>
  </si>
  <si>
    <t>DSeFO_loL_offset</t>
  </si>
  <si>
    <t>DSeFO_loL_up</t>
  </si>
  <si>
    <t>DSeFO_loL_down</t>
  </si>
  <si>
    <t>HOUSE REINF.</t>
  </si>
  <si>
    <t>HorizontalHouseFrame</t>
  </si>
  <si>
    <t>HHF_B</t>
  </si>
  <si>
    <t>HHF_t</t>
  </si>
  <si>
    <t>DS_Rad_B</t>
  </si>
  <si>
    <t>DS_Rad_T</t>
  </si>
  <si>
    <t>ISeFO_uL_B</t>
  </si>
  <si>
    <t>ISeFO_uL_T</t>
  </si>
  <si>
    <t>ISeFO_uR_B</t>
  </si>
  <si>
    <t>ISeFO_uR_T</t>
  </si>
  <si>
    <t>ISeFO_loR_B</t>
  </si>
  <si>
    <t>ISeFO_loR_T</t>
  </si>
  <si>
    <t>ISeFO_loL_B</t>
  </si>
  <si>
    <t>ISeFO_loL_T</t>
  </si>
  <si>
    <t>ISextFrame_Oreinf_uR</t>
  </si>
  <si>
    <t>ISextFrame_Oreinf_loL</t>
  </si>
  <si>
    <t>ISextFrame_Oreinf_loR</t>
  </si>
  <si>
    <t>SPiFV_L_start_Hoffset</t>
  </si>
  <si>
    <t>SPiFV_L_start_lup</t>
  </si>
  <si>
    <t>SPiFV_L_stop_ldown</t>
  </si>
  <si>
    <t>SPiFV_R_start_Hoffset</t>
  </si>
  <si>
    <t>SPiFV_R_start_lup</t>
  </si>
  <si>
    <t>SPiFV_R_stop_ldown</t>
  </si>
  <si>
    <t>SPiFH_hi_start_Voffset</t>
  </si>
  <si>
    <t>SPiFH_hi_start_lright</t>
  </si>
  <si>
    <t>SPiFH_hi_stop_lleft</t>
  </si>
  <si>
    <t>SPiFH_lo_start_Voffset</t>
  </si>
  <si>
    <t>SPiFH_lo_start_lright</t>
  </si>
  <si>
    <t>SPiFH_lo_stop_lleft</t>
  </si>
  <si>
    <t>SPiFO_uL_offset</t>
  </si>
  <si>
    <t>SPiFO_uL_up</t>
  </si>
  <si>
    <t>SPiFO_uL_down</t>
  </si>
  <si>
    <t>SPiFO_uR_offset</t>
  </si>
  <si>
    <t>SPiFO_uR_up</t>
  </si>
  <si>
    <t>SPiFO_uR_down</t>
  </si>
  <si>
    <t>SPiFO_loR_offset</t>
  </si>
  <si>
    <t>SPiFO_loR_up</t>
  </si>
  <si>
    <t>SPiFO_loR_down</t>
  </si>
  <si>
    <t>SPiFO_loL_offset</t>
  </si>
  <si>
    <t>SPiFO_loL_up</t>
  </si>
  <si>
    <t>SPiFO_loL_down</t>
  </si>
  <si>
    <t>SPFV_L_Hoffset</t>
  </si>
  <si>
    <t>SPFV_L_lup</t>
  </si>
  <si>
    <t>SPFV_L_ldown</t>
  </si>
  <si>
    <t>SPFV_R_Hoffset</t>
  </si>
  <si>
    <t>SPFV_R_lup</t>
  </si>
  <si>
    <t>SPFV_R_ldown</t>
  </si>
  <si>
    <t>SPFH_hi_Voffset</t>
  </si>
  <si>
    <t>SPFH_hi_lright</t>
  </si>
  <si>
    <t>SPFH_hi_lleft</t>
  </si>
  <si>
    <t>SPFH_lo_Voffset</t>
  </si>
  <si>
    <t>SPFH_lo_lright</t>
  </si>
  <si>
    <t>SPFH_lo_lleft</t>
  </si>
  <si>
    <t>SPFO_uL_offset</t>
  </si>
  <si>
    <t>SPFO_uL_up</t>
  </si>
  <si>
    <t>SPFO_uL_down</t>
  </si>
  <si>
    <t>SPFO_uR_offset</t>
  </si>
  <si>
    <t>SPFO_uR_up</t>
  </si>
  <si>
    <t>SPFO_uR_down</t>
  </si>
  <si>
    <t>SPFO_loR_offset</t>
  </si>
  <si>
    <t>SPFO_loR_up</t>
  </si>
  <si>
    <t>SPFO_loR_down</t>
  </si>
  <si>
    <t>SPFO_loL_offset</t>
  </si>
  <si>
    <t>SPFO_loL_up</t>
  </si>
  <si>
    <t>SPFO_loL_down</t>
  </si>
  <si>
    <t>SPFrame_Vreinf_L</t>
  </si>
  <si>
    <t>SPFrame_Vreinf_R</t>
  </si>
  <si>
    <t>SPFV_L_B</t>
  </si>
  <si>
    <t>SPFV_L_T</t>
  </si>
  <si>
    <t>SPFV_R_B</t>
  </si>
  <si>
    <t>SPFV_R_T</t>
  </si>
  <si>
    <t>SPFrame_Vreinf_hi</t>
  </si>
  <si>
    <t>SPFV_hi_B</t>
  </si>
  <si>
    <t>SPFV_hi_T</t>
  </si>
  <si>
    <t>SPFrame_Vreinf_lo</t>
  </si>
  <si>
    <t>SPFV_lo_B</t>
  </si>
  <si>
    <t>SPFV_lo_T</t>
  </si>
  <si>
    <t>SPFrame_Vreinf_uL</t>
  </si>
  <si>
    <t>SPFV_uL_B</t>
  </si>
  <si>
    <t>SPFV_uL_T</t>
  </si>
  <si>
    <t>SPFrame_Vreinf_uR</t>
  </si>
  <si>
    <t>SPFV_uR_B</t>
  </si>
  <si>
    <t>SPFV_uR_T</t>
  </si>
  <si>
    <t>SPFrame_Vreinf_loR</t>
  </si>
  <si>
    <t>SPFV_loR_B</t>
  </si>
  <si>
    <t>SPFV_loR_T</t>
  </si>
  <si>
    <t>SPFrame_Vreinf_loL</t>
  </si>
  <si>
    <t>SPFV_loL_B</t>
  </si>
  <si>
    <t>SPFV_loL_T</t>
  </si>
  <si>
    <t>SPintRadReinf</t>
  </si>
  <si>
    <t>SPiRad_B</t>
  </si>
  <si>
    <t>SPiRadR2</t>
  </si>
  <si>
    <t>SPiRad_T</t>
  </si>
  <si>
    <t>SPiRadR3</t>
  </si>
  <si>
    <t>SPiRadR1</t>
  </si>
  <si>
    <t>SPiRadR4</t>
  </si>
  <si>
    <t>SPiRadA1</t>
  </si>
  <si>
    <t>SPiRadA5</t>
  </si>
  <si>
    <t>SPiRadA2</t>
  </si>
  <si>
    <t>SPiRadA6</t>
  </si>
  <si>
    <t>SPiRadA3</t>
  </si>
  <si>
    <t>SPiRadA7</t>
  </si>
  <si>
    <t>SPiRadA4</t>
  </si>
  <si>
    <t>SPiRadA8</t>
  </si>
  <si>
    <t>SPiRadL1</t>
  </si>
  <si>
    <t>SPiRadL9</t>
  </si>
  <si>
    <t>SPiRadL2</t>
  </si>
  <si>
    <t>SPiRadL10</t>
  </si>
  <si>
    <t>SPiRadL3</t>
  </si>
  <si>
    <t>SPiRadL11</t>
  </si>
  <si>
    <t>SPiRadL4</t>
  </si>
  <si>
    <t>SPiRadL12</t>
  </si>
  <si>
    <t>ISeFH_hi_llISeFt</t>
  </si>
  <si>
    <t>ISeFH_hi_stop_llISeFt</t>
  </si>
  <si>
    <t>ISeFH_lo_llISeFt</t>
  </si>
  <si>
    <t>ISeFH_lo_stop_llISeFt</t>
  </si>
  <si>
    <t>DSeFH_hi_stop_llDSeFt</t>
  </si>
  <si>
    <t>DSeFH_lo_stop_llDSeFt</t>
  </si>
  <si>
    <t>DSextFrame_Oreinf_uR</t>
  </si>
  <si>
    <t>DSextFrame_Oreinf_loR</t>
  </si>
  <si>
    <t>DSextFrame_Oreinf_loL</t>
  </si>
  <si>
    <t>DSeFO_uL_B</t>
  </si>
  <si>
    <t>DSeFO_uL_T</t>
  </si>
  <si>
    <t>DSeFO_uR_B</t>
  </si>
  <si>
    <t>DSeFO_uR_T</t>
  </si>
  <si>
    <t>DSeFO_loR_B</t>
  </si>
  <si>
    <t>DSeFO_loR_T</t>
  </si>
  <si>
    <t>DSeFO_loL_B</t>
  </si>
  <si>
    <t>DSeFO_loL_T</t>
  </si>
  <si>
    <t>Fixed IFB references and changed names&amp;logic IS, DS, SP data</t>
  </si>
  <si>
    <t>Fixed macro problem in cells 'House reinf, Support Plate Side' q86&amp;q87</t>
  </si>
  <si>
    <t>Fixed Create files macros to copy to row 700. Exchanged "" in IFB to 0. Corrected C-gap for td6 couplings per Terry mail 180201.</t>
  </si>
  <si>
    <t>180202</t>
  </si>
  <si>
    <t>Corrected DCRa5 distance to include possible overhang from bearing</t>
  </si>
  <si>
    <t>Steel</t>
    <phoneticPr fontId="170" type="noConversion"/>
  </si>
  <si>
    <t>IE2</t>
    <phoneticPr fontId="170" type="noConversion"/>
  </si>
  <si>
    <t>Local - Desktop</t>
  </si>
  <si>
    <t>NEW1</t>
  </si>
  <si>
    <t>OLD</t>
  </si>
  <si>
    <r>
      <t>N</t>
    </r>
    <r>
      <rPr>
        <sz val="11"/>
        <color theme="1"/>
        <rFont val="宋体"/>
        <family val="2"/>
        <scheme val="minor"/>
      </rPr>
      <t>EW_company</t>
    </r>
    <phoneticPr fontId="172" type="noConversion"/>
  </si>
  <si>
    <r>
      <t>A</t>
    </r>
    <r>
      <rPr>
        <sz val="11"/>
        <color theme="1"/>
        <rFont val="宋体"/>
        <family val="2"/>
        <scheme val="minor"/>
      </rPr>
      <t>P 160-625</t>
    </r>
    <phoneticPr fontId="172" type="noConversion"/>
  </si>
  <si>
    <t>GT 424-23</t>
    <phoneticPr fontId="172" type="noConversion"/>
  </si>
  <si>
    <t>GT 494-23</t>
    <phoneticPr fontId="172" type="noConversion"/>
  </si>
  <si>
    <t>GT 20X-19X</t>
    <phoneticPr fontId="172" type="noConversion"/>
  </si>
  <si>
    <r>
      <t>G</t>
    </r>
    <r>
      <rPr>
        <sz val="11"/>
        <color theme="1"/>
        <rFont val="宋体"/>
        <family val="2"/>
        <scheme val="minor"/>
      </rPr>
      <t>T 114X-48</t>
    </r>
    <phoneticPr fontId="172" type="noConversion"/>
  </si>
  <si>
    <r>
      <t>G</t>
    </r>
    <r>
      <rPr>
        <sz val="11"/>
        <color theme="1"/>
        <rFont val="宋体"/>
        <family val="2"/>
        <scheme val="minor"/>
      </rPr>
      <t>T 102-35</t>
    </r>
    <phoneticPr fontId="172" type="noConversion"/>
  </si>
  <si>
    <r>
      <t>G</t>
    </r>
    <r>
      <rPr>
        <sz val="11"/>
        <color theme="1"/>
        <rFont val="宋体"/>
        <family val="2"/>
        <scheme val="minor"/>
      </rPr>
      <t>T 107-23</t>
    </r>
    <phoneticPr fontId="172" type="noConversion"/>
  </si>
  <si>
    <r>
      <t>G</t>
    </r>
    <r>
      <rPr>
        <sz val="11"/>
        <color theme="1"/>
        <rFont val="宋体"/>
        <family val="2"/>
        <scheme val="minor"/>
      </rPr>
      <t>T 1021-44</t>
    </r>
    <phoneticPr fontId="172" type="noConversion"/>
  </si>
  <si>
    <r>
      <t>G</t>
    </r>
    <r>
      <rPr>
        <sz val="11"/>
        <color theme="1"/>
        <rFont val="宋体"/>
        <family val="2"/>
        <scheme val="minor"/>
      </rPr>
      <t>T 60-30</t>
    </r>
    <phoneticPr fontId="172" type="noConversion"/>
  </si>
  <si>
    <r>
      <t>G</t>
    </r>
    <r>
      <rPr>
        <sz val="11"/>
        <color theme="1"/>
        <rFont val="宋体"/>
        <family val="2"/>
        <scheme val="minor"/>
      </rPr>
      <t>T 1788-1661</t>
    </r>
    <phoneticPr fontId="172" type="noConversion"/>
  </si>
  <si>
    <r>
      <t>G</t>
    </r>
    <r>
      <rPr>
        <sz val="11"/>
        <color theme="1"/>
        <rFont val="宋体"/>
        <family val="2"/>
        <scheme val="minor"/>
      </rPr>
      <t>T 72-33</t>
    </r>
    <phoneticPr fontId="172" type="noConversion"/>
  </si>
  <si>
    <r>
      <t>G</t>
    </r>
    <r>
      <rPr>
        <sz val="11"/>
        <color theme="1"/>
        <rFont val="宋体"/>
        <family val="2"/>
        <scheme val="minor"/>
      </rPr>
      <t>T 84-34</t>
    </r>
    <phoneticPr fontId="172" type="noConversion"/>
  </si>
  <si>
    <r>
      <t>G</t>
    </r>
    <r>
      <rPr>
        <sz val="11"/>
        <color theme="1"/>
        <rFont val="宋体"/>
        <family val="2"/>
        <scheme val="minor"/>
      </rPr>
      <t>T 90-38</t>
    </r>
    <phoneticPr fontId="172" type="noConversion"/>
  </si>
  <si>
    <r>
      <t>G</t>
    </r>
    <r>
      <rPr>
        <sz val="11"/>
        <color theme="1"/>
        <rFont val="宋体"/>
        <family val="2"/>
        <scheme val="minor"/>
      </rPr>
      <t>T 94-37</t>
    </r>
    <phoneticPr fontId="172" type="noConversion"/>
  </si>
  <si>
    <r>
      <t>G</t>
    </r>
    <r>
      <rPr>
        <sz val="11"/>
        <color theme="1"/>
        <rFont val="宋体"/>
        <family val="2"/>
        <scheme val="minor"/>
      </rPr>
      <t>T 48-30</t>
    </r>
    <phoneticPr fontId="172" type="noConversion"/>
  </si>
  <si>
    <r>
      <t>G</t>
    </r>
    <r>
      <rPr>
        <sz val="11"/>
        <color theme="1"/>
        <rFont val="宋体"/>
        <family val="2"/>
        <scheme val="minor"/>
      </rPr>
      <t>T 64-51</t>
    </r>
    <phoneticPr fontId="172" type="noConversion"/>
  </si>
  <si>
    <r>
      <t>G</t>
    </r>
    <r>
      <rPr>
        <sz val="11"/>
        <color theme="1"/>
        <rFont val="宋体"/>
        <family val="2"/>
        <scheme val="minor"/>
      </rPr>
      <t>T 78-33</t>
    </r>
    <phoneticPr fontId="172" type="noConversion"/>
  </si>
  <si>
    <r>
      <t>G</t>
    </r>
    <r>
      <rPr>
        <sz val="11"/>
        <color theme="1"/>
        <rFont val="宋体"/>
        <family val="2"/>
        <scheme val="minor"/>
      </rPr>
      <t>T 106-44</t>
    </r>
    <phoneticPr fontId="172" type="noConversion"/>
  </si>
  <si>
    <r>
      <t>G</t>
    </r>
    <r>
      <rPr>
        <sz val="11"/>
        <color theme="1"/>
        <rFont val="宋体"/>
        <family val="2"/>
        <scheme val="minor"/>
      </rPr>
      <t>T 50-46</t>
    </r>
    <phoneticPr fontId="172" type="noConversion"/>
  </si>
  <si>
    <r>
      <t>G</t>
    </r>
    <r>
      <rPr>
        <sz val="11"/>
        <color theme="1"/>
        <rFont val="宋体"/>
        <family val="2"/>
        <scheme val="minor"/>
      </rPr>
      <t>T 102-20</t>
    </r>
    <phoneticPr fontId="172" type="noConversion"/>
  </si>
  <si>
    <r>
      <t>G</t>
    </r>
    <r>
      <rPr>
        <sz val="11"/>
        <color theme="1"/>
        <rFont val="宋体"/>
        <family val="2"/>
        <scheme val="minor"/>
      </rPr>
      <t>T 88-34</t>
    </r>
    <phoneticPr fontId="172" type="noConversion"/>
  </si>
  <si>
    <r>
      <t>G</t>
    </r>
    <r>
      <rPr>
        <sz val="11"/>
        <color theme="1"/>
        <rFont val="宋体"/>
        <family val="2"/>
        <scheme val="minor"/>
      </rPr>
      <t>T 94-28</t>
    </r>
    <phoneticPr fontId="172" type="noConversion"/>
  </si>
  <si>
    <r>
      <t>G</t>
    </r>
    <r>
      <rPr>
        <sz val="11"/>
        <color theme="1"/>
        <rFont val="宋体"/>
        <family val="2"/>
        <scheme val="minor"/>
      </rPr>
      <t>T 1313-1342</t>
    </r>
    <phoneticPr fontId="172" type="noConversion"/>
  </si>
  <si>
    <r>
      <t>G</t>
    </r>
    <r>
      <rPr>
        <sz val="11"/>
        <color theme="1"/>
        <rFont val="宋体"/>
        <family val="2"/>
        <scheme val="minor"/>
      </rPr>
      <t>T 1597-1658</t>
    </r>
    <phoneticPr fontId="172" type="noConversion"/>
  </si>
  <si>
    <r>
      <t>G</t>
    </r>
    <r>
      <rPr>
        <sz val="11"/>
        <color theme="1"/>
        <rFont val="宋体"/>
        <family val="2"/>
        <scheme val="minor"/>
      </rPr>
      <t>T 1455-1629</t>
    </r>
    <phoneticPr fontId="172" type="noConversion"/>
  </si>
  <si>
    <r>
      <t>G</t>
    </r>
    <r>
      <rPr>
        <sz val="11"/>
        <color theme="1"/>
        <rFont val="宋体"/>
        <family val="2"/>
        <scheme val="minor"/>
      </rPr>
      <t>T 744-150</t>
    </r>
    <phoneticPr fontId="172" type="noConversion"/>
  </si>
  <si>
    <r>
      <t>G</t>
    </r>
    <r>
      <rPr>
        <sz val="11"/>
        <color theme="1"/>
        <rFont val="宋体"/>
        <family val="2"/>
        <scheme val="minor"/>
      </rPr>
      <t>PX 425</t>
    </r>
    <phoneticPr fontId="172" type="noConversion"/>
  </si>
  <si>
    <r>
      <t>G</t>
    </r>
    <r>
      <rPr>
        <sz val="11"/>
        <color theme="1"/>
        <rFont val="宋体"/>
        <family val="2"/>
        <scheme val="minor"/>
      </rPr>
      <t>P 425-370</t>
    </r>
    <phoneticPr fontId="172" type="noConversion"/>
  </si>
  <si>
    <r>
      <t>G</t>
    </r>
    <r>
      <rPr>
        <sz val="11"/>
        <color theme="1"/>
        <rFont val="宋体"/>
        <family val="2"/>
        <scheme val="minor"/>
      </rPr>
      <t>P 425-415</t>
    </r>
    <phoneticPr fontId="172" type="noConversion"/>
  </si>
  <si>
    <t>AP 56-175</t>
  </si>
  <si>
    <t>AP 69-175</t>
  </si>
  <si>
    <t>AP 69-225</t>
  </si>
  <si>
    <t>AP 69-280</t>
  </si>
  <si>
    <t>AP 80-175</t>
  </si>
  <si>
    <t>AP 80-200</t>
  </si>
  <si>
    <t>AP 80-225</t>
  </si>
  <si>
    <t>AP 80-250</t>
  </si>
  <si>
    <t>AP 80-315</t>
  </si>
  <si>
    <t>AP 90-250</t>
  </si>
  <si>
    <t>AP 90-280</t>
  </si>
  <si>
    <t>AP 90-315</t>
  </si>
  <si>
    <t>AP 90-355</t>
  </si>
  <si>
    <t>AP 100-200A</t>
  </si>
  <si>
    <t>AP 100-200B</t>
  </si>
  <si>
    <t>AP 100-225</t>
  </si>
  <si>
    <t>AP 100-250</t>
  </si>
  <si>
    <t>AP 100-280</t>
  </si>
  <si>
    <t>AP 100-315</t>
  </si>
  <si>
    <t>AP 100-355</t>
  </si>
  <si>
    <t>AP 100-400</t>
  </si>
  <si>
    <t>AP 112-200</t>
  </si>
  <si>
    <t>AP 112-250</t>
  </si>
  <si>
    <t>AP 112-280</t>
  </si>
  <si>
    <t>AP 112-315</t>
  </si>
  <si>
    <t>AP 112-355</t>
  </si>
  <si>
    <t>AP 112-400</t>
  </si>
  <si>
    <t>AP 112-450</t>
  </si>
  <si>
    <t>AP 125-250</t>
  </si>
  <si>
    <t>AP 125-280</t>
  </si>
  <si>
    <t>AP 125-315</t>
  </si>
  <si>
    <t>AP 125-355</t>
  </si>
  <si>
    <t>AP 125-400</t>
  </si>
  <si>
    <t>AP 125-450</t>
  </si>
  <si>
    <t>AP 125-500</t>
  </si>
  <si>
    <t>AP 140-280</t>
  </si>
  <si>
    <t>AP 140-355</t>
  </si>
  <si>
    <t>AP 140-450</t>
  </si>
  <si>
    <t>AP 140-500</t>
  </si>
  <si>
    <t>AP 140-560</t>
  </si>
  <si>
    <t>AP 160-280</t>
  </si>
  <si>
    <t>AP 160-355</t>
  </si>
  <si>
    <t>AP 160-450</t>
  </si>
  <si>
    <t>AP 160-500</t>
  </si>
  <si>
    <t>AP 160-560</t>
  </si>
  <si>
    <t>AP 160-625</t>
  </si>
  <si>
    <t>AP 180-355</t>
  </si>
  <si>
    <t>AP 180-450</t>
  </si>
  <si>
    <t>AP 180-500</t>
  </si>
  <si>
    <t>AP 180-560</t>
  </si>
  <si>
    <t>AP 180-625</t>
  </si>
  <si>
    <t>AP 180-700</t>
  </si>
  <si>
    <t>AP 200-355</t>
  </si>
  <si>
    <t>AP 200-450</t>
  </si>
  <si>
    <t>AP 200-560</t>
  </si>
  <si>
    <t>AP 200-700</t>
  </si>
  <si>
    <t>AP 200-800</t>
  </si>
  <si>
    <t>GT 424-23</t>
  </si>
  <si>
    <t>GT 494-23</t>
  </si>
  <si>
    <t>GT 20X-19X</t>
  </si>
  <si>
    <t>GT 114X-48</t>
  </si>
  <si>
    <t>GT 102-35</t>
  </si>
  <si>
    <t>GT 107-23</t>
  </si>
  <si>
    <t>GT 1021-44</t>
  </si>
  <si>
    <t>GT 60-30</t>
  </si>
  <si>
    <t>GT 1788-1661</t>
  </si>
  <si>
    <t>GT 72-33</t>
  </si>
  <si>
    <t>GT 84-34</t>
  </si>
  <si>
    <t>GT 90-38</t>
  </si>
  <si>
    <t>GT 94-37</t>
  </si>
  <si>
    <t>GT 48-30</t>
  </si>
  <si>
    <t>GT 64-51</t>
  </si>
  <si>
    <t>GT 78-33</t>
  </si>
  <si>
    <t>GT 106-44</t>
  </si>
  <si>
    <t>GT 50-46</t>
  </si>
  <si>
    <t>GT 102-20</t>
  </si>
  <si>
    <t>GT 88-34</t>
  </si>
  <si>
    <t>GT 94-28</t>
  </si>
  <si>
    <t>GT 1313-1342</t>
  </si>
  <si>
    <t>GT 1597-1658</t>
  </si>
  <si>
    <t>GT 1455-1629</t>
  </si>
  <si>
    <t>GT 744-150</t>
  </si>
  <si>
    <t>BP 26-0</t>
  </si>
  <si>
    <t>BP 28-0</t>
  </si>
  <si>
    <t>BP 28-10</t>
  </si>
  <si>
    <t>BP 28-12</t>
  </si>
  <si>
    <t>BP 29-0</t>
  </si>
  <si>
    <t>BP 80-16</t>
  </si>
  <si>
    <t>BP 80-20</t>
  </si>
  <si>
    <t>BP 85-25</t>
  </si>
  <si>
    <t>BP 100-20</t>
  </si>
  <si>
    <t>BP 100-25</t>
  </si>
  <si>
    <t>BP 100-31</t>
  </si>
  <si>
    <t>BP 120-20</t>
  </si>
  <si>
    <t>BP 120-25</t>
  </si>
  <si>
    <t>BP 120-25A</t>
  </si>
  <si>
    <t>BP 120-25B</t>
  </si>
  <si>
    <t>BP 120-31</t>
  </si>
  <si>
    <t>BP 120-31A</t>
  </si>
  <si>
    <t>BP 120-31B</t>
  </si>
  <si>
    <t>BP 120-35</t>
  </si>
  <si>
    <t>BP 120-35A</t>
  </si>
  <si>
    <t>BP 120-35B</t>
  </si>
  <si>
    <t>BP 135-20</t>
  </si>
  <si>
    <t>BP 135-25</t>
  </si>
  <si>
    <t>BP 135-31</t>
  </si>
  <si>
    <t>BP 135-35</t>
  </si>
  <si>
    <t>BP 135-40</t>
  </si>
  <si>
    <t>BP 145-45</t>
  </si>
  <si>
    <t>BP 160-20</t>
  </si>
  <si>
    <t>BP 160-25</t>
  </si>
  <si>
    <t>BP 160-31</t>
  </si>
  <si>
    <t>BP 160-35</t>
  </si>
  <si>
    <t>BP 160-40</t>
  </si>
  <si>
    <t>BP 160-50</t>
  </si>
  <si>
    <t>BP 180-55</t>
  </si>
  <si>
    <t>BP 190-63</t>
  </si>
  <si>
    <t>BP 220-70</t>
  </si>
  <si>
    <t>BP 250-80</t>
  </si>
  <si>
    <t>FP 24</t>
  </si>
  <si>
    <t>FP 33</t>
  </si>
  <si>
    <t>DP 400-160</t>
  </si>
  <si>
    <t>DP 400-200</t>
  </si>
  <si>
    <t>DP 425-250</t>
  </si>
  <si>
    <t>DP 500-250</t>
  </si>
  <si>
    <t>DP 500-310</t>
  </si>
  <si>
    <t>DP 600-250</t>
  </si>
  <si>
    <t>DP 600-350</t>
  </si>
  <si>
    <t>DP 675-350</t>
  </si>
  <si>
    <t>DP 675-400</t>
  </si>
  <si>
    <t>DP 725-450</t>
  </si>
  <si>
    <t>DP 800-400</t>
  </si>
  <si>
    <t>DP 800-500</t>
  </si>
  <si>
    <t>DP 900-550</t>
  </si>
  <si>
    <t>DP 950-625</t>
  </si>
  <si>
    <t>DP 1100-700</t>
  </si>
  <si>
    <t>DP 1250-800</t>
  </si>
  <si>
    <t>CP 5-370</t>
  </si>
  <si>
    <t>CP 10-370</t>
  </si>
  <si>
    <t>CP 15-370</t>
  </si>
  <si>
    <t>CP 20-370</t>
  </si>
  <si>
    <t>CP 30-370</t>
  </si>
  <si>
    <t>CP 30-370vA</t>
  </si>
  <si>
    <t>CP 30-370vB</t>
  </si>
  <si>
    <t>CP 5-530</t>
  </si>
  <si>
    <t>CP 10-530</t>
  </si>
  <si>
    <t>CP 15-530</t>
  </si>
  <si>
    <t>CP 25-530</t>
  </si>
  <si>
    <t>CP 35-530</t>
  </si>
  <si>
    <t>CP 5-630</t>
  </si>
  <si>
    <t>CP 10-630</t>
  </si>
  <si>
    <t>CP 15-630</t>
  </si>
  <si>
    <t>CP 25-630</t>
  </si>
  <si>
    <t>CP 35-630</t>
  </si>
  <si>
    <t>CP 5-700</t>
  </si>
  <si>
    <t>CP 10-700</t>
  </si>
  <si>
    <t>CP 15-700</t>
  </si>
  <si>
    <t>CP 25-700</t>
  </si>
  <si>
    <t>CP 5-750</t>
  </si>
  <si>
    <t>CP 10-750</t>
  </si>
  <si>
    <t>CP 15-750</t>
  </si>
  <si>
    <t>CP 25-750</t>
  </si>
  <si>
    <t>CP 10-775</t>
  </si>
  <si>
    <t>CP 25-775</t>
  </si>
  <si>
    <t>EP 200</t>
  </si>
  <si>
    <t>EP 200vA</t>
  </si>
  <si>
    <t>EP 265</t>
  </si>
  <si>
    <t>EP  265</t>
  </si>
  <si>
    <t>EP 315</t>
  </si>
  <si>
    <t>EP  315</t>
  </si>
  <si>
    <t>EP 365</t>
  </si>
  <si>
    <t>EP  365</t>
  </si>
  <si>
    <t>EP 425</t>
  </si>
  <si>
    <t>EP  425</t>
  </si>
  <si>
    <t>EP 465</t>
  </si>
  <si>
    <t>EP  465</t>
  </si>
  <si>
    <t>EP 515</t>
  </si>
  <si>
    <t>EP 565</t>
  </si>
  <si>
    <t>EP 615</t>
  </si>
  <si>
    <t>EP 765</t>
  </si>
  <si>
    <t>EP 815</t>
  </si>
  <si>
    <t>EP 1000</t>
  </si>
  <si>
    <t>EP 1100</t>
  </si>
  <si>
    <t>EP 650</t>
  </si>
  <si>
    <t>EP 700</t>
  </si>
  <si>
    <t>FP 315</t>
  </si>
  <si>
    <t>FP  315</t>
  </si>
  <si>
    <t>FP 365</t>
  </si>
  <si>
    <t>FP  365</t>
  </si>
  <si>
    <t>FP 425</t>
  </si>
  <si>
    <t>FP  425</t>
  </si>
  <si>
    <t>FP 425-370</t>
  </si>
  <si>
    <t>FP 425-400</t>
  </si>
  <si>
    <t>FP 465</t>
  </si>
  <si>
    <t>FP  465</t>
  </si>
  <si>
    <t>FP 515</t>
  </si>
  <si>
    <t>GP 315</t>
  </si>
  <si>
    <t>GP 315X</t>
  </si>
  <si>
    <t>GP 365</t>
  </si>
  <si>
    <t>GP365X</t>
  </si>
  <si>
    <t>GP 425</t>
  </si>
  <si>
    <t>GPX 425</t>
  </si>
  <si>
    <t>GP 425-370</t>
  </si>
  <si>
    <t>GP 425-415</t>
  </si>
  <si>
    <t>Distance from end of inlet cone to house</t>
    <phoneticPr fontId="170" type="noConversion"/>
  </si>
  <si>
    <t>inlet_M</t>
    <phoneticPr fontId="170" type="noConversion"/>
  </si>
  <si>
    <t>inlet_L</t>
    <phoneticPr fontId="170" type="noConversion"/>
  </si>
  <si>
    <t>inlet_Q</t>
    <phoneticPr fontId="170" type="noConversion"/>
  </si>
  <si>
    <t>inlet_N</t>
    <phoneticPr fontId="170" type="noConversion"/>
  </si>
  <si>
    <t>inlet_O</t>
    <phoneticPr fontId="170" type="noConversion"/>
  </si>
  <si>
    <t>imp_d2</t>
    <phoneticPr fontId="170" type="noConversion"/>
  </si>
  <si>
    <t>insulation</t>
    <phoneticPr fontId="170" type="noConversion"/>
  </si>
  <si>
    <t>imp_din</t>
    <phoneticPr fontId="170" type="noConversion"/>
  </si>
  <si>
    <t>motor</t>
    <phoneticPr fontId="170" type="noConversion"/>
  </si>
  <si>
    <t>Pa</t>
    <phoneticPr fontId="170" type="noConversion"/>
  </si>
  <si>
    <t>motor Power</t>
    <phoneticPr fontId="170" type="noConversion"/>
  </si>
  <si>
    <t>KW</t>
    <phoneticPr fontId="170" type="noConversion"/>
  </si>
  <si>
    <t>日期</t>
    <phoneticPr fontId="170" type="noConversion"/>
  </si>
  <si>
    <t>更改范围</t>
    <phoneticPr fontId="170" type="noConversion"/>
  </si>
  <si>
    <t>HouseR0</t>
    <phoneticPr fontId="170" type="noConversion"/>
  </si>
  <si>
    <t>变更为</t>
    <phoneticPr fontId="170" type="noConversion"/>
  </si>
  <si>
    <t>Hub Production Drawing for Direct/直连HUB</t>
  </si>
  <si>
    <t>QTY</t>
  </si>
  <si>
    <t>1 PCS</t>
  </si>
  <si>
    <t>C_H</t>
    <phoneticPr fontId="179" type="noConversion"/>
  </si>
  <si>
    <t>C_D</t>
    <phoneticPr fontId="179" type="noConversion"/>
  </si>
  <si>
    <t>Material</t>
  </si>
  <si>
    <t>C_T</t>
    <phoneticPr fontId="179" type="noConversion"/>
  </si>
  <si>
    <t>公差/tolerence</t>
  </si>
  <si>
    <t>当C_D/C_T为0时，不需要锥筒</t>
    <phoneticPr fontId="179" type="noConversion"/>
  </si>
  <si>
    <t>D0</t>
  </si>
  <si>
    <t>D1</t>
  </si>
  <si>
    <t>D2</t>
  </si>
  <si>
    <t>D3</t>
  </si>
  <si>
    <t>D4</t>
  </si>
  <si>
    <t>P1</t>
  </si>
  <si>
    <t>P2</t>
  </si>
  <si>
    <t>M</t>
    <phoneticPr fontId="179" type="noConversion"/>
  </si>
  <si>
    <t>T1</t>
  </si>
  <si>
    <t>T2</t>
  </si>
  <si>
    <t>L1</t>
  </si>
  <si>
    <t>F1</t>
  </si>
  <si>
    <t>+0.5/+0.0</t>
  </si>
  <si>
    <t>F2</t>
  </si>
  <si>
    <t>JS</t>
    <phoneticPr fontId="179" type="noConversion"/>
  </si>
  <si>
    <t>技术要求/Technical Requirement</t>
  </si>
  <si>
    <t>焊接牢靠,无虚焊漏焊,平整光滑
Surface must be clean.</t>
  </si>
  <si>
    <t>去除毛刺，锐边倒钝
Deburr all edges.</t>
  </si>
  <si>
    <t>未注线性公差按国标 形位公差按国标 GB/T 1184-H
Tolerance according to GB/T 1184-H</t>
  </si>
  <si>
    <t>Apprv Sign.</t>
  </si>
  <si>
    <t>Drawn</t>
  </si>
  <si>
    <t>DWG#:</t>
  </si>
  <si>
    <t>Apprv</t>
  </si>
  <si>
    <t>Direct_hub</t>
  </si>
  <si>
    <t>hub_d</t>
  </si>
  <si>
    <t>hub_D2</t>
  </si>
  <si>
    <t>hub_D1</t>
  </si>
  <si>
    <t>hub_F1</t>
  </si>
  <si>
    <t>hub_P1</t>
  </si>
  <si>
    <t>hub_P2</t>
  </si>
  <si>
    <t>hub_F2</t>
  </si>
  <si>
    <t>+0.028/+0.007</t>
  </si>
  <si>
    <t>+0.015/+0.04</t>
  </si>
  <si>
    <t>Q235</t>
    <phoneticPr fontId="170" type="noConversion"/>
  </si>
  <si>
    <r>
      <rPr>
        <sz val="10"/>
        <color theme="1"/>
        <rFont val="宋体"/>
        <family val="2"/>
        <charset val="134"/>
      </rPr>
      <t>新增</t>
    </r>
    <r>
      <rPr>
        <sz val="10"/>
        <color theme="1"/>
        <rFont val="Calibri"/>
        <family val="2"/>
        <charset val="134"/>
      </rPr>
      <t>D_HUB_Cone</t>
    </r>
    <r>
      <rPr>
        <sz val="10"/>
        <color theme="1"/>
        <rFont val="宋体"/>
        <family val="2"/>
        <charset val="134"/>
      </rPr>
      <t>、</t>
    </r>
    <r>
      <rPr>
        <sz val="10"/>
        <color theme="1"/>
        <rFont val="Calibri"/>
        <family val="2"/>
        <charset val="134"/>
      </rPr>
      <t>hubdata</t>
    </r>
    <r>
      <rPr>
        <sz val="10"/>
        <color theme="1"/>
        <rFont val="宋体"/>
        <family val="2"/>
        <charset val="134"/>
      </rPr>
      <t>表</t>
    </r>
    <phoneticPr fontId="170" type="noConversion"/>
  </si>
  <si>
    <t>TYPE</t>
    <phoneticPr fontId="170" type="noConversion"/>
  </si>
  <si>
    <t>FAN</t>
    <phoneticPr fontId="170" type="noConversion"/>
  </si>
  <si>
    <t>m3/hr</t>
    <phoneticPr fontId="170" type="noConversion"/>
  </si>
  <si>
    <t>C</t>
    <phoneticPr fontId="170" type="noConversion"/>
  </si>
  <si>
    <t>min-1</t>
    <phoneticPr fontId="170" type="noConversion"/>
  </si>
  <si>
    <t>kg/m3</t>
    <phoneticPr fontId="170" type="noConversion"/>
  </si>
  <si>
    <t>修正保存文件错误</t>
    <phoneticPr fontId="170" type="noConversion"/>
  </si>
  <si>
    <t>hub_F1</t>
    <phoneticPr fontId="170" type="noConversion"/>
  </si>
  <si>
    <t>hub_L1</t>
    <phoneticPr fontId="170" type="noConversion"/>
  </si>
  <si>
    <t>hub_D3</t>
    <phoneticPr fontId="170" type="noConversion"/>
  </si>
  <si>
    <t>Inlet</t>
    <phoneticPr fontId="170" type="noConversion"/>
  </si>
  <si>
    <t>D1</t>
    <phoneticPr fontId="170" type="noConversion"/>
  </si>
  <si>
    <t>D2</t>
    <phoneticPr fontId="170" type="noConversion"/>
  </si>
  <si>
    <t>D3</t>
    <phoneticPr fontId="170" type="noConversion"/>
  </si>
  <si>
    <t>L1</t>
    <phoneticPr fontId="170" type="noConversion"/>
  </si>
  <si>
    <t>L2</t>
    <phoneticPr fontId="170" type="noConversion"/>
  </si>
  <si>
    <t>L3</t>
    <phoneticPr fontId="170" type="noConversion"/>
  </si>
  <si>
    <t>L4</t>
    <phoneticPr fontId="170" type="noConversion"/>
  </si>
  <si>
    <t>L5</t>
    <phoneticPr fontId="170" type="noConversion"/>
  </si>
  <si>
    <t>T</t>
    <phoneticPr fontId="170" type="noConversion"/>
  </si>
  <si>
    <t>LCONE</t>
    <phoneticPr fontId="170" type="noConversion"/>
  </si>
  <si>
    <t>IMP_position_front</t>
    <phoneticPr fontId="170" type="noConversion"/>
  </si>
  <si>
    <t>houseBinside</t>
    <phoneticPr fontId="170" type="noConversion"/>
  </si>
  <si>
    <t>HousePT</t>
    <phoneticPr fontId="170" type="noConversion"/>
  </si>
  <si>
    <t>inlet_inside_impeller</t>
    <phoneticPr fontId="170" type="noConversion"/>
  </si>
  <si>
    <t>inlet_D1</t>
    <phoneticPr fontId="170" type="noConversion"/>
  </si>
  <si>
    <t>inlet_D2</t>
    <phoneticPr fontId="170" type="noConversion"/>
  </si>
  <si>
    <t>inlet_D3</t>
    <phoneticPr fontId="170" type="noConversion"/>
  </si>
  <si>
    <t>inlet_L1</t>
    <phoneticPr fontId="170" type="noConversion"/>
  </si>
  <si>
    <t>inlet_L2</t>
    <phoneticPr fontId="170" type="noConversion"/>
  </si>
  <si>
    <t>inlet_L3</t>
    <phoneticPr fontId="170" type="noConversion"/>
  </si>
  <si>
    <t>inlet_L4</t>
    <phoneticPr fontId="170" type="noConversion"/>
  </si>
  <si>
    <t>inlet_L5</t>
    <phoneticPr fontId="170" type="noConversion"/>
  </si>
  <si>
    <t>见图</t>
    <phoneticPr fontId="170" type="noConversion"/>
  </si>
  <si>
    <t>vtype</t>
    <phoneticPr fontId="170" type="noConversion"/>
  </si>
  <si>
    <t>Vmtype</t>
    <phoneticPr fontId="170" type="noConversion"/>
  </si>
  <si>
    <t>Vmnumber</t>
    <phoneticPr fontId="170" type="noConversion"/>
  </si>
  <si>
    <t>vtypenumber</t>
    <phoneticPr fontId="170" type="noConversion"/>
  </si>
  <si>
    <t>ad</t>
    <phoneticPr fontId="170" type="noConversion"/>
  </si>
  <si>
    <t>type</t>
    <phoneticPr fontId="170" type="noConversion"/>
  </si>
  <si>
    <t>sandwich100</t>
    <phoneticPr fontId="170" type="noConversion"/>
  </si>
  <si>
    <t>sandwich400</t>
    <phoneticPr fontId="170" type="noConversion"/>
  </si>
  <si>
    <t>ad4030</t>
    <phoneticPr fontId="170" type="noConversion"/>
  </si>
  <si>
    <t>ad5035</t>
    <phoneticPr fontId="170" type="noConversion"/>
  </si>
  <si>
    <t>ad7535</t>
    <phoneticPr fontId="170" type="noConversion"/>
  </si>
  <si>
    <t>ad10050</t>
    <phoneticPr fontId="170" type="noConversion"/>
  </si>
  <si>
    <t>ul</t>
    <phoneticPr fontId="170" type="noConversion"/>
  </si>
  <si>
    <r>
      <t>项目名称</t>
    </r>
    <r>
      <rPr>
        <b/>
        <sz val="9"/>
        <color theme="1"/>
        <rFont val="Microsoft YaHei UI"/>
        <family val="2"/>
        <charset val="134"/>
      </rPr>
      <t xml:space="preserve"> [Project name]</t>
    </r>
    <phoneticPr fontId="170" type="noConversion"/>
  </si>
  <si>
    <t>日期[Date]</t>
    <phoneticPr fontId="170" type="noConversion"/>
  </si>
  <si>
    <t>风机性能参数[工况点]</t>
    <phoneticPr fontId="170" type="noConversion"/>
  </si>
  <si>
    <t>轴功率[KW]</t>
    <phoneticPr fontId="170" type="noConversion"/>
  </si>
  <si>
    <t>能效等级</t>
    <phoneticPr fontId="170" type="noConversion"/>
  </si>
  <si>
    <t>防护等级</t>
    <phoneticPr fontId="170" type="noConversion"/>
  </si>
  <si>
    <t>电机重量</t>
    <phoneticPr fontId="170" type="noConversion"/>
  </si>
  <si>
    <t>电机参数</t>
    <phoneticPr fontId="170" type="noConversion"/>
  </si>
  <si>
    <t>备注：</t>
    <phoneticPr fontId="170" type="noConversion"/>
  </si>
  <si>
    <t>整机配置</t>
    <phoneticPr fontId="170" type="noConversion"/>
  </si>
  <si>
    <t>旋向</t>
    <phoneticPr fontId="170" type="noConversion"/>
  </si>
  <si>
    <t>连接方式</t>
    <phoneticPr fontId="170" type="noConversion"/>
  </si>
  <si>
    <t>表面处理</t>
    <phoneticPr fontId="170" type="noConversion"/>
  </si>
  <si>
    <t>壳体</t>
    <phoneticPr fontId="170" type="noConversion"/>
  </si>
  <si>
    <t>支架</t>
    <phoneticPr fontId="170" type="noConversion"/>
  </si>
  <si>
    <t>叶轮</t>
    <phoneticPr fontId="170" type="noConversion"/>
  </si>
  <si>
    <r>
      <rPr>
        <sz val="9"/>
        <color theme="1"/>
        <rFont val="宋体"/>
        <family val="2"/>
        <charset val="134"/>
      </rPr>
      <t>整机重量</t>
    </r>
    <r>
      <rPr>
        <sz val="9"/>
        <color theme="1"/>
        <rFont val="Calibri"/>
        <family val="2"/>
      </rPr>
      <t>[kg]</t>
    </r>
    <phoneticPr fontId="170" type="noConversion"/>
  </si>
  <si>
    <t>材质</t>
    <phoneticPr fontId="170" type="noConversion"/>
  </si>
  <si>
    <t>密封要求</t>
    <phoneticPr fontId="170" type="noConversion"/>
  </si>
  <si>
    <t>配件可选</t>
    <phoneticPr fontId="170" type="noConversion"/>
  </si>
  <si>
    <t>防震垫</t>
    <phoneticPr fontId="170" type="noConversion"/>
  </si>
  <si>
    <t>防震垫底板</t>
    <phoneticPr fontId="170" type="noConversion"/>
  </si>
  <si>
    <t>进风口网罩</t>
    <phoneticPr fontId="170" type="noConversion"/>
  </si>
  <si>
    <t>备用法兰</t>
    <phoneticPr fontId="170" type="noConversion"/>
  </si>
  <si>
    <t>其他：</t>
    <phoneticPr fontId="170" type="noConversion"/>
  </si>
  <si>
    <t>气体密度[kg/m3]</t>
    <phoneticPr fontId="170" type="noConversion"/>
  </si>
  <si>
    <t>海拔高度</t>
    <phoneticPr fontId="170" type="noConversion"/>
  </si>
  <si>
    <t>m</t>
    <phoneticPr fontId="170" type="noConversion"/>
  </si>
  <si>
    <t>直连</t>
  </si>
  <si>
    <t>inlet2_m</t>
    <phoneticPr fontId="170" type="noConversion"/>
  </si>
  <si>
    <t>inlet2_l</t>
    <phoneticPr fontId="170" type="noConversion"/>
  </si>
  <si>
    <t>inlet2_pt</t>
    <phoneticPr fontId="170" type="noConversion"/>
  </si>
  <si>
    <t>inlet2_coned</t>
    <phoneticPr fontId="170" type="noConversion"/>
  </si>
  <si>
    <t>type_num</t>
    <phoneticPr fontId="170" type="noConversion"/>
  </si>
  <si>
    <t>InletConeL</t>
    <phoneticPr fontId="170" type="noConversion"/>
  </si>
  <si>
    <r>
      <rPr>
        <sz val="8"/>
        <color theme="1"/>
        <rFont val="宋体"/>
        <family val="2"/>
        <charset val="134"/>
      </rPr>
      <t>风量</t>
    </r>
    <r>
      <rPr>
        <sz val="8"/>
        <color theme="1"/>
        <rFont val="Calibri"/>
        <family val="2"/>
      </rPr>
      <t>[m3/h]</t>
    </r>
    <phoneticPr fontId="170" type="noConversion"/>
  </si>
  <si>
    <r>
      <rPr>
        <sz val="8"/>
        <color theme="1"/>
        <rFont val="宋体"/>
        <family val="2"/>
        <charset val="134"/>
      </rPr>
      <t>静压</t>
    </r>
    <r>
      <rPr>
        <sz val="8"/>
        <color theme="1"/>
        <rFont val="Calibri"/>
        <family val="2"/>
      </rPr>
      <t>[stat]</t>
    </r>
    <phoneticPr fontId="170" type="noConversion"/>
  </si>
  <si>
    <r>
      <rPr>
        <sz val="8"/>
        <color theme="1"/>
        <rFont val="宋体"/>
        <family val="2"/>
        <charset val="134"/>
      </rPr>
      <t>全压</t>
    </r>
    <r>
      <rPr>
        <sz val="8"/>
        <color theme="1"/>
        <rFont val="Calibri"/>
        <family val="2"/>
      </rPr>
      <t>[Pa]</t>
    </r>
    <phoneticPr fontId="170" type="noConversion"/>
  </si>
  <si>
    <r>
      <rPr>
        <sz val="8"/>
        <color theme="1"/>
        <rFont val="宋体"/>
        <family val="2"/>
        <charset val="134"/>
      </rPr>
      <t>温度</t>
    </r>
    <r>
      <rPr>
        <sz val="8"/>
        <color theme="1"/>
        <rFont val="Calibri"/>
        <family val="2"/>
      </rPr>
      <t>[C</t>
    </r>
    <r>
      <rPr>
        <sz val="8"/>
        <color theme="1"/>
        <rFont val="Calibri"/>
        <family val="2"/>
        <charset val="134"/>
      </rPr>
      <t>°]</t>
    </r>
    <phoneticPr fontId="170" type="noConversion"/>
  </si>
  <si>
    <r>
      <rPr>
        <sz val="8"/>
        <color theme="1"/>
        <rFont val="宋体"/>
        <family val="2"/>
        <charset val="134"/>
      </rPr>
      <t>海拔高度</t>
    </r>
    <r>
      <rPr>
        <sz val="8"/>
        <color theme="1"/>
        <rFont val="Calibri"/>
        <family val="2"/>
      </rPr>
      <t>[m]</t>
    </r>
    <phoneticPr fontId="170" type="noConversion"/>
  </si>
  <si>
    <r>
      <rPr>
        <sz val="8"/>
        <color theme="1"/>
        <rFont val="宋体"/>
        <family val="2"/>
        <charset val="134"/>
      </rPr>
      <t>电机功率</t>
    </r>
    <r>
      <rPr>
        <sz val="8"/>
        <color theme="1"/>
        <rFont val="Calibri"/>
        <family val="2"/>
      </rPr>
      <t>KW</t>
    </r>
    <phoneticPr fontId="170" type="noConversion"/>
  </si>
  <si>
    <r>
      <rPr>
        <sz val="8"/>
        <color theme="1"/>
        <rFont val="宋体"/>
        <family val="2"/>
        <charset val="134"/>
      </rPr>
      <t>极数</t>
    </r>
    <r>
      <rPr>
        <sz val="8"/>
        <color theme="1"/>
        <rFont val="Calibri"/>
        <family val="2"/>
      </rPr>
      <t>[pole]</t>
    </r>
    <phoneticPr fontId="170" type="noConversion"/>
  </si>
  <si>
    <t>风机型号[Fan type]</t>
    <phoneticPr fontId="170" type="noConversion"/>
  </si>
  <si>
    <t>工况点参数</t>
    <phoneticPr fontId="170" type="noConversion"/>
  </si>
  <si>
    <t>P in[进风口压力]</t>
  </si>
  <si>
    <t>P dyn[动压]</t>
  </si>
  <si>
    <t>P stat[静压]</t>
  </si>
  <si>
    <t>P total[全压]</t>
  </si>
  <si>
    <t>Temp.【温度】</t>
  </si>
  <si>
    <t>Q【风量】</t>
  </si>
  <si>
    <t>rev.[转速】</t>
  </si>
  <si>
    <t>Efficiency [全压效率]</t>
  </si>
  <si>
    <t>[电机功率]min</t>
  </si>
  <si>
    <t>Rev/min</t>
  </si>
  <si>
    <t>Q, m3/h</t>
  </si>
  <si>
    <t>Shaft Power [kW]</t>
  </si>
  <si>
    <t>Power out Kw</t>
  </si>
  <si>
    <t>Ventilator eff.</t>
  </si>
  <si>
    <t>P, Pa</t>
    <phoneticPr fontId="170" type="noConversion"/>
  </si>
  <si>
    <t>1/min</t>
  </si>
  <si>
    <t>Kw</t>
  </si>
  <si>
    <t>实际工况性能曲线</t>
    <phoneticPr fontId="170" type="noConversion"/>
  </si>
  <si>
    <r>
      <rPr>
        <sz val="9"/>
        <color theme="1"/>
        <rFont val="宋体"/>
        <family val="2"/>
        <charset val="134"/>
      </rPr>
      <t xml:space="preserve">噪音 </t>
    </r>
    <r>
      <rPr>
        <sz val="9"/>
        <color theme="1"/>
        <rFont val="Calibri"/>
        <family val="2"/>
      </rPr>
      <t>Noise</t>
    </r>
    <phoneticPr fontId="170" type="noConversion"/>
  </si>
  <si>
    <t>Sumvalues</t>
  </si>
  <si>
    <t>F Band &lt;Hz&gt;</t>
    <phoneticPr fontId="170" type="noConversion"/>
  </si>
  <si>
    <t>Lp(A) (Stator) @ 1m</t>
    <phoneticPr fontId="170" type="noConversion"/>
  </si>
  <si>
    <t>P, mmh2o</t>
    <phoneticPr fontId="170" type="noConversion"/>
  </si>
  <si>
    <t>inlet_P</t>
    <phoneticPr fontId="170" type="noConversion"/>
  </si>
  <si>
    <t>mmh2o</t>
    <phoneticPr fontId="170" type="noConversion"/>
  </si>
  <si>
    <t>Sound, Un-insulated Fan @ OP</t>
  </si>
  <si>
    <t>Frequency Band &lt;Hz&gt;</t>
  </si>
  <si>
    <t>Noise Power Generated, Lw</t>
  </si>
  <si>
    <t>Noise Power Generated, Lw(A)</t>
  </si>
  <si>
    <t>Lp(A) (Channel) @ 1m</t>
  </si>
  <si>
    <t>Lp(A) (Stator) @ 1m</t>
  </si>
  <si>
    <r>
      <rPr>
        <sz val="8"/>
        <color theme="1"/>
        <rFont val="宋体"/>
        <family val="2"/>
        <charset val="134"/>
      </rPr>
      <t>等效转速</t>
    </r>
    <r>
      <rPr>
        <sz val="8"/>
        <color theme="1"/>
        <rFont val="Calibri"/>
        <family val="2"/>
      </rPr>
      <t>[rpm]</t>
    </r>
    <phoneticPr fontId="170" type="noConversion"/>
  </si>
  <si>
    <t>联轴器</t>
  </si>
  <si>
    <t>分体式轴承座方案</t>
    <phoneticPr fontId="170" type="noConversion"/>
  </si>
  <si>
    <t>轴承座</t>
    <phoneticPr fontId="170" type="noConversion"/>
  </si>
  <si>
    <t>轴承</t>
    <phoneticPr fontId="170" type="noConversion"/>
  </si>
  <si>
    <t>一体式轴承座方案</t>
    <phoneticPr fontId="170" type="noConversion"/>
  </si>
  <si>
    <t>轴承寿命(h)</t>
    <phoneticPr fontId="170" type="noConversion"/>
  </si>
  <si>
    <t>BP 120-35A</t>
    <phoneticPr fontId="170" type="noConversion"/>
  </si>
  <si>
    <t>frame_bolt</t>
    <phoneticPr fontId="170" type="noConversion"/>
  </si>
  <si>
    <t>bolt_hole</t>
    <phoneticPr fontId="170" type="noConversion"/>
  </si>
  <si>
    <t>mm</t>
    <phoneticPr fontId="170" type="noConversion"/>
  </si>
  <si>
    <t>M_S_Frame_Total_Length</t>
    <phoneticPr fontId="170" type="noConversion"/>
  </si>
  <si>
    <t>Direct</t>
    <phoneticPr fontId="170" type="noConversion"/>
  </si>
  <si>
    <t>NBF191005</t>
  </si>
  <si>
    <t>FBNBF191005</t>
  </si>
  <si>
    <t>静载荷</t>
    <phoneticPr fontId="170" type="noConversion"/>
  </si>
  <si>
    <t>kg</t>
    <phoneticPr fontId="170" type="noConversion"/>
  </si>
  <si>
    <t>动载荷</t>
    <phoneticPr fontId="170" type="noConversion"/>
  </si>
  <si>
    <t>XOE 273-90</t>
    <phoneticPr fontId="170" type="noConversion"/>
  </si>
  <si>
    <t>RD</t>
  </si>
  <si>
    <t>sa</t>
    <phoneticPr fontId="170" type="noConversion"/>
  </si>
  <si>
    <t>ad3025</t>
    <phoneticPr fontId="170" type="noConversion"/>
  </si>
  <si>
    <t>转矩</t>
    <phoneticPr fontId="170" type="noConversion"/>
  </si>
  <si>
    <t>N*M</t>
    <phoneticPr fontId="170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</si>
</sst>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2">
    <numFmt numFmtId="176" formatCode="_-* #,##0.00_-;\-* #,##0.00_-;_-* &quot;-&quot;??_-;_-@_-"/>
    <numFmt numFmtId="177" formatCode="_-\ ###0_-;\-\ ###0_-;_-\ &quot;-&quot;??_-;_-@_-"/>
    <numFmt numFmtId="178" formatCode="_-\ ###0.00_-;\-\ ###0.00_-;_-\ &quot;-&quot;??_-;_-@_-"/>
    <numFmt numFmtId="179" formatCode="0.00.E+00"/>
    <numFmt numFmtId="180" formatCode="_(* #,##0_);_(* \-#,##0;_(* &quot;-&quot;??_);_(@_)"/>
    <numFmt numFmtId="181" formatCode="_-\ ###0.0_-;\-\ ###0.0_-;_-\ &quot;-&quot;??_-;_-@_-"/>
    <numFmt numFmtId="182" formatCode="0.0"/>
    <numFmt numFmtId="183" formatCode="0.00_ "/>
    <numFmt numFmtId="184" formatCode="0_ "/>
    <numFmt numFmtId="185" formatCode="0.0_ "/>
    <numFmt numFmtId="186" formatCode="0.0000_ "/>
    <numFmt numFmtId="187" formatCode="0.0_);[Red]\(0.0\)"/>
    <numFmt numFmtId="188" formatCode="0.000_ "/>
    <numFmt numFmtId="189" formatCode="0.00_);[Red]\(0.00\)"/>
    <numFmt numFmtId="190" formatCode="0.0E+00"/>
    <numFmt numFmtId="191" formatCode="_-\ ###0.000_-;\-\ ###0.000_-;_-\ &quot;-&quot;??_-;_-@_-"/>
    <numFmt numFmtId="192" formatCode="0.00000"/>
    <numFmt numFmtId="193" formatCode="0.0000"/>
    <numFmt numFmtId="194" formatCode="0.000"/>
    <numFmt numFmtId="195" formatCode="0_ ;\-0\ "/>
    <numFmt numFmtId="196" formatCode="_(* #,##0.00_);_(* \(#,##0.00\);_(* &quot;-&quot;??_);_(@_)"/>
    <numFmt numFmtId="197" formatCode="_-\ ###0.00000_-;\-\ ###0.00000_-;_-\ &quot;-&quot;??_-;_-@_-"/>
  </numFmts>
  <fonts count="198">
    <font>
      <sz val="10"/>
      <color theme="1"/>
      <name val="Calibri"/>
      <family val="2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Calibri"/>
      <family val="2"/>
    </font>
    <font>
      <sz val="11"/>
      <color theme="1"/>
      <name val="Calibri"/>
      <family val="2"/>
    </font>
    <font>
      <sz val="11"/>
      <color theme="1"/>
      <name val="Calibri"/>
      <family val="2"/>
    </font>
    <font>
      <sz val="11"/>
      <color theme="1"/>
      <name val="Calibri"/>
      <family val="2"/>
    </font>
    <font>
      <sz val="11"/>
      <color theme="1"/>
      <name val="Calibri"/>
      <family val="2"/>
    </font>
    <font>
      <sz val="11"/>
      <color theme="1"/>
      <name val="Calibri"/>
      <family val="2"/>
    </font>
    <font>
      <sz val="11"/>
      <color theme="1"/>
      <name val="Calibri"/>
      <family val="2"/>
    </font>
    <font>
      <sz val="11"/>
      <color theme="1"/>
      <name val="Calibri"/>
      <family val="2"/>
    </font>
    <font>
      <sz val="11"/>
      <color theme="1"/>
      <name val="Calibri"/>
      <family val="2"/>
    </font>
    <font>
      <sz val="11"/>
      <color theme="1"/>
      <name val="Calibri"/>
      <family val="2"/>
    </font>
    <font>
      <sz val="11"/>
      <color theme="1"/>
      <name val="Calibri"/>
      <family val="2"/>
    </font>
    <font>
      <sz val="11"/>
      <color theme="1"/>
      <name val="Calibri"/>
      <family val="2"/>
    </font>
    <font>
      <sz val="11"/>
      <color theme="1"/>
      <name val="Calibri"/>
      <family val="2"/>
    </font>
    <font>
      <sz val="11"/>
      <color theme="1"/>
      <name val="Calibri"/>
      <family val="2"/>
    </font>
    <font>
      <sz val="11"/>
      <color theme="1"/>
      <name val="Calibri"/>
      <family val="2"/>
    </font>
    <font>
      <sz val="11"/>
      <color theme="1"/>
      <name val="Calibri"/>
      <family val="2"/>
    </font>
    <font>
      <sz val="11"/>
      <color theme="1"/>
      <name val="Calibri"/>
      <family val="2"/>
    </font>
    <font>
      <sz val="11"/>
      <color theme="1"/>
      <name val="Calibri"/>
      <family val="2"/>
    </font>
    <font>
      <sz val="11"/>
      <color theme="1"/>
      <name val="宋体"/>
      <family val="2"/>
      <scheme val="minor"/>
    </font>
    <font>
      <sz val="11"/>
      <color theme="1"/>
      <name val="Calibri"/>
      <family val="2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Calibri"/>
      <family val="2"/>
    </font>
    <font>
      <sz val="11"/>
      <color theme="1"/>
      <name val="Calibri"/>
      <family val="2"/>
    </font>
    <font>
      <sz val="11"/>
      <color theme="1"/>
      <name val="Calibri"/>
      <family val="2"/>
    </font>
    <font>
      <sz val="11"/>
      <color theme="1"/>
      <name val="Calibri"/>
      <family val="2"/>
    </font>
    <font>
      <sz val="10"/>
      <color theme="1"/>
      <name val="Calibri"/>
      <family val="2"/>
    </font>
    <font>
      <sz val="11"/>
      <color theme="1"/>
      <name val="Arial"/>
      <family val="2"/>
    </font>
    <font>
      <b/>
      <sz val="9"/>
      <color indexed="81"/>
      <name val="Tahoma"/>
      <family val="2"/>
    </font>
    <font>
      <sz val="11"/>
      <color theme="1"/>
      <name val="宋体"/>
      <family val="2"/>
      <scheme val="minor"/>
    </font>
    <font>
      <b/>
      <u val="singleAccounting"/>
      <sz val="14"/>
      <color theme="1"/>
      <name val="宋体"/>
      <family val="2"/>
      <scheme val="minor"/>
    </font>
    <font>
      <sz val="14"/>
      <color theme="1"/>
      <name val="宋体"/>
      <family val="2"/>
      <scheme val="minor"/>
    </font>
    <font>
      <sz val="11"/>
      <color theme="1"/>
      <name val="Calibri"/>
      <family val="2"/>
    </font>
    <font>
      <b/>
      <u/>
      <sz val="11"/>
      <color theme="1"/>
      <name val="Calibri"/>
      <family val="2"/>
    </font>
    <font>
      <sz val="14"/>
      <name val="宋体"/>
      <family val="2"/>
      <scheme val="minor"/>
    </font>
    <font>
      <sz val="12"/>
      <color theme="1"/>
      <name val="宋体"/>
      <family val="2"/>
      <scheme val="minor"/>
    </font>
    <font>
      <sz val="10"/>
      <name val="Arial"/>
      <family val="2"/>
    </font>
    <font>
      <sz val="12"/>
      <name val="Arial"/>
      <family val="2"/>
    </font>
    <font>
      <b/>
      <u/>
      <sz val="12"/>
      <color theme="1"/>
      <name val="Calibri"/>
      <family val="2"/>
    </font>
    <font>
      <b/>
      <u val="singleAccounting"/>
      <sz val="12"/>
      <color theme="1"/>
      <name val="宋体"/>
      <family val="2"/>
      <scheme val="minor"/>
    </font>
    <font>
      <b/>
      <sz val="12"/>
      <color theme="1"/>
      <name val="宋体"/>
      <family val="2"/>
      <scheme val="minor"/>
    </font>
    <font>
      <sz val="12"/>
      <color theme="1"/>
      <name val="Calibri"/>
      <family val="2"/>
    </font>
    <font>
      <b/>
      <sz val="12"/>
      <color theme="1"/>
      <name val="Calibri"/>
      <family val="2"/>
    </font>
    <font>
      <sz val="10"/>
      <name val="宋体"/>
      <family val="2"/>
      <scheme val="minor"/>
    </font>
    <font>
      <sz val="9"/>
      <color theme="1"/>
      <name val="Calibri"/>
      <family val="2"/>
    </font>
    <font>
      <sz val="11"/>
      <name val="宋体"/>
      <family val="2"/>
      <scheme val="minor"/>
    </font>
    <font>
      <b/>
      <u/>
      <sz val="12"/>
      <color theme="1"/>
      <name val="宋体"/>
      <family val="2"/>
      <scheme val="minor"/>
    </font>
    <font>
      <b/>
      <u/>
      <sz val="14"/>
      <color theme="1"/>
      <name val="宋体"/>
      <family val="2"/>
      <scheme val="minor"/>
    </font>
    <font>
      <u/>
      <sz val="14"/>
      <color theme="1"/>
      <name val="Calibri"/>
      <family val="2"/>
    </font>
    <font>
      <sz val="14"/>
      <color theme="1"/>
      <name val="Calibri"/>
      <family val="2"/>
    </font>
    <font>
      <b/>
      <u/>
      <sz val="10"/>
      <color theme="1"/>
      <name val="Calibri"/>
      <family val="2"/>
    </font>
    <font>
      <sz val="12"/>
      <name val="宋体"/>
      <family val="3"/>
      <charset val="134"/>
    </font>
    <font>
      <sz val="8"/>
      <name val="宋体"/>
      <family val="2"/>
      <scheme val="minor"/>
    </font>
    <font>
      <b/>
      <u/>
      <sz val="14"/>
      <color theme="1"/>
      <name val="Calibri"/>
      <family val="2"/>
    </font>
    <font>
      <b/>
      <sz val="14"/>
      <color rgb="FFFF0000"/>
      <name val="Calibri"/>
      <family val="2"/>
    </font>
    <font>
      <b/>
      <sz val="14"/>
      <color theme="1"/>
      <name val="Calibri"/>
      <family val="2"/>
    </font>
    <font>
      <sz val="14"/>
      <color rgb="FF000000"/>
      <name val="Calibri"/>
      <family val="2"/>
    </font>
    <font>
      <b/>
      <sz val="14"/>
      <color theme="1"/>
      <name val="宋体"/>
      <family val="2"/>
      <scheme val="minor"/>
    </font>
    <font>
      <sz val="10"/>
      <name val="Calibri"/>
      <family val="2"/>
    </font>
    <font>
      <b/>
      <sz val="14"/>
      <name val="宋体"/>
      <family val="2"/>
      <scheme val="minor"/>
    </font>
    <font>
      <sz val="12"/>
      <color rgb="FFFF0000"/>
      <name val="Calibri"/>
      <family val="2"/>
    </font>
    <font>
      <sz val="9"/>
      <color indexed="81"/>
      <name val="宋体"/>
      <family val="2"/>
      <scheme val="minor"/>
    </font>
    <font>
      <sz val="11"/>
      <color rgb="FF9C6500"/>
      <name val="宋体"/>
      <family val="2"/>
      <scheme val="minor"/>
    </font>
    <font>
      <sz val="14"/>
      <color rgb="FFFF0000"/>
      <name val="宋体"/>
      <family val="2"/>
      <scheme val="minor"/>
    </font>
    <font>
      <b/>
      <sz val="14"/>
      <color rgb="FFFF0000"/>
      <name val="宋体"/>
      <family val="2"/>
      <scheme val="minor"/>
    </font>
    <font>
      <sz val="8"/>
      <color rgb="FF000000"/>
      <name val="Arial"/>
      <family val="2"/>
    </font>
    <font>
      <b/>
      <sz val="8"/>
      <color rgb="FF000000"/>
      <name val="Arial"/>
      <family val="2"/>
    </font>
    <font>
      <sz val="8"/>
      <color theme="1"/>
      <name val="宋体"/>
      <family val="2"/>
      <scheme val="minor"/>
    </font>
    <font>
      <sz val="8"/>
      <color indexed="8"/>
      <name val="宋体"/>
      <family val="2"/>
      <scheme val="minor"/>
    </font>
    <font>
      <sz val="10"/>
      <color theme="1"/>
      <name val="宋体"/>
      <family val="2"/>
      <scheme val="minor"/>
    </font>
    <font>
      <b/>
      <sz val="11"/>
      <color theme="1"/>
      <name val="宋体"/>
      <family val="2"/>
      <scheme val="minor"/>
    </font>
    <font>
      <sz val="9"/>
      <color indexed="81"/>
      <name val="Tahoma"/>
      <family val="2"/>
    </font>
    <font>
      <b/>
      <sz val="12"/>
      <name val="宋体"/>
      <family val="2"/>
      <scheme val="minor"/>
    </font>
    <font>
      <b/>
      <sz val="11"/>
      <color theme="1"/>
      <name val="Calibri"/>
      <family val="2"/>
    </font>
    <font>
      <i/>
      <sz val="11"/>
      <color theme="1"/>
      <name val="宋体"/>
      <family val="2"/>
      <scheme val="minor"/>
    </font>
    <font>
      <b/>
      <i/>
      <sz val="11"/>
      <color theme="1"/>
      <name val="宋体"/>
      <family val="2"/>
      <scheme val="minor"/>
    </font>
    <font>
      <sz val="15"/>
      <color theme="1"/>
      <name val="宋体"/>
      <family val="2"/>
      <scheme val="minor"/>
    </font>
    <font>
      <sz val="15"/>
      <color theme="1"/>
      <name val="Calibri"/>
      <family val="2"/>
    </font>
    <font>
      <b/>
      <sz val="15"/>
      <color theme="1"/>
      <name val="宋体"/>
      <family val="2"/>
      <scheme val="minor"/>
    </font>
    <font>
      <i/>
      <sz val="15"/>
      <color theme="3" tint="0.79998168889431442"/>
      <name val="宋体"/>
      <family val="2"/>
      <scheme val="minor"/>
    </font>
    <font>
      <sz val="15"/>
      <color theme="3" tint="0.79998168889431442"/>
      <name val="宋体"/>
      <family val="2"/>
      <scheme val="minor"/>
    </font>
    <font>
      <sz val="10"/>
      <name val="Arial"/>
      <family val="2"/>
    </font>
    <font>
      <sz val="10"/>
      <color indexed="8"/>
      <name val="Calibri"/>
      <family val="2"/>
    </font>
    <font>
      <sz val="11"/>
      <color theme="0" tint="-0.14999847407452621"/>
      <name val="Calibri"/>
      <family val="2"/>
    </font>
    <font>
      <sz val="11"/>
      <color rgb="FFFF0000"/>
      <name val="Calibri"/>
      <family val="2"/>
    </font>
    <font>
      <sz val="11"/>
      <name val="Calibri"/>
      <family val="2"/>
    </font>
    <font>
      <sz val="10"/>
      <color rgb="FFFFFFFF"/>
      <name val="Calibri"/>
      <family val="2"/>
    </font>
    <font>
      <b/>
      <sz val="10"/>
      <color theme="1"/>
      <name val="宋体"/>
      <family val="2"/>
      <scheme val="minor"/>
    </font>
    <font>
      <b/>
      <sz val="9"/>
      <color indexed="81"/>
      <name val="宋体"/>
      <family val="2"/>
      <scheme val="minor"/>
    </font>
    <font>
      <b/>
      <u val="singleAccounting"/>
      <sz val="12"/>
      <color rgb="FFFF0000"/>
      <name val="宋体"/>
      <family val="2"/>
      <scheme val="minor"/>
    </font>
    <font>
      <b/>
      <sz val="10"/>
      <color theme="1"/>
      <name val="Calibri"/>
      <family val="2"/>
    </font>
    <font>
      <sz val="11"/>
      <name val="Arial"/>
      <family val="2"/>
    </font>
    <font>
      <b/>
      <sz val="10"/>
      <name val="Arial"/>
      <family val="2"/>
    </font>
    <font>
      <b/>
      <sz val="11"/>
      <name val="Calibri"/>
      <family val="2"/>
    </font>
    <font>
      <b/>
      <sz val="11"/>
      <color rgb="FFFF0000"/>
      <name val="宋体"/>
      <family val="2"/>
      <scheme val="minor"/>
    </font>
    <font>
      <sz val="10"/>
      <color theme="1"/>
      <name val="Malgun Gothic Semilight"/>
      <family val="2"/>
      <charset val="134"/>
    </font>
    <font>
      <i/>
      <sz val="10"/>
      <color theme="1"/>
      <name val="Calibri"/>
      <family val="2"/>
    </font>
    <font>
      <sz val="11"/>
      <color rgb="FFFF0000"/>
      <name val="宋体"/>
      <family val="2"/>
      <scheme val="minor"/>
    </font>
    <font>
      <sz val="12"/>
      <name val="宋体"/>
      <family val="2"/>
      <scheme val="minor"/>
    </font>
    <font>
      <i/>
      <sz val="11"/>
      <color theme="3" tint="0.79998168889431442"/>
      <name val="宋体"/>
      <family val="2"/>
      <scheme val="minor"/>
    </font>
    <font>
      <sz val="15"/>
      <color rgb="FFFF0000"/>
      <name val="宋体"/>
      <family val="2"/>
      <scheme val="minor"/>
    </font>
    <font>
      <sz val="12"/>
      <color rgb="FF000000"/>
      <name val="Calibri"/>
      <family val="2"/>
    </font>
    <font>
      <b/>
      <sz val="11"/>
      <name val="宋体"/>
      <family val="2"/>
      <scheme val="minor"/>
    </font>
    <font>
      <i/>
      <sz val="11"/>
      <name val="宋体"/>
      <family val="2"/>
      <scheme val="minor"/>
    </font>
    <font>
      <sz val="11"/>
      <color rgb="FF00B050"/>
      <name val="宋体"/>
      <family val="2"/>
      <scheme val="minor"/>
    </font>
    <font>
      <sz val="11"/>
      <color theme="3" tint="0.79998168889431442"/>
      <name val="宋体"/>
      <family val="2"/>
      <scheme val="minor"/>
    </font>
    <font>
      <i/>
      <sz val="11"/>
      <color theme="1"/>
      <name val="Calibri"/>
      <family val="2"/>
    </font>
    <font>
      <b/>
      <sz val="10"/>
      <color rgb="FF000000"/>
      <name val="Tahoma"/>
      <family val="2"/>
    </font>
    <font>
      <b/>
      <vertAlign val="subscript"/>
      <sz val="10"/>
      <color rgb="FF000000"/>
      <name val="Tahoma"/>
      <family val="2"/>
    </font>
    <font>
      <sz val="10"/>
      <color rgb="FF000000"/>
      <name val="Tahoma"/>
      <family val="2"/>
    </font>
    <font>
      <sz val="14"/>
      <name val="Calibri"/>
      <family val="2"/>
    </font>
    <font>
      <b/>
      <u/>
      <sz val="9"/>
      <name val="宋体"/>
      <family val="2"/>
      <scheme val="minor"/>
    </font>
    <font>
      <sz val="9"/>
      <name val="宋体"/>
      <family val="2"/>
      <scheme val="minor"/>
    </font>
    <font>
      <i/>
      <sz val="9"/>
      <name val="宋体"/>
      <family val="2"/>
      <scheme val="minor"/>
    </font>
    <font>
      <b/>
      <sz val="10"/>
      <name val="宋体"/>
      <family val="2"/>
      <scheme val="minor"/>
    </font>
    <font>
      <sz val="10"/>
      <color rgb="FF000000"/>
      <name val="Calibri"/>
      <family val="2"/>
    </font>
    <font>
      <sz val="20"/>
      <name val="宋体"/>
      <family val="2"/>
      <scheme val="minor"/>
    </font>
    <font>
      <b/>
      <sz val="16"/>
      <color theme="1"/>
      <name val="宋体"/>
      <family val="2"/>
      <scheme val="minor"/>
    </font>
    <font>
      <b/>
      <sz val="10"/>
      <color rgb="FFFF0000"/>
      <name val="宋体"/>
      <family val="2"/>
      <scheme val="minor"/>
    </font>
    <font>
      <b/>
      <u/>
      <sz val="11"/>
      <color theme="1"/>
      <name val="宋体"/>
      <family val="2"/>
      <scheme val="minor"/>
    </font>
    <font>
      <sz val="8"/>
      <color theme="1"/>
      <name val="Calibri"/>
      <family val="2"/>
    </font>
    <font>
      <u/>
      <sz val="11"/>
      <color theme="1"/>
      <name val="Calibri"/>
      <family val="2"/>
    </font>
    <font>
      <sz val="14"/>
      <name val="宋体"/>
      <family val="2"/>
      <scheme val="minor"/>
    </font>
    <font>
      <sz val="12"/>
      <name val="宋体"/>
      <family val="2"/>
      <scheme val="minor"/>
    </font>
    <font>
      <sz val="11"/>
      <color theme="1"/>
      <name val="Calibri"/>
      <family val="2"/>
    </font>
    <font>
      <b/>
      <sz val="14"/>
      <name val="宋体"/>
      <family val="2"/>
      <scheme val="minor"/>
    </font>
    <font>
      <b/>
      <u/>
      <sz val="11"/>
      <color theme="1"/>
      <name val="Calibri"/>
      <family val="2"/>
    </font>
    <font>
      <u/>
      <sz val="11"/>
      <color theme="1"/>
      <name val="Calibri"/>
      <family val="2"/>
    </font>
    <font>
      <b/>
      <sz val="11"/>
      <color theme="1"/>
      <name val="Calibri"/>
      <family val="2"/>
    </font>
    <font>
      <sz val="11"/>
      <color theme="0" tint="-0.14999847407452621"/>
      <name val="Calibri"/>
      <family val="2"/>
    </font>
    <font>
      <b/>
      <sz val="11"/>
      <name val="Calibri"/>
      <family val="2"/>
    </font>
    <font>
      <sz val="12"/>
      <name val="宋体"/>
      <family val="2"/>
      <scheme val="minor"/>
    </font>
    <font>
      <sz val="11"/>
      <name val="宋体"/>
      <family val="2"/>
      <scheme val="minor"/>
    </font>
    <font>
      <sz val="11"/>
      <color theme="1"/>
      <name val="Calibri"/>
      <family val="2"/>
    </font>
    <font>
      <sz val="11"/>
      <color rgb="FFFF0000"/>
      <name val="Calibri"/>
      <family val="2"/>
    </font>
    <font>
      <b/>
      <sz val="11"/>
      <color rgb="FFFF0000"/>
      <name val="Calibri"/>
      <family val="2"/>
    </font>
    <font>
      <b/>
      <sz val="11"/>
      <name val="Calibri"/>
      <family val="2"/>
    </font>
    <font>
      <b/>
      <sz val="11"/>
      <color theme="1"/>
      <name val="Calibri"/>
      <family val="2"/>
    </font>
    <font>
      <sz val="11"/>
      <color theme="1"/>
      <name val="宋体"/>
      <family val="2"/>
      <scheme val="minor"/>
    </font>
    <font>
      <b/>
      <u/>
      <sz val="11"/>
      <color theme="1"/>
      <name val="Calibri"/>
      <family val="2"/>
    </font>
    <font>
      <b/>
      <sz val="11"/>
      <name val="宋体"/>
      <family val="2"/>
      <scheme val="minor"/>
    </font>
    <font>
      <b/>
      <sz val="11"/>
      <color theme="7" tint="0.79998168889431442"/>
      <name val="宋体"/>
      <family val="2"/>
      <scheme val="minor"/>
    </font>
    <font>
      <i/>
      <sz val="11"/>
      <color theme="7" tint="0.79998168889431442"/>
      <name val="宋体"/>
      <family val="2"/>
      <scheme val="minor"/>
    </font>
    <font>
      <sz val="11"/>
      <color theme="2" tint="-0.249977111117893"/>
      <name val="宋体"/>
      <family val="2"/>
      <scheme val="minor"/>
    </font>
    <font>
      <i/>
      <sz val="11"/>
      <color theme="2" tint="-0.249977111117893"/>
      <name val="宋体"/>
      <family val="2"/>
      <scheme val="minor"/>
    </font>
    <font>
      <sz val="11"/>
      <color theme="7" tint="0.39997558519241921"/>
      <name val="宋体"/>
      <family val="2"/>
      <scheme val="minor"/>
    </font>
    <font>
      <i/>
      <sz val="11"/>
      <color theme="7" tint="0.39997558519241921"/>
      <name val="宋体"/>
      <family val="2"/>
      <scheme val="minor"/>
    </font>
    <font>
      <i/>
      <sz val="11"/>
      <color rgb="FFFF0000"/>
      <name val="宋体"/>
      <family val="2"/>
      <scheme val="minor"/>
    </font>
    <font>
      <sz val="11"/>
      <color theme="4" tint="0.59999389629810485"/>
      <name val="宋体"/>
      <family val="2"/>
      <scheme val="minor"/>
    </font>
    <font>
      <i/>
      <sz val="11"/>
      <color theme="4" tint="0.59999389629810485"/>
      <name val="宋体"/>
      <family val="2"/>
      <scheme val="minor"/>
    </font>
    <font>
      <b/>
      <sz val="11"/>
      <color theme="4" tint="0.59999389629810485"/>
      <name val="宋体"/>
      <family val="2"/>
      <scheme val="minor"/>
    </font>
    <font>
      <sz val="9"/>
      <name val="宋体"/>
      <family val="3"/>
      <charset val="134"/>
    </font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Microsoft YaHei UI"/>
      <family val="2"/>
      <charset val="134"/>
    </font>
    <font>
      <sz val="10"/>
      <color theme="1"/>
      <name val="Microsoft YaHei UI"/>
      <family val="2"/>
      <charset val="134"/>
    </font>
    <font>
      <sz val="10"/>
      <color theme="1"/>
      <name val="Calibri"/>
      <family val="2"/>
      <charset val="134"/>
    </font>
    <font>
      <sz val="10"/>
      <color theme="1"/>
      <name val="宋体"/>
      <family val="2"/>
      <charset val="134"/>
    </font>
    <font>
      <sz val="9"/>
      <color theme="1"/>
      <name val="宋体"/>
      <family val="2"/>
      <scheme val="minor"/>
    </font>
    <font>
      <b/>
      <sz val="9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b/>
      <sz val="9"/>
      <color theme="1"/>
      <name val="宋体"/>
      <family val="3"/>
      <charset val="134"/>
      <scheme val="minor"/>
    </font>
    <font>
      <b/>
      <sz val="8.5"/>
      <color theme="1"/>
      <name val="宋体"/>
      <family val="2"/>
      <scheme val="minor"/>
    </font>
    <font>
      <sz val="11"/>
      <color indexed="8"/>
      <name val="Calibri"/>
      <family val="2"/>
    </font>
    <font>
      <b/>
      <sz val="8"/>
      <color theme="1"/>
      <name val="宋体"/>
      <family val="3"/>
      <charset val="134"/>
      <scheme val="minor"/>
    </font>
    <font>
      <b/>
      <sz val="11"/>
      <color theme="1"/>
      <name val="宋体"/>
      <family val="3"/>
      <charset val="134"/>
      <scheme val="minor"/>
    </font>
    <font>
      <b/>
      <sz val="11"/>
      <name val="Microsoft YaHei UI"/>
      <family val="2"/>
      <charset val="134"/>
    </font>
    <font>
      <sz val="9"/>
      <color theme="1"/>
      <name val="宋体"/>
      <family val="2"/>
      <charset val="134"/>
    </font>
    <font>
      <b/>
      <sz val="9"/>
      <color theme="1"/>
      <name val="宋体"/>
      <family val="3"/>
      <charset val="134"/>
    </font>
    <font>
      <b/>
      <sz val="9"/>
      <color theme="1"/>
      <name val="Microsoft YaHei UI"/>
      <family val="2"/>
      <charset val="134"/>
    </font>
    <font>
      <sz val="9"/>
      <color theme="1"/>
      <name val="Calibri"/>
      <family val="2"/>
      <charset val="134"/>
    </font>
    <font>
      <sz val="8"/>
      <color theme="1"/>
      <name val="Calibri"/>
      <family val="2"/>
      <charset val="134"/>
    </font>
    <font>
      <sz val="8"/>
      <color theme="1"/>
      <name val="宋体"/>
      <family val="2"/>
      <charset val="134"/>
    </font>
    <font>
      <sz val="9"/>
      <color theme="1"/>
      <name val="宋体"/>
      <family val="3"/>
      <charset val="134"/>
    </font>
    <font>
      <sz val="8"/>
      <color theme="1"/>
      <name val="宋体"/>
      <family val="3"/>
      <charset val="134"/>
    </font>
    <font>
      <b/>
      <sz val="9"/>
      <name val="Microsoft YaHei UI"/>
      <family val="2"/>
      <charset val="134"/>
    </font>
    <font>
      <sz val="9"/>
      <color rgb="FFFF0000"/>
      <name val="Calibri"/>
      <family val="2"/>
    </font>
    <font>
      <b/>
      <sz val="9"/>
      <name val="宋体"/>
      <family val="2"/>
      <scheme val="minor"/>
    </font>
    <font>
      <sz val="11"/>
      <color theme="1"/>
      <name val="宋体"/>
      <family val="2"/>
      <charset val="134"/>
    </font>
  </fonts>
  <fills count="3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EB9C"/>
      </patternFill>
    </fill>
    <fill>
      <patternFill patternType="solid">
        <fgColor rgb="FFFCF6E8"/>
        <bgColor indexed="64"/>
      </patternFill>
    </fill>
    <fill>
      <patternFill patternType="solid">
        <fgColor rgb="FFF6E8C6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CC6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39997558519241921"/>
        <bgColor indexed="64"/>
      </patternFill>
    </fill>
  </fills>
  <borders count="2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 style="double">
        <color auto="1"/>
      </top>
      <bottom style="thin">
        <color auto="1"/>
      </bottom>
      <diagonal/>
    </border>
    <border>
      <left style="thin">
        <color auto="1"/>
      </left>
      <right/>
      <top style="double">
        <color auto="1"/>
      </top>
      <bottom style="thin">
        <color auto="1"/>
      </bottom>
      <diagonal/>
    </border>
    <border>
      <left/>
      <right style="medium">
        <color auto="1"/>
      </right>
      <top style="double">
        <color auto="1"/>
      </top>
      <bottom style="thin">
        <color auto="1"/>
      </bottom>
      <diagonal/>
    </border>
    <border>
      <left style="medium">
        <color auto="1"/>
      </left>
      <right/>
      <top style="double">
        <color auto="1"/>
      </top>
      <bottom style="thin">
        <color auto="1"/>
      </bottom>
      <diagonal/>
    </border>
    <border>
      <left style="medium">
        <color auto="1"/>
      </left>
      <right style="double">
        <color auto="1"/>
      </right>
      <top style="double">
        <color auto="1"/>
      </top>
      <bottom style="thin">
        <color auto="1"/>
      </bottom>
      <diagonal/>
    </border>
    <border>
      <left style="medium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auto="1"/>
      </left>
      <right/>
      <top/>
      <bottom/>
      <diagonal/>
    </border>
    <border>
      <left style="medium">
        <color auto="1"/>
      </left>
      <right style="double">
        <color auto="1"/>
      </right>
      <top/>
      <bottom/>
      <diagonal/>
    </border>
    <border>
      <left style="medium">
        <color auto="1"/>
      </left>
      <right style="double">
        <color auto="1"/>
      </right>
      <top/>
      <bottom style="thin">
        <color auto="1"/>
      </bottom>
      <diagonal/>
    </border>
    <border>
      <left style="medium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medium">
        <color auto="1"/>
      </left>
      <right style="double">
        <color auto="1"/>
      </right>
      <top/>
      <bottom style="medium">
        <color auto="1"/>
      </bottom>
      <diagonal/>
    </border>
    <border>
      <left style="medium">
        <color auto="1"/>
      </left>
      <right style="double">
        <color auto="1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ck">
        <color auto="1"/>
      </top>
      <bottom/>
      <diagonal/>
    </border>
    <border>
      <left style="thick">
        <color indexed="64"/>
      </left>
      <right/>
      <top/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 style="medium">
        <color indexed="64"/>
      </left>
      <right/>
      <top/>
      <bottom style="thick">
        <color auto="1"/>
      </bottom>
      <diagonal/>
    </border>
    <border>
      <left/>
      <right style="medium">
        <color indexed="64"/>
      </right>
      <top/>
      <bottom style="thick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rgb="FFFF0000"/>
      </bottom>
      <diagonal/>
    </border>
    <border>
      <left/>
      <right style="medium">
        <color auto="1"/>
      </right>
      <top style="thick">
        <color auto="1"/>
      </top>
      <bottom/>
      <diagonal/>
    </border>
    <border>
      <left/>
      <right style="thick">
        <color indexed="64"/>
      </right>
      <top/>
      <bottom/>
      <diagonal/>
    </border>
    <border>
      <left style="medium">
        <color rgb="FFFF0000"/>
      </left>
      <right style="medium">
        <color rgb="FFFF0000"/>
      </right>
      <top style="medium">
        <color indexed="64"/>
      </top>
      <bottom style="medium">
        <color rgb="FFFF0000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auto="1"/>
      </left>
      <right/>
      <top style="thick">
        <color auto="1"/>
      </top>
      <bottom/>
      <diagonal/>
    </border>
    <border>
      <left style="thick">
        <color auto="1"/>
      </left>
      <right style="medium">
        <color auto="1"/>
      </right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 style="medium">
        <color auto="1"/>
      </right>
      <top/>
      <bottom/>
      <diagonal/>
    </border>
    <border>
      <left/>
      <right style="thick">
        <color auto="1"/>
      </right>
      <top/>
      <bottom style="medium">
        <color auto="1"/>
      </bottom>
      <diagonal/>
    </border>
    <border>
      <left/>
      <right style="thick">
        <color auto="1"/>
      </right>
      <top style="medium">
        <color auto="1"/>
      </top>
      <bottom/>
      <diagonal/>
    </border>
    <border>
      <left style="thick">
        <color auto="1"/>
      </left>
      <right style="medium">
        <color auto="1"/>
      </right>
      <top/>
      <bottom style="thick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ck">
        <color indexed="64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 style="thin">
        <color indexed="64"/>
      </right>
      <top style="mediumDashDot">
        <color indexed="64"/>
      </top>
      <bottom style="medium">
        <color auto="1"/>
      </bottom>
      <diagonal/>
    </border>
    <border>
      <left/>
      <right/>
      <top style="mediumDashDot">
        <color indexed="64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 style="mediumDashDot">
        <color indexed="64"/>
      </top>
      <bottom style="medium">
        <color auto="1"/>
      </bottom>
      <diagonal/>
    </border>
    <border>
      <left style="thin">
        <color indexed="64"/>
      </left>
      <right/>
      <top style="mediumDashDot">
        <color indexed="64"/>
      </top>
      <bottom style="medium">
        <color auto="1"/>
      </bottom>
      <diagonal/>
    </border>
    <border>
      <left style="medium">
        <color indexed="64"/>
      </left>
      <right style="thin">
        <color indexed="64"/>
      </right>
      <top style="mediumDashDot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DashDot">
        <color indexed="64"/>
      </top>
      <bottom style="thin">
        <color indexed="64"/>
      </bottom>
      <diagonal/>
    </border>
    <border>
      <left style="thin">
        <color indexed="64"/>
      </left>
      <right/>
      <top style="mediumDashDot">
        <color indexed="64"/>
      </top>
      <bottom style="thin">
        <color indexed="64"/>
      </bottom>
      <diagonal/>
    </border>
    <border>
      <left style="medium">
        <color rgb="FFFF0000"/>
      </left>
      <right style="thin">
        <color indexed="64"/>
      </right>
      <top style="medium">
        <color rgb="FFFF0000"/>
      </top>
      <bottom/>
      <diagonal/>
    </border>
    <border>
      <left/>
      <right style="medium">
        <color rgb="FFFF0000"/>
      </right>
      <top style="medium">
        <color rgb="FFFF0000"/>
      </top>
      <bottom/>
      <diagonal/>
    </border>
    <border>
      <left style="medium">
        <color rgb="FFFF0000"/>
      </left>
      <right style="thin">
        <color indexed="64"/>
      </right>
      <top/>
      <bottom/>
      <diagonal/>
    </border>
    <border>
      <left/>
      <right style="medium">
        <color rgb="FFFF0000"/>
      </right>
      <top/>
      <bottom/>
      <diagonal/>
    </border>
    <border>
      <left style="medium">
        <color rgb="FFFF0000"/>
      </left>
      <right/>
      <top/>
      <bottom/>
      <diagonal/>
    </border>
    <border>
      <left style="medium">
        <color rgb="FFFF0000"/>
      </left>
      <right/>
      <top/>
      <bottom style="medium">
        <color rgb="FFFF0000"/>
      </bottom>
      <diagonal/>
    </border>
    <border>
      <left/>
      <right style="medium">
        <color rgb="FFFF0000"/>
      </right>
      <top/>
      <bottom style="medium">
        <color rgb="FFFF0000"/>
      </bottom>
      <diagonal/>
    </border>
    <border diagonalDown="1">
      <left style="medium">
        <color indexed="64"/>
      </left>
      <right/>
      <top style="medium">
        <color indexed="64"/>
      </top>
      <bottom style="thin">
        <color indexed="64"/>
      </bottom>
      <diagonal style="thin">
        <color indexed="64"/>
      </diagonal>
    </border>
    <border diagonalDown="1">
      <left/>
      <right/>
      <top style="medium">
        <color indexed="64"/>
      </top>
      <bottom style="thin">
        <color indexed="64"/>
      </bottom>
      <diagonal style="thin">
        <color indexed="64"/>
      </diagonal>
    </border>
    <border diagonalDown="1">
      <left/>
      <right style="medium">
        <color indexed="64"/>
      </right>
      <top style="medium">
        <color indexed="64"/>
      </top>
      <bottom style="thin">
        <color indexed="64"/>
      </bottom>
      <diagonal style="thin">
        <color indexed="64"/>
      </diagonal>
    </border>
    <border diagonalDown="1">
      <left style="medium">
        <color indexed="64"/>
      </left>
      <right/>
      <top/>
      <bottom/>
      <diagonal style="thin">
        <color indexed="64"/>
      </diagonal>
    </border>
    <border diagonalDown="1">
      <left/>
      <right/>
      <top/>
      <bottom/>
      <diagonal style="thin">
        <color indexed="64"/>
      </diagonal>
    </border>
    <border diagonalDown="1">
      <left/>
      <right style="medium">
        <color indexed="64"/>
      </right>
      <top/>
      <bottom/>
      <diagonal style="thin">
        <color indexed="64"/>
      </diagonal>
    </border>
    <border diagonalDown="1">
      <left style="medium">
        <color indexed="64"/>
      </left>
      <right/>
      <top/>
      <bottom style="medium">
        <color indexed="64"/>
      </bottom>
      <diagonal style="thin">
        <color indexed="64"/>
      </diagonal>
    </border>
    <border diagonalDown="1">
      <left/>
      <right/>
      <top/>
      <bottom style="medium">
        <color indexed="64"/>
      </bottom>
      <diagonal style="thin">
        <color indexed="64"/>
      </diagonal>
    </border>
    <border diagonalDown="1">
      <left/>
      <right style="medium">
        <color indexed="64"/>
      </right>
      <top/>
      <bottom style="medium">
        <color indexed="64"/>
      </bottom>
      <diagonal style="thin">
        <color indexed="64"/>
      </diagonal>
    </border>
    <border diagonalDown="1">
      <left style="medium">
        <color indexed="64"/>
      </left>
      <right style="medium">
        <color auto="1"/>
      </right>
      <top style="medium">
        <color indexed="64"/>
      </top>
      <bottom/>
      <diagonal style="thin">
        <color indexed="64"/>
      </diagonal>
    </border>
    <border diagonalDown="1">
      <left style="medium">
        <color indexed="64"/>
      </left>
      <right style="medium">
        <color auto="1"/>
      </right>
      <top/>
      <bottom style="medium">
        <color auto="1"/>
      </bottom>
      <diagonal style="thin">
        <color indexed="64"/>
      </diagonal>
    </border>
    <border diagonalDown="1">
      <left style="thin">
        <color auto="1"/>
      </left>
      <right/>
      <top/>
      <bottom/>
      <diagonal style="thin">
        <color auto="1"/>
      </diagonal>
    </border>
    <border diagonalDown="1">
      <left style="thin">
        <color auto="1"/>
      </left>
      <right/>
      <top/>
      <bottom style="medium">
        <color indexed="64"/>
      </bottom>
      <diagonal style="thin">
        <color auto="1"/>
      </diagonal>
    </border>
    <border diagonalDown="1">
      <left/>
      <right style="thin">
        <color indexed="64"/>
      </right>
      <top/>
      <bottom style="medium">
        <color indexed="64"/>
      </bottom>
      <diagonal style="thin">
        <color indexed="64"/>
      </diagonal>
    </border>
    <border diagonalDown="1">
      <left/>
      <right style="thin">
        <color indexed="64"/>
      </right>
      <top/>
      <bottom/>
      <diagonal style="thin">
        <color indexed="64"/>
      </diagonal>
    </border>
    <border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 diagonalDown="1">
      <left style="thin">
        <color indexed="64"/>
      </left>
      <right/>
      <top style="thin">
        <color indexed="64"/>
      </top>
      <bottom/>
      <diagonal style="thin">
        <color indexed="64"/>
      </diagonal>
    </border>
    <border diagonalDown="1">
      <left/>
      <right/>
      <top style="thin">
        <color indexed="64"/>
      </top>
      <bottom/>
      <diagonal style="thin">
        <color indexed="64"/>
      </diagonal>
    </border>
    <border diagonalDown="1">
      <left/>
      <right style="thin">
        <color indexed="64"/>
      </right>
      <top style="thin">
        <color indexed="64"/>
      </top>
      <bottom/>
      <diagonal style="thin">
        <color indexed="64"/>
      </diagonal>
    </border>
    <border diagonalDown="1">
      <left style="thin">
        <color indexed="64"/>
      </left>
      <right style="thin">
        <color indexed="64"/>
      </right>
      <top/>
      <bottom style="thin">
        <color indexed="64"/>
      </bottom>
      <diagonal style="thin">
        <color indexed="64"/>
      </diagonal>
    </border>
    <border diagonalDown="1">
      <left style="thin">
        <color indexed="64"/>
      </left>
      <right/>
      <top style="thin">
        <color indexed="64"/>
      </top>
      <bottom style="thin">
        <color indexed="64"/>
      </bottom>
      <diagonal style="thin">
        <color indexed="64"/>
      </diagonal>
    </border>
    <border diagonalDown="1">
      <left style="thin">
        <color indexed="64"/>
      </left>
      <right style="thin">
        <color indexed="64"/>
      </right>
      <top/>
      <bottom/>
      <diagonal style="thin">
        <color indexed="64"/>
      </diagonal>
    </border>
    <border diagonalDown="1">
      <left style="thin">
        <color indexed="64"/>
      </left>
      <right style="thin">
        <color indexed="64"/>
      </right>
      <top style="thin">
        <color indexed="64"/>
      </top>
      <bottom/>
      <diagonal style="thin">
        <color indexed="64"/>
      </diagonal>
    </border>
    <border diagonalDown="1">
      <left style="thin">
        <color auto="1"/>
      </left>
      <right/>
      <top/>
      <bottom style="thin">
        <color indexed="64"/>
      </bottom>
      <diagonal style="thin">
        <color indexed="64"/>
      </diagonal>
    </border>
    <border diagonalDown="1">
      <left style="medium">
        <color indexed="64"/>
      </left>
      <right/>
      <top style="medium">
        <color indexed="64"/>
      </top>
      <bottom/>
      <diagonal style="thin">
        <color indexed="64"/>
      </diagonal>
    </border>
    <border diagonalDown="1">
      <left/>
      <right/>
      <top/>
      <bottom style="thin">
        <color indexed="64"/>
      </bottom>
      <diagonal style="thin">
        <color indexed="64"/>
      </diagonal>
    </border>
    <border>
      <left style="medium">
        <color rgb="FF00A000"/>
      </left>
      <right style="medium">
        <color rgb="FF00A000"/>
      </right>
      <top style="medium">
        <color rgb="FF00A000"/>
      </top>
      <bottom style="medium">
        <color rgb="FF00A000"/>
      </bottom>
      <diagonal/>
    </border>
    <border>
      <left style="medium">
        <color rgb="FF00A000"/>
      </left>
      <right/>
      <top style="medium">
        <color rgb="FF00A000"/>
      </top>
      <bottom style="medium">
        <color rgb="FF00A000"/>
      </bottom>
      <diagonal/>
    </border>
    <border>
      <left/>
      <right/>
      <top style="medium">
        <color rgb="FF00A000"/>
      </top>
      <bottom style="medium">
        <color rgb="FF00A000"/>
      </bottom>
      <diagonal/>
    </border>
    <border>
      <left/>
      <right style="medium">
        <color rgb="FF00A000"/>
      </right>
      <top style="medium">
        <color rgb="FF00A000"/>
      </top>
      <bottom style="medium">
        <color rgb="FF00A000"/>
      </bottom>
      <diagonal/>
    </border>
    <border>
      <left style="medium">
        <color rgb="FF00A000"/>
      </left>
      <right style="medium">
        <color rgb="FF00A000"/>
      </right>
      <top style="medium">
        <color rgb="FF00A000"/>
      </top>
      <bottom/>
      <diagonal/>
    </border>
    <border>
      <left style="medium">
        <color rgb="FF00A000"/>
      </left>
      <right/>
      <top style="medium">
        <color rgb="FF00A000"/>
      </top>
      <bottom/>
      <diagonal/>
    </border>
    <border>
      <left/>
      <right/>
      <top style="medium">
        <color rgb="FF00A000"/>
      </top>
      <bottom/>
      <diagonal/>
    </border>
    <border>
      <left style="medium">
        <color rgb="FF00A000"/>
      </left>
      <right style="medium">
        <color rgb="FF00A000"/>
      </right>
      <top/>
      <bottom/>
      <diagonal/>
    </border>
    <border>
      <left style="medium">
        <color rgb="FF00A000"/>
      </left>
      <right/>
      <top/>
      <bottom style="medium">
        <color rgb="FF00A000"/>
      </bottom>
      <diagonal/>
    </border>
    <border>
      <left/>
      <right/>
      <top/>
      <bottom style="medium">
        <color rgb="FF00A000"/>
      </bottom>
      <diagonal/>
    </border>
    <border>
      <left style="medium">
        <color rgb="FF00A000"/>
      </left>
      <right style="medium">
        <color rgb="FF00A000"/>
      </right>
      <top/>
      <bottom style="medium">
        <color rgb="FF00A000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medium">
        <color auto="1"/>
      </right>
      <top style="thick">
        <color auto="1"/>
      </top>
      <bottom style="thick">
        <color auto="1"/>
      </bottom>
      <diagonal/>
    </border>
    <border>
      <left style="medium">
        <color auto="1"/>
      </left>
      <right/>
      <top style="thick">
        <color auto="1"/>
      </top>
      <bottom style="thick">
        <color auto="1"/>
      </bottom>
      <diagonal/>
    </border>
    <border>
      <left style="thick">
        <color auto="1"/>
      </left>
      <right/>
      <top/>
      <bottom style="medium">
        <color auto="1"/>
      </bottom>
      <diagonal/>
    </border>
    <border>
      <left style="medium">
        <color rgb="FFFF0000"/>
      </left>
      <right/>
      <top style="medium">
        <color rgb="FFFF0000"/>
      </top>
      <bottom style="medium">
        <color rgb="FFFF0000"/>
      </bottom>
      <diagonal/>
    </border>
    <border>
      <left/>
      <right/>
      <top style="medium">
        <color rgb="FFFF0000"/>
      </top>
      <bottom style="medium">
        <color rgb="FFFF0000"/>
      </bottom>
      <diagonal/>
    </border>
    <border>
      <left/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/>
      <right/>
      <top/>
      <bottom style="medium">
        <color rgb="FFFF0000"/>
      </bottom>
      <diagonal/>
    </border>
    <border>
      <left style="medium">
        <color rgb="FFFF0000"/>
      </left>
      <right/>
      <top style="medium">
        <color rgb="FFFF0000"/>
      </top>
      <bottom/>
      <diagonal/>
    </border>
    <border>
      <left/>
      <right/>
      <top style="medium">
        <color rgb="FFFF0000"/>
      </top>
      <bottom/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ck">
        <color rgb="FFFF0000"/>
      </left>
      <right style="medium">
        <color rgb="FFFF0000"/>
      </right>
      <top/>
      <bottom/>
      <diagonal/>
    </border>
    <border>
      <left style="thick">
        <color rgb="FFFF0000"/>
      </left>
      <right style="medium">
        <color rgb="FFFF0000"/>
      </right>
      <top/>
      <bottom style="thick">
        <color rgb="FFFF0000"/>
      </bottom>
      <diagonal/>
    </border>
    <border>
      <left style="medium">
        <color auto="1"/>
      </left>
      <right style="medium">
        <color auto="1"/>
      </right>
      <top style="double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/>
      <right style="double">
        <color auto="1"/>
      </right>
      <top/>
      <bottom/>
      <diagonal/>
    </border>
    <border>
      <left style="thin">
        <color auto="1"/>
      </left>
      <right/>
      <top style="dashDot">
        <color auto="1"/>
      </top>
      <bottom/>
      <diagonal/>
    </border>
    <border>
      <left/>
      <right/>
      <top style="dashDot">
        <color auto="1"/>
      </top>
      <bottom/>
      <diagonal/>
    </border>
    <border>
      <left/>
      <right style="medium">
        <color indexed="64"/>
      </right>
      <top style="dashDot">
        <color auto="1"/>
      </top>
      <bottom/>
      <diagonal/>
    </border>
    <border>
      <left style="thick">
        <color rgb="FF00B0F0"/>
      </left>
      <right/>
      <top style="thick">
        <color rgb="FF00B0F0"/>
      </top>
      <bottom/>
      <diagonal/>
    </border>
    <border>
      <left/>
      <right/>
      <top style="thick">
        <color rgb="FF00B0F0"/>
      </top>
      <bottom/>
      <diagonal/>
    </border>
    <border>
      <left/>
      <right style="thick">
        <color rgb="FF00B0F0"/>
      </right>
      <top style="thick">
        <color rgb="FF00B0F0"/>
      </top>
      <bottom/>
      <diagonal/>
    </border>
    <border>
      <left style="thick">
        <color rgb="FF00B0F0"/>
      </left>
      <right/>
      <top/>
      <bottom/>
      <diagonal/>
    </border>
    <border>
      <left/>
      <right style="thick">
        <color rgb="FF00B0F0"/>
      </right>
      <top/>
      <bottom/>
      <diagonal/>
    </border>
    <border>
      <left style="thick">
        <color rgb="FF00B0F0"/>
      </left>
      <right/>
      <top/>
      <bottom style="thick">
        <color rgb="FF00B0F0"/>
      </bottom>
      <diagonal/>
    </border>
    <border>
      <left/>
      <right/>
      <top/>
      <bottom style="thick">
        <color rgb="FF00B0F0"/>
      </bottom>
      <diagonal/>
    </border>
    <border>
      <left/>
      <right style="thick">
        <color rgb="FF00B0F0"/>
      </right>
      <top/>
      <bottom style="thick">
        <color rgb="FF00B0F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/>
      <diagonal/>
    </border>
    <border>
      <left style="thick">
        <color rgb="FF00B0F0"/>
      </left>
      <right style="thick">
        <color rgb="FF00B0F0"/>
      </right>
      <top/>
      <bottom/>
      <diagonal/>
    </border>
    <border>
      <left style="thick">
        <color rgb="FF00B0F0"/>
      </left>
      <right style="thick">
        <color rgb="FF00B0F0"/>
      </right>
      <top/>
      <bottom style="thick">
        <color rgb="FF00B0F0"/>
      </bottom>
      <diagonal/>
    </border>
    <border>
      <left/>
      <right style="medium">
        <color indexed="64"/>
      </right>
      <top style="medium">
        <color rgb="FFFF0000"/>
      </top>
      <bottom/>
      <diagonal/>
    </border>
    <border>
      <left style="medium">
        <color auto="1"/>
      </left>
      <right/>
      <top style="medium">
        <color rgb="FFFF0000"/>
      </top>
      <bottom/>
      <diagonal/>
    </border>
    <border>
      <left style="thick">
        <color rgb="FFFF0000"/>
      </left>
      <right/>
      <top style="thin">
        <color indexed="64"/>
      </top>
      <bottom style="thin">
        <color indexed="64"/>
      </bottom>
      <diagonal/>
    </border>
    <border>
      <left style="thick">
        <color rgb="FFFF0000"/>
      </left>
      <right/>
      <top/>
      <bottom style="thin">
        <color indexed="64"/>
      </bottom>
      <diagonal/>
    </border>
    <border>
      <left style="thick">
        <color rgb="FFFF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rgb="FFFF0000"/>
      </left>
      <right style="thin">
        <color indexed="64"/>
      </right>
      <top/>
      <bottom style="thin">
        <color indexed="64"/>
      </bottom>
      <diagonal/>
    </border>
    <border>
      <left style="thick">
        <color rgb="FFFF0000"/>
      </left>
      <right style="thin">
        <color indexed="64"/>
      </right>
      <top style="thin">
        <color indexed="64"/>
      </top>
      <bottom/>
      <diagonal/>
    </border>
    <border>
      <left style="thick">
        <color rgb="FFFF0000"/>
      </left>
      <right style="thin">
        <color indexed="64"/>
      </right>
      <top/>
      <bottom style="medium">
        <color indexed="64"/>
      </bottom>
      <diagonal/>
    </border>
    <border>
      <left style="thick">
        <color rgb="FFFF0000"/>
      </left>
      <right/>
      <top/>
      <bottom/>
      <diagonal/>
    </border>
    <border>
      <left style="thick">
        <color rgb="FFFF0000"/>
      </left>
      <right style="thin">
        <color indexed="64"/>
      </right>
      <top/>
      <bottom/>
      <diagonal/>
    </border>
    <border>
      <left/>
      <right style="slantDashDot">
        <color indexed="64"/>
      </right>
      <top style="medium">
        <color indexed="64"/>
      </top>
      <bottom/>
      <diagonal/>
    </border>
    <border>
      <left/>
      <right style="slantDashDot">
        <color indexed="64"/>
      </right>
      <top/>
      <bottom/>
      <diagonal/>
    </border>
    <border>
      <left/>
      <right style="slantDashDot">
        <color indexed="64"/>
      </right>
      <top/>
      <bottom style="thick">
        <color auto="1"/>
      </bottom>
      <diagonal/>
    </border>
    <border diagonalDown="1">
      <left/>
      <right style="medium">
        <color indexed="64"/>
      </right>
      <top style="thin">
        <color auto="1"/>
      </top>
      <bottom/>
      <diagonal style="thin">
        <color auto="1"/>
      </diagonal>
    </border>
    <border diagonalDown="1">
      <left style="medium">
        <color indexed="64"/>
      </left>
      <right/>
      <top style="thin">
        <color indexed="64"/>
      </top>
      <bottom/>
      <diagonal style="thin">
        <color indexed="64"/>
      </diagonal>
    </border>
    <border diagonalDown="1">
      <left style="medium">
        <color indexed="64"/>
      </left>
      <right/>
      <top/>
      <bottom style="thin">
        <color indexed="64"/>
      </bottom>
      <diagonal style="thin">
        <color indexed="64"/>
      </diagonal>
    </border>
    <border diagonalDown="1">
      <left/>
      <right style="thin">
        <color auto="1"/>
      </right>
      <top/>
      <bottom style="thin">
        <color indexed="64"/>
      </bottom>
      <diagonal style="thin">
        <color indexed="64"/>
      </diagonal>
    </border>
    <border>
      <left style="thick">
        <color auto="1"/>
      </left>
      <right style="medium">
        <color rgb="FFFF0000"/>
      </right>
      <top/>
      <bottom/>
      <diagonal/>
    </border>
    <border>
      <left/>
      <right style="thick">
        <color auto="1"/>
      </right>
      <top style="medium">
        <color rgb="FFFF0000"/>
      </top>
      <bottom style="medium">
        <color rgb="FFFF0000"/>
      </bottom>
      <diagonal/>
    </border>
    <border>
      <left style="thick">
        <color indexed="64"/>
      </left>
      <right/>
      <top style="medium">
        <color auto="1"/>
      </top>
      <bottom style="medium">
        <color indexed="64"/>
      </bottom>
      <diagonal/>
    </border>
    <border>
      <left style="thick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rgb="FFFF0000"/>
      </left>
      <right/>
      <top/>
      <bottom style="medium">
        <color indexed="64"/>
      </bottom>
      <diagonal/>
    </border>
    <border diagonalDown="1">
      <left/>
      <right/>
      <top style="medium">
        <color auto="1"/>
      </top>
      <bottom style="thin">
        <color indexed="64"/>
      </bottom>
      <diagonal style="dashDot">
        <color indexed="64"/>
      </diagonal>
    </border>
    <border>
      <left style="thick">
        <color rgb="FFFF0000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 style="medium">
        <color rgb="FFFF0000"/>
      </right>
      <top style="medium">
        <color rgb="FFFF0000"/>
      </top>
      <bottom/>
      <diagonal/>
    </border>
    <border>
      <left style="medium">
        <color auto="1"/>
      </left>
      <right style="medium">
        <color rgb="FFFF0000"/>
      </right>
      <top/>
      <bottom/>
      <diagonal/>
    </border>
    <border>
      <left style="medium">
        <color auto="1"/>
      </left>
      <right style="medium">
        <color rgb="FFFF0000"/>
      </right>
      <top/>
      <bottom style="medium">
        <color rgb="FFFF0000"/>
      </bottom>
      <diagonal/>
    </border>
    <border diagonalDown="1"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 style="thin">
        <color indexed="64"/>
      </diagonal>
    </border>
    <border diagonalDown="1">
      <left/>
      <right/>
      <top style="medium">
        <color auto="1"/>
      </top>
      <bottom/>
      <diagonal style="dashDot">
        <color indexed="64"/>
      </diagonal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44">
    <xf numFmtId="0" fontId="0" fillId="0" borderId="0"/>
    <xf numFmtId="176" fontId="45" fillId="0" borderId="0" applyFont="0" applyFill="0" applyBorder="0" applyAlignment="0" applyProtection="0"/>
    <xf numFmtId="0" fontId="46" fillId="0" borderId="0"/>
    <xf numFmtId="176" fontId="55" fillId="0" borderId="0" applyFont="0" applyFill="0" applyBorder="0" applyAlignment="0" applyProtection="0"/>
    <xf numFmtId="0" fontId="55" fillId="0" borderId="0"/>
    <xf numFmtId="176" fontId="55" fillId="0" borderId="0" applyFont="0" applyFill="0" applyBorder="0" applyAlignment="0" applyProtection="0"/>
    <xf numFmtId="176" fontId="55" fillId="0" borderId="0" applyFont="0" applyFill="0" applyBorder="0" applyAlignment="0" applyProtection="0"/>
    <xf numFmtId="176" fontId="56" fillId="0" borderId="0" applyFont="0" applyFill="0" applyBorder="0" applyAlignment="0" applyProtection="0"/>
    <xf numFmtId="176" fontId="55" fillId="0" borderId="0" applyFont="0" applyFill="0" applyBorder="0" applyAlignment="0" applyProtection="0"/>
    <xf numFmtId="176" fontId="45" fillId="0" borderId="0" applyFont="0" applyFill="0" applyBorder="0" applyAlignment="0" applyProtection="0"/>
    <xf numFmtId="0" fontId="55" fillId="0" borderId="0"/>
    <xf numFmtId="0" fontId="46" fillId="0" borderId="0"/>
    <xf numFmtId="0" fontId="45" fillId="0" borderId="0"/>
    <xf numFmtId="9" fontId="56" fillId="0" borderId="0" applyFont="0" applyFill="0" applyBorder="0" applyAlignment="0" applyProtection="0"/>
    <xf numFmtId="9" fontId="55" fillId="0" borderId="0" applyFont="0" applyFill="0" applyBorder="0" applyAlignment="0" applyProtection="0"/>
    <xf numFmtId="0" fontId="48" fillId="0" borderId="0"/>
    <xf numFmtId="9" fontId="45" fillId="0" borderId="0" applyFont="0" applyFill="0" applyBorder="0" applyAlignment="0" applyProtection="0"/>
    <xf numFmtId="0" fontId="70" fillId="0" borderId="0">
      <alignment vertical="center"/>
    </xf>
    <xf numFmtId="0" fontId="44" fillId="0" borderId="0"/>
    <xf numFmtId="0" fontId="43" fillId="0" borderId="0"/>
    <xf numFmtId="0" fontId="81" fillId="12" borderId="0" applyNumberFormat="0" applyBorder="0" applyAlignment="0" applyProtection="0"/>
    <xf numFmtId="0" fontId="70" fillId="0" borderId="0">
      <alignment vertical="center"/>
    </xf>
    <xf numFmtId="0" fontId="40" fillId="0" borderId="0"/>
    <xf numFmtId="0" fontId="41" fillId="0" borderId="0"/>
    <xf numFmtId="0" fontId="41" fillId="0" borderId="0"/>
    <xf numFmtId="0" fontId="39" fillId="0" borderId="0"/>
    <xf numFmtId="0" fontId="39" fillId="0" borderId="0"/>
    <xf numFmtId="0" fontId="38" fillId="0" borderId="0"/>
    <xf numFmtId="0" fontId="38" fillId="0" borderId="0"/>
    <xf numFmtId="0" fontId="37" fillId="0" borderId="0"/>
    <xf numFmtId="0" fontId="37" fillId="0" borderId="0"/>
    <xf numFmtId="0" fontId="37" fillId="0" borderId="0"/>
    <xf numFmtId="196" fontId="45" fillId="0" borderId="0" applyFont="0" applyFill="0" applyBorder="0" applyAlignment="0" applyProtection="0"/>
    <xf numFmtId="0" fontId="100" fillId="0" borderId="0"/>
    <xf numFmtId="176" fontId="101" fillId="0" borderId="0" applyFont="0" applyFill="0" applyBorder="0" applyAlignment="0" applyProtection="0"/>
    <xf numFmtId="0" fontId="36" fillId="0" borderId="0"/>
    <xf numFmtId="176" fontId="36" fillId="0" borderId="0" applyFont="0" applyFill="0" applyBorder="0" applyAlignment="0" applyProtection="0"/>
    <xf numFmtId="0" fontId="33" fillId="0" borderId="0"/>
    <xf numFmtId="0" fontId="171" fillId="0" borderId="0">
      <alignment vertical="center"/>
    </xf>
    <xf numFmtId="196" fontId="171" fillId="0" borderId="0" applyFont="0" applyFill="0" applyBorder="0" applyAlignment="0" applyProtection="0"/>
    <xf numFmtId="0" fontId="14" fillId="0" borderId="0"/>
    <xf numFmtId="0" fontId="10" fillId="0" borderId="0"/>
    <xf numFmtId="0" fontId="182" fillId="0" borderId="0">
      <alignment vertical="center"/>
    </xf>
    <xf numFmtId="0" fontId="55" fillId="0" borderId="0"/>
  </cellStyleXfs>
  <cellXfs count="4043">
    <xf numFmtId="0" fontId="0" fillId="0" borderId="0" xfId="0"/>
    <xf numFmtId="177" fontId="59" fillId="0" borderId="0" xfId="1" applyNumberFormat="1" applyFont="1" applyFill="1" applyBorder="1" applyAlignment="1">
      <alignment vertical="center"/>
    </xf>
    <xf numFmtId="177" fontId="54" fillId="0" borderId="0" xfId="1" applyNumberFormat="1" applyFont="1" applyFill="1" applyBorder="1" applyAlignment="1">
      <alignment vertical="center"/>
    </xf>
    <xf numFmtId="177" fontId="54" fillId="0" borderId="0" xfId="1" applyNumberFormat="1" applyFont="1" applyAlignment="1">
      <alignment vertical="center"/>
    </xf>
    <xf numFmtId="177" fontId="54" fillId="0" borderId="0" xfId="1" applyNumberFormat="1" applyFont="1" applyBorder="1" applyAlignment="1">
      <alignment vertical="center"/>
    </xf>
    <xf numFmtId="177" fontId="54" fillId="0" borderId="1" xfId="1" applyNumberFormat="1" applyFont="1" applyBorder="1" applyAlignment="1">
      <alignment vertical="center"/>
    </xf>
    <xf numFmtId="177" fontId="54" fillId="0" borderId="42" xfId="1" applyNumberFormat="1" applyFont="1" applyBorder="1" applyAlignment="1">
      <alignment vertical="center"/>
    </xf>
    <xf numFmtId="177" fontId="54" fillId="0" borderId="27" xfId="1" applyNumberFormat="1" applyFont="1" applyBorder="1" applyAlignment="1">
      <alignment vertical="center"/>
    </xf>
    <xf numFmtId="177" fontId="59" fillId="0" borderId="30" xfId="1" applyNumberFormat="1" applyFont="1" applyBorder="1" applyAlignment="1">
      <alignment vertical="center"/>
    </xf>
    <xf numFmtId="177" fontId="54" fillId="0" borderId="31" xfId="1" applyNumberFormat="1" applyFont="1" applyBorder="1" applyAlignment="1">
      <alignment vertical="center"/>
    </xf>
    <xf numFmtId="177" fontId="54" fillId="0" borderId="54" xfId="1" applyNumberFormat="1" applyFont="1" applyBorder="1" applyAlignment="1">
      <alignment vertical="center"/>
    </xf>
    <xf numFmtId="177" fontId="54" fillId="0" borderId="0" xfId="1" applyNumberFormat="1" applyFont="1" applyAlignment="1">
      <alignment horizontal="right" vertical="center"/>
    </xf>
    <xf numFmtId="177" fontId="54" fillId="0" borderId="0" xfId="1" applyNumberFormat="1" applyFont="1" applyAlignment="1">
      <alignment horizontal="left" vertical="center"/>
    </xf>
    <xf numFmtId="177" fontId="50" fillId="0" borderId="0" xfId="1" applyNumberFormat="1" applyFont="1" applyAlignment="1">
      <alignment vertical="center"/>
    </xf>
    <xf numFmtId="177" fontId="50" fillId="0" borderId="16" xfId="1" applyNumberFormat="1" applyFont="1" applyBorder="1" applyAlignment="1">
      <alignment horizontal="right" vertical="center"/>
    </xf>
    <xf numFmtId="177" fontId="50" fillId="0" borderId="16" xfId="1" applyNumberFormat="1" applyFont="1" applyBorder="1" applyAlignment="1">
      <alignment vertical="center"/>
    </xf>
    <xf numFmtId="177" fontId="50" fillId="0" borderId="11" xfId="1" applyNumberFormat="1" applyFont="1" applyBorder="1" applyAlignment="1">
      <alignment horizontal="right" vertical="center"/>
    </xf>
    <xf numFmtId="177" fontId="50" fillId="0" borderId="0" xfId="1" applyNumberFormat="1" applyFont="1" applyBorder="1" applyAlignment="1">
      <alignment vertical="center"/>
    </xf>
    <xf numFmtId="177" fontId="50" fillId="0" borderId="0" xfId="1" applyNumberFormat="1" applyFont="1" applyFill="1" applyBorder="1" applyAlignment="1" applyProtection="1">
      <alignment vertical="center"/>
    </xf>
    <xf numFmtId="177" fontId="50" fillId="0" borderId="12" xfId="1" applyNumberFormat="1" applyFont="1" applyBorder="1" applyAlignment="1">
      <alignment vertical="center"/>
    </xf>
    <xf numFmtId="177" fontId="50" fillId="0" borderId="0" xfId="1" applyNumberFormat="1" applyFont="1" applyBorder="1" applyAlignment="1">
      <alignment horizontal="right" vertical="center"/>
    </xf>
    <xf numFmtId="177" fontId="50" fillId="0" borderId="13" xfId="1" applyNumberFormat="1" applyFont="1" applyBorder="1" applyAlignment="1">
      <alignment horizontal="right" vertical="center"/>
    </xf>
    <xf numFmtId="177" fontId="50" fillId="0" borderId="14" xfId="1" applyNumberFormat="1" applyFont="1" applyBorder="1" applyAlignment="1">
      <alignment horizontal="right" vertical="center"/>
    </xf>
    <xf numFmtId="177" fontId="50" fillId="0" borderId="14" xfId="1" applyNumberFormat="1" applyFont="1" applyBorder="1" applyAlignment="1">
      <alignment vertical="center"/>
    </xf>
    <xf numFmtId="177" fontId="50" fillId="0" borderId="15" xfId="1" applyNumberFormat="1" applyFont="1" applyBorder="1" applyAlignment="1">
      <alignment vertical="center"/>
    </xf>
    <xf numFmtId="177" fontId="50" fillId="0" borderId="0" xfId="1" applyNumberFormat="1" applyFont="1" applyAlignment="1">
      <alignment horizontal="right" vertical="center"/>
    </xf>
    <xf numFmtId="177" fontId="58" fillId="0" borderId="23" xfId="1" applyNumberFormat="1" applyFont="1" applyBorder="1" applyAlignment="1">
      <alignment horizontal="center" vertical="center"/>
    </xf>
    <xf numFmtId="177" fontId="58" fillId="0" borderId="5" xfId="1" applyNumberFormat="1" applyFont="1" applyBorder="1" applyAlignment="1">
      <alignment horizontal="center" vertical="center"/>
    </xf>
    <xf numFmtId="177" fontId="50" fillId="0" borderId="0" xfId="1" applyNumberFormat="1" applyFont="1" applyAlignment="1">
      <alignment horizontal="left" vertical="center"/>
    </xf>
    <xf numFmtId="177" fontId="50" fillId="0" borderId="19" xfId="1" applyNumberFormat="1" applyFont="1" applyBorder="1" applyAlignment="1">
      <alignment vertical="center"/>
    </xf>
    <xf numFmtId="177" fontId="67" fillId="0" borderId="19" xfId="1" applyNumberFormat="1" applyFont="1" applyBorder="1" applyAlignment="1">
      <alignment vertical="center"/>
    </xf>
    <xf numFmtId="177" fontId="67" fillId="0" borderId="19" xfId="1" applyNumberFormat="1" applyFont="1" applyFill="1" applyBorder="1" applyAlignment="1" applyProtection="1">
      <alignment vertical="center"/>
    </xf>
    <xf numFmtId="177" fontId="68" fillId="0" borderId="19" xfId="1" applyNumberFormat="1" applyFont="1" applyFill="1" applyBorder="1" applyAlignment="1" applyProtection="1">
      <alignment vertical="center"/>
    </xf>
    <xf numFmtId="177" fontId="50" fillId="0" borderId="19" xfId="1" applyNumberFormat="1" applyFont="1" applyBorder="1" applyAlignment="1">
      <alignment horizontal="right" vertical="center"/>
    </xf>
    <xf numFmtId="177" fontId="68" fillId="0" borderId="17" xfId="1" applyNumberFormat="1" applyFont="1" applyBorder="1" applyAlignment="1">
      <alignment vertical="center"/>
    </xf>
    <xf numFmtId="177" fontId="50" fillId="0" borderId="0" xfId="1" applyNumberFormat="1" applyFont="1" applyBorder="1" applyAlignment="1">
      <alignment horizontal="left" vertical="center"/>
    </xf>
    <xf numFmtId="177" fontId="53" fillId="0" borderId="0" xfId="1" applyNumberFormat="1" applyFont="1" applyFill="1" applyBorder="1" applyAlignment="1" applyProtection="1">
      <alignment horizontal="right" vertical="center"/>
    </xf>
    <xf numFmtId="177" fontId="50" fillId="0" borderId="0" xfId="1" applyNumberFormat="1" applyFont="1" applyFill="1" applyBorder="1" applyAlignment="1" applyProtection="1">
      <alignment horizontal="right" vertical="center"/>
    </xf>
    <xf numFmtId="177" fontId="50" fillId="0" borderId="21" xfId="1" applyNumberFormat="1" applyFont="1" applyBorder="1" applyAlignment="1">
      <alignment horizontal="right" vertical="center"/>
    </xf>
    <xf numFmtId="177" fontId="50" fillId="0" borderId="7" xfId="1" applyNumberFormat="1" applyFont="1" applyBorder="1" applyAlignment="1">
      <alignment horizontal="left" vertical="center"/>
    </xf>
    <xf numFmtId="177" fontId="50" fillId="0" borderId="7" xfId="1" applyNumberFormat="1" applyFont="1" applyBorder="1" applyAlignment="1">
      <alignment vertical="center"/>
    </xf>
    <xf numFmtId="177" fontId="50" fillId="0" borderId="7" xfId="1" applyNumberFormat="1" applyFont="1" applyBorder="1" applyAlignment="1">
      <alignment horizontal="right" vertical="center"/>
    </xf>
    <xf numFmtId="177" fontId="50" fillId="0" borderId="22" xfId="1" applyNumberFormat="1" applyFont="1" applyBorder="1" applyAlignment="1">
      <alignment vertical="center"/>
    </xf>
    <xf numFmtId="177" fontId="50" fillId="0" borderId="14" xfId="1" applyNumberFormat="1" applyFont="1" applyFill="1" applyBorder="1" applyAlignment="1" applyProtection="1">
      <alignment vertical="center"/>
    </xf>
    <xf numFmtId="177" fontId="50" fillId="7" borderId="12" xfId="1" applyNumberFormat="1" applyFont="1" applyFill="1" applyBorder="1" applyAlignment="1">
      <alignment vertical="center"/>
    </xf>
    <xf numFmtId="177" fontId="50" fillId="0" borderId="12" xfId="1" applyNumberFormat="1" applyFont="1" applyBorder="1" applyAlignment="1">
      <alignment horizontal="right" vertical="center"/>
    </xf>
    <xf numFmtId="177" fontId="50" fillId="0" borderId="0" xfId="1" applyNumberFormat="1" applyFont="1" applyFill="1" applyBorder="1" applyAlignment="1">
      <alignment horizontal="right" vertical="center"/>
    </xf>
    <xf numFmtId="177" fontId="50" fillId="0" borderId="0" xfId="1" applyNumberFormat="1" applyFont="1" applyFill="1" applyBorder="1" applyAlignment="1">
      <alignment vertical="center"/>
    </xf>
    <xf numFmtId="177" fontId="58" fillId="0" borderId="25" xfId="1" applyNumberFormat="1" applyFont="1" applyBorder="1" applyAlignment="1">
      <alignment horizontal="left" vertical="center"/>
    </xf>
    <xf numFmtId="177" fontId="60" fillId="0" borderId="0" xfId="0" applyNumberFormat="1" applyFont="1" applyFill="1" applyBorder="1" applyAlignment="1">
      <alignment vertical="center"/>
    </xf>
    <xf numFmtId="177" fontId="54" fillId="0" borderId="2" xfId="1" applyNumberFormat="1" applyFont="1" applyBorder="1" applyAlignment="1">
      <alignment vertical="center"/>
    </xf>
    <xf numFmtId="177" fontId="54" fillId="0" borderId="0" xfId="0" applyNumberFormat="1" applyFont="1" applyFill="1" applyBorder="1" applyAlignment="1">
      <alignment vertical="center"/>
    </xf>
    <xf numFmtId="177" fontId="54" fillId="0" borderId="3" xfId="1" applyNumberFormat="1" applyFont="1" applyBorder="1" applyAlignment="1">
      <alignment vertical="center"/>
    </xf>
    <xf numFmtId="177" fontId="54" fillId="3" borderId="3" xfId="1" applyNumberFormat="1" applyFont="1" applyFill="1" applyBorder="1" applyAlignment="1" applyProtection="1">
      <alignment vertical="center"/>
      <protection locked="0"/>
    </xf>
    <xf numFmtId="177" fontId="54" fillId="0" borderId="4" xfId="1" applyNumberFormat="1" applyFont="1" applyBorder="1" applyAlignment="1">
      <alignment vertical="center"/>
    </xf>
    <xf numFmtId="177" fontId="54" fillId="0" borderId="0" xfId="1" applyNumberFormat="1" applyFont="1" applyFill="1" applyBorder="1" applyAlignment="1" applyProtection="1">
      <alignment vertical="center"/>
    </xf>
    <xf numFmtId="177" fontId="54" fillId="0" borderId="0" xfId="1" applyNumberFormat="1" applyFont="1" applyFill="1" applyAlignment="1" applyProtection="1">
      <alignment vertical="center"/>
    </xf>
    <xf numFmtId="177" fontId="54" fillId="0" borderId="0" xfId="1" applyNumberFormat="1" applyFont="1" applyFill="1" applyBorder="1" applyAlignment="1" applyProtection="1">
      <alignment vertical="center"/>
      <protection locked="0"/>
    </xf>
    <xf numFmtId="177" fontId="54" fillId="0" borderId="0" xfId="1" applyNumberFormat="1" applyFont="1" applyBorder="1" applyAlignment="1">
      <alignment horizontal="right" vertical="center"/>
    </xf>
    <xf numFmtId="177" fontId="54" fillId="3" borderId="15" xfId="1" applyNumberFormat="1" applyFont="1" applyFill="1" applyBorder="1" applyAlignment="1">
      <alignment vertical="center"/>
    </xf>
    <xf numFmtId="177" fontId="54" fillId="6" borderId="0" xfId="1" applyNumberFormat="1" applyFont="1" applyFill="1" applyBorder="1" applyAlignment="1">
      <alignment vertical="center"/>
    </xf>
    <xf numFmtId="177" fontId="54" fillId="0" borderId="0" xfId="1" applyNumberFormat="1" applyFont="1" applyFill="1" applyBorder="1" applyAlignment="1">
      <alignment horizontal="left" vertical="center"/>
    </xf>
    <xf numFmtId="177" fontId="59" fillId="0" borderId="5" xfId="1" applyNumberFormat="1" applyFont="1" applyBorder="1" applyAlignment="1">
      <alignment vertical="center"/>
    </xf>
    <xf numFmtId="177" fontId="54" fillId="0" borderId="5" xfId="1" applyNumberFormat="1" applyFont="1" applyBorder="1" applyAlignment="1">
      <alignment horizontal="right" vertical="center"/>
    </xf>
    <xf numFmtId="177" fontId="54" fillId="0" borderId="5" xfId="1" applyNumberFormat="1" applyFont="1" applyBorder="1" applyAlignment="1">
      <alignment vertical="center"/>
    </xf>
    <xf numFmtId="177" fontId="54" fillId="0" borderId="10" xfId="1" applyNumberFormat="1" applyFont="1" applyBorder="1" applyAlignment="1">
      <alignment vertical="center"/>
    </xf>
    <xf numFmtId="177" fontId="65" fillId="0" borderId="0" xfId="1" applyNumberFormat="1" applyFont="1" applyBorder="1" applyAlignment="1">
      <alignment vertical="center"/>
    </xf>
    <xf numFmtId="177" fontId="65" fillId="0" borderId="0" xfId="1" applyNumberFormat="1" applyFont="1" applyAlignment="1">
      <alignment vertical="center"/>
    </xf>
    <xf numFmtId="177" fontId="59" fillId="0" borderId="44" xfId="1" applyNumberFormat="1" applyFont="1" applyBorder="1" applyAlignment="1">
      <alignment vertical="center"/>
    </xf>
    <xf numFmtId="177" fontId="54" fillId="0" borderId="45" xfId="1" applyNumberFormat="1" applyFont="1" applyBorder="1" applyAlignment="1">
      <alignment vertical="center"/>
    </xf>
    <xf numFmtId="177" fontId="54" fillId="0" borderId="26" xfId="1" applyNumberFormat="1" applyFont="1" applyBorder="1" applyAlignment="1">
      <alignment vertical="center"/>
    </xf>
    <xf numFmtId="178" fontId="54" fillId="0" borderId="26" xfId="1" applyNumberFormat="1" applyFont="1" applyBorder="1" applyAlignment="1">
      <alignment vertical="center"/>
    </xf>
    <xf numFmtId="178" fontId="54" fillId="0" borderId="1" xfId="1" applyNumberFormat="1" applyFont="1" applyBorder="1" applyAlignment="1">
      <alignment vertical="center"/>
    </xf>
    <xf numFmtId="178" fontId="54" fillId="3" borderId="1" xfId="1" applyNumberFormat="1" applyFont="1" applyFill="1" applyBorder="1" applyAlignment="1">
      <alignment vertical="center"/>
    </xf>
    <xf numFmtId="178" fontId="54" fillId="3" borderId="42" xfId="1" applyNumberFormat="1" applyFont="1" applyFill="1" applyBorder="1" applyAlignment="1">
      <alignment vertical="center"/>
    </xf>
    <xf numFmtId="178" fontId="54" fillId="0" borderId="0" xfId="1" applyNumberFormat="1" applyFont="1" applyAlignment="1">
      <alignment vertical="center"/>
    </xf>
    <xf numFmtId="178" fontId="54" fillId="0" borderId="0" xfId="1" applyNumberFormat="1" applyFont="1" applyBorder="1" applyAlignment="1">
      <alignment vertical="center"/>
    </xf>
    <xf numFmtId="177" fontId="54" fillId="3" borderId="1" xfId="1" applyNumberFormat="1" applyFont="1" applyFill="1" applyBorder="1" applyAlignment="1" applyProtection="1">
      <alignment vertical="center"/>
    </xf>
    <xf numFmtId="177" fontId="54" fillId="3" borderId="42" xfId="1" applyNumberFormat="1" applyFont="1" applyFill="1" applyBorder="1" applyAlignment="1" applyProtection="1">
      <alignment vertical="center"/>
    </xf>
    <xf numFmtId="177" fontId="54" fillId="0" borderId="11" xfId="1" applyNumberFormat="1" applyFont="1" applyBorder="1" applyAlignment="1">
      <alignment vertical="center"/>
    </xf>
    <xf numFmtId="177" fontId="54" fillId="0" borderId="30" xfId="1" applyNumberFormat="1" applyFont="1" applyBorder="1" applyAlignment="1">
      <alignment horizontal="left" vertical="center"/>
    </xf>
    <xf numFmtId="177" fontId="54" fillId="0" borderId="31" xfId="1" applyNumberFormat="1" applyFont="1" applyBorder="1" applyAlignment="1">
      <alignment horizontal="right" vertical="center"/>
    </xf>
    <xf numFmtId="177" fontId="54" fillId="0" borderId="0" xfId="1" applyNumberFormat="1" applyFont="1" applyBorder="1" applyAlignment="1">
      <alignment horizontal="left" vertical="center"/>
    </xf>
    <xf numFmtId="177" fontId="54" fillId="0" borderId="28" xfId="1" applyNumberFormat="1" applyFont="1" applyBorder="1" applyAlignment="1">
      <alignment vertical="center"/>
    </xf>
    <xf numFmtId="177" fontId="54" fillId="0" borderId="29" xfId="1" applyNumberFormat="1" applyFont="1" applyBorder="1" applyAlignment="1">
      <alignment vertical="center"/>
    </xf>
    <xf numFmtId="177" fontId="59" fillId="0" borderId="45" xfId="1" applyNumberFormat="1" applyFont="1" applyBorder="1" applyAlignment="1">
      <alignment vertical="center"/>
    </xf>
    <xf numFmtId="177" fontId="54" fillId="3" borderId="28" xfId="1" applyNumberFormat="1" applyFont="1" applyFill="1" applyBorder="1" applyAlignment="1" applyProtection="1">
      <alignment vertical="center"/>
      <protection locked="0"/>
    </xf>
    <xf numFmtId="177" fontId="54" fillId="3" borderId="29" xfId="1" applyNumberFormat="1" applyFont="1" applyFill="1" applyBorder="1" applyAlignment="1" applyProtection="1">
      <alignment vertical="center"/>
      <protection locked="0"/>
    </xf>
    <xf numFmtId="177" fontId="54" fillId="0" borderId="30" xfId="1" applyNumberFormat="1" applyFont="1" applyBorder="1" applyAlignment="1">
      <alignment vertical="center"/>
    </xf>
    <xf numFmtId="177" fontId="54" fillId="3" borderId="34" xfId="1" applyNumberFormat="1" applyFont="1" applyFill="1" applyBorder="1" applyAlignment="1" applyProtection="1">
      <alignment vertical="center"/>
      <protection locked="0"/>
    </xf>
    <xf numFmtId="177" fontId="54" fillId="3" borderId="35" xfId="1" applyNumberFormat="1" applyFont="1" applyFill="1" applyBorder="1" applyAlignment="1" applyProtection="1">
      <alignment vertical="center"/>
      <protection locked="0"/>
    </xf>
    <xf numFmtId="177" fontId="54" fillId="3" borderId="36" xfId="1" applyNumberFormat="1" applyFont="1" applyFill="1" applyBorder="1" applyAlignment="1" applyProtection="1">
      <alignment vertical="center"/>
      <protection locked="0"/>
    </xf>
    <xf numFmtId="177" fontId="59" fillId="0" borderId="33" xfId="1" applyNumberFormat="1" applyFont="1" applyBorder="1" applyAlignment="1">
      <alignment vertical="center"/>
    </xf>
    <xf numFmtId="178" fontId="54" fillId="0" borderId="1" xfId="1" applyNumberFormat="1" applyFont="1" applyFill="1" applyBorder="1" applyAlignment="1" applyProtection="1">
      <alignment vertical="center"/>
    </xf>
    <xf numFmtId="177" fontId="59" fillId="0" borderId="26" xfId="1" applyNumberFormat="1" applyFont="1" applyFill="1" applyBorder="1" applyAlignment="1">
      <alignment vertical="center"/>
    </xf>
    <xf numFmtId="177" fontId="54" fillId="0" borderId="1" xfId="1" applyNumberFormat="1" applyFont="1" applyFill="1" applyBorder="1" applyAlignment="1">
      <alignment horizontal="right" vertical="center"/>
    </xf>
    <xf numFmtId="177" fontId="54" fillId="0" borderId="42" xfId="1" applyNumberFormat="1" applyFont="1" applyFill="1" applyBorder="1" applyAlignment="1">
      <alignment horizontal="right" vertical="center"/>
    </xf>
    <xf numFmtId="177" fontId="54" fillId="0" borderId="46" xfId="1" applyNumberFormat="1" applyFont="1" applyFill="1" applyBorder="1" applyAlignment="1">
      <alignment vertical="center"/>
    </xf>
    <xf numFmtId="177" fontId="54" fillId="0" borderId="1" xfId="1" applyNumberFormat="1" applyFont="1" applyBorder="1" applyAlignment="1">
      <alignment horizontal="right" vertical="center"/>
    </xf>
    <xf numFmtId="177" fontId="54" fillId="0" borderId="8" xfId="1" applyNumberFormat="1" applyFont="1" applyBorder="1" applyAlignment="1">
      <alignment vertical="center"/>
    </xf>
    <xf numFmtId="178" fontId="54" fillId="0" borderId="42" xfId="1" applyNumberFormat="1" applyFont="1" applyFill="1" applyBorder="1" applyAlignment="1" applyProtection="1">
      <alignment vertical="center"/>
    </xf>
    <xf numFmtId="178" fontId="54" fillId="0" borderId="0" xfId="1" applyNumberFormat="1" applyFont="1" applyFill="1" applyBorder="1" applyAlignment="1" applyProtection="1">
      <alignment vertical="center"/>
    </xf>
    <xf numFmtId="11" fontId="54" fillId="0" borderId="0" xfId="1" applyNumberFormat="1" applyFont="1" applyAlignment="1">
      <alignment vertical="center"/>
    </xf>
    <xf numFmtId="177" fontId="54" fillId="0" borderId="18" xfId="1" applyNumberFormat="1" applyFont="1" applyBorder="1" applyAlignment="1">
      <alignment horizontal="center" vertical="center"/>
    </xf>
    <xf numFmtId="177" fontId="54" fillId="0" borderId="19" xfId="1" applyNumberFormat="1" applyFont="1" applyBorder="1" applyAlignment="1">
      <alignment horizontal="center" vertical="center"/>
    </xf>
    <xf numFmtId="177" fontId="54" fillId="0" borderId="20" xfId="1" applyNumberFormat="1" applyFont="1" applyBorder="1" applyAlignment="1">
      <alignment horizontal="center" vertical="center"/>
    </xf>
    <xf numFmtId="177" fontId="54" fillId="0" borderId="49" xfId="1" applyNumberFormat="1" applyFont="1" applyBorder="1" applyAlignment="1">
      <alignment vertical="center"/>
    </xf>
    <xf numFmtId="177" fontId="54" fillId="0" borderId="0" xfId="1" applyNumberFormat="1" applyFont="1" applyBorder="1" applyAlignment="1">
      <alignment horizontal="center" vertical="center"/>
    </xf>
    <xf numFmtId="177" fontId="54" fillId="0" borderId="16" xfId="1" applyNumberFormat="1" applyFont="1" applyBorder="1" applyAlignment="1">
      <alignment horizontal="center" vertical="center"/>
    </xf>
    <xf numFmtId="177" fontId="60" fillId="0" borderId="38" xfId="0" applyNumberFormat="1" applyFont="1" applyBorder="1" applyAlignment="1">
      <alignment horizontal="center" vertical="center"/>
    </xf>
    <xf numFmtId="177" fontId="60" fillId="0" borderId="39" xfId="0" applyNumberFormat="1" applyFont="1" applyBorder="1" applyAlignment="1">
      <alignment horizontal="center" vertical="center"/>
    </xf>
    <xf numFmtId="177" fontId="50" fillId="0" borderId="15" xfId="1" applyNumberFormat="1" applyFont="1" applyBorder="1" applyAlignment="1">
      <alignment horizontal="right" vertical="center"/>
    </xf>
    <xf numFmtId="177" fontId="66" fillId="0" borderId="19" xfId="1" applyNumberFormat="1" applyFont="1" applyBorder="1" applyAlignment="1">
      <alignment horizontal="left" vertical="center"/>
    </xf>
    <xf numFmtId="177" fontId="66" fillId="0" borderId="19" xfId="1" applyNumberFormat="1" applyFont="1" applyFill="1" applyBorder="1" applyAlignment="1" applyProtection="1">
      <alignment horizontal="left" vertical="center"/>
    </xf>
    <xf numFmtId="177" fontId="66" fillId="0" borderId="20" xfId="1" applyNumberFormat="1" applyFont="1" applyBorder="1" applyAlignment="1">
      <alignment horizontal="left" vertical="center"/>
    </xf>
    <xf numFmtId="177" fontId="53" fillId="0" borderId="57" xfId="0" applyNumberFormat="1" applyFont="1" applyBorder="1" applyAlignment="1" applyProtection="1">
      <alignment vertical="center"/>
    </xf>
    <xf numFmtId="177" fontId="53" fillId="0" borderId="0" xfId="5" applyNumberFormat="1" applyFont="1" applyFill="1" applyBorder="1" applyAlignment="1" applyProtection="1">
      <alignment horizontal="left" vertical="center"/>
    </xf>
    <xf numFmtId="0" fontId="0" fillId="0" borderId="0" xfId="0" applyAlignment="1">
      <alignment vertical="center"/>
    </xf>
    <xf numFmtId="1" fontId="0" fillId="0" borderId="0" xfId="0" applyNumberFormat="1" applyAlignment="1">
      <alignment vertical="center"/>
    </xf>
    <xf numFmtId="9" fontId="0" fillId="0" borderId="48" xfId="0" applyNumberFormat="1" applyBorder="1" applyAlignment="1">
      <alignment vertical="center"/>
    </xf>
    <xf numFmtId="9" fontId="0" fillId="0" borderId="2" xfId="0" applyNumberFormat="1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41" xfId="0" applyBorder="1" applyAlignment="1">
      <alignment vertical="center"/>
    </xf>
    <xf numFmtId="0" fontId="0" fillId="0" borderId="3" xfId="0" applyBorder="1" applyAlignment="1">
      <alignment vertical="center"/>
    </xf>
    <xf numFmtId="9" fontId="0" fillId="0" borderId="0" xfId="0" applyNumberFormat="1" applyAlignment="1">
      <alignment vertical="center"/>
    </xf>
    <xf numFmtId="0" fontId="0" fillId="0" borderId="9" xfId="0" applyBorder="1" applyAlignment="1">
      <alignment vertical="center"/>
    </xf>
    <xf numFmtId="0" fontId="0" fillId="0" borderId="4" xfId="0" applyBorder="1" applyAlignment="1">
      <alignment vertical="center"/>
    </xf>
    <xf numFmtId="2" fontId="0" fillId="0" borderId="0" xfId="0" applyNumberFormat="1" applyAlignment="1">
      <alignment vertical="center"/>
    </xf>
    <xf numFmtId="1" fontId="69" fillId="0" borderId="25" xfId="0" applyNumberFormat="1" applyFont="1" applyBorder="1" applyAlignment="1">
      <alignment vertical="center"/>
    </xf>
    <xf numFmtId="1" fontId="0" fillId="0" borderId="14" xfId="0" applyNumberFormat="1" applyBorder="1" applyAlignment="1">
      <alignment vertical="center"/>
    </xf>
    <xf numFmtId="1" fontId="0" fillId="0" borderId="26" xfId="0" applyNumberFormat="1" applyBorder="1" applyAlignment="1">
      <alignment vertical="center"/>
    </xf>
    <xf numFmtId="0" fontId="0" fillId="0" borderId="1" xfId="0" applyBorder="1" applyAlignment="1">
      <alignment vertical="center"/>
    </xf>
    <xf numFmtId="0" fontId="0" fillId="0" borderId="27" xfId="0" applyBorder="1" applyAlignment="1">
      <alignment vertical="center"/>
    </xf>
    <xf numFmtId="0" fontId="0" fillId="0" borderId="46" xfId="0" applyBorder="1" applyAlignment="1">
      <alignment horizontal="right" vertical="center"/>
    </xf>
    <xf numFmtId="1" fontId="0" fillId="0" borderId="34" xfId="0" applyNumberFormat="1" applyBorder="1" applyAlignment="1">
      <alignment horizontal="right" vertical="center"/>
    </xf>
    <xf numFmtId="1" fontId="0" fillId="0" borderId="1" xfId="0" applyNumberFormat="1" applyBorder="1" applyAlignment="1">
      <alignment vertical="center"/>
    </xf>
    <xf numFmtId="1" fontId="0" fillId="0" borderId="27" xfId="0" applyNumberFormat="1" applyBorder="1" applyAlignment="1">
      <alignment vertical="center"/>
    </xf>
    <xf numFmtId="0" fontId="0" fillId="0" borderId="26" xfId="0" applyBorder="1" applyAlignment="1">
      <alignment vertical="center"/>
    </xf>
    <xf numFmtId="0" fontId="0" fillId="0" borderId="26" xfId="0" applyBorder="1" applyAlignment="1">
      <alignment horizontal="right" vertical="center"/>
    </xf>
    <xf numFmtId="0" fontId="0" fillId="0" borderId="30" xfId="0" applyBorder="1" applyAlignment="1">
      <alignment horizontal="right" vertical="center"/>
    </xf>
    <xf numFmtId="0" fontId="0" fillId="0" borderId="31" xfId="0" applyBorder="1" applyAlignment="1">
      <alignment vertical="center"/>
    </xf>
    <xf numFmtId="0" fontId="0" fillId="0" borderId="32" xfId="0" applyBorder="1" applyAlignment="1">
      <alignment vertical="center"/>
    </xf>
    <xf numFmtId="0" fontId="0" fillId="0" borderId="33" xfId="0" applyBorder="1" applyAlignment="1">
      <alignment vertical="center"/>
    </xf>
    <xf numFmtId="182" fontId="0" fillId="0" borderId="4" xfId="0" applyNumberFormat="1" applyBorder="1" applyAlignment="1">
      <alignment vertical="center"/>
    </xf>
    <xf numFmtId="0" fontId="0" fillId="0" borderId="59" xfId="0" applyBorder="1" applyAlignment="1">
      <alignment vertical="center"/>
    </xf>
    <xf numFmtId="1" fontId="0" fillId="0" borderId="0" xfId="0" applyNumberFormat="1" applyBorder="1" applyAlignment="1">
      <alignment vertical="center"/>
    </xf>
    <xf numFmtId="9" fontId="0" fillId="0" borderId="31" xfId="16" applyFont="1" applyBorder="1" applyAlignment="1">
      <alignment vertical="center"/>
    </xf>
    <xf numFmtId="9" fontId="0" fillId="4" borderId="1" xfId="0" applyNumberFormat="1" applyFill="1" applyBorder="1" applyAlignment="1" applyProtection="1">
      <alignment vertical="center"/>
      <protection locked="0"/>
    </xf>
    <xf numFmtId="0" fontId="0" fillId="0" borderId="0" xfId="0" applyAlignment="1">
      <alignment horizontal="center" vertical="center"/>
    </xf>
    <xf numFmtId="0" fontId="0" fillId="0" borderId="0" xfId="0" applyBorder="1" applyAlignment="1">
      <alignment horizontal="right" vertical="center"/>
    </xf>
    <xf numFmtId="0" fontId="0" fillId="0" borderId="0" xfId="0" applyBorder="1" applyAlignment="1">
      <alignment vertical="center"/>
    </xf>
    <xf numFmtId="1" fontId="0" fillId="0" borderId="45" xfId="0" applyNumberFormat="1" applyBorder="1" applyAlignment="1">
      <alignment vertical="center"/>
    </xf>
    <xf numFmtId="2" fontId="0" fillId="0" borderId="45" xfId="0" applyNumberFormat="1" applyBorder="1" applyAlignment="1">
      <alignment vertical="center"/>
    </xf>
    <xf numFmtId="0" fontId="0" fillId="0" borderId="10" xfId="0" applyBorder="1" applyAlignment="1">
      <alignment vertical="center"/>
    </xf>
    <xf numFmtId="0" fontId="0" fillId="0" borderId="44" xfId="0" applyBorder="1" applyAlignment="1">
      <alignment horizontal="right" vertical="center"/>
    </xf>
    <xf numFmtId="182" fontId="0" fillId="0" borderId="45" xfId="0" applyNumberFormat="1" applyBorder="1" applyAlignment="1">
      <alignment vertical="center"/>
    </xf>
    <xf numFmtId="2" fontId="0" fillId="0" borderId="31" xfId="0" applyNumberFormat="1" applyBorder="1" applyAlignment="1">
      <alignment vertical="center"/>
    </xf>
    <xf numFmtId="182" fontId="0" fillId="0" borderId="31" xfId="0" applyNumberFormat="1" applyBorder="1" applyAlignment="1">
      <alignment vertical="center"/>
    </xf>
    <xf numFmtId="1" fontId="0" fillId="0" borderId="31" xfId="0" applyNumberFormat="1" applyBorder="1" applyAlignment="1">
      <alignment vertical="center"/>
    </xf>
    <xf numFmtId="182" fontId="0" fillId="0" borderId="0" xfId="0" applyNumberFormat="1" applyAlignment="1">
      <alignment vertical="center"/>
    </xf>
    <xf numFmtId="182" fontId="0" fillId="0" borderId="1" xfId="0" applyNumberFormat="1" applyBorder="1" applyAlignment="1">
      <alignment vertical="center"/>
    </xf>
    <xf numFmtId="182" fontId="0" fillId="0" borderId="27" xfId="0" applyNumberFormat="1" applyBorder="1" applyAlignment="1">
      <alignment vertical="center"/>
    </xf>
    <xf numFmtId="177" fontId="53" fillId="0" borderId="0" xfId="0" applyNumberFormat="1" applyFont="1" applyAlignment="1" applyProtection="1">
      <alignment vertical="center"/>
    </xf>
    <xf numFmtId="177" fontId="53" fillId="0" borderId="0" xfId="0" applyNumberFormat="1" applyFont="1" applyFill="1" applyBorder="1" applyAlignment="1" applyProtection="1">
      <alignment vertical="center"/>
    </xf>
    <xf numFmtId="177" fontId="53" fillId="0" borderId="0" xfId="0" applyNumberFormat="1" applyFont="1" applyFill="1" applyAlignment="1" applyProtection="1">
      <alignment vertical="center"/>
    </xf>
    <xf numFmtId="177" fontId="68" fillId="0" borderId="0" xfId="0" applyNumberFormat="1" applyFont="1" applyAlignment="1">
      <alignment vertical="center"/>
    </xf>
    <xf numFmtId="177" fontId="68" fillId="0" borderId="0" xfId="0" applyNumberFormat="1" applyFont="1" applyBorder="1" applyAlignment="1">
      <alignment vertical="center"/>
    </xf>
    <xf numFmtId="177" fontId="68" fillId="0" borderId="16" xfId="0" applyNumberFormat="1" applyFont="1" applyBorder="1" applyAlignment="1">
      <alignment vertical="center"/>
    </xf>
    <xf numFmtId="177" fontId="68" fillId="0" borderId="11" xfId="0" applyNumberFormat="1" applyFont="1" applyBorder="1" applyAlignment="1">
      <alignment vertical="center"/>
    </xf>
    <xf numFmtId="177" fontId="68" fillId="0" borderId="12" xfId="0" applyNumberFormat="1" applyFont="1" applyBorder="1" applyAlignment="1">
      <alignment vertical="center"/>
    </xf>
    <xf numFmtId="177" fontId="68" fillId="0" borderId="0" xfId="0" applyNumberFormat="1" applyFont="1" applyAlignment="1">
      <alignment horizontal="right" vertical="center"/>
    </xf>
    <xf numFmtId="177" fontId="68" fillId="0" borderId="0" xfId="0" applyNumberFormat="1" applyFont="1" applyFill="1" applyBorder="1" applyAlignment="1" applyProtection="1">
      <alignment vertical="center"/>
    </xf>
    <xf numFmtId="177" fontId="68" fillId="0" borderId="44" xfId="0" applyNumberFormat="1" applyFont="1" applyBorder="1" applyAlignment="1">
      <alignment vertical="center"/>
    </xf>
    <xf numFmtId="177" fontId="68" fillId="0" borderId="45" xfId="1" applyNumberFormat="1" applyFont="1" applyFill="1" applyBorder="1" applyAlignment="1" applyProtection="1">
      <alignment horizontal="right" vertical="center"/>
    </xf>
    <xf numFmtId="177" fontId="68" fillId="0" borderId="47" xfId="0" applyNumberFormat="1" applyFont="1" applyBorder="1" applyAlignment="1">
      <alignment vertical="center"/>
    </xf>
    <xf numFmtId="177" fontId="68" fillId="0" borderId="26" xfId="0" applyNumberFormat="1" applyFont="1" applyBorder="1" applyAlignment="1">
      <alignment vertical="center"/>
    </xf>
    <xf numFmtId="177" fontId="68" fillId="0" borderId="1" xfId="1" applyNumberFormat="1" applyFont="1" applyFill="1" applyBorder="1" applyAlignment="1" applyProtection="1">
      <alignment horizontal="right" vertical="center"/>
    </xf>
    <xf numFmtId="177" fontId="68" fillId="0" borderId="27" xfId="0" applyNumberFormat="1" applyFont="1" applyBorder="1" applyAlignment="1">
      <alignment vertical="center"/>
    </xf>
    <xf numFmtId="177" fontId="68" fillId="0" borderId="51" xfId="0" applyNumberFormat="1" applyFont="1" applyBorder="1" applyAlignment="1">
      <alignment vertical="center"/>
    </xf>
    <xf numFmtId="177" fontId="68" fillId="0" borderId="52" xfId="1" applyNumberFormat="1" applyFont="1" applyBorder="1" applyAlignment="1">
      <alignment horizontal="right" vertical="center"/>
    </xf>
    <xf numFmtId="177" fontId="68" fillId="0" borderId="53" xfId="0" applyNumberFormat="1" applyFont="1" applyBorder="1" applyAlignment="1">
      <alignment vertical="center"/>
    </xf>
    <xf numFmtId="177" fontId="50" fillId="0" borderId="26" xfId="1" applyNumberFormat="1" applyFont="1" applyBorder="1" applyAlignment="1">
      <alignment vertical="center"/>
    </xf>
    <xf numFmtId="178" fontId="50" fillId="0" borderId="1" xfId="1" applyNumberFormat="1" applyFont="1" applyFill="1" applyBorder="1" applyAlignment="1">
      <alignment horizontal="right" vertical="center"/>
    </xf>
    <xf numFmtId="177" fontId="50" fillId="0" borderId="1" xfId="1" applyNumberFormat="1" applyFont="1" applyFill="1" applyBorder="1" applyAlignment="1">
      <alignment horizontal="right" vertical="center"/>
    </xf>
    <xf numFmtId="177" fontId="50" fillId="0" borderId="30" xfId="1" applyNumberFormat="1" applyFont="1" applyBorder="1" applyAlignment="1">
      <alignment horizontal="left" vertical="center"/>
    </xf>
    <xf numFmtId="177" fontId="50" fillId="0" borderId="31" xfId="1" applyNumberFormat="1" applyFont="1" applyFill="1" applyBorder="1" applyAlignment="1">
      <alignment horizontal="right" vertical="center"/>
    </xf>
    <xf numFmtId="177" fontId="68" fillId="0" borderId="32" xfId="0" applyNumberFormat="1" applyFont="1" applyBorder="1" applyAlignment="1">
      <alignment vertical="center"/>
    </xf>
    <xf numFmtId="177" fontId="68" fillId="0" borderId="39" xfId="0" applyNumberFormat="1" applyFont="1" applyBorder="1" applyAlignment="1">
      <alignment vertical="center"/>
    </xf>
    <xf numFmtId="177" fontId="68" fillId="0" borderId="26" xfId="0" applyNumberFormat="1" applyFont="1" applyBorder="1" applyAlignment="1">
      <alignment horizontal="right" vertical="center"/>
    </xf>
    <xf numFmtId="177" fontId="68" fillId="0" borderId="1" xfId="1" applyNumberFormat="1" applyFont="1" applyBorder="1" applyAlignment="1">
      <alignment vertical="center"/>
    </xf>
    <xf numFmtId="177" fontId="68" fillId="0" borderId="50" xfId="0" applyNumberFormat="1" applyFont="1" applyBorder="1" applyAlignment="1">
      <alignment vertical="center"/>
    </xf>
    <xf numFmtId="177" fontId="68" fillId="0" borderId="0" xfId="1" applyNumberFormat="1" applyFont="1" applyBorder="1" applyAlignment="1">
      <alignment vertical="center"/>
    </xf>
    <xf numFmtId="177" fontId="76" fillId="0" borderId="18" xfId="1" applyNumberFormat="1" applyFont="1" applyBorder="1" applyAlignment="1" applyProtection="1">
      <alignment vertical="center"/>
    </xf>
    <xf numFmtId="179" fontId="68" fillId="0" borderId="0" xfId="0" applyNumberFormat="1" applyFont="1" applyBorder="1" applyAlignment="1">
      <alignment vertical="center"/>
    </xf>
    <xf numFmtId="177" fontId="68" fillId="0" borderId="0" xfId="1" applyNumberFormat="1" applyFont="1" applyFill="1" applyAlignment="1" applyProtection="1">
      <alignment vertical="center"/>
    </xf>
    <xf numFmtId="177" fontId="74" fillId="0" borderId="19" xfId="1" applyNumberFormat="1" applyFont="1" applyBorder="1" applyAlignment="1" applyProtection="1">
      <alignment vertical="center"/>
    </xf>
    <xf numFmtId="177" fontId="68" fillId="0" borderId="11" xfId="1" applyNumberFormat="1" applyFont="1" applyBorder="1" applyAlignment="1" applyProtection="1">
      <alignment horizontal="right" vertical="center"/>
    </xf>
    <xf numFmtId="177" fontId="68" fillId="0" borderId="0" xfId="1" applyNumberFormat="1" applyFont="1" applyBorder="1" applyAlignment="1" applyProtection="1">
      <alignment vertical="center"/>
    </xf>
    <xf numFmtId="177" fontId="68" fillId="0" borderId="12" xfId="1" applyNumberFormat="1" applyFont="1" applyBorder="1" applyAlignment="1" applyProtection="1">
      <alignment vertical="center"/>
    </xf>
    <xf numFmtId="177" fontId="68" fillId="0" borderId="21" xfId="1" applyNumberFormat="1" applyFont="1" applyBorder="1" applyAlignment="1" applyProtection="1">
      <alignment horizontal="right" vertical="center"/>
    </xf>
    <xf numFmtId="177" fontId="68" fillId="0" borderId="0" xfId="1" applyNumberFormat="1" applyFont="1" applyBorder="1" applyAlignment="1" applyProtection="1">
      <alignment horizontal="left" vertical="center"/>
    </xf>
    <xf numFmtId="177" fontId="68" fillId="0" borderId="0" xfId="1" applyNumberFormat="1" applyFont="1" applyBorder="1" applyAlignment="1" applyProtection="1">
      <alignment horizontal="right" vertical="center"/>
    </xf>
    <xf numFmtId="177" fontId="68" fillId="0" borderId="13" xfId="1" applyNumberFormat="1" applyFont="1" applyBorder="1" applyAlignment="1" applyProtection="1">
      <alignment vertical="center"/>
    </xf>
    <xf numFmtId="177" fontId="68" fillId="0" borderId="14" xfId="1" applyNumberFormat="1" applyFont="1" applyBorder="1" applyAlignment="1" applyProtection="1">
      <alignment vertical="center"/>
    </xf>
    <xf numFmtId="177" fontId="68" fillId="0" borderId="15" xfId="1" applyNumberFormat="1" applyFont="1" applyBorder="1" applyAlignment="1" applyProtection="1">
      <alignment vertical="center"/>
    </xf>
    <xf numFmtId="177" fontId="74" fillId="0" borderId="18" xfId="1" applyNumberFormat="1" applyFont="1" applyBorder="1" applyAlignment="1" applyProtection="1">
      <alignment vertical="center"/>
    </xf>
    <xf numFmtId="1" fontId="77" fillId="10" borderId="2" xfId="0" applyNumberFormat="1" applyFont="1" applyFill="1" applyBorder="1" applyAlignment="1" applyProtection="1">
      <alignment vertical="center"/>
    </xf>
    <xf numFmtId="0" fontId="0" fillId="10" borderId="7" xfId="0" applyFill="1" applyBorder="1" applyAlignment="1" applyProtection="1">
      <alignment vertical="center"/>
    </xf>
    <xf numFmtId="0" fontId="0" fillId="10" borderId="22" xfId="0" applyFill="1" applyBorder="1" applyAlignment="1" applyProtection="1">
      <alignment vertical="center"/>
    </xf>
    <xf numFmtId="1" fontId="77" fillId="10" borderId="35" xfId="0" applyNumberFormat="1" applyFont="1" applyFill="1" applyBorder="1" applyAlignment="1" applyProtection="1">
      <alignment vertical="center"/>
    </xf>
    <xf numFmtId="0" fontId="0" fillId="0" borderId="6" xfId="0" applyBorder="1" applyAlignment="1">
      <alignment vertical="center"/>
    </xf>
    <xf numFmtId="0" fontId="0" fillId="0" borderId="7" xfId="0" applyBorder="1" applyAlignment="1">
      <alignment vertical="center"/>
    </xf>
    <xf numFmtId="1" fontId="0" fillId="0" borderId="61" xfId="0" applyNumberFormat="1" applyBorder="1" applyAlignment="1">
      <alignment vertical="center"/>
    </xf>
    <xf numFmtId="1" fontId="0" fillId="0" borderId="15" xfId="0" applyNumberFormat="1" applyBorder="1" applyAlignment="1">
      <alignment vertical="center"/>
    </xf>
    <xf numFmtId="1" fontId="0" fillId="0" borderId="49" xfId="0" applyNumberFormat="1" applyBorder="1" applyAlignment="1">
      <alignment vertical="center"/>
    </xf>
    <xf numFmtId="1" fontId="0" fillId="0" borderId="26" xfId="0" applyNumberFormat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49" xfId="0" applyBorder="1" applyAlignment="1">
      <alignment vertical="center"/>
    </xf>
    <xf numFmtId="182" fontId="0" fillId="0" borderId="26" xfId="0" applyNumberFormat="1" applyBorder="1" applyAlignment="1">
      <alignment vertical="center"/>
    </xf>
    <xf numFmtId="9" fontId="0" fillId="0" borderId="0" xfId="16" applyFont="1" applyAlignment="1">
      <alignment vertical="center"/>
    </xf>
    <xf numFmtId="1" fontId="0" fillId="0" borderId="0" xfId="0" applyNumberFormat="1" applyAlignment="1">
      <alignment horizontal="left" vertical="center"/>
    </xf>
    <xf numFmtId="1" fontId="0" fillId="0" borderId="51" xfId="0" applyNumberFormat="1" applyBorder="1" applyAlignment="1">
      <alignment vertical="center"/>
    </xf>
    <xf numFmtId="9" fontId="0" fillId="0" borderId="30" xfId="16" applyFont="1" applyBorder="1" applyAlignment="1">
      <alignment vertical="center"/>
    </xf>
    <xf numFmtId="9" fontId="0" fillId="0" borderId="32" xfId="0" applyNumberFormat="1" applyFont="1" applyBorder="1" applyAlignment="1">
      <alignment vertical="center"/>
    </xf>
    <xf numFmtId="9" fontId="0" fillId="0" borderId="0" xfId="0" applyNumberFormat="1" applyFill="1" applyAlignment="1" applyProtection="1">
      <alignment horizontal="center" vertical="center"/>
    </xf>
    <xf numFmtId="0" fontId="0" fillId="9" borderId="0" xfId="0" applyFill="1" applyAlignment="1">
      <alignment vertical="center"/>
    </xf>
    <xf numFmtId="177" fontId="68" fillId="0" borderId="49" xfId="0" applyNumberFormat="1" applyFont="1" applyBorder="1" applyAlignment="1" applyProtection="1">
      <alignment horizontal="right" vertical="center"/>
    </xf>
    <xf numFmtId="177" fontId="68" fillId="0" borderId="51" xfId="0" applyNumberFormat="1" applyFont="1" applyBorder="1" applyAlignment="1" applyProtection="1">
      <alignment horizontal="right" vertical="center"/>
    </xf>
    <xf numFmtId="1" fontId="0" fillId="0" borderId="47" xfId="0" applyNumberFormat="1" applyBorder="1" applyAlignment="1">
      <alignment vertical="center"/>
    </xf>
    <xf numFmtId="1" fontId="0" fillId="0" borderId="32" xfId="0" applyNumberFormat="1" applyBorder="1" applyAlignment="1">
      <alignment vertical="center"/>
    </xf>
    <xf numFmtId="177" fontId="68" fillId="0" borderId="0" xfId="1" applyNumberFormat="1" applyFont="1" applyBorder="1" applyAlignment="1" applyProtection="1">
      <alignment horizontal="center" vertical="center"/>
    </xf>
    <xf numFmtId="181" fontId="68" fillId="0" borderId="0" xfId="1" applyNumberFormat="1" applyFont="1" applyBorder="1" applyAlignment="1" applyProtection="1">
      <alignment horizontal="right" vertical="center"/>
    </xf>
    <xf numFmtId="177" fontId="68" fillId="0" borderId="10" xfId="1" applyNumberFormat="1" applyFont="1" applyBorder="1" applyAlignment="1" applyProtection="1">
      <alignment horizontal="center" vertical="center"/>
    </xf>
    <xf numFmtId="177" fontId="68" fillId="0" borderId="10" xfId="1" applyNumberFormat="1" applyFont="1" applyBorder="1" applyAlignment="1" applyProtection="1">
      <alignment horizontal="right" vertical="center"/>
    </xf>
    <xf numFmtId="181" fontId="68" fillId="0" borderId="10" xfId="1" applyNumberFormat="1" applyFont="1" applyBorder="1" applyAlignment="1" applyProtection="1">
      <alignment horizontal="right" vertical="center"/>
    </xf>
    <xf numFmtId="1" fontId="68" fillId="8" borderId="0" xfId="0" applyNumberFormat="1" applyFont="1" applyFill="1" applyAlignment="1">
      <alignment vertical="center"/>
    </xf>
    <xf numFmtId="182" fontId="68" fillId="8" borderId="0" xfId="0" applyNumberFormat="1" applyFont="1" applyFill="1" applyAlignment="1">
      <alignment vertical="center"/>
    </xf>
    <xf numFmtId="0" fontId="68" fillId="8" borderId="0" xfId="0" applyFont="1" applyFill="1" applyAlignment="1">
      <alignment vertical="center"/>
    </xf>
    <xf numFmtId="177" fontId="68" fillId="9" borderId="0" xfId="0" applyNumberFormat="1" applyFont="1" applyFill="1" applyAlignment="1">
      <alignment vertical="center"/>
    </xf>
    <xf numFmtId="181" fontId="50" fillId="0" borderId="0" xfId="1" applyNumberFormat="1" applyFont="1" applyBorder="1" applyAlignment="1">
      <alignment vertical="center"/>
    </xf>
    <xf numFmtId="191" fontId="50" fillId="0" borderId="0" xfId="1" applyNumberFormat="1" applyFont="1" applyBorder="1" applyAlignment="1">
      <alignment vertical="center"/>
    </xf>
    <xf numFmtId="11" fontId="54" fillId="2" borderId="0" xfId="1" applyNumberFormat="1" applyFont="1" applyFill="1" applyAlignment="1" applyProtection="1">
      <alignment vertical="center"/>
      <protection locked="0"/>
    </xf>
    <xf numFmtId="177" fontId="57" fillId="0" borderId="37" xfId="0" applyNumberFormat="1" applyFont="1" applyBorder="1" applyAlignment="1">
      <alignment horizontal="left" vertical="center"/>
    </xf>
    <xf numFmtId="0" fontId="43" fillId="0" borderId="0" xfId="19"/>
    <xf numFmtId="0" fontId="64" fillId="0" borderId="1" xfId="17" applyFont="1" applyFill="1" applyBorder="1" applyAlignment="1">
      <alignment horizontal="left" vertical="center" wrapText="1"/>
    </xf>
    <xf numFmtId="0" fontId="64" fillId="0" borderId="1" xfId="17" applyFont="1" applyFill="1" applyBorder="1" applyAlignment="1">
      <alignment horizontal="center" vertical="center" wrapText="1"/>
    </xf>
    <xf numFmtId="177" fontId="60" fillId="0" borderId="27" xfId="0" applyNumberFormat="1" applyFont="1" applyBorder="1" applyAlignment="1">
      <alignment vertical="center"/>
    </xf>
    <xf numFmtId="177" fontId="50" fillId="0" borderId="16" xfId="1" applyNumberFormat="1" applyFont="1" applyFill="1" applyBorder="1" applyAlignment="1">
      <alignment vertical="center"/>
    </xf>
    <xf numFmtId="1" fontId="0" fillId="0" borderId="0" xfId="0" applyNumberFormat="1" applyAlignment="1">
      <alignment horizontal="right" vertical="center"/>
    </xf>
    <xf numFmtId="177" fontId="68" fillId="0" borderId="73" xfId="1" applyNumberFormat="1" applyFont="1" applyBorder="1" applyAlignment="1" applyProtection="1">
      <alignment horizontal="right" vertical="center"/>
    </xf>
    <xf numFmtId="181" fontId="50" fillId="0" borderId="12" xfId="1" applyNumberFormat="1" applyFont="1" applyBorder="1" applyAlignment="1">
      <alignment vertical="center"/>
    </xf>
    <xf numFmtId="181" fontId="54" fillId="5" borderId="40" xfId="1" applyNumberFormat="1" applyFont="1" applyFill="1" applyBorder="1" applyAlignment="1">
      <alignment vertical="center"/>
    </xf>
    <xf numFmtId="181" fontId="54" fillId="6" borderId="42" xfId="1" applyNumberFormat="1" applyFont="1" applyFill="1" applyBorder="1" applyAlignment="1">
      <alignment vertical="center"/>
    </xf>
    <xf numFmtId="181" fontId="54" fillId="6" borderId="43" xfId="1" applyNumberFormat="1" applyFont="1" applyFill="1" applyBorder="1" applyAlignment="1">
      <alignment vertical="center"/>
    </xf>
    <xf numFmtId="181" fontId="54" fillId="0" borderId="43" xfId="1" applyNumberFormat="1" applyFont="1" applyFill="1" applyBorder="1" applyAlignment="1">
      <alignment vertical="center"/>
    </xf>
    <xf numFmtId="181" fontId="54" fillId="5" borderId="48" xfId="1" applyNumberFormat="1" applyFont="1" applyFill="1" applyBorder="1" applyAlignment="1">
      <alignment vertical="center"/>
    </xf>
    <xf numFmtId="181" fontId="54" fillId="4" borderId="0" xfId="1" applyNumberFormat="1" applyFont="1" applyFill="1" applyBorder="1" applyAlignment="1">
      <alignment vertical="center"/>
    </xf>
    <xf numFmtId="181" fontId="54" fillId="3" borderId="0" xfId="1" applyNumberFormat="1" applyFont="1" applyFill="1" applyBorder="1" applyAlignment="1">
      <alignment vertical="center"/>
    </xf>
    <xf numFmtId="181" fontId="54" fillId="5" borderId="41" xfId="1" applyNumberFormat="1" applyFont="1" applyFill="1" applyBorder="1" applyAlignment="1">
      <alignment vertical="center"/>
    </xf>
    <xf numFmtId="181" fontId="54" fillId="0" borderId="41" xfId="1" applyNumberFormat="1" applyFont="1" applyFill="1" applyBorder="1" applyAlignment="1">
      <alignment vertical="center"/>
    </xf>
    <xf numFmtId="178" fontId="50" fillId="0" borderId="0" xfId="1" applyNumberFormat="1" applyFont="1" applyBorder="1" applyAlignment="1">
      <alignment vertical="center"/>
    </xf>
    <xf numFmtId="177" fontId="54" fillId="3" borderId="0" xfId="0" applyNumberFormat="1" applyFont="1" applyFill="1" applyBorder="1" applyAlignment="1" applyProtection="1">
      <alignment vertical="center"/>
      <protection locked="0"/>
    </xf>
    <xf numFmtId="177" fontId="57" fillId="0" borderId="38" xfId="0" applyNumberFormat="1" applyFont="1" applyBorder="1" applyAlignment="1">
      <alignment horizontal="left" vertical="center"/>
    </xf>
    <xf numFmtId="177" fontId="54" fillId="2" borderId="0" xfId="1" applyNumberFormat="1" applyFont="1" applyFill="1" applyAlignment="1">
      <alignment vertical="center"/>
    </xf>
    <xf numFmtId="178" fontId="54" fillId="2" borderId="0" xfId="1" applyNumberFormat="1" applyFont="1" applyFill="1" applyAlignment="1">
      <alignment vertical="center"/>
    </xf>
    <xf numFmtId="177" fontId="54" fillId="2" borderId="0" xfId="1" applyNumberFormat="1" applyFont="1" applyFill="1" applyBorder="1" applyAlignment="1">
      <alignment vertical="center"/>
    </xf>
    <xf numFmtId="177" fontId="50" fillId="0" borderId="42" xfId="1" applyNumberFormat="1" applyFont="1" applyBorder="1" applyAlignment="1" applyProtection="1">
      <alignment vertical="center"/>
      <protection locked="0"/>
    </xf>
    <xf numFmtId="177" fontId="50" fillId="0" borderId="43" xfId="1" applyNumberFormat="1" applyFont="1" applyBorder="1" applyAlignment="1" applyProtection="1">
      <alignment vertical="center"/>
      <protection locked="0"/>
    </xf>
    <xf numFmtId="177" fontId="67" fillId="0" borderId="16" xfId="1" applyNumberFormat="1" applyFont="1" applyBorder="1" applyAlignment="1">
      <alignment vertical="center"/>
    </xf>
    <xf numFmtId="177" fontId="67" fillId="0" borderId="16" xfId="1" applyNumberFormat="1" applyFont="1" applyFill="1" applyBorder="1" applyAlignment="1" applyProtection="1">
      <alignment vertical="center"/>
    </xf>
    <xf numFmtId="177" fontId="68" fillId="0" borderId="16" xfId="1" applyNumberFormat="1" applyFont="1" applyFill="1" applyBorder="1" applyAlignment="1" applyProtection="1">
      <alignment vertical="center"/>
    </xf>
    <xf numFmtId="177" fontId="50" fillId="0" borderId="43" xfId="1" applyNumberFormat="1" applyFont="1" applyBorder="1" applyAlignment="1">
      <alignment vertical="center"/>
    </xf>
    <xf numFmtId="177" fontId="50" fillId="0" borderId="50" xfId="1" applyNumberFormat="1" applyFont="1" applyBorder="1" applyAlignment="1">
      <alignment vertical="center"/>
    </xf>
    <xf numFmtId="177" fontId="82" fillId="0" borderId="43" xfId="1" applyNumberFormat="1" applyFont="1" applyBorder="1" applyAlignment="1">
      <alignment vertical="center"/>
    </xf>
    <xf numFmtId="177" fontId="78" fillId="0" borderId="43" xfId="1" applyNumberFormat="1" applyFont="1" applyFill="1" applyBorder="1" applyAlignment="1">
      <alignment vertical="center"/>
    </xf>
    <xf numFmtId="177" fontId="53" fillId="0" borderId="43" xfId="1" applyNumberFormat="1" applyFont="1" applyBorder="1" applyAlignment="1">
      <alignment vertical="center"/>
    </xf>
    <xf numFmtId="177" fontId="50" fillId="0" borderId="12" xfId="1" applyNumberFormat="1" applyFont="1" applyFill="1" applyBorder="1" applyAlignment="1" applyProtection="1">
      <alignment vertical="center"/>
    </xf>
    <xf numFmtId="177" fontId="50" fillId="0" borderId="56" xfId="1" applyNumberFormat="1" applyFont="1" applyFill="1" applyBorder="1" applyAlignment="1" applyProtection="1">
      <alignment vertical="center"/>
    </xf>
    <xf numFmtId="177" fontId="50" fillId="0" borderId="5" xfId="1" applyNumberFormat="1" applyFont="1" applyFill="1" applyBorder="1" applyAlignment="1" applyProtection="1">
      <alignment vertical="center"/>
    </xf>
    <xf numFmtId="177" fontId="74" fillId="0" borderId="49" xfId="1" applyNumberFormat="1" applyFont="1" applyBorder="1" applyAlignment="1" applyProtection="1">
      <alignment horizontal="left" vertical="center"/>
    </xf>
    <xf numFmtId="177" fontId="74" fillId="0" borderId="43" xfId="1" applyNumberFormat="1" applyFont="1" applyBorder="1" applyAlignment="1" applyProtection="1">
      <alignment horizontal="left" vertical="center"/>
    </xf>
    <xf numFmtId="177" fontId="74" fillId="0" borderId="50" xfId="1" applyNumberFormat="1" applyFont="1" applyBorder="1" applyAlignment="1" applyProtection="1">
      <alignment horizontal="left" vertical="center"/>
    </xf>
    <xf numFmtId="177" fontId="76" fillId="0" borderId="49" xfId="1" applyNumberFormat="1" applyFont="1" applyBorder="1" applyAlignment="1" applyProtection="1">
      <alignment horizontal="right" vertical="center"/>
    </xf>
    <xf numFmtId="177" fontId="83" fillId="0" borderId="43" xfId="1" applyNumberFormat="1" applyFont="1" applyFill="1" applyBorder="1" applyAlignment="1" applyProtection="1">
      <alignment vertical="center"/>
    </xf>
    <xf numFmtId="177" fontId="53" fillId="0" borderId="43" xfId="1" applyNumberFormat="1" applyFont="1" applyBorder="1" applyAlignment="1" applyProtection="1">
      <alignment vertical="center"/>
    </xf>
    <xf numFmtId="177" fontId="82" fillId="0" borderId="43" xfId="1" applyNumberFormat="1" applyFont="1" applyBorder="1" applyAlignment="1" applyProtection="1">
      <alignment vertical="center"/>
    </xf>
    <xf numFmtId="177" fontId="50" fillId="0" borderId="43" xfId="1" applyNumberFormat="1" applyFont="1" applyBorder="1" applyAlignment="1" applyProtection="1">
      <alignment vertical="center"/>
    </xf>
    <xf numFmtId="177" fontId="76" fillId="0" borderId="78" xfId="1" applyNumberFormat="1" applyFont="1" applyBorder="1" applyAlignment="1" applyProtection="1">
      <alignment horizontal="center" vertical="center"/>
    </xf>
    <xf numFmtId="177" fontId="68" fillId="0" borderId="7" xfId="1" applyNumberFormat="1" applyFont="1" applyBorder="1" applyAlignment="1" applyProtection="1">
      <alignment horizontal="right" vertical="center"/>
    </xf>
    <xf numFmtId="177" fontId="68" fillId="0" borderId="7" xfId="1" applyNumberFormat="1" applyFont="1" applyBorder="1" applyAlignment="1" applyProtection="1">
      <alignment horizontal="left" vertical="center"/>
    </xf>
    <xf numFmtId="177" fontId="50" fillId="0" borderId="11" xfId="1" applyNumberFormat="1" applyFont="1" applyBorder="1" applyAlignment="1" applyProtection="1">
      <alignment horizontal="right" vertical="center"/>
    </xf>
    <xf numFmtId="177" fontId="68" fillId="0" borderId="7" xfId="1" applyNumberFormat="1" applyFont="1" applyBorder="1" applyAlignment="1" applyProtection="1">
      <alignment vertical="center"/>
    </xf>
    <xf numFmtId="177" fontId="68" fillId="3" borderId="0" xfId="1" applyNumberFormat="1" applyFont="1" applyFill="1" applyAlignment="1" applyProtection="1">
      <alignment vertical="center"/>
    </xf>
    <xf numFmtId="177" fontId="74" fillId="0" borderId="18" xfId="1" applyNumberFormat="1" applyFont="1" applyBorder="1" applyAlignment="1" applyProtection="1">
      <alignment horizontal="left" vertical="center"/>
    </xf>
    <xf numFmtId="177" fontId="68" fillId="0" borderId="19" xfId="1" applyNumberFormat="1" applyFont="1" applyBorder="1" applyAlignment="1" applyProtection="1">
      <alignment vertical="center"/>
    </xf>
    <xf numFmtId="177" fontId="74" fillId="0" borderId="19" xfId="1" applyNumberFormat="1" applyFont="1" applyFill="1" applyBorder="1" applyAlignment="1" applyProtection="1">
      <alignment vertical="center"/>
    </xf>
    <xf numFmtId="177" fontId="74" fillId="0" borderId="75" xfId="1" applyNumberFormat="1" applyFont="1" applyBorder="1" applyAlignment="1" applyProtection="1">
      <alignment horizontal="center" vertical="center"/>
    </xf>
    <xf numFmtId="177" fontId="68" fillId="0" borderId="22" xfId="1" applyNumberFormat="1" applyFont="1" applyBorder="1" applyAlignment="1" applyProtection="1">
      <alignment vertical="center"/>
    </xf>
    <xf numFmtId="177" fontId="74" fillId="0" borderId="23" xfId="1" applyNumberFormat="1" applyFont="1" applyBorder="1" applyAlignment="1" applyProtection="1">
      <alignment horizontal="left" vertical="center"/>
    </xf>
    <xf numFmtId="177" fontId="74" fillId="0" borderId="5" xfId="1" applyNumberFormat="1" applyFont="1" applyBorder="1" applyAlignment="1" applyProtection="1">
      <alignment horizontal="left" vertical="center"/>
    </xf>
    <xf numFmtId="177" fontId="74" fillId="0" borderId="24" xfId="1" applyNumberFormat="1" applyFont="1" applyBorder="1" applyAlignment="1" applyProtection="1">
      <alignment horizontal="left" vertical="center"/>
    </xf>
    <xf numFmtId="177" fontId="68" fillId="0" borderId="0" xfId="1" applyNumberFormat="1" applyFont="1" applyAlignment="1" applyProtection="1">
      <alignment vertical="center"/>
    </xf>
    <xf numFmtId="177" fontId="68" fillId="0" borderId="0" xfId="0" applyNumberFormat="1" applyFont="1" applyAlignment="1" applyProtection="1">
      <alignment vertical="center"/>
    </xf>
    <xf numFmtId="177" fontId="50" fillId="0" borderId="0" xfId="1" applyNumberFormat="1" applyFont="1" applyAlignment="1" applyProtection="1">
      <alignment horizontal="right" vertical="center"/>
    </xf>
    <xf numFmtId="177" fontId="50" fillId="0" borderId="0" xfId="1" applyNumberFormat="1" applyFont="1" applyAlignment="1" applyProtection="1">
      <alignment vertical="center"/>
    </xf>
    <xf numFmtId="177" fontId="50" fillId="0" borderId="0" xfId="1" applyNumberFormat="1" applyFont="1" applyAlignment="1" applyProtection="1">
      <alignment horizontal="left" vertical="center"/>
    </xf>
    <xf numFmtId="1" fontId="68" fillId="8" borderId="0" xfId="0" applyNumberFormat="1" applyFont="1" applyFill="1" applyAlignment="1" applyProtection="1">
      <alignment vertical="center"/>
    </xf>
    <xf numFmtId="182" fontId="68" fillId="8" borderId="0" xfId="0" applyNumberFormat="1" applyFont="1" applyFill="1" applyAlignment="1" applyProtection="1">
      <alignment vertical="center"/>
    </xf>
    <xf numFmtId="0" fontId="68" fillId="8" borderId="0" xfId="0" applyFont="1" applyFill="1" applyAlignment="1" applyProtection="1">
      <alignment vertical="center"/>
    </xf>
    <xf numFmtId="177" fontId="68" fillId="9" borderId="0" xfId="0" applyNumberFormat="1" applyFont="1" applyFill="1" applyAlignment="1" applyProtection="1">
      <alignment vertical="center"/>
    </xf>
    <xf numFmtId="177" fontId="58" fillId="0" borderId="0" xfId="1" applyNumberFormat="1" applyFont="1" applyFill="1" applyBorder="1" applyAlignment="1" applyProtection="1">
      <alignment vertical="center"/>
    </xf>
    <xf numFmtId="0" fontId="84" fillId="13" borderId="0" xfId="0" applyFont="1" applyFill="1" applyAlignment="1">
      <alignment vertical="center" wrapText="1"/>
    </xf>
    <xf numFmtId="0" fontId="85" fillId="13" borderId="0" xfId="0" applyFont="1" applyFill="1" applyAlignment="1">
      <alignment horizontal="center" vertical="center" wrapText="1"/>
    </xf>
    <xf numFmtId="0" fontId="84" fillId="14" borderId="0" xfId="0" applyFont="1" applyFill="1" applyAlignment="1">
      <alignment vertical="center" wrapText="1"/>
    </xf>
    <xf numFmtId="0" fontId="85" fillId="14" borderId="0" xfId="0" applyFont="1" applyFill="1" applyAlignment="1">
      <alignment horizontal="center" vertical="center" wrapText="1"/>
    </xf>
    <xf numFmtId="0" fontId="84" fillId="14" borderId="0" xfId="0" applyFont="1" applyFill="1" applyAlignment="1">
      <alignment vertical="top" wrapText="1"/>
    </xf>
    <xf numFmtId="0" fontId="84" fillId="14" borderId="0" xfId="0" applyFont="1" applyFill="1" applyAlignment="1">
      <alignment horizontal="center" vertical="center" wrapText="1"/>
    </xf>
    <xf numFmtId="0" fontId="84" fillId="13" borderId="0" xfId="0" applyFont="1" applyFill="1" applyAlignment="1">
      <alignment vertical="top" wrapText="1"/>
    </xf>
    <xf numFmtId="0" fontId="84" fillId="13" borderId="0" xfId="0" applyFont="1" applyFill="1" applyAlignment="1">
      <alignment horizontal="center" vertical="center" wrapText="1"/>
    </xf>
    <xf numFmtId="0" fontId="85" fillId="14" borderId="0" xfId="0" applyFont="1" applyFill="1" applyAlignment="1">
      <alignment vertical="top" wrapText="1"/>
    </xf>
    <xf numFmtId="0" fontId="86" fillId="0" borderId="0" xfId="15" applyFont="1" applyAlignment="1">
      <alignment horizontal="center"/>
    </xf>
    <xf numFmtId="0" fontId="71" fillId="0" borderId="0" xfId="15" applyFont="1" applyAlignment="1">
      <alignment horizontal="center"/>
    </xf>
    <xf numFmtId="1" fontId="86" fillId="0" borderId="0" xfId="15" applyNumberFormat="1" applyFont="1" applyAlignment="1">
      <alignment horizontal="center"/>
    </xf>
    <xf numFmtId="0" fontId="86" fillId="0" borderId="0" xfId="15" applyFont="1" applyAlignment="1">
      <alignment horizontal="left"/>
    </xf>
    <xf numFmtId="0" fontId="86" fillId="0" borderId="0" xfId="15" applyFont="1" applyAlignment="1"/>
    <xf numFmtId="0" fontId="71" fillId="0" borderId="0" xfId="21" applyFont="1" applyBorder="1" applyAlignment="1">
      <alignment horizontal="center" wrapText="1"/>
    </xf>
    <xf numFmtId="0" fontId="71" fillId="0" borderId="0" xfId="15" applyFont="1" applyBorder="1" applyAlignment="1">
      <alignment horizontal="center"/>
    </xf>
    <xf numFmtId="0" fontId="71" fillId="0" borderId="0" xfId="21" applyFont="1" applyFill="1" applyBorder="1" applyAlignment="1">
      <alignment horizontal="center" wrapText="1"/>
    </xf>
    <xf numFmtId="0" fontId="86" fillId="0" borderId="0" xfId="15" applyFont="1" applyBorder="1" applyAlignment="1">
      <alignment horizontal="center"/>
    </xf>
    <xf numFmtId="186" fontId="71" fillId="0" borderId="0" xfId="21" applyNumberFormat="1" applyFont="1" applyBorder="1" applyAlignment="1">
      <alignment horizontal="center" wrapText="1"/>
    </xf>
    <xf numFmtId="182" fontId="71" fillId="0" borderId="0" xfId="21" applyNumberFormat="1" applyFont="1" applyBorder="1" applyAlignment="1">
      <alignment horizontal="center" wrapText="1"/>
    </xf>
    <xf numFmtId="182" fontId="86" fillId="0" borderId="0" xfId="15" applyNumberFormat="1" applyFont="1" applyBorder="1" applyAlignment="1">
      <alignment horizontal="center"/>
    </xf>
    <xf numFmtId="183" fontId="71" fillId="0" borderId="0" xfId="21" applyNumberFormat="1" applyFont="1" applyBorder="1" applyAlignment="1">
      <alignment horizontal="center" wrapText="1"/>
    </xf>
    <xf numFmtId="2" fontId="86" fillId="0" borderId="0" xfId="15" applyNumberFormat="1" applyFont="1" applyBorder="1" applyAlignment="1">
      <alignment horizontal="center"/>
    </xf>
    <xf numFmtId="0" fontId="71" fillId="0" borderId="0" xfId="21" applyFont="1" applyBorder="1" applyAlignment="1">
      <alignment horizontal="center"/>
    </xf>
    <xf numFmtId="184" fontId="71" fillId="0" borderId="0" xfId="21" applyNumberFormat="1" applyFont="1" applyBorder="1" applyAlignment="1">
      <alignment horizontal="center" wrapText="1"/>
    </xf>
    <xf numFmtId="0" fontId="71" fillId="0" borderId="0" xfId="21" applyFont="1" applyBorder="1" applyAlignment="1">
      <alignment horizontal="left" wrapText="1"/>
    </xf>
    <xf numFmtId="0" fontId="71" fillId="0" borderId="0" xfId="21" applyFont="1" applyFill="1" applyBorder="1" applyAlignment="1">
      <alignment horizontal="left" wrapText="1"/>
    </xf>
    <xf numFmtId="182" fontId="86" fillId="0" borderId="0" xfId="15" applyNumberFormat="1" applyFont="1" applyAlignment="1">
      <alignment horizontal="center"/>
    </xf>
    <xf numFmtId="185" fontId="71" fillId="0" borderId="0" xfId="21" applyNumberFormat="1" applyFont="1" applyBorder="1" applyAlignment="1">
      <alignment horizontal="center" wrapText="1"/>
    </xf>
    <xf numFmtId="0" fontId="71" fillId="0" borderId="0" xfId="15" applyFont="1" applyFill="1" applyBorder="1" applyAlignment="1">
      <alignment horizontal="center"/>
    </xf>
    <xf numFmtId="0" fontId="71" fillId="0" borderId="0" xfId="10" applyFont="1" applyFill="1" applyBorder="1" applyAlignment="1">
      <alignment horizontal="center"/>
    </xf>
    <xf numFmtId="2" fontId="86" fillId="0" borderId="0" xfId="15" applyNumberFormat="1" applyFont="1" applyAlignment="1">
      <alignment horizontal="center"/>
    </xf>
    <xf numFmtId="187" fontId="71" fillId="0" borderId="0" xfId="21" applyNumberFormat="1" applyFont="1" applyBorder="1" applyAlignment="1">
      <alignment horizontal="center" wrapText="1"/>
    </xf>
    <xf numFmtId="184" fontId="71" fillId="0" borderId="0" xfId="21" applyNumberFormat="1" applyFont="1" applyFill="1" applyBorder="1" applyAlignment="1">
      <alignment horizontal="center" wrapText="1"/>
    </xf>
    <xf numFmtId="182" fontId="71" fillId="0" borderId="0" xfId="21" applyNumberFormat="1" applyFont="1" applyBorder="1" applyAlignment="1">
      <alignment horizontal="center"/>
    </xf>
    <xf numFmtId="0" fontId="86" fillId="0" borderId="0" xfId="21" applyFont="1" applyBorder="1" applyAlignment="1">
      <alignment horizontal="center" wrapText="1"/>
    </xf>
    <xf numFmtId="183" fontId="86" fillId="0" borderId="0" xfId="21" applyNumberFormat="1" applyFont="1" applyFill="1" applyBorder="1" applyAlignment="1">
      <alignment horizontal="center" wrapText="1"/>
    </xf>
    <xf numFmtId="185" fontId="86" fillId="0" borderId="0" xfId="21" applyNumberFormat="1" applyFont="1" applyFill="1" applyBorder="1" applyAlignment="1">
      <alignment horizontal="center"/>
    </xf>
    <xf numFmtId="185" fontId="71" fillId="0" borderId="0" xfId="21" applyNumberFormat="1" applyFont="1" applyFill="1" applyBorder="1" applyAlignment="1">
      <alignment horizontal="center" wrapText="1"/>
    </xf>
    <xf numFmtId="0" fontId="86" fillId="0" borderId="0" xfId="15" applyFont="1" applyBorder="1" applyAlignment="1">
      <alignment horizontal="left"/>
    </xf>
    <xf numFmtId="182" fontId="86" fillId="0" borderId="0" xfId="21" applyNumberFormat="1" applyFont="1" applyBorder="1" applyAlignment="1">
      <alignment horizontal="center" wrapText="1"/>
    </xf>
    <xf numFmtId="182" fontId="71" fillId="0" borderId="0" xfId="15" applyNumberFormat="1" applyFont="1" applyBorder="1" applyAlignment="1">
      <alignment horizontal="center"/>
    </xf>
    <xf numFmtId="183" fontId="71" fillId="0" borderId="0" xfId="21" applyNumberFormat="1" applyFont="1" applyFill="1" applyBorder="1" applyAlignment="1">
      <alignment horizontal="center" wrapText="1"/>
    </xf>
    <xf numFmtId="185" fontId="71" fillId="0" borderId="0" xfId="21" applyNumberFormat="1" applyFont="1" applyFill="1" applyBorder="1" applyAlignment="1">
      <alignment horizontal="center"/>
    </xf>
    <xf numFmtId="1" fontId="71" fillId="0" borderId="0" xfId="15" applyNumberFormat="1" applyFont="1" applyBorder="1" applyAlignment="1">
      <alignment horizontal="center"/>
    </xf>
    <xf numFmtId="0" fontId="87" fillId="0" borderId="0" xfId="15" applyFont="1" applyFill="1" applyBorder="1" applyAlignment="1">
      <alignment horizontal="left"/>
    </xf>
    <xf numFmtId="182" fontId="86" fillId="0" borderId="0" xfId="21" applyNumberFormat="1" applyFont="1" applyFill="1" applyBorder="1" applyAlignment="1">
      <alignment horizontal="center" wrapText="1"/>
    </xf>
    <xf numFmtId="0" fontId="87" fillId="0" borderId="0" xfId="15" applyFont="1" applyBorder="1" applyAlignment="1">
      <alignment horizontal="left"/>
    </xf>
    <xf numFmtId="182" fontId="71" fillId="0" borderId="0" xfId="15" applyNumberFormat="1" applyFont="1" applyFill="1" applyBorder="1" applyAlignment="1">
      <alignment horizontal="center"/>
    </xf>
    <xf numFmtId="182" fontId="71" fillId="0" borderId="0" xfId="21" applyNumberFormat="1" applyFont="1" applyFill="1" applyBorder="1" applyAlignment="1">
      <alignment horizontal="center"/>
    </xf>
    <xf numFmtId="0" fontId="71" fillId="0" borderId="0" xfId="21" applyFont="1" applyFill="1" applyBorder="1" applyAlignment="1">
      <alignment horizontal="center"/>
    </xf>
    <xf numFmtId="188" fontId="86" fillId="0" borderId="0" xfId="21" applyNumberFormat="1" applyFont="1" applyBorder="1" applyAlignment="1">
      <alignment horizontal="center" wrapText="1"/>
    </xf>
    <xf numFmtId="185" fontId="86" fillId="0" borderId="0" xfId="21" applyNumberFormat="1" applyFont="1" applyBorder="1" applyAlignment="1">
      <alignment horizontal="center" wrapText="1"/>
    </xf>
    <xf numFmtId="187" fontId="71" fillId="0" borderId="0" xfId="21" applyNumberFormat="1" applyFont="1" applyFill="1" applyBorder="1" applyAlignment="1">
      <alignment horizontal="center" wrapText="1"/>
    </xf>
    <xf numFmtId="1" fontId="86" fillId="0" borderId="0" xfId="15" applyNumberFormat="1" applyFont="1" applyBorder="1" applyAlignment="1">
      <alignment horizontal="center"/>
    </xf>
    <xf numFmtId="186" fontId="86" fillId="0" borderId="0" xfId="21" applyNumberFormat="1" applyFont="1" applyBorder="1" applyAlignment="1">
      <alignment horizontal="center" wrapText="1"/>
    </xf>
    <xf numFmtId="185" fontId="86" fillId="0" borderId="0" xfId="21" applyNumberFormat="1" applyFont="1" applyFill="1" applyBorder="1" applyAlignment="1">
      <alignment horizontal="center" wrapText="1"/>
    </xf>
    <xf numFmtId="187" fontId="86" fillId="0" borderId="0" xfId="21" applyNumberFormat="1" applyFont="1" applyFill="1" applyBorder="1" applyAlignment="1">
      <alignment horizontal="center" wrapText="1"/>
    </xf>
    <xf numFmtId="184" fontId="86" fillId="0" borderId="0" xfId="21" applyNumberFormat="1" applyFont="1" applyFill="1" applyBorder="1" applyAlignment="1">
      <alignment horizontal="center" wrapText="1"/>
    </xf>
    <xf numFmtId="0" fontId="86" fillId="0" borderId="0" xfId="21" applyFont="1" applyFill="1" applyBorder="1" applyAlignment="1">
      <alignment horizontal="center" wrapText="1"/>
    </xf>
    <xf numFmtId="0" fontId="86" fillId="0" borderId="0" xfId="21" applyFont="1" applyBorder="1" applyAlignment="1">
      <alignment horizontal="left" wrapText="1"/>
    </xf>
    <xf numFmtId="189" fontId="86" fillId="0" borderId="0" xfId="21" applyNumberFormat="1" applyFont="1" applyFill="1" applyBorder="1" applyAlignment="1">
      <alignment horizontal="center" wrapText="1"/>
    </xf>
    <xf numFmtId="186" fontId="86" fillId="0" borderId="0" xfId="21" applyNumberFormat="1" applyFont="1" applyFill="1" applyBorder="1" applyAlignment="1">
      <alignment horizontal="center" wrapText="1"/>
    </xf>
    <xf numFmtId="0" fontId="86" fillId="0" borderId="0" xfId="21" applyFont="1" applyFill="1" applyBorder="1" applyAlignment="1">
      <alignment horizontal="left" wrapText="1"/>
    </xf>
    <xf numFmtId="0" fontId="71" fillId="0" borderId="0" xfId="21" applyFont="1" applyBorder="1" applyAlignment="1"/>
    <xf numFmtId="0" fontId="86" fillId="0" borderId="0" xfId="21" applyFont="1" applyFill="1" applyBorder="1" applyAlignment="1"/>
    <xf numFmtId="9" fontId="71" fillId="0" borderId="0" xfId="21" applyNumberFormat="1" applyFont="1" applyBorder="1" applyAlignment="1"/>
    <xf numFmtId="0" fontId="86" fillId="0" borderId="0" xfId="21" applyFont="1" applyBorder="1" applyAlignment="1"/>
    <xf numFmtId="0" fontId="86" fillId="0" borderId="0" xfId="21" applyFont="1" applyBorder="1" applyAlignment="1">
      <alignment horizontal="center"/>
    </xf>
    <xf numFmtId="188" fontId="71" fillId="0" borderId="0" xfId="21" applyNumberFormat="1" applyFont="1" applyBorder="1" applyAlignment="1">
      <alignment horizontal="center" wrapText="1"/>
    </xf>
    <xf numFmtId="189" fontId="71" fillId="0" borderId="0" xfId="21" applyNumberFormat="1" applyFont="1" applyBorder="1" applyAlignment="1">
      <alignment horizontal="center" wrapText="1"/>
    </xf>
    <xf numFmtId="1" fontId="71" fillId="0" borderId="0" xfId="21" applyNumberFormat="1" applyFont="1" applyBorder="1" applyAlignment="1">
      <alignment horizontal="center"/>
    </xf>
    <xf numFmtId="1" fontId="71" fillId="0" borderId="0" xfId="21" applyNumberFormat="1" applyFont="1" applyBorder="1" applyAlignment="1">
      <alignment horizontal="center" wrapText="1"/>
    </xf>
    <xf numFmtId="1" fontId="71" fillId="0" borderId="0" xfId="21" applyNumberFormat="1" applyFont="1" applyBorder="1" applyAlignment="1" applyProtection="1">
      <alignment horizontal="center"/>
      <protection locked="0"/>
    </xf>
    <xf numFmtId="0" fontId="86" fillId="0" borderId="0" xfId="15" applyFont="1" applyAlignment="1">
      <alignment horizontal="center" vertical="top"/>
    </xf>
    <xf numFmtId="49" fontId="71" fillId="15" borderId="0" xfId="15" applyNumberFormat="1" applyFont="1" applyFill="1" applyBorder="1" applyAlignment="1">
      <alignment horizontal="center" vertical="top" wrapText="1"/>
    </xf>
    <xf numFmtId="1" fontId="71" fillId="16" borderId="0" xfId="15" applyNumberFormat="1" applyFont="1" applyFill="1" applyBorder="1" applyAlignment="1">
      <alignment horizontal="center" vertical="top" wrapText="1"/>
    </xf>
    <xf numFmtId="1" fontId="71" fillId="15" borderId="0" xfId="15" applyNumberFormat="1" applyFont="1" applyFill="1" applyBorder="1" applyAlignment="1">
      <alignment horizontal="center" vertical="top" wrapText="1"/>
    </xf>
    <xf numFmtId="1" fontId="71" fillId="17" borderId="0" xfId="15" applyNumberFormat="1" applyFont="1" applyFill="1" applyBorder="1" applyAlignment="1">
      <alignment horizontal="center" vertical="top" wrapText="1"/>
    </xf>
    <xf numFmtId="182" fontId="71" fillId="17" borderId="0" xfId="15" applyNumberFormat="1" applyFont="1" applyFill="1" applyBorder="1" applyAlignment="1">
      <alignment horizontal="center" vertical="top" wrapText="1"/>
    </xf>
    <xf numFmtId="192" fontId="71" fillId="17" borderId="0" xfId="15" applyNumberFormat="1" applyFont="1" applyFill="1" applyBorder="1" applyAlignment="1">
      <alignment horizontal="center" vertical="top" wrapText="1"/>
    </xf>
    <xf numFmtId="182" fontId="71" fillId="18" borderId="0" xfId="15" applyNumberFormat="1" applyFont="1" applyFill="1" applyBorder="1" applyAlignment="1">
      <alignment horizontal="center" vertical="top" wrapText="1"/>
    </xf>
    <xf numFmtId="49" fontId="71" fillId="18" borderId="0" xfId="15" applyNumberFormat="1" applyFont="1" applyFill="1" applyBorder="1" applyAlignment="1">
      <alignment horizontal="center" vertical="top" wrapText="1"/>
    </xf>
    <xf numFmtId="49" fontId="71" fillId="17" borderId="0" xfId="15" applyNumberFormat="1" applyFont="1" applyFill="1" applyBorder="1" applyAlignment="1">
      <alignment horizontal="center" vertical="top" wrapText="1"/>
    </xf>
    <xf numFmtId="1" fontId="71" fillId="18" borderId="0" xfId="15" applyNumberFormat="1" applyFont="1" applyFill="1" applyBorder="1" applyAlignment="1">
      <alignment horizontal="center" vertical="top" wrapText="1"/>
    </xf>
    <xf numFmtId="49" fontId="71" fillId="17" borderId="0" xfId="15" applyNumberFormat="1" applyFont="1" applyFill="1" applyAlignment="1">
      <alignment horizontal="left" vertical="top" wrapText="1"/>
    </xf>
    <xf numFmtId="49" fontId="71" fillId="17" borderId="0" xfId="15" applyNumberFormat="1" applyFont="1" applyFill="1" applyAlignment="1">
      <alignment horizontal="center" vertical="top" wrapText="1"/>
    </xf>
    <xf numFmtId="177" fontId="68" fillId="0" borderId="13" xfId="1" applyNumberFormat="1" applyFont="1" applyFill="1" applyBorder="1" applyAlignment="1" applyProtection="1">
      <alignment vertical="center"/>
    </xf>
    <xf numFmtId="177" fontId="68" fillId="0" borderId="14" xfId="1" applyNumberFormat="1" applyFont="1" applyFill="1" applyBorder="1" applyAlignment="1" applyProtection="1">
      <alignment vertical="center"/>
    </xf>
    <xf numFmtId="177" fontId="68" fillId="0" borderId="15" xfId="1" applyNumberFormat="1" applyFont="1" applyFill="1" applyBorder="1" applyAlignment="1" applyProtection="1">
      <alignment vertical="center"/>
    </xf>
    <xf numFmtId="177" fontId="68" fillId="0" borderId="13" xfId="1" applyNumberFormat="1" applyFont="1" applyBorder="1" applyAlignment="1" applyProtection="1">
      <alignment horizontal="right" vertical="center"/>
    </xf>
    <xf numFmtId="177" fontId="74" fillId="0" borderId="23" xfId="1" applyNumberFormat="1" applyFont="1" applyBorder="1" applyAlignment="1" applyProtection="1">
      <alignment vertical="center"/>
    </xf>
    <xf numFmtId="177" fontId="74" fillId="0" borderId="5" xfId="1" applyNumberFormat="1" applyFont="1" applyBorder="1" applyAlignment="1" applyProtection="1">
      <alignment vertical="center"/>
    </xf>
    <xf numFmtId="177" fontId="74" fillId="0" borderId="24" xfId="1" applyNumberFormat="1" applyFont="1" applyBorder="1" applyAlignment="1" applyProtection="1">
      <alignment vertical="center"/>
    </xf>
    <xf numFmtId="0" fontId="0" fillId="0" borderId="0" xfId="0"/>
    <xf numFmtId="0" fontId="41" fillId="0" borderId="0" xfId="19" applyFont="1"/>
    <xf numFmtId="0" fontId="0" fillId="0" borderId="0" xfId="0" applyFont="1" applyFill="1" applyBorder="1" applyAlignment="1">
      <alignment horizontal="right"/>
    </xf>
    <xf numFmtId="0" fontId="37" fillId="0" borderId="0" xfId="29"/>
    <xf numFmtId="0" fontId="93" fillId="0" borderId="0" xfId="29" applyNumberFormat="1" applyFont="1" applyAlignment="1">
      <alignment horizontal="center" vertical="center"/>
    </xf>
    <xf numFmtId="0" fontId="37" fillId="0" borderId="0" xfId="29" applyAlignment="1">
      <alignment horizontal="left" vertical="center"/>
    </xf>
    <xf numFmtId="0" fontId="93" fillId="0" borderId="0" xfId="29" applyFont="1" applyAlignment="1">
      <alignment horizontal="center" vertical="center"/>
    </xf>
    <xf numFmtId="0" fontId="94" fillId="0" borderId="0" xfId="29" applyFont="1" applyAlignment="1">
      <alignment horizontal="center" vertical="center"/>
    </xf>
    <xf numFmtId="0" fontId="37" fillId="0" borderId="0" xfId="29" applyBorder="1"/>
    <xf numFmtId="0" fontId="93" fillId="18" borderId="14" xfId="29" applyFont="1" applyFill="1" applyBorder="1" applyAlignment="1">
      <alignment horizontal="center" vertical="center"/>
    </xf>
    <xf numFmtId="0" fontId="93" fillId="18" borderId="0" xfId="29" applyFont="1" applyFill="1" applyBorder="1" applyAlignment="1">
      <alignment horizontal="center" vertical="center"/>
    </xf>
    <xf numFmtId="1" fontId="0" fillId="0" borderId="0" xfId="0" applyNumberFormat="1" applyFont="1" applyBorder="1"/>
    <xf numFmtId="0" fontId="93" fillId="22" borderId="0" xfId="30" applyNumberFormat="1" applyFont="1" applyFill="1" applyBorder="1" applyAlignment="1">
      <alignment horizontal="center" vertical="center"/>
    </xf>
    <xf numFmtId="0" fontId="37" fillId="22" borderId="11" xfId="30" applyFont="1" applyFill="1" applyBorder="1" applyAlignment="1">
      <alignment horizontal="left" vertical="center"/>
    </xf>
    <xf numFmtId="0" fontId="93" fillId="18" borderId="0" xfId="30" applyNumberFormat="1" applyFont="1" applyFill="1" applyBorder="1" applyAlignment="1">
      <alignment horizontal="center"/>
    </xf>
    <xf numFmtId="0" fontId="93" fillId="21" borderId="0" xfId="0" applyNumberFormat="1" applyFont="1" applyFill="1" applyBorder="1" applyAlignment="1">
      <alignment horizontal="center" vertical="center"/>
    </xf>
    <xf numFmtId="0" fontId="37" fillId="21" borderId="11" xfId="0" applyFont="1" applyFill="1" applyBorder="1" applyAlignment="1">
      <alignment horizontal="left" vertical="center"/>
    </xf>
    <xf numFmtId="0" fontId="93" fillId="21" borderId="0" xfId="29" applyNumberFormat="1" applyFont="1" applyFill="1" applyBorder="1" applyAlignment="1">
      <alignment horizontal="center" vertical="center"/>
    </xf>
    <xf numFmtId="0" fontId="37" fillId="21" borderId="11" xfId="29" applyFont="1" applyFill="1" applyBorder="1" applyAlignment="1">
      <alignment horizontal="left" vertical="center"/>
    </xf>
    <xf numFmtId="0" fontId="93" fillId="20" borderId="0" xfId="29" applyNumberFormat="1" applyFont="1" applyFill="1" applyBorder="1" applyAlignment="1">
      <alignment horizontal="center" vertical="center"/>
    </xf>
    <xf numFmtId="0" fontId="37" fillId="20" borderId="11" xfId="29" applyFont="1" applyFill="1" applyBorder="1" applyAlignment="1">
      <alignment horizontal="left" vertical="center"/>
    </xf>
    <xf numFmtId="0" fontId="93" fillId="19" borderId="14" xfId="29" applyNumberFormat="1" applyFont="1" applyFill="1" applyBorder="1" applyAlignment="1">
      <alignment horizontal="center" vertical="center"/>
    </xf>
    <xf numFmtId="0" fontId="37" fillId="19" borderId="13" xfId="29" applyFont="1" applyFill="1" applyBorder="1" applyAlignment="1">
      <alignment horizontal="left" vertical="center"/>
    </xf>
    <xf numFmtId="0" fontId="93" fillId="19" borderId="0" xfId="29" applyNumberFormat="1" applyFont="1" applyFill="1" applyBorder="1" applyAlignment="1">
      <alignment horizontal="center" vertical="center"/>
    </xf>
    <xf numFmtId="0" fontId="37" fillId="19" borderId="11" xfId="29" applyFont="1" applyFill="1" applyBorder="1" applyAlignment="1">
      <alignment horizontal="left" vertical="center"/>
    </xf>
    <xf numFmtId="0" fontId="98" fillId="19" borderId="38" xfId="29" applyNumberFormat="1" applyFont="1" applyFill="1" applyBorder="1" applyAlignment="1">
      <alignment horizontal="center" vertical="center"/>
    </xf>
    <xf numFmtId="0" fontId="97" fillId="19" borderId="37" xfId="29" applyFont="1" applyFill="1" applyBorder="1" applyAlignment="1">
      <alignment horizontal="left" vertical="center"/>
    </xf>
    <xf numFmtId="0" fontId="45" fillId="0" borderId="0" xfId="24" applyFont="1" applyBorder="1" applyAlignment="1">
      <alignment horizontal="center"/>
    </xf>
    <xf numFmtId="0" fontId="93" fillId="19" borderId="16" xfId="29" applyNumberFormat="1" applyFont="1" applyFill="1" applyBorder="1" applyAlignment="1">
      <alignment horizontal="center" vertical="center"/>
    </xf>
    <xf numFmtId="0" fontId="37" fillId="19" borderId="25" xfId="29" applyFont="1" applyFill="1" applyBorder="1" applyAlignment="1">
      <alignment horizontal="left" vertical="center"/>
    </xf>
    <xf numFmtId="0" fontId="95" fillId="0" borderId="0" xfId="29" applyFont="1" applyBorder="1"/>
    <xf numFmtId="0" fontId="95" fillId="0" borderId="12" xfId="29" applyFont="1" applyBorder="1"/>
    <xf numFmtId="0" fontId="37" fillId="0" borderId="12" xfId="29" applyBorder="1"/>
    <xf numFmtId="0" fontId="45" fillId="0" borderId="0" xfId="24" applyFont="1" applyBorder="1"/>
    <xf numFmtId="1" fontId="79" fillId="0" borderId="0" xfId="24" applyNumberFormat="1" applyFont="1" applyBorder="1"/>
    <xf numFmtId="1" fontId="60" fillId="0" borderId="12" xfId="24" applyNumberFormat="1" applyFont="1" applyBorder="1"/>
    <xf numFmtId="1" fontId="60" fillId="0" borderId="0" xfId="24" applyNumberFormat="1" applyFont="1" applyBorder="1"/>
    <xf numFmtId="0" fontId="96" fillId="0" borderId="0" xfId="24" applyFont="1" applyBorder="1"/>
    <xf numFmtId="1" fontId="96" fillId="0" borderId="0" xfId="24" applyNumberFormat="1" applyFont="1" applyBorder="1"/>
    <xf numFmtId="1" fontId="96" fillId="0" borderId="12" xfId="24" applyNumberFormat="1" applyFont="1" applyBorder="1"/>
    <xf numFmtId="0" fontId="37" fillId="0" borderId="0" xfId="30" applyBorder="1"/>
    <xf numFmtId="0" fontId="93" fillId="19" borderId="0" xfId="30" applyNumberFormat="1" applyFont="1" applyFill="1" applyBorder="1" applyAlignment="1">
      <alignment horizontal="center"/>
    </xf>
    <xf numFmtId="0" fontId="45" fillId="0" borderId="12" xfId="24" applyFont="1" applyBorder="1"/>
    <xf numFmtId="0" fontId="41" fillId="0" borderId="12" xfId="24" applyBorder="1"/>
    <xf numFmtId="0" fontId="96" fillId="0" borderId="12" xfId="24" applyFont="1" applyBorder="1"/>
    <xf numFmtId="0" fontId="37" fillId="0" borderId="0" xfId="29" applyFont="1" applyBorder="1"/>
    <xf numFmtId="0" fontId="37" fillId="0" borderId="0" xfId="29" applyFill="1" applyBorder="1"/>
    <xf numFmtId="0" fontId="37" fillId="0" borderId="12" xfId="29" applyFill="1" applyBorder="1"/>
    <xf numFmtId="0" fontId="60" fillId="0" borderId="0" xfId="0" applyFont="1"/>
    <xf numFmtId="177" fontId="50" fillId="0" borderId="1" xfId="1" applyNumberFormat="1" applyFont="1" applyBorder="1" applyAlignment="1">
      <alignment vertical="center"/>
    </xf>
    <xf numFmtId="0" fontId="64" fillId="0" borderId="42" xfId="0" applyFont="1" applyBorder="1"/>
    <xf numFmtId="0" fontId="64" fillId="0" borderId="12" xfId="0" applyFont="1" applyBorder="1"/>
    <xf numFmtId="0" fontId="64" fillId="0" borderId="0" xfId="0" applyFont="1" applyBorder="1"/>
    <xf numFmtId="0" fontId="35" fillId="0" borderId="0" xfId="29" applyFont="1" applyBorder="1"/>
    <xf numFmtId="177" fontId="74" fillId="0" borderId="37" xfId="0" applyNumberFormat="1" applyFont="1" applyBorder="1" applyAlignment="1" applyProtection="1">
      <alignment vertical="center"/>
    </xf>
    <xf numFmtId="177" fontId="50" fillId="0" borderId="37" xfId="1" applyNumberFormat="1" applyFont="1" applyFill="1" applyBorder="1" applyAlignment="1" applyProtection="1">
      <alignment horizontal="right" vertical="center"/>
    </xf>
    <xf numFmtId="0" fontId="71" fillId="4" borderId="0" xfId="21" applyFont="1" applyFill="1" applyBorder="1" applyAlignment="1">
      <alignment horizontal="center" wrapText="1"/>
    </xf>
    <xf numFmtId="1" fontId="34" fillId="0" borderId="0" xfId="19" applyNumberFormat="1" applyFont="1"/>
    <xf numFmtId="1" fontId="34" fillId="0" borderId="0" xfId="19" applyNumberFormat="1" applyFont="1" applyAlignment="1">
      <alignment horizontal="right"/>
    </xf>
    <xf numFmtId="0" fontId="34" fillId="0" borderId="0" xfId="19" applyFont="1"/>
    <xf numFmtId="0" fontId="34" fillId="0" borderId="0" xfId="0" applyFont="1"/>
    <xf numFmtId="2" fontId="34" fillId="0" borderId="0" xfId="19" applyNumberFormat="1" applyFont="1"/>
    <xf numFmtId="182" fontId="34" fillId="0" borderId="0" xfId="19" applyNumberFormat="1" applyFont="1"/>
    <xf numFmtId="1" fontId="103" fillId="0" borderId="0" xfId="19" applyNumberFormat="1" applyFont="1"/>
    <xf numFmtId="193" fontId="104" fillId="0" borderId="0" xfId="19" applyNumberFormat="1" applyFont="1"/>
    <xf numFmtId="1" fontId="34" fillId="0" borderId="0" xfId="19" applyNumberFormat="1" applyFont="1" applyFill="1" applyProtection="1"/>
    <xf numFmtId="1" fontId="92" fillId="0" borderId="0" xfId="19" applyNumberFormat="1" applyFont="1"/>
    <xf numFmtId="1" fontId="34" fillId="7" borderId="0" xfId="19" applyNumberFormat="1" applyFont="1" applyFill="1"/>
    <xf numFmtId="1" fontId="103" fillId="0" borderId="0" xfId="19" applyNumberFormat="1" applyFont="1" applyFill="1" applyProtection="1"/>
    <xf numFmtId="1" fontId="34" fillId="0" borderId="7" xfId="19" applyNumberFormat="1" applyFont="1" applyBorder="1" applyAlignment="1">
      <alignment horizontal="right"/>
    </xf>
    <xf numFmtId="1" fontId="34" fillId="0" borderId="7" xfId="19" applyNumberFormat="1" applyFont="1" applyFill="1" applyBorder="1" applyProtection="1"/>
    <xf numFmtId="1" fontId="34" fillId="0" borderId="48" xfId="19" applyNumberFormat="1" applyFont="1" applyBorder="1"/>
    <xf numFmtId="1" fontId="34" fillId="0" borderId="0" xfId="19" applyNumberFormat="1" applyFont="1" applyAlignment="1">
      <alignment horizontal="center" vertical="center"/>
    </xf>
    <xf numFmtId="1" fontId="34" fillId="0" borderId="5" xfId="19" applyNumberFormat="1" applyFont="1" applyBorder="1" applyAlignment="1">
      <alignment horizontal="right"/>
    </xf>
    <xf numFmtId="1" fontId="34" fillId="0" borderId="5" xfId="19" applyNumberFormat="1" applyFont="1" applyBorder="1"/>
    <xf numFmtId="1" fontId="34" fillId="0" borderId="9" xfId="19" applyNumberFormat="1" applyFont="1" applyBorder="1"/>
    <xf numFmtId="177" fontId="34" fillId="0" borderId="1" xfId="0" applyNumberFormat="1" applyFont="1" applyFill="1" applyBorder="1" applyAlignment="1" applyProtection="1">
      <alignment horizontal="right"/>
    </xf>
    <xf numFmtId="1" fontId="34" fillId="0" borderId="0" xfId="19" applyNumberFormat="1" applyFont="1" applyAlignment="1">
      <alignment horizontal="left"/>
    </xf>
    <xf numFmtId="1" fontId="34" fillId="0" borderId="6" xfId="19" applyNumberFormat="1" applyFont="1" applyBorder="1" applyAlignment="1">
      <alignment horizontal="right"/>
    </xf>
    <xf numFmtId="1" fontId="34" fillId="0" borderId="7" xfId="19" applyNumberFormat="1" applyFont="1" applyBorder="1"/>
    <xf numFmtId="1" fontId="34" fillId="0" borderId="8" xfId="19" applyNumberFormat="1" applyFont="1" applyBorder="1" applyAlignment="1">
      <alignment horizontal="right"/>
    </xf>
    <xf numFmtId="1" fontId="34" fillId="0" borderId="7" xfId="19" applyNumberFormat="1" applyFont="1" applyBorder="1" applyAlignment="1"/>
    <xf numFmtId="1" fontId="34" fillId="0" borderId="1" xfId="19" applyNumberFormat="1" applyFont="1" applyBorder="1"/>
    <xf numFmtId="1" fontId="34" fillId="0" borderId="1" xfId="19" applyNumberFormat="1" applyFont="1" applyBorder="1" applyAlignment="1">
      <alignment horizontal="left"/>
    </xf>
    <xf numFmtId="1" fontId="34" fillId="0" borderId="5" xfId="19" applyNumberFormat="1" applyFont="1" applyBorder="1" applyAlignment="1"/>
    <xf numFmtId="1" fontId="34" fillId="0" borderId="1" xfId="19" applyNumberFormat="1" applyFont="1" applyBorder="1" applyAlignment="1">
      <alignment horizontal="right"/>
    </xf>
    <xf numFmtId="1" fontId="34" fillId="0" borderId="6" xfId="19" applyNumberFormat="1" applyFont="1" applyBorder="1" applyAlignment="1"/>
    <xf numFmtId="1" fontId="34" fillId="0" borderId="10" xfId="19" applyNumberFormat="1" applyFont="1" applyBorder="1"/>
    <xf numFmtId="1" fontId="34" fillId="0" borderId="0" xfId="19" applyNumberFormat="1" applyFont="1" applyBorder="1"/>
    <xf numFmtId="1" fontId="34" fillId="0" borderId="41" xfId="19" applyNumberFormat="1" applyFont="1" applyBorder="1"/>
    <xf numFmtId="1" fontId="34" fillId="0" borderId="10" xfId="19" applyNumberFormat="1" applyFont="1" applyBorder="1" applyAlignment="1"/>
    <xf numFmtId="0" fontId="34" fillId="0" borderId="0" xfId="0" applyFont="1" applyFill="1"/>
    <xf numFmtId="1" fontId="34" fillId="0" borderId="0" xfId="0" applyNumberFormat="1" applyFont="1"/>
    <xf numFmtId="0" fontId="34" fillId="0" borderId="1" xfId="0" applyFont="1" applyBorder="1" applyAlignment="1">
      <alignment horizontal="right"/>
    </xf>
    <xf numFmtId="0" fontId="34" fillId="0" borderId="0" xfId="0" applyFont="1" applyAlignment="1">
      <alignment horizontal="right"/>
    </xf>
    <xf numFmtId="0" fontId="34" fillId="0" borderId="6" xfId="0" applyFont="1" applyBorder="1"/>
    <xf numFmtId="0" fontId="34" fillId="0" borderId="7" xfId="0" applyFont="1" applyBorder="1"/>
    <xf numFmtId="0" fontId="34" fillId="0" borderId="1" xfId="0" applyFont="1" applyBorder="1" applyAlignment="1"/>
    <xf numFmtId="1" fontId="34" fillId="0" borderId="10" xfId="0" applyNumberFormat="1" applyFont="1" applyBorder="1"/>
    <xf numFmtId="1" fontId="34" fillId="0" borderId="2" xfId="0" applyNumberFormat="1" applyFont="1" applyBorder="1"/>
    <xf numFmtId="1" fontId="34" fillId="0" borderId="3" xfId="0" applyNumberFormat="1" applyFont="1" applyBorder="1"/>
    <xf numFmtId="1" fontId="34" fillId="0" borderId="8" xfId="0" applyNumberFormat="1" applyFont="1" applyBorder="1"/>
    <xf numFmtId="1" fontId="34" fillId="7" borderId="4" xfId="0" applyNumberFormat="1" applyFont="1" applyFill="1" applyBorder="1"/>
    <xf numFmtId="1" fontId="34" fillId="0" borderId="4" xfId="0" applyNumberFormat="1" applyFont="1" applyBorder="1"/>
    <xf numFmtId="0" fontId="34" fillId="0" borderId="0" xfId="0" applyFont="1" applyFill="1" applyBorder="1" applyAlignment="1">
      <alignment horizontal="right"/>
    </xf>
    <xf numFmtId="1" fontId="34" fillId="0" borderId="0" xfId="0" applyNumberFormat="1" applyFont="1" applyBorder="1"/>
    <xf numFmtId="1" fontId="34" fillId="0" borderId="6" xfId="0" applyNumberFormat="1" applyFont="1" applyBorder="1"/>
    <xf numFmtId="1" fontId="34" fillId="0" borderId="7" xfId="0" applyNumberFormat="1" applyFont="1" applyBorder="1"/>
    <xf numFmtId="1" fontId="34" fillId="0" borderId="5" xfId="0" applyNumberFormat="1" applyFont="1" applyBorder="1"/>
    <xf numFmtId="0" fontId="92" fillId="0" borderId="0" xfId="0" applyFont="1" applyFill="1" applyBorder="1" applyAlignment="1">
      <alignment horizontal="right"/>
    </xf>
    <xf numFmtId="0" fontId="92" fillId="0" borderId="0" xfId="0" applyFont="1" applyAlignment="1">
      <alignment horizontal="right"/>
    </xf>
    <xf numFmtId="0" fontId="34" fillId="0" borderId="0" xfId="0" applyFont="1" applyFill="1" applyProtection="1">
      <protection locked="0"/>
    </xf>
    <xf numFmtId="194" fontId="34" fillId="0" borderId="2" xfId="0" applyNumberFormat="1" applyFont="1" applyBorder="1"/>
    <xf numFmtId="0" fontId="34" fillId="0" borderId="0" xfId="0" applyFont="1" applyBorder="1"/>
    <xf numFmtId="1" fontId="34" fillId="0" borderId="23" xfId="0" applyNumberFormat="1" applyFont="1" applyBorder="1"/>
    <xf numFmtId="1" fontId="34" fillId="0" borderId="5" xfId="0" applyNumberFormat="1" applyFont="1" applyBorder="1" applyAlignment="1">
      <alignment horizontal="right"/>
    </xf>
    <xf numFmtId="0" fontId="34" fillId="0" borderId="41" xfId="0" applyFont="1" applyBorder="1"/>
    <xf numFmtId="0" fontId="34" fillId="0" borderId="10" xfId="0" applyFont="1" applyBorder="1"/>
    <xf numFmtId="2" fontId="34" fillId="0" borderId="10" xfId="0" applyNumberFormat="1" applyFont="1" applyBorder="1"/>
    <xf numFmtId="2" fontId="34" fillId="0" borderId="12" xfId="0" applyNumberFormat="1" applyFont="1" applyBorder="1"/>
    <xf numFmtId="1" fontId="34" fillId="0" borderId="11" xfId="0" applyNumberFormat="1" applyFont="1" applyBorder="1"/>
    <xf numFmtId="0" fontId="34" fillId="0" borderId="11" xfId="0" applyFont="1" applyBorder="1"/>
    <xf numFmtId="0" fontId="34" fillId="0" borderId="12" xfId="0" applyFont="1" applyBorder="1"/>
    <xf numFmtId="0" fontId="34" fillId="0" borderId="0" xfId="0" applyFont="1" applyBorder="1" applyAlignment="1">
      <alignment horizontal="right"/>
    </xf>
    <xf numFmtId="1" fontId="34" fillId="0" borderId="46" xfId="0" applyNumberFormat="1" applyFont="1" applyBorder="1"/>
    <xf numFmtId="1" fontId="34" fillId="0" borderId="93" xfId="0" applyNumberFormat="1" applyFont="1" applyBorder="1"/>
    <xf numFmtId="1" fontId="34" fillId="0" borderId="33" xfId="0" applyNumberFormat="1" applyFont="1" applyBorder="1"/>
    <xf numFmtId="1" fontId="34" fillId="0" borderId="59" xfId="0" applyNumberFormat="1" applyFont="1" applyBorder="1"/>
    <xf numFmtId="194" fontId="34" fillId="0" borderId="93" xfId="0" applyNumberFormat="1" applyFont="1" applyBorder="1"/>
    <xf numFmtId="1" fontId="34" fillId="0" borderId="34" xfId="0" applyNumberFormat="1" applyFont="1" applyBorder="1"/>
    <xf numFmtId="1" fontId="34" fillId="0" borderId="35" xfId="0" applyNumberFormat="1" applyFont="1" applyBorder="1"/>
    <xf numFmtId="1" fontId="34" fillId="0" borderId="36" xfId="0" applyNumberFormat="1" applyFont="1" applyBorder="1"/>
    <xf numFmtId="0" fontId="52" fillId="0" borderId="0" xfId="0" applyFont="1" applyBorder="1" applyAlignment="1"/>
    <xf numFmtId="0" fontId="34" fillId="0" borderId="33" xfId="0" applyFont="1" applyBorder="1"/>
    <xf numFmtId="0" fontId="34" fillId="0" borderId="46" xfId="0" applyFont="1" applyBorder="1"/>
    <xf numFmtId="0" fontId="34" fillId="0" borderId="6" xfId="0" applyFont="1" applyBorder="1" applyAlignment="1"/>
    <xf numFmtId="0" fontId="34" fillId="0" borderId="7" xfId="0" applyFont="1" applyBorder="1" applyAlignment="1"/>
    <xf numFmtId="0" fontId="34" fillId="0" borderId="48" xfId="0" applyFont="1" applyBorder="1" applyAlignment="1"/>
    <xf numFmtId="0" fontId="34" fillId="0" borderId="28" xfId="0" applyFont="1" applyBorder="1"/>
    <xf numFmtId="2" fontId="34" fillId="0" borderId="0" xfId="0" applyNumberFormat="1" applyFont="1" applyBorder="1"/>
    <xf numFmtId="1" fontId="34" fillId="0" borderId="41" xfId="0" applyNumberFormat="1" applyFont="1" applyBorder="1"/>
    <xf numFmtId="1" fontId="34" fillId="0" borderId="61" xfId="0" applyNumberFormat="1" applyFont="1" applyBorder="1"/>
    <xf numFmtId="1" fontId="34" fillId="0" borderId="14" xfId="0" applyNumberFormat="1" applyFont="1" applyBorder="1"/>
    <xf numFmtId="1" fontId="34" fillId="0" borderId="92" xfId="0" applyNumberFormat="1" applyFont="1" applyBorder="1"/>
    <xf numFmtId="0" fontId="34" fillId="0" borderId="61" xfId="0" applyFont="1" applyBorder="1"/>
    <xf numFmtId="0" fontId="34" fillId="0" borderId="92" xfId="0" applyFont="1" applyBorder="1"/>
    <xf numFmtId="0" fontId="92" fillId="0" borderId="0" xfId="0" applyFont="1" applyBorder="1"/>
    <xf numFmtId="0" fontId="92" fillId="0" borderId="0" xfId="0" applyFont="1" applyBorder="1" applyAlignment="1">
      <alignment horizontal="right"/>
    </xf>
    <xf numFmtId="1" fontId="92" fillId="0" borderId="0" xfId="0" applyNumberFormat="1" applyFont="1" applyBorder="1"/>
    <xf numFmtId="0" fontId="92" fillId="0" borderId="12" xfId="0" applyFont="1" applyBorder="1"/>
    <xf numFmtId="0" fontId="34" fillId="0" borderId="13" xfId="0" applyFont="1" applyBorder="1"/>
    <xf numFmtId="0" fontId="34" fillId="0" borderId="14" xfId="0" applyFont="1" applyBorder="1"/>
    <xf numFmtId="0" fontId="52" fillId="0" borderId="14" xfId="0" applyFont="1" applyBorder="1" applyAlignment="1">
      <alignment horizontal="left"/>
    </xf>
    <xf numFmtId="0" fontId="52" fillId="0" borderId="14" xfId="0" applyFont="1" applyBorder="1" applyAlignment="1">
      <alignment horizontal="right"/>
    </xf>
    <xf numFmtId="1" fontId="52" fillId="0" borderId="14" xfId="0" applyNumberFormat="1" applyFont="1" applyFill="1" applyBorder="1" applyAlignment="1" applyProtection="1"/>
    <xf numFmtId="0" fontId="52" fillId="0" borderId="14" xfId="0" applyFont="1" applyFill="1" applyBorder="1" applyAlignment="1" applyProtection="1"/>
    <xf numFmtId="0" fontId="34" fillId="0" borderId="15" xfId="0" applyFont="1" applyBorder="1"/>
    <xf numFmtId="0" fontId="52" fillId="0" borderId="0" xfId="19" applyFont="1"/>
    <xf numFmtId="1" fontId="34" fillId="0" borderId="0" xfId="19" applyNumberFormat="1" applyFont="1" applyAlignment="1">
      <alignment horizontal="center"/>
    </xf>
    <xf numFmtId="0" fontId="34" fillId="0" borderId="0" xfId="19" applyFont="1" applyBorder="1" applyAlignment="1">
      <alignment horizontal="center"/>
    </xf>
    <xf numFmtId="1" fontId="104" fillId="0" borderId="0" xfId="19" applyNumberFormat="1" applyFont="1" applyAlignment="1">
      <alignment horizontal="right"/>
    </xf>
    <xf numFmtId="1" fontId="92" fillId="0" borderId="62" xfId="19" applyNumberFormat="1" applyFont="1" applyBorder="1"/>
    <xf numFmtId="1" fontId="92" fillId="0" borderId="63" xfId="19" applyNumberFormat="1" applyFont="1" applyBorder="1" applyAlignment="1">
      <alignment horizontal="center"/>
    </xf>
    <xf numFmtId="1" fontId="92" fillId="0" borderId="62" xfId="19" applyNumberFormat="1" applyFont="1" applyBorder="1" applyAlignment="1">
      <alignment horizontal="center"/>
    </xf>
    <xf numFmtId="1" fontId="92" fillId="0" borderId="64" xfId="19" applyNumberFormat="1" applyFont="1" applyBorder="1" applyAlignment="1">
      <alignment horizontal="center"/>
    </xf>
    <xf numFmtId="1" fontId="92" fillId="0" borderId="0" xfId="19" applyNumberFormat="1" applyFont="1" applyBorder="1" applyAlignment="1">
      <alignment horizontal="center"/>
    </xf>
    <xf numFmtId="0" fontId="34" fillId="0" borderId="0" xfId="19" applyFont="1" applyAlignment="1">
      <alignment horizontal="right"/>
    </xf>
    <xf numFmtId="1" fontId="92" fillId="0" borderId="0" xfId="19" applyNumberFormat="1" applyFont="1" applyFill="1" applyBorder="1"/>
    <xf numFmtId="0" fontId="92" fillId="0" borderId="21" xfId="19" applyFont="1" applyBorder="1"/>
    <xf numFmtId="0" fontId="92" fillId="0" borderId="7" xfId="19" applyFont="1" applyBorder="1"/>
    <xf numFmtId="1" fontId="92" fillId="0" borderId="7" xfId="19" applyNumberFormat="1" applyFont="1" applyBorder="1"/>
    <xf numFmtId="1" fontId="92" fillId="0" borderId="6" xfId="19" applyNumberFormat="1" applyFont="1" applyBorder="1"/>
    <xf numFmtId="1" fontId="92" fillId="0" borderId="67" xfId="19" applyNumberFormat="1" applyFont="1" applyBorder="1"/>
    <xf numFmtId="1" fontId="92" fillId="0" borderId="0" xfId="19" applyNumberFormat="1" applyFont="1" applyBorder="1"/>
    <xf numFmtId="1" fontId="34" fillId="0" borderId="11" xfId="19" applyNumberFormat="1" applyFont="1" applyBorder="1"/>
    <xf numFmtId="1" fontId="34" fillId="0" borderId="0" xfId="19" applyNumberFormat="1" applyFont="1" applyFill="1" applyBorder="1"/>
    <xf numFmtId="0" fontId="34" fillId="0" borderId="0" xfId="19" applyFont="1" applyBorder="1"/>
    <xf numFmtId="1" fontId="34" fillId="0" borderId="0" xfId="19" quotePrefix="1" applyNumberFormat="1" applyFont="1" applyBorder="1"/>
    <xf numFmtId="1" fontId="34" fillId="0" borderId="12" xfId="19" applyNumberFormat="1" applyFont="1" applyBorder="1"/>
    <xf numFmtId="1" fontId="34" fillId="0" borderId="69" xfId="19" quotePrefix="1" applyNumberFormat="1" applyFont="1" applyBorder="1"/>
    <xf numFmtId="1" fontId="34" fillId="0" borderId="11" xfId="19" applyNumberFormat="1" applyFont="1" applyBorder="1" applyAlignment="1">
      <alignment horizontal="right"/>
    </xf>
    <xf numFmtId="0" fontId="92" fillId="0" borderId="0" xfId="19" applyFont="1" applyAlignment="1">
      <alignment wrapText="1"/>
    </xf>
    <xf numFmtId="1" fontId="34" fillId="0" borderId="7" xfId="19" applyNumberFormat="1" applyFont="1" applyFill="1" applyBorder="1"/>
    <xf numFmtId="1" fontId="34" fillId="7" borderId="7" xfId="19" applyNumberFormat="1" applyFont="1" applyFill="1" applyBorder="1"/>
    <xf numFmtId="1" fontId="34" fillId="0" borderId="6" xfId="19" applyNumberFormat="1" applyFont="1" applyFill="1" applyBorder="1"/>
    <xf numFmtId="1" fontId="34" fillId="0" borderId="67" xfId="19" quotePrefix="1" applyNumberFormat="1" applyFont="1" applyFill="1" applyBorder="1"/>
    <xf numFmtId="0" fontId="34" fillId="0" borderId="7" xfId="19" applyFont="1" applyBorder="1" applyAlignment="1">
      <alignment horizontal="right"/>
    </xf>
    <xf numFmtId="1" fontId="34" fillId="0" borderId="23" xfId="19" applyNumberFormat="1" applyFont="1" applyBorder="1" applyAlignment="1">
      <alignment horizontal="right"/>
    </xf>
    <xf numFmtId="1" fontId="34" fillId="0" borderId="5" xfId="19" applyNumberFormat="1" applyFont="1" applyFill="1" applyBorder="1"/>
    <xf numFmtId="0" fontId="34" fillId="0" borderId="5" xfId="19" applyFont="1" applyFill="1" applyBorder="1"/>
    <xf numFmtId="1" fontId="34" fillId="0" borderId="5" xfId="19" quotePrefix="1" applyNumberFormat="1" applyFont="1" applyFill="1" applyBorder="1"/>
    <xf numFmtId="1" fontId="34" fillId="0" borderId="70" xfId="19" quotePrefix="1" applyNumberFormat="1" applyFont="1" applyFill="1" applyBorder="1"/>
    <xf numFmtId="1" fontId="34" fillId="0" borderId="11" xfId="19" applyNumberFormat="1" applyFont="1" applyBorder="1" applyAlignment="1">
      <alignment horizontal="left"/>
    </xf>
    <xf numFmtId="1" fontId="34" fillId="7" borderId="0" xfId="19" applyNumberFormat="1" applyFont="1" applyFill="1" applyBorder="1"/>
    <xf numFmtId="1" fontId="34" fillId="0" borderId="10" xfId="19" applyNumberFormat="1" applyFont="1" applyFill="1" applyBorder="1"/>
    <xf numFmtId="1" fontId="34" fillId="0" borderId="0" xfId="19" quotePrefix="1" applyNumberFormat="1" applyFont="1" applyFill="1" applyBorder="1"/>
    <xf numFmtId="1" fontId="34" fillId="0" borderId="12" xfId="19" applyNumberFormat="1" applyFont="1" applyFill="1" applyBorder="1"/>
    <xf numFmtId="1" fontId="34" fillId="0" borderId="69" xfId="19" quotePrefix="1" applyNumberFormat="1" applyFont="1" applyFill="1" applyBorder="1"/>
    <xf numFmtId="0" fontId="34" fillId="0" borderId="0" xfId="19" applyFont="1" applyFill="1" applyBorder="1"/>
    <xf numFmtId="0" fontId="34" fillId="0" borderId="11" xfId="19" applyFont="1" applyBorder="1" applyAlignment="1">
      <alignment horizontal="right"/>
    </xf>
    <xf numFmtId="1" fontId="34" fillId="0" borderId="70" xfId="19" quotePrefix="1" applyNumberFormat="1" applyFont="1" applyBorder="1"/>
    <xf numFmtId="0" fontId="92" fillId="0" borderId="49" xfId="19" applyFont="1" applyBorder="1"/>
    <xf numFmtId="1" fontId="92" fillId="0" borderId="43" xfId="19" applyNumberFormat="1" applyFont="1" applyBorder="1"/>
    <xf numFmtId="1" fontId="34" fillId="4" borderId="0" xfId="19" applyNumberFormat="1" applyFont="1" applyFill="1" applyBorder="1"/>
    <xf numFmtId="1" fontId="34" fillId="4" borderId="10" xfId="19" applyNumberFormat="1" applyFont="1" applyFill="1" applyBorder="1"/>
    <xf numFmtId="1" fontId="34" fillId="4" borderId="0" xfId="19" quotePrefix="1" applyNumberFormat="1" applyFont="1" applyFill="1" applyBorder="1"/>
    <xf numFmtId="1" fontId="34" fillId="4" borderId="12" xfId="19" applyNumberFormat="1" applyFont="1" applyFill="1" applyBorder="1"/>
    <xf numFmtId="1" fontId="34" fillId="4" borderId="12" xfId="19" quotePrefix="1" applyNumberFormat="1" applyFont="1" applyFill="1" applyBorder="1"/>
    <xf numFmtId="1" fontId="34" fillId="4" borderId="7" xfId="19" applyNumberFormat="1" applyFont="1" applyFill="1" applyBorder="1"/>
    <xf numFmtId="0" fontId="34" fillId="0" borderId="7" xfId="19" applyFont="1" applyFill="1" applyBorder="1"/>
    <xf numFmtId="1" fontId="34" fillId="4" borderId="6" xfId="19" applyNumberFormat="1" applyFont="1" applyFill="1" applyBorder="1"/>
    <xf numFmtId="1" fontId="34" fillId="4" borderId="5" xfId="19" applyNumberFormat="1" applyFont="1" applyFill="1" applyBorder="1"/>
    <xf numFmtId="1" fontId="34" fillId="4" borderId="5" xfId="19" quotePrefix="1" applyNumberFormat="1" applyFont="1" applyFill="1" applyBorder="1"/>
    <xf numFmtId="1" fontId="34" fillId="4" borderId="8" xfId="19" applyNumberFormat="1" applyFont="1" applyFill="1" applyBorder="1"/>
    <xf numFmtId="1" fontId="34" fillId="0" borderId="8" xfId="19" applyNumberFormat="1" applyFont="1" applyBorder="1"/>
    <xf numFmtId="1" fontId="34" fillId="0" borderId="14" xfId="19" applyNumberFormat="1" applyFont="1" applyFill="1" applyBorder="1"/>
    <xf numFmtId="0" fontId="34" fillId="0" borderId="0" xfId="19" applyFont="1" applyFill="1"/>
    <xf numFmtId="0" fontId="34" fillId="0" borderId="11" xfId="19" applyFont="1" applyBorder="1"/>
    <xf numFmtId="0" fontId="34" fillId="0" borderId="41" xfId="19" applyFont="1" applyBorder="1"/>
    <xf numFmtId="1" fontId="92" fillId="0" borderId="22" xfId="19" applyNumberFormat="1" applyFont="1" applyBorder="1"/>
    <xf numFmtId="0" fontId="34" fillId="0" borderId="11" xfId="19" applyFont="1" applyBorder="1" applyAlignment="1">
      <alignment horizontal="left"/>
    </xf>
    <xf numFmtId="1" fontId="34" fillId="9" borderId="0" xfId="19" applyNumberFormat="1" applyFont="1" applyFill="1" applyBorder="1" applyAlignment="1">
      <alignment horizontal="right"/>
    </xf>
    <xf numFmtId="1" fontId="34" fillId="9" borderId="0" xfId="19" applyNumberFormat="1" applyFont="1" applyFill="1" applyBorder="1"/>
    <xf numFmtId="0" fontId="34" fillId="0" borderId="11" xfId="19" applyFont="1" applyFill="1" applyBorder="1"/>
    <xf numFmtId="0" fontId="34" fillId="0" borderId="21" xfId="19" applyFont="1" applyFill="1" applyBorder="1"/>
    <xf numFmtId="1" fontId="34" fillId="0" borderId="6" xfId="19" applyNumberFormat="1" applyFont="1" applyBorder="1"/>
    <xf numFmtId="1" fontId="34" fillId="4" borderId="22" xfId="19" applyNumberFormat="1" applyFont="1" applyFill="1" applyBorder="1"/>
    <xf numFmtId="1" fontId="34" fillId="0" borderId="67" xfId="19" quotePrefix="1" applyNumberFormat="1" applyFont="1" applyBorder="1"/>
    <xf numFmtId="0" fontId="34" fillId="0" borderId="23" xfId="19" applyFont="1" applyBorder="1" applyAlignment="1">
      <alignment horizontal="right"/>
    </xf>
    <xf numFmtId="1" fontId="34" fillId="4" borderId="24" xfId="19" applyNumberFormat="1" applyFont="1" applyFill="1" applyBorder="1"/>
    <xf numFmtId="0" fontId="34" fillId="0" borderId="21" xfId="19" applyFont="1" applyBorder="1" applyAlignment="1">
      <alignment horizontal="left"/>
    </xf>
    <xf numFmtId="193" fontId="34" fillId="0" borderId="0" xfId="19" applyNumberFormat="1" applyFont="1" applyFill="1" applyBorder="1"/>
    <xf numFmtId="1" fontId="34" fillId="0" borderId="0" xfId="19" applyNumberFormat="1" applyFont="1" applyFill="1" applyBorder="1" applyAlignment="1">
      <alignment horizontal="right"/>
    </xf>
    <xf numFmtId="1" fontId="34" fillId="0" borderId="14" xfId="19" applyNumberFormat="1" applyFont="1" applyBorder="1"/>
    <xf numFmtId="0" fontId="34" fillId="0" borderId="0" xfId="19" applyFont="1" applyFill="1" applyBorder="1" applyAlignment="1">
      <alignment horizontal="right"/>
    </xf>
    <xf numFmtId="1" fontId="34" fillId="0" borderId="68" xfId="19" quotePrefix="1" applyNumberFormat="1" applyFont="1" applyFill="1" applyBorder="1" applyAlignment="1">
      <alignment horizontal="right"/>
    </xf>
    <xf numFmtId="0" fontId="34" fillId="0" borderId="11" xfId="19" applyFont="1" applyFill="1" applyBorder="1" applyAlignment="1">
      <alignment horizontal="left"/>
    </xf>
    <xf numFmtId="0" fontId="34" fillId="0" borderId="11" xfId="19" applyFont="1" applyFill="1" applyBorder="1" applyAlignment="1">
      <alignment horizontal="right"/>
    </xf>
    <xf numFmtId="0" fontId="34" fillId="0" borderId="23" xfId="19" applyFont="1" applyFill="1" applyBorder="1" applyAlignment="1">
      <alignment horizontal="right"/>
    </xf>
    <xf numFmtId="1" fontId="34" fillId="0" borderId="68" xfId="19" applyNumberFormat="1" applyFont="1" applyFill="1" applyBorder="1"/>
    <xf numFmtId="0" fontId="34" fillId="0" borderId="21" xfId="19" applyFont="1" applyFill="1" applyBorder="1" applyAlignment="1">
      <alignment horizontal="left"/>
    </xf>
    <xf numFmtId="0" fontId="34" fillId="0" borderId="0" xfId="19" applyFont="1" applyBorder="1" applyAlignment="1">
      <alignment horizontal="right"/>
    </xf>
    <xf numFmtId="1" fontId="34" fillId="0" borderId="0" xfId="19" applyNumberFormat="1" applyFont="1" applyBorder="1" applyAlignment="1">
      <alignment horizontal="right"/>
    </xf>
    <xf numFmtId="1" fontId="34" fillId="0" borderId="15" xfId="19" applyNumberFormat="1" applyFont="1" applyFill="1" applyBorder="1"/>
    <xf numFmtId="1" fontId="92" fillId="0" borderId="55" xfId="19" applyNumberFormat="1" applyFont="1" applyBorder="1" applyAlignment="1">
      <alignment horizontal="center"/>
    </xf>
    <xf numFmtId="1" fontId="92" fillId="0" borderId="19" xfId="19" applyNumberFormat="1" applyFont="1" applyBorder="1" applyAlignment="1">
      <alignment horizontal="center"/>
    </xf>
    <xf numFmtId="1" fontId="92" fillId="0" borderId="20" xfId="19" applyNumberFormat="1" applyFont="1" applyBorder="1" applyAlignment="1">
      <alignment horizontal="center"/>
    </xf>
    <xf numFmtId="1" fontId="34" fillId="0" borderId="77" xfId="19" quotePrefix="1" applyNumberFormat="1" applyFont="1" applyBorder="1"/>
    <xf numFmtId="0" fontId="34" fillId="0" borderId="49" xfId="19" applyFont="1" applyBorder="1" applyAlignment="1">
      <alignment horizontal="right"/>
    </xf>
    <xf numFmtId="0" fontId="34" fillId="0" borderId="43" xfId="19" applyFont="1" applyBorder="1" applyAlignment="1">
      <alignment horizontal="right"/>
    </xf>
    <xf numFmtId="1" fontId="34" fillId="0" borderId="43" xfId="19" applyNumberFormat="1" applyFont="1" applyBorder="1"/>
    <xf numFmtId="0" fontId="34" fillId="0" borderId="43" xfId="19" applyFont="1" applyBorder="1"/>
    <xf numFmtId="1" fontId="92" fillId="0" borderId="42" xfId="19" applyNumberFormat="1" applyFont="1" applyBorder="1"/>
    <xf numFmtId="1" fontId="92" fillId="0" borderId="50" xfId="19" applyNumberFormat="1" applyFont="1" applyBorder="1"/>
    <xf numFmtId="1" fontId="34" fillId="0" borderId="71" xfId="19" applyNumberFormat="1" applyFont="1" applyBorder="1"/>
    <xf numFmtId="1" fontId="34" fillId="0" borderId="69" xfId="19" applyNumberFormat="1" applyFont="1" applyBorder="1"/>
    <xf numFmtId="0" fontId="34" fillId="0" borderId="13" xfId="19" applyFont="1" applyBorder="1" applyAlignment="1">
      <alignment horizontal="right"/>
    </xf>
    <xf numFmtId="0" fontId="34" fillId="0" borderId="14" xfId="19" applyFont="1" applyBorder="1" applyAlignment="1">
      <alignment horizontal="right"/>
    </xf>
    <xf numFmtId="1" fontId="34" fillId="0" borderId="15" xfId="19" applyNumberFormat="1" applyFont="1" applyBorder="1"/>
    <xf numFmtId="1" fontId="34" fillId="0" borderId="76" xfId="19" applyNumberFormat="1" applyFont="1" applyBorder="1"/>
    <xf numFmtId="0" fontId="92" fillId="0" borderId="18" xfId="19" applyFont="1" applyBorder="1"/>
    <xf numFmtId="0" fontId="92" fillId="0" borderId="19" xfId="19" applyFont="1" applyBorder="1"/>
    <xf numFmtId="1" fontId="92" fillId="0" borderId="19" xfId="19" applyNumberFormat="1" applyFont="1" applyBorder="1"/>
    <xf numFmtId="1" fontId="92" fillId="0" borderId="55" xfId="19" applyNumberFormat="1" applyFont="1" applyBorder="1"/>
    <xf numFmtId="1" fontId="92" fillId="0" borderId="20" xfId="19" applyNumberFormat="1" applyFont="1" applyBorder="1"/>
    <xf numFmtId="1" fontId="92" fillId="0" borderId="77" xfId="19" applyNumberFormat="1" applyFont="1" applyBorder="1"/>
    <xf numFmtId="0" fontId="34" fillId="0" borderId="18" xfId="19" applyFont="1" applyBorder="1"/>
    <xf numFmtId="0" fontId="34" fillId="0" borderId="19" xfId="19" applyFont="1" applyBorder="1"/>
    <xf numFmtId="1" fontId="34" fillId="0" borderId="19" xfId="19" applyNumberFormat="1" applyFont="1" applyBorder="1"/>
    <xf numFmtId="1" fontId="34" fillId="0" borderId="77" xfId="19" applyNumberFormat="1" applyFont="1" applyBorder="1"/>
    <xf numFmtId="0" fontId="92" fillId="0" borderId="11" xfId="19" applyFont="1" applyBorder="1"/>
    <xf numFmtId="0" fontId="34" fillId="7" borderId="0" xfId="19" applyFont="1" applyFill="1"/>
    <xf numFmtId="0" fontId="34" fillId="4" borderId="0" xfId="19" applyFont="1" applyFill="1"/>
    <xf numFmtId="0" fontId="34" fillId="0" borderId="13" xfId="19" applyFont="1" applyBorder="1"/>
    <xf numFmtId="0" fontId="34" fillId="0" borderId="14" xfId="19" applyFont="1" applyBorder="1"/>
    <xf numFmtId="0" fontId="34" fillId="23" borderId="0" xfId="19" applyFont="1" applyFill="1"/>
    <xf numFmtId="1" fontId="34" fillId="23" borderId="0" xfId="19" applyNumberFormat="1" applyFont="1" applyFill="1" applyBorder="1"/>
    <xf numFmtId="1" fontId="34" fillId="4" borderId="61" xfId="19" applyNumberFormat="1" applyFont="1" applyFill="1" applyBorder="1"/>
    <xf numFmtId="1" fontId="34" fillId="4" borderId="14" xfId="19" applyNumberFormat="1" applyFont="1" applyFill="1" applyBorder="1"/>
    <xf numFmtId="177" fontId="75" fillId="0" borderId="0" xfId="0" applyNumberFormat="1" applyFont="1" applyAlignment="1">
      <alignment horizontal="right" vertical="center"/>
    </xf>
    <xf numFmtId="1" fontId="34" fillId="0" borderId="0" xfId="0" applyNumberFormat="1" applyFont="1" applyFill="1" applyBorder="1"/>
    <xf numFmtId="0" fontId="34" fillId="0" borderId="0" xfId="0" applyFont="1" applyFill="1" applyProtection="1"/>
    <xf numFmtId="1" fontId="34" fillId="0" borderId="0" xfId="0" applyNumberFormat="1" applyFont="1" applyFill="1" applyProtection="1"/>
    <xf numFmtId="177" fontId="73" fillId="0" borderId="0" xfId="0" applyNumberFormat="1" applyFont="1" applyAlignment="1">
      <alignment vertical="center"/>
    </xf>
    <xf numFmtId="0" fontId="0" fillId="0" borderId="0" xfId="0" applyBorder="1"/>
    <xf numFmtId="0" fontId="37" fillId="0" borderId="0" xfId="29" applyFont="1" applyBorder="1" applyAlignment="1">
      <alignment horizontal="left" vertical="center"/>
    </xf>
    <xf numFmtId="0" fontId="37" fillId="0" borderId="0" xfId="29" applyFont="1" applyBorder="1" applyAlignment="1">
      <alignment vertical="center"/>
    </xf>
    <xf numFmtId="0" fontId="37" fillId="0" borderId="0" xfId="29" applyBorder="1" applyAlignment="1">
      <alignment vertical="center"/>
    </xf>
    <xf numFmtId="0" fontId="37" fillId="0" borderId="0" xfId="29" applyFont="1" applyBorder="1" applyAlignment="1">
      <alignment vertical="center" wrapText="1"/>
    </xf>
    <xf numFmtId="0" fontId="41" fillId="0" borderId="0" xfId="0" applyFont="1" applyBorder="1"/>
    <xf numFmtId="0" fontId="41" fillId="0" borderId="0" xfId="0" applyFont="1" applyBorder="1" applyAlignment="1">
      <alignment horizontal="right"/>
    </xf>
    <xf numFmtId="0" fontId="41" fillId="0" borderId="0" xfId="0" applyFont="1" applyBorder="1" applyAlignment="1">
      <alignment horizontal="center"/>
    </xf>
    <xf numFmtId="0" fontId="88" fillId="0" borderId="26" xfId="1" applyNumberFormat="1" applyFont="1" applyBorder="1" applyAlignment="1">
      <alignment horizontal="left" vertical="center"/>
    </xf>
    <xf numFmtId="177" fontId="88" fillId="0" borderId="1" xfId="1" applyNumberFormat="1" applyFont="1" applyBorder="1" applyAlignment="1">
      <alignment vertical="center"/>
    </xf>
    <xf numFmtId="177" fontId="88" fillId="3" borderId="1" xfId="1" applyNumberFormat="1" applyFont="1" applyFill="1" applyBorder="1" applyAlignment="1" applyProtection="1">
      <alignment vertical="center"/>
    </xf>
    <xf numFmtId="0" fontId="88" fillId="0" borderId="26" xfId="1" applyNumberFormat="1" applyFont="1" applyFill="1" applyBorder="1" applyAlignment="1">
      <alignment horizontal="left" vertical="center"/>
    </xf>
    <xf numFmtId="177" fontId="62" fillId="0" borderId="1" xfId="1" applyNumberFormat="1" applyFont="1" applyFill="1" applyBorder="1" applyAlignment="1">
      <alignment vertical="center"/>
    </xf>
    <xf numFmtId="177" fontId="88" fillId="0" borderId="1" xfId="1" applyNumberFormat="1" applyFont="1" applyFill="1" applyBorder="1" applyAlignment="1">
      <alignment vertical="center"/>
    </xf>
    <xf numFmtId="0" fontId="88" fillId="0" borderId="30" xfId="1" applyNumberFormat="1" applyFont="1" applyFill="1" applyBorder="1" applyAlignment="1">
      <alignment horizontal="left" vertical="center"/>
    </xf>
    <xf numFmtId="177" fontId="32" fillId="0" borderId="7" xfId="0" applyNumberFormat="1" applyFont="1" applyBorder="1" applyAlignment="1">
      <alignment horizontal="left"/>
    </xf>
    <xf numFmtId="177" fontId="50" fillId="0" borderId="0" xfId="1" applyNumberFormat="1" applyFont="1" applyFill="1" applyAlignment="1" applyProtection="1">
      <alignment vertical="center"/>
    </xf>
    <xf numFmtId="177" fontId="50" fillId="0" borderId="38" xfId="1" applyNumberFormat="1" applyFont="1" applyFill="1" applyBorder="1" applyAlignment="1" applyProtection="1">
      <alignment vertical="center"/>
    </xf>
    <xf numFmtId="177" fontId="50" fillId="0" borderId="39" xfId="1" applyNumberFormat="1" applyFont="1" applyFill="1" applyBorder="1" applyAlignment="1" applyProtection="1">
      <alignment vertical="center"/>
    </xf>
    <xf numFmtId="1" fontId="54" fillId="0" borderId="45" xfId="1" applyNumberFormat="1" applyFont="1" applyBorder="1" applyAlignment="1">
      <alignment vertical="center"/>
    </xf>
    <xf numFmtId="177" fontId="50" fillId="0" borderId="12" xfId="1" applyNumberFormat="1" applyFont="1" applyBorder="1" applyAlignment="1">
      <alignment horizontal="left" vertical="center"/>
    </xf>
    <xf numFmtId="177" fontId="54" fillId="0" borderId="49" xfId="1" applyNumberFormat="1" applyFont="1" applyBorder="1" applyAlignment="1" applyProtection="1">
      <alignment vertical="center"/>
    </xf>
    <xf numFmtId="177" fontId="54" fillId="0" borderId="43" xfId="1" applyNumberFormat="1" applyFont="1" applyBorder="1" applyAlignment="1" applyProtection="1">
      <alignment vertical="center"/>
    </xf>
    <xf numFmtId="177" fontId="54" fillId="3" borderId="49" xfId="1" applyNumberFormat="1" applyFont="1" applyFill="1" applyBorder="1" applyAlignment="1" applyProtection="1">
      <alignment horizontal="right" vertical="center"/>
    </xf>
    <xf numFmtId="177" fontId="54" fillId="3" borderId="43" xfId="1" applyNumberFormat="1" applyFont="1" applyFill="1" applyBorder="1" applyAlignment="1" applyProtection="1">
      <alignment vertical="center"/>
    </xf>
    <xf numFmtId="177" fontId="54" fillId="4" borderId="49" xfId="1" applyNumberFormat="1" applyFont="1" applyFill="1" applyBorder="1" applyAlignment="1" applyProtection="1">
      <alignment vertical="center"/>
    </xf>
    <xf numFmtId="177" fontId="54" fillId="0" borderId="0" xfId="1" applyNumberFormat="1" applyFont="1" applyAlignment="1" applyProtection="1">
      <alignment vertical="center"/>
    </xf>
    <xf numFmtId="177" fontId="60" fillId="0" borderId="38" xfId="0" applyNumberFormat="1" applyFont="1" applyBorder="1" applyAlignment="1" applyProtection="1">
      <alignment horizontal="center" vertical="center"/>
    </xf>
    <xf numFmtId="177" fontId="54" fillId="0" borderId="18" xfId="1" applyNumberFormat="1" applyFont="1" applyBorder="1" applyAlignment="1" applyProtection="1">
      <alignment horizontal="center" vertical="center"/>
    </xf>
    <xf numFmtId="177" fontId="54" fillId="0" borderId="19" xfId="1" applyNumberFormat="1" applyFont="1" applyBorder="1" applyAlignment="1" applyProtection="1">
      <alignment horizontal="center" vertical="center"/>
    </xf>
    <xf numFmtId="177" fontId="54" fillId="0" borderId="50" xfId="1" applyNumberFormat="1" applyFont="1" applyBorder="1" applyAlignment="1" applyProtection="1">
      <alignment vertical="center"/>
    </xf>
    <xf numFmtId="177" fontId="54" fillId="3" borderId="50" xfId="1" applyNumberFormat="1" applyFont="1" applyFill="1" applyBorder="1" applyAlignment="1" applyProtection="1">
      <alignment vertical="center"/>
    </xf>
    <xf numFmtId="177" fontId="54" fillId="0" borderId="51" xfId="1" applyNumberFormat="1" applyFont="1" applyBorder="1" applyAlignment="1">
      <alignment vertical="center"/>
    </xf>
    <xf numFmtId="177" fontId="60" fillId="0" borderId="39" xfId="0" applyNumberFormat="1" applyFont="1" applyBorder="1" applyAlignment="1" applyProtection="1">
      <alignment horizontal="center" vertical="center"/>
    </xf>
    <xf numFmtId="177" fontId="54" fillId="0" borderId="20" xfId="1" applyNumberFormat="1" applyFont="1" applyBorder="1" applyAlignment="1" applyProtection="1">
      <alignment horizontal="center" vertical="center"/>
    </xf>
    <xf numFmtId="1" fontId="59" fillId="0" borderId="75" xfId="1" applyNumberFormat="1" applyFont="1" applyBorder="1" applyAlignment="1">
      <alignment vertical="center"/>
    </xf>
    <xf numFmtId="1" fontId="34" fillId="0" borderId="0" xfId="19" applyNumberFormat="1" applyFont="1" applyBorder="1" applyProtection="1">
      <protection locked="0"/>
    </xf>
    <xf numFmtId="177" fontId="59" fillId="0" borderId="49" xfId="1" applyNumberFormat="1" applyFont="1" applyBorder="1" applyAlignment="1">
      <alignment vertical="center"/>
    </xf>
    <xf numFmtId="177" fontId="59" fillId="0" borderId="51" xfId="1" applyNumberFormat="1" applyFont="1" applyBorder="1" applyAlignment="1">
      <alignment vertical="center"/>
    </xf>
    <xf numFmtId="1" fontId="59" fillId="0" borderId="18" xfId="1" applyNumberFormat="1" applyFont="1" applyBorder="1" applyAlignment="1">
      <alignment vertical="center"/>
    </xf>
    <xf numFmtId="177" fontId="59" fillId="0" borderId="18" xfId="1" applyNumberFormat="1" applyFont="1" applyBorder="1" applyAlignment="1">
      <alignment vertical="center"/>
    </xf>
    <xf numFmtId="178" fontId="54" fillId="0" borderId="49" xfId="1" applyNumberFormat="1" applyFont="1" applyBorder="1" applyAlignment="1">
      <alignment vertical="center"/>
    </xf>
    <xf numFmtId="177" fontId="54" fillId="0" borderId="51" xfId="1" applyNumberFormat="1" applyFont="1" applyBorder="1" applyAlignment="1">
      <alignment horizontal="left" vertical="center"/>
    </xf>
    <xf numFmtId="1" fontId="34" fillId="3" borderId="78" xfId="19" applyNumberFormat="1" applyFont="1" applyFill="1" applyBorder="1" applyProtection="1">
      <protection locked="0"/>
    </xf>
    <xf numFmtId="177" fontId="59" fillId="3" borderId="78" xfId="1" applyNumberFormat="1" applyFont="1" applyFill="1" applyBorder="1" applyAlignment="1" applyProtection="1">
      <alignment vertical="center"/>
      <protection locked="0"/>
    </xf>
    <xf numFmtId="177" fontId="59" fillId="3" borderId="86" xfId="1" applyNumberFormat="1" applyFont="1" applyFill="1" applyBorder="1" applyAlignment="1" applyProtection="1">
      <alignment vertical="center"/>
      <protection locked="0"/>
    </xf>
    <xf numFmtId="2" fontId="54" fillId="3" borderId="78" xfId="1" applyNumberFormat="1" applyFont="1" applyFill="1" applyBorder="1" applyAlignment="1" applyProtection="1">
      <alignment vertical="center"/>
      <protection locked="0"/>
    </xf>
    <xf numFmtId="2" fontId="59" fillId="0" borderId="75" xfId="1" applyNumberFormat="1" applyFont="1" applyBorder="1" applyAlignment="1">
      <alignment vertical="center"/>
    </xf>
    <xf numFmtId="1" fontId="54" fillId="3" borderId="78" xfId="1" applyNumberFormat="1" applyFont="1" applyFill="1" applyBorder="1" applyAlignment="1" applyProtection="1">
      <alignment vertical="center"/>
      <protection locked="0"/>
    </xf>
    <xf numFmtId="1" fontId="54" fillId="0" borderId="78" xfId="1" applyNumberFormat="1" applyFont="1" applyBorder="1" applyAlignment="1">
      <alignment horizontal="right" vertical="center"/>
    </xf>
    <xf numFmtId="1" fontId="54" fillId="0" borderId="86" xfId="1" applyNumberFormat="1" applyFont="1" applyBorder="1" applyAlignment="1">
      <alignment horizontal="right" vertical="center"/>
    </xf>
    <xf numFmtId="177" fontId="54" fillId="0" borderId="46" xfId="1" applyNumberFormat="1" applyFont="1" applyBorder="1" applyAlignment="1">
      <alignment vertical="center"/>
    </xf>
    <xf numFmtId="177" fontId="54" fillId="0" borderId="93" xfId="1" applyNumberFormat="1" applyFont="1" applyBorder="1" applyAlignment="1">
      <alignment vertical="center"/>
    </xf>
    <xf numFmtId="177" fontId="68" fillId="0" borderId="34" xfId="1" applyNumberFormat="1" applyFont="1" applyBorder="1" applyAlignment="1" applyProtection="1">
      <alignment horizontal="right" vertical="center"/>
    </xf>
    <xf numFmtId="9" fontId="68" fillId="0" borderId="61" xfId="16" applyFont="1" applyBorder="1" applyAlignment="1" applyProtection="1">
      <alignment horizontal="right" vertical="center"/>
    </xf>
    <xf numFmtId="9" fontId="68" fillId="0" borderId="14" xfId="16" applyFont="1" applyBorder="1" applyAlignment="1" applyProtection="1">
      <alignment horizontal="right" vertical="center"/>
    </xf>
    <xf numFmtId="177" fontId="74" fillId="0" borderId="44" xfId="1" applyNumberFormat="1" applyFont="1" applyBorder="1" applyAlignment="1" applyProtection="1">
      <alignment vertical="center"/>
    </xf>
    <xf numFmtId="177" fontId="68" fillId="0" borderId="41" xfId="0" applyNumberFormat="1" applyFont="1" applyBorder="1" applyAlignment="1" applyProtection="1">
      <alignment horizontal="center" vertical="center"/>
    </xf>
    <xf numFmtId="177" fontId="68" fillId="0" borderId="41" xfId="1" applyNumberFormat="1" applyFont="1" applyBorder="1" applyAlignment="1" applyProtection="1">
      <alignment horizontal="right" vertical="center"/>
    </xf>
    <xf numFmtId="181" fontId="68" fillId="0" borderId="41" xfId="1" applyNumberFormat="1" applyFont="1" applyBorder="1" applyAlignment="1" applyProtection="1">
      <alignment horizontal="right" vertical="center"/>
    </xf>
    <xf numFmtId="9" fontId="68" fillId="0" borderId="92" xfId="16" applyFont="1" applyBorder="1" applyAlignment="1" applyProtection="1">
      <alignment horizontal="right" vertical="center"/>
    </xf>
    <xf numFmtId="177" fontId="68" fillId="0" borderId="12" xfId="0" applyNumberFormat="1" applyFont="1" applyBorder="1" applyAlignment="1" applyProtection="1">
      <alignment horizontal="center" vertical="center"/>
    </xf>
    <xf numFmtId="177" fontId="68" fillId="0" borderId="12" xfId="0" applyNumberFormat="1" applyFont="1" applyBorder="1" applyAlignment="1" applyProtection="1">
      <alignment vertical="center"/>
    </xf>
    <xf numFmtId="181" fontId="68" fillId="0" borderId="12" xfId="0" applyNumberFormat="1" applyFont="1" applyBorder="1" applyAlignment="1" applyProtection="1">
      <alignment vertical="center"/>
    </xf>
    <xf numFmtId="9" fontId="68" fillId="0" borderId="15" xfId="16" applyFont="1" applyBorder="1" applyAlignment="1" applyProtection="1">
      <alignment vertical="center"/>
    </xf>
    <xf numFmtId="177" fontId="68" fillId="0" borderId="28" xfId="1" applyNumberFormat="1" applyFont="1" applyBorder="1" applyAlignment="1" applyProtection="1">
      <alignment horizontal="right" vertical="center"/>
    </xf>
    <xf numFmtId="9" fontId="68" fillId="0" borderId="10" xfId="16" applyFont="1" applyBorder="1" applyAlignment="1" applyProtection="1">
      <alignment horizontal="right" vertical="center"/>
    </xf>
    <xf numFmtId="9" fontId="68" fillId="0" borderId="0" xfId="16" applyFont="1" applyBorder="1" applyAlignment="1" applyProtection="1">
      <alignment horizontal="right" vertical="center"/>
    </xf>
    <xf numFmtId="177" fontId="68" fillId="0" borderId="16" xfId="1" applyNumberFormat="1" applyFont="1" applyBorder="1" applyAlignment="1" applyProtection="1">
      <alignment vertical="center"/>
    </xf>
    <xf numFmtId="177" fontId="68" fillId="0" borderId="74" xfId="1" applyNumberFormat="1" applyFont="1" applyBorder="1" applyAlignment="1" applyProtection="1">
      <alignment horizontal="right" vertical="center"/>
    </xf>
    <xf numFmtId="177" fontId="74" fillId="0" borderId="11" xfId="0" applyNumberFormat="1" applyFont="1" applyBorder="1" applyAlignment="1">
      <alignment vertical="center"/>
    </xf>
    <xf numFmtId="177" fontId="68" fillId="0" borderId="6" xfId="0" applyNumberFormat="1" applyFont="1" applyBorder="1" applyAlignment="1">
      <alignment horizontal="right" vertical="center"/>
    </xf>
    <xf numFmtId="177" fontId="68" fillId="0" borderId="10" xfId="0" applyNumberFormat="1" applyFont="1" applyBorder="1" applyAlignment="1">
      <alignment horizontal="right" vertical="center"/>
    </xf>
    <xf numFmtId="177" fontId="68" fillId="0" borderId="61" xfId="0" applyNumberFormat="1" applyFont="1" applyBorder="1" applyAlignment="1">
      <alignment horizontal="right" vertical="center"/>
    </xf>
    <xf numFmtId="177" fontId="68" fillId="0" borderId="38" xfId="0" applyNumberFormat="1" applyFont="1" applyBorder="1" applyAlignment="1">
      <alignment vertical="center"/>
    </xf>
    <xf numFmtId="177" fontId="72" fillId="0" borderId="37" xfId="0" applyNumberFormat="1" applyFont="1" applyBorder="1" applyAlignment="1">
      <alignment horizontal="center" vertical="center"/>
    </xf>
    <xf numFmtId="177" fontId="68" fillId="3" borderId="0" xfId="1" applyNumberFormat="1" applyFont="1" applyFill="1" applyBorder="1" applyAlignment="1" applyProtection="1">
      <alignment vertical="center"/>
    </xf>
    <xf numFmtId="1" fontId="34" fillId="0" borderId="8" xfId="19" applyNumberFormat="1" applyFont="1" applyBorder="1" applyAlignment="1">
      <alignment horizontal="left"/>
    </xf>
    <xf numFmtId="1" fontId="34" fillId="0" borderId="0" xfId="19" applyNumberFormat="1" applyFont="1" applyFill="1" applyBorder="1" applyProtection="1"/>
    <xf numFmtId="1" fontId="34" fillId="0" borderId="5" xfId="19" applyNumberFormat="1" applyFont="1" applyFill="1" applyBorder="1" applyProtection="1"/>
    <xf numFmtId="1" fontId="60" fillId="0" borderId="0" xfId="19" applyNumberFormat="1" applyFont="1" applyBorder="1" applyAlignment="1">
      <alignment horizontal="right"/>
    </xf>
    <xf numFmtId="1" fontId="60" fillId="0" borderId="0" xfId="19" applyNumberFormat="1" applyFont="1" applyBorder="1"/>
    <xf numFmtId="1" fontId="60" fillId="0" borderId="41" xfId="19" applyNumberFormat="1" applyFont="1" applyBorder="1"/>
    <xf numFmtId="0" fontId="60" fillId="0" borderId="0" xfId="0" applyFont="1" applyBorder="1"/>
    <xf numFmtId="177" fontId="54" fillId="0" borderId="12" xfId="1" applyNumberFormat="1" applyFont="1" applyBorder="1" applyAlignment="1">
      <alignment vertical="center"/>
    </xf>
    <xf numFmtId="177" fontId="54" fillId="0" borderId="13" xfId="1" applyNumberFormat="1" applyFont="1" applyBorder="1" applyAlignment="1">
      <alignment vertical="center"/>
    </xf>
    <xf numFmtId="177" fontId="54" fillId="0" borderId="14" xfId="1" applyNumberFormat="1" applyFont="1" applyBorder="1" applyAlignment="1">
      <alignment horizontal="right" vertical="center"/>
    </xf>
    <xf numFmtId="177" fontId="54" fillId="0" borderId="14" xfId="1" applyNumberFormat="1" applyFont="1" applyBorder="1" applyAlignment="1">
      <alignment vertical="center"/>
    </xf>
    <xf numFmtId="177" fontId="54" fillId="0" borderId="15" xfId="1" applyNumberFormat="1" applyFont="1" applyBorder="1" applyAlignment="1">
      <alignment vertical="center"/>
    </xf>
    <xf numFmtId="177" fontId="54" fillId="0" borderId="73" xfId="1" applyNumberFormat="1" applyFont="1" applyBorder="1" applyAlignment="1">
      <alignment vertical="center"/>
    </xf>
    <xf numFmtId="177" fontId="54" fillId="0" borderId="74" xfId="1" applyNumberFormat="1" applyFont="1" applyBorder="1" applyAlignment="1">
      <alignment vertical="center"/>
    </xf>
    <xf numFmtId="1" fontId="34" fillId="0" borderId="1" xfId="0" applyNumberFormat="1" applyFont="1" applyBorder="1"/>
    <xf numFmtId="1" fontId="34" fillId="0" borderId="27" xfId="0" applyNumberFormat="1" applyFont="1" applyBorder="1"/>
    <xf numFmtId="177" fontId="50" fillId="8" borderId="0" xfId="1" applyNumberFormat="1" applyFont="1" applyFill="1" applyBorder="1" applyAlignment="1">
      <alignment vertical="center"/>
    </xf>
    <xf numFmtId="177" fontId="50" fillId="0" borderId="17" xfId="1" applyNumberFormat="1" applyFont="1" applyFill="1" applyBorder="1" applyAlignment="1">
      <alignment vertical="center"/>
    </xf>
    <xf numFmtId="177" fontId="50" fillId="0" borderId="2" xfId="1" applyNumberFormat="1" applyFont="1" applyBorder="1" applyAlignment="1">
      <alignment vertical="center"/>
    </xf>
    <xf numFmtId="177" fontId="50" fillId="8" borderId="16" xfId="1" applyNumberFormat="1" applyFont="1" applyFill="1" applyBorder="1" applyAlignment="1">
      <alignment vertical="center"/>
    </xf>
    <xf numFmtId="177" fontId="50" fillId="8" borderId="17" xfId="1" applyNumberFormat="1" applyFont="1" applyFill="1" applyBorder="1" applyAlignment="1">
      <alignment vertical="center"/>
    </xf>
    <xf numFmtId="177" fontId="50" fillId="8" borderId="12" xfId="1" applyNumberFormat="1" applyFont="1" applyFill="1" applyBorder="1" applyAlignment="1">
      <alignment vertical="center"/>
    </xf>
    <xf numFmtId="177" fontId="50" fillId="0" borderId="2" xfId="1" applyNumberFormat="1" applyFont="1" applyBorder="1" applyAlignment="1">
      <alignment horizontal="left" vertical="center"/>
    </xf>
    <xf numFmtId="177" fontId="50" fillId="0" borderId="3" xfId="1" applyNumberFormat="1" applyFont="1" applyFill="1" applyBorder="1" applyAlignment="1">
      <alignment vertical="center"/>
    </xf>
    <xf numFmtId="177" fontId="50" fillId="0" borderId="35" xfId="1" applyNumberFormat="1" applyFont="1" applyFill="1" applyBorder="1" applyAlignment="1">
      <alignment vertical="center"/>
    </xf>
    <xf numFmtId="177" fontId="50" fillId="0" borderId="6" xfId="1" applyNumberFormat="1" applyFont="1" applyBorder="1" applyAlignment="1">
      <alignment horizontal="left" vertical="center"/>
    </xf>
    <xf numFmtId="177" fontId="50" fillId="0" borderId="22" xfId="1" applyNumberFormat="1" applyFont="1" applyBorder="1" applyAlignment="1">
      <alignment horizontal="left" vertical="center"/>
    </xf>
    <xf numFmtId="177" fontId="50" fillId="0" borderId="10" xfId="1" applyNumberFormat="1" applyFont="1" applyBorder="1" applyAlignment="1">
      <alignment horizontal="left" vertical="center"/>
    </xf>
    <xf numFmtId="177" fontId="50" fillId="0" borderId="10" xfId="1" applyNumberFormat="1" applyFont="1" applyBorder="1" applyAlignment="1">
      <alignment vertical="center"/>
    </xf>
    <xf numFmtId="177" fontId="50" fillId="0" borderId="61" xfId="1" applyNumberFormat="1" applyFont="1" applyBorder="1" applyAlignment="1">
      <alignment vertical="center"/>
    </xf>
    <xf numFmtId="177" fontId="50" fillId="7" borderId="3" xfId="1" applyNumberFormat="1" applyFont="1" applyFill="1" applyBorder="1" applyAlignment="1">
      <alignment horizontal="left" vertical="center"/>
    </xf>
    <xf numFmtId="194" fontId="34" fillId="0" borderId="3" xfId="0" applyNumberFormat="1" applyFont="1" applyBorder="1"/>
    <xf numFmtId="177" fontId="68" fillId="0" borderId="21" xfId="0" applyNumberFormat="1" applyFont="1" applyBorder="1" applyAlignment="1">
      <alignment horizontal="right" vertical="center"/>
    </xf>
    <xf numFmtId="177" fontId="68" fillId="0" borderId="7" xfId="1" applyNumberFormat="1" applyFont="1" applyBorder="1" applyAlignment="1">
      <alignment horizontal="right" vertical="center"/>
    </xf>
    <xf numFmtId="177" fontId="68" fillId="0" borderId="22" xfId="0" applyNumberFormat="1" applyFont="1" applyBorder="1" applyAlignment="1">
      <alignment vertical="center"/>
    </xf>
    <xf numFmtId="177" fontId="53" fillId="0" borderId="0" xfId="5" applyNumberFormat="1" applyFont="1" applyFill="1" applyBorder="1" applyAlignment="1" applyProtection="1">
      <alignment horizontal="center" vertical="center"/>
    </xf>
    <xf numFmtId="0" fontId="43" fillId="0" borderId="0" xfId="19" applyFill="1"/>
    <xf numFmtId="0" fontId="34" fillId="0" borderId="0" xfId="0" applyFont="1" applyFill="1" applyBorder="1" applyAlignment="1" applyProtection="1"/>
    <xf numFmtId="0" fontId="34" fillId="7" borderId="0" xfId="0" applyFont="1" applyFill="1" applyBorder="1"/>
    <xf numFmtId="194" fontId="34" fillId="0" borderId="0" xfId="0" applyNumberFormat="1" applyFont="1" applyBorder="1"/>
    <xf numFmtId="194" fontId="34" fillId="0" borderId="10" xfId="0" applyNumberFormat="1" applyFont="1" applyBorder="1"/>
    <xf numFmtId="1" fontId="34" fillId="0" borderId="26" xfId="0" applyNumberFormat="1" applyFont="1" applyBorder="1"/>
    <xf numFmtId="0" fontId="34" fillId="0" borderId="14" xfId="0" applyFont="1" applyFill="1" applyBorder="1" applyAlignment="1">
      <alignment horizontal="right"/>
    </xf>
    <xf numFmtId="194" fontId="34" fillId="0" borderId="14" xfId="0" applyNumberFormat="1" applyFont="1" applyBorder="1"/>
    <xf numFmtId="0" fontId="34" fillId="3" borderId="2" xfId="0" applyFont="1" applyFill="1" applyBorder="1" applyProtection="1">
      <protection locked="0"/>
    </xf>
    <xf numFmtId="0" fontId="34" fillId="3" borderId="3" xfId="0" applyFont="1" applyFill="1" applyBorder="1" applyProtection="1">
      <protection locked="0"/>
    </xf>
    <xf numFmtId="0" fontId="34" fillId="0" borderId="14" xfId="0" applyFont="1" applyFill="1" applyBorder="1"/>
    <xf numFmtId="0" fontId="34" fillId="0" borderId="0" xfId="0" applyFont="1" applyFill="1" applyBorder="1"/>
    <xf numFmtId="1" fontId="34" fillId="0" borderId="14" xfId="0" applyNumberFormat="1" applyFont="1" applyFill="1" applyBorder="1"/>
    <xf numFmtId="0" fontId="34" fillId="0" borderId="1" xfId="0" applyFont="1" applyFill="1" applyBorder="1"/>
    <xf numFmtId="1" fontId="34" fillId="0" borderId="1" xfId="19" applyNumberFormat="1" applyFont="1" applyFill="1" applyBorder="1" applyAlignment="1">
      <alignment horizontal="right"/>
    </xf>
    <xf numFmtId="0" fontId="34" fillId="0" borderId="0" xfId="0" applyFont="1" applyAlignment="1">
      <alignment horizontal="center"/>
    </xf>
    <xf numFmtId="177" fontId="59" fillId="0" borderId="30" xfId="1" applyNumberFormat="1" applyFont="1" applyBorder="1" applyAlignment="1">
      <alignment horizontal="right" vertical="center"/>
    </xf>
    <xf numFmtId="177" fontId="54" fillId="0" borderId="2" xfId="1" applyNumberFormat="1" applyFont="1" applyBorder="1" applyAlignment="1">
      <alignment horizontal="right" vertical="center"/>
    </xf>
    <xf numFmtId="177" fontId="54" fillId="2" borderId="0" xfId="1" applyNumberFormat="1" applyFont="1" applyFill="1" applyAlignment="1">
      <alignment horizontal="right" vertical="center"/>
    </xf>
    <xf numFmtId="0" fontId="34" fillId="0" borderId="0" xfId="0" applyFont="1" applyAlignment="1">
      <alignment horizontal="left"/>
    </xf>
    <xf numFmtId="177" fontId="68" fillId="10" borderId="72" xfId="1" applyNumberFormat="1" applyFont="1" applyFill="1" applyBorder="1" applyAlignment="1" applyProtection="1">
      <alignment horizontal="right" vertical="center"/>
      <protection locked="0"/>
    </xf>
    <xf numFmtId="177" fontId="68" fillId="10" borderId="73" xfId="1" applyNumberFormat="1" applyFont="1" applyFill="1" applyBorder="1" applyAlignment="1" applyProtection="1">
      <alignment horizontal="right" vertical="center"/>
      <protection locked="0"/>
    </xf>
    <xf numFmtId="0" fontId="68" fillId="10" borderId="39" xfId="19" applyFont="1" applyFill="1" applyBorder="1" applyAlignment="1" applyProtection="1">
      <alignment horizontal="right" vertical="center"/>
      <protection locked="0"/>
    </xf>
    <xf numFmtId="0" fontId="97" fillId="9" borderId="37" xfId="30" applyFont="1" applyFill="1" applyBorder="1" applyAlignment="1">
      <alignment horizontal="left" vertical="center"/>
    </xf>
    <xf numFmtId="0" fontId="37" fillId="9" borderId="11" xfId="29" applyFont="1" applyFill="1" applyBorder="1" applyAlignment="1">
      <alignment horizontal="left" vertical="center"/>
    </xf>
    <xf numFmtId="0" fontId="93" fillId="9" borderId="0" xfId="29" applyFont="1" applyFill="1" applyBorder="1" applyAlignment="1">
      <alignment horizontal="center" vertical="center"/>
    </xf>
    <xf numFmtId="0" fontId="37" fillId="9" borderId="13" xfId="29" applyFont="1" applyFill="1" applyBorder="1" applyAlignment="1">
      <alignment horizontal="left" vertical="center"/>
    </xf>
    <xf numFmtId="0" fontId="93" fillId="9" borderId="14" xfId="29" applyFont="1" applyFill="1" applyBorder="1" applyAlignment="1">
      <alignment horizontal="center" vertical="center"/>
    </xf>
    <xf numFmtId="177" fontId="74" fillId="0" borderId="18" xfId="0" applyNumberFormat="1" applyFont="1" applyBorder="1" applyAlignment="1">
      <alignment vertical="center"/>
    </xf>
    <xf numFmtId="177" fontId="74" fillId="0" borderId="60" xfId="0" applyNumberFormat="1" applyFont="1" applyBorder="1" applyAlignment="1">
      <alignment vertical="center"/>
    </xf>
    <xf numFmtId="177" fontId="76" fillId="0" borderId="18" xfId="1" applyNumberFormat="1" applyFont="1" applyBorder="1" applyAlignment="1">
      <alignment vertical="center"/>
    </xf>
    <xf numFmtId="177" fontId="76" fillId="0" borderId="19" xfId="1" applyNumberFormat="1" applyFont="1" applyBorder="1" applyAlignment="1">
      <alignment vertical="center"/>
    </xf>
    <xf numFmtId="177" fontId="68" fillId="0" borderId="0" xfId="0" applyNumberFormat="1" applyFont="1" applyBorder="1" applyAlignment="1">
      <alignment horizontal="right" vertical="center"/>
    </xf>
    <xf numFmtId="177" fontId="54" fillId="0" borderId="0" xfId="1" applyNumberFormat="1" applyFont="1" applyAlignment="1">
      <alignment horizontal="center" vertical="center"/>
    </xf>
    <xf numFmtId="177" fontId="68" fillId="0" borderId="11" xfId="0" applyNumberFormat="1" applyFont="1" applyBorder="1" applyAlignment="1">
      <alignment horizontal="right" vertical="center"/>
    </xf>
    <xf numFmtId="177" fontId="68" fillId="0" borderId="0" xfId="1" applyNumberFormat="1" applyFont="1" applyBorder="1" applyAlignment="1">
      <alignment horizontal="right" vertical="center"/>
    </xf>
    <xf numFmtId="177" fontId="50" fillId="0" borderId="20" xfId="1" applyNumberFormat="1" applyFont="1" applyBorder="1" applyAlignment="1">
      <alignment vertical="center"/>
    </xf>
    <xf numFmtId="177" fontId="59" fillId="0" borderId="37" xfId="1" applyNumberFormat="1" applyFont="1" applyBorder="1" applyAlignment="1">
      <alignment horizontal="left" vertical="center"/>
    </xf>
    <xf numFmtId="177" fontId="54" fillId="0" borderId="38" xfId="1" applyNumberFormat="1" applyFont="1" applyBorder="1" applyAlignment="1">
      <alignment horizontal="right" vertical="center"/>
    </xf>
    <xf numFmtId="177" fontId="54" fillId="0" borderId="38" xfId="1" applyNumberFormat="1" applyFont="1" applyBorder="1" applyAlignment="1">
      <alignment vertical="center"/>
    </xf>
    <xf numFmtId="177" fontId="59" fillId="0" borderId="11" xfId="1" applyNumberFormat="1" applyFont="1" applyBorder="1" applyAlignment="1">
      <alignment horizontal="center" vertical="center"/>
    </xf>
    <xf numFmtId="177" fontId="54" fillId="0" borderId="11" xfId="1" applyNumberFormat="1" applyFont="1" applyBorder="1" applyAlignment="1">
      <alignment horizontal="left" vertical="center"/>
    </xf>
    <xf numFmtId="177" fontId="54" fillId="0" borderId="12" xfId="1" applyNumberFormat="1" applyFont="1" applyBorder="1" applyAlignment="1">
      <alignment horizontal="right" vertical="center"/>
    </xf>
    <xf numFmtId="177" fontId="54" fillId="0" borderId="13" xfId="1" applyNumberFormat="1" applyFont="1" applyBorder="1" applyAlignment="1">
      <alignment horizontal="right" vertical="center"/>
    </xf>
    <xf numFmtId="178" fontId="68" fillId="0" borderId="7" xfId="1" applyNumberFormat="1" applyFont="1" applyBorder="1" applyAlignment="1" applyProtection="1">
      <alignment vertical="center"/>
    </xf>
    <xf numFmtId="181" fontId="68" fillId="0" borderId="22" xfId="1" applyNumberFormat="1" applyFont="1" applyBorder="1" applyAlignment="1" applyProtection="1">
      <alignment vertical="center"/>
    </xf>
    <xf numFmtId="191" fontId="50" fillId="0" borderId="7" xfId="1" applyNumberFormat="1" applyFont="1" applyBorder="1" applyAlignment="1">
      <alignment vertical="center"/>
    </xf>
    <xf numFmtId="181" fontId="50" fillId="0" borderId="7" xfId="1" applyNumberFormat="1" applyFont="1" applyBorder="1" applyAlignment="1">
      <alignment vertical="center"/>
    </xf>
    <xf numFmtId="1" fontId="64" fillId="0" borderId="0" xfId="17" applyNumberFormat="1" applyFont="1" applyFill="1" applyBorder="1" applyAlignment="1" applyProtection="1">
      <alignment horizontal="right" vertical="center"/>
    </xf>
    <xf numFmtId="177" fontId="68" fillId="0" borderId="0" xfId="0" applyNumberFormat="1" applyFont="1" applyBorder="1" applyAlignment="1">
      <alignment horizontal="left" vertical="center"/>
    </xf>
    <xf numFmtId="177" fontId="50" fillId="0" borderId="0" xfId="1" quotePrefix="1" applyNumberFormat="1" applyFont="1" applyAlignment="1" applyProtection="1">
      <alignment horizontal="left" vertical="center"/>
    </xf>
    <xf numFmtId="177" fontId="50" fillId="0" borderId="0" xfId="1" applyNumberFormat="1" applyFont="1" applyAlignment="1" applyProtection="1">
      <alignment horizontal="center" vertical="center"/>
    </xf>
    <xf numFmtId="1" fontId="92" fillId="0" borderId="0" xfId="19" applyNumberFormat="1" applyFont="1" applyAlignment="1">
      <alignment vertical="center"/>
    </xf>
    <xf numFmtId="1" fontId="34" fillId="0" borderId="0" xfId="19" applyNumberFormat="1" applyFont="1" applyAlignment="1">
      <alignment horizontal="right" vertical="center"/>
    </xf>
    <xf numFmtId="1" fontId="34" fillId="0" borderId="0" xfId="19" applyNumberFormat="1" applyFont="1" applyAlignment="1">
      <alignment vertical="center"/>
    </xf>
    <xf numFmtId="1" fontId="34" fillId="0" borderId="0" xfId="19" applyNumberFormat="1" applyFont="1" applyBorder="1" applyAlignment="1">
      <alignment horizontal="center" vertical="center" wrapText="1"/>
    </xf>
    <xf numFmtId="1" fontId="34" fillId="0" borderId="0" xfId="19" applyNumberFormat="1" applyFont="1" applyBorder="1" applyAlignment="1">
      <alignment horizontal="left"/>
    </xf>
    <xf numFmtId="1" fontId="34" fillId="0" borderId="10" xfId="19" applyNumberFormat="1" applyFont="1" applyBorder="1" applyAlignment="1">
      <alignment horizontal="right"/>
    </xf>
    <xf numFmtId="194" fontId="34" fillId="0" borderId="0" xfId="0" applyNumberFormat="1" applyFont="1" applyFill="1" applyBorder="1"/>
    <xf numFmtId="1" fontId="33" fillId="3" borderId="0" xfId="5" applyNumberFormat="1" applyFont="1" applyFill="1" applyBorder="1" applyAlignment="1" applyProtection="1">
      <alignment horizontal="center" vertical="center"/>
      <protection locked="0"/>
    </xf>
    <xf numFmtId="1" fontId="33" fillId="0" borderId="0" xfId="4" applyNumberFormat="1" applyFont="1" applyAlignment="1">
      <alignment horizontal="right" vertical="center"/>
    </xf>
    <xf numFmtId="194" fontId="33" fillId="0" borderId="0" xfId="4" applyNumberFormat="1" applyFont="1" applyAlignment="1">
      <alignment horizontal="right" vertical="center"/>
    </xf>
    <xf numFmtId="194" fontId="33" fillId="0" borderId="0" xfId="5" applyNumberFormat="1" applyFont="1" applyFill="1" applyBorder="1" applyAlignment="1" applyProtection="1">
      <alignment horizontal="center" vertical="center"/>
    </xf>
    <xf numFmtId="1" fontId="33" fillId="0" borderId="0" xfId="5" applyNumberFormat="1" applyFont="1" applyFill="1" applyBorder="1" applyAlignment="1" applyProtection="1">
      <alignment horizontal="center" vertical="center"/>
    </xf>
    <xf numFmtId="1" fontId="33" fillId="0" borderId="12" xfId="5" applyNumberFormat="1" applyFont="1" applyBorder="1" applyAlignment="1" applyProtection="1">
      <alignment horizontal="right" vertical="center"/>
    </xf>
    <xf numFmtId="1" fontId="33" fillId="4" borderId="0" xfId="5" applyNumberFormat="1" applyFont="1" applyFill="1" applyBorder="1" applyAlignment="1" applyProtection="1">
      <alignment vertical="center"/>
    </xf>
    <xf numFmtId="1" fontId="33" fillId="4" borderId="0" xfId="5" applyNumberFormat="1" applyFont="1" applyFill="1" applyBorder="1" applyAlignment="1" applyProtection="1">
      <alignment horizontal="center" vertical="center"/>
    </xf>
    <xf numFmtId="1" fontId="33" fillId="0" borderId="0" xfId="5" applyNumberFormat="1" applyFont="1" applyBorder="1" applyAlignment="1" applyProtection="1">
      <alignment vertical="center"/>
    </xf>
    <xf numFmtId="1" fontId="33" fillId="0" borderId="11" xfId="5" applyNumberFormat="1" applyFont="1" applyFill="1" applyBorder="1" applyAlignment="1" applyProtection="1">
      <alignment horizontal="right" vertical="center"/>
    </xf>
    <xf numFmtId="1" fontId="33" fillId="0" borderId="0" xfId="4" applyNumberFormat="1" applyFont="1" applyBorder="1" applyAlignment="1">
      <alignment horizontal="right" vertical="center"/>
    </xf>
    <xf numFmtId="1" fontId="33" fillId="0" borderId="80" xfId="5" applyNumberFormat="1" applyFont="1" applyBorder="1" applyAlignment="1" applyProtection="1">
      <alignment horizontal="right" vertical="center"/>
    </xf>
    <xf numFmtId="1" fontId="33" fillId="0" borderId="11" xfId="5" applyNumberFormat="1" applyFont="1" applyBorder="1" applyAlignment="1" applyProtection="1">
      <alignment horizontal="right" vertical="center"/>
    </xf>
    <xf numFmtId="1" fontId="33" fillId="0" borderId="80" xfId="34" applyNumberFormat="1" applyFont="1" applyFill="1" applyBorder="1" applyAlignment="1" applyProtection="1">
      <alignment horizontal="right" vertical="center"/>
    </xf>
    <xf numFmtId="1" fontId="33" fillId="0" borderId="11" xfId="34" applyNumberFormat="1" applyFont="1" applyFill="1" applyBorder="1" applyAlignment="1">
      <alignment horizontal="right" vertical="center"/>
    </xf>
    <xf numFmtId="1" fontId="33" fillId="0" borderId="0" xfId="4" applyNumberFormat="1" applyFont="1" applyFill="1" applyBorder="1" applyAlignment="1">
      <alignment horizontal="right" vertical="center"/>
    </xf>
    <xf numFmtId="194" fontId="33" fillId="0" borderId="0" xfId="4" applyNumberFormat="1" applyFont="1" applyFill="1" applyBorder="1" applyAlignment="1">
      <alignment horizontal="right" vertical="center"/>
    </xf>
    <xf numFmtId="1" fontId="33" fillId="0" borderId="0" xfId="4" applyNumberFormat="1" applyFont="1" applyFill="1" applyAlignment="1">
      <alignment horizontal="right" vertical="center"/>
    </xf>
    <xf numFmtId="1" fontId="33" fillId="0" borderId="11" xfId="4" applyNumberFormat="1" applyFont="1" applyFill="1" applyBorder="1" applyAlignment="1">
      <alignment horizontal="right" vertical="center" wrapText="1"/>
    </xf>
    <xf numFmtId="1" fontId="33" fillId="0" borderId="0" xfId="4" applyNumberFormat="1" applyFont="1" applyFill="1" applyBorder="1" applyAlignment="1">
      <alignment horizontal="right" vertical="center" wrapText="1"/>
    </xf>
    <xf numFmtId="194" fontId="33" fillId="0" borderId="0" xfId="4" applyNumberFormat="1" applyFont="1" applyFill="1" applyBorder="1" applyAlignment="1">
      <alignment horizontal="right" vertical="center" wrapText="1"/>
    </xf>
    <xf numFmtId="1" fontId="33" fillId="0" borderId="0" xfId="4" applyNumberFormat="1" applyFont="1" applyFill="1" applyAlignment="1">
      <alignment horizontal="right" vertical="center" wrapText="1"/>
    </xf>
    <xf numFmtId="1" fontId="33" fillId="8" borderId="11" xfId="5" applyNumberFormat="1" applyFont="1" applyFill="1" applyBorder="1" applyAlignment="1" applyProtection="1">
      <alignment horizontal="right" vertical="center"/>
    </xf>
    <xf numFmtId="1" fontId="33" fillId="0" borderId="0" xfId="34" applyNumberFormat="1" applyFont="1" applyFill="1" applyBorder="1" applyAlignment="1">
      <alignment horizontal="right" vertical="center"/>
    </xf>
    <xf numFmtId="1" fontId="33" fillId="4" borderId="80" xfId="5" applyNumberFormat="1" applyFont="1" applyFill="1" applyBorder="1" applyAlignment="1" applyProtection="1">
      <alignment horizontal="right" vertical="center"/>
      <protection locked="0"/>
    </xf>
    <xf numFmtId="1" fontId="33" fillId="4" borderId="11" xfId="34" applyNumberFormat="1" applyFont="1" applyFill="1" applyBorder="1" applyAlignment="1" applyProtection="1">
      <alignment horizontal="right" vertical="center"/>
    </xf>
    <xf numFmtId="1" fontId="33" fillId="4" borderId="0" xfId="4" applyNumberFormat="1" applyFont="1" applyFill="1" applyBorder="1" applyAlignment="1">
      <alignment horizontal="right" vertical="center"/>
    </xf>
    <xf numFmtId="1" fontId="33" fillId="4" borderId="0" xfId="34" applyNumberFormat="1" applyFont="1" applyFill="1" applyBorder="1" applyAlignment="1">
      <alignment horizontal="right" vertical="center"/>
    </xf>
    <xf numFmtId="194" fontId="33" fillId="4" borderId="11" xfId="4" applyNumberFormat="1" applyFont="1" applyFill="1" applyBorder="1" applyAlignment="1">
      <alignment horizontal="right" vertical="center"/>
    </xf>
    <xf numFmtId="194" fontId="33" fillId="4" borderId="0" xfId="34" applyNumberFormat="1" applyFont="1" applyFill="1" applyBorder="1" applyAlignment="1">
      <alignment horizontal="right" vertical="center"/>
    </xf>
    <xf numFmtId="193" fontId="33" fillId="4" borderId="0" xfId="34" applyNumberFormat="1" applyFont="1" applyFill="1" applyBorder="1" applyAlignment="1">
      <alignment horizontal="right" vertical="center"/>
    </xf>
    <xf numFmtId="1" fontId="33" fillId="4" borderId="80" xfId="34" applyNumberFormat="1" applyFont="1" applyFill="1" applyBorder="1" applyAlignment="1" applyProtection="1">
      <alignment horizontal="right" vertical="center"/>
      <protection locked="0"/>
    </xf>
    <xf numFmtId="194" fontId="33" fillId="0" borderId="0" xfId="34" applyNumberFormat="1" applyFont="1" applyFill="1" applyBorder="1" applyAlignment="1">
      <alignment horizontal="right" vertical="center"/>
    </xf>
    <xf numFmtId="1" fontId="33" fillId="4" borderId="83" xfId="34" applyNumberFormat="1" applyFont="1" applyFill="1" applyBorder="1" applyAlignment="1" applyProtection="1">
      <alignment horizontal="right" vertical="center"/>
    </xf>
    <xf numFmtId="1" fontId="33" fillId="4" borderId="82" xfId="4" applyNumberFormat="1" applyFont="1" applyFill="1" applyBorder="1" applyAlignment="1">
      <alignment horizontal="right" vertical="center"/>
    </xf>
    <xf numFmtId="1" fontId="33" fillId="4" borderId="82" xfId="34" applyNumberFormat="1" applyFont="1" applyFill="1" applyBorder="1" applyAlignment="1">
      <alignment horizontal="right" vertical="center"/>
    </xf>
    <xf numFmtId="194" fontId="33" fillId="4" borderId="83" xfId="4" applyNumberFormat="1" applyFont="1" applyFill="1" applyBorder="1" applyAlignment="1">
      <alignment horizontal="right" vertical="center"/>
    </xf>
    <xf numFmtId="194" fontId="33" fillId="4" borderId="82" xfId="34" applyNumberFormat="1" applyFont="1" applyFill="1" applyBorder="1" applyAlignment="1">
      <alignment horizontal="right" vertical="center"/>
    </xf>
    <xf numFmtId="177" fontId="62" fillId="0" borderId="0" xfId="34" applyNumberFormat="1" applyFont="1" applyBorder="1" applyAlignment="1" applyProtection="1">
      <alignment horizontal="left" vertical="center"/>
      <protection locked="0"/>
    </xf>
    <xf numFmtId="1" fontId="33" fillId="0" borderId="0" xfId="5" applyNumberFormat="1" applyFont="1" applyBorder="1" applyAlignment="1" applyProtection="1">
      <alignment horizontal="right" vertical="center"/>
    </xf>
    <xf numFmtId="0" fontId="110" fillId="0" borderId="0" xfId="4" applyFont="1"/>
    <xf numFmtId="1" fontId="33" fillId="0" borderId="0" xfId="4" applyNumberFormat="1" applyFont="1" applyFill="1" applyBorder="1" applyAlignment="1" applyProtection="1">
      <alignment horizontal="right" vertical="center"/>
    </xf>
    <xf numFmtId="0" fontId="55" fillId="0" borderId="0" xfId="4"/>
    <xf numFmtId="2" fontId="33" fillId="0" borderId="0" xfId="4" applyNumberFormat="1" applyFont="1" applyFill="1" applyAlignment="1">
      <alignment horizontal="right" vertical="center"/>
    </xf>
    <xf numFmtId="1" fontId="33" fillId="0" borderId="73" xfId="5" applyNumberFormat="1" applyFont="1" applyBorder="1" applyAlignment="1" applyProtection="1">
      <alignment horizontal="right" vertical="center"/>
    </xf>
    <xf numFmtId="1" fontId="33" fillId="0" borderId="0" xfId="34" applyNumberFormat="1" applyFont="1" applyFill="1" applyBorder="1" applyAlignment="1" applyProtection="1">
      <alignment horizontal="right" vertical="center"/>
    </xf>
    <xf numFmtId="2" fontId="33" fillId="0" borderId="0" xfId="34" applyNumberFormat="1" applyFont="1" applyFill="1" applyBorder="1" applyAlignment="1">
      <alignment horizontal="right" vertical="center"/>
    </xf>
    <xf numFmtId="1" fontId="33" fillId="0" borderId="11" xfId="4" applyNumberFormat="1" applyFont="1" applyFill="1" applyBorder="1" applyAlignment="1" applyProtection="1">
      <alignment horizontal="right" vertical="center"/>
    </xf>
    <xf numFmtId="1" fontId="33" fillId="3" borderId="0" xfId="4" applyNumberFormat="1" applyFont="1" applyFill="1" applyBorder="1" applyAlignment="1" applyProtection="1">
      <alignment horizontal="right" vertical="center"/>
      <protection locked="0"/>
    </xf>
    <xf numFmtId="1" fontId="33" fillId="3" borderId="0" xfId="34" applyNumberFormat="1" applyFont="1" applyFill="1" applyBorder="1" applyAlignment="1" applyProtection="1">
      <alignment horizontal="right" vertical="center"/>
      <protection locked="0"/>
    </xf>
    <xf numFmtId="1" fontId="33" fillId="0" borderId="12" xfId="4" applyNumberFormat="1" applyFont="1" applyBorder="1" applyAlignment="1">
      <alignment horizontal="right" vertical="center"/>
    </xf>
    <xf numFmtId="1" fontId="33" fillId="0" borderId="90" xfId="4" applyNumberFormat="1" applyFont="1" applyBorder="1" applyAlignment="1">
      <alignment horizontal="right" vertical="center"/>
    </xf>
    <xf numFmtId="1" fontId="89" fillId="0" borderId="0" xfId="4" applyNumberFormat="1" applyFont="1" applyAlignment="1">
      <alignment horizontal="left" vertical="center"/>
    </xf>
    <xf numFmtId="1" fontId="33" fillId="0" borderId="102" xfId="34" applyNumberFormat="1" applyFont="1" applyFill="1" applyBorder="1" applyAlignment="1" applyProtection="1">
      <alignment horizontal="right" vertical="center"/>
    </xf>
    <xf numFmtId="1" fontId="33" fillId="0" borderId="0" xfId="4" applyNumberFormat="1" applyFont="1" applyFill="1" applyBorder="1" applyAlignment="1">
      <alignment vertical="center"/>
    </xf>
    <xf numFmtId="9" fontId="33" fillId="0" borderId="0" xfId="14" applyFont="1" applyFill="1" applyBorder="1" applyAlignment="1">
      <alignment horizontal="right" vertical="center"/>
    </xf>
    <xf numFmtId="1" fontId="33" fillId="0" borderId="11" xfId="4" applyNumberFormat="1" applyFont="1" applyFill="1" applyBorder="1" applyAlignment="1">
      <alignment vertical="center"/>
    </xf>
    <xf numFmtId="1" fontId="33" fillId="0" borderId="12" xfId="4" applyNumberFormat="1" applyFont="1" applyFill="1" applyBorder="1" applyAlignment="1">
      <alignment vertical="center"/>
    </xf>
    <xf numFmtId="1" fontId="33" fillId="0" borderId="104" xfId="4" applyNumberFormat="1" applyFont="1" applyFill="1" applyBorder="1" applyAlignment="1">
      <alignment vertical="center"/>
    </xf>
    <xf numFmtId="2" fontId="33" fillId="0" borderId="0" xfId="4" applyNumberFormat="1" applyFont="1" applyFill="1" applyBorder="1" applyAlignment="1">
      <alignment horizontal="right" vertical="center" wrapText="1"/>
    </xf>
    <xf numFmtId="1" fontId="33" fillId="0" borderId="0" xfId="4" applyNumberFormat="1" applyFont="1" applyBorder="1" applyAlignment="1">
      <alignment horizontal="right" vertical="center" wrapText="1"/>
    </xf>
    <xf numFmtId="1" fontId="33" fillId="0" borderId="12" xfId="4" applyNumberFormat="1" applyFont="1" applyBorder="1" applyAlignment="1">
      <alignment horizontal="right" vertical="center" wrapText="1"/>
    </xf>
    <xf numFmtId="1" fontId="33" fillId="8" borderId="0" xfId="4" applyNumberFormat="1" applyFont="1" applyFill="1" applyAlignment="1">
      <alignment horizontal="right" vertical="center"/>
    </xf>
    <xf numFmtId="1" fontId="33" fillId="4" borderId="102" xfId="34" applyNumberFormat="1" applyFont="1" applyFill="1" applyBorder="1" applyAlignment="1" applyProtection="1">
      <alignment horizontal="right" vertical="center"/>
    </xf>
    <xf numFmtId="1" fontId="33" fillId="0" borderId="105" xfId="34" applyNumberFormat="1" applyFont="1" applyFill="1" applyBorder="1" applyAlignment="1" applyProtection="1">
      <alignment horizontal="right" vertical="center"/>
    </xf>
    <xf numFmtId="1" fontId="33" fillId="0" borderId="83" xfId="34" applyNumberFormat="1" applyFont="1" applyFill="1" applyBorder="1" applyAlignment="1">
      <alignment horizontal="right" vertical="center"/>
    </xf>
    <xf numFmtId="1" fontId="33" fillId="0" borderId="82" xfId="34" applyNumberFormat="1" applyFont="1" applyFill="1" applyBorder="1" applyAlignment="1">
      <alignment horizontal="right" vertical="center"/>
    </xf>
    <xf numFmtId="1" fontId="33" fillId="0" borderId="82" xfId="34" applyNumberFormat="1" applyFont="1" applyFill="1" applyBorder="1" applyAlignment="1" applyProtection="1">
      <alignment horizontal="right" vertical="center"/>
    </xf>
    <xf numFmtId="1" fontId="33" fillId="0" borderId="82" xfId="4" applyNumberFormat="1" applyFont="1" applyFill="1" applyBorder="1" applyAlignment="1" applyProtection="1">
      <alignment horizontal="right" vertical="center"/>
    </xf>
    <xf numFmtId="194" fontId="33" fillId="0" borderId="82" xfId="34" applyNumberFormat="1" applyFont="1" applyFill="1" applyBorder="1" applyAlignment="1">
      <alignment horizontal="right" vertical="center"/>
    </xf>
    <xf numFmtId="2" fontId="33" fillId="0" borderId="84" xfId="34" applyNumberFormat="1" applyFont="1" applyFill="1" applyBorder="1" applyAlignment="1">
      <alignment horizontal="right" vertical="center"/>
    </xf>
    <xf numFmtId="1" fontId="33" fillId="0" borderId="83" xfId="4" applyNumberFormat="1" applyFont="1" applyFill="1" applyBorder="1" applyAlignment="1" applyProtection="1">
      <alignment horizontal="right" vertical="center"/>
    </xf>
    <xf numFmtId="1" fontId="33" fillId="0" borderId="82" xfId="4" applyNumberFormat="1" applyFont="1" applyFill="1" applyBorder="1" applyAlignment="1">
      <alignment horizontal="right" vertical="center"/>
    </xf>
    <xf numFmtId="1" fontId="33" fillId="0" borderId="82" xfId="4" applyNumberFormat="1" applyFont="1" applyFill="1" applyBorder="1" applyAlignment="1" applyProtection="1">
      <alignment horizontal="right" vertical="center"/>
      <protection locked="0"/>
    </xf>
    <xf numFmtId="1" fontId="33" fillId="0" borderId="82" xfId="34" applyNumberFormat="1" applyFont="1" applyFill="1" applyBorder="1" applyAlignment="1" applyProtection="1">
      <alignment horizontal="right" vertical="center"/>
      <protection locked="0"/>
    </xf>
    <xf numFmtId="1" fontId="33" fillId="0" borderId="84" xfId="4" applyNumberFormat="1" applyFont="1" applyFill="1" applyBorder="1" applyAlignment="1">
      <alignment horizontal="right" vertical="center"/>
    </xf>
    <xf numFmtId="193" fontId="33" fillId="0" borderId="0" xfId="4" applyNumberFormat="1" applyFont="1" applyAlignment="1">
      <alignment horizontal="right" vertical="center"/>
    </xf>
    <xf numFmtId="0" fontId="109" fillId="9" borderId="0" xfId="0" applyFont="1" applyFill="1" applyAlignment="1">
      <alignment vertical="center"/>
    </xf>
    <xf numFmtId="0" fontId="34" fillId="0" borderId="10" xfId="0" applyFont="1" applyFill="1" applyBorder="1" applyProtection="1"/>
    <xf numFmtId="0" fontId="34" fillId="0" borderId="0" xfId="0" applyFont="1" applyFill="1" applyBorder="1" applyAlignment="1" applyProtection="1">
      <alignment horizontal="right"/>
    </xf>
    <xf numFmtId="0" fontId="34" fillId="0" borderId="10" xfId="0" applyFont="1" applyFill="1" applyBorder="1" applyAlignment="1" applyProtection="1">
      <alignment horizontal="right"/>
    </xf>
    <xf numFmtId="0" fontId="34" fillId="0" borderId="0" xfId="0" applyFont="1" applyFill="1" applyBorder="1" applyProtection="1"/>
    <xf numFmtId="0" fontId="37" fillId="19" borderId="73" xfId="29" applyFont="1" applyFill="1" applyBorder="1" applyAlignment="1">
      <alignment horizontal="left" vertical="center"/>
    </xf>
    <xf numFmtId="0" fontId="37" fillId="20" borderId="73" xfId="29" applyFont="1" applyFill="1" applyBorder="1" applyAlignment="1">
      <alignment horizontal="left" vertical="center"/>
    </xf>
    <xf numFmtId="0" fontId="37" fillId="21" borderId="73" xfId="29" applyFont="1" applyFill="1" applyBorder="1" applyAlignment="1">
      <alignment horizontal="left" vertical="center"/>
    </xf>
    <xf numFmtId="0" fontId="37" fillId="21" borderId="73" xfId="0" applyFont="1" applyFill="1" applyBorder="1" applyAlignment="1">
      <alignment horizontal="left" vertical="center"/>
    </xf>
    <xf numFmtId="0" fontId="37" fillId="22" borderId="73" xfId="30" applyFont="1" applyFill="1" applyBorder="1" applyAlignment="1">
      <alignment horizontal="left" vertical="center"/>
    </xf>
    <xf numFmtId="177" fontId="50" fillId="0" borderId="37" xfId="1" applyNumberFormat="1" applyFont="1" applyFill="1" applyBorder="1" applyAlignment="1" applyProtection="1">
      <alignment vertical="center"/>
    </xf>
    <xf numFmtId="1" fontId="34" fillId="0" borderId="2" xfId="19" applyNumberFormat="1" applyFont="1" applyBorder="1"/>
    <xf numFmtId="1" fontId="34" fillId="0" borderId="3" xfId="19" applyNumberFormat="1" applyFont="1" applyBorder="1"/>
    <xf numFmtId="1" fontId="34" fillId="0" borderId="4" xfId="19" applyNumberFormat="1" applyFont="1" applyBorder="1"/>
    <xf numFmtId="1" fontId="34" fillId="0" borderId="0" xfId="0" applyNumberFormat="1" applyFont="1" applyAlignment="1">
      <alignment horizontal="right"/>
    </xf>
    <xf numFmtId="1" fontId="33" fillId="0" borderId="80" xfId="5" applyNumberFormat="1" applyFont="1" applyBorder="1" applyAlignment="1">
      <alignment vertical="center"/>
    </xf>
    <xf numFmtId="1" fontId="33" fillId="0" borderId="0" xfId="5" applyNumberFormat="1" applyFont="1" applyBorder="1" applyAlignment="1">
      <alignment vertical="center"/>
    </xf>
    <xf numFmtId="1" fontId="33" fillId="0" borderId="80" xfId="5" applyNumberFormat="1" applyFont="1" applyFill="1" applyBorder="1" applyAlignment="1" applyProtection="1">
      <alignment horizontal="right" vertical="center"/>
    </xf>
    <xf numFmtId="1" fontId="33" fillId="0" borderId="0" xfId="5" applyNumberFormat="1" applyFont="1" applyFill="1" applyBorder="1" applyAlignment="1" applyProtection="1">
      <alignment horizontal="right" vertical="center"/>
    </xf>
    <xf numFmtId="1" fontId="33" fillId="8" borderId="0" xfId="5" applyNumberFormat="1" applyFont="1" applyFill="1" applyBorder="1" applyAlignment="1" applyProtection="1">
      <alignment horizontal="right" vertical="center"/>
    </xf>
    <xf numFmtId="1" fontId="33" fillId="4" borderId="0" xfId="34" applyNumberFormat="1" applyFont="1" applyFill="1" applyBorder="1" applyAlignment="1" applyProtection="1">
      <alignment horizontal="right" vertical="center"/>
    </xf>
    <xf numFmtId="1" fontId="33" fillId="4" borderId="82" xfId="34" applyNumberFormat="1" applyFont="1" applyFill="1" applyBorder="1" applyAlignment="1" applyProtection="1">
      <alignment horizontal="right" vertical="center"/>
    </xf>
    <xf numFmtId="1" fontId="33" fillId="0" borderId="79" xfId="5" applyNumberFormat="1" applyFont="1" applyFill="1" applyBorder="1" applyAlignment="1" applyProtection="1">
      <alignment vertical="center"/>
    </xf>
    <xf numFmtId="1" fontId="33" fillId="3" borderId="79" xfId="5" applyNumberFormat="1" applyFont="1" applyFill="1" applyBorder="1" applyAlignment="1" applyProtection="1">
      <alignment horizontal="center" vertical="center"/>
      <protection locked="0"/>
    </xf>
    <xf numFmtId="1" fontId="33" fillId="0" borderId="79" xfId="0" applyNumberFormat="1" applyFont="1" applyBorder="1" applyAlignment="1">
      <alignment horizontal="right" vertical="center"/>
    </xf>
    <xf numFmtId="194" fontId="33" fillId="0" borderId="79" xfId="0" applyNumberFormat="1" applyFont="1" applyBorder="1" applyAlignment="1">
      <alignment horizontal="right" vertical="center"/>
    </xf>
    <xf numFmtId="194" fontId="33" fillId="0" borderId="79" xfId="5" applyNumberFormat="1" applyFont="1" applyFill="1" applyBorder="1" applyAlignment="1" applyProtection="1">
      <alignment horizontal="center" vertical="center"/>
    </xf>
    <xf numFmtId="1" fontId="33" fillId="0" borderId="79" xfId="5" applyNumberFormat="1" applyFont="1" applyFill="1" applyBorder="1" applyAlignment="1" applyProtection="1">
      <alignment horizontal="center" vertical="center"/>
    </xf>
    <xf numFmtId="1" fontId="33" fillId="0" borderId="79" xfId="0" applyNumberFormat="1" applyFont="1" applyBorder="1" applyAlignment="1" applyProtection="1">
      <alignment horizontal="right" vertical="center"/>
    </xf>
    <xf numFmtId="1" fontId="33" fillId="0" borderId="101" xfId="0" applyNumberFormat="1" applyFont="1" applyBorder="1" applyAlignment="1">
      <alignment horizontal="right" vertical="center"/>
    </xf>
    <xf numFmtId="1" fontId="33" fillId="0" borderId="0" xfId="0" applyNumberFormat="1" applyFont="1" applyBorder="1" applyAlignment="1">
      <alignment horizontal="right" vertical="center"/>
    </xf>
    <xf numFmtId="194" fontId="33" fillId="0" borderId="0" xfId="0" applyNumberFormat="1" applyFont="1" applyBorder="1" applyAlignment="1">
      <alignment horizontal="right" vertical="center"/>
    </xf>
    <xf numFmtId="1" fontId="33" fillId="0" borderId="0" xfId="0" applyNumberFormat="1" applyFont="1" applyBorder="1" applyAlignment="1" applyProtection="1">
      <alignment horizontal="right" vertical="center"/>
    </xf>
    <xf numFmtId="1" fontId="33" fillId="0" borderId="90" xfId="0" applyNumberFormat="1" applyFont="1" applyBorder="1" applyAlignment="1">
      <alignment horizontal="right" vertical="center"/>
    </xf>
    <xf numFmtId="1" fontId="33" fillId="0" borderId="0" xfId="0" applyNumberFormat="1" applyFont="1" applyFill="1" applyBorder="1" applyAlignment="1">
      <alignment horizontal="right" vertical="center"/>
    </xf>
    <xf numFmtId="1" fontId="33" fillId="0" borderId="90" xfId="0" applyNumberFormat="1" applyFont="1" applyFill="1" applyBorder="1" applyAlignment="1">
      <alignment horizontal="right" vertical="center"/>
    </xf>
    <xf numFmtId="1" fontId="33" fillId="8" borderId="0" xfId="0" applyNumberFormat="1" applyFont="1" applyFill="1" applyBorder="1" applyAlignment="1">
      <alignment horizontal="right" vertical="center"/>
    </xf>
    <xf numFmtId="194" fontId="33" fillId="8" borderId="11" xfId="0" applyNumberFormat="1" applyFont="1" applyFill="1" applyBorder="1" applyAlignment="1">
      <alignment horizontal="right" vertical="center"/>
    </xf>
    <xf numFmtId="194" fontId="33" fillId="8" borderId="0" xfId="0" applyNumberFormat="1" applyFont="1" applyFill="1" applyBorder="1" applyAlignment="1">
      <alignment horizontal="right" vertical="center"/>
    </xf>
    <xf numFmtId="193" fontId="33" fillId="8" borderId="0" xfId="0" applyNumberFormat="1" applyFont="1" applyFill="1" applyBorder="1" applyAlignment="1">
      <alignment horizontal="right" vertical="center"/>
    </xf>
    <xf numFmtId="0" fontId="0" fillId="0" borderId="0" xfId="0" applyFill="1" applyBorder="1" applyProtection="1">
      <protection locked="0"/>
    </xf>
    <xf numFmtId="177" fontId="62" fillId="0" borderId="0" xfId="34" applyNumberFormat="1" applyFont="1" applyBorder="1" applyAlignment="1" applyProtection="1">
      <alignment vertical="center"/>
      <protection locked="0"/>
    </xf>
    <xf numFmtId="0" fontId="0" fillId="4" borderId="0" xfId="0" applyFill="1" applyBorder="1" applyProtection="1">
      <protection locked="0"/>
    </xf>
    <xf numFmtId="0" fontId="0" fillId="0" borderId="0" xfId="0" applyBorder="1" applyProtection="1">
      <protection locked="0"/>
    </xf>
    <xf numFmtId="1" fontId="33" fillId="0" borderId="82" xfId="0" applyNumberFormat="1" applyFont="1" applyBorder="1" applyAlignment="1">
      <alignment horizontal="right" vertical="center"/>
    </xf>
    <xf numFmtId="1" fontId="33" fillId="0" borderId="102" xfId="5" applyNumberFormat="1" applyFont="1" applyBorder="1" applyAlignment="1" applyProtection="1">
      <alignment horizontal="right" vertical="center"/>
    </xf>
    <xf numFmtId="1" fontId="33" fillId="0" borderId="0" xfId="0" applyNumberFormat="1" applyFont="1" applyFill="1" applyBorder="1" applyAlignment="1" applyProtection="1">
      <alignment horizontal="right" vertical="center"/>
    </xf>
    <xf numFmtId="1" fontId="83" fillId="0" borderId="0" xfId="0" applyNumberFormat="1" applyFont="1" applyFill="1" applyBorder="1" applyAlignment="1" applyProtection="1">
      <alignment vertical="center"/>
    </xf>
    <xf numFmtId="1" fontId="83" fillId="0" borderId="0" xfId="0" applyNumberFormat="1" applyFont="1" applyBorder="1" applyAlignment="1">
      <alignment vertical="center"/>
    </xf>
    <xf numFmtId="2" fontId="33" fillId="0" borderId="0" xfId="0" applyNumberFormat="1" applyFont="1" applyFill="1" applyBorder="1" applyAlignment="1">
      <alignment horizontal="right" vertical="center"/>
    </xf>
    <xf numFmtId="1" fontId="33" fillId="0" borderId="102" xfId="5" applyNumberFormat="1" applyFont="1" applyFill="1" applyBorder="1" applyAlignment="1" applyProtection="1">
      <alignment horizontal="right" vertical="center"/>
    </xf>
    <xf numFmtId="1" fontId="33" fillId="0" borderId="102" xfId="5" applyNumberFormat="1" applyFont="1" applyBorder="1" applyAlignment="1">
      <alignment vertical="center"/>
    </xf>
    <xf numFmtId="0" fontId="0" fillId="0" borderId="0" xfId="0" applyFill="1" applyBorder="1"/>
    <xf numFmtId="1" fontId="33" fillId="0" borderId="0" xfId="4" applyNumberFormat="1" applyFont="1" applyFill="1" applyBorder="1" applyAlignment="1" applyProtection="1">
      <alignment horizontal="right" vertical="center"/>
      <protection locked="0"/>
    </xf>
    <xf numFmtId="1" fontId="33" fillId="0" borderId="0" xfId="34" applyNumberFormat="1" applyFont="1" applyFill="1" applyBorder="1" applyAlignment="1" applyProtection="1">
      <alignment horizontal="right" vertical="center"/>
      <protection locked="0"/>
    </xf>
    <xf numFmtId="1" fontId="33" fillId="0" borderId="12" xfId="4" applyNumberFormat="1" applyFont="1" applyFill="1" applyBorder="1" applyAlignment="1">
      <alignment horizontal="right" vertical="center"/>
    </xf>
    <xf numFmtId="1" fontId="33" fillId="0" borderId="90" xfId="4" applyNumberFormat="1" applyFont="1" applyFill="1" applyBorder="1" applyAlignment="1">
      <alignment horizontal="right" vertical="center"/>
    </xf>
    <xf numFmtId="1" fontId="89" fillId="0" borderId="13" xfId="0" applyNumberFormat="1" applyFont="1" applyBorder="1" applyAlignment="1">
      <alignment horizontal="left" vertical="center"/>
    </xf>
    <xf numFmtId="1" fontId="89" fillId="0" borderId="14" xfId="0" applyNumberFormat="1" applyFont="1" applyBorder="1" applyAlignment="1">
      <alignment horizontal="right" vertical="center"/>
    </xf>
    <xf numFmtId="1" fontId="89" fillId="0" borderId="103" xfId="0" applyNumberFormat="1" applyFont="1" applyBorder="1" applyAlignment="1">
      <alignment horizontal="right" vertical="center"/>
    </xf>
    <xf numFmtId="1" fontId="33" fillId="8" borderId="38" xfId="0" applyNumberFormat="1" applyFont="1" applyFill="1" applyBorder="1" applyAlignment="1">
      <alignment horizontal="right" vertical="center"/>
    </xf>
    <xf numFmtId="1" fontId="33" fillId="0" borderId="38" xfId="34" applyNumberFormat="1" applyFont="1" applyFill="1" applyBorder="1" applyAlignment="1">
      <alignment horizontal="right" vertical="center"/>
    </xf>
    <xf numFmtId="1" fontId="33" fillId="0" borderId="38" xfId="34" applyNumberFormat="1" applyFont="1" applyFill="1" applyBorder="1" applyAlignment="1" applyProtection="1">
      <alignment horizontal="right" vertical="center"/>
    </xf>
    <xf numFmtId="1" fontId="33" fillId="0" borderId="38" xfId="4" applyNumberFormat="1" applyFont="1" applyFill="1" applyBorder="1" applyAlignment="1" applyProtection="1">
      <alignment horizontal="right" vertical="center"/>
    </xf>
    <xf numFmtId="1" fontId="33" fillId="0" borderId="38" xfId="0" applyNumberFormat="1" applyFont="1" applyBorder="1" applyAlignment="1" applyProtection="1">
      <alignment horizontal="right" vertical="center"/>
    </xf>
    <xf numFmtId="194" fontId="33" fillId="8" borderId="38" xfId="0" applyNumberFormat="1" applyFont="1" applyFill="1" applyBorder="1" applyAlignment="1">
      <alignment horizontal="right" vertical="center"/>
    </xf>
    <xf numFmtId="2" fontId="33" fillId="0" borderId="38" xfId="34" applyNumberFormat="1" applyFont="1" applyFill="1" applyBorder="1" applyAlignment="1">
      <alignment horizontal="right" vertical="center"/>
    </xf>
    <xf numFmtId="1" fontId="33" fillId="0" borderId="37" xfId="4" applyNumberFormat="1" applyFont="1" applyFill="1" applyBorder="1" applyAlignment="1" applyProtection="1">
      <alignment horizontal="right" vertical="center"/>
    </xf>
    <xf numFmtId="1" fontId="33" fillId="0" borderId="38" xfId="4" applyNumberFormat="1" applyFont="1" applyFill="1" applyBorder="1" applyAlignment="1">
      <alignment horizontal="right" vertical="center"/>
    </xf>
    <xf numFmtId="1" fontId="33" fillId="0" borderId="39" xfId="4" applyNumberFormat="1" applyFont="1" applyFill="1" applyBorder="1" applyAlignment="1">
      <alignment horizontal="right" vertical="center"/>
    </xf>
    <xf numFmtId="1" fontId="33" fillId="0" borderId="82" xfId="0" applyNumberFormat="1" applyFont="1" applyFill="1" applyBorder="1" applyAlignment="1" applyProtection="1">
      <alignment horizontal="right" vertical="center"/>
    </xf>
    <xf numFmtId="1" fontId="33" fillId="0" borderId="82" xfId="0" applyNumberFormat="1" applyFont="1" applyFill="1" applyBorder="1" applyAlignment="1">
      <alignment horizontal="right" vertical="center"/>
    </xf>
    <xf numFmtId="1" fontId="33" fillId="0" borderId="94" xfId="0" applyNumberFormat="1" applyFont="1" applyFill="1" applyBorder="1" applyAlignment="1">
      <alignment horizontal="right" vertical="center"/>
    </xf>
    <xf numFmtId="177" fontId="54" fillId="0" borderId="58" xfId="1" applyNumberFormat="1" applyFont="1" applyBorder="1" applyAlignment="1">
      <alignment horizontal="right" vertical="center"/>
    </xf>
    <xf numFmtId="177" fontId="54" fillId="0" borderId="87" xfId="1" applyNumberFormat="1" applyFont="1" applyBorder="1" applyAlignment="1">
      <alignment vertical="center"/>
    </xf>
    <xf numFmtId="177" fontId="54" fillId="0" borderId="10" xfId="1" applyNumberFormat="1" applyFont="1" applyBorder="1" applyAlignment="1">
      <alignment horizontal="center" vertical="center"/>
    </xf>
    <xf numFmtId="177" fontId="54" fillId="0" borderId="41" xfId="1" applyNumberFormat="1" applyFont="1" applyBorder="1" applyAlignment="1">
      <alignment horizontal="center" vertical="center"/>
    </xf>
    <xf numFmtId="177" fontId="54" fillId="0" borderId="10" xfId="1" applyNumberFormat="1" applyFont="1" applyBorder="1" applyAlignment="1">
      <alignment horizontal="right" vertical="center"/>
    </xf>
    <xf numFmtId="177" fontId="54" fillId="0" borderId="41" xfId="1" applyNumberFormat="1" applyFont="1" applyBorder="1" applyAlignment="1">
      <alignment vertical="center"/>
    </xf>
    <xf numFmtId="177" fontId="54" fillId="0" borderId="61" xfId="1" applyNumberFormat="1" applyFont="1" applyBorder="1" applyAlignment="1">
      <alignment horizontal="right" vertical="center"/>
    </xf>
    <xf numFmtId="177" fontId="54" fillId="0" borderId="92" xfId="1" applyNumberFormat="1" applyFont="1" applyBorder="1" applyAlignment="1">
      <alignment vertical="center"/>
    </xf>
    <xf numFmtId="0" fontId="114" fillId="24" borderId="1" xfId="0" applyFont="1" applyFill="1" applyBorder="1" applyAlignment="1">
      <alignment horizontal="center" vertical="center"/>
    </xf>
    <xf numFmtId="0" fontId="114" fillId="0" borderId="1" xfId="0" applyFont="1" applyBorder="1" applyAlignment="1">
      <alignment horizontal="center" vertical="top"/>
    </xf>
    <xf numFmtId="0" fontId="114" fillId="0" borderId="1" xfId="0" applyFont="1" applyBorder="1" applyAlignment="1">
      <alignment horizontal="center"/>
    </xf>
    <xf numFmtId="2" fontId="114" fillId="0" borderId="1" xfId="0" applyNumberFormat="1" applyFont="1" applyBorder="1" applyAlignment="1">
      <alignment horizontal="center" vertical="center"/>
    </xf>
    <xf numFmtId="0" fontId="114" fillId="24" borderId="1" xfId="0" applyFont="1" applyFill="1" applyBorder="1" applyAlignment="1">
      <alignment horizontal="center" vertical="top"/>
    </xf>
    <xf numFmtId="0" fontId="114" fillId="24" borderId="1" xfId="0" applyFont="1" applyFill="1" applyBorder="1" applyAlignment="1">
      <alignment horizontal="center"/>
    </xf>
    <xf numFmtId="2" fontId="114" fillId="24" borderId="1" xfId="0" applyNumberFormat="1" applyFont="1" applyFill="1" applyBorder="1" applyAlignment="1">
      <alignment horizontal="center" vertical="center"/>
    </xf>
    <xf numFmtId="0" fontId="114" fillId="0" borderId="1" xfId="0" applyFont="1" applyBorder="1" applyAlignment="1">
      <alignment horizontal="center" vertical="center"/>
    </xf>
    <xf numFmtId="2" fontId="114" fillId="0" borderId="1" xfId="0" applyNumberFormat="1" applyFont="1" applyBorder="1" applyAlignment="1">
      <alignment horizontal="center"/>
    </xf>
    <xf numFmtId="1" fontId="114" fillId="0" borderId="1" xfId="0" applyNumberFormat="1" applyFont="1" applyBorder="1" applyAlignment="1"/>
    <xf numFmtId="2" fontId="114" fillId="24" borderId="1" xfId="0" applyNumberFormat="1" applyFont="1" applyFill="1" applyBorder="1" applyAlignment="1">
      <alignment horizontal="center"/>
    </xf>
    <xf numFmtId="1" fontId="114" fillId="24" borderId="1" xfId="0" applyNumberFormat="1" applyFont="1" applyFill="1" applyBorder="1" applyAlignment="1"/>
    <xf numFmtId="0" fontId="114" fillId="24" borderId="1" xfId="0" applyFont="1" applyFill="1" applyBorder="1" applyAlignment="1">
      <alignment horizontal="right"/>
    </xf>
    <xf numFmtId="0" fontId="114" fillId="0" borderId="1" xfId="0" applyFont="1" applyBorder="1" applyAlignment="1">
      <alignment horizontal="right"/>
    </xf>
    <xf numFmtId="0" fontId="114" fillId="24" borderId="1" xfId="0" applyFont="1" applyFill="1" applyBorder="1" applyAlignment="1"/>
    <xf numFmtId="0" fontId="114" fillId="0" borderId="1" xfId="0" applyFont="1" applyBorder="1" applyAlignment="1"/>
    <xf numFmtId="182" fontId="114" fillId="0" borderId="1" xfId="0" applyNumberFormat="1" applyFont="1" applyBorder="1" applyAlignment="1">
      <alignment horizontal="right"/>
    </xf>
    <xf numFmtId="182" fontId="115" fillId="18" borderId="0" xfId="0" applyNumberFormat="1" applyFont="1" applyFill="1" applyBorder="1" applyAlignment="1">
      <alignment horizontal="center"/>
    </xf>
    <xf numFmtId="0" fontId="37" fillId="19" borderId="11" xfId="30" applyFont="1" applyFill="1" applyBorder="1" applyAlignment="1">
      <alignment horizontal="left"/>
    </xf>
    <xf numFmtId="0" fontId="37" fillId="18" borderId="11" xfId="30" applyFont="1" applyFill="1" applyBorder="1" applyAlignment="1">
      <alignment horizontal="left"/>
    </xf>
    <xf numFmtId="0" fontId="89" fillId="0" borderId="0" xfId="29" applyFont="1" applyAlignment="1">
      <alignment horizontal="left"/>
    </xf>
    <xf numFmtId="194" fontId="89" fillId="18" borderId="73" xfId="30" applyNumberFormat="1" applyFont="1" applyFill="1" applyBorder="1" applyAlignment="1">
      <alignment horizontal="left"/>
    </xf>
    <xf numFmtId="0" fontId="37" fillId="0" borderId="14" xfId="29" applyBorder="1"/>
    <xf numFmtId="0" fontId="37" fillId="0" borderId="15" xfId="29" applyBorder="1"/>
    <xf numFmtId="0" fontId="88" fillId="0" borderId="0" xfId="29" applyFont="1" applyBorder="1" applyAlignment="1">
      <alignment horizontal="left" vertical="center"/>
    </xf>
    <xf numFmtId="1" fontId="33" fillId="0" borderId="103" xfId="4" applyNumberFormat="1" applyFont="1" applyBorder="1" applyAlignment="1">
      <alignment horizontal="right" vertical="center" wrapText="1"/>
    </xf>
    <xf numFmtId="1" fontId="0" fillId="0" borderId="0" xfId="0" applyNumberFormat="1"/>
    <xf numFmtId="1" fontId="0" fillId="0" borderId="82" xfId="0" applyNumberFormat="1" applyFill="1" applyBorder="1"/>
    <xf numFmtId="1" fontId="116" fillId="4" borderId="102" xfId="34" applyNumberFormat="1" applyFont="1" applyFill="1" applyBorder="1" applyAlignment="1" applyProtection="1">
      <alignment horizontal="right" vertical="center"/>
    </xf>
    <xf numFmtId="1" fontId="116" fillId="0" borderId="90" xfId="0" applyNumberFormat="1" applyFont="1" applyBorder="1" applyAlignment="1">
      <alignment horizontal="right" vertical="center"/>
    </xf>
    <xf numFmtId="0" fontId="88" fillId="0" borderId="0" xfId="35" applyFont="1"/>
    <xf numFmtId="177" fontId="88" fillId="0" borderId="0" xfId="36" applyNumberFormat="1" applyFont="1" applyAlignment="1">
      <alignment vertical="center"/>
    </xf>
    <xf numFmtId="0" fontId="88" fillId="0" borderId="0" xfId="35" applyFont="1" applyAlignment="1">
      <alignment horizontal="center"/>
    </xf>
    <xf numFmtId="177" fontId="88" fillId="0" borderId="1" xfId="1" applyNumberFormat="1" applyFont="1" applyBorder="1" applyAlignment="1" applyProtection="1">
      <alignment vertical="center"/>
    </xf>
    <xf numFmtId="178" fontId="88" fillId="3" borderId="1" xfId="1" applyNumberFormat="1" applyFont="1" applyFill="1" applyBorder="1" applyAlignment="1" applyProtection="1">
      <alignment vertical="center"/>
    </xf>
    <xf numFmtId="177" fontId="88" fillId="4" borderId="1" xfId="1" applyNumberFormat="1" applyFont="1" applyFill="1" applyBorder="1" applyAlignment="1" applyProtection="1">
      <alignment vertical="center"/>
    </xf>
    <xf numFmtId="0" fontId="88" fillId="0" borderId="27" xfId="0" applyFont="1" applyBorder="1" applyProtection="1"/>
    <xf numFmtId="177" fontId="62" fillId="0" borderId="1" xfId="1" applyNumberFormat="1" applyFont="1" applyFill="1" applyBorder="1" applyAlignment="1" applyProtection="1">
      <alignment vertical="center"/>
    </xf>
    <xf numFmtId="178" fontId="62" fillId="3" borderId="1" xfId="1" applyNumberFormat="1" applyFont="1" applyFill="1" applyBorder="1" applyAlignment="1" applyProtection="1">
      <alignment vertical="center"/>
    </xf>
    <xf numFmtId="177" fontId="62" fillId="3" borderId="1" xfId="1" applyNumberFormat="1" applyFont="1" applyFill="1" applyBorder="1" applyAlignment="1" applyProtection="1">
      <alignment vertical="center"/>
    </xf>
    <xf numFmtId="177" fontId="88" fillId="0" borderId="1" xfId="1" applyNumberFormat="1" applyFont="1" applyFill="1" applyBorder="1" applyAlignment="1" applyProtection="1">
      <alignment vertical="center"/>
    </xf>
    <xf numFmtId="177" fontId="88" fillId="0" borderId="31" xfId="1" applyNumberFormat="1" applyFont="1" applyFill="1" applyBorder="1" applyAlignment="1" applyProtection="1">
      <alignment vertical="center"/>
    </xf>
    <xf numFmtId="177" fontId="62" fillId="4" borderId="31" xfId="1" applyNumberFormat="1" applyFont="1" applyFill="1" applyBorder="1" applyAlignment="1" applyProtection="1">
      <alignment vertical="center"/>
    </xf>
    <xf numFmtId="177" fontId="88" fillId="3" borderId="31" xfId="1" applyNumberFormat="1" applyFont="1" applyFill="1" applyBorder="1" applyAlignment="1" applyProtection="1">
      <alignment vertical="center"/>
    </xf>
    <xf numFmtId="0" fontId="88" fillId="0" borderId="33" xfId="1" applyNumberFormat="1" applyFont="1" applyBorder="1" applyAlignment="1">
      <alignment horizontal="left" vertical="center"/>
    </xf>
    <xf numFmtId="177" fontId="88" fillId="0" borderId="4" xfId="1" applyNumberFormat="1" applyFont="1" applyBorder="1" applyAlignment="1">
      <alignment vertical="center"/>
    </xf>
    <xf numFmtId="177" fontId="88" fillId="3" borderId="4" xfId="1" applyNumberFormat="1" applyFont="1" applyFill="1" applyBorder="1" applyAlignment="1" applyProtection="1">
      <alignment vertical="center"/>
    </xf>
    <xf numFmtId="177" fontId="88" fillId="0" borderId="4" xfId="1" applyNumberFormat="1" applyFont="1" applyBorder="1" applyAlignment="1" applyProtection="1">
      <alignment vertical="center"/>
    </xf>
    <xf numFmtId="178" fontId="88" fillId="3" borderId="4" xfId="1" applyNumberFormat="1" applyFont="1" applyFill="1" applyBorder="1" applyAlignment="1" applyProtection="1">
      <alignment vertical="center"/>
    </xf>
    <xf numFmtId="177" fontId="88" fillId="4" borderId="4" xfId="1" applyNumberFormat="1" applyFont="1" applyFill="1" applyBorder="1" applyAlignment="1" applyProtection="1">
      <alignment vertical="center"/>
    </xf>
    <xf numFmtId="0" fontId="88" fillId="0" borderId="59" xfId="0" applyFont="1" applyBorder="1" applyProtection="1"/>
    <xf numFmtId="177" fontId="106" fillId="0" borderId="106" xfId="1" applyNumberFormat="1" applyFont="1" applyBorder="1" applyAlignment="1">
      <alignment vertical="center"/>
    </xf>
    <xf numFmtId="177" fontId="106" fillId="0" borderId="106" xfId="1" applyNumberFormat="1" applyFont="1" applyBorder="1" applyAlignment="1" applyProtection="1">
      <alignment vertical="center"/>
    </xf>
    <xf numFmtId="178" fontId="106" fillId="0" borderId="106" xfId="1" applyNumberFormat="1" applyFont="1" applyBorder="1" applyAlignment="1" applyProtection="1">
      <alignment vertical="center"/>
    </xf>
    <xf numFmtId="177" fontId="106" fillId="0" borderId="106" xfId="1" applyNumberFormat="1" applyFont="1" applyFill="1" applyBorder="1" applyAlignment="1" applyProtection="1">
      <alignment vertical="center"/>
    </xf>
    <xf numFmtId="177" fontId="106" fillId="0" borderId="106" xfId="1" applyNumberFormat="1" applyFont="1" applyFill="1" applyBorder="1" applyAlignment="1" applyProtection="1">
      <alignment vertical="center" wrapText="1"/>
    </xf>
    <xf numFmtId="0" fontId="106" fillId="0" borderId="106" xfId="0" applyFont="1" applyBorder="1" applyAlignment="1" applyProtection="1">
      <alignment vertical="center"/>
    </xf>
    <xf numFmtId="0" fontId="106" fillId="0" borderId="0" xfId="35" applyFont="1"/>
    <xf numFmtId="0" fontId="88" fillId="0" borderId="0" xfId="35" applyFont="1" applyAlignment="1">
      <alignment horizontal="left"/>
    </xf>
    <xf numFmtId="177" fontId="106" fillId="0" borderId="106" xfId="1" applyNumberFormat="1" applyFont="1" applyBorder="1" applyAlignment="1">
      <alignment horizontal="left" vertical="center"/>
    </xf>
    <xf numFmtId="177" fontId="88" fillId="0" borderId="0" xfId="36" applyNumberFormat="1" applyFont="1" applyAlignment="1">
      <alignment horizontal="left" vertical="center"/>
    </xf>
    <xf numFmtId="178" fontId="117" fillId="0" borderId="1" xfId="1" applyNumberFormat="1" applyFont="1" applyBorder="1" applyAlignment="1">
      <alignment vertical="center"/>
    </xf>
    <xf numFmtId="177" fontId="117" fillId="0" borderId="1" xfId="1" applyNumberFormat="1" applyFont="1" applyBorder="1" applyAlignment="1">
      <alignment vertical="center"/>
    </xf>
    <xf numFmtId="177" fontId="91" fillId="0" borderId="26" xfId="1" applyNumberFormat="1" applyFont="1" applyBorder="1" applyAlignment="1">
      <alignment vertical="center"/>
    </xf>
    <xf numFmtId="1" fontId="117" fillId="0" borderId="45" xfId="1" applyNumberFormat="1" applyFont="1" applyBorder="1" applyAlignment="1">
      <alignment vertical="center"/>
    </xf>
    <xf numFmtId="1" fontId="117" fillId="0" borderId="0" xfId="1" applyNumberFormat="1" applyFont="1" applyAlignment="1">
      <alignment vertical="center"/>
    </xf>
    <xf numFmtId="177" fontId="58" fillId="0" borderId="14" xfId="1" applyNumberFormat="1" applyFont="1" applyBorder="1" applyAlignment="1">
      <alignment horizontal="center" vertical="center"/>
    </xf>
    <xf numFmtId="177" fontId="54" fillId="0" borderId="35" xfId="1" applyNumberFormat="1" applyFont="1" applyBorder="1" applyAlignment="1">
      <alignment horizontal="left" vertical="center"/>
    </xf>
    <xf numFmtId="1" fontId="117" fillId="0" borderId="55" xfId="1" applyNumberFormat="1" applyFont="1" applyBorder="1" applyAlignment="1">
      <alignment vertical="center"/>
    </xf>
    <xf numFmtId="177" fontId="54" fillId="0" borderId="55" xfId="1" applyNumberFormat="1" applyFont="1" applyBorder="1" applyAlignment="1">
      <alignment vertical="center"/>
    </xf>
    <xf numFmtId="178" fontId="117" fillId="0" borderId="42" xfId="1" applyNumberFormat="1" applyFont="1" applyBorder="1" applyAlignment="1">
      <alignment vertical="center"/>
    </xf>
    <xf numFmtId="177" fontId="117" fillId="0" borderId="42" xfId="1" applyNumberFormat="1" applyFont="1" applyBorder="1" applyAlignment="1">
      <alignment vertical="center"/>
    </xf>
    <xf numFmtId="177" fontId="54" fillId="0" borderId="42" xfId="1" applyNumberFormat="1" applyFont="1" applyBorder="1" applyAlignment="1">
      <alignment horizontal="right" vertical="center"/>
    </xf>
    <xf numFmtId="177" fontId="54" fillId="0" borderId="54" xfId="1" applyNumberFormat="1" applyFont="1" applyBorder="1" applyAlignment="1">
      <alignment horizontal="right" vertical="center"/>
    </xf>
    <xf numFmtId="177" fontId="58" fillId="0" borderId="35" xfId="1" applyNumberFormat="1" applyFont="1" applyBorder="1" applyAlignment="1">
      <alignment horizontal="center" vertical="center"/>
    </xf>
    <xf numFmtId="177" fontId="58" fillId="0" borderId="61" xfId="1" applyNumberFormat="1" applyFont="1" applyBorder="1" applyAlignment="1">
      <alignment horizontal="center" vertical="center"/>
    </xf>
    <xf numFmtId="177" fontId="54" fillId="0" borderId="6" xfId="1" applyNumberFormat="1" applyFont="1" applyBorder="1" applyAlignment="1">
      <alignment horizontal="right" vertical="center"/>
    </xf>
    <xf numFmtId="177" fontId="54" fillId="0" borderId="42" xfId="1" applyNumberFormat="1" applyFont="1" applyBorder="1" applyAlignment="1">
      <alignment horizontal="left" vertical="center"/>
    </xf>
    <xf numFmtId="177" fontId="54" fillId="0" borderId="43" xfId="1" applyNumberFormat="1" applyFont="1" applyBorder="1" applyAlignment="1">
      <alignment horizontal="center" vertical="center"/>
    </xf>
    <xf numFmtId="177" fontId="54" fillId="0" borderId="1" xfId="1" applyNumberFormat="1" applyFont="1" applyBorder="1" applyAlignment="1">
      <alignment horizontal="center" vertical="center"/>
    </xf>
    <xf numFmtId="177" fontId="54" fillId="0" borderId="6" xfId="1" applyNumberFormat="1" applyFont="1" applyBorder="1" applyAlignment="1">
      <alignment vertical="center"/>
    </xf>
    <xf numFmtId="177" fontId="54" fillId="0" borderId="108" xfId="1" applyNumberFormat="1" applyFont="1" applyBorder="1" applyAlignment="1">
      <alignment vertical="center"/>
    </xf>
    <xf numFmtId="177" fontId="54" fillId="0" borderId="109" xfId="1" applyNumberFormat="1" applyFont="1" applyBorder="1" applyAlignment="1">
      <alignment vertical="center"/>
    </xf>
    <xf numFmtId="177" fontId="54" fillId="0" borderId="110" xfId="1" applyNumberFormat="1" applyFont="1" applyFill="1" applyBorder="1" applyAlignment="1">
      <alignment vertical="center"/>
    </xf>
    <xf numFmtId="177" fontId="54" fillId="0" borderId="111" xfId="1" applyNumberFormat="1" applyFont="1" applyFill="1" applyBorder="1" applyAlignment="1">
      <alignment vertical="center"/>
    </xf>
    <xf numFmtId="178" fontId="54" fillId="0" borderId="46" xfId="1" applyNumberFormat="1" applyFont="1" applyBorder="1" applyAlignment="1">
      <alignment vertical="center"/>
    </xf>
    <xf numFmtId="178" fontId="117" fillId="0" borderId="2" xfId="1" applyNumberFormat="1" applyFont="1" applyBorder="1" applyAlignment="1">
      <alignment vertical="center"/>
    </xf>
    <xf numFmtId="178" fontId="117" fillId="0" borderId="6" xfId="1" applyNumberFormat="1" applyFont="1" applyBorder="1" applyAlignment="1">
      <alignment vertical="center"/>
    </xf>
    <xf numFmtId="177" fontId="54" fillId="0" borderId="112" xfId="1" applyNumberFormat="1" applyFont="1" applyBorder="1" applyAlignment="1">
      <alignment vertical="center"/>
    </xf>
    <xf numFmtId="177" fontId="54" fillId="0" borderId="113" xfId="1" applyNumberFormat="1" applyFont="1" applyBorder="1" applyAlignment="1">
      <alignment vertical="center"/>
    </xf>
    <xf numFmtId="177" fontId="54" fillId="0" borderId="113" xfId="1" applyNumberFormat="1" applyFont="1" applyBorder="1" applyAlignment="1">
      <alignment horizontal="right" vertical="center"/>
    </xf>
    <xf numFmtId="177" fontId="54" fillId="0" borderId="114" xfId="1" applyNumberFormat="1" applyFont="1" applyBorder="1" applyAlignment="1">
      <alignment horizontal="right" vertical="center"/>
    </xf>
    <xf numFmtId="0" fontId="89" fillId="18" borderId="11" xfId="29" applyFont="1" applyFill="1" applyBorder="1" applyAlignment="1">
      <alignment horizontal="left" vertical="center"/>
    </xf>
    <xf numFmtId="0" fontId="89" fillId="18" borderId="13" xfId="29" applyFont="1" applyFill="1" applyBorder="1" applyAlignment="1">
      <alignment horizontal="left" vertical="center"/>
    </xf>
    <xf numFmtId="0" fontId="33" fillId="0" borderId="14" xfId="29" applyFont="1" applyBorder="1" applyAlignment="1">
      <alignment vertical="center"/>
    </xf>
    <xf numFmtId="0" fontId="33" fillId="0" borderId="0" xfId="29" applyFont="1" applyBorder="1" applyAlignment="1">
      <alignment vertical="center"/>
    </xf>
    <xf numFmtId="0" fontId="33" fillId="0" borderId="0" xfId="30" applyFont="1" applyBorder="1" applyAlignment="1">
      <alignment vertical="center"/>
    </xf>
    <xf numFmtId="182" fontId="89" fillId="18" borderId="38" xfId="30" applyNumberFormat="1" applyFont="1" applyFill="1" applyBorder="1" applyAlignment="1">
      <alignment vertical="center"/>
    </xf>
    <xf numFmtId="0" fontId="33" fillId="0" borderId="0" xfId="30" quotePrefix="1" applyFont="1" applyBorder="1" applyAlignment="1"/>
    <xf numFmtId="0" fontId="33" fillId="0" borderId="0" xfId="30" applyFont="1" applyBorder="1" applyAlignment="1"/>
    <xf numFmtId="0" fontId="33" fillId="0" borderId="0" xfId="30" applyFont="1" applyBorder="1" applyAlignment="1">
      <alignment horizontal="left" vertical="center"/>
    </xf>
    <xf numFmtId="0" fontId="33" fillId="0" borderId="0" xfId="29" applyFont="1" applyBorder="1" applyAlignment="1">
      <alignment horizontal="left" vertical="center"/>
    </xf>
    <xf numFmtId="182" fontId="33" fillId="9" borderId="38" xfId="30" applyNumberFormat="1" applyFont="1" applyFill="1" applyBorder="1" applyAlignment="1">
      <alignment vertical="center"/>
    </xf>
    <xf numFmtId="0" fontId="33" fillId="0" borderId="0" xfId="29" applyFont="1" applyBorder="1"/>
    <xf numFmtId="0" fontId="37" fillId="0" borderId="0" xfId="29" applyBorder="1" applyAlignment="1">
      <alignment horizontal="center" vertical="center" wrapText="1"/>
    </xf>
    <xf numFmtId="0" fontId="37" fillId="0" borderId="12" xfId="29" applyBorder="1" applyAlignment="1">
      <alignment horizontal="center" vertical="center" wrapText="1"/>
    </xf>
    <xf numFmtId="0" fontId="89" fillId="18" borderId="25" xfId="29" applyFont="1" applyFill="1" applyBorder="1" applyAlignment="1">
      <alignment horizontal="left" vertical="center"/>
    </xf>
    <xf numFmtId="0" fontId="93" fillId="18" borderId="16" xfId="29" applyFont="1" applyFill="1" applyBorder="1" applyAlignment="1">
      <alignment horizontal="center" vertical="center"/>
    </xf>
    <xf numFmtId="177" fontId="53" fillId="0" borderId="38" xfId="0" applyNumberFormat="1" applyFont="1" applyBorder="1" applyAlignment="1" applyProtection="1">
      <alignment vertical="center"/>
    </xf>
    <xf numFmtId="0" fontId="33" fillId="0" borderId="16" xfId="29" applyFont="1" applyBorder="1" applyAlignment="1">
      <alignment vertical="center"/>
    </xf>
    <xf numFmtId="0" fontId="33" fillId="0" borderId="16" xfId="29" applyFont="1" applyBorder="1" applyAlignment="1">
      <alignment horizontal="left" vertical="center"/>
    </xf>
    <xf numFmtId="0" fontId="33" fillId="0" borderId="14" xfId="29" applyFont="1" applyBorder="1" applyAlignment="1">
      <alignment horizontal="left" vertical="center"/>
    </xf>
    <xf numFmtId="0" fontId="33" fillId="0" borderId="0" xfId="29" applyFont="1" applyBorder="1" applyAlignment="1">
      <alignment horizontal="center" vertical="center" wrapText="1"/>
    </xf>
    <xf numFmtId="194" fontId="34" fillId="0" borderId="0" xfId="0" applyNumberFormat="1" applyFont="1"/>
    <xf numFmtId="194" fontId="34" fillId="0" borderId="1" xfId="0" applyNumberFormat="1" applyFont="1" applyBorder="1"/>
    <xf numFmtId="194" fontId="34" fillId="4" borderId="1" xfId="0" applyNumberFormat="1" applyFont="1" applyFill="1" applyBorder="1"/>
    <xf numFmtId="194" fontId="34" fillId="0" borderId="0" xfId="0" applyNumberFormat="1" applyFont="1" applyBorder="1" applyAlignment="1">
      <alignment horizontal="right"/>
    </xf>
    <xf numFmtId="2" fontId="34" fillId="0" borderId="0" xfId="0" applyNumberFormat="1" applyFont="1" applyFill="1" applyBorder="1"/>
    <xf numFmtId="0" fontId="33" fillId="0" borderId="0" xfId="29" applyFont="1"/>
    <xf numFmtId="194" fontId="33" fillId="0" borderId="0" xfId="0" applyNumberFormat="1" applyFont="1" applyFill="1" applyBorder="1" applyAlignment="1">
      <alignment horizontal="right" vertical="center"/>
    </xf>
    <xf numFmtId="182" fontId="33" fillId="0" borderId="0" xfId="4" applyNumberFormat="1" applyFont="1" applyFill="1" applyBorder="1" applyAlignment="1">
      <alignment horizontal="right" vertical="center" wrapText="1"/>
    </xf>
    <xf numFmtId="182" fontId="33" fillId="0" borderId="38" xfId="34" applyNumberFormat="1" applyFont="1" applyFill="1" applyBorder="1" applyAlignment="1" applyProtection="1">
      <alignment horizontal="right" vertical="center"/>
    </xf>
    <xf numFmtId="182" fontId="33" fillId="0" borderId="0" xfId="34" applyNumberFormat="1" applyFont="1" applyFill="1" applyBorder="1" applyAlignment="1" applyProtection="1">
      <alignment horizontal="right" vertical="center"/>
    </xf>
    <xf numFmtId="0" fontId="64" fillId="0" borderId="56" xfId="0" applyFont="1" applyBorder="1"/>
    <xf numFmtId="2" fontId="34" fillId="0" borderId="41" xfId="0" applyNumberFormat="1" applyFont="1" applyBorder="1"/>
    <xf numFmtId="1" fontId="34" fillId="0" borderId="45" xfId="0" applyNumberFormat="1" applyFont="1" applyBorder="1"/>
    <xf numFmtId="0" fontId="34" fillId="0" borderId="16" xfId="0" applyFont="1" applyBorder="1" applyAlignment="1">
      <alignment horizontal="right"/>
    </xf>
    <xf numFmtId="1" fontId="34" fillId="0" borderId="16" xfId="0" applyNumberFormat="1" applyFont="1" applyBorder="1"/>
    <xf numFmtId="0" fontId="34" fillId="0" borderId="16" xfId="0" applyFont="1" applyBorder="1"/>
    <xf numFmtId="0" fontId="34" fillId="3" borderId="0" xfId="0" applyFont="1" applyFill="1" applyBorder="1" applyProtection="1">
      <protection locked="0"/>
    </xf>
    <xf numFmtId="177" fontId="102" fillId="0" borderId="0" xfId="0" applyNumberFormat="1" applyFont="1" applyFill="1" applyBorder="1"/>
    <xf numFmtId="177" fontId="102" fillId="0" borderId="0" xfId="0" applyNumberFormat="1" applyFont="1" applyFill="1" applyBorder="1" applyProtection="1"/>
    <xf numFmtId="0" fontId="34" fillId="0" borderId="21" xfId="0" applyFont="1" applyBorder="1"/>
    <xf numFmtId="0" fontId="52" fillId="0" borderId="0" xfId="0" applyFont="1" applyAlignment="1">
      <alignment horizontal="right"/>
    </xf>
    <xf numFmtId="1" fontId="34" fillId="0" borderId="9" xfId="0" applyNumberFormat="1" applyFont="1" applyBorder="1"/>
    <xf numFmtId="1" fontId="34" fillId="7" borderId="0" xfId="0" applyNumberFormat="1" applyFont="1" applyFill="1" applyBorder="1"/>
    <xf numFmtId="177" fontId="68" fillId="0" borderId="11" xfId="1" applyNumberFormat="1" applyFont="1" applyBorder="1" applyAlignment="1" applyProtection="1">
      <alignment horizontal="center" vertical="center"/>
    </xf>
    <xf numFmtId="1" fontId="64" fillId="0" borderId="0" xfId="17" applyNumberFormat="1" applyFont="1" applyFill="1" applyBorder="1" applyAlignment="1" applyProtection="1">
      <alignment horizontal="right" vertical="center"/>
    </xf>
    <xf numFmtId="194" fontId="34" fillId="0" borderId="27" xfId="0" applyNumberFormat="1" applyFont="1" applyBorder="1"/>
    <xf numFmtId="0" fontId="33" fillId="20" borderId="25" xfId="30" applyFont="1" applyFill="1" applyBorder="1" applyAlignment="1">
      <alignment horizontal="left" vertical="center"/>
    </xf>
    <xf numFmtId="0" fontId="33" fillId="20" borderId="13" xfId="30" applyFont="1" applyFill="1" applyBorder="1" applyAlignment="1">
      <alignment horizontal="left" vertical="center"/>
    </xf>
    <xf numFmtId="182" fontId="33" fillId="0" borderId="16" xfId="30" applyNumberFormat="1" applyFont="1" applyFill="1" applyBorder="1" applyAlignment="1">
      <alignment horizontal="left" vertical="center"/>
    </xf>
    <xf numFmtId="182" fontId="33" fillId="0" borderId="14" xfId="30" applyNumberFormat="1" applyFont="1" applyFill="1" applyBorder="1" applyAlignment="1">
      <alignment horizontal="left" vertical="center"/>
    </xf>
    <xf numFmtId="177" fontId="68" fillId="10" borderId="11" xfId="1" applyNumberFormat="1" applyFont="1" applyFill="1" applyBorder="1" applyAlignment="1" applyProtection="1">
      <alignment vertical="center"/>
      <protection locked="0"/>
    </xf>
    <xf numFmtId="177" fontId="68" fillId="10" borderId="12" xfId="1" applyNumberFormat="1" applyFont="1" applyFill="1" applyBorder="1" applyAlignment="1" applyProtection="1">
      <alignment vertical="center"/>
      <protection locked="0"/>
    </xf>
    <xf numFmtId="1" fontId="64" fillId="0" borderId="0" xfId="17" applyNumberFormat="1" applyFont="1" applyFill="1" applyBorder="1" applyAlignment="1" applyProtection="1">
      <alignment horizontal="left" vertical="center"/>
    </xf>
    <xf numFmtId="1" fontId="99" fillId="19" borderId="38" xfId="29" applyNumberFormat="1" applyFont="1" applyFill="1" applyBorder="1" applyAlignment="1">
      <alignment horizontal="right" vertical="center"/>
    </xf>
    <xf numFmtId="2" fontId="34" fillId="0" borderId="7" xfId="0" applyNumberFormat="1" applyFont="1" applyBorder="1"/>
    <xf numFmtId="194" fontId="34" fillId="4" borderId="46" xfId="0" applyNumberFormat="1" applyFont="1" applyFill="1" applyBorder="1"/>
    <xf numFmtId="1" fontId="34" fillId="4" borderId="2" xfId="0" applyNumberFormat="1" applyFont="1" applyFill="1" applyBorder="1"/>
    <xf numFmtId="1" fontId="34" fillId="4" borderId="4" xfId="0" applyNumberFormat="1" applyFont="1" applyFill="1" applyBorder="1"/>
    <xf numFmtId="0" fontId="34" fillId="0" borderId="21" xfId="19" applyFont="1" applyBorder="1" applyAlignment="1">
      <alignment horizontal="right"/>
    </xf>
    <xf numFmtId="1" fontId="34" fillId="0" borderId="22" xfId="19" applyNumberFormat="1" applyFont="1" applyBorder="1"/>
    <xf numFmtId="1" fontId="34" fillId="0" borderId="67" xfId="19" applyNumberFormat="1" applyFont="1" applyBorder="1"/>
    <xf numFmtId="194" fontId="34" fillId="3" borderId="0" xfId="0" applyNumberFormat="1" applyFont="1" applyFill="1" applyBorder="1" applyProtection="1">
      <protection locked="0"/>
    </xf>
    <xf numFmtId="194" fontId="34" fillId="4" borderId="0" xfId="0" applyNumberFormat="1" applyFont="1" applyFill="1" applyBorder="1"/>
    <xf numFmtId="194" fontId="34" fillId="0" borderId="0" xfId="0" applyNumberFormat="1" applyFont="1" applyBorder="1" applyAlignment="1"/>
    <xf numFmtId="177" fontId="53" fillId="4" borderId="57" xfId="0" applyNumberFormat="1" applyFont="1" applyFill="1" applyBorder="1" applyAlignment="1" applyProtection="1">
      <alignment vertical="center"/>
    </xf>
    <xf numFmtId="194" fontId="34" fillId="0" borderId="1" xfId="0" applyNumberFormat="1" applyFont="1" applyFill="1" applyBorder="1"/>
    <xf numFmtId="0" fontId="34" fillId="0" borderId="43" xfId="0" applyFont="1" applyBorder="1" applyAlignment="1"/>
    <xf numFmtId="1" fontId="34" fillId="0" borderId="43" xfId="0" applyNumberFormat="1" applyFont="1" applyBorder="1"/>
    <xf numFmtId="0" fontId="34" fillId="0" borderId="26" xfId="0" applyFont="1" applyBorder="1" applyAlignment="1">
      <alignment horizontal="right"/>
    </xf>
    <xf numFmtId="1" fontId="34" fillId="0" borderId="28" xfId="0" applyNumberFormat="1" applyFont="1" applyBorder="1"/>
    <xf numFmtId="177" fontId="54" fillId="0" borderId="39" xfId="1" applyNumberFormat="1" applyFont="1" applyBorder="1" applyAlignment="1">
      <alignment horizontal="right" vertical="center"/>
    </xf>
    <xf numFmtId="177" fontId="58" fillId="0" borderId="92" xfId="1" applyNumberFormat="1" applyFont="1" applyBorder="1" applyAlignment="1">
      <alignment horizontal="center" vertical="center"/>
    </xf>
    <xf numFmtId="177" fontId="54" fillId="0" borderId="7" xfId="1" applyNumberFormat="1" applyFont="1" applyBorder="1" applyAlignment="1">
      <alignment horizontal="center" vertical="center"/>
    </xf>
    <xf numFmtId="177" fontId="54" fillId="0" borderId="48" xfId="1" applyNumberFormat="1" applyFont="1" applyBorder="1" applyAlignment="1">
      <alignment horizontal="center" vertical="center"/>
    </xf>
    <xf numFmtId="177" fontId="54" fillId="0" borderId="46" xfId="1" applyNumberFormat="1" applyFont="1" applyBorder="1" applyAlignment="1">
      <alignment horizontal="right" vertical="center"/>
    </xf>
    <xf numFmtId="177" fontId="58" fillId="0" borderId="34" xfId="1" applyNumberFormat="1" applyFont="1" applyBorder="1" applyAlignment="1">
      <alignment horizontal="center" vertical="center"/>
    </xf>
    <xf numFmtId="194" fontId="34" fillId="0" borderId="0" xfId="0" applyNumberFormat="1" applyFont="1" applyAlignment="1">
      <alignment horizontal="right"/>
    </xf>
    <xf numFmtId="1" fontId="34" fillId="0" borderId="68" xfId="19" quotePrefix="1" applyNumberFormat="1" applyFont="1" applyFill="1" applyBorder="1"/>
    <xf numFmtId="177" fontId="50" fillId="0" borderId="49" xfId="1" applyNumberFormat="1" applyFont="1" applyBorder="1" applyAlignment="1">
      <alignment horizontal="right" vertical="center"/>
    </xf>
    <xf numFmtId="177" fontId="50" fillId="3" borderId="50" xfId="1" applyNumberFormat="1" applyFont="1" applyFill="1" applyBorder="1" applyAlignment="1" applyProtection="1">
      <alignment vertical="center"/>
      <protection locked="0"/>
    </xf>
    <xf numFmtId="177" fontId="50" fillId="0" borderId="51" xfId="1" applyNumberFormat="1" applyFont="1" applyBorder="1" applyAlignment="1">
      <alignment horizontal="right" vertical="center"/>
    </xf>
    <xf numFmtId="177" fontId="50" fillId="3" borderId="53" xfId="1" applyNumberFormat="1" applyFont="1" applyFill="1" applyBorder="1" applyAlignment="1" applyProtection="1">
      <alignment vertical="center"/>
      <protection locked="0"/>
    </xf>
    <xf numFmtId="177" fontId="54" fillId="9" borderId="0" xfId="1" applyNumberFormat="1" applyFont="1" applyFill="1" applyBorder="1" applyAlignment="1">
      <alignment vertical="center"/>
    </xf>
    <xf numFmtId="177" fontId="54" fillId="9" borderId="0" xfId="1" applyNumberFormat="1" applyFont="1" applyFill="1" applyBorder="1" applyAlignment="1">
      <alignment horizontal="right" vertical="center"/>
    </xf>
    <xf numFmtId="177" fontId="54" fillId="9" borderId="0" xfId="1" applyNumberFormat="1" applyFont="1" applyFill="1" applyAlignment="1">
      <alignment vertical="center"/>
    </xf>
    <xf numFmtId="177" fontId="54" fillId="9" borderId="0" xfId="1" applyNumberFormat="1" applyFont="1" applyFill="1" applyBorder="1" applyAlignment="1" applyProtection="1">
      <alignment vertical="center"/>
    </xf>
    <xf numFmtId="177" fontId="59" fillId="9" borderId="0" xfId="1" applyNumberFormat="1" applyFont="1" applyFill="1" applyBorder="1" applyAlignment="1">
      <alignment vertical="center"/>
    </xf>
    <xf numFmtId="177" fontId="54" fillId="3" borderId="115" xfId="1" applyNumberFormat="1" applyFont="1" applyFill="1" applyBorder="1" applyAlignment="1" applyProtection="1">
      <alignment vertical="center"/>
      <protection locked="0"/>
    </xf>
    <xf numFmtId="177" fontId="54" fillId="0" borderId="116" xfId="0" applyNumberFormat="1" applyFont="1" applyFill="1" applyBorder="1" applyAlignment="1">
      <alignment vertical="center"/>
    </xf>
    <xf numFmtId="177" fontId="54" fillId="0" borderId="118" xfId="0" applyNumberFormat="1" applyFont="1" applyFill="1" applyBorder="1" applyAlignment="1">
      <alignment vertical="center"/>
    </xf>
    <xf numFmtId="177" fontId="54" fillId="0" borderId="119" xfId="1" applyNumberFormat="1" applyFont="1" applyBorder="1" applyAlignment="1">
      <alignment vertical="center"/>
    </xf>
    <xf numFmtId="1" fontId="86" fillId="0" borderId="0" xfId="15" applyNumberFormat="1" applyFont="1" applyAlignment="1">
      <alignment horizontal="left"/>
    </xf>
    <xf numFmtId="177" fontId="59" fillId="0" borderId="37" xfId="1" applyNumberFormat="1" applyFont="1" applyBorder="1" applyAlignment="1">
      <alignment vertical="center"/>
    </xf>
    <xf numFmtId="0" fontId="54" fillId="0" borderId="38" xfId="15" applyFont="1" applyBorder="1" applyAlignment="1"/>
    <xf numFmtId="1" fontId="54" fillId="0" borderId="38" xfId="15" applyNumberFormat="1" applyFont="1" applyBorder="1" applyAlignment="1"/>
    <xf numFmtId="0" fontId="54" fillId="0" borderId="39" xfId="15" applyFont="1" applyBorder="1" applyAlignment="1"/>
    <xf numFmtId="0" fontId="34" fillId="25" borderId="0" xfId="19" applyFont="1" applyFill="1"/>
    <xf numFmtId="1" fontId="104" fillId="0" borderId="0" xfId="19" applyNumberFormat="1" applyFont="1"/>
    <xf numFmtId="0" fontId="120" fillId="0" borderId="0" xfId="0" applyFont="1" applyAlignment="1">
      <alignment horizontal="left" vertical="center" readingOrder="1"/>
    </xf>
    <xf numFmtId="0" fontId="120" fillId="0" borderId="0" xfId="0" applyFont="1" applyBorder="1" applyAlignment="1">
      <alignment horizontal="left" vertical="center" readingOrder="1"/>
    </xf>
    <xf numFmtId="0" fontId="120" fillId="0" borderId="14" xfId="0" applyFont="1" applyBorder="1" applyAlignment="1">
      <alignment horizontal="left" vertical="center" readingOrder="1"/>
    </xf>
    <xf numFmtId="0" fontId="120" fillId="0" borderId="0" xfId="0" applyFont="1"/>
    <xf numFmtId="182" fontId="34" fillId="0" borderId="0" xfId="19" applyNumberFormat="1" applyFont="1" applyBorder="1"/>
    <xf numFmtId="0" fontId="120" fillId="0" borderId="0" xfId="0" applyFont="1" applyBorder="1" applyAlignment="1">
      <alignment horizontal="right" vertical="center" readingOrder="1"/>
    </xf>
    <xf numFmtId="1" fontId="33" fillId="0" borderId="38" xfId="0" applyNumberFormat="1" applyFont="1" applyFill="1" applyBorder="1" applyAlignment="1">
      <alignment horizontal="right" vertical="center"/>
    </xf>
    <xf numFmtId="1" fontId="33" fillId="0" borderId="37" xfId="4" applyNumberFormat="1" applyFont="1" applyFill="1" applyBorder="1" applyAlignment="1" applyProtection="1">
      <alignment horizontal="right" vertical="center"/>
      <protection locked="0"/>
    </xf>
    <xf numFmtId="1" fontId="33" fillId="0" borderId="38" xfId="0" applyNumberFormat="1" applyFont="1" applyFill="1" applyBorder="1" applyAlignment="1" applyProtection="1">
      <alignment horizontal="right" vertical="center"/>
    </xf>
    <xf numFmtId="1" fontId="33" fillId="0" borderId="38" xfId="4" applyNumberFormat="1" applyFont="1" applyFill="1" applyBorder="1" applyAlignment="1" applyProtection="1">
      <alignment horizontal="right" vertical="center"/>
      <protection locked="0"/>
    </xf>
    <xf numFmtId="1" fontId="33" fillId="0" borderId="38" xfId="34" applyNumberFormat="1" applyFont="1" applyFill="1" applyBorder="1" applyAlignment="1" applyProtection="1">
      <alignment horizontal="right" vertical="center"/>
      <protection locked="0"/>
    </xf>
    <xf numFmtId="1" fontId="33" fillId="0" borderId="107" xfId="4" applyNumberFormat="1" applyFont="1" applyFill="1" applyBorder="1" applyAlignment="1">
      <alignment horizontal="right" vertical="center"/>
    </xf>
    <xf numFmtId="1" fontId="33" fillId="3" borderId="0" xfId="4" applyNumberFormat="1" applyFont="1" applyFill="1" applyBorder="1" applyAlignment="1" applyProtection="1">
      <alignment horizontal="right" vertical="center"/>
    </xf>
    <xf numFmtId="177" fontId="51" fillId="0" borderId="38" xfId="0" applyNumberFormat="1" applyFont="1" applyBorder="1"/>
    <xf numFmtId="177" fontId="0" fillId="0" borderId="38" xfId="0" applyNumberFormat="1" applyBorder="1"/>
    <xf numFmtId="177" fontId="0" fillId="0" borderId="39" xfId="0" applyNumberFormat="1" applyBorder="1"/>
    <xf numFmtId="1" fontId="34" fillId="0" borderId="98" xfId="19" applyNumberFormat="1" applyFont="1" applyBorder="1"/>
    <xf numFmtId="1" fontId="34" fillId="7" borderId="16" xfId="19" applyNumberFormat="1" applyFont="1" applyFill="1" applyBorder="1"/>
    <xf numFmtId="1" fontId="34" fillId="0" borderId="16" xfId="19" applyNumberFormat="1" applyFont="1" applyBorder="1"/>
    <xf numFmtId="1" fontId="34" fillId="7" borderId="17" xfId="19" applyNumberFormat="1" applyFont="1" applyFill="1" applyBorder="1"/>
    <xf numFmtId="1" fontId="34" fillId="0" borderId="61" xfId="19" applyNumberFormat="1" applyFont="1" applyBorder="1"/>
    <xf numFmtId="1" fontId="34" fillId="7" borderId="14" xfId="19" applyNumberFormat="1" applyFont="1" applyFill="1" applyBorder="1"/>
    <xf numFmtId="1" fontId="34" fillId="7" borderId="15" xfId="19" applyNumberFormat="1" applyFont="1" applyFill="1" applyBorder="1"/>
    <xf numFmtId="1" fontId="34" fillId="7" borderId="0" xfId="19" applyNumberFormat="1" applyFont="1" applyFill="1" applyProtection="1">
      <protection locked="0"/>
    </xf>
    <xf numFmtId="1" fontId="34" fillId="0" borderId="0" xfId="0" applyNumberFormat="1" applyFont="1" applyBorder="1" applyAlignment="1">
      <alignment horizontal="right"/>
    </xf>
    <xf numFmtId="1" fontId="29" fillId="0" borderId="0" xfId="19" applyNumberFormat="1" applyFont="1"/>
    <xf numFmtId="1" fontId="29" fillId="0" borderId="0" xfId="19" applyNumberFormat="1" applyFont="1" applyAlignment="1">
      <alignment wrapText="1"/>
    </xf>
    <xf numFmtId="1" fontId="29" fillId="0" borderId="6" xfId="19" applyNumberFormat="1" applyFont="1" applyBorder="1"/>
    <xf numFmtId="1" fontId="29" fillId="0" borderId="7" xfId="19" applyNumberFormat="1" applyFont="1" applyBorder="1"/>
    <xf numFmtId="2" fontId="29" fillId="0" borderId="6" xfId="19" applyNumberFormat="1" applyFont="1" applyBorder="1"/>
    <xf numFmtId="2" fontId="29" fillId="0" borderId="7" xfId="19" applyNumberFormat="1" applyFont="1" applyBorder="1"/>
    <xf numFmtId="2" fontId="29" fillId="0" borderId="48" xfId="19" applyNumberFormat="1" applyFont="1" applyBorder="1"/>
    <xf numFmtId="1" fontId="29" fillId="0" borderId="10" xfId="19" applyNumberFormat="1" applyFont="1" applyBorder="1"/>
    <xf numFmtId="1" fontId="29" fillId="0" borderId="0" xfId="19" applyNumberFormat="1" applyFont="1" applyBorder="1"/>
    <xf numFmtId="2" fontId="29" fillId="0" borderId="10" xfId="19" applyNumberFormat="1" applyFont="1" applyBorder="1"/>
    <xf numFmtId="2" fontId="29" fillId="0" borderId="0" xfId="19" applyNumberFormat="1" applyFont="1" applyBorder="1"/>
    <xf numFmtId="2" fontId="29" fillId="0" borderId="41" xfId="19" applyNumberFormat="1" applyFont="1" applyBorder="1"/>
    <xf numFmtId="182" fontId="29" fillId="0" borderId="0" xfId="19" applyNumberFormat="1" applyFont="1"/>
    <xf numFmtId="194" fontId="29" fillId="0" borderId="0" xfId="19" applyNumberFormat="1" applyFont="1"/>
    <xf numFmtId="2" fontId="29" fillId="0" borderId="0" xfId="19" applyNumberFormat="1" applyFont="1"/>
    <xf numFmtId="1" fontId="29" fillId="0" borderId="10" xfId="19" applyNumberFormat="1" applyFont="1" applyFill="1" applyBorder="1" applyProtection="1"/>
    <xf numFmtId="1" fontId="29" fillId="0" borderId="0" xfId="19" applyNumberFormat="1" applyFont="1" applyFill="1" applyBorder="1" applyProtection="1"/>
    <xf numFmtId="1" fontId="29" fillId="0" borderId="8" xfId="19" applyNumberFormat="1" applyFont="1" applyFill="1" applyBorder="1" applyProtection="1"/>
    <xf numFmtId="1" fontId="29" fillId="0" borderId="5" xfId="19" applyNumberFormat="1" applyFont="1" applyBorder="1"/>
    <xf numFmtId="1" fontId="29" fillId="0" borderId="5" xfId="19" applyNumberFormat="1" applyFont="1" applyFill="1" applyBorder="1" applyProtection="1"/>
    <xf numFmtId="2" fontId="29" fillId="0" borderId="8" xfId="19" applyNumberFormat="1" applyFont="1" applyBorder="1"/>
    <xf numFmtId="2" fontId="29" fillId="0" borderId="5" xfId="19" applyNumberFormat="1" applyFont="1" applyBorder="1"/>
    <xf numFmtId="2" fontId="29" fillId="0" borderId="9" xfId="19" applyNumberFormat="1" applyFont="1" applyBorder="1"/>
    <xf numFmtId="1" fontId="29" fillId="0" borderId="0" xfId="19" applyNumberFormat="1" applyFont="1" applyFill="1" applyAlignment="1" applyProtection="1">
      <alignment horizontal="left"/>
    </xf>
    <xf numFmtId="1" fontId="29" fillId="0" borderId="0" xfId="19" applyNumberFormat="1" applyFont="1" applyFill="1" applyProtection="1"/>
    <xf numFmtId="1" fontId="29" fillId="0" borderId="0" xfId="19" applyNumberFormat="1" applyFont="1" applyAlignment="1">
      <alignment horizontal="right"/>
    </xf>
    <xf numFmtId="1" fontId="29" fillId="0" borderId="0" xfId="19" applyNumberFormat="1" applyFont="1" applyFill="1"/>
    <xf numFmtId="1" fontId="29" fillId="7" borderId="0" xfId="19" applyNumberFormat="1" applyFont="1" applyFill="1" applyProtection="1"/>
    <xf numFmtId="1" fontId="29" fillId="7" borderId="0" xfId="19" applyNumberFormat="1" applyFont="1" applyFill="1"/>
    <xf numFmtId="0" fontId="29" fillId="0" borderId="0" xfId="19" applyFont="1"/>
    <xf numFmtId="0" fontId="29" fillId="0" borderId="0" xfId="19" applyFont="1" applyAlignment="1">
      <alignment horizontal="right"/>
    </xf>
    <xf numFmtId="0" fontId="29" fillId="0" borderId="0" xfId="19" applyFont="1" applyBorder="1"/>
    <xf numFmtId="0" fontId="103" fillId="0" borderId="0" xfId="19" applyFont="1" applyBorder="1" applyAlignment="1">
      <alignment vertical="center"/>
    </xf>
    <xf numFmtId="0" fontId="29" fillId="7" borderId="0" xfId="19" applyFont="1" applyFill="1"/>
    <xf numFmtId="0" fontId="103" fillId="0" borderId="0" xfId="19" applyFont="1" applyBorder="1" applyAlignment="1">
      <alignment horizontal="center" vertical="center"/>
    </xf>
    <xf numFmtId="0" fontId="29" fillId="0" borderId="0" xfId="19" applyFont="1" applyFill="1"/>
    <xf numFmtId="0" fontId="29" fillId="7" borderId="122" xfId="19" applyFont="1" applyFill="1" applyBorder="1"/>
    <xf numFmtId="0" fontId="29" fillId="7" borderId="123" xfId="19" applyFont="1" applyFill="1" applyBorder="1"/>
    <xf numFmtId="0" fontId="29" fillId="7" borderId="124" xfId="19" applyFont="1" applyFill="1" applyBorder="1"/>
    <xf numFmtId="0" fontId="34" fillId="0" borderId="0" xfId="0" applyFont="1" applyFill="1" applyBorder="1" applyProtection="1">
      <protection locked="0"/>
    </xf>
    <xf numFmtId="0" fontId="34" fillId="0" borderId="11" xfId="0" applyFont="1" applyFill="1" applyBorder="1" applyAlignment="1">
      <alignment horizontal="right"/>
    </xf>
    <xf numFmtId="0" fontId="34" fillId="0" borderId="0" xfId="0" applyFont="1" applyBorder="1" applyAlignment="1">
      <alignment horizontal="left"/>
    </xf>
    <xf numFmtId="0" fontId="34" fillId="0" borderId="0" xfId="0" applyFont="1" applyBorder="1" applyAlignment="1">
      <alignment horizontal="center"/>
    </xf>
    <xf numFmtId="0" fontId="34" fillId="0" borderId="13" xfId="0" applyFont="1" applyBorder="1" applyAlignment="1">
      <alignment horizontal="right"/>
    </xf>
    <xf numFmtId="0" fontId="34" fillId="0" borderId="133" xfId="0" applyFont="1" applyFill="1" applyBorder="1"/>
    <xf numFmtId="1" fontId="34" fillId="0" borderId="126" xfId="0" applyNumberFormat="1" applyFont="1" applyFill="1" applyBorder="1"/>
    <xf numFmtId="0" fontId="34" fillId="0" borderId="126" xfId="0" applyFont="1" applyFill="1" applyBorder="1"/>
    <xf numFmtId="0" fontId="34" fillId="0" borderId="126" xfId="0" applyFont="1" applyBorder="1"/>
    <xf numFmtId="0" fontId="34" fillId="0" borderId="127" xfId="0" applyFont="1" applyBorder="1"/>
    <xf numFmtId="0" fontId="34" fillId="0" borderId="133" xfId="0" applyFont="1" applyFill="1" applyBorder="1" applyAlignment="1">
      <alignment horizontal="right"/>
    </xf>
    <xf numFmtId="0" fontId="34" fillId="0" borderId="126" xfId="0" applyFont="1" applyFill="1" applyBorder="1" applyProtection="1"/>
    <xf numFmtId="177" fontId="102" fillId="0" borderId="126" xfId="0" applyNumberFormat="1" applyFont="1" applyFill="1" applyBorder="1" applyProtection="1"/>
    <xf numFmtId="0" fontId="34" fillId="0" borderId="133" xfId="0" applyFont="1" applyBorder="1"/>
    <xf numFmtId="0" fontId="34" fillId="0" borderId="129" xfId="0" applyFont="1" applyBorder="1"/>
    <xf numFmtId="1" fontId="34" fillId="0" borderId="126" xfId="0" applyNumberFormat="1" applyFont="1" applyFill="1" applyBorder="1" applyProtection="1"/>
    <xf numFmtId="0" fontId="34" fillId="0" borderId="126" xfId="0" applyFont="1" applyFill="1" applyBorder="1" applyAlignment="1" applyProtection="1"/>
    <xf numFmtId="0" fontId="34" fillId="0" borderId="126" xfId="0" applyFont="1" applyFill="1" applyBorder="1" applyAlignment="1">
      <alignment horizontal="left"/>
    </xf>
    <xf numFmtId="194" fontId="34" fillId="0" borderId="126" xfId="0" applyNumberFormat="1" applyFont="1" applyBorder="1" applyAlignment="1"/>
    <xf numFmtId="0" fontId="34" fillId="0" borderId="136" xfId="0" applyFont="1" applyBorder="1"/>
    <xf numFmtId="1" fontId="34" fillId="0" borderId="126" xfId="0" applyNumberFormat="1" applyFont="1" applyFill="1" applyBorder="1" applyAlignment="1">
      <alignment horizontal="right"/>
    </xf>
    <xf numFmtId="0" fontId="34" fillId="0" borderId="126" xfId="0" applyFont="1" applyBorder="1" applyAlignment="1">
      <alignment horizontal="right"/>
    </xf>
    <xf numFmtId="1" fontId="34" fillId="0" borderId="141" xfId="0" applyNumberFormat="1" applyFont="1" applyBorder="1"/>
    <xf numFmtId="1" fontId="34" fillId="0" borderId="137" xfId="0" applyNumberFormat="1" applyFont="1" applyBorder="1"/>
    <xf numFmtId="1" fontId="34" fillId="0" borderId="143" xfId="0" applyNumberFormat="1" applyFont="1" applyBorder="1"/>
    <xf numFmtId="1" fontId="34" fillId="0" borderId="133" xfId="0" applyNumberFormat="1" applyFont="1" applyBorder="1"/>
    <xf numFmtId="1" fontId="34" fillId="0" borderId="144" xfId="0" applyNumberFormat="1" applyFont="1" applyBorder="1"/>
    <xf numFmtId="1" fontId="34" fillId="0" borderId="145" xfId="0" applyNumberFormat="1" applyFont="1" applyBorder="1"/>
    <xf numFmtId="1" fontId="34" fillId="0" borderId="141" xfId="0" applyNumberFormat="1" applyFont="1" applyFill="1" applyBorder="1"/>
    <xf numFmtId="0" fontId="34" fillId="0" borderId="137" xfId="0" applyFont="1" applyBorder="1"/>
    <xf numFmtId="1" fontId="34" fillId="0" borderId="126" xfId="0" applyNumberFormat="1" applyFont="1" applyBorder="1"/>
    <xf numFmtId="0" fontId="34" fillId="0" borderId="133" xfId="0" applyFont="1" applyFill="1" applyBorder="1" applyProtection="1"/>
    <xf numFmtId="0" fontId="34" fillId="0" borderId="61" xfId="0" applyFont="1" applyFill="1" applyBorder="1" applyProtection="1"/>
    <xf numFmtId="0" fontId="34" fillId="0" borderId="14" xfId="0" applyFont="1" applyFill="1" applyBorder="1" applyProtection="1"/>
    <xf numFmtId="1" fontId="34" fillId="0" borderId="0" xfId="0" applyNumberFormat="1" applyFont="1" applyFill="1" applyBorder="1" applyProtection="1"/>
    <xf numFmtId="194" fontId="34" fillId="0" borderId="0" xfId="0" applyNumberFormat="1" applyFont="1" applyFill="1" applyBorder="1" applyProtection="1"/>
    <xf numFmtId="1" fontId="34" fillId="0" borderId="14" xfId="0" applyNumberFormat="1" applyFont="1" applyFill="1" applyBorder="1" applyProtection="1"/>
    <xf numFmtId="0" fontId="34" fillId="0" borderId="14" xfId="0" applyFont="1" applyFill="1" applyBorder="1" applyAlignment="1" applyProtection="1">
      <alignment horizontal="right"/>
    </xf>
    <xf numFmtId="194" fontId="34" fillId="0" borderId="14" xfId="0" applyNumberFormat="1" applyFont="1" applyFill="1" applyBorder="1" applyProtection="1"/>
    <xf numFmtId="0" fontId="34" fillId="0" borderId="15" xfId="0" applyFont="1" applyFill="1" applyBorder="1" applyProtection="1"/>
    <xf numFmtId="0" fontId="92" fillId="0" borderId="0" xfId="0" applyFont="1" applyFill="1" applyAlignment="1" applyProtection="1">
      <alignment horizontal="right"/>
    </xf>
    <xf numFmtId="0" fontId="34" fillId="0" borderId="0" xfId="0" applyFont="1" applyFill="1" applyAlignment="1" applyProtection="1">
      <alignment horizontal="right"/>
    </xf>
    <xf numFmtId="0" fontId="34" fillId="0" borderId="92" xfId="0" applyFont="1" applyFill="1" applyBorder="1" applyProtection="1"/>
    <xf numFmtId="194" fontId="34" fillId="0" borderId="0" xfId="0" applyNumberFormat="1" applyFont="1" applyFill="1" applyBorder="1" applyAlignment="1">
      <alignment horizontal="right"/>
    </xf>
    <xf numFmtId="0" fontId="52" fillId="0" borderId="0" xfId="0" applyFont="1" applyFill="1" applyBorder="1" applyAlignment="1" applyProtection="1"/>
    <xf numFmtId="0" fontId="34" fillId="0" borderId="0" xfId="0" applyFont="1" applyFill="1" applyAlignment="1" applyProtection="1"/>
    <xf numFmtId="182" fontId="34" fillId="0" borderId="0" xfId="0" applyNumberFormat="1" applyFont="1" applyFill="1" applyProtection="1"/>
    <xf numFmtId="0" fontId="34" fillId="7" borderId="0" xfId="0" applyFont="1" applyFill="1" applyBorder="1" applyAlignment="1">
      <alignment horizontal="left"/>
    </xf>
    <xf numFmtId="0" fontId="34" fillId="0" borderId="134" xfId="0" applyFont="1" applyFill="1" applyBorder="1" applyProtection="1"/>
    <xf numFmtId="0" fontId="34" fillId="0" borderId="0" xfId="0" applyFont="1" applyBorder="1" applyAlignment="1"/>
    <xf numFmtId="177" fontId="50" fillId="0" borderId="0" xfId="1" applyNumberFormat="1" applyFont="1" applyBorder="1" applyAlignment="1" applyProtection="1">
      <alignment vertical="center"/>
      <protection locked="0"/>
    </xf>
    <xf numFmtId="177" fontId="50" fillId="0" borderId="3" xfId="1" applyNumberFormat="1" applyFont="1" applyFill="1" applyBorder="1" applyAlignment="1">
      <alignment horizontal="right" vertical="center"/>
    </xf>
    <xf numFmtId="177" fontId="50" fillId="0" borderId="10" xfId="1" applyNumberFormat="1" applyFont="1" applyBorder="1" applyAlignment="1">
      <alignment horizontal="right" vertical="center"/>
    </xf>
    <xf numFmtId="177" fontId="50" fillId="0" borderId="12" xfId="1" applyNumberFormat="1" applyFont="1" applyFill="1" applyBorder="1" applyAlignment="1">
      <alignment horizontal="right" vertical="center"/>
    </xf>
    <xf numFmtId="177" fontId="60" fillId="0" borderId="13" xfId="0" applyNumberFormat="1" applyFont="1" applyBorder="1"/>
    <xf numFmtId="177" fontId="65" fillId="0" borderId="52" xfId="1" applyNumberFormat="1" applyFont="1" applyBorder="1" applyAlignment="1">
      <alignment vertical="center"/>
    </xf>
    <xf numFmtId="177" fontId="54" fillId="0" borderId="52" xfId="1" applyNumberFormat="1" applyFont="1" applyBorder="1" applyAlignment="1">
      <alignment horizontal="right" vertical="center"/>
    </xf>
    <xf numFmtId="177" fontId="54" fillId="0" borderId="52" xfId="1" applyNumberFormat="1" applyFont="1" applyBorder="1" applyAlignment="1">
      <alignment vertical="center"/>
    </xf>
    <xf numFmtId="177" fontId="54" fillId="0" borderId="86" xfId="1" applyNumberFormat="1" applyFont="1" applyBorder="1" applyAlignment="1">
      <alignment vertical="center"/>
    </xf>
    <xf numFmtId="177" fontId="54" fillId="0" borderId="53" xfId="1" applyNumberFormat="1" applyFont="1" applyBorder="1" applyAlignment="1">
      <alignment vertical="center"/>
    </xf>
    <xf numFmtId="0" fontId="60" fillId="0" borderId="85" xfId="0" applyFont="1" applyBorder="1"/>
    <xf numFmtId="0" fontId="60" fillId="0" borderId="73" xfId="0" applyFont="1" applyBorder="1"/>
    <xf numFmtId="177" fontId="54" fillId="7" borderId="117" xfId="1" applyNumberFormat="1" applyFont="1" applyFill="1" applyBorder="1" applyAlignment="1" applyProtection="1">
      <alignment vertical="center"/>
      <protection locked="0"/>
    </xf>
    <xf numFmtId="1" fontId="34" fillId="0" borderId="0" xfId="19" applyNumberFormat="1" applyFont="1" applyFill="1" applyAlignment="1" applyProtection="1">
      <alignment horizontal="right"/>
    </xf>
    <xf numFmtId="1" fontId="34" fillId="7" borderId="2" xfId="0" applyNumberFormat="1" applyFont="1" applyFill="1" applyBorder="1"/>
    <xf numFmtId="1" fontId="34" fillId="4" borderId="0" xfId="0" applyNumberFormat="1" applyFont="1" applyFill="1" applyBorder="1"/>
    <xf numFmtId="1" fontId="34" fillId="0" borderId="12" xfId="0" applyNumberFormat="1" applyFont="1" applyBorder="1"/>
    <xf numFmtId="0" fontId="52" fillId="0" borderId="11" xfId="0" applyFont="1" applyBorder="1" applyAlignment="1"/>
    <xf numFmtId="0" fontId="34" fillId="0" borderId="41" xfId="0" applyFont="1" applyFill="1" applyBorder="1"/>
    <xf numFmtId="177" fontId="68" fillId="0" borderId="39" xfId="1" applyNumberFormat="1" applyFont="1" applyBorder="1" applyAlignment="1" applyProtection="1">
      <alignment horizontal="right" vertical="center"/>
    </xf>
    <xf numFmtId="177" fontId="50" fillId="0" borderId="38" xfId="1" applyNumberFormat="1" applyFont="1" applyFill="1" applyBorder="1" applyAlignment="1" applyProtection="1">
      <alignment horizontal="right" vertical="center"/>
    </xf>
    <xf numFmtId="177" fontId="68" fillId="0" borderId="0" xfId="0" applyNumberFormat="1" applyFont="1" applyAlignment="1">
      <alignment horizontal="center" vertical="center"/>
    </xf>
    <xf numFmtId="2" fontId="34" fillId="0" borderId="0" xfId="0" applyNumberFormat="1" applyFont="1"/>
    <xf numFmtId="177" fontId="50" fillId="0" borderId="3" xfId="1" applyNumberFormat="1" applyFont="1" applyBorder="1" applyAlignment="1">
      <alignment horizontal="left" vertical="center"/>
    </xf>
    <xf numFmtId="177" fontId="50" fillId="0" borderId="2" xfId="1" applyNumberFormat="1" applyFont="1" applyBorder="1" applyAlignment="1">
      <alignment horizontal="right" vertical="center"/>
    </xf>
    <xf numFmtId="177" fontId="50" fillId="0" borderId="3" xfId="1" applyNumberFormat="1" applyFont="1" applyBorder="1" applyAlignment="1">
      <alignment horizontal="right" vertical="center"/>
    </xf>
    <xf numFmtId="177" fontId="53" fillId="0" borderId="4" xfId="1" applyNumberFormat="1" applyFont="1" applyFill="1" applyBorder="1" applyAlignment="1" applyProtection="1">
      <alignment horizontal="right" vertical="center"/>
    </xf>
    <xf numFmtId="177" fontId="50" fillId="0" borderId="6" xfId="1" applyNumberFormat="1" applyFont="1" applyBorder="1" applyAlignment="1">
      <alignment horizontal="right" vertical="center"/>
    </xf>
    <xf numFmtId="177" fontId="50" fillId="0" borderId="48" xfId="1" applyNumberFormat="1" applyFont="1" applyBorder="1" applyAlignment="1">
      <alignment horizontal="right" vertical="center"/>
    </xf>
    <xf numFmtId="177" fontId="50" fillId="0" borderId="41" xfId="1" applyNumberFormat="1" applyFont="1" applyBorder="1" applyAlignment="1">
      <alignment horizontal="right" vertical="center"/>
    </xf>
    <xf numFmtId="177" fontId="53" fillId="0" borderId="8" xfId="1" applyNumberFormat="1" applyFont="1" applyFill="1" applyBorder="1" applyAlignment="1" applyProtection="1">
      <alignment horizontal="right" vertical="center"/>
    </xf>
    <xf numFmtId="177" fontId="53" fillId="0" borderId="5" xfId="1" applyNumberFormat="1" applyFont="1" applyFill="1" applyBorder="1" applyAlignment="1" applyProtection="1">
      <alignment horizontal="right" vertical="center"/>
    </xf>
    <xf numFmtId="177" fontId="53" fillId="0" borderId="9" xfId="1" applyNumberFormat="1" applyFont="1" applyFill="1" applyBorder="1" applyAlignment="1" applyProtection="1">
      <alignment horizontal="right" vertical="center"/>
    </xf>
    <xf numFmtId="1" fontId="121" fillId="20" borderId="37" xfId="29" applyNumberFormat="1" applyFont="1" applyFill="1" applyBorder="1" applyAlignment="1">
      <alignment horizontal="right" vertical="center"/>
    </xf>
    <xf numFmtId="0" fontId="122" fillId="20" borderId="38" xfId="29" applyNumberFormat="1" applyFont="1" applyFill="1" applyBorder="1" applyAlignment="1">
      <alignment horizontal="center" vertical="center"/>
    </xf>
    <xf numFmtId="1" fontId="34" fillId="0" borderId="29" xfId="0" applyNumberFormat="1" applyFont="1" applyBorder="1"/>
    <xf numFmtId="194" fontId="34" fillId="0" borderId="26" xfId="0" applyNumberFormat="1" applyFont="1" applyBorder="1"/>
    <xf numFmtId="0" fontId="34" fillId="0" borderId="10" xfId="0" applyFont="1" applyFill="1" applyBorder="1" applyAlignment="1">
      <alignment horizontal="right"/>
    </xf>
    <xf numFmtId="0" fontId="34" fillId="0" borderId="10" xfId="0" applyFont="1" applyBorder="1" applyAlignment="1">
      <alignment horizontal="right"/>
    </xf>
    <xf numFmtId="2" fontId="34" fillId="7" borderId="0" xfId="0" applyNumberFormat="1" applyFont="1" applyFill="1" applyBorder="1"/>
    <xf numFmtId="0" fontId="34" fillId="23" borderId="0" xfId="0" applyFont="1" applyFill="1" applyBorder="1"/>
    <xf numFmtId="0" fontId="34" fillId="11" borderId="0" xfId="0" applyFont="1" applyFill="1" applyBorder="1"/>
    <xf numFmtId="1" fontId="34" fillId="0" borderId="10" xfId="0" applyNumberFormat="1" applyFont="1" applyFill="1" applyBorder="1" applyAlignment="1">
      <alignment horizontal="right"/>
    </xf>
    <xf numFmtId="0" fontId="34" fillId="0" borderId="0" xfId="0" applyFont="1" applyFill="1" applyBorder="1" applyAlignment="1" applyProtection="1">
      <alignment vertical="center"/>
    </xf>
    <xf numFmtId="194" fontId="34" fillId="0" borderId="42" xfId="0" applyNumberFormat="1" applyFont="1" applyBorder="1"/>
    <xf numFmtId="1" fontId="34" fillId="0" borderId="42" xfId="0" applyNumberFormat="1" applyFont="1" applyBorder="1"/>
    <xf numFmtId="1" fontId="34" fillId="0" borderId="42" xfId="0" applyNumberFormat="1" applyFont="1" applyBorder="1" applyAlignment="1">
      <alignment horizontal="right"/>
    </xf>
    <xf numFmtId="1" fontId="34" fillId="0" borderId="142" xfId="0" applyNumberFormat="1" applyFont="1" applyBorder="1" applyAlignment="1">
      <alignment horizontal="right"/>
    </xf>
    <xf numFmtId="0" fontId="52" fillId="0" borderId="16" xfId="0" applyFont="1" applyFill="1" applyBorder="1" applyAlignment="1" applyProtection="1"/>
    <xf numFmtId="0" fontId="52" fillId="0" borderId="19" xfId="0" applyFont="1" applyBorder="1" applyAlignment="1"/>
    <xf numFmtId="0" fontId="52" fillId="0" borderId="20" xfId="0" applyFont="1" applyBorder="1" applyAlignment="1"/>
    <xf numFmtId="194" fontId="34" fillId="0" borderId="12" xfId="0" applyNumberFormat="1" applyFont="1" applyBorder="1"/>
    <xf numFmtId="0" fontId="34" fillId="0" borderId="0" xfId="0" applyFont="1" applyFill="1" applyBorder="1" applyAlignment="1">
      <alignment vertical="center" wrapText="1"/>
    </xf>
    <xf numFmtId="1" fontId="34" fillId="0" borderId="15" xfId="0" applyNumberFormat="1" applyFont="1" applyBorder="1"/>
    <xf numFmtId="1" fontId="34" fillId="0" borderId="1" xfId="0" applyNumberFormat="1" applyFont="1" applyBorder="1" applyAlignment="1">
      <alignment horizontal="right"/>
    </xf>
    <xf numFmtId="1" fontId="34" fillId="0" borderId="27" xfId="0" applyNumberFormat="1" applyFont="1" applyBorder="1" applyAlignment="1">
      <alignment horizontal="right"/>
    </xf>
    <xf numFmtId="2" fontId="34" fillId="0" borderId="137" xfId="0" applyNumberFormat="1" applyFont="1" applyBorder="1" applyAlignment="1">
      <alignment horizontal="right"/>
    </xf>
    <xf numFmtId="2" fontId="34" fillId="0" borderId="137" xfId="0" applyNumberFormat="1" applyFont="1" applyFill="1" applyBorder="1"/>
    <xf numFmtId="2" fontId="34" fillId="0" borderId="137" xfId="0" applyNumberFormat="1" applyFont="1" applyBorder="1"/>
    <xf numFmtId="2" fontId="34" fillId="0" borderId="137" xfId="0" applyNumberFormat="1" applyFont="1" applyBorder="1" applyAlignment="1"/>
    <xf numFmtId="2" fontId="34" fillId="0" borderId="138" xfId="0" applyNumberFormat="1" applyFont="1" applyBorder="1"/>
    <xf numFmtId="2" fontId="34" fillId="0" borderId="139" xfId="0" applyNumberFormat="1" applyFont="1" applyBorder="1"/>
    <xf numFmtId="2" fontId="34" fillId="0" borderId="140" xfId="0" applyNumberFormat="1" applyFont="1" applyBorder="1"/>
    <xf numFmtId="2" fontId="34" fillId="0" borderId="1" xfId="0" applyNumberFormat="1" applyFont="1" applyBorder="1" applyAlignment="1"/>
    <xf numFmtId="2" fontId="34" fillId="0" borderId="6" xfId="0" applyNumberFormat="1" applyFont="1" applyBorder="1"/>
    <xf numFmtId="2" fontId="34" fillId="0" borderId="48" xfId="0" applyNumberFormat="1" applyFont="1" applyBorder="1"/>
    <xf numFmtId="2" fontId="34" fillId="0" borderId="1" xfId="0" applyNumberFormat="1" applyFont="1" applyBorder="1" applyAlignment="1">
      <alignment horizontal="right"/>
    </xf>
    <xf numFmtId="2" fontId="34" fillId="0" borderId="1" xfId="0" applyNumberFormat="1" applyFont="1" applyFill="1" applyBorder="1"/>
    <xf numFmtId="2" fontId="34" fillId="0" borderId="1" xfId="0" applyNumberFormat="1" applyFont="1" applyBorder="1"/>
    <xf numFmtId="2" fontId="34" fillId="0" borderId="26" xfId="0" applyNumberFormat="1" applyFont="1" applyBorder="1" applyAlignment="1">
      <alignment horizontal="right"/>
    </xf>
    <xf numFmtId="2" fontId="34" fillId="0" borderId="43" xfId="0" applyNumberFormat="1" applyFont="1" applyBorder="1" applyAlignment="1"/>
    <xf numFmtId="0" fontId="27" fillId="0" borderId="0" xfId="0" applyFont="1" applyFill="1" applyBorder="1" applyAlignment="1">
      <alignment horizontal="right"/>
    </xf>
    <xf numFmtId="1" fontId="123" fillId="4" borderId="102" xfId="34" applyNumberFormat="1" applyFont="1" applyFill="1" applyBorder="1" applyAlignment="1" applyProtection="1">
      <alignment horizontal="right" vertical="center"/>
    </xf>
    <xf numFmtId="1" fontId="64" fillId="4" borderId="102" xfId="34" applyNumberFormat="1" applyFont="1" applyFill="1" applyBorder="1" applyAlignment="1" applyProtection="1">
      <alignment horizontal="right" vertical="center"/>
    </xf>
    <xf numFmtId="1" fontId="33" fillId="4" borderId="81" xfId="34" applyNumberFormat="1" applyFont="1" applyFill="1" applyBorder="1" applyAlignment="1" applyProtection="1">
      <alignment horizontal="right" vertical="center"/>
      <protection locked="0"/>
    </xf>
    <xf numFmtId="177" fontId="50" fillId="3" borderId="22" xfId="1" applyNumberFormat="1" applyFont="1" applyFill="1" applyBorder="1" applyAlignment="1" applyProtection="1">
      <alignment vertical="center"/>
      <protection locked="0"/>
    </xf>
    <xf numFmtId="0" fontId="29" fillId="4" borderId="126" xfId="19" applyFont="1" applyFill="1" applyBorder="1"/>
    <xf numFmtId="0" fontId="29" fillId="4" borderId="127" xfId="19" applyFont="1" applyFill="1" applyBorder="1"/>
    <xf numFmtId="194" fontId="29" fillId="4" borderId="126" xfId="19" applyNumberFormat="1" applyFont="1" applyFill="1" applyBorder="1"/>
    <xf numFmtId="194" fontId="29" fillId="4" borderId="127" xfId="19" applyNumberFormat="1" applyFont="1" applyFill="1" applyBorder="1"/>
    <xf numFmtId="194" fontId="34" fillId="0" borderId="0" xfId="19" applyNumberFormat="1" applyFont="1"/>
    <xf numFmtId="194" fontId="41" fillId="0" borderId="0" xfId="19" applyNumberFormat="1" applyFont="1"/>
    <xf numFmtId="0" fontId="26" fillId="7" borderId="18" xfId="24" applyFont="1" applyFill="1" applyBorder="1"/>
    <xf numFmtId="0" fontId="26" fillId="7" borderId="19" xfId="24" applyFont="1" applyFill="1" applyBorder="1"/>
    <xf numFmtId="0" fontId="26" fillId="7" borderId="20" xfId="24" applyFont="1" applyFill="1" applyBorder="1"/>
    <xf numFmtId="0" fontId="26" fillId="7" borderId="18" xfId="19" applyFont="1" applyFill="1" applyBorder="1"/>
    <xf numFmtId="0" fontId="26" fillId="7" borderId="19" xfId="19" applyFont="1" applyFill="1" applyBorder="1"/>
    <xf numFmtId="0" fontId="26" fillId="7" borderId="20" xfId="19" applyFont="1" applyFill="1" applyBorder="1"/>
    <xf numFmtId="1" fontId="34" fillId="0" borderId="12" xfId="19" quotePrefix="1" applyNumberFormat="1" applyFont="1" applyFill="1" applyBorder="1"/>
    <xf numFmtId="177" fontId="50" fillId="0" borderId="49" xfId="1" applyNumberFormat="1" applyFont="1" applyFill="1" applyBorder="1" applyAlignment="1" applyProtection="1">
      <alignment horizontal="right" vertical="center"/>
    </xf>
    <xf numFmtId="177" fontId="50" fillId="0" borderId="50" xfId="1" applyNumberFormat="1" applyFont="1" applyFill="1" applyBorder="1" applyAlignment="1" applyProtection="1">
      <alignment vertical="center"/>
    </xf>
    <xf numFmtId="0" fontId="118" fillId="19" borderId="38" xfId="29" applyNumberFormat="1" applyFont="1" applyFill="1" applyBorder="1" applyAlignment="1">
      <alignment horizontal="center" vertical="center"/>
    </xf>
    <xf numFmtId="1" fontId="124" fillId="19" borderId="37" xfId="29" applyNumberFormat="1" applyFont="1" applyFill="1" applyBorder="1" applyAlignment="1">
      <alignment horizontal="right" vertical="center"/>
    </xf>
    <xf numFmtId="0" fontId="33" fillId="19" borderId="0" xfId="30" applyNumberFormat="1" applyFont="1" applyFill="1" applyBorder="1" applyAlignment="1">
      <alignment horizontal="center"/>
    </xf>
    <xf numFmtId="1" fontId="124" fillId="20" borderId="37" xfId="29" applyNumberFormat="1" applyFont="1" applyFill="1" applyBorder="1" applyAlignment="1">
      <alignment horizontal="right" vertical="center"/>
    </xf>
    <xf numFmtId="0" fontId="118" fillId="20" borderId="38" xfId="29" applyNumberFormat="1" applyFont="1" applyFill="1" applyBorder="1" applyAlignment="1">
      <alignment horizontal="center" vertical="center"/>
    </xf>
    <xf numFmtId="182" fontId="125" fillId="18" borderId="0" xfId="0" applyNumberFormat="1" applyFont="1" applyFill="1" applyBorder="1" applyAlignment="1">
      <alignment horizontal="center"/>
    </xf>
    <xf numFmtId="177" fontId="68" fillId="0" borderId="11" xfId="1" applyNumberFormat="1" applyFont="1" applyBorder="1" applyAlignment="1" applyProtection="1">
      <alignment vertical="center"/>
    </xf>
    <xf numFmtId="177" fontId="68" fillId="0" borderId="12" xfId="1" applyNumberFormat="1" applyFont="1" applyBorder="1" applyAlignment="1" applyProtection="1">
      <alignment horizontal="right" vertical="center"/>
    </xf>
    <xf numFmtId="0" fontId="34" fillId="0" borderId="45" xfId="0" applyFont="1" applyBorder="1"/>
    <xf numFmtId="194" fontId="34" fillId="7" borderId="0" xfId="0" applyNumberFormat="1" applyFont="1" applyFill="1" applyBorder="1"/>
    <xf numFmtId="0" fontId="126" fillId="27" borderId="148" xfId="37" applyFont="1" applyFill="1" applyBorder="1" applyAlignment="1">
      <alignment horizontal="center" vertical="center" wrapText="1"/>
    </xf>
    <xf numFmtId="0" fontId="126" fillId="27" borderId="149" xfId="37" applyFont="1" applyFill="1" applyBorder="1" applyAlignment="1">
      <alignment horizontal="center" vertical="center" wrapText="1"/>
    </xf>
    <xf numFmtId="0" fontId="33" fillId="0" borderId="0" xfId="37"/>
    <xf numFmtId="0" fontId="128" fillId="27" borderId="148" xfId="37" applyFont="1" applyFill="1" applyBorder="1" applyAlignment="1">
      <alignment horizontal="center" vertical="center" wrapText="1"/>
    </xf>
    <xf numFmtId="0" fontId="128" fillId="15" borderId="148" xfId="37" applyFont="1" applyFill="1" applyBorder="1" applyAlignment="1">
      <alignment horizontal="center" vertical="center" wrapText="1"/>
    </xf>
    <xf numFmtId="0" fontId="128" fillId="28" borderId="148" xfId="37" applyFont="1" applyFill="1" applyBorder="1" applyAlignment="1">
      <alignment horizontal="center" vertical="center" wrapText="1"/>
    </xf>
    <xf numFmtId="0" fontId="93" fillId="0" borderId="0" xfId="29" applyFont="1" applyFill="1" applyBorder="1" applyAlignment="1">
      <alignment horizontal="center" vertical="center"/>
    </xf>
    <xf numFmtId="1" fontId="93" fillId="0" borderId="0" xfId="29" applyNumberFormat="1" applyFont="1" applyFill="1" applyBorder="1" applyAlignment="1">
      <alignment horizontal="center" vertical="center"/>
    </xf>
    <xf numFmtId="2" fontId="64" fillId="0" borderId="16" xfId="29" applyNumberFormat="1" applyFont="1" applyFill="1" applyBorder="1" applyAlignment="1">
      <alignment horizontal="right" vertical="center"/>
    </xf>
    <xf numFmtId="0" fontId="118" fillId="0" borderId="16" xfId="29" applyNumberFormat="1" applyFont="1" applyFill="1" applyBorder="1" applyAlignment="1">
      <alignment horizontal="center" vertical="center"/>
    </xf>
    <xf numFmtId="1" fontId="33" fillId="0" borderId="16" xfId="30" applyNumberFormat="1" applyFont="1" applyFill="1" applyBorder="1" applyAlignment="1">
      <alignment vertical="center"/>
    </xf>
    <xf numFmtId="1" fontId="33" fillId="0" borderId="16" xfId="29" applyNumberFormat="1" applyFont="1" applyFill="1" applyBorder="1"/>
    <xf numFmtId="0" fontId="89" fillId="0" borderId="25" xfId="30" applyFont="1" applyFill="1" applyBorder="1" applyAlignment="1">
      <alignment horizontal="left" vertical="center"/>
    </xf>
    <xf numFmtId="194" fontId="89" fillId="0" borderId="11" xfId="30" applyNumberFormat="1" applyFont="1" applyFill="1" applyBorder="1" applyAlignment="1">
      <alignment horizontal="left"/>
    </xf>
    <xf numFmtId="2" fontId="33" fillId="0" borderId="0" xfId="30" applyNumberFormat="1" applyFont="1" applyFill="1" applyBorder="1" applyAlignment="1">
      <alignment horizontal="right"/>
    </xf>
    <xf numFmtId="1" fontId="33" fillId="0" borderId="0" xfId="30" applyNumberFormat="1" applyFont="1" applyFill="1" applyBorder="1" applyAlignment="1">
      <alignment horizontal="right"/>
    </xf>
    <xf numFmtId="1" fontId="33" fillId="0" borderId="0" xfId="30" applyNumberFormat="1" applyFont="1" applyFill="1" applyBorder="1" applyAlignment="1">
      <alignment horizontal="right" vertical="center"/>
    </xf>
    <xf numFmtId="177" fontId="129" fillId="0" borderId="16" xfId="0" applyNumberFormat="1" applyFont="1" applyBorder="1" applyAlignment="1">
      <alignment horizontal="left" vertical="center"/>
    </xf>
    <xf numFmtId="177" fontId="129" fillId="0" borderId="16" xfId="0" applyNumberFormat="1" applyFont="1" applyBorder="1" applyAlignment="1">
      <alignment vertical="center"/>
    </xf>
    <xf numFmtId="177" fontId="68" fillId="0" borderId="17" xfId="0" applyNumberFormat="1" applyFont="1" applyBorder="1" applyAlignment="1">
      <alignment vertical="center"/>
    </xf>
    <xf numFmtId="177" fontId="68" fillId="0" borderId="13" xfId="0" applyNumberFormat="1" applyFont="1" applyBorder="1" applyAlignment="1">
      <alignment vertical="center"/>
    </xf>
    <xf numFmtId="177" fontId="129" fillId="0" borderId="14" xfId="0" applyNumberFormat="1" applyFont="1" applyBorder="1" applyAlignment="1">
      <alignment vertical="center"/>
    </xf>
    <xf numFmtId="177" fontId="68" fillId="0" borderId="15" xfId="0" applyNumberFormat="1" applyFont="1" applyBorder="1" applyAlignment="1">
      <alignment vertical="center"/>
    </xf>
    <xf numFmtId="177" fontId="68" fillId="0" borderId="25" xfId="0" applyNumberFormat="1" applyFont="1" applyBorder="1" applyAlignment="1" applyProtection="1">
      <alignment horizontal="right" vertical="center"/>
      <protection locked="0"/>
    </xf>
    <xf numFmtId="178" fontId="68" fillId="0" borderId="0" xfId="0" applyNumberFormat="1" applyFont="1" applyAlignment="1">
      <alignment vertical="center"/>
    </xf>
    <xf numFmtId="2" fontId="34" fillId="0" borderId="69" xfId="19" quotePrefix="1" applyNumberFormat="1" applyFont="1" applyBorder="1"/>
    <xf numFmtId="2" fontId="92" fillId="0" borderId="67" xfId="19" applyNumberFormat="1" applyFont="1" applyBorder="1"/>
    <xf numFmtId="2" fontId="34" fillId="0" borderId="67" xfId="19" quotePrefix="1" applyNumberFormat="1" applyFont="1" applyFill="1" applyBorder="1"/>
    <xf numFmtId="2" fontId="34" fillId="0" borderId="70" xfId="19" quotePrefix="1" applyNumberFormat="1" applyFont="1" applyFill="1" applyBorder="1"/>
    <xf numFmtId="2" fontId="34" fillId="0" borderId="69" xfId="19" quotePrefix="1" applyNumberFormat="1" applyFont="1" applyFill="1" applyBorder="1"/>
    <xf numFmtId="2" fontId="34" fillId="0" borderId="70" xfId="19" quotePrefix="1" applyNumberFormat="1" applyFont="1" applyBorder="1"/>
    <xf numFmtId="2" fontId="34" fillId="0" borderId="67" xfId="19" quotePrefix="1" applyNumberFormat="1" applyFont="1" applyBorder="1"/>
    <xf numFmtId="2" fontId="34" fillId="0" borderId="77" xfId="19" quotePrefix="1" applyNumberFormat="1" applyFont="1" applyBorder="1"/>
    <xf numFmtId="2" fontId="34" fillId="0" borderId="71" xfId="19" applyNumberFormat="1" applyFont="1" applyBorder="1"/>
    <xf numFmtId="2" fontId="34" fillId="0" borderId="69" xfId="19" applyNumberFormat="1" applyFont="1" applyBorder="1"/>
    <xf numFmtId="2" fontId="34" fillId="0" borderId="67" xfId="19" applyNumberFormat="1" applyFont="1" applyBorder="1"/>
    <xf numFmtId="2" fontId="34" fillId="0" borderId="76" xfId="19" applyNumberFormat="1" applyFont="1" applyBorder="1"/>
    <xf numFmtId="2" fontId="92" fillId="0" borderId="77" xfId="19" applyNumberFormat="1" applyFont="1" applyBorder="1"/>
    <xf numFmtId="2" fontId="34" fillId="0" borderId="77" xfId="19" applyNumberFormat="1" applyFont="1" applyBorder="1"/>
    <xf numFmtId="2" fontId="34" fillId="0" borderId="0" xfId="0" applyNumberFormat="1" applyFont="1" applyFill="1" applyBorder="1" applyAlignment="1">
      <alignment horizontal="right"/>
    </xf>
    <xf numFmtId="177" fontId="129" fillId="0" borderId="16" xfId="0" applyNumberFormat="1" applyFont="1" applyBorder="1" applyAlignment="1">
      <alignment horizontal="right" vertical="center"/>
    </xf>
    <xf numFmtId="177" fontId="129" fillId="0" borderId="14" xfId="0" applyNumberFormat="1" applyFont="1" applyBorder="1" applyAlignment="1">
      <alignment horizontal="right" vertical="center"/>
    </xf>
    <xf numFmtId="0" fontId="92" fillId="0" borderId="0" xfId="0" applyFont="1" applyBorder="1" applyAlignment="1">
      <alignment vertical="center"/>
    </xf>
    <xf numFmtId="0" fontId="92" fillId="0" borderId="12" xfId="0" applyFont="1" applyBorder="1" applyAlignment="1">
      <alignment vertical="center"/>
    </xf>
    <xf numFmtId="181" fontId="68" fillId="0" borderId="0" xfId="1" applyNumberFormat="1" applyFont="1" applyBorder="1" applyAlignment="1" applyProtection="1">
      <alignment vertical="center"/>
    </xf>
    <xf numFmtId="1" fontId="33" fillId="0" borderId="15" xfId="5" applyNumberFormat="1" applyFont="1" applyBorder="1" applyAlignment="1" applyProtection="1">
      <alignment horizontal="right" vertical="center"/>
    </xf>
    <xf numFmtId="1" fontId="33" fillId="8" borderId="0" xfId="5" applyNumberFormat="1" applyFont="1" applyFill="1" applyBorder="1" applyAlignment="1" applyProtection="1">
      <alignment horizontal="right" vertical="center"/>
      <protection locked="0"/>
    </xf>
    <xf numFmtId="1" fontId="33" fillId="4" borderId="0" xfId="34" applyNumberFormat="1" applyFont="1" applyFill="1" applyBorder="1" applyAlignment="1" applyProtection="1">
      <alignment horizontal="right" vertical="center"/>
      <protection locked="0"/>
    </xf>
    <xf numFmtId="1" fontId="33" fillId="4" borderId="0" xfId="5" applyNumberFormat="1" applyFont="1" applyFill="1" applyBorder="1" applyAlignment="1" applyProtection="1">
      <alignment horizontal="right" vertical="center"/>
      <protection locked="0"/>
    </xf>
    <xf numFmtId="1" fontId="33" fillId="0" borderId="159" xfId="5" applyNumberFormat="1" applyFont="1" applyBorder="1" applyAlignment="1" applyProtection="1">
      <alignment horizontal="right" vertical="center"/>
    </xf>
    <xf numFmtId="1" fontId="33" fillId="0" borderId="160" xfId="5" applyNumberFormat="1" applyFont="1" applyBorder="1" applyAlignment="1" applyProtection="1">
      <alignment horizontal="right" vertical="center"/>
    </xf>
    <xf numFmtId="1" fontId="33" fillId="0" borderId="161" xfId="5" applyNumberFormat="1" applyFont="1" applyBorder="1" applyAlignment="1" applyProtection="1">
      <alignment horizontal="right" vertical="center"/>
    </xf>
    <xf numFmtId="1" fontId="33" fillId="0" borderId="162" xfId="5" applyNumberFormat="1" applyFont="1" applyBorder="1" applyAlignment="1" applyProtection="1">
      <alignment horizontal="right" vertical="center"/>
    </xf>
    <xf numFmtId="1" fontId="33" fillId="0" borderId="163" xfId="5" applyNumberFormat="1" applyFont="1" applyBorder="1" applyAlignment="1" applyProtection="1">
      <alignment horizontal="right" vertical="center"/>
    </xf>
    <xf numFmtId="1" fontId="33" fillId="0" borderId="160" xfId="0" applyNumberFormat="1" applyFont="1" applyBorder="1" applyAlignment="1">
      <alignment horizontal="right" vertical="center"/>
    </xf>
    <xf numFmtId="1" fontId="0" fillId="0" borderId="160" xfId="0" applyNumberFormat="1" applyBorder="1"/>
    <xf numFmtId="1" fontId="33" fillId="0" borderId="160" xfId="5" applyNumberFormat="1" applyFont="1" applyFill="1" applyBorder="1" applyAlignment="1" applyProtection="1">
      <alignment horizontal="right" vertical="center"/>
    </xf>
    <xf numFmtId="1" fontId="33" fillId="0" borderId="161" xfId="0" applyNumberFormat="1" applyFont="1" applyBorder="1" applyAlignment="1">
      <alignment horizontal="right" vertical="center"/>
    </xf>
    <xf numFmtId="1" fontId="89" fillId="0" borderId="100" xfId="5" applyNumberFormat="1" applyFont="1" applyBorder="1" applyAlignment="1" applyProtection="1">
      <alignment horizontal="left" vertical="center"/>
    </xf>
    <xf numFmtId="1" fontId="89" fillId="0" borderId="99" xfId="0" applyNumberFormat="1" applyFont="1" applyBorder="1" applyAlignment="1">
      <alignment horizontal="left" vertical="center"/>
    </xf>
    <xf numFmtId="1" fontId="89" fillId="0" borderId="79" xfId="0" applyNumberFormat="1" applyFont="1" applyBorder="1" applyAlignment="1">
      <alignment horizontal="left" vertical="center"/>
    </xf>
    <xf numFmtId="0" fontId="111" fillId="0" borderId="79" xfId="0" applyFont="1" applyBorder="1" applyAlignment="1">
      <alignment horizontal="left"/>
    </xf>
    <xf numFmtId="194" fontId="89" fillId="0" borderId="79" xfId="0" applyNumberFormat="1" applyFont="1" applyBorder="1" applyAlignment="1">
      <alignment horizontal="left" vertical="center"/>
    </xf>
    <xf numFmtId="2" fontId="89" fillId="0" borderId="89" xfId="0" applyNumberFormat="1" applyFont="1" applyFill="1" applyBorder="1" applyAlignment="1">
      <alignment horizontal="left" vertical="center"/>
    </xf>
    <xf numFmtId="2" fontId="33" fillId="0" borderId="12" xfId="4" applyNumberFormat="1" applyFont="1" applyFill="1" applyBorder="1" applyAlignment="1">
      <alignment horizontal="right" vertical="center"/>
    </xf>
    <xf numFmtId="181" fontId="68" fillId="0" borderId="1" xfId="1" applyNumberFormat="1" applyFont="1" applyFill="1" applyBorder="1" applyAlignment="1" applyProtection="1">
      <alignment horizontal="right" vertical="center"/>
    </xf>
    <xf numFmtId="0" fontId="64" fillId="0" borderId="82" xfId="0" applyFont="1" applyBorder="1"/>
    <xf numFmtId="0" fontId="64" fillId="8" borderId="0" xfId="4" applyFont="1" applyFill="1" applyBorder="1"/>
    <xf numFmtId="0" fontId="64" fillId="4" borderId="0" xfId="4" applyFont="1" applyFill="1" applyBorder="1" applyAlignment="1">
      <alignment horizontal="right"/>
    </xf>
    <xf numFmtId="1" fontId="116" fillId="0" borderId="0" xfId="34" applyNumberFormat="1" applyFont="1" applyFill="1" applyBorder="1" applyAlignment="1" applyProtection="1">
      <alignment horizontal="right" vertical="center"/>
    </xf>
    <xf numFmtId="1" fontId="116" fillId="0" borderId="0" xfId="0" applyNumberFormat="1" applyFont="1" applyBorder="1" applyAlignment="1">
      <alignment horizontal="right" vertical="center"/>
    </xf>
    <xf numFmtId="1" fontId="33" fillId="4" borderId="82" xfId="34" applyNumberFormat="1" applyFont="1" applyFill="1" applyBorder="1" applyAlignment="1" applyProtection="1">
      <alignment horizontal="right" vertical="center"/>
      <protection locked="0"/>
    </xf>
    <xf numFmtId="0" fontId="64" fillId="4" borderId="82" xfId="0" applyFont="1" applyFill="1" applyBorder="1" applyAlignment="1">
      <alignment horizontal="right"/>
    </xf>
    <xf numFmtId="1" fontId="88" fillId="0" borderId="0" xfId="10" applyNumberFormat="1" applyFont="1"/>
    <xf numFmtId="0" fontId="62" fillId="0" borderId="0" xfId="0" applyFont="1" applyBorder="1"/>
    <xf numFmtId="0" fontId="62" fillId="0" borderId="12" xfId="0" applyFont="1" applyBorder="1"/>
    <xf numFmtId="0" fontId="92" fillId="0" borderId="0" xfId="19" applyFont="1" applyAlignment="1">
      <alignment horizontal="center" vertical="center" wrapText="1"/>
    </xf>
    <xf numFmtId="1" fontId="92" fillId="0" borderId="68" xfId="19" applyNumberFormat="1" applyFont="1" applyFill="1" applyBorder="1" applyAlignment="1">
      <alignment horizontal="center"/>
    </xf>
    <xf numFmtId="1" fontId="92" fillId="0" borderId="68" xfId="19" applyNumberFormat="1" applyFont="1" applyFill="1" applyBorder="1"/>
    <xf numFmtId="1" fontId="29" fillId="7" borderId="0" xfId="19" applyNumberFormat="1" applyFont="1" applyFill="1" applyBorder="1"/>
    <xf numFmtId="0" fontId="41" fillId="0" borderId="0" xfId="19" applyFont="1" applyFill="1"/>
    <xf numFmtId="0" fontId="26" fillId="0" borderId="25" xfId="24" applyFont="1" applyFill="1" applyBorder="1"/>
    <xf numFmtId="0" fontId="26" fillId="0" borderId="16" xfId="24" applyFont="1" applyFill="1" applyBorder="1"/>
    <xf numFmtId="0" fontId="26" fillId="0" borderId="17" xfId="24" applyFont="1" applyFill="1" applyBorder="1"/>
    <xf numFmtId="0" fontId="29" fillId="7" borderId="125" xfId="19" applyFont="1" applyFill="1" applyBorder="1"/>
    <xf numFmtId="0" fontId="29" fillId="7" borderId="126" xfId="19" applyFont="1" applyFill="1" applyBorder="1"/>
    <xf numFmtId="0" fontId="29" fillId="7" borderId="127" xfId="19" applyFont="1" applyFill="1" applyBorder="1"/>
    <xf numFmtId="0" fontId="26" fillId="7" borderId="11" xfId="19" applyFont="1" applyFill="1" applyBorder="1"/>
    <xf numFmtId="0" fontId="26" fillId="7" borderId="0" xfId="19" applyFont="1" applyFill="1" applyBorder="1"/>
    <xf numFmtId="0" fontId="26" fillId="7" borderId="12" xfId="19" applyFont="1" applyFill="1" applyBorder="1"/>
    <xf numFmtId="0" fontId="29" fillId="7" borderId="11" xfId="19" applyFont="1" applyFill="1" applyBorder="1"/>
    <xf numFmtId="0" fontId="29" fillId="7" borderId="0" xfId="19" applyFont="1" applyFill="1" applyBorder="1"/>
    <xf numFmtId="0" fontId="29" fillId="7" borderId="12" xfId="19" applyFont="1" applyFill="1" applyBorder="1"/>
    <xf numFmtId="0" fontId="43" fillId="7" borderId="11" xfId="19" applyFill="1" applyBorder="1"/>
    <xf numFmtId="0" fontId="43" fillId="7" borderId="0" xfId="19" applyFill="1" applyBorder="1"/>
    <xf numFmtId="0" fontId="43" fillId="7" borderId="12" xfId="19" applyFill="1" applyBorder="1"/>
    <xf numFmtId="0" fontId="43" fillId="7" borderId="85" xfId="19" applyFill="1" applyBorder="1"/>
    <xf numFmtId="182" fontId="43" fillId="7" borderId="85" xfId="19" applyNumberFormat="1" applyFill="1" applyBorder="1"/>
    <xf numFmtId="0" fontId="43" fillId="7" borderId="73" xfId="19" applyFill="1" applyBorder="1"/>
    <xf numFmtId="182" fontId="43" fillId="7" borderId="73" xfId="19" applyNumberFormat="1" applyFill="1" applyBorder="1"/>
    <xf numFmtId="0" fontId="43" fillId="7" borderId="74" xfId="19" applyFill="1" applyBorder="1"/>
    <xf numFmtId="182" fontId="43" fillId="7" borderId="74" xfId="19" applyNumberFormat="1" applyFill="1" applyBorder="1"/>
    <xf numFmtId="0" fontId="43" fillId="7" borderId="14" xfId="19" applyFill="1" applyBorder="1"/>
    <xf numFmtId="0" fontId="26" fillId="0" borderId="25" xfId="19" applyFont="1" applyFill="1" applyBorder="1"/>
    <xf numFmtId="0" fontId="26" fillId="0" borderId="16" xfId="19" applyFont="1" applyFill="1" applyBorder="1"/>
    <xf numFmtId="0" fontId="26" fillId="0" borderId="17" xfId="19" applyFont="1" applyFill="1" applyBorder="1"/>
    <xf numFmtId="0" fontId="26" fillId="7" borderId="11" xfId="24" applyFont="1" applyFill="1" applyBorder="1"/>
    <xf numFmtId="0" fontId="26" fillId="7" borderId="0" xfId="24" applyFont="1" applyFill="1" applyBorder="1"/>
    <xf numFmtId="0" fontId="26" fillId="7" borderId="12" xfId="24" applyFont="1" applyFill="1" applyBorder="1"/>
    <xf numFmtId="0" fontId="26" fillId="7" borderId="0" xfId="0" applyFont="1" applyFill="1" applyBorder="1"/>
    <xf numFmtId="0" fontId="26" fillId="7" borderId="0" xfId="19" applyFont="1" applyFill="1"/>
    <xf numFmtId="194" fontId="29" fillId="0" borderId="0" xfId="19" applyNumberFormat="1" applyFont="1" applyFill="1"/>
    <xf numFmtId="0" fontId="26" fillId="0" borderId="0" xfId="19" applyFont="1" applyFill="1"/>
    <xf numFmtId="194" fontId="34" fillId="0" borderId="0" xfId="19" applyNumberFormat="1" applyFont="1" applyFill="1"/>
    <xf numFmtId="1" fontId="92" fillId="0" borderId="7" xfId="19" applyNumberFormat="1" applyFont="1" applyBorder="1" applyAlignment="1">
      <alignment horizontal="right"/>
    </xf>
    <xf numFmtId="1" fontId="34" fillId="0" borderId="11" xfId="19" applyNumberFormat="1" applyFont="1" applyFill="1" applyBorder="1" applyAlignment="1">
      <alignment horizontal="left"/>
    </xf>
    <xf numFmtId="1" fontId="34" fillId="0" borderId="23" xfId="19" applyNumberFormat="1" applyFont="1" applyFill="1" applyBorder="1" applyAlignment="1">
      <alignment horizontal="right"/>
    </xf>
    <xf numFmtId="1" fontId="34" fillId="4" borderId="7" xfId="19" applyNumberFormat="1" applyFont="1" applyFill="1" applyBorder="1" applyAlignment="1">
      <alignment horizontal="right"/>
    </xf>
    <xf numFmtId="0" fontId="43" fillId="7" borderId="37" xfId="19" applyFill="1" applyBorder="1"/>
    <xf numFmtId="0" fontId="43" fillId="7" borderId="38" xfId="19" applyFill="1" applyBorder="1" applyAlignment="1">
      <alignment horizontal="right"/>
    </xf>
    <xf numFmtId="0" fontId="42" fillId="7" borderId="38" xfId="19" applyFont="1" applyFill="1" applyBorder="1" applyAlignment="1">
      <alignment horizontal="right"/>
    </xf>
    <xf numFmtId="0" fontId="43" fillId="7" borderId="39" xfId="19" applyFill="1" applyBorder="1"/>
    <xf numFmtId="1" fontId="34" fillId="7" borderId="0" xfId="19" applyNumberFormat="1" applyFont="1" applyFill="1" applyBorder="1" applyProtection="1"/>
    <xf numFmtId="182" fontId="34" fillId="7" borderId="0" xfId="19" applyNumberFormat="1" applyFont="1" applyFill="1" applyBorder="1" applyProtection="1"/>
    <xf numFmtId="1" fontId="34" fillId="7" borderId="5" xfId="19" applyNumberFormat="1" applyFont="1" applyFill="1" applyBorder="1"/>
    <xf numFmtId="1" fontId="34" fillId="7" borderId="7" xfId="19" applyNumberFormat="1" applyFont="1" applyFill="1" applyBorder="1" applyProtection="1"/>
    <xf numFmtId="1" fontId="34" fillId="7" borderId="5" xfId="19" applyNumberFormat="1" applyFont="1" applyFill="1" applyBorder="1" applyProtection="1"/>
    <xf numFmtId="1" fontId="62" fillId="0" borderId="164" xfId="4" applyNumberFormat="1" applyFont="1" applyFill="1" applyBorder="1" applyAlignment="1">
      <alignment horizontal="right" vertical="center"/>
    </xf>
    <xf numFmtId="1" fontId="88" fillId="0" borderId="14" xfId="10" applyNumberFormat="1" applyFont="1" applyBorder="1"/>
    <xf numFmtId="1" fontId="88" fillId="0" borderId="13" xfId="10" applyNumberFormat="1" applyFont="1" applyBorder="1"/>
    <xf numFmtId="1" fontId="88" fillId="0" borderId="15" xfId="10" applyNumberFormat="1" applyFont="1" applyBorder="1"/>
    <xf numFmtId="0" fontId="131" fillId="0" borderId="16" xfId="4" applyFont="1" applyBorder="1" applyAlignment="1">
      <alignment vertical="center"/>
    </xf>
    <xf numFmtId="0" fontId="62" fillId="0" borderId="16" xfId="4" applyFont="1" applyBorder="1" applyAlignment="1">
      <alignment vertical="center"/>
    </xf>
    <xf numFmtId="0" fontId="62" fillId="0" borderId="0" xfId="4" applyFont="1" applyAlignment="1">
      <alignment vertical="center"/>
    </xf>
    <xf numFmtId="0" fontId="131" fillId="0" borderId="11" xfId="4" applyFont="1" applyBorder="1" applyAlignment="1">
      <alignment vertical="center"/>
    </xf>
    <xf numFmtId="0" fontId="62" fillId="0" borderId="0" xfId="4" applyFont="1" applyBorder="1" applyAlignment="1">
      <alignment vertical="center"/>
    </xf>
    <xf numFmtId="9" fontId="131" fillId="0" borderId="0" xfId="14" applyFont="1" applyBorder="1" applyAlignment="1">
      <alignment horizontal="right" vertical="center"/>
    </xf>
    <xf numFmtId="14" fontId="71" fillId="0" borderId="0" xfId="5" applyNumberFormat="1" applyFont="1" applyBorder="1" applyAlignment="1" applyProtection="1">
      <alignment vertical="center"/>
    </xf>
    <xf numFmtId="177" fontId="71" fillId="0" borderId="0" xfId="5" quotePrefix="1" applyNumberFormat="1" applyFont="1" applyBorder="1" applyAlignment="1" applyProtection="1">
      <alignment vertical="center"/>
    </xf>
    <xf numFmtId="0" fontId="132" fillId="0" borderId="0" xfId="4" applyFont="1" applyBorder="1" applyAlignment="1">
      <alignment horizontal="right" vertical="center"/>
    </xf>
    <xf numFmtId="14" fontId="71" fillId="0" borderId="0" xfId="5" quotePrefix="1" applyNumberFormat="1" applyFont="1" applyBorder="1" applyAlignment="1" applyProtection="1">
      <alignment vertical="center"/>
    </xf>
    <xf numFmtId="9" fontId="131" fillId="0" borderId="0" xfId="14" applyFont="1" applyBorder="1" applyAlignment="1">
      <alignment vertical="center"/>
    </xf>
    <xf numFmtId="0" fontId="131" fillId="0" borderId="0" xfId="4" applyFont="1" applyBorder="1" applyAlignment="1">
      <alignment vertical="center"/>
    </xf>
    <xf numFmtId="0" fontId="131" fillId="0" borderId="23" xfId="4" applyFont="1" applyBorder="1" applyAlignment="1">
      <alignment vertical="center"/>
    </xf>
    <xf numFmtId="9" fontId="131" fillId="0" borderId="5" xfId="14" applyFont="1" applyBorder="1" applyAlignment="1">
      <alignment vertical="center"/>
    </xf>
    <xf numFmtId="2" fontId="131" fillId="0" borderId="0" xfId="4" applyNumberFormat="1" applyFont="1" applyBorder="1" applyAlignment="1">
      <alignment vertical="center"/>
    </xf>
    <xf numFmtId="0" fontId="132" fillId="0" borderId="11" xfId="4" applyFont="1" applyFill="1" applyBorder="1" applyAlignment="1">
      <alignment vertical="center"/>
    </xf>
    <xf numFmtId="2" fontId="71" fillId="0" borderId="0" xfId="4" applyNumberFormat="1" applyFont="1" applyBorder="1" applyAlignment="1">
      <alignment vertical="center"/>
    </xf>
    <xf numFmtId="2" fontId="62" fillId="0" borderId="0" xfId="4" applyNumberFormat="1" applyFont="1" applyBorder="1" applyAlignment="1">
      <alignment vertical="center"/>
    </xf>
    <xf numFmtId="2" fontId="62" fillId="0" borderId="13" xfId="4" applyNumberFormat="1" applyFont="1" applyBorder="1" applyAlignment="1">
      <alignment vertical="center"/>
    </xf>
    <xf numFmtId="2" fontId="62" fillId="0" borderId="14" xfId="4" applyNumberFormat="1" applyFont="1" applyBorder="1" applyAlignment="1">
      <alignment vertical="center"/>
    </xf>
    <xf numFmtId="2" fontId="62" fillId="0" borderId="0" xfId="4" applyNumberFormat="1" applyFont="1" applyAlignment="1">
      <alignment vertical="center"/>
    </xf>
    <xf numFmtId="2" fontId="133" fillId="0" borderId="0" xfId="4" applyNumberFormat="1" applyFont="1" applyAlignment="1">
      <alignment horizontal="center" vertical="center"/>
    </xf>
    <xf numFmtId="0" fontId="62" fillId="0" borderId="0" xfId="4" applyFont="1"/>
    <xf numFmtId="0" fontId="62" fillId="0" borderId="119" xfId="4" applyFont="1" applyBorder="1"/>
    <xf numFmtId="0" fontId="62" fillId="0" borderId="0" xfId="4" applyFont="1" applyBorder="1"/>
    <xf numFmtId="0" fontId="62" fillId="0" borderId="118" xfId="4" applyFont="1" applyBorder="1" applyAlignment="1">
      <alignment vertical="center"/>
    </xf>
    <xf numFmtId="0" fontId="62" fillId="0" borderId="120" xfId="4" applyFont="1" applyBorder="1"/>
    <xf numFmtId="0" fontId="62" fillId="0" borderId="168" xfId="4" applyFont="1" applyBorder="1"/>
    <xf numFmtId="0" fontId="62" fillId="0" borderId="168" xfId="4" applyFont="1" applyBorder="1" applyAlignment="1">
      <alignment vertical="center"/>
    </xf>
    <xf numFmtId="0" fontId="62" fillId="0" borderId="121" xfId="4" applyFont="1" applyBorder="1" applyAlignment="1">
      <alignment vertical="center"/>
    </xf>
    <xf numFmtId="0" fontId="62" fillId="0" borderId="120" xfId="4" applyFont="1" applyBorder="1" applyAlignment="1">
      <alignment vertical="center"/>
    </xf>
    <xf numFmtId="0" fontId="134" fillId="0" borderId="169" xfId="4" applyFont="1" applyBorder="1" applyAlignment="1">
      <alignment horizontal="right" vertical="center"/>
    </xf>
    <xf numFmtId="0" fontId="134" fillId="0" borderId="170" xfId="4" applyFont="1" applyBorder="1" applyAlignment="1">
      <alignment horizontal="right" vertical="center"/>
    </xf>
    <xf numFmtId="0" fontId="134" fillId="0" borderId="116" xfId="4" applyFont="1" applyBorder="1" applyAlignment="1">
      <alignment horizontal="right" vertical="center"/>
    </xf>
    <xf numFmtId="0" fontId="134" fillId="0" borderId="119" xfId="4" applyFont="1" applyBorder="1" applyAlignment="1">
      <alignment horizontal="right" vertical="center"/>
    </xf>
    <xf numFmtId="0" fontId="62" fillId="0" borderId="14" xfId="4" applyFont="1" applyBorder="1"/>
    <xf numFmtId="176" fontId="62" fillId="0" borderId="0" xfId="5" applyFont="1"/>
    <xf numFmtId="176" fontId="62" fillId="0" borderId="0" xfId="5" applyFont="1" applyBorder="1"/>
    <xf numFmtId="0" fontId="62" fillId="0" borderId="165" xfId="4" applyFont="1" applyBorder="1"/>
    <xf numFmtId="0" fontId="62" fillId="0" borderId="166" xfId="4" applyFont="1" applyBorder="1"/>
    <xf numFmtId="0" fontId="62" fillId="0" borderId="167" xfId="4" applyFont="1" applyBorder="1"/>
    <xf numFmtId="176" fontId="62" fillId="0" borderId="119" xfId="5" applyFont="1" applyBorder="1"/>
    <xf numFmtId="176" fontId="62" fillId="0" borderId="118" xfId="5" applyFont="1" applyBorder="1"/>
    <xf numFmtId="0" fontId="62" fillId="0" borderId="0" xfId="4" applyFont="1" applyFill="1"/>
    <xf numFmtId="0" fontId="62" fillId="0" borderId="14" xfId="4" applyFont="1" applyBorder="1" applyAlignment="1">
      <alignment vertical="center"/>
    </xf>
    <xf numFmtId="0" fontId="134" fillId="0" borderId="0" xfId="4" applyFont="1" applyBorder="1" applyAlignment="1">
      <alignment vertical="center"/>
    </xf>
    <xf numFmtId="0" fontId="134" fillId="0" borderId="165" xfId="4" applyFont="1" applyBorder="1" applyAlignment="1">
      <alignment vertical="center"/>
    </xf>
    <xf numFmtId="0" fontId="134" fillId="0" borderId="166" xfId="4" applyFont="1" applyBorder="1" applyAlignment="1">
      <alignment vertical="center"/>
    </xf>
    <xf numFmtId="0" fontId="134" fillId="0" borderId="167" xfId="4" applyFont="1" applyBorder="1" applyAlignment="1">
      <alignment vertical="center"/>
    </xf>
    <xf numFmtId="0" fontId="135" fillId="0" borderId="0" xfId="4" applyFont="1"/>
    <xf numFmtId="0" fontId="25" fillId="0" borderId="0" xfId="0" applyFont="1" applyBorder="1"/>
    <xf numFmtId="0" fontId="92" fillId="0" borderId="0" xfId="0" applyFont="1" applyBorder="1" applyAlignment="1">
      <alignment horizontal="left"/>
    </xf>
    <xf numFmtId="0" fontId="92" fillId="0" borderId="0" xfId="0" applyFont="1" applyFill="1" applyBorder="1" applyAlignment="1" applyProtection="1"/>
    <xf numFmtId="176" fontId="62" fillId="0" borderId="171" xfId="5" applyFont="1" applyBorder="1"/>
    <xf numFmtId="177" fontId="129" fillId="0" borderId="45" xfId="0" applyNumberFormat="1" applyFont="1" applyBorder="1" applyAlignment="1">
      <alignment horizontal="center" wrapText="1"/>
    </xf>
    <xf numFmtId="177" fontId="68" fillId="0" borderId="45" xfId="1" applyNumberFormat="1" applyFont="1" applyBorder="1" applyAlignment="1" applyProtection="1">
      <alignment horizontal="center" wrapText="1"/>
    </xf>
    <xf numFmtId="177" fontId="68" fillId="0" borderId="45" xfId="0" applyNumberFormat="1" applyFont="1" applyBorder="1" applyAlignment="1">
      <alignment horizontal="center" wrapText="1"/>
    </xf>
    <xf numFmtId="177" fontId="68" fillId="0" borderId="47" xfId="1" applyNumberFormat="1" applyFont="1" applyBorder="1" applyAlignment="1" applyProtection="1">
      <alignment horizontal="center" wrapText="1"/>
    </xf>
    <xf numFmtId="177" fontId="129" fillId="0" borderId="34" xfId="0" applyNumberFormat="1" applyFont="1" applyBorder="1" applyAlignment="1">
      <alignment horizontal="right" vertical="center"/>
    </xf>
    <xf numFmtId="181" fontId="68" fillId="0" borderId="35" xfId="1" applyNumberFormat="1" applyFont="1" applyBorder="1" applyAlignment="1" applyProtection="1">
      <alignment vertical="center"/>
    </xf>
    <xf numFmtId="177" fontId="129" fillId="0" borderId="35" xfId="0" applyNumberFormat="1" applyFont="1" applyBorder="1" applyAlignment="1">
      <alignment vertical="center"/>
    </xf>
    <xf numFmtId="181" fontId="68" fillId="0" borderId="35" xfId="0" applyNumberFormat="1" applyFont="1" applyBorder="1" applyAlignment="1">
      <alignment vertical="center"/>
    </xf>
    <xf numFmtId="177" fontId="50" fillId="0" borderId="35" xfId="1" applyNumberFormat="1" applyFont="1" applyFill="1" applyBorder="1" applyAlignment="1" applyProtection="1">
      <alignment vertical="center"/>
    </xf>
    <xf numFmtId="177" fontId="68" fillId="0" borderId="35" xfId="0" applyNumberFormat="1" applyFont="1" applyBorder="1" applyAlignment="1">
      <alignment vertical="center"/>
    </xf>
    <xf numFmtId="177" fontId="68" fillId="0" borderId="35" xfId="1" applyNumberFormat="1" applyFont="1" applyBorder="1" applyAlignment="1" applyProtection="1">
      <alignment vertical="center"/>
    </xf>
    <xf numFmtId="177" fontId="129" fillId="0" borderId="44" xfId="0" applyNumberFormat="1" applyFont="1" applyBorder="1" applyAlignment="1">
      <alignment horizontal="center" wrapText="1"/>
    </xf>
    <xf numFmtId="181" fontId="68" fillId="0" borderId="36" xfId="1" applyNumberFormat="1" applyFont="1" applyBorder="1" applyAlignment="1" applyProtection="1">
      <alignment vertical="center"/>
    </xf>
    <xf numFmtId="177" fontId="53" fillId="0" borderId="37" xfId="5" applyNumberFormat="1" applyFont="1" applyFill="1" applyBorder="1" applyAlignment="1" applyProtection="1">
      <alignment horizontal="left" vertical="center"/>
    </xf>
    <xf numFmtId="0" fontId="68" fillId="10" borderId="14" xfId="19" applyFont="1" applyFill="1" applyBorder="1" applyAlignment="1" applyProtection="1">
      <alignment horizontal="right" vertical="center"/>
      <protection locked="0"/>
    </xf>
    <xf numFmtId="0" fontId="64" fillId="0" borderId="0" xfId="0" applyFont="1" applyBorder="1" applyAlignment="1">
      <alignment vertical="center" wrapText="1"/>
    </xf>
    <xf numFmtId="0" fontId="64" fillId="0" borderId="12" xfId="0" applyFont="1" applyBorder="1" applyAlignment="1">
      <alignment vertical="center" wrapText="1"/>
    </xf>
    <xf numFmtId="0" fontId="64" fillId="8" borderId="12" xfId="0" applyFont="1" applyFill="1" applyBorder="1"/>
    <xf numFmtId="1" fontId="33" fillId="4" borderId="172" xfId="34" applyNumberFormat="1" applyFont="1" applyFill="1" applyBorder="1" applyAlignment="1" applyProtection="1">
      <alignment horizontal="right" vertical="center"/>
    </xf>
    <xf numFmtId="0" fontId="64" fillId="0" borderId="12" xfId="0" applyFont="1" applyBorder="1" applyAlignment="1">
      <alignment horizontal="right"/>
    </xf>
    <xf numFmtId="1" fontId="123" fillId="4" borderId="172" xfId="34" applyNumberFormat="1" applyFont="1" applyFill="1" applyBorder="1" applyAlignment="1" applyProtection="1">
      <alignment horizontal="right" vertical="center"/>
    </xf>
    <xf numFmtId="1" fontId="64" fillId="4" borderId="172" xfId="34" applyNumberFormat="1" applyFont="1" applyFill="1" applyBorder="1" applyAlignment="1" applyProtection="1">
      <alignment horizontal="right" vertical="center"/>
    </xf>
    <xf numFmtId="1" fontId="116" fillId="4" borderId="172" xfId="34" applyNumberFormat="1" applyFont="1" applyFill="1" applyBorder="1" applyAlignment="1" applyProtection="1">
      <alignment horizontal="right" vertical="center"/>
    </xf>
    <xf numFmtId="1" fontId="33" fillId="4" borderId="173" xfId="34" applyNumberFormat="1" applyFont="1" applyFill="1" applyBorder="1" applyAlignment="1" applyProtection="1">
      <alignment horizontal="right" vertical="center"/>
    </xf>
    <xf numFmtId="0" fontId="64" fillId="0" borderId="84" xfId="0" applyFont="1" applyBorder="1"/>
    <xf numFmtId="177" fontId="62" fillId="0" borderId="80" xfId="34" applyNumberFormat="1" applyFont="1" applyBorder="1" applyAlignment="1" applyProtection="1">
      <alignment horizontal="left" vertical="center"/>
      <protection locked="0"/>
    </xf>
    <xf numFmtId="177" fontId="62" fillId="0" borderId="81" xfId="34" applyNumberFormat="1" applyFont="1" applyBorder="1" applyAlignment="1" applyProtection="1">
      <alignment horizontal="left" vertical="center"/>
      <protection locked="0"/>
    </xf>
    <xf numFmtId="0" fontId="64" fillId="8" borderId="0" xfId="0" applyFont="1" applyFill="1" applyBorder="1"/>
    <xf numFmtId="1" fontId="64" fillId="0" borderId="11" xfId="0" applyNumberFormat="1" applyFont="1" applyBorder="1"/>
    <xf numFmtId="1" fontId="64" fillId="0" borderId="0" xfId="0" applyNumberFormat="1" applyFont="1" applyBorder="1"/>
    <xf numFmtId="9" fontId="64" fillId="0" borderId="0" xfId="14" applyFont="1" applyBorder="1"/>
    <xf numFmtId="182" fontId="64" fillId="0" borderId="12" xfId="0" applyNumberFormat="1" applyFont="1" applyBorder="1"/>
    <xf numFmtId="1" fontId="34" fillId="0" borderId="21" xfId="19" applyNumberFormat="1" applyFont="1" applyBorder="1" applyAlignment="1">
      <alignment horizontal="left"/>
    </xf>
    <xf numFmtId="0" fontId="34" fillId="0" borderId="7" xfId="19" applyFont="1" applyBorder="1"/>
    <xf numFmtId="1" fontId="34" fillId="23" borderId="7" xfId="19" applyNumberFormat="1" applyFont="1" applyFill="1" applyBorder="1" applyAlignment="1">
      <alignment horizontal="right"/>
    </xf>
    <xf numFmtId="1" fontId="34" fillId="0" borderId="22" xfId="19" applyNumberFormat="1" applyFont="1" applyFill="1" applyBorder="1"/>
    <xf numFmtId="1" fontId="34" fillId="0" borderId="7" xfId="19" quotePrefix="1" applyNumberFormat="1" applyFont="1" applyFill="1" applyBorder="1"/>
    <xf numFmtId="0" fontId="34" fillId="0" borderId="23" xfId="19" applyFont="1" applyFill="1" applyBorder="1"/>
    <xf numFmtId="1" fontId="34" fillId="0" borderId="11" xfId="19" applyNumberFormat="1" applyFont="1" applyFill="1" applyBorder="1" applyAlignment="1">
      <alignment horizontal="right"/>
    </xf>
    <xf numFmtId="1" fontId="34" fillId="0" borderId="11" xfId="19" applyNumberFormat="1" applyFont="1" applyFill="1" applyBorder="1"/>
    <xf numFmtId="0" fontId="29" fillId="9" borderId="0" xfId="19" applyFont="1" applyFill="1"/>
    <xf numFmtId="194" fontId="29" fillId="9" borderId="0" xfId="19" applyNumberFormat="1" applyFont="1" applyFill="1"/>
    <xf numFmtId="0" fontId="41" fillId="9" borderId="0" xfId="19" applyFont="1" applyFill="1"/>
    <xf numFmtId="0" fontId="33" fillId="19" borderId="73" xfId="29" applyFont="1" applyFill="1" applyBorder="1" applyAlignment="1">
      <alignment horizontal="left" vertical="center"/>
    </xf>
    <xf numFmtId="0" fontId="122" fillId="19" borderId="0" xfId="29" applyNumberFormat="1" applyFont="1" applyFill="1" applyBorder="1" applyAlignment="1">
      <alignment horizontal="center" vertical="center"/>
    </xf>
    <xf numFmtId="1" fontId="121" fillId="19" borderId="0" xfId="29" applyNumberFormat="1" applyFont="1" applyFill="1" applyBorder="1" applyAlignment="1">
      <alignment horizontal="right" vertical="center"/>
    </xf>
    <xf numFmtId="194" fontId="29" fillId="0" borderId="0" xfId="19" applyNumberFormat="1" applyFont="1" applyFill="1" applyBorder="1"/>
    <xf numFmtId="0" fontId="26" fillId="0" borderId="0" xfId="19" applyFont="1" applyFill="1" applyBorder="1"/>
    <xf numFmtId="0" fontId="95" fillId="0" borderId="0" xfId="29" applyFont="1" applyBorder="1" applyAlignment="1">
      <alignment horizontal="center" vertical="center"/>
    </xf>
    <xf numFmtId="0" fontId="119" fillId="0" borderId="0" xfId="29" applyFont="1" applyBorder="1" applyAlignment="1">
      <alignment horizontal="center" vertical="center"/>
    </xf>
    <xf numFmtId="0" fontId="119" fillId="0" borderId="12" xfId="29" applyFont="1" applyBorder="1" applyAlignment="1">
      <alignment horizontal="center" vertical="center"/>
    </xf>
    <xf numFmtId="194" fontId="34" fillId="7" borderId="0" xfId="0" applyNumberFormat="1" applyFont="1" applyFill="1" applyBorder="1" applyProtection="1">
      <protection locked="0"/>
    </xf>
    <xf numFmtId="0" fontId="37" fillId="21" borderId="72" xfId="29" applyFont="1" applyFill="1" applyBorder="1" applyAlignment="1">
      <alignment horizontal="left" vertical="center"/>
    </xf>
    <xf numFmtId="0" fontId="93" fillId="21" borderId="7" xfId="29" applyNumberFormat="1" applyFont="1" applyFill="1" applyBorder="1" applyAlignment="1">
      <alignment horizontal="center" vertical="center"/>
    </xf>
    <xf numFmtId="0" fontId="33" fillId="0" borderId="7" xfId="29" applyFont="1" applyBorder="1" applyAlignment="1">
      <alignment vertical="center"/>
    </xf>
    <xf numFmtId="1" fontId="64" fillId="0" borderId="0" xfId="0" applyNumberFormat="1" applyFont="1" applyBorder="1" applyAlignment="1">
      <alignment vertical="center" wrapText="1"/>
    </xf>
    <xf numFmtId="9" fontId="64" fillId="0" borderId="0" xfId="14" applyFont="1" applyBorder="1" applyAlignment="1">
      <alignment vertical="center" wrapText="1"/>
    </xf>
    <xf numFmtId="182" fontId="116" fillId="0" borderId="0" xfId="0" applyNumberFormat="1" applyFont="1" applyBorder="1" applyAlignment="1">
      <alignment vertical="center" wrapText="1"/>
    </xf>
    <xf numFmtId="182" fontId="64" fillId="0" borderId="12" xfId="0" applyNumberFormat="1" applyFont="1" applyBorder="1" applyAlignment="1">
      <alignment vertical="center" wrapText="1"/>
    </xf>
    <xf numFmtId="0" fontId="64" fillId="0" borderId="83" xfId="0" applyFont="1" applyBorder="1"/>
    <xf numFmtId="9" fontId="64" fillId="0" borderId="82" xfId="14" applyFont="1" applyBorder="1"/>
    <xf numFmtId="182" fontId="64" fillId="0" borderId="84" xfId="0" applyNumberFormat="1" applyFont="1" applyBorder="1"/>
    <xf numFmtId="11" fontId="33" fillId="0" borderId="0" xfId="4" applyNumberFormat="1" applyFont="1" applyFill="1" applyBorder="1" applyAlignment="1">
      <alignment horizontal="right" vertical="center" wrapText="1"/>
    </xf>
    <xf numFmtId="11" fontId="33" fillId="8" borderId="0" xfId="0" applyNumberFormat="1" applyFont="1" applyFill="1" applyBorder="1" applyAlignment="1">
      <alignment horizontal="right" vertical="center"/>
    </xf>
    <xf numFmtId="11" fontId="33" fillId="4" borderId="0" xfId="34" applyNumberFormat="1" applyFont="1" applyFill="1" applyBorder="1" applyAlignment="1">
      <alignment horizontal="right" vertical="center"/>
    </xf>
    <xf numFmtId="11" fontId="33" fillId="4" borderId="82" xfId="34" applyNumberFormat="1" applyFont="1" applyFill="1" applyBorder="1" applyAlignment="1">
      <alignment horizontal="right" vertical="center"/>
    </xf>
    <xf numFmtId="1" fontId="33" fillId="0" borderId="17" xfId="29" applyNumberFormat="1" applyFont="1" applyFill="1" applyBorder="1"/>
    <xf numFmtId="0" fontId="33" fillId="0" borderId="0" xfId="29" applyFont="1" applyBorder="1" applyAlignment="1">
      <alignment horizontal="center" vertical="center"/>
    </xf>
    <xf numFmtId="0" fontId="33" fillId="0" borderId="0" xfId="29" applyFont="1" applyFill="1" applyBorder="1"/>
    <xf numFmtId="0" fontId="33" fillId="0" borderId="12" xfId="29" applyFont="1" applyFill="1" applyBorder="1"/>
    <xf numFmtId="0" fontId="34" fillId="0" borderId="73" xfId="19" applyFont="1" applyBorder="1" applyAlignment="1">
      <alignment horizontal="right"/>
    </xf>
    <xf numFmtId="0" fontId="34" fillId="0" borderId="73" xfId="19" applyFont="1" applyFill="1" applyBorder="1" applyAlignment="1">
      <alignment horizontal="right"/>
    </xf>
    <xf numFmtId="0" fontId="34" fillId="0" borderId="73" xfId="19" applyFont="1" applyBorder="1"/>
    <xf numFmtId="0" fontId="92" fillId="0" borderId="174" xfId="19" applyFont="1" applyBorder="1"/>
    <xf numFmtId="0" fontId="34" fillId="0" borderId="175" xfId="19" applyFont="1" applyBorder="1" applyAlignment="1">
      <alignment horizontal="right"/>
    </xf>
    <xf numFmtId="1" fontId="103" fillId="4" borderId="0" xfId="19" quotePrefix="1" applyNumberFormat="1" applyFont="1" applyFill="1" applyBorder="1"/>
    <xf numFmtId="1" fontId="103" fillId="4" borderId="5" xfId="19" quotePrefix="1" applyNumberFormat="1" applyFont="1" applyFill="1" applyBorder="1"/>
    <xf numFmtId="1" fontId="103" fillId="4" borderId="12" xfId="19" applyNumberFormat="1" applyFont="1" applyFill="1" applyBorder="1"/>
    <xf numFmtId="1" fontId="103" fillId="4" borderId="24" xfId="19" applyNumberFormat="1" applyFont="1" applyFill="1" applyBorder="1"/>
    <xf numFmtId="2" fontId="33" fillId="0" borderId="0" xfId="29" applyNumberFormat="1" applyFont="1" applyFill="1" applyBorder="1"/>
    <xf numFmtId="1" fontId="33" fillId="0" borderId="0" xfId="29" applyNumberFormat="1" applyFont="1" applyFill="1" applyBorder="1"/>
    <xf numFmtId="1" fontId="33" fillId="0" borderId="12" xfId="29" applyNumberFormat="1" applyFont="1" applyFill="1" applyBorder="1" applyAlignment="1">
      <alignment horizontal="left" vertical="center"/>
    </xf>
    <xf numFmtId="0" fontId="93" fillId="19" borderId="5" xfId="29" applyNumberFormat="1" applyFont="1" applyFill="1" applyBorder="1" applyAlignment="1">
      <alignment horizontal="center" vertical="center"/>
    </xf>
    <xf numFmtId="0" fontId="33" fillId="0" borderId="5" xfId="29" applyFont="1" applyBorder="1" applyAlignment="1">
      <alignment vertical="center"/>
    </xf>
    <xf numFmtId="0" fontId="37" fillId="19" borderId="72" xfId="29" applyFont="1" applyFill="1" applyBorder="1" applyAlignment="1">
      <alignment horizontal="left" vertical="center"/>
    </xf>
    <xf numFmtId="0" fontId="93" fillId="19" borderId="7" xfId="29" applyNumberFormat="1" applyFont="1" applyFill="1" applyBorder="1" applyAlignment="1">
      <alignment horizontal="center" vertical="center"/>
    </xf>
    <xf numFmtId="0" fontId="37" fillId="19" borderId="23" xfId="29" applyFont="1" applyFill="1" applyBorder="1" applyAlignment="1">
      <alignment horizontal="left" vertical="center"/>
    </xf>
    <xf numFmtId="1" fontId="34" fillId="7" borderId="0" xfId="19" applyNumberFormat="1" applyFont="1" applyFill="1" applyProtection="1"/>
    <xf numFmtId="2" fontId="34" fillId="7" borderId="0" xfId="19" applyNumberFormat="1" applyFont="1" applyFill="1"/>
    <xf numFmtId="1" fontId="34" fillId="4" borderId="0" xfId="19" applyNumberFormat="1" applyFont="1" applyFill="1" applyBorder="1" applyAlignment="1">
      <alignment horizontal="right"/>
    </xf>
    <xf numFmtId="1" fontId="33" fillId="0" borderId="0" xfId="29" applyNumberFormat="1" applyFont="1" applyFill="1" applyBorder="1" applyAlignment="1">
      <alignment horizontal="left" vertical="center"/>
    </xf>
    <xf numFmtId="182" fontId="33" fillId="0" borderId="0" xfId="29" applyNumberFormat="1" applyFont="1" applyFill="1" applyBorder="1" applyAlignment="1">
      <alignment horizontal="left" vertical="center"/>
    </xf>
    <xf numFmtId="0" fontId="33" fillId="0" borderId="16" xfId="30" applyFont="1" applyBorder="1" applyAlignment="1"/>
    <xf numFmtId="0" fontId="33" fillId="0" borderId="0" xfId="29" applyFont="1" applyFill="1" applyBorder="1" applyAlignment="1">
      <alignment horizontal="center" vertical="center"/>
    </xf>
    <xf numFmtId="0" fontId="33" fillId="0" borderId="0" xfId="29" applyFont="1" applyFill="1" applyBorder="1" applyAlignment="1">
      <alignment horizontal="left" vertical="center"/>
    </xf>
    <xf numFmtId="0" fontId="33" fillId="0" borderId="14" xfId="29" applyFont="1" applyFill="1" applyBorder="1" applyAlignment="1">
      <alignment horizontal="left" vertical="center"/>
    </xf>
    <xf numFmtId="0" fontId="33" fillId="0" borderId="16" xfId="29" applyFont="1" applyFill="1" applyBorder="1" applyAlignment="1">
      <alignment horizontal="left" vertical="center"/>
    </xf>
    <xf numFmtId="0" fontId="33" fillId="0" borderId="0" xfId="29" applyFont="1" applyBorder="1" applyAlignment="1"/>
    <xf numFmtId="0" fontId="33" fillId="0" borderId="14" xfId="29" applyFont="1" applyBorder="1" applyAlignment="1"/>
    <xf numFmtId="0" fontId="89" fillId="0" borderId="0" xfId="29" applyFont="1" applyBorder="1" applyAlignment="1">
      <alignment horizontal="center" vertical="center"/>
    </xf>
    <xf numFmtId="1" fontId="103" fillId="0" borderId="0" xfId="19" applyNumberFormat="1" applyFont="1" applyFill="1" applyBorder="1" applyAlignment="1">
      <alignment horizontal="left"/>
    </xf>
    <xf numFmtId="1" fontId="103" fillId="0" borderId="5" xfId="19" applyNumberFormat="1" applyFont="1" applyFill="1" applyBorder="1" applyAlignment="1">
      <alignment horizontal="left"/>
    </xf>
    <xf numFmtId="0" fontId="33" fillId="0" borderId="0" xfId="30" applyFont="1" applyFill="1" applyBorder="1" applyAlignment="1">
      <alignment horizontal="left" vertical="center"/>
    </xf>
    <xf numFmtId="1" fontId="122" fillId="22" borderId="0" xfId="30" applyNumberFormat="1" applyFont="1" applyFill="1" applyBorder="1" applyAlignment="1">
      <alignment horizontal="center" vertical="center"/>
    </xf>
    <xf numFmtId="1" fontId="121" fillId="22" borderId="11" xfId="30" applyNumberFormat="1" applyFont="1" applyFill="1" applyBorder="1" applyAlignment="1">
      <alignment horizontal="right" vertical="center"/>
    </xf>
    <xf numFmtId="0" fontId="33" fillId="22" borderId="11" xfId="30" applyFont="1" applyFill="1" applyBorder="1" applyAlignment="1">
      <alignment horizontal="left" vertical="center"/>
    </xf>
    <xf numFmtId="1" fontId="89" fillId="19" borderId="0" xfId="29" applyNumberFormat="1" applyFont="1" applyFill="1" applyBorder="1" applyAlignment="1">
      <alignment horizontal="right" vertical="center"/>
    </xf>
    <xf numFmtId="1" fontId="89" fillId="19" borderId="7" xfId="29" applyNumberFormat="1" applyFont="1" applyFill="1" applyBorder="1" applyAlignment="1">
      <alignment horizontal="right" vertical="center"/>
    </xf>
    <xf numFmtId="1" fontId="89" fillId="19" borderId="0" xfId="16" applyNumberFormat="1" applyFont="1" applyFill="1" applyBorder="1" applyAlignment="1">
      <alignment horizontal="right" vertical="center"/>
    </xf>
    <xf numFmtId="1" fontId="89" fillId="19" borderId="11" xfId="16" applyNumberFormat="1" applyFont="1" applyFill="1" applyBorder="1" applyAlignment="1">
      <alignment horizontal="right" vertical="center"/>
    </xf>
    <xf numFmtId="1" fontId="89" fillId="19" borderId="11" xfId="29" applyNumberFormat="1" applyFont="1" applyFill="1" applyBorder="1" applyAlignment="1">
      <alignment horizontal="right" vertical="center"/>
    </xf>
    <xf numFmtId="1" fontId="89" fillId="20" borderId="0" xfId="29" applyNumberFormat="1" applyFont="1" applyFill="1" applyBorder="1" applyAlignment="1">
      <alignment horizontal="right" vertical="center"/>
    </xf>
    <xf numFmtId="1" fontId="89" fillId="20" borderId="11" xfId="29" applyNumberFormat="1" applyFont="1" applyFill="1" applyBorder="1" applyAlignment="1">
      <alignment horizontal="right" vertical="center"/>
    </xf>
    <xf numFmtId="1" fontId="92" fillId="21" borderId="0" xfId="0" applyNumberFormat="1" applyFont="1" applyFill="1" applyBorder="1" applyAlignment="1">
      <alignment horizontal="right" vertical="center"/>
    </xf>
    <xf numFmtId="2" fontId="89" fillId="21" borderId="0" xfId="31" applyNumberFormat="1" applyFont="1" applyFill="1" applyBorder="1" applyAlignment="1">
      <alignment horizontal="right" vertical="center"/>
    </xf>
    <xf numFmtId="2" fontId="92" fillId="21" borderId="0" xfId="0" applyNumberFormat="1" applyFont="1" applyFill="1" applyBorder="1" applyAlignment="1">
      <alignment horizontal="right" vertical="center"/>
    </xf>
    <xf numFmtId="1" fontId="92" fillId="21" borderId="11" xfId="0" applyNumberFormat="1" applyFont="1" applyFill="1" applyBorder="1" applyAlignment="1">
      <alignment horizontal="right" vertical="center"/>
    </xf>
    <xf numFmtId="2" fontId="89" fillId="21" borderId="7" xfId="31" applyNumberFormat="1" applyFont="1" applyFill="1" applyBorder="1" applyAlignment="1">
      <alignment horizontal="right" vertical="center"/>
    </xf>
    <xf numFmtId="1" fontId="89" fillId="18" borderId="0" xfId="30" applyNumberFormat="1" applyFont="1" applyFill="1" applyBorder="1" applyAlignment="1">
      <alignment horizontal="right" vertical="center"/>
    </xf>
    <xf numFmtId="1" fontId="89" fillId="22" borderId="11" xfId="30" applyNumberFormat="1" applyFont="1" applyFill="1" applyBorder="1" applyAlignment="1">
      <alignment horizontal="right" vertical="center"/>
    </xf>
    <xf numFmtId="1" fontId="89" fillId="19" borderId="25" xfId="29" applyNumberFormat="1" applyFont="1" applyFill="1" applyBorder="1" applyAlignment="1">
      <alignment horizontal="right" vertical="center"/>
    </xf>
    <xf numFmtId="194" fontId="89" fillId="19" borderId="13" xfId="29" applyNumberFormat="1" applyFont="1" applyFill="1" applyBorder="1" applyAlignment="1">
      <alignment horizontal="right" vertical="center"/>
    </xf>
    <xf numFmtId="1" fontId="89" fillId="19" borderId="23" xfId="29" applyNumberFormat="1" applyFont="1" applyFill="1" applyBorder="1" applyAlignment="1">
      <alignment horizontal="right" vertical="center"/>
    </xf>
    <xf numFmtId="1" fontId="89" fillId="19" borderId="11" xfId="30" applyNumberFormat="1" applyFont="1" applyFill="1" applyBorder="1" applyAlignment="1">
      <alignment horizontal="right" vertical="center"/>
    </xf>
    <xf numFmtId="1" fontId="89" fillId="19" borderId="13" xfId="29" applyNumberFormat="1" applyFont="1" applyFill="1" applyBorder="1" applyAlignment="1">
      <alignment horizontal="right" vertical="center"/>
    </xf>
    <xf numFmtId="1" fontId="89" fillId="21" borderId="11" xfId="29" applyNumberFormat="1" applyFont="1" applyFill="1" applyBorder="1" applyAlignment="1">
      <alignment horizontal="right" vertical="center"/>
    </xf>
    <xf numFmtId="194" fontId="92" fillId="21" borderId="11" xfId="0" applyNumberFormat="1" applyFont="1" applyFill="1" applyBorder="1" applyAlignment="1">
      <alignment horizontal="right" vertical="center"/>
    </xf>
    <xf numFmtId="1" fontId="89" fillId="18" borderId="11" xfId="30" applyNumberFormat="1" applyFont="1" applyFill="1" applyBorder="1" applyAlignment="1">
      <alignment horizontal="right" vertical="center"/>
    </xf>
    <xf numFmtId="1" fontId="89" fillId="9" borderId="11" xfId="29" applyNumberFormat="1" applyFont="1" applyFill="1" applyBorder="1" applyAlignment="1">
      <alignment horizontal="right" vertical="center"/>
    </xf>
    <xf numFmtId="1" fontId="89" fillId="9" borderId="13" xfId="29" applyNumberFormat="1" applyFont="1" applyFill="1" applyBorder="1" applyAlignment="1">
      <alignment horizontal="right" vertical="center"/>
    </xf>
    <xf numFmtId="2" fontId="89" fillId="0" borderId="0" xfId="29" applyNumberFormat="1" applyFont="1" applyAlignment="1">
      <alignment horizontal="right" vertical="center"/>
    </xf>
    <xf numFmtId="1" fontId="136" fillId="19" borderId="38" xfId="29" applyNumberFormat="1" applyFont="1" applyFill="1" applyBorder="1" applyAlignment="1">
      <alignment horizontal="center" vertical="center"/>
    </xf>
    <xf numFmtId="0" fontId="34" fillId="7" borderId="0" xfId="0" applyFont="1" applyFill="1" applyBorder="1" applyAlignment="1">
      <alignment horizontal="right"/>
    </xf>
    <xf numFmtId="194" fontId="29" fillId="4" borderId="85" xfId="19" applyNumberFormat="1" applyFont="1" applyFill="1" applyBorder="1"/>
    <xf numFmtId="194" fontId="29" fillId="4" borderId="73" xfId="19" applyNumberFormat="1" applyFont="1" applyFill="1" applyBorder="1"/>
    <xf numFmtId="194" fontId="29" fillId="4" borderId="74" xfId="19" applyNumberFormat="1" applyFont="1" applyFill="1" applyBorder="1"/>
    <xf numFmtId="0" fontId="29" fillId="4" borderId="37" xfId="19" applyFont="1" applyFill="1" applyBorder="1"/>
    <xf numFmtId="0" fontId="29" fillId="4" borderId="38" xfId="19" applyFont="1" applyFill="1" applyBorder="1"/>
    <xf numFmtId="0" fontId="29" fillId="4" borderId="39" xfId="19" applyFont="1" applyFill="1" applyBorder="1"/>
    <xf numFmtId="194" fontId="29" fillId="4" borderId="0" xfId="19" applyNumberFormat="1" applyFont="1" applyFill="1"/>
    <xf numFmtId="0" fontId="26" fillId="9" borderId="13" xfId="24" applyFont="1" applyFill="1" applyBorder="1"/>
    <xf numFmtId="0" fontId="26" fillId="9" borderId="14" xfId="24" applyFont="1" applyFill="1" applyBorder="1"/>
    <xf numFmtId="0" fontId="26" fillId="9" borderId="15" xfId="24" applyFont="1" applyFill="1" applyBorder="1"/>
    <xf numFmtId="0" fontId="26" fillId="9" borderId="13" xfId="19" applyFont="1" applyFill="1" applyBorder="1"/>
    <xf numFmtId="0" fontId="26" fillId="9" borderId="14" xfId="19" applyFont="1" applyFill="1" applyBorder="1"/>
    <xf numFmtId="0" fontId="26" fillId="9" borderId="15" xfId="19" applyFont="1" applyFill="1" applyBorder="1"/>
    <xf numFmtId="0" fontId="29" fillId="9" borderId="128" xfId="19" applyFont="1" applyFill="1" applyBorder="1"/>
    <xf numFmtId="0" fontId="29" fillId="9" borderId="129" xfId="19" applyFont="1" applyFill="1" applyBorder="1"/>
    <xf numFmtId="0" fontId="29" fillId="9" borderId="130" xfId="19" applyFont="1" applyFill="1" applyBorder="1"/>
    <xf numFmtId="0" fontId="26" fillId="9" borderId="0" xfId="19" applyFont="1" applyFill="1" applyBorder="1"/>
    <xf numFmtId="0" fontId="26" fillId="9" borderId="12" xfId="19" applyFont="1" applyFill="1" applyBorder="1"/>
    <xf numFmtId="0" fontId="26" fillId="9" borderId="12" xfId="24" applyFont="1" applyFill="1" applyBorder="1"/>
    <xf numFmtId="0" fontId="26" fillId="9" borderId="0" xfId="24" applyFont="1" applyFill="1" applyBorder="1"/>
    <xf numFmtId="0" fontId="29" fillId="9" borderId="127" xfId="19" applyFont="1" applyFill="1" applyBorder="1"/>
    <xf numFmtId="0" fontId="29" fillId="9" borderId="126" xfId="19" applyFont="1" applyFill="1" applyBorder="1"/>
    <xf numFmtId="0" fontId="43" fillId="10" borderId="0" xfId="19" applyFill="1" applyBorder="1" applyProtection="1">
      <protection locked="0"/>
    </xf>
    <xf numFmtId="1" fontId="92" fillId="7" borderId="0" xfId="0" applyNumberFormat="1" applyFont="1" applyFill="1" applyBorder="1" applyAlignment="1" applyProtection="1"/>
    <xf numFmtId="1" fontId="92" fillId="7" borderId="0" xfId="0" applyNumberFormat="1" applyFont="1" applyFill="1" applyBorder="1"/>
    <xf numFmtId="182" fontId="92" fillId="7" borderId="0" xfId="0" applyNumberFormat="1" applyFont="1" applyFill="1" applyBorder="1"/>
    <xf numFmtId="0" fontId="26" fillId="7" borderId="122" xfId="19" applyFont="1" applyFill="1" applyBorder="1"/>
    <xf numFmtId="0" fontId="26" fillId="7" borderId="123" xfId="19" applyFont="1" applyFill="1" applyBorder="1"/>
    <xf numFmtId="0" fontId="26" fillId="7" borderId="124" xfId="19" applyFont="1" applyFill="1" applyBorder="1"/>
    <xf numFmtId="0" fontId="26" fillId="7" borderId="125" xfId="24" applyFont="1" applyFill="1" applyBorder="1"/>
    <xf numFmtId="0" fontId="26" fillId="7" borderId="126" xfId="24" applyFont="1" applyFill="1" applyBorder="1"/>
    <xf numFmtId="0" fontId="26" fillId="7" borderId="126" xfId="19" applyFont="1" applyFill="1" applyBorder="1"/>
    <xf numFmtId="0" fontId="26" fillId="7" borderId="126" xfId="0" applyFont="1" applyFill="1" applyBorder="1"/>
    <xf numFmtId="0" fontId="26" fillId="9" borderId="127" xfId="24" applyFont="1" applyFill="1" applyBorder="1"/>
    <xf numFmtId="0" fontId="26" fillId="9" borderId="126" xfId="24" applyFont="1" applyFill="1" applyBorder="1"/>
    <xf numFmtId="0" fontId="26" fillId="9" borderId="128" xfId="24" applyFont="1" applyFill="1" applyBorder="1"/>
    <xf numFmtId="0" fontId="26" fillId="9" borderId="129" xfId="24" applyFont="1" applyFill="1" applyBorder="1"/>
    <xf numFmtId="0" fontId="26" fillId="9" borderId="130" xfId="24" applyFont="1" applyFill="1" applyBorder="1"/>
    <xf numFmtId="0" fontId="37" fillId="0" borderId="38" xfId="29" applyBorder="1"/>
    <xf numFmtId="0" fontId="37" fillId="0" borderId="39" xfId="29" applyBorder="1"/>
    <xf numFmtId="0" fontId="37" fillId="0" borderId="16" xfId="29" applyBorder="1"/>
    <xf numFmtId="0" fontId="37" fillId="0" borderId="17" xfId="29" applyBorder="1"/>
    <xf numFmtId="0" fontId="37" fillId="0" borderId="16" xfId="29" applyBorder="1" applyAlignment="1">
      <alignment horizontal="center" vertical="center" wrapText="1"/>
    </xf>
    <xf numFmtId="0" fontId="37" fillId="0" borderId="17" xfId="29" applyBorder="1" applyAlignment="1">
      <alignment horizontal="center" vertical="center" wrapText="1"/>
    </xf>
    <xf numFmtId="0" fontId="34" fillId="0" borderId="5" xfId="19" applyFont="1" applyBorder="1"/>
    <xf numFmtId="177" fontId="54" fillId="7" borderId="121" xfId="0" applyNumberFormat="1" applyFont="1" applyFill="1" applyBorder="1" applyAlignment="1" applyProtection="1">
      <alignment vertical="center"/>
    </xf>
    <xf numFmtId="177" fontId="60" fillId="7" borderId="120" xfId="0" applyNumberFormat="1" applyFont="1" applyFill="1" applyBorder="1" applyAlignment="1" applyProtection="1">
      <alignment vertical="center"/>
      <protection locked="0"/>
    </xf>
    <xf numFmtId="0" fontId="50" fillId="0" borderId="38" xfId="1" applyNumberFormat="1" applyFont="1" applyFill="1" applyBorder="1" applyAlignment="1" applyProtection="1">
      <alignment vertical="center"/>
    </xf>
    <xf numFmtId="177" fontId="50" fillId="0" borderId="37" xfId="1" applyNumberFormat="1" applyFont="1" applyFill="1" applyBorder="1" applyAlignment="1" applyProtection="1">
      <alignment horizontal="center" vertical="center"/>
    </xf>
    <xf numFmtId="177" fontId="50" fillId="0" borderId="38" xfId="1" applyNumberFormat="1" applyFont="1" applyFill="1" applyBorder="1" applyAlignment="1" applyProtection="1">
      <alignment horizontal="center" vertical="center"/>
    </xf>
    <xf numFmtId="0" fontId="89" fillId="19" borderId="37" xfId="29" applyNumberFormat="1" applyFont="1" applyFill="1" applyBorder="1" applyAlignment="1">
      <alignment horizontal="right" vertical="center"/>
    </xf>
    <xf numFmtId="191" fontId="50" fillId="0" borderId="0" xfId="1" applyNumberFormat="1" applyFont="1" applyAlignment="1">
      <alignment horizontal="right" vertical="center"/>
    </xf>
    <xf numFmtId="177" fontId="54" fillId="9" borderId="49" xfId="1" applyNumberFormat="1" applyFont="1" applyFill="1" applyBorder="1" applyAlignment="1">
      <alignment vertical="center"/>
    </xf>
    <xf numFmtId="177" fontId="54" fillId="9" borderId="49" xfId="1" applyNumberFormat="1" applyFont="1" applyFill="1" applyBorder="1" applyAlignment="1" applyProtection="1">
      <alignment vertical="center"/>
    </xf>
    <xf numFmtId="177" fontId="54" fillId="9" borderId="43" xfId="1" applyNumberFormat="1" applyFont="1" applyFill="1" applyBorder="1" applyAlignment="1" applyProtection="1">
      <alignment vertical="center"/>
    </xf>
    <xf numFmtId="177" fontId="54" fillId="9" borderId="50" xfId="1" applyNumberFormat="1" applyFont="1" applyFill="1" applyBorder="1" applyAlignment="1" applyProtection="1">
      <alignment vertical="center"/>
    </xf>
    <xf numFmtId="177" fontId="54" fillId="9" borderId="49" xfId="1" applyNumberFormat="1" applyFont="1" applyFill="1" applyBorder="1" applyAlignment="1" applyProtection="1">
      <alignment horizontal="right" vertical="center"/>
    </xf>
    <xf numFmtId="177" fontId="54" fillId="9" borderId="51" xfId="1" applyNumberFormat="1" applyFont="1" applyFill="1" applyBorder="1" applyAlignment="1">
      <alignment vertical="center"/>
    </xf>
    <xf numFmtId="177" fontId="54" fillId="9" borderId="51" xfId="1" applyNumberFormat="1" applyFont="1" applyFill="1" applyBorder="1" applyAlignment="1" applyProtection="1">
      <alignment vertical="center"/>
    </xf>
    <xf numFmtId="177" fontId="54" fillId="9" borderId="52" xfId="1" applyNumberFormat="1" applyFont="1" applyFill="1" applyBorder="1" applyAlignment="1" applyProtection="1">
      <alignment vertical="center"/>
    </xf>
    <xf numFmtId="177" fontId="54" fillId="9" borderId="53" xfId="1" applyNumberFormat="1" applyFont="1" applyFill="1" applyBorder="1" applyAlignment="1" applyProtection="1">
      <alignment vertical="center"/>
    </xf>
    <xf numFmtId="177" fontId="54" fillId="0" borderId="117" xfId="1" applyNumberFormat="1" applyFont="1" applyFill="1" applyBorder="1" applyAlignment="1" applyProtection="1">
      <alignment vertical="center"/>
    </xf>
    <xf numFmtId="177" fontId="88" fillId="0" borderId="4" xfId="1" applyNumberFormat="1" applyFont="1" applyFill="1" applyBorder="1" applyAlignment="1">
      <alignment vertical="center"/>
    </xf>
    <xf numFmtId="177" fontId="88" fillId="0" borderId="4" xfId="1" applyNumberFormat="1" applyFont="1" applyFill="1" applyBorder="1" applyAlignment="1" applyProtection="1">
      <alignment vertical="center"/>
    </xf>
    <xf numFmtId="177" fontId="62" fillId="3" borderId="4" xfId="1" applyNumberFormat="1" applyFont="1" applyFill="1" applyBorder="1" applyAlignment="1" applyProtection="1">
      <alignment vertical="center"/>
    </xf>
    <xf numFmtId="177" fontId="106" fillId="0" borderId="106" xfId="1" applyNumberFormat="1" applyFont="1" applyBorder="1" applyAlignment="1" applyProtection="1">
      <alignment vertical="center" wrapText="1"/>
    </xf>
    <xf numFmtId="0" fontId="88" fillId="4" borderId="27" xfId="0" applyFont="1" applyFill="1" applyBorder="1" applyProtection="1"/>
    <xf numFmtId="178" fontId="88" fillId="4" borderId="1" xfId="1" applyNumberFormat="1" applyFont="1" applyFill="1" applyBorder="1" applyAlignment="1" applyProtection="1">
      <alignment vertical="center"/>
    </xf>
    <xf numFmtId="178" fontId="88" fillId="4" borderId="31" xfId="1" applyNumberFormat="1" applyFont="1" applyFill="1" applyBorder="1" applyAlignment="1" applyProtection="1">
      <alignment vertical="center"/>
    </xf>
    <xf numFmtId="0" fontId="88" fillId="4" borderId="32" xfId="0" applyFont="1" applyFill="1" applyBorder="1" applyProtection="1"/>
    <xf numFmtId="177" fontId="54" fillId="0" borderId="16" xfId="1" applyNumberFormat="1" applyFont="1" applyFill="1" applyBorder="1" applyAlignment="1">
      <alignment vertical="center"/>
    </xf>
    <xf numFmtId="177" fontId="54" fillId="0" borderId="17" xfId="1" applyNumberFormat="1" applyFont="1" applyFill="1" applyBorder="1" applyAlignment="1">
      <alignment vertical="center"/>
    </xf>
    <xf numFmtId="177" fontId="54" fillId="0" borderId="12" xfId="1" applyNumberFormat="1" applyFont="1" applyFill="1" applyBorder="1" applyAlignment="1">
      <alignment vertical="center"/>
    </xf>
    <xf numFmtId="1" fontId="117" fillId="0" borderId="0" xfId="1" applyNumberFormat="1" applyFont="1" applyFill="1" applyBorder="1" applyAlignment="1">
      <alignment vertical="center"/>
    </xf>
    <xf numFmtId="1" fontId="117" fillId="0" borderId="12" xfId="1" applyNumberFormat="1" applyFont="1" applyFill="1" applyBorder="1" applyAlignment="1">
      <alignment vertical="center"/>
    </xf>
    <xf numFmtId="178" fontId="54" fillId="0" borderId="0" xfId="1" applyNumberFormat="1" applyFont="1" applyFill="1" applyBorder="1" applyAlignment="1">
      <alignment vertical="center"/>
    </xf>
    <xf numFmtId="178" fontId="54" fillId="0" borderId="12" xfId="1" applyNumberFormat="1" applyFont="1" applyFill="1" applyBorder="1" applyAlignment="1">
      <alignment vertical="center"/>
    </xf>
    <xf numFmtId="177" fontId="54" fillId="0" borderId="14" xfId="1" applyNumberFormat="1" applyFont="1" applyFill="1" applyBorder="1" applyAlignment="1">
      <alignment horizontal="left" vertical="center"/>
    </xf>
    <xf numFmtId="177" fontId="54" fillId="0" borderId="15" xfId="1" applyNumberFormat="1" applyFont="1" applyFill="1" applyBorder="1" applyAlignment="1">
      <alignment horizontal="left" vertical="center"/>
    </xf>
    <xf numFmtId="177" fontId="54" fillId="0" borderId="40" xfId="1" applyNumberFormat="1" applyFont="1" applyBorder="1" applyAlignment="1">
      <alignment horizontal="center" vertical="center"/>
    </xf>
    <xf numFmtId="177" fontId="54" fillId="0" borderId="98" xfId="1" applyNumberFormat="1" applyFont="1" applyBorder="1" applyAlignment="1">
      <alignment horizontal="center" vertical="center"/>
    </xf>
    <xf numFmtId="177" fontId="54" fillId="0" borderId="58" xfId="1" applyNumberFormat="1" applyFont="1" applyBorder="1" applyAlignment="1">
      <alignment vertical="center"/>
    </xf>
    <xf numFmtId="177" fontId="54" fillId="0" borderId="61" xfId="1" applyNumberFormat="1" applyFont="1" applyBorder="1" applyAlignment="1">
      <alignment vertical="center"/>
    </xf>
    <xf numFmtId="177" fontId="54" fillId="4" borderId="110" xfId="1" applyNumberFormat="1" applyFont="1" applyFill="1" applyBorder="1" applyAlignment="1">
      <alignment vertical="center"/>
    </xf>
    <xf numFmtId="177" fontId="50" fillId="0" borderId="13" xfId="1" applyNumberFormat="1" applyFont="1" applyBorder="1" applyAlignment="1">
      <alignment horizontal="left" vertical="center"/>
    </xf>
    <xf numFmtId="177" fontId="50" fillId="0" borderId="14" xfId="1" applyNumberFormat="1" applyFont="1" applyFill="1" applyBorder="1" applyAlignment="1">
      <alignment horizontal="right" vertical="center"/>
    </xf>
    <xf numFmtId="177" fontId="68" fillId="0" borderId="25" xfId="1" applyNumberFormat="1" applyFont="1" applyBorder="1" applyAlignment="1" applyProtection="1">
      <alignment horizontal="right" vertical="center"/>
    </xf>
    <xf numFmtId="177" fontId="68" fillId="0" borderId="16" xfId="1" applyNumberFormat="1" applyFont="1" applyBorder="1" applyAlignment="1">
      <alignment vertical="center"/>
    </xf>
    <xf numFmtId="177" fontId="68" fillId="0" borderId="14" xfId="1" applyNumberFormat="1" applyFont="1" applyBorder="1" applyAlignment="1">
      <alignment horizontal="right" vertical="center"/>
    </xf>
    <xf numFmtId="177" fontId="88" fillId="4" borderId="31" xfId="1" applyNumberFormat="1" applyFont="1" applyFill="1" applyBorder="1" applyAlignment="1" applyProtection="1">
      <alignment vertical="center"/>
    </xf>
    <xf numFmtId="0" fontId="26" fillId="7" borderId="125" xfId="19" applyFont="1" applyFill="1" applyBorder="1"/>
    <xf numFmtId="0" fontId="26" fillId="7" borderId="127" xfId="19" applyFont="1" applyFill="1" applyBorder="1"/>
    <xf numFmtId="177" fontId="68" fillId="0" borderId="10" xfId="1" applyNumberFormat="1" applyFont="1" applyBorder="1" applyAlignment="1" applyProtection="1">
      <alignment horizontal="center" vertical="center"/>
    </xf>
    <xf numFmtId="177" fontId="68" fillId="0" borderId="12" xfId="1" applyNumberFormat="1" applyFont="1" applyBorder="1" applyAlignment="1" applyProtection="1">
      <alignment horizontal="center" vertical="center"/>
    </xf>
    <xf numFmtId="177" fontId="68" fillId="0" borderId="11" xfId="1" applyNumberFormat="1" applyFont="1" applyBorder="1" applyAlignment="1" applyProtection="1">
      <alignment horizontal="center" vertical="center"/>
    </xf>
    <xf numFmtId="177" fontId="74" fillId="0" borderId="19" xfId="1" applyNumberFormat="1" applyFont="1" applyBorder="1" applyAlignment="1" applyProtection="1">
      <alignment horizontal="center" vertical="center"/>
    </xf>
    <xf numFmtId="0" fontId="116" fillId="0" borderId="0" xfId="0" applyFont="1" applyFill="1" applyBorder="1" applyAlignment="1">
      <alignment horizontal="center"/>
    </xf>
    <xf numFmtId="0" fontId="116" fillId="0" borderId="12" xfId="0" applyFont="1" applyFill="1" applyBorder="1" applyAlignment="1">
      <alignment horizontal="center"/>
    </xf>
    <xf numFmtId="0" fontId="116" fillId="0" borderId="11" xfId="0" applyFont="1" applyFill="1" applyBorder="1" applyAlignment="1">
      <alignment horizontal="left"/>
    </xf>
    <xf numFmtId="0" fontId="86" fillId="9" borderId="0" xfId="15" applyFont="1" applyFill="1" applyAlignment="1">
      <alignment horizontal="center"/>
    </xf>
    <xf numFmtId="0" fontId="71" fillId="9" borderId="0" xfId="21" applyFont="1" applyFill="1" applyBorder="1" applyAlignment="1">
      <alignment horizontal="left" wrapText="1"/>
    </xf>
    <xf numFmtId="0" fontId="71" fillId="9" borderId="0" xfId="21" applyFont="1" applyFill="1" applyBorder="1" applyAlignment="1">
      <alignment horizontal="center" wrapText="1"/>
    </xf>
    <xf numFmtId="0" fontId="86" fillId="9" borderId="0" xfId="15" applyFont="1" applyFill="1" applyBorder="1" applyAlignment="1">
      <alignment horizontal="center"/>
    </xf>
    <xf numFmtId="1" fontId="71" fillId="9" borderId="0" xfId="21" applyNumberFormat="1" applyFont="1" applyFill="1" applyBorder="1" applyAlignment="1">
      <alignment horizontal="center" wrapText="1"/>
    </xf>
    <xf numFmtId="184" fontId="71" fillId="9" borderId="0" xfId="21" applyNumberFormat="1" applyFont="1" applyFill="1" applyBorder="1" applyAlignment="1">
      <alignment horizontal="center" wrapText="1"/>
    </xf>
    <xf numFmtId="182" fontId="86" fillId="9" borderId="0" xfId="15" applyNumberFormat="1" applyFont="1" applyFill="1" applyBorder="1" applyAlignment="1">
      <alignment horizontal="center"/>
    </xf>
    <xf numFmtId="183" fontId="71" fillId="9" borderId="0" xfId="21" applyNumberFormat="1" applyFont="1" applyFill="1" applyBorder="1" applyAlignment="1">
      <alignment horizontal="center" wrapText="1"/>
    </xf>
    <xf numFmtId="185" fontId="71" fillId="9" borderId="0" xfId="21" applyNumberFormat="1" applyFont="1" applyFill="1" applyBorder="1" applyAlignment="1">
      <alignment horizontal="center" wrapText="1"/>
    </xf>
    <xf numFmtId="188" fontId="71" fillId="9" borderId="0" xfId="21" applyNumberFormat="1" applyFont="1" applyFill="1" applyBorder="1" applyAlignment="1">
      <alignment horizontal="center" wrapText="1"/>
    </xf>
    <xf numFmtId="0" fontId="71" fillId="9" borderId="0" xfId="15" applyFont="1" applyFill="1" applyBorder="1" applyAlignment="1">
      <alignment horizontal="center"/>
    </xf>
    <xf numFmtId="0" fontId="45" fillId="0" borderId="0" xfId="0" applyFont="1"/>
    <xf numFmtId="0" fontId="45" fillId="0" borderId="11" xfId="0" applyFont="1" applyBorder="1"/>
    <xf numFmtId="0" fontId="45" fillId="0" borderId="0" xfId="0" applyFont="1" applyBorder="1"/>
    <xf numFmtId="0" fontId="45" fillId="0" borderId="16" xfId="0" applyFont="1" applyBorder="1"/>
    <xf numFmtId="0" fontId="45" fillId="0" borderId="79" xfId="0" applyFont="1" applyBorder="1"/>
    <xf numFmtId="1" fontId="45" fillId="0" borderId="79" xfId="0" applyNumberFormat="1" applyFont="1" applyBorder="1"/>
    <xf numFmtId="0" fontId="45" fillId="0" borderId="12" xfId="0" applyFont="1" applyBorder="1"/>
    <xf numFmtId="0" fontId="45" fillId="0" borderId="25" xfId="0" applyFont="1" applyBorder="1"/>
    <xf numFmtId="0" fontId="45" fillId="0" borderId="17" xfId="0" applyFont="1" applyBorder="1"/>
    <xf numFmtId="1" fontId="88" fillId="0" borderId="0" xfId="5" applyNumberFormat="1" applyFont="1" applyFill="1" applyBorder="1" applyAlignment="1" applyProtection="1">
      <alignment horizontal="right" vertical="center"/>
    </xf>
    <xf numFmtId="1" fontId="88" fillId="0" borderId="0" xfId="0" applyNumberFormat="1" applyFont="1" applyBorder="1" applyAlignment="1">
      <alignment horizontal="right" vertical="center"/>
    </xf>
    <xf numFmtId="1" fontId="88" fillId="0" borderId="0" xfId="5" applyNumberFormat="1" applyFont="1" applyBorder="1" applyAlignment="1" applyProtection="1">
      <alignment horizontal="right" vertical="center"/>
    </xf>
    <xf numFmtId="0" fontId="62" fillId="0" borderId="90" xfId="0" applyFont="1" applyBorder="1"/>
    <xf numFmtId="1" fontId="45" fillId="0" borderId="0" xfId="0" applyNumberFormat="1" applyFont="1" applyBorder="1"/>
    <xf numFmtId="1" fontId="88" fillId="0" borderId="80" xfId="5" applyNumberFormat="1" applyFont="1" applyBorder="1" applyAlignment="1" applyProtection="1">
      <alignment horizontal="right" vertical="center"/>
    </xf>
    <xf numFmtId="1" fontId="88" fillId="0" borderId="80" xfId="5" applyNumberFormat="1" applyFont="1" applyBorder="1" applyAlignment="1">
      <alignment vertical="center"/>
    </xf>
    <xf numFmtId="1" fontId="88" fillId="0" borderId="0" xfId="5" applyNumberFormat="1" applyFont="1" applyFill="1" applyBorder="1" applyAlignment="1">
      <alignment vertical="center"/>
    </xf>
    <xf numFmtId="1" fontId="88" fillId="0" borderId="0" xfId="5" applyNumberFormat="1" applyFont="1" applyBorder="1" applyAlignment="1">
      <alignment vertical="center"/>
    </xf>
    <xf numFmtId="1" fontId="88" fillId="0" borderId="80" xfId="5" applyNumberFormat="1" applyFont="1" applyFill="1" applyBorder="1" applyAlignment="1" applyProtection="1">
      <alignment horizontal="right" vertical="center"/>
    </xf>
    <xf numFmtId="1" fontId="88" fillId="0" borderId="81" xfId="5" applyNumberFormat="1" applyFont="1" applyBorder="1" applyAlignment="1" applyProtection="1">
      <alignment horizontal="right" vertical="center"/>
    </xf>
    <xf numFmtId="1" fontId="88" fillId="0" borderId="82" xfId="5" applyNumberFormat="1" applyFont="1" applyBorder="1" applyAlignment="1" applyProtection="1">
      <alignment horizontal="right" vertical="center"/>
    </xf>
    <xf numFmtId="0" fontId="62" fillId="0" borderId="82" xfId="0" applyFont="1" applyBorder="1"/>
    <xf numFmtId="0" fontId="45" fillId="0" borderId="82" xfId="0" applyFont="1" applyBorder="1"/>
    <xf numFmtId="0" fontId="45" fillId="0" borderId="83" xfId="0" applyFont="1" applyBorder="1"/>
    <xf numFmtId="1" fontId="45" fillId="0" borderId="82" xfId="0" applyNumberFormat="1" applyFont="1" applyBorder="1"/>
    <xf numFmtId="0" fontId="45" fillId="0" borderId="84" xfId="0" applyFont="1" applyBorder="1"/>
    <xf numFmtId="0" fontId="45" fillId="0" borderId="99" xfId="0" applyFont="1" applyBorder="1"/>
    <xf numFmtId="0" fontId="45" fillId="0" borderId="89" xfId="0" applyFont="1" applyBorder="1"/>
    <xf numFmtId="1" fontId="88" fillId="0" borderId="14" xfId="34" applyNumberFormat="1" applyFont="1" applyFill="1" applyBorder="1" applyAlignment="1" applyProtection="1">
      <alignment horizontal="right" vertical="center"/>
    </xf>
    <xf numFmtId="1" fontId="88" fillId="0" borderId="14" xfId="10" applyNumberFormat="1" applyFont="1" applyFill="1" applyBorder="1" applyAlignment="1">
      <alignment horizontal="right" vertical="center"/>
    </xf>
    <xf numFmtId="1" fontId="62" fillId="0" borderId="14" xfId="10" applyNumberFormat="1" applyFont="1" applyBorder="1" applyAlignment="1">
      <alignment horizontal="right"/>
    </xf>
    <xf numFmtId="1" fontId="62" fillId="0" borderId="103" xfId="10" applyNumberFormat="1" applyFont="1" applyBorder="1" applyAlignment="1">
      <alignment horizontal="right"/>
    </xf>
    <xf numFmtId="0" fontId="45" fillId="0" borderId="13" xfId="0" applyFont="1" applyBorder="1" applyAlignment="1">
      <alignment wrapText="1"/>
    </xf>
    <xf numFmtId="0" fontId="45" fillId="0" borderId="13" xfId="0" applyFont="1" applyBorder="1" applyAlignment="1">
      <alignment horizontal="left"/>
    </xf>
    <xf numFmtId="0" fontId="45" fillId="0" borderId="15" xfId="0" applyFont="1" applyBorder="1" applyAlignment="1">
      <alignment horizontal="left"/>
    </xf>
    <xf numFmtId="0" fontId="45" fillId="0" borderId="14" xfId="0" applyFont="1" applyBorder="1" applyAlignment="1">
      <alignment horizontal="left"/>
    </xf>
    <xf numFmtId="0" fontId="45" fillId="0" borderId="0" xfId="0" applyFont="1" applyAlignment="1">
      <alignment horizontal="left"/>
    </xf>
    <xf numFmtId="0" fontId="62" fillId="0" borderId="0" xfId="0" applyFont="1"/>
    <xf numFmtId="0" fontId="62" fillId="0" borderId="0" xfId="0" applyFont="1" applyFill="1"/>
    <xf numFmtId="1" fontId="88" fillId="0" borderId="0" xfId="0" applyNumberFormat="1" applyFont="1" applyAlignment="1">
      <alignment horizontal="right" vertical="center"/>
    </xf>
    <xf numFmtId="1" fontId="45" fillId="0" borderId="0" xfId="0" applyNumberFormat="1" applyFont="1"/>
    <xf numFmtId="177" fontId="68" fillId="0" borderId="19" xfId="1" applyNumberFormat="1" applyFont="1" applyBorder="1" applyAlignment="1" applyProtection="1">
      <alignment horizontal="center" vertical="center"/>
    </xf>
    <xf numFmtId="177" fontId="68" fillId="0" borderId="5" xfId="1" applyNumberFormat="1" applyFont="1" applyBorder="1" applyAlignment="1" applyProtection="1">
      <alignment vertical="center"/>
    </xf>
    <xf numFmtId="177" fontId="68" fillId="0" borderId="43" xfId="1" applyNumberFormat="1" applyFont="1" applyBorder="1" applyAlignment="1" applyProtection="1">
      <alignment horizontal="center" vertical="center"/>
    </xf>
    <xf numFmtId="177" fontId="68" fillId="0" borderId="5" xfId="1" applyNumberFormat="1" applyFont="1" applyBorder="1" applyAlignment="1" applyProtection="1">
      <alignment horizontal="center" vertical="center"/>
    </xf>
    <xf numFmtId="0" fontId="52" fillId="0" borderId="18" xfId="19" applyFont="1" applyBorder="1" applyAlignment="1">
      <alignment horizontal="left"/>
    </xf>
    <xf numFmtId="0" fontId="52" fillId="0" borderId="19" xfId="19" applyFont="1" applyBorder="1" applyAlignment="1">
      <alignment horizontal="left"/>
    </xf>
    <xf numFmtId="0" fontId="52" fillId="0" borderId="60" xfId="19" applyFont="1" applyBorder="1" applyAlignment="1">
      <alignment horizontal="left"/>
    </xf>
    <xf numFmtId="1" fontId="34" fillId="0" borderId="176" xfId="19" quotePrefix="1" applyNumberFormat="1" applyFont="1" applyFill="1" applyBorder="1"/>
    <xf numFmtId="1" fontId="34" fillId="0" borderId="21" xfId="19" applyNumberFormat="1" applyFont="1" applyBorder="1"/>
    <xf numFmtId="1" fontId="34" fillId="0" borderId="7" xfId="19" quotePrefix="1" applyNumberFormat="1" applyFont="1" applyBorder="1"/>
    <xf numFmtId="1" fontId="34" fillId="0" borderId="11" xfId="19" applyNumberFormat="1" applyFont="1" applyFill="1" applyBorder="1" applyAlignment="1"/>
    <xf numFmtId="1" fontId="34" fillId="0" borderId="41" xfId="19" applyNumberFormat="1" applyFont="1" applyFill="1" applyBorder="1"/>
    <xf numFmtId="0" fontId="92" fillId="0" borderId="65" xfId="19" applyFont="1" applyBorder="1"/>
    <xf numFmtId="0" fontId="92" fillId="0" borderId="62" xfId="19" applyFont="1" applyBorder="1"/>
    <xf numFmtId="1" fontId="34" fillId="0" borderId="66" xfId="19" quotePrefix="1" applyNumberFormat="1" applyFont="1" applyBorder="1"/>
    <xf numFmtId="2" fontId="34" fillId="0" borderId="66" xfId="19" quotePrefix="1" applyNumberFormat="1" applyFont="1" applyBorder="1"/>
    <xf numFmtId="0" fontId="34" fillId="0" borderId="49" xfId="19" applyFont="1" applyFill="1" applyBorder="1" applyAlignment="1">
      <alignment horizontal="right"/>
    </xf>
    <xf numFmtId="0" fontId="34" fillId="0" borderId="43" xfId="19" applyFont="1" applyFill="1" applyBorder="1"/>
    <xf numFmtId="1" fontId="34" fillId="0" borderId="43" xfId="19" applyNumberFormat="1" applyFont="1" applyFill="1" applyBorder="1"/>
    <xf numFmtId="1" fontId="34" fillId="0" borderId="42" xfId="19" applyNumberFormat="1" applyFont="1" applyFill="1" applyBorder="1"/>
    <xf numFmtId="1" fontId="34" fillId="0" borderId="50" xfId="19" applyNumberFormat="1" applyFont="1" applyFill="1" applyBorder="1"/>
    <xf numFmtId="1" fontId="34" fillId="0" borderId="71" xfId="19" quotePrefix="1" applyNumberFormat="1" applyFont="1" applyFill="1" applyBorder="1"/>
    <xf numFmtId="2" fontId="34" fillId="0" borderId="71" xfId="19" quotePrefix="1" applyNumberFormat="1" applyFont="1" applyFill="1" applyBorder="1"/>
    <xf numFmtId="1" fontId="34" fillId="4" borderId="177" xfId="19" applyNumberFormat="1" applyFont="1" applyFill="1" applyBorder="1"/>
    <xf numFmtId="1" fontId="34" fillId="4" borderId="178" xfId="19" applyNumberFormat="1" applyFont="1" applyFill="1" applyBorder="1"/>
    <xf numFmtId="1" fontId="34" fillId="4" borderId="179" xfId="19" applyNumberFormat="1" applyFont="1" applyFill="1" applyBorder="1"/>
    <xf numFmtId="1" fontId="34" fillId="0" borderId="177" xfId="19" applyNumberFormat="1" applyFont="1" applyBorder="1"/>
    <xf numFmtId="0" fontId="34" fillId="0" borderId="21" xfId="19" applyFont="1" applyBorder="1"/>
    <xf numFmtId="0" fontId="34" fillId="0" borderId="48" xfId="19" applyFont="1" applyBorder="1"/>
    <xf numFmtId="0" fontId="34" fillId="0" borderId="72" xfId="19" applyFont="1" applyFill="1" applyBorder="1" applyAlignment="1"/>
    <xf numFmtId="0" fontId="34" fillId="0" borderId="73" xfId="19" applyFont="1" applyFill="1" applyBorder="1" applyAlignment="1"/>
    <xf numFmtId="0" fontId="34" fillId="0" borderId="73" xfId="19" applyFont="1" applyBorder="1" applyAlignment="1"/>
    <xf numFmtId="0" fontId="34" fillId="0" borderId="175" xfId="19" applyFont="1" applyBorder="1" applyAlignment="1"/>
    <xf numFmtId="0" fontId="34" fillId="0" borderId="11" xfId="19" applyFont="1" applyFill="1" applyBorder="1" applyAlignment="1"/>
    <xf numFmtId="0" fontId="34" fillId="0" borderId="0" xfId="19" applyFont="1" applyAlignment="1"/>
    <xf numFmtId="0" fontId="34" fillId="0" borderId="23" xfId="19" applyFont="1" applyFill="1" applyBorder="1" applyAlignment="1"/>
    <xf numFmtId="0" fontId="34" fillId="0" borderId="49" xfId="19" applyFont="1" applyFill="1" applyBorder="1" applyAlignment="1"/>
    <xf numFmtId="0" fontId="34" fillId="0" borderId="11" xfId="19" applyFont="1" applyBorder="1" applyAlignment="1"/>
    <xf numFmtId="1" fontId="34" fillId="11" borderId="3" xfId="0" applyNumberFormat="1" applyFont="1" applyFill="1" applyBorder="1"/>
    <xf numFmtId="0" fontId="34" fillId="18" borderId="0" xfId="0" applyFont="1" applyFill="1" applyBorder="1"/>
    <xf numFmtId="1" fontId="34" fillId="11" borderId="7" xfId="19" applyNumberFormat="1" applyFont="1" applyFill="1" applyBorder="1"/>
    <xf numFmtId="1" fontId="34" fillId="11" borderId="0" xfId="19" applyNumberFormat="1" applyFont="1" applyFill="1" applyBorder="1"/>
    <xf numFmtId="1" fontId="104" fillId="11" borderId="5" xfId="19" applyNumberFormat="1" applyFont="1" applyFill="1" applyBorder="1"/>
    <xf numFmtId="0" fontId="34" fillId="0" borderId="22" xfId="19" applyFont="1" applyBorder="1"/>
    <xf numFmtId="0" fontId="34" fillId="0" borderId="22" xfId="19" applyFont="1" applyFill="1" applyBorder="1"/>
    <xf numFmtId="1" fontId="34" fillId="23" borderId="6" xfId="19" applyNumberFormat="1" applyFont="1" applyFill="1" applyBorder="1"/>
    <xf numFmtId="0" fontId="33" fillId="0" borderId="11" xfId="29" applyFont="1" applyFill="1" applyBorder="1"/>
    <xf numFmtId="0" fontId="33" fillId="0" borderId="0" xfId="29" applyFont="1" applyFill="1"/>
    <xf numFmtId="0" fontId="33" fillId="0" borderId="0" xfId="29" applyFont="1" applyAlignment="1">
      <alignment horizontal="center" vertical="center" wrapText="1"/>
    </xf>
    <xf numFmtId="1" fontId="93" fillId="0" borderId="0" xfId="0" applyNumberFormat="1" applyFont="1" applyFill="1" applyBorder="1" applyAlignment="1">
      <alignment horizontal="center"/>
    </xf>
    <xf numFmtId="0" fontId="34" fillId="0" borderId="7" xfId="0" applyFont="1" applyFill="1" applyBorder="1" applyAlignment="1">
      <alignment horizontal="left"/>
    </xf>
    <xf numFmtId="1" fontId="104" fillId="11" borderId="7" xfId="19" applyNumberFormat="1" applyFont="1" applyFill="1" applyBorder="1"/>
    <xf numFmtId="1" fontId="34" fillId="0" borderId="177" xfId="19" applyNumberFormat="1" applyFont="1" applyFill="1" applyBorder="1"/>
    <xf numFmtId="177" fontId="68" fillId="10" borderId="21" xfId="1" applyNumberFormat="1" applyFont="1" applyFill="1" applyBorder="1" applyAlignment="1" applyProtection="1">
      <alignment horizontal="center" vertical="center"/>
      <protection locked="0"/>
    </xf>
    <xf numFmtId="177" fontId="68" fillId="0" borderId="6" xfId="1" applyNumberFormat="1" applyFont="1" applyBorder="1" applyAlignment="1" applyProtection="1">
      <alignment horizontal="center" vertical="center"/>
    </xf>
    <xf numFmtId="177" fontId="68" fillId="0" borderId="7" xfId="1" applyNumberFormat="1" applyFont="1" applyBorder="1" applyAlignment="1" applyProtection="1">
      <alignment horizontal="center" vertical="center"/>
    </xf>
    <xf numFmtId="177" fontId="68" fillId="0" borderId="48" xfId="1" applyNumberFormat="1" applyFont="1" applyBorder="1" applyAlignment="1" applyProtection="1">
      <alignment horizontal="center" vertical="center"/>
    </xf>
    <xf numFmtId="0" fontId="104" fillId="0" borderId="72" xfId="19" applyFont="1" applyFill="1" applyBorder="1" applyAlignment="1">
      <alignment horizontal="right"/>
    </xf>
    <xf numFmtId="0" fontId="104" fillId="0" borderId="175" xfId="19" applyFont="1" applyFill="1" applyBorder="1" applyAlignment="1">
      <alignment horizontal="right"/>
    </xf>
    <xf numFmtId="1" fontId="104" fillId="0" borderId="48" xfId="19" applyNumberFormat="1" applyFont="1" applyFill="1" applyBorder="1" applyAlignment="1">
      <alignment horizontal="left"/>
    </xf>
    <xf numFmtId="1" fontId="104" fillId="0" borderId="9" xfId="19" applyNumberFormat="1" applyFont="1" applyFill="1" applyBorder="1" applyAlignment="1">
      <alignment horizontal="left"/>
    </xf>
    <xf numFmtId="1" fontId="104" fillId="0" borderId="6" xfId="19" applyNumberFormat="1" applyFont="1" applyFill="1" applyBorder="1"/>
    <xf numFmtId="1" fontId="104" fillId="11" borderId="7" xfId="19" quotePrefix="1" applyNumberFormat="1" applyFont="1" applyFill="1" applyBorder="1"/>
    <xf numFmtId="1" fontId="104" fillId="11" borderId="22" xfId="19" applyNumberFormat="1" applyFont="1" applyFill="1" applyBorder="1"/>
    <xf numFmtId="1" fontId="104" fillId="0" borderId="8" xfId="19" applyNumberFormat="1" applyFont="1" applyFill="1" applyBorder="1"/>
    <xf numFmtId="1" fontId="104" fillId="11" borderId="5" xfId="19" quotePrefix="1" applyNumberFormat="1" applyFont="1" applyFill="1" applyBorder="1"/>
    <xf numFmtId="1" fontId="104" fillId="11" borderId="24" xfId="19" applyNumberFormat="1" applyFont="1" applyFill="1" applyBorder="1"/>
    <xf numFmtId="1" fontId="104" fillId="4" borderId="6" xfId="19" applyNumberFormat="1" applyFont="1" applyFill="1" applyBorder="1"/>
    <xf numFmtId="1" fontId="104" fillId="4" borderId="8" xfId="19" applyNumberFormat="1" applyFont="1" applyFill="1" applyBorder="1"/>
    <xf numFmtId="0" fontId="103" fillId="0" borderId="11" xfId="19" applyFont="1" applyFill="1" applyBorder="1"/>
    <xf numFmtId="1" fontId="103" fillId="0" borderId="0" xfId="19" applyNumberFormat="1" applyFont="1" applyFill="1" applyBorder="1"/>
    <xf numFmtId="0" fontId="103" fillId="0" borderId="7" xfId="19" applyFont="1" applyBorder="1"/>
    <xf numFmtId="1" fontId="103" fillId="0" borderId="7" xfId="19" applyNumberFormat="1" applyFont="1" applyFill="1" applyBorder="1"/>
    <xf numFmtId="0" fontId="103" fillId="0" borderId="23" xfId="19" applyFont="1" applyFill="1" applyBorder="1"/>
    <xf numFmtId="1" fontId="103" fillId="0" borderId="5" xfId="19" applyNumberFormat="1" applyFont="1" applyFill="1" applyBorder="1"/>
    <xf numFmtId="0" fontId="103" fillId="0" borderId="5" xfId="19" applyFont="1" applyBorder="1"/>
    <xf numFmtId="0" fontId="0" fillId="9" borderId="0" xfId="0" applyFill="1" applyBorder="1" applyAlignment="1">
      <alignment vertical="center"/>
    </xf>
    <xf numFmtId="2" fontId="0" fillId="9" borderId="0" xfId="0" applyNumberFormat="1" applyFill="1" applyBorder="1" applyAlignment="1">
      <alignment vertical="center"/>
    </xf>
    <xf numFmtId="1" fontId="0" fillId="9" borderId="0" xfId="0" applyNumberFormat="1" applyFill="1" applyBorder="1" applyAlignment="1">
      <alignment vertical="center"/>
    </xf>
    <xf numFmtId="182" fontId="0" fillId="9" borderId="0" xfId="0" applyNumberFormat="1" applyFill="1" applyBorder="1" applyAlignment="1">
      <alignment vertical="center"/>
    </xf>
    <xf numFmtId="0" fontId="109" fillId="9" borderId="0" xfId="0" applyFont="1" applyFill="1" applyBorder="1" applyAlignment="1">
      <alignment vertical="center"/>
    </xf>
    <xf numFmtId="0" fontId="0" fillId="9" borderId="180" xfId="0" applyFill="1" applyBorder="1" applyAlignment="1">
      <alignment vertical="center"/>
    </xf>
    <xf numFmtId="0" fontId="0" fillId="9" borderId="181" xfId="0" applyFill="1" applyBorder="1" applyAlignment="1">
      <alignment vertical="center"/>
    </xf>
    <xf numFmtId="2" fontId="0" fillId="9" borderId="181" xfId="0" applyNumberFormat="1" applyFill="1" applyBorder="1" applyAlignment="1">
      <alignment vertical="center"/>
    </xf>
    <xf numFmtId="1" fontId="0" fillId="8" borderId="181" xfId="0" applyNumberFormat="1" applyFont="1" applyFill="1" applyBorder="1" applyAlignment="1">
      <alignment vertical="center"/>
    </xf>
    <xf numFmtId="182" fontId="0" fillId="8" borderId="181" xfId="0" applyNumberFormat="1" applyFont="1" applyFill="1" applyBorder="1" applyAlignment="1">
      <alignment vertical="center"/>
    </xf>
    <xf numFmtId="0" fontId="0" fillId="8" borderId="181" xfId="0" applyFont="1" applyFill="1" applyBorder="1" applyAlignment="1">
      <alignment vertical="center"/>
    </xf>
    <xf numFmtId="0" fontId="0" fillId="8" borderId="182" xfId="0" applyFont="1" applyFill="1" applyBorder="1" applyAlignment="1">
      <alignment vertical="center"/>
    </xf>
    <xf numFmtId="0" fontId="0" fillId="9" borderId="183" xfId="0" applyFill="1" applyBorder="1" applyAlignment="1">
      <alignment vertical="center"/>
    </xf>
    <xf numFmtId="0" fontId="0" fillId="9" borderId="184" xfId="0" applyFill="1" applyBorder="1" applyAlignment="1">
      <alignment vertical="center"/>
    </xf>
    <xf numFmtId="0" fontId="109" fillId="9" borderId="183" xfId="0" applyFont="1" applyFill="1" applyBorder="1" applyAlignment="1">
      <alignment vertical="center"/>
    </xf>
    <xf numFmtId="0" fontId="0" fillId="9" borderId="185" xfId="0" applyFill="1" applyBorder="1" applyAlignment="1">
      <alignment vertical="center"/>
    </xf>
    <xf numFmtId="0" fontId="0" fillId="9" borderId="186" xfId="0" applyFill="1" applyBorder="1" applyAlignment="1">
      <alignment vertical="center"/>
    </xf>
    <xf numFmtId="2" fontId="0" fillId="9" borderId="186" xfId="0" applyNumberFormat="1" applyFill="1" applyBorder="1" applyAlignment="1">
      <alignment vertical="center"/>
    </xf>
    <xf numFmtId="1" fontId="0" fillId="9" borderId="186" xfId="0" applyNumberFormat="1" applyFill="1" applyBorder="1" applyAlignment="1">
      <alignment vertical="center"/>
    </xf>
    <xf numFmtId="182" fontId="0" fillId="9" borderId="186" xfId="0" applyNumberFormat="1" applyFill="1" applyBorder="1" applyAlignment="1">
      <alignment vertical="center"/>
    </xf>
    <xf numFmtId="0" fontId="0" fillId="9" borderId="187" xfId="0" applyFill="1" applyBorder="1" applyAlignment="1">
      <alignment vertical="center"/>
    </xf>
    <xf numFmtId="0" fontId="0" fillId="0" borderId="0" xfId="0" applyAlignment="1">
      <alignment horizontal="right" vertical="center"/>
    </xf>
    <xf numFmtId="0" fontId="0" fillId="0" borderId="0" xfId="0" applyNumberFormat="1" applyAlignment="1">
      <alignment vertical="center"/>
    </xf>
    <xf numFmtId="0" fontId="0" fillId="0" borderId="0" xfId="0" applyNumberFormat="1" applyFill="1" applyBorder="1" applyAlignment="1">
      <alignment horizontal="center" vertical="center"/>
    </xf>
    <xf numFmtId="0" fontId="0" fillId="0" borderId="0" xfId="0" applyNumberFormat="1" applyFill="1" applyBorder="1" applyAlignment="1" applyProtection="1">
      <alignment horizontal="center" vertical="center"/>
      <protection locked="0"/>
    </xf>
    <xf numFmtId="0" fontId="0" fillId="0" borderId="0" xfId="0" applyNumberFormat="1" applyFill="1" applyBorder="1" applyAlignment="1">
      <alignment vertical="center"/>
    </xf>
    <xf numFmtId="0" fontId="0" fillId="0" borderId="0" xfId="16" applyNumberFormat="1" applyFont="1" applyFill="1" applyBorder="1" applyAlignment="1">
      <alignment vertical="center"/>
    </xf>
    <xf numFmtId="0" fontId="0" fillId="0" borderId="0" xfId="0" applyNumberFormat="1" applyFont="1" applyFill="1" applyBorder="1" applyAlignment="1">
      <alignment vertical="center"/>
    </xf>
    <xf numFmtId="0" fontId="0" fillId="9" borderId="188" xfId="0" applyFill="1" applyBorder="1" applyAlignment="1">
      <alignment vertical="center"/>
    </xf>
    <xf numFmtId="0" fontId="0" fillId="9" borderId="189" xfId="0" applyFill="1" applyBorder="1" applyAlignment="1">
      <alignment vertical="center"/>
    </xf>
    <xf numFmtId="0" fontId="0" fillId="9" borderId="190" xfId="0" applyFill="1" applyBorder="1" applyAlignment="1">
      <alignment vertical="center"/>
    </xf>
    <xf numFmtId="177" fontId="68" fillId="0" borderId="22" xfId="1" applyNumberFormat="1" applyFont="1" applyBorder="1" applyAlignment="1" applyProtection="1">
      <alignment horizontal="center" vertical="center"/>
    </xf>
    <xf numFmtId="177" fontId="68" fillId="0" borderId="22" xfId="1" applyNumberFormat="1" applyFont="1" applyFill="1" applyBorder="1" applyAlignment="1" applyProtection="1">
      <alignment horizontal="center" vertical="center"/>
    </xf>
    <xf numFmtId="182" fontId="34" fillId="7" borderId="0" xfId="19" applyNumberFormat="1" applyFont="1" applyFill="1"/>
    <xf numFmtId="11" fontId="50" fillId="0" borderId="0" xfId="1" applyNumberFormat="1" applyFont="1" applyBorder="1" applyAlignment="1">
      <alignment horizontal="left" vertical="center"/>
    </xf>
    <xf numFmtId="177" fontId="50" fillId="0" borderId="6" xfId="1" applyNumberFormat="1" applyFont="1" applyBorder="1" applyAlignment="1">
      <alignment vertical="center"/>
    </xf>
    <xf numFmtId="0" fontId="24" fillId="0" borderId="92" xfId="0" applyFont="1" applyBorder="1"/>
    <xf numFmtId="1" fontId="24" fillId="0" borderId="3" xfId="0" applyNumberFormat="1" applyFont="1" applyBorder="1"/>
    <xf numFmtId="177" fontId="0" fillId="0" borderId="16" xfId="0" applyNumberFormat="1" applyBorder="1" applyAlignment="1">
      <alignment vertical="center"/>
    </xf>
    <xf numFmtId="177" fontId="0" fillId="0" borderId="17" xfId="0" applyNumberFormat="1" applyBorder="1" applyAlignment="1">
      <alignment vertical="center"/>
    </xf>
    <xf numFmtId="177" fontId="0" fillId="0" borderId="23" xfId="0" applyNumberFormat="1" applyBorder="1" applyAlignment="1">
      <alignment vertical="center"/>
    </xf>
    <xf numFmtId="177" fontId="0" fillId="0" borderId="5" xfId="0" applyNumberFormat="1" applyBorder="1" applyAlignment="1">
      <alignment vertical="center"/>
    </xf>
    <xf numFmtId="177" fontId="0" fillId="0" borderId="24" xfId="0" applyNumberFormat="1" applyBorder="1" applyAlignment="1">
      <alignment vertical="center"/>
    </xf>
    <xf numFmtId="0" fontId="23" fillId="0" borderId="0" xfId="0" applyFont="1"/>
    <xf numFmtId="1" fontId="23" fillId="0" borderId="0" xfId="0" applyNumberFormat="1" applyFont="1" applyBorder="1" applyAlignment="1">
      <alignment horizontal="right"/>
    </xf>
    <xf numFmtId="1" fontId="23" fillId="0" borderId="3" xfId="0" applyNumberFormat="1" applyFont="1" applyBorder="1"/>
    <xf numFmtId="194" fontId="23" fillId="0" borderId="0" xfId="0" applyNumberFormat="1" applyFont="1" applyBorder="1"/>
    <xf numFmtId="0" fontId="92" fillId="0" borderId="25" xfId="0" applyFont="1" applyFill="1" applyBorder="1" applyAlignment="1">
      <alignment horizontal="right"/>
    </xf>
    <xf numFmtId="1" fontId="34" fillId="0" borderId="16" xfId="0" applyNumberFormat="1" applyFont="1" applyFill="1" applyBorder="1" applyProtection="1"/>
    <xf numFmtId="0" fontId="34" fillId="0" borderId="12" xfId="0" applyFont="1" applyFill="1" applyBorder="1"/>
    <xf numFmtId="2" fontId="34" fillId="0" borderId="11" xfId="0" applyNumberFormat="1" applyFont="1" applyFill="1" applyBorder="1" applyAlignment="1">
      <alignment horizontal="right"/>
    </xf>
    <xf numFmtId="0" fontId="30" fillId="0" borderId="11" xfId="0" applyFont="1" applyFill="1" applyBorder="1" applyAlignment="1">
      <alignment horizontal="right"/>
    </xf>
    <xf numFmtId="0" fontId="52" fillId="0" borderId="11" xfId="0" applyFont="1" applyBorder="1" applyAlignment="1">
      <alignment horizontal="right"/>
    </xf>
    <xf numFmtId="0" fontId="92" fillId="0" borderId="11" xfId="0" applyFont="1" applyFill="1" applyBorder="1" applyAlignment="1">
      <alignment horizontal="right"/>
    </xf>
    <xf numFmtId="1" fontId="34" fillId="0" borderId="16" xfId="0" applyNumberFormat="1" applyFont="1" applyFill="1" applyBorder="1"/>
    <xf numFmtId="0" fontId="34" fillId="0" borderId="16" xfId="0" applyFont="1" applyFill="1" applyBorder="1"/>
    <xf numFmtId="2" fontId="34" fillId="0" borderId="16" xfId="0" applyNumberFormat="1" applyFont="1" applyFill="1" applyBorder="1"/>
    <xf numFmtId="0" fontId="34" fillId="0" borderId="16" xfId="0" applyFont="1" applyFill="1" applyBorder="1" applyAlignment="1">
      <alignment horizontal="right"/>
    </xf>
    <xf numFmtId="177" fontId="106" fillId="0" borderId="0" xfId="36" applyNumberFormat="1" applyFont="1" applyAlignment="1">
      <alignment horizontal="left" vertical="center"/>
    </xf>
    <xf numFmtId="0" fontId="0" fillId="0" borderId="169" xfId="0" applyBorder="1" applyAlignment="1"/>
    <xf numFmtId="0" fontId="0" fillId="0" borderId="170" xfId="0" applyBorder="1" applyAlignment="1"/>
    <xf numFmtId="0" fontId="0" fillId="0" borderId="116" xfId="0" applyBorder="1" applyAlignment="1"/>
    <xf numFmtId="0" fontId="0" fillId="0" borderId="119" xfId="0" applyBorder="1" applyAlignment="1"/>
    <xf numFmtId="0" fontId="0" fillId="0" borderId="0" xfId="0" applyBorder="1" applyAlignment="1"/>
    <xf numFmtId="0" fontId="0" fillId="0" borderId="118" xfId="0" applyBorder="1" applyAlignment="1"/>
    <xf numFmtId="0" fontId="0" fillId="0" borderId="120" xfId="0" applyBorder="1" applyAlignment="1"/>
    <xf numFmtId="0" fontId="0" fillId="0" borderId="168" xfId="0" applyBorder="1" applyAlignment="1"/>
    <xf numFmtId="0" fontId="0" fillId="0" borderId="121" xfId="0" applyBorder="1" applyAlignment="1"/>
    <xf numFmtId="177" fontId="59" fillId="0" borderId="25" xfId="1" applyNumberFormat="1" applyFont="1" applyBorder="1" applyAlignment="1">
      <alignment vertical="center"/>
    </xf>
    <xf numFmtId="177" fontId="54" fillId="0" borderId="7" xfId="1" applyNumberFormat="1" applyFont="1" applyFill="1" applyBorder="1" applyAlignment="1">
      <alignment horizontal="center" vertical="center"/>
    </xf>
    <xf numFmtId="177" fontId="54" fillId="0" borderId="48" xfId="1" applyNumberFormat="1" applyFont="1" applyFill="1" applyBorder="1" applyAlignment="1">
      <alignment horizontal="center" vertical="center"/>
    </xf>
    <xf numFmtId="177" fontId="58" fillId="0" borderId="14" xfId="1" applyNumberFormat="1" applyFont="1" applyFill="1" applyBorder="1" applyAlignment="1">
      <alignment horizontal="center" vertical="center"/>
    </xf>
    <xf numFmtId="177" fontId="58" fillId="0" borderId="92" xfId="1" applyNumberFormat="1" applyFont="1" applyFill="1" applyBorder="1" applyAlignment="1">
      <alignment horizontal="center" vertical="center"/>
    </xf>
    <xf numFmtId="177" fontId="54" fillId="0" borderId="4" xfId="1" applyNumberFormat="1" applyFont="1" applyFill="1" applyBorder="1" applyAlignment="1">
      <alignment vertical="center"/>
    </xf>
    <xf numFmtId="177" fontId="54" fillId="0" borderId="2" xfId="1" applyNumberFormat="1" applyFont="1" applyFill="1" applyBorder="1" applyAlignment="1">
      <alignment horizontal="right" vertical="center"/>
    </xf>
    <xf numFmtId="177" fontId="54" fillId="0" borderId="2" xfId="1" applyNumberFormat="1" applyFont="1" applyFill="1" applyBorder="1" applyAlignment="1">
      <alignment vertical="center"/>
    </xf>
    <xf numFmtId="177" fontId="54" fillId="0" borderId="45" xfId="1" applyNumberFormat="1" applyFont="1" applyFill="1" applyBorder="1" applyAlignment="1">
      <alignment vertical="center"/>
    </xf>
    <xf numFmtId="177" fontId="54" fillId="0" borderId="1" xfId="1" applyNumberFormat="1" applyFont="1" applyFill="1" applyBorder="1" applyAlignment="1">
      <alignment vertical="center"/>
    </xf>
    <xf numFmtId="177" fontId="54" fillId="0" borderId="31" xfId="1" applyNumberFormat="1" applyFont="1" applyFill="1" applyBorder="1" applyAlignment="1">
      <alignment vertical="center"/>
    </xf>
    <xf numFmtId="177" fontId="54" fillId="0" borderId="1" xfId="1" applyNumberFormat="1" applyFont="1" applyFill="1" applyBorder="1" applyAlignment="1" applyProtection="1">
      <alignment vertical="center"/>
    </xf>
    <xf numFmtId="178" fontId="54" fillId="0" borderId="1" xfId="1" applyNumberFormat="1" applyFont="1" applyFill="1" applyBorder="1" applyAlignment="1">
      <alignment vertical="center"/>
    </xf>
    <xf numFmtId="177" fontId="54" fillId="0" borderId="31" xfId="1" applyNumberFormat="1" applyFont="1" applyFill="1" applyBorder="1" applyAlignment="1">
      <alignment horizontal="right" vertical="center"/>
    </xf>
    <xf numFmtId="178" fontId="54" fillId="4" borderId="1" xfId="1" applyNumberFormat="1" applyFont="1" applyFill="1" applyBorder="1" applyAlignment="1" applyProtection="1">
      <alignment vertical="center"/>
    </xf>
    <xf numFmtId="178" fontId="54" fillId="4" borderId="1" xfId="1" applyNumberFormat="1" applyFont="1" applyFill="1" applyBorder="1" applyAlignment="1">
      <alignment vertical="center"/>
    </xf>
    <xf numFmtId="177" fontId="54" fillId="4" borderId="1" xfId="1" applyNumberFormat="1" applyFont="1" applyFill="1" applyBorder="1" applyAlignment="1">
      <alignment vertical="center"/>
    </xf>
    <xf numFmtId="2" fontId="34" fillId="0" borderId="5" xfId="0" applyNumberFormat="1" applyFont="1" applyBorder="1"/>
    <xf numFmtId="182" fontId="34" fillId="3" borderId="0" xfId="0" applyNumberFormat="1" applyFont="1" applyFill="1" applyBorder="1" applyProtection="1">
      <protection locked="0"/>
    </xf>
    <xf numFmtId="2" fontId="34" fillId="4" borderId="0" xfId="0" applyNumberFormat="1" applyFont="1" applyFill="1" applyBorder="1" applyAlignment="1"/>
    <xf numFmtId="1" fontId="34" fillId="0" borderId="0" xfId="0" applyNumberFormat="1" applyFont="1" applyFill="1" applyBorder="1" applyAlignment="1">
      <alignment horizontal="right"/>
    </xf>
    <xf numFmtId="1" fontId="34" fillId="0" borderId="41" xfId="0" applyNumberFormat="1" applyFont="1" applyFill="1" applyBorder="1"/>
    <xf numFmtId="0" fontId="34" fillId="0" borderId="10" xfId="0" applyFont="1" applyFill="1" applyBorder="1"/>
    <xf numFmtId="194" fontId="34" fillId="0" borderId="10" xfId="0" applyNumberFormat="1" applyFont="1" applyFill="1" applyBorder="1"/>
    <xf numFmtId="2" fontId="34" fillId="4" borderId="10" xfId="0" applyNumberFormat="1" applyFont="1" applyFill="1" applyBorder="1"/>
    <xf numFmtId="0" fontId="52" fillId="0" borderId="10" xfId="0" applyFont="1" applyBorder="1"/>
    <xf numFmtId="0" fontId="52" fillId="0" borderId="55" xfId="0" applyFont="1" applyBorder="1" applyAlignment="1"/>
    <xf numFmtId="0" fontId="34" fillId="0" borderId="10" xfId="0" applyFont="1" applyBorder="1" applyAlignment="1"/>
    <xf numFmtId="194" fontId="34" fillId="0" borderId="10" xfId="0" applyNumberFormat="1" applyFont="1" applyFill="1" applyBorder="1" applyProtection="1"/>
    <xf numFmtId="0" fontId="52" fillId="0" borderId="98" xfId="0" applyFont="1" applyFill="1" applyBorder="1" applyAlignment="1" applyProtection="1"/>
    <xf numFmtId="0" fontId="34" fillId="0" borderId="10" xfId="0" applyFont="1" applyFill="1" applyBorder="1" applyAlignment="1" applyProtection="1"/>
    <xf numFmtId="1" fontId="34" fillId="0" borderId="2" xfId="0" applyNumberFormat="1" applyFont="1" applyFill="1" applyBorder="1"/>
    <xf numFmtId="1" fontId="34" fillId="0" borderId="3" xfId="0" applyNumberFormat="1" applyFont="1" applyFill="1" applyBorder="1" applyAlignment="1">
      <alignment horizontal="right"/>
    </xf>
    <xf numFmtId="1" fontId="34" fillId="0" borderId="4" xfId="0" applyNumberFormat="1" applyFont="1" applyFill="1" applyBorder="1" applyAlignment="1">
      <alignment horizontal="right"/>
    </xf>
    <xf numFmtId="1" fontId="34" fillId="0" borderId="2" xfId="0" applyNumberFormat="1" applyFont="1" applyFill="1" applyBorder="1" applyAlignment="1">
      <alignment horizontal="right"/>
    </xf>
    <xf numFmtId="194" fontId="34" fillId="0" borderId="1" xfId="0" applyNumberFormat="1" applyFont="1" applyBorder="1" applyAlignment="1">
      <alignment horizontal="right"/>
    </xf>
    <xf numFmtId="11" fontId="34" fillId="0" borderId="0" xfId="0" applyNumberFormat="1" applyFont="1"/>
    <xf numFmtId="1" fontId="34" fillId="4" borderId="2" xfId="0" applyNumberFormat="1" applyFont="1" applyFill="1" applyBorder="1" applyAlignment="1">
      <alignment horizontal="right"/>
    </xf>
    <xf numFmtId="1" fontId="34" fillId="4" borderId="4" xfId="0" applyNumberFormat="1" applyFont="1" applyFill="1" applyBorder="1" applyAlignment="1">
      <alignment horizontal="right"/>
    </xf>
    <xf numFmtId="182" fontId="103" fillId="7" borderId="73" xfId="19" applyNumberFormat="1" applyFont="1" applyFill="1" applyBorder="1"/>
    <xf numFmtId="0" fontId="34" fillId="0" borderId="43" xfId="0" applyFont="1" applyBorder="1"/>
    <xf numFmtId="0" fontId="34" fillId="0" borderId="43" xfId="0" applyFont="1" applyBorder="1" applyAlignment="1">
      <alignment horizontal="right"/>
    </xf>
    <xf numFmtId="1" fontId="34" fillId="0" borderId="43" xfId="0" applyNumberFormat="1" applyFont="1" applyFill="1" applyBorder="1" applyAlignment="1">
      <alignment horizontal="right"/>
    </xf>
    <xf numFmtId="194" fontId="34" fillId="0" borderId="43" xfId="0" applyNumberFormat="1" applyFont="1" applyFill="1" applyBorder="1" applyAlignment="1">
      <alignment horizontal="right"/>
    </xf>
    <xf numFmtId="2" fontId="34" fillId="0" borderId="43" xfId="0" applyNumberFormat="1" applyFont="1" applyFill="1" applyBorder="1" applyAlignment="1"/>
    <xf numFmtId="1" fontId="34" fillId="0" borderId="43" xfId="0" applyNumberFormat="1" applyFont="1" applyFill="1" applyBorder="1"/>
    <xf numFmtId="1" fontId="34" fillId="0" borderId="56" xfId="0" applyNumberFormat="1" applyFont="1" applyFill="1" applyBorder="1"/>
    <xf numFmtId="0" fontId="34" fillId="0" borderId="41" xfId="0" applyFont="1" applyBorder="1" applyAlignment="1"/>
    <xf numFmtId="0" fontId="52" fillId="0" borderId="41" xfId="0" applyFont="1" applyFill="1" applyBorder="1" applyAlignment="1" applyProtection="1"/>
    <xf numFmtId="0" fontId="52" fillId="0" borderId="10" xfId="0" applyFont="1" applyFill="1" applyBorder="1" applyAlignment="1" applyProtection="1"/>
    <xf numFmtId="194" fontId="34" fillId="0" borderId="4" xfId="0" applyNumberFormat="1" applyFont="1" applyBorder="1"/>
    <xf numFmtId="194" fontId="34" fillId="0" borderId="59" xfId="0" applyNumberFormat="1" applyFont="1" applyBorder="1"/>
    <xf numFmtId="1" fontId="34" fillId="4" borderId="93" xfId="0" applyNumberFormat="1" applyFont="1" applyFill="1" applyBorder="1"/>
    <xf numFmtId="1" fontId="34" fillId="0" borderId="11" xfId="0" applyNumberFormat="1" applyFont="1" applyFill="1" applyBorder="1" applyAlignment="1">
      <alignment horizontal="right"/>
    </xf>
    <xf numFmtId="1" fontId="34" fillId="0" borderId="42" xfId="0" applyNumberFormat="1" applyFont="1" applyFill="1" applyBorder="1"/>
    <xf numFmtId="1" fontId="34" fillId="0" borderId="8" xfId="0" applyNumberFormat="1" applyFont="1" applyFill="1" applyBorder="1"/>
    <xf numFmtId="1" fontId="34" fillId="0" borderId="6" xfId="0" applyNumberFormat="1" applyFont="1" applyFill="1" applyBorder="1"/>
    <xf numFmtId="194" fontId="34" fillId="0" borderId="8" xfId="0" applyNumberFormat="1" applyFont="1" applyBorder="1"/>
    <xf numFmtId="0" fontId="34" fillId="0" borderId="50" xfId="0" applyFont="1" applyBorder="1" applyAlignment="1"/>
    <xf numFmtId="1" fontId="34" fillId="0" borderId="56" xfId="0" applyNumberFormat="1" applyFont="1" applyBorder="1" applyAlignment="1">
      <alignment horizontal="right"/>
    </xf>
    <xf numFmtId="194" fontId="34" fillId="0" borderId="9" xfId="0" applyNumberFormat="1" applyFont="1" applyBorder="1"/>
    <xf numFmtId="1" fontId="34" fillId="0" borderId="56" xfId="0" applyNumberFormat="1" applyFont="1" applyBorder="1"/>
    <xf numFmtId="1" fontId="34" fillId="4" borderId="48" xfId="0" applyNumberFormat="1" applyFont="1" applyFill="1" applyBorder="1"/>
    <xf numFmtId="1" fontId="34" fillId="0" borderId="48" xfId="0" applyNumberFormat="1" applyFont="1" applyBorder="1"/>
    <xf numFmtId="1" fontId="34" fillId="4" borderId="59" xfId="0" applyNumberFormat="1" applyFont="1" applyFill="1" applyBorder="1"/>
    <xf numFmtId="0" fontId="34" fillId="0" borderId="193" xfId="0" applyFont="1" applyBorder="1" applyAlignment="1"/>
    <xf numFmtId="1" fontId="34" fillId="0" borderId="195" xfId="0" applyNumberFormat="1" applyFont="1" applyBorder="1" applyAlignment="1">
      <alignment horizontal="right"/>
    </xf>
    <xf numFmtId="194" fontId="34" fillId="0" borderId="196" xfId="0" applyNumberFormat="1" applyFont="1" applyBorder="1"/>
    <xf numFmtId="1" fontId="34" fillId="0" borderId="196" xfId="0" applyNumberFormat="1" applyFont="1" applyBorder="1"/>
    <xf numFmtId="1" fontId="34" fillId="0" borderId="195" xfId="0" applyNumberFormat="1" applyFont="1" applyBorder="1"/>
    <xf numFmtId="1" fontId="34" fillId="4" borderId="197" xfId="0" applyNumberFormat="1" applyFont="1" applyFill="1" applyBorder="1"/>
    <xf numFmtId="1" fontId="34" fillId="4" borderId="196" xfId="0" applyNumberFormat="1" applyFont="1" applyFill="1" applyBorder="1"/>
    <xf numFmtId="1" fontId="34" fillId="0" borderId="197" xfId="0" applyNumberFormat="1" applyFont="1" applyBorder="1"/>
    <xf numFmtId="1" fontId="34" fillId="0" borderId="198" xfId="0" applyNumberFormat="1" applyFont="1" applyBorder="1"/>
    <xf numFmtId="1" fontId="34" fillId="0" borderId="1" xfId="0" applyNumberFormat="1" applyFont="1" applyFill="1" applyBorder="1"/>
    <xf numFmtId="1" fontId="34" fillId="0" borderId="4" xfId="0" applyNumberFormat="1" applyFont="1" applyFill="1" applyBorder="1"/>
    <xf numFmtId="1" fontId="34" fillId="0" borderId="3" xfId="0" applyNumberFormat="1" applyFont="1" applyFill="1" applyBorder="1"/>
    <xf numFmtId="194" fontId="34" fillId="0" borderId="3" xfId="0" applyNumberFormat="1" applyFont="1" applyFill="1" applyBorder="1"/>
    <xf numFmtId="1" fontId="34" fillId="0" borderId="199" xfId="0" applyNumberFormat="1" applyFont="1" applyFill="1" applyBorder="1"/>
    <xf numFmtId="1" fontId="34" fillId="0" borderId="195" xfId="0" applyNumberFormat="1" applyFont="1" applyFill="1" applyBorder="1"/>
    <xf numFmtId="194" fontId="34" fillId="0" borderId="195" xfId="0" applyNumberFormat="1" applyFont="1" applyFill="1" applyBorder="1"/>
    <xf numFmtId="1" fontId="34" fillId="0" borderId="197" xfId="0" applyNumberFormat="1" applyFont="1" applyFill="1" applyBorder="1"/>
    <xf numFmtId="1" fontId="34" fillId="0" borderId="196" xfId="0" applyNumberFormat="1" applyFont="1" applyFill="1" applyBorder="1"/>
    <xf numFmtId="1" fontId="34" fillId="0" borderId="200" xfId="0" applyNumberFormat="1" applyFont="1" applyFill="1" applyBorder="1"/>
    <xf numFmtId="194" fontId="34" fillId="0" borderId="200" xfId="0" applyNumberFormat="1" applyFont="1" applyFill="1" applyBorder="1"/>
    <xf numFmtId="194" fontId="34" fillId="0" borderId="199" xfId="0" applyNumberFormat="1" applyFont="1" applyFill="1" applyBorder="1"/>
    <xf numFmtId="2" fontId="34" fillId="0" borderId="199" xfId="0" applyNumberFormat="1" applyFont="1" applyFill="1" applyBorder="1"/>
    <xf numFmtId="194" fontId="34" fillId="0" borderId="42" xfId="0" applyNumberFormat="1" applyFont="1" applyFill="1" applyBorder="1"/>
    <xf numFmtId="0" fontId="34" fillId="0" borderId="43" xfId="0" applyFont="1" applyFill="1" applyBorder="1" applyAlignment="1">
      <alignment horizontal="right"/>
    </xf>
    <xf numFmtId="1" fontId="34" fillId="7" borderId="43" xfId="0" applyNumberFormat="1" applyFont="1" applyFill="1" applyBorder="1"/>
    <xf numFmtId="1" fontId="34" fillId="11" borderId="33" xfId="0" applyNumberFormat="1" applyFont="1" applyFill="1" applyBorder="1"/>
    <xf numFmtId="1" fontId="34" fillId="11" borderId="4" xfId="0" applyNumberFormat="1" applyFont="1" applyFill="1" applyBorder="1"/>
    <xf numFmtId="1" fontId="34" fillId="11" borderId="59" xfId="0" applyNumberFormat="1" applyFont="1" applyFill="1" applyBorder="1"/>
    <xf numFmtId="1" fontId="23" fillId="0" borderId="29" xfId="0" applyNumberFormat="1" applyFont="1" applyBorder="1"/>
    <xf numFmtId="1" fontId="23" fillId="0" borderId="35" xfId="0" applyNumberFormat="1" applyFont="1" applyBorder="1"/>
    <xf numFmtId="1" fontId="23" fillId="0" borderId="36" xfId="0" applyNumberFormat="1" applyFont="1" applyBorder="1"/>
    <xf numFmtId="1" fontId="23" fillId="0" borderId="28" xfId="0" applyNumberFormat="1" applyFont="1" applyBorder="1"/>
    <xf numFmtId="1" fontId="23" fillId="0" borderId="34" xfId="0" applyNumberFormat="1" applyFont="1" applyBorder="1"/>
    <xf numFmtId="194" fontId="34" fillId="0" borderId="5" xfId="0" applyNumberFormat="1" applyFont="1" applyBorder="1"/>
    <xf numFmtId="0" fontId="34" fillId="7" borderId="0" xfId="0" applyFont="1" applyFill="1" applyBorder="1" applyProtection="1">
      <protection locked="0"/>
    </xf>
    <xf numFmtId="194" fontId="34" fillId="0" borderId="6" xfId="0" applyNumberFormat="1" applyFont="1" applyBorder="1"/>
    <xf numFmtId="1" fontId="34" fillId="0" borderId="45" xfId="0" applyNumberFormat="1" applyFont="1" applyFill="1" applyBorder="1" applyAlignment="1">
      <alignment horizontal="right"/>
    </xf>
    <xf numFmtId="1" fontId="64" fillId="0" borderId="12" xfId="0" applyNumberFormat="1" applyFont="1" applyBorder="1"/>
    <xf numFmtId="194" fontId="89" fillId="21" borderId="11" xfId="31" applyNumberFormat="1" applyFont="1" applyFill="1" applyBorder="1" applyAlignment="1">
      <alignment horizontal="right" vertical="center"/>
    </xf>
    <xf numFmtId="0" fontId="63" fillId="0" borderId="0" xfId="0" applyFont="1" applyBorder="1" applyAlignment="1">
      <alignment horizontal="left" vertical="top" wrapText="1"/>
    </xf>
    <xf numFmtId="0" fontId="63" fillId="0" borderId="12" xfId="0" applyFont="1" applyBorder="1" applyAlignment="1">
      <alignment horizontal="left" vertical="top" wrapText="1"/>
    </xf>
    <xf numFmtId="0" fontId="34" fillId="0" borderId="0" xfId="0" applyFont="1" applyFill="1" applyBorder="1" applyAlignment="1">
      <alignment horizontal="center"/>
    </xf>
    <xf numFmtId="1" fontId="22" fillId="0" borderId="3" xfId="0" applyNumberFormat="1" applyFont="1" applyBorder="1"/>
    <xf numFmtId="0" fontId="34" fillId="0" borderId="0" xfId="0" applyFont="1" applyFill="1" applyBorder="1" applyAlignment="1">
      <alignment horizontal="left"/>
    </xf>
    <xf numFmtId="1" fontId="34" fillId="0" borderId="92" xfId="0" applyNumberFormat="1" applyFont="1" applyFill="1" applyBorder="1" applyProtection="1"/>
    <xf numFmtId="177" fontId="117" fillId="4" borderId="58" xfId="5" applyNumberFormat="1" applyFont="1" applyFill="1" applyBorder="1" applyAlignment="1" applyProtection="1">
      <alignment vertical="center"/>
    </xf>
    <xf numFmtId="1" fontId="34" fillId="7" borderId="61" xfId="0" applyNumberFormat="1" applyFont="1" applyFill="1" applyBorder="1"/>
    <xf numFmtId="193" fontId="34" fillId="7" borderId="0" xfId="0" applyNumberFormat="1" applyFont="1" applyFill="1" applyBorder="1"/>
    <xf numFmtId="1" fontId="34" fillId="0" borderId="129" xfId="0" applyNumberFormat="1" applyFont="1" applyBorder="1"/>
    <xf numFmtId="0" fontId="34" fillId="0" borderId="135" xfId="0" applyFont="1" applyBorder="1"/>
    <xf numFmtId="0" fontId="34" fillId="0" borderId="129" xfId="0" applyFont="1" applyFill="1" applyBorder="1" applyProtection="1"/>
    <xf numFmtId="182" fontId="43" fillId="0" borderId="0" xfId="19" applyNumberFormat="1"/>
    <xf numFmtId="182" fontId="64" fillId="0" borderId="201" xfId="0" applyNumberFormat="1" applyFont="1" applyBorder="1" applyAlignment="1">
      <alignment vertical="center" wrapText="1"/>
    </xf>
    <xf numFmtId="0" fontId="116" fillId="0" borderId="202" xfId="0" applyFont="1" applyFill="1" applyBorder="1" applyAlignment="1">
      <alignment horizontal="center"/>
    </xf>
    <xf numFmtId="182" fontId="64" fillId="0" borderId="202" xfId="0" applyNumberFormat="1" applyFont="1" applyBorder="1"/>
    <xf numFmtId="182" fontId="64" fillId="0" borderId="203" xfId="0" applyNumberFormat="1" applyFont="1" applyBorder="1"/>
    <xf numFmtId="182" fontId="64" fillId="0" borderId="16" xfId="0" applyNumberFormat="1" applyFont="1" applyBorder="1" applyAlignment="1">
      <alignment vertical="center" wrapText="1"/>
    </xf>
    <xf numFmtId="182" fontId="116" fillId="0" borderId="16" xfId="0" applyNumberFormat="1" applyFont="1" applyBorder="1" applyAlignment="1">
      <alignment vertical="center" wrapText="1"/>
    </xf>
    <xf numFmtId="1" fontId="34" fillId="4" borderId="133" xfId="19" applyNumberFormat="1" applyFont="1" applyFill="1" applyBorder="1"/>
    <xf numFmtId="1" fontId="34" fillId="4" borderId="126" xfId="19" applyNumberFormat="1" applyFont="1" applyFill="1" applyBorder="1"/>
    <xf numFmtId="1" fontId="34" fillId="4" borderId="127" xfId="19" applyNumberFormat="1" applyFont="1" applyFill="1" applyBorder="1"/>
    <xf numFmtId="1" fontId="34" fillId="4" borderId="134" xfId="19" applyNumberFormat="1" applyFont="1" applyFill="1" applyBorder="1"/>
    <xf numFmtId="1" fontId="34" fillId="4" borderId="129" xfId="19" applyNumberFormat="1" applyFont="1" applyFill="1" applyBorder="1"/>
    <xf numFmtId="1" fontId="34" fillId="4" borderId="130" xfId="19" applyNumberFormat="1" applyFont="1" applyFill="1" applyBorder="1"/>
    <xf numFmtId="1" fontId="34" fillId="0" borderId="8" xfId="19" applyNumberFormat="1" applyFont="1" applyFill="1" applyBorder="1"/>
    <xf numFmtId="1" fontId="34" fillId="0" borderId="24" xfId="19" applyNumberFormat="1" applyFont="1" applyFill="1" applyBorder="1"/>
    <xf numFmtId="1" fontId="34" fillId="4" borderId="126" xfId="19" quotePrefix="1" applyNumberFormat="1" applyFont="1" applyFill="1" applyBorder="1"/>
    <xf numFmtId="1" fontId="34" fillId="4" borderId="127" xfId="19" quotePrefix="1" applyNumberFormat="1" applyFont="1" applyFill="1" applyBorder="1"/>
    <xf numFmtId="1" fontId="34" fillId="4" borderId="138" xfId="19" applyNumberFormat="1" applyFont="1" applyFill="1" applyBorder="1"/>
    <xf numFmtId="1" fontId="34" fillId="4" borderId="139" xfId="19" applyNumberFormat="1" applyFont="1" applyFill="1" applyBorder="1"/>
    <xf numFmtId="1" fontId="34" fillId="4" borderId="139" xfId="19" quotePrefix="1" applyNumberFormat="1" applyFont="1" applyFill="1" applyBorder="1"/>
    <xf numFmtId="1" fontId="34" fillId="4" borderId="204" xfId="19" applyNumberFormat="1" applyFont="1" applyFill="1" applyBorder="1"/>
    <xf numFmtId="1" fontId="34" fillId="26" borderId="12" xfId="19" applyNumberFormat="1" applyFont="1" applyFill="1" applyBorder="1"/>
    <xf numFmtId="1" fontId="34" fillId="26" borderId="22" xfId="19" applyNumberFormat="1" applyFont="1" applyFill="1" applyBorder="1"/>
    <xf numFmtId="1" fontId="34" fillId="26" borderId="0" xfId="19" applyNumberFormat="1" applyFont="1" applyFill="1" applyBorder="1"/>
    <xf numFmtId="1" fontId="34" fillId="0" borderId="0" xfId="19" applyNumberFormat="1" applyFont="1" applyFill="1"/>
    <xf numFmtId="1" fontId="103" fillId="26" borderId="0" xfId="19" quotePrefix="1" applyNumberFormat="1" applyFont="1" applyFill="1" applyBorder="1"/>
    <xf numFmtId="1" fontId="103" fillId="26" borderId="5" xfId="19" quotePrefix="1" applyNumberFormat="1" applyFont="1" applyFill="1" applyBorder="1"/>
    <xf numFmtId="1" fontId="103" fillId="26" borderId="12" xfId="19" applyNumberFormat="1" applyFont="1" applyFill="1" applyBorder="1"/>
    <xf numFmtId="1" fontId="103" fillId="26" borderId="24" xfId="19" applyNumberFormat="1" applyFont="1" applyFill="1" applyBorder="1"/>
    <xf numFmtId="1" fontId="21" fillId="4" borderId="6" xfId="19" applyNumberFormat="1" applyFont="1" applyFill="1" applyBorder="1"/>
    <xf numFmtId="1" fontId="21" fillId="4" borderId="7" xfId="19" applyNumberFormat="1" applyFont="1" applyFill="1" applyBorder="1"/>
    <xf numFmtId="1" fontId="21" fillId="4" borderId="10" xfId="19" applyNumberFormat="1" applyFont="1" applyFill="1" applyBorder="1"/>
    <xf numFmtId="1" fontId="21" fillId="4" borderId="0" xfId="19" applyNumberFormat="1" applyFont="1" applyFill="1" applyBorder="1"/>
    <xf numFmtId="1" fontId="21" fillId="4" borderId="8" xfId="19" applyNumberFormat="1" applyFont="1" applyFill="1" applyBorder="1"/>
    <xf numFmtId="1" fontId="21" fillId="4" borderId="5" xfId="19" applyNumberFormat="1" applyFont="1" applyFill="1" applyBorder="1"/>
    <xf numFmtId="1" fontId="34" fillId="26" borderId="0" xfId="19" quotePrefix="1" applyNumberFormat="1" applyFont="1" applyFill="1" applyBorder="1"/>
    <xf numFmtId="1" fontId="34" fillId="26" borderId="5" xfId="19" quotePrefix="1" applyNumberFormat="1" applyFont="1" applyFill="1" applyBorder="1"/>
    <xf numFmtId="1" fontId="21" fillId="4" borderId="0" xfId="19" quotePrefix="1" applyNumberFormat="1" applyFont="1" applyFill="1" applyBorder="1"/>
    <xf numFmtId="1" fontId="21" fillId="4" borderId="5" xfId="19" quotePrefix="1" applyNumberFormat="1" applyFont="1" applyFill="1" applyBorder="1"/>
    <xf numFmtId="1" fontId="34" fillId="26" borderId="24" xfId="19" applyNumberFormat="1" applyFont="1" applyFill="1" applyBorder="1"/>
    <xf numFmtId="1" fontId="34" fillId="4" borderId="0" xfId="19" applyNumberFormat="1" applyFont="1" applyFill="1"/>
    <xf numFmtId="1" fontId="34" fillId="0" borderId="205" xfId="19" applyNumberFormat="1" applyFont="1" applyBorder="1"/>
    <xf numFmtId="1" fontId="34" fillId="0" borderId="139" xfId="19" applyNumberFormat="1" applyFont="1" applyFill="1" applyBorder="1"/>
    <xf numFmtId="1" fontId="34" fillId="0" borderId="139" xfId="19" applyNumberFormat="1" applyFont="1" applyBorder="1"/>
    <xf numFmtId="0" fontId="34" fillId="0" borderId="140" xfId="19" applyFont="1" applyBorder="1"/>
    <xf numFmtId="1" fontId="34" fillId="0" borderId="125" xfId="19" applyNumberFormat="1" applyFont="1" applyBorder="1" applyAlignment="1">
      <alignment horizontal="right"/>
    </xf>
    <xf numFmtId="1" fontId="34" fillId="0" borderId="126" xfId="19" quotePrefix="1" applyNumberFormat="1" applyFont="1" applyFill="1" applyBorder="1"/>
    <xf numFmtId="1" fontId="34" fillId="0" borderId="126" xfId="19" applyNumberFormat="1" applyFont="1" applyFill="1" applyBorder="1"/>
    <xf numFmtId="1" fontId="34" fillId="0" borderId="126" xfId="19" applyNumberFormat="1" applyFont="1" applyBorder="1"/>
    <xf numFmtId="1" fontId="34" fillId="0" borderId="136" xfId="19" applyNumberFormat="1" applyFont="1" applyBorder="1"/>
    <xf numFmtId="0" fontId="34" fillId="0" borderId="125" xfId="19" applyFont="1" applyBorder="1" applyAlignment="1">
      <alignment horizontal="right"/>
    </xf>
    <xf numFmtId="1" fontId="34" fillId="0" borderId="125" xfId="19" applyNumberFormat="1" applyFont="1" applyBorder="1"/>
    <xf numFmtId="0" fontId="34" fillId="0" borderId="136" xfId="19" applyFont="1" applyBorder="1"/>
    <xf numFmtId="0" fontId="34" fillId="0" borderId="136" xfId="19" applyFont="1" applyFill="1" applyBorder="1"/>
    <xf numFmtId="1" fontId="34" fillId="0" borderId="125" xfId="19" applyNumberFormat="1" applyFont="1" applyFill="1" applyBorder="1" applyAlignment="1">
      <alignment horizontal="left"/>
    </xf>
    <xf numFmtId="0" fontId="34" fillId="0" borderId="206" xfId="19" applyFont="1" applyBorder="1" applyAlignment="1">
      <alignment horizontal="right"/>
    </xf>
    <xf numFmtId="1" fontId="34" fillId="0" borderId="147" xfId="19" applyNumberFormat="1" applyFont="1" applyBorder="1"/>
    <xf numFmtId="1" fontId="34" fillId="0" borderId="207" xfId="19" applyNumberFormat="1" applyFont="1" applyBorder="1"/>
    <xf numFmtId="0" fontId="34" fillId="0" borderId="205" xfId="19" applyFont="1" applyFill="1" applyBorder="1" applyAlignment="1">
      <alignment horizontal="left"/>
    </xf>
    <xf numFmtId="0" fontId="34" fillId="0" borderId="139" xfId="19" applyFont="1" applyFill="1" applyBorder="1"/>
    <xf numFmtId="0" fontId="34" fillId="0" borderId="140" xfId="19" applyFont="1" applyFill="1" applyBorder="1"/>
    <xf numFmtId="0" fontId="34" fillId="0" borderId="125" xfId="19" applyFont="1" applyFill="1" applyBorder="1" applyAlignment="1">
      <alignment horizontal="right"/>
    </xf>
    <xf numFmtId="0" fontId="34" fillId="0" borderId="126" xfId="19" applyFont="1" applyFill="1" applyBorder="1"/>
    <xf numFmtId="1" fontId="34" fillId="0" borderId="136" xfId="19" applyNumberFormat="1" applyFont="1" applyFill="1" applyBorder="1"/>
    <xf numFmtId="1" fontId="34" fillId="0" borderId="125" xfId="19" applyNumberFormat="1" applyFont="1" applyFill="1" applyBorder="1" applyAlignment="1">
      <alignment horizontal="right"/>
    </xf>
    <xf numFmtId="1" fontId="34" fillId="0" borderId="206" xfId="19" applyNumberFormat="1" applyFont="1" applyFill="1" applyBorder="1" applyAlignment="1">
      <alignment horizontal="right"/>
    </xf>
    <xf numFmtId="1" fontId="34" fillId="0" borderId="147" xfId="19" applyNumberFormat="1" applyFont="1" applyFill="1" applyBorder="1"/>
    <xf numFmtId="1" fontId="34" fillId="0" borderId="147" xfId="19" quotePrefix="1" applyNumberFormat="1" applyFont="1" applyFill="1" applyBorder="1"/>
    <xf numFmtId="0" fontId="34" fillId="0" borderId="207" xfId="19" applyFont="1" applyFill="1" applyBorder="1"/>
    <xf numFmtId="0" fontId="34" fillId="0" borderId="205" xfId="19" applyFont="1" applyBorder="1" applyAlignment="1">
      <alignment horizontal="left"/>
    </xf>
    <xf numFmtId="0" fontId="34" fillId="0" borderId="147" xfId="19" applyFont="1" applyFill="1" applyBorder="1"/>
    <xf numFmtId="1" fontId="34" fillId="23" borderId="0" xfId="19" applyNumberFormat="1" applyFont="1" applyFill="1"/>
    <xf numFmtId="0" fontId="34" fillId="0" borderId="126" xfId="19" applyFont="1" applyBorder="1"/>
    <xf numFmtId="0" fontId="34" fillId="0" borderId="126" xfId="19" applyFont="1" applyBorder="1" applyAlignment="1">
      <alignment horizontal="right"/>
    </xf>
    <xf numFmtId="0" fontId="34" fillId="0" borderId="128" xfId="19" applyFont="1" applyBorder="1" applyAlignment="1">
      <alignment horizontal="right"/>
    </xf>
    <xf numFmtId="0" fontId="34" fillId="0" borderId="129" xfId="19" applyFont="1" applyBorder="1" applyAlignment="1">
      <alignment horizontal="right"/>
    </xf>
    <xf numFmtId="1" fontId="34" fillId="0" borderId="129" xfId="19" applyNumberFormat="1" applyFont="1" applyBorder="1"/>
    <xf numFmtId="1" fontId="34" fillId="0" borderId="135" xfId="19" applyNumberFormat="1" applyFont="1" applyBorder="1"/>
    <xf numFmtId="0" fontId="34" fillId="0" borderId="98" xfId="0" applyFont="1" applyBorder="1"/>
    <xf numFmtId="1" fontId="34" fillId="0" borderId="16" xfId="0" applyNumberFormat="1" applyFont="1" applyFill="1" applyBorder="1" applyAlignment="1">
      <alignment horizontal="right"/>
    </xf>
    <xf numFmtId="2" fontId="34" fillId="0" borderId="16" xfId="0" applyNumberFormat="1" applyFont="1" applyBorder="1"/>
    <xf numFmtId="0" fontId="34" fillId="0" borderId="16" xfId="0" applyFont="1" applyFill="1" applyBorder="1" applyProtection="1"/>
    <xf numFmtId="0" fontId="34" fillId="0" borderId="16" xfId="0" applyFont="1" applyFill="1" applyBorder="1" applyAlignment="1" applyProtection="1">
      <alignment horizontal="right"/>
    </xf>
    <xf numFmtId="0" fontId="92" fillId="0" borderId="11" xfId="0" applyFont="1" applyBorder="1" applyAlignment="1">
      <alignment horizontal="right"/>
    </xf>
    <xf numFmtId="0" fontId="34" fillId="0" borderId="11" xfId="0" applyFont="1" applyBorder="1" applyAlignment="1">
      <alignment horizontal="right"/>
    </xf>
    <xf numFmtId="1" fontId="30" fillId="0" borderId="11" xfId="0" applyNumberFormat="1" applyFont="1" applyFill="1" applyBorder="1" applyAlignment="1">
      <alignment horizontal="right"/>
    </xf>
    <xf numFmtId="1" fontId="34" fillId="26" borderId="12" xfId="19" quotePrefix="1" applyNumberFormat="1" applyFont="1" applyFill="1" applyBorder="1"/>
    <xf numFmtId="1" fontId="20" fillId="4" borderId="5" xfId="19" applyNumberFormat="1" applyFont="1" applyFill="1" applyBorder="1"/>
    <xf numFmtId="1" fontId="20" fillId="0" borderId="0" xfId="19" quotePrefix="1" applyNumberFormat="1" applyFont="1" applyFill="1" applyBorder="1"/>
    <xf numFmtId="1" fontId="20" fillId="0" borderId="12" xfId="19" applyNumberFormat="1" applyFont="1" applyFill="1" applyBorder="1"/>
    <xf numFmtId="1" fontId="20" fillId="0" borderId="0" xfId="19" applyNumberFormat="1" applyFont="1" applyFill="1" applyBorder="1" applyAlignment="1">
      <alignment horizontal="right"/>
    </xf>
    <xf numFmtId="195" fontId="112" fillId="0" borderId="0" xfId="0" applyNumberFormat="1" applyFont="1" applyFill="1" applyBorder="1" applyAlignment="1" applyProtection="1">
      <alignment vertical="center"/>
      <protection locked="0"/>
    </xf>
    <xf numFmtId="182" fontId="136" fillId="18" borderId="38" xfId="30" applyNumberFormat="1" applyFont="1" applyFill="1" applyBorder="1" applyAlignment="1">
      <alignment horizontal="center" vertical="center"/>
    </xf>
    <xf numFmtId="0" fontId="136" fillId="18" borderId="106" xfId="30" applyFont="1" applyFill="1" applyBorder="1" applyAlignment="1">
      <alignment horizontal="left" vertical="center"/>
    </xf>
    <xf numFmtId="0" fontId="136" fillId="19" borderId="37" xfId="29" applyFont="1" applyFill="1" applyBorder="1" applyAlignment="1">
      <alignment horizontal="left" vertical="center"/>
    </xf>
    <xf numFmtId="182" fontId="136" fillId="18" borderId="16" xfId="30" applyNumberFormat="1" applyFont="1" applyFill="1" applyBorder="1" applyAlignment="1">
      <alignment horizontal="center" vertical="center"/>
    </xf>
    <xf numFmtId="0" fontId="136" fillId="18" borderId="25" xfId="30" applyFont="1" applyFill="1" applyBorder="1" applyAlignment="1">
      <alignment horizontal="left" vertical="center"/>
    </xf>
    <xf numFmtId="0" fontId="136" fillId="18" borderId="37" xfId="30" applyFont="1" applyFill="1" applyBorder="1" applyAlignment="1">
      <alignment horizontal="left" vertical="center"/>
    </xf>
    <xf numFmtId="0" fontId="136" fillId="22" borderId="38" xfId="30" applyFont="1" applyFill="1" applyBorder="1" applyAlignment="1">
      <alignment horizontal="center" vertical="center"/>
    </xf>
    <xf numFmtId="0" fontId="136" fillId="22" borderId="37" xfId="30" applyFont="1" applyFill="1" applyBorder="1" applyAlignment="1">
      <alignment horizontal="left" vertical="center"/>
    </xf>
    <xf numFmtId="0" fontId="136" fillId="21" borderId="37" xfId="30" applyFont="1" applyFill="1" applyBorder="1" applyAlignment="1">
      <alignment horizontal="left" vertical="center"/>
    </xf>
    <xf numFmtId="182" fontId="136" fillId="21" borderId="38" xfId="30" applyNumberFormat="1" applyFont="1" applyFill="1" applyBorder="1" applyAlignment="1">
      <alignment horizontal="center" vertical="center"/>
    </xf>
    <xf numFmtId="182" fontId="136" fillId="20" borderId="38" xfId="30" applyNumberFormat="1" applyFont="1" applyFill="1" applyBorder="1" applyAlignment="1">
      <alignment horizontal="center" vertical="center"/>
    </xf>
    <xf numFmtId="0" fontId="136" fillId="20" borderId="37" xfId="30" applyFont="1" applyFill="1" applyBorder="1" applyAlignment="1">
      <alignment horizontal="left" vertical="center"/>
    </xf>
    <xf numFmtId="1" fontId="136" fillId="20" borderId="38" xfId="30" applyNumberFormat="1" applyFont="1" applyFill="1" applyBorder="1" applyAlignment="1">
      <alignment horizontal="center" vertical="center"/>
    </xf>
    <xf numFmtId="182" fontId="136" fillId="19" borderId="38" xfId="29" applyNumberFormat="1" applyFont="1" applyFill="1" applyBorder="1" applyAlignment="1">
      <alignment horizontal="center" vertical="center"/>
    </xf>
    <xf numFmtId="0" fontId="136" fillId="19" borderId="106" xfId="29" applyFont="1" applyFill="1" applyBorder="1" applyAlignment="1">
      <alignment horizontal="left" vertical="center"/>
    </xf>
    <xf numFmtId="1" fontId="64" fillId="0" borderId="100" xfId="5" applyNumberFormat="1" applyFont="1" applyFill="1" applyBorder="1" applyAlignment="1" applyProtection="1">
      <alignment horizontal="right" vertical="center"/>
    </xf>
    <xf numFmtId="1" fontId="64" fillId="0" borderId="79" xfId="0" applyNumberFormat="1" applyFont="1" applyFill="1" applyBorder="1" applyAlignment="1" applyProtection="1">
      <alignment horizontal="right" vertical="center"/>
    </xf>
    <xf numFmtId="1" fontId="64" fillId="0" borderId="79" xfId="0" applyNumberFormat="1" applyFont="1" applyBorder="1" applyAlignment="1">
      <alignment horizontal="right" vertical="center"/>
    </xf>
    <xf numFmtId="194" fontId="64" fillId="0" borderId="79" xfId="0" applyNumberFormat="1" applyFont="1" applyBorder="1" applyAlignment="1">
      <alignment horizontal="right" vertical="center"/>
    </xf>
    <xf numFmtId="2" fontId="64" fillId="0" borderId="79" xfId="0" applyNumberFormat="1" applyFont="1" applyFill="1" applyBorder="1" applyAlignment="1">
      <alignment horizontal="right" vertical="center"/>
    </xf>
    <xf numFmtId="1" fontId="64" fillId="0" borderId="101" xfId="0" applyNumberFormat="1" applyFont="1" applyBorder="1" applyAlignment="1">
      <alignment horizontal="right" vertical="center"/>
    </xf>
    <xf numFmtId="1" fontId="64" fillId="0" borderId="0" xfId="4" applyNumberFormat="1" applyFont="1" applyAlignment="1">
      <alignment horizontal="right" vertical="center"/>
    </xf>
    <xf numFmtId="0" fontId="104" fillId="0" borderId="79" xfId="0" applyFont="1" applyBorder="1"/>
    <xf numFmtId="1" fontId="64" fillId="0" borderId="79" xfId="0" applyNumberFormat="1" applyFont="1" applyFill="1" applyBorder="1" applyAlignment="1" applyProtection="1">
      <alignment vertical="center"/>
    </xf>
    <xf numFmtId="1" fontId="64" fillId="0" borderId="79" xfId="0" applyNumberFormat="1" applyFont="1" applyBorder="1" applyAlignment="1">
      <alignment vertical="center"/>
    </xf>
    <xf numFmtId="2" fontId="62" fillId="0" borderId="165" xfId="4" applyNumberFormat="1" applyFont="1" applyBorder="1"/>
    <xf numFmtId="2" fontId="62" fillId="0" borderId="166" xfId="4" applyNumberFormat="1" applyFont="1" applyBorder="1"/>
    <xf numFmtId="1" fontId="64" fillId="0" borderId="208" xfId="0" applyNumberFormat="1" applyFont="1" applyBorder="1" applyAlignment="1">
      <alignment horizontal="right" vertical="center"/>
    </xf>
    <xf numFmtId="1" fontId="64" fillId="7" borderId="79" xfId="5" applyNumberFormat="1" applyFont="1" applyFill="1" applyBorder="1" applyAlignment="1" applyProtection="1">
      <alignment vertical="center"/>
    </xf>
    <xf numFmtId="194" fontId="33" fillId="7" borderId="0" xfId="5" applyNumberFormat="1" applyFont="1" applyFill="1" applyBorder="1" applyAlignment="1" applyProtection="1">
      <alignment vertical="center"/>
    </xf>
    <xf numFmtId="177" fontId="64" fillId="4" borderId="38" xfId="5" applyNumberFormat="1" applyFont="1" applyFill="1" applyBorder="1" applyAlignment="1" applyProtection="1">
      <alignment horizontal="left" vertical="center"/>
    </xf>
    <xf numFmtId="0" fontId="62" fillId="3" borderId="80" xfId="0" applyFont="1" applyFill="1" applyBorder="1" applyAlignment="1" applyProtection="1">
      <alignment horizontal="right"/>
      <protection locked="0"/>
    </xf>
    <xf numFmtId="0" fontId="62" fillId="0" borderId="0" xfId="0" applyFont="1" applyFill="1" applyBorder="1"/>
    <xf numFmtId="0" fontId="62" fillId="3" borderId="0" xfId="0" applyFont="1" applyFill="1" applyBorder="1" applyAlignment="1" applyProtection="1">
      <alignment horizontal="right"/>
      <protection locked="0"/>
    </xf>
    <xf numFmtId="0" fontId="62" fillId="3" borderId="0" xfId="0" applyFont="1" applyFill="1" applyBorder="1" applyProtection="1">
      <protection locked="0"/>
    </xf>
    <xf numFmtId="1" fontId="64" fillId="0" borderId="79" xfId="4" applyNumberFormat="1" applyFont="1" applyBorder="1" applyAlignment="1">
      <alignment horizontal="right" vertical="center"/>
    </xf>
    <xf numFmtId="1" fontId="64" fillId="0" borderId="101" xfId="4" applyNumberFormat="1" applyFont="1" applyBorder="1" applyAlignment="1">
      <alignment horizontal="right" vertical="center"/>
    </xf>
    <xf numFmtId="1" fontId="83" fillId="0" borderId="90" xfId="0" applyNumberFormat="1" applyFont="1" applyBorder="1" applyAlignment="1">
      <alignment vertical="center"/>
    </xf>
    <xf numFmtId="2" fontId="62" fillId="0" borderId="209" xfId="4" applyNumberFormat="1" applyFont="1" applyBorder="1"/>
    <xf numFmtId="1" fontId="137" fillId="0" borderId="82" xfId="4" applyNumberFormat="1" applyFont="1" applyFill="1" applyBorder="1" applyAlignment="1">
      <alignment horizontal="right" vertical="center" wrapText="1"/>
    </xf>
    <xf numFmtId="0" fontId="45" fillId="0" borderId="90" xfId="0" applyFont="1" applyBorder="1"/>
    <xf numFmtId="0" fontId="45" fillId="0" borderId="94" xfId="0" applyFont="1" applyBorder="1"/>
    <xf numFmtId="0" fontId="45" fillId="0" borderId="170" xfId="0" applyFont="1" applyBorder="1"/>
    <xf numFmtId="0" fontId="45" fillId="9" borderId="0" xfId="0" applyFont="1" applyFill="1" applyBorder="1"/>
    <xf numFmtId="1" fontId="88" fillId="0" borderId="0" xfId="10" applyNumberFormat="1" applyFont="1" applyBorder="1"/>
    <xf numFmtId="1" fontId="88" fillId="0" borderId="11" xfId="10" applyNumberFormat="1" applyFont="1" applyBorder="1"/>
    <xf numFmtId="1" fontId="88" fillId="0" borderId="12" xfId="10" applyNumberFormat="1" applyFont="1" applyBorder="1"/>
    <xf numFmtId="177" fontId="113" fillId="0" borderId="210" xfId="4" applyNumberFormat="1" applyFont="1" applyFill="1" applyBorder="1" applyAlignment="1">
      <alignment vertical="center"/>
    </xf>
    <xf numFmtId="1" fontId="33" fillId="0" borderId="38" xfId="34" applyNumberFormat="1" applyFont="1" applyFill="1" applyBorder="1" applyAlignment="1" applyProtection="1">
      <alignment horizontal="center" vertical="center"/>
    </xf>
    <xf numFmtId="0" fontId="64" fillId="0" borderId="38" xfId="0" applyFont="1" applyBorder="1"/>
    <xf numFmtId="0" fontId="64" fillId="0" borderId="39" xfId="0" applyFont="1" applyBorder="1"/>
    <xf numFmtId="0" fontId="45" fillId="0" borderId="13" xfId="0" applyFont="1" applyBorder="1"/>
    <xf numFmtId="0" fontId="45" fillId="0" borderId="14" xfId="0" applyFont="1" applyBorder="1"/>
    <xf numFmtId="2" fontId="45" fillId="0" borderId="14" xfId="0" applyNumberFormat="1" applyFont="1" applyBorder="1"/>
    <xf numFmtId="0" fontId="45" fillId="0" borderId="15" xfId="0" applyFont="1" applyBorder="1"/>
    <xf numFmtId="1" fontId="88" fillId="0" borderId="37" xfId="10" applyNumberFormat="1" applyFont="1" applyBorder="1"/>
    <xf numFmtId="1" fontId="88" fillId="0" borderId="39" xfId="10" applyNumberFormat="1" applyFont="1" applyBorder="1"/>
    <xf numFmtId="1" fontId="88" fillId="0" borderId="38" xfId="10" applyNumberFormat="1" applyFont="1" applyBorder="1"/>
    <xf numFmtId="0" fontId="62" fillId="0" borderId="38" xfId="0" applyFont="1" applyBorder="1"/>
    <xf numFmtId="0" fontId="62" fillId="0" borderId="39" xfId="0" applyFont="1" applyBorder="1"/>
    <xf numFmtId="194" fontId="89" fillId="18" borderId="0" xfId="30" applyNumberFormat="1" applyFont="1" applyFill="1" applyBorder="1" applyAlignment="1">
      <alignment horizontal="right" vertical="center"/>
    </xf>
    <xf numFmtId="1" fontId="89" fillId="18" borderId="73" xfId="30" applyNumberFormat="1" applyFont="1" applyFill="1" applyBorder="1" applyAlignment="1">
      <alignment horizontal="left" vertical="center"/>
    </xf>
    <xf numFmtId="0" fontId="37" fillId="0" borderId="38" xfId="29" applyFill="1" applyBorder="1"/>
    <xf numFmtId="0" fontId="41" fillId="0" borderId="39" xfId="24" applyBorder="1"/>
    <xf numFmtId="0" fontId="41" fillId="0" borderId="38" xfId="0" applyFont="1" applyBorder="1"/>
    <xf numFmtId="0" fontId="95" fillId="0" borderId="38" xfId="29" applyFont="1" applyBorder="1"/>
    <xf numFmtId="0" fontId="95" fillId="0" borderId="39" xfId="29" applyFont="1" applyBorder="1"/>
    <xf numFmtId="0" fontId="95" fillId="0" borderId="38" xfId="29" applyFont="1" applyFill="1" applyBorder="1"/>
    <xf numFmtId="0" fontId="96" fillId="0" borderId="39" xfId="24" applyFont="1" applyBorder="1"/>
    <xf numFmtId="0" fontId="45" fillId="0" borderId="38" xfId="24" applyFont="1" applyBorder="1"/>
    <xf numFmtId="1" fontId="60" fillId="0" borderId="38" xfId="24" applyNumberFormat="1" applyFont="1" applyBorder="1"/>
    <xf numFmtId="1" fontId="60" fillId="0" borderId="39" xfId="24" applyNumberFormat="1" applyFont="1" applyBorder="1"/>
    <xf numFmtId="1" fontId="79" fillId="0" borderId="38" xfId="24" applyNumberFormat="1" applyFont="1" applyBorder="1"/>
    <xf numFmtId="0" fontId="35" fillId="0" borderId="38" xfId="29" applyFont="1" applyBorder="1"/>
    <xf numFmtId="0" fontId="45" fillId="0" borderId="38" xfId="24" applyFont="1" applyBorder="1" applyAlignment="1">
      <alignment horizontal="center"/>
    </xf>
    <xf numFmtId="0" fontId="37" fillId="0" borderId="38" xfId="30" applyBorder="1"/>
    <xf numFmtId="177" fontId="113" fillId="0" borderId="80" xfId="4" applyNumberFormat="1" applyFont="1" applyFill="1" applyBorder="1" applyAlignment="1">
      <alignment vertical="center" wrapText="1"/>
    </xf>
    <xf numFmtId="1" fontId="116" fillId="0" borderId="11" xfId="0" applyNumberFormat="1" applyFont="1" applyBorder="1" applyAlignment="1">
      <alignment vertical="center" wrapText="1"/>
    </xf>
    <xf numFmtId="182" fontId="64" fillId="0" borderId="202" xfId="0" applyNumberFormat="1" applyFont="1" applyBorder="1" applyAlignment="1">
      <alignment vertical="center" wrapText="1"/>
    </xf>
    <xf numFmtId="1" fontId="33" fillId="8" borderId="172" xfId="5" applyNumberFormat="1" applyFont="1" applyFill="1" applyBorder="1" applyAlignment="1" applyProtection="1">
      <alignment horizontal="right" vertical="center"/>
    </xf>
    <xf numFmtId="177" fontId="113" fillId="0" borderId="11" xfId="4" applyNumberFormat="1" applyFont="1" applyFill="1" applyBorder="1" applyAlignment="1">
      <alignment vertical="center"/>
    </xf>
    <xf numFmtId="1" fontId="33" fillId="8" borderId="211" xfId="5" applyNumberFormat="1" applyFont="1" applyFill="1" applyBorder="1" applyAlignment="1" applyProtection="1">
      <alignment horizontal="right" vertical="center"/>
    </xf>
    <xf numFmtId="0" fontId="137" fillId="0" borderId="0" xfId="0" applyFont="1" applyFill="1" applyBorder="1" applyAlignment="1">
      <alignment horizontal="center" vertical="center"/>
    </xf>
    <xf numFmtId="1" fontId="34" fillId="0" borderId="133" xfId="0" applyNumberFormat="1" applyFont="1" applyFill="1" applyBorder="1" applyProtection="1"/>
    <xf numFmtId="177" fontId="117" fillId="4" borderId="213" xfId="5" applyNumberFormat="1" applyFont="1" applyFill="1" applyBorder="1" applyAlignment="1" applyProtection="1">
      <alignment horizontal="left" vertical="center"/>
    </xf>
    <xf numFmtId="177" fontId="64" fillId="4" borderId="213" xfId="5" applyNumberFormat="1" applyFont="1" applyFill="1" applyBorder="1" applyAlignment="1" applyProtection="1">
      <alignment horizontal="left" vertical="center"/>
    </xf>
    <xf numFmtId="0" fontId="34" fillId="0" borderId="42" xfId="0" applyFont="1" applyBorder="1" applyAlignment="1">
      <alignment horizontal="left" vertical="center"/>
    </xf>
    <xf numFmtId="1" fontId="34" fillId="0" borderId="49" xfId="0" applyNumberFormat="1" applyFont="1" applyBorder="1"/>
    <xf numFmtId="194" fontId="34" fillId="0" borderId="43" xfId="0" applyNumberFormat="1" applyFont="1" applyBorder="1"/>
    <xf numFmtId="1" fontId="34" fillId="0" borderId="43" xfId="0" applyNumberFormat="1" applyFont="1" applyBorder="1" applyAlignment="1">
      <alignment horizontal="right"/>
    </xf>
    <xf numFmtId="0" fontId="34" fillId="7" borderId="16" xfId="0" applyFont="1" applyFill="1" applyBorder="1" applyProtection="1">
      <protection locked="0"/>
    </xf>
    <xf numFmtId="1" fontId="34" fillId="0" borderId="21" xfId="0" applyNumberFormat="1" applyFont="1" applyBorder="1"/>
    <xf numFmtId="0" fontId="34" fillId="0" borderId="5" xfId="0" applyFont="1" applyBorder="1"/>
    <xf numFmtId="195" fontId="112" fillId="0" borderId="0" xfId="0" applyNumberFormat="1" applyFont="1" applyFill="1" applyBorder="1" applyAlignment="1" applyProtection="1">
      <alignment horizontal="center" vertical="center"/>
      <protection locked="0"/>
    </xf>
    <xf numFmtId="0" fontId="34" fillId="0" borderId="0" xfId="0" applyFont="1" applyFill="1" applyBorder="1" applyAlignment="1">
      <alignment horizontal="center" vertical="center" wrapText="1"/>
    </xf>
    <xf numFmtId="1" fontId="34" fillId="0" borderId="48" xfId="0" applyNumberFormat="1" applyFont="1" applyBorder="1" applyAlignment="1">
      <alignment horizontal="center"/>
    </xf>
    <xf numFmtId="1" fontId="34" fillId="0" borderId="12" xfId="0" applyNumberFormat="1" applyFont="1" applyFill="1" applyBorder="1"/>
    <xf numFmtId="1" fontId="34" fillId="0" borderId="4" xfId="0" applyNumberFormat="1" applyFont="1" applyBorder="1" applyAlignment="1">
      <alignment horizontal="right"/>
    </xf>
    <xf numFmtId="0" fontId="34" fillId="0" borderId="17" xfId="0" applyFont="1" applyBorder="1"/>
    <xf numFmtId="194" fontId="34" fillId="0" borderId="11" xfId="0" applyNumberFormat="1" applyFont="1" applyBorder="1" applyAlignment="1">
      <alignment horizontal="right"/>
    </xf>
    <xf numFmtId="194" fontId="34" fillId="0" borderId="29" xfId="0" applyNumberFormat="1" applyFont="1" applyBorder="1"/>
    <xf numFmtId="2" fontId="34" fillId="0" borderId="11" xfId="0" applyNumberFormat="1" applyFont="1" applyBorder="1" applyAlignment="1">
      <alignment horizontal="right"/>
    </xf>
    <xf numFmtId="0" fontId="34" fillId="0" borderId="12" xfId="0" applyFont="1" applyBorder="1" applyAlignment="1"/>
    <xf numFmtId="2" fontId="34" fillId="0" borderId="13" xfId="0" applyNumberFormat="1" applyFont="1" applyBorder="1" applyAlignment="1">
      <alignment horizontal="right"/>
    </xf>
    <xf numFmtId="2" fontId="34" fillId="0" borderId="61" xfId="0" applyNumberFormat="1" applyFont="1" applyBorder="1"/>
    <xf numFmtId="2" fontId="34" fillId="0" borderId="14" xfId="0" applyNumberFormat="1" applyFont="1" applyBorder="1"/>
    <xf numFmtId="2" fontId="34" fillId="0" borderId="214" xfId="0" applyNumberFormat="1" applyFont="1" applyFill="1" applyBorder="1"/>
    <xf numFmtId="2" fontId="34" fillId="0" borderId="14" xfId="0" applyNumberFormat="1" applyFont="1" applyFill="1" applyBorder="1"/>
    <xf numFmtId="2" fontId="34" fillId="0" borderId="15" xfId="0" applyNumberFormat="1" applyFont="1" applyBorder="1"/>
    <xf numFmtId="1" fontId="34" fillId="23" borderId="0" xfId="0" applyNumberFormat="1" applyFont="1" applyFill="1" applyBorder="1"/>
    <xf numFmtId="1" fontId="34" fillId="0" borderId="10" xfId="0" applyNumberFormat="1" applyFont="1" applyFill="1" applyBorder="1"/>
    <xf numFmtId="1" fontId="34" fillId="11" borderId="35" xfId="0" applyNumberFormat="1" applyFont="1" applyFill="1" applyBorder="1"/>
    <xf numFmtId="0" fontId="34" fillId="0" borderId="6" xfId="0" applyFont="1" applyBorder="1" applyAlignment="1">
      <alignment horizontal="right"/>
    </xf>
    <xf numFmtId="1" fontId="34" fillId="0" borderId="35" xfId="0" applyNumberFormat="1" applyFont="1" applyFill="1" applyBorder="1"/>
    <xf numFmtId="194" fontId="24" fillId="0" borderId="28" xfId="0" applyNumberFormat="1" applyFont="1" applyFill="1" applyBorder="1" applyProtection="1"/>
    <xf numFmtId="194" fontId="24" fillId="4" borderId="3" xfId="0" applyNumberFormat="1" applyFont="1" applyFill="1" applyBorder="1"/>
    <xf numFmtId="194" fontId="24" fillId="3" borderId="3" xfId="0" applyNumberFormat="1" applyFont="1" applyFill="1" applyBorder="1" applyProtection="1">
      <protection locked="0"/>
    </xf>
    <xf numFmtId="194" fontId="24" fillId="25" borderId="3" xfId="0" applyNumberFormat="1" applyFont="1" applyFill="1" applyBorder="1"/>
    <xf numFmtId="194" fontId="24" fillId="0" borderId="3" xfId="0" applyNumberFormat="1" applyFont="1" applyFill="1" applyBorder="1" applyProtection="1"/>
    <xf numFmtId="194" fontId="24" fillId="25" borderId="29" xfId="0" applyNumberFormat="1" applyFont="1" applyFill="1" applyBorder="1"/>
    <xf numFmtId="0" fontId="24" fillId="0" borderId="34" xfId="0" applyFont="1" applyBorder="1"/>
    <xf numFmtId="0" fontId="24" fillId="0" borderId="35" xfId="0" applyFont="1" applyBorder="1"/>
    <xf numFmtId="1" fontId="24" fillId="0" borderId="35" xfId="0" applyNumberFormat="1" applyFont="1" applyBorder="1"/>
    <xf numFmtId="0" fontId="24" fillId="0" borderId="36" xfId="0" applyFont="1" applyBorder="1"/>
    <xf numFmtId="0" fontId="34" fillId="0" borderId="215" xfId="0" applyFont="1" applyBorder="1"/>
    <xf numFmtId="2" fontId="34" fillId="0" borderId="31" xfId="0" applyNumberFormat="1" applyFont="1" applyBorder="1"/>
    <xf numFmtId="2" fontId="34" fillId="0" borderId="54" xfId="0" applyNumberFormat="1" applyFont="1" applyBorder="1"/>
    <xf numFmtId="2" fontId="34" fillId="0" borderId="216" xfId="0" applyNumberFormat="1" applyFont="1" applyFill="1" applyBorder="1"/>
    <xf numFmtId="2" fontId="34" fillId="0" borderId="31" xfId="0" applyNumberFormat="1" applyFont="1" applyFill="1" applyBorder="1"/>
    <xf numFmtId="2" fontId="34" fillId="0" borderId="32" xfId="0" applyNumberFormat="1" applyFont="1" applyBorder="1"/>
    <xf numFmtId="1" fontId="23" fillId="0" borderId="0" xfId="0" applyNumberFormat="1" applyFont="1" applyBorder="1"/>
    <xf numFmtId="1" fontId="23" fillId="0" borderId="0" xfId="0" applyNumberFormat="1" applyFont="1" applyFill="1" applyBorder="1"/>
    <xf numFmtId="0" fontId="23" fillId="0" borderId="0" xfId="0" applyFont="1" applyFill="1"/>
    <xf numFmtId="0" fontId="23" fillId="0" borderId="0" xfId="0" applyFont="1" applyBorder="1"/>
    <xf numFmtId="0" fontId="23" fillId="0" borderId="12" xfId="0" applyFont="1" applyBorder="1"/>
    <xf numFmtId="0" fontId="23" fillId="0" borderId="11" xfId="0" applyFont="1" applyBorder="1"/>
    <xf numFmtId="1" fontId="23" fillId="0" borderId="11" xfId="0" applyNumberFormat="1" applyFont="1" applyBorder="1" applyAlignment="1">
      <alignment horizontal="right"/>
    </xf>
    <xf numFmtId="0" fontId="28" fillId="0" borderId="11" xfId="0" applyFont="1" applyFill="1" applyBorder="1" applyAlignment="1">
      <alignment horizontal="right"/>
    </xf>
    <xf numFmtId="0" fontId="27" fillId="0" borderId="11" xfId="0" applyFont="1" applyFill="1" applyBorder="1" applyAlignment="1">
      <alignment horizontal="right"/>
    </xf>
    <xf numFmtId="1" fontId="23" fillId="0" borderId="11" xfId="0" applyNumberFormat="1" applyFont="1" applyFill="1" applyBorder="1" applyAlignment="1">
      <alignment horizontal="right"/>
    </xf>
    <xf numFmtId="0" fontId="23" fillId="0" borderId="0" xfId="0" applyFont="1" applyFill="1" applyBorder="1"/>
    <xf numFmtId="0" fontId="23" fillId="0" borderId="12" xfId="0" applyFont="1" applyFill="1" applyBorder="1"/>
    <xf numFmtId="0" fontId="34" fillId="0" borderId="0" xfId="0" applyFont="1" applyFill="1" applyBorder="1" applyAlignment="1"/>
    <xf numFmtId="0" fontId="34" fillId="0" borderId="41" xfId="0" applyFont="1" applyFill="1" applyBorder="1" applyAlignment="1"/>
    <xf numFmtId="1" fontId="34" fillId="0" borderId="10" xfId="0" applyNumberFormat="1" applyFont="1" applyBorder="1" applyAlignment="1">
      <alignment vertical="center"/>
    </xf>
    <xf numFmtId="0" fontId="34" fillId="0" borderId="0" xfId="0" applyFont="1" applyBorder="1" applyAlignment="1">
      <alignment vertical="center"/>
    </xf>
    <xf numFmtId="1" fontId="23" fillId="0" borderId="28" xfId="0" applyNumberFormat="1" applyFont="1" applyFill="1" applyBorder="1"/>
    <xf numFmtId="1" fontId="23" fillId="0" borderId="3" xfId="0" applyNumberFormat="1" applyFont="1" applyFill="1" applyBorder="1"/>
    <xf numFmtId="1" fontId="23" fillId="0" borderId="29" xfId="0" applyNumberFormat="1" applyFont="1" applyFill="1" applyBorder="1"/>
    <xf numFmtId="1" fontId="23" fillId="0" borderId="34" xfId="0" applyNumberFormat="1" applyFont="1" applyFill="1" applyBorder="1"/>
    <xf numFmtId="1" fontId="23" fillId="0" borderId="35" xfId="0" applyNumberFormat="1" applyFont="1" applyFill="1" applyBorder="1"/>
    <xf numFmtId="1" fontId="23" fillId="0" borderId="36" xfId="0" applyNumberFormat="1" applyFont="1" applyFill="1" applyBorder="1"/>
    <xf numFmtId="0" fontId="34" fillId="0" borderId="5" xfId="0" applyFont="1" applyBorder="1" applyAlignment="1">
      <alignment horizontal="right"/>
    </xf>
    <xf numFmtId="0" fontId="34" fillId="0" borderId="9" xfId="0" applyFont="1" applyBorder="1" applyAlignment="1">
      <alignment horizontal="right"/>
    </xf>
    <xf numFmtId="0" fontId="34" fillId="0" borderId="43" xfId="0" applyFont="1" applyBorder="1" applyAlignment="1">
      <alignment horizontal="center" vertical="center"/>
    </xf>
    <xf numFmtId="0" fontId="34" fillId="0" borderId="56" xfId="0" applyFont="1" applyBorder="1" applyAlignment="1">
      <alignment horizontal="center" vertical="center"/>
    </xf>
    <xf numFmtId="1" fontId="34" fillId="0" borderId="8" xfId="0" applyNumberFormat="1" applyFont="1" applyBorder="1" applyAlignment="1">
      <alignment horizontal="center"/>
    </xf>
    <xf numFmtId="1" fontId="34" fillId="0" borderId="5" xfId="0" applyNumberFormat="1" applyFont="1" applyBorder="1" applyAlignment="1">
      <alignment horizontal="center"/>
    </xf>
    <xf numFmtId="0" fontId="34" fillId="0" borderId="0" xfId="0" applyFont="1" applyBorder="1" applyAlignment="1">
      <alignment horizontal="center"/>
    </xf>
    <xf numFmtId="2" fontId="34" fillId="0" borderId="0" xfId="0" applyNumberFormat="1" applyFont="1" applyBorder="1" applyAlignment="1">
      <alignment vertical="center"/>
    </xf>
    <xf numFmtId="1" fontId="23" fillId="0" borderId="0" xfId="0" applyNumberFormat="1" applyFont="1" applyFill="1" applyBorder="1" applyAlignment="1">
      <alignment horizontal="right"/>
    </xf>
    <xf numFmtId="0" fontId="92" fillId="0" borderId="11" xfId="0" applyFont="1" applyBorder="1" applyAlignment="1">
      <alignment horizontal="center" vertical="center"/>
    </xf>
    <xf numFmtId="0" fontId="92" fillId="0" borderId="0" xfId="0" applyFont="1" applyBorder="1" applyAlignment="1">
      <alignment horizontal="center" vertical="center"/>
    </xf>
    <xf numFmtId="0" fontId="92" fillId="0" borderId="12" xfId="0" applyFont="1" applyBorder="1" applyAlignment="1">
      <alignment horizontal="center" vertical="center"/>
    </xf>
    <xf numFmtId="0" fontId="34" fillId="0" borderId="49" xfId="0" applyFont="1" applyBorder="1"/>
    <xf numFmtId="0" fontId="34" fillId="0" borderId="194" xfId="0" applyFont="1" applyBorder="1" applyAlignment="1"/>
    <xf numFmtId="0" fontId="34" fillId="0" borderId="5" xfId="0" applyFont="1" applyBorder="1" applyAlignment="1"/>
    <xf numFmtId="0" fontId="34" fillId="0" borderId="24" xfId="0" applyFont="1" applyBorder="1" applyAlignment="1"/>
    <xf numFmtId="0" fontId="34" fillId="0" borderId="44" xfId="0" applyFont="1" applyFill="1" applyBorder="1"/>
    <xf numFmtId="194" fontId="34" fillId="0" borderId="28" xfId="0" applyNumberFormat="1" applyFont="1" applyFill="1" applyBorder="1" applyProtection="1">
      <protection locked="0"/>
    </xf>
    <xf numFmtId="0" fontId="34" fillId="0" borderId="43" xfId="0" applyFont="1" applyFill="1" applyBorder="1" applyProtection="1"/>
    <xf numFmtId="1" fontId="34" fillId="0" borderId="200" xfId="0" applyNumberFormat="1" applyFont="1" applyBorder="1"/>
    <xf numFmtId="0" fontId="34" fillId="0" borderId="1" xfId="0" applyFont="1" applyFill="1" applyBorder="1" applyAlignment="1">
      <alignment horizontal="right"/>
    </xf>
    <xf numFmtId="2" fontId="92" fillId="0" borderId="11" xfId="0" applyNumberFormat="1" applyFont="1" applyBorder="1" applyAlignment="1">
      <alignment horizontal="right"/>
    </xf>
    <xf numFmtId="1" fontId="34" fillId="0" borderId="13" xfId="0" applyNumberFormat="1" applyFont="1" applyFill="1" applyBorder="1" applyAlignment="1">
      <alignment horizontal="right"/>
    </xf>
    <xf numFmtId="1" fontId="34" fillId="0" borderId="35" xfId="0" applyNumberFormat="1" applyFont="1" applyFill="1" applyBorder="1" applyAlignment="1">
      <alignment horizontal="right"/>
    </xf>
    <xf numFmtId="0" fontId="34" fillId="0" borderId="73" xfId="0" applyFont="1" applyFill="1" applyBorder="1" applyAlignment="1">
      <alignment horizontal="right"/>
    </xf>
    <xf numFmtId="0" fontId="92" fillId="0" borderId="11" xfId="0" applyFont="1" applyBorder="1" applyAlignment="1"/>
    <xf numFmtId="0" fontId="34" fillId="0" borderId="25" xfId="0" applyFont="1" applyBorder="1"/>
    <xf numFmtId="0" fontId="92" fillId="0" borderId="13" xfId="0" applyFont="1" applyFill="1" applyBorder="1" applyAlignment="1">
      <alignment horizontal="right"/>
    </xf>
    <xf numFmtId="194" fontId="34" fillId="0" borderId="26" xfId="0" applyNumberFormat="1" applyFont="1" applyFill="1" applyBorder="1"/>
    <xf numFmtId="1" fontId="34" fillId="0" borderId="30" xfId="0" applyNumberFormat="1" applyFont="1" applyBorder="1"/>
    <xf numFmtId="1" fontId="34" fillId="0" borderId="31" xfId="0" applyNumberFormat="1" applyFont="1" applyBorder="1"/>
    <xf numFmtId="1" fontId="34" fillId="0" borderId="54" xfId="0" applyNumberFormat="1" applyFont="1" applyBorder="1"/>
    <xf numFmtId="1" fontId="34" fillId="0" borderId="32" xfId="0" applyNumberFormat="1" applyFont="1" applyBorder="1"/>
    <xf numFmtId="0" fontId="19" fillId="0" borderId="0" xfId="0" applyFont="1" applyBorder="1" applyAlignment="1">
      <alignment horizontal="right" vertical="center"/>
    </xf>
    <xf numFmtId="194" fontId="24" fillId="0" borderId="41" xfId="0" applyNumberFormat="1" applyFont="1" applyFill="1" applyBorder="1" applyProtection="1"/>
    <xf numFmtId="0" fontId="34" fillId="0" borderId="2" xfId="0" applyFont="1" applyBorder="1" applyAlignment="1">
      <alignment horizontal="right"/>
    </xf>
    <xf numFmtId="1" fontId="34" fillId="11" borderId="7" xfId="19" quotePrefix="1" applyNumberFormat="1" applyFont="1" applyFill="1" applyBorder="1"/>
    <xf numFmtId="1" fontId="34" fillId="11" borderId="0" xfId="19" quotePrefix="1" applyNumberFormat="1" applyFont="1" applyFill="1" applyBorder="1"/>
    <xf numFmtId="1" fontId="104" fillId="0" borderId="7" xfId="19" applyNumberFormat="1" applyFont="1" applyFill="1" applyBorder="1"/>
    <xf numFmtId="1" fontId="104" fillId="0" borderId="7" xfId="19" quotePrefix="1" applyNumberFormat="1" applyFont="1" applyFill="1" applyBorder="1"/>
    <xf numFmtId="1" fontId="104" fillId="0" borderId="22" xfId="19" applyNumberFormat="1" applyFont="1" applyFill="1" applyBorder="1"/>
    <xf numFmtId="1" fontId="104" fillId="0" borderId="5" xfId="19" applyNumberFormat="1" applyFont="1" applyFill="1" applyBorder="1"/>
    <xf numFmtId="1" fontId="104" fillId="0" borderId="5" xfId="19" quotePrefix="1" applyNumberFormat="1" applyFont="1" applyFill="1" applyBorder="1"/>
    <xf numFmtId="1" fontId="104" fillId="0" borderId="24" xfId="19" applyNumberFormat="1" applyFont="1" applyFill="1" applyBorder="1"/>
    <xf numFmtId="0" fontId="34" fillId="0" borderId="34" xfId="0" applyFont="1" applyBorder="1"/>
    <xf numFmtId="0" fontId="34" fillId="0" borderId="28" xfId="0" applyFont="1" applyFill="1" applyBorder="1" applyAlignment="1"/>
    <xf numFmtId="194" fontId="34" fillId="0" borderId="133" xfId="0" applyNumberFormat="1" applyFont="1" applyFill="1" applyBorder="1"/>
    <xf numFmtId="193" fontId="34" fillId="0" borderId="133" xfId="0" applyNumberFormat="1" applyFont="1" applyFill="1" applyBorder="1"/>
    <xf numFmtId="1" fontId="34" fillId="0" borderId="133" xfId="0" applyNumberFormat="1" applyFont="1" applyFill="1" applyBorder="1"/>
    <xf numFmtId="0" fontId="34" fillId="0" borderId="34" xfId="0" applyFont="1" applyFill="1" applyBorder="1" applyProtection="1"/>
    <xf numFmtId="1" fontId="34" fillId="0" borderId="61" xfId="0" applyNumberFormat="1" applyFont="1" applyFill="1" applyBorder="1" applyProtection="1"/>
    <xf numFmtId="0" fontId="34" fillId="3" borderId="10" xfId="0" applyFont="1" applyFill="1" applyBorder="1" applyProtection="1">
      <protection locked="0"/>
    </xf>
    <xf numFmtId="193" fontId="34" fillId="0" borderId="10" xfId="0" applyNumberFormat="1" applyFont="1" applyFill="1" applyBorder="1"/>
    <xf numFmtId="194" fontId="34" fillId="7" borderId="10" xfId="0" applyNumberFormat="1" applyFont="1" applyFill="1" applyBorder="1"/>
    <xf numFmtId="194" fontId="34" fillId="25" borderId="0" xfId="0" applyNumberFormat="1" applyFont="1" applyFill="1" applyBorder="1"/>
    <xf numFmtId="0" fontId="34" fillId="0" borderId="0" xfId="0" quotePrefix="1" applyFont="1" applyBorder="1"/>
    <xf numFmtId="0" fontId="52" fillId="0" borderId="0" xfId="0" applyFont="1" applyBorder="1"/>
    <xf numFmtId="182" fontId="92" fillId="0" borderId="0" xfId="0" applyNumberFormat="1" applyFont="1" applyBorder="1" applyAlignment="1">
      <alignment vertical="center"/>
    </xf>
    <xf numFmtId="2" fontId="34" fillId="0" borderId="16" xfId="0" applyNumberFormat="1" applyFont="1" applyFill="1" applyBorder="1" applyAlignment="1">
      <alignment horizontal="right"/>
    </xf>
    <xf numFmtId="194" fontId="34" fillId="7" borderId="0" xfId="0" applyNumberFormat="1" applyFont="1" applyFill="1" applyBorder="1" applyAlignment="1">
      <alignment horizontal="right"/>
    </xf>
    <xf numFmtId="1" fontId="34" fillId="11" borderId="0" xfId="0" applyNumberFormat="1" applyFont="1" applyFill="1" applyBorder="1"/>
    <xf numFmtId="2" fontId="34" fillId="7" borderId="0" xfId="0" applyNumberFormat="1" applyFont="1" applyFill="1" applyBorder="1" applyAlignment="1"/>
    <xf numFmtId="1" fontId="34" fillId="0" borderId="2" xfId="0" applyNumberFormat="1" applyFont="1" applyBorder="1" applyAlignment="1">
      <alignment vertical="center"/>
    </xf>
    <xf numFmtId="2" fontId="34" fillId="0" borderId="2" xfId="0" applyNumberFormat="1" applyFont="1" applyBorder="1" applyAlignment="1">
      <alignment vertical="center"/>
    </xf>
    <xf numFmtId="0" fontId="34" fillId="0" borderId="2" xfId="0" applyFont="1" applyFill="1" applyBorder="1" applyAlignment="1" applyProtection="1">
      <alignment vertical="center"/>
    </xf>
    <xf numFmtId="0" fontId="34" fillId="0" borderId="2" xfId="0" applyFont="1" applyBorder="1" applyAlignment="1">
      <alignment vertical="center"/>
    </xf>
    <xf numFmtId="0" fontId="34" fillId="0" borderId="3" xfId="0" applyFont="1" applyFill="1" applyBorder="1" applyAlignment="1" applyProtection="1">
      <alignment horizontal="right"/>
    </xf>
    <xf numFmtId="0" fontId="34" fillId="0" borderId="3" xfId="0" applyFont="1" applyFill="1" applyBorder="1" applyAlignment="1" applyProtection="1">
      <alignment horizontal="right" vertical="center"/>
    </xf>
    <xf numFmtId="0" fontId="34" fillId="0" borderId="3" xfId="0" applyFont="1" applyBorder="1" applyAlignment="1">
      <alignment horizontal="right"/>
    </xf>
    <xf numFmtId="1" fontId="34" fillId="0" borderId="4" xfId="0" applyNumberFormat="1" applyFont="1" applyBorder="1" applyAlignment="1">
      <alignment vertical="center"/>
    </xf>
    <xf numFmtId="2" fontId="34" fillId="0" borderId="4" xfId="0" applyNumberFormat="1" applyFont="1" applyBorder="1" applyAlignment="1">
      <alignment vertical="center"/>
    </xf>
    <xf numFmtId="0" fontId="34" fillId="0" borderId="4" xfId="0" applyFont="1" applyFill="1" applyBorder="1" applyAlignment="1" applyProtection="1">
      <alignment vertical="center"/>
    </xf>
    <xf numFmtId="0" fontId="34" fillId="0" borderId="4" xfId="0" applyFont="1" applyBorder="1" applyAlignment="1">
      <alignment vertical="center"/>
    </xf>
    <xf numFmtId="0" fontId="34" fillId="7" borderId="0" xfId="0" applyFont="1" applyFill="1" applyBorder="1" applyAlignment="1" applyProtection="1">
      <alignment horizontal="right"/>
    </xf>
    <xf numFmtId="1" fontId="34" fillId="0" borderId="11" xfId="0" applyNumberFormat="1" applyFont="1" applyBorder="1" applyAlignment="1">
      <alignment horizontal="right"/>
    </xf>
    <xf numFmtId="0" fontId="136" fillId="18" borderId="13" xfId="30" applyFont="1" applyFill="1" applyBorder="1" applyAlignment="1">
      <alignment horizontal="left" vertical="center"/>
    </xf>
    <xf numFmtId="1" fontId="22" fillId="0" borderId="35" xfId="0" applyNumberFormat="1" applyFont="1" applyBorder="1"/>
    <xf numFmtId="0" fontId="34" fillId="7" borderId="0" xfId="0" applyFont="1" applyFill="1"/>
    <xf numFmtId="2" fontId="34" fillId="0" borderId="11" xfId="0" applyNumberFormat="1" applyFont="1" applyBorder="1"/>
    <xf numFmtId="2" fontId="24" fillId="0" borderId="28" xfId="0" applyNumberFormat="1" applyFont="1" applyBorder="1"/>
    <xf numFmtId="2" fontId="24" fillId="0" borderId="3" xfId="0" applyNumberFormat="1" applyFont="1" applyBorder="1"/>
    <xf numFmtId="2" fontId="24" fillId="0" borderId="41" xfId="0" applyNumberFormat="1" applyFont="1" applyBorder="1"/>
    <xf numFmtId="2" fontId="24" fillId="0" borderId="29" xfId="0" applyNumberFormat="1" applyFont="1" applyBorder="1"/>
    <xf numFmtId="177" fontId="78" fillId="0" borderId="37" xfId="0" applyNumberFormat="1" applyFont="1" applyFill="1" applyBorder="1" applyAlignment="1" applyProtection="1">
      <alignment vertical="center"/>
    </xf>
    <xf numFmtId="177" fontId="78" fillId="0" borderId="38" xfId="0" applyNumberFormat="1" applyFont="1" applyFill="1" applyBorder="1" applyAlignment="1" applyProtection="1">
      <alignment vertical="center"/>
    </xf>
    <xf numFmtId="177" fontId="78" fillId="0" borderId="39" xfId="0" applyNumberFormat="1" applyFont="1" applyFill="1" applyBorder="1" applyAlignment="1" applyProtection="1">
      <alignment vertical="center"/>
    </xf>
    <xf numFmtId="0" fontId="52" fillId="0" borderId="98" xfId="0" applyFont="1" applyBorder="1" applyAlignment="1"/>
    <xf numFmtId="0" fontId="52" fillId="0" borderId="16" xfId="0" applyFont="1" applyBorder="1" applyAlignment="1"/>
    <xf numFmtId="0" fontId="52" fillId="0" borderId="40" xfId="0" applyFont="1" applyBorder="1" applyAlignment="1"/>
    <xf numFmtId="0" fontId="92" fillId="0" borderId="98" xfId="0" applyFont="1" applyBorder="1" applyAlignment="1"/>
    <xf numFmtId="0" fontId="92" fillId="0" borderId="16" xfId="0" applyFont="1" applyBorder="1" applyAlignment="1"/>
    <xf numFmtId="0" fontId="92" fillId="0" borderId="17" xfId="0" applyFont="1" applyBorder="1" applyAlignment="1"/>
    <xf numFmtId="0" fontId="52" fillId="0" borderId="16" xfId="0" applyFont="1" applyBorder="1" applyAlignment="1">
      <alignment horizontal="center"/>
    </xf>
    <xf numFmtId="0" fontId="34" fillId="0" borderId="7" xfId="0" applyFont="1" applyBorder="1" applyAlignment="1">
      <alignment horizontal="center"/>
    </xf>
    <xf numFmtId="0" fontId="34" fillId="0" borderId="2" xfId="0" applyFont="1" applyFill="1" applyBorder="1" applyAlignment="1">
      <alignment horizontal="right"/>
    </xf>
    <xf numFmtId="1" fontId="34" fillId="0" borderId="2" xfId="19" applyNumberFormat="1" applyFont="1" applyFill="1" applyBorder="1" applyAlignment="1">
      <alignment horizontal="right"/>
    </xf>
    <xf numFmtId="0" fontId="34" fillId="0" borderId="48" xfId="0" applyFont="1" applyBorder="1" applyAlignment="1">
      <alignment horizontal="right"/>
    </xf>
    <xf numFmtId="1" fontId="34" fillId="11" borderId="10" xfId="0" applyNumberFormat="1" applyFont="1" applyFill="1" applyBorder="1"/>
    <xf numFmtId="1" fontId="34" fillId="11" borderId="8" xfId="0" applyNumberFormat="1" applyFont="1" applyFill="1" applyBorder="1"/>
    <xf numFmtId="1" fontId="34" fillId="11" borderId="5" xfId="0" applyNumberFormat="1" applyFont="1" applyFill="1" applyBorder="1"/>
    <xf numFmtId="1" fontId="34" fillId="11" borderId="6" xfId="0" applyNumberFormat="1" applyFont="1" applyFill="1" applyBorder="1"/>
    <xf numFmtId="1" fontId="34" fillId="11" borderId="7" xfId="0" applyNumberFormat="1" applyFont="1" applyFill="1" applyBorder="1"/>
    <xf numFmtId="194" fontId="34" fillId="0" borderId="4" xfId="0" applyNumberFormat="1" applyFont="1" applyFill="1" applyBorder="1"/>
    <xf numFmtId="0" fontId="34" fillId="0" borderId="42" xfId="0" applyFont="1" applyBorder="1" applyAlignment="1">
      <alignment horizontal="right"/>
    </xf>
    <xf numFmtId="0" fontId="34" fillId="0" borderId="56" xfId="0" applyFont="1" applyBorder="1" applyAlignment="1">
      <alignment horizontal="right"/>
    </xf>
    <xf numFmtId="0" fontId="34" fillId="0" borderId="8" xfId="0" applyFont="1" applyBorder="1" applyAlignment="1">
      <alignment horizontal="right"/>
    </xf>
    <xf numFmtId="0" fontId="34" fillId="0" borderId="8" xfId="0" applyFont="1" applyBorder="1"/>
    <xf numFmtId="0" fontId="34" fillId="0" borderId="0" xfId="0" applyFont="1" applyBorder="1" applyAlignment="1">
      <alignment horizontal="center"/>
    </xf>
    <xf numFmtId="194" fontId="34" fillId="0" borderId="16" xfId="0" applyNumberFormat="1" applyFont="1" applyBorder="1"/>
    <xf numFmtId="194" fontId="34" fillId="0" borderId="16" xfId="0" applyNumberFormat="1" applyFont="1" applyFill="1" applyBorder="1"/>
    <xf numFmtId="0" fontId="52" fillId="0" borderId="98" xfId="0" applyFont="1" applyFill="1" applyBorder="1" applyAlignment="1"/>
    <xf numFmtId="0" fontId="52" fillId="0" borderId="16" xfId="0" applyFont="1" applyFill="1" applyBorder="1" applyAlignment="1"/>
    <xf numFmtId="0" fontId="52" fillId="0" borderId="40" xfId="0" applyFont="1" applyFill="1" applyBorder="1" applyAlignment="1"/>
    <xf numFmtId="1" fontId="34" fillId="0" borderId="41" xfId="0" applyNumberFormat="1" applyFont="1" applyBorder="1" applyAlignment="1">
      <alignment horizontal="center"/>
    </xf>
    <xf numFmtId="0" fontId="140" fillId="0" borderId="16" xfId="0" applyFont="1" applyBorder="1" applyAlignment="1">
      <alignment horizontal="center"/>
    </xf>
    <xf numFmtId="0" fontId="140" fillId="0" borderId="40" xfId="0" applyFont="1" applyBorder="1" applyAlignment="1"/>
    <xf numFmtId="177" fontId="50" fillId="0" borderId="0" xfId="1" applyNumberFormat="1" applyFont="1" applyFill="1" applyAlignment="1">
      <alignment vertical="center"/>
    </xf>
    <xf numFmtId="177" fontId="50" fillId="0" borderId="0" xfId="1" applyNumberFormat="1" applyFont="1" applyFill="1" applyAlignment="1">
      <alignment horizontal="right" vertical="center"/>
    </xf>
    <xf numFmtId="182" fontId="50" fillId="0" borderId="0" xfId="1" applyNumberFormat="1" applyFont="1" applyBorder="1" applyAlignment="1">
      <alignment horizontal="right" vertical="center"/>
    </xf>
    <xf numFmtId="2" fontId="50" fillId="0" borderId="0" xfId="1" applyNumberFormat="1" applyFont="1" applyAlignment="1">
      <alignment horizontal="right" vertical="center"/>
    </xf>
    <xf numFmtId="182" fontId="50" fillId="0" borderId="0" xfId="1" applyNumberFormat="1" applyFont="1" applyBorder="1" applyAlignment="1">
      <alignment vertical="center"/>
    </xf>
    <xf numFmtId="182" fontId="50" fillId="0" borderId="12" xfId="1" applyNumberFormat="1" applyFont="1" applyBorder="1" applyAlignment="1">
      <alignment vertical="center"/>
    </xf>
    <xf numFmtId="182" fontId="50" fillId="0" borderId="12" xfId="1" applyNumberFormat="1" applyFont="1" applyFill="1" applyBorder="1" applyAlignment="1">
      <alignment vertical="center"/>
    </xf>
    <xf numFmtId="1" fontId="50" fillId="0" borderId="16" xfId="1" applyNumberFormat="1" applyFont="1" applyFill="1" applyBorder="1" applyAlignment="1">
      <alignment horizontal="right" vertical="center"/>
    </xf>
    <xf numFmtId="1" fontId="50" fillId="0" borderId="16" xfId="1" applyNumberFormat="1" applyFont="1" applyFill="1" applyBorder="1" applyAlignment="1">
      <alignment vertical="center"/>
    </xf>
    <xf numFmtId="1" fontId="50" fillId="7" borderId="16" xfId="1" applyNumberFormat="1" applyFont="1" applyFill="1" applyBorder="1" applyAlignment="1" applyProtection="1">
      <alignment vertical="center"/>
      <protection locked="0"/>
    </xf>
    <xf numFmtId="1" fontId="50" fillId="0" borderId="16" xfId="1" applyNumberFormat="1" applyFont="1" applyBorder="1" applyAlignment="1">
      <alignment vertical="center"/>
    </xf>
    <xf numFmtId="1" fontId="50" fillId="0" borderId="17" xfId="1" applyNumberFormat="1" applyFont="1" applyBorder="1" applyAlignment="1">
      <alignment vertical="center"/>
    </xf>
    <xf numFmtId="1" fontId="50" fillId="0" borderId="0" xfId="1" applyNumberFormat="1" applyFont="1" applyBorder="1" applyAlignment="1">
      <alignment horizontal="right" vertical="center"/>
    </xf>
    <xf numFmtId="1" fontId="50" fillId="0" borderId="0" xfId="1" applyNumberFormat="1" applyFont="1" applyBorder="1" applyAlignment="1">
      <alignment horizontal="left" vertical="center"/>
    </xf>
    <xf numFmtId="1" fontId="50" fillId="0" borderId="0" xfId="1" applyNumberFormat="1" applyFont="1" applyBorder="1" applyAlignment="1">
      <alignment vertical="center"/>
    </xf>
    <xf numFmtId="1" fontId="50" fillId="0" borderId="12" xfId="1" applyNumberFormat="1" applyFont="1" applyBorder="1" applyAlignment="1">
      <alignment vertical="center"/>
    </xf>
    <xf numFmtId="1" fontId="50" fillId="7" borderId="12" xfId="1" applyNumberFormat="1" applyFont="1" applyFill="1" applyBorder="1" applyAlignment="1" applyProtection="1">
      <alignment vertical="center"/>
      <protection locked="0"/>
    </xf>
    <xf numFmtId="1" fontId="50" fillId="0" borderId="0" xfId="1" applyNumberFormat="1" applyFont="1" applyFill="1" applyBorder="1" applyAlignment="1">
      <alignment vertical="center"/>
    </xf>
    <xf numFmtId="1" fontId="50" fillId="7" borderId="0" xfId="1" applyNumberFormat="1" applyFont="1" applyFill="1" applyBorder="1" applyAlignment="1">
      <alignment vertical="center"/>
    </xf>
    <xf numFmtId="1" fontId="50" fillId="7" borderId="0" xfId="1" applyNumberFormat="1" applyFont="1" applyFill="1" applyBorder="1" applyAlignment="1" applyProtection="1">
      <alignment vertical="center"/>
    </xf>
    <xf numFmtId="1" fontId="68" fillId="0" borderId="0" xfId="0" applyNumberFormat="1" applyFont="1" applyBorder="1" applyAlignment="1">
      <alignment horizontal="right" vertical="center"/>
    </xf>
    <xf numFmtId="1" fontId="68" fillId="0" borderId="0" xfId="0" applyNumberFormat="1" applyFont="1" applyBorder="1" applyAlignment="1">
      <alignment vertical="center"/>
    </xf>
    <xf numFmtId="1" fontId="50" fillId="0" borderId="0" xfId="1" applyNumberFormat="1" applyFont="1" applyFill="1" applyBorder="1" applyAlignment="1">
      <alignment horizontal="right" vertical="center"/>
    </xf>
    <xf numFmtId="1" fontId="50" fillId="7" borderId="12" xfId="1" applyNumberFormat="1" applyFont="1" applyFill="1" applyBorder="1" applyAlignment="1">
      <alignment vertical="center"/>
    </xf>
    <xf numFmtId="1" fontId="50" fillId="0" borderId="0" xfId="1" applyNumberFormat="1" applyFont="1" applyAlignment="1">
      <alignment horizontal="right" vertical="center"/>
    </xf>
    <xf numFmtId="1" fontId="50" fillId="0" borderId="2" xfId="1" applyNumberFormat="1" applyFont="1" applyBorder="1" applyAlignment="1">
      <alignment horizontal="right" vertical="center"/>
    </xf>
    <xf numFmtId="1" fontId="50" fillId="0" borderId="6" xfId="1" applyNumberFormat="1" applyFont="1" applyBorder="1" applyAlignment="1">
      <alignment horizontal="right" vertical="center"/>
    </xf>
    <xf numFmtId="1" fontId="50" fillId="0" borderId="7" xfId="1" applyNumberFormat="1" applyFont="1" applyBorder="1" applyAlignment="1">
      <alignment horizontal="right" vertical="center"/>
    </xf>
    <xf numFmtId="1" fontId="50" fillId="0" borderId="22" xfId="1" applyNumberFormat="1" applyFont="1" applyBorder="1" applyAlignment="1">
      <alignment horizontal="right" vertical="center"/>
    </xf>
    <xf numFmtId="1" fontId="50" fillId="7" borderId="0" xfId="1" applyNumberFormat="1" applyFont="1" applyFill="1" applyBorder="1" applyAlignment="1" applyProtection="1">
      <alignment vertical="center"/>
      <protection locked="0"/>
    </xf>
    <xf numFmtId="1" fontId="50" fillId="0" borderId="3" xfId="1" applyNumberFormat="1" applyFont="1" applyBorder="1" applyAlignment="1">
      <alignment horizontal="right" vertical="center"/>
    </xf>
    <xf numFmtId="1" fontId="50" fillId="0" borderId="10" xfId="1" applyNumberFormat="1" applyFont="1" applyBorder="1" applyAlignment="1">
      <alignment horizontal="right" vertical="center"/>
    </xf>
    <xf numFmtId="1" fontId="50" fillId="0" borderId="12" xfId="1" applyNumberFormat="1" applyFont="1" applyBorder="1" applyAlignment="1">
      <alignment horizontal="right" vertical="center"/>
    </xf>
    <xf numFmtId="1" fontId="50" fillId="7" borderId="3" xfId="1" applyNumberFormat="1" applyFont="1" applyFill="1" applyBorder="1" applyAlignment="1">
      <alignment horizontal="right" vertical="center"/>
    </xf>
    <xf numFmtId="1" fontId="50" fillId="0" borderId="0" xfId="1" applyNumberFormat="1" applyFont="1" applyFill="1" applyBorder="1" applyAlignment="1" applyProtection="1">
      <alignment vertical="center"/>
      <protection locked="0"/>
    </xf>
    <xf numFmtId="1" fontId="50" fillId="0" borderId="3" xfId="1" applyNumberFormat="1" applyFont="1" applyFill="1" applyBorder="1" applyAlignment="1">
      <alignment horizontal="right" vertical="center"/>
    </xf>
    <xf numFmtId="1" fontId="50" fillId="0" borderId="12" xfId="1" applyNumberFormat="1" applyFont="1" applyFill="1" applyBorder="1" applyAlignment="1">
      <alignment horizontal="right" vertical="center"/>
    </xf>
    <xf numFmtId="1" fontId="50" fillId="0" borderId="3" xfId="1" applyNumberFormat="1" applyFont="1" applyFill="1" applyBorder="1" applyAlignment="1">
      <alignment vertical="center"/>
    </xf>
    <xf numFmtId="1" fontId="50" fillId="0" borderId="10" xfId="1" applyNumberFormat="1" applyFont="1" applyBorder="1" applyAlignment="1">
      <alignment vertical="center"/>
    </xf>
    <xf numFmtId="1" fontId="50" fillId="0" borderId="14" xfId="1" applyNumberFormat="1" applyFont="1" applyBorder="1" applyAlignment="1">
      <alignment horizontal="right" vertical="center"/>
    </xf>
    <xf numFmtId="1" fontId="50" fillId="0" borderId="14" xfId="1" applyNumberFormat="1" applyFont="1" applyBorder="1" applyAlignment="1">
      <alignment vertical="center"/>
    </xf>
    <xf numFmtId="1" fontId="50" fillId="0" borderId="35" xfId="1" applyNumberFormat="1" applyFont="1" applyFill="1" applyBorder="1" applyAlignment="1">
      <alignment vertical="center"/>
    </xf>
    <xf numFmtId="1" fontId="50" fillId="0" borderId="61" xfId="1" applyNumberFormat="1" applyFont="1" applyBorder="1" applyAlignment="1">
      <alignment vertical="center"/>
    </xf>
    <xf numFmtId="1" fontId="50" fillId="0" borderId="15" xfId="1" applyNumberFormat="1" applyFont="1" applyBorder="1" applyAlignment="1">
      <alignment vertical="center"/>
    </xf>
    <xf numFmtId="1" fontId="50" fillId="0" borderId="42" xfId="1" applyNumberFormat="1" applyFont="1" applyBorder="1" applyAlignment="1">
      <alignment vertical="center"/>
    </xf>
    <xf numFmtId="177" fontId="50" fillId="0" borderId="43" xfId="1" applyNumberFormat="1" applyFont="1" applyBorder="1" applyAlignment="1">
      <alignment horizontal="right" vertical="center"/>
    </xf>
    <xf numFmtId="182" fontId="50" fillId="0" borderId="50" xfId="1" applyNumberFormat="1" applyFont="1" applyBorder="1" applyAlignment="1">
      <alignment vertical="center"/>
    </xf>
    <xf numFmtId="177" fontId="68" fillId="0" borderId="22" xfId="1" applyNumberFormat="1" applyFont="1" applyBorder="1" applyAlignment="1" applyProtection="1">
      <alignment horizontal="right" vertical="center"/>
    </xf>
    <xf numFmtId="177" fontId="54" fillId="0" borderId="117" xfId="1" applyNumberFormat="1" applyFont="1" applyFill="1" applyBorder="1" applyAlignment="1" applyProtection="1">
      <alignment vertical="center"/>
      <protection locked="0"/>
    </xf>
    <xf numFmtId="177" fontId="54" fillId="0" borderId="217" xfId="1" applyNumberFormat="1" applyFont="1" applyBorder="1" applyAlignment="1">
      <alignment vertical="center"/>
    </xf>
    <xf numFmtId="177" fontId="54" fillId="0" borderId="218" xfId="1" applyNumberFormat="1" applyFont="1" applyBorder="1" applyAlignment="1">
      <alignment vertical="center"/>
    </xf>
    <xf numFmtId="177" fontId="54" fillId="0" borderId="218" xfId="1" applyNumberFormat="1" applyFont="1" applyFill="1" applyBorder="1" applyAlignment="1">
      <alignment vertical="center"/>
    </xf>
    <xf numFmtId="177" fontId="54" fillId="0" borderId="219" xfId="1" applyNumberFormat="1" applyFont="1" applyBorder="1" applyAlignment="1">
      <alignment vertical="center"/>
    </xf>
    <xf numFmtId="0" fontId="92" fillId="0" borderId="38" xfId="0" applyFont="1" applyBorder="1" applyAlignment="1"/>
    <xf numFmtId="0" fontId="92" fillId="0" borderId="39" xfId="0" applyFont="1" applyBorder="1" applyAlignment="1"/>
    <xf numFmtId="0" fontId="92" fillId="0" borderId="106" xfId="0" applyFont="1" applyBorder="1" applyAlignment="1">
      <alignment horizontal="center"/>
    </xf>
    <xf numFmtId="0" fontId="92" fillId="0" borderId="13" xfId="0" applyFont="1" applyBorder="1" applyAlignment="1">
      <alignment horizontal="right"/>
    </xf>
    <xf numFmtId="0" fontId="34" fillId="0" borderId="122" xfId="0" applyFont="1" applyBorder="1"/>
    <xf numFmtId="0" fontId="34" fillId="0" borderId="124" xfId="0" applyFont="1" applyBorder="1"/>
    <xf numFmtId="0" fontId="34" fillId="0" borderId="42" xfId="0" applyFont="1" applyBorder="1" applyAlignment="1"/>
    <xf numFmtId="0" fontId="34" fillId="0" borderId="56" xfId="0" applyFont="1" applyBorder="1" applyAlignment="1"/>
    <xf numFmtId="194" fontId="34" fillId="0" borderId="16" xfId="0" applyNumberFormat="1" applyFont="1" applyBorder="1" applyAlignment="1">
      <alignment horizontal="right"/>
    </xf>
    <xf numFmtId="2" fontId="49" fillId="0" borderId="25" xfId="1" applyNumberFormat="1" applyFont="1" applyFill="1" applyBorder="1" applyAlignment="1">
      <alignment vertical="center"/>
    </xf>
    <xf numFmtId="2" fontId="50" fillId="0" borderId="11" xfId="1" applyNumberFormat="1" applyFont="1" applyBorder="1" applyAlignment="1">
      <alignment horizontal="right" vertical="center"/>
    </xf>
    <xf numFmtId="2" fontId="50" fillId="0" borderId="11" xfId="1" applyNumberFormat="1" applyFont="1" applyFill="1" applyBorder="1" applyAlignment="1">
      <alignment horizontal="right" vertical="center"/>
    </xf>
    <xf numFmtId="2" fontId="50" fillId="0" borderId="11" xfId="1" applyNumberFormat="1" applyFont="1" applyBorder="1" applyAlignment="1">
      <alignment vertical="center"/>
    </xf>
    <xf numFmtId="2" fontId="50" fillId="0" borderId="0" xfId="1" applyNumberFormat="1" applyFont="1" applyAlignment="1">
      <alignment vertical="center"/>
    </xf>
    <xf numFmtId="2" fontId="50" fillId="0" borderId="13" xfId="1" applyNumberFormat="1" applyFont="1" applyBorder="1" applyAlignment="1">
      <alignment horizontal="right" vertical="center"/>
    </xf>
    <xf numFmtId="2" fontId="49" fillId="0" borderId="0" xfId="1" applyNumberFormat="1" applyFont="1" applyAlignment="1">
      <alignment vertical="center"/>
    </xf>
    <xf numFmtId="2" fontId="49" fillId="8" borderId="25" xfId="1" applyNumberFormat="1" applyFont="1" applyFill="1" applyBorder="1" applyAlignment="1">
      <alignment vertical="center"/>
    </xf>
    <xf numFmtId="2" fontId="49" fillId="8" borderId="11" xfId="1" applyNumberFormat="1" applyFont="1" applyFill="1" applyBorder="1" applyAlignment="1">
      <alignment vertical="center"/>
    </xf>
    <xf numFmtId="2" fontId="50" fillId="0" borderId="25" xfId="1" applyNumberFormat="1" applyFont="1" applyFill="1" applyBorder="1" applyAlignment="1">
      <alignment horizontal="right" vertical="center"/>
    </xf>
    <xf numFmtId="2" fontId="50" fillId="0" borderId="0" xfId="1" applyNumberFormat="1" applyFont="1" applyBorder="1" applyAlignment="1">
      <alignment horizontal="right" vertical="center"/>
    </xf>
    <xf numFmtId="2" fontId="66" fillId="0" borderId="25" xfId="1" applyNumberFormat="1" applyFont="1" applyBorder="1" applyAlignment="1">
      <alignment horizontal="left" vertical="center"/>
    </xf>
    <xf numFmtId="2" fontId="76" fillId="0" borderId="49" xfId="1" applyNumberFormat="1" applyFont="1" applyBorder="1" applyAlignment="1">
      <alignment horizontal="right" vertical="center"/>
    </xf>
    <xf numFmtId="2" fontId="50" fillId="0" borderId="7" xfId="1" applyNumberFormat="1" applyFont="1" applyBorder="1" applyAlignment="1">
      <alignment vertical="center"/>
    </xf>
    <xf numFmtId="2" fontId="66" fillId="0" borderId="18" xfId="1" applyNumberFormat="1" applyFont="1" applyBorder="1" applyAlignment="1">
      <alignment horizontal="left" vertical="center"/>
    </xf>
    <xf numFmtId="2" fontId="68" fillId="0" borderId="11" xfId="1" applyNumberFormat="1" applyFont="1" applyBorder="1" applyAlignment="1" applyProtection="1">
      <alignment horizontal="right" vertical="center"/>
    </xf>
    <xf numFmtId="2" fontId="68" fillId="0" borderId="11" xfId="1" applyNumberFormat="1" applyFont="1" applyBorder="1" applyAlignment="1" applyProtection="1">
      <alignment vertical="center"/>
    </xf>
    <xf numFmtId="2" fontId="68" fillId="0" borderId="11" xfId="0" applyNumberFormat="1" applyFont="1" applyBorder="1" applyAlignment="1">
      <alignment horizontal="right" vertical="center"/>
    </xf>
    <xf numFmtId="2" fontId="50" fillId="0" borderId="0" xfId="1" applyNumberFormat="1" applyFont="1" applyBorder="1" applyAlignment="1">
      <alignment vertical="center"/>
    </xf>
    <xf numFmtId="2" fontId="50" fillId="0" borderId="21" xfId="1" applyNumberFormat="1" applyFont="1" applyBorder="1" applyAlignment="1">
      <alignment vertical="center"/>
    </xf>
    <xf numFmtId="2" fontId="66" fillId="0" borderId="11" xfId="1" applyNumberFormat="1" applyFont="1" applyBorder="1" applyAlignment="1">
      <alignment horizontal="left" vertical="center"/>
    </xf>
    <xf numFmtId="2" fontId="50" fillId="0" borderId="21" xfId="1" applyNumberFormat="1" applyFont="1" applyBorder="1" applyAlignment="1">
      <alignment horizontal="right" vertical="center"/>
    </xf>
    <xf numFmtId="1" fontId="50" fillId="7" borderId="0" xfId="1" applyNumberFormat="1" applyFont="1" applyFill="1" applyBorder="1" applyAlignment="1">
      <alignment horizontal="right" vertical="center"/>
    </xf>
    <xf numFmtId="1" fontId="50" fillId="7" borderId="0" xfId="1" applyNumberFormat="1" applyFont="1" applyFill="1" applyBorder="1" applyAlignment="1" applyProtection="1">
      <alignment horizontal="right" vertical="center"/>
    </xf>
    <xf numFmtId="1" fontId="50" fillId="7" borderId="0" xfId="1" applyNumberFormat="1" applyFont="1" applyFill="1" applyBorder="1" applyAlignment="1" applyProtection="1">
      <alignment horizontal="right" vertical="center"/>
      <protection locked="0"/>
    </xf>
    <xf numFmtId="1" fontId="50" fillId="0" borderId="0" xfId="1" applyNumberFormat="1" applyFont="1" applyFill="1" applyBorder="1" applyAlignment="1" applyProtection="1">
      <alignment horizontal="right" vertical="center"/>
      <protection locked="0"/>
    </xf>
    <xf numFmtId="1" fontId="50" fillId="7" borderId="14" xfId="1" applyNumberFormat="1" applyFont="1" applyFill="1" applyBorder="1" applyAlignment="1">
      <alignment horizontal="right" vertical="center"/>
    </xf>
    <xf numFmtId="2" fontId="50" fillId="0" borderId="42" xfId="1" applyNumberFormat="1" applyFont="1" applyBorder="1" applyAlignment="1" applyProtection="1">
      <alignment vertical="center"/>
      <protection locked="0"/>
    </xf>
    <xf numFmtId="2" fontId="50" fillId="0" borderId="0" xfId="1" applyNumberFormat="1" applyFont="1" applyBorder="1" applyAlignment="1" applyProtection="1">
      <alignment vertical="center"/>
      <protection locked="0"/>
    </xf>
    <xf numFmtId="2" fontId="50" fillId="8" borderId="16" xfId="1" applyNumberFormat="1" applyFont="1" applyFill="1" applyBorder="1" applyAlignment="1">
      <alignment vertical="center"/>
    </xf>
    <xf numFmtId="2" fontId="50" fillId="0" borderId="16" xfId="1" applyNumberFormat="1" applyFont="1" applyFill="1" applyBorder="1" applyAlignment="1">
      <alignment vertical="center"/>
    </xf>
    <xf numFmtId="2" fontId="50" fillId="3" borderId="0" xfId="1" applyNumberFormat="1" applyFont="1" applyFill="1" applyBorder="1" applyAlignment="1" applyProtection="1">
      <alignment horizontal="right" vertical="center"/>
      <protection locked="0"/>
    </xf>
    <xf numFmtId="2" fontId="50" fillId="0" borderId="0" xfId="1" applyNumberFormat="1" applyFont="1" applyFill="1" applyBorder="1" applyAlignment="1">
      <alignment vertical="center"/>
    </xf>
    <xf numFmtId="2" fontId="50" fillId="0" borderId="0" xfId="1" applyNumberFormat="1" applyFont="1" applyFill="1" applyBorder="1" applyAlignment="1">
      <alignment horizontal="right" vertical="center"/>
    </xf>
    <xf numFmtId="2" fontId="50" fillId="0" borderId="14" xfId="1" applyNumberFormat="1" applyFont="1" applyBorder="1" applyAlignment="1">
      <alignment horizontal="right" vertical="center"/>
    </xf>
    <xf numFmtId="2" fontId="50" fillId="8" borderId="0" xfId="1" applyNumberFormat="1" applyFont="1" applyFill="1" applyBorder="1" applyAlignment="1">
      <alignment vertical="center"/>
    </xf>
    <xf numFmtId="2" fontId="50" fillId="0" borderId="16" xfId="1" applyNumberFormat="1" applyFont="1" applyFill="1" applyBorder="1" applyAlignment="1">
      <alignment horizontal="right" vertical="center"/>
    </xf>
    <xf numFmtId="2" fontId="50" fillId="0" borderId="19" xfId="1" applyNumberFormat="1" applyFont="1" applyBorder="1" applyAlignment="1">
      <alignment vertical="center"/>
    </xf>
    <xf numFmtId="2" fontId="78" fillId="0" borderId="43" xfId="1" applyNumberFormat="1" applyFont="1" applyFill="1" applyBorder="1" applyAlignment="1">
      <alignment vertical="center"/>
    </xf>
    <xf numFmtId="2" fontId="50" fillId="0" borderId="0" xfId="1" applyNumberFormat="1" applyFont="1" applyBorder="1" applyAlignment="1">
      <alignment horizontal="left" vertical="center"/>
    </xf>
    <xf numFmtId="2" fontId="50" fillId="0" borderId="14" xfId="1" applyNumberFormat="1" applyFont="1" applyBorder="1" applyAlignment="1">
      <alignment vertical="center"/>
    </xf>
    <xf numFmtId="2" fontId="66" fillId="0" borderId="19" xfId="1" applyNumberFormat="1" applyFont="1" applyBorder="1" applyAlignment="1">
      <alignment horizontal="left" vertical="center"/>
    </xf>
    <xf numFmtId="2" fontId="50" fillId="0" borderId="7" xfId="1" applyNumberFormat="1" applyFont="1" applyBorder="1" applyAlignment="1">
      <alignment horizontal="left" vertical="center"/>
    </xf>
    <xf numFmtId="2" fontId="68" fillId="0" borderId="0" xfId="0" applyNumberFormat="1" applyFont="1" applyBorder="1" applyAlignment="1">
      <alignment horizontal="right" vertical="center"/>
    </xf>
    <xf numFmtId="177" fontId="141" fillId="0" borderId="57" xfId="0" applyNumberFormat="1" applyFont="1" applyBorder="1" applyAlignment="1" applyProtection="1">
      <alignment vertical="center"/>
    </xf>
    <xf numFmtId="177" fontId="142" fillId="4" borderId="58" xfId="5" applyNumberFormat="1" applyFont="1" applyFill="1" applyBorder="1" applyAlignment="1" applyProtection="1">
      <alignment vertical="center"/>
    </xf>
    <xf numFmtId="0" fontId="143" fillId="0" borderId="0" xfId="19" applyFont="1"/>
    <xf numFmtId="177" fontId="141" fillId="0" borderId="0" xfId="0" applyNumberFormat="1" applyFont="1" applyFill="1" applyBorder="1" applyAlignment="1" applyProtection="1">
      <alignment vertical="center"/>
    </xf>
    <xf numFmtId="177" fontId="141" fillId="0" borderId="0" xfId="5" applyNumberFormat="1" applyFont="1" applyFill="1" applyBorder="1" applyAlignment="1" applyProtection="1">
      <alignment horizontal="left" vertical="center"/>
    </xf>
    <xf numFmtId="177" fontId="141" fillId="0" borderId="0" xfId="5" applyNumberFormat="1" applyFont="1" applyFill="1" applyBorder="1" applyAlignment="1" applyProtection="1">
      <alignment horizontal="center" vertical="center"/>
    </xf>
    <xf numFmtId="0" fontId="143" fillId="0" borderId="0" xfId="19" applyFont="1" applyFill="1"/>
    <xf numFmtId="0" fontId="146" fillId="0" borderId="16" xfId="0" applyFont="1" applyBorder="1" applyAlignment="1">
      <alignment horizontal="center"/>
    </xf>
    <xf numFmtId="0" fontId="146" fillId="0" borderId="40" xfId="0" applyFont="1" applyBorder="1" applyAlignment="1"/>
    <xf numFmtId="0" fontId="143" fillId="0" borderId="0" xfId="0" applyFont="1"/>
    <xf numFmtId="0" fontId="143" fillId="0" borderId="133" xfId="0" applyFont="1" applyFill="1" applyBorder="1" applyProtection="1"/>
    <xf numFmtId="0" fontId="143" fillId="0" borderId="126" xfId="0" applyFont="1" applyFill="1" applyBorder="1" applyProtection="1"/>
    <xf numFmtId="0" fontId="143" fillId="0" borderId="126" xfId="0" applyFont="1" applyBorder="1"/>
    <xf numFmtId="0" fontId="143" fillId="0" borderId="126" xfId="0" applyFont="1" applyFill="1" applyBorder="1" applyAlignment="1" applyProtection="1"/>
    <xf numFmtId="0" fontId="143" fillId="0" borderId="126" xfId="0" applyFont="1" applyFill="1" applyBorder="1" applyAlignment="1">
      <alignment horizontal="left"/>
    </xf>
    <xf numFmtId="194" fontId="143" fillId="0" borderId="126" xfId="0" applyNumberFormat="1" applyFont="1" applyBorder="1" applyAlignment="1"/>
    <xf numFmtId="0" fontId="143" fillId="0" borderId="136" xfId="0" applyFont="1" applyBorder="1"/>
    <xf numFmtId="0" fontId="143" fillId="0" borderId="10" xfId="0" applyFont="1" applyFill="1" applyBorder="1" applyProtection="1"/>
    <xf numFmtId="0" fontId="143" fillId="0" borderId="0" xfId="0" applyFont="1" applyFill="1" applyBorder="1" applyAlignment="1" applyProtection="1">
      <alignment horizontal="right"/>
    </xf>
    <xf numFmtId="0" fontId="143" fillId="0" borderId="0" xfId="0" applyFont="1" applyBorder="1"/>
    <xf numFmtId="0" fontId="143" fillId="0" borderId="0" xfId="0" applyFont="1" applyBorder="1" applyAlignment="1">
      <alignment horizontal="right"/>
    </xf>
    <xf numFmtId="0" fontId="143" fillId="0" borderId="0" xfId="0" applyFont="1" applyFill="1" applyBorder="1"/>
    <xf numFmtId="0" fontId="143" fillId="0" borderId="0" xfId="0" applyFont="1" applyFill="1" applyBorder="1" applyAlignment="1"/>
    <xf numFmtId="0" fontId="143" fillId="0" borderId="41" xfId="0" applyFont="1" applyFill="1" applyBorder="1" applyAlignment="1"/>
    <xf numFmtId="0" fontId="143" fillId="0" borderId="133" xfId="0" applyFont="1" applyFill="1" applyBorder="1"/>
    <xf numFmtId="1" fontId="143" fillId="0" borderId="126" xfId="0" applyNumberFormat="1" applyFont="1" applyFill="1" applyBorder="1" applyAlignment="1">
      <alignment horizontal="right"/>
    </xf>
    <xf numFmtId="0" fontId="143" fillId="0" borderId="126" xfId="0" applyFont="1" applyFill="1" applyBorder="1"/>
    <xf numFmtId="0" fontId="143" fillId="0" borderId="127" xfId="0" applyFont="1" applyBorder="1"/>
    <xf numFmtId="0" fontId="143" fillId="0" borderId="10" xfId="0" applyFont="1" applyBorder="1"/>
    <xf numFmtId="2" fontId="143" fillId="0" borderId="0" xfId="0" applyNumberFormat="1" applyFont="1" applyFill="1" applyBorder="1"/>
    <xf numFmtId="0" fontId="143" fillId="0" borderId="1" xfId="0" applyFont="1" applyFill="1" applyBorder="1" applyAlignment="1">
      <alignment horizontal="right"/>
    </xf>
    <xf numFmtId="1" fontId="143" fillId="0" borderId="1" xfId="19" applyNumberFormat="1" applyFont="1" applyFill="1" applyBorder="1" applyAlignment="1">
      <alignment horizontal="right"/>
    </xf>
    <xf numFmtId="0" fontId="143" fillId="0" borderId="10" xfId="0" applyFont="1" applyFill="1" applyBorder="1" applyAlignment="1"/>
    <xf numFmtId="0" fontId="143" fillId="7" borderId="0" xfId="0" applyFont="1" applyFill="1" applyBorder="1" applyAlignment="1" applyProtection="1">
      <alignment horizontal="right"/>
    </xf>
    <xf numFmtId="0" fontId="143" fillId="0" borderId="2" xfId="0" applyFont="1" applyBorder="1" applyAlignment="1">
      <alignment horizontal="right"/>
    </xf>
    <xf numFmtId="0" fontId="143" fillId="0" borderId="126" xfId="0" applyFont="1" applyBorder="1" applyAlignment="1">
      <alignment horizontal="right"/>
    </xf>
    <xf numFmtId="1" fontId="143" fillId="0" borderId="126" xfId="0" applyNumberFormat="1" applyFont="1" applyBorder="1"/>
    <xf numFmtId="1" fontId="143" fillId="7" borderId="0" xfId="0" applyNumberFormat="1" applyFont="1" applyFill="1" applyBorder="1" applyProtection="1"/>
    <xf numFmtId="0" fontId="143" fillId="0" borderId="0" xfId="0" applyFont="1" applyBorder="1" applyAlignment="1">
      <alignment vertical="center"/>
    </xf>
    <xf numFmtId="0" fontId="143" fillId="0" borderId="0" xfId="0" applyFont="1" applyFill="1" applyBorder="1" applyAlignment="1">
      <alignment horizontal="right"/>
    </xf>
    <xf numFmtId="0" fontId="143" fillId="11" borderId="3" xfId="0" applyFont="1" applyFill="1" applyBorder="1"/>
    <xf numFmtId="1" fontId="143" fillId="11" borderId="3" xfId="0" applyNumberFormat="1" applyFont="1" applyFill="1" applyBorder="1"/>
    <xf numFmtId="1" fontId="143" fillId="0" borderId="3" xfId="0" applyNumberFormat="1" applyFont="1" applyBorder="1"/>
    <xf numFmtId="1" fontId="143" fillId="0" borderId="10" xfId="0" applyNumberFormat="1" applyFont="1" applyBorder="1" applyAlignment="1">
      <alignment vertical="center"/>
    </xf>
    <xf numFmtId="1" fontId="143" fillId="0" borderId="0" xfId="0" applyNumberFormat="1" applyFont="1" applyBorder="1" applyAlignment="1">
      <alignment horizontal="right"/>
    </xf>
    <xf numFmtId="1" fontId="143" fillId="7" borderId="0" xfId="0" applyNumberFormat="1" applyFont="1" applyFill="1" applyBorder="1"/>
    <xf numFmtId="1" fontId="143" fillId="0" borderId="3" xfId="0" applyNumberFormat="1" applyFont="1" applyFill="1" applyBorder="1"/>
    <xf numFmtId="0" fontId="143" fillId="0" borderId="133" xfId="0" applyFont="1" applyFill="1" applyBorder="1" applyAlignment="1">
      <alignment horizontal="right"/>
    </xf>
    <xf numFmtId="177" fontId="148" fillId="0" borderId="126" xfId="0" applyNumberFormat="1" applyFont="1" applyFill="1" applyBorder="1" applyProtection="1"/>
    <xf numFmtId="2" fontId="143" fillId="7" borderId="0" xfId="0" applyNumberFormat="1" applyFont="1" applyFill="1" applyBorder="1" applyAlignment="1">
      <alignment horizontal="right"/>
    </xf>
    <xf numFmtId="0" fontId="143" fillId="0" borderId="133" xfId="0" applyFont="1" applyBorder="1"/>
    <xf numFmtId="1" fontId="143" fillId="0" borderId="133" xfId="0" applyNumberFormat="1" applyFont="1" applyFill="1" applyBorder="1" applyProtection="1"/>
    <xf numFmtId="0" fontId="143" fillId="0" borderId="0" xfId="0" applyFont="1" applyAlignment="1">
      <alignment horizontal="right"/>
    </xf>
    <xf numFmtId="2" fontId="143" fillId="0" borderId="0" xfId="0" applyNumberFormat="1" applyFont="1" applyBorder="1" applyAlignment="1">
      <alignment horizontal="right"/>
    </xf>
    <xf numFmtId="2" fontId="143" fillId="0" borderId="0" xfId="0" applyNumberFormat="1" applyFont="1" applyBorder="1"/>
    <xf numFmtId="0" fontId="143" fillId="0" borderId="12" xfId="0" applyFont="1" applyBorder="1"/>
    <xf numFmtId="0" fontId="143" fillId="0" borderId="134" xfId="0" applyFont="1" applyFill="1" applyBorder="1" applyProtection="1"/>
    <xf numFmtId="0" fontId="143" fillId="0" borderId="129" xfId="0" applyFont="1" applyFill="1" applyBorder="1" applyProtection="1"/>
    <xf numFmtId="0" fontId="143" fillId="0" borderId="129" xfId="0" applyFont="1" applyBorder="1"/>
    <xf numFmtId="1" fontId="143" fillId="0" borderId="129" xfId="0" applyNumberFormat="1" applyFont="1" applyBorder="1"/>
    <xf numFmtId="0" fontId="143" fillId="0" borderId="135" xfId="0" applyFont="1" applyBorder="1"/>
    <xf numFmtId="0" fontId="143" fillId="0" borderId="61" xfId="0" applyFont="1" applyFill="1" applyBorder="1" applyProtection="1"/>
    <xf numFmtId="1" fontId="143" fillId="0" borderId="14" xfId="0" applyNumberFormat="1" applyFont="1" applyBorder="1"/>
    <xf numFmtId="0" fontId="143" fillId="0" borderId="14" xfId="0" applyFont="1" applyBorder="1"/>
    <xf numFmtId="0" fontId="143" fillId="0" borderId="14" xfId="0" applyFont="1" applyFill="1" applyBorder="1" applyAlignment="1">
      <alignment horizontal="right"/>
    </xf>
    <xf numFmtId="1" fontId="143" fillId="0" borderId="35" xfId="0" applyNumberFormat="1" applyFont="1" applyFill="1" applyBorder="1"/>
    <xf numFmtId="1" fontId="143" fillId="0" borderId="35" xfId="0" applyNumberFormat="1" applyFont="1" applyBorder="1"/>
    <xf numFmtId="0" fontId="143" fillId="0" borderId="61" xfId="0" applyFont="1" applyFill="1" applyBorder="1" applyAlignment="1"/>
    <xf numFmtId="0" fontId="143" fillId="0" borderId="14" xfId="0" applyFont="1" applyFill="1" applyBorder="1" applyAlignment="1"/>
    <xf numFmtId="0" fontId="143" fillId="0" borderId="92" xfId="0" applyFont="1" applyFill="1" applyBorder="1" applyAlignment="1"/>
    <xf numFmtId="0" fontId="143" fillId="0" borderId="61" xfId="0" applyFont="1" applyBorder="1"/>
    <xf numFmtId="0" fontId="143" fillId="0" borderId="15" xfId="0" applyFont="1" applyBorder="1"/>
    <xf numFmtId="0" fontId="143" fillId="0" borderId="0" xfId="0" applyFont="1" applyFill="1" applyBorder="1" applyProtection="1"/>
    <xf numFmtId="1" fontId="143" fillId="0" borderId="0" xfId="0" applyNumberFormat="1" applyFont="1" applyFill="1" applyBorder="1"/>
    <xf numFmtId="194" fontId="143" fillId="0" borderId="0" xfId="0" applyNumberFormat="1" applyFont="1" applyFill="1" applyBorder="1" applyProtection="1"/>
    <xf numFmtId="1" fontId="143" fillId="0" borderId="0" xfId="0" applyNumberFormat="1" applyFont="1" applyFill="1" applyBorder="1" applyProtection="1"/>
    <xf numFmtId="195" fontId="149" fillId="0" borderId="0" xfId="0" applyNumberFormat="1" applyFont="1" applyFill="1" applyBorder="1" applyAlignment="1" applyProtection="1">
      <alignment horizontal="center" vertical="center"/>
      <protection locked="0"/>
    </xf>
    <xf numFmtId="0" fontId="143" fillId="0" borderId="0" xfId="0" applyFont="1" applyFill="1"/>
    <xf numFmtId="1" fontId="147" fillId="0" borderId="11" xfId="0" applyNumberFormat="1" applyFont="1" applyFill="1" applyBorder="1" applyAlignment="1" applyProtection="1">
      <alignment horizontal="right"/>
    </xf>
    <xf numFmtId="0" fontId="143" fillId="0" borderId="11" xfId="0" applyFont="1" applyBorder="1" applyAlignment="1">
      <alignment horizontal="right"/>
    </xf>
    <xf numFmtId="0" fontId="143" fillId="0" borderId="11" xfId="0" applyFont="1" applyFill="1" applyBorder="1" applyAlignment="1">
      <alignment horizontal="right"/>
    </xf>
    <xf numFmtId="0" fontId="147" fillId="0" borderId="11" xfId="0" applyFont="1" applyFill="1" applyBorder="1" applyAlignment="1">
      <alignment horizontal="right"/>
    </xf>
    <xf numFmtId="1" fontId="143" fillId="0" borderId="7" xfId="0" applyNumberFormat="1" applyFont="1" applyBorder="1"/>
    <xf numFmtId="0" fontId="143" fillId="0" borderId="0" xfId="0" applyFont="1" applyBorder="1" applyAlignment="1"/>
    <xf numFmtId="1" fontId="143" fillId="0" borderId="0" xfId="0" applyNumberFormat="1" applyFont="1" applyBorder="1"/>
    <xf numFmtId="0" fontId="145" fillId="0" borderId="11" xfId="0" applyFont="1" applyBorder="1" applyAlignment="1">
      <alignment horizontal="right"/>
    </xf>
    <xf numFmtId="194" fontId="143" fillId="0" borderId="0" xfId="0" applyNumberFormat="1" applyFont="1" applyBorder="1"/>
    <xf numFmtId="193" fontId="143" fillId="0" borderId="0" xfId="0" applyNumberFormat="1" applyFont="1" applyBorder="1"/>
    <xf numFmtId="1" fontId="143" fillId="0" borderId="11" xfId="0" applyNumberFormat="1" applyFont="1" applyBorder="1"/>
    <xf numFmtId="1" fontId="143" fillId="0" borderId="16" xfId="0" applyNumberFormat="1" applyFont="1" applyBorder="1"/>
    <xf numFmtId="1" fontId="143" fillId="0" borderId="17" xfId="0" applyNumberFormat="1" applyFont="1" applyBorder="1"/>
    <xf numFmtId="0" fontId="147" fillId="0" borderId="25" xfId="0" applyFont="1" applyFill="1" applyBorder="1" applyAlignment="1">
      <alignment horizontal="right"/>
    </xf>
    <xf numFmtId="0" fontId="143" fillId="0" borderId="11" xfId="0" applyFont="1" applyBorder="1"/>
    <xf numFmtId="0" fontId="143" fillId="0" borderId="28" xfId="0" applyFont="1" applyBorder="1"/>
    <xf numFmtId="0" fontId="143" fillId="0" borderId="3" xfId="0" applyFont="1" applyBorder="1"/>
    <xf numFmtId="0" fontId="143" fillId="0" borderId="29" xfId="0" applyFont="1" applyBorder="1"/>
    <xf numFmtId="194" fontId="143" fillId="0" borderId="28" xfId="0" applyNumberFormat="1" applyFont="1" applyFill="1" applyBorder="1" applyProtection="1"/>
    <xf numFmtId="194" fontId="143" fillId="4" borderId="3" xfId="0" applyNumberFormat="1" applyFont="1" applyFill="1" applyBorder="1"/>
    <xf numFmtId="194" fontId="143" fillId="3" borderId="3" xfId="0" applyNumberFormat="1" applyFont="1" applyFill="1" applyBorder="1" applyProtection="1">
      <protection locked="0"/>
    </xf>
    <xf numFmtId="194" fontId="143" fillId="25" borderId="3" xfId="0" applyNumberFormat="1" applyFont="1" applyFill="1" applyBorder="1"/>
    <xf numFmtId="194" fontId="143" fillId="0" borderId="3" xfId="0" applyNumberFormat="1" applyFont="1" applyFill="1" applyBorder="1" applyProtection="1"/>
    <xf numFmtId="194" fontId="143" fillId="25" borderId="29" xfId="0" applyNumberFormat="1" applyFont="1" applyFill="1" applyBorder="1"/>
    <xf numFmtId="0" fontId="143" fillId="0" borderId="34" xfId="0" applyFont="1" applyBorder="1"/>
    <xf numFmtId="0" fontId="143" fillId="0" borderId="35" xfId="0" applyFont="1" applyBorder="1"/>
    <xf numFmtId="0" fontId="143" fillId="0" borderId="36" xfId="0" applyFont="1" applyBorder="1"/>
    <xf numFmtId="0" fontId="143" fillId="0" borderId="0" xfId="0" applyFont="1" applyFill="1" applyProtection="1"/>
    <xf numFmtId="0" fontId="143" fillId="0" borderId="11" xfId="0" applyFont="1" applyFill="1" applyBorder="1" applyAlignment="1" applyProtection="1">
      <alignment horizontal="right"/>
    </xf>
    <xf numFmtId="0" fontId="143" fillId="0" borderId="3" xfId="0" applyFont="1" applyFill="1" applyBorder="1"/>
    <xf numFmtId="194" fontId="143" fillId="0" borderId="3" xfId="0" applyNumberFormat="1" applyFont="1" applyBorder="1"/>
    <xf numFmtId="1" fontId="143" fillId="0" borderId="11" xfId="0" applyNumberFormat="1" applyFont="1" applyFill="1" applyBorder="1" applyProtection="1"/>
    <xf numFmtId="1" fontId="143" fillId="0" borderId="12" xfId="0" applyNumberFormat="1" applyFont="1" applyFill="1" applyBorder="1" applyProtection="1"/>
    <xf numFmtId="1" fontId="143" fillId="0" borderId="0" xfId="0" applyNumberFormat="1" applyFont="1" applyFill="1" applyProtection="1"/>
    <xf numFmtId="1" fontId="143" fillId="0" borderId="11" xfId="0" applyNumberFormat="1" applyFont="1" applyFill="1" applyBorder="1" applyAlignment="1" applyProtection="1">
      <alignment horizontal="right"/>
    </xf>
    <xf numFmtId="1" fontId="143" fillId="0" borderId="0" xfId="0" quotePrefix="1" applyNumberFormat="1" applyFont="1" applyFill="1" applyBorder="1" applyProtection="1"/>
    <xf numFmtId="1" fontId="147" fillId="0" borderId="11" xfId="0" applyNumberFormat="1" applyFont="1" applyBorder="1" applyAlignment="1">
      <alignment horizontal="right"/>
    </xf>
    <xf numFmtId="1" fontId="143" fillId="0" borderId="5" xfId="0" applyNumberFormat="1" applyFont="1" applyFill="1" applyBorder="1" applyProtection="1"/>
    <xf numFmtId="1" fontId="143" fillId="0" borderId="2" xfId="0" applyNumberFormat="1" applyFont="1" applyFill="1" applyBorder="1" applyAlignment="1" applyProtection="1">
      <alignment horizontal="right"/>
    </xf>
    <xf numFmtId="1" fontId="147" fillId="0" borderId="41" xfId="0" applyNumberFormat="1" applyFont="1" applyFill="1" applyBorder="1" applyAlignment="1" applyProtection="1">
      <alignment horizontal="right"/>
    </xf>
    <xf numFmtId="1" fontId="143" fillId="0" borderId="4" xfId="0" applyNumberFormat="1" applyFont="1" applyBorder="1"/>
    <xf numFmtId="194" fontId="143" fillId="0" borderId="0" xfId="0" applyNumberFormat="1" applyFont="1" applyBorder="1" applyAlignment="1">
      <alignment horizontal="right"/>
    </xf>
    <xf numFmtId="2" fontId="143" fillId="4" borderId="0" xfId="0" applyNumberFormat="1" applyFont="1" applyFill="1" applyBorder="1"/>
    <xf numFmtId="2" fontId="143" fillId="4" borderId="0" xfId="0" applyNumberFormat="1" applyFont="1" applyFill="1" applyBorder="1" applyAlignment="1"/>
    <xf numFmtId="1" fontId="143" fillId="0" borderId="0" xfId="0" applyNumberFormat="1" applyFont="1"/>
    <xf numFmtId="1" fontId="143" fillId="0" borderId="12" xfId="0" applyNumberFormat="1" applyFont="1" applyBorder="1"/>
    <xf numFmtId="1" fontId="143" fillId="0" borderId="1" xfId="0" applyNumberFormat="1" applyFont="1" applyBorder="1"/>
    <xf numFmtId="1" fontId="143" fillId="0" borderId="10" xfId="0" applyNumberFormat="1" applyFont="1" applyBorder="1"/>
    <xf numFmtId="193" fontId="143" fillId="0" borderId="1" xfId="0" applyNumberFormat="1" applyFont="1" applyBorder="1"/>
    <xf numFmtId="193" fontId="143" fillId="0" borderId="10" xfId="0" applyNumberFormat="1" applyFont="1" applyBorder="1"/>
    <xf numFmtId="193" fontId="143" fillId="0" borderId="12" xfId="0" applyNumberFormat="1" applyFont="1" applyBorder="1"/>
    <xf numFmtId="1" fontId="143" fillId="0" borderId="1" xfId="0" applyNumberFormat="1" applyFont="1" applyFill="1" applyBorder="1"/>
    <xf numFmtId="1" fontId="143" fillId="0" borderId="2" xfId="0" applyNumberFormat="1" applyFont="1" applyBorder="1"/>
    <xf numFmtId="1" fontId="143" fillId="0" borderId="13" xfId="0" applyNumberFormat="1" applyFont="1" applyBorder="1"/>
    <xf numFmtId="1" fontId="143" fillId="0" borderId="15" xfId="0" applyNumberFormat="1" applyFont="1" applyBorder="1"/>
    <xf numFmtId="1" fontId="143" fillId="0" borderId="19" xfId="0" applyNumberFormat="1" applyFont="1" applyBorder="1"/>
    <xf numFmtId="0" fontId="143" fillId="0" borderId="11" xfId="0" applyFont="1" applyFill="1" applyBorder="1" applyProtection="1"/>
    <xf numFmtId="1" fontId="143" fillId="0" borderId="16" xfId="0" applyNumberFormat="1" applyFont="1" applyFill="1" applyBorder="1" applyProtection="1"/>
    <xf numFmtId="1" fontId="143" fillId="4" borderId="2" xfId="0" applyNumberFormat="1" applyFont="1" applyFill="1" applyBorder="1" applyAlignment="1" applyProtection="1">
      <alignment horizontal="right"/>
    </xf>
    <xf numFmtId="1" fontId="143" fillId="0" borderId="11" xfId="0" applyNumberFormat="1" applyFont="1" applyBorder="1" applyAlignment="1">
      <alignment horizontal="right"/>
    </xf>
    <xf numFmtId="1" fontId="143" fillId="4" borderId="3" xfId="0" applyNumberFormat="1" applyFont="1" applyFill="1" applyBorder="1"/>
    <xf numFmtId="1" fontId="143" fillId="4" borderId="4" xfId="0" applyNumberFormat="1" applyFont="1" applyFill="1" applyBorder="1"/>
    <xf numFmtId="1" fontId="143" fillId="0" borderId="7" xfId="0" applyNumberFormat="1" applyFont="1" applyFill="1" applyBorder="1" applyProtection="1"/>
    <xf numFmtId="194" fontId="143" fillId="0" borderId="11" xfId="0" applyNumberFormat="1" applyFont="1" applyFill="1" applyBorder="1" applyAlignment="1">
      <alignment horizontal="right"/>
    </xf>
    <xf numFmtId="194" fontId="143" fillId="0" borderId="0" xfId="0" applyNumberFormat="1" applyFont="1" applyFill="1" applyBorder="1"/>
    <xf numFmtId="194" fontId="143" fillId="0" borderId="0" xfId="0" applyNumberFormat="1" applyFont="1" applyFill="1" applyBorder="1" applyAlignment="1">
      <alignment horizontal="right"/>
    </xf>
    <xf numFmtId="2" fontId="143" fillId="7" borderId="0" xfId="0" applyNumberFormat="1" applyFont="1" applyFill="1" applyBorder="1"/>
    <xf numFmtId="2" fontId="143" fillId="0" borderId="126" xfId="0" applyNumberFormat="1" applyFont="1" applyFill="1" applyBorder="1"/>
    <xf numFmtId="0" fontId="143" fillId="0" borderId="11" xfId="0" applyFont="1" applyFill="1" applyBorder="1"/>
    <xf numFmtId="194" fontId="143" fillId="7" borderId="0" xfId="0" applyNumberFormat="1" applyFont="1" applyFill="1" applyBorder="1" applyAlignment="1">
      <alignment horizontal="right"/>
    </xf>
    <xf numFmtId="0" fontId="143" fillId="0" borderId="12" xfId="0" applyFont="1" applyFill="1" applyBorder="1"/>
    <xf numFmtId="194" fontId="143" fillId="0" borderId="199" xfId="0" applyNumberFormat="1" applyFont="1" applyBorder="1"/>
    <xf numFmtId="194" fontId="143" fillId="0" borderId="12" xfId="0" applyNumberFormat="1" applyFont="1" applyBorder="1"/>
    <xf numFmtId="2" fontId="143" fillId="0" borderId="11" xfId="0" applyNumberFormat="1" applyFont="1" applyFill="1" applyBorder="1" applyAlignment="1">
      <alignment horizontal="right"/>
    </xf>
    <xf numFmtId="2" fontId="143" fillId="0" borderId="194" xfId="0" applyNumberFormat="1" applyFont="1" applyBorder="1"/>
    <xf numFmtId="2" fontId="143" fillId="0" borderId="12" xfId="0" applyNumberFormat="1" applyFont="1" applyBorder="1"/>
    <xf numFmtId="2" fontId="143" fillId="0" borderId="0" xfId="0" applyNumberFormat="1" applyFont="1"/>
    <xf numFmtId="194" fontId="143" fillId="0" borderId="1" xfId="0" applyNumberFormat="1" applyFont="1" applyFill="1" applyBorder="1"/>
    <xf numFmtId="194" fontId="143" fillId="0" borderId="1" xfId="0" applyNumberFormat="1" applyFont="1" applyBorder="1"/>
    <xf numFmtId="194" fontId="143" fillId="0" borderId="42" xfId="0" applyNumberFormat="1" applyFont="1" applyBorder="1"/>
    <xf numFmtId="194" fontId="143" fillId="0" borderId="195" xfId="0" applyNumberFormat="1" applyFont="1" applyBorder="1"/>
    <xf numFmtId="194" fontId="143" fillId="0" borderId="27" xfId="0" applyNumberFormat="1" applyFont="1" applyBorder="1"/>
    <xf numFmtId="194" fontId="143" fillId="4" borderId="1" xfId="0" applyNumberFormat="1" applyFont="1" applyFill="1" applyBorder="1"/>
    <xf numFmtId="1" fontId="143" fillId="0" borderId="42" xfId="0" applyNumberFormat="1" applyFont="1" applyBorder="1"/>
    <xf numFmtId="1" fontId="143" fillId="0" borderId="195" xfId="0" applyNumberFormat="1" applyFont="1" applyBorder="1"/>
    <xf numFmtId="1" fontId="143" fillId="0" borderId="27" xfId="0" applyNumberFormat="1" applyFont="1" applyBorder="1"/>
    <xf numFmtId="1" fontId="143" fillId="0" borderId="6" xfId="0" applyNumberFormat="1" applyFont="1" applyBorder="1"/>
    <xf numFmtId="1" fontId="143" fillId="0" borderId="197" xfId="0" applyNumberFormat="1" applyFont="1" applyBorder="1"/>
    <xf numFmtId="1" fontId="143" fillId="0" borderId="93" xfId="0" applyNumberFormat="1" applyFont="1" applyBorder="1"/>
    <xf numFmtId="1" fontId="143" fillId="0" borderId="8" xfId="0" applyNumberFormat="1" applyFont="1" applyBorder="1"/>
    <xf numFmtId="1" fontId="143" fillId="0" borderId="196" xfId="0" applyNumberFormat="1" applyFont="1" applyBorder="1"/>
    <xf numFmtId="1" fontId="143" fillId="0" borderId="59" xfId="0" applyNumberFormat="1" applyFont="1" applyBorder="1"/>
    <xf numFmtId="1" fontId="143" fillId="0" borderId="22" xfId="0" applyNumberFormat="1" applyFont="1" applyBorder="1"/>
    <xf numFmtId="1" fontId="147" fillId="0" borderId="0" xfId="0" applyNumberFormat="1" applyFont="1" applyBorder="1"/>
    <xf numFmtId="1" fontId="143" fillId="0" borderId="194" xfId="0" applyNumberFormat="1" applyFont="1" applyBorder="1"/>
    <xf numFmtId="1" fontId="143" fillId="0" borderId="200" xfId="0" applyNumberFormat="1" applyFont="1" applyBorder="1"/>
    <xf numFmtId="1" fontId="143" fillId="0" borderId="29" xfId="0" applyNumberFormat="1" applyFont="1" applyBorder="1"/>
    <xf numFmtId="0" fontId="147" fillId="0" borderId="11" xfId="0" applyFont="1" applyBorder="1" applyAlignment="1">
      <alignment horizontal="center" vertical="center"/>
    </xf>
    <xf numFmtId="0" fontId="147" fillId="0" borderId="0" xfId="0" applyFont="1" applyBorder="1" applyAlignment="1">
      <alignment horizontal="center" vertical="center"/>
    </xf>
    <xf numFmtId="0" fontId="147" fillId="0" borderId="12" xfId="0" applyFont="1" applyBorder="1" applyAlignment="1">
      <alignment horizontal="center" vertical="center"/>
    </xf>
    <xf numFmtId="0" fontId="143" fillId="0" borderId="25" xfId="0" applyFont="1" applyBorder="1"/>
    <xf numFmtId="0" fontId="143" fillId="0" borderId="0" xfId="0" applyFont="1" applyBorder="1" applyAlignment="1">
      <alignment horizontal="right" vertical="center"/>
    </xf>
    <xf numFmtId="1" fontId="143" fillId="0" borderId="28" xfId="0" applyNumberFormat="1" applyFont="1" applyBorder="1"/>
    <xf numFmtId="1" fontId="143" fillId="0" borderId="34" xfId="0" applyNumberFormat="1" applyFont="1" applyBorder="1"/>
    <xf numFmtId="1" fontId="143" fillId="0" borderId="61" xfId="0" applyNumberFormat="1" applyFont="1" applyBorder="1"/>
    <xf numFmtId="1" fontId="143" fillId="0" borderId="93" xfId="0" applyNumberFormat="1" applyFont="1" applyFill="1" applyBorder="1" applyAlignment="1" applyProtection="1">
      <alignment horizontal="right"/>
    </xf>
    <xf numFmtId="1" fontId="143" fillId="0" borderId="36" xfId="0" applyNumberFormat="1" applyFont="1" applyBorder="1"/>
    <xf numFmtId="1" fontId="143" fillId="0" borderId="28" xfId="0" applyNumberFormat="1" applyFont="1" applyFill="1" applyBorder="1"/>
    <xf numFmtId="1" fontId="143" fillId="0" borderId="29" xfId="0" applyNumberFormat="1" applyFont="1" applyFill="1" applyBorder="1"/>
    <xf numFmtId="1" fontId="143" fillId="0" borderId="34" xfId="0" applyNumberFormat="1" applyFont="1" applyFill="1" applyBorder="1"/>
    <xf numFmtId="1" fontId="143" fillId="0" borderId="36" xfId="0" applyNumberFormat="1" applyFont="1" applyFill="1" applyBorder="1"/>
    <xf numFmtId="1" fontId="143" fillId="0" borderId="11" xfId="0" applyNumberFormat="1" applyFont="1" applyFill="1" applyBorder="1" applyAlignment="1">
      <alignment horizontal="right"/>
    </xf>
    <xf numFmtId="0" fontId="143" fillId="0" borderId="44" xfId="0" applyFont="1" applyFill="1" applyBorder="1" applyAlignment="1">
      <alignment horizontal="right"/>
    </xf>
    <xf numFmtId="194" fontId="143" fillId="7" borderId="45" xfId="0" applyNumberFormat="1" applyFont="1" applyFill="1" applyBorder="1" applyProtection="1">
      <protection locked="0"/>
    </xf>
    <xf numFmtId="0" fontId="143" fillId="0" borderId="45" xfId="0" applyFont="1" applyBorder="1"/>
    <xf numFmtId="1" fontId="143" fillId="0" borderId="26" xfId="0" applyNumberFormat="1" applyFont="1" applyBorder="1"/>
    <xf numFmtId="194" fontId="143" fillId="0" borderId="26" xfId="0" applyNumberFormat="1" applyFont="1" applyBorder="1"/>
    <xf numFmtId="194" fontId="143" fillId="0" borderId="10" xfId="0" applyNumberFormat="1" applyFont="1" applyBorder="1"/>
    <xf numFmtId="1" fontId="143" fillId="0" borderId="46" xfId="0" applyNumberFormat="1" applyFont="1" applyBorder="1"/>
    <xf numFmtId="1" fontId="143" fillId="0" borderId="33" xfId="0" applyNumberFormat="1" applyFont="1" applyBorder="1"/>
    <xf numFmtId="1" fontId="143" fillId="0" borderId="4" xfId="0" applyNumberFormat="1" applyFont="1" applyFill="1" applyBorder="1" applyAlignment="1">
      <alignment horizontal="right"/>
    </xf>
    <xf numFmtId="1" fontId="143" fillId="0" borderId="5" xfId="0" applyNumberFormat="1" applyFont="1" applyBorder="1"/>
    <xf numFmtId="0" fontId="143" fillId="0" borderId="194" xfId="0" applyFont="1" applyBorder="1" applyAlignment="1"/>
    <xf numFmtId="0" fontId="143" fillId="0" borderId="5" xfId="0" applyFont="1" applyBorder="1" applyAlignment="1"/>
    <xf numFmtId="0" fontId="143" fillId="0" borderId="24" xfId="0" applyFont="1" applyBorder="1" applyAlignment="1"/>
    <xf numFmtId="1" fontId="143" fillId="0" borderId="195" xfId="0" applyNumberFormat="1" applyFont="1" applyBorder="1" applyAlignment="1">
      <alignment horizontal="right"/>
    </xf>
    <xf numFmtId="1" fontId="143" fillId="0" borderId="1" xfId="0" applyNumberFormat="1" applyFont="1" applyBorder="1" applyAlignment="1">
      <alignment horizontal="right"/>
    </xf>
    <xf numFmtId="1" fontId="143" fillId="0" borderId="27" xfId="0" applyNumberFormat="1" applyFont="1" applyBorder="1" applyAlignment="1">
      <alignment horizontal="right"/>
    </xf>
    <xf numFmtId="1" fontId="143" fillId="0" borderId="56" xfId="0" applyNumberFormat="1" applyFont="1" applyBorder="1" applyAlignment="1">
      <alignment horizontal="right"/>
    </xf>
    <xf numFmtId="194" fontId="143" fillId="0" borderId="11" xfId="0" applyNumberFormat="1" applyFont="1" applyBorder="1" applyAlignment="1">
      <alignment horizontal="right"/>
    </xf>
    <xf numFmtId="194" fontId="143" fillId="0" borderId="196" xfId="0" applyNumberFormat="1" applyFont="1" applyBorder="1"/>
    <xf numFmtId="194" fontId="143" fillId="0" borderId="4" xfId="0" applyNumberFormat="1" applyFont="1" applyBorder="1"/>
    <xf numFmtId="194" fontId="143" fillId="0" borderId="59" xfId="0" applyNumberFormat="1" applyFont="1" applyBorder="1"/>
    <xf numFmtId="194" fontId="143" fillId="0" borderId="9" xfId="0" applyNumberFormat="1" applyFont="1" applyBorder="1"/>
    <xf numFmtId="194" fontId="143" fillId="0" borderId="0" xfId="0" applyNumberFormat="1" applyFont="1"/>
    <xf numFmtId="1" fontId="143" fillId="0" borderId="9" xfId="0" applyNumberFormat="1" applyFont="1" applyBorder="1"/>
    <xf numFmtId="1" fontId="143" fillId="0" borderId="56" xfId="0" applyNumberFormat="1" applyFont="1" applyBorder="1"/>
    <xf numFmtId="1" fontId="143" fillId="4" borderId="197" xfId="0" applyNumberFormat="1" applyFont="1" applyFill="1" applyBorder="1"/>
    <xf numFmtId="1" fontId="143" fillId="4" borderId="2" xfId="0" applyNumberFormat="1" applyFont="1" applyFill="1" applyBorder="1"/>
    <xf numFmtId="1" fontId="143" fillId="4" borderId="93" xfId="0" applyNumberFormat="1" applyFont="1" applyFill="1" applyBorder="1"/>
    <xf numFmtId="1" fontId="143" fillId="4" borderId="48" xfId="0" applyNumberFormat="1" applyFont="1" applyFill="1" applyBorder="1"/>
    <xf numFmtId="1" fontId="143" fillId="4" borderId="196" xfId="0" applyNumberFormat="1" applyFont="1" applyFill="1" applyBorder="1"/>
    <xf numFmtId="1" fontId="143" fillId="4" borderId="59" xfId="0" applyNumberFormat="1" applyFont="1" applyFill="1" applyBorder="1"/>
    <xf numFmtId="1" fontId="143" fillId="11" borderId="33" xfId="0" applyNumberFormat="1" applyFont="1" applyFill="1" applyBorder="1"/>
    <xf numFmtId="1" fontId="143" fillId="11" borderId="4" xfId="0" applyNumberFormat="1" applyFont="1" applyFill="1" applyBorder="1"/>
    <xf numFmtId="1" fontId="143" fillId="11" borderId="59" xfId="0" applyNumberFormat="1" applyFont="1" applyFill="1" applyBorder="1"/>
    <xf numFmtId="1" fontId="143" fillId="0" borderId="48" xfId="0" applyNumberFormat="1" applyFont="1" applyBorder="1"/>
    <xf numFmtId="0" fontId="143" fillId="0" borderId="73" xfId="0" applyFont="1" applyFill="1" applyBorder="1" applyAlignment="1">
      <alignment horizontal="right"/>
    </xf>
    <xf numFmtId="1" fontId="143" fillId="0" borderId="198" xfId="0" applyNumberFormat="1" applyFont="1" applyBorder="1"/>
    <xf numFmtId="1" fontId="143" fillId="0" borderId="92" xfId="0" applyNumberFormat="1" applyFont="1" applyBorder="1"/>
    <xf numFmtId="0" fontId="147" fillId="0" borderId="11" xfId="0" applyFont="1" applyBorder="1" applyAlignment="1"/>
    <xf numFmtId="194" fontId="143" fillId="0" borderId="26" xfId="0" applyNumberFormat="1" applyFont="1" applyFill="1" applyBorder="1"/>
    <xf numFmtId="1" fontId="143" fillId="0" borderId="30" xfId="0" applyNumberFormat="1" applyFont="1" applyBorder="1"/>
    <xf numFmtId="1" fontId="143" fillId="0" borderId="31" xfId="0" applyNumberFormat="1" applyFont="1" applyBorder="1"/>
    <xf numFmtId="1" fontId="143" fillId="0" borderId="54" xfId="0" applyNumberFormat="1" applyFont="1" applyBorder="1"/>
    <xf numFmtId="1" fontId="143" fillId="0" borderId="32" xfId="0" applyNumberFormat="1" applyFont="1" applyBorder="1"/>
    <xf numFmtId="0" fontId="147" fillId="0" borderId="13" xfId="0" applyFont="1" applyFill="1" applyBorder="1" applyAlignment="1">
      <alignment horizontal="right"/>
    </xf>
    <xf numFmtId="11" fontId="50" fillId="0" borderId="0" xfId="1" applyNumberFormat="1" applyFont="1" applyAlignment="1">
      <alignment vertical="center"/>
    </xf>
    <xf numFmtId="2" fontId="54" fillId="0" borderId="95" xfId="1" applyNumberFormat="1" applyFont="1" applyBorder="1" applyAlignment="1">
      <alignment horizontal="right" vertical="center"/>
    </xf>
    <xf numFmtId="2" fontId="54" fillId="0" borderId="96" xfId="1" applyNumberFormat="1" applyFont="1" applyBorder="1" applyAlignment="1">
      <alignment horizontal="right" vertical="center"/>
    </xf>
    <xf numFmtId="2" fontId="54" fillId="0" borderId="97" xfId="1" applyNumberFormat="1" applyFont="1" applyBorder="1" applyAlignment="1">
      <alignment horizontal="right" vertical="center"/>
    </xf>
    <xf numFmtId="2" fontId="54" fillId="3" borderId="28" xfId="1" applyNumberFormat="1" applyFont="1" applyFill="1" applyBorder="1" applyAlignment="1" applyProtection="1">
      <alignment vertical="center"/>
      <protection locked="0"/>
    </xf>
    <xf numFmtId="2" fontId="54" fillId="3" borderId="3" xfId="1" applyNumberFormat="1" applyFont="1" applyFill="1" applyBorder="1" applyAlignment="1" applyProtection="1">
      <alignment vertical="center"/>
      <protection locked="0"/>
    </xf>
    <xf numFmtId="2" fontId="54" fillId="3" borderId="29" xfId="1" applyNumberFormat="1" applyFont="1" applyFill="1" applyBorder="1" applyAlignment="1" applyProtection="1">
      <alignment vertical="center"/>
      <protection locked="0"/>
    </xf>
    <xf numFmtId="2" fontId="54" fillId="3" borderId="34" xfId="1" applyNumberFormat="1" applyFont="1" applyFill="1" applyBorder="1" applyAlignment="1" applyProtection="1">
      <alignment vertical="center"/>
      <protection locked="0"/>
    </xf>
    <xf numFmtId="2" fontId="54" fillId="3" borderId="35" xfId="1" applyNumberFormat="1" applyFont="1" applyFill="1" applyBorder="1" applyAlignment="1" applyProtection="1">
      <alignment vertical="center"/>
      <protection locked="0"/>
    </xf>
    <xf numFmtId="2" fontId="54" fillId="3" borderId="36" xfId="1" applyNumberFormat="1" applyFont="1" applyFill="1" applyBorder="1" applyAlignment="1" applyProtection="1">
      <alignment vertical="center"/>
      <protection locked="0"/>
    </xf>
    <xf numFmtId="177" fontId="150" fillId="4" borderId="57" xfId="0" applyNumberFormat="1" applyFont="1" applyFill="1" applyBorder="1" applyAlignment="1" applyProtection="1"/>
    <xf numFmtId="1" fontId="150" fillId="4" borderId="58" xfId="5" applyNumberFormat="1" applyFont="1" applyFill="1" applyBorder="1" applyAlignment="1" applyProtection="1">
      <alignment horizontal="left" vertical="center"/>
    </xf>
    <xf numFmtId="14" fontId="151" fillId="0" borderId="0" xfId="0" applyNumberFormat="1" applyFont="1" applyProtection="1"/>
    <xf numFmtId="177" fontId="151" fillId="0" borderId="0" xfId="0" applyNumberFormat="1" applyFont="1" applyProtection="1"/>
    <xf numFmtId="177" fontId="151" fillId="0" borderId="0" xfId="0" applyNumberFormat="1" applyFont="1" applyFill="1" applyProtection="1"/>
    <xf numFmtId="177" fontId="150" fillId="4" borderId="57" xfId="0" applyNumberFormat="1" applyFont="1" applyFill="1" applyBorder="1" applyAlignment="1" applyProtection="1">
      <alignment horizontal="left"/>
    </xf>
    <xf numFmtId="14" fontId="151" fillId="10" borderId="0" xfId="0" applyNumberFormat="1" applyFont="1" applyFill="1" applyProtection="1">
      <protection locked="0"/>
    </xf>
    <xf numFmtId="177" fontId="151" fillId="0" borderId="0" xfId="0" applyNumberFormat="1" applyFont="1" applyFill="1" applyAlignment="1" applyProtection="1"/>
    <xf numFmtId="177" fontId="152" fillId="0" borderId="0" xfId="0" applyNumberFormat="1" applyFont="1"/>
    <xf numFmtId="180" fontId="153" fillId="0" borderId="88" xfId="5" applyNumberFormat="1" applyFont="1" applyBorder="1" applyAlignment="1" applyProtection="1">
      <alignment horizontal="right" vertical="center" wrapText="1"/>
    </xf>
    <xf numFmtId="1" fontId="153" fillId="0" borderId="91" xfId="5" applyNumberFormat="1" applyFont="1" applyBorder="1" applyAlignment="1" applyProtection="1">
      <alignment vertical="center" wrapText="1"/>
      <protection locked="0"/>
    </xf>
    <xf numFmtId="177" fontId="151" fillId="0" borderId="16" xfId="0" applyNumberFormat="1" applyFont="1" applyFill="1" applyBorder="1" applyProtection="1"/>
    <xf numFmtId="180" fontId="153" fillId="0" borderId="16" xfId="5" applyNumberFormat="1" applyFont="1" applyBorder="1" applyAlignment="1" applyProtection="1">
      <alignment vertical="center" wrapText="1"/>
    </xf>
    <xf numFmtId="177" fontId="151" fillId="0" borderId="16" xfId="0" applyNumberFormat="1" applyFont="1" applyFill="1" applyBorder="1" applyAlignment="1" applyProtection="1">
      <alignment vertical="center"/>
      <protection locked="0"/>
    </xf>
    <xf numFmtId="14" fontId="151" fillId="0" borderId="0" xfId="0" applyNumberFormat="1" applyFont="1" applyFill="1" applyProtection="1"/>
    <xf numFmtId="177" fontId="152" fillId="0" borderId="25" xfId="0" applyNumberFormat="1" applyFont="1" applyBorder="1"/>
    <xf numFmtId="177" fontId="152" fillId="0" borderId="16" xfId="0" applyNumberFormat="1" applyFont="1" applyBorder="1"/>
    <xf numFmtId="177" fontId="152" fillId="0" borderId="17" xfId="0" applyNumberFormat="1" applyFont="1" applyBorder="1"/>
    <xf numFmtId="177" fontId="152" fillId="0" borderId="13" xfId="0" applyNumberFormat="1" applyFont="1" applyBorder="1"/>
    <xf numFmtId="177" fontId="152" fillId="0" borderId="14" xfId="0" applyNumberFormat="1" applyFont="1" applyBorder="1"/>
    <xf numFmtId="177" fontId="152" fillId="0" borderId="15" xfId="0" applyNumberFormat="1" applyFont="1" applyBorder="1"/>
    <xf numFmtId="177" fontId="156" fillId="0" borderId="18" xfId="0" applyNumberFormat="1" applyFont="1" applyBorder="1"/>
    <xf numFmtId="1" fontId="152" fillId="0" borderId="16" xfId="0" applyNumberFormat="1" applyFont="1" applyBorder="1" applyAlignment="1">
      <alignment horizontal="right"/>
    </xf>
    <xf numFmtId="2" fontId="157" fillId="0" borderId="16" xfId="1" applyNumberFormat="1" applyFont="1" applyFill="1" applyBorder="1" applyAlignment="1" applyProtection="1">
      <alignment horizontal="right"/>
    </xf>
    <xf numFmtId="2" fontId="157" fillId="2" borderId="17" xfId="1" applyNumberFormat="1" applyFont="1" applyFill="1" applyBorder="1" applyAlignment="1" applyProtection="1">
      <protection locked="0"/>
    </xf>
    <xf numFmtId="1" fontId="152" fillId="0" borderId="0" xfId="0" applyNumberFormat="1" applyFont="1" applyAlignment="1">
      <alignment horizontal="left"/>
    </xf>
    <xf numFmtId="177" fontId="152" fillId="0" borderId="0" xfId="0" applyNumberFormat="1" applyFont="1" applyAlignment="1">
      <alignment horizontal="right"/>
    </xf>
    <xf numFmtId="177" fontId="157" fillId="2" borderId="25" xfId="1" applyNumberFormat="1" applyFont="1" applyFill="1" applyBorder="1" applyAlignment="1" applyProtection="1">
      <protection locked="0"/>
    </xf>
    <xf numFmtId="177" fontId="152" fillId="0" borderId="0" xfId="0" applyNumberFormat="1" applyFont="1" applyFill="1" applyBorder="1" applyProtection="1"/>
    <xf numFmtId="177" fontId="156" fillId="0" borderId="11" xfId="0" applyNumberFormat="1" applyFont="1" applyBorder="1"/>
    <xf numFmtId="1" fontId="152" fillId="0" borderId="0" xfId="0" applyNumberFormat="1" applyFont="1"/>
    <xf numFmtId="1" fontId="152" fillId="0" borderId="0" xfId="0" applyNumberFormat="1" applyFont="1" applyAlignment="1">
      <alignment horizontal="right"/>
    </xf>
    <xf numFmtId="1" fontId="152" fillId="2" borderId="12" xfId="12" applyNumberFormat="1" applyFont="1" applyFill="1" applyBorder="1" applyAlignment="1" applyProtection="1">
      <alignment horizontal="left" vertical="center"/>
      <protection locked="0"/>
    </xf>
    <xf numFmtId="177" fontId="152" fillId="0" borderId="0" xfId="0" applyNumberFormat="1" applyFont="1" applyFill="1" applyAlignment="1" applyProtection="1">
      <alignment horizontal="right"/>
    </xf>
    <xf numFmtId="177" fontId="152" fillId="0" borderId="0" xfId="0" applyNumberFormat="1" applyFont="1" applyFill="1" applyBorder="1" applyAlignment="1" applyProtection="1">
      <alignment horizontal="center"/>
    </xf>
    <xf numFmtId="177" fontId="157" fillId="0" borderId="0" xfId="1" applyNumberFormat="1" applyFont="1" applyFill="1" applyBorder="1" applyAlignment="1" applyProtection="1"/>
    <xf numFmtId="1" fontId="152" fillId="0" borderId="0" xfId="0" applyNumberFormat="1" applyFont="1" applyBorder="1" applyAlignment="1">
      <alignment horizontal="right"/>
    </xf>
    <xf numFmtId="2" fontId="157" fillId="0" borderId="0" xfId="1" applyNumberFormat="1" applyFont="1" applyFill="1" applyBorder="1" applyAlignment="1" applyProtection="1"/>
    <xf numFmtId="2" fontId="152" fillId="2" borderId="12" xfId="12" applyNumberFormat="1" applyFont="1" applyFill="1" applyBorder="1" applyAlignment="1" applyProtection="1">
      <alignment vertical="center"/>
      <protection locked="0"/>
    </xf>
    <xf numFmtId="0" fontId="158" fillId="0" borderId="0" xfId="12" applyFont="1" applyAlignment="1" applyProtection="1">
      <alignment vertical="center"/>
    </xf>
    <xf numFmtId="2" fontId="152" fillId="2" borderId="12" xfId="0" applyNumberFormat="1" applyFont="1" applyFill="1" applyBorder="1" applyProtection="1">
      <protection locked="0"/>
    </xf>
    <xf numFmtId="1" fontId="152" fillId="29" borderId="0" xfId="0" applyNumberFormat="1" applyFont="1" applyFill="1" applyBorder="1" applyAlignment="1">
      <alignment horizontal="left"/>
    </xf>
    <xf numFmtId="177" fontId="152" fillId="0" borderId="11" xfId="0" applyNumberFormat="1" applyFont="1" applyFill="1" applyBorder="1" applyProtection="1"/>
    <xf numFmtId="2" fontId="152" fillId="0" borderId="0" xfId="0" applyNumberFormat="1" applyFont="1" applyFill="1" applyBorder="1" applyProtection="1"/>
    <xf numFmtId="2" fontId="152" fillId="0" borderId="12" xfId="0" applyNumberFormat="1" applyFont="1" applyFill="1" applyBorder="1" applyProtection="1"/>
    <xf numFmtId="177" fontId="152" fillId="0" borderId="0" xfId="0" applyNumberFormat="1" applyFont="1" applyFill="1" applyProtection="1"/>
    <xf numFmtId="1" fontId="152" fillId="0" borderId="0" xfId="0" applyNumberFormat="1" applyFont="1" applyFill="1" applyProtection="1"/>
    <xf numFmtId="177" fontId="152" fillId="0" borderId="11" xfId="0" applyNumberFormat="1" applyFont="1" applyBorder="1"/>
    <xf numFmtId="1" fontId="157" fillId="2" borderId="0" xfId="1" applyNumberFormat="1" applyFont="1" applyFill="1" applyBorder="1" applyAlignment="1" applyProtection="1">
      <protection locked="0"/>
    </xf>
    <xf numFmtId="2" fontId="152" fillId="0" borderId="0" xfId="0" applyNumberFormat="1" applyFont="1" applyBorder="1" applyProtection="1"/>
    <xf numFmtId="177" fontId="152" fillId="0" borderId="0" xfId="0" applyNumberFormat="1" applyFont="1" applyProtection="1">
      <protection locked="0"/>
    </xf>
    <xf numFmtId="1" fontId="152" fillId="2" borderId="0" xfId="0" applyNumberFormat="1" applyFont="1" applyFill="1" applyBorder="1" applyAlignment="1" applyProtection="1">
      <protection locked="0"/>
    </xf>
    <xf numFmtId="2" fontId="152" fillId="0" borderId="12" xfId="0" applyNumberFormat="1" applyFont="1" applyBorder="1"/>
    <xf numFmtId="1" fontId="152" fillId="0" borderId="12" xfId="0" applyNumberFormat="1" applyFont="1" applyBorder="1"/>
    <xf numFmtId="194" fontId="152" fillId="2" borderId="0" xfId="0" applyNumberFormat="1" applyFont="1" applyFill="1" applyBorder="1" applyAlignment="1" applyProtection="1">
      <protection locked="0"/>
    </xf>
    <xf numFmtId="1" fontId="152" fillId="0" borderId="14" xfId="0" applyNumberFormat="1" applyFont="1" applyFill="1" applyBorder="1" applyAlignment="1" applyProtection="1">
      <alignment horizontal="right"/>
    </xf>
    <xf numFmtId="1" fontId="152" fillId="2" borderId="14" xfId="0" applyNumberFormat="1" applyFont="1" applyFill="1" applyBorder="1" applyAlignment="1" applyProtection="1">
      <alignment horizontal="right"/>
      <protection locked="0"/>
    </xf>
    <xf numFmtId="1" fontId="157" fillId="2" borderId="14" xfId="1" applyNumberFormat="1" applyFont="1" applyFill="1" applyBorder="1" applyAlignment="1" applyProtection="1">
      <protection locked="0"/>
    </xf>
    <xf numFmtId="2" fontId="152" fillId="0" borderId="14" xfId="0" applyNumberFormat="1" applyFont="1" applyBorder="1"/>
    <xf numFmtId="2" fontId="152" fillId="0" borderId="15" xfId="0" applyNumberFormat="1" applyFont="1" applyBorder="1" applyAlignment="1">
      <alignment horizontal="right"/>
    </xf>
    <xf numFmtId="1" fontId="152" fillId="0" borderId="0" xfId="0" applyNumberFormat="1" applyFont="1" applyFill="1" applyBorder="1" applyAlignment="1" applyProtection="1">
      <alignment horizontal="right"/>
    </xf>
    <xf numFmtId="2" fontId="152" fillId="0" borderId="0" xfId="0" applyNumberFormat="1" applyFont="1" applyBorder="1"/>
    <xf numFmtId="2" fontId="152" fillId="0" borderId="0" xfId="0" applyNumberFormat="1" applyFont="1" applyBorder="1" applyAlignment="1">
      <alignment horizontal="right"/>
    </xf>
    <xf numFmtId="1" fontId="152" fillId="0" borderId="16" xfId="0" applyNumberFormat="1" applyFont="1" applyBorder="1"/>
    <xf numFmtId="177" fontId="152" fillId="0" borderId="16" xfId="0" applyNumberFormat="1" applyFont="1" applyFill="1" applyBorder="1" applyAlignment="1" applyProtection="1"/>
    <xf numFmtId="177" fontId="152" fillId="0" borderId="16" xfId="0" applyNumberFormat="1" applyFont="1" applyFill="1" applyBorder="1" applyProtection="1"/>
    <xf numFmtId="177" fontId="152" fillId="0" borderId="17" xfId="0" applyNumberFormat="1" applyFont="1" applyFill="1" applyBorder="1" applyProtection="1"/>
    <xf numFmtId="177" fontId="157" fillId="2" borderId="0" xfId="1" applyNumberFormat="1" applyFont="1" applyFill="1" applyBorder="1" applyAlignment="1" applyProtection="1">
      <protection locked="0"/>
    </xf>
    <xf numFmtId="177" fontId="152" fillId="0" borderId="0" xfId="0" applyNumberFormat="1" applyFont="1" applyBorder="1" applyProtection="1"/>
    <xf numFmtId="177" fontId="152" fillId="0" borderId="0" xfId="0" applyNumberFormat="1" applyFont="1" applyBorder="1"/>
    <xf numFmtId="177" fontId="152" fillId="0" borderId="12" xfId="0" applyNumberFormat="1" applyFont="1" applyBorder="1"/>
    <xf numFmtId="177" fontId="152" fillId="2" borderId="0" xfId="0" applyNumberFormat="1" applyFont="1" applyFill="1" applyBorder="1" applyAlignment="1" applyProtection="1">
      <alignment horizontal="right"/>
      <protection locked="0"/>
    </xf>
    <xf numFmtId="178" fontId="152" fillId="0" borderId="0" xfId="0" applyNumberFormat="1" applyFont="1" applyBorder="1"/>
    <xf numFmtId="177" fontId="152" fillId="0" borderId="0" xfId="0" applyNumberFormat="1" applyFont="1" applyBorder="1" applyAlignment="1">
      <alignment horizontal="right"/>
    </xf>
    <xf numFmtId="1" fontId="152" fillId="0" borderId="2" xfId="19" applyNumberFormat="1" applyFont="1" applyBorder="1" applyAlignment="1">
      <alignment wrapText="1"/>
    </xf>
    <xf numFmtId="1" fontId="152" fillId="0" borderId="2" xfId="19" applyNumberFormat="1" applyFont="1" applyBorder="1"/>
    <xf numFmtId="1" fontId="152" fillId="0" borderId="93" xfId="19" applyNumberFormat="1" applyFont="1" applyBorder="1"/>
    <xf numFmtId="177" fontId="152" fillId="0" borderId="11" xfId="0" applyNumberFormat="1" applyFont="1" applyBorder="1" applyAlignment="1">
      <alignment horizontal="right"/>
    </xf>
    <xf numFmtId="177" fontId="152" fillId="2" borderId="3" xfId="0" applyNumberFormat="1" applyFont="1" applyFill="1" applyBorder="1" applyAlignment="1" applyProtection="1">
      <protection locked="0"/>
    </xf>
    <xf numFmtId="177" fontId="152" fillId="2" borderId="29" xfId="0" applyNumberFormat="1" applyFont="1" applyFill="1" applyBorder="1" applyAlignment="1" applyProtection="1">
      <protection locked="0"/>
    </xf>
    <xf numFmtId="177" fontId="152" fillId="0" borderId="13" xfId="0" applyNumberFormat="1" applyFont="1" applyBorder="1" applyAlignment="1">
      <alignment horizontal="right"/>
    </xf>
    <xf numFmtId="181" fontId="152" fillId="0" borderId="35" xfId="0" applyNumberFormat="1" applyFont="1" applyBorder="1" applyAlignment="1">
      <alignment horizontal="right"/>
    </xf>
    <xf numFmtId="177" fontId="152" fillId="0" borderId="35" xfId="0" applyNumberFormat="1" applyFont="1" applyBorder="1" applyAlignment="1">
      <alignment horizontal="right"/>
    </xf>
    <xf numFmtId="177" fontId="152" fillId="0" borderId="36" xfId="0" applyNumberFormat="1" applyFont="1" applyBorder="1" applyAlignment="1">
      <alignment horizontal="right"/>
    </xf>
    <xf numFmtId="1" fontId="152" fillId="0" borderId="0" xfId="19" applyNumberFormat="1" applyFont="1"/>
    <xf numFmtId="1" fontId="152" fillId="0" borderId="16" xfId="19" applyNumberFormat="1" applyFont="1" applyBorder="1"/>
    <xf numFmtId="1" fontId="152" fillId="0" borderId="17" xfId="19" applyNumberFormat="1" applyFont="1" applyBorder="1"/>
    <xf numFmtId="1" fontId="152" fillId="0" borderId="14" xfId="0" applyNumberFormat="1" applyFont="1" applyBorder="1" applyAlignment="1">
      <alignment horizontal="right"/>
    </xf>
    <xf numFmtId="1" fontId="152" fillId="2" borderId="14" xfId="19" applyNumberFormat="1" applyFont="1" applyFill="1" applyBorder="1" applyAlignment="1" applyProtection="1">
      <protection locked="0"/>
    </xf>
    <xf numFmtId="1" fontId="152" fillId="0" borderId="14" xfId="19" applyNumberFormat="1" applyFont="1" applyFill="1" applyBorder="1" applyAlignment="1" applyProtection="1"/>
    <xf numFmtId="1" fontId="152" fillId="0" borderId="14" xfId="19" applyNumberFormat="1" applyFont="1" applyBorder="1"/>
    <xf numFmtId="177" fontId="152" fillId="0" borderId="14" xfId="0" applyNumberFormat="1" applyFont="1" applyBorder="1" applyAlignment="1">
      <alignment horizontal="right"/>
    </xf>
    <xf numFmtId="181" fontId="157" fillId="7" borderId="14" xfId="1" applyNumberFormat="1" applyFont="1" applyFill="1" applyBorder="1" applyAlignment="1" applyProtection="1">
      <alignment vertical="center"/>
    </xf>
    <xf numFmtId="177" fontId="157" fillId="0" borderId="14" xfId="1" applyNumberFormat="1" applyFont="1" applyBorder="1" applyAlignment="1">
      <alignment horizontal="right" vertical="center"/>
    </xf>
    <xf numFmtId="2" fontId="152" fillId="7" borderId="0" xfId="0" applyNumberFormat="1" applyFont="1" applyFill="1" applyBorder="1" applyAlignment="1" applyProtection="1"/>
    <xf numFmtId="1" fontId="152" fillId="0" borderId="15" xfId="19" applyNumberFormat="1" applyFont="1" applyBorder="1"/>
    <xf numFmtId="1" fontId="152" fillId="0" borderId="0" xfId="19" applyNumberFormat="1" applyFont="1" applyFill="1" applyAlignment="1" applyProtection="1"/>
    <xf numFmtId="177" fontId="157" fillId="0" borderId="0" xfId="1" applyNumberFormat="1" applyFont="1" applyFill="1" applyBorder="1" applyAlignment="1" applyProtection="1">
      <alignment vertical="center"/>
    </xf>
    <xf numFmtId="177" fontId="157" fillId="0" borderId="0" xfId="1" applyNumberFormat="1" applyFont="1" applyFill="1" applyBorder="1" applyAlignment="1" applyProtection="1">
      <alignment horizontal="right" vertical="center"/>
    </xf>
    <xf numFmtId="1" fontId="152" fillId="0" borderId="0" xfId="19" applyNumberFormat="1" applyFont="1" applyFill="1" applyProtection="1"/>
    <xf numFmtId="181" fontId="157" fillId="0" borderId="0" xfId="1" applyNumberFormat="1" applyFont="1" applyFill="1" applyBorder="1" applyAlignment="1" applyProtection="1">
      <alignment vertical="center"/>
    </xf>
    <xf numFmtId="177" fontId="159" fillId="0" borderId="18" xfId="0" applyNumberFormat="1" applyFont="1" applyBorder="1" applyAlignment="1">
      <alignment horizontal="left" vertical="center"/>
    </xf>
    <xf numFmtId="191" fontId="157" fillId="2" borderId="0" xfId="1" applyNumberFormat="1" applyFont="1" applyFill="1" applyBorder="1" applyAlignment="1" applyProtection="1">
      <protection locked="0"/>
    </xf>
    <xf numFmtId="194" fontId="152" fillId="7" borderId="0" xfId="0" applyNumberFormat="1" applyFont="1" applyFill="1" applyBorder="1" applyAlignment="1" applyProtection="1"/>
    <xf numFmtId="177" fontId="152" fillId="0" borderId="0" xfId="0" applyNumberFormat="1" applyFont="1" applyBorder="1" applyAlignment="1">
      <alignment horizontal="left"/>
    </xf>
    <xf numFmtId="177" fontId="152" fillId="0" borderId="12" xfId="0" applyNumberFormat="1" applyFont="1" applyFill="1" applyBorder="1" applyProtection="1"/>
    <xf numFmtId="1" fontId="152" fillId="7" borderId="0" xfId="0" applyNumberFormat="1" applyFont="1" applyFill="1" applyBorder="1" applyAlignment="1" applyProtection="1"/>
    <xf numFmtId="177" fontId="152" fillId="0" borderId="0" xfId="0" applyNumberFormat="1" applyFont="1" applyFill="1" applyAlignment="1" applyProtection="1">
      <alignment horizontal="center"/>
    </xf>
    <xf numFmtId="1" fontId="152" fillId="0" borderId="0" xfId="0" applyNumberFormat="1" applyFont="1" applyBorder="1"/>
    <xf numFmtId="177" fontId="156" fillId="0" borderId="18" xfId="0" applyNumberFormat="1" applyFont="1" applyBorder="1" applyAlignment="1">
      <alignment vertical="center"/>
    </xf>
    <xf numFmtId="1" fontId="157" fillId="0" borderId="0" xfId="4" applyNumberFormat="1" applyFont="1" applyFill="1" applyBorder="1" applyAlignment="1">
      <alignment horizontal="right" vertical="center"/>
    </xf>
    <xf numFmtId="1" fontId="152" fillId="7" borderId="0" xfId="0" applyNumberFormat="1" applyFont="1" applyFill="1" applyBorder="1" applyAlignment="1" applyProtection="1">
      <alignment horizontal="right"/>
    </xf>
    <xf numFmtId="1" fontId="152" fillId="0" borderId="0" xfId="0" applyNumberFormat="1" applyFont="1" applyBorder="1" applyAlignment="1">
      <alignment horizontal="left"/>
    </xf>
    <xf numFmtId="1" fontId="152" fillId="0" borderId="12" xfId="0" applyNumberFormat="1" applyFont="1" applyBorder="1" applyAlignment="1">
      <alignment horizontal="left"/>
    </xf>
    <xf numFmtId="197" fontId="152" fillId="0" borderId="0" xfId="0" applyNumberFormat="1" applyFont="1"/>
    <xf numFmtId="1" fontId="152" fillId="7" borderId="0" xfId="0" applyNumberFormat="1" applyFont="1" applyFill="1" applyBorder="1"/>
    <xf numFmtId="177" fontId="151" fillId="0" borderId="0" xfId="1" applyNumberFormat="1" applyFont="1" applyBorder="1" applyAlignment="1" applyProtection="1">
      <alignment horizontal="right" vertical="center"/>
    </xf>
    <xf numFmtId="177" fontId="152" fillId="0" borderId="12" xfId="0" applyNumberFormat="1" applyFont="1" applyBorder="1" applyAlignment="1">
      <alignment horizontal="left"/>
    </xf>
    <xf numFmtId="1" fontId="152" fillId="0" borderId="0" xfId="0" applyNumberFormat="1" applyFont="1" applyFill="1" applyBorder="1" applyAlignment="1" applyProtection="1"/>
    <xf numFmtId="1" fontId="157" fillId="0" borderId="0" xfId="4" applyNumberFormat="1" applyFont="1" applyFill="1" applyBorder="1" applyAlignment="1">
      <alignment horizontal="right" vertical="center" wrapText="1"/>
    </xf>
    <xf numFmtId="1" fontId="152" fillId="0" borderId="0" xfId="19" applyNumberFormat="1" applyFont="1" applyFill="1" applyBorder="1" applyProtection="1"/>
    <xf numFmtId="1" fontId="152" fillId="0" borderId="0" xfId="0" applyNumberFormat="1" applyFont="1" applyFill="1" applyBorder="1" applyAlignment="1">
      <alignment horizontal="left"/>
    </xf>
    <xf numFmtId="1" fontId="152" fillId="7" borderId="0" xfId="0" applyNumberFormat="1" applyFont="1" applyFill="1" applyBorder="1" applyProtection="1"/>
    <xf numFmtId="1" fontId="152" fillId="0" borderId="0" xfId="19" applyNumberFormat="1" applyFont="1" applyBorder="1" applyAlignment="1">
      <alignment horizontal="right"/>
    </xf>
    <xf numFmtId="177" fontId="152" fillId="0" borderId="0" xfId="0" applyNumberFormat="1" applyFont="1" applyFill="1" applyBorder="1" applyAlignment="1" applyProtection="1"/>
    <xf numFmtId="177" fontId="152" fillId="0" borderId="0" xfId="0" applyNumberFormat="1" applyFont="1" applyFill="1" applyAlignment="1">
      <alignment horizontal="left"/>
    </xf>
    <xf numFmtId="177" fontId="152" fillId="0" borderId="0" xfId="0" applyNumberFormat="1" applyFont="1" applyAlignment="1">
      <alignment horizontal="left"/>
    </xf>
    <xf numFmtId="1" fontId="157" fillId="0" borderId="14" xfId="4" applyNumberFormat="1" applyFont="1" applyFill="1" applyBorder="1" applyAlignment="1">
      <alignment horizontal="right" vertical="center" wrapText="1"/>
    </xf>
    <xf numFmtId="1" fontId="152" fillId="0" borderId="14" xfId="19" applyNumberFormat="1" applyFont="1" applyBorder="1" applyAlignment="1">
      <alignment horizontal="right"/>
    </xf>
    <xf numFmtId="177" fontId="152" fillId="0" borderId="14" xfId="0" applyNumberFormat="1" applyFont="1" applyFill="1" applyBorder="1" applyAlignment="1" applyProtection="1"/>
    <xf numFmtId="177" fontId="152" fillId="0" borderId="14" xfId="0" applyNumberFormat="1" applyFont="1" applyFill="1" applyBorder="1" applyProtection="1"/>
    <xf numFmtId="177" fontId="157" fillId="0" borderId="0" xfId="1" applyNumberFormat="1" applyFont="1" applyAlignment="1"/>
    <xf numFmtId="177" fontId="157" fillId="0" borderId="0" xfId="1" applyNumberFormat="1" applyFont="1"/>
    <xf numFmtId="1" fontId="157" fillId="0" borderId="0" xfId="1" applyNumberFormat="1" applyFont="1"/>
    <xf numFmtId="177" fontId="158" fillId="0" borderId="0" xfId="0" applyNumberFormat="1" applyFont="1"/>
    <xf numFmtId="177" fontId="157" fillId="2" borderId="0" xfId="1" applyNumberFormat="1" applyFont="1" applyFill="1" applyAlignment="1" applyProtection="1">
      <protection locked="0"/>
    </xf>
    <xf numFmtId="2" fontId="152" fillId="0" borderId="0" xfId="0" applyNumberFormat="1" applyFont="1"/>
    <xf numFmtId="2" fontId="157" fillId="0" borderId="0" xfId="1" applyNumberFormat="1" applyFont="1" applyProtection="1"/>
    <xf numFmtId="178" fontId="152" fillId="0" borderId="0" xfId="0" applyNumberFormat="1" applyFont="1" applyFill="1" applyAlignment="1" applyProtection="1"/>
    <xf numFmtId="177" fontId="157" fillId="0" borderId="0" xfId="1" applyNumberFormat="1" applyFont="1" applyAlignment="1">
      <alignment horizontal="right"/>
    </xf>
    <xf numFmtId="190" fontId="157" fillId="0" borderId="0" xfId="1" quotePrefix="1" applyNumberFormat="1" applyFont="1"/>
    <xf numFmtId="1" fontId="152" fillId="4" borderId="14" xfId="1" applyNumberFormat="1" applyFont="1" applyFill="1" applyBorder="1" applyAlignment="1" applyProtection="1">
      <alignment horizontal="left"/>
      <protection locked="0"/>
    </xf>
    <xf numFmtId="1" fontId="152" fillId="4" borderId="0" xfId="0" applyNumberFormat="1" applyFont="1" applyFill="1" applyAlignment="1" applyProtection="1">
      <alignment horizontal="left"/>
      <protection locked="0"/>
    </xf>
    <xf numFmtId="0" fontId="34" fillId="0" borderId="44" xfId="0" applyFont="1" applyBorder="1"/>
    <xf numFmtId="0" fontId="28" fillId="0" borderId="14" xfId="0" applyFont="1" applyFill="1" applyBorder="1" applyAlignment="1">
      <alignment horizontal="right"/>
    </xf>
    <xf numFmtId="0" fontId="147" fillId="0" borderId="17" xfId="0" applyFont="1" applyBorder="1" applyAlignment="1">
      <alignment horizontal="center" vertical="center"/>
    </xf>
    <xf numFmtId="0" fontId="0" fillId="0" borderId="11" xfId="0" applyBorder="1"/>
    <xf numFmtId="0" fontId="0" fillId="0" borderId="12" xfId="0" applyBorder="1"/>
    <xf numFmtId="182" fontId="34" fillId="0" borderId="0" xfId="0" applyNumberFormat="1" applyFont="1" applyBorder="1"/>
    <xf numFmtId="0" fontId="34" fillId="0" borderId="23" xfId="0" applyFont="1" applyBorder="1" applyAlignment="1">
      <alignment horizontal="right"/>
    </xf>
    <xf numFmtId="0" fontId="34" fillId="0" borderId="18" xfId="0" applyFont="1" applyBorder="1"/>
    <xf numFmtId="0" fontId="34" fillId="0" borderId="20" xfId="0" applyFont="1" applyBorder="1"/>
    <xf numFmtId="0" fontId="34" fillId="0" borderId="1" xfId="0" applyFont="1" applyBorder="1"/>
    <xf numFmtId="1" fontId="34" fillId="7" borderId="1" xfId="0" applyNumberFormat="1" applyFont="1" applyFill="1" applyBorder="1"/>
    <xf numFmtId="1" fontId="29" fillId="0" borderId="0" xfId="19" applyNumberFormat="1" applyFont="1" applyAlignment="1"/>
    <xf numFmtId="1" fontId="33" fillId="0" borderId="25" xfId="29" applyNumberFormat="1" applyFont="1" applyFill="1" applyBorder="1"/>
    <xf numFmtId="1" fontId="33" fillId="0" borderId="16" xfId="24" applyNumberFormat="1" applyFont="1" applyFill="1" applyBorder="1"/>
    <xf numFmtId="1" fontId="33" fillId="0" borderId="17" xfId="24" applyNumberFormat="1" applyFont="1" applyFill="1" applyBorder="1"/>
    <xf numFmtId="1" fontId="33" fillId="0" borderId="11" xfId="29" applyNumberFormat="1" applyFont="1" applyFill="1" applyBorder="1"/>
    <xf numFmtId="1" fontId="33" fillId="0" borderId="0" xfId="24" applyNumberFormat="1" applyFont="1" applyFill="1" applyBorder="1"/>
    <xf numFmtId="1" fontId="33" fillId="0" borderId="12" xfId="24" applyNumberFormat="1" applyFont="1" applyFill="1" applyBorder="1"/>
    <xf numFmtId="1" fontId="33" fillId="0" borderId="37" xfId="24" applyNumberFormat="1" applyFont="1" applyFill="1" applyBorder="1"/>
    <xf numFmtId="2" fontId="33" fillId="0" borderId="38" xfId="24" applyNumberFormat="1" applyFont="1" applyFill="1" applyBorder="1"/>
    <xf numFmtId="1" fontId="33" fillId="0" borderId="38" xfId="24" applyNumberFormat="1" applyFont="1" applyFill="1" applyBorder="1"/>
    <xf numFmtId="1" fontId="33" fillId="0" borderId="39" xfId="24" applyNumberFormat="1" applyFont="1" applyFill="1" applyBorder="1"/>
    <xf numFmtId="2" fontId="33" fillId="0" borderId="0" xfId="24" applyNumberFormat="1" applyFont="1" applyFill="1" applyBorder="1"/>
    <xf numFmtId="1" fontId="33" fillId="0" borderId="11" xfId="24" applyNumberFormat="1" applyFont="1" applyFill="1" applyBorder="1"/>
    <xf numFmtId="0" fontId="33" fillId="0" borderId="37" xfId="24" applyFont="1" applyFill="1" applyBorder="1"/>
    <xf numFmtId="0" fontId="33" fillId="0" borderId="38" xfId="24" applyFont="1" applyFill="1" applyBorder="1"/>
    <xf numFmtId="0" fontId="33" fillId="0" borderId="39" xfId="24" applyFont="1" applyFill="1" applyBorder="1"/>
    <xf numFmtId="0" fontId="33" fillId="0" borderId="11" xfId="24" applyFont="1" applyFill="1" applyBorder="1"/>
    <xf numFmtId="0" fontId="33" fillId="0" borderId="0" xfId="24" applyFont="1" applyFill="1" applyBorder="1"/>
    <xf numFmtId="0" fontId="33" fillId="0" borderId="12" xfId="24" applyFont="1" applyFill="1" applyBorder="1"/>
    <xf numFmtId="2" fontId="33" fillId="0" borderId="38" xfId="24" applyNumberFormat="1" applyFont="1" applyFill="1" applyBorder="1" applyAlignment="1">
      <alignment horizontal="right"/>
    </xf>
    <xf numFmtId="1" fontId="33" fillId="0" borderId="38" xfId="24" applyNumberFormat="1" applyFont="1" applyFill="1" applyBorder="1" applyAlignment="1">
      <alignment horizontal="center"/>
    </xf>
    <xf numFmtId="1" fontId="33" fillId="0" borderId="39" xfId="24" applyNumberFormat="1" applyFont="1" applyFill="1" applyBorder="1" applyAlignment="1">
      <alignment horizontal="right"/>
    </xf>
    <xf numFmtId="1" fontId="33" fillId="0" borderId="0" xfId="24" applyNumberFormat="1" applyFont="1" applyFill="1" applyBorder="1" applyAlignment="1">
      <alignment horizontal="right"/>
    </xf>
    <xf numFmtId="1" fontId="33" fillId="0" borderId="38" xfId="24" applyNumberFormat="1" applyFont="1" applyFill="1" applyBorder="1" applyAlignment="1">
      <alignment horizontal="right"/>
    </xf>
    <xf numFmtId="0" fontId="33" fillId="0" borderId="39" xfId="29" applyFont="1" applyFill="1" applyBorder="1"/>
    <xf numFmtId="0" fontId="33" fillId="0" borderId="37" xfId="29" applyFont="1" applyFill="1" applyBorder="1"/>
    <xf numFmtId="2" fontId="33" fillId="0" borderId="38" xfId="29" applyNumberFormat="1" applyFont="1" applyFill="1" applyBorder="1"/>
    <xf numFmtId="0" fontId="33" fillId="0" borderId="38" xfId="29" applyFont="1" applyFill="1" applyBorder="1"/>
    <xf numFmtId="1" fontId="33" fillId="0" borderId="38" xfId="29" applyNumberFormat="1" applyFont="1" applyFill="1" applyBorder="1"/>
    <xf numFmtId="2" fontId="64" fillId="0" borderId="38" xfId="29" applyNumberFormat="1" applyFont="1" applyFill="1" applyBorder="1" applyAlignment="1">
      <alignment horizontal="right" vertical="center"/>
    </xf>
    <xf numFmtId="0" fontId="118" fillId="0" borderId="38" xfId="29" applyNumberFormat="1" applyFont="1" applyFill="1" applyBorder="1" applyAlignment="1">
      <alignment horizontal="center" vertical="center"/>
    </xf>
    <xf numFmtId="1" fontId="33" fillId="0" borderId="38" xfId="30" applyNumberFormat="1" applyFont="1" applyFill="1" applyBorder="1" applyAlignment="1">
      <alignment horizontal="right" vertical="center"/>
    </xf>
    <xf numFmtId="1" fontId="33" fillId="0" borderId="38" xfId="29" applyNumberFormat="1" applyFont="1" applyFill="1" applyBorder="1" applyAlignment="1">
      <alignment horizontal="right"/>
    </xf>
    <xf numFmtId="1" fontId="33" fillId="0" borderId="39" xfId="29" applyNumberFormat="1" applyFont="1" applyFill="1" applyBorder="1" applyAlignment="1">
      <alignment horizontal="right"/>
    </xf>
    <xf numFmtId="0" fontId="93" fillId="0" borderId="14" xfId="29" applyFont="1" applyFill="1" applyBorder="1" applyAlignment="1">
      <alignment horizontal="center" vertical="center"/>
    </xf>
    <xf numFmtId="1" fontId="33" fillId="0" borderId="14" xfId="30" applyNumberFormat="1" applyFont="1" applyFill="1" applyBorder="1" applyAlignment="1">
      <alignment horizontal="right"/>
    </xf>
    <xf numFmtId="1" fontId="93" fillId="0" borderId="14" xfId="0" applyNumberFormat="1" applyFont="1" applyFill="1" applyBorder="1" applyAlignment="1">
      <alignment horizontal="center"/>
    </xf>
    <xf numFmtId="1" fontId="33" fillId="0" borderId="14" xfId="30" applyNumberFormat="1" applyFont="1" applyFill="1" applyBorder="1" applyAlignment="1">
      <alignment horizontal="right" vertical="center"/>
    </xf>
    <xf numFmtId="1" fontId="93" fillId="0" borderId="14" xfId="29" applyNumberFormat="1" applyFont="1" applyFill="1" applyBorder="1" applyAlignment="1">
      <alignment horizontal="center" vertical="center"/>
    </xf>
    <xf numFmtId="1" fontId="33" fillId="0" borderId="15" xfId="29" applyNumberFormat="1" applyFont="1" applyFill="1" applyBorder="1" applyAlignment="1">
      <alignment horizontal="left" vertical="center"/>
    </xf>
    <xf numFmtId="0" fontId="33" fillId="0" borderId="25" xfId="29" applyFont="1" applyFill="1" applyBorder="1" applyAlignment="1">
      <alignment horizontal="center" vertical="center" wrapText="1"/>
    </xf>
    <xf numFmtId="2" fontId="33" fillId="0" borderId="16" xfId="29" applyNumberFormat="1" applyFont="1" applyFill="1" applyBorder="1" applyAlignment="1">
      <alignment horizontal="center" vertical="center" wrapText="1"/>
    </xf>
    <xf numFmtId="0" fontId="33" fillId="0" borderId="16" xfId="29" applyFont="1" applyFill="1" applyBorder="1" applyAlignment="1">
      <alignment horizontal="center" vertical="center" wrapText="1"/>
    </xf>
    <xf numFmtId="1" fontId="33" fillId="0" borderId="16" xfId="29" applyNumberFormat="1" applyFont="1" applyFill="1" applyBorder="1" applyAlignment="1">
      <alignment horizontal="center" vertical="center" wrapText="1"/>
    </xf>
    <xf numFmtId="0" fontId="33" fillId="0" borderId="17" xfId="29" applyFont="1" applyFill="1" applyBorder="1" applyAlignment="1">
      <alignment horizontal="center" vertical="center" wrapText="1"/>
    </xf>
    <xf numFmtId="0" fontId="33" fillId="0" borderId="11" xfId="29" applyFont="1" applyFill="1" applyBorder="1" applyAlignment="1">
      <alignment horizontal="center" vertical="center" wrapText="1"/>
    </xf>
    <xf numFmtId="2" fontId="33" fillId="0" borderId="0" xfId="29" applyNumberFormat="1" applyFont="1" applyFill="1" applyBorder="1" applyAlignment="1">
      <alignment horizontal="center" vertical="center" wrapText="1"/>
    </xf>
    <xf numFmtId="0" fontId="33" fillId="0" borderId="0" xfId="29" applyFont="1" applyFill="1" applyBorder="1" applyAlignment="1">
      <alignment horizontal="center" vertical="center" wrapText="1"/>
    </xf>
    <xf numFmtId="1" fontId="33" fillId="0" borderId="0" xfId="29" applyNumberFormat="1" applyFont="1" applyFill="1" applyBorder="1" applyAlignment="1">
      <alignment horizontal="center" vertical="center" wrapText="1"/>
    </xf>
    <xf numFmtId="0" fontId="33" fillId="0" borderId="12" xfId="29" applyFont="1" applyFill="1" applyBorder="1" applyAlignment="1">
      <alignment horizontal="center" vertical="center" wrapText="1"/>
    </xf>
    <xf numFmtId="0" fontId="33" fillId="0" borderId="13" xfId="29" applyFont="1" applyFill="1" applyBorder="1" applyAlignment="1">
      <alignment horizontal="center" vertical="center" wrapText="1"/>
    </xf>
    <xf numFmtId="2" fontId="33" fillId="0" borderId="14" xfId="29" applyNumberFormat="1" applyFont="1" applyFill="1" applyBorder="1" applyAlignment="1">
      <alignment horizontal="center" vertical="center" wrapText="1"/>
    </xf>
    <xf numFmtId="0" fontId="33" fillId="0" borderId="14" xfId="29" applyFont="1" applyFill="1" applyBorder="1" applyAlignment="1">
      <alignment horizontal="center" vertical="center" wrapText="1"/>
    </xf>
    <xf numFmtId="1" fontId="33" fillId="0" borderId="14" xfId="29" applyNumberFormat="1" applyFont="1" applyFill="1" applyBorder="1" applyAlignment="1">
      <alignment horizontal="center" vertical="center" wrapText="1"/>
    </xf>
    <xf numFmtId="0" fontId="33" fillId="0" borderId="15" xfId="29" applyFont="1" applyFill="1" applyBorder="1" applyAlignment="1">
      <alignment horizontal="center" vertical="center" wrapText="1"/>
    </xf>
    <xf numFmtId="0" fontId="33" fillId="0" borderId="37" xfId="29" applyFont="1" applyFill="1" applyBorder="1" applyAlignment="1">
      <alignment horizontal="center" vertical="center" wrapText="1"/>
    </xf>
    <xf numFmtId="2" fontId="33" fillId="0" borderId="38" xfId="29" applyNumberFormat="1" applyFont="1" applyFill="1" applyBorder="1" applyAlignment="1">
      <alignment horizontal="center" vertical="center" wrapText="1"/>
    </xf>
    <xf numFmtId="0" fontId="33" fillId="0" borderId="38" xfId="29" applyFont="1" applyFill="1" applyBorder="1" applyAlignment="1">
      <alignment horizontal="center" vertical="center" wrapText="1"/>
    </xf>
    <xf numFmtId="1" fontId="33" fillId="0" borderId="38" xfId="29" applyNumberFormat="1" applyFont="1" applyFill="1" applyBorder="1" applyAlignment="1">
      <alignment horizontal="center" vertical="center" wrapText="1"/>
    </xf>
    <xf numFmtId="0" fontId="33" fillId="0" borderId="39" xfId="29" applyFont="1" applyFill="1" applyBorder="1" applyAlignment="1">
      <alignment horizontal="center" vertical="center" wrapText="1"/>
    </xf>
    <xf numFmtId="0" fontId="33" fillId="0" borderId="38" xfId="29" applyFont="1" applyFill="1" applyBorder="1" applyAlignment="1">
      <alignment horizontal="right"/>
    </xf>
    <xf numFmtId="0" fontId="33" fillId="0" borderId="39" xfId="29" applyFont="1" applyFill="1" applyBorder="1" applyAlignment="1">
      <alignment horizontal="right"/>
    </xf>
    <xf numFmtId="0" fontId="33" fillId="0" borderId="25" xfId="29" applyFont="1" applyFill="1" applyBorder="1"/>
    <xf numFmtId="2" fontId="33" fillId="0" borderId="16" xfId="29" applyNumberFormat="1" applyFont="1" applyFill="1" applyBorder="1"/>
    <xf numFmtId="0" fontId="33" fillId="0" borderId="16" xfId="29" applyFont="1" applyFill="1" applyBorder="1"/>
    <xf numFmtId="0" fontId="33" fillId="0" borderId="14" xfId="29" applyFont="1" applyFill="1" applyBorder="1"/>
    <xf numFmtId="1" fontId="33" fillId="0" borderId="14" xfId="29" applyNumberFormat="1" applyFont="1" applyFill="1" applyBorder="1"/>
    <xf numFmtId="0" fontId="33" fillId="0" borderId="15" xfId="29" applyFont="1" applyFill="1" applyBorder="1"/>
    <xf numFmtId="0" fontId="33" fillId="0" borderId="13" xfId="29" applyFont="1" applyFill="1" applyBorder="1"/>
    <xf numFmtId="2" fontId="33" fillId="0" borderId="14" xfId="29" applyNumberFormat="1" applyFont="1" applyFill="1" applyBorder="1"/>
    <xf numFmtId="0" fontId="89" fillId="0" borderId="37" xfId="30" applyFont="1" applyFill="1" applyBorder="1" applyAlignment="1">
      <alignment horizontal="left" vertical="center"/>
    </xf>
    <xf numFmtId="194" fontId="89" fillId="0" borderId="13" xfId="30" applyNumberFormat="1" applyFont="1" applyFill="1" applyBorder="1" applyAlignment="1">
      <alignment horizontal="left"/>
    </xf>
    <xf numFmtId="2" fontId="33" fillId="0" borderId="14" xfId="30" applyNumberFormat="1" applyFont="1" applyFill="1" applyBorder="1" applyAlignment="1">
      <alignment horizontal="right"/>
    </xf>
    <xf numFmtId="0" fontId="147" fillId="0" borderId="37" xfId="0" applyFont="1" applyBorder="1" applyAlignment="1"/>
    <xf numFmtId="0" fontId="147" fillId="0" borderId="38" xfId="0" applyFont="1" applyBorder="1" applyAlignment="1"/>
    <xf numFmtId="0" fontId="147" fillId="0" borderId="39" xfId="0" applyFont="1" applyBorder="1" applyAlignment="1"/>
    <xf numFmtId="0" fontId="92" fillId="0" borderId="37" xfId="0" applyFont="1" applyBorder="1" applyAlignment="1"/>
    <xf numFmtId="1" fontId="22" fillId="0" borderId="29" xfId="0" applyNumberFormat="1" applyFont="1" applyBorder="1"/>
    <xf numFmtId="1" fontId="22" fillId="0" borderId="36" xfId="0" applyNumberFormat="1" applyFont="1" applyBorder="1"/>
    <xf numFmtId="1" fontId="89" fillId="18" borderId="25" xfId="30" applyNumberFormat="1" applyFont="1" applyFill="1" applyBorder="1" applyAlignment="1">
      <alignment horizontal="right" vertical="center"/>
    </xf>
    <xf numFmtId="1" fontId="89" fillId="18" borderId="13" xfId="30" applyNumberFormat="1" applyFont="1" applyFill="1" applyBorder="1" applyAlignment="1">
      <alignment horizontal="right" vertical="center"/>
    </xf>
    <xf numFmtId="2" fontId="89" fillId="18" borderId="25" xfId="30" applyNumberFormat="1" applyFont="1" applyFill="1" applyBorder="1" applyAlignment="1">
      <alignment horizontal="right" vertical="center"/>
    </xf>
    <xf numFmtId="2" fontId="89" fillId="18" borderId="11" xfId="30" applyNumberFormat="1" applyFont="1" applyFill="1" applyBorder="1" applyAlignment="1">
      <alignment horizontal="right" vertical="center"/>
    </xf>
    <xf numFmtId="2" fontId="89" fillId="18" borderId="13" xfId="30" applyNumberFormat="1" applyFont="1" applyFill="1" applyBorder="1" applyAlignment="1">
      <alignment horizontal="right" vertical="center"/>
    </xf>
    <xf numFmtId="0" fontId="33" fillId="0" borderId="0" xfId="29" applyFont="1" applyAlignment="1">
      <alignment horizontal="right" vertical="center"/>
    </xf>
    <xf numFmtId="2" fontId="34" fillId="0" borderId="45" xfId="0" applyNumberFormat="1" applyFont="1" applyBorder="1" applyAlignment="1">
      <alignment horizontal="right"/>
    </xf>
    <xf numFmtId="2" fontId="34" fillId="0" borderId="60" xfId="0" applyNumberFormat="1" applyFont="1" applyBorder="1" applyAlignment="1"/>
    <xf numFmtId="0" fontId="34" fillId="0" borderId="221" xfId="0" applyFont="1" applyBorder="1"/>
    <xf numFmtId="0" fontId="34" fillId="0" borderId="220" xfId="0" applyFont="1" applyBorder="1" applyAlignment="1">
      <alignment horizontal="right"/>
    </xf>
    <xf numFmtId="1" fontId="34" fillId="4" borderId="1" xfId="0" applyNumberFormat="1" applyFont="1" applyFill="1" applyBorder="1"/>
    <xf numFmtId="1" fontId="34" fillId="0" borderId="26" xfId="0" applyNumberFormat="1" applyFont="1" applyFill="1" applyBorder="1"/>
    <xf numFmtId="1" fontId="34" fillId="11" borderId="0" xfId="0" applyNumberFormat="1" applyFont="1" applyFill="1" applyBorder="1" applyAlignment="1" applyProtection="1">
      <alignment horizontal="left"/>
    </xf>
    <xf numFmtId="2" fontId="143" fillId="0" borderId="10" xfId="0" applyNumberFormat="1" applyFont="1" applyFill="1" applyBorder="1" applyAlignment="1" applyProtection="1">
      <alignment horizontal="center" vertical="center"/>
    </xf>
    <xf numFmtId="2" fontId="143" fillId="0" borderId="41" xfId="0" applyNumberFormat="1" applyFont="1" applyFill="1" applyBorder="1" applyAlignment="1" applyProtection="1">
      <alignment horizontal="center" vertical="center"/>
    </xf>
    <xf numFmtId="1" fontId="143" fillId="0" borderId="8" xfId="0" applyNumberFormat="1" applyFont="1" applyFill="1" applyBorder="1" applyAlignment="1" applyProtection="1">
      <alignment horizontal="center" vertical="center"/>
    </xf>
    <xf numFmtId="1" fontId="143" fillId="0" borderId="9" xfId="0" applyNumberFormat="1" applyFont="1" applyFill="1" applyBorder="1" applyAlignment="1" applyProtection="1">
      <alignment horizontal="center" vertical="center"/>
    </xf>
    <xf numFmtId="0" fontId="147" fillId="0" borderId="19" xfId="0" applyFont="1" applyBorder="1" applyAlignment="1"/>
    <xf numFmtId="0" fontId="147" fillId="0" borderId="20" xfId="0" applyFont="1" applyBorder="1" applyAlignment="1"/>
    <xf numFmtId="0" fontId="43" fillId="7" borderId="86" xfId="19" applyFill="1" applyBorder="1"/>
    <xf numFmtId="0" fontId="43" fillId="10" borderId="7" xfId="19" applyFill="1" applyBorder="1" applyProtection="1">
      <protection locked="0"/>
    </xf>
    <xf numFmtId="182" fontId="43" fillId="7" borderId="86" xfId="19" applyNumberFormat="1" applyFill="1" applyBorder="1"/>
    <xf numFmtId="0" fontId="147" fillId="0" borderId="19" xfId="0" applyFont="1" applyBorder="1" applyAlignment="1">
      <alignment horizontal="right"/>
    </xf>
    <xf numFmtId="1" fontId="143" fillId="0" borderId="42" xfId="0" applyNumberFormat="1" applyFont="1" applyFill="1" applyBorder="1" applyProtection="1"/>
    <xf numFmtId="1" fontId="143" fillId="0" borderId="43" xfId="0" applyNumberFormat="1" applyFont="1" applyFill="1" applyBorder="1" applyProtection="1"/>
    <xf numFmtId="1" fontId="143" fillId="0" borderId="8" xfId="0" applyNumberFormat="1" applyFont="1" applyFill="1" applyBorder="1" applyProtection="1"/>
    <xf numFmtId="1" fontId="143" fillId="0" borderId="9" xfId="0" applyNumberFormat="1" applyFont="1" applyFill="1" applyBorder="1" applyProtection="1"/>
    <xf numFmtId="1" fontId="143" fillId="4" borderId="43" xfId="0" applyNumberFormat="1" applyFont="1" applyFill="1" applyBorder="1" applyProtection="1"/>
    <xf numFmtId="1" fontId="143" fillId="0" borderId="56" xfId="0" applyNumberFormat="1" applyFont="1" applyFill="1" applyBorder="1" applyProtection="1"/>
    <xf numFmtId="194" fontId="143" fillId="30" borderId="35" xfId="0" applyNumberFormat="1" applyFont="1" applyFill="1" applyBorder="1"/>
    <xf numFmtId="194" fontId="143" fillId="4" borderId="35" xfId="0" applyNumberFormat="1" applyFont="1" applyFill="1" applyBorder="1"/>
    <xf numFmtId="194" fontId="143" fillId="30" borderId="36" xfId="0" applyNumberFormat="1" applyFont="1" applyFill="1" applyBorder="1"/>
    <xf numFmtId="182" fontId="34" fillId="7" borderId="14" xfId="0" applyNumberFormat="1" applyFont="1" applyFill="1" applyBorder="1"/>
    <xf numFmtId="194" fontId="143" fillId="0" borderId="45" xfId="0" applyNumberFormat="1" applyFont="1" applyFill="1" applyBorder="1"/>
    <xf numFmtId="0" fontId="147" fillId="0" borderId="19" xfId="0" applyFont="1" applyBorder="1" applyAlignment="1">
      <alignment horizontal="left"/>
    </xf>
    <xf numFmtId="194" fontId="143" fillId="3" borderId="35" xfId="0" applyNumberFormat="1" applyFont="1" applyFill="1" applyBorder="1" applyProtection="1">
      <protection locked="0"/>
    </xf>
    <xf numFmtId="1" fontId="34" fillId="7" borderId="0" xfId="0" applyNumberFormat="1" applyFont="1" applyFill="1"/>
    <xf numFmtId="11" fontId="50" fillId="0" borderId="0" xfId="1" applyNumberFormat="1" applyFont="1" applyBorder="1" applyAlignment="1">
      <alignment horizontal="right" vertical="center"/>
    </xf>
    <xf numFmtId="177" fontId="50" fillId="0" borderId="24" xfId="1" applyNumberFormat="1" applyFont="1" applyBorder="1" applyAlignment="1">
      <alignment horizontal="right" vertical="center"/>
    </xf>
    <xf numFmtId="1" fontId="50" fillId="0" borderId="13" xfId="1" applyNumberFormat="1" applyFont="1" applyBorder="1" applyAlignment="1">
      <alignment horizontal="right" vertical="center"/>
    </xf>
    <xf numFmtId="2" fontId="50" fillId="0" borderId="14" xfId="1" applyNumberFormat="1" applyFont="1" applyBorder="1" applyAlignment="1">
      <alignment horizontal="left" vertical="center"/>
    </xf>
    <xf numFmtId="11" fontId="50" fillId="0" borderId="0" xfId="1" applyNumberFormat="1" applyFont="1" applyFill="1" applyBorder="1" applyAlignment="1">
      <alignment horizontal="left" vertical="center"/>
    </xf>
    <xf numFmtId="2" fontId="50" fillId="0" borderId="13" xfId="1" applyNumberFormat="1" applyFont="1" applyBorder="1" applyAlignment="1">
      <alignment vertical="center"/>
    </xf>
    <xf numFmtId="177" fontId="50" fillId="0" borderId="22" xfId="1" applyNumberFormat="1" applyFont="1" applyBorder="1" applyAlignment="1">
      <alignment horizontal="right" vertical="center"/>
    </xf>
    <xf numFmtId="1" fontId="50" fillId="0" borderId="0" xfId="1" applyNumberFormat="1" applyFont="1" applyFill="1" applyBorder="1" applyAlignment="1">
      <alignment horizontal="left" vertical="center"/>
    </xf>
    <xf numFmtId="1" fontId="34" fillId="0" borderId="68" xfId="19" applyNumberFormat="1" applyFont="1" applyFill="1" applyBorder="1" applyAlignment="1">
      <alignment horizontal="right"/>
    </xf>
    <xf numFmtId="2" fontId="34" fillId="7" borderId="0" xfId="0" applyNumberFormat="1" applyFont="1" applyFill="1" applyBorder="1" applyAlignment="1">
      <alignment wrapText="1"/>
    </xf>
    <xf numFmtId="11" fontId="50" fillId="0" borderId="0" xfId="1" applyNumberFormat="1" applyFont="1" applyFill="1" applyBorder="1" applyAlignment="1">
      <alignment horizontal="right" vertical="center"/>
    </xf>
    <xf numFmtId="11" fontId="50" fillId="0" borderId="0" xfId="1" applyNumberFormat="1" applyFont="1" applyFill="1" applyBorder="1" applyAlignment="1">
      <alignment vertical="center"/>
    </xf>
    <xf numFmtId="11" fontId="152" fillId="7" borderId="0" xfId="0" applyNumberFormat="1" applyFont="1" applyFill="1" applyBorder="1" applyAlignment="1" applyProtection="1"/>
    <xf numFmtId="11" fontId="152" fillId="7" borderId="0" xfId="0" applyNumberFormat="1" applyFont="1" applyFill="1" applyBorder="1" applyAlignment="1" applyProtection="1">
      <alignment horizontal="right"/>
    </xf>
    <xf numFmtId="0" fontId="143" fillId="0" borderId="129" xfId="0" applyFont="1" applyBorder="1" applyAlignment="1">
      <alignment horizontal="right"/>
    </xf>
    <xf numFmtId="11" fontId="50" fillId="0" borderId="0" xfId="1" applyNumberFormat="1" applyFont="1" applyAlignment="1">
      <alignment horizontal="right" vertical="center"/>
    </xf>
    <xf numFmtId="11" fontId="50" fillId="0" borderId="0" xfId="1" applyNumberFormat="1" applyFont="1" applyBorder="1" applyAlignment="1">
      <alignment vertical="center"/>
    </xf>
    <xf numFmtId="2" fontId="26" fillId="7" borderId="18" xfId="24" applyNumberFormat="1" applyFont="1" applyFill="1" applyBorder="1"/>
    <xf numFmtId="2" fontId="26" fillId="7" borderId="19" xfId="24" applyNumberFormat="1" applyFont="1" applyFill="1" applyBorder="1"/>
    <xf numFmtId="2" fontId="26" fillId="7" borderId="20" xfId="24" applyNumberFormat="1" applyFont="1" applyFill="1" applyBorder="1"/>
    <xf numFmtId="2" fontId="26" fillId="7" borderId="11" xfId="19" applyNumberFormat="1" applyFont="1" applyFill="1" applyBorder="1"/>
    <xf numFmtId="2" fontId="26" fillId="7" borderId="0" xfId="19" applyNumberFormat="1" applyFont="1" applyFill="1" applyBorder="1"/>
    <xf numFmtId="2" fontId="26" fillId="7" borderId="12" xfId="19" applyNumberFormat="1" applyFont="1" applyFill="1" applyBorder="1"/>
    <xf numFmtId="2" fontId="29" fillId="7" borderId="11" xfId="19" applyNumberFormat="1" applyFont="1" applyFill="1" applyBorder="1"/>
    <xf numFmtId="2" fontId="26" fillId="7" borderId="0" xfId="24" applyNumberFormat="1" applyFont="1" applyFill="1" applyBorder="1"/>
    <xf numFmtId="2" fontId="26" fillId="7" borderId="0" xfId="19" applyNumberFormat="1" applyFont="1" applyFill="1"/>
    <xf numFmtId="2" fontId="26" fillId="7" borderId="0" xfId="0" applyNumberFormat="1" applyFont="1" applyFill="1" applyBorder="1"/>
    <xf numFmtId="2" fontId="26" fillId="9" borderId="12" xfId="24" applyNumberFormat="1" applyFont="1" applyFill="1" applyBorder="1"/>
    <xf numFmtId="2" fontId="26" fillId="7" borderId="11" xfId="24" applyNumberFormat="1" applyFont="1" applyFill="1" applyBorder="1"/>
    <xf numFmtId="2" fontId="26" fillId="9" borderId="0" xfId="24" applyNumberFormat="1" applyFont="1" applyFill="1" applyBorder="1"/>
    <xf numFmtId="2" fontId="26" fillId="9" borderId="13" xfId="24" applyNumberFormat="1" applyFont="1" applyFill="1" applyBorder="1"/>
    <xf numFmtId="2" fontId="26" fillId="9" borderId="14" xfId="24" applyNumberFormat="1" applyFont="1" applyFill="1" applyBorder="1"/>
    <xf numFmtId="2" fontId="26" fillId="9" borderId="15" xfId="24" applyNumberFormat="1" applyFont="1" applyFill="1" applyBorder="1"/>
    <xf numFmtId="2" fontId="29" fillId="7" borderId="0" xfId="19" applyNumberFormat="1" applyFont="1" applyFill="1"/>
    <xf numFmtId="2" fontId="41" fillId="0" borderId="0" xfId="19" applyNumberFormat="1" applyFont="1"/>
    <xf numFmtId="0" fontId="26" fillId="7" borderId="21" xfId="19" applyFont="1" applyFill="1" applyBorder="1"/>
    <xf numFmtId="0" fontId="26" fillId="7" borderId="7" xfId="19" applyFont="1" applyFill="1" applyBorder="1"/>
    <xf numFmtId="0" fontId="26" fillId="7" borderId="22" xfId="19" applyFont="1" applyFill="1" applyBorder="1"/>
    <xf numFmtId="1" fontId="143" fillId="0" borderId="10" xfId="0" applyNumberFormat="1" applyFont="1" applyBorder="1" applyAlignment="1">
      <alignment horizontal="center"/>
    </xf>
    <xf numFmtId="1" fontId="143" fillId="0" borderId="3" xfId="0" applyNumberFormat="1" applyFont="1" applyFill="1" applyBorder="1" applyAlignment="1" applyProtection="1">
      <alignment horizontal="right"/>
    </xf>
    <xf numFmtId="1" fontId="143" fillId="4" borderId="3" xfId="0" applyNumberFormat="1" applyFont="1" applyFill="1" applyBorder="1" applyAlignment="1" applyProtection="1">
      <alignment horizontal="right"/>
    </xf>
    <xf numFmtId="1" fontId="143" fillId="0" borderId="41" xfId="0" applyNumberFormat="1" applyFont="1" applyBorder="1" applyAlignment="1">
      <alignment horizontal="center"/>
    </xf>
    <xf numFmtId="1" fontId="147" fillId="0" borderId="0" xfId="0" applyNumberFormat="1" applyFont="1" applyFill="1" applyBorder="1" applyAlignment="1" applyProtection="1">
      <alignment horizontal="right"/>
    </xf>
    <xf numFmtId="1" fontId="143" fillId="0" borderId="29" xfId="0" applyNumberFormat="1" applyFont="1" applyFill="1" applyBorder="1" applyAlignment="1" applyProtection="1">
      <alignment horizontal="right"/>
    </xf>
    <xf numFmtId="1" fontId="18" fillId="0" borderId="11" xfId="0" applyNumberFormat="1" applyFont="1" applyFill="1" applyBorder="1" applyAlignment="1" applyProtection="1">
      <alignment horizontal="right"/>
    </xf>
    <xf numFmtId="1" fontId="143" fillId="0" borderId="28" xfId="0" applyNumberFormat="1" applyFont="1" applyFill="1" applyBorder="1" applyAlignment="1" applyProtection="1">
      <alignment horizontal="right"/>
    </xf>
    <xf numFmtId="1" fontId="23" fillId="0" borderId="28" xfId="0" applyNumberFormat="1" applyFont="1" applyFill="1" applyBorder="1" applyAlignment="1" applyProtection="1">
      <alignment horizontal="right"/>
    </xf>
    <xf numFmtId="1" fontId="23" fillId="0" borderId="3" xfId="0" applyNumberFormat="1" applyFont="1" applyFill="1" applyBorder="1" applyAlignment="1" applyProtection="1">
      <alignment horizontal="right"/>
    </xf>
    <xf numFmtId="1" fontId="24" fillId="0" borderId="3" xfId="0" applyNumberFormat="1" applyFont="1" applyFill="1" applyBorder="1" applyAlignment="1" applyProtection="1">
      <alignment horizontal="right"/>
    </xf>
    <xf numFmtId="1" fontId="24" fillId="0" borderId="29" xfId="0" applyNumberFormat="1" applyFont="1" applyFill="1" applyBorder="1" applyAlignment="1" applyProtection="1">
      <alignment horizontal="right"/>
    </xf>
    <xf numFmtId="1" fontId="22" fillId="0" borderId="3" xfId="0" applyNumberFormat="1" applyFont="1" applyFill="1" applyBorder="1" applyAlignment="1" applyProtection="1">
      <alignment horizontal="right"/>
    </xf>
    <xf numFmtId="1" fontId="22" fillId="0" borderId="29" xfId="0" applyNumberFormat="1" applyFont="1" applyFill="1" applyBorder="1" applyAlignment="1" applyProtection="1">
      <alignment horizontal="right"/>
    </xf>
    <xf numFmtId="1" fontId="24" fillId="0" borderId="28" xfId="0" applyNumberFormat="1" applyFont="1" applyFill="1" applyBorder="1" applyAlignment="1" applyProtection="1">
      <alignment horizontal="right"/>
    </xf>
    <xf numFmtId="0" fontId="92" fillId="0" borderId="16" xfId="0" applyFont="1" applyBorder="1" applyAlignment="1">
      <alignment horizontal="center" vertical="center"/>
    </xf>
    <xf numFmtId="1" fontId="143" fillId="0" borderId="50" xfId="0" applyNumberFormat="1" applyFont="1" applyFill="1" applyBorder="1" applyProtection="1"/>
    <xf numFmtId="1" fontId="143" fillId="0" borderId="4" xfId="0" applyNumberFormat="1" applyFont="1" applyFill="1" applyBorder="1"/>
    <xf numFmtId="1" fontId="17" fillId="0" borderId="0" xfId="0" applyNumberFormat="1" applyFont="1" applyFill="1" applyBorder="1" applyAlignment="1" applyProtection="1">
      <alignment horizontal="right"/>
    </xf>
    <xf numFmtId="0" fontId="143" fillId="0" borderId="38" xfId="0" applyFont="1" applyBorder="1"/>
    <xf numFmtId="1" fontId="143" fillId="0" borderId="38" xfId="0" applyNumberFormat="1" applyFont="1" applyBorder="1"/>
    <xf numFmtId="0" fontId="143" fillId="0" borderId="38" xfId="0" applyFont="1" applyBorder="1" applyAlignment="1">
      <alignment horizontal="right"/>
    </xf>
    <xf numFmtId="0" fontId="143" fillId="0" borderId="39" xfId="0" applyFont="1" applyBorder="1"/>
    <xf numFmtId="2" fontId="147" fillId="0" borderId="37" xfId="0" applyNumberFormat="1" applyFont="1" applyFill="1" applyBorder="1" applyAlignment="1"/>
    <xf numFmtId="2" fontId="147" fillId="0" borderId="38" xfId="0" applyNumberFormat="1" applyFont="1" applyFill="1" applyBorder="1" applyAlignment="1"/>
    <xf numFmtId="1" fontId="143" fillId="0" borderId="38" xfId="0" applyNumberFormat="1" applyFont="1" applyFill="1" applyBorder="1" applyAlignment="1">
      <alignment horizontal="right"/>
    </xf>
    <xf numFmtId="0" fontId="92" fillId="0" borderId="37" xfId="0" applyFont="1" applyBorder="1" applyAlignment="1">
      <alignment horizontal="center" vertical="center"/>
    </xf>
    <xf numFmtId="0" fontId="92" fillId="0" borderId="38" xfId="0" applyFont="1" applyBorder="1" applyAlignment="1">
      <alignment horizontal="center" vertical="center"/>
    </xf>
    <xf numFmtId="1" fontId="23" fillId="0" borderId="38" xfId="0" applyNumberFormat="1" applyFont="1" applyBorder="1"/>
    <xf numFmtId="0" fontId="16" fillId="0" borderId="0" xfId="0" applyFont="1" applyBorder="1" applyAlignment="1">
      <alignment horizontal="right" vertical="center"/>
    </xf>
    <xf numFmtId="194" fontId="143" fillId="0" borderId="11" xfId="0" applyNumberFormat="1" applyFont="1" applyBorder="1"/>
    <xf numFmtId="1" fontId="143" fillId="0" borderId="11" xfId="0" applyNumberFormat="1" applyFont="1" applyFill="1" applyBorder="1"/>
    <xf numFmtId="0" fontId="143" fillId="0" borderId="13" xfId="0" applyFont="1" applyBorder="1"/>
    <xf numFmtId="1" fontId="143" fillId="0" borderId="37" xfId="0" applyNumberFormat="1" applyFont="1" applyBorder="1"/>
    <xf numFmtId="0" fontId="23" fillId="0" borderId="38" xfId="0" applyFont="1" applyBorder="1" applyAlignment="1">
      <alignment horizontal="right"/>
    </xf>
    <xf numFmtId="1" fontId="23" fillId="0" borderId="38" xfId="0" applyNumberFormat="1" applyFont="1" applyBorder="1" applyAlignment="1">
      <alignment horizontal="right"/>
    </xf>
    <xf numFmtId="0" fontId="34" fillId="0" borderId="39" xfId="0" applyFont="1" applyBorder="1"/>
    <xf numFmtId="0" fontId="23" fillId="0" borderId="39" xfId="0" applyFont="1" applyBorder="1"/>
    <xf numFmtId="194" fontId="23" fillId="0" borderId="11" xfId="0" applyNumberFormat="1" applyFont="1" applyBorder="1"/>
    <xf numFmtId="1" fontId="23" fillId="0" borderId="11" xfId="0" applyNumberFormat="1" applyFont="1" applyFill="1" applyBorder="1"/>
    <xf numFmtId="1" fontId="34" fillId="0" borderId="13" xfId="0" applyNumberFormat="1" applyFont="1" applyBorder="1"/>
    <xf numFmtId="1" fontId="143" fillId="0" borderId="39" xfId="0" applyNumberFormat="1" applyFont="1" applyBorder="1"/>
    <xf numFmtId="0" fontId="23" fillId="0" borderId="39" xfId="0" applyFont="1" applyBorder="1" applyAlignment="1">
      <alignment horizontal="left"/>
    </xf>
    <xf numFmtId="0" fontId="92" fillId="0" borderId="16" xfId="0" applyFont="1" applyBorder="1" applyAlignment="1">
      <alignment horizontal="center" vertical="center"/>
    </xf>
    <xf numFmtId="0" fontId="92" fillId="0" borderId="17" xfId="0" applyFont="1" applyBorder="1" applyAlignment="1">
      <alignment horizontal="center" vertical="center"/>
    </xf>
    <xf numFmtId="0" fontId="147" fillId="0" borderId="16" xfId="0" applyFont="1" applyBorder="1" applyAlignment="1">
      <alignment horizontal="center" vertical="center"/>
    </xf>
    <xf numFmtId="1" fontId="22" fillId="0" borderId="28" xfId="0" applyNumberFormat="1" applyFont="1" applyBorder="1"/>
    <xf numFmtId="1" fontId="22" fillId="0" borderId="34" xfId="0" applyNumberFormat="1" applyFont="1" applyBorder="1"/>
    <xf numFmtId="1" fontId="22" fillId="0" borderId="28" xfId="0" applyNumberFormat="1" applyFont="1" applyFill="1" applyBorder="1" applyAlignment="1" applyProtection="1">
      <alignment horizontal="right"/>
    </xf>
    <xf numFmtId="0" fontId="92" fillId="0" borderId="16" xfId="0" applyFont="1" applyBorder="1" applyAlignment="1">
      <alignment horizontal="center" vertical="center"/>
    </xf>
    <xf numFmtId="0" fontId="92" fillId="0" borderId="17" xfId="0" applyFont="1" applyBorder="1" applyAlignment="1">
      <alignment horizontal="center" vertical="center"/>
    </xf>
    <xf numFmtId="0" fontId="147" fillId="0" borderId="25" xfId="0" applyFont="1" applyBorder="1" applyAlignment="1">
      <alignment horizontal="center" vertical="center"/>
    </xf>
    <xf numFmtId="0" fontId="92" fillId="0" borderId="12" xfId="0" applyFont="1" applyBorder="1" applyAlignment="1"/>
    <xf numFmtId="1" fontId="22" fillId="0" borderId="12" xfId="0" applyNumberFormat="1" applyFont="1" applyBorder="1" applyAlignment="1">
      <alignment horizontal="right"/>
    </xf>
    <xf numFmtId="1" fontId="143" fillId="0" borderId="41" xfId="0" applyNumberFormat="1" applyFont="1" applyBorder="1"/>
    <xf numFmtId="0" fontId="147" fillId="0" borderId="12" xfId="0" applyFont="1" applyBorder="1" applyAlignment="1"/>
    <xf numFmtId="1" fontId="143" fillId="0" borderId="12" xfId="0" applyNumberFormat="1" applyFont="1" applyBorder="1" applyAlignment="1">
      <alignment horizontal="right"/>
    </xf>
    <xf numFmtId="1" fontId="17" fillId="0" borderId="12" xfId="0" applyNumberFormat="1" applyFont="1" applyFill="1" applyBorder="1" applyAlignment="1" applyProtection="1">
      <alignment horizontal="right"/>
    </xf>
    <xf numFmtId="1" fontId="143" fillId="0" borderId="41" xfId="0" applyNumberFormat="1" applyFont="1" applyFill="1" applyBorder="1"/>
    <xf numFmtId="1" fontId="143" fillId="0" borderId="92" xfId="0" applyNumberFormat="1" applyFont="1" applyFill="1" applyBorder="1"/>
    <xf numFmtId="1" fontId="143" fillId="0" borderId="10" xfId="0" applyNumberFormat="1" applyFont="1" applyFill="1" applyBorder="1" applyAlignment="1" applyProtection="1">
      <alignment horizontal="right"/>
    </xf>
    <xf numFmtId="1" fontId="143" fillId="0" borderId="10" xfId="0" applyNumberFormat="1" applyFont="1" applyFill="1" applyBorder="1"/>
    <xf numFmtId="1" fontId="143" fillId="0" borderId="61" xfId="0" applyNumberFormat="1" applyFont="1" applyFill="1" applyBorder="1"/>
    <xf numFmtId="2" fontId="147" fillId="0" borderId="0" xfId="0" applyNumberFormat="1" applyFont="1" applyFill="1" applyBorder="1" applyAlignment="1"/>
    <xf numFmtId="1" fontId="143" fillId="0" borderId="0" xfId="0" applyNumberFormat="1" applyFont="1" applyFill="1" applyBorder="1" applyAlignment="1">
      <alignment horizontal="right"/>
    </xf>
    <xf numFmtId="194" fontId="143" fillId="0" borderId="0" xfId="0" applyNumberFormat="1" applyFont="1" applyFill="1" applyBorder="1" applyProtection="1">
      <protection locked="0"/>
    </xf>
    <xf numFmtId="182" fontId="34" fillId="0" borderId="137" xfId="0" applyNumberFormat="1" applyFont="1" applyBorder="1"/>
    <xf numFmtId="0" fontId="147" fillId="0" borderId="37" xfId="0" applyFont="1" applyBorder="1" applyAlignment="1">
      <alignment horizontal="center"/>
    </xf>
    <xf numFmtId="0" fontId="147" fillId="0" borderId="38" xfId="0" applyFont="1" applyBorder="1" applyAlignment="1">
      <alignment horizontal="center"/>
    </xf>
    <xf numFmtId="0" fontId="147" fillId="0" borderId="39" xfId="0" applyFont="1" applyBorder="1" applyAlignment="1">
      <alignment horizontal="center"/>
    </xf>
    <xf numFmtId="0" fontId="147" fillId="0" borderId="25" xfId="0" applyFont="1" applyBorder="1" applyAlignment="1">
      <alignment horizontal="center" vertical="center"/>
    </xf>
    <xf numFmtId="0" fontId="147" fillId="0" borderId="13" xfId="0" applyFont="1" applyBorder="1" applyAlignment="1">
      <alignment horizontal="center" vertical="center"/>
    </xf>
    <xf numFmtId="0" fontId="147" fillId="0" borderId="16" xfId="0" applyFont="1" applyBorder="1" applyAlignment="1">
      <alignment horizontal="center" vertical="center"/>
    </xf>
    <xf numFmtId="0" fontId="147" fillId="0" borderId="17" xfId="0" applyFont="1" applyBorder="1" applyAlignment="1">
      <alignment horizontal="center" vertical="center"/>
    </xf>
    <xf numFmtId="0" fontId="147" fillId="0" borderId="14" xfId="0" applyFont="1" applyBorder="1" applyAlignment="1">
      <alignment horizontal="center" vertical="center"/>
    </xf>
    <xf numFmtId="0" fontId="147" fillId="0" borderId="15" xfId="0" applyFont="1" applyBorder="1" applyAlignment="1">
      <alignment horizontal="center" vertical="center"/>
    </xf>
    <xf numFmtId="194" fontId="89" fillId="18" borderId="74" xfId="30" applyNumberFormat="1" applyFont="1" applyFill="1" applyBorder="1" applyAlignment="1">
      <alignment horizontal="left"/>
    </xf>
    <xf numFmtId="1" fontId="89" fillId="18" borderId="14" xfId="30" applyNumberFormat="1" applyFont="1" applyFill="1" applyBorder="1" applyAlignment="1">
      <alignment horizontal="right" vertical="center"/>
    </xf>
    <xf numFmtId="182" fontId="125" fillId="18" borderId="14" xfId="0" applyNumberFormat="1" applyFont="1" applyFill="1" applyBorder="1" applyAlignment="1">
      <alignment horizontal="center"/>
    </xf>
    <xf numFmtId="0" fontId="89" fillId="18" borderId="85" xfId="30" applyFont="1" applyFill="1" applyBorder="1" applyAlignment="1">
      <alignment horizontal="left" vertical="center"/>
    </xf>
    <xf numFmtId="0" fontId="89" fillId="18" borderId="73" xfId="30" applyFont="1" applyFill="1" applyBorder="1" applyAlignment="1">
      <alignment horizontal="left" vertical="center"/>
    </xf>
    <xf numFmtId="0" fontId="33" fillId="0" borderId="12" xfId="29" applyFont="1" applyBorder="1"/>
    <xf numFmtId="0" fontId="93" fillId="18" borderId="16" xfId="29" applyNumberFormat="1" applyFont="1" applyFill="1" applyBorder="1" applyAlignment="1">
      <alignment horizontal="center" vertical="center"/>
    </xf>
    <xf numFmtId="0" fontId="93" fillId="18" borderId="0" xfId="29" applyNumberFormat="1" applyFont="1" applyFill="1" applyBorder="1" applyAlignment="1">
      <alignment horizontal="center" vertical="center"/>
    </xf>
    <xf numFmtId="182" fontId="33" fillId="0" borderId="16" xfId="30" applyNumberFormat="1" applyFont="1" applyFill="1" applyBorder="1" applyAlignment="1">
      <alignment horizontal="center" vertical="center"/>
    </xf>
    <xf numFmtId="182" fontId="33" fillId="0" borderId="0" xfId="30" applyNumberFormat="1" applyFont="1" applyFill="1" applyBorder="1" applyAlignment="1">
      <alignment horizontal="center" vertical="center"/>
    </xf>
    <xf numFmtId="0" fontId="89" fillId="18" borderId="16" xfId="29" applyNumberFormat="1" applyFont="1" applyFill="1" applyBorder="1" applyAlignment="1">
      <alignment horizontal="right" vertical="center"/>
    </xf>
    <xf numFmtId="0" fontId="89" fillId="18" borderId="0" xfId="29" applyNumberFormat="1" applyFont="1" applyFill="1" applyBorder="1" applyAlignment="1">
      <alignment horizontal="right" vertical="center"/>
    </xf>
    <xf numFmtId="0" fontId="33" fillId="0" borderId="17" xfId="29" applyFont="1" applyFill="1" applyBorder="1"/>
    <xf numFmtId="0" fontId="92" fillId="0" borderId="0" xfId="0" applyFont="1" applyBorder="1" applyAlignment="1"/>
    <xf numFmtId="1" fontId="92" fillId="0" borderId="0" xfId="0" applyNumberFormat="1" applyFont="1" applyBorder="1" applyAlignment="1">
      <alignment horizontal="right"/>
    </xf>
    <xf numFmtId="1" fontId="92" fillId="0" borderId="0" xfId="0" applyNumberFormat="1" applyFont="1" applyFill="1" applyBorder="1" applyAlignment="1" applyProtection="1">
      <alignment horizontal="right"/>
    </xf>
    <xf numFmtId="1" fontId="22" fillId="0" borderId="0" xfId="0" applyNumberFormat="1" applyFont="1" applyBorder="1" applyAlignment="1">
      <alignment horizontal="right"/>
    </xf>
    <xf numFmtId="1" fontId="22" fillId="0" borderId="0" xfId="0" applyNumberFormat="1" applyFont="1" applyFill="1" applyBorder="1" applyProtection="1"/>
    <xf numFmtId="1" fontId="22" fillId="0" borderId="12" xfId="0" applyNumberFormat="1" applyFont="1" applyFill="1" applyBorder="1" applyProtection="1"/>
    <xf numFmtId="1" fontId="24" fillId="0" borderId="0" xfId="0" applyNumberFormat="1" applyFont="1" applyFill="1" applyBorder="1" applyAlignment="1" applyProtection="1">
      <alignment horizontal="right"/>
    </xf>
    <xf numFmtId="1" fontId="24" fillId="0" borderId="12" xfId="0" applyNumberFormat="1" applyFont="1" applyFill="1" applyBorder="1" applyAlignment="1" applyProtection="1">
      <alignment horizontal="right"/>
    </xf>
    <xf numFmtId="1" fontId="22" fillId="0" borderId="0" xfId="0" applyNumberFormat="1" applyFont="1" applyBorder="1"/>
    <xf numFmtId="1" fontId="22" fillId="0" borderId="12" xfId="0" applyNumberFormat="1" applyFont="1" applyBorder="1"/>
    <xf numFmtId="0" fontId="147" fillId="0" borderId="0" xfId="0" applyFont="1" applyBorder="1" applyAlignment="1"/>
    <xf numFmtId="1" fontId="147" fillId="0" borderId="0" xfId="0" applyNumberFormat="1" applyFont="1" applyBorder="1" applyAlignment="1">
      <alignment horizontal="right"/>
    </xf>
    <xf numFmtId="1" fontId="143" fillId="0" borderId="0" xfId="0" applyNumberFormat="1" applyFont="1" applyFill="1" applyBorder="1" applyAlignment="1" applyProtection="1">
      <alignment horizontal="right"/>
    </xf>
    <xf numFmtId="1" fontId="143" fillId="0" borderId="12" xfId="0" applyNumberFormat="1" applyFont="1" applyFill="1" applyBorder="1" applyAlignment="1" applyProtection="1">
      <alignment horizontal="right"/>
    </xf>
    <xf numFmtId="0" fontId="23" fillId="0" borderId="0" xfId="0" applyFont="1" applyBorder="1" applyAlignment="1">
      <alignment horizontal="left"/>
    </xf>
    <xf numFmtId="0" fontId="23" fillId="0" borderId="0" xfId="0" applyFont="1" applyBorder="1" applyAlignment="1">
      <alignment horizontal="right"/>
    </xf>
    <xf numFmtId="1" fontId="24" fillId="0" borderId="11" xfId="0" applyNumberFormat="1" applyFont="1" applyFill="1" applyBorder="1" applyAlignment="1" applyProtection="1">
      <alignment horizontal="right"/>
    </xf>
    <xf numFmtId="1" fontId="23" fillId="0" borderId="11" xfId="0" applyNumberFormat="1" applyFont="1" applyBorder="1"/>
    <xf numFmtId="1" fontId="15" fillId="0" borderId="12" xfId="0" applyNumberFormat="1" applyFont="1" applyFill="1" applyBorder="1" applyAlignment="1" applyProtection="1">
      <alignment horizontal="right"/>
    </xf>
    <xf numFmtId="0" fontId="143" fillId="0" borderId="0" xfId="0" applyFont="1" applyBorder="1" applyAlignment="1">
      <alignment horizontal="left"/>
    </xf>
    <xf numFmtId="2" fontId="147" fillId="0" borderId="11" xfId="0" applyNumberFormat="1" applyFont="1" applyFill="1" applyBorder="1" applyAlignment="1"/>
    <xf numFmtId="194" fontId="143" fillId="0" borderId="11" xfId="0" applyNumberFormat="1" applyFont="1" applyFill="1" applyBorder="1"/>
    <xf numFmtId="1" fontId="143" fillId="0" borderId="11" xfId="0" applyNumberFormat="1" applyFont="1" applyFill="1" applyBorder="1" applyAlignment="1" applyProtection="1"/>
    <xf numFmtId="1" fontId="143" fillId="0" borderId="0" xfId="0" applyNumberFormat="1" applyFont="1" applyFill="1" applyBorder="1" applyAlignment="1" applyProtection="1"/>
    <xf numFmtId="0" fontId="34" fillId="0" borderId="3" xfId="0" applyFont="1" applyBorder="1"/>
    <xf numFmtId="0" fontId="23" fillId="0" borderId="3" xfId="0" applyFont="1" applyBorder="1"/>
    <xf numFmtId="0" fontId="23" fillId="0" borderId="3" xfId="0" applyFont="1" applyBorder="1" applyAlignment="1">
      <alignment horizontal="right"/>
    </xf>
    <xf numFmtId="0" fontId="23" fillId="0" borderId="29" xfId="0" applyFont="1" applyBorder="1"/>
    <xf numFmtId="0" fontId="34" fillId="0" borderId="38" xfId="0" applyFont="1" applyBorder="1"/>
    <xf numFmtId="1" fontId="24" fillId="0" borderId="44" xfId="0" applyNumberFormat="1" applyFont="1" applyFill="1" applyBorder="1" applyAlignment="1" applyProtection="1">
      <alignment horizontal="right"/>
    </xf>
    <xf numFmtId="1" fontId="24" fillId="0" borderId="45" xfId="0" applyNumberFormat="1" applyFont="1" applyFill="1" applyBorder="1" applyAlignment="1" applyProtection="1">
      <alignment horizontal="right"/>
    </xf>
    <xf numFmtId="1" fontId="24" fillId="0" borderId="47" xfId="0" applyNumberFormat="1" applyFont="1" applyFill="1" applyBorder="1" applyAlignment="1" applyProtection="1">
      <alignment horizontal="right"/>
    </xf>
    <xf numFmtId="1" fontId="143" fillId="0" borderId="33" xfId="0" applyNumberFormat="1" applyFont="1" applyFill="1" applyBorder="1" applyAlignment="1" applyProtection="1">
      <alignment horizontal="right"/>
    </xf>
    <xf numFmtId="1" fontId="143" fillId="0" borderId="4" xfId="0" applyNumberFormat="1" applyFont="1" applyFill="1" applyBorder="1" applyAlignment="1" applyProtection="1">
      <alignment horizontal="right"/>
    </xf>
    <xf numFmtId="1" fontId="143" fillId="0" borderId="59" xfId="0" applyNumberFormat="1" applyFont="1" applyFill="1" applyBorder="1" applyAlignment="1" applyProtection="1">
      <alignment horizontal="right"/>
    </xf>
    <xf numFmtId="1" fontId="143" fillId="0" borderId="28" xfId="0" applyNumberFormat="1" applyFont="1" applyFill="1" applyBorder="1" applyProtection="1"/>
    <xf numFmtId="1" fontId="143" fillId="0" borderId="3" xfId="0" applyNumberFormat="1" applyFont="1" applyFill="1" applyBorder="1" applyProtection="1"/>
    <xf numFmtId="1" fontId="143" fillId="0" borderId="29" xfId="0" applyNumberFormat="1" applyFont="1" applyFill="1" applyBorder="1" applyProtection="1"/>
    <xf numFmtId="1" fontId="143" fillId="0" borderId="44" xfId="0" applyNumberFormat="1" applyFont="1" applyFill="1" applyBorder="1" applyAlignment="1" applyProtection="1">
      <alignment horizontal="right"/>
    </xf>
    <xf numFmtId="1" fontId="143" fillId="0" borderId="45" xfId="0" applyNumberFormat="1" applyFont="1" applyFill="1" applyBorder="1" applyAlignment="1" applyProtection="1">
      <alignment horizontal="right"/>
    </xf>
    <xf numFmtId="1" fontId="143" fillId="0" borderId="47" xfId="0" applyNumberFormat="1" applyFont="1" applyFill="1" applyBorder="1" applyAlignment="1" applyProtection="1">
      <alignment horizontal="right"/>
    </xf>
    <xf numFmtId="1" fontId="143" fillId="0" borderId="2" xfId="0" applyNumberFormat="1" applyFont="1" applyFill="1" applyBorder="1" applyProtection="1"/>
    <xf numFmtId="1" fontId="143" fillId="0" borderId="93" xfId="0" applyNumberFormat="1" applyFont="1" applyFill="1" applyBorder="1" applyProtection="1"/>
    <xf numFmtId="0" fontId="23" fillId="0" borderId="28" xfId="0" applyFont="1" applyBorder="1"/>
    <xf numFmtId="1" fontId="23" fillId="0" borderId="33" xfId="0" applyNumberFormat="1" applyFont="1" applyFill="1" applyBorder="1" applyAlignment="1" applyProtection="1">
      <alignment horizontal="right"/>
    </xf>
    <xf numFmtId="1" fontId="23" fillId="0" borderId="4" xfId="0" applyNumberFormat="1" applyFont="1" applyFill="1" applyBorder="1" applyAlignment="1" applyProtection="1">
      <alignment horizontal="right"/>
    </xf>
    <xf numFmtId="1" fontId="24" fillId="0" borderId="4" xfId="0" applyNumberFormat="1" applyFont="1" applyFill="1" applyBorder="1" applyAlignment="1" applyProtection="1">
      <alignment horizontal="right"/>
    </xf>
    <xf numFmtId="1" fontId="24" fillId="0" borderId="59" xfId="0" applyNumberFormat="1" applyFont="1" applyFill="1" applyBorder="1" applyAlignment="1" applyProtection="1">
      <alignment horizontal="right"/>
    </xf>
    <xf numFmtId="1" fontId="22" fillId="0" borderId="28" xfId="0" applyNumberFormat="1" applyFont="1" applyFill="1" applyBorder="1" applyProtection="1"/>
    <xf numFmtId="1" fontId="22" fillId="0" borderId="3" xfId="0" applyNumberFormat="1" applyFont="1" applyFill="1" applyBorder="1" applyProtection="1"/>
    <xf numFmtId="1" fontId="22" fillId="0" borderId="29" xfId="0" applyNumberFormat="1" applyFont="1" applyFill="1" applyBorder="1" applyProtection="1"/>
    <xf numFmtId="1" fontId="22" fillId="0" borderId="33" xfId="0" applyNumberFormat="1" applyFont="1" applyFill="1" applyBorder="1" applyAlignment="1" applyProtection="1">
      <alignment horizontal="right"/>
    </xf>
    <xf numFmtId="1" fontId="22" fillId="0" borderId="4" xfId="0" applyNumberFormat="1" applyFont="1" applyFill="1" applyBorder="1" applyAlignment="1" applyProtection="1">
      <alignment horizontal="right"/>
    </xf>
    <xf numFmtId="1" fontId="22" fillId="0" borderId="59" xfId="0" applyNumberFormat="1" applyFont="1" applyFill="1" applyBorder="1" applyAlignment="1" applyProtection="1">
      <alignment horizontal="right"/>
    </xf>
    <xf numFmtId="0" fontId="23" fillId="0" borderId="3" xfId="0" applyFont="1" applyBorder="1" applyAlignment="1">
      <alignment horizontal="left"/>
    </xf>
    <xf numFmtId="1" fontId="24" fillId="0" borderId="33" xfId="0" applyNumberFormat="1" applyFont="1" applyFill="1" applyBorder="1" applyAlignment="1" applyProtection="1">
      <alignment horizontal="right"/>
    </xf>
    <xf numFmtId="1" fontId="92" fillId="0" borderId="37" xfId="0" applyNumberFormat="1" applyFont="1" applyBorder="1" applyAlignment="1"/>
    <xf numFmtId="0" fontId="15" fillId="0" borderId="11" xfId="0" applyFont="1" applyBorder="1" applyAlignment="1">
      <alignment horizontal="right"/>
    </xf>
    <xf numFmtId="0" fontId="143" fillId="0" borderId="12" xfId="0" applyFont="1" applyBorder="1" applyAlignment="1">
      <alignment horizontal="right"/>
    </xf>
    <xf numFmtId="0" fontId="15" fillId="0" borderId="12" xfId="0" applyFont="1" applyBorder="1" applyAlignment="1">
      <alignment horizontal="right"/>
    </xf>
    <xf numFmtId="1" fontId="15" fillId="0" borderId="12" xfId="0" applyNumberFormat="1" applyFont="1" applyBorder="1" applyAlignment="1">
      <alignment horizontal="right"/>
    </xf>
    <xf numFmtId="1" fontId="136" fillId="18" borderId="14" xfId="30" applyNumberFormat="1" applyFont="1" applyFill="1" applyBorder="1" applyAlignment="1">
      <alignment horizontal="center" vertical="center"/>
    </xf>
    <xf numFmtId="1" fontId="136" fillId="18" borderId="38" xfId="30" applyNumberFormat="1" applyFont="1" applyFill="1" applyBorder="1" applyAlignment="1">
      <alignment horizontal="center" vertical="center"/>
    </xf>
    <xf numFmtId="1" fontId="89" fillId="18" borderId="16" xfId="29" applyNumberFormat="1" applyFont="1" applyFill="1" applyBorder="1" applyAlignment="1">
      <alignment horizontal="right" vertical="center"/>
    </xf>
    <xf numFmtId="1" fontId="89" fillId="18" borderId="0" xfId="29" applyNumberFormat="1" applyFont="1" applyFill="1" applyBorder="1" applyAlignment="1">
      <alignment horizontal="right" vertical="center"/>
    </xf>
    <xf numFmtId="0" fontId="143" fillId="0" borderId="1" xfId="0" applyFont="1" applyFill="1" applyBorder="1" applyAlignment="1">
      <alignment horizontal="left"/>
    </xf>
    <xf numFmtId="0" fontId="140" fillId="0" borderId="0" xfId="0" applyFont="1" applyBorder="1" applyAlignment="1">
      <alignment horizontal="right"/>
    </xf>
    <xf numFmtId="182" fontId="76" fillId="19" borderId="38" xfId="29" applyNumberFormat="1" applyFont="1" applyFill="1" applyBorder="1" applyAlignment="1">
      <alignment horizontal="center" vertical="center"/>
    </xf>
    <xf numFmtId="2" fontId="143" fillId="0" borderId="3" xfId="0" applyNumberFormat="1" applyFont="1" applyFill="1" applyBorder="1"/>
    <xf numFmtId="1" fontId="143" fillId="0" borderId="1" xfId="0" applyNumberFormat="1" applyFont="1" applyFill="1" applyBorder="1" applyAlignment="1" applyProtection="1">
      <alignment horizontal="right"/>
    </xf>
    <xf numFmtId="1" fontId="143" fillId="0" borderId="27" xfId="0" applyNumberFormat="1" applyFont="1" applyFill="1" applyBorder="1" applyAlignment="1" applyProtection="1">
      <alignment horizontal="right"/>
    </xf>
    <xf numFmtId="2" fontId="92" fillId="0" borderId="37" xfId="0" applyNumberFormat="1" applyFont="1" applyFill="1" applyBorder="1" applyAlignment="1"/>
    <xf numFmtId="2" fontId="92" fillId="0" borderId="38" xfId="0" applyNumberFormat="1" applyFont="1" applyFill="1" applyBorder="1" applyAlignment="1"/>
    <xf numFmtId="1" fontId="34" fillId="0" borderId="38" xfId="0" applyNumberFormat="1" applyFont="1" applyFill="1" applyBorder="1" applyAlignment="1">
      <alignment horizontal="right"/>
    </xf>
    <xf numFmtId="1" fontId="34" fillId="0" borderId="38" xfId="0" applyNumberFormat="1" applyFont="1" applyBorder="1"/>
    <xf numFmtId="1" fontId="34" fillId="0" borderId="39" xfId="0" applyNumberFormat="1" applyFont="1" applyBorder="1"/>
    <xf numFmtId="0" fontId="34" fillId="0" borderId="96" xfId="0" applyFont="1" applyBorder="1"/>
    <xf numFmtId="0" fontId="89" fillId="18" borderId="85" xfId="29" applyFont="1" applyFill="1" applyBorder="1" applyAlignment="1">
      <alignment horizontal="left" vertical="center"/>
    </xf>
    <xf numFmtId="0" fontId="89" fillId="18" borderId="73" xfId="29" applyFont="1" applyFill="1" applyBorder="1" applyAlignment="1">
      <alignment horizontal="left" vertical="center"/>
    </xf>
    <xf numFmtId="0" fontId="147" fillId="0" borderId="11" xfId="0" applyFont="1" applyFill="1" applyBorder="1" applyAlignment="1">
      <alignment horizontal="left"/>
    </xf>
    <xf numFmtId="0" fontId="23" fillId="0" borderId="3" xfId="0" applyFont="1" applyBorder="1" applyAlignment="1">
      <alignment horizontal="center"/>
    </xf>
    <xf numFmtId="0" fontId="143" fillId="0" borderId="45" xfId="0" applyFont="1" applyBorder="1" applyAlignment="1">
      <alignment horizontal="right"/>
    </xf>
    <xf numFmtId="1" fontId="160" fillId="20" borderId="37" xfId="29" applyNumberFormat="1" applyFont="1" applyFill="1" applyBorder="1" applyAlignment="1">
      <alignment horizontal="right" vertical="center"/>
    </xf>
    <xf numFmtId="0" fontId="161" fillId="20" borderId="38" xfId="29" applyNumberFormat="1" applyFont="1" applyFill="1" applyBorder="1" applyAlignment="1">
      <alignment horizontal="center" vertical="center"/>
    </xf>
    <xf numFmtId="1" fontId="162" fillId="21" borderId="37" xfId="30" applyNumberFormat="1" applyFont="1" applyFill="1" applyBorder="1" applyAlignment="1">
      <alignment horizontal="right" vertical="center"/>
    </xf>
    <xf numFmtId="0" fontId="163" fillId="21" borderId="38" xfId="30" applyNumberFormat="1" applyFont="1" applyFill="1" applyBorder="1" applyAlignment="1">
      <alignment horizontal="center" vertical="center"/>
    </xf>
    <xf numFmtId="1" fontId="164" fillId="22" borderId="37" xfId="30" applyNumberFormat="1" applyFont="1" applyFill="1" applyBorder="1" applyAlignment="1">
      <alignment horizontal="right" vertical="center"/>
    </xf>
    <xf numFmtId="1" fontId="165" fillId="22" borderId="38" xfId="30" applyNumberFormat="1" applyFont="1" applyFill="1" applyBorder="1" applyAlignment="1">
      <alignment horizontal="center" vertical="center"/>
    </xf>
    <xf numFmtId="1" fontId="116" fillId="9" borderId="37" xfId="29" applyNumberFormat="1" applyFont="1" applyFill="1" applyBorder="1" applyAlignment="1">
      <alignment horizontal="right" vertical="center"/>
    </xf>
    <xf numFmtId="0" fontId="166" fillId="9" borderId="38" xfId="29" applyNumberFormat="1" applyFont="1" applyFill="1" applyBorder="1" applyAlignment="1">
      <alignment horizontal="center" vertical="center"/>
    </xf>
    <xf numFmtId="1" fontId="167" fillId="18" borderId="37" xfId="29" applyNumberFormat="1" applyFont="1" applyFill="1" applyBorder="1" applyAlignment="1">
      <alignment horizontal="right" vertical="center"/>
    </xf>
    <xf numFmtId="0" fontId="168" fillId="18" borderId="38" xfId="29" applyNumberFormat="1" applyFont="1" applyFill="1" applyBorder="1" applyAlignment="1">
      <alignment horizontal="center" vertical="center"/>
    </xf>
    <xf numFmtId="0" fontId="167" fillId="18" borderId="38" xfId="29" applyNumberFormat="1" applyFont="1" applyFill="1" applyBorder="1" applyAlignment="1">
      <alignment horizontal="right" vertical="center"/>
    </xf>
    <xf numFmtId="1" fontId="167" fillId="18" borderId="25" xfId="30" applyNumberFormat="1" applyFont="1" applyFill="1" applyBorder="1" applyAlignment="1">
      <alignment horizontal="right" vertical="center"/>
    </xf>
    <xf numFmtId="1" fontId="168" fillId="18" borderId="16" xfId="30" applyNumberFormat="1" applyFont="1" applyFill="1" applyBorder="1" applyAlignment="1">
      <alignment horizontal="center" vertical="center"/>
    </xf>
    <xf numFmtId="1" fontId="169" fillId="18" borderId="13" xfId="30" applyNumberFormat="1" applyFont="1" applyFill="1" applyBorder="1" applyAlignment="1">
      <alignment horizontal="right" vertical="center"/>
    </xf>
    <xf numFmtId="1" fontId="168" fillId="18" borderId="14" xfId="30" applyNumberFormat="1" applyFont="1" applyFill="1" applyBorder="1" applyAlignment="1">
      <alignment horizontal="center" vertical="center"/>
    </xf>
    <xf numFmtId="1" fontId="169" fillId="18" borderId="37" xfId="30" applyNumberFormat="1" applyFont="1" applyFill="1" applyBorder="1" applyAlignment="1">
      <alignment horizontal="right" vertical="center"/>
    </xf>
    <xf numFmtId="1" fontId="168" fillId="18" borderId="38" xfId="30" applyNumberFormat="1" applyFont="1" applyFill="1" applyBorder="1" applyAlignment="1">
      <alignment horizontal="center" vertical="center"/>
    </xf>
    <xf numFmtId="1" fontId="167" fillId="18" borderId="37" xfId="30" applyNumberFormat="1" applyFont="1" applyFill="1" applyBorder="1" applyAlignment="1">
      <alignment horizontal="right" vertical="center"/>
    </xf>
    <xf numFmtId="0" fontId="14" fillId="0" borderId="0" xfId="40"/>
    <xf numFmtId="0" fontId="14" fillId="0" borderId="0" xfId="40" applyFont="1"/>
    <xf numFmtId="0" fontId="14" fillId="4" borderId="0" xfId="40" applyFill="1"/>
    <xf numFmtId="0" fontId="13" fillId="0" borderId="0" xfId="30" applyFont="1" applyBorder="1" applyAlignment="1">
      <alignment horizontal="left" vertical="center"/>
    </xf>
    <xf numFmtId="0" fontId="0" fillId="0" borderId="1" xfId="0" applyBorder="1"/>
    <xf numFmtId="177" fontId="152" fillId="4" borderId="0" xfId="0" applyNumberFormat="1" applyFont="1" applyFill="1" applyProtection="1">
      <protection locked="0"/>
    </xf>
    <xf numFmtId="0" fontId="12" fillId="0" borderId="0" xfId="29" applyFont="1" applyBorder="1"/>
    <xf numFmtId="0" fontId="37" fillId="17" borderId="42" xfId="29" applyFill="1" applyBorder="1"/>
    <xf numFmtId="1" fontId="152" fillId="17" borderId="56" xfId="0" applyNumberFormat="1" applyFont="1" applyFill="1" applyBorder="1" applyAlignment="1">
      <alignment horizontal="right"/>
    </xf>
    <xf numFmtId="1" fontId="15" fillId="17" borderId="56" xfId="0" applyNumberFormat="1" applyFont="1" applyFill="1" applyBorder="1" applyAlignment="1">
      <alignment horizontal="right"/>
    </xf>
    <xf numFmtId="1" fontId="173" fillId="4" borderId="1" xfId="0" applyNumberFormat="1" applyFont="1" applyFill="1" applyBorder="1" applyAlignment="1" applyProtection="1">
      <protection locked="0"/>
    </xf>
    <xf numFmtId="1" fontId="173" fillId="4" borderId="1" xfId="1" applyNumberFormat="1" applyFont="1" applyFill="1" applyBorder="1" applyAlignment="1" applyProtection="1">
      <protection locked="0"/>
    </xf>
    <xf numFmtId="194" fontId="173" fillId="4" borderId="1" xfId="0" applyNumberFormat="1" applyFont="1" applyFill="1" applyBorder="1" applyAlignment="1" applyProtection="1">
      <protection locked="0"/>
    </xf>
    <xf numFmtId="0" fontId="173" fillId="4" borderId="1" xfId="29" applyFont="1" applyFill="1" applyBorder="1" applyAlignment="1">
      <alignment horizontal="right"/>
    </xf>
    <xf numFmtId="0" fontId="173" fillId="4" borderId="1" xfId="29" applyFont="1" applyFill="1" applyBorder="1"/>
    <xf numFmtId="177" fontId="173" fillId="4" borderId="1" xfId="1" applyNumberFormat="1" applyFont="1" applyFill="1" applyBorder="1" applyAlignment="1" applyProtection="1">
      <protection locked="0"/>
    </xf>
    <xf numFmtId="0" fontId="174" fillId="4" borderId="1" xfId="29" applyFont="1" applyFill="1" applyBorder="1" applyAlignment="1">
      <alignment horizontal="right"/>
    </xf>
    <xf numFmtId="0" fontId="11" fillId="21" borderId="11" xfId="29" applyFont="1" applyFill="1" applyBorder="1" applyAlignment="1">
      <alignment horizontal="left" vertical="center"/>
    </xf>
    <xf numFmtId="0" fontId="176" fillId="17" borderId="1" xfId="0" applyFont="1" applyFill="1" applyBorder="1"/>
    <xf numFmtId="0" fontId="175" fillId="0" borderId="1" xfId="0" applyFont="1" applyBorder="1"/>
    <xf numFmtId="0" fontId="177" fillId="0" borderId="0" xfId="41" applyFont="1" applyAlignment="1">
      <alignment horizontal="center" vertical="center"/>
    </xf>
    <xf numFmtId="0" fontId="177" fillId="0" borderId="16" xfId="41" applyFont="1" applyBorder="1" applyAlignment="1">
      <alignment horizontal="center" vertical="center"/>
    </xf>
    <xf numFmtId="0" fontId="178" fillId="0" borderId="16" xfId="41" applyFont="1" applyBorder="1" applyAlignment="1">
      <alignment vertical="center"/>
    </xf>
    <xf numFmtId="0" fontId="177" fillId="0" borderId="16" xfId="41" applyFont="1" applyBorder="1" applyAlignment="1">
      <alignment vertical="center"/>
    </xf>
    <xf numFmtId="0" fontId="63" fillId="0" borderId="16" xfId="41" applyFont="1" applyBorder="1" applyAlignment="1">
      <alignment horizontal="center" vertical="center"/>
    </xf>
    <xf numFmtId="0" fontId="177" fillId="0" borderId="17" xfId="41" applyFont="1" applyBorder="1" applyAlignment="1">
      <alignment horizontal="center" vertical="center"/>
    </xf>
    <xf numFmtId="1" fontId="177" fillId="0" borderId="0" xfId="41" applyNumberFormat="1" applyFont="1" applyAlignment="1">
      <alignment vertical="center"/>
    </xf>
    <xf numFmtId="0" fontId="177" fillId="0" borderId="0" xfId="41" applyFont="1" applyAlignment="1">
      <alignment vertical="center"/>
    </xf>
    <xf numFmtId="0" fontId="63" fillId="0" borderId="0" xfId="41" applyFont="1" applyAlignment="1">
      <alignment horizontal="center" vertical="center"/>
    </xf>
    <xf numFmtId="0" fontId="177" fillId="0" borderId="12" xfId="41" applyFont="1" applyBorder="1" applyAlignment="1">
      <alignment horizontal="center" vertical="center"/>
    </xf>
    <xf numFmtId="0" fontId="177" fillId="0" borderId="11" xfId="41" applyFont="1" applyBorder="1" applyAlignment="1">
      <alignment horizontal="center" vertical="center"/>
    </xf>
    <xf numFmtId="0" fontId="177" fillId="0" borderId="44" xfId="41" applyFont="1" applyBorder="1" applyAlignment="1">
      <alignment horizontal="center" vertical="center"/>
    </xf>
    <xf numFmtId="0" fontId="177" fillId="0" borderId="26" xfId="41" applyFont="1" applyBorder="1" applyAlignment="1">
      <alignment horizontal="center" vertical="center"/>
    </xf>
    <xf numFmtId="0" fontId="177" fillId="0" borderId="49" xfId="41" applyFont="1" applyBorder="1" applyAlignment="1">
      <alignment horizontal="center" vertical="center"/>
    </xf>
    <xf numFmtId="0" fontId="177" fillId="0" borderId="30" xfId="41" applyFont="1" applyBorder="1" applyAlignment="1">
      <alignment horizontal="center" vertical="center"/>
    </xf>
    <xf numFmtId="0" fontId="10" fillId="31" borderId="0" xfId="41" applyFill="1"/>
    <xf numFmtId="0" fontId="10" fillId="0" borderId="0" xfId="41"/>
    <xf numFmtId="0" fontId="10" fillId="0" borderId="0" xfId="41" applyAlignment="1">
      <alignment horizontal="center"/>
    </xf>
    <xf numFmtId="0" fontId="101" fillId="0" borderId="1" xfId="42" applyFont="1" applyBorder="1">
      <alignment vertical="center"/>
    </xf>
    <xf numFmtId="0" fontId="101" fillId="0" borderId="1" xfId="42" applyFont="1" applyBorder="1" applyAlignment="1">
      <alignment horizontal="center" vertical="center"/>
    </xf>
    <xf numFmtId="0" fontId="101" fillId="32" borderId="1" xfId="42" applyFont="1" applyFill="1" applyBorder="1" applyAlignment="1">
      <alignment horizontal="center" vertical="center"/>
    </xf>
    <xf numFmtId="0" fontId="101" fillId="17" borderId="1" xfId="42" applyFont="1" applyFill="1" applyBorder="1" applyAlignment="1">
      <alignment horizontal="center" vertical="center"/>
    </xf>
    <xf numFmtId="49" fontId="10" fillId="0" borderId="1" xfId="41" applyNumberFormat="1" applyBorder="1" applyAlignment="1">
      <alignment horizontal="center"/>
    </xf>
    <xf numFmtId="1" fontId="184" fillId="0" borderId="42" xfId="41" applyNumberFormat="1" applyFont="1" applyBorder="1" applyAlignment="1">
      <alignment horizontal="center" vertical="center"/>
    </xf>
    <xf numFmtId="0" fontId="180" fillId="0" borderId="13" xfId="41" applyFont="1" applyBorder="1" applyAlignment="1" applyProtection="1">
      <alignment horizontal="center" vertical="center"/>
      <protection locked="0"/>
    </xf>
    <xf numFmtId="0" fontId="180" fillId="0" borderId="15" xfId="41" applyFont="1" applyBorder="1" applyAlignment="1" applyProtection="1">
      <alignment horizontal="center" vertical="center"/>
      <protection locked="0"/>
    </xf>
    <xf numFmtId="0" fontId="37" fillId="17" borderId="42" xfId="29" applyFill="1" applyBorder="1" applyAlignment="1">
      <alignment horizontal="right"/>
    </xf>
    <xf numFmtId="1" fontId="173" fillId="4" borderId="4" xfId="29" applyNumberFormat="1" applyFont="1" applyFill="1" applyBorder="1"/>
    <xf numFmtId="2" fontId="15" fillId="0" borderId="0" xfId="0" applyNumberFormat="1" applyFont="1" applyFill="1" applyBorder="1" applyProtection="1"/>
    <xf numFmtId="1" fontId="152" fillId="4" borderId="1" xfId="0" applyNumberFormat="1" applyFont="1" applyFill="1" applyBorder="1" applyAlignment="1" applyProtection="1">
      <alignment horizontal="left"/>
    </xf>
    <xf numFmtId="0" fontId="176" fillId="0" borderId="1" xfId="0" applyFont="1" applyBorder="1"/>
    <xf numFmtId="1" fontId="89" fillId="22" borderId="0" xfId="30" applyNumberFormat="1" applyFont="1" applyFill="1" applyBorder="1" applyAlignment="1">
      <alignment horizontal="right" vertical="center"/>
    </xf>
    <xf numFmtId="0" fontId="37" fillId="22" borderId="74" xfId="30" applyFont="1" applyFill="1" applyBorder="1" applyAlignment="1">
      <alignment horizontal="left" vertical="center"/>
    </xf>
    <xf numFmtId="1" fontId="89" fillId="22" borderId="13" xfId="30" applyNumberFormat="1" applyFont="1" applyFill="1" applyBorder="1" applyAlignment="1">
      <alignment horizontal="right" vertical="center"/>
    </xf>
    <xf numFmtId="0" fontId="93" fillId="22" borderId="14" xfId="30" applyNumberFormat="1" applyFont="1" applyFill="1" applyBorder="1" applyAlignment="1">
      <alignment horizontal="center" vertical="center"/>
    </xf>
    <xf numFmtId="0" fontId="13" fillId="0" borderId="14" xfId="30" applyFont="1" applyBorder="1" applyAlignment="1">
      <alignment horizontal="left" vertical="center"/>
    </xf>
    <xf numFmtId="0" fontId="9" fillId="22" borderId="73" xfId="30" applyFont="1" applyFill="1" applyBorder="1" applyAlignment="1">
      <alignment horizontal="left" vertical="center"/>
    </xf>
    <xf numFmtId="0" fontId="9" fillId="0" borderId="0" xfId="30" applyFont="1" applyBorder="1" applyAlignment="1">
      <alignment horizontal="left" vertical="center"/>
    </xf>
    <xf numFmtId="0" fontId="8" fillId="20" borderId="13" xfId="30" applyFont="1" applyFill="1" applyBorder="1" applyAlignment="1">
      <alignment horizontal="left" vertical="center"/>
    </xf>
    <xf numFmtId="1" fontId="0" fillId="4" borderId="1" xfId="0" applyNumberFormat="1" applyFill="1" applyBorder="1" applyAlignment="1" applyProtection="1">
      <alignment vertical="center"/>
      <protection locked="0"/>
    </xf>
    <xf numFmtId="0" fontId="7" fillId="0" borderId="25" xfId="29" applyFont="1" applyBorder="1"/>
    <xf numFmtId="0" fontId="7" fillId="0" borderId="11" xfId="29" applyFont="1" applyBorder="1"/>
    <xf numFmtId="0" fontId="37" fillId="0" borderId="11" xfId="29" applyBorder="1"/>
    <xf numFmtId="0" fontId="7" fillId="0" borderId="13" xfId="29" applyFont="1" applyBorder="1"/>
    <xf numFmtId="0" fontId="7" fillId="20" borderId="11" xfId="30" applyFont="1" applyFill="1" applyBorder="1" applyAlignment="1">
      <alignment horizontal="left" vertical="center"/>
    </xf>
    <xf numFmtId="0" fontId="95" fillId="0" borderId="11" xfId="29" applyFont="1" applyBorder="1"/>
    <xf numFmtId="0" fontId="6" fillId="20" borderId="13" xfId="30" applyFont="1" applyFill="1" applyBorder="1" applyAlignment="1">
      <alignment horizontal="left" vertical="center"/>
    </xf>
    <xf numFmtId="0" fontId="63" fillId="33" borderId="0" xfId="0" applyFont="1" applyFill="1"/>
    <xf numFmtId="0" fontId="63" fillId="33" borderId="1" xfId="0" applyFont="1" applyFill="1" applyBorder="1" applyAlignment="1">
      <alignment horizontal="center"/>
    </xf>
    <xf numFmtId="0" fontId="187" fillId="33" borderId="0" xfId="0" applyFont="1" applyFill="1"/>
    <xf numFmtId="0" fontId="63" fillId="33" borderId="1" xfId="0" applyFont="1" applyFill="1" applyBorder="1"/>
    <xf numFmtId="0" fontId="186" fillId="33" borderId="1" xfId="0" applyFont="1" applyFill="1" applyBorder="1"/>
    <xf numFmtId="0" fontId="186" fillId="33" borderId="0" xfId="0" applyFont="1" applyFill="1" applyAlignment="1">
      <alignment horizontal="right"/>
    </xf>
    <xf numFmtId="0" fontId="186" fillId="33" borderId="1" xfId="0" applyFont="1" applyFill="1" applyBorder="1" applyAlignment="1">
      <alignment horizontal="center"/>
    </xf>
    <xf numFmtId="0" fontId="189" fillId="5" borderId="1" xfId="0" applyFont="1" applyFill="1" applyBorder="1" applyAlignment="1">
      <alignment horizontal="center"/>
    </xf>
    <xf numFmtId="0" fontId="186" fillId="5" borderId="1" xfId="0" applyFont="1" applyFill="1" applyBorder="1" applyAlignment="1">
      <alignment horizontal="center"/>
    </xf>
    <xf numFmtId="1" fontId="63" fillId="33" borderId="1" xfId="0" applyNumberFormat="1" applyFont="1" applyFill="1" applyBorder="1" applyAlignment="1">
      <alignment horizontal="center" vertical="center"/>
    </xf>
    <xf numFmtId="0" fontId="63" fillId="33" borderId="1" xfId="0" applyFont="1" applyFill="1" applyBorder="1" applyAlignment="1">
      <alignment horizontal="center" vertical="center"/>
    </xf>
    <xf numFmtId="194" fontId="63" fillId="33" borderId="1" xfId="0" applyNumberFormat="1" applyFont="1" applyFill="1" applyBorder="1" applyAlignment="1">
      <alignment horizontal="center" vertical="center"/>
    </xf>
    <xf numFmtId="182" fontId="63" fillId="33" borderId="1" xfId="0" applyNumberFormat="1" applyFont="1" applyFill="1" applyBorder="1" applyAlignment="1">
      <alignment horizontal="center" vertical="center"/>
    </xf>
    <xf numFmtId="177" fontId="15" fillId="0" borderId="0" xfId="0" applyNumberFormat="1" applyFont="1"/>
    <xf numFmtId="177" fontId="152" fillId="0" borderId="1" xfId="0" applyNumberFormat="1" applyFont="1" applyBorder="1" applyProtection="1">
      <protection locked="0"/>
    </xf>
    <xf numFmtId="177" fontId="186" fillId="5" borderId="0" xfId="0" applyNumberFormat="1" applyFont="1" applyFill="1"/>
    <xf numFmtId="194" fontId="63" fillId="33" borderId="1" xfId="0" applyNumberFormat="1" applyFont="1" applyFill="1" applyBorder="1" applyAlignment="1">
      <alignment horizontal="center"/>
    </xf>
    <xf numFmtId="0" fontId="0" fillId="4" borderId="106" xfId="0" applyFill="1" applyBorder="1" applyProtection="1">
      <protection locked="0"/>
    </xf>
    <xf numFmtId="1" fontId="0" fillId="4" borderId="106" xfId="0" applyNumberFormat="1" applyFill="1" applyBorder="1" applyProtection="1">
      <protection locked="0"/>
    </xf>
    <xf numFmtId="1" fontId="0" fillId="0" borderId="0" xfId="0" applyNumberFormat="1" applyProtection="1">
      <protection locked="0"/>
    </xf>
    <xf numFmtId="0" fontId="0" fillId="0" borderId="0" xfId="0" applyProtection="1">
      <protection locked="0"/>
    </xf>
    <xf numFmtId="0" fontId="0" fillId="21" borderId="0" xfId="0" applyFill="1"/>
    <xf numFmtId="0" fontId="9" fillId="22" borderId="175" xfId="30" applyFont="1" applyFill="1" applyBorder="1" applyAlignment="1">
      <alignment horizontal="left" vertical="center"/>
    </xf>
    <xf numFmtId="1" fontId="89" fillId="22" borderId="5" xfId="30" applyNumberFormat="1" applyFont="1" applyFill="1" applyBorder="1" applyAlignment="1">
      <alignment horizontal="right" vertical="center"/>
    </xf>
    <xf numFmtId="0" fontId="93" fillId="22" borderId="5" xfId="30" applyNumberFormat="1" applyFont="1" applyFill="1" applyBorder="1" applyAlignment="1">
      <alignment horizontal="center" vertical="center"/>
    </xf>
    <xf numFmtId="0" fontId="13" fillId="0" borderId="5" xfId="30" applyFont="1" applyBorder="1" applyAlignment="1">
      <alignment horizontal="left" vertical="center"/>
    </xf>
    <xf numFmtId="0" fontId="5" fillId="22" borderId="73" xfId="30" applyFont="1" applyFill="1" applyBorder="1" applyAlignment="1">
      <alignment horizontal="left" vertical="center"/>
    </xf>
    <xf numFmtId="1" fontId="63" fillId="33" borderId="1" xfId="0" applyNumberFormat="1" applyFont="1" applyFill="1" applyBorder="1" applyAlignment="1">
      <alignment horizontal="center"/>
    </xf>
    <xf numFmtId="0" fontId="192" fillId="5" borderId="1" xfId="0" applyFont="1" applyFill="1" applyBorder="1" applyAlignment="1">
      <alignment horizontal="center" vertical="center"/>
    </xf>
    <xf numFmtId="0" fontId="190" fillId="33" borderId="1" xfId="0" applyFont="1" applyFill="1" applyBorder="1"/>
    <xf numFmtId="0" fontId="191" fillId="33" borderId="1" xfId="0" applyFont="1" applyFill="1" applyBorder="1"/>
    <xf numFmtId="0" fontId="193" fillId="33" borderId="1" xfId="0" applyFont="1" applyFill="1" applyBorder="1"/>
    <xf numFmtId="0" fontId="190" fillId="33" borderId="1" xfId="0" applyFont="1" applyFill="1" applyBorder="1" applyAlignment="1">
      <alignment horizontal="center" vertical="center"/>
    </xf>
    <xf numFmtId="0" fontId="191" fillId="33" borderId="1" xfId="0" applyFont="1" applyFill="1" applyBorder="1" applyAlignment="1">
      <alignment horizontal="center" vertical="center"/>
    </xf>
    <xf numFmtId="0" fontId="63" fillId="33" borderId="4" xfId="0" applyFont="1" applyFill="1" applyBorder="1" applyAlignment="1">
      <alignment horizontal="center" vertical="center"/>
    </xf>
    <xf numFmtId="0" fontId="63" fillId="33" borderId="25" xfId="0" applyFont="1" applyFill="1" applyBorder="1"/>
    <xf numFmtId="0" fontId="63" fillId="33" borderId="16" xfId="0" applyFont="1" applyFill="1" applyBorder="1"/>
    <xf numFmtId="0" fontId="63" fillId="33" borderId="17" xfId="0" applyFont="1" applyFill="1" applyBorder="1"/>
    <xf numFmtId="0" fontId="63" fillId="33" borderId="11" xfId="0" applyFont="1" applyFill="1" applyBorder="1"/>
    <xf numFmtId="0" fontId="63" fillId="33" borderId="0" xfId="0" applyFont="1" applyFill="1" applyBorder="1"/>
    <xf numFmtId="0" fontId="63" fillId="33" borderId="12" xfId="0" applyFont="1" applyFill="1" applyBorder="1"/>
    <xf numFmtId="0" fontId="63" fillId="33" borderId="13" xfId="0" applyFont="1" applyFill="1" applyBorder="1"/>
    <xf numFmtId="0" fontId="63" fillId="33" borderId="14" xfId="0" applyFont="1" applyFill="1" applyBorder="1"/>
    <xf numFmtId="0" fontId="63" fillId="33" borderId="15" xfId="0" applyFont="1" applyFill="1" applyBorder="1"/>
    <xf numFmtId="0" fontId="195" fillId="34" borderId="0" xfId="0" applyFont="1" applyFill="1"/>
    <xf numFmtId="1" fontId="196" fillId="0" borderId="1" xfId="43" applyNumberFormat="1" applyFont="1" applyBorder="1" applyAlignment="1">
      <alignment vertical="center"/>
    </xf>
    <xf numFmtId="1" fontId="63" fillId="33" borderId="1" xfId="0" applyNumberFormat="1" applyFont="1" applyFill="1" applyBorder="1"/>
    <xf numFmtId="9" fontId="63" fillId="33" borderId="1" xfId="16" applyFont="1" applyFill="1" applyBorder="1"/>
    <xf numFmtId="0" fontId="186" fillId="5" borderId="1" xfId="0" applyFont="1" applyFill="1" applyBorder="1" applyAlignment="1">
      <alignment horizontal="center"/>
    </xf>
    <xf numFmtId="0" fontId="63" fillId="33" borderId="1" xfId="0" applyFont="1" applyFill="1" applyBorder="1" applyAlignment="1">
      <alignment horizontal="center"/>
    </xf>
    <xf numFmtId="1" fontId="63" fillId="33" borderId="0" xfId="0" applyNumberFormat="1" applyFont="1" applyFill="1"/>
    <xf numFmtId="194" fontId="63" fillId="33" borderId="1" xfId="0" applyNumberFormat="1" applyFont="1" applyFill="1" applyBorder="1"/>
    <xf numFmtId="182" fontId="63" fillId="33" borderId="2" xfId="0" applyNumberFormat="1" applyFont="1" applyFill="1" applyBorder="1"/>
    <xf numFmtId="0" fontId="187" fillId="17" borderId="0" xfId="0" applyFont="1" applyFill="1"/>
    <xf numFmtId="9" fontId="152" fillId="4" borderId="1" xfId="16" applyFont="1" applyFill="1" applyBorder="1"/>
    <xf numFmtId="1" fontId="15" fillId="0" borderId="0" xfId="0" applyNumberFormat="1" applyFont="1" applyFill="1" applyBorder="1" applyAlignment="1" applyProtection="1">
      <alignment horizontal="right"/>
    </xf>
    <xf numFmtId="0" fontId="196" fillId="0" borderId="2" xfId="43" applyFont="1" applyBorder="1" applyAlignment="1">
      <alignment vertical="center"/>
    </xf>
    <xf numFmtId="1" fontId="196" fillId="0" borderId="2" xfId="43" applyNumberFormat="1" applyFont="1" applyBorder="1" applyAlignment="1">
      <alignment vertical="center"/>
    </xf>
    <xf numFmtId="1" fontId="62" fillId="0" borderId="1" xfId="43" applyNumberFormat="1" applyFont="1" applyBorder="1" applyAlignment="1">
      <alignment horizontal="right" vertical="center"/>
    </xf>
    <xf numFmtId="1" fontId="62" fillId="0" borderId="1" xfId="43" applyNumberFormat="1" applyFont="1" applyBorder="1" applyAlignment="1">
      <alignment vertical="center"/>
    </xf>
    <xf numFmtId="182" fontId="62" fillId="0" borderId="1" xfId="43" applyNumberFormat="1" applyFont="1" applyBorder="1" applyAlignment="1">
      <alignment vertical="center"/>
    </xf>
    <xf numFmtId="9" fontId="62" fillId="0" borderId="1" xfId="13" applyFont="1" applyBorder="1" applyAlignment="1">
      <alignment vertical="center"/>
    </xf>
    <xf numFmtId="0" fontId="62" fillId="0" borderId="1" xfId="43" applyFont="1" applyBorder="1" applyAlignment="1">
      <alignment vertical="center"/>
    </xf>
    <xf numFmtId="1" fontId="63" fillId="5" borderId="1" xfId="0" applyNumberFormat="1" applyFont="1" applyFill="1" applyBorder="1" applyAlignment="1">
      <alignment horizontal="center"/>
    </xf>
    <xf numFmtId="0" fontId="63" fillId="15" borderId="1" xfId="0" applyFont="1" applyFill="1" applyBorder="1" applyAlignment="1">
      <alignment horizontal="center"/>
    </xf>
    <xf numFmtId="1" fontId="63" fillId="15" borderId="1" xfId="0" applyNumberFormat="1" applyFont="1" applyFill="1" applyBorder="1" applyAlignment="1">
      <alignment horizontal="center"/>
    </xf>
    <xf numFmtId="0" fontId="177" fillId="0" borderId="16" xfId="41" applyFont="1" applyBorder="1" applyAlignment="1">
      <alignment horizontal="center" vertical="center"/>
    </xf>
    <xf numFmtId="0" fontId="63" fillId="0" borderId="16" xfId="41" applyFont="1" applyBorder="1" applyAlignment="1">
      <alignment horizontal="center" vertical="center"/>
    </xf>
    <xf numFmtId="0" fontId="177" fillId="0" borderId="26" xfId="41" applyFont="1" applyBorder="1" applyAlignment="1">
      <alignment horizontal="center" vertical="center"/>
    </xf>
    <xf numFmtId="0" fontId="177" fillId="0" borderId="30" xfId="41" applyFont="1" applyBorder="1" applyAlignment="1">
      <alignment horizontal="center" vertical="center"/>
    </xf>
    <xf numFmtId="0" fontId="177" fillId="0" borderId="44" xfId="41" applyFont="1" applyBorder="1" applyAlignment="1">
      <alignment horizontal="center" vertical="center"/>
    </xf>
    <xf numFmtId="0" fontId="177" fillId="0" borderId="17" xfId="41" applyFont="1" applyBorder="1" applyAlignment="1">
      <alignment horizontal="center" vertical="center"/>
    </xf>
    <xf numFmtId="0" fontId="177" fillId="0" borderId="11" xfId="41" applyFont="1" applyBorder="1" applyAlignment="1">
      <alignment horizontal="center" vertical="center"/>
    </xf>
    <xf numFmtId="0" fontId="177" fillId="0" borderId="12" xfId="41" applyFont="1" applyBorder="1" applyAlignment="1">
      <alignment horizontal="center" vertical="center"/>
    </xf>
    <xf numFmtId="0" fontId="8" fillId="20" borderId="11" xfId="30" applyFont="1" applyFill="1" applyBorder="1" applyAlignment="1">
      <alignment horizontal="left" vertical="center"/>
    </xf>
    <xf numFmtId="0" fontId="177" fillId="0" borderId="30" xfId="41" applyFont="1" applyBorder="1" applyAlignment="1">
      <alignment horizontal="center" vertical="center"/>
    </xf>
    <xf numFmtId="0" fontId="177" fillId="0" borderId="26" xfId="41" applyFont="1" applyBorder="1" applyAlignment="1">
      <alignment horizontal="center" vertical="center"/>
    </xf>
    <xf numFmtId="0" fontId="177" fillId="0" borderId="44" xfId="41" applyFont="1" applyBorder="1" applyAlignment="1">
      <alignment horizontal="center" vertical="center"/>
    </xf>
    <xf numFmtId="0" fontId="177" fillId="0" borderId="16" xfId="41" applyFont="1" applyBorder="1" applyAlignment="1">
      <alignment horizontal="center" vertical="center"/>
    </xf>
    <xf numFmtId="0" fontId="177" fillId="0" borderId="17" xfId="41" applyFont="1" applyBorder="1" applyAlignment="1">
      <alignment horizontal="center" vertical="center"/>
    </xf>
    <xf numFmtId="0" fontId="177" fillId="0" borderId="11" xfId="41" applyFont="1" applyBorder="1" applyAlignment="1">
      <alignment horizontal="center" vertical="center"/>
    </xf>
    <xf numFmtId="0" fontId="177" fillId="0" borderId="12" xfId="41" applyFont="1" applyBorder="1" applyAlignment="1">
      <alignment horizontal="center" vertical="center"/>
    </xf>
    <xf numFmtId="0" fontId="63" fillId="0" borderId="16" xfId="41" applyFont="1" applyBorder="1" applyAlignment="1">
      <alignment horizontal="center" vertical="center"/>
    </xf>
    <xf numFmtId="0" fontId="4" fillId="19" borderId="73" xfId="29" applyFont="1" applyFill="1" applyBorder="1" applyAlignment="1">
      <alignment horizontal="left" vertical="center"/>
    </xf>
    <xf numFmtId="1" fontId="15" fillId="17" borderId="42" xfId="0" applyNumberFormat="1" applyFont="1" applyFill="1" applyBorder="1" applyAlignment="1"/>
    <xf numFmtId="1" fontId="197" fillId="17" borderId="56" xfId="0" applyNumberFormat="1" applyFont="1" applyFill="1" applyBorder="1" applyAlignment="1">
      <alignment horizontal="right"/>
    </xf>
    <xf numFmtId="0" fontId="3" fillId="0" borderId="11" xfId="29" applyFont="1" applyBorder="1"/>
    <xf numFmtId="0" fontId="2" fillId="0" borderId="11" xfId="29" applyFont="1" applyFill="1" applyBorder="1"/>
    <xf numFmtId="177" fontId="197" fillId="0" borderId="1" xfId="0" applyNumberFormat="1" applyFont="1" applyBorder="1"/>
    <xf numFmtId="177" fontId="15" fillId="0" borderId="1" xfId="0" applyNumberFormat="1" applyFont="1" applyFill="1" applyBorder="1" applyProtection="1"/>
    <xf numFmtId="177" fontId="152" fillId="15" borderId="1" xfId="0" applyNumberFormat="1" applyFont="1" applyFill="1" applyBorder="1"/>
    <xf numFmtId="177" fontId="152" fillId="2" borderId="0" xfId="0" applyNumberFormat="1" applyFont="1" applyFill="1" applyBorder="1" applyAlignment="1" applyProtection="1">
      <alignment horizontal="right"/>
      <protection locked="0"/>
    </xf>
    <xf numFmtId="177" fontId="152" fillId="0" borderId="5" xfId="0" applyNumberFormat="1" applyFont="1" applyBorder="1" applyAlignment="1">
      <alignment horizontal="center"/>
    </xf>
    <xf numFmtId="177" fontId="156" fillId="0" borderId="7" xfId="0" applyNumberFormat="1" applyFont="1" applyBorder="1" applyAlignment="1">
      <alignment horizontal="center" vertical="center"/>
    </xf>
    <xf numFmtId="177" fontId="156" fillId="0" borderId="22" xfId="0" applyNumberFormat="1" applyFont="1" applyBorder="1" applyAlignment="1">
      <alignment horizontal="center" vertical="center"/>
    </xf>
    <xf numFmtId="177" fontId="156" fillId="0" borderId="5" xfId="0" applyNumberFormat="1" applyFont="1" applyBorder="1" applyAlignment="1">
      <alignment horizontal="center" vertical="center"/>
    </xf>
    <xf numFmtId="177" fontId="156" fillId="0" borderId="24" xfId="0" applyNumberFormat="1" applyFont="1" applyBorder="1" applyAlignment="1">
      <alignment horizontal="center" vertical="center"/>
    </xf>
    <xf numFmtId="1" fontId="152" fillId="0" borderId="41" xfId="0" applyNumberFormat="1" applyFont="1" applyBorder="1" applyAlignment="1">
      <alignment horizontal="center" vertical="center" wrapText="1"/>
    </xf>
    <xf numFmtId="1" fontId="152" fillId="0" borderId="92" xfId="0" applyNumberFormat="1" applyFont="1" applyBorder="1" applyAlignment="1">
      <alignment horizontal="center" vertical="center" wrapText="1"/>
    </xf>
    <xf numFmtId="177" fontId="156" fillId="0" borderId="19" xfId="0" applyNumberFormat="1" applyFont="1" applyBorder="1" applyAlignment="1">
      <alignment horizontal="center" vertical="center"/>
    </xf>
    <xf numFmtId="177" fontId="156" fillId="0" borderId="20" xfId="0" applyNumberFormat="1" applyFont="1" applyBorder="1" applyAlignment="1">
      <alignment horizontal="center" vertical="center"/>
    </xf>
    <xf numFmtId="177" fontId="152" fillId="0" borderId="0" xfId="0" applyNumberFormat="1" applyFont="1" applyAlignment="1">
      <alignment horizontal="right"/>
    </xf>
    <xf numFmtId="177" fontId="152" fillId="2" borderId="0" xfId="0" applyNumberFormat="1" applyFont="1" applyFill="1" applyAlignment="1" applyProtection="1">
      <alignment horizontal="right"/>
      <protection locked="0"/>
    </xf>
    <xf numFmtId="177" fontId="157" fillId="2" borderId="0" xfId="1" applyNumberFormat="1" applyFont="1" applyFill="1" applyAlignment="1" applyProtection="1">
      <alignment horizontal="right"/>
      <protection locked="0"/>
    </xf>
    <xf numFmtId="177" fontId="157" fillId="0" borderId="0" xfId="1" applyNumberFormat="1" applyFont="1" applyAlignment="1">
      <alignment horizontal="right"/>
    </xf>
    <xf numFmtId="177" fontId="152" fillId="9" borderId="17" xfId="0" applyNumberFormat="1" applyFont="1" applyFill="1" applyBorder="1" applyAlignment="1" applyProtection="1">
      <alignment horizontal="center" vertical="center"/>
      <protection locked="0"/>
    </xf>
    <xf numFmtId="177" fontId="152" fillId="9" borderId="15" xfId="0" applyNumberFormat="1" applyFont="1" applyFill="1" applyBorder="1" applyAlignment="1" applyProtection="1">
      <alignment horizontal="center" vertical="center"/>
      <protection locked="0"/>
    </xf>
    <xf numFmtId="177" fontId="151" fillId="0" borderId="0" xfId="0" applyNumberFormat="1" applyFont="1" applyFill="1" applyAlignment="1" applyProtection="1">
      <alignment horizontal="left" vertical="top" wrapText="1"/>
      <protection locked="0"/>
    </xf>
    <xf numFmtId="177" fontId="154" fillId="0" borderId="16" xfId="0" quotePrefix="1" applyNumberFormat="1" applyFont="1" applyBorder="1" applyAlignment="1">
      <alignment horizontal="center" vertical="center"/>
    </xf>
    <xf numFmtId="177" fontId="154" fillId="0" borderId="16" xfId="0" applyNumberFormat="1" applyFont="1" applyBorder="1" applyAlignment="1">
      <alignment horizontal="center" vertical="center"/>
    </xf>
    <xf numFmtId="177" fontId="152" fillId="0" borderId="25" xfId="0" applyNumberFormat="1" applyFont="1" applyBorder="1" applyAlignment="1">
      <alignment horizontal="center" vertical="center" wrapText="1"/>
    </xf>
    <xf numFmtId="177" fontId="152" fillId="0" borderId="17" xfId="0" applyNumberFormat="1" applyFont="1" applyBorder="1" applyAlignment="1">
      <alignment horizontal="center" vertical="center" wrapText="1"/>
    </xf>
    <xf numFmtId="177" fontId="152" fillId="0" borderId="13" xfId="0" applyNumberFormat="1" applyFont="1" applyBorder="1" applyAlignment="1">
      <alignment horizontal="center" vertical="center" wrapText="1"/>
    </xf>
    <xf numFmtId="177" fontId="152" fillId="0" borderId="15" xfId="0" applyNumberFormat="1" applyFont="1" applyBorder="1" applyAlignment="1">
      <alignment horizontal="center" vertical="center" wrapText="1"/>
    </xf>
    <xf numFmtId="195" fontId="155" fillId="2" borderId="16" xfId="0" applyNumberFormat="1" applyFont="1" applyFill="1" applyBorder="1" applyAlignment="1" applyProtection="1">
      <alignment horizontal="center" vertical="center"/>
      <protection locked="0"/>
    </xf>
    <xf numFmtId="195" fontId="155" fillId="2" borderId="17" xfId="0" applyNumberFormat="1" applyFont="1" applyFill="1" applyBorder="1" applyAlignment="1" applyProtection="1">
      <alignment horizontal="center" vertical="center"/>
      <protection locked="0"/>
    </xf>
    <xf numFmtId="195" fontId="155" fillId="2" borderId="14" xfId="0" applyNumberFormat="1" applyFont="1" applyFill="1" applyBorder="1" applyAlignment="1" applyProtection="1">
      <alignment horizontal="center" vertical="center"/>
      <protection locked="0"/>
    </xf>
    <xf numFmtId="195" fontId="155" fillId="2" borderId="15" xfId="0" applyNumberFormat="1" applyFont="1" applyFill="1" applyBorder="1" applyAlignment="1" applyProtection="1">
      <alignment horizontal="center" vertical="center"/>
      <protection locked="0"/>
    </xf>
    <xf numFmtId="2" fontId="157" fillId="2" borderId="16" xfId="1" applyNumberFormat="1" applyFont="1" applyFill="1" applyBorder="1" applyAlignment="1" applyProtection="1">
      <alignment horizontal="center"/>
      <protection locked="0"/>
    </xf>
    <xf numFmtId="177" fontId="152" fillId="0" borderId="0" xfId="0" applyNumberFormat="1" applyFont="1" applyAlignment="1">
      <alignment horizontal="center" vertical="center"/>
    </xf>
    <xf numFmtId="177" fontId="152" fillId="0" borderId="12" xfId="0" applyNumberFormat="1" applyFont="1" applyBorder="1" applyAlignment="1">
      <alignment horizontal="center" vertical="center"/>
    </xf>
    <xf numFmtId="1" fontId="150" fillId="4" borderId="38" xfId="5" applyNumberFormat="1" applyFont="1" applyFill="1" applyBorder="1" applyAlignment="1" applyProtection="1">
      <alignment horizontal="left" vertical="center"/>
    </xf>
    <xf numFmtId="1" fontId="150" fillId="4" borderId="39" xfId="5" applyNumberFormat="1" applyFont="1" applyFill="1" applyBorder="1" applyAlignment="1" applyProtection="1">
      <alignment horizontal="left" vertical="center"/>
    </xf>
    <xf numFmtId="177" fontId="150" fillId="4" borderId="58" xfId="5" applyNumberFormat="1" applyFont="1" applyFill="1" applyBorder="1" applyAlignment="1" applyProtection="1">
      <alignment horizontal="center" vertical="center"/>
    </xf>
    <xf numFmtId="177" fontId="150" fillId="4" borderId="39" xfId="5" applyNumberFormat="1" applyFont="1" applyFill="1" applyBorder="1" applyAlignment="1" applyProtection="1">
      <alignment horizontal="center" vertical="center"/>
    </xf>
    <xf numFmtId="195" fontId="155" fillId="0" borderId="25" xfId="0" applyNumberFormat="1" applyFont="1" applyFill="1" applyBorder="1" applyAlignment="1" applyProtection="1">
      <alignment horizontal="center" vertical="center"/>
      <protection locked="0"/>
    </xf>
    <xf numFmtId="195" fontId="155" fillId="0" borderId="16" xfId="0" applyNumberFormat="1" applyFont="1" applyFill="1" applyBorder="1" applyAlignment="1" applyProtection="1">
      <alignment horizontal="center" vertical="center"/>
      <protection locked="0"/>
    </xf>
    <xf numFmtId="195" fontId="155" fillId="0" borderId="13" xfId="0" applyNumberFormat="1" applyFont="1" applyFill="1" applyBorder="1" applyAlignment="1" applyProtection="1">
      <alignment horizontal="center" vertical="center"/>
      <protection locked="0"/>
    </xf>
    <xf numFmtId="195" fontId="155" fillId="0" borderId="14" xfId="0" applyNumberFormat="1" applyFont="1" applyFill="1" applyBorder="1" applyAlignment="1" applyProtection="1">
      <alignment horizontal="center" vertical="center"/>
      <protection locked="0"/>
    </xf>
    <xf numFmtId="177" fontId="152" fillId="2" borderId="16" xfId="0" applyNumberFormat="1" applyFont="1" applyFill="1" applyBorder="1" applyAlignment="1" applyProtection="1">
      <alignment horizontal="center"/>
      <protection locked="0"/>
    </xf>
    <xf numFmtId="195" fontId="155" fillId="0" borderId="16" xfId="0" applyNumberFormat="1" applyFont="1" applyFill="1" applyBorder="1" applyAlignment="1" applyProtection="1">
      <alignment horizontal="center" vertical="center"/>
    </xf>
    <xf numFmtId="195" fontId="155" fillId="0" borderId="17" xfId="0" applyNumberFormat="1" applyFont="1" applyFill="1" applyBorder="1" applyAlignment="1" applyProtection="1">
      <alignment horizontal="center" vertical="center"/>
    </xf>
    <xf numFmtId="195" fontId="155" fillId="0" borderId="14" xfId="0" applyNumberFormat="1" applyFont="1" applyFill="1" applyBorder="1" applyAlignment="1" applyProtection="1">
      <alignment horizontal="center" vertical="center"/>
    </xf>
    <xf numFmtId="195" fontId="155" fillId="0" borderId="15" xfId="0" applyNumberFormat="1" applyFont="1" applyFill="1" applyBorder="1" applyAlignment="1" applyProtection="1">
      <alignment horizontal="center" vertical="center"/>
    </xf>
    <xf numFmtId="177" fontId="150" fillId="4" borderId="58" xfId="5" applyNumberFormat="1" applyFont="1" applyFill="1" applyBorder="1" applyAlignment="1" applyProtection="1">
      <alignment horizontal="left" vertical="center"/>
      <protection locked="0"/>
    </xf>
    <xf numFmtId="177" fontId="150" fillId="4" borderId="38" xfId="5" applyNumberFormat="1" applyFont="1" applyFill="1" applyBorder="1" applyAlignment="1" applyProtection="1">
      <alignment horizontal="left" vertical="center"/>
      <protection locked="0"/>
    </xf>
    <xf numFmtId="177" fontId="150" fillId="4" borderId="87" xfId="5" applyNumberFormat="1" applyFont="1" applyFill="1" applyBorder="1" applyAlignment="1" applyProtection="1">
      <alignment horizontal="left" vertical="center"/>
      <protection locked="0"/>
    </xf>
    <xf numFmtId="177" fontId="152" fillId="0" borderId="192" xfId="0" applyNumberFormat="1" applyFont="1" applyBorder="1" applyAlignment="1">
      <alignment horizontal="center"/>
    </xf>
    <xf numFmtId="177" fontId="152" fillId="0" borderId="191" xfId="0" applyNumberFormat="1" applyFont="1" applyBorder="1" applyAlignment="1">
      <alignment horizontal="center"/>
    </xf>
    <xf numFmtId="177" fontId="152" fillId="0" borderId="13" xfId="0" applyNumberFormat="1" applyFont="1" applyBorder="1" applyAlignment="1">
      <alignment horizontal="center"/>
    </xf>
    <xf numFmtId="177" fontId="152" fillId="0" borderId="15" xfId="0" applyNumberFormat="1" applyFont="1" applyBorder="1" applyAlignment="1">
      <alignment horizontal="center"/>
    </xf>
    <xf numFmtId="2" fontId="3" fillId="2" borderId="16" xfId="1" applyNumberFormat="1" applyFont="1" applyFill="1" applyBorder="1" applyAlignment="1" applyProtection="1">
      <alignment horizontal="center"/>
      <protection locked="0"/>
    </xf>
    <xf numFmtId="177" fontId="156" fillId="0" borderId="25" xfId="0" applyNumberFormat="1" applyFont="1" applyBorder="1" applyAlignment="1">
      <alignment horizontal="center" vertical="center"/>
    </xf>
    <xf numFmtId="177" fontId="156" fillId="0" borderId="13" xfId="0" applyNumberFormat="1" applyFont="1" applyBorder="1" applyAlignment="1">
      <alignment horizontal="center" vertical="center"/>
    </xf>
    <xf numFmtId="177" fontId="156" fillId="0" borderId="16" xfId="0" applyNumberFormat="1" applyFont="1" applyBorder="1" applyAlignment="1">
      <alignment horizontal="center" vertical="center"/>
    </xf>
    <xf numFmtId="177" fontId="156" fillId="0" borderId="14" xfId="0" applyNumberFormat="1" applyFont="1" applyBorder="1" applyAlignment="1">
      <alignment horizontal="center" vertical="center"/>
    </xf>
    <xf numFmtId="182" fontId="156" fillId="0" borderId="17" xfId="0" applyNumberFormat="1" applyFont="1" applyBorder="1" applyAlignment="1">
      <alignment horizontal="center" vertical="center"/>
    </xf>
    <xf numFmtId="182" fontId="156" fillId="0" borderId="15" xfId="0" applyNumberFormat="1" applyFont="1" applyBorder="1" applyAlignment="1">
      <alignment horizontal="center" vertical="center"/>
    </xf>
    <xf numFmtId="0" fontId="189" fillId="5" borderId="1" xfId="0" applyFont="1" applyFill="1" applyBorder="1" applyAlignment="1">
      <alignment horizontal="center"/>
    </xf>
    <xf numFmtId="0" fontId="63" fillId="5" borderId="1" xfId="0" applyFont="1" applyFill="1" applyBorder="1" applyAlignment="1">
      <alignment horizontal="center"/>
    </xf>
    <xf numFmtId="0" fontId="63" fillId="33" borderId="0" xfId="0" applyFont="1" applyFill="1" applyAlignment="1">
      <alignment horizontal="center"/>
    </xf>
    <xf numFmtId="0" fontId="63" fillId="33" borderId="41" xfId="0" applyFont="1" applyFill="1" applyBorder="1" applyAlignment="1">
      <alignment horizontal="center"/>
    </xf>
    <xf numFmtId="0" fontId="186" fillId="17" borderId="1" xfId="0" applyFont="1" applyFill="1" applyBorder="1" applyAlignment="1">
      <alignment horizontal="center"/>
    </xf>
    <xf numFmtId="0" fontId="187" fillId="5" borderId="1" xfId="0" applyFont="1" applyFill="1" applyBorder="1" applyAlignment="1">
      <alignment horizontal="center"/>
    </xf>
    <xf numFmtId="0" fontId="63" fillId="33" borderId="1" xfId="0" applyFont="1" applyFill="1" applyBorder="1" applyAlignment="1">
      <alignment horizontal="center"/>
    </xf>
    <xf numFmtId="14" fontId="63" fillId="33" borderId="1" xfId="0" applyNumberFormat="1" applyFont="1" applyFill="1" applyBorder="1" applyAlignment="1">
      <alignment horizontal="center"/>
    </xf>
    <xf numFmtId="0" fontId="192" fillId="5" borderId="10" xfId="0" applyFont="1" applyFill="1" applyBorder="1" applyAlignment="1">
      <alignment horizontal="center"/>
    </xf>
    <xf numFmtId="0" fontId="192" fillId="5" borderId="0" xfId="0" applyFont="1" applyFill="1" applyBorder="1" applyAlignment="1">
      <alignment horizontal="center"/>
    </xf>
    <xf numFmtId="0" fontId="186" fillId="5" borderId="1" xfId="0" applyFont="1" applyFill="1" applyBorder="1" applyAlignment="1">
      <alignment horizontal="center"/>
    </xf>
    <xf numFmtId="0" fontId="186" fillId="5" borderId="5" xfId="0" applyFont="1" applyFill="1" applyBorder="1" applyAlignment="1">
      <alignment horizontal="center"/>
    </xf>
    <xf numFmtId="0" fontId="63" fillId="5" borderId="5" xfId="0" applyFont="1" applyFill="1" applyBorder="1" applyAlignment="1">
      <alignment horizontal="center"/>
    </xf>
    <xf numFmtId="0" fontId="63" fillId="33" borderId="42" xfId="0" applyFont="1" applyFill="1" applyBorder="1" applyAlignment="1">
      <alignment horizontal="center"/>
    </xf>
    <xf numFmtId="0" fontId="63" fillId="33" borderId="43" xfId="0" applyFont="1" applyFill="1" applyBorder="1" applyAlignment="1">
      <alignment horizontal="center"/>
    </xf>
    <xf numFmtId="0" fontId="63" fillId="33" borderId="56" xfId="0" applyFont="1" applyFill="1" applyBorder="1" applyAlignment="1">
      <alignment horizontal="center"/>
    </xf>
    <xf numFmtId="1" fontId="194" fillId="17" borderId="0" xfId="43" applyNumberFormat="1" applyFont="1" applyFill="1" applyAlignment="1">
      <alignment horizontal="right" vertical="center"/>
    </xf>
    <xf numFmtId="0" fontId="194" fillId="17" borderId="0" xfId="43" applyFont="1" applyFill="1" applyAlignment="1">
      <alignment horizontal="right" vertical="center"/>
    </xf>
    <xf numFmtId="177" fontId="68" fillId="0" borderId="11" xfId="1" applyNumberFormat="1" applyFont="1" applyFill="1" applyBorder="1" applyAlignment="1" applyProtection="1">
      <alignment horizontal="center" vertical="center"/>
    </xf>
    <xf numFmtId="177" fontId="68" fillId="0" borderId="12" xfId="1" applyNumberFormat="1" applyFont="1" applyFill="1" applyBorder="1" applyAlignment="1" applyProtection="1">
      <alignment horizontal="center" vertical="center"/>
    </xf>
    <xf numFmtId="9" fontId="68" fillId="0" borderId="13" xfId="16" applyFont="1" applyFill="1" applyBorder="1" applyAlignment="1" applyProtection="1">
      <alignment horizontal="center" vertical="center"/>
    </xf>
    <xf numFmtId="9" fontId="68" fillId="0" borderId="15" xfId="16" applyFont="1" applyFill="1" applyBorder="1" applyAlignment="1" applyProtection="1">
      <alignment horizontal="center" vertical="center"/>
    </xf>
    <xf numFmtId="1" fontId="68" fillId="0" borderId="55" xfId="0" applyNumberFormat="1" applyFont="1" applyBorder="1" applyAlignment="1">
      <alignment horizontal="center" vertical="center"/>
    </xf>
    <xf numFmtId="1" fontId="68" fillId="0" borderId="60" xfId="0" applyNumberFormat="1" applyFont="1" applyBorder="1" applyAlignment="1">
      <alignment horizontal="center" vertical="center"/>
    </xf>
    <xf numFmtId="1" fontId="68" fillId="0" borderId="20" xfId="0" applyNumberFormat="1" applyFont="1" applyBorder="1" applyAlignment="1">
      <alignment horizontal="center" vertical="center"/>
    </xf>
    <xf numFmtId="1" fontId="68" fillId="0" borderId="18" xfId="0" applyNumberFormat="1" applyFont="1" applyBorder="1" applyAlignment="1">
      <alignment horizontal="center" vertical="center"/>
    </xf>
    <xf numFmtId="177" fontId="117" fillId="4" borderId="213" xfId="5" applyNumberFormat="1" applyFont="1" applyFill="1" applyBorder="1" applyAlignment="1" applyProtection="1">
      <alignment horizontal="left" vertical="center"/>
    </xf>
    <xf numFmtId="177" fontId="117" fillId="4" borderId="212" xfId="5" applyNumberFormat="1" applyFont="1" applyFill="1" applyBorder="1" applyAlignment="1" applyProtection="1">
      <alignment horizontal="left" vertical="center"/>
    </xf>
    <xf numFmtId="177" fontId="68" fillId="0" borderId="7" xfId="0" applyNumberFormat="1" applyFont="1" applyFill="1" applyBorder="1" applyAlignment="1" applyProtection="1">
      <alignment horizontal="right" vertical="center"/>
    </xf>
    <xf numFmtId="177" fontId="68" fillId="0" borderId="48" xfId="0" applyNumberFormat="1" applyFont="1" applyFill="1" applyBorder="1" applyAlignment="1" applyProtection="1">
      <alignment horizontal="right" vertical="center"/>
    </xf>
    <xf numFmtId="177" fontId="68" fillId="0" borderId="0" xfId="1" applyNumberFormat="1" applyFont="1" applyFill="1" applyBorder="1" applyAlignment="1" applyProtection="1">
      <alignment horizontal="right" vertical="center"/>
    </xf>
    <xf numFmtId="177" fontId="68" fillId="0" borderId="41" xfId="1" applyNumberFormat="1" applyFont="1" applyFill="1" applyBorder="1" applyAlignment="1" applyProtection="1">
      <alignment horizontal="right" vertical="center"/>
    </xf>
    <xf numFmtId="177" fontId="68" fillId="0" borderId="14" xfId="1" applyNumberFormat="1" applyFont="1" applyFill="1" applyBorder="1" applyAlignment="1" applyProtection="1">
      <alignment horizontal="right" vertical="center"/>
    </xf>
    <xf numFmtId="177" fontId="68" fillId="0" borderId="92" xfId="1" applyNumberFormat="1" applyFont="1" applyFill="1" applyBorder="1" applyAlignment="1" applyProtection="1">
      <alignment horizontal="right" vertical="center"/>
    </xf>
    <xf numFmtId="177" fontId="117" fillId="4" borderId="38" xfId="5" applyNumberFormat="1" applyFont="1" applyFill="1" applyBorder="1" applyAlignment="1" applyProtection="1">
      <alignment horizontal="center" vertical="center"/>
    </xf>
    <xf numFmtId="177" fontId="117" fillId="4" borderId="39" xfId="5" applyNumberFormat="1" applyFont="1" applyFill="1" applyBorder="1" applyAlignment="1" applyProtection="1">
      <alignment horizontal="center" vertical="center"/>
    </xf>
    <xf numFmtId="177" fontId="117" fillId="4" borderId="58" xfId="5" applyNumberFormat="1" applyFont="1" applyFill="1" applyBorder="1" applyAlignment="1" applyProtection="1">
      <alignment horizontal="left" vertical="center"/>
    </xf>
    <xf numFmtId="177" fontId="117" fillId="4" borderId="38" xfId="5" applyNumberFormat="1" applyFont="1" applyFill="1" applyBorder="1" applyAlignment="1" applyProtection="1">
      <alignment horizontal="left" vertical="center"/>
    </xf>
    <xf numFmtId="177" fontId="117" fillId="4" borderId="87" xfId="5" applyNumberFormat="1" applyFont="1" applyFill="1" applyBorder="1" applyAlignment="1" applyProtection="1">
      <alignment horizontal="left" vertical="center"/>
    </xf>
    <xf numFmtId="177" fontId="72" fillId="0" borderId="37" xfId="1" applyNumberFormat="1" applyFont="1" applyBorder="1" applyAlignment="1">
      <alignment horizontal="center" vertical="center"/>
    </xf>
    <xf numFmtId="177" fontId="72" fillId="0" borderId="38" xfId="1" applyNumberFormat="1" applyFont="1" applyBorder="1" applyAlignment="1">
      <alignment horizontal="center" vertical="center"/>
    </xf>
    <xf numFmtId="177" fontId="72" fillId="0" borderId="39" xfId="1" applyNumberFormat="1" applyFont="1" applyBorder="1" applyAlignment="1">
      <alignment horizontal="center" vertical="center"/>
    </xf>
    <xf numFmtId="177" fontId="74" fillId="0" borderId="18" xfId="1" applyNumberFormat="1" applyFont="1" applyBorder="1" applyAlignment="1" applyProtection="1">
      <alignment horizontal="center" vertical="center"/>
    </xf>
    <xf numFmtId="177" fontId="74" fillId="0" borderId="20" xfId="1" applyNumberFormat="1" applyFont="1" applyBorder="1" applyAlignment="1" applyProtection="1">
      <alignment horizontal="center" vertical="center"/>
    </xf>
    <xf numFmtId="177" fontId="68" fillId="0" borderId="11" xfId="1" applyNumberFormat="1" applyFont="1" applyBorder="1" applyAlignment="1" applyProtection="1">
      <alignment horizontal="center" vertical="center"/>
    </xf>
    <xf numFmtId="177" fontId="68" fillId="0" borderId="12" xfId="1" applyNumberFormat="1" applyFont="1" applyBorder="1" applyAlignment="1" applyProtection="1">
      <alignment horizontal="center" vertical="center"/>
    </xf>
    <xf numFmtId="177" fontId="68" fillId="0" borderId="13" xfId="1" applyNumberFormat="1" applyFont="1" applyBorder="1" applyAlignment="1" applyProtection="1">
      <alignment horizontal="center" vertical="center"/>
    </xf>
    <xf numFmtId="177" fontId="68" fillId="0" borderId="15" xfId="1" applyNumberFormat="1" applyFont="1" applyBorder="1" applyAlignment="1" applyProtection="1">
      <alignment horizontal="center" vertical="center"/>
    </xf>
    <xf numFmtId="177" fontId="117" fillId="4" borderId="16" xfId="5" applyNumberFormat="1" applyFont="1" applyFill="1" applyBorder="1" applyAlignment="1" applyProtection="1">
      <alignment horizontal="center" vertical="center"/>
    </xf>
    <xf numFmtId="177" fontId="117" fillId="4" borderId="17" xfId="5" applyNumberFormat="1" applyFont="1" applyFill="1" applyBorder="1" applyAlignment="1" applyProtection="1">
      <alignment horizontal="center" vertical="center"/>
    </xf>
    <xf numFmtId="177" fontId="117" fillId="4" borderId="16" xfId="5" applyNumberFormat="1" applyFont="1" applyFill="1" applyBorder="1" applyAlignment="1" applyProtection="1">
      <alignment horizontal="left" vertical="center"/>
    </xf>
    <xf numFmtId="177" fontId="117" fillId="4" borderId="40" xfId="5" applyNumberFormat="1" applyFont="1" applyFill="1" applyBorder="1" applyAlignment="1" applyProtection="1">
      <alignment horizontal="left" vertical="center"/>
    </xf>
    <xf numFmtId="177" fontId="74" fillId="0" borderId="45" xfId="1" applyNumberFormat="1" applyFont="1" applyBorder="1" applyAlignment="1" applyProtection="1">
      <alignment horizontal="center" vertical="center"/>
    </xf>
    <xf numFmtId="177" fontId="74" fillId="0" borderId="47" xfId="1" applyNumberFormat="1" applyFont="1" applyBorder="1" applyAlignment="1" applyProtection="1">
      <alignment horizontal="center" vertical="center"/>
    </xf>
    <xf numFmtId="177" fontId="72" fillId="0" borderId="37" xfId="1" applyNumberFormat="1" applyFont="1" applyBorder="1" applyAlignment="1" applyProtection="1">
      <alignment horizontal="center" vertical="center"/>
    </xf>
    <xf numFmtId="177" fontId="72" fillId="0" borderId="38" xfId="1" applyNumberFormat="1" applyFont="1" applyBorder="1" applyAlignment="1" applyProtection="1">
      <alignment horizontal="center" vertical="center"/>
    </xf>
    <xf numFmtId="177" fontId="72" fillId="0" borderId="39" xfId="1" applyNumberFormat="1" applyFont="1" applyBorder="1" applyAlignment="1" applyProtection="1">
      <alignment horizontal="center" vertical="center"/>
    </xf>
    <xf numFmtId="177" fontId="74" fillId="0" borderId="19" xfId="1" applyNumberFormat="1" applyFont="1" applyBorder="1" applyAlignment="1" applyProtection="1">
      <alignment horizontal="center" vertical="center"/>
    </xf>
    <xf numFmtId="177" fontId="64" fillId="4" borderId="38" xfId="5" applyNumberFormat="1" applyFont="1" applyFill="1" applyBorder="1" applyAlignment="1" applyProtection="1">
      <alignment horizontal="center" vertical="center"/>
    </xf>
    <xf numFmtId="177" fontId="64" fillId="4" borderId="39" xfId="5" applyNumberFormat="1" applyFont="1" applyFill="1" applyBorder="1" applyAlignment="1" applyProtection="1">
      <alignment horizontal="center" vertical="center"/>
    </xf>
    <xf numFmtId="177" fontId="64" fillId="4" borderId="58" xfId="5" applyNumberFormat="1" applyFont="1" applyFill="1" applyBorder="1" applyAlignment="1" applyProtection="1">
      <alignment horizontal="left" vertical="center"/>
    </xf>
    <xf numFmtId="177" fontId="64" fillId="4" borderId="38" xfId="5" applyNumberFormat="1" applyFont="1" applyFill="1" applyBorder="1" applyAlignment="1" applyProtection="1">
      <alignment horizontal="left" vertical="center"/>
    </xf>
    <xf numFmtId="177" fontId="64" fillId="4" borderId="87" xfId="5" applyNumberFormat="1" applyFont="1" applyFill="1" applyBorder="1" applyAlignment="1" applyProtection="1">
      <alignment horizontal="left" vertical="center"/>
    </xf>
    <xf numFmtId="177" fontId="64" fillId="4" borderId="213" xfId="5" applyNumberFormat="1" applyFont="1" applyFill="1" applyBorder="1" applyAlignment="1" applyProtection="1">
      <alignment horizontal="left" vertical="center"/>
    </xf>
    <xf numFmtId="177" fontId="64" fillId="4" borderId="212" xfId="5" applyNumberFormat="1" applyFont="1" applyFill="1" applyBorder="1" applyAlignment="1" applyProtection="1">
      <alignment horizontal="left" vertical="center"/>
    </xf>
    <xf numFmtId="0" fontId="138" fillId="0" borderId="16" xfId="29" applyFont="1" applyBorder="1" applyAlignment="1">
      <alignment horizontal="center" vertical="center"/>
    </xf>
    <xf numFmtId="0" fontId="138" fillId="0" borderId="17" xfId="29" applyFont="1" applyBorder="1" applyAlignment="1">
      <alignment horizontal="center" vertical="center"/>
    </xf>
    <xf numFmtId="0" fontId="138" fillId="0" borderId="0" xfId="29" applyFont="1" applyBorder="1" applyAlignment="1">
      <alignment horizontal="center" vertical="center"/>
    </xf>
    <xf numFmtId="0" fontId="138" fillId="0" borderId="12" xfId="29" applyFont="1" applyBorder="1" applyAlignment="1">
      <alignment horizontal="center" vertical="center"/>
    </xf>
    <xf numFmtId="0" fontId="138" fillId="0" borderId="14" xfId="29" applyFont="1" applyBorder="1" applyAlignment="1">
      <alignment horizontal="center" vertical="center"/>
    </xf>
    <xf numFmtId="0" fontId="138" fillId="0" borderId="15" xfId="29" applyFont="1" applyBorder="1" applyAlignment="1">
      <alignment horizontal="center" vertical="center"/>
    </xf>
    <xf numFmtId="0" fontId="138" fillId="0" borderId="0" xfId="29" applyFont="1" applyBorder="1" applyAlignment="1">
      <alignment horizontal="left" vertical="center"/>
    </xf>
    <xf numFmtId="0" fontId="138" fillId="0" borderId="12" xfId="29" applyFont="1" applyBorder="1" applyAlignment="1">
      <alignment horizontal="left" vertical="center"/>
    </xf>
    <xf numFmtId="177" fontId="64" fillId="4" borderId="58" xfId="5" applyNumberFormat="1" applyFont="1" applyFill="1" applyBorder="1" applyAlignment="1" applyProtection="1">
      <alignment horizontal="center" vertical="center"/>
    </xf>
    <xf numFmtId="0" fontId="119" fillId="0" borderId="25" xfId="29" applyFont="1" applyBorder="1" applyAlignment="1">
      <alignment horizontal="center" vertical="center"/>
    </xf>
    <xf numFmtId="0" fontId="119" fillId="0" borderId="17" xfId="29" applyFont="1" applyBorder="1" applyAlignment="1">
      <alignment horizontal="center" vertical="center"/>
    </xf>
    <xf numFmtId="0" fontId="119" fillId="0" borderId="13" xfId="29" applyFont="1" applyBorder="1" applyAlignment="1">
      <alignment horizontal="center" vertical="center"/>
    </xf>
    <xf numFmtId="0" fontId="119" fillId="0" borderId="15" xfId="29" applyFont="1" applyBorder="1" applyAlignment="1">
      <alignment horizontal="center" vertical="center"/>
    </xf>
    <xf numFmtId="0" fontId="95" fillId="0" borderId="25" xfId="29" applyFont="1" applyBorder="1" applyAlignment="1">
      <alignment horizontal="center" vertical="center"/>
    </xf>
    <xf numFmtId="0" fontId="95" fillId="0" borderId="17" xfId="29" applyFont="1" applyBorder="1" applyAlignment="1">
      <alignment horizontal="center" vertical="center"/>
    </xf>
    <xf numFmtId="0" fontId="95" fillId="0" borderId="13" xfId="29" applyFont="1" applyBorder="1" applyAlignment="1">
      <alignment horizontal="center" vertical="center"/>
    </xf>
    <xf numFmtId="0" fontId="95" fillId="0" borderId="15" xfId="29" applyFont="1" applyBorder="1" applyAlignment="1">
      <alignment horizontal="center" vertical="center"/>
    </xf>
    <xf numFmtId="0" fontId="185" fillId="4" borderId="1" xfId="29" applyFont="1" applyFill="1" applyBorder="1" applyAlignment="1">
      <alignment horizontal="center"/>
    </xf>
    <xf numFmtId="14" fontId="86" fillId="0" borderId="45" xfId="41" applyNumberFormat="1" applyFont="1" applyBorder="1" applyAlignment="1" applyProtection="1">
      <alignment horizontal="center" vertical="center"/>
      <protection locked="0"/>
    </xf>
    <xf numFmtId="0" fontId="86" fillId="0" borderId="45" xfId="41" applyFont="1" applyBorder="1" applyAlignment="1" applyProtection="1">
      <alignment horizontal="center" vertical="center"/>
      <protection locked="0"/>
    </xf>
    <xf numFmtId="0" fontId="86" fillId="0" borderId="47" xfId="41" applyFont="1" applyBorder="1" applyAlignment="1" applyProtection="1">
      <alignment horizontal="center" vertical="center"/>
      <protection locked="0"/>
    </xf>
    <xf numFmtId="0" fontId="178" fillId="0" borderId="25" xfId="41" applyFont="1" applyBorder="1" applyAlignment="1">
      <alignment horizontal="center" vertical="center"/>
    </xf>
    <xf numFmtId="0" fontId="178" fillId="0" borderId="16" xfId="41" applyFont="1" applyBorder="1" applyAlignment="1">
      <alignment horizontal="center" vertical="center"/>
    </xf>
    <xf numFmtId="0" fontId="178" fillId="0" borderId="13" xfId="41" applyFont="1" applyBorder="1" applyAlignment="1">
      <alignment horizontal="center" vertical="center"/>
    </xf>
    <xf numFmtId="0" fontId="178" fillId="0" borderId="14" xfId="41" applyFont="1" applyBorder="1" applyAlignment="1">
      <alignment horizontal="center" vertical="center"/>
    </xf>
    <xf numFmtId="0" fontId="178" fillId="0" borderId="17" xfId="41" applyFont="1" applyBorder="1" applyAlignment="1">
      <alignment horizontal="center" vertical="center"/>
    </xf>
    <xf numFmtId="0" fontId="178" fillId="0" borderId="15" xfId="41" applyFont="1" applyBorder="1" applyAlignment="1">
      <alignment horizontal="center" vertical="center"/>
    </xf>
    <xf numFmtId="0" fontId="181" fillId="0" borderId="25" xfId="41" applyFont="1" applyBorder="1" applyAlignment="1">
      <alignment horizontal="center" vertical="center"/>
    </xf>
    <xf numFmtId="0" fontId="181" fillId="0" borderId="16" xfId="41" applyFont="1" applyBorder="1" applyAlignment="1">
      <alignment horizontal="center" vertical="center"/>
    </xf>
    <xf numFmtId="0" fontId="181" fillId="0" borderId="17" xfId="41" applyFont="1" applyBorder="1" applyAlignment="1">
      <alignment horizontal="center" vertical="center"/>
    </xf>
    <xf numFmtId="0" fontId="181" fillId="0" borderId="13" xfId="41" applyFont="1" applyBorder="1" applyAlignment="1">
      <alignment horizontal="center" vertical="center"/>
    </xf>
    <xf numFmtId="0" fontId="181" fillId="0" borderId="14" xfId="41" applyFont="1" applyBorder="1" applyAlignment="1">
      <alignment horizontal="center" vertical="center"/>
    </xf>
    <xf numFmtId="0" fontId="181" fillId="0" borderId="15" xfId="41" applyFont="1" applyBorder="1" applyAlignment="1">
      <alignment horizontal="center" vertical="center"/>
    </xf>
    <xf numFmtId="0" fontId="178" fillId="0" borderId="44" xfId="41" applyFont="1" applyBorder="1" applyAlignment="1">
      <alignment horizontal="center" vertical="center"/>
    </xf>
    <xf numFmtId="0" fontId="178" fillId="0" borderId="45" xfId="41" applyFont="1" applyBorder="1" applyAlignment="1">
      <alignment horizontal="center" vertical="center"/>
    </xf>
    <xf numFmtId="0" fontId="178" fillId="0" borderId="47" xfId="41" applyFont="1" applyBorder="1" applyAlignment="1">
      <alignment horizontal="center" vertical="center"/>
    </xf>
    <xf numFmtId="0" fontId="178" fillId="0" borderId="30" xfId="41" applyFont="1" applyBorder="1" applyAlignment="1">
      <alignment horizontal="center" vertical="center"/>
    </xf>
    <xf numFmtId="0" fontId="178" fillId="0" borderId="31" xfId="41" applyFont="1" applyBorder="1" applyAlignment="1">
      <alignment horizontal="center" vertical="center"/>
    </xf>
    <xf numFmtId="0" fontId="178" fillId="0" borderId="32" xfId="41" applyFont="1" applyBorder="1" applyAlignment="1">
      <alignment horizontal="center" vertical="center"/>
    </xf>
    <xf numFmtId="0" fontId="177" fillId="0" borderId="30" xfId="41" applyFont="1" applyBorder="1" applyAlignment="1">
      <alignment horizontal="center" vertical="center"/>
    </xf>
    <xf numFmtId="0" fontId="177" fillId="0" borderId="31" xfId="41" applyFont="1" applyBorder="1" applyAlignment="1">
      <alignment horizontal="center" vertical="center"/>
    </xf>
    <xf numFmtId="0" fontId="177" fillId="0" borderId="31" xfId="41" applyFont="1" applyBorder="1" applyAlignment="1" applyProtection="1">
      <alignment horizontal="center" vertical="center"/>
      <protection locked="0"/>
    </xf>
    <xf numFmtId="14" fontId="86" fillId="0" borderId="31" xfId="41" applyNumberFormat="1" applyFont="1" applyBorder="1" applyAlignment="1" applyProtection="1">
      <alignment horizontal="center" vertical="center"/>
      <protection locked="0"/>
    </xf>
    <xf numFmtId="0" fontId="86" fillId="0" borderId="31" xfId="41" applyFont="1" applyBorder="1" applyAlignment="1" applyProtection="1">
      <alignment horizontal="center" vertical="center"/>
      <protection locked="0"/>
    </xf>
    <xf numFmtId="0" fontId="86" fillId="0" borderId="32" xfId="41" applyFont="1" applyBorder="1" applyAlignment="1" applyProtection="1">
      <alignment horizontal="center" vertical="center"/>
      <protection locked="0"/>
    </xf>
    <xf numFmtId="0" fontId="177" fillId="0" borderId="26" xfId="41" applyFont="1" applyBorder="1" applyAlignment="1">
      <alignment horizontal="center" vertical="center"/>
    </xf>
    <xf numFmtId="0" fontId="177" fillId="0" borderId="1" xfId="41" applyFont="1" applyBorder="1" applyAlignment="1">
      <alignment horizontal="left" vertical="center" wrapText="1"/>
    </xf>
    <xf numFmtId="0" fontId="177" fillId="0" borderId="42" xfId="41" applyFont="1" applyBorder="1" applyAlignment="1">
      <alignment horizontal="left" vertical="center" wrapText="1"/>
    </xf>
    <xf numFmtId="0" fontId="177" fillId="0" borderId="31" xfId="41" applyFont="1" applyBorder="1" applyAlignment="1">
      <alignment horizontal="left" vertical="center" wrapText="1"/>
    </xf>
    <xf numFmtId="0" fontId="177" fillId="0" borderId="54" xfId="41" applyFont="1" applyBorder="1" applyAlignment="1">
      <alignment horizontal="left" vertical="center" wrapText="1"/>
    </xf>
    <xf numFmtId="0" fontId="177" fillId="0" borderId="33" xfId="41" applyFont="1" applyBorder="1" applyAlignment="1">
      <alignment horizontal="center" vertical="center" wrapText="1"/>
    </xf>
    <xf numFmtId="0" fontId="177" fillId="0" borderId="4" xfId="41" applyFont="1" applyBorder="1" applyAlignment="1">
      <alignment horizontal="center" vertical="center" wrapText="1"/>
    </xf>
    <xf numFmtId="0" fontId="177" fillId="0" borderId="30" xfId="41" applyFont="1" applyBorder="1" applyAlignment="1">
      <alignment horizontal="center" vertical="center" wrapText="1"/>
    </xf>
    <xf numFmtId="0" fontId="177" fillId="0" borderId="31" xfId="41" applyFont="1" applyBorder="1" applyAlignment="1">
      <alignment horizontal="center" vertical="center" wrapText="1"/>
    </xf>
    <xf numFmtId="0" fontId="177" fillId="0" borderId="4" xfId="41" applyFont="1" applyBorder="1" applyAlignment="1">
      <alignment horizontal="center" vertical="center"/>
    </xf>
    <xf numFmtId="0" fontId="177" fillId="0" borderId="47" xfId="41" applyFont="1" applyBorder="1" applyAlignment="1">
      <alignment horizontal="center" vertical="center"/>
    </xf>
    <xf numFmtId="0" fontId="177" fillId="0" borderId="32" xfId="41" applyFont="1" applyBorder="1" applyAlignment="1">
      <alignment horizontal="center" vertical="center"/>
    </xf>
    <xf numFmtId="0" fontId="177" fillId="0" borderId="44" xfId="41" applyFont="1" applyBorder="1" applyAlignment="1">
      <alignment horizontal="center" vertical="center"/>
    </xf>
    <xf numFmtId="0" fontId="177" fillId="0" borderId="45" xfId="41" applyFont="1" applyBorder="1" applyAlignment="1">
      <alignment horizontal="center" vertical="center"/>
    </xf>
    <xf numFmtId="0" fontId="177" fillId="0" borderId="45" xfId="41" applyFont="1" applyBorder="1" applyAlignment="1" applyProtection="1">
      <alignment horizontal="center" vertical="center"/>
      <protection locked="0"/>
    </xf>
    <xf numFmtId="0" fontId="177" fillId="0" borderId="25" xfId="41" applyFont="1" applyBorder="1" applyAlignment="1">
      <alignment horizontal="center" vertical="center"/>
    </xf>
    <xf numFmtId="0" fontId="177" fillId="0" borderId="16" xfId="41" applyFont="1" applyBorder="1" applyAlignment="1">
      <alignment horizontal="center" vertical="center"/>
    </xf>
    <xf numFmtId="0" fontId="177" fillId="0" borderId="17" xfId="41" applyFont="1" applyBorder="1" applyAlignment="1">
      <alignment horizontal="center" vertical="center"/>
    </xf>
    <xf numFmtId="0" fontId="177" fillId="0" borderId="11" xfId="41" applyFont="1" applyBorder="1" applyAlignment="1">
      <alignment horizontal="center" vertical="center"/>
    </xf>
    <xf numFmtId="0" fontId="177" fillId="0" borderId="0" xfId="41" applyFont="1" applyBorder="1" applyAlignment="1">
      <alignment horizontal="center" vertical="center"/>
    </xf>
    <xf numFmtId="0" fontId="177" fillId="0" borderId="12" xfId="41" applyFont="1" applyBorder="1" applyAlignment="1">
      <alignment horizontal="center" vertical="center"/>
    </xf>
    <xf numFmtId="0" fontId="177" fillId="0" borderId="13" xfId="41" applyFont="1" applyBorder="1" applyAlignment="1">
      <alignment horizontal="center" vertical="center"/>
    </xf>
    <xf numFmtId="0" fontId="177" fillId="0" borderId="14" xfId="41" applyFont="1" applyBorder="1" applyAlignment="1">
      <alignment horizontal="center" vertical="center"/>
    </xf>
    <xf numFmtId="0" fontId="177" fillId="0" borderId="15" xfId="41" applyFont="1" applyBorder="1" applyAlignment="1">
      <alignment horizontal="center" vertical="center"/>
    </xf>
    <xf numFmtId="1" fontId="177" fillId="0" borderId="6" xfId="41" applyNumberFormat="1" applyFont="1" applyBorder="1" applyAlignment="1" applyProtection="1">
      <alignment horizontal="center" vertical="center"/>
      <protection locked="0"/>
    </xf>
    <xf numFmtId="1" fontId="177" fillId="0" borderId="7" xfId="41" applyNumberFormat="1" applyFont="1" applyBorder="1" applyAlignment="1" applyProtection="1">
      <alignment horizontal="center" vertical="center"/>
      <protection locked="0"/>
    </xf>
    <xf numFmtId="1" fontId="177" fillId="0" borderId="48" xfId="41" applyNumberFormat="1" applyFont="1" applyBorder="1" applyAlignment="1" applyProtection="1">
      <alignment horizontal="center" vertical="center"/>
      <protection locked="0"/>
    </xf>
    <xf numFmtId="0" fontId="177" fillId="0" borderId="6" xfId="41" applyFont="1" applyBorder="1" applyAlignment="1">
      <alignment horizontal="center" vertical="center"/>
    </xf>
    <xf numFmtId="0" fontId="177" fillId="0" borderId="22" xfId="41" applyFont="1" applyBorder="1" applyAlignment="1">
      <alignment horizontal="center" vertical="center"/>
    </xf>
    <xf numFmtId="1" fontId="180" fillId="0" borderId="43" xfId="41" applyNumberFormat="1" applyFont="1" applyBorder="1" applyAlignment="1" applyProtection="1">
      <alignment horizontal="left" vertical="center"/>
      <protection locked="0"/>
    </xf>
    <xf numFmtId="1" fontId="180" fillId="0" borderId="56" xfId="41" applyNumberFormat="1" applyFont="1" applyBorder="1" applyAlignment="1" applyProtection="1">
      <alignment horizontal="left" vertical="center"/>
      <protection locked="0"/>
    </xf>
    <xf numFmtId="1" fontId="177" fillId="0" borderId="8" xfId="41" applyNumberFormat="1" applyFont="1" applyBorder="1" applyAlignment="1" applyProtection="1">
      <alignment horizontal="center" vertical="center"/>
      <protection locked="0"/>
    </xf>
    <xf numFmtId="1" fontId="177" fillId="0" borderId="5" xfId="41" applyNumberFormat="1" applyFont="1" applyBorder="1" applyAlignment="1" applyProtection="1">
      <alignment horizontal="center" vertical="center"/>
      <protection locked="0"/>
    </xf>
    <xf numFmtId="1" fontId="177" fillId="0" borderId="9" xfId="41" applyNumberFormat="1" applyFont="1" applyBorder="1" applyAlignment="1" applyProtection="1">
      <alignment horizontal="center" vertical="center"/>
      <protection locked="0"/>
    </xf>
    <xf numFmtId="0" fontId="177" fillId="0" borderId="8" xfId="41" applyFont="1" applyBorder="1" applyAlignment="1">
      <alignment horizontal="center" vertical="center"/>
    </xf>
    <xf numFmtId="0" fontId="177" fillId="0" borderId="24" xfId="41" applyFont="1" applyBorder="1" applyAlignment="1">
      <alignment horizontal="center" vertical="center"/>
    </xf>
    <xf numFmtId="0" fontId="177" fillId="0" borderId="42" xfId="41" applyFont="1" applyBorder="1" applyAlignment="1">
      <alignment horizontal="center" vertical="center"/>
    </xf>
    <xf numFmtId="0" fontId="177" fillId="0" borderId="50" xfId="41" applyFont="1" applyBorder="1" applyAlignment="1">
      <alignment horizontal="center" vertical="center"/>
    </xf>
    <xf numFmtId="1" fontId="177" fillId="0" borderId="42" xfId="41" applyNumberFormat="1" applyFont="1" applyBorder="1" applyAlignment="1" applyProtection="1">
      <alignment horizontal="center" vertical="center"/>
      <protection locked="0"/>
    </xf>
    <xf numFmtId="1" fontId="177" fillId="0" borderId="43" xfId="41" applyNumberFormat="1" applyFont="1" applyBorder="1" applyAlignment="1" applyProtection="1">
      <alignment horizontal="center" vertical="center"/>
      <protection locked="0"/>
    </xf>
    <xf numFmtId="1" fontId="177" fillId="0" borderId="56" xfId="41" applyNumberFormat="1" applyFont="1" applyBorder="1" applyAlignment="1" applyProtection="1">
      <alignment horizontal="center" vertical="center"/>
      <protection locked="0"/>
    </xf>
    <xf numFmtId="0" fontId="177" fillId="0" borderId="43" xfId="41" applyFont="1" applyBorder="1" applyAlignment="1">
      <alignment horizontal="center" vertical="center"/>
    </xf>
    <xf numFmtId="49" fontId="183" fillId="0" borderId="37" xfId="41" applyNumberFormat="1" applyFont="1" applyBorder="1" applyAlignment="1" applyProtection="1">
      <alignment horizontal="center" vertical="center"/>
      <protection locked="0"/>
    </xf>
    <xf numFmtId="49" fontId="183" fillId="0" borderId="38" xfId="41" applyNumberFormat="1" applyFont="1" applyBorder="1" applyAlignment="1" applyProtection="1">
      <alignment horizontal="center" vertical="center"/>
      <protection locked="0"/>
    </xf>
    <xf numFmtId="49" fontId="183" fillId="0" borderId="39" xfId="41" applyNumberFormat="1" applyFont="1" applyBorder="1" applyAlignment="1" applyProtection="1">
      <alignment horizontal="center" vertical="center"/>
      <protection locked="0"/>
    </xf>
    <xf numFmtId="1" fontId="177" fillId="0" borderId="54" xfId="41" applyNumberFormat="1" applyFont="1" applyBorder="1" applyAlignment="1" applyProtection="1">
      <alignment horizontal="center" vertical="center"/>
      <protection locked="0"/>
    </xf>
    <xf numFmtId="1" fontId="177" fillId="0" borderId="52" xfId="41" applyNumberFormat="1" applyFont="1" applyBorder="1" applyAlignment="1" applyProtection="1">
      <alignment horizontal="center" vertical="center"/>
      <protection locked="0"/>
    </xf>
    <xf numFmtId="1" fontId="177" fillId="0" borderId="222" xfId="41" applyNumberFormat="1" applyFont="1" applyBorder="1" applyAlignment="1" applyProtection="1">
      <alignment horizontal="center" vertical="center"/>
      <protection locked="0"/>
    </xf>
    <xf numFmtId="0" fontId="177" fillId="0" borderId="54" xfId="41" applyFont="1" applyBorder="1" applyAlignment="1">
      <alignment horizontal="center" vertical="center"/>
    </xf>
    <xf numFmtId="0" fontId="177" fillId="0" borderId="53" xfId="41" applyFont="1" applyBorder="1" applyAlignment="1">
      <alignment horizontal="center" vertical="center"/>
    </xf>
    <xf numFmtId="1" fontId="177" fillId="0" borderId="42" xfId="41" applyNumberFormat="1" applyFont="1" applyBorder="1" applyAlignment="1">
      <alignment horizontal="center" vertical="center"/>
    </xf>
    <xf numFmtId="1" fontId="177" fillId="0" borderId="43" xfId="41" applyNumberFormat="1" applyFont="1" applyBorder="1" applyAlignment="1">
      <alignment horizontal="center" vertical="center"/>
    </xf>
    <xf numFmtId="1" fontId="177" fillId="0" borderId="56" xfId="41" applyNumberFormat="1" applyFont="1" applyBorder="1" applyAlignment="1">
      <alignment horizontal="center" vertical="center"/>
    </xf>
    <xf numFmtId="0" fontId="177" fillId="0" borderId="37" xfId="41" applyFont="1" applyBorder="1" applyAlignment="1">
      <alignment horizontal="center" vertical="center"/>
    </xf>
    <xf numFmtId="0" fontId="177" fillId="0" borderId="38" xfId="41" applyFont="1" applyBorder="1" applyAlignment="1">
      <alignment horizontal="center" vertical="center"/>
    </xf>
    <xf numFmtId="0" fontId="177" fillId="0" borderId="87" xfId="41" applyFont="1" applyBorder="1" applyAlignment="1">
      <alignment horizontal="center" vertical="center"/>
    </xf>
    <xf numFmtId="0" fontId="177" fillId="4" borderId="58" xfId="41" applyFont="1" applyFill="1" applyBorder="1" applyAlignment="1" applyProtection="1">
      <alignment horizontal="center" vertical="center"/>
      <protection locked="0"/>
    </xf>
    <xf numFmtId="0" fontId="177" fillId="4" borderId="38" xfId="41" applyFont="1" applyFill="1" applyBorder="1" applyAlignment="1" applyProtection="1">
      <alignment horizontal="center" vertical="center"/>
      <protection locked="0"/>
    </xf>
    <xf numFmtId="0" fontId="177" fillId="4" borderId="39" xfId="41" applyFont="1" applyFill="1" applyBorder="1" applyAlignment="1" applyProtection="1">
      <alignment horizontal="center" vertical="center"/>
      <protection locked="0"/>
    </xf>
    <xf numFmtId="0" fontId="177" fillId="0" borderId="39" xfId="41" applyFont="1" applyBorder="1" applyAlignment="1">
      <alignment horizontal="center" vertical="center"/>
    </xf>
    <xf numFmtId="1" fontId="177" fillId="0" borderId="55" xfId="41" applyNumberFormat="1" applyFont="1" applyBorder="1" applyAlignment="1" applyProtection="1">
      <alignment horizontal="center" vertical="center"/>
      <protection locked="0"/>
    </xf>
    <xf numFmtId="1" fontId="177" fillId="0" borderId="19" xfId="41" applyNumberFormat="1" applyFont="1" applyBorder="1" applyAlignment="1" applyProtection="1">
      <alignment horizontal="center" vertical="center"/>
      <protection locked="0"/>
    </xf>
    <xf numFmtId="1" fontId="177" fillId="0" borderId="60" xfId="41" applyNumberFormat="1" applyFont="1" applyBorder="1" applyAlignment="1" applyProtection="1">
      <alignment horizontal="center" vertical="center"/>
      <protection locked="0"/>
    </xf>
    <xf numFmtId="0" fontId="177" fillId="0" borderId="55" xfId="41" applyFont="1" applyBorder="1" applyAlignment="1">
      <alignment horizontal="center" vertical="center"/>
    </xf>
    <xf numFmtId="0" fontId="177" fillId="0" borderId="19" xfId="41" applyFont="1" applyBorder="1" applyAlignment="1">
      <alignment horizontal="center" vertical="center"/>
    </xf>
    <xf numFmtId="0" fontId="178" fillId="0" borderId="57" xfId="41" applyFont="1" applyBorder="1" applyAlignment="1" applyProtection="1">
      <alignment horizontal="center" vertical="center"/>
      <protection locked="0"/>
    </xf>
    <xf numFmtId="0" fontId="178" fillId="0" borderId="213" xfId="41" applyFont="1" applyBorder="1" applyAlignment="1" applyProtection="1">
      <alignment horizontal="center" vertical="center"/>
      <protection locked="0"/>
    </xf>
    <xf numFmtId="0" fontId="178" fillId="0" borderId="212" xfId="41" applyFont="1" applyBorder="1" applyAlignment="1" applyProtection="1">
      <alignment horizontal="center" vertical="center"/>
      <protection locked="0"/>
    </xf>
    <xf numFmtId="1" fontId="177" fillId="0" borderId="25" xfId="41" applyNumberFormat="1" applyFont="1" applyBorder="1" applyAlignment="1" applyProtection="1">
      <alignment horizontal="center" vertical="center"/>
      <protection locked="0"/>
    </xf>
    <xf numFmtId="0" fontId="177" fillId="0" borderId="16" xfId="41" applyFont="1" applyBorder="1" applyAlignment="1" applyProtection="1">
      <alignment horizontal="center" vertical="center"/>
      <protection locked="0"/>
    </xf>
    <xf numFmtId="0" fontId="177" fillId="0" borderId="17" xfId="41" applyFont="1" applyBorder="1" applyAlignment="1" applyProtection="1">
      <alignment horizontal="center" vertical="center"/>
      <protection locked="0"/>
    </xf>
    <xf numFmtId="0" fontId="177" fillId="4" borderId="37" xfId="41" applyFont="1" applyFill="1" applyBorder="1" applyAlignment="1">
      <alignment horizontal="center" vertical="center"/>
    </xf>
    <xf numFmtId="0" fontId="177" fillId="4" borderId="38" xfId="41" applyFont="1" applyFill="1" applyBorder="1" applyAlignment="1">
      <alignment horizontal="center" vertical="center"/>
    </xf>
    <xf numFmtId="0" fontId="177" fillId="4" borderId="39" xfId="41" applyFont="1" applyFill="1" applyBorder="1" applyAlignment="1">
      <alignment horizontal="center" vertical="center"/>
    </xf>
    <xf numFmtId="0" fontId="59" fillId="0" borderId="25" xfId="41" applyFont="1" applyBorder="1" applyAlignment="1">
      <alignment horizontal="center" vertical="center"/>
    </xf>
    <xf numFmtId="0" fontId="59" fillId="0" borderId="16" xfId="41" applyFont="1" applyBorder="1" applyAlignment="1">
      <alignment horizontal="center" vertical="center"/>
    </xf>
    <xf numFmtId="0" fontId="59" fillId="0" borderId="17" xfId="41" applyFont="1" applyBorder="1" applyAlignment="1">
      <alignment horizontal="center" vertical="center"/>
    </xf>
    <xf numFmtId="0" fontId="59" fillId="0" borderId="13" xfId="41" applyFont="1" applyBorder="1" applyAlignment="1">
      <alignment horizontal="center" vertical="center"/>
    </xf>
    <xf numFmtId="0" fontId="59" fillId="0" borderId="14" xfId="41" applyFont="1" applyBorder="1" applyAlignment="1">
      <alignment horizontal="center" vertical="center"/>
    </xf>
    <xf numFmtId="0" fontId="59" fillId="0" borderId="15" xfId="41" applyFont="1" applyBorder="1" applyAlignment="1">
      <alignment horizontal="center" vertical="center"/>
    </xf>
    <xf numFmtId="0" fontId="177" fillId="0" borderId="40" xfId="41" applyFont="1" applyBorder="1" applyAlignment="1">
      <alignment horizontal="center" vertical="center"/>
    </xf>
    <xf numFmtId="0" fontId="177" fillId="0" borderId="92" xfId="41" applyFont="1" applyBorder="1" applyAlignment="1">
      <alignment horizontal="center" vertical="center"/>
    </xf>
    <xf numFmtId="0" fontId="63" fillId="0" borderId="98" xfId="41" applyFont="1" applyBorder="1" applyAlignment="1">
      <alignment horizontal="center" vertical="center"/>
    </xf>
    <xf numFmtId="0" fontId="63" fillId="0" borderId="16" xfId="41" applyFont="1" applyBorder="1" applyAlignment="1">
      <alignment horizontal="center" vertical="center"/>
    </xf>
    <xf numFmtId="0" fontId="63" fillId="0" borderId="17" xfId="41" applyFont="1" applyBorder="1" applyAlignment="1">
      <alignment horizontal="center" vertical="center"/>
    </xf>
    <xf numFmtId="0" fontId="63" fillId="0" borderId="61" xfId="41" applyFont="1" applyBorder="1" applyAlignment="1">
      <alignment horizontal="center" vertical="center"/>
    </xf>
    <xf numFmtId="0" fontId="63" fillId="0" borderId="14" xfId="41" applyFont="1" applyBorder="1" applyAlignment="1">
      <alignment horizontal="center" vertical="center"/>
    </xf>
    <xf numFmtId="0" fontId="63" fillId="0" borderId="15" xfId="41" applyFont="1" applyBorder="1" applyAlignment="1">
      <alignment horizontal="center" vertical="center"/>
    </xf>
    <xf numFmtId="1" fontId="177" fillId="0" borderId="37" xfId="41" applyNumberFormat="1" applyFont="1" applyBorder="1" applyAlignment="1" applyProtection="1">
      <alignment horizontal="center" vertical="center"/>
      <protection locked="0"/>
    </xf>
    <xf numFmtId="0" fontId="177" fillId="0" borderId="38" xfId="41" applyFont="1" applyBorder="1" applyAlignment="1" applyProtection="1">
      <alignment horizontal="center" vertical="center"/>
      <protection locked="0"/>
    </xf>
    <xf numFmtId="0" fontId="177" fillId="0" borderId="39" xfId="41" applyFont="1" applyBorder="1" applyAlignment="1" applyProtection="1">
      <alignment horizontal="center" vertical="center"/>
      <protection locked="0"/>
    </xf>
    <xf numFmtId="177" fontId="76" fillId="0" borderId="25" xfId="1" applyNumberFormat="1" applyFont="1" applyBorder="1" applyAlignment="1">
      <alignment horizontal="center" vertical="center"/>
    </xf>
    <xf numFmtId="177" fontId="76" fillId="0" borderId="17" xfId="1" applyNumberFormat="1" applyFont="1" applyBorder="1" applyAlignment="1">
      <alignment horizontal="center" vertical="center"/>
    </xf>
    <xf numFmtId="177" fontId="108" fillId="0" borderId="23" xfId="1" applyNumberFormat="1" applyFont="1" applyBorder="1" applyAlignment="1">
      <alignment horizontal="center" vertical="center"/>
    </xf>
    <xf numFmtId="177" fontId="108" fillId="0" borderId="24" xfId="1" applyNumberFormat="1" applyFont="1" applyBorder="1" applyAlignment="1">
      <alignment horizontal="center" vertical="center"/>
    </xf>
    <xf numFmtId="177" fontId="76" fillId="0" borderId="18" xfId="1" applyNumberFormat="1" applyFont="1" applyBorder="1" applyAlignment="1">
      <alignment horizontal="center" vertical="center"/>
    </xf>
    <xf numFmtId="177" fontId="76" fillId="0" borderId="20" xfId="1" applyNumberFormat="1" applyFont="1" applyBorder="1" applyAlignment="1">
      <alignment horizontal="center" vertical="center"/>
    </xf>
    <xf numFmtId="177" fontId="59" fillId="0" borderId="25" xfId="1" applyNumberFormat="1" applyFont="1" applyBorder="1" applyAlignment="1">
      <alignment horizontal="center" vertical="center"/>
    </xf>
    <xf numFmtId="177" fontId="0" fillId="0" borderId="16" xfId="0" applyNumberFormat="1" applyBorder="1" applyAlignment="1">
      <alignment vertical="center"/>
    </xf>
    <xf numFmtId="177" fontId="0" fillId="0" borderId="17" xfId="0" applyNumberFormat="1" applyBorder="1" applyAlignment="1">
      <alignment vertical="center"/>
    </xf>
    <xf numFmtId="177" fontId="0" fillId="0" borderId="23" xfId="0" applyNumberFormat="1" applyBorder="1" applyAlignment="1">
      <alignment vertical="center"/>
    </xf>
    <xf numFmtId="177" fontId="0" fillId="0" borderId="5" xfId="0" applyNumberFormat="1" applyBorder="1" applyAlignment="1">
      <alignment vertical="center"/>
    </xf>
    <xf numFmtId="177" fontId="0" fillId="0" borderId="24" xfId="0" applyNumberFormat="1" applyBorder="1" applyAlignment="1">
      <alignment vertical="center"/>
    </xf>
    <xf numFmtId="177" fontId="54" fillId="9" borderId="0" xfId="1" applyNumberFormat="1" applyFont="1" applyFill="1" applyBorder="1" applyAlignment="1">
      <alignment horizontal="center" vertical="center"/>
    </xf>
    <xf numFmtId="177" fontId="58" fillId="7" borderId="0" xfId="1" applyNumberFormat="1" applyFont="1" applyFill="1" applyBorder="1" applyAlignment="1" applyProtection="1">
      <alignment horizontal="center" vertical="center"/>
      <protection locked="0"/>
    </xf>
    <xf numFmtId="177" fontId="59" fillId="9" borderId="119" xfId="1" applyNumberFormat="1" applyFont="1" applyFill="1" applyBorder="1" applyAlignment="1">
      <alignment horizontal="center" vertical="center"/>
    </xf>
    <xf numFmtId="177" fontId="59" fillId="9" borderId="0" xfId="1" applyNumberFormat="1" applyFont="1" applyFill="1" applyBorder="1" applyAlignment="1">
      <alignment horizontal="center" vertical="center"/>
    </xf>
    <xf numFmtId="2" fontId="34" fillId="0" borderId="1" xfId="0" applyNumberFormat="1" applyFont="1" applyBorder="1" applyAlignment="1">
      <alignment horizontal="center"/>
    </xf>
    <xf numFmtId="177" fontId="117" fillId="4" borderId="39" xfId="5" applyNumberFormat="1" applyFont="1" applyFill="1" applyBorder="1" applyAlignment="1" applyProtection="1">
      <alignment horizontal="left" vertical="center"/>
    </xf>
    <xf numFmtId="177" fontId="78" fillId="0" borderId="37" xfId="0" applyNumberFormat="1" applyFont="1" applyFill="1" applyBorder="1" applyAlignment="1" applyProtection="1">
      <alignment horizontal="center" vertical="center"/>
    </xf>
    <xf numFmtId="177" fontId="78" fillId="0" borderId="38" xfId="0" applyNumberFormat="1" applyFont="1" applyFill="1" applyBorder="1" applyAlignment="1" applyProtection="1">
      <alignment horizontal="center" vertical="center"/>
    </xf>
    <xf numFmtId="177" fontId="78" fillId="0" borderId="39" xfId="0" applyNumberFormat="1" applyFont="1" applyFill="1" applyBorder="1" applyAlignment="1" applyProtection="1">
      <alignment horizontal="center" vertical="center"/>
    </xf>
    <xf numFmtId="0" fontId="92" fillId="0" borderId="37" xfId="0" applyFont="1" applyBorder="1" applyAlignment="1">
      <alignment horizontal="center"/>
    </xf>
    <xf numFmtId="0" fontId="92" fillId="0" borderId="38" xfId="0" applyFont="1" applyBorder="1" applyAlignment="1">
      <alignment horizontal="center"/>
    </xf>
    <xf numFmtId="0" fontId="64" fillId="0" borderId="8" xfId="0" applyFont="1" applyBorder="1" applyAlignment="1">
      <alignment horizontal="center"/>
    </xf>
    <xf numFmtId="0" fontId="64" fillId="0" borderId="9" xfId="0" applyFont="1" applyBorder="1" applyAlignment="1">
      <alignment horizontal="center"/>
    </xf>
    <xf numFmtId="0" fontId="92" fillId="0" borderId="98" xfId="0" applyFont="1" applyBorder="1" applyAlignment="1">
      <alignment horizontal="center"/>
    </xf>
    <xf numFmtId="0" fontId="92" fillId="0" borderId="16" xfId="0" applyFont="1" applyBorder="1" applyAlignment="1">
      <alignment horizontal="center"/>
    </xf>
    <xf numFmtId="0" fontId="92" fillId="0" borderId="17" xfId="0" applyFont="1" applyBorder="1" applyAlignment="1">
      <alignment horizontal="center"/>
    </xf>
    <xf numFmtId="0" fontId="92" fillId="0" borderId="10" xfId="0" applyFont="1" applyBorder="1" applyAlignment="1">
      <alignment horizontal="center"/>
    </xf>
    <xf numFmtId="0" fontId="92" fillId="0" borderId="0" xfId="0" applyFont="1" applyBorder="1" applyAlignment="1">
      <alignment horizontal="center"/>
    </xf>
    <xf numFmtId="0" fontId="92" fillId="0" borderId="12" xfId="0" applyFont="1" applyBorder="1" applyAlignment="1">
      <alignment horizontal="center"/>
    </xf>
    <xf numFmtId="0" fontId="34" fillId="0" borderId="8" xfId="0" applyFont="1" applyBorder="1" applyAlignment="1">
      <alignment horizontal="center" vertical="center"/>
    </xf>
    <xf numFmtId="0" fontId="34" fillId="0" borderId="5" xfId="0" applyFont="1" applyBorder="1" applyAlignment="1">
      <alignment horizontal="center" vertical="center"/>
    </xf>
    <xf numFmtId="0" fontId="34" fillId="0" borderId="9" xfId="0" applyFont="1" applyBorder="1" applyAlignment="1">
      <alignment horizontal="center" vertical="center"/>
    </xf>
    <xf numFmtId="0" fontId="92" fillId="0" borderId="25" xfId="0" applyFont="1" applyFill="1" applyBorder="1" applyAlignment="1">
      <alignment horizontal="center" vertical="center"/>
    </xf>
    <xf numFmtId="0" fontId="92" fillId="0" borderId="16" xfId="0" applyFont="1" applyFill="1" applyBorder="1" applyAlignment="1">
      <alignment horizontal="center" vertical="center"/>
    </xf>
    <xf numFmtId="0" fontId="92" fillId="0" borderId="17" xfId="0" applyFont="1" applyFill="1" applyBorder="1" applyAlignment="1">
      <alignment horizontal="center" vertical="center"/>
    </xf>
    <xf numFmtId="0" fontId="92" fillId="0" borderId="13" xfId="0" applyFont="1" applyFill="1" applyBorder="1" applyAlignment="1">
      <alignment horizontal="center" vertical="center"/>
    </xf>
    <xf numFmtId="0" fontId="92" fillId="0" borderId="14" xfId="0" applyFont="1" applyFill="1" applyBorder="1" applyAlignment="1">
      <alignment horizontal="center" vertical="center"/>
    </xf>
    <xf numFmtId="0" fontId="92" fillId="0" borderId="15" xfId="0" applyFont="1" applyFill="1" applyBorder="1" applyAlignment="1">
      <alignment horizontal="center" vertical="center"/>
    </xf>
    <xf numFmtId="0" fontId="52" fillId="0" borderId="98" xfId="0" applyFont="1" applyBorder="1" applyAlignment="1">
      <alignment horizontal="center"/>
    </xf>
    <xf numFmtId="0" fontId="52" fillId="0" borderId="16" xfId="0" applyFont="1" applyBorder="1" applyAlignment="1">
      <alignment horizontal="center"/>
    </xf>
    <xf numFmtId="0" fontId="52" fillId="0" borderId="40" xfId="0" applyFont="1" applyBorder="1" applyAlignment="1">
      <alignment horizontal="center"/>
    </xf>
    <xf numFmtId="0" fontId="52" fillId="0" borderId="25" xfId="0" applyFont="1" applyBorder="1" applyAlignment="1">
      <alignment horizontal="center"/>
    </xf>
    <xf numFmtId="194" fontId="92" fillId="0" borderId="37" xfId="0" applyNumberFormat="1" applyFont="1" applyBorder="1" applyAlignment="1">
      <alignment horizontal="center"/>
    </xf>
    <xf numFmtId="194" fontId="92" fillId="0" borderId="38" xfId="0" applyNumberFormat="1" applyFont="1" applyBorder="1" applyAlignment="1">
      <alignment horizontal="center"/>
    </xf>
    <xf numFmtId="194" fontId="92" fillId="0" borderId="39" xfId="0" applyNumberFormat="1" applyFont="1" applyBorder="1" applyAlignment="1">
      <alignment horizontal="center"/>
    </xf>
    <xf numFmtId="0" fontId="92" fillId="0" borderId="18" xfId="0" applyFont="1" applyBorder="1" applyAlignment="1">
      <alignment horizontal="center"/>
    </xf>
    <xf numFmtId="0" fontId="92" fillId="0" borderId="19" xfId="0" applyFont="1" applyBorder="1" applyAlignment="1">
      <alignment horizontal="center"/>
    </xf>
    <xf numFmtId="0" fontId="92" fillId="0" borderId="20" xfId="0" applyFont="1" applyBorder="1" applyAlignment="1">
      <alignment horizontal="center"/>
    </xf>
    <xf numFmtId="0" fontId="34" fillId="0" borderId="49" xfId="0" applyFont="1" applyBorder="1" applyAlignment="1">
      <alignment horizontal="center"/>
    </xf>
    <xf numFmtId="0" fontId="34" fillId="0" borderId="56" xfId="0" applyFont="1" applyBorder="1" applyAlignment="1">
      <alignment horizontal="center"/>
    </xf>
    <xf numFmtId="0" fontId="34" fillId="0" borderId="42" xfId="0" applyFont="1" applyBorder="1" applyAlignment="1">
      <alignment horizontal="center"/>
    </xf>
    <xf numFmtId="0" fontId="64" fillId="0" borderId="42" xfId="0" applyFont="1" applyBorder="1" applyAlignment="1">
      <alignment horizontal="center"/>
    </xf>
    <xf numFmtId="0" fontId="64" fillId="0" borderId="50" xfId="0" applyFont="1" applyBorder="1" applyAlignment="1">
      <alignment horizontal="center"/>
    </xf>
    <xf numFmtId="1" fontId="34" fillId="0" borderId="8" xfId="0" applyNumberFormat="1" applyFont="1" applyBorder="1" applyAlignment="1">
      <alignment horizontal="center"/>
    </xf>
    <xf numFmtId="1" fontId="34" fillId="0" borderId="5" xfId="0" applyNumberFormat="1" applyFont="1" applyBorder="1" applyAlignment="1">
      <alignment horizontal="center"/>
    </xf>
    <xf numFmtId="0" fontId="63" fillId="0" borderId="0" xfId="0" applyFont="1" applyBorder="1" applyAlignment="1">
      <alignment horizontal="left" vertical="top" wrapText="1"/>
    </xf>
    <xf numFmtId="0" fontId="63" fillId="0" borderId="12" xfId="0" applyFont="1" applyBorder="1" applyAlignment="1">
      <alignment horizontal="left" vertical="top" wrapText="1"/>
    </xf>
    <xf numFmtId="0" fontId="92" fillId="0" borderId="39" xfId="0" applyFont="1" applyBorder="1" applyAlignment="1">
      <alignment horizontal="center"/>
    </xf>
    <xf numFmtId="1" fontId="143" fillId="0" borderId="0" xfId="0" applyNumberFormat="1" applyFont="1" applyFill="1" applyBorder="1" applyAlignment="1" applyProtection="1">
      <alignment horizontal="center"/>
    </xf>
    <xf numFmtId="0" fontId="34" fillId="0" borderId="55" xfId="0" applyFont="1" applyBorder="1" applyAlignment="1">
      <alignment horizontal="center" vertical="center"/>
    </xf>
    <xf numFmtId="0" fontId="34" fillId="0" borderId="19" xfId="0" applyFont="1" applyBorder="1" applyAlignment="1">
      <alignment horizontal="center" vertical="center"/>
    </xf>
    <xf numFmtId="0" fontId="34" fillId="0" borderId="60" xfId="0" applyFont="1" applyBorder="1" applyAlignment="1">
      <alignment horizontal="center" vertical="center"/>
    </xf>
    <xf numFmtId="0" fontId="34" fillId="0" borderId="0" xfId="0" applyFont="1" applyFill="1" applyBorder="1" applyAlignment="1">
      <alignment horizontal="center" vertical="center" wrapText="1"/>
    </xf>
    <xf numFmtId="0" fontId="34" fillId="0" borderId="16" xfId="0" applyFont="1" applyBorder="1" applyAlignment="1">
      <alignment horizontal="center"/>
    </xf>
    <xf numFmtId="0" fontId="34" fillId="0" borderId="17" xfId="0" applyFont="1" applyBorder="1" applyAlignment="1">
      <alignment horizontal="center"/>
    </xf>
    <xf numFmtId="0" fontId="34" fillId="0" borderId="1" xfId="0" applyFont="1" applyBorder="1" applyAlignment="1">
      <alignment horizontal="center"/>
    </xf>
    <xf numFmtId="177" fontId="78" fillId="0" borderId="13" xfId="0" applyNumberFormat="1" applyFont="1" applyFill="1" applyBorder="1" applyAlignment="1" applyProtection="1">
      <alignment horizontal="center" vertical="center"/>
    </xf>
    <xf numFmtId="177" fontId="78" fillId="0" borderId="14" xfId="0" applyNumberFormat="1" applyFont="1" applyFill="1" applyBorder="1" applyAlignment="1" applyProtection="1">
      <alignment horizontal="center" vertical="center"/>
    </xf>
    <xf numFmtId="177" fontId="78" fillId="0" borderId="15" xfId="0" applyNumberFormat="1" applyFont="1" applyFill="1" applyBorder="1" applyAlignment="1" applyProtection="1">
      <alignment horizontal="center" vertical="center"/>
    </xf>
    <xf numFmtId="0" fontId="92" fillId="0" borderId="25" xfId="0" applyFont="1" applyBorder="1" applyAlignment="1">
      <alignment horizontal="center" vertical="center"/>
    </xf>
    <xf numFmtId="0" fontId="92" fillId="0" borderId="13" xfId="0" applyFont="1" applyBorder="1" applyAlignment="1">
      <alignment horizontal="center" vertical="center"/>
    </xf>
    <xf numFmtId="0" fontId="52" fillId="0" borderId="18" xfId="0" applyFont="1" applyBorder="1" applyAlignment="1">
      <alignment horizontal="center"/>
    </xf>
    <xf numFmtId="0" fontId="52" fillId="0" borderId="19" xfId="0" applyFont="1" applyBorder="1" applyAlignment="1">
      <alignment horizontal="center"/>
    </xf>
    <xf numFmtId="0" fontId="52" fillId="0" borderId="20" xfId="0" applyFont="1" applyBorder="1" applyAlignment="1">
      <alignment horizontal="center"/>
    </xf>
    <xf numFmtId="0" fontId="24" fillId="0" borderId="46" xfId="0" applyFont="1" applyBorder="1" applyAlignment="1">
      <alignment horizontal="center"/>
    </xf>
    <xf numFmtId="0" fontId="24" fillId="0" borderId="2" xfId="0" applyFont="1" applyBorder="1" applyAlignment="1">
      <alignment horizontal="center"/>
    </xf>
    <xf numFmtId="0" fontId="92" fillId="0" borderId="25" xfId="0" applyFont="1" applyFill="1" applyBorder="1" applyAlignment="1" applyProtection="1">
      <alignment horizontal="center" vertical="center"/>
    </xf>
    <xf numFmtId="0" fontId="92" fillId="0" borderId="13" xfId="0" applyFont="1" applyFill="1" applyBorder="1" applyAlignment="1" applyProtection="1">
      <alignment horizontal="center" vertical="center"/>
    </xf>
    <xf numFmtId="0" fontId="92" fillId="0" borderId="16" xfId="0" applyFont="1" applyBorder="1" applyAlignment="1">
      <alignment horizontal="center" vertical="center"/>
    </xf>
    <xf numFmtId="0" fontId="92" fillId="0" borderId="17" xfId="0" applyFont="1" applyBorder="1" applyAlignment="1">
      <alignment horizontal="center" vertical="center"/>
    </xf>
    <xf numFmtId="0" fontId="92" fillId="0" borderId="14" xfId="0" applyFont="1" applyBorder="1" applyAlignment="1">
      <alignment horizontal="center" vertical="center"/>
    </xf>
    <xf numFmtId="0" fontId="92" fillId="0" borderId="15" xfId="0" applyFont="1" applyBorder="1" applyAlignment="1">
      <alignment horizontal="center" vertical="center"/>
    </xf>
    <xf numFmtId="0" fontId="34" fillId="0" borderId="0" xfId="0" applyFont="1" applyBorder="1" applyAlignment="1">
      <alignment horizontal="center"/>
    </xf>
    <xf numFmtId="0" fontId="92" fillId="0" borderId="55" xfId="0" applyFont="1" applyBorder="1" applyAlignment="1">
      <alignment horizontal="center"/>
    </xf>
    <xf numFmtId="0" fontId="92" fillId="0" borderId="6" xfId="0" applyFont="1" applyBorder="1" applyAlignment="1">
      <alignment horizontal="center"/>
    </xf>
    <xf numFmtId="0" fontId="92" fillId="0" borderId="7" xfId="0" applyFont="1" applyBorder="1" applyAlignment="1">
      <alignment horizontal="center"/>
    </xf>
    <xf numFmtId="0" fontId="92" fillId="0" borderId="22" xfId="0" applyFont="1" applyBorder="1" applyAlignment="1">
      <alignment horizontal="center"/>
    </xf>
    <xf numFmtId="0" fontId="92" fillId="0" borderId="40" xfId="0" applyFont="1" applyBorder="1" applyAlignment="1">
      <alignment horizontal="center"/>
    </xf>
    <xf numFmtId="1" fontId="92" fillId="0" borderId="37" xfId="0" applyNumberFormat="1" applyFont="1" applyBorder="1" applyAlignment="1">
      <alignment horizontal="center"/>
    </xf>
    <xf numFmtId="1" fontId="92" fillId="0" borderId="38" xfId="0" applyNumberFormat="1" applyFont="1" applyBorder="1" applyAlignment="1">
      <alignment horizontal="center"/>
    </xf>
    <xf numFmtId="1" fontId="92" fillId="0" borderId="39" xfId="0" applyNumberFormat="1" applyFont="1" applyBorder="1" applyAlignment="1">
      <alignment horizontal="center"/>
    </xf>
    <xf numFmtId="0" fontId="92" fillId="0" borderId="16" xfId="0" applyFont="1" applyFill="1" applyBorder="1" applyAlignment="1" applyProtection="1">
      <alignment horizontal="center" vertical="center"/>
    </xf>
    <xf numFmtId="0" fontId="92" fillId="0" borderId="17" xfId="0" applyFont="1" applyFill="1" applyBorder="1" applyAlignment="1" applyProtection="1">
      <alignment horizontal="center" vertical="center"/>
    </xf>
    <xf numFmtId="0" fontId="92" fillId="0" borderId="14" xfId="0" applyFont="1" applyFill="1" applyBorder="1" applyAlignment="1" applyProtection="1">
      <alignment horizontal="center" vertical="center"/>
    </xf>
    <xf numFmtId="0" fontId="92" fillId="0" borderId="15" xfId="0" applyFont="1" applyFill="1" applyBorder="1" applyAlignment="1" applyProtection="1">
      <alignment horizontal="center" vertical="center"/>
    </xf>
    <xf numFmtId="0" fontId="24" fillId="0" borderId="93" xfId="0" applyFont="1" applyBorder="1" applyAlignment="1">
      <alignment horizontal="center"/>
    </xf>
    <xf numFmtId="0" fontId="24" fillId="0" borderId="6" xfId="0" applyFont="1" applyBorder="1" applyAlignment="1">
      <alignment horizontal="center"/>
    </xf>
    <xf numFmtId="0" fontId="24" fillId="0" borderId="7" xfId="0" applyFont="1" applyBorder="1" applyAlignment="1">
      <alignment horizontal="center"/>
    </xf>
    <xf numFmtId="0" fontId="24" fillId="0" borderId="22" xfId="0" applyFont="1" applyBorder="1" applyAlignment="1">
      <alignment horizontal="center"/>
    </xf>
    <xf numFmtId="0" fontId="92" fillId="0" borderId="85" xfId="0" applyFont="1" applyBorder="1" applyAlignment="1">
      <alignment horizontal="center" vertical="center"/>
    </xf>
    <xf numFmtId="0" fontId="92" fillId="0" borderId="74" xfId="0" applyFont="1" applyBorder="1" applyAlignment="1">
      <alignment horizontal="center" vertical="center"/>
    </xf>
    <xf numFmtId="1" fontId="143" fillId="0" borderId="11" xfId="0" applyNumberFormat="1" applyFont="1" applyFill="1" applyBorder="1" applyAlignment="1" applyProtection="1">
      <alignment horizontal="center"/>
    </xf>
    <xf numFmtId="1" fontId="143" fillId="0" borderId="41" xfId="0" applyNumberFormat="1" applyFont="1" applyFill="1" applyBorder="1" applyAlignment="1" applyProtection="1">
      <alignment horizontal="center"/>
    </xf>
    <xf numFmtId="1" fontId="143" fillId="0" borderId="10" xfId="0" applyNumberFormat="1" applyFont="1" applyFill="1" applyBorder="1" applyAlignment="1" applyProtection="1">
      <alignment horizontal="center"/>
    </xf>
    <xf numFmtId="1" fontId="143" fillId="0" borderId="21" xfId="0" applyNumberFormat="1" applyFont="1" applyFill="1" applyBorder="1" applyAlignment="1" applyProtection="1">
      <alignment horizontal="center"/>
    </xf>
    <xf numFmtId="1" fontId="143" fillId="0" borderId="48" xfId="0" applyNumberFormat="1" applyFont="1" applyFill="1" applyBorder="1" applyAlignment="1" applyProtection="1">
      <alignment horizontal="center"/>
    </xf>
    <xf numFmtId="1" fontId="143" fillId="0" borderId="6" xfId="0" applyNumberFormat="1" applyFont="1" applyFill="1" applyBorder="1" applyAlignment="1" applyProtection="1">
      <alignment horizontal="center"/>
    </xf>
    <xf numFmtId="1" fontId="143" fillId="0" borderId="55" xfId="0" applyNumberFormat="1" applyFont="1" applyFill="1" applyBorder="1" applyAlignment="1">
      <alignment horizontal="center"/>
    </xf>
    <xf numFmtId="1" fontId="143" fillId="0" borderId="60" xfId="0" applyNumberFormat="1" applyFont="1" applyFill="1" applyBorder="1" applyAlignment="1">
      <alignment horizontal="center"/>
    </xf>
    <xf numFmtId="0" fontId="147" fillId="0" borderId="37" xfId="0" applyFont="1" applyBorder="1" applyAlignment="1">
      <alignment horizontal="center"/>
    </xf>
    <xf numFmtId="0" fontId="147" fillId="0" borderId="38" xfId="0" applyFont="1" applyBorder="1" applyAlignment="1">
      <alignment horizontal="center"/>
    </xf>
    <xf numFmtId="0" fontId="147" fillId="0" borderId="39" xfId="0" applyFont="1" applyBorder="1" applyAlignment="1">
      <alignment horizontal="center"/>
    </xf>
    <xf numFmtId="0" fontId="147" fillId="0" borderId="25" xfId="0" applyFont="1" applyBorder="1" applyAlignment="1">
      <alignment horizontal="center" vertical="center"/>
    </xf>
    <xf numFmtId="0" fontId="147" fillId="0" borderId="13" xfId="0" applyFont="1" applyBorder="1" applyAlignment="1">
      <alignment horizontal="center" vertical="center"/>
    </xf>
    <xf numFmtId="0" fontId="147" fillId="0" borderId="18" xfId="0" applyFont="1" applyBorder="1" applyAlignment="1">
      <alignment horizontal="center"/>
    </xf>
    <xf numFmtId="0" fontId="147" fillId="0" borderId="19" xfId="0" applyFont="1" applyBorder="1" applyAlignment="1">
      <alignment horizontal="center"/>
    </xf>
    <xf numFmtId="0" fontId="143" fillId="0" borderId="46" xfId="0" applyFont="1" applyBorder="1" applyAlignment="1">
      <alignment horizontal="center"/>
    </xf>
    <xf numFmtId="0" fontId="143" fillId="0" borderId="2" xfId="0" applyFont="1" applyBorder="1" applyAlignment="1">
      <alignment horizontal="center"/>
    </xf>
    <xf numFmtId="1" fontId="143" fillId="0" borderId="2" xfId="0" applyNumberFormat="1" applyFont="1" applyBorder="1" applyAlignment="1">
      <alignment horizontal="center"/>
    </xf>
    <xf numFmtId="1" fontId="143" fillId="0" borderId="93" xfId="0" applyNumberFormat="1" applyFont="1" applyBorder="1" applyAlignment="1">
      <alignment horizontal="center"/>
    </xf>
    <xf numFmtId="0" fontId="143" fillId="0" borderId="93" xfId="0" applyFont="1" applyBorder="1" applyAlignment="1">
      <alignment horizontal="center"/>
    </xf>
    <xf numFmtId="1" fontId="143" fillId="0" borderId="42" xfId="0" applyNumberFormat="1" applyFont="1" applyFill="1" applyBorder="1" applyAlignment="1" applyProtection="1">
      <alignment horizontal="center"/>
    </xf>
    <xf numFmtId="1" fontId="143" fillId="0" borderId="56" xfId="0" applyNumberFormat="1" applyFont="1" applyFill="1" applyBorder="1" applyAlignment="1" applyProtection="1">
      <alignment horizontal="center"/>
    </xf>
    <xf numFmtId="0" fontId="143" fillId="0" borderId="21" xfId="0" applyFont="1" applyBorder="1" applyAlignment="1">
      <alignment horizontal="center"/>
    </xf>
    <xf numFmtId="0" fontId="143" fillId="0" borderId="7" xfId="0" applyFont="1" applyBorder="1" applyAlignment="1">
      <alignment horizontal="center"/>
    </xf>
    <xf numFmtId="0" fontId="143" fillId="0" borderId="48" xfId="0" applyFont="1" applyBorder="1" applyAlignment="1">
      <alignment horizontal="center"/>
    </xf>
    <xf numFmtId="1" fontId="143" fillId="0" borderId="6" xfId="0" applyNumberFormat="1" applyFont="1" applyBorder="1" applyAlignment="1">
      <alignment horizontal="center"/>
    </xf>
    <xf numFmtId="1" fontId="143" fillId="0" borderId="7" xfId="0" applyNumberFormat="1" applyFont="1" applyBorder="1" applyAlignment="1">
      <alignment horizontal="center"/>
    </xf>
    <xf numFmtId="1" fontId="143" fillId="0" borderId="22" xfId="0" applyNumberFormat="1" applyFont="1" applyBorder="1" applyAlignment="1">
      <alignment horizontal="center"/>
    </xf>
    <xf numFmtId="1" fontId="143" fillId="0" borderId="3" xfId="0" applyNumberFormat="1" applyFont="1" applyBorder="1" applyAlignment="1">
      <alignment horizontal="center"/>
    </xf>
    <xf numFmtId="1" fontId="143" fillId="0" borderId="10" xfId="0" applyNumberFormat="1" applyFont="1" applyBorder="1" applyAlignment="1">
      <alignment horizontal="center"/>
    </xf>
    <xf numFmtId="2" fontId="143" fillId="0" borderId="3" xfId="0" applyNumberFormat="1" applyFont="1" applyFill="1" applyBorder="1" applyAlignment="1" applyProtection="1">
      <alignment horizontal="center" vertical="center"/>
    </xf>
    <xf numFmtId="1" fontId="143" fillId="0" borderId="4" xfId="0" applyNumberFormat="1" applyFont="1" applyFill="1" applyBorder="1" applyAlignment="1" applyProtection="1">
      <alignment horizontal="center" vertical="center"/>
    </xf>
    <xf numFmtId="177" fontId="142" fillId="4" borderId="38" xfId="5" applyNumberFormat="1" applyFont="1" applyFill="1" applyBorder="1" applyAlignment="1" applyProtection="1">
      <alignment horizontal="left" vertical="center"/>
    </xf>
    <xf numFmtId="177" fontId="142" fillId="4" borderId="39" xfId="5" applyNumberFormat="1" applyFont="1" applyFill="1" applyBorder="1" applyAlignment="1" applyProtection="1">
      <alignment horizontal="left" vertical="center"/>
    </xf>
    <xf numFmtId="177" fontId="142" fillId="4" borderId="58" xfId="5" applyNumberFormat="1" applyFont="1" applyFill="1" applyBorder="1" applyAlignment="1" applyProtection="1">
      <alignment horizontal="left" vertical="center"/>
    </xf>
    <xf numFmtId="177" fontId="142" fillId="4" borderId="87" xfId="5" applyNumberFormat="1" applyFont="1" applyFill="1" applyBorder="1" applyAlignment="1" applyProtection="1">
      <alignment horizontal="left" vertical="center"/>
    </xf>
    <xf numFmtId="177" fontId="142" fillId="4" borderId="38" xfId="5" applyNumberFormat="1" applyFont="1" applyFill="1" applyBorder="1" applyAlignment="1" applyProtection="1">
      <alignment horizontal="center" vertical="center"/>
    </xf>
    <xf numFmtId="177" fontId="142" fillId="4" borderId="39" xfId="5" applyNumberFormat="1" applyFont="1" applyFill="1" applyBorder="1" applyAlignment="1" applyProtection="1">
      <alignment horizontal="center" vertical="center"/>
    </xf>
    <xf numFmtId="0" fontId="147" fillId="0" borderId="98" xfId="0" applyFont="1" applyBorder="1" applyAlignment="1">
      <alignment horizontal="center"/>
    </xf>
    <xf numFmtId="0" fontId="147" fillId="0" borderId="16" xfId="0" applyFont="1" applyBorder="1" applyAlignment="1">
      <alignment horizontal="center"/>
    </xf>
    <xf numFmtId="0" fontId="147" fillId="0" borderId="17" xfId="0" applyFont="1" applyBorder="1" applyAlignment="1">
      <alignment horizontal="center"/>
    </xf>
    <xf numFmtId="177" fontId="144" fillId="0" borderId="37" xfId="0" applyNumberFormat="1" applyFont="1" applyFill="1" applyBorder="1" applyAlignment="1" applyProtection="1">
      <alignment horizontal="center" vertical="center"/>
    </xf>
    <xf numFmtId="177" fontId="144" fillId="0" borderId="38" xfId="0" applyNumberFormat="1" applyFont="1" applyFill="1" applyBorder="1" applyAlignment="1" applyProtection="1">
      <alignment horizontal="center" vertical="center"/>
    </xf>
    <xf numFmtId="177" fontId="144" fillId="0" borderId="39" xfId="0" applyNumberFormat="1" applyFont="1" applyFill="1" applyBorder="1" applyAlignment="1" applyProtection="1">
      <alignment horizontal="center" vertical="center"/>
    </xf>
    <xf numFmtId="0" fontId="145" fillId="0" borderId="98" xfId="0" applyFont="1" applyBorder="1" applyAlignment="1">
      <alignment horizontal="center"/>
    </xf>
    <xf numFmtId="0" fontId="145" fillId="0" borderId="16" xfId="0" applyFont="1" applyBorder="1" applyAlignment="1">
      <alignment horizontal="center"/>
    </xf>
    <xf numFmtId="0" fontId="145" fillId="0" borderId="40" xfId="0" applyFont="1" applyBorder="1" applyAlignment="1">
      <alignment horizontal="center"/>
    </xf>
    <xf numFmtId="0" fontId="145" fillId="0" borderId="25" xfId="0" applyFont="1" applyBorder="1" applyAlignment="1">
      <alignment horizontal="center"/>
    </xf>
    <xf numFmtId="0" fontId="147" fillId="0" borderId="20" xfId="0" applyFont="1" applyBorder="1" applyAlignment="1">
      <alignment horizontal="center"/>
    </xf>
    <xf numFmtId="0" fontId="147" fillId="0" borderId="10" xfId="0" applyFont="1" applyBorder="1" applyAlignment="1">
      <alignment horizontal="center"/>
    </xf>
    <xf numFmtId="0" fontId="147" fillId="0" borderId="0" xfId="0" applyFont="1" applyBorder="1" applyAlignment="1">
      <alignment horizontal="center"/>
    </xf>
    <xf numFmtId="0" fontId="147" fillId="0" borderId="12" xfId="0" applyFont="1" applyBorder="1" applyAlignment="1">
      <alignment horizontal="center"/>
    </xf>
    <xf numFmtId="0" fontId="147" fillId="0" borderId="16" xfId="0" applyFont="1" applyBorder="1" applyAlignment="1">
      <alignment horizontal="center" vertical="center"/>
    </xf>
    <xf numFmtId="0" fontId="147" fillId="0" borderId="17" xfId="0" applyFont="1" applyBorder="1" applyAlignment="1">
      <alignment horizontal="center" vertical="center"/>
    </xf>
    <xf numFmtId="0" fontId="147" fillId="0" borderId="14" xfId="0" applyFont="1" applyBorder="1" applyAlignment="1">
      <alignment horizontal="center" vertical="center"/>
    </xf>
    <xf numFmtId="0" fontId="147" fillId="0" borderId="15" xfId="0" applyFont="1" applyBorder="1" applyAlignment="1">
      <alignment horizontal="center" vertical="center"/>
    </xf>
    <xf numFmtId="0" fontId="143" fillId="0" borderId="6" xfId="0" applyFont="1" applyBorder="1" applyAlignment="1">
      <alignment horizontal="center"/>
    </xf>
    <xf numFmtId="0" fontId="143" fillId="0" borderId="22" xfId="0" applyFont="1" applyBorder="1" applyAlignment="1">
      <alignment horizontal="center"/>
    </xf>
    <xf numFmtId="1" fontId="143" fillId="0" borderId="48" xfId="0" applyNumberFormat="1" applyFont="1" applyBorder="1" applyAlignment="1">
      <alignment horizontal="center"/>
    </xf>
    <xf numFmtId="2" fontId="143" fillId="0" borderId="10" xfId="0" applyNumberFormat="1" applyFont="1" applyFill="1" applyBorder="1" applyAlignment="1" applyProtection="1">
      <alignment horizontal="center" vertical="center"/>
    </xf>
    <xf numFmtId="2" fontId="143" fillId="0" borderId="41" xfId="0" applyNumberFormat="1" applyFont="1" applyFill="1" applyBorder="1" applyAlignment="1" applyProtection="1">
      <alignment horizontal="center" vertical="center"/>
    </xf>
    <xf numFmtId="1" fontId="143" fillId="0" borderId="8" xfId="0" applyNumberFormat="1" applyFont="1" applyFill="1" applyBorder="1" applyAlignment="1" applyProtection="1">
      <alignment horizontal="center" vertical="center"/>
    </xf>
    <xf numFmtId="1" fontId="143" fillId="0" borderId="9" xfId="0" applyNumberFormat="1" applyFont="1" applyFill="1" applyBorder="1" applyAlignment="1" applyProtection="1">
      <alignment horizontal="center" vertical="center"/>
    </xf>
    <xf numFmtId="1" fontId="34" fillId="0" borderId="55" xfId="0" applyNumberFormat="1" applyFont="1" applyFill="1" applyBorder="1" applyAlignment="1">
      <alignment horizontal="center"/>
    </xf>
    <xf numFmtId="1" fontId="34" fillId="0" borderId="60" xfId="0" applyNumberFormat="1" applyFont="1" applyFill="1" applyBorder="1" applyAlignment="1">
      <alignment horizontal="center"/>
    </xf>
    <xf numFmtId="1" fontId="92" fillId="0" borderId="18" xfId="0" applyNumberFormat="1" applyFont="1" applyBorder="1" applyAlignment="1">
      <alignment horizontal="center"/>
    </xf>
    <xf numFmtId="1" fontId="92" fillId="0" borderId="19" xfId="0" applyNumberFormat="1" applyFont="1" applyBorder="1" applyAlignment="1">
      <alignment horizontal="center"/>
    </xf>
    <xf numFmtId="1" fontId="92" fillId="0" borderId="16" xfId="0" applyNumberFormat="1" applyFont="1" applyBorder="1" applyAlignment="1">
      <alignment horizontal="center"/>
    </xf>
    <xf numFmtId="1" fontId="92" fillId="0" borderId="20" xfId="0" applyNumberFormat="1" applyFont="1" applyBorder="1" applyAlignment="1">
      <alignment horizontal="center"/>
    </xf>
    <xf numFmtId="1" fontId="34" fillId="0" borderId="75" xfId="19" applyNumberFormat="1" applyFont="1" applyFill="1" applyBorder="1" applyAlignment="1" applyProtection="1">
      <alignment horizontal="center" vertical="center"/>
    </xf>
    <xf numFmtId="1" fontId="34" fillId="0" borderId="86" xfId="19" applyNumberFormat="1" applyFont="1" applyFill="1" applyBorder="1" applyAlignment="1" applyProtection="1">
      <alignment horizontal="center" vertical="center"/>
    </xf>
    <xf numFmtId="1" fontId="34" fillId="0" borderId="11" xfId="19" applyNumberFormat="1" applyFont="1" applyBorder="1" applyAlignment="1">
      <alignment horizontal="center" vertical="center"/>
    </xf>
    <xf numFmtId="182" fontId="34" fillId="0" borderId="0" xfId="19" applyNumberFormat="1" applyFont="1" applyBorder="1" applyAlignment="1">
      <alignment horizontal="center" vertical="center"/>
    </xf>
    <xf numFmtId="0" fontId="34" fillId="0" borderId="7" xfId="19" applyFont="1" applyBorder="1" applyAlignment="1">
      <alignment horizontal="center" vertical="center"/>
    </xf>
    <xf numFmtId="0" fontId="34" fillId="0" borderId="0" xfId="19" applyFont="1" applyBorder="1" applyAlignment="1">
      <alignment horizontal="center" vertical="center"/>
    </xf>
    <xf numFmtId="0" fontId="34" fillId="0" borderId="21" xfId="19" applyFont="1" applyBorder="1" applyAlignment="1">
      <alignment horizontal="center" vertical="center"/>
    </xf>
    <xf numFmtId="0" fontId="34" fillId="0" borderId="11" xfId="19" applyFont="1" applyBorder="1" applyAlignment="1">
      <alignment horizontal="center" vertical="center"/>
    </xf>
    <xf numFmtId="182" fontId="34" fillId="0" borderId="11" xfId="19" applyNumberFormat="1" applyFont="1" applyBorder="1" applyAlignment="1">
      <alignment horizontal="center" vertical="center"/>
    </xf>
    <xf numFmtId="1" fontId="92" fillId="0" borderId="5" xfId="19" applyNumberFormat="1" applyFont="1" applyBorder="1" applyAlignment="1">
      <alignment horizontal="left" vertical="center"/>
    </xf>
    <xf numFmtId="1" fontId="61" fillId="0" borderId="18" xfId="19" applyNumberFormat="1" applyFont="1" applyBorder="1" applyAlignment="1">
      <alignment horizontal="center"/>
    </xf>
    <xf numFmtId="1" fontId="61" fillId="0" borderId="19" xfId="19" applyNumberFormat="1" applyFont="1" applyBorder="1" applyAlignment="1">
      <alignment horizontal="center"/>
    </xf>
    <xf numFmtId="1" fontId="61" fillId="0" borderId="20" xfId="19" applyNumberFormat="1" applyFont="1" applyBorder="1" applyAlignment="1">
      <alignment horizontal="center"/>
    </xf>
    <xf numFmtId="1" fontId="64" fillId="0" borderId="0" xfId="17" applyNumberFormat="1" applyFont="1" applyFill="1" applyBorder="1" applyAlignment="1" applyProtection="1">
      <alignment horizontal="left" vertical="center"/>
    </xf>
    <xf numFmtId="1" fontId="34" fillId="0" borderId="2" xfId="19" applyNumberFormat="1" applyFont="1" applyBorder="1" applyAlignment="1">
      <alignment horizontal="center" vertical="center" wrapText="1"/>
    </xf>
    <xf numFmtId="1" fontId="34" fillId="0" borderId="3" xfId="19" applyNumberFormat="1" applyFont="1" applyBorder="1" applyAlignment="1">
      <alignment horizontal="center" vertical="center" wrapText="1"/>
    </xf>
    <xf numFmtId="1" fontId="34" fillId="0" borderId="4" xfId="19" applyNumberFormat="1" applyFont="1" applyBorder="1" applyAlignment="1">
      <alignment horizontal="center" vertical="center" wrapText="1"/>
    </xf>
    <xf numFmtId="1" fontId="64" fillId="0" borderId="5" xfId="17" applyNumberFormat="1" applyFont="1" applyFill="1" applyBorder="1" applyAlignment="1" applyProtection="1">
      <alignment horizontal="center" vertical="center"/>
    </xf>
    <xf numFmtId="0" fontId="92" fillId="0" borderId="95" xfId="19" applyFont="1" applyBorder="1" applyAlignment="1">
      <alignment horizontal="center" vertical="center" wrapText="1"/>
    </xf>
    <xf numFmtId="0" fontId="92" fillId="0" borderId="28" xfId="19" applyFont="1" applyBorder="1" applyAlignment="1">
      <alignment horizontal="center" vertical="center" wrapText="1"/>
    </xf>
    <xf numFmtId="0" fontId="61" fillId="0" borderId="40" xfId="19" applyFont="1" applyBorder="1" applyAlignment="1">
      <alignment horizontal="center" vertical="center" wrapText="1"/>
    </xf>
    <xf numFmtId="0" fontId="61" fillId="0" borderId="41" xfId="19" applyFont="1" applyBorder="1" applyAlignment="1">
      <alignment horizontal="center" vertical="center" wrapText="1"/>
    </xf>
    <xf numFmtId="0" fontId="61" fillId="0" borderId="98" xfId="19" applyFont="1" applyBorder="1" applyAlignment="1">
      <alignment horizontal="center" vertical="center" wrapText="1"/>
    </xf>
    <xf numFmtId="0" fontId="61" fillId="0" borderId="10" xfId="19" applyFont="1" applyBorder="1" applyAlignment="1">
      <alignment horizontal="center" vertical="center" wrapText="1"/>
    </xf>
    <xf numFmtId="0" fontId="92" fillId="0" borderId="97" xfId="19" applyFont="1" applyBorder="1" applyAlignment="1">
      <alignment horizontal="center" vertical="center" wrapText="1"/>
    </xf>
    <xf numFmtId="0" fontId="92" fillId="0" borderId="29" xfId="19" applyFont="1" applyBorder="1" applyAlignment="1">
      <alignment horizontal="center" vertical="center" wrapText="1"/>
    </xf>
    <xf numFmtId="0" fontId="34" fillId="0" borderId="95" xfId="19" applyFont="1" applyBorder="1" applyAlignment="1">
      <alignment horizontal="center" wrapText="1"/>
    </xf>
    <xf numFmtId="0" fontId="34" fillId="0" borderId="28" xfId="19" applyFont="1" applyBorder="1" applyAlignment="1">
      <alignment horizontal="center" wrapText="1"/>
    </xf>
    <xf numFmtId="0" fontId="34" fillId="0" borderId="34" xfId="19" applyFont="1" applyBorder="1" applyAlignment="1">
      <alignment horizontal="center" wrapText="1"/>
    </xf>
    <xf numFmtId="0" fontId="103" fillId="0" borderId="25" xfId="19" applyFont="1" applyBorder="1" applyAlignment="1">
      <alignment horizontal="center" vertical="center"/>
    </xf>
    <xf numFmtId="0" fontId="103" fillId="0" borderId="13" xfId="19" applyFont="1" applyBorder="1" applyAlignment="1">
      <alignment horizontal="center" vertical="center"/>
    </xf>
    <xf numFmtId="0" fontId="103" fillId="0" borderId="131" xfId="19" applyFont="1" applyBorder="1" applyAlignment="1">
      <alignment horizontal="center" vertical="center"/>
    </xf>
    <xf numFmtId="0" fontId="103" fillId="0" borderId="132" xfId="19" applyFont="1" applyBorder="1" applyAlignment="1">
      <alignment horizontal="center" vertical="center"/>
    </xf>
    <xf numFmtId="0" fontId="103" fillId="0" borderId="85" xfId="19" applyFont="1" applyBorder="1" applyAlignment="1">
      <alignment horizontal="center" vertical="center"/>
    </xf>
    <xf numFmtId="0" fontId="103" fillId="0" borderId="74" xfId="19" applyFont="1" applyBorder="1" applyAlignment="1">
      <alignment horizontal="center" vertical="center"/>
    </xf>
    <xf numFmtId="0" fontId="103" fillId="0" borderId="146" xfId="19" applyFont="1" applyBorder="1" applyAlignment="1">
      <alignment horizontal="center" vertical="center"/>
    </xf>
    <xf numFmtId="0" fontId="103" fillId="0" borderId="128" xfId="19" applyFont="1" applyBorder="1" applyAlignment="1">
      <alignment horizontal="center" vertical="center"/>
    </xf>
    <xf numFmtId="0" fontId="84" fillId="13" borderId="0" xfId="0" applyFont="1" applyFill="1" applyAlignment="1">
      <alignment vertical="top" wrapText="1"/>
    </xf>
    <xf numFmtId="0" fontId="84" fillId="13" borderId="0" xfId="0" applyFont="1" applyFill="1" applyAlignment="1">
      <alignment horizontal="center" vertical="center" wrapText="1"/>
    </xf>
    <xf numFmtId="0" fontId="85" fillId="14" borderId="0" xfId="0" applyFont="1" applyFill="1" applyAlignment="1">
      <alignment horizontal="center" vertical="center" wrapText="1"/>
    </xf>
    <xf numFmtId="0" fontId="85" fillId="13" borderId="0" xfId="0" applyFont="1" applyFill="1" applyAlignment="1">
      <alignment horizontal="center" vertical="center" wrapText="1"/>
    </xf>
    <xf numFmtId="0" fontId="10" fillId="0" borderId="10" xfId="41" applyBorder="1" applyAlignment="1">
      <alignment horizontal="center"/>
    </xf>
    <xf numFmtId="0" fontId="10" fillId="0" borderId="0" xfId="41" applyAlignment="1">
      <alignment horizontal="center"/>
    </xf>
    <xf numFmtId="0" fontId="0" fillId="0" borderId="11" xfId="0" applyBorder="1" applyAlignment="1">
      <alignment horizontal="left" vertical="top" wrapText="1"/>
    </xf>
    <xf numFmtId="0" fontId="0" fillId="0" borderId="0" xfId="0" applyBorder="1" applyAlignment="1">
      <alignment horizontal="left" vertical="top" wrapText="1"/>
    </xf>
    <xf numFmtId="0" fontId="0" fillId="0" borderId="12" xfId="0" applyBorder="1" applyAlignment="1">
      <alignment horizontal="left" vertical="top" wrapText="1"/>
    </xf>
    <xf numFmtId="0" fontId="0" fillId="0" borderId="11" xfId="0" applyBorder="1" applyAlignment="1">
      <alignment horizontal="left" vertical="top"/>
    </xf>
    <xf numFmtId="0" fontId="0" fillId="0" borderId="0" xfId="0" applyBorder="1" applyAlignment="1">
      <alignment horizontal="left" vertical="top"/>
    </xf>
    <xf numFmtId="0" fontId="0" fillId="0" borderId="12" xfId="0" applyBorder="1" applyAlignment="1">
      <alignment horizontal="left" vertical="top"/>
    </xf>
    <xf numFmtId="0" fontId="0" fillId="0" borderId="25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69" fillId="0" borderId="18" xfId="0" applyFont="1" applyBorder="1" applyAlignment="1">
      <alignment horizontal="center" vertical="center"/>
    </xf>
    <xf numFmtId="0" fontId="69" fillId="0" borderId="19" xfId="0" applyFont="1" applyBorder="1" applyAlignment="1">
      <alignment horizontal="center" vertical="center"/>
    </xf>
    <xf numFmtId="0" fontId="69" fillId="0" borderId="20" xfId="0" applyFont="1" applyBorder="1" applyAlignment="1">
      <alignment horizontal="center" vertical="center"/>
    </xf>
    <xf numFmtId="1" fontId="0" fillId="0" borderId="18" xfId="0" applyNumberFormat="1" applyBorder="1" applyAlignment="1">
      <alignment horizontal="center" vertical="center"/>
    </xf>
    <xf numFmtId="1" fontId="0" fillId="0" borderId="20" xfId="0" applyNumberFormat="1" applyBorder="1" applyAlignment="1">
      <alignment horizontal="center" vertical="center"/>
    </xf>
    <xf numFmtId="1" fontId="0" fillId="0" borderId="49" xfId="0" applyNumberFormat="1" applyBorder="1" applyAlignment="1">
      <alignment horizontal="center" vertical="center"/>
    </xf>
    <xf numFmtId="1" fontId="0" fillId="0" borderId="50" xfId="0" applyNumberFormat="1" applyBorder="1" applyAlignment="1">
      <alignment horizontal="center" vertical="center"/>
    </xf>
    <xf numFmtId="1" fontId="0" fillId="3" borderId="49" xfId="0" applyNumberFormat="1" applyFill="1" applyBorder="1" applyAlignment="1" applyProtection="1">
      <alignment horizontal="center" vertical="center"/>
      <protection locked="0"/>
    </xf>
    <xf numFmtId="1" fontId="0" fillId="3" borderId="50" xfId="0" applyNumberFormat="1" applyFill="1" applyBorder="1" applyAlignment="1" applyProtection="1">
      <alignment horizontal="center" vertical="center"/>
      <protection locked="0"/>
    </xf>
    <xf numFmtId="0" fontId="126" fillId="15" borderId="149" xfId="37" applyFont="1" applyFill="1" applyBorder="1" applyAlignment="1">
      <alignment horizontal="center" vertical="center" wrapText="1"/>
    </xf>
    <xf numFmtId="0" fontId="126" fillId="15" borderId="150" xfId="37" applyFont="1" applyFill="1" applyBorder="1" applyAlignment="1">
      <alignment horizontal="center" vertical="center" wrapText="1"/>
    </xf>
    <xf numFmtId="0" fontId="126" fillId="15" borderId="151" xfId="37" applyFont="1" applyFill="1" applyBorder="1" applyAlignment="1">
      <alignment horizontal="center" vertical="center" wrapText="1"/>
    </xf>
    <xf numFmtId="0" fontId="126" fillId="28" borderId="149" xfId="37" applyFont="1" applyFill="1" applyBorder="1" applyAlignment="1">
      <alignment horizontal="center" vertical="center" wrapText="1"/>
    </xf>
    <xf numFmtId="0" fontId="126" fillId="28" borderId="150" xfId="37" applyFont="1" applyFill="1" applyBorder="1" applyAlignment="1">
      <alignment horizontal="center" vertical="center" wrapText="1"/>
    </xf>
    <xf numFmtId="0" fontId="127" fillId="27" borderId="152" xfId="37" applyFont="1" applyFill="1" applyBorder="1" applyAlignment="1">
      <alignment horizontal="center" vertical="center" wrapText="1"/>
    </xf>
    <xf numFmtId="0" fontId="127" fillId="27" borderId="155" xfId="37" applyFont="1" applyFill="1" applyBorder="1" applyAlignment="1">
      <alignment horizontal="center" vertical="center" wrapText="1"/>
    </xf>
    <xf numFmtId="0" fontId="127" fillId="27" borderId="158" xfId="37" applyFont="1" applyFill="1" applyBorder="1" applyAlignment="1">
      <alignment horizontal="center" vertical="center" wrapText="1"/>
    </xf>
    <xf numFmtId="0" fontId="126" fillId="27" borderId="152" xfId="37" applyFont="1" applyFill="1" applyBorder="1" applyAlignment="1">
      <alignment horizontal="center" vertical="center" wrapText="1"/>
    </xf>
    <xf numFmtId="0" fontId="126" fillId="27" borderId="155" xfId="37" applyFont="1" applyFill="1" applyBorder="1" applyAlignment="1">
      <alignment horizontal="center" vertical="center" wrapText="1"/>
    </xf>
    <xf numFmtId="0" fontId="126" fillId="27" borderId="158" xfId="37" applyFont="1" applyFill="1" applyBorder="1" applyAlignment="1">
      <alignment horizontal="center" vertical="center" wrapText="1"/>
    </xf>
    <xf numFmtId="0" fontId="126" fillId="28" borderId="152" xfId="37" applyFont="1" applyFill="1" applyBorder="1" applyAlignment="1">
      <alignment horizontal="center" vertical="center" wrapText="1"/>
    </xf>
    <xf numFmtId="0" fontId="126" fillId="28" borderId="155" xfId="37" applyFont="1" applyFill="1" applyBorder="1" applyAlignment="1">
      <alignment horizontal="center" vertical="center" wrapText="1"/>
    </xf>
    <xf numFmtId="0" fontId="126" fillId="28" borderId="153" xfId="37" applyFont="1" applyFill="1" applyBorder="1" applyAlignment="1">
      <alignment horizontal="center" vertical="center" wrapText="1"/>
    </xf>
    <xf numFmtId="0" fontId="126" fillId="28" borderId="154" xfId="37" applyFont="1" applyFill="1" applyBorder="1" applyAlignment="1">
      <alignment horizontal="center" vertical="center" wrapText="1"/>
    </xf>
    <xf numFmtId="0" fontId="126" fillId="28" borderId="156" xfId="37" applyFont="1" applyFill="1" applyBorder="1" applyAlignment="1">
      <alignment horizontal="center" vertical="center" wrapText="1"/>
    </xf>
    <xf numFmtId="0" fontId="126" fillId="28" borderId="157" xfId="37" applyFont="1" applyFill="1" applyBorder="1" applyAlignment="1">
      <alignment horizontal="center" vertical="center" wrapText="1"/>
    </xf>
    <xf numFmtId="0" fontId="126" fillId="4" borderId="152" xfId="37" applyFont="1" applyFill="1" applyBorder="1" applyAlignment="1">
      <alignment horizontal="center" vertical="center" wrapText="1"/>
    </xf>
    <xf numFmtId="0" fontId="126" fillId="4" borderId="155" xfId="37" applyFont="1" applyFill="1" applyBorder="1" applyAlignment="1">
      <alignment horizontal="center" vertical="center" wrapText="1"/>
    </xf>
    <xf numFmtId="0" fontId="126" fillId="4" borderId="158" xfId="37" applyFont="1" applyFill="1" applyBorder="1" applyAlignment="1">
      <alignment horizontal="center" vertical="center" wrapText="1"/>
    </xf>
    <xf numFmtId="0" fontId="126" fillId="15" borderId="152" xfId="37" applyFont="1" applyFill="1" applyBorder="1" applyAlignment="1">
      <alignment horizontal="center" vertical="center" wrapText="1"/>
    </xf>
    <xf numFmtId="0" fontId="126" fillId="15" borderId="155" xfId="37" applyFont="1" applyFill="1" applyBorder="1" applyAlignment="1">
      <alignment horizontal="center" vertical="center" wrapText="1"/>
    </xf>
    <xf numFmtId="0" fontId="126" fillId="15" borderId="158" xfId="37" applyFont="1" applyFill="1" applyBorder="1" applyAlignment="1">
      <alignment horizontal="center" vertical="center" wrapText="1"/>
    </xf>
    <xf numFmtId="0" fontId="126" fillId="28" borderId="158" xfId="37" applyFont="1" applyFill="1" applyBorder="1" applyAlignment="1">
      <alignment horizontal="center" vertical="center" wrapText="1"/>
    </xf>
    <xf numFmtId="0" fontId="139" fillId="0" borderId="11" xfId="0" applyFont="1" applyBorder="1" applyAlignment="1">
      <alignment horizontal="left" vertical="top" wrapText="1"/>
    </xf>
    <xf numFmtId="1" fontId="64" fillId="0" borderId="37" xfId="0" applyNumberFormat="1" applyFont="1" applyBorder="1" applyAlignment="1">
      <alignment horizontal="center"/>
    </xf>
    <xf numFmtId="1" fontId="64" fillId="0" borderId="38" xfId="0" applyNumberFormat="1" applyFont="1" applyBorder="1" applyAlignment="1">
      <alignment horizontal="center"/>
    </xf>
    <xf numFmtId="1" fontId="64" fillId="0" borderId="39" xfId="0" applyNumberFormat="1" applyFont="1" applyBorder="1" applyAlignment="1">
      <alignment horizontal="center"/>
    </xf>
    <xf numFmtId="1" fontId="33" fillId="0" borderId="0" xfId="34" applyNumberFormat="1" applyFont="1" applyFill="1" applyBorder="1" applyAlignment="1" applyProtection="1">
      <alignment horizontal="center" vertical="center"/>
    </xf>
    <xf numFmtId="1" fontId="33" fillId="0" borderId="12" xfId="34" applyNumberFormat="1" applyFont="1" applyFill="1" applyBorder="1" applyAlignment="1" applyProtection="1">
      <alignment horizontal="center" vertical="center"/>
    </xf>
    <xf numFmtId="0" fontId="130" fillId="0" borderId="25" xfId="4" applyFont="1" applyBorder="1" applyAlignment="1" applyProtection="1">
      <alignment horizontal="left" vertical="center"/>
    </xf>
    <xf numFmtId="0" fontId="130" fillId="0" borderId="16" xfId="4" applyFont="1" applyBorder="1" applyAlignment="1" applyProtection="1">
      <alignment horizontal="left" vertical="center"/>
    </xf>
  </cellXfs>
  <cellStyles count="44">
    <cellStyle name="Comma 2" xfId="5"/>
    <cellStyle name="Comma 2 2" xfId="6"/>
    <cellStyle name="Comma 2 3" xfId="7"/>
    <cellStyle name="Comma 3" xfId="8"/>
    <cellStyle name="Comma 4" xfId="3"/>
    <cellStyle name="Comma 4 2" xfId="34"/>
    <cellStyle name="Comma 5" xfId="9"/>
    <cellStyle name="Comma 6" xfId="32"/>
    <cellStyle name="Comma 7" xfId="36"/>
    <cellStyle name="Neutral 2" xfId="20"/>
    <cellStyle name="Normal 10" xfId="35"/>
    <cellStyle name="Normal 11" xfId="37"/>
    <cellStyle name="Normal 2" xfId="2"/>
    <cellStyle name="Normal 2 2" xfId="4"/>
    <cellStyle name="Normal 2 3" xfId="21"/>
    <cellStyle name="Normal 3" xfId="10"/>
    <cellStyle name="Normal 4" xfId="11"/>
    <cellStyle name="Normal 4 2" xfId="42"/>
    <cellStyle name="Normal 5" xfId="12"/>
    <cellStyle name="Normal 5 2" xfId="17"/>
    <cellStyle name="Normal 6" xfId="15"/>
    <cellStyle name="Normal 6 2" xfId="22"/>
    <cellStyle name="Normal 6 2 2" xfId="26"/>
    <cellStyle name="Normal 6 2 2 2" xfId="28"/>
    <cellStyle name="Normal 6 2 2 2 2" xfId="31"/>
    <cellStyle name="Normal 6 3" xfId="25"/>
    <cellStyle name="Normal 6 3 2" xfId="27"/>
    <cellStyle name="Normal 6 3 2 2" xfId="30"/>
    <cellStyle name="Normal 6 3 3" xfId="29"/>
    <cellStyle name="Normal 7" xfId="18"/>
    <cellStyle name="Normal 7 2" xfId="23"/>
    <cellStyle name="Normal 8" xfId="19"/>
    <cellStyle name="Normal 8 2" xfId="24"/>
    <cellStyle name="Normal 9" xfId="33"/>
    <cellStyle name="Normal_JB 690 - 090205" xfId="43"/>
    <cellStyle name="Percent 2" xfId="13"/>
    <cellStyle name="Percent 2 2" xfId="14"/>
    <cellStyle name="百分比" xfId="16" builtinId="5"/>
    <cellStyle name="常规" xfId="0" builtinId="0"/>
    <cellStyle name="常规 2" xfId="38"/>
    <cellStyle name="常规 2 2" xfId="40"/>
    <cellStyle name="常规 3" xfId="41"/>
    <cellStyle name="千位分隔" xfId="1" builtinId="3"/>
    <cellStyle name="千位分隔 2" xfId="39"/>
  </cellStyles>
  <dxfs count="325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 patternType="lightGrid">
          <bgColor rgb="FFFF0000"/>
        </patternFill>
      </fill>
    </dxf>
    <dxf>
      <fill>
        <patternFill>
          <bgColor rgb="FFFF0000"/>
        </patternFill>
      </fill>
    </dxf>
    <dxf>
      <fill>
        <patternFill patternType="lightGrid"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 patternType="lightUp">
          <fgColor auto="1"/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 patternType="lightUp">
          <bgColor rgb="FFFF0000"/>
        </patternFill>
      </fill>
    </dxf>
    <dxf>
      <fill>
        <patternFill patternType="lightHorizontal">
          <fgColor rgb="FFFF0000"/>
          <bgColor auto="1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 patternType="lightUp">
          <bgColor rgb="FFFF0000"/>
        </patternFill>
      </fill>
    </dxf>
    <dxf>
      <fill>
        <patternFill patternType="lightUp">
          <bgColor rgb="FFFF0000"/>
        </patternFill>
      </fill>
    </dxf>
    <dxf>
      <fill>
        <patternFill patternType="lightUp"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 patternType="lightHorizontal">
          <fgColor rgb="FFFF0000"/>
          <bgColor auto="1"/>
        </patternFill>
      </fill>
    </dxf>
    <dxf>
      <fill>
        <patternFill patternType="lightUp">
          <fgColor auto="1"/>
          <bgColor rgb="FFFF0000"/>
        </patternFill>
      </fill>
    </dxf>
    <dxf>
      <fill>
        <patternFill patternType="lightUp">
          <bgColor rgb="FFFF0000"/>
        </patternFill>
      </fill>
    </dxf>
    <dxf>
      <fill>
        <patternFill patternType="lightUp">
          <bgColor rgb="FFFF0000"/>
        </patternFill>
      </fill>
    </dxf>
    <dxf>
      <fill>
        <patternFill>
          <bgColor rgb="FF92D050"/>
        </patternFill>
      </fill>
    </dxf>
    <dxf>
      <fill>
        <patternFill patternType="lightUp">
          <bgColor rgb="FFFF0000"/>
        </patternFill>
      </fill>
    </dxf>
    <dxf>
      <fill>
        <patternFill patternType="lightUp">
          <fgColor auto="1"/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 patternType="lightUp">
          <bgColor rgb="FFFF0000"/>
        </patternFill>
      </fill>
    </dxf>
    <dxf>
      <fill>
        <patternFill>
          <bgColor rgb="FFFF0000"/>
        </patternFill>
      </fill>
    </dxf>
    <dxf>
      <fill>
        <patternFill patternType="lightGrid">
          <bgColor rgb="FFFF0000"/>
        </patternFill>
      </fill>
    </dxf>
  </dxfs>
  <tableStyles count="0" defaultTableStyle="TableStyleMedium9" defaultPivotStyle="PivotStyleLight16"/>
  <colors>
    <mruColors>
      <color rgb="FFFFCC00"/>
      <color rgb="FFFFCC66"/>
      <color rgb="FFFFFFCC"/>
      <color rgb="FFFFFF99"/>
      <color rgb="FFFF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externalLink" Target="externalLinks/externalLink1.xml"/><Relationship Id="rId50" Type="http://schemas.openxmlformats.org/officeDocument/2006/relationships/theme" Target="theme/theme1.xml"/><Relationship Id="rId55" Type="http://schemas.microsoft.com/office/2017/10/relationships/person" Target="persons/perso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externalLink" Target="externalLinks/externalLink3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externalLink" Target="externalLinks/externalLink2.xml"/><Relationship Id="rId8" Type="http://schemas.openxmlformats.org/officeDocument/2006/relationships/worksheet" Target="worksheets/sheet8.xml"/><Relationship Id="rId51" Type="http://schemas.openxmlformats.org/officeDocument/2006/relationships/styles" Target="styles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strRef>
          <c:f>OUT!$H$46</c:f>
          <c:strCache>
            <c:ptCount val="1"/>
            <c:pt idx="0">
              <c:v>实际工况性能曲线</c:v>
            </c:pt>
          </c:strCache>
        </c:strRef>
      </c:tx>
      <c:layout>
        <c:manualLayout>
          <c:xMode val="edge"/>
          <c:yMode val="edge"/>
          <c:x val="0.40412816797773304"/>
          <c:y val="2.5082443721266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cap="none" spc="0" normalizeH="0" baseline="0">
              <a:solidFill>
                <a:schemeClr val="dk1">
                  <a:lumMod val="50000"/>
                  <a:lumOff val="50000"/>
                </a:schemeClr>
              </a:solidFill>
              <a:latin typeface="+mj-lt"/>
              <a:ea typeface="+mj-ea"/>
              <a:cs typeface="+mj-cs"/>
            </a:defRPr>
          </a:pPr>
          <a:endParaRPr lang="zh-CN"/>
        </a:p>
      </c:txPr>
    </c:title>
    <c:autoTitleDeleted val="0"/>
    <c:plotArea>
      <c:layout>
        <c:manualLayout>
          <c:layoutTarget val="inner"/>
          <c:xMode val="edge"/>
          <c:yMode val="edge"/>
          <c:x val="9.9548144717204523E-2"/>
          <c:y val="0.13969159118268121"/>
          <c:w val="0.784902777873004"/>
          <c:h val="0.7450991367057535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OUT!$L$58</c:f>
              <c:strCache>
                <c:ptCount val="1"/>
                <c:pt idx="0">
                  <c:v>2906</c:v>
                </c:pt>
              </c:strCache>
            </c:strRef>
          </c:tx>
          <c:spPr>
            <a:ln w="22225" cap="rnd">
              <a:solidFill>
                <a:schemeClr val="accent1">
                  <a:shade val="58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5875">
                <a:solidFill>
                  <a:schemeClr val="accent1">
                    <a:shade val="58000"/>
                  </a:schemeClr>
                </a:solidFill>
                <a:round/>
              </a:ln>
              <a:effectLst/>
            </c:spPr>
          </c:marker>
          <c:xVal>
            <c:numRef>
              <c:f>OUT!$N$58:$N$67</c:f>
              <c:numCache>
                <c:formatCode>0</c:formatCode>
                <c:ptCount val="10"/>
                <c:pt idx="0">
                  <c:v>6684.2838484724871</c:v>
                </c:pt>
                <c:pt idx="1">
                  <c:v>8147.0764008193637</c:v>
                </c:pt>
                <c:pt idx="2">
                  <c:v>9590.494217373569</c:v>
                </c:pt>
                <c:pt idx="3">
                  <c:v>10898.288883379055</c:v>
                </c:pt>
                <c:pt idx="4">
                  <c:v>12302.95722834791</c:v>
                </c:pt>
                <c:pt idx="5">
                  <c:v>13368.567696944974</c:v>
                </c:pt>
                <c:pt idx="6">
                  <c:v>13368.567696944974</c:v>
                </c:pt>
                <c:pt idx="7">
                  <c:v>13368.567696944974</c:v>
                </c:pt>
                <c:pt idx="8">
                  <c:v>13368.567696944974</c:v>
                </c:pt>
                <c:pt idx="9">
                  <c:v>13368.567696944974</c:v>
                </c:pt>
              </c:numCache>
            </c:numRef>
          </c:xVal>
          <c:yVal>
            <c:numRef>
              <c:f>OUT!$S$58:$S$67</c:f>
              <c:numCache>
                <c:formatCode>0</c:formatCode>
                <c:ptCount val="10"/>
                <c:pt idx="0">
                  <c:v>6626.4398201902495</c:v>
                </c:pt>
                <c:pt idx="1">
                  <c:v>6396.3551042114213</c:v>
                </c:pt>
                <c:pt idx="2">
                  <c:v>6055.8297245627555</c:v>
                </c:pt>
                <c:pt idx="3">
                  <c:v>5660.0840130791721</c:v>
                </c:pt>
                <c:pt idx="4">
                  <c:v>5153.8976379257501</c:v>
                </c:pt>
                <c:pt idx="5">
                  <c:v>4693.7282059680938</c:v>
                </c:pt>
                <c:pt idx="6">
                  <c:v>4693.7282059680938</c:v>
                </c:pt>
                <c:pt idx="7">
                  <c:v>4693.7282059680938</c:v>
                </c:pt>
                <c:pt idx="8">
                  <c:v>4693.7282059680938</c:v>
                </c:pt>
                <c:pt idx="9">
                  <c:v>4693.7282059680938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4A46-4071-8E6C-C7F507A4A8B3}"/>
            </c:ext>
          </c:extLst>
        </c:ser>
        <c:ser>
          <c:idx val="2"/>
          <c:order val="2"/>
          <c:tx>
            <c:v>op</c:v>
          </c:tx>
          <c:spPr>
            <a:ln w="22225" cap="rnd">
              <a:solidFill>
                <a:schemeClr val="accent1">
                  <a:tint val="86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5875">
                <a:solidFill>
                  <a:schemeClr val="accent1">
                    <a:tint val="86000"/>
                  </a:schemeClr>
                </a:solidFill>
                <a:round/>
              </a:ln>
              <a:effectLst/>
            </c:spPr>
          </c:marker>
          <c:xVal>
            <c:numRef>
              <c:f>OUT!$E$52</c:f>
              <c:numCache>
                <c:formatCode>0</c:formatCode>
                <c:ptCount val="1"/>
                <c:pt idx="0">
                  <c:v>76898</c:v>
                </c:pt>
              </c:numCache>
            </c:numRef>
          </c:xVal>
          <c:yVal>
            <c:numRef>
              <c:f>OUT!$E$50</c:f>
              <c:numCache>
                <c:formatCode>0</c:formatCode>
                <c:ptCount val="1"/>
                <c:pt idx="0">
                  <c:v>9195.8753697093325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5-4A46-4071-8E6C-C7F507A4A8B3}"/>
            </c:ext>
          </c:extLst>
        </c:ser>
        <c:ser>
          <c:idx val="3"/>
          <c:order val="3"/>
          <c:tx>
            <c:v>op_line</c:v>
          </c:tx>
          <c:spPr>
            <a:ln w="22225" cap="rnd">
              <a:solidFill>
                <a:schemeClr val="accent1">
                  <a:tint val="58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5875">
                <a:solidFill>
                  <a:schemeClr val="accent1">
                    <a:tint val="58000"/>
                  </a:schemeClr>
                </a:solidFill>
                <a:round/>
              </a:ln>
              <a:effectLst/>
            </c:spPr>
          </c:marker>
          <c:dLbls>
            <c:dLbl>
              <c:idx val="1"/>
              <c:layout>
                <c:manualLayout>
                  <c:x val="-1.1634921805538385E-2"/>
                  <c:y val="-6.8976720233483974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8-4A46-4071-8E6C-C7F507A4A8B3}"/>
                </c:ext>
                <c:ext xmlns:c15="http://schemas.microsoft.com/office/drawing/2012/chart" uri="{CE6537A1-D6FC-4f65-9D91-7224C49458BB}"/>
              </c:extLst>
            </c:dLbl>
            <c:spPr>
              <a:solidFill>
                <a:schemeClr val="lt1"/>
              </a:solidFill>
              <a:ln>
                <a:solidFill>
                  <a:schemeClr val="dk1">
                    <a:lumMod val="25000"/>
                    <a:lumOff val="75000"/>
                  </a:schemeClr>
                </a:solidFill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pPr xmlns:c15="http://schemas.microsoft.com/office/drawing/2012/chart">
                  <a:prstGeom prst="ellipse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chemeClr val="accent1">
                    <a:tint val="58000"/>
                  </a:schemeClr>
                </a:solidFill>
              </a:ln>
              <a:effectLst/>
            </c:spPr>
            <c:trendlineType val="linear"/>
            <c:dispRSqr val="0"/>
            <c:dispEq val="0"/>
          </c:trendline>
          <c:xVal>
            <c:numRef>
              <c:f>(OUT!$E$52,OUT!$E$52)</c:f>
              <c:numCache>
                <c:formatCode>0</c:formatCode>
                <c:ptCount val="2"/>
                <c:pt idx="0">
                  <c:v>76898</c:v>
                </c:pt>
                <c:pt idx="1">
                  <c:v>76898</c:v>
                </c:pt>
              </c:numCache>
            </c:numRef>
          </c:xVal>
          <c:yVal>
            <c:numRef>
              <c:f>(OUT!$M$53,OUT!$E$50)</c:f>
              <c:numCache>
                <c:formatCode>0</c:formatCode>
                <c:ptCount val="2"/>
                <c:pt idx="0" formatCode="General">
                  <c:v>0</c:v>
                </c:pt>
                <c:pt idx="1">
                  <c:v>9195.8753697093325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6-4A46-4071-8E6C-C7F507A4A8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4774096"/>
        <c:axId val="483792832"/>
      </c:scatterChart>
      <c:scatterChart>
        <c:scatterStyle val="smoothMarker"/>
        <c:varyColors val="0"/>
        <c:ser>
          <c:idx val="1"/>
          <c:order val="1"/>
          <c:tx>
            <c:strRef>
              <c:f>OUT!$O$57</c:f>
              <c:strCache>
                <c:ptCount val="1"/>
                <c:pt idx="0">
                  <c:v>Shaft Power [kW]</c:v>
                </c:pt>
              </c:strCache>
            </c:strRef>
          </c:tx>
          <c:spPr>
            <a:ln w="22225" cap="rnd">
              <a:solidFill>
                <a:schemeClr val="accent1">
                  <a:shade val="86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5875">
                <a:solidFill>
                  <a:schemeClr val="accent1">
                    <a:shade val="86000"/>
                  </a:schemeClr>
                </a:solidFill>
                <a:round/>
              </a:ln>
              <a:effectLst/>
            </c:spPr>
          </c:marker>
          <c:xVal>
            <c:numRef>
              <c:f>OUT!$N$58:$N$67</c:f>
              <c:numCache>
                <c:formatCode>0</c:formatCode>
                <c:ptCount val="10"/>
                <c:pt idx="0">
                  <c:v>6684.2838484724871</c:v>
                </c:pt>
                <c:pt idx="1">
                  <c:v>8147.0764008193637</c:v>
                </c:pt>
                <c:pt idx="2">
                  <c:v>9590.494217373569</c:v>
                </c:pt>
                <c:pt idx="3">
                  <c:v>10898.288883379055</c:v>
                </c:pt>
                <c:pt idx="4">
                  <c:v>12302.95722834791</c:v>
                </c:pt>
                <c:pt idx="5">
                  <c:v>13368.567696944974</c:v>
                </c:pt>
                <c:pt idx="6">
                  <c:v>13368.567696944974</c:v>
                </c:pt>
                <c:pt idx="7">
                  <c:v>13368.567696944974</c:v>
                </c:pt>
                <c:pt idx="8">
                  <c:v>13368.567696944974</c:v>
                </c:pt>
                <c:pt idx="9">
                  <c:v>13368.567696944974</c:v>
                </c:pt>
              </c:numCache>
            </c:numRef>
          </c:xVal>
          <c:yVal>
            <c:numRef>
              <c:f>OUT!$O$58:$O$67</c:f>
              <c:numCache>
                <c:formatCode>0.0</c:formatCode>
                <c:ptCount val="10"/>
                <c:pt idx="0">
                  <c:v>21.000486681903329</c:v>
                </c:pt>
                <c:pt idx="1">
                  <c:v>22.455065846017828</c:v>
                </c:pt>
                <c:pt idx="2">
                  <c:v>23.727822614618042</c:v>
                </c:pt>
                <c:pt idx="3">
                  <c:v>24.909668185461083</c:v>
                </c:pt>
                <c:pt idx="4">
                  <c:v>26.546069745089913</c:v>
                </c:pt>
                <c:pt idx="5">
                  <c:v>27.727915315932933</c:v>
                </c:pt>
                <c:pt idx="6">
                  <c:v>27.727915315932933</c:v>
                </c:pt>
                <c:pt idx="7">
                  <c:v>27.727915315932933</c:v>
                </c:pt>
                <c:pt idx="8">
                  <c:v>27.727915315932933</c:v>
                </c:pt>
                <c:pt idx="9">
                  <c:v>27.727915315932933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4A46-4071-8E6C-C7F507A4A8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2476872"/>
        <c:axId val="484242360"/>
      </c:scatterChart>
      <c:valAx>
        <c:axId val="484774096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Q &lt;m3/hr&gt;</a:t>
                </a:r>
              </a:p>
            </c:rich>
          </c:tx>
          <c:layout>
            <c:manualLayout>
              <c:xMode val="edge"/>
              <c:yMode val="edge"/>
              <c:x val="0.45312520505249348"/>
              <c:y val="0.9351447132457428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83792832"/>
        <c:crosses val="autoZero"/>
        <c:crossBetween val="midCat"/>
      </c:valAx>
      <c:valAx>
        <c:axId val="48379283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P &lt;mmH20&gt;</a:t>
                </a:r>
              </a:p>
            </c:rich>
          </c:tx>
          <c:layout>
            <c:manualLayout>
              <c:xMode val="edge"/>
              <c:yMode val="edge"/>
              <c:x val="1.5625E-2"/>
              <c:y val="0.4434395474321112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84774096"/>
        <c:crosses val="autoZero"/>
        <c:crossBetween val="midCat"/>
      </c:valAx>
      <c:valAx>
        <c:axId val="484242360"/>
        <c:scaling>
          <c:orientation val="minMax"/>
        </c:scaling>
        <c:delete val="0"/>
        <c:axPos val="r"/>
        <c:numFmt formatCode="0.0" sourceLinked="1"/>
        <c:majorTickMark val="out"/>
        <c:minorTickMark val="in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82476872"/>
        <c:crosses val="max"/>
        <c:crossBetween val="midCat"/>
      </c:valAx>
      <c:valAx>
        <c:axId val="482476872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484242360"/>
        <c:crosses val="autoZero"/>
        <c:crossBetween val="midCat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 alignWithMargins="0"/>
    <c:pageMargins b="1" l="0.75000000000001465" r="0.75000000000001465" t="1" header="0.5" footer="0.5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strRef>
          <c:f>'OUT (C)'!$H$46</c:f>
          <c:strCache>
            <c:ptCount val="1"/>
            <c:pt idx="0">
              <c:v>实际工况性能曲线</c:v>
            </c:pt>
          </c:strCache>
        </c:strRef>
      </c:tx>
      <c:layout>
        <c:manualLayout>
          <c:xMode val="edge"/>
          <c:yMode val="edge"/>
          <c:x val="0.40412816797773304"/>
          <c:y val="2.5082443721266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cap="none" spc="0" normalizeH="0" baseline="0">
              <a:solidFill>
                <a:schemeClr val="dk1">
                  <a:lumMod val="50000"/>
                  <a:lumOff val="50000"/>
                </a:schemeClr>
              </a:solidFill>
              <a:latin typeface="+mj-lt"/>
              <a:ea typeface="+mj-ea"/>
              <a:cs typeface="+mj-cs"/>
            </a:defRPr>
          </a:pPr>
          <a:endParaRPr lang="zh-CN"/>
        </a:p>
      </c:txPr>
    </c:title>
    <c:autoTitleDeleted val="0"/>
    <c:plotArea>
      <c:layout>
        <c:manualLayout>
          <c:layoutTarget val="inner"/>
          <c:xMode val="edge"/>
          <c:yMode val="edge"/>
          <c:x val="9.9548144717204523E-2"/>
          <c:y val="0.13969159118268121"/>
          <c:w val="0.784902777873004"/>
          <c:h val="0.7450991367057535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'OUT (C)'!$L$58</c:f>
              <c:strCache>
                <c:ptCount val="1"/>
                <c:pt idx="0">
                  <c:v>2906</c:v>
                </c:pt>
              </c:strCache>
            </c:strRef>
          </c:tx>
          <c:spPr>
            <a:ln w="22225" cap="rnd">
              <a:solidFill>
                <a:schemeClr val="accent1">
                  <a:shade val="58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5875">
                <a:solidFill>
                  <a:schemeClr val="accent1">
                    <a:shade val="58000"/>
                  </a:schemeClr>
                </a:solidFill>
                <a:round/>
              </a:ln>
              <a:effectLst/>
            </c:spPr>
          </c:marker>
          <c:xVal>
            <c:numRef>
              <c:f>'OUT (C)'!$N$58:$N$67</c:f>
              <c:numCache>
                <c:formatCode>0</c:formatCode>
                <c:ptCount val="10"/>
                <c:pt idx="0">
                  <c:v>6684.2838484724871</c:v>
                </c:pt>
                <c:pt idx="1">
                  <c:v>8147.0764008193637</c:v>
                </c:pt>
                <c:pt idx="2">
                  <c:v>9590.494217373569</c:v>
                </c:pt>
                <c:pt idx="3">
                  <c:v>10898.288883379055</c:v>
                </c:pt>
                <c:pt idx="4">
                  <c:v>12302.95722834791</c:v>
                </c:pt>
                <c:pt idx="5">
                  <c:v>13368.567696944974</c:v>
                </c:pt>
                <c:pt idx="6">
                  <c:v>13368.567696944974</c:v>
                </c:pt>
                <c:pt idx="7">
                  <c:v>13368.567696944974</c:v>
                </c:pt>
                <c:pt idx="8">
                  <c:v>13368.567696944974</c:v>
                </c:pt>
                <c:pt idx="9">
                  <c:v>13368.567696944974</c:v>
                </c:pt>
              </c:numCache>
            </c:numRef>
          </c:xVal>
          <c:yVal>
            <c:numRef>
              <c:f>'OUT (C)'!$S$58:$S$67</c:f>
              <c:numCache>
                <c:formatCode>0</c:formatCode>
                <c:ptCount val="10"/>
                <c:pt idx="0">
                  <c:v>6626.4398201902495</c:v>
                </c:pt>
                <c:pt idx="1">
                  <c:v>6396.3551042114213</c:v>
                </c:pt>
                <c:pt idx="2">
                  <c:v>6055.8297245627555</c:v>
                </c:pt>
                <c:pt idx="3">
                  <c:v>5660.0840130791721</c:v>
                </c:pt>
                <c:pt idx="4">
                  <c:v>5153.8976379257501</c:v>
                </c:pt>
                <c:pt idx="5">
                  <c:v>4693.7282059680938</c:v>
                </c:pt>
                <c:pt idx="6">
                  <c:v>4693.7282059680938</c:v>
                </c:pt>
                <c:pt idx="7">
                  <c:v>4693.7282059680938</c:v>
                </c:pt>
                <c:pt idx="8">
                  <c:v>4693.7282059680938</c:v>
                </c:pt>
                <c:pt idx="9">
                  <c:v>4693.7282059680938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8116-4E4B-9821-B836426A0A06}"/>
            </c:ext>
          </c:extLst>
        </c:ser>
        <c:ser>
          <c:idx val="2"/>
          <c:order val="2"/>
          <c:tx>
            <c:v>op</c:v>
          </c:tx>
          <c:spPr>
            <a:ln w="22225" cap="rnd">
              <a:solidFill>
                <a:schemeClr val="accent1">
                  <a:tint val="86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5875">
                <a:solidFill>
                  <a:schemeClr val="accent1">
                    <a:tint val="86000"/>
                  </a:schemeClr>
                </a:solidFill>
                <a:round/>
              </a:ln>
              <a:effectLst/>
            </c:spPr>
          </c:marker>
          <c:xVal>
            <c:numRef>
              <c:f>'OUT (C)'!$E$52</c:f>
              <c:numCache>
                <c:formatCode>0</c:formatCode>
                <c:ptCount val="1"/>
                <c:pt idx="0">
                  <c:v>76898</c:v>
                </c:pt>
              </c:numCache>
            </c:numRef>
          </c:xVal>
          <c:yVal>
            <c:numRef>
              <c:f>'OUT (C)'!$E$50</c:f>
              <c:numCache>
                <c:formatCode>0</c:formatCode>
                <c:ptCount val="1"/>
                <c:pt idx="0">
                  <c:v>9195.8753697093325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8116-4E4B-9821-B836426A0A06}"/>
            </c:ext>
          </c:extLst>
        </c:ser>
        <c:ser>
          <c:idx val="3"/>
          <c:order val="3"/>
          <c:tx>
            <c:v>op_line</c:v>
          </c:tx>
          <c:spPr>
            <a:ln w="22225" cap="rnd">
              <a:solidFill>
                <a:schemeClr val="accent1">
                  <a:tint val="58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5875">
                <a:solidFill>
                  <a:schemeClr val="accent1">
                    <a:tint val="58000"/>
                  </a:schemeClr>
                </a:solidFill>
                <a:round/>
              </a:ln>
              <a:effectLst/>
            </c:spPr>
          </c:marker>
          <c:dLbls>
            <c:dLbl>
              <c:idx val="1"/>
              <c:layout>
                <c:manualLayout>
                  <c:x val="-2.3276317759465166E-2"/>
                  <c:y val="-9.0661924694357438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2-8116-4E4B-9821-B836426A0A06}"/>
                </c:ext>
                <c:ext xmlns:c15="http://schemas.microsoft.com/office/drawing/2012/chart" uri="{CE6537A1-D6FC-4f65-9D91-7224C49458BB}"/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pPr xmlns:c15="http://schemas.microsoft.com/office/drawing/2012/chart">
                  <a:prstGeom prst="ellipse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chemeClr val="accent1">
                    <a:tint val="58000"/>
                  </a:schemeClr>
                </a:solidFill>
              </a:ln>
              <a:effectLst/>
            </c:spPr>
            <c:trendlineType val="linear"/>
            <c:dispRSqr val="0"/>
            <c:dispEq val="0"/>
          </c:trendline>
          <c:xVal>
            <c:numRef>
              <c:f>('OUT (C)'!$E$52,'OUT (C)'!$E$52)</c:f>
              <c:numCache>
                <c:formatCode>0</c:formatCode>
                <c:ptCount val="2"/>
                <c:pt idx="0">
                  <c:v>76898</c:v>
                </c:pt>
                <c:pt idx="1">
                  <c:v>76898</c:v>
                </c:pt>
              </c:numCache>
            </c:numRef>
          </c:xVal>
          <c:yVal>
            <c:numRef>
              <c:f>('OUT (C)'!$M$53,'OUT (C)'!$E$50)</c:f>
              <c:numCache>
                <c:formatCode>0</c:formatCode>
                <c:ptCount val="2"/>
                <c:pt idx="0" formatCode="General">
                  <c:v>0</c:v>
                </c:pt>
                <c:pt idx="1">
                  <c:v>9195.8753697093325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4-8116-4E4B-9821-B836426A0A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1045152"/>
        <c:axId val="230932880"/>
      </c:scatterChart>
      <c:scatterChart>
        <c:scatterStyle val="smoothMarker"/>
        <c:varyColors val="0"/>
        <c:ser>
          <c:idx val="1"/>
          <c:order val="1"/>
          <c:tx>
            <c:strRef>
              <c:f>'OUT (C)'!$O$57</c:f>
              <c:strCache>
                <c:ptCount val="1"/>
                <c:pt idx="0">
                  <c:v>Shaft Power [kW]</c:v>
                </c:pt>
              </c:strCache>
            </c:strRef>
          </c:tx>
          <c:spPr>
            <a:ln w="22225" cap="rnd">
              <a:solidFill>
                <a:schemeClr val="accent1">
                  <a:shade val="86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5875">
                <a:solidFill>
                  <a:schemeClr val="accent1">
                    <a:shade val="86000"/>
                  </a:schemeClr>
                </a:solidFill>
                <a:round/>
              </a:ln>
              <a:effectLst/>
            </c:spPr>
          </c:marker>
          <c:xVal>
            <c:numRef>
              <c:f>'OUT (C)'!$N$58:$N$67</c:f>
              <c:numCache>
                <c:formatCode>0</c:formatCode>
                <c:ptCount val="10"/>
                <c:pt idx="0">
                  <c:v>6684.2838484724871</c:v>
                </c:pt>
                <c:pt idx="1">
                  <c:v>8147.0764008193637</c:v>
                </c:pt>
                <c:pt idx="2">
                  <c:v>9590.494217373569</c:v>
                </c:pt>
                <c:pt idx="3">
                  <c:v>10898.288883379055</c:v>
                </c:pt>
                <c:pt idx="4">
                  <c:v>12302.95722834791</c:v>
                </c:pt>
                <c:pt idx="5">
                  <c:v>13368.567696944974</c:v>
                </c:pt>
                <c:pt idx="6">
                  <c:v>13368.567696944974</c:v>
                </c:pt>
                <c:pt idx="7">
                  <c:v>13368.567696944974</c:v>
                </c:pt>
                <c:pt idx="8">
                  <c:v>13368.567696944974</c:v>
                </c:pt>
                <c:pt idx="9">
                  <c:v>13368.567696944974</c:v>
                </c:pt>
              </c:numCache>
            </c:numRef>
          </c:xVal>
          <c:yVal>
            <c:numRef>
              <c:f>'OUT (C)'!$O$58:$O$67</c:f>
              <c:numCache>
                <c:formatCode>0.0</c:formatCode>
                <c:ptCount val="10"/>
                <c:pt idx="0">
                  <c:v>21.000486681903329</c:v>
                </c:pt>
                <c:pt idx="1">
                  <c:v>22.455065846017828</c:v>
                </c:pt>
                <c:pt idx="2">
                  <c:v>23.727822614618042</c:v>
                </c:pt>
                <c:pt idx="3">
                  <c:v>24.909668185461083</c:v>
                </c:pt>
                <c:pt idx="4">
                  <c:v>26.546069745089913</c:v>
                </c:pt>
                <c:pt idx="5">
                  <c:v>27.727915315932933</c:v>
                </c:pt>
                <c:pt idx="6">
                  <c:v>27.727915315932933</c:v>
                </c:pt>
                <c:pt idx="7">
                  <c:v>27.727915315932933</c:v>
                </c:pt>
                <c:pt idx="8">
                  <c:v>27.727915315932933</c:v>
                </c:pt>
                <c:pt idx="9">
                  <c:v>27.727915315932933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5-8116-4E4B-9821-B836426A0A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2929432"/>
        <c:axId val="485373128"/>
      </c:scatterChart>
      <c:valAx>
        <c:axId val="231045152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Q &lt;m3/hr&gt;</a:t>
                </a:r>
              </a:p>
            </c:rich>
          </c:tx>
          <c:layout>
            <c:manualLayout>
              <c:xMode val="edge"/>
              <c:yMode val="edge"/>
              <c:x val="0.45312520505249348"/>
              <c:y val="0.9351447132457428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30932880"/>
        <c:crosses val="autoZero"/>
        <c:crossBetween val="midCat"/>
      </c:valAx>
      <c:valAx>
        <c:axId val="23093288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P &lt;mmH20&gt;</a:t>
                </a:r>
              </a:p>
            </c:rich>
          </c:tx>
          <c:layout>
            <c:manualLayout>
              <c:xMode val="edge"/>
              <c:yMode val="edge"/>
              <c:x val="1.5625E-2"/>
              <c:y val="0.4434395474321112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31045152"/>
        <c:crosses val="autoZero"/>
        <c:crossBetween val="midCat"/>
      </c:valAx>
      <c:valAx>
        <c:axId val="485373128"/>
        <c:scaling>
          <c:orientation val="minMax"/>
        </c:scaling>
        <c:delete val="0"/>
        <c:axPos val="r"/>
        <c:numFmt formatCode="0.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82929432"/>
        <c:crosses val="max"/>
        <c:crossBetween val="midCat"/>
      </c:valAx>
      <c:valAx>
        <c:axId val="482929432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485373128"/>
        <c:crosses val="autoZero"/>
        <c:crossBetween val="midCat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 alignWithMargins="0"/>
    <c:pageMargins b="1" l="0.75000000000001465" r="0.75000000000001465" t="1" header="0.5" footer="0.5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Drawings!$P$3</c:f>
          <c:strCache>
            <c:ptCount val="1"/>
            <c:pt idx="0">
              <c:v>XOE 273-90, RD135 Side View</c:v>
            </c:pt>
          </c:strCache>
        </c:strRef>
      </c:tx>
      <c:overlay val="1"/>
      <c:txPr>
        <a:bodyPr/>
        <a:lstStyle/>
        <a:p>
          <a:pPr>
            <a:defRPr sz="1400"/>
          </a:pPr>
          <a:endParaRPr lang="zh-CN"/>
        </a:p>
      </c:txPr>
    </c:title>
    <c:autoTitleDeleted val="0"/>
    <c:plotArea>
      <c:layout>
        <c:manualLayout>
          <c:layoutTarget val="inner"/>
          <c:xMode val="edge"/>
          <c:yMode val="edge"/>
          <c:x val="2.814264636590386E-2"/>
          <c:y val="0.11865244304868336"/>
          <c:w val="0.853254403922588"/>
          <c:h val="0.74113843464456663"/>
        </c:manualLayout>
      </c:layout>
      <c:scatterChart>
        <c:scatterStyle val="lineMarker"/>
        <c:varyColors val="0"/>
        <c:ser>
          <c:idx val="7"/>
          <c:order val="0"/>
          <c:tx>
            <c:strRef>
              <c:f>'Frame Dimensions'!$Y$23</c:f>
              <c:strCache>
                <c:ptCount val="1"/>
                <c:pt idx="0">
                  <c:v>calx</c:v>
                </c:pt>
              </c:strCache>
            </c:strRef>
          </c:tx>
          <c:spPr>
            <a:ln w="12700"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('Frame Dimensions'!$Y$24,'Frame Dimensions'!$Y$25)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('Frame Dimensions'!$Z$25,'Frame Dimensions'!$Z$25)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CAC-41F8-8B63-61E51E59C2D1}"/>
            </c:ext>
          </c:extLst>
        </c:ser>
        <c:ser>
          <c:idx val="8"/>
          <c:order val="1"/>
          <c:tx>
            <c:strRef>
              <c:f>'Frame Dimensions'!$Z$23</c:f>
              <c:strCache>
                <c:ptCount val="1"/>
                <c:pt idx="0">
                  <c:v>caly</c:v>
                </c:pt>
              </c:strCache>
            </c:strRef>
          </c:tx>
          <c:spPr>
            <a:ln w="12700">
              <a:noFill/>
              <a:prstDash val="sysDot"/>
            </a:ln>
          </c:spPr>
          <c:marker>
            <c:symbol val="none"/>
          </c:marker>
          <c:xVal>
            <c:numRef>
              <c:f>('Frame Dimensions'!$Z$25,'Frame Dimensions'!$Z$25)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('Frame Dimensions'!$Z$25,'Frame Dimensions'!$Z$24)</c:f>
              <c:numCache>
                <c:formatCode>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CAC-41F8-8B63-61E51E59C2D1}"/>
            </c:ext>
          </c:extLst>
        </c:ser>
        <c:ser>
          <c:idx val="3"/>
          <c:order val="2"/>
          <c:tx>
            <c:strRef>
              <c:f>'Frame Dimensions'!$B$33</c:f>
              <c:strCache>
                <c:ptCount val="1"/>
                <c:pt idx="0">
                  <c:v>#REF!</c:v>
                </c:pt>
              </c:strCache>
            </c:strRef>
          </c:tx>
          <c:spPr>
            <a:ln w="12700">
              <a:solidFill>
                <a:srgbClr val="00B0F0"/>
              </a:solidFill>
            </a:ln>
          </c:spPr>
          <c:marker>
            <c:symbol val="none"/>
          </c:marker>
          <c:dLbls>
            <c:dLbl>
              <c:idx val="1"/>
              <c:layout>
                <c:manualLayout>
                  <c:x val="-0.23717119654946942"/>
                  <c:y val="3.459842668616736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 sz="600"/>
                  </a:pPr>
                  <a:endParaRPr lang="zh-CN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2-7CAC-41F8-8B63-61E51E59C2D1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6350">
                      <a:prstDash val="dash"/>
                    </a:ln>
                  </c:spPr>
                </c15:leaderLines>
              </c:ext>
            </c:extLst>
          </c:dLbls>
          <c:xVal>
            <c:numRef>
              <c:f>('Frame Dimensions'!$J$33,'Frame Dimensions'!$M$33,'Frame Dimensions'!$M$35,'Frame Dimensions'!$J$35,'Frame Dimensions'!$J$33)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('Frame Dimensions'!$K$33,'Frame Dimensions'!$N$33,'Frame Dimensions'!$N$35,'Frame Dimensions'!$K$35,'Frame Dimensions'!$K$33)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7CAC-41F8-8B63-61E51E59C2D1}"/>
            </c:ext>
          </c:extLst>
        </c:ser>
        <c:ser>
          <c:idx val="4"/>
          <c:order val="3"/>
          <c:tx>
            <c:strRef>
              <c:f>'Frame Dimensions'!$B$49</c:f>
              <c:strCache>
                <c:ptCount val="1"/>
                <c:pt idx="0">
                  <c:v>#REF!</c:v>
                </c:pt>
              </c:strCache>
            </c:strRef>
          </c:tx>
          <c:spPr>
            <a:ln w="12700">
              <a:solidFill>
                <a:srgbClr val="00B0F0"/>
              </a:solidFill>
            </a:ln>
          </c:spPr>
          <c:marker>
            <c:symbol val="none"/>
          </c:marker>
          <c:dLbls>
            <c:dLbl>
              <c:idx val="1"/>
              <c:layout>
                <c:manualLayout>
                  <c:x val="-0.29637730269909834"/>
                  <c:y val="7.7548548271634432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 sz="600"/>
                  </a:pPr>
                  <a:endParaRPr lang="zh-CN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4-7CAC-41F8-8B63-61E51E59C2D1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6350">
                      <a:prstDash val="dash"/>
                    </a:ln>
                  </c:spPr>
                </c15:leaderLines>
              </c:ext>
            </c:extLst>
          </c:dLbls>
          <c:xVal>
            <c:numRef>
              <c:f>('Frame Dimensions'!$J$49,'Frame Dimensions'!$M$49,'Frame Dimensions'!$M$51,'Frame Dimensions'!$J$51,'Frame Dimensions'!$J$49)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('Frame Dimensions'!$K$49,'Frame Dimensions'!$N$49,'Frame Dimensions'!$N$51,'Frame Dimensions'!$K$51,'Frame Dimensions'!$K$49)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5-7CAC-41F8-8B63-61E51E59C2D1}"/>
            </c:ext>
          </c:extLst>
        </c:ser>
        <c:ser>
          <c:idx val="24"/>
          <c:order val="4"/>
          <c:tx>
            <c:strRef>
              <c:f>'Frame Dimensions'!$B$65</c:f>
              <c:strCache>
                <c:ptCount val="1"/>
                <c:pt idx="0">
                  <c:v>0</c:v>
                </c:pt>
              </c:strCache>
            </c:strRef>
          </c:tx>
          <c:spPr>
            <a:ln w="12700">
              <a:solidFill>
                <a:srgbClr val="00B0F0"/>
              </a:solidFill>
            </a:ln>
          </c:spPr>
          <c:marker>
            <c:symbol val="none"/>
          </c:marker>
          <c:dLbls>
            <c:dLbl>
              <c:idx val="1"/>
              <c:layout>
                <c:manualLayout>
                  <c:x val="-7.7556676788002002E-2"/>
                  <c:y val="-0.1581642362796222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 sz="600"/>
                  </a:pPr>
                  <a:endParaRPr lang="zh-CN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6-7CAC-41F8-8B63-61E51E59C2D1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6350">
                      <a:prstDash val="dash"/>
                    </a:ln>
                  </c:spPr>
                </c15:leaderLines>
              </c:ext>
            </c:extLst>
          </c:dLbls>
          <c:xVal>
            <c:numRef>
              <c:f>('Frame Dimensions'!$J$65,'Frame Dimensions'!$M$65,'Frame Dimensions'!$M$67,'Frame Dimensions'!$J$67,'Frame Dimensions'!$J$65)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('Frame Dimensions'!$K$65,'Frame Dimensions'!$N$65,'Frame Dimensions'!$N$67,'Frame Dimensions'!$K$67,'Frame Dimensions'!$K$65)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7-7CAC-41F8-8B63-61E51E59C2D1}"/>
            </c:ext>
          </c:extLst>
        </c:ser>
        <c:ser>
          <c:idx val="26"/>
          <c:order val="5"/>
          <c:tx>
            <c:strRef>
              <c:f>'Frame Dimensions'!$B$81</c:f>
              <c:strCache>
                <c:ptCount val="1"/>
                <c:pt idx="0">
                  <c:v>0</c:v>
                </c:pt>
              </c:strCache>
            </c:strRef>
          </c:tx>
          <c:spPr>
            <a:ln w="12700">
              <a:solidFill>
                <a:srgbClr val="00B0F0"/>
              </a:solidFill>
            </a:ln>
          </c:spPr>
          <c:marker>
            <c:symbol val="none"/>
          </c:marker>
          <c:dLbls>
            <c:dLbl>
              <c:idx val="1"/>
              <c:layout>
                <c:manualLayout>
                  <c:x val="-3.8778338394001001E-2"/>
                  <c:y val="-0.14827897151214584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 sz="600"/>
                  </a:pPr>
                  <a:endParaRPr lang="zh-CN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8-7CAC-41F8-8B63-61E51E59C2D1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6350">
                      <a:prstDash val="dash"/>
                    </a:ln>
                  </c:spPr>
                </c15:leaderLines>
              </c:ext>
            </c:extLst>
          </c:dLbls>
          <c:xVal>
            <c:numRef>
              <c:f>('Frame Dimensions'!$J$81,'Frame Dimensions'!$M$81,'Frame Dimensions'!$M$83,'Frame Dimensions'!$J$83,'Frame Dimensions'!$J$81)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('Frame Dimensions'!$K$81,'Frame Dimensions'!$N$81,'Frame Dimensions'!$N$83,'Frame Dimensions'!$K$83,'Frame Dimensions'!$K$81)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9-7CAC-41F8-8B63-61E51E59C2D1}"/>
            </c:ext>
          </c:extLst>
        </c:ser>
        <c:ser>
          <c:idx val="2"/>
          <c:order val="6"/>
          <c:tx>
            <c:strRef>
              <c:f>'Frame Dimensions'!$B$111</c:f>
              <c:strCache>
                <c:ptCount val="1"/>
                <c:pt idx="0">
                  <c:v>0</c:v>
                </c:pt>
              </c:strCache>
            </c:strRef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4"/>
              <c:layout>
                <c:manualLayout>
                  <c:x val="-4.4291815931757475E-2"/>
                  <c:y val="-8.849872710492257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 sz="600"/>
                  </a:pPr>
                  <a:endParaRPr lang="zh-CN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A-7CAC-41F8-8B63-61E51E59C2D1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6350">
                      <a:prstDash val="dash"/>
                    </a:ln>
                  </c:spPr>
                </c15:leaderLines>
              </c:ext>
            </c:extLst>
          </c:dLbls>
          <c:xVal>
            <c:numRef>
              <c:f>('Frame Dimensions'!$J$112,'Frame Dimensions'!$J$111,'Frame Dimensions'!$J$113,'Frame Dimensions'!$J$114,'Frame Dimensions'!$J$112)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('Frame Dimensions'!$K$112,'Frame Dimensions'!$K$111,'Frame Dimensions'!$K$113,'Frame Dimensions'!$K$114,'Frame Dimensions'!$K$112)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B-7CAC-41F8-8B63-61E51E59C2D1}"/>
            </c:ext>
          </c:extLst>
        </c:ser>
        <c:ser>
          <c:idx val="16"/>
          <c:order val="7"/>
          <c:tx>
            <c:strRef>
              <c:f>'Frame Dimensions'!$B$152</c:f>
              <c:strCache>
                <c:ptCount val="1"/>
                <c:pt idx="0">
                  <c:v>Axle</c:v>
                </c:pt>
              </c:strCache>
            </c:strRef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('Frame Dimensions'!$J$152,'Frame Dimensions'!$M$152)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('Frame Dimensions'!$K$152,'Frame Dimensions'!$N$152)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C-7CAC-41F8-8B63-61E51E59C2D1}"/>
            </c:ext>
          </c:extLst>
        </c:ser>
        <c:ser>
          <c:idx val="17"/>
          <c:order val="8"/>
          <c:tx>
            <c:strRef>
              <c:f>'Frame Dimensions'!$B$153</c:f>
              <c:strCache>
                <c:ptCount val="1"/>
                <c:pt idx="0">
                  <c:v>MFrame</c:v>
                </c:pt>
              </c:strCache>
            </c:strRef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('Frame Dimensions'!$J$153,'Frame Dimensions'!$M$153,'Frame Dimensions'!$M$154,'Frame Dimensions'!$J$154,'Frame Dimensions'!$J$153)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('Frame Dimensions'!$K$153,'Frame Dimensions'!$N$153,'Frame Dimensions'!$N$154,'Frame Dimensions'!$K$154,'Frame Dimensions'!$K$153)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D-7CAC-41F8-8B63-61E51E59C2D1}"/>
            </c:ext>
          </c:extLst>
        </c:ser>
        <c:ser>
          <c:idx val="18"/>
          <c:order val="9"/>
          <c:tx>
            <c:strRef>
              <c:f>'Frame Dimensions'!$B$155</c:f>
              <c:strCache>
                <c:ptCount val="1"/>
                <c:pt idx="0">
                  <c:v>MMR1+</c:v>
                </c:pt>
              </c:strCache>
            </c:strRef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('Frame Dimensions'!$J$155,'Frame Dimensions'!$M$155)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('Frame Dimensions'!$K$155,'Frame Dimensions'!$N$155)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7CAC-41F8-8B63-61E51E59C2D1}"/>
            </c:ext>
          </c:extLst>
        </c:ser>
        <c:ser>
          <c:idx val="19"/>
          <c:order val="10"/>
          <c:tx>
            <c:strRef>
              <c:f>'Frame Dimensions'!$B$156</c:f>
              <c:strCache>
                <c:ptCount val="1"/>
                <c:pt idx="0">
                  <c:v>MMR2+</c:v>
                </c:pt>
              </c:strCache>
            </c:strRef>
          </c:tx>
          <c:spPr>
            <a:ln w="1270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('Frame Dimensions'!$J$156,'Frame Dimensions'!$M$156)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('Frame Dimensions'!$K$156,'Frame Dimensions'!$N$156)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F-7CAC-41F8-8B63-61E51E59C2D1}"/>
            </c:ext>
          </c:extLst>
        </c:ser>
        <c:ser>
          <c:idx val="30"/>
          <c:order val="11"/>
          <c:tx>
            <c:strRef>
              <c:f>'Frame Dimensions'!$B$161</c:f>
              <c:strCache>
                <c:ptCount val="1"/>
                <c:pt idx="0">
                  <c:v>0</c:v>
                </c:pt>
              </c:strCache>
            </c:strRef>
          </c:tx>
          <c:spPr>
            <a:ln w="1270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('Frame Dimensions'!$J$161,'Frame Dimensions'!$M$161)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('Frame Dimensions'!$K$161,'Frame Dimensions'!$N$161)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10-7CAC-41F8-8B63-61E51E59C2D1}"/>
            </c:ext>
          </c:extLst>
        </c:ser>
        <c:ser>
          <c:idx val="31"/>
          <c:order val="12"/>
          <c:tx>
            <c:strRef>
              <c:f>'Frame Dimensions'!$B$162</c:f>
              <c:strCache>
                <c:ptCount val="1"/>
                <c:pt idx="0">
                  <c:v>0</c:v>
                </c:pt>
              </c:strCache>
            </c:strRef>
          </c:tx>
          <c:spPr>
            <a:ln w="1270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('Frame Dimensions'!$J$162,'Frame Dimensions'!$M$162)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('Frame Dimensions'!$K$162,'Frame Dimensions'!$N$162)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11-7CAC-41F8-8B63-61E51E59C2D1}"/>
            </c:ext>
          </c:extLst>
        </c:ser>
        <c:ser>
          <c:idx val="36"/>
          <c:order val="13"/>
          <c:tx>
            <c:strRef>
              <c:f>'Frame Dimensions'!$A$138</c:f>
              <c:strCache>
                <c:ptCount val="1"/>
                <c:pt idx="0">
                  <c:v>HOUSE</c:v>
                </c:pt>
              </c:strCache>
            </c:strRef>
          </c:tx>
          <c:spPr>
            <a:ln w="9525">
              <a:solidFill>
                <a:schemeClr val="bg1">
                  <a:lumMod val="50000"/>
                  <a:alpha val="50000"/>
                </a:schemeClr>
              </a:solidFill>
            </a:ln>
          </c:spPr>
          <c:marker>
            <c:symbol val="none"/>
          </c:marker>
          <c:xVal>
            <c:numRef>
              <c:f>('Frame Dimensions'!$J$139,'Frame Dimensions'!$M$139,'Frame Dimensions'!$M$140,'Frame Dimensions'!$J$140,'Frame Dimensions'!$J$139)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('Frame Dimensions'!$K$139,'Frame Dimensions'!$N$139,'Frame Dimensions'!$N$140,'Frame Dimensions'!$K$140,'Frame Dimensions'!$K$139)</c:f>
              <c:numCache>
                <c:formatCode>0</c:formatCode>
                <c:ptCount val="5"/>
                <c:pt idx="0">
                  <c:v>114.70000000000005</c:v>
                </c:pt>
                <c:pt idx="1">
                  <c:v>2745.4</c:v>
                </c:pt>
                <c:pt idx="2">
                  <c:v>2745.4</c:v>
                </c:pt>
                <c:pt idx="3">
                  <c:v>114.70000000000005</c:v>
                </c:pt>
                <c:pt idx="4">
                  <c:v>114.70000000000005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12-7CAC-41F8-8B63-61E51E59C2D1}"/>
            </c:ext>
          </c:extLst>
        </c:ser>
        <c:ser>
          <c:idx val="39"/>
          <c:order val="14"/>
          <c:tx>
            <c:strRef>
              <c:f>'Frame Dimensions'!$B$146</c:f>
              <c:strCache>
                <c:ptCount val="1"/>
                <c:pt idx="0">
                  <c:v>Fur</c:v>
                </c:pt>
              </c:strCache>
            </c:strRef>
          </c:tx>
          <c:spPr>
            <a:ln w="1270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('Frame Dimensions'!$J$146,'Frame Dimensions'!$M$146)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('Frame Dimensions'!$K$146,'Frame Dimensions'!$N$146)</c:f>
              <c:numCache>
                <c:formatCode>0</c:formatCode>
                <c:ptCount val="2"/>
                <c:pt idx="0">
                  <c:v>1617.5</c:v>
                </c:pt>
                <c:pt idx="1">
                  <c:v>1617.5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13-7CAC-41F8-8B63-61E51E59C2D1}"/>
            </c:ext>
          </c:extLst>
        </c:ser>
        <c:ser>
          <c:idx val="1"/>
          <c:order val="15"/>
          <c:tx>
            <c:strRef>
              <c:f>'Frame Dimensions'!$B$130</c:f>
              <c:strCache>
                <c:ptCount val="1"/>
                <c:pt idx="0">
                  <c:v>#REF!</c:v>
                </c:pt>
              </c:strCache>
            </c:strRef>
          </c:tx>
          <c:spPr>
            <a:ln w="6350">
              <a:solidFill>
                <a:schemeClr val="tx1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layout>
                <c:manualLayout>
                  <c:x val="-0.26513347164124351"/>
                  <c:y val="9.3019420849807619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 sz="600"/>
                  </a:pPr>
                  <a:endParaRPr lang="zh-CN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14-7CAC-41F8-8B63-61E51E59C2D1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6350">
                      <a:prstDash val="dash"/>
                    </a:ln>
                  </c:spPr>
                </c15:leaderLines>
              </c:ext>
            </c:extLst>
          </c:dLbls>
          <c:xVal>
            <c:numRef>
              <c:f>('Frame Dimensions'!$J$130,'Frame Dimensions'!$J$131,'Frame Dimensions'!$M$131,'Frame Dimensions'!$M$130,'Frame Dimensions'!$J$130)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('Frame Dimensions'!$K$130,'Frame Dimensions'!$K$131,'Frame Dimensions'!$N$131,'Frame Dimensions'!$N$130,'Frame Dimensions'!$K$130)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15-7CAC-41F8-8B63-61E51E59C2D1}"/>
            </c:ext>
          </c:extLst>
        </c:ser>
        <c:ser>
          <c:idx val="47"/>
          <c:order val="16"/>
          <c:tx>
            <c:strRef>
              <c:f>'Frame Dimensions'!$B$134</c:f>
              <c:strCache>
                <c:ptCount val="1"/>
                <c:pt idx="0">
                  <c:v>0</c:v>
                </c:pt>
              </c:strCache>
            </c:strRef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layout>
                <c:manualLayout>
                  <c:x val="5.539485007962016E-2"/>
                  <c:y val="4.9584232080388972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 sz="600"/>
                  </a:pPr>
                  <a:endParaRPr lang="zh-CN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16-7CAC-41F8-8B63-61E51E59C2D1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6350">
                      <a:prstDash val="dash"/>
                    </a:ln>
                  </c:spPr>
                </c15:leaderLines>
              </c:ext>
            </c:extLst>
          </c:dLbls>
          <c:xVal>
            <c:numRef>
              <c:f>('Frame Dimensions'!$J$134,'Frame Dimensions'!$J$135,'Frame Dimensions'!$M$135,'Frame Dimensions'!$M$134,'Frame Dimensions'!$J$134)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('Frame Dimensions'!$K$134,'Frame Dimensions'!$K$135,'Frame Dimensions'!$N$135,'Frame Dimensions'!$N$134,'Frame Dimensions'!$K$134)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17-7CAC-41F8-8B63-61E51E59C2D1}"/>
            </c:ext>
          </c:extLst>
        </c:ser>
        <c:ser>
          <c:idx val="50"/>
          <c:order val="17"/>
          <c:tx>
            <c:strRef>
              <c:f>'Frame Dimensions'!$B$115</c:f>
              <c:strCache>
                <c:ptCount val="1"/>
                <c:pt idx="0">
                  <c:v>SFX</c:v>
                </c:pt>
              </c:strCache>
            </c:strRef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2"/>
              <c:layout>
                <c:manualLayout>
                  <c:x val="2.7698813138571131E-3"/>
                  <c:y val="4.4483691453643753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 sz="600"/>
                  </a:pPr>
                  <a:endParaRPr lang="zh-CN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18-7CAC-41F8-8B63-61E51E59C2D1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6350">
                      <a:prstDash val="dash"/>
                    </a:ln>
                  </c:spPr>
                </c15:leaderLines>
              </c:ext>
            </c:extLst>
          </c:dLbls>
          <c:xVal>
            <c:numRef>
              <c:f>('Frame Dimensions'!$J$116,'Frame Dimensions'!$J$115,'Frame Dimensions'!$J$117,'Frame Dimensions'!$J$118,'Frame Dimensions'!$J$116)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('Frame Dimensions'!$K$116,'Frame Dimensions'!$K$115,'Frame Dimensions'!$K$117,'Frame Dimensions'!$K$118,'Frame Dimensions'!$K$116)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19-7CAC-41F8-8B63-61E51E59C2D1}"/>
            </c:ext>
          </c:extLst>
        </c:ser>
        <c:ser>
          <c:idx val="14"/>
          <c:order val="18"/>
          <c:tx>
            <c:strRef>
              <c:f>'Frame Dimensions'!$B$103</c:f>
              <c:strCache>
                <c:ptCount val="1"/>
                <c:pt idx="0">
                  <c:v>MSMM</c:v>
                </c:pt>
              </c:strCache>
            </c:strRef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1"/>
              <c:layout>
                <c:manualLayout>
                  <c:x val="-0.26083961524778182"/>
                  <c:y val="9.835797766714006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 sz="600"/>
                  </a:pPr>
                  <a:endParaRPr lang="zh-CN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1A-7CAC-41F8-8B63-61E51E59C2D1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6350">
                      <a:prstDash val="dash"/>
                    </a:ln>
                  </c:spPr>
                </c15:leaderLines>
              </c:ext>
            </c:extLst>
          </c:dLbls>
          <c:xVal>
            <c:numRef>
              <c:f>('Frame Dimensions'!$J$104,'Frame Dimensions'!$J$103,'Frame Dimensions'!$J$105,'Frame Dimensions'!$J$106,'Frame Dimensions'!$J$104)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('Frame Dimensions'!$K$104,'Frame Dimensions'!$K$103,'Frame Dimensions'!$K$105,'Frame Dimensions'!$K$106,'Frame Dimensions'!$K$104)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1B-7CAC-41F8-8B63-61E51E59C2D1}"/>
            </c:ext>
          </c:extLst>
        </c:ser>
        <c:ser>
          <c:idx val="40"/>
          <c:order val="19"/>
          <c:tx>
            <c:strRef>
              <c:f>'Frame Dimensions'!$B$144</c:f>
              <c:strCache>
                <c:ptCount val="1"/>
                <c:pt idx="0">
                  <c:v>Tongue</c:v>
                </c:pt>
              </c:strCache>
            </c:strRef>
          </c:tx>
          <c:spPr>
            <a:ln w="12700">
              <a:solidFill>
                <a:schemeClr val="bg1">
                  <a:lumMod val="75000"/>
                </a:schemeClr>
              </a:solidFill>
              <a:prstDash val="sysDot"/>
            </a:ln>
          </c:spPr>
          <c:marker>
            <c:symbol val="none"/>
          </c:marker>
          <c:xVal>
            <c:numRef>
              <c:f>('Frame Dimensions'!$J$144,'Frame Dimensions'!$M$144)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('Frame Dimensions'!$K$144,'Frame Dimensions'!$N$144)</c:f>
              <c:numCache>
                <c:formatCode>0</c:formatCode>
                <c:ptCount val="2"/>
                <c:pt idx="0">
                  <c:v>911.6</c:v>
                </c:pt>
                <c:pt idx="1">
                  <c:v>911.6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1C-7CAC-41F8-8B63-61E51E59C2D1}"/>
            </c:ext>
          </c:extLst>
        </c:ser>
        <c:ser>
          <c:idx val="41"/>
          <c:order val="20"/>
          <c:tx>
            <c:strRef>
              <c:f>'Frame Dimensions'!$B$145</c:f>
              <c:strCache>
                <c:ptCount val="1"/>
                <c:pt idx="0">
                  <c:v>Ful</c:v>
                </c:pt>
              </c:strCache>
            </c:strRef>
          </c:tx>
          <c:spPr>
            <a:ln w="1270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('Frame Dimensions'!$J$145,'Frame Dimensions'!$M$145)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('Frame Dimensions'!$K$145,'Frame Dimensions'!$N$145)</c:f>
              <c:numCache>
                <c:formatCode>0</c:formatCode>
                <c:ptCount val="2"/>
                <c:pt idx="0">
                  <c:v>820</c:v>
                </c:pt>
                <c:pt idx="1">
                  <c:v>820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1D-7CAC-41F8-8B63-61E51E59C2D1}"/>
            </c:ext>
          </c:extLst>
        </c:ser>
        <c:ser>
          <c:idx val="51"/>
          <c:order val="21"/>
          <c:tx>
            <c:strRef>
              <c:f>'Inlet Cone'!$A$18</c:f>
              <c:strCache>
                <c:ptCount val="1"/>
                <c:pt idx="0">
                  <c:v>Inlet Cone</c:v>
                </c:pt>
              </c:strCache>
            </c:strRef>
          </c:tx>
          <c:spPr>
            <a:ln w="6350">
              <a:solidFill>
                <a:schemeClr val="bg1">
                  <a:lumMod val="65000"/>
                </a:schemeClr>
              </a:solidFill>
            </a:ln>
          </c:spPr>
          <c:marker>
            <c:symbol val="none"/>
          </c:marker>
          <c:xVal>
            <c:numRef>
              <c:f>('Inlet Cone'!$B$37,'Inlet Cone'!$C$37,'Inlet Cone'!$D$37,'Inlet Cone'!$E$37,'Inlet Cone'!$F$37,'Inlet Cone'!$G$37,'Inlet Cone'!$H$37,'Inlet Cone'!$I$37)</c:f>
              <c:numCache>
                <c:formatCode>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('Inlet Cone'!$B$38,'Inlet Cone'!$C$38,'Inlet Cone'!$D$38,'Inlet Cone'!$E$38,'Inlet Cone'!$F$38,'Inlet Cone'!$G$38,'Inlet Cone'!$H$38,'Inlet Cone'!$I$38)</c:f>
              <c:numCache>
                <c:formatCode>0</c:formatCode>
                <c:ptCount val="8"/>
                <c:pt idx="0">
                  <c:v>1616</c:v>
                </c:pt>
                <c:pt idx="1">
                  <c:v>1606</c:v>
                </c:pt>
                <c:pt idx="2">
                  <c:v>1606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1E-7CAC-41F8-8B63-61E51E59C2D1}"/>
            </c:ext>
          </c:extLst>
        </c:ser>
        <c:ser>
          <c:idx val="52"/>
          <c:order val="22"/>
          <c:tx>
            <c:strRef>
              <c:f>'Inlet Cone'!$A$18</c:f>
              <c:strCache>
                <c:ptCount val="1"/>
                <c:pt idx="0">
                  <c:v>Inlet Cone</c:v>
                </c:pt>
              </c:strCache>
            </c:strRef>
          </c:tx>
          <c:spPr>
            <a:ln w="6350">
              <a:solidFill>
                <a:schemeClr val="bg1">
                  <a:lumMod val="65000"/>
                </a:schemeClr>
              </a:solidFill>
            </a:ln>
          </c:spPr>
          <c:marker>
            <c:symbol val="none"/>
          </c:marker>
          <c:xVal>
            <c:numRef>
              <c:f>('Inlet Cone'!$B$37,'Inlet Cone'!$C$37,'Inlet Cone'!$D$37,'Inlet Cone'!$E$37,'Inlet Cone'!$F$37,'Inlet Cone'!$G$37,'Inlet Cone'!$H$37,'Inlet Cone'!$I$37)</c:f>
              <c:numCache>
                <c:formatCode>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('Inlet Cone'!$B$39,'Inlet Cone'!$C$39,'Inlet Cone'!$D$39,'Inlet Cone'!$E$39,'Inlet Cone'!$F$39,'Inlet Cone'!$G$39,'Inlet Cone'!$H$39,'Inlet Cone'!$I$39)</c:f>
              <c:numCache>
                <c:formatCode>0</c:formatCode>
                <c:ptCount val="8"/>
                <c:pt idx="0">
                  <c:v>922</c:v>
                </c:pt>
                <c:pt idx="1">
                  <c:v>932</c:v>
                </c:pt>
                <c:pt idx="2">
                  <c:v>932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1F-7CAC-41F8-8B63-61E51E59C2D1}"/>
            </c:ext>
          </c:extLst>
        </c:ser>
        <c:ser>
          <c:idx val="29"/>
          <c:order val="23"/>
          <c:tx>
            <c:strRef>
              <c:f>'Frame Dimensions'!$B$147</c:f>
              <c:strCache>
                <c:ptCount val="1"/>
                <c:pt idx="0">
                  <c:v>IL</c:v>
                </c:pt>
              </c:strCache>
              <c:extLst xmlns:c16r2="http://schemas.microsoft.com/office/drawing/2015/06/chart" xmlns:c15="http://schemas.microsoft.com/office/drawing/2012/chart"/>
            </c:strRef>
          </c:tx>
          <c:spPr>
            <a:ln w="6350">
              <a:solidFill>
                <a:schemeClr val="tx1"/>
              </a:solidFill>
              <a:prstDash val="sysDash"/>
            </a:ln>
          </c:spPr>
          <c:marker>
            <c:symbol val="none"/>
          </c:marker>
          <c:xVal>
            <c:numRef>
              <c:f>('Frame Dimensions'!$J$147,'Frame Dimensions'!$M$147)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  <c:extLst xmlns:c16r2="http://schemas.microsoft.com/office/drawing/2015/06/chart" xmlns:c15="http://schemas.microsoft.com/office/drawing/2012/chart"/>
            </c:numRef>
          </c:xVal>
          <c:yVal>
            <c:numRef>
              <c:f>('Frame Dimensions'!$K$147,'Frame Dimensions'!$N$147)</c:f>
              <c:numCache>
                <c:formatCode>0</c:formatCode>
                <c:ptCount val="2"/>
                <c:pt idx="0">
                  <c:v>114.70000000000005</c:v>
                </c:pt>
                <c:pt idx="1">
                  <c:v>2745.4</c:v>
                </c:pt>
              </c:numCache>
              <c:extLst xmlns:c16r2="http://schemas.microsoft.com/office/drawing/2015/06/chart" xmlns:c15="http://schemas.microsoft.com/office/drawing/2012/chart"/>
            </c:numRef>
          </c:yVal>
          <c:smooth val="0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20-7CAC-41F8-8B63-61E51E59C2D1}"/>
            </c:ext>
          </c:extLst>
        </c:ser>
        <c:ser>
          <c:idx val="33"/>
          <c:order val="24"/>
          <c:tx>
            <c:strRef>
              <c:f>'Frame Dimensions'!$B$148</c:f>
              <c:strCache>
                <c:ptCount val="1"/>
                <c:pt idx="0">
                  <c:v>IR</c:v>
                </c:pt>
              </c:strCache>
              <c:extLst xmlns:c16r2="http://schemas.microsoft.com/office/drawing/2015/06/chart" xmlns:c15="http://schemas.microsoft.com/office/drawing/2012/chart"/>
            </c:strRef>
          </c:tx>
          <c:spPr>
            <a:ln w="6350">
              <a:solidFill>
                <a:schemeClr val="tx1"/>
              </a:solidFill>
              <a:prstDash val="sysDash"/>
            </a:ln>
          </c:spPr>
          <c:marker>
            <c:symbol val="none"/>
          </c:marker>
          <c:xVal>
            <c:numRef>
              <c:f>('Frame Dimensions'!$J$148,'Frame Dimensions'!$M$148)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  <c:extLst xmlns:c16r2="http://schemas.microsoft.com/office/drawing/2015/06/chart" xmlns:c15="http://schemas.microsoft.com/office/drawing/2012/chart"/>
            </c:numRef>
          </c:xVal>
          <c:yVal>
            <c:numRef>
              <c:f>('Frame Dimensions'!$K$148,'Frame Dimensions'!$N$148)</c:f>
              <c:numCache>
                <c:formatCode>0</c:formatCode>
                <c:ptCount val="2"/>
                <c:pt idx="0">
                  <c:v>114.70000000000005</c:v>
                </c:pt>
                <c:pt idx="1">
                  <c:v>2745.4</c:v>
                </c:pt>
              </c:numCache>
              <c:extLst xmlns:c16r2="http://schemas.microsoft.com/office/drawing/2015/06/chart" xmlns:c15="http://schemas.microsoft.com/office/drawing/2012/chart"/>
            </c:numRef>
          </c:yVal>
          <c:smooth val="0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21-7CAC-41F8-8B63-61E51E59C2D1}"/>
            </c:ext>
          </c:extLst>
        </c:ser>
        <c:ser>
          <c:idx val="34"/>
          <c:order val="25"/>
          <c:tx>
            <c:strRef>
              <c:f>'Frame Dimensions'!$B$149</c:f>
              <c:strCache>
                <c:ptCount val="1"/>
                <c:pt idx="0">
                  <c:v>Iup</c:v>
                </c:pt>
              </c:strCache>
              <c:extLst xmlns:c16r2="http://schemas.microsoft.com/office/drawing/2015/06/chart" xmlns:c15="http://schemas.microsoft.com/office/drawing/2012/chart"/>
            </c:strRef>
          </c:tx>
          <c:spPr>
            <a:ln w="6350">
              <a:solidFill>
                <a:schemeClr val="tx1"/>
              </a:solidFill>
              <a:prstDash val="sysDash"/>
            </a:ln>
          </c:spPr>
          <c:marker>
            <c:symbol val="none"/>
          </c:marker>
          <c:xVal>
            <c:numRef>
              <c:f>('Frame Dimensions'!$J$149,'Frame Dimensions'!$M$149)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  <c:extLst xmlns:c16r2="http://schemas.microsoft.com/office/drawing/2015/06/chart" xmlns:c15="http://schemas.microsoft.com/office/drawing/2012/chart"/>
            </c:numRef>
          </c:xVal>
          <c:yVal>
            <c:numRef>
              <c:f>('Frame Dimensions'!$K$149,'Frame Dimensions'!$N$149)</c:f>
              <c:numCache>
                <c:formatCode>0</c:formatCode>
                <c:ptCount val="2"/>
                <c:pt idx="0">
                  <c:v>2745.4</c:v>
                </c:pt>
                <c:pt idx="1">
                  <c:v>2745.4</c:v>
                </c:pt>
              </c:numCache>
              <c:extLst xmlns:c16r2="http://schemas.microsoft.com/office/drawing/2015/06/chart" xmlns:c15="http://schemas.microsoft.com/office/drawing/2012/chart"/>
            </c:numRef>
          </c:yVal>
          <c:smooth val="0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22-7CAC-41F8-8B63-61E51E59C2D1}"/>
            </c:ext>
          </c:extLst>
        </c:ser>
        <c:ser>
          <c:idx val="35"/>
          <c:order val="26"/>
          <c:tx>
            <c:strRef>
              <c:f>'Frame Dimensions'!$B$150</c:f>
              <c:strCache>
                <c:ptCount val="1"/>
                <c:pt idx="0">
                  <c:v>Ilo</c:v>
                </c:pt>
              </c:strCache>
              <c:extLst xmlns:c16r2="http://schemas.microsoft.com/office/drawing/2015/06/chart" xmlns:c15="http://schemas.microsoft.com/office/drawing/2012/chart"/>
            </c:strRef>
          </c:tx>
          <c:spPr>
            <a:ln w="6350">
              <a:solidFill>
                <a:schemeClr val="tx1"/>
              </a:solidFill>
              <a:prstDash val="sysDash"/>
            </a:ln>
          </c:spPr>
          <c:marker>
            <c:symbol val="none"/>
          </c:marker>
          <c:xVal>
            <c:numRef>
              <c:f>('Frame Dimensions'!$J$150,'Frame Dimensions'!$M$150)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  <c:extLst xmlns:c16r2="http://schemas.microsoft.com/office/drawing/2015/06/chart" xmlns:c15="http://schemas.microsoft.com/office/drawing/2012/chart"/>
            </c:numRef>
          </c:xVal>
          <c:yVal>
            <c:numRef>
              <c:f>('Frame Dimensions'!$K$150,'Frame Dimensions'!$N$150)</c:f>
              <c:numCache>
                <c:formatCode>0</c:formatCode>
                <c:ptCount val="2"/>
                <c:pt idx="0">
                  <c:v>114.70000000000005</c:v>
                </c:pt>
                <c:pt idx="1">
                  <c:v>114.70000000000005</c:v>
                </c:pt>
              </c:numCache>
              <c:extLst xmlns:c16r2="http://schemas.microsoft.com/office/drawing/2015/06/chart" xmlns:c15="http://schemas.microsoft.com/office/drawing/2012/chart"/>
            </c:numRef>
          </c:yVal>
          <c:smooth val="0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23-7CAC-41F8-8B63-61E51E59C2D1}"/>
            </c:ext>
          </c:extLst>
        </c:ser>
        <c:ser>
          <c:idx val="13"/>
          <c:order val="27"/>
          <c:tx>
            <c:strRef>
              <c:f>'Frame Dimensions'!$B$107</c:f>
              <c:strCache>
                <c:ptCount val="1"/>
                <c:pt idx="0">
                  <c:v>0</c:v>
                </c:pt>
              </c:strCache>
            </c:strRef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2"/>
              <c:layout>
                <c:manualLayout>
                  <c:x val="-0.12187477780971744"/>
                  <c:y val="-6.919685337233472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 sz="600"/>
                  </a:pPr>
                  <a:endParaRPr lang="zh-CN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24-7CAC-41F8-8B63-61E51E59C2D1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6350">
                      <a:prstDash val="dash"/>
                    </a:ln>
                  </c:spPr>
                </c15:leaderLines>
              </c:ext>
            </c:extLst>
          </c:dLbls>
          <c:xVal>
            <c:numRef>
              <c:f>('Frame Dimensions'!$J$108,'Frame Dimensions'!$J$107,'Frame Dimensions'!$J$109,'Frame Dimensions'!$J$110,'Frame Dimensions'!$J$108)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('Frame Dimensions'!$K$108,'Frame Dimensions'!$K$107,'Frame Dimensions'!$K$109,'Frame Dimensions'!$K$110,'Frame Dimensions'!$K$108)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25-7CAC-41F8-8B63-61E51E59C2D1}"/>
            </c:ext>
          </c:extLst>
        </c:ser>
        <c:ser>
          <c:idx val="5"/>
          <c:order val="28"/>
          <c:tx>
            <c:strRef>
              <c:f>'Frame Dimensions'!$B$124</c:f>
              <c:strCache>
                <c:ptCount val="1"/>
                <c:pt idx="0">
                  <c:v>SFBase_R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dLbls>
            <c:dLbl>
              <c:idx val="1"/>
              <c:layout>
                <c:manualLayout>
                  <c:x val="0.13572418437900341"/>
                  <c:y val="-5.931158860485842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 sz="600"/>
                  </a:pPr>
                  <a:endParaRPr lang="zh-CN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26-7CAC-41F8-8B63-61E51E59C2D1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6350">
                      <a:prstDash val="dash"/>
                    </a:ln>
                  </c:spPr>
                </c15:leaderLines>
              </c:ext>
            </c:extLst>
          </c:dLbls>
          <c:xVal>
            <c:numRef>
              <c:f>('Frame Dimensions'!$J$126,'Frame Dimensions'!$M$126)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('Frame Dimensions'!$K$126,'Frame Dimensions'!$N$126)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27-7CAC-41F8-8B63-61E51E59C2D1}"/>
            </c:ext>
          </c:extLst>
        </c:ser>
        <c:ser>
          <c:idx val="15"/>
          <c:order val="29"/>
          <c:tx>
            <c:strRef>
              <c:f>'Frame Dimensions'!$B$141</c:f>
              <c:strCache>
                <c:ptCount val="1"/>
                <c:pt idx="0">
                  <c:v>HskirtR</c:v>
                </c:pt>
              </c:strCache>
            </c:strRef>
          </c:tx>
          <c:spPr>
            <a:ln w="9525"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('Frame Dimensions'!$J$141,'Frame Dimensions'!$M$141)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('Frame Dimensions'!$K$141,'Frame Dimensions'!$N$141)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28-7CAC-41F8-8B63-61E51E59C2D1}"/>
            </c:ext>
          </c:extLst>
        </c:ser>
        <c:ser>
          <c:idx val="0"/>
          <c:order val="30"/>
          <c:tx>
            <c:strRef>
              <c:f>'Frame Dimensions'!$B$93</c:f>
              <c:strCache>
                <c:ptCount val="1"/>
                <c:pt idx="0">
                  <c:v>VHF_R</c:v>
                </c:pt>
              </c:strCache>
            </c:strRef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('Frame Dimensions'!$J$95,'Frame Dimensions'!$J$94,'Frame Dimensions'!$J$93,'Frame Dimensions'!$M$93,'Frame Dimensions'!$M$94,'Frame Dimensions'!$J$95)</c:f>
              <c:numCache>
                <c:formatCode>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('Frame Dimensions'!$K$95,'Frame Dimensions'!$K$94,'Frame Dimensions'!$K$93,'Frame Dimensions'!$N$93,'Frame Dimensions'!$N$94,'Frame Dimensions'!$K$95)</c:f>
              <c:numCache>
                <c:formatCode>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29-7CAC-41F8-8B63-61E51E59C2D1}"/>
            </c:ext>
          </c:extLst>
        </c:ser>
        <c:ser>
          <c:idx val="53"/>
          <c:order val="31"/>
          <c:tx>
            <c:strRef>
              <c:f>'Frame Dimensions'!$B$124</c:f>
              <c:strCache>
                <c:ptCount val="1"/>
                <c:pt idx="0">
                  <c:v>SFBase_R</c:v>
                </c:pt>
              </c:strCache>
            </c:strRef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('Frame Dimensions'!$J$124,'Frame Dimensions'!$J$126)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('Frame Dimensions'!$K$124,'Frame Dimensions'!$K$126)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2A-7CAC-41F8-8B63-61E51E59C2D1}"/>
            </c:ext>
          </c:extLst>
        </c:ser>
        <c:ser>
          <c:idx val="6"/>
          <c:order val="32"/>
          <c:tx>
            <c:strRef>
              <c:f>'Frame Dimensions'!$B$125</c:f>
              <c:strCache>
                <c:ptCount val="1"/>
                <c:pt idx="0">
                  <c:v>sfbase_R</c:v>
                </c:pt>
              </c:strCache>
            </c:strRef>
          </c:tx>
          <c:spPr>
            <a:ln w="12700">
              <a:solidFill>
                <a:srgbClr val="FF0000"/>
              </a:solidFill>
              <a:prstDash val="sysDot"/>
            </a:ln>
          </c:spPr>
          <c:marker>
            <c:symbol val="none"/>
          </c:marker>
          <c:xVal>
            <c:numRef>
              <c:f>('Frame Dimensions'!$J$125,'Frame Dimensions'!$M$125,'Frame Dimensions'!$M$127)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xVal>
          <c:yVal>
            <c:numRef>
              <c:f>('Frame Dimensions'!$K$125,'Frame Dimensions'!$N$125,'Frame Dimensions'!$N$127,'Frame Dimensions'!$K$127,'Frame Dimensions'!$K$125)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2B-7CAC-41F8-8B63-61E51E59C2D1}"/>
            </c:ext>
          </c:extLst>
        </c:ser>
        <c:ser>
          <c:idx val="20"/>
          <c:order val="33"/>
          <c:tx>
            <c:strRef>
              <c:f>'Frame Dimensions'!$B$37</c:f>
              <c:strCache>
                <c:ptCount val="1"/>
                <c:pt idx="0">
                  <c:v>MFTr1</c:v>
                </c:pt>
              </c:strCache>
            </c:strRef>
          </c:tx>
          <c:spPr>
            <a:ln w="12700">
              <a:solidFill>
                <a:srgbClr val="00B0F0"/>
              </a:solidFill>
            </a:ln>
          </c:spPr>
          <c:marker>
            <c:symbol val="none"/>
          </c:marker>
          <c:dLbls>
            <c:dLbl>
              <c:idx val="0"/>
              <c:layout>
                <c:manualLayout>
                  <c:x val="-9.6945845985002457E-2"/>
                  <c:y val="9.3910015291025703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 sz="600"/>
                  </a:pPr>
                  <a:endParaRPr lang="zh-CN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2C-7CAC-41F8-8B63-61E51E59C2D1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/>
                </a:pPr>
                <a:endParaRPr lang="zh-CN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6350">
                      <a:prstDash val="dash"/>
                    </a:ln>
                  </c:spPr>
                </c15:leaderLines>
              </c:ext>
            </c:extLst>
          </c:dLbls>
          <c:xVal>
            <c:numRef>
              <c:f>('Frame Dimensions'!$J$37,'Frame Dimensions'!$J$38,'Frame Dimensions'!$J$39)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xVal>
          <c:yVal>
            <c:numRef>
              <c:f>('Frame Dimensions'!$K$37,'Frame Dimensions'!$K$38,'Frame Dimensions'!$K$39)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2D-7CAC-41F8-8B63-61E51E59C2D1}"/>
            </c:ext>
          </c:extLst>
        </c:ser>
        <c:ser>
          <c:idx val="21"/>
          <c:order val="34"/>
          <c:tx>
            <c:strRef>
              <c:f>'Frame Dimensions'!$B$53</c:f>
              <c:strCache>
                <c:ptCount val="1"/>
                <c:pt idx="0">
                  <c:v>#REF!</c:v>
                </c:pt>
              </c:strCache>
            </c:strRef>
          </c:tx>
          <c:spPr>
            <a:ln w="12700">
              <a:solidFill>
                <a:srgbClr val="00B0F0"/>
              </a:solidFill>
            </a:ln>
          </c:spPr>
          <c:marker>
            <c:symbol val="none"/>
          </c:marker>
          <c:dLbls>
            <c:dLbl>
              <c:idx val="0"/>
              <c:layout>
                <c:manualLayout>
                  <c:x val="-8.0326558101859319E-2"/>
                  <c:y val="9.885264767476370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 sz="600"/>
                  </a:pPr>
                  <a:endParaRPr lang="zh-CN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2E-7CAC-41F8-8B63-61E51E59C2D1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6350">
                      <a:prstDash val="dash"/>
                    </a:ln>
                  </c:spPr>
                </c15:leaderLines>
              </c:ext>
            </c:extLst>
          </c:dLbls>
          <c:xVal>
            <c:numRef>
              <c:f>('Frame Dimensions'!$J$53,'Frame Dimensions'!$J$54,'Frame Dimensions'!$J$55)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xVal>
          <c:yVal>
            <c:numRef>
              <c:f>('Frame Dimensions'!$K$53,'Frame Dimensions'!$K$54,'Frame Dimensions'!$K$55)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2F-7CAC-41F8-8B63-61E51E59C2D1}"/>
            </c:ext>
          </c:extLst>
        </c:ser>
        <c:ser>
          <c:idx val="22"/>
          <c:order val="35"/>
          <c:tx>
            <c:strRef>
              <c:f>'Frame Dimensions'!$B$69</c:f>
              <c:strCache>
                <c:ptCount val="1"/>
                <c:pt idx="0">
                  <c:v>0</c:v>
                </c:pt>
              </c:strCache>
            </c:strRef>
          </c:tx>
          <c:spPr>
            <a:ln w="12700">
              <a:solidFill>
                <a:srgbClr val="00B0F0"/>
              </a:solidFill>
            </a:ln>
          </c:spPr>
          <c:marker>
            <c:symbol val="none"/>
          </c:marker>
          <c:dLbls>
            <c:dLbl>
              <c:idx val="0"/>
              <c:layout>
                <c:manualLayout>
                  <c:x val="-7.7556676788002002E-2"/>
                  <c:y val="9.885264767476370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 sz="600"/>
                  </a:pPr>
                  <a:endParaRPr lang="zh-CN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30-7CAC-41F8-8B63-61E51E59C2D1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6350">
                      <a:prstDash val="dash"/>
                    </a:ln>
                  </c:spPr>
                </c15:leaderLines>
              </c:ext>
            </c:extLst>
          </c:dLbls>
          <c:xVal>
            <c:numRef>
              <c:f>('Frame Dimensions'!$J$69,'Frame Dimensions'!$J$70,'Frame Dimensions'!$J$71)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xVal>
          <c:yVal>
            <c:numRef>
              <c:f>('Frame Dimensions'!$K$69,'Frame Dimensions'!$K$70,'Frame Dimensions'!$K$71)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31-7CAC-41F8-8B63-61E51E59C2D1}"/>
            </c:ext>
          </c:extLst>
        </c:ser>
        <c:ser>
          <c:idx val="23"/>
          <c:order val="36"/>
          <c:tx>
            <c:strRef>
              <c:f>'Frame Dimensions'!$B$85</c:f>
              <c:strCache>
                <c:ptCount val="1"/>
                <c:pt idx="0">
                  <c:v>0</c:v>
                </c:pt>
              </c:strCache>
            </c:strRef>
          </c:tx>
          <c:spPr>
            <a:ln w="12700">
              <a:solidFill>
                <a:srgbClr val="00B0F0"/>
              </a:solidFill>
            </a:ln>
          </c:spPr>
          <c:marker>
            <c:symbol val="none"/>
          </c:marker>
          <c:dLbls>
            <c:dLbl>
              <c:idx val="0"/>
              <c:layout>
                <c:manualLayout>
                  <c:x val="-2.2159050510857717E-2"/>
                  <c:y val="9.3910015291025703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 sz="600"/>
                  </a:pPr>
                  <a:endParaRPr lang="zh-CN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32-7CAC-41F8-8B63-61E51E59C2D1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6350">
                      <a:prstDash val="dash"/>
                    </a:ln>
                  </c:spPr>
                </c15:leaderLines>
              </c:ext>
            </c:extLst>
          </c:dLbls>
          <c:xVal>
            <c:numRef>
              <c:f>('Frame Dimensions'!$J$85,'Frame Dimensions'!$J$86,'Frame Dimensions'!$J$87)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xVal>
          <c:yVal>
            <c:numRef>
              <c:f>('Frame Dimensions'!$K$85,'Frame Dimensions'!$K$86,'Frame Dimensions'!$K$87)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33-7CAC-41F8-8B63-61E51E59C2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5502936"/>
        <c:axId val="486443096"/>
        <c:extLst xmlns:c16r2="http://schemas.microsoft.com/office/drawing/2015/06/chart"/>
      </c:scatterChart>
      <c:valAx>
        <c:axId val="4855029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</a:t>
                </a:r>
              </a:p>
            </c:rich>
          </c:tx>
          <c:overlay val="0"/>
        </c:title>
        <c:numFmt formatCode="0" sourceLinked="1"/>
        <c:majorTickMark val="out"/>
        <c:minorTickMark val="none"/>
        <c:tickLblPos val="nextTo"/>
        <c:crossAx val="486443096"/>
        <c:crosses val="autoZero"/>
        <c:crossBetween val="midCat"/>
        <c:majorUnit val="1000"/>
      </c:valAx>
      <c:valAx>
        <c:axId val="486443096"/>
        <c:scaling>
          <c:orientation val="minMax"/>
        </c:scaling>
        <c:delete val="0"/>
        <c:axPos val="l"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ln w="12700">
            <a:solidFill>
              <a:schemeClr val="tx1"/>
            </a:solidFill>
            <a:prstDash val="solid"/>
          </a:ln>
        </c:spPr>
        <c:crossAx val="485502936"/>
        <c:crosses val="autoZero"/>
        <c:crossBetween val="midCat"/>
        <c:majorUnit val="1000"/>
      </c:valAx>
    </c:plotArea>
    <c:plotVisOnly val="1"/>
    <c:dispBlanksAs val="gap"/>
    <c:showDLblsOverMax val="0"/>
  </c:chart>
  <c:spPr>
    <a:ln w="12700">
      <a:solidFill>
        <a:schemeClr val="tx1">
          <a:tint val="75000"/>
          <a:shade val="95000"/>
          <a:satMod val="105000"/>
        </a:schemeClr>
      </a:solidFill>
    </a:ln>
  </c:spPr>
  <c:printSettings>
    <c:headerFooter/>
    <c:pageMargins b="0.75000000000000722" l="0.70000000000000062" r="0.70000000000000062" t="0.7500000000000072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Drawings!$P$4</c:f>
          <c:strCache>
            <c:ptCount val="1"/>
            <c:pt idx="0">
              <c:v>XOE 273-90, RD135 Drive View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zh-CN"/>
        </a:p>
      </c:txPr>
    </c:title>
    <c:autoTitleDeleted val="0"/>
    <c:plotArea>
      <c:layout>
        <c:manualLayout>
          <c:layoutTarget val="inner"/>
          <c:xMode val="edge"/>
          <c:yMode val="edge"/>
          <c:x val="5.0157820931244081E-2"/>
          <c:y val="0.11868815818357474"/>
          <c:w val="0.8471926509186356"/>
          <c:h val="0.74119241354596732"/>
        </c:manualLayout>
      </c:layout>
      <c:scatterChart>
        <c:scatterStyle val="smoothMarker"/>
        <c:varyColors val="0"/>
        <c:ser>
          <c:idx val="8"/>
          <c:order val="0"/>
          <c:tx>
            <c:strRef>
              <c:f>'Frame Dimensions'!$Z$23</c:f>
              <c:strCache>
                <c:ptCount val="1"/>
                <c:pt idx="0">
                  <c:v>caly</c:v>
                </c:pt>
              </c:strCache>
            </c:strRef>
          </c:tx>
          <c:spPr>
            <a:ln w="12700"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('Frame Dimensions'!$Z$25,'Frame Dimensions'!$Z$25)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('Frame Dimensions'!$Z$24,'Frame Dimensions'!$Z$25)</c:f>
              <c:numCache>
                <c:formatCode>General</c:formatCode>
                <c:ptCount val="2"/>
                <c:pt idx="0" formatCode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DF45-469C-BEC7-FBA7E84AFCC2}"/>
            </c:ext>
          </c:extLst>
        </c:ser>
        <c:ser>
          <c:idx val="7"/>
          <c:order val="1"/>
          <c:tx>
            <c:strRef>
              <c:f>'Frame Dimensions'!$AA$23</c:f>
              <c:strCache>
                <c:ptCount val="1"/>
                <c:pt idx="0">
                  <c:v>calz</c:v>
                </c:pt>
              </c:strCache>
            </c:strRef>
          </c:tx>
          <c:spPr>
            <a:ln w="12700"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('Frame Dimensions'!$AA$24,'Frame Dimensions'!$AA$25)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('Frame Dimensions'!$Z$25,'Frame Dimensions'!$Z$25)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DF45-469C-BEC7-FBA7E84AFCC2}"/>
            </c:ext>
          </c:extLst>
        </c:ser>
        <c:ser>
          <c:idx val="1"/>
          <c:order val="2"/>
          <c:tx>
            <c:strRef>
              <c:f>'Frame Dimensions'!$B$90</c:f>
              <c:strCache>
                <c:ptCount val="1"/>
                <c:pt idx="0">
                  <c:v>VHF_L</c:v>
                </c:pt>
              </c:strCache>
            </c:strRef>
          </c:tx>
          <c:spPr>
            <a:ln w="1270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1"/>
              <c:layout>
                <c:manualLayout>
                  <c:x val="-0.14624575720743901"/>
                  <c:y val="-7.9376650533551044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 sz="600"/>
                  </a:pPr>
                  <a:endParaRPr lang="zh-CN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2-DF45-469C-BEC7-FBA7E84AFCC2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6350">
                      <a:prstDash val="dash"/>
                    </a:ln>
                  </c:spPr>
                </c15:leaderLines>
              </c:ext>
            </c:extLst>
          </c:dLbls>
          <c:xVal>
            <c:numRef>
              <c:f>('Frame Dimensions'!$O$91,'Frame Dimensions'!$O$90)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('Frame Dimensions'!$N$91,'Frame Dimensions'!$N$90)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DF45-469C-BEC7-FBA7E84AFCC2}"/>
            </c:ext>
          </c:extLst>
        </c:ser>
        <c:ser>
          <c:idx val="0"/>
          <c:order val="3"/>
          <c:tx>
            <c:strRef>
              <c:f>'Frame Dimensions'!$B$93</c:f>
              <c:strCache>
                <c:ptCount val="1"/>
                <c:pt idx="0">
                  <c:v>VHF_R</c:v>
                </c:pt>
              </c:strCache>
            </c:strRef>
          </c:tx>
          <c:spPr>
            <a:ln w="1270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1"/>
              <c:layout>
                <c:manualLayout>
                  <c:x val="4.1266493600119226E-2"/>
                  <c:y val="-6.9257931260139877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 sz="600"/>
                  </a:pPr>
                  <a:endParaRPr lang="zh-CN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4-DF45-469C-BEC7-FBA7E84AFCC2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6350">
                      <a:prstDash val="dash"/>
                    </a:ln>
                  </c:spPr>
                </c15:leaderLines>
              </c:ext>
            </c:extLst>
          </c:dLbls>
          <c:xVal>
            <c:numRef>
              <c:f>('Frame Dimensions'!$O$94,'Frame Dimensions'!$O$93)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('Frame Dimensions'!$N$94,'Frame Dimensions'!$N$93)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5-DF45-469C-BEC7-FBA7E84AFCC2}"/>
            </c:ext>
          </c:extLst>
        </c:ser>
        <c:ser>
          <c:idx val="2"/>
          <c:order val="4"/>
          <c:tx>
            <c:strRef>
              <c:f>'Frame Dimensions'!$B$115</c:f>
              <c:strCache>
                <c:ptCount val="1"/>
                <c:pt idx="0">
                  <c:v>SFX</c:v>
                </c:pt>
              </c:strCache>
            </c:strRef>
          </c:tx>
          <c:spPr>
            <a:ln w="6350">
              <a:solidFill>
                <a:schemeClr val="tx1"/>
              </a:solidFill>
              <a:prstDash val="solid"/>
            </a:ln>
          </c:spPr>
          <c:marker>
            <c:symbol val="none"/>
          </c:marker>
          <c:dLbls>
            <c:dLbl>
              <c:idx val="1"/>
              <c:layout>
                <c:manualLayout>
                  <c:x val="6.6004470893392606E-2"/>
                  <c:y val="-3.4762384050439479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 sz="600"/>
                  </a:pPr>
                  <a:endParaRPr lang="zh-CN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6-DF45-469C-BEC7-FBA7E84AFCC2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6350">
                      <a:prstDash val="dash"/>
                    </a:ln>
                  </c:spPr>
                </c15:leaderLines>
              </c:ext>
            </c:extLst>
          </c:dLbls>
          <c:xVal>
            <c:numRef>
              <c:f>('Frame Dimensions'!$L$115,'Frame Dimensions'!$O$115)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('Frame Dimensions'!$K$115,'Frame Dimensions'!$N$115)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7-DF45-469C-BEC7-FBA7E84AFCC2}"/>
            </c:ext>
          </c:extLst>
        </c:ser>
        <c:ser>
          <c:idx val="5"/>
          <c:order val="5"/>
          <c:tx>
            <c:v>SFXL</c:v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('Frame Dimensions'!$L$116,'Frame Dimensions'!$L$115)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('Frame Dimensions'!$K$116,'Frame Dimensions'!$K$115)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8-DF45-469C-BEC7-FBA7E84AFCC2}"/>
            </c:ext>
          </c:extLst>
        </c:ser>
        <c:ser>
          <c:idx val="9"/>
          <c:order val="6"/>
          <c:tx>
            <c:v>SFXR</c:v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('Frame Dimensions'!$O$116,'Frame Dimensions'!$O$115)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('Frame Dimensions'!$N$116,'Frame Dimensions'!$N$115)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9-DF45-469C-BEC7-FBA7E84AFCC2}"/>
            </c:ext>
          </c:extLst>
        </c:ser>
        <c:ser>
          <c:idx val="4"/>
          <c:order val="7"/>
          <c:tx>
            <c:strRef>
              <c:f>House!$A$53</c:f>
              <c:strCache>
                <c:ptCount val="1"/>
                <c:pt idx="0">
                  <c:v>COMPLETE HOUSE outside RD, 135, 1269</c:v>
                </c:pt>
              </c:strCache>
            </c:strRef>
          </c:tx>
          <c:spPr>
            <a:ln w="1270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House!$C$56:$Y$56</c:f>
              <c:numCache>
                <c:formatCode>0</c:formatCode>
                <c:ptCount val="23"/>
                <c:pt idx="0">
                  <c:v>1073.5999999999999</c:v>
                </c:pt>
                <c:pt idx="1">
                  <c:v>982</c:v>
                </c:pt>
                <c:pt idx="2">
                  <c:v>876.2</c:v>
                </c:pt>
                <c:pt idx="3">
                  <c:v>706.8</c:v>
                </c:pt>
                <c:pt idx="4">
                  <c:v>482.5</c:v>
                </c:pt>
                <c:pt idx="5">
                  <c:v>216.3</c:v>
                </c:pt>
                <c:pt idx="6">
                  <c:v>-75.7</c:v>
                </c:pt>
                <c:pt idx="7">
                  <c:v>-374.6</c:v>
                </c:pt>
                <c:pt idx="8">
                  <c:v>-660.6</c:v>
                </c:pt>
                <c:pt idx="9">
                  <c:v>-913.7</c:v>
                </c:pt>
                <c:pt idx="10">
                  <c:v>-1115.5</c:v>
                </c:pt>
                <c:pt idx="11">
                  <c:v>-1250.2</c:v>
                </c:pt>
                <c:pt idx="12">
                  <c:v>-1305.9000000000001</c:v>
                </c:pt>
                <c:pt idx="13">
                  <c:v>-1275.5</c:v>
                </c:pt>
                <c:pt idx="14">
                  <c:v>-1157.5</c:v>
                </c:pt>
                <c:pt idx="15">
                  <c:v>-956.2</c:v>
                </c:pt>
                <c:pt idx="16">
                  <c:v>-681.9</c:v>
                </c:pt>
                <c:pt idx="17">
                  <c:v>-350</c:v>
                </c:pt>
                <c:pt idx="18">
                  <c:v>19.3</c:v>
                </c:pt>
                <c:pt idx="19">
                  <c:v>402.7</c:v>
                </c:pt>
                <c:pt idx="20">
                  <c:v>774.8</c:v>
                </c:pt>
                <c:pt idx="21">
                  <c:v>1109.8</c:v>
                </c:pt>
                <c:pt idx="22">
                  <c:v>1871.1</c:v>
                </c:pt>
              </c:numCache>
            </c:numRef>
          </c:xVal>
          <c:yVal>
            <c:numRef>
              <c:f>House!$C$58:$Y$58</c:f>
              <c:numCache>
                <c:formatCode>0</c:formatCode>
                <c:ptCount val="23"/>
                <c:pt idx="0">
                  <c:v>820</c:v>
                </c:pt>
                <c:pt idx="1">
                  <c:v>911.6</c:v>
                </c:pt>
                <c:pt idx="2">
                  <c:v>661.1</c:v>
                </c:pt>
                <c:pt idx="3">
                  <c:v>441.4</c:v>
                </c:pt>
                <c:pt idx="4">
                  <c:v>268.60000000000002</c:v>
                </c:pt>
                <c:pt idx="5">
                  <c:v>156.29999999999995</c:v>
                </c:pt>
                <c:pt idx="6">
                  <c:v>114.70000000000005</c:v>
                </c:pt>
                <c:pt idx="7">
                  <c:v>149.5</c:v>
                </c:pt>
                <c:pt idx="8">
                  <c:v>261.5</c:v>
                </c:pt>
                <c:pt idx="9">
                  <c:v>446.29999999999995</c:v>
                </c:pt>
                <c:pt idx="10">
                  <c:v>694.5</c:v>
                </c:pt>
                <c:pt idx="11">
                  <c:v>991.8</c:v>
                </c:pt>
                <c:pt idx="12">
                  <c:v>1320.3</c:v>
                </c:pt>
                <c:pt idx="13">
                  <c:v>1659</c:v>
                </c:pt>
                <c:pt idx="14">
                  <c:v>1985.3</c:v>
                </c:pt>
                <c:pt idx="15">
                  <c:v>2276.6</c:v>
                </c:pt>
                <c:pt idx="16">
                  <c:v>2511.9</c:v>
                </c:pt>
                <c:pt idx="17">
                  <c:v>2672.8</c:v>
                </c:pt>
                <c:pt idx="18">
                  <c:v>2745.4</c:v>
                </c:pt>
                <c:pt idx="19">
                  <c:v>2721.1</c:v>
                </c:pt>
                <c:pt idx="20">
                  <c:v>2597.5</c:v>
                </c:pt>
                <c:pt idx="21">
                  <c:v>2378.8000000000002</c:v>
                </c:pt>
                <c:pt idx="22">
                  <c:v>1617.5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A-DF45-469C-BEC7-FBA7E84AFCC2}"/>
            </c:ext>
          </c:extLst>
        </c:ser>
        <c:ser>
          <c:idx val="6"/>
          <c:order val="8"/>
          <c:tx>
            <c:strRef>
              <c:f>'Select Drive &amp; Motor'!$B$28</c:f>
              <c:strCache>
                <c:ptCount val="1"/>
                <c:pt idx="0">
                  <c:v>Center Height (RD/135)</c:v>
                </c:pt>
              </c:strCache>
            </c:strRef>
          </c:tx>
          <c:spPr>
            <a:ln w="31750">
              <a:solidFill>
                <a:schemeClr val="tx1"/>
              </a:solidFill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0</c:v>
              </c:pt>
            </c:numLit>
          </c:xVal>
          <c:yVal>
            <c:numRef>
              <c:f>(House!$AH$11,House!$AI$11)</c:f>
              <c:numCache>
                <c:formatCode>_-\ ###0_-;\-\ ###0_-;_-\ "-"??_-;_-@_-</c:formatCode>
                <c:ptCount val="2"/>
                <c:pt idx="0">
                  <c:v>1270</c:v>
                </c:pt>
                <c:pt idx="1">
                  <c:v>1268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B-DF45-469C-BEC7-FBA7E84AFCC2}"/>
            </c:ext>
          </c:extLst>
        </c:ser>
        <c:ser>
          <c:idx val="14"/>
          <c:order val="9"/>
          <c:tx>
            <c:strRef>
              <c:f>House!$Y$54</c:f>
              <c:strCache>
                <c:ptCount val="1"/>
                <c:pt idx="0">
                  <c:v>HfunnelR</c:v>
                </c:pt>
              </c:strCache>
            </c:strRef>
          </c:tx>
          <c:spPr>
            <a:ln w="1270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(House!$C$56,House!$Y$56)</c:f>
              <c:numCache>
                <c:formatCode>0</c:formatCode>
                <c:ptCount val="2"/>
                <c:pt idx="0">
                  <c:v>1073.5999999999999</c:v>
                </c:pt>
                <c:pt idx="1">
                  <c:v>1871.1</c:v>
                </c:pt>
              </c:numCache>
            </c:numRef>
          </c:xVal>
          <c:yVal>
            <c:numRef>
              <c:f>(House!$C$58,House!$Y$58)</c:f>
              <c:numCache>
                <c:formatCode>0</c:formatCode>
                <c:ptCount val="2"/>
                <c:pt idx="0">
                  <c:v>820</c:v>
                </c:pt>
                <c:pt idx="1">
                  <c:v>1617.5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C-DF45-469C-BEC7-FBA7E84AFCC2}"/>
            </c:ext>
          </c:extLst>
        </c:ser>
        <c:ser>
          <c:idx val="15"/>
          <c:order val="10"/>
          <c:tx>
            <c:strRef>
              <c:f>'House reinf, Drive Side'!$B$79</c:f>
              <c:strCache>
                <c:ptCount val="1"/>
                <c:pt idx="0">
                  <c:v>#REF!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D-DF45-469C-BEC7-FBA7E84AFCC2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0"/>
            <c:showCatName val="0"/>
            <c:showSerName val="1"/>
            <c:showPercent val="0"/>
            <c:showBubbleSize val="0"/>
            <c:separator> </c:separator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('House reinf, Drive Side'!$B$83,'House reinf, Drive Side'!$B$85)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('House reinf, Drive Side'!$B$84,'House reinf, Drive Side'!$B$86)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E-DF45-469C-BEC7-FBA7E84AFCC2}"/>
            </c:ext>
          </c:extLst>
        </c:ser>
        <c:ser>
          <c:idx val="18"/>
          <c:order val="11"/>
          <c:tx>
            <c:strRef>
              <c:f>'House reinf, Drive Side'!$C$79</c:f>
              <c:strCache>
                <c:ptCount val="1"/>
                <c:pt idx="0">
                  <c:v>#REF!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F-DF45-469C-BEC7-FBA7E84AFCC2}"/>
                </c:ext>
                <c:ext xmlns:c15="http://schemas.microsoft.com/office/drawing/2012/chart" uri="{CE6537A1-D6FC-4f65-9D91-7224C49458BB}"/>
              </c:extLst>
            </c:dLbl>
            <c:dLbl>
              <c:idx val="1"/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10-DF45-469C-BEC7-FBA7E84AFCC2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('House reinf, Drive Side'!$C$83,'House reinf, Drive Side'!$C$85)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('House reinf, Drive Side'!$C$84,'House reinf, Drive Side'!$C$86)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11-DF45-469C-BEC7-FBA7E84AFCC2}"/>
            </c:ext>
          </c:extLst>
        </c:ser>
        <c:ser>
          <c:idx val="19"/>
          <c:order val="12"/>
          <c:tx>
            <c:strRef>
              <c:f>'House reinf, Drive Side'!$D$79</c:f>
              <c:strCache>
                <c:ptCount val="1"/>
                <c:pt idx="0">
                  <c:v>#REF!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dLbls>
            <c:dLbl>
              <c:idx val="1"/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12-DF45-469C-BEC7-FBA7E84AFCC2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('House reinf, Drive Side'!$D$83,'House reinf, Drive Side'!$D$85)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('House reinf, Drive Side'!$D$84,'House reinf, Drive Side'!$D$86)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13-DF45-469C-BEC7-FBA7E84AFCC2}"/>
            </c:ext>
          </c:extLst>
        </c:ser>
        <c:ser>
          <c:idx val="20"/>
          <c:order val="13"/>
          <c:tx>
            <c:strRef>
              <c:f>'House reinf, Drive Side'!$E$79</c:f>
              <c:strCache>
                <c:ptCount val="1"/>
                <c:pt idx="0">
                  <c:v>#REF!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dLbls>
            <c:dLbl>
              <c:idx val="1"/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14-DF45-469C-BEC7-FBA7E84AFCC2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('House reinf, Drive Side'!$E$83,'House reinf, Drive Side'!$E$85)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('House reinf, Drive Side'!$E$84,'House reinf, Drive Side'!$E$86)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15-DF45-469C-BEC7-FBA7E84AFCC2}"/>
            </c:ext>
          </c:extLst>
        </c:ser>
        <c:ser>
          <c:idx val="21"/>
          <c:order val="14"/>
          <c:tx>
            <c:strRef>
              <c:f>'House reinf, Drive Side'!$F$79</c:f>
              <c:strCache>
                <c:ptCount val="1"/>
                <c:pt idx="0">
                  <c:v>#REF!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dLbls>
            <c:dLbl>
              <c:idx val="1"/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16-DF45-469C-BEC7-FBA7E84AFCC2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('House reinf, Drive Side'!$F$83,'House reinf, Drive Side'!$F$85)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('House reinf, Drive Side'!$F$84,'House reinf, Drive Side'!$F$86)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17-DF45-469C-BEC7-FBA7E84AFCC2}"/>
            </c:ext>
          </c:extLst>
        </c:ser>
        <c:ser>
          <c:idx val="22"/>
          <c:order val="15"/>
          <c:tx>
            <c:strRef>
              <c:f>'House reinf, Drive Side'!$G$79</c:f>
              <c:strCache>
                <c:ptCount val="1"/>
                <c:pt idx="0">
                  <c:v>#REF!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dLbls>
            <c:dLbl>
              <c:idx val="1"/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18-DF45-469C-BEC7-FBA7E84AFCC2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('House reinf, Drive Side'!$G$83,'House reinf, Drive Side'!$G$85)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('House reinf, Drive Side'!$G$84,'House reinf, Drive Side'!$G$86)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19-DF45-469C-BEC7-FBA7E84AFCC2}"/>
            </c:ext>
          </c:extLst>
        </c:ser>
        <c:ser>
          <c:idx val="23"/>
          <c:order val="16"/>
          <c:tx>
            <c:strRef>
              <c:f>'House reinf, Drive Side'!$H$79</c:f>
              <c:strCache>
                <c:ptCount val="1"/>
                <c:pt idx="0">
                  <c:v>#REF!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dLbls>
            <c:dLbl>
              <c:idx val="1"/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1A-DF45-469C-BEC7-FBA7E84AFCC2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('House reinf, Drive Side'!$H$83,'House reinf, Drive Side'!$H$85)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('House reinf, Drive Side'!$H$84,'House reinf, Drive Side'!$H$86)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1B-DF45-469C-BEC7-FBA7E84AFCC2}"/>
            </c:ext>
          </c:extLst>
        </c:ser>
        <c:ser>
          <c:idx val="24"/>
          <c:order val="17"/>
          <c:tx>
            <c:strRef>
              <c:f>'House reinf, Drive Side'!$I$79</c:f>
              <c:strCache>
                <c:ptCount val="1"/>
                <c:pt idx="0">
                  <c:v>#REF!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1C-DF45-469C-BEC7-FBA7E84AFCC2}"/>
                </c:ext>
                <c:ext xmlns:c15="http://schemas.microsoft.com/office/drawing/2012/chart" uri="{CE6537A1-D6FC-4f65-9D91-7224C49458BB}"/>
              </c:extLst>
            </c:dLbl>
            <c:dLbl>
              <c:idx val="1"/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1D-DF45-469C-BEC7-FBA7E84AFCC2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('House reinf, Drive Side'!$I$83,'House reinf, Drive Side'!$I$85)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('House reinf, Drive Side'!$I$84,'House reinf, Drive Side'!$I$86)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1E-DF45-469C-BEC7-FBA7E84AFCC2}"/>
            </c:ext>
          </c:extLst>
        </c:ser>
        <c:ser>
          <c:idx val="25"/>
          <c:order val="18"/>
          <c:tx>
            <c:strRef>
              <c:f>'House reinf, Drive Side'!$J$79</c:f>
              <c:strCache>
                <c:ptCount val="1"/>
                <c:pt idx="0">
                  <c:v>#REF!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dLbls>
            <c:dLbl>
              <c:idx val="1"/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1F-DF45-469C-BEC7-FBA7E84AFCC2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('House reinf, Drive Side'!$J$83,'House reinf, Drive Side'!$J$85)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('House reinf, Drive Side'!$J$84,'House reinf, Drive Side'!$J$86)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20-DF45-469C-BEC7-FBA7E84AFCC2}"/>
            </c:ext>
          </c:extLst>
        </c:ser>
        <c:ser>
          <c:idx val="26"/>
          <c:order val="19"/>
          <c:tx>
            <c:strRef>
              <c:f>'House reinf, Drive Side'!$K$79</c:f>
              <c:strCache>
                <c:ptCount val="1"/>
                <c:pt idx="0">
                  <c:v>#REF!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21-DF45-469C-BEC7-FBA7E84AFCC2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('House reinf, Drive Side'!$K$83,'House reinf, Drive Side'!$K$85)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('House reinf, Drive Side'!$K$84,'House reinf, Drive Side'!$K$86)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22-DF45-469C-BEC7-FBA7E84AFCC2}"/>
            </c:ext>
          </c:extLst>
        </c:ser>
        <c:ser>
          <c:idx val="27"/>
          <c:order val="20"/>
          <c:tx>
            <c:strRef>
              <c:f>'House reinf, Drive Side'!$L$79</c:f>
              <c:strCache>
                <c:ptCount val="1"/>
                <c:pt idx="0">
                  <c:v>#REF!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dLbls>
            <c:dLbl>
              <c:idx val="1"/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23-DF45-469C-BEC7-FBA7E84AFCC2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('House reinf, Drive Side'!$L$83,'House reinf, Drive Side'!$L$85)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('House reinf, Drive Side'!$L$84,'House reinf, Drive Side'!$L$86)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24-DF45-469C-BEC7-FBA7E84AFCC2}"/>
            </c:ext>
          </c:extLst>
        </c:ser>
        <c:ser>
          <c:idx val="28"/>
          <c:order val="21"/>
          <c:tx>
            <c:strRef>
              <c:f>'House reinf, Drive Side'!$M$79</c:f>
              <c:strCache>
                <c:ptCount val="1"/>
                <c:pt idx="0">
                  <c:v>#REF!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dLbls>
            <c:dLbl>
              <c:idx val="1"/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25-DF45-469C-BEC7-FBA7E84AFCC2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('House reinf, Drive Side'!$M$83,'House reinf, Drive Side'!$M$85)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('House reinf, Drive Side'!$M$84,'House reinf, Drive Side'!$M$86)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26-DF45-469C-BEC7-FBA7E84AFCC2}"/>
            </c:ext>
          </c:extLst>
        </c:ser>
        <c:ser>
          <c:idx val="29"/>
          <c:order val="22"/>
          <c:tx>
            <c:strRef>
              <c:f>'House reinf, Drive Side'!$N$79</c:f>
              <c:strCache>
                <c:ptCount val="1"/>
                <c:pt idx="0">
                  <c:v>#REF!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27-DF45-469C-BEC7-FBA7E84AFCC2}"/>
                </c:ext>
                <c:ext xmlns:c15="http://schemas.microsoft.com/office/drawing/2012/chart" uri="{CE6537A1-D6FC-4f65-9D91-7224C49458BB}"/>
              </c:extLst>
            </c:dLbl>
            <c:dLbl>
              <c:idx val="1"/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28-DF45-469C-BEC7-FBA7E84AFCC2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('House reinf, Drive Side'!$N$83,'House reinf, Drive Side'!$N$85)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('House reinf, Drive Side'!$N$84,'House reinf, Drive Side'!$N$86)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29-DF45-469C-BEC7-FBA7E84AFCC2}"/>
            </c:ext>
          </c:extLst>
        </c:ser>
        <c:ser>
          <c:idx val="30"/>
          <c:order val="23"/>
          <c:tx>
            <c:strRef>
              <c:f>'House reinf, Drive Side'!$O$79</c:f>
              <c:strCache>
                <c:ptCount val="1"/>
                <c:pt idx="0">
                  <c:v>#REF!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2A-DF45-469C-BEC7-FBA7E84AFCC2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('House reinf, Drive Side'!$O$83,'House reinf, Drive Side'!$O$85)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('House reinf, Drive Side'!$O$84,'House reinf, Drive Side'!$O$86)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2B-DF45-469C-BEC7-FBA7E84AFCC2}"/>
            </c:ext>
          </c:extLst>
        </c:ser>
        <c:ser>
          <c:idx val="31"/>
          <c:order val="24"/>
          <c:tx>
            <c:strRef>
              <c:f>'House reinf, Drive Side'!$P$79</c:f>
              <c:strCache>
                <c:ptCount val="1"/>
                <c:pt idx="0">
                  <c:v>#REF!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dLbls>
            <c:dLbl>
              <c:idx val="1"/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2C-DF45-469C-BEC7-FBA7E84AFCC2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('House reinf, Drive Side'!$P$83,'House reinf, Drive Side'!$P$85)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('House reinf, Drive Side'!$P$84,'House reinf, Drive Side'!$P$86)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2D-DF45-469C-BEC7-FBA7E84AFCC2}"/>
            </c:ext>
          </c:extLst>
        </c:ser>
        <c:ser>
          <c:idx val="32"/>
          <c:order val="25"/>
          <c:tx>
            <c:strRef>
              <c:f>'House reinf, Drive Side'!$Q$79</c:f>
              <c:strCache>
                <c:ptCount val="1"/>
                <c:pt idx="0">
                  <c:v>#REF!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dLbls>
            <c:dLbl>
              <c:idx val="1"/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2E-DF45-469C-BEC7-FBA7E84AFCC2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('House reinf, Drive Side'!$Q$83,'House reinf, Drive Side'!$Q$85)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('House reinf, Drive Side'!$Q$84,'House reinf, Drive Side'!$Q$86)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2F-DF45-469C-BEC7-FBA7E84AFCC2}"/>
            </c:ext>
          </c:extLst>
        </c:ser>
        <c:ser>
          <c:idx val="33"/>
          <c:order val="26"/>
          <c:tx>
            <c:strRef>
              <c:f>'House reinf, Drive Side'!$R$79</c:f>
              <c:strCache>
                <c:ptCount val="1"/>
                <c:pt idx="0">
                  <c:v>#REF!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dLbls>
            <c:dLbl>
              <c:idx val="1"/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30-DF45-469C-BEC7-FBA7E84AFCC2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('House reinf, Drive Side'!$R$83,'House reinf, Drive Side'!$R$85)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('House reinf, Drive Side'!$R$84,'House reinf, Drive Side'!$R$86)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31-DF45-469C-BEC7-FBA7E84AFCC2}"/>
            </c:ext>
          </c:extLst>
        </c:ser>
        <c:ser>
          <c:idx val="34"/>
          <c:order val="27"/>
          <c:tx>
            <c:strRef>
              <c:f>'House reinf, Drive Side'!$S$79</c:f>
              <c:strCache>
                <c:ptCount val="1"/>
                <c:pt idx="0">
                  <c:v>#REF!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dLbls>
            <c:dLbl>
              <c:idx val="1"/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32-DF45-469C-BEC7-FBA7E84AFCC2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('House reinf, Drive Side'!$S$83,'House reinf, Drive Side'!$S$85)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('House reinf, Drive Side'!$S$84,'House reinf, Drive Side'!$S$86)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33-DF45-469C-BEC7-FBA7E84AFCC2}"/>
            </c:ext>
          </c:extLst>
        </c:ser>
        <c:ser>
          <c:idx val="35"/>
          <c:order val="28"/>
          <c:tx>
            <c:strRef>
              <c:f>'House reinf, Drive Side'!$T$79</c:f>
              <c:strCache>
                <c:ptCount val="1"/>
                <c:pt idx="0">
                  <c:v>#REF!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dLbls>
            <c:dLbl>
              <c:idx val="1"/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34-DF45-469C-BEC7-FBA7E84AFCC2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('House reinf, Drive Side'!$T$83,'House reinf, Drive Side'!$T$85)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('House reinf, Drive Side'!$T$84,'House reinf, Drive Side'!$T$86)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35-DF45-469C-BEC7-FBA7E84AFCC2}"/>
            </c:ext>
          </c:extLst>
        </c:ser>
        <c:ser>
          <c:idx val="36"/>
          <c:order val="29"/>
          <c:tx>
            <c:strRef>
              <c:f>'House reinf, Drive Side'!$U$79</c:f>
              <c:strCache>
                <c:ptCount val="1"/>
                <c:pt idx="0">
                  <c:v>#REF!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dLbls>
            <c:dLbl>
              <c:idx val="1"/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36-DF45-469C-BEC7-FBA7E84AFCC2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('House reinf, Drive Side'!$U$83,'House reinf, Drive Side'!$U$85)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('House reinf, Drive Side'!$U$84,'House reinf, Drive Side'!$U$86)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37-DF45-469C-BEC7-FBA7E84AFCC2}"/>
            </c:ext>
          </c:extLst>
        </c:ser>
        <c:ser>
          <c:idx val="37"/>
          <c:order val="30"/>
          <c:tx>
            <c:strRef>
              <c:f>'House reinf, Drive Side'!$V$79</c:f>
              <c:strCache>
                <c:ptCount val="1"/>
                <c:pt idx="0">
                  <c:v>#REF!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dLbls>
            <c:dLbl>
              <c:idx val="1"/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38-DF45-469C-BEC7-FBA7E84AFCC2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('House reinf, Drive Side'!$V$83,'House reinf, Drive Side'!$V$85)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('House reinf, Drive Side'!$V$84,'House reinf, Drive Side'!$V$86)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39-DF45-469C-BEC7-FBA7E84AFCC2}"/>
            </c:ext>
          </c:extLst>
        </c:ser>
        <c:ser>
          <c:idx val="38"/>
          <c:order val="31"/>
          <c:tx>
            <c:strRef>
              <c:f>'House reinf, Drive Side'!$W$79</c:f>
              <c:strCache>
                <c:ptCount val="1"/>
                <c:pt idx="0">
                  <c:v>#REF!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dLbls>
            <c:dLbl>
              <c:idx val="1"/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3A-DF45-469C-BEC7-FBA7E84AFCC2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('House reinf, Drive Side'!$W$83,'House reinf, Drive Side'!$W$85)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('House reinf, Drive Side'!$W$84,'House reinf, Drive Side'!$W$86)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3B-DF45-469C-BEC7-FBA7E84AFCC2}"/>
            </c:ext>
          </c:extLst>
        </c:ser>
        <c:ser>
          <c:idx val="39"/>
          <c:order val="32"/>
          <c:tx>
            <c:strRef>
              <c:f>'House reinf, Drive Side'!$X$79</c:f>
              <c:strCache>
                <c:ptCount val="1"/>
                <c:pt idx="0">
                  <c:v>#REF!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dLbls>
            <c:dLbl>
              <c:idx val="1"/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3C-DF45-469C-BEC7-FBA7E84AFCC2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('House reinf, Drive Side'!$X$83,'House reinf, Drive Side'!$X$85)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('House reinf, Drive Side'!$X$84,'House reinf, Drive Side'!$X$86)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3D-DF45-469C-BEC7-FBA7E84AFCC2}"/>
            </c:ext>
          </c:extLst>
        </c:ser>
        <c:ser>
          <c:idx val="40"/>
          <c:order val="33"/>
          <c:tx>
            <c:strRef>
              <c:f>'House reinf, Drive Side'!$Y$79</c:f>
              <c:strCache>
                <c:ptCount val="1"/>
                <c:pt idx="0">
                  <c:v>#REF!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dLbls>
            <c:dLbl>
              <c:idx val="1"/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3E-DF45-469C-BEC7-FBA7E84AFCC2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('House reinf, Drive Side'!$Y$83,'House reinf, Drive Side'!$Y$85)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('House reinf, Drive Side'!$Y$84,'House reinf, Drive Side'!$Y$86)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3F-DF45-469C-BEC7-FBA7E84AFCC2}"/>
            </c:ext>
          </c:extLst>
        </c:ser>
        <c:ser>
          <c:idx val="41"/>
          <c:order val="34"/>
          <c:tx>
            <c:strRef>
              <c:f>'House reinf, Drive Side'!$Z$79</c:f>
              <c:strCache>
                <c:ptCount val="1"/>
                <c:pt idx="0">
                  <c:v>#REF!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dLbls>
            <c:dLbl>
              <c:idx val="1"/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40-DF45-469C-BEC7-FBA7E84AFCC2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('House reinf, Drive Side'!$Z$83,'House reinf, Drive Side'!$Z$85)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('House reinf, Drive Side'!$Z$84,'House reinf, Drive Side'!$Z$86)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41-DF45-469C-BEC7-FBA7E84AFCC2}"/>
            </c:ext>
          </c:extLst>
        </c:ser>
        <c:ser>
          <c:idx val="42"/>
          <c:order val="35"/>
          <c:tx>
            <c:strRef>
              <c:f>'House reinf, Drive Side'!$AA$79</c:f>
              <c:strCache>
                <c:ptCount val="1"/>
                <c:pt idx="0">
                  <c:v>#REF!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dLbls>
            <c:dLbl>
              <c:idx val="1"/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42-DF45-469C-BEC7-FBA7E84AFCC2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('House reinf, Drive Side'!$AA$83,'House reinf, Drive Side'!$AA$85)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('House reinf, Drive Side'!$AA$84,'House reinf, Drive Side'!$AA$86)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43-DF45-469C-BEC7-FBA7E84AFCC2}"/>
            </c:ext>
          </c:extLst>
        </c:ser>
        <c:ser>
          <c:idx val="43"/>
          <c:order val="36"/>
          <c:tx>
            <c:strRef>
              <c:f>'House reinf, Drive Side'!$AB$79</c:f>
              <c:strCache>
                <c:ptCount val="1"/>
                <c:pt idx="0">
                  <c:v>#REF!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dPt>
            <c:idx val="1"/>
            <c:bubble3D val="0"/>
            <c:spPr>
              <a:ln w="12700">
                <a:solidFill>
                  <a:srgbClr val="FF0000"/>
                </a:solidFill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45-DF45-469C-BEC7-FBA7E84AFCC2}"/>
              </c:ext>
            </c:extLst>
          </c:dPt>
          <c:dLbls>
            <c:dLbl>
              <c:idx val="1"/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45-DF45-469C-BEC7-FBA7E84AFCC2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('House reinf, Drive Side'!$AB$83,'House reinf, Drive Side'!$AB$85)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('House reinf, Drive Side'!$AB$84,'House reinf, Drive Side'!$AB$86)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46-DF45-469C-BEC7-FBA7E84AFCC2}"/>
            </c:ext>
          </c:extLst>
        </c:ser>
        <c:ser>
          <c:idx val="10"/>
          <c:order val="37"/>
          <c:tx>
            <c:strRef>
              <c:f>'Frame Dimensions'!$B$96</c:f>
              <c:strCache>
                <c:ptCount val="1"/>
                <c:pt idx="0">
                  <c:v>HFHi</c:v>
                </c:pt>
              </c:strCache>
            </c:strRef>
          </c:tx>
          <c:spPr>
            <a:ln w="1270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1"/>
              <c:layout>
                <c:manualLayout>
                  <c:x val="3.8515394026777949E-2"/>
                  <c:y val="-9.8939901800199834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 sz="600"/>
                  </a:pPr>
                  <a:endParaRPr lang="zh-CN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47-DF45-469C-BEC7-FBA7E84AFCC2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6350">
                      <a:prstDash val="dash"/>
                    </a:ln>
                  </c:spPr>
                </c15:leaderLines>
              </c:ext>
            </c:extLst>
          </c:dLbls>
          <c:xVal>
            <c:numRef>
              <c:f>('Frame Dimensions'!$L$96,'Frame Dimensions'!$O$96)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('Frame Dimensions'!$K$96,'Frame Dimensions'!$N$96)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48-DF45-469C-BEC7-FBA7E84AFCC2}"/>
            </c:ext>
          </c:extLst>
        </c:ser>
        <c:ser>
          <c:idx val="12"/>
          <c:order val="38"/>
          <c:tx>
            <c:strRef>
              <c:f>'Frame Dimensions'!$B$73</c:f>
              <c:strCache>
                <c:ptCount val="1"/>
                <c:pt idx="0">
                  <c:v>0</c:v>
                </c:pt>
              </c:strCache>
            </c:strRef>
          </c:tx>
          <c:spPr>
            <a:ln w="9525">
              <a:solidFill>
                <a:srgbClr val="00B0F0"/>
              </a:solidFill>
              <a:prstDash val="solid"/>
            </a:ln>
          </c:spPr>
          <c:marker>
            <c:symbol val="none"/>
          </c:marker>
          <c:xVal>
            <c:numRef>
              <c:f>('Frame Dimensions'!$L$73,'Frame Dimensions'!$O$73)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('Frame Dimensions'!$K$73,'Frame Dimensions'!$N$73)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49-DF45-469C-BEC7-FBA7E84AFCC2}"/>
            </c:ext>
          </c:extLst>
        </c:ser>
        <c:ser>
          <c:idx val="11"/>
          <c:order val="39"/>
          <c:tx>
            <c:strRef>
              <c:f>'Frame Dimensions'!$B$77</c:f>
              <c:strCache>
                <c:ptCount val="1"/>
                <c:pt idx="0">
                  <c:v>0</c:v>
                </c:pt>
              </c:strCache>
            </c:strRef>
          </c:tx>
          <c:spPr>
            <a:ln w="9525">
              <a:solidFill>
                <a:srgbClr val="00B0F0"/>
              </a:solidFill>
              <a:prstDash val="solid"/>
            </a:ln>
          </c:spPr>
          <c:marker>
            <c:symbol val="none"/>
          </c:marker>
          <c:xVal>
            <c:numRef>
              <c:f>('Frame Dimensions'!$L$77,'Frame Dimensions'!$O$77)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('Frame Dimensions'!$K$77,'Frame Dimensions'!$N$77)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4A-DF45-469C-BEC7-FBA7E84AFCC2}"/>
            </c:ext>
          </c:extLst>
        </c:ser>
        <c:ser>
          <c:idx val="44"/>
          <c:order val="40"/>
          <c:tx>
            <c:strRef>
              <c:f>'Frame Dimensions'!$B$81</c:f>
              <c:strCache>
                <c:ptCount val="1"/>
                <c:pt idx="0">
                  <c:v>0</c:v>
                </c:pt>
              </c:strCache>
            </c:strRef>
          </c:tx>
          <c:spPr>
            <a:ln w="9525">
              <a:solidFill>
                <a:srgbClr val="00B0F0"/>
              </a:solidFill>
              <a:prstDash val="solid"/>
            </a:ln>
          </c:spPr>
          <c:marker>
            <c:symbol val="none"/>
          </c:marker>
          <c:xVal>
            <c:numRef>
              <c:f>('Frame Dimensions'!$L$81,'Frame Dimensions'!$O$81)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('Frame Dimensions'!$K$81,'Frame Dimensions'!$N$81)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4B-DF45-469C-BEC7-FBA7E84AFCC2}"/>
            </c:ext>
          </c:extLst>
        </c:ser>
        <c:ser>
          <c:idx val="45"/>
          <c:order val="41"/>
          <c:tx>
            <c:strRef>
              <c:f>'Frame Dimensions'!$B$162</c:f>
              <c:strCache>
                <c:ptCount val="1"/>
                <c:pt idx="0">
                  <c:v>0</c:v>
                </c:pt>
              </c:strCache>
            </c:strRef>
          </c:tx>
          <c:spPr>
            <a:ln w="1270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('Frame Dimensions'!$L$162,'Frame Dimensions'!$O$162)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('Frame Dimensions'!$K$162,'Frame Dimensions'!$N$162)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4C-DF45-469C-BEC7-FBA7E84AFCC2}"/>
            </c:ext>
          </c:extLst>
        </c:ser>
        <c:ser>
          <c:idx val="46"/>
          <c:order val="42"/>
          <c:tx>
            <c:strRef>
              <c:f>'Frame Dimensions'!$B$164</c:f>
              <c:strCache>
                <c:ptCount val="1"/>
                <c:pt idx="0">
                  <c:v>0</c:v>
                </c:pt>
              </c:strCache>
            </c:strRef>
          </c:tx>
          <c:spPr>
            <a:ln w="1270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('Frame Dimensions'!$L$164,'Frame Dimensions'!$O$164)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('Frame Dimensions'!$K$164,'Frame Dimensions'!$N$164)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4D-DF45-469C-BEC7-FBA7E84AFCC2}"/>
            </c:ext>
          </c:extLst>
        </c:ser>
        <c:ser>
          <c:idx val="50"/>
          <c:order val="43"/>
          <c:tx>
            <c:strRef>
              <c:f>'House reinf, Drive Side'!$AC$79</c:f>
              <c:strCache>
                <c:ptCount val="1"/>
                <c:pt idx="0">
                  <c:v>#REF!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dLbls>
            <c:dLbl>
              <c:idx val="1"/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4E-DF45-469C-BEC7-FBA7E84AFCC2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('House reinf, Drive Side'!$AC$83,'House reinf, Drive Side'!$AC$85)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('House reinf, Drive Side'!$AC$84,'House reinf, Drive Side'!$AC$86)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4F-DF45-469C-BEC7-FBA7E84AFCC2}"/>
            </c:ext>
          </c:extLst>
        </c:ser>
        <c:ser>
          <c:idx val="51"/>
          <c:order val="44"/>
          <c:tx>
            <c:strRef>
              <c:f>'House reinf, Drive Side'!$AD$79</c:f>
              <c:strCache>
                <c:ptCount val="1"/>
                <c:pt idx="0">
                  <c:v>#REF!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dLbls>
            <c:dLbl>
              <c:idx val="1"/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50-DF45-469C-BEC7-FBA7E84AFCC2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('House reinf, Drive Side'!$AD$83,'House reinf, Drive Side'!$AD$85)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('House reinf, Drive Side'!$AD$84,'House reinf, Drive Side'!$AD$86)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51-DF45-469C-BEC7-FBA7E84AFCC2}"/>
            </c:ext>
          </c:extLst>
        </c:ser>
        <c:ser>
          <c:idx val="76"/>
          <c:order val="45"/>
          <c:tx>
            <c:strRef>
              <c:f>'House reinf, Drive Side'!$AE$79</c:f>
              <c:strCache>
                <c:ptCount val="1"/>
                <c:pt idx="0">
                  <c:v>#REF!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52-DF45-469C-BEC7-FBA7E84AFCC2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('House reinf, Drive Side'!$AE$83,'House reinf, Drive Side'!$AE$85)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('House reinf, Drive Side'!$AE$84,'House reinf, Drive Side'!$AE$86)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53-DF45-469C-BEC7-FBA7E84AFCC2}"/>
            </c:ext>
          </c:extLst>
        </c:ser>
        <c:ser>
          <c:idx val="3"/>
          <c:order val="46"/>
          <c:tx>
            <c:strRef>
              <c:f>'House reinf, Drive Side'!$AF$79</c:f>
              <c:strCache>
                <c:ptCount val="1"/>
                <c:pt idx="0">
                  <c:v>#REF!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54-DF45-469C-BEC7-FBA7E84AFCC2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('House reinf, Drive Side'!$AF$83,'House reinf, Drive Side'!$AF$85)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('House reinf, Drive Side'!$AF$84,'House reinf, Drive Side'!$AF$86)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55-DF45-469C-BEC7-FBA7E84AFCC2}"/>
            </c:ext>
          </c:extLst>
        </c:ser>
        <c:ser>
          <c:idx val="52"/>
          <c:order val="47"/>
          <c:tx>
            <c:strRef>
              <c:f>'House reinf, Drive Side'!$AG$79</c:f>
              <c:strCache>
                <c:ptCount val="1"/>
                <c:pt idx="0">
                  <c:v>#REF!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dLbls>
            <c:dLbl>
              <c:idx val="1"/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 xmlns:c15="http://schemas.microsoft.com/office/drawing/2012/chart">
                <c:ext xmlns:c16="http://schemas.microsoft.com/office/drawing/2014/chart" uri="{C3380CC4-5D6E-409C-BE32-E72D297353CC}">
                  <c16:uniqueId val="{00000056-DF45-469C-BEC7-FBA7E84AFCC2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 xmlns:c15="http://schemas.microsoft.com/office/drawing/2012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('House reinf, Drive Side'!$AG$83,'House reinf, Drive Side'!$AG$85)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('House reinf, Drive Side'!$AG$84,'House reinf, Drive Side'!$AG$86)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57-DF45-469C-BEC7-FBA7E84AFCC2}"/>
            </c:ext>
          </c:extLst>
        </c:ser>
        <c:ser>
          <c:idx val="53"/>
          <c:order val="48"/>
          <c:tx>
            <c:strRef>
              <c:f>'House reinf, Drive Side'!$AH$79</c:f>
              <c:strCache>
                <c:ptCount val="1"/>
                <c:pt idx="0">
                  <c:v>#REF!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dLbls>
            <c:dLbl>
              <c:idx val="1"/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 xmlns:c15="http://schemas.microsoft.com/office/drawing/2012/chart">
                <c:ext xmlns:c16="http://schemas.microsoft.com/office/drawing/2014/chart" uri="{C3380CC4-5D6E-409C-BE32-E72D297353CC}">
                  <c16:uniqueId val="{00000058-DF45-469C-BEC7-FBA7E84AFCC2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 xmlns:c15="http://schemas.microsoft.com/office/drawing/2012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('House reinf, Drive Side'!$AH$83,'House reinf, Drive Side'!$AH$85)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('House reinf, Drive Side'!$AH$84,'House reinf, Drive Side'!$AH$86)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59-DF45-469C-BEC7-FBA7E84AFCC2}"/>
            </c:ext>
          </c:extLst>
        </c:ser>
        <c:ser>
          <c:idx val="77"/>
          <c:order val="49"/>
          <c:tx>
            <c:strRef>
              <c:f>'House reinf, Drive Side'!$AI$79</c:f>
              <c:strCache>
                <c:ptCount val="1"/>
                <c:pt idx="0">
                  <c:v>#REF!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dLbls>
            <c:dLbl>
              <c:idx val="1"/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5A-DF45-469C-BEC7-FBA7E84AFCC2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('House reinf, Drive Side'!$AI$83,'House reinf, Drive Side'!$AI$85)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('House reinf, Drive Side'!$AI$84,'House reinf, Drive Side'!$AI$86)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5B-DF45-469C-BEC7-FBA7E84AFCC2}"/>
            </c:ext>
          </c:extLst>
        </c:ser>
        <c:ser>
          <c:idx val="13"/>
          <c:order val="50"/>
          <c:tx>
            <c:strRef>
              <c:f>'House reinf, Drive Side'!$AJ$79</c:f>
              <c:strCache>
                <c:ptCount val="1"/>
                <c:pt idx="0">
                  <c:v>#REF!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5C-DF45-469C-BEC7-FBA7E84AFCC2}"/>
                </c:ext>
                <c:ext xmlns:c15="http://schemas.microsoft.com/office/drawing/2012/chart" uri="{CE6537A1-D6FC-4f65-9D91-7224C49458BB}"/>
              </c:extLst>
            </c:dLbl>
            <c:dLbl>
              <c:idx val="1"/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5D-DF45-469C-BEC7-FBA7E84AFCC2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('House reinf, Drive Side'!$AJ$83,'House reinf, Drive Side'!$AJ$85)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('House reinf, Drive Side'!$AJ$84,'House reinf, Drive Side'!$AJ$86)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5E-DF45-469C-BEC7-FBA7E84AFCC2}"/>
            </c:ext>
          </c:extLst>
        </c:ser>
        <c:ser>
          <c:idx val="55"/>
          <c:order val="51"/>
          <c:tx>
            <c:strRef>
              <c:f>'Frame Dimensions'!$B$25</c:f>
              <c:strCache>
                <c:ptCount val="1"/>
                <c:pt idx="0">
                  <c:v>#REF!</c:v>
                </c:pt>
              </c:strCache>
              <c:extLst xmlns:c16r2="http://schemas.microsoft.com/office/drawing/2015/06/chart" xmlns:c15="http://schemas.microsoft.com/office/drawing/2012/chart"/>
            </c:strRef>
          </c:tx>
          <c:spPr>
            <a:ln w="9525">
              <a:solidFill>
                <a:srgbClr val="00B0F0"/>
              </a:solidFill>
              <a:prstDash val="solid"/>
            </a:ln>
          </c:spPr>
          <c:marker>
            <c:symbol val="none"/>
          </c:marker>
          <c:xVal>
            <c:numRef>
              <c:f>('Frame Dimensions'!$L$25,'Frame Dimensions'!$O$25)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  <c:extLst xmlns:c16r2="http://schemas.microsoft.com/office/drawing/2015/06/chart" xmlns:c15="http://schemas.microsoft.com/office/drawing/2012/chart"/>
            </c:numRef>
          </c:xVal>
          <c:yVal>
            <c:numRef>
              <c:f>('Frame Dimensions'!$K$25,'Frame Dimensions'!$N$25)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  <c:extLst xmlns:c16r2="http://schemas.microsoft.com/office/drawing/2015/06/chart" xmlns:c15="http://schemas.microsoft.com/office/drawing/2012/chart"/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5F-DF45-469C-BEC7-FBA7E84AFCC2}"/>
            </c:ext>
          </c:extLst>
        </c:ser>
        <c:ser>
          <c:idx val="54"/>
          <c:order val="52"/>
          <c:tx>
            <c:strRef>
              <c:f>'Frame Dimensions'!$B$29</c:f>
              <c:strCache>
                <c:ptCount val="1"/>
                <c:pt idx="0">
                  <c:v>#REF!</c:v>
                </c:pt>
              </c:strCache>
              <c:extLst xmlns:c16r2="http://schemas.microsoft.com/office/drawing/2015/06/chart" xmlns:c15="http://schemas.microsoft.com/office/drawing/2012/chart"/>
            </c:strRef>
          </c:tx>
          <c:spPr>
            <a:ln w="9525">
              <a:solidFill>
                <a:srgbClr val="00B0F0"/>
              </a:solidFill>
              <a:prstDash val="solid"/>
            </a:ln>
          </c:spPr>
          <c:marker>
            <c:symbol val="none"/>
          </c:marker>
          <c:xVal>
            <c:numRef>
              <c:f>('Frame Dimensions'!$L$29,'Frame Dimensions'!$O$29)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  <c:extLst xmlns:c16r2="http://schemas.microsoft.com/office/drawing/2015/06/chart" xmlns:c15="http://schemas.microsoft.com/office/drawing/2012/chart"/>
            </c:numRef>
          </c:xVal>
          <c:yVal>
            <c:numRef>
              <c:f>('Frame Dimensions'!$K$29,'Frame Dimensions'!$N$29)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  <c:extLst xmlns:c16r2="http://schemas.microsoft.com/office/drawing/2015/06/chart" xmlns:c15="http://schemas.microsoft.com/office/drawing/2012/chart"/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60-DF45-469C-BEC7-FBA7E84AFCC2}"/>
            </c:ext>
          </c:extLst>
        </c:ser>
        <c:ser>
          <c:idx val="56"/>
          <c:order val="53"/>
          <c:tx>
            <c:strRef>
              <c:f>'Frame Dimensions'!$B$33</c:f>
              <c:strCache>
                <c:ptCount val="1"/>
                <c:pt idx="0">
                  <c:v>#REF!</c:v>
                </c:pt>
              </c:strCache>
              <c:extLst xmlns:c16r2="http://schemas.microsoft.com/office/drawing/2015/06/chart" xmlns:c15="http://schemas.microsoft.com/office/drawing/2012/chart"/>
            </c:strRef>
          </c:tx>
          <c:spPr>
            <a:ln w="9525">
              <a:solidFill>
                <a:srgbClr val="00B0F0"/>
              </a:solidFill>
              <a:prstDash val="solid"/>
            </a:ln>
          </c:spPr>
          <c:marker>
            <c:symbol val="none"/>
          </c:marker>
          <c:xVal>
            <c:numRef>
              <c:f>('Frame Dimensions'!$L$33,'Frame Dimensions'!$O$33)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  <c:extLst xmlns:c16r2="http://schemas.microsoft.com/office/drawing/2015/06/chart" xmlns:c15="http://schemas.microsoft.com/office/drawing/2012/chart"/>
            </c:numRef>
          </c:xVal>
          <c:yVal>
            <c:numRef>
              <c:f>('Frame Dimensions'!$K$33,'Frame Dimensions'!$N$33)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  <c:extLst xmlns:c16r2="http://schemas.microsoft.com/office/drawing/2015/06/chart" xmlns:c15="http://schemas.microsoft.com/office/drawing/2012/chart"/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61-DF45-469C-BEC7-FBA7E84AFCC2}"/>
            </c:ext>
          </c:extLst>
        </c:ser>
        <c:ser>
          <c:idx val="57"/>
          <c:order val="54"/>
          <c:tx>
            <c:strRef>
              <c:f>House!$Z$55</c:f>
              <c:strCache>
                <c:ptCount val="1"/>
                <c:pt idx="0">
                  <c:v>Rreinf</c:v>
                </c:pt>
              </c:strCache>
              <c:extLst xmlns:c16r2="http://schemas.microsoft.com/office/drawing/2015/06/chart" xmlns:c15="http://schemas.microsoft.com/office/drawing/2012/chart"/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(House!$B$56,House!$Z$56)</c:f>
              <c:numCache>
                <c:formatCode>0</c:formatCode>
                <c:ptCount val="2"/>
                <c:pt idx="0">
                  <c:v>982</c:v>
                </c:pt>
                <c:pt idx="1">
                  <c:v>1779.5</c:v>
                </c:pt>
              </c:numCache>
              <c:extLst xmlns:c16r2="http://schemas.microsoft.com/office/drawing/2015/06/chart" xmlns:c15="http://schemas.microsoft.com/office/drawing/2012/chart"/>
            </c:numRef>
          </c:xVal>
          <c:yVal>
            <c:numRef>
              <c:f>(House!$B$58,House!$Z$58)</c:f>
              <c:numCache>
                <c:formatCode>0</c:formatCode>
                <c:ptCount val="2"/>
                <c:pt idx="0">
                  <c:v>911.6</c:v>
                </c:pt>
                <c:pt idx="1">
                  <c:v>1709.1</c:v>
                </c:pt>
              </c:numCache>
              <c:extLst xmlns:c16r2="http://schemas.microsoft.com/office/drawing/2015/06/chart" xmlns:c15="http://schemas.microsoft.com/office/drawing/2012/chart"/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62-DF45-469C-BEC7-FBA7E84AFCC2}"/>
            </c:ext>
          </c:extLst>
        </c:ser>
        <c:ser>
          <c:idx val="60"/>
          <c:order val="55"/>
          <c:tx>
            <c:strRef>
              <c:f>House!$A$68</c:f>
              <c:strCache>
                <c:ptCount val="1"/>
                <c:pt idx="0">
                  <c:v>Insulation Drive View</c:v>
                </c:pt>
              </c:strCache>
              <c:extLst xmlns:c16r2="http://schemas.microsoft.com/office/drawing/2015/06/chart" xmlns:c15="http://schemas.microsoft.com/office/drawing/2012/chart"/>
            </c:strRef>
          </c:tx>
          <c:spPr>
            <a:ln w="6350">
              <a:solidFill>
                <a:schemeClr val="tx1"/>
              </a:solidFill>
              <a:prstDash val="sysDash"/>
            </a:ln>
          </c:spPr>
          <c:marker>
            <c:symbol val="none"/>
          </c:marker>
          <c:xVal>
            <c:numRef>
              <c:f>House!$C$68:$Y$68</c:f>
              <c:numCache>
                <c:formatCode>0</c:formatCode>
                <c:ptCount val="23"/>
                <c:pt idx="0">
                  <c:v>1073.5999999999999</c:v>
                </c:pt>
                <c:pt idx="1">
                  <c:v>982</c:v>
                </c:pt>
                <c:pt idx="2">
                  <c:v>876.2</c:v>
                </c:pt>
                <c:pt idx="3">
                  <c:v>706.8</c:v>
                </c:pt>
                <c:pt idx="4">
                  <c:v>482.5</c:v>
                </c:pt>
                <c:pt idx="5">
                  <c:v>216.3</c:v>
                </c:pt>
                <c:pt idx="6">
                  <c:v>-75.7</c:v>
                </c:pt>
                <c:pt idx="7">
                  <c:v>-374.6</c:v>
                </c:pt>
                <c:pt idx="8">
                  <c:v>-660.6</c:v>
                </c:pt>
                <c:pt idx="9">
                  <c:v>-913.7</c:v>
                </c:pt>
                <c:pt idx="10">
                  <c:v>-1115.5</c:v>
                </c:pt>
                <c:pt idx="11">
                  <c:v>-1250.2</c:v>
                </c:pt>
                <c:pt idx="12">
                  <c:v>-1305.9000000000001</c:v>
                </c:pt>
                <c:pt idx="13">
                  <c:v>-1275.5</c:v>
                </c:pt>
                <c:pt idx="14">
                  <c:v>-1157.5</c:v>
                </c:pt>
                <c:pt idx="15">
                  <c:v>-956.2</c:v>
                </c:pt>
                <c:pt idx="16">
                  <c:v>-681.9</c:v>
                </c:pt>
                <c:pt idx="17">
                  <c:v>-350</c:v>
                </c:pt>
                <c:pt idx="18">
                  <c:v>19.3</c:v>
                </c:pt>
                <c:pt idx="19">
                  <c:v>402.7</c:v>
                </c:pt>
                <c:pt idx="20">
                  <c:v>774.8</c:v>
                </c:pt>
                <c:pt idx="21">
                  <c:v>1109.8</c:v>
                </c:pt>
                <c:pt idx="22">
                  <c:v>1871.1</c:v>
                </c:pt>
              </c:numCache>
              <c:extLst xmlns:c16r2="http://schemas.microsoft.com/office/drawing/2015/06/chart" xmlns:c15="http://schemas.microsoft.com/office/drawing/2012/chart"/>
            </c:numRef>
          </c:xVal>
          <c:yVal>
            <c:numRef>
              <c:f>House!$C$70:$Y$70</c:f>
              <c:numCache>
                <c:formatCode>0</c:formatCode>
                <c:ptCount val="23"/>
                <c:pt idx="0">
                  <c:v>820</c:v>
                </c:pt>
                <c:pt idx="1">
                  <c:v>911.6</c:v>
                </c:pt>
                <c:pt idx="2">
                  <c:v>661.1</c:v>
                </c:pt>
                <c:pt idx="3">
                  <c:v>441.4</c:v>
                </c:pt>
                <c:pt idx="4">
                  <c:v>268.60000000000002</c:v>
                </c:pt>
                <c:pt idx="5">
                  <c:v>156.29999999999995</c:v>
                </c:pt>
                <c:pt idx="6">
                  <c:v>114.70000000000005</c:v>
                </c:pt>
                <c:pt idx="7">
                  <c:v>149.5</c:v>
                </c:pt>
                <c:pt idx="8">
                  <c:v>261.5</c:v>
                </c:pt>
                <c:pt idx="9">
                  <c:v>446.29999999999995</c:v>
                </c:pt>
                <c:pt idx="10">
                  <c:v>694.5</c:v>
                </c:pt>
                <c:pt idx="11">
                  <c:v>991.8</c:v>
                </c:pt>
                <c:pt idx="12">
                  <c:v>1320.3</c:v>
                </c:pt>
                <c:pt idx="13">
                  <c:v>1659</c:v>
                </c:pt>
                <c:pt idx="14">
                  <c:v>1985.3</c:v>
                </c:pt>
                <c:pt idx="15">
                  <c:v>2276.6</c:v>
                </c:pt>
                <c:pt idx="16">
                  <c:v>2511.9</c:v>
                </c:pt>
                <c:pt idx="17">
                  <c:v>2672.8</c:v>
                </c:pt>
                <c:pt idx="18">
                  <c:v>2745.4</c:v>
                </c:pt>
                <c:pt idx="19">
                  <c:v>2721.1</c:v>
                </c:pt>
                <c:pt idx="20">
                  <c:v>2597.5</c:v>
                </c:pt>
                <c:pt idx="21">
                  <c:v>2378.8000000000002</c:v>
                </c:pt>
                <c:pt idx="22">
                  <c:v>1617.5</c:v>
                </c:pt>
              </c:numCache>
              <c:extLst xmlns:c16r2="http://schemas.microsoft.com/office/drawing/2015/06/chart" xmlns:c15="http://schemas.microsoft.com/office/drawing/2012/chart"/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63-DF45-469C-BEC7-FBA7E84AFCC2}"/>
            </c:ext>
          </c:extLst>
        </c:ser>
        <c:ser>
          <c:idx val="49"/>
          <c:order val="56"/>
          <c:tx>
            <c:v>BSBBL</c:v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('Frame Dimensions'!$L$112,'Frame Dimensions'!$L$111)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  <c:extLst xmlns:c16r2="http://schemas.microsoft.com/office/drawing/2015/06/chart" xmlns:c15="http://schemas.microsoft.com/office/drawing/2012/chart"/>
            </c:numRef>
          </c:xVal>
          <c:yVal>
            <c:numRef>
              <c:f>('Frame Dimensions'!$K$112,'Frame Dimensions'!$K$111)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  <c:extLst xmlns:c16r2="http://schemas.microsoft.com/office/drawing/2015/06/chart" xmlns:c15="http://schemas.microsoft.com/office/drawing/2012/chart"/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64-DF45-469C-BEC7-FBA7E84AFCC2}"/>
            </c:ext>
          </c:extLst>
        </c:ser>
        <c:ser>
          <c:idx val="58"/>
          <c:order val="57"/>
          <c:tx>
            <c:v>BSBBT</c:v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('Frame Dimensions'!$L$111,'Frame Dimensions'!$O$111)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  <c:extLst xmlns:c16r2="http://schemas.microsoft.com/office/drawing/2015/06/chart" xmlns:c15="http://schemas.microsoft.com/office/drawing/2012/chart"/>
            </c:numRef>
          </c:xVal>
          <c:yVal>
            <c:numRef>
              <c:f>('Frame Dimensions'!$K$111,'Frame Dimensions'!$N$111)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  <c:extLst xmlns:c16r2="http://schemas.microsoft.com/office/drawing/2015/06/chart" xmlns:c15="http://schemas.microsoft.com/office/drawing/2012/chart"/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65-DF45-469C-BEC7-FBA7E84AFCC2}"/>
            </c:ext>
          </c:extLst>
        </c:ser>
        <c:ser>
          <c:idx val="59"/>
          <c:order val="58"/>
          <c:tx>
            <c:v>BSBBR</c:v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('Frame Dimensions'!$O$112,'Frame Dimensions'!$O$111)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  <c:extLst xmlns:c16r2="http://schemas.microsoft.com/office/drawing/2015/06/chart" xmlns:c15="http://schemas.microsoft.com/office/drawing/2012/chart"/>
            </c:numRef>
          </c:xVal>
          <c:yVal>
            <c:numRef>
              <c:f>('Frame Dimensions'!$N$112,'Frame Dimensions'!$N$111)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  <c:extLst xmlns:c16r2="http://schemas.microsoft.com/office/drawing/2015/06/chart" xmlns:c15="http://schemas.microsoft.com/office/drawing/2012/chart"/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66-DF45-469C-BEC7-FBA7E84AFCC2}"/>
            </c:ext>
          </c:extLst>
        </c:ser>
        <c:ser>
          <c:idx val="47"/>
          <c:order val="59"/>
          <c:tx>
            <c:strRef>
              <c:f>'Frame Dimensions'!$B$120</c:f>
              <c:strCache>
                <c:ptCount val="1"/>
                <c:pt idx="0">
                  <c:v>SFBase_L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('Frame Dimensions'!$L$120,'Frame Dimensions'!$O$120)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('Frame Dimensions'!$K$120,'Frame Dimensions'!$N$120)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67-DF45-469C-BEC7-FBA7E84AFCC2}"/>
            </c:ext>
          </c:extLst>
        </c:ser>
        <c:ser>
          <c:idx val="48"/>
          <c:order val="60"/>
          <c:tx>
            <c:strRef>
              <c:f>'Frame Dimensions'!$B$121</c:f>
              <c:strCache>
                <c:ptCount val="1"/>
                <c:pt idx="0">
                  <c:v>sfbase_L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('Frame Dimensions'!$L$121,'Frame Dimensions'!$O$121)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('Frame Dimensions'!$K$121,'Frame Dimensions'!$N$121)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68-DF45-469C-BEC7-FBA7E84AFCC2}"/>
            </c:ext>
          </c:extLst>
        </c:ser>
        <c:ser>
          <c:idx val="61"/>
          <c:order val="61"/>
          <c:tx>
            <c:strRef>
              <c:f>'Frame Dimensions'!$B$124</c:f>
              <c:strCache>
                <c:ptCount val="1"/>
                <c:pt idx="0">
                  <c:v>SFBase_R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('Frame Dimensions'!$L$124,'Frame Dimensions'!$O$124)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('Frame Dimensions'!$K$124,'Frame Dimensions'!$N$124)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69-DF45-469C-BEC7-FBA7E84AFCC2}"/>
            </c:ext>
          </c:extLst>
        </c:ser>
        <c:ser>
          <c:idx val="62"/>
          <c:order val="62"/>
          <c:tx>
            <c:strRef>
              <c:f>'Frame Dimensions'!$B$125</c:f>
              <c:strCache>
                <c:ptCount val="1"/>
                <c:pt idx="0">
                  <c:v>sfbase_R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('Frame Dimensions'!$L$125,'Frame Dimensions'!$O$125)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('Frame Dimensions'!$K$125,'Frame Dimensions'!$N$125)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6A-DF45-469C-BEC7-FBA7E84AFCC2}"/>
            </c:ext>
          </c:extLst>
        </c:ser>
        <c:ser>
          <c:idx val="63"/>
          <c:order val="63"/>
          <c:tx>
            <c:strRef>
              <c:f>'Frame Dimensions'!$B$103</c:f>
              <c:strCache>
                <c:ptCount val="1"/>
                <c:pt idx="0">
                  <c:v>MSMM</c:v>
                </c:pt>
              </c:strCache>
            </c:strRef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('Frame Dimensions'!$L$103,'Frame Dimensions'!$O$103)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('Frame Dimensions'!$K$103,'Frame Dimensions'!$N$103)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6B-DF45-469C-BEC7-FBA7E84AFCC2}"/>
            </c:ext>
          </c:extLst>
        </c:ser>
        <c:ser>
          <c:idx val="64"/>
          <c:order val="64"/>
          <c:tx>
            <c:v>MSMML</c:v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('Frame Dimensions'!$L$106,'Frame Dimensions'!$L$105)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('Frame Dimensions'!$K$106,'Frame Dimensions'!$K$105)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6C-DF45-469C-BEC7-FBA7E84AFCC2}"/>
            </c:ext>
          </c:extLst>
        </c:ser>
        <c:ser>
          <c:idx val="65"/>
          <c:order val="65"/>
          <c:tx>
            <c:v>MSMMR</c:v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('Frame Dimensions'!$O$106,'Frame Dimensions'!$O$105)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('Frame Dimensions'!$N$106,'Frame Dimensions'!$N$105)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6D-DF45-469C-BEC7-FBA7E84AFCC2}"/>
            </c:ext>
          </c:extLst>
        </c:ser>
        <c:ser>
          <c:idx val="66"/>
          <c:order val="66"/>
          <c:tx>
            <c:strRef>
              <c:f>House!$B$75</c:f>
              <c:strCache>
                <c:ptCount val="1"/>
                <c:pt idx="0">
                  <c:v>#REF!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(House!$B$77,House!$B$79)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(House!$B$78,House!$B$80)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6E-DF45-469C-BEC7-FBA7E84AFCC2}"/>
            </c:ext>
          </c:extLst>
        </c:ser>
        <c:ser>
          <c:idx val="67"/>
          <c:order val="67"/>
          <c:tx>
            <c:strRef>
              <c:f>House!$C$75</c:f>
              <c:strCache>
                <c:ptCount val="1"/>
                <c:pt idx="0">
                  <c:v>#REF!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(House!$C$77,House!$C$79)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(House!$C$78,House!$C$80)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6F-DF45-469C-BEC7-FBA7E84AFCC2}"/>
            </c:ext>
          </c:extLst>
        </c:ser>
        <c:ser>
          <c:idx val="68"/>
          <c:order val="68"/>
          <c:tx>
            <c:strRef>
              <c:f>House!$D$75</c:f>
              <c:strCache>
                <c:ptCount val="1"/>
                <c:pt idx="0">
                  <c:v>#REF!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(House!$D$77,House!$D$79)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(House!$D$78,House!$D$80)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70-DF45-469C-BEC7-FBA7E84AFCC2}"/>
            </c:ext>
          </c:extLst>
        </c:ser>
        <c:ser>
          <c:idx val="69"/>
          <c:order val="69"/>
          <c:tx>
            <c:strRef>
              <c:f>House!$E$75</c:f>
              <c:strCache>
                <c:ptCount val="1"/>
                <c:pt idx="0">
                  <c:v>#REF!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(House!$E$77,House!$E$79)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(House!$E$78,House!$E$80)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71-DF45-469C-BEC7-FBA7E84AFCC2}"/>
            </c:ext>
          </c:extLst>
        </c:ser>
        <c:ser>
          <c:idx val="70"/>
          <c:order val="70"/>
          <c:tx>
            <c:strRef>
              <c:f>House!$F$75</c:f>
              <c:strCache>
                <c:ptCount val="1"/>
                <c:pt idx="0">
                  <c:v>#REF!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(House!$F$77,House!$F$79)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(House!$F$78,House!$F$80)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72-DF45-469C-BEC7-FBA7E84AFCC2}"/>
            </c:ext>
          </c:extLst>
        </c:ser>
        <c:ser>
          <c:idx val="71"/>
          <c:order val="71"/>
          <c:tx>
            <c:strRef>
              <c:f>House!$G$75</c:f>
              <c:strCache>
                <c:ptCount val="1"/>
                <c:pt idx="0">
                  <c:v>#REF!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(House!$G$77,House!$G$79)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(House!$G$78,House!$G$80)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73-DF45-469C-BEC7-FBA7E84AFCC2}"/>
            </c:ext>
          </c:extLst>
        </c:ser>
        <c:ser>
          <c:idx val="72"/>
          <c:order val="72"/>
          <c:tx>
            <c:strRef>
              <c:f>House!$H$75</c:f>
              <c:strCache>
                <c:ptCount val="1"/>
                <c:pt idx="0">
                  <c:v>#REF!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(House!$H$77,House!$H$79)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(House!$H$78,House!$H$80)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74-DF45-469C-BEC7-FBA7E84AFCC2}"/>
            </c:ext>
          </c:extLst>
        </c:ser>
        <c:ser>
          <c:idx val="73"/>
          <c:order val="73"/>
          <c:tx>
            <c:strRef>
              <c:f>House!$I$75</c:f>
              <c:strCache>
                <c:ptCount val="1"/>
                <c:pt idx="0">
                  <c:v>#REF!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(House!$I$77,House!$I$79)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(House!$I$78,House!$I$80)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75-DF45-469C-BEC7-FBA7E84AFCC2}"/>
            </c:ext>
          </c:extLst>
        </c:ser>
        <c:ser>
          <c:idx val="74"/>
          <c:order val="74"/>
          <c:tx>
            <c:strRef>
              <c:f>House!$J$75</c:f>
              <c:strCache>
                <c:ptCount val="1"/>
                <c:pt idx="0">
                  <c:v>#REF!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(House!$J$77,House!$J$79)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(House!$J$78,House!$J$80)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76-DF45-469C-BEC7-FBA7E84AFCC2}"/>
            </c:ext>
          </c:extLst>
        </c:ser>
        <c:ser>
          <c:idx val="75"/>
          <c:order val="75"/>
          <c:tx>
            <c:strRef>
              <c:f>House!$K$75</c:f>
              <c:strCache>
                <c:ptCount val="1"/>
                <c:pt idx="0">
                  <c:v>#REF!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(House!$K$77,House!$K$79)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(House!$K$78,House!$K$80)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77-DF45-469C-BEC7-FBA7E84AFCC2}"/>
            </c:ext>
          </c:extLst>
        </c:ser>
        <c:ser>
          <c:idx val="17"/>
          <c:order val="76"/>
          <c:tx>
            <c:strRef>
              <c:f>House!$A$63</c:f>
              <c:strCache>
                <c:ptCount val="1"/>
                <c:pt idx="0">
                  <c:v>BPHole</c:v>
                </c:pt>
              </c:strCache>
            </c:strRef>
          </c:tx>
          <c:spPr>
            <a:ln w="6350">
              <a:solidFill>
                <a:srgbClr val="FF0000"/>
              </a:solidFill>
              <a:prstDash val="dash"/>
            </a:ln>
          </c:spPr>
          <c:marker>
            <c:symbol val="none"/>
          </c:marker>
          <c:dLbls>
            <c:dLbl>
              <c:idx val="33"/>
              <c:layout>
                <c:manualLayout>
                  <c:x val="9.3699872644510365E-2"/>
                  <c:y val="7.458142060483297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 sz="600"/>
                  </a:pPr>
                  <a:endParaRPr lang="zh-CN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78-DF45-469C-BEC7-FBA7E84AFCC2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6350">
                      <a:prstDash val="dash"/>
                    </a:ln>
                  </c:spPr>
                </c15:leaderLines>
              </c:ext>
            </c:extLst>
          </c:dLbls>
          <c:xVal>
            <c:numRef>
              <c:f>House!$B$63:$AJ$63</c:f>
              <c:numCache>
                <c:formatCode>0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xVal>
          <c:yVal>
            <c:numRef>
              <c:f>House!$B$64:$AJ$64</c:f>
              <c:numCache>
                <c:formatCode>0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79-DF45-469C-BEC7-FBA7E84AFCC2}"/>
            </c:ext>
          </c:extLst>
        </c:ser>
        <c:ser>
          <c:idx val="16"/>
          <c:order val="77"/>
          <c:tx>
            <c:strRef>
              <c:f>'House reinf, Drive Side'!$A$92</c:f>
              <c:strCache>
                <c:ptCount val="1"/>
                <c:pt idx="0">
                  <c:v>#REF!</c:v>
                </c:pt>
              </c:strCache>
            </c:strRef>
          </c:tx>
          <c:spPr>
            <a:ln w="1270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2"/>
              <c:layout>
                <c:manualLayout>
                  <c:x val="0.12773638607277779"/>
                  <c:y val="4.9694535127188209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 sz="600"/>
                  </a:pPr>
                  <a:endParaRPr lang="zh-CN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7A-DF45-469C-BEC7-FBA7E84AFCC2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6350">
                      <a:prstDash val="dash"/>
                    </a:ln>
                  </c:spPr>
                </c15:leaderLines>
              </c:ext>
            </c:extLst>
          </c:dLbls>
          <c:xVal>
            <c:numRef>
              <c:f>'House reinf, Drive Side'!$B$92:$AJ$92</c:f>
              <c:numCache>
                <c:formatCode>0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xVal>
          <c:yVal>
            <c:numRef>
              <c:f>'House reinf, Drive Side'!$B$93:$AJ$93</c:f>
              <c:numCache>
                <c:formatCode>0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7B-DF45-469C-BEC7-FBA7E84AFCC2}"/>
            </c:ext>
          </c:extLst>
        </c:ser>
        <c:ser>
          <c:idx val="78"/>
          <c:order val="78"/>
          <c:tx>
            <c:strRef>
              <c:f>'House reinf, Drive Side'!$A$94</c:f>
              <c:strCache>
                <c:ptCount val="1"/>
                <c:pt idx="0">
                  <c:v>#REF!</c:v>
                </c:pt>
              </c:strCache>
            </c:strRef>
          </c:tx>
          <c:spPr>
            <a:ln w="1270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'House reinf, Drive Side'!$B$94:$AJ$94</c:f>
              <c:numCache>
                <c:formatCode>0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xVal>
          <c:yVal>
            <c:numRef>
              <c:f>'House reinf, Drive Side'!$B$95:$AJ$95</c:f>
              <c:numCache>
                <c:formatCode>0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7C-DF45-469C-BEC7-FBA7E84AFCC2}"/>
            </c:ext>
          </c:extLst>
        </c:ser>
        <c:ser>
          <c:idx val="81"/>
          <c:order val="79"/>
          <c:tx>
            <c:strRef>
              <c:f>'House reinf, Drive Side'!$B$69</c:f>
              <c:strCache>
                <c:ptCount val="1"/>
                <c:pt idx="0">
                  <c:v>SPSeFVL_i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('House reinf, Drive Side'!$B$72,'House reinf, Drive Side'!$B$74)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('House reinf, Drive Side'!$B$73,'House reinf, Drive Side'!$B$75)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7D-DF45-469C-BEC7-FBA7E84AFCC2}"/>
            </c:ext>
          </c:extLst>
        </c:ser>
        <c:ser>
          <c:idx val="82"/>
          <c:order val="80"/>
          <c:tx>
            <c:strRef>
              <c:f>'House reinf, Drive Side'!$D$69</c:f>
              <c:strCache>
                <c:ptCount val="1"/>
                <c:pt idx="0">
                  <c:v>SPSeFVR_i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('House reinf, Drive Side'!$D$72,'House reinf, Drive Side'!$D$74)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('House reinf, Drive Side'!$D$73,'House reinf, Drive Side'!$D$75)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7E-DF45-469C-BEC7-FBA7E84AFCC2}"/>
            </c:ext>
          </c:extLst>
        </c:ser>
        <c:ser>
          <c:idx val="83"/>
          <c:order val="81"/>
          <c:tx>
            <c:strRef>
              <c:f>'House reinf, Drive Side'!$F$69</c:f>
              <c:strCache>
                <c:ptCount val="1"/>
                <c:pt idx="0">
                  <c:v>SPSeFHhi_i</c:v>
                </c:pt>
              </c:strCache>
            </c:strRef>
          </c:tx>
          <c:marker>
            <c:symbol val="none"/>
          </c:marker>
          <c:xVal>
            <c:numRef>
              <c:f>('House reinf, Drive Side'!$F$72,'House reinf, Drive Side'!$F$74)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('House reinf, Drive Side'!$F$73,'House reinf, Drive Side'!$F$75)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7F-DF45-469C-BEC7-FBA7E84AFCC2}"/>
            </c:ext>
          </c:extLst>
        </c:ser>
        <c:ser>
          <c:idx val="84"/>
          <c:order val="82"/>
          <c:tx>
            <c:strRef>
              <c:f>'House reinf, Drive Side'!$H$69</c:f>
              <c:strCache>
                <c:ptCount val="1"/>
                <c:pt idx="0">
                  <c:v>SPSeFHlo_i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('House reinf, Drive Side'!$H$72,'House reinf, Drive Side'!$H$74)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('House reinf, Drive Side'!$H$73,'House reinf, Drive Side'!$H$75)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80-DF45-469C-BEC7-FBA7E84AFCC2}"/>
            </c:ext>
          </c:extLst>
        </c:ser>
        <c:ser>
          <c:idx val="85"/>
          <c:order val="83"/>
          <c:tx>
            <c:strRef>
              <c:f>'House reinf, Drive Side'!$J$69</c:f>
              <c:strCache>
                <c:ptCount val="1"/>
                <c:pt idx="0">
                  <c:v>SPSeFOuL</c:v>
                </c:pt>
              </c:strCache>
            </c:strRef>
          </c:tx>
          <c:marker>
            <c:symbol val="none"/>
          </c:marker>
          <c:xVal>
            <c:numRef>
              <c:f>('House reinf, Drive Side'!$J$72,'House reinf, Drive Side'!$J$74)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('House reinf, Drive Side'!$J$73,'House reinf, Drive Side'!$J$75)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81-DF45-469C-BEC7-FBA7E84AFCC2}"/>
            </c:ext>
          </c:extLst>
        </c:ser>
        <c:ser>
          <c:idx val="86"/>
          <c:order val="84"/>
          <c:tx>
            <c:strRef>
              <c:f>'House reinf, Drive Side'!$K$69</c:f>
              <c:strCache>
                <c:ptCount val="1"/>
                <c:pt idx="0">
                  <c:v>SPSeFOuR</c:v>
                </c:pt>
              </c:strCache>
            </c:strRef>
          </c:tx>
          <c:marker>
            <c:symbol val="none"/>
          </c:marker>
          <c:xVal>
            <c:numRef>
              <c:f>('House reinf, Drive Side'!$K$72,'House reinf, Drive Side'!$K$74)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('House reinf, Drive Side'!$K$73,'House reinf, Drive Side'!$K$75)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82-DF45-469C-BEC7-FBA7E84AFCC2}"/>
            </c:ext>
          </c:extLst>
        </c:ser>
        <c:ser>
          <c:idx val="87"/>
          <c:order val="85"/>
          <c:tx>
            <c:strRef>
              <c:f>'House reinf, Drive Side'!$L$69</c:f>
              <c:strCache>
                <c:ptCount val="1"/>
                <c:pt idx="0">
                  <c:v>SPSeFOloR</c:v>
                </c:pt>
              </c:strCache>
            </c:strRef>
          </c:tx>
          <c:marker>
            <c:symbol val="none"/>
          </c:marker>
          <c:xVal>
            <c:numRef>
              <c:f>('House reinf, Drive Side'!$L$72,'House reinf, Drive Side'!$L$74)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('House reinf, Drive Side'!$L$73,'House reinf, Drive Side'!$L$75)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83-DF45-469C-BEC7-FBA7E84AFCC2}"/>
            </c:ext>
          </c:extLst>
        </c:ser>
        <c:ser>
          <c:idx val="88"/>
          <c:order val="86"/>
          <c:tx>
            <c:strRef>
              <c:f>'House reinf, Drive Side'!$M$69</c:f>
              <c:strCache>
                <c:ptCount val="1"/>
                <c:pt idx="0">
                  <c:v>SPSeFOloL</c:v>
                </c:pt>
              </c:strCache>
            </c:strRef>
          </c:tx>
          <c:marker>
            <c:symbol val="none"/>
          </c:marker>
          <c:xVal>
            <c:numRef>
              <c:f>('House reinf, Drive Side'!$M$72,'House reinf, Drive Side'!$M$74)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('House reinf, Drive Side'!$M$73,'House reinf, Drive Side'!$M$75)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84-DF45-469C-BEC7-FBA7E84AFC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7139504"/>
        <c:axId val="487139888"/>
        <c:extLst xmlns:c16r2="http://schemas.microsoft.com/office/drawing/2015/06/chart"/>
      </c:scatterChart>
      <c:valAx>
        <c:axId val="4871395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Z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87139888"/>
        <c:crosses val="autoZero"/>
        <c:crossBetween val="midCat"/>
        <c:majorUnit val="1000"/>
      </c:valAx>
      <c:valAx>
        <c:axId val="48713988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0" sourceLinked="1"/>
        <c:majorTickMark val="out"/>
        <c:minorTickMark val="none"/>
        <c:tickLblPos val="nextTo"/>
        <c:crossAx val="487139504"/>
        <c:crosses val="autoZero"/>
        <c:crossBetween val="midCat"/>
        <c:majorUnit val="1000"/>
      </c:valAx>
    </c:plotArea>
    <c:plotVisOnly val="1"/>
    <c:dispBlanksAs val="gap"/>
    <c:showDLblsOverMax val="0"/>
  </c:chart>
  <c:spPr>
    <a:ln w="12700"/>
  </c:spPr>
  <c:printSettings>
    <c:headerFooter/>
    <c:pageMargins b="0.75000000000000855" l="0.70000000000000062" r="0.70000000000000062" t="0.75000000000000855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Drawings!$P$5</c:f>
          <c:strCache>
            <c:ptCount val="1"/>
            <c:pt idx="0">
              <c:v>XOE 273-90, RD135 Inlet View</c:v>
            </c:pt>
          </c:strCache>
        </c:strRef>
      </c:tx>
      <c:overlay val="1"/>
      <c:txPr>
        <a:bodyPr/>
        <a:lstStyle/>
        <a:p>
          <a:pPr>
            <a:defRPr sz="1400"/>
          </a:pPr>
          <a:endParaRPr lang="zh-CN"/>
        </a:p>
      </c:txPr>
    </c:title>
    <c:autoTitleDeleted val="0"/>
    <c:plotArea>
      <c:layout>
        <c:manualLayout>
          <c:layoutTarget val="inner"/>
          <c:xMode val="edge"/>
          <c:yMode val="edge"/>
          <c:x val="4.8975380531837719E-2"/>
          <c:y val="0.13180791808568723"/>
          <c:w val="0.8471926509186356"/>
          <c:h val="0.74119241354596732"/>
        </c:manualLayout>
      </c:layout>
      <c:scatterChart>
        <c:scatterStyle val="smoothMarker"/>
        <c:varyColors val="0"/>
        <c:ser>
          <c:idx val="8"/>
          <c:order val="0"/>
          <c:tx>
            <c:strRef>
              <c:f>'Frame Dimensions'!$Z$23</c:f>
              <c:strCache>
                <c:ptCount val="1"/>
                <c:pt idx="0">
                  <c:v>caly</c:v>
                </c:pt>
              </c:strCache>
            </c:strRef>
          </c:tx>
          <c:spPr>
            <a:ln w="12700"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('Frame Dimensions'!$Z$25,'Frame Dimensions'!$Z$25)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('Frame Dimensions'!$Z$24,'Frame Dimensions'!$Z$25)</c:f>
              <c:numCache>
                <c:formatCode>General</c:formatCode>
                <c:ptCount val="2"/>
                <c:pt idx="0" formatCode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6997-4F52-B5CB-33BF249558AD}"/>
            </c:ext>
          </c:extLst>
        </c:ser>
        <c:ser>
          <c:idx val="7"/>
          <c:order val="1"/>
          <c:tx>
            <c:strRef>
              <c:f>'Frame Dimensions'!$AA$23</c:f>
              <c:strCache>
                <c:ptCount val="1"/>
                <c:pt idx="0">
                  <c:v>calz</c:v>
                </c:pt>
              </c:strCache>
            </c:strRef>
          </c:tx>
          <c:spPr>
            <a:ln w="12700"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('Frame Dimensions'!$AA$24,'Frame Dimensions'!$AA$25)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('Frame Dimensions'!$Z$25,'Frame Dimensions'!$Z$25)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6997-4F52-B5CB-33BF249558AD}"/>
            </c:ext>
          </c:extLst>
        </c:ser>
        <c:ser>
          <c:idx val="4"/>
          <c:order val="2"/>
          <c:tx>
            <c:strRef>
              <c:f>House!$A$57</c:f>
              <c:strCache>
                <c:ptCount val="1"/>
                <c:pt idx="0">
                  <c:v>House Inlet View</c:v>
                </c:pt>
              </c:strCache>
            </c:strRef>
          </c:tx>
          <c:spPr>
            <a:ln w="1270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House!$C$57:$Y$57</c:f>
              <c:numCache>
                <c:formatCode>0</c:formatCode>
                <c:ptCount val="23"/>
                <c:pt idx="0">
                  <c:v>-1073.5999999999999</c:v>
                </c:pt>
                <c:pt idx="1">
                  <c:v>-982</c:v>
                </c:pt>
                <c:pt idx="2">
                  <c:v>-876.2</c:v>
                </c:pt>
                <c:pt idx="3">
                  <c:v>-706.8</c:v>
                </c:pt>
                <c:pt idx="4">
                  <c:v>-482.5</c:v>
                </c:pt>
                <c:pt idx="5">
                  <c:v>-216.3</c:v>
                </c:pt>
                <c:pt idx="6">
                  <c:v>75.7</c:v>
                </c:pt>
                <c:pt idx="7">
                  <c:v>374.6</c:v>
                </c:pt>
                <c:pt idx="8">
                  <c:v>660.6</c:v>
                </c:pt>
                <c:pt idx="9">
                  <c:v>913.7</c:v>
                </c:pt>
                <c:pt idx="10">
                  <c:v>1115.5</c:v>
                </c:pt>
                <c:pt idx="11">
                  <c:v>1250.2</c:v>
                </c:pt>
                <c:pt idx="12">
                  <c:v>1305.9000000000001</c:v>
                </c:pt>
                <c:pt idx="13">
                  <c:v>1275.5</c:v>
                </c:pt>
                <c:pt idx="14">
                  <c:v>1157.5</c:v>
                </c:pt>
                <c:pt idx="15">
                  <c:v>956.2</c:v>
                </c:pt>
                <c:pt idx="16">
                  <c:v>681.9</c:v>
                </c:pt>
                <c:pt idx="17">
                  <c:v>350</c:v>
                </c:pt>
                <c:pt idx="18">
                  <c:v>-19.3</c:v>
                </c:pt>
                <c:pt idx="19">
                  <c:v>-402.7</c:v>
                </c:pt>
                <c:pt idx="20">
                  <c:v>-774.8</c:v>
                </c:pt>
                <c:pt idx="21">
                  <c:v>-1109.8</c:v>
                </c:pt>
                <c:pt idx="22">
                  <c:v>-1871.1</c:v>
                </c:pt>
              </c:numCache>
            </c:numRef>
          </c:xVal>
          <c:yVal>
            <c:numRef>
              <c:f>House!$C$58:$Y$58</c:f>
              <c:numCache>
                <c:formatCode>0</c:formatCode>
                <c:ptCount val="23"/>
                <c:pt idx="0">
                  <c:v>820</c:v>
                </c:pt>
                <c:pt idx="1">
                  <c:v>911.6</c:v>
                </c:pt>
                <c:pt idx="2">
                  <c:v>661.1</c:v>
                </c:pt>
                <c:pt idx="3">
                  <c:v>441.4</c:v>
                </c:pt>
                <c:pt idx="4">
                  <c:v>268.60000000000002</c:v>
                </c:pt>
                <c:pt idx="5">
                  <c:v>156.29999999999995</c:v>
                </c:pt>
                <c:pt idx="6">
                  <c:v>114.70000000000005</c:v>
                </c:pt>
                <c:pt idx="7">
                  <c:v>149.5</c:v>
                </c:pt>
                <c:pt idx="8">
                  <c:v>261.5</c:v>
                </c:pt>
                <c:pt idx="9">
                  <c:v>446.29999999999995</c:v>
                </c:pt>
                <c:pt idx="10">
                  <c:v>694.5</c:v>
                </c:pt>
                <c:pt idx="11">
                  <c:v>991.8</c:v>
                </c:pt>
                <c:pt idx="12">
                  <c:v>1320.3</c:v>
                </c:pt>
                <c:pt idx="13">
                  <c:v>1659</c:v>
                </c:pt>
                <c:pt idx="14">
                  <c:v>1985.3</c:v>
                </c:pt>
                <c:pt idx="15">
                  <c:v>2276.6</c:v>
                </c:pt>
                <c:pt idx="16">
                  <c:v>2511.9</c:v>
                </c:pt>
                <c:pt idx="17">
                  <c:v>2672.8</c:v>
                </c:pt>
                <c:pt idx="18">
                  <c:v>2745.4</c:v>
                </c:pt>
                <c:pt idx="19">
                  <c:v>2721.1</c:v>
                </c:pt>
                <c:pt idx="20">
                  <c:v>2597.5</c:v>
                </c:pt>
                <c:pt idx="21">
                  <c:v>2378.8000000000002</c:v>
                </c:pt>
                <c:pt idx="22">
                  <c:v>1617.5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6997-4F52-B5CB-33BF249558AD}"/>
            </c:ext>
          </c:extLst>
        </c:ser>
        <c:ser>
          <c:idx val="6"/>
          <c:order val="3"/>
          <c:tx>
            <c:strRef>
              <c:f>'Select Drive &amp; Motor'!$B$28</c:f>
              <c:strCache>
                <c:ptCount val="1"/>
                <c:pt idx="0">
                  <c:v>Center Height (RD/135)</c:v>
                </c:pt>
              </c:strCache>
            </c:strRef>
          </c:tx>
          <c:spPr>
            <a:ln w="31750">
              <a:solidFill>
                <a:schemeClr val="tx1"/>
              </a:solidFill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0</c:v>
              </c:pt>
            </c:numLit>
          </c:xVal>
          <c:yVal>
            <c:numRef>
              <c:f>(House!$AH$11,House!$AI$11)</c:f>
              <c:numCache>
                <c:formatCode>_-\ ###0_-;\-\ ###0_-;_-\ "-"??_-;_-@_-</c:formatCode>
                <c:ptCount val="2"/>
                <c:pt idx="0">
                  <c:v>1270</c:v>
                </c:pt>
                <c:pt idx="1">
                  <c:v>1268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6997-4F52-B5CB-33BF249558AD}"/>
            </c:ext>
          </c:extLst>
        </c:ser>
        <c:ser>
          <c:idx val="14"/>
          <c:order val="4"/>
          <c:tx>
            <c:strRef>
              <c:f>House!$Y$54</c:f>
              <c:strCache>
                <c:ptCount val="1"/>
                <c:pt idx="0">
                  <c:v>HfunnelR</c:v>
                </c:pt>
              </c:strCache>
            </c:strRef>
          </c:tx>
          <c:spPr>
            <a:ln w="1270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(House!$C$57,House!$Y$57)</c:f>
              <c:numCache>
                <c:formatCode>0</c:formatCode>
                <c:ptCount val="2"/>
                <c:pt idx="0">
                  <c:v>-1073.5999999999999</c:v>
                </c:pt>
                <c:pt idx="1">
                  <c:v>-1871.1</c:v>
                </c:pt>
              </c:numCache>
            </c:numRef>
          </c:xVal>
          <c:yVal>
            <c:numRef>
              <c:f>(House!$C$58,House!$Y$58)</c:f>
              <c:numCache>
                <c:formatCode>0</c:formatCode>
                <c:ptCount val="2"/>
                <c:pt idx="0">
                  <c:v>820</c:v>
                </c:pt>
                <c:pt idx="1">
                  <c:v>1617.5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4-6997-4F52-B5CB-33BF249558AD}"/>
            </c:ext>
          </c:extLst>
        </c:ser>
        <c:ser>
          <c:idx val="15"/>
          <c:order val="5"/>
          <c:tx>
            <c:strRef>
              <c:f>'House reinf, Inlet Side'!$B$79</c:f>
              <c:strCache>
                <c:ptCount val="1"/>
                <c:pt idx="0">
                  <c:v>#REF!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dLbls>
            <c:dLbl>
              <c:idx val="1"/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5-6997-4F52-B5CB-33BF249558AD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('House reinf, Inlet Side'!$B$83,'House reinf, Inlet Side'!$B$85)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('House reinf, Inlet Side'!$B$84,'House reinf, Inlet Side'!$B$86)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6-6997-4F52-B5CB-33BF249558AD}"/>
            </c:ext>
          </c:extLst>
        </c:ser>
        <c:ser>
          <c:idx val="18"/>
          <c:order val="6"/>
          <c:tx>
            <c:strRef>
              <c:f>'House reinf, Inlet Side'!$C$79</c:f>
              <c:strCache>
                <c:ptCount val="1"/>
                <c:pt idx="0">
                  <c:v>#REF!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dLbls>
            <c:dLbl>
              <c:idx val="1"/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7-6997-4F52-B5CB-33BF249558AD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('House reinf, Inlet Side'!$C$83,'House reinf, Inlet Side'!$C$85)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('House reinf, Inlet Side'!$C$84,'House reinf, Inlet Side'!$C$86)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8-6997-4F52-B5CB-33BF249558AD}"/>
            </c:ext>
          </c:extLst>
        </c:ser>
        <c:ser>
          <c:idx val="19"/>
          <c:order val="7"/>
          <c:tx>
            <c:strRef>
              <c:f>'House reinf, Inlet Side'!$D$79</c:f>
              <c:strCache>
                <c:ptCount val="1"/>
                <c:pt idx="0">
                  <c:v>#REF!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dLbls>
            <c:dLbl>
              <c:idx val="1"/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9-6997-4F52-B5CB-33BF249558AD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('House reinf, Inlet Side'!$D$83,'House reinf, Inlet Side'!$D$85)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('House reinf, Inlet Side'!$D$84,'House reinf, Inlet Side'!$D$86)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A-6997-4F52-B5CB-33BF249558AD}"/>
            </c:ext>
          </c:extLst>
        </c:ser>
        <c:ser>
          <c:idx val="20"/>
          <c:order val="8"/>
          <c:tx>
            <c:strRef>
              <c:f>'House reinf, Inlet Side'!$E$79</c:f>
              <c:strCache>
                <c:ptCount val="1"/>
                <c:pt idx="0">
                  <c:v>#REF!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dLbls>
            <c:dLbl>
              <c:idx val="1"/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B-6997-4F52-B5CB-33BF249558AD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('House reinf, Inlet Side'!$E$83,'House reinf, Inlet Side'!$E$85)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('House reinf, Inlet Side'!$E$84,'House reinf, Inlet Side'!$E$86)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C-6997-4F52-B5CB-33BF249558AD}"/>
            </c:ext>
          </c:extLst>
        </c:ser>
        <c:ser>
          <c:idx val="21"/>
          <c:order val="9"/>
          <c:tx>
            <c:strRef>
              <c:f>'House reinf, Inlet Side'!$F$79</c:f>
              <c:strCache>
                <c:ptCount val="1"/>
                <c:pt idx="0">
                  <c:v>#REF!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dLbls>
            <c:dLbl>
              <c:idx val="1"/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D-6997-4F52-B5CB-33BF249558AD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('House reinf, Inlet Side'!$F$83,'House reinf, Inlet Side'!$F$85)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('House reinf, Inlet Side'!$F$84,'House reinf, Inlet Side'!$F$86)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E-6997-4F52-B5CB-33BF249558AD}"/>
            </c:ext>
          </c:extLst>
        </c:ser>
        <c:ser>
          <c:idx val="22"/>
          <c:order val="10"/>
          <c:tx>
            <c:strRef>
              <c:f>'House reinf, Inlet Side'!$G$79</c:f>
              <c:strCache>
                <c:ptCount val="1"/>
                <c:pt idx="0">
                  <c:v>#REF!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dLbls>
            <c:dLbl>
              <c:idx val="1"/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F-6997-4F52-B5CB-33BF249558AD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('House reinf, Inlet Side'!$G$83,'House reinf, Inlet Side'!$G$85)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('House reinf, Inlet Side'!$G$84,'House reinf, Inlet Side'!$G$86)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10-6997-4F52-B5CB-33BF249558AD}"/>
            </c:ext>
          </c:extLst>
        </c:ser>
        <c:ser>
          <c:idx val="23"/>
          <c:order val="11"/>
          <c:tx>
            <c:strRef>
              <c:f>'House reinf, Inlet Side'!$H$79</c:f>
              <c:strCache>
                <c:ptCount val="1"/>
                <c:pt idx="0">
                  <c:v>#REF!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dLbls>
            <c:dLbl>
              <c:idx val="1"/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11-6997-4F52-B5CB-33BF249558AD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('House reinf, Inlet Side'!$H$83,'House reinf, Inlet Side'!$H$85)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('House reinf, Inlet Side'!$H$84,'House reinf, Inlet Side'!$H$86)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12-6997-4F52-B5CB-33BF249558AD}"/>
            </c:ext>
          </c:extLst>
        </c:ser>
        <c:ser>
          <c:idx val="24"/>
          <c:order val="12"/>
          <c:tx>
            <c:strRef>
              <c:f>'House reinf, Inlet Side'!$I$79</c:f>
              <c:strCache>
                <c:ptCount val="1"/>
                <c:pt idx="0">
                  <c:v>#REF!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dLbls>
            <c:dLbl>
              <c:idx val="1"/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13-6997-4F52-B5CB-33BF249558AD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('House reinf, Inlet Side'!$I$83,'House reinf, Inlet Side'!$I$85)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('House reinf, Inlet Side'!$I$84,'House reinf, Inlet Side'!$I$86)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14-6997-4F52-B5CB-33BF249558AD}"/>
            </c:ext>
          </c:extLst>
        </c:ser>
        <c:ser>
          <c:idx val="25"/>
          <c:order val="13"/>
          <c:tx>
            <c:strRef>
              <c:f>'House reinf, Inlet Side'!$J$79</c:f>
              <c:strCache>
                <c:ptCount val="1"/>
                <c:pt idx="0">
                  <c:v>#REF!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dLbls>
            <c:dLbl>
              <c:idx val="1"/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15-6997-4F52-B5CB-33BF249558AD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('House reinf, Inlet Side'!$J$83,'House reinf, Inlet Side'!$J$85)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('House reinf, Inlet Side'!$J$84,'House reinf, Inlet Side'!$J$86)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16-6997-4F52-B5CB-33BF249558AD}"/>
            </c:ext>
          </c:extLst>
        </c:ser>
        <c:ser>
          <c:idx val="26"/>
          <c:order val="14"/>
          <c:tx>
            <c:strRef>
              <c:f>'House reinf, Inlet Side'!$K$79</c:f>
              <c:strCache>
                <c:ptCount val="1"/>
                <c:pt idx="0">
                  <c:v>#REF!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dLbls>
            <c:dLbl>
              <c:idx val="1"/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17-6997-4F52-B5CB-33BF249558AD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('House reinf, Inlet Side'!$K$83,'House reinf, Inlet Side'!$K$85)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('House reinf, Inlet Side'!$K$84,'House reinf, Inlet Side'!$K$86)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18-6997-4F52-B5CB-33BF249558AD}"/>
            </c:ext>
          </c:extLst>
        </c:ser>
        <c:ser>
          <c:idx val="27"/>
          <c:order val="15"/>
          <c:tx>
            <c:strRef>
              <c:f>'House reinf, Inlet Side'!$L$79</c:f>
              <c:strCache>
                <c:ptCount val="1"/>
                <c:pt idx="0">
                  <c:v>#REF!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dLbls>
            <c:dLbl>
              <c:idx val="1"/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19-6997-4F52-B5CB-33BF249558AD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('House reinf, Inlet Side'!$L$83,'House reinf, Inlet Side'!$L$85)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('House reinf, Inlet Side'!$L$84,'House reinf, Inlet Side'!$L$86)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1A-6997-4F52-B5CB-33BF249558AD}"/>
            </c:ext>
          </c:extLst>
        </c:ser>
        <c:ser>
          <c:idx val="28"/>
          <c:order val="16"/>
          <c:tx>
            <c:strRef>
              <c:f>'House reinf, Inlet Side'!$M$79</c:f>
              <c:strCache>
                <c:ptCount val="1"/>
                <c:pt idx="0">
                  <c:v>#REF!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dLbls>
            <c:dLbl>
              <c:idx val="1"/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1B-6997-4F52-B5CB-33BF249558AD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('House reinf, Inlet Side'!$M$83,'House reinf, Inlet Side'!$M$85)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('House reinf, Inlet Side'!$M$84,'House reinf, Inlet Side'!$M$86)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1C-6997-4F52-B5CB-33BF249558AD}"/>
            </c:ext>
          </c:extLst>
        </c:ser>
        <c:ser>
          <c:idx val="29"/>
          <c:order val="17"/>
          <c:tx>
            <c:strRef>
              <c:f>'House reinf, Inlet Side'!$N$79</c:f>
              <c:strCache>
                <c:ptCount val="1"/>
                <c:pt idx="0">
                  <c:v>#REF!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dLbls>
            <c:dLbl>
              <c:idx val="1"/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1D-6997-4F52-B5CB-33BF249558AD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('House reinf, Inlet Side'!$N$83,'House reinf, Inlet Side'!$N$85)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('House reinf, Inlet Side'!$N$84,'House reinf, Inlet Side'!$N$86)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1E-6997-4F52-B5CB-33BF249558AD}"/>
            </c:ext>
          </c:extLst>
        </c:ser>
        <c:ser>
          <c:idx val="30"/>
          <c:order val="18"/>
          <c:tx>
            <c:strRef>
              <c:f>'House reinf, Inlet Side'!$O$79</c:f>
              <c:strCache>
                <c:ptCount val="1"/>
                <c:pt idx="0">
                  <c:v>#REF!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dLbls>
            <c:dLbl>
              <c:idx val="1"/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1F-6997-4F52-B5CB-33BF249558AD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('House reinf, Inlet Side'!$O$83,'House reinf, Inlet Side'!$O$85)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('House reinf, Inlet Side'!$O$84,'House reinf, Inlet Side'!$O$86)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20-6997-4F52-B5CB-33BF249558AD}"/>
            </c:ext>
          </c:extLst>
        </c:ser>
        <c:ser>
          <c:idx val="31"/>
          <c:order val="19"/>
          <c:tx>
            <c:strRef>
              <c:f>'House reinf, Inlet Side'!$P$79</c:f>
              <c:strCache>
                <c:ptCount val="1"/>
                <c:pt idx="0">
                  <c:v>#REF!</c:v>
                </c:pt>
              </c:strCache>
            </c:strRef>
          </c:tx>
          <c:spPr>
            <a:ln w="12700">
              <a:solidFill>
                <a:srgbClr val="FF0000">
                  <a:alpha val="99000"/>
                </a:srgbClr>
              </a:solidFill>
            </a:ln>
          </c:spPr>
          <c:marker>
            <c:symbol val="none"/>
          </c:marker>
          <c:dLbls>
            <c:dLbl>
              <c:idx val="1"/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21-6997-4F52-B5CB-33BF249558AD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('House reinf, Inlet Side'!$P$83,'House reinf, Inlet Side'!$P$85)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('House reinf, Inlet Side'!$P$84,'House reinf, Inlet Side'!$P$86)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22-6997-4F52-B5CB-33BF249558AD}"/>
            </c:ext>
          </c:extLst>
        </c:ser>
        <c:ser>
          <c:idx val="32"/>
          <c:order val="20"/>
          <c:tx>
            <c:strRef>
              <c:f>'House reinf, Inlet Side'!$Q$79</c:f>
              <c:strCache>
                <c:ptCount val="1"/>
                <c:pt idx="0">
                  <c:v>#REF!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dLbls>
            <c:dLbl>
              <c:idx val="1"/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23-6997-4F52-B5CB-33BF249558AD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('House reinf, Inlet Side'!$Q$83,'House reinf, Inlet Side'!$Q$85)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('House reinf, Inlet Side'!$Q$84,'House reinf, Inlet Side'!$Q$86)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24-6997-4F52-B5CB-33BF249558AD}"/>
            </c:ext>
          </c:extLst>
        </c:ser>
        <c:ser>
          <c:idx val="33"/>
          <c:order val="21"/>
          <c:tx>
            <c:strRef>
              <c:f>'House reinf, Inlet Side'!$R$79</c:f>
              <c:strCache>
                <c:ptCount val="1"/>
                <c:pt idx="0">
                  <c:v>#REF!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dLbls>
            <c:dLbl>
              <c:idx val="1"/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25-6997-4F52-B5CB-33BF249558AD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('House reinf, Inlet Side'!$R$83,'House reinf, Inlet Side'!$R$85)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('House reinf, Inlet Side'!$R$84,'House reinf, Inlet Side'!$R$86)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26-6997-4F52-B5CB-33BF249558AD}"/>
            </c:ext>
          </c:extLst>
        </c:ser>
        <c:ser>
          <c:idx val="34"/>
          <c:order val="22"/>
          <c:tx>
            <c:strRef>
              <c:f>'House reinf, Inlet Side'!$S$79</c:f>
              <c:strCache>
                <c:ptCount val="1"/>
                <c:pt idx="0">
                  <c:v>#REF!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dLbls>
            <c:dLbl>
              <c:idx val="1"/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27-6997-4F52-B5CB-33BF249558AD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('House reinf, Inlet Side'!$S$83,'House reinf, Inlet Side'!$S$85)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('House reinf, Inlet Side'!$S$84,'House reinf, Inlet Side'!$S$86)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28-6997-4F52-B5CB-33BF249558AD}"/>
            </c:ext>
          </c:extLst>
        </c:ser>
        <c:ser>
          <c:idx val="35"/>
          <c:order val="23"/>
          <c:tx>
            <c:strRef>
              <c:f>'House reinf, Inlet Side'!$T$79</c:f>
              <c:strCache>
                <c:ptCount val="1"/>
                <c:pt idx="0">
                  <c:v>#REF!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dLbls>
            <c:dLbl>
              <c:idx val="1"/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29-6997-4F52-B5CB-33BF249558AD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('House reinf, Inlet Side'!$T$83,'House reinf, Inlet Side'!$T$85)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('House reinf, Inlet Side'!$T$84,'House reinf, Inlet Side'!$T$86)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2A-6997-4F52-B5CB-33BF249558AD}"/>
            </c:ext>
          </c:extLst>
        </c:ser>
        <c:ser>
          <c:idx val="36"/>
          <c:order val="24"/>
          <c:tx>
            <c:strRef>
              <c:f>'House reinf, Inlet Side'!$U$79</c:f>
              <c:strCache>
                <c:ptCount val="1"/>
                <c:pt idx="0">
                  <c:v>#REF!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dLbls>
            <c:dLbl>
              <c:idx val="1"/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2B-6997-4F52-B5CB-33BF249558AD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('House reinf, Inlet Side'!$U$83,'House reinf, Inlet Side'!$U$85)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('House reinf, Inlet Side'!$U$84,'House reinf, Inlet Side'!$U$86)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2C-6997-4F52-B5CB-33BF249558AD}"/>
            </c:ext>
          </c:extLst>
        </c:ser>
        <c:ser>
          <c:idx val="37"/>
          <c:order val="25"/>
          <c:tx>
            <c:strRef>
              <c:f>'House reinf, Inlet Side'!$V$79</c:f>
              <c:strCache>
                <c:ptCount val="1"/>
                <c:pt idx="0">
                  <c:v>#REF!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dLbls>
            <c:dLbl>
              <c:idx val="1"/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2D-6997-4F52-B5CB-33BF249558AD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('House reinf, Inlet Side'!$V$83,'House reinf, Inlet Side'!$V$85)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('House reinf, Inlet Side'!$V$84,'House reinf, Inlet Side'!$V$86)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2E-6997-4F52-B5CB-33BF249558AD}"/>
            </c:ext>
          </c:extLst>
        </c:ser>
        <c:ser>
          <c:idx val="38"/>
          <c:order val="26"/>
          <c:tx>
            <c:strRef>
              <c:f>'House reinf, Inlet Side'!$W$79</c:f>
              <c:strCache>
                <c:ptCount val="1"/>
                <c:pt idx="0">
                  <c:v>#REF!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dLbls>
            <c:dLbl>
              <c:idx val="1"/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2F-6997-4F52-B5CB-33BF249558AD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('House reinf, Inlet Side'!$W$83,'House reinf, Inlet Side'!$W$85)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('House reinf, Inlet Side'!$W$84,'House reinf, Inlet Side'!$W$86)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30-6997-4F52-B5CB-33BF249558AD}"/>
            </c:ext>
          </c:extLst>
        </c:ser>
        <c:ser>
          <c:idx val="39"/>
          <c:order val="27"/>
          <c:tx>
            <c:strRef>
              <c:f>'House reinf, Inlet Side'!$X$79</c:f>
              <c:strCache>
                <c:ptCount val="1"/>
                <c:pt idx="0">
                  <c:v>#REF!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dLbls>
            <c:dLbl>
              <c:idx val="1"/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31-6997-4F52-B5CB-33BF249558AD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('House reinf, Inlet Side'!$X$83,'House reinf, Inlet Side'!$X$85)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('House reinf, Inlet Side'!$X$84,'House reinf, Inlet Side'!$X$86)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32-6997-4F52-B5CB-33BF249558AD}"/>
            </c:ext>
          </c:extLst>
        </c:ser>
        <c:ser>
          <c:idx val="40"/>
          <c:order val="28"/>
          <c:tx>
            <c:strRef>
              <c:f>'House reinf, Inlet Side'!$Y$79</c:f>
              <c:strCache>
                <c:ptCount val="1"/>
                <c:pt idx="0">
                  <c:v>#REF!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dLbls>
            <c:dLbl>
              <c:idx val="1"/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33-6997-4F52-B5CB-33BF249558AD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('House reinf, Inlet Side'!$Y$83,'House reinf, Inlet Side'!$Y$85)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('House reinf, Inlet Side'!$Y$84,'House reinf, Inlet Side'!$Y$86)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34-6997-4F52-B5CB-33BF249558AD}"/>
            </c:ext>
          </c:extLst>
        </c:ser>
        <c:ser>
          <c:idx val="41"/>
          <c:order val="29"/>
          <c:tx>
            <c:strRef>
              <c:f>'House reinf, Inlet Side'!$Z$79</c:f>
              <c:strCache>
                <c:ptCount val="1"/>
                <c:pt idx="0">
                  <c:v>#REF!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dLbls>
            <c:dLbl>
              <c:idx val="1"/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35-6997-4F52-B5CB-33BF249558AD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('House reinf, Inlet Side'!$Z$83,'House reinf, Inlet Side'!$Z$85)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('House reinf, Inlet Side'!$Z$84,'House reinf, Inlet Side'!$Z$86)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36-6997-4F52-B5CB-33BF249558AD}"/>
            </c:ext>
          </c:extLst>
        </c:ser>
        <c:ser>
          <c:idx val="42"/>
          <c:order val="30"/>
          <c:tx>
            <c:strRef>
              <c:f>'House reinf, Inlet Side'!$AA$79</c:f>
              <c:strCache>
                <c:ptCount val="1"/>
                <c:pt idx="0">
                  <c:v>#REF!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dLbls>
            <c:dLbl>
              <c:idx val="1"/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37-6997-4F52-B5CB-33BF249558AD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('House reinf, Inlet Side'!$AA$83,'House reinf, Inlet Side'!$AA$85)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('House reinf, Inlet Side'!$AA$84,'House reinf, Inlet Side'!$AA$86)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38-6997-4F52-B5CB-33BF249558AD}"/>
            </c:ext>
          </c:extLst>
        </c:ser>
        <c:ser>
          <c:idx val="43"/>
          <c:order val="31"/>
          <c:tx>
            <c:strRef>
              <c:f>'House reinf, Inlet Side'!$AB$79</c:f>
              <c:strCache>
                <c:ptCount val="1"/>
                <c:pt idx="0">
                  <c:v>#REF!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dPt>
            <c:idx val="1"/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39-6997-4F52-B5CB-33BF249558AD}"/>
              </c:ext>
            </c:extLst>
          </c:dPt>
          <c:dLbls>
            <c:dLbl>
              <c:idx val="1"/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39-6997-4F52-B5CB-33BF249558AD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('House reinf, Inlet Side'!$AB$83,'House reinf, Inlet Side'!$AB$85)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('House reinf, Inlet Side'!$AB$84,'House reinf, Inlet Side'!$AB$86)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3A-6997-4F52-B5CB-33BF249558AD}"/>
            </c:ext>
          </c:extLst>
        </c:ser>
        <c:ser>
          <c:idx val="0"/>
          <c:order val="32"/>
          <c:tx>
            <c:strRef>
              <c:f>House!$A$61</c:f>
              <c:strCache>
                <c:ptCount val="1"/>
                <c:pt idx="0">
                  <c:v>FPHole</c:v>
                </c:pt>
              </c:strCache>
            </c:strRef>
          </c:tx>
          <c:spPr>
            <a:ln w="6350">
              <a:solidFill>
                <a:srgbClr val="FF0000"/>
              </a:solidFill>
              <a:prstDash val="lgDash"/>
            </a:ln>
          </c:spPr>
          <c:marker>
            <c:symbol val="none"/>
          </c:marker>
          <c:dLbls>
            <c:dLbl>
              <c:idx val="2"/>
              <c:layout>
                <c:manualLayout>
                  <c:x val="6.9222906917319721E-2"/>
                  <c:y val="-0.14863913266530257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 sz="600"/>
                  </a:pPr>
                  <a:endParaRPr lang="zh-CN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3B-6997-4F52-B5CB-33BF249558AD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6350">
                      <a:prstDash val="dash"/>
                    </a:ln>
                  </c:spPr>
                </c15:leaderLines>
              </c:ext>
            </c:extLst>
          </c:dLbls>
          <c:xVal>
            <c:numRef>
              <c:f>House!$B$61:$AJ$61</c:f>
              <c:numCache>
                <c:formatCode>0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xVal>
          <c:yVal>
            <c:numRef>
              <c:f>House!$B$62:$AJ$62</c:f>
              <c:numCache>
                <c:formatCode>0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3C-6997-4F52-B5CB-33BF249558AD}"/>
            </c:ext>
          </c:extLst>
        </c:ser>
        <c:ser>
          <c:idx val="2"/>
          <c:order val="33"/>
          <c:tx>
            <c:strRef>
              <c:f>'House reinf, Inlet Side'!$B$60</c:f>
              <c:strCache>
                <c:ptCount val="1"/>
                <c:pt idx="0">
                  <c:v>#REF!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('House reinf, Inlet Side'!$B$63,'House reinf, Inlet Side'!$B$65)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('House reinf, Inlet Side'!$B$64,'House reinf, Inlet Side'!$B$66)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3D-6997-4F52-B5CB-33BF249558AD}"/>
            </c:ext>
          </c:extLst>
        </c:ser>
        <c:ser>
          <c:idx val="3"/>
          <c:order val="34"/>
          <c:tx>
            <c:strRef>
              <c:f>'House reinf, Inlet Side'!$C$60</c:f>
              <c:strCache>
                <c:ptCount val="1"/>
                <c:pt idx="0">
                  <c:v>#REF!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('House reinf, Inlet Side'!$C$63,'House reinf, Inlet Side'!$C$65)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('House reinf, Inlet Side'!$C$64,'House reinf, Inlet Side'!$C$66)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3E-6997-4F52-B5CB-33BF249558AD}"/>
            </c:ext>
          </c:extLst>
        </c:ser>
        <c:ser>
          <c:idx val="5"/>
          <c:order val="35"/>
          <c:tx>
            <c:strRef>
              <c:f>'House reinf, Inlet Side'!$D$60</c:f>
              <c:strCache>
                <c:ptCount val="1"/>
                <c:pt idx="0">
                  <c:v>#REF!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('House reinf, Inlet Side'!$D$63,'House reinf, Inlet Side'!$D$65)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('House reinf, Inlet Side'!$D$64,'House reinf, Inlet Side'!$D$66)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3F-6997-4F52-B5CB-33BF249558AD}"/>
            </c:ext>
          </c:extLst>
        </c:ser>
        <c:ser>
          <c:idx val="9"/>
          <c:order val="36"/>
          <c:tx>
            <c:strRef>
              <c:f>'House reinf, Inlet Side'!$E$60</c:f>
              <c:strCache>
                <c:ptCount val="1"/>
                <c:pt idx="0">
                  <c:v>#REF!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('House reinf, Inlet Side'!$E$63,'House reinf, Inlet Side'!$E$65)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('House reinf, Inlet Side'!$E$64,'House reinf, Inlet Side'!$E$66)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40-6997-4F52-B5CB-33BF249558AD}"/>
            </c:ext>
          </c:extLst>
        </c:ser>
        <c:ser>
          <c:idx val="80"/>
          <c:order val="37"/>
          <c:tx>
            <c:strRef>
              <c:f>House!$Z$55</c:f>
              <c:strCache>
                <c:ptCount val="1"/>
                <c:pt idx="0">
                  <c:v>Rreinf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(House!$B$57,House!$Z$57)</c:f>
              <c:numCache>
                <c:formatCode>0</c:formatCode>
                <c:ptCount val="2"/>
                <c:pt idx="0">
                  <c:v>-982</c:v>
                </c:pt>
                <c:pt idx="1">
                  <c:v>-1779.5</c:v>
                </c:pt>
              </c:numCache>
            </c:numRef>
          </c:xVal>
          <c:yVal>
            <c:numRef>
              <c:f>(House!$B$58,House!$Z$58)</c:f>
              <c:numCache>
                <c:formatCode>0</c:formatCode>
                <c:ptCount val="2"/>
                <c:pt idx="0">
                  <c:v>911.6</c:v>
                </c:pt>
                <c:pt idx="1">
                  <c:v>1709.1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41-6997-4F52-B5CB-33BF249558AD}"/>
            </c:ext>
          </c:extLst>
        </c:ser>
        <c:ser>
          <c:idx val="83"/>
          <c:order val="38"/>
          <c:tx>
            <c:strRef>
              <c:f>House!$A$69</c:f>
              <c:strCache>
                <c:ptCount val="1"/>
                <c:pt idx="0">
                  <c:v>Insulation Inlet View</c:v>
                </c:pt>
              </c:strCache>
            </c:strRef>
          </c:tx>
          <c:spPr>
            <a:ln w="6350">
              <a:solidFill>
                <a:schemeClr val="tx1"/>
              </a:solidFill>
              <a:prstDash val="sysDash"/>
            </a:ln>
          </c:spPr>
          <c:marker>
            <c:symbol val="none"/>
          </c:marker>
          <c:xVal>
            <c:numRef>
              <c:f>House!$C$69:$Y$69</c:f>
              <c:numCache>
                <c:formatCode>0</c:formatCode>
                <c:ptCount val="23"/>
                <c:pt idx="0">
                  <c:v>-1073.5999999999999</c:v>
                </c:pt>
                <c:pt idx="1">
                  <c:v>-982</c:v>
                </c:pt>
                <c:pt idx="2">
                  <c:v>-876.2</c:v>
                </c:pt>
                <c:pt idx="3">
                  <c:v>-706.8</c:v>
                </c:pt>
                <c:pt idx="4">
                  <c:v>-482.5</c:v>
                </c:pt>
                <c:pt idx="5">
                  <c:v>-216.3</c:v>
                </c:pt>
                <c:pt idx="6">
                  <c:v>75.7</c:v>
                </c:pt>
                <c:pt idx="7">
                  <c:v>374.6</c:v>
                </c:pt>
                <c:pt idx="8">
                  <c:v>660.6</c:v>
                </c:pt>
                <c:pt idx="9">
                  <c:v>913.7</c:v>
                </c:pt>
                <c:pt idx="10">
                  <c:v>1115.5</c:v>
                </c:pt>
                <c:pt idx="11">
                  <c:v>1250.2</c:v>
                </c:pt>
                <c:pt idx="12">
                  <c:v>1305.9000000000001</c:v>
                </c:pt>
                <c:pt idx="13">
                  <c:v>1275.5</c:v>
                </c:pt>
                <c:pt idx="14">
                  <c:v>1157.5</c:v>
                </c:pt>
                <c:pt idx="15">
                  <c:v>956.2</c:v>
                </c:pt>
                <c:pt idx="16">
                  <c:v>681.9</c:v>
                </c:pt>
                <c:pt idx="17">
                  <c:v>350</c:v>
                </c:pt>
                <c:pt idx="18">
                  <c:v>-19.3</c:v>
                </c:pt>
                <c:pt idx="19">
                  <c:v>-402.7</c:v>
                </c:pt>
                <c:pt idx="20">
                  <c:v>-774.8</c:v>
                </c:pt>
                <c:pt idx="21">
                  <c:v>-1109.8</c:v>
                </c:pt>
                <c:pt idx="22">
                  <c:v>-1871.1</c:v>
                </c:pt>
              </c:numCache>
            </c:numRef>
          </c:xVal>
          <c:yVal>
            <c:numRef>
              <c:f>House!$C$70:$Y$70</c:f>
              <c:numCache>
                <c:formatCode>0</c:formatCode>
                <c:ptCount val="23"/>
                <c:pt idx="0">
                  <c:v>820</c:v>
                </c:pt>
                <c:pt idx="1">
                  <c:v>911.6</c:v>
                </c:pt>
                <c:pt idx="2">
                  <c:v>661.1</c:v>
                </c:pt>
                <c:pt idx="3">
                  <c:v>441.4</c:v>
                </c:pt>
                <c:pt idx="4">
                  <c:v>268.60000000000002</c:v>
                </c:pt>
                <c:pt idx="5">
                  <c:v>156.29999999999995</c:v>
                </c:pt>
                <c:pt idx="6">
                  <c:v>114.70000000000005</c:v>
                </c:pt>
                <c:pt idx="7">
                  <c:v>149.5</c:v>
                </c:pt>
                <c:pt idx="8">
                  <c:v>261.5</c:v>
                </c:pt>
                <c:pt idx="9">
                  <c:v>446.29999999999995</c:v>
                </c:pt>
                <c:pt idx="10">
                  <c:v>694.5</c:v>
                </c:pt>
                <c:pt idx="11">
                  <c:v>991.8</c:v>
                </c:pt>
                <c:pt idx="12">
                  <c:v>1320.3</c:v>
                </c:pt>
                <c:pt idx="13">
                  <c:v>1659</c:v>
                </c:pt>
                <c:pt idx="14">
                  <c:v>1985.3</c:v>
                </c:pt>
                <c:pt idx="15">
                  <c:v>2276.6</c:v>
                </c:pt>
                <c:pt idx="16">
                  <c:v>2511.9</c:v>
                </c:pt>
                <c:pt idx="17">
                  <c:v>2672.8</c:v>
                </c:pt>
                <c:pt idx="18">
                  <c:v>2745.4</c:v>
                </c:pt>
                <c:pt idx="19">
                  <c:v>2721.1</c:v>
                </c:pt>
                <c:pt idx="20">
                  <c:v>2597.5</c:v>
                </c:pt>
                <c:pt idx="21">
                  <c:v>2378.8000000000002</c:v>
                </c:pt>
                <c:pt idx="22">
                  <c:v>1617.5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42-6997-4F52-B5CB-33BF249558AD}"/>
            </c:ext>
          </c:extLst>
        </c:ser>
        <c:ser>
          <c:idx val="62"/>
          <c:order val="39"/>
          <c:tx>
            <c:strRef>
              <c:f>'Frame Dimensions'!$B$101</c:f>
              <c:strCache>
                <c:ptCount val="1"/>
                <c:pt idx="0">
                  <c:v>#REF!</c:v>
                </c:pt>
              </c:strCache>
            </c:strRef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Pt>
            <c:idx val="1"/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43-6997-4F52-B5CB-33BF249558AD}"/>
              </c:ext>
            </c:extLst>
          </c:dPt>
          <c:dLbls>
            <c:dLbl>
              <c:idx val="1"/>
              <c:layout>
                <c:manualLayout>
                  <c:x val="-0.1546302981472181"/>
                  <c:y val="9.9555176496825791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 sz="600"/>
                  </a:pPr>
                  <a:endParaRPr lang="zh-CN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43-6997-4F52-B5CB-33BF249558AD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6350">
                      <a:prstDash val="dash"/>
                    </a:ln>
                  </c:spPr>
                </c15:leaderLines>
              </c:ext>
            </c:extLst>
          </c:dLbls>
          <c:xVal>
            <c:numRef>
              <c:f>('Frame Dimensions'!$L$101,'Frame Dimensions'!$O$101)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('Frame Dimensions'!$K$101,'Frame Dimensions'!$N$101)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44-6997-4F52-B5CB-33BF249558AD}"/>
            </c:ext>
          </c:extLst>
        </c:ser>
        <c:ser>
          <c:idx val="81"/>
          <c:order val="40"/>
          <c:tx>
            <c:strRef>
              <c:f>'Frame Dimensions'!$B$100</c:f>
              <c:strCache>
                <c:ptCount val="1"/>
                <c:pt idx="0">
                  <c:v>#REF!</c:v>
                </c:pt>
              </c:strCache>
            </c:strRef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Pt>
            <c:idx val="1"/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45-6997-4F52-B5CB-33BF249558AD}"/>
              </c:ext>
            </c:extLst>
          </c:dPt>
          <c:dLbls>
            <c:dLbl>
              <c:idx val="1"/>
              <c:layout>
                <c:manualLayout>
                  <c:x val="7.4760739470705301E-2"/>
                  <c:y val="4.9546377555099025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 sz="600"/>
                  </a:pPr>
                  <a:endParaRPr lang="zh-CN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45-6997-4F52-B5CB-33BF249558AD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6350">
                      <a:solidFill>
                        <a:schemeClr val="tx1"/>
                      </a:solidFill>
                      <a:prstDash val="dash"/>
                    </a:ln>
                  </c:spPr>
                </c15:leaderLines>
              </c:ext>
            </c:extLst>
          </c:dLbls>
          <c:xVal>
            <c:numRef>
              <c:f>('Frame Dimensions'!$L$100,'Frame Dimensions'!$O$100)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('Frame Dimensions'!$K$100,'Frame Dimensions'!$N$100)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46-6997-4F52-B5CB-33BF249558AD}"/>
            </c:ext>
          </c:extLst>
        </c:ser>
        <c:ser>
          <c:idx val="63"/>
          <c:order val="41"/>
          <c:tx>
            <c:strRef>
              <c:f>'Frame Dimensions'!$B$120</c:f>
              <c:strCache>
                <c:ptCount val="1"/>
                <c:pt idx="0">
                  <c:v>SFBase_L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('Frame Dimensions'!$L$120,'Frame Dimensions'!$O$120)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('Frame Dimensions'!$K$120,'Frame Dimensions'!$N$120)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47-6997-4F52-B5CB-33BF249558AD}"/>
            </c:ext>
          </c:extLst>
        </c:ser>
        <c:ser>
          <c:idx val="82"/>
          <c:order val="42"/>
          <c:tx>
            <c:strRef>
              <c:f>'Frame Dimensions'!$B$121</c:f>
              <c:strCache>
                <c:ptCount val="1"/>
                <c:pt idx="0">
                  <c:v>sfbase_L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('Frame Dimensions'!$L$121,'Frame Dimensions'!$O$121)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('Frame Dimensions'!$K$121,'Frame Dimensions'!$N$121)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48-6997-4F52-B5CB-33BF249558AD}"/>
            </c:ext>
          </c:extLst>
        </c:ser>
        <c:ser>
          <c:idx val="84"/>
          <c:order val="43"/>
          <c:tx>
            <c:strRef>
              <c:f>'Frame Dimensions'!$B$124</c:f>
              <c:strCache>
                <c:ptCount val="1"/>
                <c:pt idx="0">
                  <c:v>SFBase_R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('Frame Dimensions'!$L$124,'Frame Dimensions'!$O$124)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('Frame Dimensions'!$K$124,'Frame Dimensions'!$N$124)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49-6997-4F52-B5CB-33BF249558AD}"/>
            </c:ext>
          </c:extLst>
        </c:ser>
        <c:ser>
          <c:idx val="88"/>
          <c:order val="44"/>
          <c:tx>
            <c:strRef>
              <c:f>'Frame Dimensions'!$B$125</c:f>
              <c:strCache>
                <c:ptCount val="1"/>
                <c:pt idx="0">
                  <c:v>sfbase_R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('Frame Dimensions'!$L$125,'Frame Dimensions'!$O$125)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('Frame Dimensions'!$K$125,'Frame Dimensions'!$N$125)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4A-6997-4F52-B5CB-33BF249558AD}"/>
            </c:ext>
          </c:extLst>
        </c:ser>
        <c:ser>
          <c:idx val="89"/>
          <c:order val="45"/>
          <c:tx>
            <c:strRef>
              <c:f>'House reinf, Inlet Side'!$B$50</c:f>
              <c:strCache>
                <c:ptCount val="1"/>
                <c:pt idx="0">
                  <c:v>SPSiFVL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('House reinf, Inlet Side'!$B$53,'House reinf, Inlet Side'!$B$55)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('House reinf, Inlet Side'!$B$54,'House reinf, Inlet Side'!$B$56)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4B-6997-4F52-B5CB-33BF249558AD}"/>
            </c:ext>
          </c:extLst>
        </c:ser>
        <c:ser>
          <c:idx val="90"/>
          <c:order val="46"/>
          <c:tx>
            <c:strRef>
              <c:f>'House reinf, Inlet Side'!$C$50</c:f>
              <c:strCache>
                <c:ptCount val="1"/>
                <c:pt idx="0">
                  <c:v>SPSiFVR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('House reinf, Inlet Side'!$C$53,'House reinf, Inlet Side'!$C$55)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('House reinf, Inlet Side'!$C$54,'House reinf, Inlet Side'!$C$56)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4C-6997-4F52-B5CB-33BF249558AD}"/>
            </c:ext>
          </c:extLst>
        </c:ser>
        <c:ser>
          <c:idx val="91"/>
          <c:order val="47"/>
          <c:tx>
            <c:strRef>
              <c:f>'House reinf, Inlet Side'!$D$50</c:f>
              <c:strCache>
                <c:ptCount val="1"/>
                <c:pt idx="0">
                  <c:v>SPSiFHhi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('House reinf, Inlet Side'!$D$53,'House reinf, Inlet Side'!$D$55)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('House reinf, Inlet Side'!$D$54,'House reinf, Inlet Side'!$D$56)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4D-6997-4F52-B5CB-33BF249558AD}"/>
            </c:ext>
          </c:extLst>
        </c:ser>
        <c:ser>
          <c:idx val="92"/>
          <c:order val="48"/>
          <c:tx>
            <c:strRef>
              <c:f>'House reinf, Inlet Side'!$E$50</c:f>
              <c:strCache>
                <c:ptCount val="1"/>
                <c:pt idx="0">
                  <c:v>SPSiFHlo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('House reinf, Inlet Side'!$E$53,'House reinf, Inlet Side'!$E$55)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('House reinf, Inlet Side'!$E$54,'House reinf, Inlet Side'!$E$56)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4E-6997-4F52-B5CB-33BF249558AD}"/>
            </c:ext>
          </c:extLst>
        </c:ser>
        <c:ser>
          <c:idx val="93"/>
          <c:order val="49"/>
          <c:tx>
            <c:strRef>
              <c:f>'House reinf, Inlet Side'!$B$69</c:f>
              <c:strCache>
                <c:ptCount val="1"/>
                <c:pt idx="0">
                  <c:v>SPSeFVL_i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('House reinf, Inlet Side'!$B$72,'House reinf, Inlet Side'!$B$74)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('House reinf, Inlet Side'!$B$73,'House reinf, Inlet Side'!$B$75)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4F-6997-4F52-B5CB-33BF249558AD}"/>
            </c:ext>
          </c:extLst>
        </c:ser>
        <c:ser>
          <c:idx val="94"/>
          <c:order val="50"/>
          <c:tx>
            <c:strRef>
              <c:f>'House reinf, Inlet Side'!$D$69</c:f>
              <c:strCache>
                <c:ptCount val="1"/>
                <c:pt idx="0">
                  <c:v>SPSeFVR_i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('House reinf, Inlet Side'!$D$72,'House reinf, Inlet Side'!$D$74)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('House reinf, Inlet Side'!$D$73,'House reinf, Inlet Side'!$D$75)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50-6997-4F52-B5CB-33BF249558AD}"/>
            </c:ext>
          </c:extLst>
        </c:ser>
        <c:ser>
          <c:idx val="17"/>
          <c:order val="51"/>
          <c:tx>
            <c:strRef>
              <c:f>'House reinf, Inlet Side'!$E$69</c:f>
              <c:strCache>
                <c:ptCount val="1"/>
                <c:pt idx="0">
                  <c:v>SPSeFVR_o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('House reinf, Inlet Side'!$E$72,'House reinf, Inlet Side'!$E$74)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('House reinf, Inlet Side'!$E$73,'House reinf, Inlet Side'!$E$75)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51-6997-4F52-B5CB-33BF249558AD}"/>
            </c:ext>
          </c:extLst>
        </c:ser>
        <c:ser>
          <c:idx val="95"/>
          <c:order val="52"/>
          <c:tx>
            <c:strRef>
              <c:f>'House reinf, Inlet Side'!$F$69</c:f>
              <c:strCache>
                <c:ptCount val="1"/>
                <c:pt idx="0">
                  <c:v>SPSeFHhi_i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('House reinf, Inlet Side'!$F$72,'House reinf, Inlet Side'!$F$74)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('House reinf, Inlet Side'!$F$73,'House reinf, Inlet Side'!$F$75)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52-6997-4F52-B5CB-33BF249558AD}"/>
            </c:ext>
          </c:extLst>
        </c:ser>
        <c:ser>
          <c:idx val="45"/>
          <c:order val="53"/>
          <c:tx>
            <c:strRef>
              <c:f>'House reinf, Inlet Side'!$G$69</c:f>
              <c:strCache>
                <c:ptCount val="1"/>
                <c:pt idx="0">
                  <c:v>SPSeFHhi_o</c:v>
                </c:pt>
              </c:strCache>
            </c:strRef>
          </c:tx>
          <c:marker>
            <c:symbol val="none"/>
          </c:marker>
          <c:xVal>
            <c:numRef>
              <c:f>('House reinf, Inlet Side'!$G$72,'House reinf, Inlet Side'!$G$74)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('House reinf, Inlet Side'!$G$73,'House reinf, Inlet Side'!$G$75)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53-6997-4F52-B5CB-33BF249558AD}"/>
            </c:ext>
          </c:extLst>
        </c:ser>
        <c:ser>
          <c:idx val="96"/>
          <c:order val="54"/>
          <c:tx>
            <c:strRef>
              <c:f>'House reinf, Inlet Side'!$H$69</c:f>
              <c:strCache>
                <c:ptCount val="1"/>
                <c:pt idx="0">
                  <c:v>SPSeFHlo_i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('House reinf, Inlet Side'!$H$72,'House reinf, Inlet Side'!$H$74)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('House reinf, Inlet Side'!$H$73,'House reinf, Inlet Side'!$H$75)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54-6997-4F52-B5CB-33BF249558AD}"/>
            </c:ext>
          </c:extLst>
        </c:ser>
        <c:ser>
          <c:idx val="44"/>
          <c:order val="55"/>
          <c:tx>
            <c:strRef>
              <c:f>'House reinf, Inlet Side'!$I$69</c:f>
              <c:strCache>
                <c:ptCount val="1"/>
                <c:pt idx="0">
                  <c:v>SPSeFHlo_o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('House reinf, Inlet Side'!$I$72,'House reinf, Inlet Side'!$I$74)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('House reinf, Inlet Side'!$I$73,'House reinf, Inlet Side'!$I$75)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55-6997-4F52-B5CB-33BF249558AD}"/>
            </c:ext>
          </c:extLst>
        </c:ser>
        <c:ser>
          <c:idx val="97"/>
          <c:order val="56"/>
          <c:tx>
            <c:strRef>
              <c:f>'House reinf, Inlet Side'!$J$69</c:f>
              <c:strCache>
                <c:ptCount val="1"/>
                <c:pt idx="0">
                  <c:v>SPSeFOuL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('House reinf, Inlet Side'!$J$72,'House reinf, Inlet Side'!$J$74)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('House reinf, Inlet Side'!$J$73,'House reinf, Inlet Side'!$J$75)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56-6997-4F52-B5CB-33BF249558AD}"/>
            </c:ext>
          </c:extLst>
        </c:ser>
        <c:ser>
          <c:idx val="98"/>
          <c:order val="57"/>
          <c:tx>
            <c:strRef>
              <c:f>'House reinf, Inlet Side'!$K$69</c:f>
              <c:strCache>
                <c:ptCount val="1"/>
                <c:pt idx="0">
                  <c:v>SPSeFOuR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('House reinf, Inlet Side'!$K$72,'House reinf, Inlet Side'!$K$74)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('House reinf, Inlet Side'!$K$73,'House reinf, Inlet Side'!$K$75)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57-6997-4F52-B5CB-33BF249558AD}"/>
            </c:ext>
          </c:extLst>
        </c:ser>
        <c:ser>
          <c:idx val="99"/>
          <c:order val="58"/>
          <c:tx>
            <c:strRef>
              <c:f>'House reinf, Inlet Side'!$L$69</c:f>
              <c:strCache>
                <c:ptCount val="1"/>
                <c:pt idx="0">
                  <c:v>SPSeFOloR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('House reinf, Inlet Side'!$L$72,'House reinf, Inlet Side'!$L$74)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('House reinf, Inlet Side'!$L$73,'House reinf, Inlet Side'!$L$75)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58-6997-4F52-B5CB-33BF249558AD}"/>
            </c:ext>
          </c:extLst>
        </c:ser>
        <c:ser>
          <c:idx val="100"/>
          <c:order val="59"/>
          <c:tx>
            <c:strRef>
              <c:f>'House reinf, Inlet Side'!$M$69</c:f>
              <c:strCache>
                <c:ptCount val="1"/>
                <c:pt idx="0">
                  <c:v>SPSeFOloL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('House reinf, Inlet Side'!$M$72,'House reinf, Inlet Side'!$M$74)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('House reinf, Inlet Side'!$M$73,'House reinf, Inlet Side'!$M$75)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59-6997-4F52-B5CB-33BF249558AD}"/>
            </c:ext>
          </c:extLst>
        </c:ser>
        <c:ser>
          <c:idx val="101"/>
          <c:order val="60"/>
          <c:tx>
            <c:strRef>
              <c:f>'House reinf, Inlet Side'!$F$50</c:f>
              <c:strCache>
                <c:ptCount val="1"/>
                <c:pt idx="0">
                  <c:v>SPSiFOuL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('House reinf, Inlet Side'!$F$53,'House reinf, Inlet Side'!$F$55)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('House reinf, Inlet Side'!$F$54,'House reinf, Inlet Side'!$F$56)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5A-6997-4F52-B5CB-33BF249558AD}"/>
            </c:ext>
          </c:extLst>
        </c:ser>
        <c:ser>
          <c:idx val="102"/>
          <c:order val="61"/>
          <c:tx>
            <c:strRef>
              <c:f>'House reinf, Inlet Side'!$G$50</c:f>
              <c:strCache>
                <c:ptCount val="1"/>
                <c:pt idx="0">
                  <c:v>SPSiFOuR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('House reinf, Inlet Side'!$G$53,'House reinf, Inlet Side'!$G$55)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('House reinf, Inlet Side'!$G$54,'House reinf, Inlet Side'!$G$56)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5B-6997-4F52-B5CB-33BF249558AD}"/>
            </c:ext>
          </c:extLst>
        </c:ser>
        <c:ser>
          <c:idx val="103"/>
          <c:order val="62"/>
          <c:tx>
            <c:strRef>
              <c:f>'House reinf, Inlet Side'!$H$50</c:f>
              <c:strCache>
                <c:ptCount val="1"/>
                <c:pt idx="0">
                  <c:v>SPSiFOloR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('House reinf, Inlet Side'!$H$53,'House reinf, Inlet Side'!$H$55)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('House reinf, Inlet Side'!$H$54,'House reinf, Inlet Side'!$H$56)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5C-6997-4F52-B5CB-33BF249558AD}"/>
            </c:ext>
          </c:extLst>
        </c:ser>
        <c:ser>
          <c:idx val="104"/>
          <c:order val="63"/>
          <c:tx>
            <c:strRef>
              <c:f>'House reinf, Inlet Side'!$I$50</c:f>
              <c:strCache>
                <c:ptCount val="1"/>
                <c:pt idx="0">
                  <c:v>SPSiFOloL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('House reinf, Inlet Side'!$I$53,'House reinf, Inlet Side'!$I$55)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('House reinf, Inlet Side'!$I$54,'House reinf, Inlet Side'!$I$56)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5D-6997-4F52-B5CB-33BF249558AD}"/>
            </c:ext>
          </c:extLst>
        </c:ser>
        <c:ser>
          <c:idx val="1"/>
          <c:order val="64"/>
          <c:tx>
            <c:strRef>
              <c:f>'House reinf, Inlet Side'!$A$92</c:f>
              <c:strCache>
                <c:ptCount val="1"/>
                <c:pt idx="0">
                  <c:v>#REF!</c:v>
                </c:pt>
              </c:strCache>
            </c:strRef>
          </c:tx>
          <c:spPr>
            <a:ln w="12700"/>
          </c:spPr>
          <c:marker>
            <c:symbol val="none"/>
          </c:marker>
          <c:xVal>
            <c:numRef>
              <c:f>'House reinf, Inlet Side'!$B$92:$AJ$92</c:f>
              <c:numCache>
                <c:formatCode>0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xVal>
          <c:yVal>
            <c:numRef>
              <c:f>'House reinf, Inlet Side'!$B$93:$AJ$93</c:f>
              <c:numCache>
                <c:formatCode>0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5E-6997-4F52-B5CB-33BF249558AD}"/>
            </c:ext>
          </c:extLst>
        </c:ser>
        <c:ser>
          <c:idx val="10"/>
          <c:order val="65"/>
          <c:tx>
            <c:strRef>
              <c:f>'House reinf, Inlet Side'!$A$94</c:f>
              <c:strCache>
                <c:ptCount val="1"/>
                <c:pt idx="0">
                  <c:v>#REF!</c:v>
                </c:pt>
              </c:strCache>
            </c:strRef>
          </c:tx>
          <c:spPr>
            <a:ln w="1270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'House reinf, Inlet Side'!$B$94:$AJ$94</c:f>
              <c:numCache>
                <c:formatCode>0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xVal>
          <c:yVal>
            <c:numRef>
              <c:f>'House reinf, Inlet Side'!$B$95:$AJ$95</c:f>
              <c:numCache>
                <c:formatCode>0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5F-6997-4F52-B5CB-33BF249558AD}"/>
            </c:ext>
          </c:extLst>
        </c:ser>
        <c:ser>
          <c:idx val="11"/>
          <c:order val="66"/>
          <c:tx>
            <c:strRef>
              <c:f>'House reinf, Inlet Side'!$B$41</c:f>
              <c:strCache>
                <c:ptCount val="1"/>
                <c:pt idx="0">
                  <c:v>CFV L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('House reinf, Inlet Side'!$B$44,'House reinf, Inlet Side'!$B$46)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('House reinf, Inlet Side'!$B$45,'House reinf, Inlet Side'!$B$47)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60-6997-4F52-B5CB-33BF249558AD}"/>
            </c:ext>
          </c:extLst>
        </c:ser>
        <c:ser>
          <c:idx val="12"/>
          <c:order val="67"/>
          <c:tx>
            <c:strRef>
              <c:f>'House reinf, Inlet Side'!$C$41</c:f>
              <c:strCache>
                <c:ptCount val="1"/>
                <c:pt idx="0">
                  <c:v>CFV R</c:v>
                </c:pt>
              </c:strCache>
            </c:strRef>
          </c:tx>
          <c:spPr>
            <a:ln w="12700"/>
          </c:spPr>
          <c:marker>
            <c:symbol val="none"/>
          </c:marker>
          <c:dPt>
            <c:idx val="1"/>
            <c:bubble3D val="0"/>
            <c:spPr>
              <a:ln w="12700">
                <a:solidFill>
                  <a:srgbClr val="FF0000"/>
                </a:solidFill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62-6997-4F52-B5CB-33BF249558AD}"/>
              </c:ext>
            </c:extLst>
          </c:dPt>
          <c:xVal>
            <c:numRef>
              <c:f>('House reinf, Inlet Side'!$C$44,'House reinf, Inlet Side'!$C$46)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('House reinf, Inlet Side'!$C$45,'House reinf, Inlet Side'!$C$47)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63-6997-4F52-B5CB-33BF249558AD}"/>
            </c:ext>
          </c:extLst>
        </c:ser>
        <c:ser>
          <c:idx val="13"/>
          <c:order val="68"/>
          <c:tx>
            <c:strRef>
              <c:f>'House reinf, Inlet Side'!$D$41</c:f>
              <c:strCache>
                <c:ptCount val="1"/>
                <c:pt idx="0">
                  <c:v>CFH Hi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('House reinf, Inlet Side'!$D$44,'House reinf, Inlet Side'!$D$46)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('House reinf, Inlet Side'!$D$45,'House reinf, Inlet Side'!$D$47)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64-6997-4F52-B5CB-33BF249558AD}"/>
            </c:ext>
          </c:extLst>
        </c:ser>
        <c:ser>
          <c:idx val="16"/>
          <c:order val="69"/>
          <c:tx>
            <c:strRef>
              <c:f>'House reinf, Inlet Side'!$E$41</c:f>
              <c:strCache>
                <c:ptCount val="1"/>
                <c:pt idx="0">
                  <c:v>CFV Lo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('House reinf, Inlet Side'!$E$44,'House reinf, Inlet Side'!$E$46)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('House reinf, Inlet Side'!$E$45,'House reinf, Inlet Side'!$E$47)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65-6997-4F52-B5CB-33BF249558AD}"/>
            </c:ext>
          </c:extLst>
        </c:ser>
        <c:ser>
          <c:idx val="46"/>
          <c:order val="70"/>
          <c:tx>
            <c:strRef>
              <c:f>'House reinf, Inlet Side'!$C$69</c:f>
              <c:strCache>
                <c:ptCount val="1"/>
                <c:pt idx="0">
                  <c:v>SPSeFVL_o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('House reinf, Inlet Side'!$C$72,'House reinf, Inlet Side'!$C$74)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('House reinf, Inlet Side'!$C$73,'House reinf, Inlet Side'!$C$75)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66-6997-4F52-B5CB-33BF249558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4764984"/>
        <c:axId val="484765376"/>
      </c:scatterChart>
      <c:valAx>
        <c:axId val="4847649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Z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84765376"/>
        <c:crosses val="autoZero"/>
        <c:crossBetween val="midCat"/>
        <c:majorUnit val="1000"/>
      </c:valAx>
      <c:valAx>
        <c:axId val="48476537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0" sourceLinked="1"/>
        <c:majorTickMark val="out"/>
        <c:minorTickMark val="none"/>
        <c:tickLblPos val="nextTo"/>
        <c:spPr>
          <a:ln>
            <a:solidFill>
              <a:schemeClr val="tx1">
                <a:tint val="75000"/>
                <a:shade val="95000"/>
                <a:satMod val="105000"/>
              </a:schemeClr>
            </a:solidFill>
            <a:prstDash val="dash"/>
          </a:ln>
        </c:spPr>
        <c:crossAx val="484764984"/>
        <c:crosses val="autoZero"/>
        <c:crossBetween val="midCat"/>
        <c:majorUnit val="1000"/>
      </c:valAx>
      <c:spPr>
        <a:noFill/>
        <a:ln w="25400">
          <a:noFill/>
        </a:ln>
      </c:spPr>
    </c:plotArea>
    <c:plotVisOnly val="1"/>
    <c:dispBlanksAs val="gap"/>
    <c:showDLblsOverMax val="0"/>
  </c:chart>
  <c:spPr>
    <a:ln w="12700"/>
  </c:spPr>
  <c:printSettings>
    <c:headerFooter/>
    <c:pageMargins b="0.75000000000000855" l="0.70000000000000062" r="0.70000000000000062" t="0.75000000000000855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Drawings!$P$3</c:f>
          <c:strCache>
            <c:ptCount val="1"/>
            <c:pt idx="0">
              <c:v>XOE 273-90, RD135 Side View</c:v>
            </c:pt>
          </c:strCache>
        </c:strRef>
      </c:tx>
      <c:overlay val="1"/>
      <c:txPr>
        <a:bodyPr/>
        <a:lstStyle/>
        <a:p>
          <a:pPr>
            <a:defRPr sz="1400"/>
          </a:pPr>
          <a:endParaRPr lang="zh-CN"/>
        </a:p>
      </c:txPr>
    </c:title>
    <c:autoTitleDeleted val="0"/>
    <c:plotArea>
      <c:layout>
        <c:manualLayout>
          <c:layoutTarget val="inner"/>
          <c:xMode val="edge"/>
          <c:yMode val="edge"/>
          <c:x val="2.814264636590386E-2"/>
          <c:y val="0.11865244304868336"/>
          <c:w val="0.853254403922588"/>
          <c:h val="0.74113843464456663"/>
        </c:manualLayout>
      </c:layout>
      <c:scatterChart>
        <c:scatterStyle val="lineMarker"/>
        <c:varyColors val="0"/>
        <c:ser>
          <c:idx val="7"/>
          <c:order val="0"/>
          <c:tx>
            <c:strRef>
              <c:f>'Frame Dimensions'!$Y$23</c:f>
              <c:strCache>
                <c:ptCount val="1"/>
                <c:pt idx="0">
                  <c:v>calx</c:v>
                </c:pt>
              </c:strCache>
            </c:strRef>
          </c:tx>
          <c:spPr>
            <a:ln w="12700"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('Frame Dimensions'!$Y$24,'Frame Dimensions'!$Y$25)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('Frame Dimensions'!$Z$25,'Frame Dimensions'!$Z$25)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D35-4ACE-B5CB-74A5B855DF1B}"/>
            </c:ext>
          </c:extLst>
        </c:ser>
        <c:ser>
          <c:idx val="8"/>
          <c:order val="1"/>
          <c:tx>
            <c:strRef>
              <c:f>'Frame Dimensions'!$Z$23</c:f>
              <c:strCache>
                <c:ptCount val="1"/>
                <c:pt idx="0">
                  <c:v>caly</c:v>
                </c:pt>
              </c:strCache>
            </c:strRef>
          </c:tx>
          <c:spPr>
            <a:ln w="12700">
              <a:noFill/>
              <a:prstDash val="sysDot"/>
            </a:ln>
          </c:spPr>
          <c:marker>
            <c:symbol val="none"/>
          </c:marker>
          <c:xVal>
            <c:numRef>
              <c:f>('Frame Dimensions'!$Z$25,'Frame Dimensions'!$Z$25)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('Frame Dimensions'!$Z$25,'Frame Dimensions'!$Z$24)</c:f>
              <c:numCache>
                <c:formatCode>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D35-4ACE-B5CB-74A5B855DF1B}"/>
            </c:ext>
          </c:extLst>
        </c:ser>
        <c:ser>
          <c:idx val="3"/>
          <c:order val="2"/>
          <c:tx>
            <c:strRef>
              <c:f>'Frame Dimensions'!$B$33</c:f>
              <c:strCache>
                <c:ptCount val="1"/>
                <c:pt idx="0">
                  <c:v>#REF!</c:v>
                </c:pt>
              </c:strCache>
            </c:strRef>
          </c:tx>
          <c:spPr>
            <a:ln w="12700">
              <a:solidFill>
                <a:srgbClr val="00B0F0"/>
              </a:solidFill>
            </a:ln>
          </c:spPr>
          <c:marker>
            <c:symbol val="none"/>
          </c:marker>
          <c:dLbls>
            <c:dLbl>
              <c:idx val="1"/>
              <c:layout>
                <c:manualLayout>
                  <c:x val="-0.23717119654946942"/>
                  <c:y val="3.459842668616736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 sz="600"/>
                  </a:pPr>
                  <a:endParaRPr lang="zh-CN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2-4D35-4ACE-B5CB-74A5B855DF1B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6350">
                      <a:prstDash val="dash"/>
                    </a:ln>
                  </c:spPr>
                </c15:leaderLines>
              </c:ext>
            </c:extLst>
          </c:dLbls>
          <c:xVal>
            <c:numRef>
              <c:f>('Frame Dimensions'!$J$33,'Frame Dimensions'!$M$33,'Frame Dimensions'!$M$35,'Frame Dimensions'!$J$35,'Frame Dimensions'!$J$33)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('Frame Dimensions'!$K$33,'Frame Dimensions'!$N$33,'Frame Dimensions'!$N$35,'Frame Dimensions'!$K$35,'Frame Dimensions'!$K$33)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4D35-4ACE-B5CB-74A5B855DF1B}"/>
            </c:ext>
          </c:extLst>
        </c:ser>
        <c:ser>
          <c:idx val="4"/>
          <c:order val="3"/>
          <c:tx>
            <c:strRef>
              <c:f>'Frame Dimensions'!$B$49</c:f>
              <c:strCache>
                <c:ptCount val="1"/>
                <c:pt idx="0">
                  <c:v>#REF!</c:v>
                </c:pt>
              </c:strCache>
            </c:strRef>
          </c:tx>
          <c:spPr>
            <a:ln w="12700">
              <a:solidFill>
                <a:srgbClr val="00B0F0"/>
              </a:solidFill>
            </a:ln>
          </c:spPr>
          <c:marker>
            <c:symbol val="none"/>
          </c:marker>
          <c:dLbls>
            <c:dLbl>
              <c:idx val="1"/>
              <c:layout>
                <c:manualLayout>
                  <c:x val="-0.29637730269909834"/>
                  <c:y val="7.7548548271634432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 sz="600"/>
                  </a:pPr>
                  <a:endParaRPr lang="zh-CN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4-4D35-4ACE-B5CB-74A5B855DF1B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6350">
                      <a:prstDash val="dash"/>
                    </a:ln>
                  </c:spPr>
                </c15:leaderLines>
              </c:ext>
            </c:extLst>
          </c:dLbls>
          <c:xVal>
            <c:numRef>
              <c:f>('Frame Dimensions'!$J$49,'Frame Dimensions'!$M$49,'Frame Dimensions'!$M$51,'Frame Dimensions'!$J$51,'Frame Dimensions'!$J$49)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('Frame Dimensions'!$K$49,'Frame Dimensions'!$N$49,'Frame Dimensions'!$N$51,'Frame Dimensions'!$K$51,'Frame Dimensions'!$K$49)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5-4D35-4ACE-B5CB-74A5B855DF1B}"/>
            </c:ext>
          </c:extLst>
        </c:ser>
        <c:ser>
          <c:idx val="24"/>
          <c:order val="4"/>
          <c:tx>
            <c:strRef>
              <c:f>'Frame Dimensions'!$B$65</c:f>
              <c:strCache>
                <c:ptCount val="1"/>
                <c:pt idx="0">
                  <c:v>0</c:v>
                </c:pt>
              </c:strCache>
            </c:strRef>
          </c:tx>
          <c:spPr>
            <a:ln w="12700">
              <a:solidFill>
                <a:srgbClr val="00B0F0"/>
              </a:solidFill>
            </a:ln>
          </c:spPr>
          <c:marker>
            <c:symbol val="none"/>
          </c:marker>
          <c:dLbls>
            <c:dLbl>
              <c:idx val="1"/>
              <c:layout>
                <c:manualLayout>
                  <c:x val="-7.7556676788002002E-2"/>
                  <c:y val="-0.1581642362796222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 sz="600"/>
                  </a:pPr>
                  <a:endParaRPr lang="zh-CN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6-4D35-4ACE-B5CB-74A5B855DF1B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6350">
                      <a:prstDash val="dash"/>
                    </a:ln>
                  </c:spPr>
                </c15:leaderLines>
              </c:ext>
            </c:extLst>
          </c:dLbls>
          <c:xVal>
            <c:numRef>
              <c:f>('Frame Dimensions'!$J$65,'Frame Dimensions'!$M$65,'Frame Dimensions'!$M$67,'Frame Dimensions'!$J$67,'Frame Dimensions'!$J$65)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('Frame Dimensions'!$K$65,'Frame Dimensions'!$N$65,'Frame Dimensions'!$N$67,'Frame Dimensions'!$K$67,'Frame Dimensions'!$K$65)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7-4D35-4ACE-B5CB-74A5B855DF1B}"/>
            </c:ext>
          </c:extLst>
        </c:ser>
        <c:ser>
          <c:idx val="26"/>
          <c:order val="5"/>
          <c:tx>
            <c:strRef>
              <c:f>'Frame Dimensions'!$B$81</c:f>
              <c:strCache>
                <c:ptCount val="1"/>
                <c:pt idx="0">
                  <c:v>0</c:v>
                </c:pt>
              </c:strCache>
            </c:strRef>
          </c:tx>
          <c:spPr>
            <a:ln w="12700">
              <a:solidFill>
                <a:srgbClr val="00B0F0"/>
              </a:solidFill>
            </a:ln>
          </c:spPr>
          <c:marker>
            <c:symbol val="none"/>
          </c:marker>
          <c:dLbls>
            <c:dLbl>
              <c:idx val="1"/>
              <c:layout>
                <c:manualLayout>
                  <c:x val="-3.8778338394001001E-2"/>
                  <c:y val="-0.14827897151214584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 sz="600"/>
                  </a:pPr>
                  <a:endParaRPr lang="zh-CN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8-4D35-4ACE-B5CB-74A5B855DF1B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6350">
                      <a:prstDash val="dash"/>
                    </a:ln>
                  </c:spPr>
                </c15:leaderLines>
              </c:ext>
            </c:extLst>
          </c:dLbls>
          <c:xVal>
            <c:numRef>
              <c:f>('Frame Dimensions'!$J$81,'Frame Dimensions'!$M$81,'Frame Dimensions'!$M$83,'Frame Dimensions'!$J$83,'Frame Dimensions'!$J$81)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('Frame Dimensions'!$K$81,'Frame Dimensions'!$N$81,'Frame Dimensions'!$N$83,'Frame Dimensions'!$K$83,'Frame Dimensions'!$K$81)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9-4D35-4ACE-B5CB-74A5B855DF1B}"/>
            </c:ext>
          </c:extLst>
        </c:ser>
        <c:ser>
          <c:idx val="2"/>
          <c:order val="6"/>
          <c:tx>
            <c:strRef>
              <c:f>'Frame Dimensions'!$B$111</c:f>
              <c:strCache>
                <c:ptCount val="1"/>
                <c:pt idx="0">
                  <c:v>0</c:v>
                </c:pt>
              </c:strCache>
            </c:strRef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4"/>
              <c:layout>
                <c:manualLayout>
                  <c:x val="-4.4291815931757475E-2"/>
                  <c:y val="-8.849872710492257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 sz="600"/>
                  </a:pPr>
                  <a:endParaRPr lang="zh-CN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A-4D35-4ACE-B5CB-74A5B855DF1B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6350">
                      <a:prstDash val="dash"/>
                    </a:ln>
                  </c:spPr>
                </c15:leaderLines>
              </c:ext>
            </c:extLst>
          </c:dLbls>
          <c:xVal>
            <c:numRef>
              <c:f>('Frame Dimensions'!$J$112,'Frame Dimensions'!$J$111,'Frame Dimensions'!$J$113,'Frame Dimensions'!$J$114,'Frame Dimensions'!$J$112)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('Frame Dimensions'!$K$112,'Frame Dimensions'!$K$111,'Frame Dimensions'!$K$113,'Frame Dimensions'!$K$114,'Frame Dimensions'!$K$112)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B-4D35-4ACE-B5CB-74A5B855DF1B}"/>
            </c:ext>
          </c:extLst>
        </c:ser>
        <c:ser>
          <c:idx val="16"/>
          <c:order val="7"/>
          <c:tx>
            <c:strRef>
              <c:f>'Frame Dimensions'!$B$152</c:f>
              <c:strCache>
                <c:ptCount val="1"/>
                <c:pt idx="0">
                  <c:v>Axle</c:v>
                </c:pt>
              </c:strCache>
            </c:strRef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('Frame Dimensions'!$J$152,'Frame Dimensions'!$M$152)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('Frame Dimensions'!$K$152,'Frame Dimensions'!$N$152)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C-4D35-4ACE-B5CB-74A5B855DF1B}"/>
            </c:ext>
          </c:extLst>
        </c:ser>
        <c:ser>
          <c:idx val="17"/>
          <c:order val="8"/>
          <c:tx>
            <c:strRef>
              <c:f>'Frame Dimensions'!$B$153</c:f>
              <c:strCache>
                <c:ptCount val="1"/>
                <c:pt idx="0">
                  <c:v>MFrame</c:v>
                </c:pt>
              </c:strCache>
            </c:strRef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('Frame Dimensions'!$J$153,'Frame Dimensions'!$M$153,'Frame Dimensions'!$M$154,'Frame Dimensions'!$J$154,'Frame Dimensions'!$J$153)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('Frame Dimensions'!$K$153,'Frame Dimensions'!$N$153,'Frame Dimensions'!$N$154,'Frame Dimensions'!$K$154,'Frame Dimensions'!$K$153)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D-4D35-4ACE-B5CB-74A5B855DF1B}"/>
            </c:ext>
          </c:extLst>
        </c:ser>
        <c:ser>
          <c:idx val="18"/>
          <c:order val="9"/>
          <c:tx>
            <c:strRef>
              <c:f>'Frame Dimensions'!$B$155</c:f>
              <c:strCache>
                <c:ptCount val="1"/>
                <c:pt idx="0">
                  <c:v>MMR1+</c:v>
                </c:pt>
              </c:strCache>
            </c:strRef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('Frame Dimensions'!$J$155,'Frame Dimensions'!$M$155)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('Frame Dimensions'!$K$155,'Frame Dimensions'!$N$155)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4D35-4ACE-B5CB-74A5B855DF1B}"/>
            </c:ext>
          </c:extLst>
        </c:ser>
        <c:ser>
          <c:idx val="19"/>
          <c:order val="10"/>
          <c:tx>
            <c:strRef>
              <c:f>'Frame Dimensions'!$B$156</c:f>
              <c:strCache>
                <c:ptCount val="1"/>
                <c:pt idx="0">
                  <c:v>MMR2+</c:v>
                </c:pt>
              </c:strCache>
            </c:strRef>
          </c:tx>
          <c:spPr>
            <a:ln w="1270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('Frame Dimensions'!$J$156,'Frame Dimensions'!$M$156)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('Frame Dimensions'!$K$156,'Frame Dimensions'!$N$156)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F-4D35-4ACE-B5CB-74A5B855DF1B}"/>
            </c:ext>
          </c:extLst>
        </c:ser>
        <c:ser>
          <c:idx val="30"/>
          <c:order val="11"/>
          <c:tx>
            <c:strRef>
              <c:f>'Frame Dimensions'!$B$161</c:f>
              <c:strCache>
                <c:ptCount val="1"/>
                <c:pt idx="0">
                  <c:v>0</c:v>
                </c:pt>
              </c:strCache>
            </c:strRef>
          </c:tx>
          <c:spPr>
            <a:ln w="1270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('Frame Dimensions'!$J$161,'Frame Dimensions'!$M$161)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('Frame Dimensions'!$K$161,'Frame Dimensions'!$N$161)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10-4D35-4ACE-B5CB-74A5B855DF1B}"/>
            </c:ext>
          </c:extLst>
        </c:ser>
        <c:ser>
          <c:idx val="31"/>
          <c:order val="12"/>
          <c:tx>
            <c:strRef>
              <c:f>'Frame Dimensions'!$B$162</c:f>
              <c:strCache>
                <c:ptCount val="1"/>
                <c:pt idx="0">
                  <c:v>0</c:v>
                </c:pt>
              </c:strCache>
            </c:strRef>
          </c:tx>
          <c:spPr>
            <a:ln w="1270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('Frame Dimensions'!$J$162,'Frame Dimensions'!$M$162)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('Frame Dimensions'!$K$162,'Frame Dimensions'!$N$162)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11-4D35-4ACE-B5CB-74A5B855DF1B}"/>
            </c:ext>
          </c:extLst>
        </c:ser>
        <c:ser>
          <c:idx val="36"/>
          <c:order val="13"/>
          <c:tx>
            <c:strRef>
              <c:f>'Frame Dimensions'!$A$138</c:f>
              <c:strCache>
                <c:ptCount val="1"/>
                <c:pt idx="0">
                  <c:v>HOUSE</c:v>
                </c:pt>
              </c:strCache>
            </c:strRef>
          </c:tx>
          <c:spPr>
            <a:ln w="9525">
              <a:solidFill>
                <a:schemeClr val="bg1">
                  <a:lumMod val="50000"/>
                  <a:alpha val="50000"/>
                </a:schemeClr>
              </a:solidFill>
            </a:ln>
          </c:spPr>
          <c:marker>
            <c:symbol val="none"/>
          </c:marker>
          <c:xVal>
            <c:numRef>
              <c:f>('Frame Dimensions'!$J$139,'Frame Dimensions'!$M$139,'Frame Dimensions'!$M$140,'Frame Dimensions'!$J$140,'Frame Dimensions'!$J$139)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('Frame Dimensions'!$K$139,'Frame Dimensions'!$N$139,'Frame Dimensions'!$N$140,'Frame Dimensions'!$K$140,'Frame Dimensions'!$K$139)</c:f>
              <c:numCache>
                <c:formatCode>0</c:formatCode>
                <c:ptCount val="5"/>
                <c:pt idx="0">
                  <c:v>114.70000000000005</c:v>
                </c:pt>
                <c:pt idx="1">
                  <c:v>2745.4</c:v>
                </c:pt>
                <c:pt idx="2">
                  <c:v>2745.4</c:v>
                </c:pt>
                <c:pt idx="3">
                  <c:v>114.70000000000005</c:v>
                </c:pt>
                <c:pt idx="4">
                  <c:v>114.70000000000005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12-4D35-4ACE-B5CB-74A5B855DF1B}"/>
            </c:ext>
          </c:extLst>
        </c:ser>
        <c:ser>
          <c:idx val="39"/>
          <c:order val="14"/>
          <c:tx>
            <c:strRef>
              <c:f>'Frame Dimensions'!$B$146</c:f>
              <c:strCache>
                <c:ptCount val="1"/>
                <c:pt idx="0">
                  <c:v>Fur</c:v>
                </c:pt>
              </c:strCache>
            </c:strRef>
          </c:tx>
          <c:spPr>
            <a:ln w="1270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('Frame Dimensions'!$J$146,'Frame Dimensions'!$M$146)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('Frame Dimensions'!$K$146,'Frame Dimensions'!$N$146)</c:f>
              <c:numCache>
                <c:formatCode>0</c:formatCode>
                <c:ptCount val="2"/>
                <c:pt idx="0">
                  <c:v>1617.5</c:v>
                </c:pt>
                <c:pt idx="1">
                  <c:v>1617.5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13-4D35-4ACE-B5CB-74A5B855DF1B}"/>
            </c:ext>
          </c:extLst>
        </c:ser>
        <c:ser>
          <c:idx val="1"/>
          <c:order val="15"/>
          <c:tx>
            <c:strRef>
              <c:f>'Frame Dimensions'!$B$130</c:f>
              <c:strCache>
                <c:ptCount val="1"/>
                <c:pt idx="0">
                  <c:v>#REF!</c:v>
                </c:pt>
              </c:strCache>
            </c:strRef>
          </c:tx>
          <c:spPr>
            <a:ln w="6350">
              <a:solidFill>
                <a:schemeClr val="tx1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layout>
                <c:manualLayout>
                  <c:x val="-0.26513347164124351"/>
                  <c:y val="9.3019420849807619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 sz="600"/>
                  </a:pPr>
                  <a:endParaRPr lang="zh-CN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14-4D35-4ACE-B5CB-74A5B855DF1B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6350">
                      <a:prstDash val="dash"/>
                    </a:ln>
                  </c:spPr>
                </c15:leaderLines>
              </c:ext>
            </c:extLst>
          </c:dLbls>
          <c:xVal>
            <c:numRef>
              <c:f>('Frame Dimensions'!$J$130,'Frame Dimensions'!$J$131,'Frame Dimensions'!$M$131,'Frame Dimensions'!$M$130,'Frame Dimensions'!$J$130)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('Frame Dimensions'!$K$130,'Frame Dimensions'!$K$131,'Frame Dimensions'!$N$131,'Frame Dimensions'!$N$130,'Frame Dimensions'!$K$130)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15-4D35-4ACE-B5CB-74A5B855DF1B}"/>
            </c:ext>
          </c:extLst>
        </c:ser>
        <c:ser>
          <c:idx val="47"/>
          <c:order val="16"/>
          <c:tx>
            <c:strRef>
              <c:f>'Frame Dimensions'!$B$134</c:f>
              <c:strCache>
                <c:ptCount val="1"/>
                <c:pt idx="0">
                  <c:v>0</c:v>
                </c:pt>
              </c:strCache>
            </c:strRef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layout>
                <c:manualLayout>
                  <c:x val="5.539485007962016E-2"/>
                  <c:y val="4.9584232080388972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 sz="600"/>
                  </a:pPr>
                  <a:endParaRPr lang="zh-CN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16-4D35-4ACE-B5CB-74A5B855DF1B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6350">
                      <a:prstDash val="dash"/>
                    </a:ln>
                  </c:spPr>
                </c15:leaderLines>
              </c:ext>
            </c:extLst>
          </c:dLbls>
          <c:xVal>
            <c:numRef>
              <c:f>('Frame Dimensions'!$J$134,'Frame Dimensions'!$J$135,'Frame Dimensions'!$M$135,'Frame Dimensions'!$M$134,'Frame Dimensions'!$J$134)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('Frame Dimensions'!$K$134,'Frame Dimensions'!$K$135,'Frame Dimensions'!$N$135,'Frame Dimensions'!$N$134,'Frame Dimensions'!$K$134)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17-4D35-4ACE-B5CB-74A5B855DF1B}"/>
            </c:ext>
          </c:extLst>
        </c:ser>
        <c:ser>
          <c:idx val="50"/>
          <c:order val="17"/>
          <c:tx>
            <c:strRef>
              <c:f>'Frame Dimensions'!$B$115</c:f>
              <c:strCache>
                <c:ptCount val="1"/>
                <c:pt idx="0">
                  <c:v>SFX</c:v>
                </c:pt>
              </c:strCache>
            </c:strRef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2"/>
              <c:layout>
                <c:manualLayout>
                  <c:x val="2.7698813138571131E-3"/>
                  <c:y val="4.4483691453643753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 sz="600"/>
                  </a:pPr>
                  <a:endParaRPr lang="zh-CN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18-4D35-4ACE-B5CB-74A5B855DF1B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6350">
                      <a:prstDash val="dash"/>
                    </a:ln>
                  </c:spPr>
                </c15:leaderLines>
              </c:ext>
            </c:extLst>
          </c:dLbls>
          <c:xVal>
            <c:numRef>
              <c:f>('Frame Dimensions'!$J$116,'Frame Dimensions'!$J$115,'Frame Dimensions'!$J$117,'Frame Dimensions'!$J$118,'Frame Dimensions'!$J$116)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('Frame Dimensions'!$K$116,'Frame Dimensions'!$K$115,'Frame Dimensions'!$K$117,'Frame Dimensions'!$K$118,'Frame Dimensions'!$K$116)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19-4D35-4ACE-B5CB-74A5B855DF1B}"/>
            </c:ext>
          </c:extLst>
        </c:ser>
        <c:ser>
          <c:idx val="14"/>
          <c:order val="18"/>
          <c:tx>
            <c:strRef>
              <c:f>'Frame Dimensions'!$B$103</c:f>
              <c:strCache>
                <c:ptCount val="1"/>
                <c:pt idx="0">
                  <c:v>MSMM</c:v>
                </c:pt>
              </c:strCache>
            </c:strRef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1"/>
              <c:layout>
                <c:manualLayout>
                  <c:x val="-0.26083961524778182"/>
                  <c:y val="9.835797766714006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 sz="600"/>
                  </a:pPr>
                  <a:endParaRPr lang="zh-CN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1A-4D35-4ACE-B5CB-74A5B855DF1B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6350">
                      <a:prstDash val="dash"/>
                    </a:ln>
                  </c:spPr>
                </c15:leaderLines>
              </c:ext>
            </c:extLst>
          </c:dLbls>
          <c:xVal>
            <c:numRef>
              <c:f>('Frame Dimensions'!$J$104,'Frame Dimensions'!$J$103,'Frame Dimensions'!$J$105,'Frame Dimensions'!$J$106,'Frame Dimensions'!$J$104)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('Frame Dimensions'!$K$104,'Frame Dimensions'!$K$103,'Frame Dimensions'!$K$105,'Frame Dimensions'!$K$106,'Frame Dimensions'!$K$104)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1B-4D35-4ACE-B5CB-74A5B855DF1B}"/>
            </c:ext>
          </c:extLst>
        </c:ser>
        <c:ser>
          <c:idx val="40"/>
          <c:order val="19"/>
          <c:tx>
            <c:strRef>
              <c:f>'Frame Dimensions'!$B$144</c:f>
              <c:strCache>
                <c:ptCount val="1"/>
                <c:pt idx="0">
                  <c:v>Tongue</c:v>
                </c:pt>
              </c:strCache>
            </c:strRef>
          </c:tx>
          <c:spPr>
            <a:ln w="12700">
              <a:solidFill>
                <a:schemeClr val="bg1">
                  <a:lumMod val="75000"/>
                </a:schemeClr>
              </a:solidFill>
              <a:prstDash val="sysDot"/>
            </a:ln>
          </c:spPr>
          <c:marker>
            <c:symbol val="none"/>
          </c:marker>
          <c:xVal>
            <c:numRef>
              <c:f>('Frame Dimensions'!$J$144,'Frame Dimensions'!$M$144)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('Frame Dimensions'!$K$144,'Frame Dimensions'!$N$144)</c:f>
              <c:numCache>
                <c:formatCode>0</c:formatCode>
                <c:ptCount val="2"/>
                <c:pt idx="0">
                  <c:v>911.6</c:v>
                </c:pt>
                <c:pt idx="1">
                  <c:v>911.6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1C-4D35-4ACE-B5CB-74A5B855DF1B}"/>
            </c:ext>
          </c:extLst>
        </c:ser>
        <c:ser>
          <c:idx val="41"/>
          <c:order val="20"/>
          <c:tx>
            <c:strRef>
              <c:f>'Frame Dimensions'!$B$145</c:f>
              <c:strCache>
                <c:ptCount val="1"/>
                <c:pt idx="0">
                  <c:v>Ful</c:v>
                </c:pt>
              </c:strCache>
            </c:strRef>
          </c:tx>
          <c:spPr>
            <a:ln w="1270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('Frame Dimensions'!$J$145,'Frame Dimensions'!$M$145)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('Frame Dimensions'!$K$145,'Frame Dimensions'!$N$145)</c:f>
              <c:numCache>
                <c:formatCode>0</c:formatCode>
                <c:ptCount val="2"/>
                <c:pt idx="0">
                  <c:v>820</c:v>
                </c:pt>
                <c:pt idx="1">
                  <c:v>820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1D-4D35-4ACE-B5CB-74A5B855DF1B}"/>
            </c:ext>
          </c:extLst>
        </c:ser>
        <c:ser>
          <c:idx val="51"/>
          <c:order val="21"/>
          <c:tx>
            <c:strRef>
              <c:f>'Inlet Cone'!$A$18</c:f>
              <c:strCache>
                <c:ptCount val="1"/>
                <c:pt idx="0">
                  <c:v>Inlet Cone</c:v>
                </c:pt>
              </c:strCache>
            </c:strRef>
          </c:tx>
          <c:spPr>
            <a:ln w="6350">
              <a:solidFill>
                <a:schemeClr val="bg1">
                  <a:lumMod val="65000"/>
                </a:schemeClr>
              </a:solidFill>
            </a:ln>
          </c:spPr>
          <c:marker>
            <c:symbol val="none"/>
          </c:marker>
          <c:xVal>
            <c:numRef>
              <c:f>('Inlet Cone'!$B$37,'Inlet Cone'!$C$37,'Inlet Cone'!$D$37,'Inlet Cone'!$E$37,'Inlet Cone'!$F$37,'Inlet Cone'!$G$37,'Inlet Cone'!$H$37,'Inlet Cone'!$I$37)</c:f>
              <c:numCache>
                <c:formatCode>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('Inlet Cone'!$B$38,'Inlet Cone'!$C$38,'Inlet Cone'!$D$38,'Inlet Cone'!$E$38,'Inlet Cone'!$F$38,'Inlet Cone'!$G$38,'Inlet Cone'!$H$38,'Inlet Cone'!$I$38)</c:f>
              <c:numCache>
                <c:formatCode>0</c:formatCode>
                <c:ptCount val="8"/>
                <c:pt idx="0">
                  <c:v>1616</c:v>
                </c:pt>
                <c:pt idx="1">
                  <c:v>1606</c:v>
                </c:pt>
                <c:pt idx="2">
                  <c:v>1606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1E-4D35-4ACE-B5CB-74A5B855DF1B}"/>
            </c:ext>
          </c:extLst>
        </c:ser>
        <c:ser>
          <c:idx val="52"/>
          <c:order val="22"/>
          <c:tx>
            <c:strRef>
              <c:f>'Inlet Cone'!$A$18</c:f>
              <c:strCache>
                <c:ptCount val="1"/>
                <c:pt idx="0">
                  <c:v>Inlet Cone</c:v>
                </c:pt>
              </c:strCache>
            </c:strRef>
          </c:tx>
          <c:spPr>
            <a:ln w="6350">
              <a:solidFill>
                <a:schemeClr val="bg1">
                  <a:lumMod val="65000"/>
                </a:schemeClr>
              </a:solidFill>
            </a:ln>
          </c:spPr>
          <c:marker>
            <c:symbol val="none"/>
          </c:marker>
          <c:xVal>
            <c:numRef>
              <c:f>('Inlet Cone'!$B$37,'Inlet Cone'!$C$37,'Inlet Cone'!$D$37,'Inlet Cone'!$E$37,'Inlet Cone'!$F$37,'Inlet Cone'!$G$37,'Inlet Cone'!$H$37,'Inlet Cone'!$I$37)</c:f>
              <c:numCache>
                <c:formatCode>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('Inlet Cone'!$B$39,'Inlet Cone'!$C$39,'Inlet Cone'!$D$39,'Inlet Cone'!$E$39,'Inlet Cone'!$F$39,'Inlet Cone'!$G$39,'Inlet Cone'!$H$39,'Inlet Cone'!$I$39)</c:f>
              <c:numCache>
                <c:formatCode>0</c:formatCode>
                <c:ptCount val="8"/>
                <c:pt idx="0">
                  <c:v>922</c:v>
                </c:pt>
                <c:pt idx="1">
                  <c:v>932</c:v>
                </c:pt>
                <c:pt idx="2">
                  <c:v>932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1F-4D35-4ACE-B5CB-74A5B855DF1B}"/>
            </c:ext>
          </c:extLst>
        </c:ser>
        <c:ser>
          <c:idx val="29"/>
          <c:order val="23"/>
          <c:tx>
            <c:strRef>
              <c:f>'Frame Dimensions'!$B$147</c:f>
              <c:strCache>
                <c:ptCount val="1"/>
                <c:pt idx="0">
                  <c:v>IL</c:v>
                </c:pt>
              </c:strCache>
              <c:extLst xmlns:c16r2="http://schemas.microsoft.com/office/drawing/2015/06/chart" xmlns:c15="http://schemas.microsoft.com/office/drawing/2012/chart"/>
            </c:strRef>
          </c:tx>
          <c:spPr>
            <a:ln w="6350">
              <a:solidFill>
                <a:schemeClr val="tx1"/>
              </a:solidFill>
              <a:prstDash val="sysDash"/>
            </a:ln>
          </c:spPr>
          <c:marker>
            <c:symbol val="none"/>
          </c:marker>
          <c:xVal>
            <c:numRef>
              <c:f>('Frame Dimensions'!$J$147,'Frame Dimensions'!$M$147)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  <c:extLst xmlns:c16r2="http://schemas.microsoft.com/office/drawing/2015/06/chart" xmlns:c15="http://schemas.microsoft.com/office/drawing/2012/chart"/>
            </c:numRef>
          </c:xVal>
          <c:yVal>
            <c:numRef>
              <c:f>('Frame Dimensions'!$K$147,'Frame Dimensions'!$N$147)</c:f>
              <c:numCache>
                <c:formatCode>0</c:formatCode>
                <c:ptCount val="2"/>
                <c:pt idx="0">
                  <c:v>114.70000000000005</c:v>
                </c:pt>
                <c:pt idx="1">
                  <c:v>2745.4</c:v>
                </c:pt>
              </c:numCache>
              <c:extLst xmlns:c16r2="http://schemas.microsoft.com/office/drawing/2015/06/chart" xmlns:c15="http://schemas.microsoft.com/office/drawing/2012/chart"/>
            </c:numRef>
          </c:yVal>
          <c:smooth val="0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20-4D35-4ACE-B5CB-74A5B855DF1B}"/>
            </c:ext>
          </c:extLst>
        </c:ser>
        <c:ser>
          <c:idx val="33"/>
          <c:order val="24"/>
          <c:tx>
            <c:strRef>
              <c:f>'Frame Dimensions'!$B$148</c:f>
              <c:strCache>
                <c:ptCount val="1"/>
                <c:pt idx="0">
                  <c:v>IR</c:v>
                </c:pt>
              </c:strCache>
              <c:extLst xmlns:c16r2="http://schemas.microsoft.com/office/drawing/2015/06/chart" xmlns:c15="http://schemas.microsoft.com/office/drawing/2012/chart"/>
            </c:strRef>
          </c:tx>
          <c:spPr>
            <a:ln w="6350">
              <a:solidFill>
                <a:schemeClr val="tx1"/>
              </a:solidFill>
              <a:prstDash val="sysDash"/>
            </a:ln>
          </c:spPr>
          <c:marker>
            <c:symbol val="none"/>
          </c:marker>
          <c:xVal>
            <c:numRef>
              <c:f>('Frame Dimensions'!$J$148,'Frame Dimensions'!$M$148)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  <c:extLst xmlns:c16r2="http://schemas.microsoft.com/office/drawing/2015/06/chart" xmlns:c15="http://schemas.microsoft.com/office/drawing/2012/chart"/>
            </c:numRef>
          </c:xVal>
          <c:yVal>
            <c:numRef>
              <c:f>('Frame Dimensions'!$K$148,'Frame Dimensions'!$N$148)</c:f>
              <c:numCache>
                <c:formatCode>0</c:formatCode>
                <c:ptCount val="2"/>
                <c:pt idx="0">
                  <c:v>114.70000000000005</c:v>
                </c:pt>
                <c:pt idx="1">
                  <c:v>2745.4</c:v>
                </c:pt>
              </c:numCache>
              <c:extLst xmlns:c16r2="http://schemas.microsoft.com/office/drawing/2015/06/chart" xmlns:c15="http://schemas.microsoft.com/office/drawing/2012/chart"/>
            </c:numRef>
          </c:yVal>
          <c:smooth val="0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21-4D35-4ACE-B5CB-74A5B855DF1B}"/>
            </c:ext>
          </c:extLst>
        </c:ser>
        <c:ser>
          <c:idx val="34"/>
          <c:order val="25"/>
          <c:tx>
            <c:strRef>
              <c:f>'Frame Dimensions'!$B$149</c:f>
              <c:strCache>
                <c:ptCount val="1"/>
                <c:pt idx="0">
                  <c:v>Iup</c:v>
                </c:pt>
              </c:strCache>
              <c:extLst xmlns:c16r2="http://schemas.microsoft.com/office/drawing/2015/06/chart" xmlns:c15="http://schemas.microsoft.com/office/drawing/2012/chart"/>
            </c:strRef>
          </c:tx>
          <c:spPr>
            <a:ln w="6350">
              <a:solidFill>
                <a:schemeClr val="tx1"/>
              </a:solidFill>
              <a:prstDash val="sysDash"/>
            </a:ln>
          </c:spPr>
          <c:marker>
            <c:symbol val="none"/>
          </c:marker>
          <c:xVal>
            <c:numRef>
              <c:f>('Frame Dimensions'!$J$149,'Frame Dimensions'!$M$149)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  <c:extLst xmlns:c16r2="http://schemas.microsoft.com/office/drawing/2015/06/chart" xmlns:c15="http://schemas.microsoft.com/office/drawing/2012/chart"/>
            </c:numRef>
          </c:xVal>
          <c:yVal>
            <c:numRef>
              <c:f>('Frame Dimensions'!$K$149,'Frame Dimensions'!$N$149)</c:f>
              <c:numCache>
                <c:formatCode>0</c:formatCode>
                <c:ptCount val="2"/>
                <c:pt idx="0">
                  <c:v>2745.4</c:v>
                </c:pt>
                <c:pt idx="1">
                  <c:v>2745.4</c:v>
                </c:pt>
              </c:numCache>
              <c:extLst xmlns:c16r2="http://schemas.microsoft.com/office/drawing/2015/06/chart" xmlns:c15="http://schemas.microsoft.com/office/drawing/2012/chart"/>
            </c:numRef>
          </c:yVal>
          <c:smooth val="0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22-4D35-4ACE-B5CB-74A5B855DF1B}"/>
            </c:ext>
          </c:extLst>
        </c:ser>
        <c:ser>
          <c:idx val="35"/>
          <c:order val="26"/>
          <c:tx>
            <c:strRef>
              <c:f>'Frame Dimensions'!$B$150</c:f>
              <c:strCache>
                <c:ptCount val="1"/>
                <c:pt idx="0">
                  <c:v>Ilo</c:v>
                </c:pt>
              </c:strCache>
              <c:extLst xmlns:c16r2="http://schemas.microsoft.com/office/drawing/2015/06/chart" xmlns:c15="http://schemas.microsoft.com/office/drawing/2012/chart"/>
            </c:strRef>
          </c:tx>
          <c:spPr>
            <a:ln w="6350">
              <a:solidFill>
                <a:schemeClr val="tx1"/>
              </a:solidFill>
              <a:prstDash val="sysDash"/>
            </a:ln>
          </c:spPr>
          <c:marker>
            <c:symbol val="none"/>
          </c:marker>
          <c:xVal>
            <c:numRef>
              <c:f>('Frame Dimensions'!$J$150,'Frame Dimensions'!$M$150)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  <c:extLst xmlns:c16r2="http://schemas.microsoft.com/office/drawing/2015/06/chart" xmlns:c15="http://schemas.microsoft.com/office/drawing/2012/chart"/>
            </c:numRef>
          </c:xVal>
          <c:yVal>
            <c:numRef>
              <c:f>('Frame Dimensions'!$K$150,'Frame Dimensions'!$N$150)</c:f>
              <c:numCache>
                <c:formatCode>0</c:formatCode>
                <c:ptCount val="2"/>
                <c:pt idx="0">
                  <c:v>114.70000000000005</c:v>
                </c:pt>
                <c:pt idx="1">
                  <c:v>114.70000000000005</c:v>
                </c:pt>
              </c:numCache>
              <c:extLst xmlns:c16r2="http://schemas.microsoft.com/office/drawing/2015/06/chart" xmlns:c15="http://schemas.microsoft.com/office/drawing/2012/chart"/>
            </c:numRef>
          </c:yVal>
          <c:smooth val="0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23-4D35-4ACE-B5CB-74A5B855DF1B}"/>
            </c:ext>
          </c:extLst>
        </c:ser>
        <c:ser>
          <c:idx val="13"/>
          <c:order val="27"/>
          <c:tx>
            <c:strRef>
              <c:f>'Frame Dimensions'!$B$107</c:f>
              <c:strCache>
                <c:ptCount val="1"/>
                <c:pt idx="0">
                  <c:v>0</c:v>
                </c:pt>
              </c:strCache>
            </c:strRef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2"/>
              <c:layout>
                <c:manualLayout>
                  <c:x val="-0.12187477780971744"/>
                  <c:y val="-6.919685337233472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 sz="600"/>
                  </a:pPr>
                  <a:endParaRPr lang="zh-CN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24-4D35-4ACE-B5CB-74A5B855DF1B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6350">
                      <a:prstDash val="dash"/>
                    </a:ln>
                  </c:spPr>
                </c15:leaderLines>
              </c:ext>
            </c:extLst>
          </c:dLbls>
          <c:xVal>
            <c:numRef>
              <c:f>('Frame Dimensions'!$J$108,'Frame Dimensions'!$J$107,'Frame Dimensions'!$J$109,'Frame Dimensions'!$J$110,'Frame Dimensions'!$J$108)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('Frame Dimensions'!$K$108,'Frame Dimensions'!$K$107,'Frame Dimensions'!$K$109,'Frame Dimensions'!$K$110,'Frame Dimensions'!$K$108)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25-4D35-4ACE-B5CB-74A5B855DF1B}"/>
            </c:ext>
          </c:extLst>
        </c:ser>
        <c:ser>
          <c:idx val="5"/>
          <c:order val="28"/>
          <c:tx>
            <c:strRef>
              <c:f>'Frame Dimensions'!$B$124</c:f>
              <c:strCache>
                <c:ptCount val="1"/>
                <c:pt idx="0">
                  <c:v>SFBase_R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dLbls>
            <c:dLbl>
              <c:idx val="1"/>
              <c:layout>
                <c:manualLayout>
                  <c:x val="0.13572418437900341"/>
                  <c:y val="-5.931158860485842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 sz="600"/>
                  </a:pPr>
                  <a:endParaRPr lang="zh-CN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26-4D35-4ACE-B5CB-74A5B855DF1B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6350">
                      <a:prstDash val="dash"/>
                    </a:ln>
                  </c:spPr>
                </c15:leaderLines>
              </c:ext>
            </c:extLst>
          </c:dLbls>
          <c:xVal>
            <c:numRef>
              <c:f>('Frame Dimensions'!$J$126,'Frame Dimensions'!$M$126)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('Frame Dimensions'!$K$126,'Frame Dimensions'!$N$126)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27-4D35-4ACE-B5CB-74A5B855DF1B}"/>
            </c:ext>
          </c:extLst>
        </c:ser>
        <c:ser>
          <c:idx val="15"/>
          <c:order val="29"/>
          <c:tx>
            <c:strRef>
              <c:f>'Frame Dimensions'!$B$141</c:f>
              <c:strCache>
                <c:ptCount val="1"/>
                <c:pt idx="0">
                  <c:v>HskirtR</c:v>
                </c:pt>
              </c:strCache>
            </c:strRef>
          </c:tx>
          <c:spPr>
            <a:ln w="9525"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('Frame Dimensions'!$J$141,'Frame Dimensions'!$M$141)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('Frame Dimensions'!$K$141,'Frame Dimensions'!$N$141)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28-4D35-4ACE-B5CB-74A5B855DF1B}"/>
            </c:ext>
          </c:extLst>
        </c:ser>
        <c:ser>
          <c:idx val="0"/>
          <c:order val="30"/>
          <c:tx>
            <c:strRef>
              <c:f>'Frame Dimensions'!$B$93</c:f>
              <c:strCache>
                <c:ptCount val="1"/>
                <c:pt idx="0">
                  <c:v>VHF_R</c:v>
                </c:pt>
              </c:strCache>
            </c:strRef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('Frame Dimensions'!$J$95,'Frame Dimensions'!$J$94,'Frame Dimensions'!$J$93,'Frame Dimensions'!$M$93,'Frame Dimensions'!$M$94,'Frame Dimensions'!$J$95)</c:f>
              <c:numCache>
                <c:formatCode>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('Frame Dimensions'!$K$95,'Frame Dimensions'!$K$94,'Frame Dimensions'!$K$93,'Frame Dimensions'!$N$93,'Frame Dimensions'!$N$94,'Frame Dimensions'!$K$95)</c:f>
              <c:numCache>
                <c:formatCode>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29-4D35-4ACE-B5CB-74A5B855DF1B}"/>
            </c:ext>
          </c:extLst>
        </c:ser>
        <c:ser>
          <c:idx val="53"/>
          <c:order val="31"/>
          <c:tx>
            <c:strRef>
              <c:f>'Frame Dimensions'!$B$124</c:f>
              <c:strCache>
                <c:ptCount val="1"/>
                <c:pt idx="0">
                  <c:v>SFBase_R</c:v>
                </c:pt>
              </c:strCache>
            </c:strRef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('Frame Dimensions'!$J$124,'Frame Dimensions'!$J$126)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('Frame Dimensions'!$K$124,'Frame Dimensions'!$K$126)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2A-4D35-4ACE-B5CB-74A5B855DF1B}"/>
            </c:ext>
          </c:extLst>
        </c:ser>
        <c:ser>
          <c:idx val="6"/>
          <c:order val="32"/>
          <c:tx>
            <c:strRef>
              <c:f>'Frame Dimensions'!$B$125</c:f>
              <c:strCache>
                <c:ptCount val="1"/>
                <c:pt idx="0">
                  <c:v>sfbase_R</c:v>
                </c:pt>
              </c:strCache>
            </c:strRef>
          </c:tx>
          <c:spPr>
            <a:ln w="12700">
              <a:solidFill>
                <a:srgbClr val="FF0000"/>
              </a:solidFill>
              <a:prstDash val="sysDot"/>
            </a:ln>
          </c:spPr>
          <c:marker>
            <c:symbol val="none"/>
          </c:marker>
          <c:xVal>
            <c:numRef>
              <c:f>('Frame Dimensions'!$J$125,'Frame Dimensions'!$M$125,'Frame Dimensions'!$M$127)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xVal>
          <c:yVal>
            <c:numRef>
              <c:f>('Frame Dimensions'!$K$125,'Frame Dimensions'!$N$125,'Frame Dimensions'!$N$127,'Frame Dimensions'!$K$127,'Frame Dimensions'!$K$125)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2B-4D35-4ACE-B5CB-74A5B855DF1B}"/>
            </c:ext>
          </c:extLst>
        </c:ser>
        <c:ser>
          <c:idx val="20"/>
          <c:order val="33"/>
          <c:tx>
            <c:strRef>
              <c:f>'Frame Dimensions'!$B$37</c:f>
              <c:strCache>
                <c:ptCount val="1"/>
                <c:pt idx="0">
                  <c:v>MFTr1</c:v>
                </c:pt>
              </c:strCache>
            </c:strRef>
          </c:tx>
          <c:spPr>
            <a:ln w="12700">
              <a:solidFill>
                <a:srgbClr val="00B0F0"/>
              </a:solidFill>
            </a:ln>
          </c:spPr>
          <c:marker>
            <c:symbol val="none"/>
          </c:marker>
          <c:dLbls>
            <c:dLbl>
              <c:idx val="0"/>
              <c:layout>
                <c:manualLayout>
                  <c:x val="-9.6945845985002457E-2"/>
                  <c:y val="9.3910015291025703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 sz="600"/>
                  </a:pPr>
                  <a:endParaRPr lang="zh-CN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2C-4D35-4ACE-B5CB-74A5B855DF1B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/>
                </a:pPr>
                <a:endParaRPr lang="zh-CN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6350">
                      <a:prstDash val="dash"/>
                    </a:ln>
                  </c:spPr>
                </c15:leaderLines>
              </c:ext>
            </c:extLst>
          </c:dLbls>
          <c:xVal>
            <c:numRef>
              <c:f>('Frame Dimensions'!$J$37,'Frame Dimensions'!$J$38,'Frame Dimensions'!$J$39)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xVal>
          <c:yVal>
            <c:numRef>
              <c:f>('Frame Dimensions'!$K$37,'Frame Dimensions'!$K$38,'Frame Dimensions'!$K$39)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2D-4D35-4ACE-B5CB-74A5B855DF1B}"/>
            </c:ext>
          </c:extLst>
        </c:ser>
        <c:ser>
          <c:idx val="21"/>
          <c:order val="34"/>
          <c:tx>
            <c:strRef>
              <c:f>'Frame Dimensions'!$B$53</c:f>
              <c:strCache>
                <c:ptCount val="1"/>
                <c:pt idx="0">
                  <c:v>#REF!</c:v>
                </c:pt>
              </c:strCache>
            </c:strRef>
          </c:tx>
          <c:spPr>
            <a:ln w="12700">
              <a:solidFill>
                <a:srgbClr val="00B0F0"/>
              </a:solidFill>
            </a:ln>
          </c:spPr>
          <c:marker>
            <c:symbol val="none"/>
          </c:marker>
          <c:dLbls>
            <c:dLbl>
              <c:idx val="0"/>
              <c:layout>
                <c:manualLayout>
                  <c:x val="-8.0326558101859319E-2"/>
                  <c:y val="9.885264767476370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 sz="600"/>
                  </a:pPr>
                  <a:endParaRPr lang="zh-CN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2E-4D35-4ACE-B5CB-74A5B855DF1B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6350">
                      <a:prstDash val="dash"/>
                    </a:ln>
                  </c:spPr>
                </c15:leaderLines>
              </c:ext>
            </c:extLst>
          </c:dLbls>
          <c:xVal>
            <c:numRef>
              <c:f>('Frame Dimensions'!$J$53,'Frame Dimensions'!$J$54,'Frame Dimensions'!$J$55)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xVal>
          <c:yVal>
            <c:numRef>
              <c:f>('Frame Dimensions'!$K$53,'Frame Dimensions'!$K$54,'Frame Dimensions'!$K$55)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2F-4D35-4ACE-B5CB-74A5B855DF1B}"/>
            </c:ext>
          </c:extLst>
        </c:ser>
        <c:ser>
          <c:idx val="22"/>
          <c:order val="35"/>
          <c:tx>
            <c:strRef>
              <c:f>'Frame Dimensions'!$B$69</c:f>
              <c:strCache>
                <c:ptCount val="1"/>
                <c:pt idx="0">
                  <c:v>0</c:v>
                </c:pt>
              </c:strCache>
            </c:strRef>
          </c:tx>
          <c:spPr>
            <a:ln w="12700">
              <a:solidFill>
                <a:srgbClr val="00B0F0"/>
              </a:solidFill>
            </a:ln>
          </c:spPr>
          <c:marker>
            <c:symbol val="none"/>
          </c:marker>
          <c:dLbls>
            <c:dLbl>
              <c:idx val="0"/>
              <c:layout>
                <c:manualLayout>
                  <c:x val="-7.7556676788002002E-2"/>
                  <c:y val="9.885264767476370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 sz="600"/>
                  </a:pPr>
                  <a:endParaRPr lang="zh-CN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30-4D35-4ACE-B5CB-74A5B855DF1B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6350">
                      <a:prstDash val="dash"/>
                    </a:ln>
                  </c:spPr>
                </c15:leaderLines>
              </c:ext>
            </c:extLst>
          </c:dLbls>
          <c:xVal>
            <c:numRef>
              <c:f>('Frame Dimensions'!$J$69,'Frame Dimensions'!$J$70,'Frame Dimensions'!$J$71)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xVal>
          <c:yVal>
            <c:numRef>
              <c:f>('Frame Dimensions'!$K$69,'Frame Dimensions'!$K$70,'Frame Dimensions'!$K$71)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31-4D35-4ACE-B5CB-74A5B855DF1B}"/>
            </c:ext>
          </c:extLst>
        </c:ser>
        <c:ser>
          <c:idx val="23"/>
          <c:order val="36"/>
          <c:tx>
            <c:strRef>
              <c:f>'Frame Dimensions'!$B$85</c:f>
              <c:strCache>
                <c:ptCount val="1"/>
                <c:pt idx="0">
                  <c:v>0</c:v>
                </c:pt>
              </c:strCache>
            </c:strRef>
          </c:tx>
          <c:spPr>
            <a:ln w="12700">
              <a:solidFill>
                <a:srgbClr val="00B0F0"/>
              </a:solidFill>
            </a:ln>
          </c:spPr>
          <c:marker>
            <c:symbol val="none"/>
          </c:marker>
          <c:dLbls>
            <c:dLbl>
              <c:idx val="0"/>
              <c:layout>
                <c:manualLayout>
                  <c:x val="-2.2159050510857717E-2"/>
                  <c:y val="9.3910015291025703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 sz="600"/>
                  </a:pPr>
                  <a:endParaRPr lang="zh-CN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32-4D35-4ACE-B5CB-74A5B855DF1B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6350">
                      <a:prstDash val="dash"/>
                    </a:ln>
                  </c:spPr>
                </c15:leaderLines>
              </c:ext>
            </c:extLst>
          </c:dLbls>
          <c:xVal>
            <c:numRef>
              <c:f>('Frame Dimensions'!$J$85,'Frame Dimensions'!$J$86,'Frame Dimensions'!$J$87)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xVal>
          <c:yVal>
            <c:numRef>
              <c:f>('Frame Dimensions'!$K$85,'Frame Dimensions'!$K$86,'Frame Dimensions'!$K$87)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33-4D35-4ACE-B5CB-74A5B855DF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9725416"/>
        <c:axId val="489725808"/>
        <c:extLst xmlns:c16r2="http://schemas.microsoft.com/office/drawing/2015/06/chart"/>
      </c:scatterChart>
      <c:valAx>
        <c:axId val="4897254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</a:t>
                </a:r>
              </a:p>
            </c:rich>
          </c:tx>
          <c:overlay val="0"/>
        </c:title>
        <c:numFmt formatCode="0" sourceLinked="1"/>
        <c:majorTickMark val="out"/>
        <c:minorTickMark val="none"/>
        <c:tickLblPos val="nextTo"/>
        <c:crossAx val="489725808"/>
        <c:crosses val="autoZero"/>
        <c:crossBetween val="midCat"/>
        <c:majorUnit val="1000"/>
      </c:valAx>
      <c:valAx>
        <c:axId val="489725808"/>
        <c:scaling>
          <c:orientation val="minMax"/>
        </c:scaling>
        <c:delete val="0"/>
        <c:axPos val="l"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ln w="12700">
            <a:solidFill>
              <a:schemeClr val="tx1"/>
            </a:solidFill>
            <a:prstDash val="solid"/>
          </a:ln>
        </c:spPr>
        <c:crossAx val="489725416"/>
        <c:crosses val="autoZero"/>
        <c:crossBetween val="midCat"/>
        <c:majorUnit val="1000"/>
      </c:valAx>
    </c:plotArea>
    <c:plotVisOnly val="1"/>
    <c:dispBlanksAs val="gap"/>
    <c:showDLblsOverMax val="0"/>
  </c:chart>
  <c:spPr>
    <a:ln w="12700">
      <a:solidFill>
        <a:schemeClr val="tx1">
          <a:tint val="75000"/>
          <a:shade val="95000"/>
          <a:satMod val="105000"/>
        </a:schemeClr>
      </a:solidFill>
    </a:ln>
  </c:spPr>
  <c:printSettings>
    <c:headerFooter/>
    <c:pageMargins b="0.75000000000000722" l="0.70000000000000062" r="0.70000000000000062" t="0.7500000000000072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Drawings!$P$4</c:f>
          <c:strCache>
            <c:ptCount val="1"/>
            <c:pt idx="0">
              <c:v>XOE 273-90, RD135 Drive View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zh-CN"/>
        </a:p>
      </c:txPr>
    </c:title>
    <c:autoTitleDeleted val="0"/>
    <c:plotArea>
      <c:layout>
        <c:manualLayout>
          <c:layoutTarget val="inner"/>
          <c:xMode val="edge"/>
          <c:yMode val="edge"/>
          <c:x val="5.0157820931244081E-2"/>
          <c:y val="0.11868815818357474"/>
          <c:w val="0.8471926509186356"/>
          <c:h val="0.74119241354596732"/>
        </c:manualLayout>
      </c:layout>
      <c:scatterChart>
        <c:scatterStyle val="smoothMarker"/>
        <c:varyColors val="0"/>
        <c:ser>
          <c:idx val="8"/>
          <c:order val="0"/>
          <c:tx>
            <c:strRef>
              <c:f>'Frame Dimensions'!$Z$23</c:f>
              <c:strCache>
                <c:ptCount val="1"/>
                <c:pt idx="0">
                  <c:v>caly</c:v>
                </c:pt>
              </c:strCache>
            </c:strRef>
          </c:tx>
          <c:spPr>
            <a:ln w="12700"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('Frame Dimensions'!$Z$25,'Frame Dimensions'!$Z$25)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('Frame Dimensions'!$Z$24,'Frame Dimensions'!$Z$25)</c:f>
              <c:numCache>
                <c:formatCode>General</c:formatCode>
                <c:ptCount val="2"/>
                <c:pt idx="0" formatCode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E28B-4C69-B798-F055563EFFE7}"/>
            </c:ext>
          </c:extLst>
        </c:ser>
        <c:ser>
          <c:idx val="7"/>
          <c:order val="1"/>
          <c:tx>
            <c:strRef>
              <c:f>'Frame Dimensions'!$AA$23</c:f>
              <c:strCache>
                <c:ptCount val="1"/>
                <c:pt idx="0">
                  <c:v>calz</c:v>
                </c:pt>
              </c:strCache>
            </c:strRef>
          </c:tx>
          <c:spPr>
            <a:ln w="12700"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('Frame Dimensions'!$AA$24,'Frame Dimensions'!$AA$25)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('Frame Dimensions'!$Z$25,'Frame Dimensions'!$Z$25)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E28B-4C69-B798-F055563EFFE7}"/>
            </c:ext>
          </c:extLst>
        </c:ser>
        <c:ser>
          <c:idx val="1"/>
          <c:order val="2"/>
          <c:tx>
            <c:strRef>
              <c:f>'Frame Dimensions'!$B$90</c:f>
              <c:strCache>
                <c:ptCount val="1"/>
                <c:pt idx="0">
                  <c:v>VHF_L</c:v>
                </c:pt>
              </c:strCache>
            </c:strRef>
          </c:tx>
          <c:spPr>
            <a:ln w="1270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1"/>
              <c:layout>
                <c:manualLayout>
                  <c:x val="-0.14624575720743901"/>
                  <c:y val="-7.9376650533551044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 sz="600"/>
                  </a:pPr>
                  <a:endParaRPr lang="zh-CN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2-E28B-4C69-B798-F055563EFFE7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6350">
                      <a:prstDash val="dash"/>
                    </a:ln>
                  </c:spPr>
                </c15:leaderLines>
              </c:ext>
            </c:extLst>
          </c:dLbls>
          <c:xVal>
            <c:numRef>
              <c:f>('Frame Dimensions'!$O$91,'Frame Dimensions'!$O$90)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('Frame Dimensions'!$N$91,'Frame Dimensions'!$N$90)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E28B-4C69-B798-F055563EFFE7}"/>
            </c:ext>
          </c:extLst>
        </c:ser>
        <c:ser>
          <c:idx val="0"/>
          <c:order val="3"/>
          <c:tx>
            <c:strRef>
              <c:f>'Frame Dimensions'!$B$93</c:f>
              <c:strCache>
                <c:ptCount val="1"/>
                <c:pt idx="0">
                  <c:v>VHF_R</c:v>
                </c:pt>
              </c:strCache>
            </c:strRef>
          </c:tx>
          <c:spPr>
            <a:ln w="1270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1"/>
              <c:layout>
                <c:manualLayout>
                  <c:x val="4.1266493600119226E-2"/>
                  <c:y val="-6.9257931260139877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 sz="600"/>
                  </a:pPr>
                  <a:endParaRPr lang="zh-CN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4-E28B-4C69-B798-F055563EFFE7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6350">
                      <a:prstDash val="dash"/>
                    </a:ln>
                  </c:spPr>
                </c15:leaderLines>
              </c:ext>
            </c:extLst>
          </c:dLbls>
          <c:xVal>
            <c:numRef>
              <c:f>('Frame Dimensions'!$O$94,'Frame Dimensions'!$O$93)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('Frame Dimensions'!$N$94,'Frame Dimensions'!$N$93)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5-E28B-4C69-B798-F055563EFFE7}"/>
            </c:ext>
          </c:extLst>
        </c:ser>
        <c:ser>
          <c:idx val="2"/>
          <c:order val="4"/>
          <c:tx>
            <c:strRef>
              <c:f>'Frame Dimensions'!$B$115</c:f>
              <c:strCache>
                <c:ptCount val="1"/>
                <c:pt idx="0">
                  <c:v>SFX</c:v>
                </c:pt>
              </c:strCache>
            </c:strRef>
          </c:tx>
          <c:spPr>
            <a:ln w="6350">
              <a:solidFill>
                <a:schemeClr val="tx1"/>
              </a:solidFill>
              <a:prstDash val="solid"/>
            </a:ln>
          </c:spPr>
          <c:marker>
            <c:symbol val="none"/>
          </c:marker>
          <c:dLbls>
            <c:dLbl>
              <c:idx val="1"/>
              <c:layout>
                <c:manualLayout>
                  <c:x val="6.6004470893392606E-2"/>
                  <c:y val="-3.4762384050439479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 sz="600"/>
                  </a:pPr>
                  <a:endParaRPr lang="zh-CN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6-E28B-4C69-B798-F055563EFFE7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6350">
                      <a:prstDash val="dash"/>
                    </a:ln>
                  </c:spPr>
                </c15:leaderLines>
              </c:ext>
            </c:extLst>
          </c:dLbls>
          <c:xVal>
            <c:numRef>
              <c:f>('Frame Dimensions'!$L$115,'Frame Dimensions'!$O$115)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('Frame Dimensions'!$K$115,'Frame Dimensions'!$N$115)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7-E28B-4C69-B798-F055563EFFE7}"/>
            </c:ext>
          </c:extLst>
        </c:ser>
        <c:ser>
          <c:idx val="5"/>
          <c:order val="5"/>
          <c:tx>
            <c:v>SFXL</c:v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('Frame Dimensions'!$L$116,'Frame Dimensions'!$L$115)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('Frame Dimensions'!$K$116,'Frame Dimensions'!$K$115)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8-E28B-4C69-B798-F055563EFFE7}"/>
            </c:ext>
          </c:extLst>
        </c:ser>
        <c:ser>
          <c:idx val="9"/>
          <c:order val="6"/>
          <c:tx>
            <c:v>SFXR</c:v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('Frame Dimensions'!$O$116,'Frame Dimensions'!$O$115)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('Frame Dimensions'!$N$116,'Frame Dimensions'!$N$115)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9-E28B-4C69-B798-F055563EFFE7}"/>
            </c:ext>
          </c:extLst>
        </c:ser>
        <c:ser>
          <c:idx val="4"/>
          <c:order val="7"/>
          <c:tx>
            <c:strRef>
              <c:f>House!$A$53</c:f>
              <c:strCache>
                <c:ptCount val="1"/>
                <c:pt idx="0">
                  <c:v>COMPLETE HOUSE outside RD, 135, 1269</c:v>
                </c:pt>
              </c:strCache>
            </c:strRef>
          </c:tx>
          <c:spPr>
            <a:ln w="1270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House!$C$56:$Y$56</c:f>
              <c:numCache>
                <c:formatCode>0</c:formatCode>
                <c:ptCount val="23"/>
                <c:pt idx="0">
                  <c:v>1073.5999999999999</c:v>
                </c:pt>
                <c:pt idx="1">
                  <c:v>982</c:v>
                </c:pt>
                <c:pt idx="2">
                  <c:v>876.2</c:v>
                </c:pt>
                <c:pt idx="3">
                  <c:v>706.8</c:v>
                </c:pt>
                <c:pt idx="4">
                  <c:v>482.5</c:v>
                </c:pt>
                <c:pt idx="5">
                  <c:v>216.3</c:v>
                </c:pt>
                <c:pt idx="6">
                  <c:v>-75.7</c:v>
                </c:pt>
                <c:pt idx="7">
                  <c:v>-374.6</c:v>
                </c:pt>
                <c:pt idx="8">
                  <c:v>-660.6</c:v>
                </c:pt>
                <c:pt idx="9">
                  <c:v>-913.7</c:v>
                </c:pt>
                <c:pt idx="10">
                  <c:v>-1115.5</c:v>
                </c:pt>
                <c:pt idx="11">
                  <c:v>-1250.2</c:v>
                </c:pt>
                <c:pt idx="12">
                  <c:v>-1305.9000000000001</c:v>
                </c:pt>
                <c:pt idx="13">
                  <c:v>-1275.5</c:v>
                </c:pt>
                <c:pt idx="14">
                  <c:v>-1157.5</c:v>
                </c:pt>
                <c:pt idx="15">
                  <c:v>-956.2</c:v>
                </c:pt>
                <c:pt idx="16">
                  <c:v>-681.9</c:v>
                </c:pt>
                <c:pt idx="17">
                  <c:v>-350</c:v>
                </c:pt>
                <c:pt idx="18">
                  <c:v>19.3</c:v>
                </c:pt>
                <c:pt idx="19">
                  <c:v>402.7</c:v>
                </c:pt>
                <c:pt idx="20">
                  <c:v>774.8</c:v>
                </c:pt>
                <c:pt idx="21">
                  <c:v>1109.8</c:v>
                </c:pt>
                <c:pt idx="22">
                  <c:v>1871.1</c:v>
                </c:pt>
              </c:numCache>
            </c:numRef>
          </c:xVal>
          <c:yVal>
            <c:numRef>
              <c:f>House!$C$58:$Y$58</c:f>
              <c:numCache>
                <c:formatCode>0</c:formatCode>
                <c:ptCount val="23"/>
                <c:pt idx="0">
                  <c:v>820</c:v>
                </c:pt>
                <c:pt idx="1">
                  <c:v>911.6</c:v>
                </c:pt>
                <c:pt idx="2">
                  <c:v>661.1</c:v>
                </c:pt>
                <c:pt idx="3">
                  <c:v>441.4</c:v>
                </c:pt>
                <c:pt idx="4">
                  <c:v>268.60000000000002</c:v>
                </c:pt>
                <c:pt idx="5">
                  <c:v>156.29999999999995</c:v>
                </c:pt>
                <c:pt idx="6">
                  <c:v>114.70000000000005</c:v>
                </c:pt>
                <c:pt idx="7">
                  <c:v>149.5</c:v>
                </c:pt>
                <c:pt idx="8">
                  <c:v>261.5</c:v>
                </c:pt>
                <c:pt idx="9">
                  <c:v>446.29999999999995</c:v>
                </c:pt>
                <c:pt idx="10">
                  <c:v>694.5</c:v>
                </c:pt>
                <c:pt idx="11">
                  <c:v>991.8</c:v>
                </c:pt>
                <c:pt idx="12">
                  <c:v>1320.3</c:v>
                </c:pt>
                <c:pt idx="13">
                  <c:v>1659</c:v>
                </c:pt>
                <c:pt idx="14">
                  <c:v>1985.3</c:v>
                </c:pt>
                <c:pt idx="15">
                  <c:v>2276.6</c:v>
                </c:pt>
                <c:pt idx="16">
                  <c:v>2511.9</c:v>
                </c:pt>
                <c:pt idx="17">
                  <c:v>2672.8</c:v>
                </c:pt>
                <c:pt idx="18">
                  <c:v>2745.4</c:v>
                </c:pt>
                <c:pt idx="19">
                  <c:v>2721.1</c:v>
                </c:pt>
                <c:pt idx="20">
                  <c:v>2597.5</c:v>
                </c:pt>
                <c:pt idx="21">
                  <c:v>2378.8000000000002</c:v>
                </c:pt>
                <c:pt idx="22">
                  <c:v>1617.5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A-E28B-4C69-B798-F055563EFFE7}"/>
            </c:ext>
          </c:extLst>
        </c:ser>
        <c:ser>
          <c:idx val="6"/>
          <c:order val="8"/>
          <c:tx>
            <c:strRef>
              <c:f>'Select Drive &amp; Motor'!$B$28</c:f>
              <c:strCache>
                <c:ptCount val="1"/>
                <c:pt idx="0">
                  <c:v>Center Height (RD/135)</c:v>
                </c:pt>
              </c:strCache>
            </c:strRef>
          </c:tx>
          <c:spPr>
            <a:ln w="31750">
              <a:solidFill>
                <a:schemeClr val="tx1"/>
              </a:solidFill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0</c:v>
              </c:pt>
            </c:numLit>
          </c:xVal>
          <c:yVal>
            <c:numRef>
              <c:f>(House!$AH$11,House!$AI$11)</c:f>
              <c:numCache>
                <c:formatCode>_-\ ###0_-;\-\ ###0_-;_-\ "-"??_-;_-@_-</c:formatCode>
                <c:ptCount val="2"/>
                <c:pt idx="0">
                  <c:v>1270</c:v>
                </c:pt>
                <c:pt idx="1">
                  <c:v>1268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B-E28B-4C69-B798-F055563EFFE7}"/>
            </c:ext>
          </c:extLst>
        </c:ser>
        <c:ser>
          <c:idx val="14"/>
          <c:order val="9"/>
          <c:tx>
            <c:strRef>
              <c:f>House!$Y$54</c:f>
              <c:strCache>
                <c:ptCount val="1"/>
                <c:pt idx="0">
                  <c:v>HfunnelR</c:v>
                </c:pt>
              </c:strCache>
            </c:strRef>
          </c:tx>
          <c:spPr>
            <a:ln w="1270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(House!$C$56,House!$Y$56)</c:f>
              <c:numCache>
                <c:formatCode>0</c:formatCode>
                <c:ptCount val="2"/>
                <c:pt idx="0">
                  <c:v>1073.5999999999999</c:v>
                </c:pt>
                <c:pt idx="1">
                  <c:v>1871.1</c:v>
                </c:pt>
              </c:numCache>
            </c:numRef>
          </c:xVal>
          <c:yVal>
            <c:numRef>
              <c:f>(House!$C$58,House!$Y$58)</c:f>
              <c:numCache>
                <c:formatCode>0</c:formatCode>
                <c:ptCount val="2"/>
                <c:pt idx="0">
                  <c:v>820</c:v>
                </c:pt>
                <c:pt idx="1">
                  <c:v>1617.5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C-E28B-4C69-B798-F055563EFFE7}"/>
            </c:ext>
          </c:extLst>
        </c:ser>
        <c:ser>
          <c:idx val="15"/>
          <c:order val="10"/>
          <c:tx>
            <c:strRef>
              <c:f>'House reinf, Drive Side'!$B$79</c:f>
              <c:strCache>
                <c:ptCount val="1"/>
                <c:pt idx="0">
                  <c:v>#REF!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D-E28B-4C69-B798-F055563EFFE7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0"/>
            <c:showCatName val="0"/>
            <c:showSerName val="1"/>
            <c:showPercent val="0"/>
            <c:showBubbleSize val="0"/>
            <c:separator> </c:separator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('House reinf, Drive Side'!$B$83,'House reinf, Drive Side'!$B$85)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('House reinf, Drive Side'!$B$84,'House reinf, Drive Side'!$B$86)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E-E28B-4C69-B798-F055563EFFE7}"/>
            </c:ext>
          </c:extLst>
        </c:ser>
        <c:ser>
          <c:idx val="18"/>
          <c:order val="11"/>
          <c:tx>
            <c:strRef>
              <c:f>'House reinf, Drive Side'!$C$79</c:f>
              <c:strCache>
                <c:ptCount val="1"/>
                <c:pt idx="0">
                  <c:v>#REF!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F-E28B-4C69-B798-F055563EFFE7}"/>
                </c:ext>
                <c:ext xmlns:c15="http://schemas.microsoft.com/office/drawing/2012/chart" uri="{CE6537A1-D6FC-4f65-9D91-7224C49458BB}"/>
              </c:extLst>
            </c:dLbl>
            <c:dLbl>
              <c:idx val="1"/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10-E28B-4C69-B798-F055563EFFE7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('House reinf, Drive Side'!$C$83,'House reinf, Drive Side'!$C$85)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('House reinf, Drive Side'!$C$84,'House reinf, Drive Side'!$C$86)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11-E28B-4C69-B798-F055563EFFE7}"/>
            </c:ext>
          </c:extLst>
        </c:ser>
        <c:ser>
          <c:idx val="19"/>
          <c:order val="12"/>
          <c:tx>
            <c:strRef>
              <c:f>'House reinf, Drive Side'!$D$79</c:f>
              <c:strCache>
                <c:ptCount val="1"/>
                <c:pt idx="0">
                  <c:v>#REF!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dLbls>
            <c:dLbl>
              <c:idx val="1"/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12-E28B-4C69-B798-F055563EFFE7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('House reinf, Drive Side'!$D$83,'House reinf, Drive Side'!$D$85)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('House reinf, Drive Side'!$D$84,'House reinf, Drive Side'!$D$86)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13-E28B-4C69-B798-F055563EFFE7}"/>
            </c:ext>
          </c:extLst>
        </c:ser>
        <c:ser>
          <c:idx val="20"/>
          <c:order val="13"/>
          <c:tx>
            <c:strRef>
              <c:f>'House reinf, Drive Side'!$E$79</c:f>
              <c:strCache>
                <c:ptCount val="1"/>
                <c:pt idx="0">
                  <c:v>#REF!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dLbls>
            <c:dLbl>
              <c:idx val="1"/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14-E28B-4C69-B798-F055563EFFE7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('House reinf, Drive Side'!$E$83,'House reinf, Drive Side'!$E$85)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('House reinf, Drive Side'!$E$84,'House reinf, Drive Side'!$E$86)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15-E28B-4C69-B798-F055563EFFE7}"/>
            </c:ext>
          </c:extLst>
        </c:ser>
        <c:ser>
          <c:idx val="21"/>
          <c:order val="14"/>
          <c:tx>
            <c:strRef>
              <c:f>'House reinf, Drive Side'!$F$79</c:f>
              <c:strCache>
                <c:ptCount val="1"/>
                <c:pt idx="0">
                  <c:v>#REF!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dLbls>
            <c:dLbl>
              <c:idx val="1"/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16-E28B-4C69-B798-F055563EFFE7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('House reinf, Drive Side'!$F$83,'House reinf, Drive Side'!$F$85)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('House reinf, Drive Side'!$F$84,'House reinf, Drive Side'!$F$86)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17-E28B-4C69-B798-F055563EFFE7}"/>
            </c:ext>
          </c:extLst>
        </c:ser>
        <c:ser>
          <c:idx val="22"/>
          <c:order val="15"/>
          <c:tx>
            <c:strRef>
              <c:f>'House reinf, Drive Side'!$G$79</c:f>
              <c:strCache>
                <c:ptCount val="1"/>
                <c:pt idx="0">
                  <c:v>#REF!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dLbls>
            <c:dLbl>
              <c:idx val="1"/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18-E28B-4C69-B798-F055563EFFE7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('House reinf, Drive Side'!$G$83,'House reinf, Drive Side'!$G$85)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('House reinf, Drive Side'!$G$84,'House reinf, Drive Side'!$G$86)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19-E28B-4C69-B798-F055563EFFE7}"/>
            </c:ext>
          </c:extLst>
        </c:ser>
        <c:ser>
          <c:idx val="23"/>
          <c:order val="16"/>
          <c:tx>
            <c:strRef>
              <c:f>'House reinf, Drive Side'!$H$79</c:f>
              <c:strCache>
                <c:ptCount val="1"/>
                <c:pt idx="0">
                  <c:v>#REF!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dLbls>
            <c:dLbl>
              <c:idx val="1"/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1A-E28B-4C69-B798-F055563EFFE7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('House reinf, Drive Side'!$H$83,'House reinf, Drive Side'!$H$85)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('House reinf, Drive Side'!$H$84,'House reinf, Drive Side'!$H$86)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1B-E28B-4C69-B798-F055563EFFE7}"/>
            </c:ext>
          </c:extLst>
        </c:ser>
        <c:ser>
          <c:idx val="24"/>
          <c:order val="17"/>
          <c:tx>
            <c:strRef>
              <c:f>'House reinf, Drive Side'!$I$79</c:f>
              <c:strCache>
                <c:ptCount val="1"/>
                <c:pt idx="0">
                  <c:v>#REF!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1C-E28B-4C69-B798-F055563EFFE7}"/>
                </c:ext>
                <c:ext xmlns:c15="http://schemas.microsoft.com/office/drawing/2012/chart" uri="{CE6537A1-D6FC-4f65-9D91-7224C49458BB}"/>
              </c:extLst>
            </c:dLbl>
            <c:dLbl>
              <c:idx val="1"/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1D-E28B-4C69-B798-F055563EFFE7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('House reinf, Drive Side'!$I$83,'House reinf, Drive Side'!$I$85)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('House reinf, Drive Side'!$I$84,'House reinf, Drive Side'!$I$86)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1E-E28B-4C69-B798-F055563EFFE7}"/>
            </c:ext>
          </c:extLst>
        </c:ser>
        <c:ser>
          <c:idx val="25"/>
          <c:order val="18"/>
          <c:tx>
            <c:strRef>
              <c:f>'House reinf, Drive Side'!$J$79</c:f>
              <c:strCache>
                <c:ptCount val="1"/>
                <c:pt idx="0">
                  <c:v>#REF!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dLbls>
            <c:dLbl>
              <c:idx val="1"/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1F-E28B-4C69-B798-F055563EFFE7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('House reinf, Drive Side'!$J$83,'House reinf, Drive Side'!$J$85)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('House reinf, Drive Side'!$J$84,'House reinf, Drive Side'!$J$86)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20-E28B-4C69-B798-F055563EFFE7}"/>
            </c:ext>
          </c:extLst>
        </c:ser>
        <c:ser>
          <c:idx val="26"/>
          <c:order val="19"/>
          <c:tx>
            <c:strRef>
              <c:f>'House reinf, Drive Side'!$K$79</c:f>
              <c:strCache>
                <c:ptCount val="1"/>
                <c:pt idx="0">
                  <c:v>#REF!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21-E28B-4C69-B798-F055563EFFE7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('House reinf, Drive Side'!$K$83,'House reinf, Drive Side'!$K$85)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('House reinf, Drive Side'!$K$84,'House reinf, Drive Side'!$K$86)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22-E28B-4C69-B798-F055563EFFE7}"/>
            </c:ext>
          </c:extLst>
        </c:ser>
        <c:ser>
          <c:idx val="27"/>
          <c:order val="20"/>
          <c:tx>
            <c:strRef>
              <c:f>'House reinf, Drive Side'!$L$79</c:f>
              <c:strCache>
                <c:ptCount val="1"/>
                <c:pt idx="0">
                  <c:v>#REF!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dLbls>
            <c:dLbl>
              <c:idx val="1"/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23-E28B-4C69-B798-F055563EFFE7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('House reinf, Drive Side'!$L$83,'House reinf, Drive Side'!$L$85)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('House reinf, Drive Side'!$L$84,'House reinf, Drive Side'!$L$86)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24-E28B-4C69-B798-F055563EFFE7}"/>
            </c:ext>
          </c:extLst>
        </c:ser>
        <c:ser>
          <c:idx val="28"/>
          <c:order val="21"/>
          <c:tx>
            <c:strRef>
              <c:f>'House reinf, Drive Side'!$M$79</c:f>
              <c:strCache>
                <c:ptCount val="1"/>
                <c:pt idx="0">
                  <c:v>#REF!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dLbls>
            <c:dLbl>
              <c:idx val="1"/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25-E28B-4C69-B798-F055563EFFE7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('House reinf, Drive Side'!$M$83,'House reinf, Drive Side'!$M$85)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('House reinf, Drive Side'!$M$84,'House reinf, Drive Side'!$M$86)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26-E28B-4C69-B798-F055563EFFE7}"/>
            </c:ext>
          </c:extLst>
        </c:ser>
        <c:ser>
          <c:idx val="29"/>
          <c:order val="22"/>
          <c:tx>
            <c:strRef>
              <c:f>'House reinf, Drive Side'!$N$79</c:f>
              <c:strCache>
                <c:ptCount val="1"/>
                <c:pt idx="0">
                  <c:v>#REF!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27-E28B-4C69-B798-F055563EFFE7}"/>
                </c:ext>
                <c:ext xmlns:c15="http://schemas.microsoft.com/office/drawing/2012/chart" uri="{CE6537A1-D6FC-4f65-9D91-7224C49458BB}"/>
              </c:extLst>
            </c:dLbl>
            <c:dLbl>
              <c:idx val="1"/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28-E28B-4C69-B798-F055563EFFE7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('House reinf, Drive Side'!$N$83,'House reinf, Drive Side'!$N$85)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('House reinf, Drive Side'!$N$84,'House reinf, Drive Side'!$N$86)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29-E28B-4C69-B798-F055563EFFE7}"/>
            </c:ext>
          </c:extLst>
        </c:ser>
        <c:ser>
          <c:idx val="30"/>
          <c:order val="23"/>
          <c:tx>
            <c:strRef>
              <c:f>'House reinf, Drive Side'!$O$79</c:f>
              <c:strCache>
                <c:ptCount val="1"/>
                <c:pt idx="0">
                  <c:v>#REF!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2A-E28B-4C69-B798-F055563EFFE7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('House reinf, Drive Side'!$O$83,'House reinf, Drive Side'!$O$85)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('House reinf, Drive Side'!$O$84,'House reinf, Drive Side'!$O$86)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2B-E28B-4C69-B798-F055563EFFE7}"/>
            </c:ext>
          </c:extLst>
        </c:ser>
        <c:ser>
          <c:idx val="31"/>
          <c:order val="24"/>
          <c:tx>
            <c:strRef>
              <c:f>'House reinf, Drive Side'!$P$79</c:f>
              <c:strCache>
                <c:ptCount val="1"/>
                <c:pt idx="0">
                  <c:v>#REF!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dLbls>
            <c:dLbl>
              <c:idx val="1"/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2C-E28B-4C69-B798-F055563EFFE7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('House reinf, Drive Side'!$P$83,'House reinf, Drive Side'!$P$85)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('House reinf, Drive Side'!$P$84,'House reinf, Drive Side'!$P$86)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2D-E28B-4C69-B798-F055563EFFE7}"/>
            </c:ext>
          </c:extLst>
        </c:ser>
        <c:ser>
          <c:idx val="32"/>
          <c:order val="25"/>
          <c:tx>
            <c:strRef>
              <c:f>'House reinf, Drive Side'!$Q$79</c:f>
              <c:strCache>
                <c:ptCount val="1"/>
                <c:pt idx="0">
                  <c:v>#REF!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dLbls>
            <c:dLbl>
              <c:idx val="1"/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2E-E28B-4C69-B798-F055563EFFE7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('House reinf, Drive Side'!$Q$83,'House reinf, Drive Side'!$Q$85)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('House reinf, Drive Side'!$Q$84,'House reinf, Drive Side'!$Q$86)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2F-E28B-4C69-B798-F055563EFFE7}"/>
            </c:ext>
          </c:extLst>
        </c:ser>
        <c:ser>
          <c:idx val="33"/>
          <c:order val="26"/>
          <c:tx>
            <c:strRef>
              <c:f>'House reinf, Drive Side'!$R$79</c:f>
              <c:strCache>
                <c:ptCount val="1"/>
                <c:pt idx="0">
                  <c:v>#REF!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dLbls>
            <c:dLbl>
              <c:idx val="1"/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30-E28B-4C69-B798-F055563EFFE7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('House reinf, Drive Side'!$R$83,'House reinf, Drive Side'!$R$85)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('House reinf, Drive Side'!$R$84,'House reinf, Drive Side'!$R$86)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31-E28B-4C69-B798-F055563EFFE7}"/>
            </c:ext>
          </c:extLst>
        </c:ser>
        <c:ser>
          <c:idx val="34"/>
          <c:order val="27"/>
          <c:tx>
            <c:strRef>
              <c:f>'House reinf, Drive Side'!$S$79</c:f>
              <c:strCache>
                <c:ptCount val="1"/>
                <c:pt idx="0">
                  <c:v>#REF!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dLbls>
            <c:dLbl>
              <c:idx val="1"/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32-E28B-4C69-B798-F055563EFFE7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('House reinf, Drive Side'!$S$83,'House reinf, Drive Side'!$S$85)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('House reinf, Drive Side'!$S$84,'House reinf, Drive Side'!$S$86)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33-E28B-4C69-B798-F055563EFFE7}"/>
            </c:ext>
          </c:extLst>
        </c:ser>
        <c:ser>
          <c:idx val="35"/>
          <c:order val="28"/>
          <c:tx>
            <c:strRef>
              <c:f>'House reinf, Drive Side'!$T$79</c:f>
              <c:strCache>
                <c:ptCount val="1"/>
                <c:pt idx="0">
                  <c:v>#REF!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dLbls>
            <c:dLbl>
              <c:idx val="1"/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34-E28B-4C69-B798-F055563EFFE7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('House reinf, Drive Side'!$T$83,'House reinf, Drive Side'!$T$85)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('House reinf, Drive Side'!$T$84,'House reinf, Drive Side'!$T$86)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35-E28B-4C69-B798-F055563EFFE7}"/>
            </c:ext>
          </c:extLst>
        </c:ser>
        <c:ser>
          <c:idx val="36"/>
          <c:order val="29"/>
          <c:tx>
            <c:strRef>
              <c:f>'House reinf, Drive Side'!$U$79</c:f>
              <c:strCache>
                <c:ptCount val="1"/>
                <c:pt idx="0">
                  <c:v>#REF!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dLbls>
            <c:dLbl>
              <c:idx val="1"/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36-E28B-4C69-B798-F055563EFFE7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('House reinf, Drive Side'!$U$83,'House reinf, Drive Side'!$U$85)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('House reinf, Drive Side'!$U$84,'House reinf, Drive Side'!$U$86)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37-E28B-4C69-B798-F055563EFFE7}"/>
            </c:ext>
          </c:extLst>
        </c:ser>
        <c:ser>
          <c:idx val="37"/>
          <c:order val="30"/>
          <c:tx>
            <c:strRef>
              <c:f>'House reinf, Drive Side'!$V$79</c:f>
              <c:strCache>
                <c:ptCount val="1"/>
                <c:pt idx="0">
                  <c:v>#REF!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dLbls>
            <c:dLbl>
              <c:idx val="1"/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38-E28B-4C69-B798-F055563EFFE7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('House reinf, Drive Side'!$V$83,'House reinf, Drive Side'!$V$85)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('House reinf, Drive Side'!$V$84,'House reinf, Drive Side'!$V$86)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39-E28B-4C69-B798-F055563EFFE7}"/>
            </c:ext>
          </c:extLst>
        </c:ser>
        <c:ser>
          <c:idx val="38"/>
          <c:order val="31"/>
          <c:tx>
            <c:strRef>
              <c:f>'House reinf, Drive Side'!$W$79</c:f>
              <c:strCache>
                <c:ptCount val="1"/>
                <c:pt idx="0">
                  <c:v>#REF!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dLbls>
            <c:dLbl>
              <c:idx val="1"/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3A-E28B-4C69-B798-F055563EFFE7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('House reinf, Drive Side'!$W$83,'House reinf, Drive Side'!$W$85)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('House reinf, Drive Side'!$W$84,'House reinf, Drive Side'!$W$86)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3B-E28B-4C69-B798-F055563EFFE7}"/>
            </c:ext>
          </c:extLst>
        </c:ser>
        <c:ser>
          <c:idx val="39"/>
          <c:order val="32"/>
          <c:tx>
            <c:strRef>
              <c:f>'House reinf, Drive Side'!$X$79</c:f>
              <c:strCache>
                <c:ptCount val="1"/>
                <c:pt idx="0">
                  <c:v>#REF!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dLbls>
            <c:dLbl>
              <c:idx val="1"/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3C-E28B-4C69-B798-F055563EFFE7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('House reinf, Drive Side'!$X$83,'House reinf, Drive Side'!$X$85)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('House reinf, Drive Side'!$X$84,'House reinf, Drive Side'!$X$86)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3D-E28B-4C69-B798-F055563EFFE7}"/>
            </c:ext>
          </c:extLst>
        </c:ser>
        <c:ser>
          <c:idx val="40"/>
          <c:order val="33"/>
          <c:tx>
            <c:strRef>
              <c:f>'House reinf, Drive Side'!$Y$79</c:f>
              <c:strCache>
                <c:ptCount val="1"/>
                <c:pt idx="0">
                  <c:v>#REF!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dLbls>
            <c:dLbl>
              <c:idx val="1"/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3E-E28B-4C69-B798-F055563EFFE7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('House reinf, Drive Side'!$Y$83,'House reinf, Drive Side'!$Y$85)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('House reinf, Drive Side'!$Y$84,'House reinf, Drive Side'!$Y$86)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3F-E28B-4C69-B798-F055563EFFE7}"/>
            </c:ext>
          </c:extLst>
        </c:ser>
        <c:ser>
          <c:idx val="41"/>
          <c:order val="34"/>
          <c:tx>
            <c:strRef>
              <c:f>'House reinf, Drive Side'!$Z$79</c:f>
              <c:strCache>
                <c:ptCount val="1"/>
                <c:pt idx="0">
                  <c:v>#REF!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dLbls>
            <c:dLbl>
              <c:idx val="1"/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40-E28B-4C69-B798-F055563EFFE7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('House reinf, Drive Side'!$Z$83,'House reinf, Drive Side'!$Z$85)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('House reinf, Drive Side'!$Z$84,'House reinf, Drive Side'!$Z$86)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41-E28B-4C69-B798-F055563EFFE7}"/>
            </c:ext>
          </c:extLst>
        </c:ser>
        <c:ser>
          <c:idx val="42"/>
          <c:order val="35"/>
          <c:tx>
            <c:strRef>
              <c:f>'House reinf, Drive Side'!$AA$79</c:f>
              <c:strCache>
                <c:ptCount val="1"/>
                <c:pt idx="0">
                  <c:v>#REF!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dLbls>
            <c:dLbl>
              <c:idx val="1"/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42-E28B-4C69-B798-F055563EFFE7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('House reinf, Drive Side'!$AA$83,'House reinf, Drive Side'!$AA$85)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('House reinf, Drive Side'!$AA$84,'House reinf, Drive Side'!$AA$86)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43-E28B-4C69-B798-F055563EFFE7}"/>
            </c:ext>
          </c:extLst>
        </c:ser>
        <c:ser>
          <c:idx val="43"/>
          <c:order val="36"/>
          <c:tx>
            <c:strRef>
              <c:f>'House reinf, Drive Side'!$AB$79</c:f>
              <c:strCache>
                <c:ptCount val="1"/>
                <c:pt idx="0">
                  <c:v>#REF!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dPt>
            <c:idx val="1"/>
            <c:bubble3D val="0"/>
            <c:spPr>
              <a:ln w="12700">
                <a:solidFill>
                  <a:srgbClr val="FF0000"/>
                </a:solidFill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45-E28B-4C69-B798-F055563EFFE7}"/>
              </c:ext>
            </c:extLst>
          </c:dPt>
          <c:dLbls>
            <c:dLbl>
              <c:idx val="1"/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45-E28B-4C69-B798-F055563EFFE7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('House reinf, Drive Side'!$AB$83,'House reinf, Drive Side'!$AB$85)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('House reinf, Drive Side'!$AB$84,'House reinf, Drive Side'!$AB$86)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46-E28B-4C69-B798-F055563EFFE7}"/>
            </c:ext>
          </c:extLst>
        </c:ser>
        <c:ser>
          <c:idx val="10"/>
          <c:order val="37"/>
          <c:tx>
            <c:strRef>
              <c:f>'Frame Dimensions'!$B$96</c:f>
              <c:strCache>
                <c:ptCount val="1"/>
                <c:pt idx="0">
                  <c:v>HFHi</c:v>
                </c:pt>
              </c:strCache>
            </c:strRef>
          </c:tx>
          <c:spPr>
            <a:ln w="1270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1"/>
              <c:layout>
                <c:manualLayout>
                  <c:x val="3.8515394026777949E-2"/>
                  <c:y val="-9.8939901800199834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 sz="600"/>
                  </a:pPr>
                  <a:endParaRPr lang="zh-CN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47-E28B-4C69-B798-F055563EFFE7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6350">
                      <a:prstDash val="dash"/>
                    </a:ln>
                  </c:spPr>
                </c15:leaderLines>
              </c:ext>
            </c:extLst>
          </c:dLbls>
          <c:xVal>
            <c:numRef>
              <c:f>('Frame Dimensions'!$L$96,'Frame Dimensions'!$O$96)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('Frame Dimensions'!$K$96,'Frame Dimensions'!$N$96)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48-E28B-4C69-B798-F055563EFFE7}"/>
            </c:ext>
          </c:extLst>
        </c:ser>
        <c:ser>
          <c:idx val="12"/>
          <c:order val="38"/>
          <c:tx>
            <c:strRef>
              <c:f>'Frame Dimensions'!$B$73</c:f>
              <c:strCache>
                <c:ptCount val="1"/>
                <c:pt idx="0">
                  <c:v>0</c:v>
                </c:pt>
              </c:strCache>
            </c:strRef>
          </c:tx>
          <c:spPr>
            <a:ln w="9525">
              <a:solidFill>
                <a:srgbClr val="00B0F0"/>
              </a:solidFill>
              <a:prstDash val="solid"/>
            </a:ln>
          </c:spPr>
          <c:marker>
            <c:symbol val="none"/>
          </c:marker>
          <c:xVal>
            <c:numRef>
              <c:f>('Frame Dimensions'!$L$73,'Frame Dimensions'!$O$73)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('Frame Dimensions'!$K$73,'Frame Dimensions'!$N$73)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49-E28B-4C69-B798-F055563EFFE7}"/>
            </c:ext>
          </c:extLst>
        </c:ser>
        <c:ser>
          <c:idx val="11"/>
          <c:order val="39"/>
          <c:tx>
            <c:strRef>
              <c:f>'Frame Dimensions'!$B$77</c:f>
              <c:strCache>
                <c:ptCount val="1"/>
                <c:pt idx="0">
                  <c:v>0</c:v>
                </c:pt>
              </c:strCache>
            </c:strRef>
          </c:tx>
          <c:spPr>
            <a:ln w="9525">
              <a:solidFill>
                <a:srgbClr val="00B0F0"/>
              </a:solidFill>
              <a:prstDash val="solid"/>
            </a:ln>
          </c:spPr>
          <c:marker>
            <c:symbol val="none"/>
          </c:marker>
          <c:xVal>
            <c:numRef>
              <c:f>('Frame Dimensions'!$L$77,'Frame Dimensions'!$O$77)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('Frame Dimensions'!$K$77,'Frame Dimensions'!$N$77)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4A-E28B-4C69-B798-F055563EFFE7}"/>
            </c:ext>
          </c:extLst>
        </c:ser>
        <c:ser>
          <c:idx val="44"/>
          <c:order val="40"/>
          <c:tx>
            <c:strRef>
              <c:f>'Frame Dimensions'!$B$81</c:f>
              <c:strCache>
                <c:ptCount val="1"/>
                <c:pt idx="0">
                  <c:v>0</c:v>
                </c:pt>
              </c:strCache>
            </c:strRef>
          </c:tx>
          <c:spPr>
            <a:ln w="9525">
              <a:solidFill>
                <a:srgbClr val="00B0F0"/>
              </a:solidFill>
              <a:prstDash val="solid"/>
            </a:ln>
          </c:spPr>
          <c:marker>
            <c:symbol val="none"/>
          </c:marker>
          <c:xVal>
            <c:numRef>
              <c:f>('Frame Dimensions'!$L$81,'Frame Dimensions'!$O$81)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('Frame Dimensions'!$K$81,'Frame Dimensions'!$N$81)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4B-E28B-4C69-B798-F055563EFFE7}"/>
            </c:ext>
          </c:extLst>
        </c:ser>
        <c:ser>
          <c:idx val="45"/>
          <c:order val="41"/>
          <c:tx>
            <c:strRef>
              <c:f>'Frame Dimensions'!$B$162</c:f>
              <c:strCache>
                <c:ptCount val="1"/>
                <c:pt idx="0">
                  <c:v>0</c:v>
                </c:pt>
              </c:strCache>
            </c:strRef>
          </c:tx>
          <c:spPr>
            <a:ln w="1270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('Frame Dimensions'!$L$162,'Frame Dimensions'!$O$162)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('Frame Dimensions'!$K$162,'Frame Dimensions'!$N$162)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4C-E28B-4C69-B798-F055563EFFE7}"/>
            </c:ext>
          </c:extLst>
        </c:ser>
        <c:ser>
          <c:idx val="46"/>
          <c:order val="42"/>
          <c:tx>
            <c:strRef>
              <c:f>'Frame Dimensions'!$B$164</c:f>
              <c:strCache>
                <c:ptCount val="1"/>
                <c:pt idx="0">
                  <c:v>0</c:v>
                </c:pt>
              </c:strCache>
            </c:strRef>
          </c:tx>
          <c:spPr>
            <a:ln w="1270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('Frame Dimensions'!$L$164,'Frame Dimensions'!$O$164)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('Frame Dimensions'!$K$164,'Frame Dimensions'!$N$164)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4D-E28B-4C69-B798-F055563EFFE7}"/>
            </c:ext>
          </c:extLst>
        </c:ser>
        <c:ser>
          <c:idx val="50"/>
          <c:order val="43"/>
          <c:tx>
            <c:strRef>
              <c:f>'House reinf, Drive Side'!$AC$79</c:f>
              <c:strCache>
                <c:ptCount val="1"/>
                <c:pt idx="0">
                  <c:v>#REF!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dLbls>
            <c:dLbl>
              <c:idx val="1"/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4E-E28B-4C69-B798-F055563EFFE7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('House reinf, Drive Side'!$AC$83,'House reinf, Drive Side'!$AC$85)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('House reinf, Drive Side'!$AC$84,'House reinf, Drive Side'!$AC$86)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4F-E28B-4C69-B798-F055563EFFE7}"/>
            </c:ext>
          </c:extLst>
        </c:ser>
        <c:ser>
          <c:idx val="51"/>
          <c:order val="44"/>
          <c:tx>
            <c:strRef>
              <c:f>'House reinf, Drive Side'!$AD$79</c:f>
              <c:strCache>
                <c:ptCount val="1"/>
                <c:pt idx="0">
                  <c:v>#REF!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dLbls>
            <c:dLbl>
              <c:idx val="1"/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50-E28B-4C69-B798-F055563EFFE7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('House reinf, Drive Side'!$AD$83,'House reinf, Drive Side'!$AD$85)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('House reinf, Drive Side'!$AD$84,'House reinf, Drive Side'!$AD$86)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51-E28B-4C69-B798-F055563EFFE7}"/>
            </c:ext>
          </c:extLst>
        </c:ser>
        <c:ser>
          <c:idx val="76"/>
          <c:order val="45"/>
          <c:tx>
            <c:strRef>
              <c:f>'House reinf, Drive Side'!$AE$79</c:f>
              <c:strCache>
                <c:ptCount val="1"/>
                <c:pt idx="0">
                  <c:v>#REF!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52-E28B-4C69-B798-F055563EFFE7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('House reinf, Drive Side'!$AE$83,'House reinf, Drive Side'!$AE$85)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('House reinf, Drive Side'!$AE$84,'House reinf, Drive Side'!$AE$86)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53-E28B-4C69-B798-F055563EFFE7}"/>
            </c:ext>
          </c:extLst>
        </c:ser>
        <c:ser>
          <c:idx val="3"/>
          <c:order val="46"/>
          <c:tx>
            <c:strRef>
              <c:f>'House reinf, Drive Side'!$AF$79</c:f>
              <c:strCache>
                <c:ptCount val="1"/>
                <c:pt idx="0">
                  <c:v>#REF!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54-E28B-4C69-B798-F055563EFFE7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('House reinf, Drive Side'!$AF$83,'House reinf, Drive Side'!$AF$85)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('House reinf, Drive Side'!$AF$84,'House reinf, Drive Side'!$AF$86)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55-E28B-4C69-B798-F055563EFFE7}"/>
            </c:ext>
          </c:extLst>
        </c:ser>
        <c:ser>
          <c:idx val="52"/>
          <c:order val="47"/>
          <c:tx>
            <c:strRef>
              <c:f>'House reinf, Drive Side'!$AG$79</c:f>
              <c:strCache>
                <c:ptCount val="1"/>
                <c:pt idx="0">
                  <c:v>#REF!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dLbls>
            <c:dLbl>
              <c:idx val="1"/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 xmlns:c15="http://schemas.microsoft.com/office/drawing/2012/chart">
                <c:ext xmlns:c16="http://schemas.microsoft.com/office/drawing/2014/chart" uri="{C3380CC4-5D6E-409C-BE32-E72D297353CC}">
                  <c16:uniqueId val="{00000056-E28B-4C69-B798-F055563EFFE7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 xmlns:c15="http://schemas.microsoft.com/office/drawing/2012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('House reinf, Drive Side'!$AG$83,'House reinf, Drive Side'!$AG$85)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('House reinf, Drive Side'!$AG$84,'House reinf, Drive Side'!$AG$86)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57-E28B-4C69-B798-F055563EFFE7}"/>
            </c:ext>
          </c:extLst>
        </c:ser>
        <c:ser>
          <c:idx val="53"/>
          <c:order val="48"/>
          <c:tx>
            <c:strRef>
              <c:f>'House reinf, Drive Side'!$AH$79</c:f>
              <c:strCache>
                <c:ptCount val="1"/>
                <c:pt idx="0">
                  <c:v>#REF!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dLbls>
            <c:dLbl>
              <c:idx val="1"/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 xmlns:c15="http://schemas.microsoft.com/office/drawing/2012/chart">
                <c:ext xmlns:c16="http://schemas.microsoft.com/office/drawing/2014/chart" uri="{C3380CC4-5D6E-409C-BE32-E72D297353CC}">
                  <c16:uniqueId val="{00000058-E28B-4C69-B798-F055563EFFE7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 xmlns:c15="http://schemas.microsoft.com/office/drawing/2012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('House reinf, Drive Side'!$AH$83,'House reinf, Drive Side'!$AH$85)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('House reinf, Drive Side'!$AH$84,'House reinf, Drive Side'!$AH$86)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59-E28B-4C69-B798-F055563EFFE7}"/>
            </c:ext>
          </c:extLst>
        </c:ser>
        <c:ser>
          <c:idx val="77"/>
          <c:order val="49"/>
          <c:tx>
            <c:strRef>
              <c:f>'House reinf, Drive Side'!$AI$79</c:f>
              <c:strCache>
                <c:ptCount val="1"/>
                <c:pt idx="0">
                  <c:v>#REF!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dLbls>
            <c:dLbl>
              <c:idx val="1"/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5A-E28B-4C69-B798-F055563EFFE7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('House reinf, Drive Side'!$AI$83,'House reinf, Drive Side'!$AI$85)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('House reinf, Drive Side'!$AI$84,'House reinf, Drive Side'!$AI$86)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5B-E28B-4C69-B798-F055563EFFE7}"/>
            </c:ext>
          </c:extLst>
        </c:ser>
        <c:ser>
          <c:idx val="13"/>
          <c:order val="50"/>
          <c:tx>
            <c:strRef>
              <c:f>'House reinf, Drive Side'!$AJ$79</c:f>
              <c:strCache>
                <c:ptCount val="1"/>
                <c:pt idx="0">
                  <c:v>#REF!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5C-E28B-4C69-B798-F055563EFFE7}"/>
                </c:ext>
                <c:ext xmlns:c15="http://schemas.microsoft.com/office/drawing/2012/chart" uri="{CE6537A1-D6FC-4f65-9D91-7224C49458BB}"/>
              </c:extLst>
            </c:dLbl>
            <c:dLbl>
              <c:idx val="1"/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5D-E28B-4C69-B798-F055563EFFE7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('House reinf, Drive Side'!$AJ$83,'House reinf, Drive Side'!$AJ$85)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('House reinf, Drive Side'!$AJ$84,'House reinf, Drive Side'!$AJ$86)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5E-E28B-4C69-B798-F055563EFFE7}"/>
            </c:ext>
          </c:extLst>
        </c:ser>
        <c:ser>
          <c:idx val="55"/>
          <c:order val="51"/>
          <c:tx>
            <c:strRef>
              <c:f>'Frame Dimensions'!$B$25</c:f>
              <c:strCache>
                <c:ptCount val="1"/>
                <c:pt idx="0">
                  <c:v>#REF!</c:v>
                </c:pt>
              </c:strCache>
              <c:extLst xmlns:c16r2="http://schemas.microsoft.com/office/drawing/2015/06/chart" xmlns:c15="http://schemas.microsoft.com/office/drawing/2012/chart"/>
            </c:strRef>
          </c:tx>
          <c:spPr>
            <a:ln w="9525">
              <a:solidFill>
                <a:srgbClr val="00B0F0"/>
              </a:solidFill>
              <a:prstDash val="solid"/>
            </a:ln>
          </c:spPr>
          <c:marker>
            <c:symbol val="none"/>
          </c:marker>
          <c:xVal>
            <c:numRef>
              <c:f>('Frame Dimensions'!$L$25,'Frame Dimensions'!$O$25)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  <c:extLst xmlns:c16r2="http://schemas.microsoft.com/office/drawing/2015/06/chart" xmlns:c15="http://schemas.microsoft.com/office/drawing/2012/chart"/>
            </c:numRef>
          </c:xVal>
          <c:yVal>
            <c:numRef>
              <c:f>('Frame Dimensions'!$K$25,'Frame Dimensions'!$N$25)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  <c:extLst xmlns:c16r2="http://schemas.microsoft.com/office/drawing/2015/06/chart" xmlns:c15="http://schemas.microsoft.com/office/drawing/2012/chart"/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5F-E28B-4C69-B798-F055563EFFE7}"/>
            </c:ext>
          </c:extLst>
        </c:ser>
        <c:ser>
          <c:idx val="54"/>
          <c:order val="52"/>
          <c:tx>
            <c:strRef>
              <c:f>'Frame Dimensions'!$B$29</c:f>
              <c:strCache>
                <c:ptCount val="1"/>
                <c:pt idx="0">
                  <c:v>#REF!</c:v>
                </c:pt>
              </c:strCache>
              <c:extLst xmlns:c16r2="http://schemas.microsoft.com/office/drawing/2015/06/chart" xmlns:c15="http://schemas.microsoft.com/office/drawing/2012/chart"/>
            </c:strRef>
          </c:tx>
          <c:spPr>
            <a:ln w="9525">
              <a:solidFill>
                <a:srgbClr val="00B0F0"/>
              </a:solidFill>
              <a:prstDash val="solid"/>
            </a:ln>
          </c:spPr>
          <c:marker>
            <c:symbol val="none"/>
          </c:marker>
          <c:xVal>
            <c:numRef>
              <c:f>('Frame Dimensions'!$L$29,'Frame Dimensions'!$O$29)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  <c:extLst xmlns:c16r2="http://schemas.microsoft.com/office/drawing/2015/06/chart" xmlns:c15="http://schemas.microsoft.com/office/drawing/2012/chart"/>
            </c:numRef>
          </c:xVal>
          <c:yVal>
            <c:numRef>
              <c:f>('Frame Dimensions'!$K$29,'Frame Dimensions'!$N$29)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  <c:extLst xmlns:c16r2="http://schemas.microsoft.com/office/drawing/2015/06/chart" xmlns:c15="http://schemas.microsoft.com/office/drawing/2012/chart"/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60-E28B-4C69-B798-F055563EFFE7}"/>
            </c:ext>
          </c:extLst>
        </c:ser>
        <c:ser>
          <c:idx val="56"/>
          <c:order val="53"/>
          <c:tx>
            <c:strRef>
              <c:f>'Frame Dimensions'!$B$33</c:f>
              <c:strCache>
                <c:ptCount val="1"/>
                <c:pt idx="0">
                  <c:v>#REF!</c:v>
                </c:pt>
              </c:strCache>
              <c:extLst xmlns:c16r2="http://schemas.microsoft.com/office/drawing/2015/06/chart" xmlns:c15="http://schemas.microsoft.com/office/drawing/2012/chart"/>
            </c:strRef>
          </c:tx>
          <c:spPr>
            <a:ln w="9525">
              <a:solidFill>
                <a:srgbClr val="00B0F0"/>
              </a:solidFill>
              <a:prstDash val="solid"/>
            </a:ln>
          </c:spPr>
          <c:marker>
            <c:symbol val="none"/>
          </c:marker>
          <c:xVal>
            <c:numRef>
              <c:f>('Frame Dimensions'!$L$33,'Frame Dimensions'!$O$33)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  <c:extLst xmlns:c16r2="http://schemas.microsoft.com/office/drawing/2015/06/chart" xmlns:c15="http://schemas.microsoft.com/office/drawing/2012/chart"/>
            </c:numRef>
          </c:xVal>
          <c:yVal>
            <c:numRef>
              <c:f>('Frame Dimensions'!$K$33,'Frame Dimensions'!$N$33)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  <c:extLst xmlns:c16r2="http://schemas.microsoft.com/office/drawing/2015/06/chart" xmlns:c15="http://schemas.microsoft.com/office/drawing/2012/chart"/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61-E28B-4C69-B798-F055563EFFE7}"/>
            </c:ext>
          </c:extLst>
        </c:ser>
        <c:ser>
          <c:idx val="57"/>
          <c:order val="54"/>
          <c:tx>
            <c:strRef>
              <c:f>House!$Z$55</c:f>
              <c:strCache>
                <c:ptCount val="1"/>
                <c:pt idx="0">
                  <c:v>Rreinf</c:v>
                </c:pt>
              </c:strCache>
              <c:extLst xmlns:c16r2="http://schemas.microsoft.com/office/drawing/2015/06/chart" xmlns:c15="http://schemas.microsoft.com/office/drawing/2012/chart"/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(House!$B$56,House!$Z$56)</c:f>
              <c:numCache>
                <c:formatCode>0</c:formatCode>
                <c:ptCount val="2"/>
                <c:pt idx="0">
                  <c:v>982</c:v>
                </c:pt>
                <c:pt idx="1">
                  <c:v>1779.5</c:v>
                </c:pt>
              </c:numCache>
              <c:extLst xmlns:c16r2="http://schemas.microsoft.com/office/drawing/2015/06/chart" xmlns:c15="http://schemas.microsoft.com/office/drawing/2012/chart"/>
            </c:numRef>
          </c:xVal>
          <c:yVal>
            <c:numRef>
              <c:f>(House!$B$58,House!$Z$58)</c:f>
              <c:numCache>
                <c:formatCode>0</c:formatCode>
                <c:ptCount val="2"/>
                <c:pt idx="0">
                  <c:v>911.6</c:v>
                </c:pt>
                <c:pt idx="1">
                  <c:v>1709.1</c:v>
                </c:pt>
              </c:numCache>
              <c:extLst xmlns:c16r2="http://schemas.microsoft.com/office/drawing/2015/06/chart" xmlns:c15="http://schemas.microsoft.com/office/drawing/2012/chart"/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62-E28B-4C69-B798-F055563EFFE7}"/>
            </c:ext>
          </c:extLst>
        </c:ser>
        <c:ser>
          <c:idx val="60"/>
          <c:order val="55"/>
          <c:tx>
            <c:strRef>
              <c:f>House!$A$68</c:f>
              <c:strCache>
                <c:ptCount val="1"/>
                <c:pt idx="0">
                  <c:v>Insulation Drive View</c:v>
                </c:pt>
              </c:strCache>
              <c:extLst xmlns:c16r2="http://schemas.microsoft.com/office/drawing/2015/06/chart" xmlns:c15="http://schemas.microsoft.com/office/drawing/2012/chart"/>
            </c:strRef>
          </c:tx>
          <c:spPr>
            <a:ln w="6350">
              <a:solidFill>
                <a:schemeClr val="tx1"/>
              </a:solidFill>
              <a:prstDash val="sysDash"/>
            </a:ln>
          </c:spPr>
          <c:marker>
            <c:symbol val="none"/>
          </c:marker>
          <c:xVal>
            <c:numRef>
              <c:f>House!$C$68:$Y$68</c:f>
              <c:numCache>
                <c:formatCode>0</c:formatCode>
                <c:ptCount val="23"/>
                <c:pt idx="0">
                  <c:v>1073.5999999999999</c:v>
                </c:pt>
                <c:pt idx="1">
                  <c:v>982</c:v>
                </c:pt>
                <c:pt idx="2">
                  <c:v>876.2</c:v>
                </c:pt>
                <c:pt idx="3">
                  <c:v>706.8</c:v>
                </c:pt>
                <c:pt idx="4">
                  <c:v>482.5</c:v>
                </c:pt>
                <c:pt idx="5">
                  <c:v>216.3</c:v>
                </c:pt>
                <c:pt idx="6">
                  <c:v>-75.7</c:v>
                </c:pt>
                <c:pt idx="7">
                  <c:v>-374.6</c:v>
                </c:pt>
                <c:pt idx="8">
                  <c:v>-660.6</c:v>
                </c:pt>
                <c:pt idx="9">
                  <c:v>-913.7</c:v>
                </c:pt>
                <c:pt idx="10">
                  <c:v>-1115.5</c:v>
                </c:pt>
                <c:pt idx="11">
                  <c:v>-1250.2</c:v>
                </c:pt>
                <c:pt idx="12">
                  <c:v>-1305.9000000000001</c:v>
                </c:pt>
                <c:pt idx="13">
                  <c:v>-1275.5</c:v>
                </c:pt>
                <c:pt idx="14">
                  <c:v>-1157.5</c:v>
                </c:pt>
                <c:pt idx="15">
                  <c:v>-956.2</c:v>
                </c:pt>
                <c:pt idx="16">
                  <c:v>-681.9</c:v>
                </c:pt>
                <c:pt idx="17">
                  <c:v>-350</c:v>
                </c:pt>
                <c:pt idx="18">
                  <c:v>19.3</c:v>
                </c:pt>
                <c:pt idx="19">
                  <c:v>402.7</c:v>
                </c:pt>
                <c:pt idx="20">
                  <c:v>774.8</c:v>
                </c:pt>
                <c:pt idx="21">
                  <c:v>1109.8</c:v>
                </c:pt>
                <c:pt idx="22">
                  <c:v>1871.1</c:v>
                </c:pt>
              </c:numCache>
              <c:extLst xmlns:c16r2="http://schemas.microsoft.com/office/drawing/2015/06/chart" xmlns:c15="http://schemas.microsoft.com/office/drawing/2012/chart"/>
            </c:numRef>
          </c:xVal>
          <c:yVal>
            <c:numRef>
              <c:f>House!$C$70:$Y$70</c:f>
              <c:numCache>
                <c:formatCode>0</c:formatCode>
                <c:ptCount val="23"/>
                <c:pt idx="0">
                  <c:v>820</c:v>
                </c:pt>
                <c:pt idx="1">
                  <c:v>911.6</c:v>
                </c:pt>
                <c:pt idx="2">
                  <c:v>661.1</c:v>
                </c:pt>
                <c:pt idx="3">
                  <c:v>441.4</c:v>
                </c:pt>
                <c:pt idx="4">
                  <c:v>268.60000000000002</c:v>
                </c:pt>
                <c:pt idx="5">
                  <c:v>156.29999999999995</c:v>
                </c:pt>
                <c:pt idx="6">
                  <c:v>114.70000000000005</c:v>
                </c:pt>
                <c:pt idx="7">
                  <c:v>149.5</c:v>
                </c:pt>
                <c:pt idx="8">
                  <c:v>261.5</c:v>
                </c:pt>
                <c:pt idx="9">
                  <c:v>446.29999999999995</c:v>
                </c:pt>
                <c:pt idx="10">
                  <c:v>694.5</c:v>
                </c:pt>
                <c:pt idx="11">
                  <c:v>991.8</c:v>
                </c:pt>
                <c:pt idx="12">
                  <c:v>1320.3</c:v>
                </c:pt>
                <c:pt idx="13">
                  <c:v>1659</c:v>
                </c:pt>
                <c:pt idx="14">
                  <c:v>1985.3</c:v>
                </c:pt>
                <c:pt idx="15">
                  <c:v>2276.6</c:v>
                </c:pt>
                <c:pt idx="16">
                  <c:v>2511.9</c:v>
                </c:pt>
                <c:pt idx="17">
                  <c:v>2672.8</c:v>
                </c:pt>
                <c:pt idx="18">
                  <c:v>2745.4</c:v>
                </c:pt>
                <c:pt idx="19">
                  <c:v>2721.1</c:v>
                </c:pt>
                <c:pt idx="20">
                  <c:v>2597.5</c:v>
                </c:pt>
                <c:pt idx="21">
                  <c:v>2378.8000000000002</c:v>
                </c:pt>
                <c:pt idx="22">
                  <c:v>1617.5</c:v>
                </c:pt>
              </c:numCache>
              <c:extLst xmlns:c16r2="http://schemas.microsoft.com/office/drawing/2015/06/chart" xmlns:c15="http://schemas.microsoft.com/office/drawing/2012/chart"/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63-E28B-4C69-B798-F055563EFFE7}"/>
            </c:ext>
          </c:extLst>
        </c:ser>
        <c:ser>
          <c:idx val="49"/>
          <c:order val="56"/>
          <c:tx>
            <c:v>BSBBL</c:v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('Frame Dimensions'!$L$112,'Frame Dimensions'!$L$111)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  <c:extLst xmlns:c16r2="http://schemas.microsoft.com/office/drawing/2015/06/chart" xmlns:c15="http://schemas.microsoft.com/office/drawing/2012/chart"/>
            </c:numRef>
          </c:xVal>
          <c:yVal>
            <c:numRef>
              <c:f>('Frame Dimensions'!$K$112,'Frame Dimensions'!$K$111)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  <c:extLst xmlns:c16r2="http://schemas.microsoft.com/office/drawing/2015/06/chart" xmlns:c15="http://schemas.microsoft.com/office/drawing/2012/chart"/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64-E28B-4C69-B798-F055563EFFE7}"/>
            </c:ext>
          </c:extLst>
        </c:ser>
        <c:ser>
          <c:idx val="58"/>
          <c:order val="57"/>
          <c:tx>
            <c:v>BSBBT</c:v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('Frame Dimensions'!$L$111,'Frame Dimensions'!$O$111)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  <c:extLst xmlns:c16r2="http://schemas.microsoft.com/office/drawing/2015/06/chart" xmlns:c15="http://schemas.microsoft.com/office/drawing/2012/chart"/>
            </c:numRef>
          </c:xVal>
          <c:yVal>
            <c:numRef>
              <c:f>('Frame Dimensions'!$K$111,'Frame Dimensions'!$N$111)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  <c:extLst xmlns:c16r2="http://schemas.microsoft.com/office/drawing/2015/06/chart" xmlns:c15="http://schemas.microsoft.com/office/drawing/2012/chart"/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65-E28B-4C69-B798-F055563EFFE7}"/>
            </c:ext>
          </c:extLst>
        </c:ser>
        <c:ser>
          <c:idx val="59"/>
          <c:order val="58"/>
          <c:tx>
            <c:v>BSBBR</c:v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('Frame Dimensions'!$O$112,'Frame Dimensions'!$O$111)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  <c:extLst xmlns:c16r2="http://schemas.microsoft.com/office/drawing/2015/06/chart" xmlns:c15="http://schemas.microsoft.com/office/drawing/2012/chart"/>
            </c:numRef>
          </c:xVal>
          <c:yVal>
            <c:numRef>
              <c:f>('Frame Dimensions'!$N$112,'Frame Dimensions'!$N$111)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  <c:extLst xmlns:c16r2="http://schemas.microsoft.com/office/drawing/2015/06/chart" xmlns:c15="http://schemas.microsoft.com/office/drawing/2012/chart"/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66-E28B-4C69-B798-F055563EFFE7}"/>
            </c:ext>
          </c:extLst>
        </c:ser>
        <c:ser>
          <c:idx val="47"/>
          <c:order val="59"/>
          <c:tx>
            <c:strRef>
              <c:f>'Frame Dimensions'!$B$120</c:f>
              <c:strCache>
                <c:ptCount val="1"/>
                <c:pt idx="0">
                  <c:v>SFBase_L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('Frame Dimensions'!$L$120,'Frame Dimensions'!$O$120)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('Frame Dimensions'!$K$120,'Frame Dimensions'!$N$120)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67-E28B-4C69-B798-F055563EFFE7}"/>
            </c:ext>
          </c:extLst>
        </c:ser>
        <c:ser>
          <c:idx val="48"/>
          <c:order val="60"/>
          <c:tx>
            <c:strRef>
              <c:f>'Frame Dimensions'!$B$121</c:f>
              <c:strCache>
                <c:ptCount val="1"/>
                <c:pt idx="0">
                  <c:v>sfbase_L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('Frame Dimensions'!$L$121,'Frame Dimensions'!$O$121)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('Frame Dimensions'!$K$121,'Frame Dimensions'!$N$121)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68-E28B-4C69-B798-F055563EFFE7}"/>
            </c:ext>
          </c:extLst>
        </c:ser>
        <c:ser>
          <c:idx val="61"/>
          <c:order val="61"/>
          <c:tx>
            <c:strRef>
              <c:f>'Frame Dimensions'!$B$124</c:f>
              <c:strCache>
                <c:ptCount val="1"/>
                <c:pt idx="0">
                  <c:v>SFBase_R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('Frame Dimensions'!$L$124,'Frame Dimensions'!$O$124)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('Frame Dimensions'!$K$124,'Frame Dimensions'!$N$124)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69-E28B-4C69-B798-F055563EFFE7}"/>
            </c:ext>
          </c:extLst>
        </c:ser>
        <c:ser>
          <c:idx val="62"/>
          <c:order val="62"/>
          <c:tx>
            <c:strRef>
              <c:f>'Frame Dimensions'!$B$125</c:f>
              <c:strCache>
                <c:ptCount val="1"/>
                <c:pt idx="0">
                  <c:v>sfbase_R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('Frame Dimensions'!$L$125,'Frame Dimensions'!$O$125)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('Frame Dimensions'!$K$125,'Frame Dimensions'!$N$125)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6A-E28B-4C69-B798-F055563EFFE7}"/>
            </c:ext>
          </c:extLst>
        </c:ser>
        <c:ser>
          <c:idx val="63"/>
          <c:order val="63"/>
          <c:tx>
            <c:strRef>
              <c:f>'Frame Dimensions'!$B$103</c:f>
              <c:strCache>
                <c:ptCount val="1"/>
                <c:pt idx="0">
                  <c:v>MSMM</c:v>
                </c:pt>
              </c:strCache>
            </c:strRef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('Frame Dimensions'!$L$103,'Frame Dimensions'!$O$103)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('Frame Dimensions'!$K$103,'Frame Dimensions'!$N$103)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6B-E28B-4C69-B798-F055563EFFE7}"/>
            </c:ext>
          </c:extLst>
        </c:ser>
        <c:ser>
          <c:idx val="64"/>
          <c:order val="64"/>
          <c:tx>
            <c:v>MSMML</c:v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('Frame Dimensions'!$L$106,'Frame Dimensions'!$L$105)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('Frame Dimensions'!$K$106,'Frame Dimensions'!$K$105)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6C-E28B-4C69-B798-F055563EFFE7}"/>
            </c:ext>
          </c:extLst>
        </c:ser>
        <c:ser>
          <c:idx val="65"/>
          <c:order val="65"/>
          <c:tx>
            <c:v>MSMMR</c:v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('Frame Dimensions'!$O$106,'Frame Dimensions'!$O$105)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('Frame Dimensions'!$N$106,'Frame Dimensions'!$N$105)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6D-E28B-4C69-B798-F055563EFFE7}"/>
            </c:ext>
          </c:extLst>
        </c:ser>
        <c:ser>
          <c:idx val="66"/>
          <c:order val="66"/>
          <c:tx>
            <c:strRef>
              <c:f>House!$B$75</c:f>
              <c:strCache>
                <c:ptCount val="1"/>
                <c:pt idx="0">
                  <c:v>#REF!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(House!$B$77,House!$B$79)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(House!$B$78,House!$B$80)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6E-E28B-4C69-B798-F055563EFFE7}"/>
            </c:ext>
          </c:extLst>
        </c:ser>
        <c:ser>
          <c:idx val="67"/>
          <c:order val="67"/>
          <c:tx>
            <c:strRef>
              <c:f>House!$C$75</c:f>
              <c:strCache>
                <c:ptCount val="1"/>
                <c:pt idx="0">
                  <c:v>#REF!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(House!$C$77,House!$C$79)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(House!$C$78,House!$C$80)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6F-E28B-4C69-B798-F055563EFFE7}"/>
            </c:ext>
          </c:extLst>
        </c:ser>
        <c:ser>
          <c:idx val="68"/>
          <c:order val="68"/>
          <c:tx>
            <c:strRef>
              <c:f>House!$D$75</c:f>
              <c:strCache>
                <c:ptCount val="1"/>
                <c:pt idx="0">
                  <c:v>#REF!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(House!$D$77,House!$D$79)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(House!$D$78,House!$D$80)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70-E28B-4C69-B798-F055563EFFE7}"/>
            </c:ext>
          </c:extLst>
        </c:ser>
        <c:ser>
          <c:idx val="69"/>
          <c:order val="69"/>
          <c:tx>
            <c:strRef>
              <c:f>House!$E$75</c:f>
              <c:strCache>
                <c:ptCount val="1"/>
                <c:pt idx="0">
                  <c:v>#REF!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(House!$E$77,House!$E$79)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(House!$E$78,House!$E$80)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71-E28B-4C69-B798-F055563EFFE7}"/>
            </c:ext>
          </c:extLst>
        </c:ser>
        <c:ser>
          <c:idx val="70"/>
          <c:order val="70"/>
          <c:tx>
            <c:strRef>
              <c:f>House!$F$75</c:f>
              <c:strCache>
                <c:ptCount val="1"/>
                <c:pt idx="0">
                  <c:v>#REF!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(House!$F$77,House!$F$79)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(House!$F$78,House!$F$80)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72-E28B-4C69-B798-F055563EFFE7}"/>
            </c:ext>
          </c:extLst>
        </c:ser>
        <c:ser>
          <c:idx val="71"/>
          <c:order val="71"/>
          <c:tx>
            <c:strRef>
              <c:f>House!$G$75</c:f>
              <c:strCache>
                <c:ptCount val="1"/>
                <c:pt idx="0">
                  <c:v>#REF!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(House!$G$77,House!$G$79)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(House!$G$78,House!$G$80)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73-E28B-4C69-B798-F055563EFFE7}"/>
            </c:ext>
          </c:extLst>
        </c:ser>
        <c:ser>
          <c:idx val="72"/>
          <c:order val="72"/>
          <c:tx>
            <c:strRef>
              <c:f>House!$H$75</c:f>
              <c:strCache>
                <c:ptCount val="1"/>
                <c:pt idx="0">
                  <c:v>#REF!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(House!$H$77,House!$H$79)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(House!$H$78,House!$H$80)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74-E28B-4C69-B798-F055563EFFE7}"/>
            </c:ext>
          </c:extLst>
        </c:ser>
        <c:ser>
          <c:idx val="73"/>
          <c:order val="73"/>
          <c:tx>
            <c:strRef>
              <c:f>House!$I$75</c:f>
              <c:strCache>
                <c:ptCount val="1"/>
                <c:pt idx="0">
                  <c:v>#REF!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(House!$I$77,House!$I$79)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(House!$I$78,House!$I$80)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75-E28B-4C69-B798-F055563EFFE7}"/>
            </c:ext>
          </c:extLst>
        </c:ser>
        <c:ser>
          <c:idx val="74"/>
          <c:order val="74"/>
          <c:tx>
            <c:strRef>
              <c:f>House!$J$75</c:f>
              <c:strCache>
                <c:ptCount val="1"/>
                <c:pt idx="0">
                  <c:v>#REF!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(House!$J$77,House!$J$79)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(House!$J$78,House!$J$80)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76-E28B-4C69-B798-F055563EFFE7}"/>
            </c:ext>
          </c:extLst>
        </c:ser>
        <c:ser>
          <c:idx val="75"/>
          <c:order val="75"/>
          <c:tx>
            <c:strRef>
              <c:f>House!$K$75</c:f>
              <c:strCache>
                <c:ptCount val="1"/>
                <c:pt idx="0">
                  <c:v>#REF!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(House!$K$77,House!$K$79)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(House!$K$78,House!$K$80)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77-E28B-4C69-B798-F055563EFFE7}"/>
            </c:ext>
          </c:extLst>
        </c:ser>
        <c:ser>
          <c:idx val="17"/>
          <c:order val="76"/>
          <c:tx>
            <c:strRef>
              <c:f>House!$A$63</c:f>
              <c:strCache>
                <c:ptCount val="1"/>
                <c:pt idx="0">
                  <c:v>BPHole</c:v>
                </c:pt>
              </c:strCache>
            </c:strRef>
          </c:tx>
          <c:spPr>
            <a:ln w="6350">
              <a:solidFill>
                <a:srgbClr val="FF0000"/>
              </a:solidFill>
              <a:prstDash val="dash"/>
            </a:ln>
          </c:spPr>
          <c:marker>
            <c:symbol val="none"/>
          </c:marker>
          <c:dLbls>
            <c:dLbl>
              <c:idx val="33"/>
              <c:layout>
                <c:manualLayout>
                  <c:x val="9.3699872644510365E-2"/>
                  <c:y val="7.458142060483297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 sz="600"/>
                  </a:pPr>
                  <a:endParaRPr lang="zh-CN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78-E28B-4C69-B798-F055563EFFE7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6350">
                      <a:prstDash val="dash"/>
                    </a:ln>
                  </c:spPr>
                </c15:leaderLines>
              </c:ext>
            </c:extLst>
          </c:dLbls>
          <c:xVal>
            <c:numRef>
              <c:f>House!$B$63:$AJ$63</c:f>
              <c:numCache>
                <c:formatCode>0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xVal>
          <c:yVal>
            <c:numRef>
              <c:f>House!$B$64:$AJ$64</c:f>
              <c:numCache>
                <c:formatCode>0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79-E28B-4C69-B798-F055563EFFE7}"/>
            </c:ext>
          </c:extLst>
        </c:ser>
        <c:ser>
          <c:idx val="16"/>
          <c:order val="77"/>
          <c:tx>
            <c:strRef>
              <c:f>'House reinf, Drive Side'!$A$92</c:f>
              <c:strCache>
                <c:ptCount val="1"/>
                <c:pt idx="0">
                  <c:v>#REF!</c:v>
                </c:pt>
              </c:strCache>
            </c:strRef>
          </c:tx>
          <c:spPr>
            <a:ln w="1270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2"/>
              <c:layout>
                <c:manualLayout>
                  <c:x val="0.12773638607277779"/>
                  <c:y val="4.9694535127188209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 sz="600"/>
                  </a:pPr>
                  <a:endParaRPr lang="zh-CN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7A-E28B-4C69-B798-F055563EFFE7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6350">
                      <a:prstDash val="dash"/>
                    </a:ln>
                  </c:spPr>
                </c15:leaderLines>
              </c:ext>
            </c:extLst>
          </c:dLbls>
          <c:xVal>
            <c:numRef>
              <c:f>'House reinf, Drive Side'!$B$92:$AJ$92</c:f>
              <c:numCache>
                <c:formatCode>0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xVal>
          <c:yVal>
            <c:numRef>
              <c:f>'House reinf, Drive Side'!$B$93:$AJ$93</c:f>
              <c:numCache>
                <c:formatCode>0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7B-E28B-4C69-B798-F055563EFFE7}"/>
            </c:ext>
          </c:extLst>
        </c:ser>
        <c:ser>
          <c:idx val="78"/>
          <c:order val="78"/>
          <c:tx>
            <c:strRef>
              <c:f>'House reinf, Drive Side'!$A$94</c:f>
              <c:strCache>
                <c:ptCount val="1"/>
                <c:pt idx="0">
                  <c:v>#REF!</c:v>
                </c:pt>
              </c:strCache>
            </c:strRef>
          </c:tx>
          <c:spPr>
            <a:ln w="1270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'House reinf, Drive Side'!$B$94:$AJ$94</c:f>
              <c:numCache>
                <c:formatCode>0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xVal>
          <c:yVal>
            <c:numRef>
              <c:f>'House reinf, Drive Side'!$B$95:$AJ$95</c:f>
              <c:numCache>
                <c:formatCode>0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7C-E28B-4C69-B798-F055563EFFE7}"/>
            </c:ext>
          </c:extLst>
        </c:ser>
        <c:ser>
          <c:idx val="81"/>
          <c:order val="79"/>
          <c:tx>
            <c:strRef>
              <c:f>'House reinf, Drive Side'!$B$69</c:f>
              <c:strCache>
                <c:ptCount val="1"/>
                <c:pt idx="0">
                  <c:v>SPSeFVL_i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('House reinf, Drive Side'!$B$72,'House reinf, Drive Side'!$B$74)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('House reinf, Drive Side'!$B$73,'House reinf, Drive Side'!$B$75)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7D-E28B-4C69-B798-F055563EFFE7}"/>
            </c:ext>
          </c:extLst>
        </c:ser>
        <c:ser>
          <c:idx val="82"/>
          <c:order val="80"/>
          <c:tx>
            <c:strRef>
              <c:f>'House reinf, Drive Side'!$D$69</c:f>
              <c:strCache>
                <c:ptCount val="1"/>
                <c:pt idx="0">
                  <c:v>SPSeFVR_i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('House reinf, Drive Side'!$D$72,'House reinf, Drive Side'!$D$74)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('House reinf, Drive Side'!$D$73,'House reinf, Drive Side'!$D$75)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7E-E28B-4C69-B798-F055563EFFE7}"/>
            </c:ext>
          </c:extLst>
        </c:ser>
        <c:ser>
          <c:idx val="83"/>
          <c:order val="81"/>
          <c:tx>
            <c:strRef>
              <c:f>'House reinf, Drive Side'!$F$69</c:f>
              <c:strCache>
                <c:ptCount val="1"/>
                <c:pt idx="0">
                  <c:v>SPSeFHhi_i</c:v>
                </c:pt>
              </c:strCache>
            </c:strRef>
          </c:tx>
          <c:marker>
            <c:symbol val="none"/>
          </c:marker>
          <c:xVal>
            <c:numRef>
              <c:f>('House reinf, Drive Side'!$F$72,'House reinf, Drive Side'!$F$74)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('House reinf, Drive Side'!$F$73,'House reinf, Drive Side'!$F$75)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7F-E28B-4C69-B798-F055563EFFE7}"/>
            </c:ext>
          </c:extLst>
        </c:ser>
        <c:ser>
          <c:idx val="84"/>
          <c:order val="82"/>
          <c:tx>
            <c:strRef>
              <c:f>'House reinf, Drive Side'!$H$69</c:f>
              <c:strCache>
                <c:ptCount val="1"/>
                <c:pt idx="0">
                  <c:v>SPSeFHlo_i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('House reinf, Drive Side'!$H$72,'House reinf, Drive Side'!$H$74)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('House reinf, Drive Side'!$H$73,'House reinf, Drive Side'!$H$75)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80-E28B-4C69-B798-F055563EFFE7}"/>
            </c:ext>
          </c:extLst>
        </c:ser>
        <c:ser>
          <c:idx val="85"/>
          <c:order val="83"/>
          <c:tx>
            <c:strRef>
              <c:f>'House reinf, Drive Side'!$J$69</c:f>
              <c:strCache>
                <c:ptCount val="1"/>
                <c:pt idx="0">
                  <c:v>SPSeFOuL</c:v>
                </c:pt>
              </c:strCache>
            </c:strRef>
          </c:tx>
          <c:marker>
            <c:symbol val="none"/>
          </c:marker>
          <c:xVal>
            <c:numRef>
              <c:f>('House reinf, Drive Side'!$J$72,'House reinf, Drive Side'!$J$74)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('House reinf, Drive Side'!$J$73,'House reinf, Drive Side'!$J$75)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81-E28B-4C69-B798-F055563EFFE7}"/>
            </c:ext>
          </c:extLst>
        </c:ser>
        <c:ser>
          <c:idx val="86"/>
          <c:order val="84"/>
          <c:tx>
            <c:strRef>
              <c:f>'House reinf, Drive Side'!$K$69</c:f>
              <c:strCache>
                <c:ptCount val="1"/>
                <c:pt idx="0">
                  <c:v>SPSeFOuR</c:v>
                </c:pt>
              </c:strCache>
            </c:strRef>
          </c:tx>
          <c:marker>
            <c:symbol val="none"/>
          </c:marker>
          <c:xVal>
            <c:numRef>
              <c:f>('House reinf, Drive Side'!$K$72,'House reinf, Drive Side'!$K$74)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('House reinf, Drive Side'!$K$73,'House reinf, Drive Side'!$K$75)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82-E28B-4C69-B798-F055563EFFE7}"/>
            </c:ext>
          </c:extLst>
        </c:ser>
        <c:ser>
          <c:idx val="87"/>
          <c:order val="85"/>
          <c:tx>
            <c:strRef>
              <c:f>'House reinf, Drive Side'!$L$69</c:f>
              <c:strCache>
                <c:ptCount val="1"/>
                <c:pt idx="0">
                  <c:v>SPSeFOloR</c:v>
                </c:pt>
              </c:strCache>
            </c:strRef>
          </c:tx>
          <c:marker>
            <c:symbol val="none"/>
          </c:marker>
          <c:xVal>
            <c:numRef>
              <c:f>('House reinf, Drive Side'!$L$72,'House reinf, Drive Side'!$L$74)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('House reinf, Drive Side'!$L$73,'House reinf, Drive Side'!$L$75)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83-E28B-4C69-B798-F055563EFFE7}"/>
            </c:ext>
          </c:extLst>
        </c:ser>
        <c:ser>
          <c:idx val="88"/>
          <c:order val="86"/>
          <c:tx>
            <c:strRef>
              <c:f>'House reinf, Drive Side'!$M$69</c:f>
              <c:strCache>
                <c:ptCount val="1"/>
                <c:pt idx="0">
                  <c:v>SPSeFOloL</c:v>
                </c:pt>
              </c:strCache>
            </c:strRef>
          </c:tx>
          <c:marker>
            <c:symbol val="none"/>
          </c:marker>
          <c:xVal>
            <c:numRef>
              <c:f>('House reinf, Drive Side'!$M$72,'House reinf, Drive Side'!$M$74)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('House reinf, Drive Side'!$M$73,'House reinf, Drive Side'!$M$75)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84-E28B-4C69-B798-F055563EFF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4766160"/>
        <c:axId val="484764592"/>
        <c:extLst xmlns:c16r2="http://schemas.microsoft.com/office/drawing/2015/06/chart"/>
      </c:scatterChart>
      <c:valAx>
        <c:axId val="4847661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Z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84764592"/>
        <c:crosses val="autoZero"/>
        <c:crossBetween val="midCat"/>
        <c:majorUnit val="1000"/>
      </c:valAx>
      <c:valAx>
        <c:axId val="48476459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0" sourceLinked="1"/>
        <c:majorTickMark val="out"/>
        <c:minorTickMark val="none"/>
        <c:tickLblPos val="nextTo"/>
        <c:crossAx val="484766160"/>
        <c:crosses val="autoZero"/>
        <c:crossBetween val="midCat"/>
        <c:majorUnit val="1000"/>
      </c:valAx>
    </c:plotArea>
    <c:plotVisOnly val="1"/>
    <c:dispBlanksAs val="gap"/>
    <c:showDLblsOverMax val="0"/>
  </c:chart>
  <c:spPr>
    <a:ln w="12700"/>
  </c:spPr>
  <c:printSettings>
    <c:headerFooter/>
    <c:pageMargins b="0.75000000000000855" l="0.70000000000000062" r="0.70000000000000062" t="0.75000000000000855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Drawings!$P$5</c:f>
          <c:strCache>
            <c:ptCount val="1"/>
            <c:pt idx="0">
              <c:v>XOE 273-90, RD135 Inlet View</c:v>
            </c:pt>
          </c:strCache>
        </c:strRef>
      </c:tx>
      <c:overlay val="1"/>
      <c:txPr>
        <a:bodyPr/>
        <a:lstStyle/>
        <a:p>
          <a:pPr>
            <a:defRPr sz="1400"/>
          </a:pPr>
          <a:endParaRPr lang="zh-CN"/>
        </a:p>
      </c:txPr>
    </c:title>
    <c:autoTitleDeleted val="0"/>
    <c:plotArea>
      <c:layout>
        <c:manualLayout>
          <c:layoutTarget val="inner"/>
          <c:xMode val="edge"/>
          <c:yMode val="edge"/>
          <c:x val="4.8975380531837719E-2"/>
          <c:y val="0.13180791808568723"/>
          <c:w val="0.8471926509186356"/>
          <c:h val="0.74119241354596732"/>
        </c:manualLayout>
      </c:layout>
      <c:scatterChart>
        <c:scatterStyle val="smoothMarker"/>
        <c:varyColors val="0"/>
        <c:ser>
          <c:idx val="8"/>
          <c:order val="0"/>
          <c:tx>
            <c:strRef>
              <c:f>'Frame Dimensions'!$Z$23</c:f>
              <c:strCache>
                <c:ptCount val="1"/>
                <c:pt idx="0">
                  <c:v>caly</c:v>
                </c:pt>
              </c:strCache>
            </c:strRef>
          </c:tx>
          <c:spPr>
            <a:ln w="12700"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('Frame Dimensions'!$Z$25,'Frame Dimensions'!$Z$25)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('Frame Dimensions'!$Z$24,'Frame Dimensions'!$Z$25)</c:f>
              <c:numCache>
                <c:formatCode>General</c:formatCode>
                <c:ptCount val="2"/>
                <c:pt idx="0" formatCode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391E-4F89-8054-BF47219C8897}"/>
            </c:ext>
          </c:extLst>
        </c:ser>
        <c:ser>
          <c:idx val="7"/>
          <c:order val="1"/>
          <c:tx>
            <c:strRef>
              <c:f>'Frame Dimensions'!$AA$23</c:f>
              <c:strCache>
                <c:ptCount val="1"/>
                <c:pt idx="0">
                  <c:v>calz</c:v>
                </c:pt>
              </c:strCache>
            </c:strRef>
          </c:tx>
          <c:spPr>
            <a:ln w="12700"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('Frame Dimensions'!$AA$24,'Frame Dimensions'!$AA$25)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('Frame Dimensions'!$Z$25,'Frame Dimensions'!$Z$25)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391E-4F89-8054-BF47219C8897}"/>
            </c:ext>
          </c:extLst>
        </c:ser>
        <c:ser>
          <c:idx val="4"/>
          <c:order val="2"/>
          <c:tx>
            <c:strRef>
              <c:f>House!$A$57</c:f>
              <c:strCache>
                <c:ptCount val="1"/>
                <c:pt idx="0">
                  <c:v>House Inlet View</c:v>
                </c:pt>
              </c:strCache>
            </c:strRef>
          </c:tx>
          <c:spPr>
            <a:ln w="1270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House!$C$57:$Y$57</c:f>
              <c:numCache>
                <c:formatCode>0</c:formatCode>
                <c:ptCount val="23"/>
                <c:pt idx="0">
                  <c:v>-1073.5999999999999</c:v>
                </c:pt>
                <c:pt idx="1">
                  <c:v>-982</c:v>
                </c:pt>
                <c:pt idx="2">
                  <c:v>-876.2</c:v>
                </c:pt>
                <c:pt idx="3">
                  <c:v>-706.8</c:v>
                </c:pt>
                <c:pt idx="4">
                  <c:v>-482.5</c:v>
                </c:pt>
                <c:pt idx="5">
                  <c:v>-216.3</c:v>
                </c:pt>
                <c:pt idx="6">
                  <c:v>75.7</c:v>
                </c:pt>
                <c:pt idx="7">
                  <c:v>374.6</c:v>
                </c:pt>
                <c:pt idx="8">
                  <c:v>660.6</c:v>
                </c:pt>
                <c:pt idx="9">
                  <c:v>913.7</c:v>
                </c:pt>
                <c:pt idx="10">
                  <c:v>1115.5</c:v>
                </c:pt>
                <c:pt idx="11">
                  <c:v>1250.2</c:v>
                </c:pt>
                <c:pt idx="12">
                  <c:v>1305.9000000000001</c:v>
                </c:pt>
                <c:pt idx="13">
                  <c:v>1275.5</c:v>
                </c:pt>
                <c:pt idx="14">
                  <c:v>1157.5</c:v>
                </c:pt>
                <c:pt idx="15">
                  <c:v>956.2</c:v>
                </c:pt>
                <c:pt idx="16">
                  <c:v>681.9</c:v>
                </c:pt>
                <c:pt idx="17">
                  <c:v>350</c:v>
                </c:pt>
                <c:pt idx="18">
                  <c:v>-19.3</c:v>
                </c:pt>
                <c:pt idx="19">
                  <c:v>-402.7</c:v>
                </c:pt>
                <c:pt idx="20">
                  <c:v>-774.8</c:v>
                </c:pt>
                <c:pt idx="21">
                  <c:v>-1109.8</c:v>
                </c:pt>
                <c:pt idx="22">
                  <c:v>-1871.1</c:v>
                </c:pt>
              </c:numCache>
            </c:numRef>
          </c:xVal>
          <c:yVal>
            <c:numRef>
              <c:f>House!$C$58:$Y$58</c:f>
              <c:numCache>
                <c:formatCode>0</c:formatCode>
                <c:ptCount val="23"/>
                <c:pt idx="0">
                  <c:v>820</c:v>
                </c:pt>
                <c:pt idx="1">
                  <c:v>911.6</c:v>
                </c:pt>
                <c:pt idx="2">
                  <c:v>661.1</c:v>
                </c:pt>
                <c:pt idx="3">
                  <c:v>441.4</c:v>
                </c:pt>
                <c:pt idx="4">
                  <c:v>268.60000000000002</c:v>
                </c:pt>
                <c:pt idx="5">
                  <c:v>156.29999999999995</c:v>
                </c:pt>
                <c:pt idx="6">
                  <c:v>114.70000000000005</c:v>
                </c:pt>
                <c:pt idx="7">
                  <c:v>149.5</c:v>
                </c:pt>
                <c:pt idx="8">
                  <c:v>261.5</c:v>
                </c:pt>
                <c:pt idx="9">
                  <c:v>446.29999999999995</c:v>
                </c:pt>
                <c:pt idx="10">
                  <c:v>694.5</c:v>
                </c:pt>
                <c:pt idx="11">
                  <c:v>991.8</c:v>
                </c:pt>
                <c:pt idx="12">
                  <c:v>1320.3</c:v>
                </c:pt>
                <c:pt idx="13">
                  <c:v>1659</c:v>
                </c:pt>
                <c:pt idx="14">
                  <c:v>1985.3</c:v>
                </c:pt>
                <c:pt idx="15">
                  <c:v>2276.6</c:v>
                </c:pt>
                <c:pt idx="16">
                  <c:v>2511.9</c:v>
                </c:pt>
                <c:pt idx="17">
                  <c:v>2672.8</c:v>
                </c:pt>
                <c:pt idx="18">
                  <c:v>2745.4</c:v>
                </c:pt>
                <c:pt idx="19">
                  <c:v>2721.1</c:v>
                </c:pt>
                <c:pt idx="20">
                  <c:v>2597.5</c:v>
                </c:pt>
                <c:pt idx="21">
                  <c:v>2378.8000000000002</c:v>
                </c:pt>
                <c:pt idx="22">
                  <c:v>1617.5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391E-4F89-8054-BF47219C8897}"/>
            </c:ext>
          </c:extLst>
        </c:ser>
        <c:ser>
          <c:idx val="6"/>
          <c:order val="3"/>
          <c:tx>
            <c:strRef>
              <c:f>'Select Drive &amp; Motor'!$B$28</c:f>
              <c:strCache>
                <c:ptCount val="1"/>
                <c:pt idx="0">
                  <c:v>Center Height (RD/135)</c:v>
                </c:pt>
              </c:strCache>
            </c:strRef>
          </c:tx>
          <c:spPr>
            <a:ln w="31750">
              <a:solidFill>
                <a:schemeClr val="tx1"/>
              </a:solidFill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0</c:v>
              </c:pt>
            </c:numLit>
          </c:xVal>
          <c:yVal>
            <c:numRef>
              <c:f>(House!$AH$11,House!$AI$11)</c:f>
              <c:numCache>
                <c:formatCode>_-\ ###0_-;\-\ ###0_-;_-\ "-"??_-;_-@_-</c:formatCode>
                <c:ptCount val="2"/>
                <c:pt idx="0">
                  <c:v>1270</c:v>
                </c:pt>
                <c:pt idx="1">
                  <c:v>1268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391E-4F89-8054-BF47219C8897}"/>
            </c:ext>
          </c:extLst>
        </c:ser>
        <c:ser>
          <c:idx val="14"/>
          <c:order val="4"/>
          <c:tx>
            <c:strRef>
              <c:f>House!$Y$54</c:f>
              <c:strCache>
                <c:ptCount val="1"/>
                <c:pt idx="0">
                  <c:v>HfunnelR</c:v>
                </c:pt>
              </c:strCache>
            </c:strRef>
          </c:tx>
          <c:spPr>
            <a:ln w="1270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(House!$C$57,House!$Y$57)</c:f>
              <c:numCache>
                <c:formatCode>0</c:formatCode>
                <c:ptCount val="2"/>
                <c:pt idx="0">
                  <c:v>-1073.5999999999999</c:v>
                </c:pt>
                <c:pt idx="1">
                  <c:v>-1871.1</c:v>
                </c:pt>
              </c:numCache>
            </c:numRef>
          </c:xVal>
          <c:yVal>
            <c:numRef>
              <c:f>(House!$C$58,House!$Y$58)</c:f>
              <c:numCache>
                <c:formatCode>0</c:formatCode>
                <c:ptCount val="2"/>
                <c:pt idx="0">
                  <c:v>820</c:v>
                </c:pt>
                <c:pt idx="1">
                  <c:v>1617.5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4-391E-4F89-8054-BF47219C8897}"/>
            </c:ext>
          </c:extLst>
        </c:ser>
        <c:ser>
          <c:idx val="15"/>
          <c:order val="5"/>
          <c:tx>
            <c:strRef>
              <c:f>'House reinf, Inlet Side'!$B$79</c:f>
              <c:strCache>
                <c:ptCount val="1"/>
                <c:pt idx="0">
                  <c:v>#REF!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dLbls>
            <c:dLbl>
              <c:idx val="1"/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5-391E-4F89-8054-BF47219C8897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('House reinf, Inlet Side'!$B$83,'House reinf, Inlet Side'!$B$85)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('House reinf, Inlet Side'!$B$84,'House reinf, Inlet Side'!$B$86)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6-391E-4F89-8054-BF47219C8897}"/>
            </c:ext>
          </c:extLst>
        </c:ser>
        <c:ser>
          <c:idx val="18"/>
          <c:order val="6"/>
          <c:tx>
            <c:strRef>
              <c:f>'House reinf, Inlet Side'!$C$79</c:f>
              <c:strCache>
                <c:ptCount val="1"/>
                <c:pt idx="0">
                  <c:v>#REF!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dLbls>
            <c:dLbl>
              <c:idx val="1"/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7-391E-4F89-8054-BF47219C8897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('House reinf, Inlet Side'!$C$83,'House reinf, Inlet Side'!$C$85)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('House reinf, Inlet Side'!$C$84,'House reinf, Inlet Side'!$C$86)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8-391E-4F89-8054-BF47219C8897}"/>
            </c:ext>
          </c:extLst>
        </c:ser>
        <c:ser>
          <c:idx val="19"/>
          <c:order val="7"/>
          <c:tx>
            <c:strRef>
              <c:f>'House reinf, Inlet Side'!$D$79</c:f>
              <c:strCache>
                <c:ptCount val="1"/>
                <c:pt idx="0">
                  <c:v>#REF!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dLbls>
            <c:dLbl>
              <c:idx val="1"/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9-391E-4F89-8054-BF47219C8897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('House reinf, Inlet Side'!$D$83,'House reinf, Inlet Side'!$D$85)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('House reinf, Inlet Side'!$D$84,'House reinf, Inlet Side'!$D$86)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A-391E-4F89-8054-BF47219C8897}"/>
            </c:ext>
          </c:extLst>
        </c:ser>
        <c:ser>
          <c:idx val="20"/>
          <c:order val="8"/>
          <c:tx>
            <c:strRef>
              <c:f>'House reinf, Inlet Side'!$E$79</c:f>
              <c:strCache>
                <c:ptCount val="1"/>
                <c:pt idx="0">
                  <c:v>#REF!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dLbls>
            <c:dLbl>
              <c:idx val="1"/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B-391E-4F89-8054-BF47219C8897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('House reinf, Inlet Side'!$E$83,'House reinf, Inlet Side'!$E$85)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('House reinf, Inlet Side'!$E$84,'House reinf, Inlet Side'!$E$86)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C-391E-4F89-8054-BF47219C8897}"/>
            </c:ext>
          </c:extLst>
        </c:ser>
        <c:ser>
          <c:idx val="21"/>
          <c:order val="9"/>
          <c:tx>
            <c:strRef>
              <c:f>'House reinf, Inlet Side'!$F$79</c:f>
              <c:strCache>
                <c:ptCount val="1"/>
                <c:pt idx="0">
                  <c:v>#REF!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dLbls>
            <c:dLbl>
              <c:idx val="1"/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D-391E-4F89-8054-BF47219C8897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('House reinf, Inlet Side'!$F$83,'House reinf, Inlet Side'!$F$85)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('House reinf, Inlet Side'!$F$84,'House reinf, Inlet Side'!$F$86)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E-391E-4F89-8054-BF47219C8897}"/>
            </c:ext>
          </c:extLst>
        </c:ser>
        <c:ser>
          <c:idx val="22"/>
          <c:order val="10"/>
          <c:tx>
            <c:strRef>
              <c:f>'House reinf, Inlet Side'!$G$79</c:f>
              <c:strCache>
                <c:ptCount val="1"/>
                <c:pt idx="0">
                  <c:v>#REF!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dLbls>
            <c:dLbl>
              <c:idx val="1"/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F-391E-4F89-8054-BF47219C8897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('House reinf, Inlet Side'!$G$83,'House reinf, Inlet Side'!$G$85)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('House reinf, Inlet Side'!$G$84,'House reinf, Inlet Side'!$G$86)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10-391E-4F89-8054-BF47219C8897}"/>
            </c:ext>
          </c:extLst>
        </c:ser>
        <c:ser>
          <c:idx val="23"/>
          <c:order val="11"/>
          <c:tx>
            <c:strRef>
              <c:f>'House reinf, Inlet Side'!$H$79</c:f>
              <c:strCache>
                <c:ptCount val="1"/>
                <c:pt idx="0">
                  <c:v>#REF!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dLbls>
            <c:dLbl>
              <c:idx val="1"/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11-391E-4F89-8054-BF47219C8897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('House reinf, Inlet Side'!$H$83,'House reinf, Inlet Side'!$H$85)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('House reinf, Inlet Side'!$H$84,'House reinf, Inlet Side'!$H$86)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12-391E-4F89-8054-BF47219C8897}"/>
            </c:ext>
          </c:extLst>
        </c:ser>
        <c:ser>
          <c:idx val="24"/>
          <c:order val="12"/>
          <c:tx>
            <c:strRef>
              <c:f>'House reinf, Inlet Side'!$I$79</c:f>
              <c:strCache>
                <c:ptCount val="1"/>
                <c:pt idx="0">
                  <c:v>#REF!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dLbls>
            <c:dLbl>
              <c:idx val="1"/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13-391E-4F89-8054-BF47219C8897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('House reinf, Inlet Side'!$I$83,'House reinf, Inlet Side'!$I$85)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('House reinf, Inlet Side'!$I$84,'House reinf, Inlet Side'!$I$86)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14-391E-4F89-8054-BF47219C8897}"/>
            </c:ext>
          </c:extLst>
        </c:ser>
        <c:ser>
          <c:idx val="25"/>
          <c:order val="13"/>
          <c:tx>
            <c:strRef>
              <c:f>'House reinf, Inlet Side'!$J$79</c:f>
              <c:strCache>
                <c:ptCount val="1"/>
                <c:pt idx="0">
                  <c:v>#REF!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dLbls>
            <c:dLbl>
              <c:idx val="1"/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15-391E-4F89-8054-BF47219C8897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('House reinf, Inlet Side'!$J$83,'House reinf, Inlet Side'!$J$85)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('House reinf, Inlet Side'!$J$84,'House reinf, Inlet Side'!$J$86)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16-391E-4F89-8054-BF47219C8897}"/>
            </c:ext>
          </c:extLst>
        </c:ser>
        <c:ser>
          <c:idx val="26"/>
          <c:order val="14"/>
          <c:tx>
            <c:strRef>
              <c:f>'House reinf, Inlet Side'!$K$79</c:f>
              <c:strCache>
                <c:ptCount val="1"/>
                <c:pt idx="0">
                  <c:v>#REF!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dLbls>
            <c:dLbl>
              <c:idx val="1"/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17-391E-4F89-8054-BF47219C8897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('House reinf, Inlet Side'!$K$83,'House reinf, Inlet Side'!$K$85)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('House reinf, Inlet Side'!$K$84,'House reinf, Inlet Side'!$K$86)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18-391E-4F89-8054-BF47219C8897}"/>
            </c:ext>
          </c:extLst>
        </c:ser>
        <c:ser>
          <c:idx val="27"/>
          <c:order val="15"/>
          <c:tx>
            <c:strRef>
              <c:f>'House reinf, Inlet Side'!$L$79</c:f>
              <c:strCache>
                <c:ptCount val="1"/>
                <c:pt idx="0">
                  <c:v>#REF!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dLbls>
            <c:dLbl>
              <c:idx val="1"/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19-391E-4F89-8054-BF47219C8897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('House reinf, Inlet Side'!$L$83,'House reinf, Inlet Side'!$L$85)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('House reinf, Inlet Side'!$L$84,'House reinf, Inlet Side'!$L$86)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1A-391E-4F89-8054-BF47219C8897}"/>
            </c:ext>
          </c:extLst>
        </c:ser>
        <c:ser>
          <c:idx val="28"/>
          <c:order val="16"/>
          <c:tx>
            <c:strRef>
              <c:f>'House reinf, Inlet Side'!$M$79</c:f>
              <c:strCache>
                <c:ptCount val="1"/>
                <c:pt idx="0">
                  <c:v>#REF!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dLbls>
            <c:dLbl>
              <c:idx val="1"/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1B-391E-4F89-8054-BF47219C8897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('House reinf, Inlet Side'!$M$83,'House reinf, Inlet Side'!$M$85)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('House reinf, Inlet Side'!$M$84,'House reinf, Inlet Side'!$M$86)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1C-391E-4F89-8054-BF47219C8897}"/>
            </c:ext>
          </c:extLst>
        </c:ser>
        <c:ser>
          <c:idx val="29"/>
          <c:order val="17"/>
          <c:tx>
            <c:strRef>
              <c:f>'House reinf, Inlet Side'!$N$79</c:f>
              <c:strCache>
                <c:ptCount val="1"/>
                <c:pt idx="0">
                  <c:v>#REF!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dLbls>
            <c:dLbl>
              <c:idx val="1"/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1D-391E-4F89-8054-BF47219C8897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('House reinf, Inlet Side'!$N$83,'House reinf, Inlet Side'!$N$85)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('House reinf, Inlet Side'!$N$84,'House reinf, Inlet Side'!$N$86)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1E-391E-4F89-8054-BF47219C8897}"/>
            </c:ext>
          </c:extLst>
        </c:ser>
        <c:ser>
          <c:idx val="30"/>
          <c:order val="18"/>
          <c:tx>
            <c:strRef>
              <c:f>'House reinf, Inlet Side'!$O$79</c:f>
              <c:strCache>
                <c:ptCount val="1"/>
                <c:pt idx="0">
                  <c:v>#REF!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dLbls>
            <c:dLbl>
              <c:idx val="1"/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1F-391E-4F89-8054-BF47219C8897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('House reinf, Inlet Side'!$O$83,'House reinf, Inlet Side'!$O$85)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('House reinf, Inlet Side'!$O$84,'House reinf, Inlet Side'!$O$86)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20-391E-4F89-8054-BF47219C8897}"/>
            </c:ext>
          </c:extLst>
        </c:ser>
        <c:ser>
          <c:idx val="31"/>
          <c:order val="19"/>
          <c:tx>
            <c:strRef>
              <c:f>'House reinf, Inlet Side'!$P$79</c:f>
              <c:strCache>
                <c:ptCount val="1"/>
                <c:pt idx="0">
                  <c:v>#REF!</c:v>
                </c:pt>
              </c:strCache>
            </c:strRef>
          </c:tx>
          <c:spPr>
            <a:ln w="12700">
              <a:solidFill>
                <a:srgbClr val="FF0000">
                  <a:alpha val="99000"/>
                </a:srgbClr>
              </a:solidFill>
            </a:ln>
          </c:spPr>
          <c:marker>
            <c:symbol val="none"/>
          </c:marker>
          <c:dLbls>
            <c:dLbl>
              <c:idx val="1"/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21-391E-4F89-8054-BF47219C8897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('House reinf, Inlet Side'!$P$83,'House reinf, Inlet Side'!$P$85)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('House reinf, Inlet Side'!$P$84,'House reinf, Inlet Side'!$P$86)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22-391E-4F89-8054-BF47219C8897}"/>
            </c:ext>
          </c:extLst>
        </c:ser>
        <c:ser>
          <c:idx val="32"/>
          <c:order val="20"/>
          <c:tx>
            <c:strRef>
              <c:f>'House reinf, Inlet Side'!$Q$79</c:f>
              <c:strCache>
                <c:ptCount val="1"/>
                <c:pt idx="0">
                  <c:v>#REF!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dLbls>
            <c:dLbl>
              <c:idx val="1"/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23-391E-4F89-8054-BF47219C8897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('House reinf, Inlet Side'!$Q$83,'House reinf, Inlet Side'!$Q$85)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('House reinf, Inlet Side'!$Q$84,'House reinf, Inlet Side'!$Q$86)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24-391E-4F89-8054-BF47219C8897}"/>
            </c:ext>
          </c:extLst>
        </c:ser>
        <c:ser>
          <c:idx val="33"/>
          <c:order val="21"/>
          <c:tx>
            <c:strRef>
              <c:f>'House reinf, Inlet Side'!$R$79</c:f>
              <c:strCache>
                <c:ptCount val="1"/>
                <c:pt idx="0">
                  <c:v>#REF!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dLbls>
            <c:dLbl>
              <c:idx val="1"/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25-391E-4F89-8054-BF47219C8897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('House reinf, Inlet Side'!$R$83,'House reinf, Inlet Side'!$R$85)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('House reinf, Inlet Side'!$R$84,'House reinf, Inlet Side'!$R$86)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26-391E-4F89-8054-BF47219C8897}"/>
            </c:ext>
          </c:extLst>
        </c:ser>
        <c:ser>
          <c:idx val="34"/>
          <c:order val="22"/>
          <c:tx>
            <c:strRef>
              <c:f>'House reinf, Inlet Side'!$S$79</c:f>
              <c:strCache>
                <c:ptCount val="1"/>
                <c:pt idx="0">
                  <c:v>#REF!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dLbls>
            <c:dLbl>
              <c:idx val="1"/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27-391E-4F89-8054-BF47219C8897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('House reinf, Inlet Side'!$S$83,'House reinf, Inlet Side'!$S$85)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('House reinf, Inlet Side'!$S$84,'House reinf, Inlet Side'!$S$86)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28-391E-4F89-8054-BF47219C8897}"/>
            </c:ext>
          </c:extLst>
        </c:ser>
        <c:ser>
          <c:idx val="35"/>
          <c:order val="23"/>
          <c:tx>
            <c:strRef>
              <c:f>'House reinf, Inlet Side'!$T$79</c:f>
              <c:strCache>
                <c:ptCount val="1"/>
                <c:pt idx="0">
                  <c:v>#REF!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dLbls>
            <c:dLbl>
              <c:idx val="1"/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29-391E-4F89-8054-BF47219C8897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('House reinf, Inlet Side'!$T$83,'House reinf, Inlet Side'!$T$85)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('House reinf, Inlet Side'!$T$84,'House reinf, Inlet Side'!$T$86)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2A-391E-4F89-8054-BF47219C8897}"/>
            </c:ext>
          </c:extLst>
        </c:ser>
        <c:ser>
          <c:idx val="36"/>
          <c:order val="24"/>
          <c:tx>
            <c:strRef>
              <c:f>'House reinf, Inlet Side'!$U$79</c:f>
              <c:strCache>
                <c:ptCount val="1"/>
                <c:pt idx="0">
                  <c:v>#REF!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dLbls>
            <c:dLbl>
              <c:idx val="1"/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2B-391E-4F89-8054-BF47219C8897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('House reinf, Inlet Side'!$U$83,'House reinf, Inlet Side'!$U$85)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('House reinf, Inlet Side'!$U$84,'House reinf, Inlet Side'!$U$86)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2C-391E-4F89-8054-BF47219C8897}"/>
            </c:ext>
          </c:extLst>
        </c:ser>
        <c:ser>
          <c:idx val="37"/>
          <c:order val="25"/>
          <c:tx>
            <c:strRef>
              <c:f>'House reinf, Inlet Side'!$V$79</c:f>
              <c:strCache>
                <c:ptCount val="1"/>
                <c:pt idx="0">
                  <c:v>#REF!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dLbls>
            <c:dLbl>
              <c:idx val="1"/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2D-391E-4F89-8054-BF47219C8897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('House reinf, Inlet Side'!$V$83,'House reinf, Inlet Side'!$V$85)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('House reinf, Inlet Side'!$V$84,'House reinf, Inlet Side'!$V$86)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2E-391E-4F89-8054-BF47219C8897}"/>
            </c:ext>
          </c:extLst>
        </c:ser>
        <c:ser>
          <c:idx val="38"/>
          <c:order val="26"/>
          <c:tx>
            <c:strRef>
              <c:f>'House reinf, Inlet Side'!$W$79</c:f>
              <c:strCache>
                <c:ptCount val="1"/>
                <c:pt idx="0">
                  <c:v>#REF!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dLbls>
            <c:dLbl>
              <c:idx val="1"/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2F-391E-4F89-8054-BF47219C8897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('House reinf, Inlet Side'!$W$83,'House reinf, Inlet Side'!$W$85)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('House reinf, Inlet Side'!$W$84,'House reinf, Inlet Side'!$W$86)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30-391E-4F89-8054-BF47219C8897}"/>
            </c:ext>
          </c:extLst>
        </c:ser>
        <c:ser>
          <c:idx val="39"/>
          <c:order val="27"/>
          <c:tx>
            <c:strRef>
              <c:f>'House reinf, Inlet Side'!$X$79</c:f>
              <c:strCache>
                <c:ptCount val="1"/>
                <c:pt idx="0">
                  <c:v>#REF!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dLbls>
            <c:dLbl>
              <c:idx val="1"/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31-391E-4F89-8054-BF47219C8897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('House reinf, Inlet Side'!$X$83,'House reinf, Inlet Side'!$X$85)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('House reinf, Inlet Side'!$X$84,'House reinf, Inlet Side'!$X$86)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32-391E-4F89-8054-BF47219C8897}"/>
            </c:ext>
          </c:extLst>
        </c:ser>
        <c:ser>
          <c:idx val="40"/>
          <c:order val="28"/>
          <c:tx>
            <c:strRef>
              <c:f>'House reinf, Inlet Side'!$Y$79</c:f>
              <c:strCache>
                <c:ptCount val="1"/>
                <c:pt idx="0">
                  <c:v>#REF!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dLbls>
            <c:dLbl>
              <c:idx val="1"/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33-391E-4F89-8054-BF47219C8897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('House reinf, Inlet Side'!$Y$83,'House reinf, Inlet Side'!$Y$85)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('House reinf, Inlet Side'!$Y$84,'House reinf, Inlet Side'!$Y$86)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34-391E-4F89-8054-BF47219C8897}"/>
            </c:ext>
          </c:extLst>
        </c:ser>
        <c:ser>
          <c:idx val="41"/>
          <c:order val="29"/>
          <c:tx>
            <c:strRef>
              <c:f>'House reinf, Inlet Side'!$Z$79</c:f>
              <c:strCache>
                <c:ptCount val="1"/>
                <c:pt idx="0">
                  <c:v>#REF!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dLbls>
            <c:dLbl>
              <c:idx val="1"/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35-391E-4F89-8054-BF47219C8897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('House reinf, Inlet Side'!$Z$83,'House reinf, Inlet Side'!$Z$85)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('House reinf, Inlet Side'!$Z$84,'House reinf, Inlet Side'!$Z$86)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36-391E-4F89-8054-BF47219C8897}"/>
            </c:ext>
          </c:extLst>
        </c:ser>
        <c:ser>
          <c:idx val="42"/>
          <c:order val="30"/>
          <c:tx>
            <c:strRef>
              <c:f>'House reinf, Inlet Side'!$AA$79</c:f>
              <c:strCache>
                <c:ptCount val="1"/>
                <c:pt idx="0">
                  <c:v>#REF!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dLbls>
            <c:dLbl>
              <c:idx val="1"/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37-391E-4F89-8054-BF47219C8897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('House reinf, Inlet Side'!$AA$83,'House reinf, Inlet Side'!$AA$85)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('House reinf, Inlet Side'!$AA$84,'House reinf, Inlet Side'!$AA$86)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38-391E-4F89-8054-BF47219C8897}"/>
            </c:ext>
          </c:extLst>
        </c:ser>
        <c:ser>
          <c:idx val="43"/>
          <c:order val="31"/>
          <c:tx>
            <c:strRef>
              <c:f>'House reinf, Inlet Side'!$AB$79</c:f>
              <c:strCache>
                <c:ptCount val="1"/>
                <c:pt idx="0">
                  <c:v>#REF!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dPt>
            <c:idx val="1"/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39-391E-4F89-8054-BF47219C8897}"/>
              </c:ext>
            </c:extLst>
          </c:dPt>
          <c:dLbls>
            <c:dLbl>
              <c:idx val="1"/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39-391E-4F89-8054-BF47219C8897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('House reinf, Inlet Side'!$AB$83,'House reinf, Inlet Side'!$AB$85)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('House reinf, Inlet Side'!$AB$84,'House reinf, Inlet Side'!$AB$86)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3A-391E-4F89-8054-BF47219C8897}"/>
            </c:ext>
          </c:extLst>
        </c:ser>
        <c:ser>
          <c:idx val="0"/>
          <c:order val="32"/>
          <c:tx>
            <c:strRef>
              <c:f>House!$A$61</c:f>
              <c:strCache>
                <c:ptCount val="1"/>
                <c:pt idx="0">
                  <c:v>FPHole</c:v>
                </c:pt>
              </c:strCache>
            </c:strRef>
          </c:tx>
          <c:spPr>
            <a:ln w="6350">
              <a:solidFill>
                <a:srgbClr val="FF0000"/>
              </a:solidFill>
              <a:prstDash val="lgDash"/>
            </a:ln>
          </c:spPr>
          <c:marker>
            <c:symbol val="none"/>
          </c:marker>
          <c:dLbls>
            <c:dLbl>
              <c:idx val="2"/>
              <c:layout>
                <c:manualLayout>
                  <c:x val="6.9222906917319721E-2"/>
                  <c:y val="-0.14863913266530257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 sz="600"/>
                  </a:pPr>
                  <a:endParaRPr lang="zh-CN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3B-391E-4F89-8054-BF47219C8897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6350">
                      <a:prstDash val="dash"/>
                    </a:ln>
                  </c:spPr>
                </c15:leaderLines>
              </c:ext>
            </c:extLst>
          </c:dLbls>
          <c:xVal>
            <c:numRef>
              <c:f>House!$B$61:$AJ$61</c:f>
              <c:numCache>
                <c:formatCode>0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xVal>
          <c:yVal>
            <c:numRef>
              <c:f>House!$B$62:$AJ$62</c:f>
              <c:numCache>
                <c:formatCode>0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3C-391E-4F89-8054-BF47219C8897}"/>
            </c:ext>
          </c:extLst>
        </c:ser>
        <c:ser>
          <c:idx val="2"/>
          <c:order val="33"/>
          <c:tx>
            <c:strRef>
              <c:f>'House reinf, Inlet Side'!$B$60</c:f>
              <c:strCache>
                <c:ptCount val="1"/>
                <c:pt idx="0">
                  <c:v>#REF!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('House reinf, Inlet Side'!$B$63,'House reinf, Inlet Side'!$B$65)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('House reinf, Inlet Side'!$B$64,'House reinf, Inlet Side'!$B$66)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3D-391E-4F89-8054-BF47219C8897}"/>
            </c:ext>
          </c:extLst>
        </c:ser>
        <c:ser>
          <c:idx val="3"/>
          <c:order val="34"/>
          <c:tx>
            <c:strRef>
              <c:f>'House reinf, Inlet Side'!$C$60</c:f>
              <c:strCache>
                <c:ptCount val="1"/>
                <c:pt idx="0">
                  <c:v>#REF!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('House reinf, Inlet Side'!$C$63,'House reinf, Inlet Side'!$C$65)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('House reinf, Inlet Side'!$C$64,'House reinf, Inlet Side'!$C$66)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3E-391E-4F89-8054-BF47219C8897}"/>
            </c:ext>
          </c:extLst>
        </c:ser>
        <c:ser>
          <c:idx val="5"/>
          <c:order val="35"/>
          <c:tx>
            <c:strRef>
              <c:f>'House reinf, Inlet Side'!$D$60</c:f>
              <c:strCache>
                <c:ptCount val="1"/>
                <c:pt idx="0">
                  <c:v>#REF!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('House reinf, Inlet Side'!$D$63,'House reinf, Inlet Side'!$D$65)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('House reinf, Inlet Side'!$D$64,'House reinf, Inlet Side'!$D$66)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3F-391E-4F89-8054-BF47219C8897}"/>
            </c:ext>
          </c:extLst>
        </c:ser>
        <c:ser>
          <c:idx val="9"/>
          <c:order val="36"/>
          <c:tx>
            <c:strRef>
              <c:f>'House reinf, Inlet Side'!$E$60</c:f>
              <c:strCache>
                <c:ptCount val="1"/>
                <c:pt idx="0">
                  <c:v>#REF!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('House reinf, Inlet Side'!$E$63,'House reinf, Inlet Side'!$E$65)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('House reinf, Inlet Side'!$E$64,'House reinf, Inlet Side'!$E$66)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40-391E-4F89-8054-BF47219C8897}"/>
            </c:ext>
          </c:extLst>
        </c:ser>
        <c:ser>
          <c:idx val="80"/>
          <c:order val="37"/>
          <c:tx>
            <c:strRef>
              <c:f>House!$Z$55</c:f>
              <c:strCache>
                <c:ptCount val="1"/>
                <c:pt idx="0">
                  <c:v>Rreinf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(House!$B$57,House!$Z$57)</c:f>
              <c:numCache>
                <c:formatCode>0</c:formatCode>
                <c:ptCount val="2"/>
                <c:pt idx="0">
                  <c:v>-982</c:v>
                </c:pt>
                <c:pt idx="1">
                  <c:v>-1779.5</c:v>
                </c:pt>
              </c:numCache>
            </c:numRef>
          </c:xVal>
          <c:yVal>
            <c:numRef>
              <c:f>(House!$B$58,House!$Z$58)</c:f>
              <c:numCache>
                <c:formatCode>0</c:formatCode>
                <c:ptCount val="2"/>
                <c:pt idx="0">
                  <c:v>911.6</c:v>
                </c:pt>
                <c:pt idx="1">
                  <c:v>1709.1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41-391E-4F89-8054-BF47219C8897}"/>
            </c:ext>
          </c:extLst>
        </c:ser>
        <c:ser>
          <c:idx val="83"/>
          <c:order val="38"/>
          <c:tx>
            <c:strRef>
              <c:f>House!$A$69</c:f>
              <c:strCache>
                <c:ptCount val="1"/>
                <c:pt idx="0">
                  <c:v>Insulation Inlet View</c:v>
                </c:pt>
              </c:strCache>
            </c:strRef>
          </c:tx>
          <c:spPr>
            <a:ln w="6350">
              <a:solidFill>
                <a:schemeClr val="tx1"/>
              </a:solidFill>
              <a:prstDash val="sysDash"/>
            </a:ln>
          </c:spPr>
          <c:marker>
            <c:symbol val="none"/>
          </c:marker>
          <c:xVal>
            <c:numRef>
              <c:f>House!$C$69:$Y$69</c:f>
              <c:numCache>
                <c:formatCode>0</c:formatCode>
                <c:ptCount val="23"/>
                <c:pt idx="0">
                  <c:v>-1073.5999999999999</c:v>
                </c:pt>
                <c:pt idx="1">
                  <c:v>-982</c:v>
                </c:pt>
                <c:pt idx="2">
                  <c:v>-876.2</c:v>
                </c:pt>
                <c:pt idx="3">
                  <c:v>-706.8</c:v>
                </c:pt>
                <c:pt idx="4">
                  <c:v>-482.5</c:v>
                </c:pt>
                <c:pt idx="5">
                  <c:v>-216.3</c:v>
                </c:pt>
                <c:pt idx="6">
                  <c:v>75.7</c:v>
                </c:pt>
                <c:pt idx="7">
                  <c:v>374.6</c:v>
                </c:pt>
                <c:pt idx="8">
                  <c:v>660.6</c:v>
                </c:pt>
                <c:pt idx="9">
                  <c:v>913.7</c:v>
                </c:pt>
                <c:pt idx="10">
                  <c:v>1115.5</c:v>
                </c:pt>
                <c:pt idx="11">
                  <c:v>1250.2</c:v>
                </c:pt>
                <c:pt idx="12">
                  <c:v>1305.9000000000001</c:v>
                </c:pt>
                <c:pt idx="13">
                  <c:v>1275.5</c:v>
                </c:pt>
                <c:pt idx="14">
                  <c:v>1157.5</c:v>
                </c:pt>
                <c:pt idx="15">
                  <c:v>956.2</c:v>
                </c:pt>
                <c:pt idx="16">
                  <c:v>681.9</c:v>
                </c:pt>
                <c:pt idx="17">
                  <c:v>350</c:v>
                </c:pt>
                <c:pt idx="18">
                  <c:v>-19.3</c:v>
                </c:pt>
                <c:pt idx="19">
                  <c:v>-402.7</c:v>
                </c:pt>
                <c:pt idx="20">
                  <c:v>-774.8</c:v>
                </c:pt>
                <c:pt idx="21">
                  <c:v>-1109.8</c:v>
                </c:pt>
                <c:pt idx="22">
                  <c:v>-1871.1</c:v>
                </c:pt>
              </c:numCache>
            </c:numRef>
          </c:xVal>
          <c:yVal>
            <c:numRef>
              <c:f>House!$C$70:$Y$70</c:f>
              <c:numCache>
                <c:formatCode>0</c:formatCode>
                <c:ptCount val="23"/>
                <c:pt idx="0">
                  <c:v>820</c:v>
                </c:pt>
                <c:pt idx="1">
                  <c:v>911.6</c:v>
                </c:pt>
                <c:pt idx="2">
                  <c:v>661.1</c:v>
                </c:pt>
                <c:pt idx="3">
                  <c:v>441.4</c:v>
                </c:pt>
                <c:pt idx="4">
                  <c:v>268.60000000000002</c:v>
                </c:pt>
                <c:pt idx="5">
                  <c:v>156.29999999999995</c:v>
                </c:pt>
                <c:pt idx="6">
                  <c:v>114.70000000000005</c:v>
                </c:pt>
                <c:pt idx="7">
                  <c:v>149.5</c:v>
                </c:pt>
                <c:pt idx="8">
                  <c:v>261.5</c:v>
                </c:pt>
                <c:pt idx="9">
                  <c:v>446.29999999999995</c:v>
                </c:pt>
                <c:pt idx="10">
                  <c:v>694.5</c:v>
                </c:pt>
                <c:pt idx="11">
                  <c:v>991.8</c:v>
                </c:pt>
                <c:pt idx="12">
                  <c:v>1320.3</c:v>
                </c:pt>
                <c:pt idx="13">
                  <c:v>1659</c:v>
                </c:pt>
                <c:pt idx="14">
                  <c:v>1985.3</c:v>
                </c:pt>
                <c:pt idx="15">
                  <c:v>2276.6</c:v>
                </c:pt>
                <c:pt idx="16">
                  <c:v>2511.9</c:v>
                </c:pt>
                <c:pt idx="17">
                  <c:v>2672.8</c:v>
                </c:pt>
                <c:pt idx="18">
                  <c:v>2745.4</c:v>
                </c:pt>
                <c:pt idx="19">
                  <c:v>2721.1</c:v>
                </c:pt>
                <c:pt idx="20">
                  <c:v>2597.5</c:v>
                </c:pt>
                <c:pt idx="21">
                  <c:v>2378.8000000000002</c:v>
                </c:pt>
                <c:pt idx="22">
                  <c:v>1617.5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42-391E-4F89-8054-BF47219C8897}"/>
            </c:ext>
          </c:extLst>
        </c:ser>
        <c:ser>
          <c:idx val="62"/>
          <c:order val="39"/>
          <c:tx>
            <c:strRef>
              <c:f>'Frame Dimensions'!$B$101</c:f>
              <c:strCache>
                <c:ptCount val="1"/>
                <c:pt idx="0">
                  <c:v>#REF!</c:v>
                </c:pt>
              </c:strCache>
            </c:strRef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Pt>
            <c:idx val="1"/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43-391E-4F89-8054-BF47219C8897}"/>
              </c:ext>
            </c:extLst>
          </c:dPt>
          <c:dLbls>
            <c:dLbl>
              <c:idx val="1"/>
              <c:layout>
                <c:manualLayout>
                  <c:x val="-0.1546302981472181"/>
                  <c:y val="9.9555176496825791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 sz="600"/>
                  </a:pPr>
                  <a:endParaRPr lang="zh-CN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43-391E-4F89-8054-BF47219C8897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6350">
                      <a:prstDash val="dash"/>
                    </a:ln>
                  </c:spPr>
                </c15:leaderLines>
              </c:ext>
            </c:extLst>
          </c:dLbls>
          <c:xVal>
            <c:numRef>
              <c:f>('Frame Dimensions'!$L$101,'Frame Dimensions'!$O$101)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('Frame Dimensions'!$K$101,'Frame Dimensions'!$N$101)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44-391E-4F89-8054-BF47219C8897}"/>
            </c:ext>
          </c:extLst>
        </c:ser>
        <c:ser>
          <c:idx val="81"/>
          <c:order val="40"/>
          <c:tx>
            <c:strRef>
              <c:f>'Frame Dimensions'!$B$100</c:f>
              <c:strCache>
                <c:ptCount val="1"/>
                <c:pt idx="0">
                  <c:v>#REF!</c:v>
                </c:pt>
              </c:strCache>
            </c:strRef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Pt>
            <c:idx val="1"/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45-391E-4F89-8054-BF47219C8897}"/>
              </c:ext>
            </c:extLst>
          </c:dPt>
          <c:dLbls>
            <c:dLbl>
              <c:idx val="1"/>
              <c:layout>
                <c:manualLayout>
                  <c:x val="7.4760739470705301E-2"/>
                  <c:y val="4.9546377555099025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 sz="600"/>
                  </a:pPr>
                  <a:endParaRPr lang="zh-CN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45-391E-4F89-8054-BF47219C8897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6350">
                      <a:solidFill>
                        <a:schemeClr val="tx1"/>
                      </a:solidFill>
                      <a:prstDash val="dash"/>
                    </a:ln>
                  </c:spPr>
                </c15:leaderLines>
              </c:ext>
            </c:extLst>
          </c:dLbls>
          <c:xVal>
            <c:numRef>
              <c:f>('Frame Dimensions'!$L$100,'Frame Dimensions'!$O$100)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('Frame Dimensions'!$K$100,'Frame Dimensions'!$N$100)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46-391E-4F89-8054-BF47219C8897}"/>
            </c:ext>
          </c:extLst>
        </c:ser>
        <c:ser>
          <c:idx val="63"/>
          <c:order val="41"/>
          <c:tx>
            <c:strRef>
              <c:f>'Frame Dimensions'!$B$120</c:f>
              <c:strCache>
                <c:ptCount val="1"/>
                <c:pt idx="0">
                  <c:v>SFBase_L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('Frame Dimensions'!$L$120,'Frame Dimensions'!$O$120)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('Frame Dimensions'!$K$120,'Frame Dimensions'!$N$120)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47-391E-4F89-8054-BF47219C8897}"/>
            </c:ext>
          </c:extLst>
        </c:ser>
        <c:ser>
          <c:idx val="82"/>
          <c:order val="42"/>
          <c:tx>
            <c:strRef>
              <c:f>'Frame Dimensions'!$B$121</c:f>
              <c:strCache>
                <c:ptCount val="1"/>
                <c:pt idx="0">
                  <c:v>sfbase_L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('Frame Dimensions'!$L$121,'Frame Dimensions'!$O$121)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('Frame Dimensions'!$K$121,'Frame Dimensions'!$N$121)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48-391E-4F89-8054-BF47219C8897}"/>
            </c:ext>
          </c:extLst>
        </c:ser>
        <c:ser>
          <c:idx val="84"/>
          <c:order val="43"/>
          <c:tx>
            <c:strRef>
              <c:f>'Frame Dimensions'!$B$124</c:f>
              <c:strCache>
                <c:ptCount val="1"/>
                <c:pt idx="0">
                  <c:v>SFBase_R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('Frame Dimensions'!$L$124,'Frame Dimensions'!$O$124)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('Frame Dimensions'!$K$124,'Frame Dimensions'!$N$124)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49-391E-4F89-8054-BF47219C8897}"/>
            </c:ext>
          </c:extLst>
        </c:ser>
        <c:ser>
          <c:idx val="88"/>
          <c:order val="44"/>
          <c:tx>
            <c:strRef>
              <c:f>'Frame Dimensions'!$B$125</c:f>
              <c:strCache>
                <c:ptCount val="1"/>
                <c:pt idx="0">
                  <c:v>sfbase_R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('Frame Dimensions'!$L$125,'Frame Dimensions'!$O$125)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('Frame Dimensions'!$K$125,'Frame Dimensions'!$N$125)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4A-391E-4F89-8054-BF47219C8897}"/>
            </c:ext>
          </c:extLst>
        </c:ser>
        <c:ser>
          <c:idx val="89"/>
          <c:order val="45"/>
          <c:tx>
            <c:strRef>
              <c:f>'House reinf, Inlet Side'!$B$50</c:f>
              <c:strCache>
                <c:ptCount val="1"/>
                <c:pt idx="0">
                  <c:v>SPSiFVL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('House reinf, Inlet Side'!$B$53,'House reinf, Inlet Side'!$B$55)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('House reinf, Inlet Side'!$B$54,'House reinf, Inlet Side'!$B$56)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4B-391E-4F89-8054-BF47219C8897}"/>
            </c:ext>
          </c:extLst>
        </c:ser>
        <c:ser>
          <c:idx val="90"/>
          <c:order val="46"/>
          <c:tx>
            <c:strRef>
              <c:f>'House reinf, Inlet Side'!$C$50</c:f>
              <c:strCache>
                <c:ptCount val="1"/>
                <c:pt idx="0">
                  <c:v>SPSiFVR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('House reinf, Inlet Side'!$C$53,'House reinf, Inlet Side'!$C$55)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('House reinf, Inlet Side'!$C$54,'House reinf, Inlet Side'!$C$56)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4C-391E-4F89-8054-BF47219C8897}"/>
            </c:ext>
          </c:extLst>
        </c:ser>
        <c:ser>
          <c:idx val="91"/>
          <c:order val="47"/>
          <c:tx>
            <c:strRef>
              <c:f>'House reinf, Inlet Side'!$D$50</c:f>
              <c:strCache>
                <c:ptCount val="1"/>
                <c:pt idx="0">
                  <c:v>SPSiFHhi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('House reinf, Inlet Side'!$D$53,'House reinf, Inlet Side'!$D$55)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('House reinf, Inlet Side'!$D$54,'House reinf, Inlet Side'!$D$56)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4D-391E-4F89-8054-BF47219C8897}"/>
            </c:ext>
          </c:extLst>
        </c:ser>
        <c:ser>
          <c:idx val="92"/>
          <c:order val="48"/>
          <c:tx>
            <c:strRef>
              <c:f>'House reinf, Inlet Side'!$E$50</c:f>
              <c:strCache>
                <c:ptCount val="1"/>
                <c:pt idx="0">
                  <c:v>SPSiFHlo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('House reinf, Inlet Side'!$E$53,'House reinf, Inlet Side'!$E$55)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('House reinf, Inlet Side'!$E$54,'House reinf, Inlet Side'!$E$56)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4E-391E-4F89-8054-BF47219C8897}"/>
            </c:ext>
          </c:extLst>
        </c:ser>
        <c:ser>
          <c:idx val="93"/>
          <c:order val="49"/>
          <c:tx>
            <c:strRef>
              <c:f>'House reinf, Inlet Side'!$B$69</c:f>
              <c:strCache>
                <c:ptCount val="1"/>
                <c:pt idx="0">
                  <c:v>SPSeFVL_i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('House reinf, Inlet Side'!$B$72,'House reinf, Inlet Side'!$B$74)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('House reinf, Inlet Side'!$B$73,'House reinf, Inlet Side'!$B$75)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4F-391E-4F89-8054-BF47219C8897}"/>
            </c:ext>
          </c:extLst>
        </c:ser>
        <c:ser>
          <c:idx val="94"/>
          <c:order val="50"/>
          <c:tx>
            <c:strRef>
              <c:f>'House reinf, Inlet Side'!$D$69</c:f>
              <c:strCache>
                <c:ptCount val="1"/>
                <c:pt idx="0">
                  <c:v>SPSeFVR_i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('House reinf, Inlet Side'!$D$72,'House reinf, Inlet Side'!$D$74)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('House reinf, Inlet Side'!$D$73,'House reinf, Inlet Side'!$D$75)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50-391E-4F89-8054-BF47219C8897}"/>
            </c:ext>
          </c:extLst>
        </c:ser>
        <c:ser>
          <c:idx val="17"/>
          <c:order val="51"/>
          <c:tx>
            <c:strRef>
              <c:f>'House reinf, Inlet Side'!$E$69</c:f>
              <c:strCache>
                <c:ptCount val="1"/>
                <c:pt idx="0">
                  <c:v>SPSeFVR_o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('House reinf, Inlet Side'!$E$72,'House reinf, Inlet Side'!$E$74)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('House reinf, Inlet Side'!$E$73,'House reinf, Inlet Side'!$E$75)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51-391E-4F89-8054-BF47219C8897}"/>
            </c:ext>
          </c:extLst>
        </c:ser>
        <c:ser>
          <c:idx val="95"/>
          <c:order val="52"/>
          <c:tx>
            <c:strRef>
              <c:f>'House reinf, Inlet Side'!$F$69</c:f>
              <c:strCache>
                <c:ptCount val="1"/>
                <c:pt idx="0">
                  <c:v>SPSeFHhi_i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('House reinf, Inlet Side'!$F$72,'House reinf, Inlet Side'!$F$74)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('House reinf, Inlet Side'!$F$73,'House reinf, Inlet Side'!$F$75)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52-391E-4F89-8054-BF47219C8897}"/>
            </c:ext>
          </c:extLst>
        </c:ser>
        <c:ser>
          <c:idx val="45"/>
          <c:order val="53"/>
          <c:tx>
            <c:strRef>
              <c:f>'House reinf, Inlet Side'!$G$69</c:f>
              <c:strCache>
                <c:ptCount val="1"/>
                <c:pt idx="0">
                  <c:v>SPSeFHhi_o</c:v>
                </c:pt>
              </c:strCache>
            </c:strRef>
          </c:tx>
          <c:marker>
            <c:symbol val="none"/>
          </c:marker>
          <c:xVal>
            <c:numRef>
              <c:f>('House reinf, Inlet Side'!$G$72,'House reinf, Inlet Side'!$G$74)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('House reinf, Inlet Side'!$G$73,'House reinf, Inlet Side'!$G$75)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53-391E-4F89-8054-BF47219C8897}"/>
            </c:ext>
          </c:extLst>
        </c:ser>
        <c:ser>
          <c:idx val="96"/>
          <c:order val="54"/>
          <c:tx>
            <c:strRef>
              <c:f>'House reinf, Inlet Side'!$H$69</c:f>
              <c:strCache>
                <c:ptCount val="1"/>
                <c:pt idx="0">
                  <c:v>SPSeFHlo_i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('House reinf, Inlet Side'!$H$72,'House reinf, Inlet Side'!$H$74)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('House reinf, Inlet Side'!$H$73,'House reinf, Inlet Side'!$H$75)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54-391E-4F89-8054-BF47219C8897}"/>
            </c:ext>
          </c:extLst>
        </c:ser>
        <c:ser>
          <c:idx val="44"/>
          <c:order val="55"/>
          <c:tx>
            <c:strRef>
              <c:f>'House reinf, Inlet Side'!$I$69</c:f>
              <c:strCache>
                <c:ptCount val="1"/>
                <c:pt idx="0">
                  <c:v>SPSeFHlo_o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('House reinf, Inlet Side'!$I$72,'House reinf, Inlet Side'!$I$74)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('House reinf, Inlet Side'!$I$73,'House reinf, Inlet Side'!$I$75)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55-391E-4F89-8054-BF47219C8897}"/>
            </c:ext>
          </c:extLst>
        </c:ser>
        <c:ser>
          <c:idx val="97"/>
          <c:order val="56"/>
          <c:tx>
            <c:strRef>
              <c:f>'House reinf, Inlet Side'!$J$69</c:f>
              <c:strCache>
                <c:ptCount val="1"/>
                <c:pt idx="0">
                  <c:v>SPSeFOuL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('House reinf, Inlet Side'!$J$72,'House reinf, Inlet Side'!$J$74)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('House reinf, Inlet Side'!$J$73,'House reinf, Inlet Side'!$J$75)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56-391E-4F89-8054-BF47219C8897}"/>
            </c:ext>
          </c:extLst>
        </c:ser>
        <c:ser>
          <c:idx val="98"/>
          <c:order val="57"/>
          <c:tx>
            <c:strRef>
              <c:f>'House reinf, Inlet Side'!$K$69</c:f>
              <c:strCache>
                <c:ptCount val="1"/>
                <c:pt idx="0">
                  <c:v>SPSeFOuR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('House reinf, Inlet Side'!$K$72,'House reinf, Inlet Side'!$K$74)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('House reinf, Inlet Side'!$K$73,'House reinf, Inlet Side'!$K$75)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57-391E-4F89-8054-BF47219C8897}"/>
            </c:ext>
          </c:extLst>
        </c:ser>
        <c:ser>
          <c:idx val="99"/>
          <c:order val="58"/>
          <c:tx>
            <c:strRef>
              <c:f>'House reinf, Inlet Side'!$L$69</c:f>
              <c:strCache>
                <c:ptCount val="1"/>
                <c:pt idx="0">
                  <c:v>SPSeFOloR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('House reinf, Inlet Side'!$L$72,'House reinf, Inlet Side'!$L$74)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('House reinf, Inlet Side'!$L$73,'House reinf, Inlet Side'!$L$75)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58-391E-4F89-8054-BF47219C8897}"/>
            </c:ext>
          </c:extLst>
        </c:ser>
        <c:ser>
          <c:idx val="100"/>
          <c:order val="59"/>
          <c:tx>
            <c:strRef>
              <c:f>'House reinf, Inlet Side'!$M$69</c:f>
              <c:strCache>
                <c:ptCount val="1"/>
                <c:pt idx="0">
                  <c:v>SPSeFOloL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('House reinf, Inlet Side'!$M$72,'House reinf, Inlet Side'!$M$74)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('House reinf, Inlet Side'!$M$73,'House reinf, Inlet Side'!$M$75)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59-391E-4F89-8054-BF47219C8897}"/>
            </c:ext>
          </c:extLst>
        </c:ser>
        <c:ser>
          <c:idx val="101"/>
          <c:order val="60"/>
          <c:tx>
            <c:strRef>
              <c:f>'House reinf, Inlet Side'!$F$50</c:f>
              <c:strCache>
                <c:ptCount val="1"/>
                <c:pt idx="0">
                  <c:v>SPSiFOuL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('House reinf, Inlet Side'!$F$53,'House reinf, Inlet Side'!$F$55)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('House reinf, Inlet Side'!$F$54,'House reinf, Inlet Side'!$F$56)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5A-391E-4F89-8054-BF47219C8897}"/>
            </c:ext>
          </c:extLst>
        </c:ser>
        <c:ser>
          <c:idx val="102"/>
          <c:order val="61"/>
          <c:tx>
            <c:strRef>
              <c:f>'House reinf, Inlet Side'!$G$50</c:f>
              <c:strCache>
                <c:ptCount val="1"/>
                <c:pt idx="0">
                  <c:v>SPSiFOuR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('House reinf, Inlet Side'!$G$53,'House reinf, Inlet Side'!$G$55)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('House reinf, Inlet Side'!$G$54,'House reinf, Inlet Side'!$G$56)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5B-391E-4F89-8054-BF47219C8897}"/>
            </c:ext>
          </c:extLst>
        </c:ser>
        <c:ser>
          <c:idx val="103"/>
          <c:order val="62"/>
          <c:tx>
            <c:strRef>
              <c:f>'House reinf, Inlet Side'!$H$50</c:f>
              <c:strCache>
                <c:ptCount val="1"/>
                <c:pt idx="0">
                  <c:v>SPSiFOloR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('House reinf, Inlet Side'!$H$53,'House reinf, Inlet Side'!$H$55)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('House reinf, Inlet Side'!$H$54,'House reinf, Inlet Side'!$H$56)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5C-391E-4F89-8054-BF47219C8897}"/>
            </c:ext>
          </c:extLst>
        </c:ser>
        <c:ser>
          <c:idx val="104"/>
          <c:order val="63"/>
          <c:tx>
            <c:strRef>
              <c:f>'House reinf, Inlet Side'!$I$50</c:f>
              <c:strCache>
                <c:ptCount val="1"/>
                <c:pt idx="0">
                  <c:v>SPSiFOloL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('House reinf, Inlet Side'!$I$53,'House reinf, Inlet Side'!$I$55)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('House reinf, Inlet Side'!$I$54,'House reinf, Inlet Side'!$I$56)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5D-391E-4F89-8054-BF47219C8897}"/>
            </c:ext>
          </c:extLst>
        </c:ser>
        <c:ser>
          <c:idx val="1"/>
          <c:order val="64"/>
          <c:tx>
            <c:strRef>
              <c:f>'House reinf, Inlet Side'!$A$92</c:f>
              <c:strCache>
                <c:ptCount val="1"/>
                <c:pt idx="0">
                  <c:v>#REF!</c:v>
                </c:pt>
              </c:strCache>
            </c:strRef>
          </c:tx>
          <c:spPr>
            <a:ln w="12700"/>
          </c:spPr>
          <c:marker>
            <c:symbol val="none"/>
          </c:marker>
          <c:xVal>
            <c:numRef>
              <c:f>'House reinf, Inlet Side'!$B$92:$AJ$92</c:f>
              <c:numCache>
                <c:formatCode>0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xVal>
          <c:yVal>
            <c:numRef>
              <c:f>'House reinf, Inlet Side'!$B$93:$AJ$93</c:f>
              <c:numCache>
                <c:formatCode>0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5E-391E-4F89-8054-BF47219C8897}"/>
            </c:ext>
          </c:extLst>
        </c:ser>
        <c:ser>
          <c:idx val="10"/>
          <c:order val="65"/>
          <c:tx>
            <c:strRef>
              <c:f>'House reinf, Inlet Side'!$A$94</c:f>
              <c:strCache>
                <c:ptCount val="1"/>
                <c:pt idx="0">
                  <c:v>#REF!</c:v>
                </c:pt>
              </c:strCache>
            </c:strRef>
          </c:tx>
          <c:spPr>
            <a:ln w="1270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'House reinf, Inlet Side'!$B$94:$AJ$94</c:f>
              <c:numCache>
                <c:formatCode>0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xVal>
          <c:yVal>
            <c:numRef>
              <c:f>'House reinf, Inlet Side'!$B$95:$AJ$95</c:f>
              <c:numCache>
                <c:formatCode>0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5F-391E-4F89-8054-BF47219C8897}"/>
            </c:ext>
          </c:extLst>
        </c:ser>
        <c:ser>
          <c:idx val="11"/>
          <c:order val="66"/>
          <c:tx>
            <c:strRef>
              <c:f>'House reinf, Inlet Side'!$B$41</c:f>
              <c:strCache>
                <c:ptCount val="1"/>
                <c:pt idx="0">
                  <c:v>CFV L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('House reinf, Inlet Side'!$B$44,'House reinf, Inlet Side'!$B$46)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('House reinf, Inlet Side'!$B$45,'House reinf, Inlet Side'!$B$47)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60-391E-4F89-8054-BF47219C8897}"/>
            </c:ext>
          </c:extLst>
        </c:ser>
        <c:ser>
          <c:idx val="12"/>
          <c:order val="67"/>
          <c:tx>
            <c:strRef>
              <c:f>'House reinf, Inlet Side'!$C$41</c:f>
              <c:strCache>
                <c:ptCount val="1"/>
                <c:pt idx="0">
                  <c:v>CFV R</c:v>
                </c:pt>
              </c:strCache>
            </c:strRef>
          </c:tx>
          <c:spPr>
            <a:ln w="12700"/>
          </c:spPr>
          <c:marker>
            <c:symbol val="none"/>
          </c:marker>
          <c:dPt>
            <c:idx val="1"/>
            <c:bubble3D val="0"/>
            <c:spPr>
              <a:ln w="12700">
                <a:solidFill>
                  <a:srgbClr val="FF0000"/>
                </a:solidFill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62-391E-4F89-8054-BF47219C8897}"/>
              </c:ext>
            </c:extLst>
          </c:dPt>
          <c:xVal>
            <c:numRef>
              <c:f>('House reinf, Inlet Side'!$C$44,'House reinf, Inlet Side'!$C$46)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('House reinf, Inlet Side'!$C$45,'House reinf, Inlet Side'!$C$47)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63-391E-4F89-8054-BF47219C8897}"/>
            </c:ext>
          </c:extLst>
        </c:ser>
        <c:ser>
          <c:idx val="13"/>
          <c:order val="68"/>
          <c:tx>
            <c:strRef>
              <c:f>'House reinf, Inlet Side'!$D$41</c:f>
              <c:strCache>
                <c:ptCount val="1"/>
                <c:pt idx="0">
                  <c:v>CFH Hi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('House reinf, Inlet Side'!$D$44,'House reinf, Inlet Side'!$D$46)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('House reinf, Inlet Side'!$D$45,'House reinf, Inlet Side'!$D$47)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64-391E-4F89-8054-BF47219C8897}"/>
            </c:ext>
          </c:extLst>
        </c:ser>
        <c:ser>
          <c:idx val="16"/>
          <c:order val="69"/>
          <c:tx>
            <c:strRef>
              <c:f>'House reinf, Inlet Side'!$E$41</c:f>
              <c:strCache>
                <c:ptCount val="1"/>
                <c:pt idx="0">
                  <c:v>CFV Lo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('House reinf, Inlet Side'!$E$44,'House reinf, Inlet Side'!$E$46)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('House reinf, Inlet Side'!$E$45,'House reinf, Inlet Side'!$E$47)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65-391E-4F89-8054-BF47219C8897}"/>
            </c:ext>
          </c:extLst>
        </c:ser>
        <c:ser>
          <c:idx val="46"/>
          <c:order val="70"/>
          <c:tx>
            <c:strRef>
              <c:f>'House reinf, Inlet Side'!$C$69</c:f>
              <c:strCache>
                <c:ptCount val="1"/>
                <c:pt idx="0">
                  <c:v>SPSeFVL_o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('House reinf, Inlet Side'!$C$72,'House reinf, Inlet Side'!$C$74)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('House reinf, Inlet Side'!$C$73,'House reinf, Inlet Side'!$C$75)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66-391E-4F89-8054-BF47219C88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4763808"/>
        <c:axId val="484763416"/>
      </c:scatterChart>
      <c:valAx>
        <c:axId val="4847638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Z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84763416"/>
        <c:crosses val="autoZero"/>
        <c:crossBetween val="midCat"/>
        <c:majorUnit val="1000"/>
      </c:valAx>
      <c:valAx>
        <c:axId val="48476341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0" sourceLinked="1"/>
        <c:majorTickMark val="out"/>
        <c:minorTickMark val="none"/>
        <c:tickLblPos val="nextTo"/>
        <c:spPr>
          <a:ln>
            <a:solidFill>
              <a:schemeClr val="tx1">
                <a:tint val="75000"/>
                <a:shade val="95000"/>
                <a:satMod val="105000"/>
              </a:schemeClr>
            </a:solidFill>
            <a:prstDash val="dash"/>
          </a:ln>
        </c:spPr>
        <c:crossAx val="484763808"/>
        <c:crosses val="autoZero"/>
        <c:crossBetween val="midCat"/>
        <c:majorUnit val="1000"/>
      </c:valAx>
      <c:spPr>
        <a:noFill/>
        <a:ln w="25400">
          <a:noFill/>
        </a:ln>
      </c:spPr>
    </c:plotArea>
    <c:plotVisOnly val="1"/>
    <c:dispBlanksAs val="gap"/>
    <c:showDLblsOverMax val="0"/>
  </c:chart>
  <c:spPr>
    <a:ln w="12700"/>
  </c:spPr>
  <c:printSettings>
    <c:headerFooter/>
    <c:pageMargins b="0.75000000000000855" l="0.70000000000000062" r="0.70000000000000062" t="0.75000000000000855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'Frame Dimensions'!$A$25</c:f>
          <c:strCache>
            <c:ptCount val="1"/>
            <c:pt idx="0">
              <c:v>MF1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zh-CN"/>
        </a:p>
      </c:txPr>
    </c:title>
    <c:autoTitleDeleted val="0"/>
    <c:plotArea>
      <c:layout>
        <c:manualLayout>
          <c:layoutTarget val="inner"/>
          <c:xMode val="edge"/>
          <c:yMode val="edge"/>
          <c:x val="4.8871216008209345E-2"/>
          <c:y val="0.12259270238870179"/>
          <c:w val="0.84445925925925924"/>
          <c:h val="0.73817007841592253"/>
        </c:manualLayout>
      </c:layout>
      <c:scatterChart>
        <c:scatterStyle val="lineMarker"/>
        <c:varyColors val="0"/>
        <c:ser>
          <c:idx val="8"/>
          <c:order val="0"/>
          <c:tx>
            <c:strRef>
              <c:f>'Frame Dimensions'!$Z$23</c:f>
              <c:strCache>
                <c:ptCount val="1"/>
                <c:pt idx="0">
                  <c:v>caly</c:v>
                </c:pt>
              </c:strCache>
            </c:strRef>
          </c:tx>
          <c:spPr>
            <a:ln w="12700"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'Frame Dimensions'!$Z$25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('Frame Dimensions'!$Z$24,'Frame Dimensions'!$Z$25)</c:f>
              <c:numCache>
                <c:formatCode>General</c:formatCode>
                <c:ptCount val="2"/>
                <c:pt idx="0" formatCode="0">
                  <c:v>0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9-5539-4C74-9129-55EC55C4FF82}"/>
            </c:ext>
          </c:extLst>
        </c:ser>
        <c:ser>
          <c:idx val="7"/>
          <c:order val="1"/>
          <c:tx>
            <c:strRef>
              <c:f>'Frame Dimensions'!$AA$23</c:f>
              <c:strCache>
                <c:ptCount val="1"/>
                <c:pt idx="0">
                  <c:v>calz</c:v>
                </c:pt>
              </c:strCache>
            </c:strRef>
          </c:tx>
          <c:spPr>
            <a:ln w="12700"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('Frame Dimensions'!$AA$24,'Frame Dimensions'!$AA$25)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('Frame Dimensions'!$Z$25,'Frame Dimensions'!$Z$25)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8-5539-4C74-9129-55EC55C4FF82}"/>
            </c:ext>
          </c:extLst>
        </c:ser>
        <c:ser>
          <c:idx val="0"/>
          <c:order val="2"/>
          <c:tx>
            <c:strRef>
              <c:f>'Frame Dimensions'!$B$29</c:f>
              <c:strCache>
                <c:ptCount val="1"/>
                <c:pt idx="0">
                  <c:v>#REF!</c:v>
                </c:pt>
              </c:strCache>
            </c:strRef>
          </c:tx>
          <c:spPr>
            <a:ln w="9525">
              <a:solidFill>
                <a:srgbClr val="00B0F0"/>
              </a:solidFill>
            </a:ln>
          </c:spPr>
          <c:marker>
            <c:symbol val="none"/>
          </c:marker>
          <c:xVal>
            <c:numRef>
              <c:f>('Frame Dimensions'!$L$30,'Frame Dimensions'!$L$29,'Frame Dimensions'!$O$29,'Frame Dimensions'!$O$30,'Frame Dimensions'!$L$30)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('Frame Dimensions'!$K$30,'Frame Dimensions'!$K$29,'Frame Dimensions'!$N$29,'Frame Dimensions'!$N$30,'Frame Dimensions'!$K$30)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539-4C74-9129-55EC55C4FF82}"/>
            </c:ext>
          </c:extLst>
        </c:ser>
        <c:ser>
          <c:idx val="5"/>
          <c:order val="3"/>
          <c:tx>
            <c:strRef>
              <c:f>'Frame Dimensions'!$B$33</c:f>
              <c:strCache>
                <c:ptCount val="1"/>
                <c:pt idx="0">
                  <c:v>#REF!</c:v>
                </c:pt>
              </c:strCache>
            </c:strRef>
          </c:tx>
          <c:spPr>
            <a:ln w="9525">
              <a:solidFill>
                <a:srgbClr val="00B0F0"/>
              </a:solidFill>
            </a:ln>
          </c:spPr>
          <c:marker>
            <c:symbol val="none"/>
          </c:marker>
          <c:xVal>
            <c:numRef>
              <c:f>('Frame Dimensions'!$L$34,'Frame Dimensions'!$L$33,'Frame Dimensions'!$O$33,'Frame Dimensions'!$O$34,'Frame Dimensions'!$L$34)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('Frame Dimensions'!$K$34,'Frame Dimensions'!$K$33,'Frame Dimensions'!$N$33,'Frame Dimensions'!$N$34,'Frame Dimensions'!$K$34)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5539-4C74-9129-55EC55C4FF82}"/>
            </c:ext>
          </c:extLst>
        </c:ser>
        <c:ser>
          <c:idx val="1"/>
          <c:order val="4"/>
          <c:tx>
            <c:strRef>
              <c:f>'Frame Dimensions'!$B$25</c:f>
              <c:strCache>
                <c:ptCount val="1"/>
                <c:pt idx="0">
                  <c:v>#REF!</c:v>
                </c:pt>
              </c:strCache>
            </c:strRef>
          </c:tx>
          <c:spPr>
            <a:ln w="9525">
              <a:solidFill>
                <a:srgbClr val="00B0F0"/>
              </a:solidFill>
            </a:ln>
          </c:spPr>
          <c:marker>
            <c:symbol val="none"/>
          </c:marker>
          <c:xVal>
            <c:numRef>
              <c:f>('Frame Dimensions'!$L$26,'Frame Dimensions'!$L$25,'Frame Dimensions'!$O$25,'Frame Dimensions'!$O$26,'Frame Dimensions'!$L$26)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('Frame Dimensions'!$K$26,'Frame Dimensions'!$K$25,'Frame Dimensions'!$N$25,'Frame Dimensions'!$N$26,'Frame Dimensions'!$K$26)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5539-4C74-9129-55EC55C4FF82}"/>
            </c:ext>
          </c:extLst>
        </c:ser>
        <c:ser>
          <c:idx val="12"/>
          <c:order val="5"/>
          <c:tx>
            <c:strRef>
              <c:f>'Frame Dimensions'!$B$124</c:f>
              <c:strCache>
                <c:ptCount val="1"/>
                <c:pt idx="0">
                  <c:v>SFBase_R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('Frame Dimensions'!$L$124,'Frame Dimensions'!$O$124)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('Frame Dimensions'!$K$124,'Frame Dimensions'!$N$124)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10-5539-4C74-9129-55EC55C4FF82}"/>
            </c:ext>
          </c:extLst>
        </c:ser>
        <c:ser>
          <c:idx val="9"/>
          <c:order val="6"/>
          <c:tx>
            <c:strRef>
              <c:f>'Frame Dimensions'!$B$125</c:f>
              <c:strCache>
                <c:ptCount val="1"/>
                <c:pt idx="0">
                  <c:v>sfbase_R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('Frame Dimensions'!$L$125,'Frame Dimensions'!$O$125)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('Frame Dimensions'!$K$125,'Frame Dimensions'!$N$125)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948-4E32-AFE4-DBA864AF3277}"/>
            </c:ext>
          </c:extLst>
        </c:ser>
        <c:ser>
          <c:idx val="6"/>
          <c:order val="7"/>
          <c:tx>
            <c:strRef>
              <c:f>'Frame Dimensions'!$B$120</c:f>
              <c:strCache>
                <c:ptCount val="1"/>
                <c:pt idx="0">
                  <c:v>SFBase_L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('Frame Dimensions'!$L$120,'Frame Dimensions'!$O$120)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('Frame Dimensions'!$K$120,'Frame Dimensions'!$N$120)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F-5539-4C74-9129-55EC55C4FF82}"/>
            </c:ext>
          </c:extLst>
        </c:ser>
        <c:ser>
          <c:idx val="2"/>
          <c:order val="8"/>
          <c:tx>
            <c:strRef>
              <c:f>'Frame Dimensions'!$B$121</c:f>
              <c:strCache>
                <c:ptCount val="1"/>
                <c:pt idx="0">
                  <c:v>sfbase_L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('Frame Dimensions'!$L$121,'Frame Dimensions'!$O$121)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('Frame Dimensions'!$K$121,'Frame Dimensions'!$N$121)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948-4E32-AFE4-DBA864AF3277}"/>
            </c:ext>
          </c:extLst>
        </c:ser>
        <c:ser>
          <c:idx val="4"/>
          <c:order val="9"/>
          <c:tx>
            <c:strRef>
              <c:f>'Frame Dimensions'!$B$103</c:f>
              <c:strCache>
                <c:ptCount val="1"/>
                <c:pt idx="0">
                  <c:v>MSMM</c:v>
                </c:pt>
              </c:strCache>
            </c:strRef>
          </c:tx>
          <c:spPr>
            <a:ln w="635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('Frame Dimensions'!$L$104,'Frame Dimensions'!$L$103,'Frame Dimensions'!$O$103,'Frame Dimensions'!$O$104)</c:f>
              <c:numCache>
                <c:formatCode>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('Frame Dimensions'!$K$104,'Frame Dimensions'!$K$103,'Frame Dimensions'!$N$103,'Frame Dimensions'!$N$104)</c:f>
              <c:numCache>
                <c:formatCode>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6-5539-4C74-9129-55EC55C4FF82}"/>
            </c:ext>
          </c:extLst>
        </c:ser>
        <c:ser>
          <c:idx val="3"/>
          <c:order val="10"/>
          <c:tx>
            <c:strRef>
              <c:f>'Frame Dimensions'!$B$37</c:f>
              <c:strCache>
                <c:ptCount val="1"/>
                <c:pt idx="0">
                  <c:v>MFTr1</c:v>
                </c:pt>
              </c:strCache>
            </c:strRef>
          </c:tx>
          <c:spPr>
            <a:ln w="6350">
              <a:solidFill>
                <a:srgbClr val="00B0F0"/>
              </a:solidFill>
            </a:ln>
          </c:spPr>
          <c:marker>
            <c:symbol val="none"/>
          </c:marker>
          <c:dLbls>
            <c:dLbl>
              <c:idx val="2"/>
              <c:layout>
                <c:manualLayout>
                  <c:x val="3.8790935836781358E-2"/>
                  <c:y val="-0.12718182108807091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 sz="600"/>
                  </a:pPr>
                  <a:endParaRPr lang="zh-CN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0-0FD6-4E46-B6EF-ADF0D32BDC91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6350">
                      <a:prstDash val="dash"/>
                    </a:ln>
                  </c:spPr>
                </c15:leaderLines>
              </c:ext>
            </c:extLst>
          </c:dLbls>
          <c:xVal>
            <c:numRef>
              <c:f>('Frame Dimensions'!$L$38,'Frame Dimensions'!$L$37,'Frame Dimensions'!$O$37,'Frame Dimensions'!$O$38,'Frame Dimensions'!$L$38)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('Frame Dimensions'!$K$38,'Frame Dimensions'!$K$37,'Frame Dimensions'!$N$37,'Frame Dimensions'!$N$38,'Frame Dimensions'!$K$38)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7-5539-4C74-9129-55EC55C4FF82}"/>
            </c:ext>
          </c:extLst>
        </c:ser>
        <c:ser>
          <c:idx val="15"/>
          <c:order val="11"/>
          <c:tx>
            <c:strRef>
              <c:f>'Frame Dimensions'!$B$152</c:f>
              <c:strCache>
                <c:ptCount val="1"/>
                <c:pt idx="0">
                  <c:v>Axle</c:v>
                </c:pt>
              </c:strCache>
            </c:strRef>
          </c:tx>
          <c:marker>
            <c:symbol val="none"/>
          </c:marker>
          <c:xVal>
            <c:numRef>
              <c:f>('Frame Dimensions'!$L$152,'Frame Dimensions'!$O$152)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('Frame Dimensions'!$K$152,'Frame Dimensions'!$N$152)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A-5539-4C74-9129-55EC55C4FF82}"/>
            </c:ext>
          </c:extLst>
        </c:ser>
        <c:ser>
          <c:idx val="16"/>
          <c:order val="12"/>
          <c:tx>
            <c:strRef>
              <c:f>'Frame Dimensions'!$B$153</c:f>
              <c:strCache>
                <c:ptCount val="1"/>
                <c:pt idx="0">
                  <c:v>MFrame</c:v>
                </c:pt>
              </c:strCache>
            </c:strRef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('Frame Dimensions'!$L$153,'Frame Dimensions'!$O$153,'Frame Dimensions'!$O$154,'Frame Dimensions'!$L$154,'Frame Dimensions'!$L$153)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('Frame Dimensions'!$K$153,'Frame Dimensions'!$N$153,'Frame Dimensions'!$N$154,'Frame Dimensions'!$K$154,'Frame Dimensions'!$K$153)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B-5539-4C74-9129-55EC55C4FF82}"/>
            </c:ext>
          </c:extLst>
        </c:ser>
        <c:ser>
          <c:idx val="17"/>
          <c:order val="13"/>
          <c:tx>
            <c:strRef>
              <c:f>'Frame Dimensions'!$B$155</c:f>
              <c:strCache>
                <c:ptCount val="1"/>
                <c:pt idx="0">
                  <c:v>MMR1+</c:v>
                </c:pt>
              </c:strCache>
            </c:strRef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('Frame Dimensions'!$L$155,'Frame Dimensions'!$O$155)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('Frame Dimensions'!$K$155,'Frame Dimensions'!$N$155)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C-5539-4C74-9129-55EC55C4FF82}"/>
            </c:ext>
          </c:extLst>
        </c:ser>
        <c:ser>
          <c:idx val="18"/>
          <c:order val="14"/>
          <c:tx>
            <c:strRef>
              <c:f>'Frame Dimensions'!$B$157</c:f>
              <c:strCache>
                <c:ptCount val="1"/>
                <c:pt idx="0">
                  <c:v>MMR1-</c:v>
                </c:pt>
              </c:strCache>
            </c:strRef>
          </c:tx>
          <c:spPr>
            <a:ln w="1270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('Frame Dimensions'!$L$157,'Frame Dimensions'!$O$157)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('Frame Dimensions'!$K$157,'Frame Dimensions'!$N$157)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D-5539-4C74-9129-55EC55C4FF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9726984"/>
        <c:axId val="489727376"/>
      </c:scatterChart>
      <c:valAx>
        <c:axId val="4897269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Z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89727376"/>
        <c:crosses val="autoZero"/>
        <c:crossBetween val="midCat"/>
        <c:majorUnit val="1000"/>
      </c:valAx>
      <c:valAx>
        <c:axId val="489727376"/>
        <c:scaling>
          <c:orientation val="minMax"/>
        </c:scaling>
        <c:delete val="0"/>
        <c:axPos val="l"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0" sourceLinked="1"/>
        <c:majorTickMark val="out"/>
        <c:minorTickMark val="none"/>
        <c:tickLblPos val="nextTo"/>
        <c:crossAx val="489726984"/>
        <c:crosses val="autoZero"/>
        <c:crossBetween val="midCat"/>
        <c:majorUnit val="1000"/>
      </c:valAx>
    </c:plotArea>
    <c:plotVisOnly val="1"/>
    <c:dispBlanksAs val="gap"/>
    <c:showDLblsOverMax val="0"/>
  </c:chart>
  <c:spPr>
    <a:ln w="12700">
      <a:solidFill>
        <a:schemeClr val="tx1">
          <a:tint val="75000"/>
          <a:shade val="95000"/>
          <a:satMod val="105000"/>
        </a:schemeClr>
      </a:solidFill>
    </a:ln>
  </c:spPr>
  <c:printSettings>
    <c:headerFooter/>
    <c:pageMargins b="0.75000000000000655" l="0.70000000000000062" r="0.70000000000000062" t="0.75000000000000655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'Frame Dimensions'!$A$41</c:f>
          <c:strCache>
            <c:ptCount val="1"/>
            <c:pt idx="0">
              <c:v>MF2</c:v>
            </c:pt>
          </c:strCache>
        </c:strRef>
      </c:tx>
      <c:overlay val="1"/>
      <c:txPr>
        <a:bodyPr/>
        <a:lstStyle/>
        <a:p>
          <a:pPr>
            <a:defRPr sz="1400"/>
          </a:pPr>
          <a:endParaRPr lang="zh-CN"/>
        </a:p>
      </c:txPr>
    </c:title>
    <c:autoTitleDeleted val="0"/>
    <c:plotArea>
      <c:layout>
        <c:manualLayout>
          <c:layoutTarget val="inner"/>
          <c:xMode val="edge"/>
          <c:yMode val="edge"/>
          <c:x val="2.7655526392534269E-2"/>
          <c:y val="0.12184273780321862"/>
          <c:w val="0.8471926509186356"/>
          <c:h val="0.73624630507339228"/>
        </c:manualLayout>
      </c:layout>
      <c:scatterChart>
        <c:scatterStyle val="lineMarker"/>
        <c:varyColors val="0"/>
        <c:ser>
          <c:idx val="8"/>
          <c:order val="0"/>
          <c:tx>
            <c:strRef>
              <c:f>'Frame Dimensions'!$Z$23</c:f>
              <c:strCache>
                <c:ptCount val="1"/>
                <c:pt idx="0">
                  <c:v>caly</c:v>
                </c:pt>
              </c:strCache>
            </c:strRef>
          </c:tx>
          <c:spPr>
            <a:ln w="12700"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('Frame Dimensions'!$Z$25,'Frame Dimensions'!$Z$25)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('Frame Dimensions'!$Z$24,'Frame Dimensions'!$Z$25)</c:f>
              <c:numCache>
                <c:formatCode>General</c:formatCode>
                <c:ptCount val="2"/>
                <c:pt idx="0" formatCode="0">
                  <c:v>0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A-4B73-4036-AC98-37170BE7EAF1}"/>
            </c:ext>
          </c:extLst>
        </c:ser>
        <c:ser>
          <c:idx val="7"/>
          <c:order val="1"/>
          <c:tx>
            <c:strRef>
              <c:f>'Frame Dimensions'!$AA$23</c:f>
              <c:strCache>
                <c:ptCount val="1"/>
                <c:pt idx="0">
                  <c:v>calz</c:v>
                </c:pt>
              </c:strCache>
            </c:strRef>
          </c:tx>
          <c:spPr>
            <a:ln w="12700"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('Frame Dimensions'!$AA$24,'Frame Dimensions'!$AA$25)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('Frame Dimensions'!$Z$25,'Frame Dimensions'!$Z$25)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9-4B73-4036-AC98-37170BE7EAF1}"/>
            </c:ext>
          </c:extLst>
        </c:ser>
        <c:ser>
          <c:idx val="0"/>
          <c:order val="2"/>
          <c:tx>
            <c:strRef>
              <c:f>'Frame Dimensions'!$B$45</c:f>
              <c:strCache>
                <c:ptCount val="1"/>
                <c:pt idx="0">
                  <c:v>#REF!</c:v>
                </c:pt>
              </c:strCache>
            </c:strRef>
          </c:tx>
          <c:spPr>
            <a:ln w="9525">
              <a:solidFill>
                <a:srgbClr val="00B0F0"/>
              </a:solidFill>
            </a:ln>
          </c:spPr>
          <c:marker>
            <c:symbol val="none"/>
          </c:marker>
          <c:xVal>
            <c:numRef>
              <c:f>('Frame Dimensions'!$L$46,'Frame Dimensions'!$L$45,'Frame Dimensions'!$O$45,'Frame Dimensions'!$O$46,'Frame Dimensions'!$L$46)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('Frame Dimensions'!$K$46,'Frame Dimensions'!$K$45,'Frame Dimensions'!$N$45,'Frame Dimensions'!$N$46,'Frame Dimensions'!$K$46)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B73-4036-AC98-37170BE7EAF1}"/>
            </c:ext>
          </c:extLst>
        </c:ser>
        <c:ser>
          <c:idx val="5"/>
          <c:order val="3"/>
          <c:tx>
            <c:strRef>
              <c:f>'Frame Dimensions'!$B$49</c:f>
              <c:strCache>
                <c:ptCount val="1"/>
                <c:pt idx="0">
                  <c:v>#REF!</c:v>
                </c:pt>
              </c:strCache>
            </c:strRef>
          </c:tx>
          <c:spPr>
            <a:ln w="9525">
              <a:solidFill>
                <a:srgbClr val="00B0F0"/>
              </a:solidFill>
            </a:ln>
          </c:spPr>
          <c:marker>
            <c:symbol val="none"/>
          </c:marker>
          <c:xVal>
            <c:numRef>
              <c:f>('Frame Dimensions'!$L$50,'Frame Dimensions'!$L$49,'Frame Dimensions'!$O$49,'Frame Dimensions'!$O$50,'Frame Dimensions'!$L$50)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('Frame Dimensions'!$K$50,'Frame Dimensions'!$K$49,'Frame Dimensions'!$N$49,'Frame Dimensions'!$N$50,'Frame Dimensions'!$K$50)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4B73-4036-AC98-37170BE7EAF1}"/>
            </c:ext>
          </c:extLst>
        </c:ser>
        <c:ser>
          <c:idx val="1"/>
          <c:order val="4"/>
          <c:tx>
            <c:strRef>
              <c:f>'Frame Dimensions'!$B$41</c:f>
              <c:strCache>
                <c:ptCount val="1"/>
                <c:pt idx="0">
                  <c:v>#REF!</c:v>
                </c:pt>
              </c:strCache>
            </c:strRef>
          </c:tx>
          <c:spPr>
            <a:ln w="9525">
              <a:solidFill>
                <a:srgbClr val="00B0F0"/>
              </a:solidFill>
            </a:ln>
          </c:spPr>
          <c:marker>
            <c:symbol val="none"/>
          </c:marker>
          <c:xVal>
            <c:numRef>
              <c:f>('Frame Dimensions'!$L$42,'Frame Dimensions'!$L$41,'Frame Dimensions'!$O$41,'Frame Dimensions'!$O$42,'Frame Dimensions'!$L$42)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('Frame Dimensions'!$K$42,'Frame Dimensions'!$K$41,'Frame Dimensions'!$N$41,'Frame Dimensions'!$N$42,'Frame Dimensions'!$K$42)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4B73-4036-AC98-37170BE7EAF1}"/>
            </c:ext>
          </c:extLst>
        </c:ser>
        <c:ser>
          <c:idx val="18"/>
          <c:order val="5"/>
          <c:tx>
            <c:strRef>
              <c:f>'Frame Dimensions'!$B$152</c:f>
              <c:strCache>
                <c:ptCount val="1"/>
                <c:pt idx="0">
                  <c:v>Axle</c:v>
                </c:pt>
              </c:strCache>
            </c:strRef>
          </c:tx>
          <c:marker>
            <c:symbol val="none"/>
          </c:marker>
          <c:xVal>
            <c:numRef>
              <c:f>('Frame Dimensions'!$L$152,'Frame Dimensions'!$O$152)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('Frame Dimensions'!$K$152,'Frame Dimensions'!$N$152)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B-4B73-4036-AC98-37170BE7EAF1}"/>
            </c:ext>
          </c:extLst>
        </c:ser>
        <c:ser>
          <c:idx val="16"/>
          <c:order val="6"/>
          <c:tx>
            <c:strRef>
              <c:f>'Frame Dimensions'!$B$105</c:f>
              <c:strCache>
                <c:ptCount val="1"/>
                <c:pt idx="0">
                  <c:v>MSMM+</c:v>
                </c:pt>
              </c:strCache>
            </c:strRef>
          </c:tx>
          <c:spPr>
            <a:ln w="635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('Frame Dimensions'!$L$106,'Frame Dimensions'!$L$105,'Frame Dimensions'!$O$105,'Frame Dimensions'!$O$106)</c:f>
              <c:numCache>
                <c:formatCode>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('Frame Dimensions'!$K$106,'Frame Dimensions'!$K$105,'Frame Dimensions'!$N$105,'Frame Dimensions'!$N$106)</c:f>
              <c:numCache>
                <c:formatCode>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8-4B73-4036-AC98-37170BE7EAF1}"/>
            </c:ext>
          </c:extLst>
        </c:ser>
        <c:ser>
          <c:idx val="19"/>
          <c:order val="7"/>
          <c:tx>
            <c:strRef>
              <c:f>'Frame Dimensions'!$B$153</c:f>
              <c:strCache>
                <c:ptCount val="1"/>
                <c:pt idx="0">
                  <c:v>MFrame</c:v>
                </c:pt>
              </c:strCache>
            </c:strRef>
          </c:tx>
          <c:spPr>
            <a:ln w="1270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('Frame Dimensions'!$L$153,'Frame Dimensions'!$O$153,'Frame Dimensions'!$O$154,'Frame Dimensions'!$L$154,'Frame Dimensions'!$L$153)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('Frame Dimensions'!$K$153,'Frame Dimensions'!$N$153,'Frame Dimensions'!$N$154,'Frame Dimensions'!$K$154,'Frame Dimensions'!$K$153)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C-4B73-4036-AC98-37170BE7EAF1}"/>
            </c:ext>
          </c:extLst>
        </c:ser>
        <c:ser>
          <c:idx val="20"/>
          <c:order val="8"/>
          <c:tx>
            <c:strRef>
              <c:f>'Frame Dimensions'!$B$155</c:f>
              <c:strCache>
                <c:ptCount val="1"/>
                <c:pt idx="0">
                  <c:v>MMR1+</c:v>
                </c:pt>
              </c:strCache>
            </c:strRef>
          </c:tx>
          <c:spPr>
            <a:ln w="1270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('Frame Dimensions'!$L$155,'Frame Dimensions'!$O$155)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('Frame Dimensions'!$K$155,'Frame Dimensions'!$N$155)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D-4B73-4036-AC98-37170BE7EAF1}"/>
            </c:ext>
          </c:extLst>
        </c:ser>
        <c:ser>
          <c:idx val="6"/>
          <c:order val="9"/>
          <c:tx>
            <c:strRef>
              <c:f>'Frame Dimensions'!$B$157</c:f>
              <c:strCache>
                <c:ptCount val="1"/>
                <c:pt idx="0">
                  <c:v>MMR1-</c:v>
                </c:pt>
              </c:strCache>
            </c:strRef>
          </c:tx>
          <c:spPr>
            <a:ln w="1270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('Frame Dimensions'!$L$157,'Frame Dimensions'!$O$157)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('Frame Dimensions'!$K$157,'Frame Dimensions'!$N$157)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4B73-4036-AC98-37170BE7EAF1}"/>
            </c:ext>
          </c:extLst>
        </c:ser>
        <c:ser>
          <c:idx val="3"/>
          <c:order val="10"/>
          <c:tx>
            <c:strRef>
              <c:f>'Frame Dimensions'!$B$120</c:f>
              <c:strCache>
                <c:ptCount val="1"/>
                <c:pt idx="0">
                  <c:v>SFBase_L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('Frame Dimensions'!$L$120,'Frame Dimensions'!$O$120)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('Frame Dimensions'!$K$120,'Frame Dimensions'!$N$120)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261-405E-998A-D0784AF48D45}"/>
            </c:ext>
          </c:extLst>
        </c:ser>
        <c:ser>
          <c:idx val="4"/>
          <c:order val="11"/>
          <c:tx>
            <c:strRef>
              <c:f>'Frame Dimensions'!$B$121</c:f>
              <c:strCache>
                <c:ptCount val="1"/>
                <c:pt idx="0">
                  <c:v>sfbase_L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('Frame Dimensions'!$L$121,'Frame Dimensions'!$O$121)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('Frame Dimensions'!$K$121,'Frame Dimensions'!$N$121)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261-405E-998A-D0784AF48D45}"/>
            </c:ext>
          </c:extLst>
        </c:ser>
        <c:ser>
          <c:idx val="9"/>
          <c:order val="12"/>
          <c:tx>
            <c:strRef>
              <c:f>'Frame Dimensions'!$B$124</c:f>
              <c:strCache>
                <c:ptCount val="1"/>
                <c:pt idx="0">
                  <c:v>SFBase_R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('Frame Dimensions'!$L$124,'Frame Dimensions'!$O$124)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('Frame Dimensions'!$K$124,'Frame Dimensions'!$N$124)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1261-405E-998A-D0784AF48D45}"/>
            </c:ext>
          </c:extLst>
        </c:ser>
        <c:ser>
          <c:idx val="10"/>
          <c:order val="13"/>
          <c:tx>
            <c:strRef>
              <c:f>'Frame Dimensions'!$B$125</c:f>
              <c:strCache>
                <c:ptCount val="1"/>
                <c:pt idx="0">
                  <c:v>sfbase_R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('Frame Dimensions'!$L$125,'Frame Dimensions'!$O$125)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('Frame Dimensions'!$K$125,'Frame Dimensions'!$N$125)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1261-405E-998A-D0784AF48D45}"/>
            </c:ext>
          </c:extLst>
        </c:ser>
        <c:ser>
          <c:idx val="2"/>
          <c:order val="14"/>
          <c:tx>
            <c:strRef>
              <c:f>'Frame Dimensions'!$B$53</c:f>
              <c:strCache>
                <c:ptCount val="1"/>
                <c:pt idx="0">
                  <c:v>#REF!</c:v>
                </c:pt>
              </c:strCache>
            </c:strRef>
          </c:tx>
          <c:spPr>
            <a:ln w="6350">
              <a:solidFill>
                <a:srgbClr val="00B0F0"/>
              </a:solidFill>
            </a:ln>
          </c:spPr>
          <c:marker>
            <c:symbol val="none"/>
          </c:marker>
          <c:dLbls>
            <c:dLbl>
              <c:idx val="2"/>
              <c:layout>
                <c:manualLayout>
                  <c:x val="3.5788241990944776E-2"/>
                  <c:y val="-0.1075208817174094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 sz="600"/>
                  </a:pPr>
                  <a:endParaRPr lang="zh-CN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0-4D7E-4AF2-A1C0-9B6AE6FFFE5D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6350">
                      <a:prstDash val="dash"/>
                    </a:ln>
                  </c:spPr>
                </c15:leaderLines>
              </c:ext>
            </c:extLst>
          </c:dLbls>
          <c:xVal>
            <c:numRef>
              <c:f>('Frame Dimensions'!$L$54,'Frame Dimensions'!$L$53,'Frame Dimensions'!$O$53,'Frame Dimensions'!$O$54,'Frame Dimensions'!$L$54)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('Frame Dimensions'!$K$54,'Frame Dimensions'!$K$53,'Frame Dimensions'!$N$53,'Frame Dimensions'!$N$54,'Frame Dimensions'!$K$54)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6-4B73-4036-AC98-37170BE7EA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9728160"/>
        <c:axId val="489728552"/>
      </c:scatterChart>
      <c:valAx>
        <c:axId val="4897281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Z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89728552"/>
        <c:crosses val="autoZero"/>
        <c:crossBetween val="midCat"/>
        <c:majorUnit val="1000"/>
      </c:valAx>
      <c:valAx>
        <c:axId val="489728552"/>
        <c:scaling>
          <c:orientation val="minMax"/>
        </c:scaling>
        <c:delete val="0"/>
        <c:axPos val="l"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0" sourceLinked="1"/>
        <c:majorTickMark val="out"/>
        <c:minorTickMark val="none"/>
        <c:tickLblPos val="nextTo"/>
        <c:crossAx val="489728160"/>
        <c:crosses val="autoZero"/>
        <c:crossBetween val="midCat"/>
        <c:majorUnit val="1000"/>
      </c:valAx>
    </c:plotArea>
    <c:plotVisOnly val="1"/>
    <c:dispBlanksAs val="gap"/>
    <c:showDLblsOverMax val="0"/>
  </c:chart>
  <c:spPr>
    <a:ln w="12700"/>
  </c:spPr>
  <c:printSettings>
    <c:headerFooter/>
    <c:pageMargins b="0.75000000000000699" l="0.70000000000000062" r="0.70000000000000062" t="0.75000000000000699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'Frame Dimensions'!$A$57</c:f>
          <c:strCache>
            <c:ptCount val="1"/>
            <c:pt idx="0">
              <c:v>0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zh-CN"/>
        </a:p>
      </c:txPr>
    </c:title>
    <c:autoTitleDeleted val="0"/>
    <c:plotArea>
      <c:layout>
        <c:manualLayout>
          <c:layoutTarget val="inner"/>
          <c:xMode val="edge"/>
          <c:yMode val="edge"/>
          <c:x val="2.7655572134158653E-2"/>
          <c:y val="0.11520392935256317"/>
          <c:w val="0.8471926509186356"/>
          <c:h val="0.7460689875601898"/>
        </c:manualLayout>
      </c:layout>
      <c:scatterChart>
        <c:scatterStyle val="lineMarker"/>
        <c:varyColors val="0"/>
        <c:ser>
          <c:idx val="8"/>
          <c:order val="0"/>
          <c:tx>
            <c:strRef>
              <c:f>'Frame Dimensions'!$Z$23</c:f>
              <c:strCache>
                <c:ptCount val="1"/>
                <c:pt idx="0">
                  <c:v>caly</c:v>
                </c:pt>
              </c:strCache>
            </c:strRef>
          </c:tx>
          <c:spPr>
            <a:ln w="12700"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('Frame Dimensions'!$Z$25,'Frame Dimensions'!$Z$25)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('Frame Dimensions'!$Z$24,'Frame Dimensions'!$Z$25)</c:f>
              <c:numCache>
                <c:formatCode>General</c:formatCode>
                <c:ptCount val="2"/>
                <c:pt idx="0" formatCode="0">
                  <c:v>0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A-C303-4408-BB1D-827E0C8B4AB7}"/>
            </c:ext>
          </c:extLst>
        </c:ser>
        <c:ser>
          <c:idx val="7"/>
          <c:order val="1"/>
          <c:tx>
            <c:strRef>
              <c:f>'Frame Dimensions'!$AA$23</c:f>
              <c:strCache>
                <c:ptCount val="1"/>
                <c:pt idx="0">
                  <c:v>calz</c:v>
                </c:pt>
              </c:strCache>
            </c:strRef>
          </c:tx>
          <c:spPr>
            <a:ln w="12700"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('Frame Dimensions'!$AA$24,'Frame Dimensions'!$AA$25)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('Frame Dimensions'!$Z$25,'Frame Dimensions'!$Z$25)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9-C303-4408-BB1D-827E0C8B4AB7}"/>
            </c:ext>
          </c:extLst>
        </c:ser>
        <c:ser>
          <c:idx val="1"/>
          <c:order val="2"/>
          <c:tx>
            <c:strRef>
              <c:f>'Frame Dimensions'!$B$57</c:f>
              <c:strCache>
                <c:ptCount val="1"/>
                <c:pt idx="0">
                  <c:v>0</c:v>
                </c:pt>
              </c:strCache>
            </c:strRef>
          </c:tx>
          <c:spPr>
            <a:ln w="9525">
              <a:solidFill>
                <a:srgbClr val="00B0F0"/>
              </a:solidFill>
            </a:ln>
          </c:spPr>
          <c:marker>
            <c:symbol val="none"/>
          </c:marker>
          <c:xVal>
            <c:numRef>
              <c:f>('Frame Dimensions'!$L$58,'Frame Dimensions'!$L$57,'Frame Dimensions'!$O$57,'Frame Dimensions'!$O$58,'Frame Dimensions'!$L$58)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('Frame Dimensions'!$K$58,'Frame Dimensions'!$K$57,'Frame Dimensions'!$N$57,'Frame Dimensions'!$N$58,'Frame Dimensions'!$K$58)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303-4408-BB1D-827E0C8B4AB7}"/>
            </c:ext>
          </c:extLst>
        </c:ser>
        <c:ser>
          <c:idx val="0"/>
          <c:order val="3"/>
          <c:tx>
            <c:strRef>
              <c:f>'Frame Dimensions'!$B$61</c:f>
              <c:strCache>
                <c:ptCount val="1"/>
                <c:pt idx="0">
                  <c:v>0</c:v>
                </c:pt>
              </c:strCache>
            </c:strRef>
          </c:tx>
          <c:spPr>
            <a:ln w="9525">
              <a:solidFill>
                <a:srgbClr val="00B0F0"/>
              </a:solidFill>
            </a:ln>
          </c:spPr>
          <c:marker>
            <c:symbol val="none"/>
          </c:marker>
          <c:xVal>
            <c:numRef>
              <c:f>('Frame Dimensions'!$L$62,'Frame Dimensions'!$L$61,'Frame Dimensions'!$O$61,'Frame Dimensions'!$O$62,'Frame Dimensions'!$L$62)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('Frame Dimensions'!$K$62,'Frame Dimensions'!$K$61,'Frame Dimensions'!$N$61,'Frame Dimensions'!$N$62,'Frame Dimensions'!$K$62)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303-4408-BB1D-827E0C8B4AB7}"/>
            </c:ext>
          </c:extLst>
        </c:ser>
        <c:ser>
          <c:idx val="5"/>
          <c:order val="4"/>
          <c:tx>
            <c:strRef>
              <c:f>'Frame Dimensions'!$B$65</c:f>
              <c:strCache>
                <c:ptCount val="1"/>
                <c:pt idx="0">
                  <c:v>0</c:v>
                </c:pt>
              </c:strCache>
            </c:strRef>
          </c:tx>
          <c:spPr>
            <a:ln w="9525">
              <a:solidFill>
                <a:srgbClr val="00B0F0"/>
              </a:solidFill>
            </a:ln>
          </c:spPr>
          <c:marker>
            <c:symbol val="none"/>
          </c:marker>
          <c:xVal>
            <c:numRef>
              <c:f>('Frame Dimensions'!$L$66,'Frame Dimensions'!$L$65,'Frame Dimensions'!$O$65,'Frame Dimensions'!$O$66,'Frame Dimensions'!$L$66)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('Frame Dimensions'!$K$66,'Frame Dimensions'!$K$65,'Frame Dimensions'!$N$65,'Frame Dimensions'!$N$66,'Frame Dimensions'!$K$66)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C303-4408-BB1D-827E0C8B4AB7}"/>
            </c:ext>
          </c:extLst>
        </c:ser>
        <c:ser>
          <c:idx val="16"/>
          <c:order val="5"/>
          <c:tx>
            <c:strRef>
              <c:f>'Frame Dimensions'!$B$111</c:f>
              <c:strCache>
                <c:ptCount val="1"/>
                <c:pt idx="0">
                  <c:v>0</c:v>
                </c:pt>
              </c:strCache>
            </c:strRef>
          </c:tx>
          <c:spPr>
            <a:ln w="635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('Frame Dimensions'!$L$112,'Frame Dimensions'!$L$111,'Frame Dimensions'!$O$111,'Frame Dimensions'!$O$112)</c:f>
              <c:numCache>
                <c:formatCode>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('Frame Dimensions'!$K$112,'Frame Dimensions'!$K$111,'Frame Dimensions'!$N$111,'Frame Dimensions'!$N$112)</c:f>
              <c:numCache>
                <c:formatCode>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6-C303-4408-BB1D-827E0C8B4AB7}"/>
            </c:ext>
          </c:extLst>
        </c:ser>
        <c:ser>
          <c:idx val="18"/>
          <c:order val="6"/>
          <c:tx>
            <c:strRef>
              <c:f>'Frame Dimensions'!$B$161</c:f>
              <c:strCache>
                <c:ptCount val="1"/>
                <c:pt idx="0">
                  <c:v>0</c:v>
                </c:pt>
              </c:strCache>
            </c:strRef>
          </c:tx>
          <c:spPr>
            <a:ln w="1270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('Frame Dimensions'!$L$161,'Frame Dimensions'!$O$161)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('Frame Dimensions'!$K$161,'Frame Dimensions'!$N$161)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B-C303-4408-BB1D-827E0C8B4AB7}"/>
            </c:ext>
          </c:extLst>
        </c:ser>
        <c:ser>
          <c:idx val="19"/>
          <c:order val="7"/>
          <c:tx>
            <c:strRef>
              <c:f>'Frame Dimensions'!$B$163</c:f>
              <c:strCache>
                <c:ptCount val="1"/>
                <c:pt idx="0">
                  <c:v>0</c:v>
                </c:pt>
              </c:strCache>
            </c:strRef>
          </c:tx>
          <c:spPr>
            <a:ln w="1270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('Frame Dimensions'!$L$163,'Frame Dimensions'!$O$163)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('Frame Dimensions'!$K$163,'Frame Dimensions'!$N$163)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C-C303-4408-BB1D-827E0C8B4AB7}"/>
            </c:ext>
          </c:extLst>
        </c:ser>
        <c:ser>
          <c:idx val="2"/>
          <c:order val="8"/>
          <c:tx>
            <c:strRef>
              <c:f>'Frame Dimensions'!$B$120</c:f>
              <c:strCache>
                <c:ptCount val="1"/>
                <c:pt idx="0">
                  <c:v>SFBase_L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('Frame Dimensions'!$L$120,'Frame Dimensions'!$O$120)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('Frame Dimensions'!$K$120,'Frame Dimensions'!$N$120)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C20-49E4-A75A-C14EC67D3C67}"/>
            </c:ext>
          </c:extLst>
        </c:ser>
        <c:ser>
          <c:idx val="3"/>
          <c:order val="9"/>
          <c:tx>
            <c:strRef>
              <c:f>'Frame Dimensions'!$B$121</c:f>
              <c:strCache>
                <c:ptCount val="1"/>
                <c:pt idx="0">
                  <c:v>sfbase_L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('Frame Dimensions'!$L$121,'Frame Dimensions'!$O$121)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('Frame Dimensions'!$K$121,'Frame Dimensions'!$N$121)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C20-49E4-A75A-C14EC67D3C67}"/>
            </c:ext>
          </c:extLst>
        </c:ser>
        <c:ser>
          <c:idx val="4"/>
          <c:order val="10"/>
          <c:tx>
            <c:strRef>
              <c:f>'Frame Dimensions'!$B$124</c:f>
              <c:strCache>
                <c:ptCount val="1"/>
                <c:pt idx="0">
                  <c:v>SFBase_R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('Frame Dimensions'!$L$124,'Frame Dimensions'!$O$124)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('Frame Dimensions'!$K$124,'Frame Dimensions'!$N$124)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C20-49E4-A75A-C14EC67D3C67}"/>
            </c:ext>
          </c:extLst>
        </c:ser>
        <c:ser>
          <c:idx val="9"/>
          <c:order val="11"/>
          <c:tx>
            <c:strRef>
              <c:f>'Frame Dimensions'!$B$125</c:f>
              <c:strCache>
                <c:ptCount val="1"/>
                <c:pt idx="0">
                  <c:v>sfbase_R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('Frame Dimensions'!$L$125,'Frame Dimensions'!$O$125)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('Frame Dimensions'!$K$125,'Frame Dimensions'!$N$125)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6C20-49E4-A75A-C14EC67D3C67}"/>
            </c:ext>
          </c:extLst>
        </c:ser>
        <c:ser>
          <c:idx val="6"/>
          <c:order val="12"/>
          <c:tx>
            <c:strRef>
              <c:f>'Frame Dimensions'!$B$69</c:f>
              <c:strCache>
                <c:ptCount val="1"/>
                <c:pt idx="0">
                  <c:v>0</c:v>
                </c:pt>
              </c:strCache>
            </c:strRef>
          </c:tx>
          <c:spPr>
            <a:ln w="6350">
              <a:solidFill>
                <a:srgbClr val="00B0F0"/>
              </a:solidFill>
            </a:ln>
          </c:spPr>
          <c:marker>
            <c:symbol val="none"/>
          </c:marker>
          <c:dLbls>
            <c:dLbl>
              <c:idx val="2"/>
              <c:layout>
                <c:manualLayout>
                  <c:x val="3.3257536410892061E-2"/>
                  <c:y val="-7.3186923628964964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 sz="600"/>
                  </a:pPr>
                  <a:endParaRPr lang="zh-CN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0-7FAC-415B-9A69-6AACB8714DB7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6350">
                      <a:prstDash val="dash"/>
                    </a:ln>
                  </c:spPr>
                </c15:leaderLines>
              </c:ext>
            </c:extLst>
          </c:dLbls>
          <c:xVal>
            <c:numRef>
              <c:f>('Frame Dimensions'!$L$70,'Frame Dimensions'!$L$69,'Frame Dimensions'!$O$69,'Frame Dimensions'!$O$70,'Frame Dimensions'!$L$70)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('Frame Dimensions'!$K$70,'Frame Dimensions'!$K$69,'Frame Dimensions'!$N$69,'Frame Dimensions'!$N$70,'Frame Dimensions'!$K$70)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7-C303-4408-BB1D-827E0C8B4AB7}"/>
            </c:ext>
          </c:extLst>
        </c:ser>
        <c:ser>
          <c:idx val="10"/>
          <c:order val="13"/>
          <c:tx>
            <c:strRef>
              <c:f>'Frame Dimensions'!$B$103</c:f>
              <c:strCache>
                <c:ptCount val="1"/>
                <c:pt idx="0">
                  <c:v>MSMM</c:v>
                </c:pt>
              </c:strCache>
            </c:strRef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('Frame Dimensions'!$L$104,'Frame Dimensions'!$L$103,'Frame Dimensions'!$O$103,'Frame Dimensions'!$O$104)</c:f>
              <c:numCache>
                <c:formatCode>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('Frame Dimensions'!$K$104,'Frame Dimensions'!$K$103,'Frame Dimensions'!$N$103,'Frame Dimensions'!$N$104)</c:f>
              <c:numCache>
                <c:formatCode>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275-4EED-8DF7-5682A11271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9136176"/>
        <c:axId val="529136568"/>
      </c:scatterChart>
      <c:valAx>
        <c:axId val="5291361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Z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29136568"/>
        <c:crosses val="autoZero"/>
        <c:crossBetween val="midCat"/>
        <c:majorUnit val="1000"/>
      </c:valAx>
      <c:valAx>
        <c:axId val="529136568"/>
        <c:scaling>
          <c:orientation val="minMax"/>
        </c:scaling>
        <c:delete val="0"/>
        <c:axPos val="l"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0" sourceLinked="1"/>
        <c:majorTickMark val="out"/>
        <c:minorTickMark val="none"/>
        <c:tickLblPos val="nextTo"/>
        <c:crossAx val="529136176"/>
        <c:crosses val="autoZero"/>
        <c:crossBetween val="midCat"/>
        <c:majorUnit val="1000"/>
      </c:valAx>
    </c:plotArea>
    <c:plotVisOnly val="1"/>
    <c:dispBlanksAs val="gap"/>
    <c:showDLblsOverMax val="0"/>
  </c:chart>
  <c:spPr>
    <a:ln w="12700"/>
  </c:spPr>
  <c:printSettings>
    <c:headerFooter/>
    <c:pageMargins b="0.75000000000000766" l="0.70000000000000062" r="0.70000000000000062" t="0.75000000000000766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'Frame Dimensions'!$A$73</c:f>
          <c:strCache>
            <c:ptCount val="1"/>
            <c:pt idx="0">
              <c:v>0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zh-CN"/>
        </a:p>
      </c:txPr>
    </c:title>
    <c:autoTitleDeleted val="0"/>
    <c:plotArea>
      <c:layout>
        <c:manualLayout>
          <c:layoutTarget val="inner"/>
          <c:xMode val="edge"/>
          <c:yMode val="edge"/>
          <c:x val="2.7655526392534269E-2"/>
          <c:y val="0.12184273780321862"/>
          <c:w val="0.8471926509186356"/>
          <c:h val="0.74119241354596688"/>
        </c:manualLayout>
      </c:layout>
      <c:scatterChart>
        <c:scatterStyle val="lineMarker"/>
        <c:varyColors val="0"/>
        <c:ser>
          <c:idx val="8"/>
          <c:order val="0"/>
          <c:tx>
            <c:strRef>
              <c:f>'Frame Dimensions'!$Z$23</c:f>
              <c:strCache>
                <c:ptCount val="1"/>
                <c:pt idx="0">
                  <c:v>caly</c:v>
                </c:pt>
              </c:strCache>
            </c:strRef>
          </c:tx>
          <c:spPr>
            <a:ln w="12700"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('Frame Dimensions'!$Z$25,'Frame Dimensions'!$Z$25)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('Frame Dimensions'!$Z$24,'Frame Dimensions'!$Z$25)</c:f>
              <c:numCache>
                <c:formatCode>General</c:formatCode>
                <c:ptCount val="2"/>
                <c:pt idx="0" formatCode="0">
                  <c:v>0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9-EF2C-4F95-9F30-A61F1893C124}"/>
            </c:ext>
          </c:extLst>
        </c:ser>
        <c:ser>
          <c:idx val="7"/>
          <c:order val="1"/>
          <c:tx>
            <c:strRef>
              <c:f>'Frame Dimensions'!$AA$23</c:f>
              <c:strCache>
                <c:ptCount val="1"/>
                <c:pt idx="0">
                  <c:v>calz</c:v>
                </c:pt>
              </c:strCache>
            </c:strRef>
          </c:tx>
          <c:spPr>
            <a:ln w="12700"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('Frame Dimensions'!$AA$24,'Frame Dimensions'!$AA$25)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('Frame Dimensions'!$Z$25,'Frame Dimensions'!$Z$25)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8-EF2C-4F95-9F30-A61F1893C124}"/>
            </c:ext>
          </c:extLst>
        </c:ser>
        <c:ser>
          <c:idx val="1"/>
          <c:order val="2"/>
          <c:tx>
            <c:strRef>
              <c:f>'Frame Dimensions'!$B$73</c:f>
              <c:strCache>
                <c:ptCount val="1"/>
                <c:pt idx="0">
                  <c:v>0</c:v>
                </c:pt>
              </c:strCache>
            </c:strRef>
          </c:tx>
          <c:spPr>
            <a:ln w="9525">
              <a:solidFill>
                <a:srgbClr val="00B0F0"/>
              </a:solidFill>
            </a:ln>
          </c:spPr>
          <c:marker>
            <c:symbol val="none"/>
          </c:marker>
          <c:xVal>
            <c:numRef>
              <c:f>('Frame Dimensions'!$L$74,'Frame Dimensions'!$L$73,'Frame Dimensions'!$O$73,'Frame Dimensions'!$O$74,'Frame Dimensions'!$L$74)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('Frame Dimensions'!$K$74,'Frame Dimensions'!$K$73,'Frame Dimensions'!$N$73,'Frame Dimensions'!$N$74,'Frame Dimensions'!$K$74)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F2C-4F95-9F30-A61F1893C124}"/>
            </c:ext>
          </c:extLst>
        </c:ser>
        <c:ser>
          <c:idx val="0"/>
          <c:order val="3"/>
          <c:tx>
            <c:strRef>
              <c:f>'Frame Dimensions'!$B$77</c:f>
              <c:strCache>
                <c:ptCount val="1"/>
                <c:pt idx="0">
                  <c:v>0</c:v>
                </c:pt>
              </c:strCache>
            </c:strRef>
          </c:tx>
          <c:spPr>
            <a:ln w="9525">
              <a:solidFill>
                <a:srgbClr val="00B0F0"/>
              </a:solidFill>
            </a:ln>
          </c:spPr>
          <c:marker>
            <c:symbol val="none"/>
          </c:marker>
          <c:xVal>
            <c:numRef>
              <c:f>('Frame Dimensions'!$L$78,'Frame Dimensions'!$L$77,'Frame Dimensions'!$O$77,'Frame Dimensions'!$O$78,'Frame Dimensions'!$L$78)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('Frame Dimensions'!$K$78,'Frame Dimensions'!$K$77,'Frame Dimensions'!$N$77,'Frame Dimensions'!$N$78,'Frame Dimensions'!$K$78)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EF2C-4F95-9F30-A61F1893C124}"/>
            </c:ext>
          </c:extLst>
        </c:ser>
        <c:ser>
          <c:idx val="5"/>
          <c:order val="4"/>
          <c:tx>
            <c:strRef>
              <c:f>'Frame Dimensions'!$B$81</c:f>
              <c:strCache>
                <c:ptCount val="1"/>
                <c:pt idx="0">
                  <c:v>0</c:v>
                </c:pt>
              </c:strCache>
            </c:strRef>
          </c:tx>
          <c:spPr>
            <a:ln w="9525">
              <a:solidFill>
                <a:srgbClr val="00B0F0"/>
              </a:solidFill>
            </a:ln>
          </c:spPr>
          <c:marker>
            <c:symbol val="none"/>
          </c:marker>
          <c:xVal>
            <c:numRef>
              <c:f>('Frame Dimensions'!$L$82,'Frame Dimensions'!$L$81,'Frame Dimensions'!$O$81,'Frame Dimensions'!$O$82,'Frame Dimensions'!$L$82)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('Frame Dimensions'!$K$82,'Frame Dimensions'!$K$81,'Frame Dimensions'!$N$81,'Frame Dimensions'!$N$82,'Frame Dimensions'!$K$82)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EF2C-4F95-9F30-A61F1893C124}"/>
            </c:ext>
          </c:extLst>
        </c:ser>
        <c:ser>
          <c:idx val="18"/>
          <c:order val="5"/>
          <c:tx>
            <c:strRef>
              <c:f>'Frame Dimensions'!$B$162</c:f>
              <c:strCache>
                <c:ptCount val="1"/>
                <c:pt idx="0">
                  <c:v>0</c:v>
                </c:pt>
              </c:strCache>
            </c:strRef>
          </c:tx>
          <c:spPr>
            <a:ln w="1270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('Frame Dimensions'!$L$162,'Frame Dimensions'!$O$162)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('Frame Dimensions'!$K$162,'Frame Dimensions'!$N$162)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A-EF2C-4F95-9F30-A61F1893C124}"/>
            </c:ext>
          </c:extLst>
        </c:ser>
        <c:ser>
          <c:idx val="19"/>
          <c:order val="6"/>
          <c:tx>
            <c:strRef>
              <c:f>'Frame Dimensions'!$B$164</c:f>
              <c:strCache>
                <c:ptCount val="1"/>
                <c:pt idx="0">
                  <c:v>0</c:v>
                </c:pt>
              </c:strCache>
            </c:strRef>
          </c:tx>
          <c:spPr>
            <a:ln w="1270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('Frame Dimensions'!$L$164,'Frame Dimensions'!$O$164)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('Frame Dimensions'!$K$164,'Frame Dimensions'!$N$164)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B-EF2C-4F95-9F30-A61F1893C124}"/>
            </c:ext>
          </c:extLst>
        </c:ser>
        <c:ser>
          <c:idx val="2"/>
          <c:order val="7"/>
          <c:tx>
            <c:strRef>
              <c:f>'Frame Dimensions'!$B$111</c:f>
              <c:strCache>
                <c:ptCount val="1"/>
                <c:pt idx="0">
                  <c:v>0</c:v>
                </c:pt>
              </c:strCache>
            </c:strRef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('Frame Dimensions'!$L$112,'Frame Dimensions'!$L$111,'Frame Dimensions'!$O$111,'Frame Dimensions'!$O$112)</c:f>
              <c:numCache>
                <c:formatCode>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('Frame Dimensions'!$K$112,'Frame Dimensions'!$K$111,'Frame Dimensions'!$N$111,'Frame Dimensions'!$N$112)</c:f>
              <c:numCache>
                <c:formatCode>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1F8-4D0B-8A27-D3D7888E3031}"/>
            </c:ext>
          </c:extLst>
        </c:ser>
        <c:ser>
          <c:idx val="3"/>
          <c:order val="8"/>
          <c:tx>
            <c:strRef>
              <c:f>'Frame Dimensions'!$B$120</c:f>
              <c:strCache>
                <c:ptCount val="1"/>
                <c:pt idx="0">
                  <c:v>SFBase_L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('Frame Dimensions'!$L$120,'Frame Dimensions'!$O$120)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('Frame Dimensions'!$K$120,'Frame Dimensions'!$N$120)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D1F8-4D0B-8A27-D3D7888E3031}"/>
            </c:ext>
          </c:extLst>
        </c:ser>
        <c:ser>
          <c:idx val="4"/>
          <c:order val="9"/>
          <c:tx>
            <c:strRef>
              <c:f>'Frame Dimensions'!$B$121</c:f>
              <c:strCache>
                <c:ptCount val="1"/>
                <c:pt idx="0">
                  <c:v>sfbase_L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('Frame Dimensions'!$L$121,'Frame Dimensions'!$O$121)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('Frame Dimensions'!$K$121,'Frame Dimensions'!$N$121)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D1F8-4D0B-8A27-D3D7888E3031}"/>
            </c:ext>
          </c:extLst>
        </c:ser>
        <c:ser>
          <c:idx val="9"/>
          <c:order val="10"/>
          <c:tx>
            <c:strRef>
              <c:f>'Frame Dimensions'!$B$124</c:f>
              <c:strCache>
                <c:ptCount val="1"/>
                <c:pt idx="0">
                  <c:v>SFBase_R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('Frame Dimensions'!$L$124,'Frame Dimensions'!$O$124)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('Frame Dimensions'!$K$124,'Frame Dimensions'!$N$124)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D1F8-4D0B-8A27-D3D7888E3031}"/>
            </c:ext>
          </c:extLst>
        </c:ser>
        <c:ser>
          <c:idx val="10"/>
          <c:order val="11"/>
          <c:tx>
            <c:strRef>
              <c:f>'Frame Dimensions'!$B$125</c:f>
              <c:strCache>
                <c:ptCount val="1"/>
                <c:pt idx="0">
                  <c:v>sfbase_R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('Frame Dimensions'!$L$125,'Frame Dimensions'!$O$125)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('Frame Dimensions'!$K$125,'Frame Dimensions'!$N$125)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D1F8-4D0B-8A27-D3D7888E3031}"/>
            </c:ext>
          </c:extLst>
        </c:ser>
        <c:ser>
          <c:idx val="11"/>
          <c:order val="12"/>
          <c:tx>
            <c:strRef>
              <c:f>'Frame Dimensions'!$B$103</c:f>
              <c:strCache>
                <c:ptCount val="1"/>
                <c:pt idx="0">
                  <c:v>MSMM</c:v>
                </c:pt>
              </c:strCache>
            </c:strRef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('Frame Dimensions'!$L$104,'Frame Dimensions'!$L$103,'Frame Dimensions'!$O$103,'Frame Dimensions'!$O$104)</c:f>
              <c:numCache>
                <c:formatCode>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('Frame Dimensions'!$K$104,'Frame Dimensions'!$K$103,'Frame Dimensions'!$N$103,'Frame Dimensions'!$N$104)</c:f>
              <c:numCache>
                <c:formatCode>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671-43E9-9166-65325FF82F0C}"/>
            </c:ext>
          </c:extLst>
        </c:ser>
        <c:ser>
          <c:idx val="6"/>
          <c:order val="13"/>
          <c:tx>
            <c:strRef>
              <c:f>'Frame Dimensions'!$B$85</c:f>
              <c:strCache>
                <c:ptCount val="1"/>
                <c:pt idx="0">
                  <c:v>0</c:v>
                </c:pt>
              </c:strCache>
            </c:strRef>
          </c:tx>
          <c:spPr>
            <a:ln w="6350">
              <a:solidFill>
                <a:srgbClr val="00B0F0"/>
              </a:solidFill>
            </a:ln>
          </c:spPr>
          <c:marker>
            <c:symbol val="none"/>
          </c:marker>
          <c:dLbls>
            <c:dLbl>
              <c:idx val="2"/>
              <c:layout>
                <c:manualLayout>
                  <c:x val="5.5073111724046317E-2"/>
                  <c:y val="-0.10246409434534204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 sz="600"/>
                  </a:pPr>
                  <a:endParaRPr lang="zh-CN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0-307B-435E-A8B2-572E35C13ED4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6350">
                      <a:prstDash val="dash"/>
                    </a:ln>
                  </c:spPr>
                </c15:leaderLines>
              </c:ext>
            </c:extLst>
          </c:dLbls>
          <c:xVal>
            <c:numRef>
              <c:f>('Frame Dimensions'!$L$86,'Frame Dimensions'!$L$85,'Frame Dimensions'!$O$85,'Frame Dimensions'!$O$86)</c:f>
              <c:numCache>
                <c:formatCode>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('Frame Dimensions'!$K$86,'Frame Dimensions'!$K$85,'Frame Dimensions'!$N$85,'Frame Dimensions'!$N$86)</c:f>
              <c:numCache>
                <c:formatCode>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C-EF2C-4F95-9F30-A61F1893C1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9137352"/>
        <c:axId val="529137744"/>
      </c:scatterChart>
      <c:valAx>
        <c:axId val="5291373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Z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29137744"/>
        <c:crosses val="autoZero"/>
        <c:crossBetween val="midCat"/>
        <c:majorUnit val="1000"/>
      </c:valAx>
      <c:valAx>
        <c:axId val="529137744"/>
        <c:scaling>
          <c:orientation val="minMax"/>
        </c:scaling>
        <c:delete val="0"/>
        <c:axPos val="l"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layout>
            <c:manualLayout>
              <c:xMode val="edge"/>
              <c:yMode val="edge"/>
              <c:x val="1.2522501369648588E-2"/>
              <c:y val="0.46835952239452155"/>
            </c:manualLayout>
          </c:layout>
          <c:overlay val="0"/>
        </c:title>
        <c:numFmt formatCode="0" sourceLinked="1"/>
        <c:majorTickMark val="out"/>
        <c:minorTickMark val="none"/>
        <c:tickLblPos val="nextTo"/>
        <c:crossAx val="529137352"/>
        <c:crosses val="autoZero"/>
        <c:crossBetween val="midCat"/>
        <c:majorUnit val="1000"/>
      </c:valAx>
    </c:plotArea>
    <c:plotVisOnly val="1"/>
    <c:dispBlanksAs val="gap"/>
    <c:showDLblsOverMax val="0"/>
  </c:chart>
  <c:spPr>
    <a:ln w="12700"/>
  </c:spPr>
  <c:printSettings>
    <c:headerFooter/>
    <c:pageMargins b="0.7500000000000081" l="0.70000000000000062" r="0.70000000000000062" t="0.7500000000000081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Drawings!$P$3</c:f>
          <c:strCache>
            <c:ptCount val="1"/>
            <c:pt idx="0">
              <c:v>XOE 273-90, RD135 Side View</c:v>
            </c:pt>
          </c:strCache>
        </c:strRef>
      </c:tx>
      <c:overlay val="1"/>
      <c:txPr>
        <a:bodyPr/>
        <a:lstStyle/>
        <a:p>
          <a:pPr>
            <a:defRPr sz="1400"/>
          </a:pPr>
          <a:endParaRPr lang="zh-CN"/>
        </a:p>
      </c:txPr>
    </c:title>
    <c:autoTitleDeleted val="0"/>
    <c:plotArea>
      <c:layout>
        <c:manualLayout>
          <c:layoutTarget val="inner"/>
          <c:xMode val="edge"/>
          <c:yMode val="edge"/>
          <c:x val="2.814264636590386E-2"/>
          <c:y val="0.11865244304868336"/>
          <c:w val="0.853254403922588"/>
          <c:h val="0.74113843464456663"/>
        </c:manualLayout>
      </c:layout>
      <c:scatterChart>
        <c:scatterStyle val="lineMarker"/>
        <c:varyColors val="0"/>
        <c:ser>
          <c:idx val="7"/>
          <c:order val="0"/>
          <c:tx>
            <c:strRef>
              <c:f>'Frame Dimensions'!$Y$23</c:f>
              <c:strCache>
                <c:ptCount val="1"/>
                <c:pt idx="0">
                  <c:v>calx</c:v>
                </c:pt>
              </c:strCache>
            </c:strRef>
          </c:tx>
          <c:spPr>
            <a:ln w="12700"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('Frame Dimensions'!$Y$24,'Frame Dimensions'!$Y$25)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('Frame Dimensions'!$Z$25,'Frame Dimensions'!$Z$25)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D-B3BD-420E-A0F6-F82637EE9875}"/>
            </c:ext>
          </c:extLst>
        </c:ser>
        <c:ser>
          <c:idx val="8"/>
          <c:order val="1"/>
          <c:tx>
            <c:strRef>
              <c:f>'Frame Dimensions'!$Z$23</c:f>
              <c:strCache>
                <c:ptCount val="1"/>
                <c:pt idx="0">
                  <c:v>caly</c:v>
                </c:pt>
              </c:strCache>
            </c:strRef>
          </c:tx>
          <c:spPr>
            <a:ln w="12700"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('Frame Dimensions'!$Z$25,'Frame Dimensions'!$Z$25)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('Frame Dimensions'!$Z$25,'Frame Dimensions'!$Z$24)</c:f>
              <c:numCache>
                <c:formatCode>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B3BD-420E-A0F6-F82637EE9875}"/>
            </c:ext>
          </c:extLst>
        </c:ser>
        <c:ser>
          <c:idx val="3"/>
          <c:order val="2"/>
          <c:tx>
            <c:strRef>
              <c:f>'Frame Dimensions'!$B$33</c:f>
              <c:strCache>
                <c:ptCount val="1"/>
                <c:pt idx="0">
                  <c:v>#REF!</c:v>
                </c:pt>
              </c:strCache>
            </c:strRef>
          </c:tx>
          <c:spPr>
            <a:ln w="12700">
              <a:solidFill>
                <a:srgbClr val="00B0F0"/>
              </a:solidFill>
            </a:ln>
          </c:spPr>
          <c:marker>
            <c:symbol val="none"/>
          </c:marker>
          <c:dLbls>
            <c:dLbl>
              <c:idx val="1"/>
              <c:layout>
                <c:manualLayout>
                  <c:x val="-0.23717119654946942"/>
                  <c:y val="3.459842668616736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 sz="600"/>
                  </a:pPr>
                  <a:endParaRPr lang="zh-CN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0-0435-4B5C-A740-DFC3423006ED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6350">
                      <a:prstDash val="dash"/>
                    </a:ln>
                  </c:spPr>
                </c15:leaderLines>
              </c:ext>
            </c:extLst>
          </c:dLbls>
          <c:xVal>
            <c:numRef>
              <c:f>('Frame Dimensions'!$J$33,'Frame Dimensions'!$M$33,'Frame Dimensions'!$M$35,'Frame Dimensions'!$J$35,'Frame Dimensions'!$J$33)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('Frame Dimensions'!$K$33,'Frame Dimensions'!$N$33,'Frame Dimensions'!$N$35,'Frame Dimensions'!$K$35,'Frame Dimensions'!$K$33)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3BD-420E-A0F6-F82637EE9875}"/>
            </c:ext>
          </c:extLst>
        </c:ser>
        <c:ser>
          <c:idx val="4"/>
          <c:order val="3"/>
          <c:tx>
            <c:strRef>
              <c:f>'Frame Dimensions'!$B$49</c:f>
              <c:strCache>
                <c:ptCount val="1"/>
                <c:pt idx="0">
                  <c:v>#REF!</c:v>
                </c:pt>
              </c:strCache>
            </c:strRef>
          </c:tx>
          <c:spPr>
            <a:ln w="12700">
              <a:solidFill>
                <a:srgbClr val="00B0F0"/>
              </a:solidFill>
            </a:ln>
          </c:spPr>
          <c:marker>
            <c:symbol val="none"/>
          </c:marker>
          <c:dLbls>
            <c:dLbl>
              <c:idx val="1"/>
              <c:layout>
                <c:manualLayout>
                  <c:x val="-0.29637730269909834"/>
                  <c:y val="7.7548548271634432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 sz="600"/>
                  </a:pPr>
                  <a:endParaRPr lang="zh-CN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3-0435-4B5C-A740-DFC3423006ED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6350">
                      <a:prstDash val="dash"/>
                    </a:ln>
                  </c:spPr>
                </c15:leaderLines>
              </c:ext>
            </c:extLst>
          </c:dLbls>
          <c:xVal>
            <c:numRef>
              <c:f>('Frame Dimensions'!$J$49,'Frame Dimensions'!$M$49,'Frame Dimensions'!$M$51,'Frame Dimensions'!$J$51,'Frame Dimensions'!$J$49)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('Frame Dimensions'!$K$49,'Frame Dimensions'!$N$49,'Frame Dimensions'!$N$51,'Frame Dimensions'!$K$51,'Frame Dimensions'!$K$49)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B3BD-420E-A0F6-F82637EE9875}"/>
            </c:ext>
          </c:extLst>
        </c:ser>
        <c:ser>
          <c:idx val="24"/>
          <c:order val="4"/>
          <c:tx>
            <c:strRef>
              <c:f>'Frame Dimensions'!$B$65</c:f>
              <c:strCache>
                <c:ptCount val="1"/>
                <c:pt idx="0">
                  <c:v>0</c:v>
                </c:pt>
              </c:strCache>
            </c:strRef>
          </c:tx>
          <c:spPr>
            <a:ln w="12700">
              <a:solidFill>
                <a:srgbClr val="00B0F0"/>
              </a:solidFill>
            </a:ln>
          </c:spPr>
          <c:marker>
            <c:symbol val="none"/>
          </c:marker>
          <c:dLbls>
            <c:dLbl>
              <c:idx val="1"/>
              <c:layout>
                <c:manualLayout>
                  <c:x val="-7.7556676788002002E-2"/>
                  <c:y val="-0.1581642362796222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 sz="600"/>
                  </a:pPr>
                  <a:endParaRPr lang="zh-CN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D-0435-4B5C-A740-DFC3423006ED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6350">
                      <a:prstDash val="dash"/>
                    </a:ln>
                  </c:spPr>
                </c15:leaderLines>
              </c:ext>
            </c:extLst>
          </c:dLbls>
          <c:xVal>
            <c:numRef>
              <c:f>('Frame Dimensions'!$J$65,'Frame Dimensions'!$M$65,'Frame Dimensions'!$M$67,'Frame Dimensions'!$J$67,'Frame Dimensions'!$J$65)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('Frame Dimensions'!$K$65,'Frame Dimensions'!$N$65,'Frame Dimensions'!$N$67,'Frame Dimensions'!$K$67,'Frame Dimensions'!$K$65)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B3BD-420E-A0F6-F82637EE9875}"/>
            </c:ext>
          </c:extLst>
        </c:ser>
        <c:ser>
          <c:idx val="26"/>
          <c:order val="5"/>
          <c:tx>
            <c:strRef>
              <c:f>'Frame Dimensions'!$B$81</c:f>
              <c:strCache>
                <c:ptCount val="1"/>
                <c:pt idx="0">
                  <c:v>0</c:v>
                </c:pt>
              </c:strCache>
            </c:strRef>
          </c:tx>
          <c:spPr>
            <a:ln w="12700">
              <a:solidFill>
                <a:srgbClr val="00B0F0"/>
              </a:solidFill>
            </a:ln>
          </c:spPr>
          <c:marker>
            <c:symbol val="none"/>
          </c:marker>
          <c:dLbls>
            <c:dLbl>
              <c:idx val="1"/>
              <c:layout>
                <c:manualLayout>
                  <c:x val="-3.8778338394001001E-2"/>
                  <c:y val="-0.14827897151214584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 sz="600"/>
                  </a:pPr>
                  <a:endParaRPr lang="zh-CN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E-0435-4B5C-A740-DFC3423006ED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6350">
                      <a:prstDash val="dash"/>
                    </a:ln>
                  </c:spPr>
                </c15:leaderLines>
              </c:ext>
            </c:extLst>
          </c:dLbls>
          <c:xVal>
            <c:numRef>
              <c:f>('Frame Dimensions'!$J$81,'Frame Dimensions'!$M$81,'Frame Dimensions'!$M$83,'Frame Dimensions'!$J$83,'Frame Dimensions'!$J$81)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('Frame Dimensions'!$K$81,'Frame Dimensions'!$N$81,'Frame Dimensions'!$N$83,'Frame Dimensions'!$K$83,'Frame Dimensions'!$K$81)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6-B3BD-420E-A0F6-F82637EE9875}"/>
            </c:ext>
          </c:extLst>
        </c:ser>
        <c:ser>
          <c:idx val="2"/>
          <c:order val="6"/>
          <c:tx>
            <c:strRef>
              <c:f>'Frame Dimensions'!$B$111</c:f>
              <c:strCache>
                <c:ptCount val="1"/>
                <c:pt idx="0">
                  <c:v>0</c:v>
                </c:pt>
              </c:strCache>
            </c:strRef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4"/>
              <c:layout>
                <c:manualLayout>
                  <c:x val="-4.4291815931757475E-2"/>
                  <c:y val="-8.849872710492257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 sz="600"/>
                  </a:pPr>
                  <a:endParaRPr lang="zh-CN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F-0435-4B5C-A740-DFC3423006ED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6350">
                      <a:prstDash val="dash"/>
                    </a:ln>
                  </c:spPr>
                </c15:leaderLines>
              </c:ext>
            </c:extLst>
          </c:dLbls>
          <c:xVal>
            <c:numRef>
              <c:f>('Frame Dimensions'!$J$112,'Frame Dimensions'!$J$111,'Frame Dimensions'!$J$113,'Frame Dimensions'!$J$114,'Frame Dimensions'!$J$112)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('Frame Dimensions'!$K$112,'Frame Dimensions'!$K$111,'Frame Dimensions'!$K$113,'Frame Dimensions'!$K$114,'Frame Dimensions'!$K$112)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A-B3BD-420E-A0F6-F82637EE9875}"/>
            </c:ext>
          </c:extLst>
        </c:ser>
        <c:ser>
          <c:idx val="16"/>
          <c:order val="7"/>
          <c:tx>
            <c:strRef>
              <c:f>'Frame Dimensions'!$B$152</c:f>
              <c:strCache>
                <c:ptCount val="1"/>
                <c:pt idx="0">
                  <c:v>Axle</c:v>
                </c:pt>
              </c:strCache>
            </c:strRef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('Frame Dimensions'!$J$152,'Frame Dimensions'!$M$152)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('Frame Dimensions'!$K$152,'Frame Dimensions'!$N$152)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F-B3BD-420E-A0F6-F82637EE9875}"/>
            </c:ext>
          </c:extLst>
        </c:ser>
        <c:ser>
          <c:idx val="17"/>
          <c:order val="8"/>
          <c:tx>
            <c:strRef>
              <c:f>'Frame Dimensions'!$B$153</c:f>
              <c:strCache>
                <c:ptCount val="1"/>
                <c:pt idx="0">
                  <c:v>MFrame</c:v>
                </c:pt>
              </c:strCache>
            </c:strRef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('Frame Dimensions'!$J$153,'Frame Dimensions'!$M$153,'Frame Dimensions'!$M$154,'Frame Dimensions'!$J$154,'Frame Dimensions'!$J$153)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('Frame Dimensions'!$K$153,'Frame Dimensions'!$N$153,'Frame Dimensions'!$N$154,'Frame Dimensions'!$K$154,'Frame Dimensions'!$K$153)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10-B3BD-420E-A0F6-F82637EE9875}"/>
            </c:ext>
          </c:extLst>
        </c:ser>
        <c:ser>
          <c:idx val="18"/>
          <c:order val="9"/>
          <c:tx>
            <c:strRef>
              <c:f>'Frame Dimensions'!$B$155</c:f>
              <c:strCache>
                <c:ptCount val="1"/>
                <c:pt idx="0">
                  <c:v>MMR1+</c:v>
                </c:pt>
              </c:strCache>
            </c:strRef>
          </c:tx>
          <c:spPr>
            <a:ln w="127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('Frame Dimensions'!$J$155,'Frame Dimensions'!$M$155)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('Frame Dimensions'!$K$155,'Frame Dimensions'!$N$155)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11-B3BD-420E-A0F6-F82637EE9875}"/>
            </c:ext>
          </c:extLst>
        </c:ser>
        <c:ser>
          <c:idx val="19"/>
          <c:order val="10"/>
          <c:tx>
            <c:strRef>
              <c:f>'Frame Dimensions'!$B$156</c:f>
              <c:strCache>
                <c:ptCount val="1"/>
                <c:pt idx="0">
                  <c:v>MMR2+</c:v>
                </c:pt>
              </c:strCache>
            </c:strRef>
          </c:tx>
          <c:spPr>
            <a:ln w="1270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('Frame Dimensions'!$J$156,'Frame Dimensions'!$M$156)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('Frame Dimensions'!$K$156,'Frame Dimensions'!$N$156)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12-B3BD-420E-A0F6-F82637EE9875}"/>
            </c:ext>
          </c:extLst>
        </c:ser>
        <c:ser>
          <c:idx val="30"/>
          <c:order val="11"/>
          <c:tx>
            <c:strRef>
              <c:f>'Frame Dimensions'!$B$161</c:f>
              <c:strCache>
                <c:ptCount val="1"/>
                <c:pt idx="0">
                  <c:v>0</c:v>
                </c:pt>
              </c:strCache>
            </c:strRef>
          </c:tx>
          <c:spPr>
            <a:ln w="1270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('Frame Dimensions'!$J$161,'Frame Dimensions'!$M$161)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('Frame Dimensions'!$K$161,'Frame Dimensions'!$N$161)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13-B3BD-420E-A0F6-F82637EE9875}"/>
            </c:ext>
          </c:extLst>
        </c:ser>
        <c:ser>
          <c:idx val="31"/>
          <c:order val="12"/>
          <c:tx>
            <c:strRef>
              <c:f>'Frame Dimensions'!$B$162</c:f>
              <c:strCache>
                <c:ptCount val="1"/>
                <c:pt idx="0">
                  <c:v>0</c:v>
                </c:pt>
              </c:strCache>
            </c:strRef>
          </c:tx>
          <c:spPr>
            <a:ln w="1270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('Frame Dimensions'!$J$162,'Frame Dimensions'!$M$162)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('Frame Dimensions'!$K$162,'Frame Dimensions'!$N$162)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14-B3BD-420E-A0F6-F82637EE9875}"/>
            </c:ext>
          </c:extLst>
        </c:ser>
        <c:ser>
          <c:idx val="36"/>
          <c:order val="13"/>
          <c:tx>
            <c:strRef>
              <c:f>'Frame Dimensions'!$A$138</c:f>
              <c:strCache>
                <c:ptCount val="1"/>
                <c:pt idx="0">
                  <c:v>HOUSE</c:v>
                </c:pt>
              </c:strCache>
            </c:strRef>
          </c:tx>
          <c:spPr>
            <a:ln w="9525">
              <a:solidFill>
                <a:schemeClr val="bg1">
                  <a:lumMod val="50000"/>
                  <a:alpha val="50000"/>
                </a:schemeClr>
              </a:solidFill>
            </a:ln>
          </c:spPr>
          <c:marker>
            <c:symbol val="none"/>
          </c:marker>
          <c:xVal>
            <c:numRef>
              <c:f>('Frame Dimensions'!$J$139,'Frame Dimensions'!$M$139,'Frame Dimensions'!$M$140,'Frame Dimensions'!$J$140,'Frame Dimensions'!$J$139)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('Frame Dimensions'!$K$139,'Frame Dimensions'!$N$139,'Frame Dimensions'!$N$140,'Frame Dimensions'!$K$140,'Frame Dimensions'!$K$139)</c:f>
              <c:numCache>
                <c:formatCode>0</c:formatCode>
                <c:ptCount val="5"/>
                <c:pt idx="0">
                  <c:v>114.70000000000005</c:v>
                </c:pt>
                <c:pt idx="1">
                  <c:v>2745.4</c:v>
                </c:pt>
                <c:pt idx="2">
                  <c:v>2745.4</c:v>
                </c:pt>
                <c:pt idx="3">
                  <c:v>114.70000000000005</c:v>
                </c:pt>
                <c:pt idx="4">
                  <c:v>114.70000000000005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1F-B3BD-420E-A0F6-F82637EE9875}"/>
            </c:ext>
          </c:extLst>
        </c:ser>
        <c:ser>
          <c:idx val="39"/>
          <c:order val="14"/>
          <c:tx>
            <c:strRef>
              <c:f>'Frame Dimensions'!$B$146</c:f>
              <c:strCache>
                <c:ptCount val="1"/>
                <c:pt idx="0">
                  <c:v>Fur</c:v>
                </c:pt>
              </c:strCache>
            </c:strRef>
          </c:tx>
          <c:spPr>
            <a:ln w="1270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('Frame Dimensions'!$J$146,'Frame Dimensions'!$M$146)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('Frame Dimensions'!$K$146,'Frame Dimensions'!$N$146)</c:f>
              <c:numCache>
                <c:formatCode>0</c:formatCode>
                <c:ptCount val="2"/>
                <c:pt idx="0">
                  <c:v>1617.5</c:v>
                </c:pt>
                <c:pt idx="1">
                  <c:v>1617.5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20-B3BD-420E-A0F6-F82637EE9875}"/>
            </c:ext>
          </c:extLst>
        </c:ser>
        <c:ser>
          <c:idx val="1"/>
          <c:order val="15"/>
          <c:tx>
            <c:strRef>
              <c:f>'Frame Dimensions'!$B$130</c:f>
              <c:strCache>
                <c:ptCount val="1"/>
                <c:pt idx="0">
                  <c:v>#REF!</c:v>
                </c:pt>
              </c:strCache>
            </c:strRef>
          </c:tx>
          <c:spPr>
            <a:ln w="6350">
              <a:solidFill>
                <a:schemeClr val="tx1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layout>
                <c:manualLayout>
                  <c:x val="-0.26513347164124351"/>
                  <c:y val="9.3019420849807619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 sz="600"/>
                  </a:pPr>
                  <a:endParaRPr lang="zh-CN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2-0435-4B5C-A740-DFC3423006ED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6350">
                      <a:prstDash val="dash"/>
                    </a:ln>
                  </c:spPr>
                </c15:leaderLines>
              </c:ext>
            </c:extLst>
          </c:dLbls>
          <c:xVal>
            <c:numRef>
              <c:f>('Frame Dimensions'!$J$130,'Frame Dimensions'!$J$131,'Frame Dimensions'!$M$131,'Frame Dimensions'!$M$130,'Frame Dimensions'!$J$130)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('Frame Dimensions'!$K$130,'Frame Dimensions'!$K$131,'Frame Dimensions'!$N$131,'Frame Dimensions'!$N$130,'Frame Dimensions'!$K$130)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21-B3BD-420E-A0F6-F82637EE9875}"/>
            </c:ext>
          </c:extLst>
        </c:ser>
        <c:ser>
          <c:idx val="47"/>
          <c:order val="16"/>
          <c:tx>
            <c:strRef>
              <c:f>'Frame Dimensions'!$B$134</c:f>
              <c:strCache>
                <c:ptCount val="1"/>
                <c:pt idx="0">
                  <c:v>0</c:v>
                </c:pt>
              </c:strCache>
            </c:strRef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layout>
                <c:manualLayout>
                  <c:x val="5.539485007962016E-2"/>
                  <c:y val="4.9584232080388972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 sz="600"/>
                  </a:pPr>
                  <a:endParaRPr lang="zh-CN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10-0435-4B5C-A740-DFC3423006ED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6350">
                      <a:prstDash val="dash"/>
                    </a:ln>
                  </c:spPr>
                </c15:leaderLines>
              </c:ext>
            </c:extLst>
          </c:dLbls>
          <c:xVal>
            <c:numRef>
              <c:f>('Frame Dimensions'!$J$134,'Frame Dimensions'!$J$135,'Frame Dimensions'!$M$135,'Frame Dimensions'!$M$134,'Frame Dimensions'!$J$134)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('Frame Dimensions'!$K$134,'Frame Dimensions'!$K$135,'Frame Dimensions'!$N$135,'Frame Dimensions'!$N$134,'Frame Dimensions'!$K$134)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2A-B3BD-420E-A0F6-F82637EE9875}"/>
            </c:ext>
          </c:extLst>
        </c:ser>
        <c:ser>
          <c:idx val="50"/>
          <c:order val="17"/>
          <c:tx>
            <c:strRef>
              <c:f>'Frame Dimensions'!$B$115</c:f>
              <c:strCache>
                <c:ptCount val="1"/>
                <c:pt idx="0">
                  <c:v>SFX</c:v>
                </c:pt>
              </c:strCache>
            </c:strRef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2"/>
              <c:layout>
                <c:manualLayout>
                  <c:x val="2.7698813138571131E-3"/>
                  <c:y val="4.4483691453643753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 sz="600"/>
                  </a:pPr>
                  <a:endParaRPr lang="zh-CN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5-0435-4B5C-A740-DFC3423006ED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6350">
                      <a:prstDash val="dash"/>
                    </a:ln>
                  </c:spPr>
                </c15:leaderLines>
              </c:ext>
            </c:extLst>
          </c:dLbls>
          <c:xVal>
            <c:numRef>
              <c:f>('Frame Dimensions'!$J$116,'Frame Dimensions'!$J$115,'Frame Dimensions'!$J$117,'Frame Dimensions'!$J$118,'Frame Dimensions'!$J$116)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('Frame Dimensions'!$K$116,'Frame Dimensions'!$K$115,'Frame Dimensions'!$K$117,'Frame Dimensions'!$K$118,'Frame Dimensions'!$K$116)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2D-B3BD-420E-A0F6-F82637EE9875}"/>
            </c:ext>
          </c:extLst>
        </c:ser>
        <c:ser>
          <c:idx val="14"/>
          <c:order val="18"/>
          <c:tx>
            <c:strRef>
              <c:f>'Frame Dimensions'!$B$103</c:f>
              <c:strCache>
                <c:ptCount val="1"/>
                <c:pt idx="0">
                  <c:v>MSMM</c:v>
                </c:pt>
              </c:strCache>
            </c:strRef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1"/>
              <c:layout>
                <c:manualLayout>
                  <c:x val="-0.26083961524778182"/>
                  <c:y val="9.835797766714006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 sz="600"/>
                  </a:pPr>
                  <a:endParaRPr lang="zh-CN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1-0435-4B5C-A740-DFC3423006ED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6350">
                      <a:prstDash val="dash"/>
                    </a:ln>
                  </c:spPr>
                </c15:leaderLines>
              </c:ext>
            </c:extLst>
          </c:dLbls>
          <c:xVal>
            <c:numRef>
              <c:f>('Frame Dimensions'!$J$104,'Frame Dimensions'!$J$103,'Frame Dimensions'!$J$105,'Frame Dimensions'!$J$106,'Frame Dimensions'!$J$104)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('Frame Dimensions'!$K$104,'Frame Dimensions'!$K$103,'Frame Dimensions'!$K$105,'Frame Dimensions'!$K$106,'Frame Dimensions'!$K$104)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25-B3BD-420E-A0F6-F82637EE9875}"/>
            </c:ext>
          </c:extLst>
        </c:ser>
        <c:ser>
          <c:idx val="40"/>
          <c:order val="19"/>
          <c:tx>
            <c:strRef>
              <c:f>'Frame Dimensions'!$B$144</c:f>
              <c:strCache>
                <c:ptCount val="1"/>
                <c:pt idx="0">
                  <c:v>Tongue</c:v>
                </c:pt>
              </c:strCache>
            </c:strRef>
          </c:tx>
          <c:spPr>
            <a:ln w="12700">
              <a:solidFill>
                <a:schemeClr val="bg1">
                  <a:lumMod val="75000"/>
                </a:schemeClr>
              </a:solidFill>
              <a:prstDash val="sysDot"/>
            </a:ln>
          </c:spPr>
          <c:marker>
            <c:symbol val="none"/>
          </c:marker>
          <c:xVal>
            <c:numRef>
              <c:f>('Frame Dimensions'!$J$144,'Frame Dimensions'!$M$144)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('Frame Dimensions'!$K$144,'Frame Dimensions'!$N$144)</c:f>
              <c:numCache>
                <c:formatCode>0</c:formatCode>
                <c:ptCount val="2"/>
                <c:pt idx="0">
                  <c:v>911.6</c:v>
                </c:pt>
                <c:pt idx="1">
                  <c:v>911.6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2E-B3BD-420E-A0F6-F82637EE9875}"/>
            </c:ext>
          </c:extLst>
        </c:ser>
        <c:ser>
          <c:idx val="41"/>
          <c:order val="20"/>
          <c:tx>
            <c:strRef>
              <c:f>'Frame Dimensions'!$B$145</c:f>
              <c:strCache>
                <c:ptCount val="1"/>
                <c:pt idx="0">
                  <c:v>Ful</c:v>
                </c:pt>
              </c:strCache>
            </c:strRef>
          </c:tx>
          <c:spPr>
            <a:ln w="1270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('Frame Dimensions'!$J$145,'Frame Dimensions'!$M$145)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('Frame Dimensions'!$K$145,'Frame Dimensions'!$N$145)</c:f>
              <c:numCache>
                <c:formatCode>0</c:formatCode>
                <c:ptCount val="2"/>
                <c:pt idx="0">
                  <c:v>820</c:v>
                </c:pt>
                <c:pt idx="1">
                  <c:v>820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2F-B3BD-420E-A0F6-F82637EE9875}"/>
            </c:ext>
          </c:extLst>
        </c:ser>
        <c:ser>
          <c:idx val="51"/>
          <c:order val="21"/>
          <c:tx>
            <c:strRef>
              <c:f>'Inlet Cone'!$A$18</c:f>
              <c:strCache>
                <c:ptCount val="1"/>
                <c:pt idx="0">
                  <c:v>Inlet Cone</c:v>
                </c:pt>
              </c:strCache>
            </c:strRef>
          </c:tx>
          <c:spPr>
            <a:ln w="6350">
              <a:solidFill>
                <a:schemeClr val="bg1">
                  <a:lumMod val="65000"/>
                </a:schemeClr>
              </a:solidFill>
            </a:ln>
          </c:spPr>
          <c:marker>
            <c:symbol val="none"/>
          </c:marker>
          <c:xVal>
            <c:numRef>
              <c:f>('Inlet Cone'!$B$37,'Inlet Cone'!$C$37,'Inlet Cone'!$D$37,'Inlet Cone'!$E$37,'Inlet Cone'!$F$37,'Inlet Cone'!$G$37,'Inlet Cone'!$H$37,'Inlet Cone'!$I$37)</c:f>
              <c:numCache>
                <c:formatCode>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('Inlet Cone'!$B$38,'Inlet Cone'!$C$38,'Inlet Cone'!$D$38,'Inlet Cone'!$E$38,'Inlet Cone'!$F$38,'Inlet Cone'!$G$38,'Inlet Cone'!$H$38,'Inlet Cone'!$I$38)</c:f>
              <c:numCache>
                <c:formatCode>0</c:formatCode>
                <c:ptCount val="8"/>
                <c:pt idx="0">
                  <c:v>1616</c:v>
                </c:pt>
                <c:pt idx="1">
                  <c:v>1606</c:v>
                </c:pt>
                <c:pt idx="2">
                  <c:v>1606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30-B3BD-420E-A0F6-F82637EE9875}"/>
            </c:ext>
          </c:extLst>
        </c:ser>
        <c:ser>
          <c:idx val="52"/>
          <c:order val="22"/>
          <c:tx>
            <c:strRef>
              <c:f>'Inlet Cone'!$A$18</c:f>
              <c:strCache>
                <c:ptCount val="1"/>
                <c:pt idx="0">
                  <c:v>Inlet Cone</c:v>
                </c:pt>
              </c:strCache>
            </c:strRef>
          </c:tx>
          <c:spPr>
            <a:ln w="6350">
              <a:solidFill>
                <a:schemeClr val="bg1">
                  <a:lumMod val="65000"/>
                </a:schemeClr>
              </a:solidFill>
            </a:ln>
          </c:spPr>
          <c:marker>
            <c:symbol val="none"/>
          </c:marker>
          <c:xVal>
            <c:numRef>
              <c:f>('Inlet Cone'!$B$37,'Inlet Cone'!$C$37,'Inlet Cone'!$D$37,'Inlet Cone'!$E$37,'Inlet Cone'!$F$37,'Inlet Cone'!$G$37,'Inlet Cone'!$H$37,'Inlet Cone'!$I$37)</c:f>
              <c:numCache>
                <c:formatCode>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('Inlet Cone'!$B$39,'Inlet Cone'!$C$39,'Inlet Cone'!$D$39,'Inlet Cone'!$E$39,'Inlet Cone'!$F$39,'Inlet Cone'!$G$39,'Inlet Cone'!$H$39,'Inlet Cone'!$I$39)</c:f>
              <c:numCache>
                <c:formatCode>0</c:formatCode>
                <c:ptCount val="8"/>
                <c:pt idx="0">
                  <c:v>922</c:v>
                </c:pt>
                <c:pt idx="1">
                  <c:v>932</c:v>
                </c:pt>
                <c:pt idx="2">
                  <c:v>932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31-B3BD-420E-A0F6-F82637EE9875}"/>
            </c:ext>
          </c:extLst>
        </c:ser>
        <c:ser>
          <c:idx val="29"/>
          <c:order val="23"/>
          <c:tx>
            <c:strRef>
              <c:f>'Frame Dimensions'!$B$147</c:f>
              <c:strCache>
                <c:ptCount val="1"/>
                <c:pt idx="0">
                  <c:v>IL</c:v>
                </c:pt>
              </c:strCache>
              <c:extLst xmlns:c16r2="http://schemas.microsoft.com/office/drawing/2015/06/chart" xmlns:c15="http://schemas.microsoft.com/office/drawing/2012/chart"/>
            </c:strRef>
          </c:tx>
          <c:spPr>
            <a:ln w="6350">
              <a:solidFill>
                <a:schemeClr val="tx1"/>
              </a:solidFill>
              <a:prstDash val="sysDash"/>
            </a:ln>
          </c:spPr>
          <c:marker>
            <c:symbol val="none"/>
          </c:marker>
          <c:xVal>
            <c:numRef>
              <c:f>('Frame Dimensions'!$J$147,'Frame Dimensions'!$M$147)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  <c:extLst xmlns:c16r2="http://schemas.microsoft.com/office/drawing/2015/06/chart" xmlns:c15="http://schemas.microsoft.com/office/drawing/2012/chart"/>
            </c:numRef>
          </c:xVal>
          <c:yVal>
            <c:numRef>
              <c:f>('Frame Dimensions'!$K$147,'Frame Dimensions'!$N$147)</c:f>
              <c:numCache>
                <c:formatCode>0</c:formatCode>
                <c:ptCount val="2"/>
                <c:pt idx="0">
                  <c:v>114.70000000000005</c:v>
                </c:pt>
                <c:pt idx="1">
                  <c:v>2745.4</c:v>
                </c:pt>
              </c:numCache>
              <c:extLst xmlns:c16r2="http://schemas.microsoft.com/office/drawing/2015/06/chart" xmlns:c15="http://schemas.microsoft.com/office/drawing/2012/chart"/>
            </c:numRef>
          </c:yVal>
          <c:smooth val="0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0-9D7D-4BD2-8B70-7D48C89F0D8E}"/>
            </c:ext>
          </c:extLst>
        </c:ser>
        <c:ser>
          <c:idx val="33"/>
          <c:order val="24"/>
          <c:tx>
            <c:strRef>
              <c:f>'Frame Dimensions'!$B$148</c:f>
              <c:strCache>
                <c:ptCount val="1"/>
                <c:pt idx="0">
                  <c:v>IR</c:v>
                </c:pt>
              </c:strCache>
              <c:extLst xmlns:c16r2="http://schemas.microsoft.com/office/drawing/2015/06/chart" xmlns:c15="http://schemas.microsoft.com/office/drawing/2012/chart"/>
            </c:strRef>
          </c:tx>
          <c:spPr>
            <a:ln w="6350">
              <a:solidFill>
                <a:schemeClr val="tx1"/>
              </a:solidFill>
              <a:prstDash val="sysDash"/>
            </a:ln>
          </c:spPr>
          <c:marker>
            <c:symbol val="none"/>
          </c:marker>
          <c:xVal>
            <c:numRef>
              <c:f>('Frame Dimensions'!$J$148,'Frame Dimensions'!$M$148)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  <c:extLst xmlns:c16r2="http://schemas.microsoft.com/office/drawing/2015/06/chart" xmlns:c15="http://schemas.microsoft.com/office/drawing/2012/chart"/>
            </c:numRef>
          </c:xVal>
          <c:yVal>
            <c:numRef>
              <c:f>('Frame Dimensions'!$K$148,'Frame Dimensions'!$N$148)</c:f>
              <c:numCache>
                <c:formatCode>0</c:formatCode>
                <c:ptCount val="2"/>
                <c:pt idx="0">
                  <c:v>114.70000000000005</c:v>
                </c:pt>
                <c:pt idx="1">
                  <c:v>2745.4</c:v>
                </c:pt>
              </c:numCache>
              <c:extLst xmlns:c16r2="http://schemas.microsoft.com/office/drawing/2015/06/chart" xmlns:c15="http://schemas.microsoft.com/office/drawing/2012/chart"/>
            </c:numRef>
          </c:yVal>
          <c:smooth val="0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1-9D7D-4BD2-8B70-7D48C89F0D8E}"/>
            </c:ext>
          </c:extLst>
        </c:ser>
        <c:ser>
          <c:idx val="34"/>
          <c:order val="25"/>
          <c:tx>
            <c:strRef>
              <c:f>'Frame Dimensions'!$B$149</c:f>
              <c:strCache>
                <c:ptCount val="1"/>
                <c:pt idx="0">
                  <c:v>Iup</c:v>
                </c:pt>
              </c:strCache>
              <c:extLst xmlns:c16r2="http://schemas.microsoft.com/office/drawing/2015/06/chart" xmlns:c15="http://schemas.microsoft.com/office/drawing/2012/chart"/>
            </c:strRef>
          </c:tx>
          <c:spPr>
            <a:ln w="6350">
              <a:solidFill>
                <a:schemeClr val="tx1"/>
              </a:solidFill>
              <a:prstDash val="sysDash"/>
            </a:ln>
          </c:spPr>
          <c:marker>
            <c:symbol val="none"/>
          </c:marker>
          <c:xVal>
            <c:numRef>
              <c:f>('Frame Dimensions'!$J$149,'Frame Dimensions'!$M$149)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  <c:extLst xmlns:c16r2="http://schemas.microsoft.com/office/drawing/2015/06/chart" xmlns:c15="http://schemas.microsoft.com/office/drawing/2012/chart"/>
            </c:numRef>
          </c:xVal>
          <c:yVal>
            <c:numRef>
              <c:f>('Frame Dimensions'!$K$149,'Frame Dimensions'!$N$149)</c:f>
              <c:numCache>
                <c:formatCode>0</c:formatCode>
                <c:ptCount val="2"/>
                <c:pt idx="0">
                  <c:v>2745.4</c:v>
                </c:pt>
                <c:pt idx="1">
                  <c:v>2745.4</c:v>
                </c:pt>
              </c:numCache>
              <c:extLst xmlns:c16r2="http://schemas.microsoft.com/office/drawing/2015/06/chart" xmlns:c15="http://schemas.microsoft.com/office/drawing/2012/chart"/>
            </c:numRef>
          </c:yVal>
          <c:smooth val="0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2-9D7D-4BD2-8B70-7D48C89F0D8E}"/>
            </c:ext>
          </c:extLst>
        </c:ser>
        <c:ser>
          <c:idx val="35"/>
          <c:order val="26"/>
          <c:tx>
            <c:strRef>
              <c:f>'Frame Dimensions'!$B$150</c:f>
              <c:strCache>
                <c:ptCount val="1"/>
                <c:pt idx="0">
                  <c:v>Ilo</c:v>
                </c:pt>
              </c:strCache>
              <c:extLst xmlns:c16r2="http://schemas.microsoft.com/office/drawing/2015/06/chart" xmlns:c15="http://schemas.microsoft.com/office/drawing/2012/chart"/>
            </c:strRef>
          </c:tx>
          <c:spPr>
            <a:ln w="6350">
              <a:solidFill>
                <a:schemeClr val="tx1"/>
              </a:solidFill>
              <a:prstDash val="sysDash"/>
            </a:ln>
          </c:spPr>
          <c:marker>
            <c:symbol val="none"/>
          </c:marker>
          <c:xVal>
            <c:numRef>
              <c:f>('Frame Dimensions'!$J$150,'Frame Dimensions'!$M$150)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  <c:extLst xmlns:c16r2="http://schemas.microsoft.com/office/drawing/2015/06/chart" xmlns:c15="http://schemas.microsoft.com/office/drawing/2012/chart"/>
            </c:numRef>
          </c:xVal>
          <c:yVal>
            <c:numRef>
              <c:f>('Frame Dimensions'!$K$150,'Frame Dimensions'!$N$150)</c:f>
              <c:numCache>
                <c:formatCode>0</c:formatCode>
                <c:ptCount val="2"/>
                <c:pt idx="0">
                  <c:v>114.70000000000005</c:v>
                </c:pt>
                <c:pt idx="1">
                  <c:v>114.70000000000005</c:v>
                </c:pt>
              </c:numCache>
              <c:extLst xmlns:c16r2="http://schemas.microsoft.com/office/drawing/2015/06/chart" xmlns:c15="http://schemas.microsoft.com/office/drawing/2012/chart"/>
            </c:numRef>
          </c:yVal>
          <c:smooth val="0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3-9D7D-4BD2-8B70-7D48C89F0D8E}"/>
            </c:ext>
          </c:extLst>
        </c:ser>
        <c:ser>
          <c:idx val="13"/>
          <c:order val="27"/>
          <c:tx>
            <c:strRef>
              <c:f>'Frame Dimensions'!$B$107</c:f>
              <c:strCache>
                <c:ptCount val="1"/>
                <c:pt idx="0">
                  <c:v>0</c:v>
                </c:pt>
              </c:strCache>
            </c:strRef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2"/>
              <c:layout>
                <c:manualLayout>
                  <c:x val="-0.12187477780971744"/>
                  <c:y val="-6.919685337233472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 sz="600"/>
                  </a:pPr>
                  <a:endParaRPr lang="zh-CN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A-0435-4B5C-A740-DFC3423006ED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6350">
                      <a:prstDash val="dash"/>
                    </a:ln>
                  </c:spPr>
                </c15:leaderLines>
              </c:ext>
            </c:extLst>
          </c:dLbls>
          <c:xVal>
            <c:numRef>
              <c:f>('Frame Dimensions'!$J$108,'Frame Dimensions'!$J$107,'Frame Dimensions'!$J$109,'Frame Dimensions'!$J$110,'Frame Dimensions'!$J$108)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('Frame Dimensions'!$K$108,'Frame Dimensions'!$K$107,'Frame Dimensions'!$K$109,'Frame Dimensions'!$K$110,'Frame Dimensions'!$K$108)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926-42E9-A629-A51F9233A1E4}"/>
            </c:ext>
          </c:extLst>
        </c:ser>
        <c:ser>
          <c:idx val="5"/>
          <c:order val="28"/>
          <c:tx>
            <c:strRef>
              <c:f>'Frame Dimensions'!$B$124</c:f>
              <c:strCache>
                <c:ptCount val="1"/>
                <c:pt idx="0">
                  <c:v>SFBase_R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dLbls>
            <c:dLbl>
              <c:idx val="1"/>
              <c:layout>
                <c:manualLayout>
                  <c:x val="0.13572418437900341"/>
                  <c:y val="-5.931158860485842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 sz="600"/>
                  </a:pPr>
                  <a:endParaRPr lang="zh-CN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9-0435-4B5C-A740-DFC3423006ED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6350">
                      <a:prstDash val="dash"/>
                    </a:ln>
                  </c:spPr>
                </c15:leaderLines>
              </c:ext>
            </c:extLst>
          </c:dLbls>
          <c:xVal>
            <c:numRef>
              <c:f>('Frame Dimensions'!$J$126,'Frame Dimensions'!$M$126)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('Frame Dimensions'!$K$126,'Frame Dimensions'!$N$126)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F6D-4571-83F8-2036E1B3707B}"/>
            </c:ext>
          </c:extLst>
        </c:ser>
        <c:ser>
          <c:idx val="15"/>
          <c:order val="29"/>
          <c:tx>
            <c:strRef>
              <c:f>'Frame Dimensions'!$B$141</c:f>
              <c:strCache>
                <c:ptCount val="1"/>
                <c:pt idx="0">
                  <c:v>HskirtR</c:v>
                </c:pt>
              </c:strCache>
            </c:strRef>
          </c:tx>
          <c:spPr>
            <a:ln w="9525"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('Frame Dimensions'!$J$141,'Frame Dimensions'!$M$141)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('Frame Dimensions'!$K$141,'Frame Dimensions'!$N$141)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238-4C6C-B45F-00A77E2D2F59}"/>
            </c:ext>
          </c:extLst>
        </c:ser>
        <c:ser>
          <c:idx val="0"/>
          <c:order val="30"/>
          <c:tx>
            <c:strRef>
              <c:f>'Frame Dimensions'!$B$93</c:f>
              <c:strCache>
                <c:ptCount val="1"/>
                <c:pt idx="0">
                  <c:v>VHF_R</c:v>
                </c:pt>
              </c:strCache>
            </c:strRef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('Frame Dimensions'!$J$95,'Frame Dimensions'!$J$94,'Frame Dimensions'!$J$93,'Frame Dimensions'!$M$93,'Frame Dimensions'!$M$94,'Frame Dimensions'!$J$95)</c:f>
              <c:numCache>
                <c:formatCode>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('Frame Dimensions'!$K$95,'Frame Dimensions'!$K$94,'Frame Dimensions'!$K$93,'Frame Dimensions'!$N$93,'Frame Dimensions'!$N$94,'Frame Dimensions'!$K$95)</c:f>
              <c:numCache>
                <c:formatCode>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1E0-477C-BF84-84D17B72E67E}"/>
            </c:ext>
          </c:extLst>
        </c:ser>
        <c:ser>
          <c:idx val="53"/>
          <c:order val="31"/>
          <c:tx>
            <c:strRef>
              <c:f>'Frame Dimensions'!$B$124</c:f>
              <c:strCache>
                <c:ptCount val="1"/>
                <c:pt idx="0">
                  <c:v>SFBase_R</c:v>
                </c:pt>
              </c:strCache>
            </c:strRef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('Frame Dimensions'!$J$124,'Frame Dimensions'!$J$126)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('Frame Dimensions'!$K$124,'Frame Dimensions'!$K$126)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32-B3BD-420E-A0F6-F82637EE9875}"/>
            </c:ext>
          </c:extLst>
        </c:ser>
        <c:ser>
          <c:idx val="6"/>
          <c:order val="32"/>
          <c:tx>
            <c:strRef>
              <c:f>'Frame Dimensions'!$B$125</c:f>
              <c:strCache>
                <c:ptCount val="1"/>
                <c:pt idx="0">
                  <c:v>sfbase_R</c:v>
                </c:pt>
              </c:strCache>
            </c:strRef>
          </c:tx>
          <c:spPr>
            <a:ln w="12700">
              <a:solidFill>
                <a:srgbClr val="FF0000"/>
              </a:solidFill>
              <a:prstDash val="sysDot"/>
            </a:ln>
          </c:spPr>
          <c:marker>
            <c:symbol val="none"/>
          </c:marker>
          <c:xVal>
            <c:numRef>
              <c:f>('Frame Dimensions'!$J$125,'Frame Dimensions'!$M$125,'Frame Dimensions'!$M$127)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xVal>
          <c:yVal>
            <c:numRef>
              <c:f>('Frame Dimensions'!$K$125,'Frame Dimensions'!$N$125,'Frame Dimensions'!$N$127,'Frame Dimensions'!$K$127,'Frame Dimensions'!$K$125)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1E0-477C-BF84-84D17B72E67E}"/>
            </c:ext>
          </c:extLst>
        </c:ser>
        <c:ser>
          <c:idx val="20"/>
          <c:order val="33"/>
          <c:tx>
            <c:strRef>
              <c:f>'Frame Dimensions'!$B$37</c:f>
              <c:strCache>
                <c:ptCount val="1"/>
                <c:pt idx="0">
                  <c:v>MFTr1</c:v>
                </c:pt>
              </c:strCache>
            </c:strRef>
          </c:tx>
          <c:spPr>
            <a:ln w="12700">
              <a:solidFill>
                <a:srgbClr val="00B0F0"/>
              </a:solidFill>
            </a:ln>
          </c:spPr>
          <c:marker>
            <c:symbol val="none"/>
          </c:marker>
          <c:dLbls>
            <c:dLbl>
              <c:idx val="0"/>
              <c:layout>
                <c:manualLayout>
                  <c:x val="-9.6945845985002457E-2"/>
                  <c:y val="9.3910015291025703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 sz="600"/>
                  </a:pPr>
                  <a:endParaRPr lang="zh-CN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7-0435-4B5C-A740-DFC3423006ED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/>
                </a:pPr>
                <a:endParaRPr lang="zh-CN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6350">
                      <a:prstDash val="dash"/>
                    </a:ln>
                  </c:spPr>
                </c15:leaderLines>
              </c:ext>
            </c:extLst>
          </c:dLbls>
          <c:xVal>
            <c:numRef>
              <c:f>('Frame Dimensions'!$J$37,'Frame Dimensions'!$J$38,'Frame Dimensions'!$J$39)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xVal>
          <c:yVal>
            <c:numRef>
              <c:f>('Frame Dimensions'!$K$37,'Frame Dimensions'!$K$38,'Frame Dimensions'!$K$39)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926-42E9-A629-A51F9233A1E4}"/>
            </c:ext>
          </c:extLst>
        </c:ser>
        <c:ser>
          <c:idx val="21"/>
          <c:order val="34"/>
          <c:tx>
            <c:strRef>
              <c:f>'Frame Dimensions'!$B$53</c:f>
              <c:strCache>
                <c:ptCount val="1"/>
                <c:pt idx="0">
                  <c:v>#REF!</c:v>
                </c:pt>
              </c:strCache>
            </c:strRef>
          </c:tx>
          <c:spPr>
            <a:ln w="12700">
              <a:solidFill>
                <a:srgbClr val="00B0F0"/>
              </a:solidFill>
            </a:ln>
          </c:spPr>
          <c:marker>
            <c:symbol val="none"/>
          </c:marker>
          <c:dLbls>
            <c:dLbl>
              <c:idx val="0"/>
              <c:layout>
                <c:manualLayout>
                  <c:x val="-8.0326558101859319E-2"/>
                  <c:y val="9.885264767476370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 sz="600"/>
                  </a:pPr>
                  <a:endParaRPr lang="zh-CN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8-0435-4B5C-A740-DFC3423006ED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6350">
                      <a:prstDash val="dash"/>
                    </a:ln>
                  </c:spPr>
                </c15:leaderLines>
              </c:ext>
            </c:extLst>
          </c:dLbls>
          <c:xVal>
            <c:numRef>
              <c:f>('Frame Dimensions'!$J$53,'Frame Dimensions'!$J$54,'Frame Dimensions'!$J$55)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xVal>
          <c:yVal>
            <c:numRef>
              <c:f>('Frame Dimensions'!$K$53,'Frame Dimensions'!$K$54,'Frame Dimensions'!$K$55)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1926-42E9-A629-A51F9233A1E4}"/>
            </c:ext>
          </c:extLst>
        </c:ser>
        <c:ser>
          <c:idx val="22"/>
          <c:order val="35"/>
          <c:tx>
            <c:strRef>
              <c:f>'Frame Dimensions'!$B$69</c:f>
              <c:strCache>
                <c:ptCount val="1"/>
                <c:pt idx="0">
                  <c:v>0</c:v>
                </c:pt>
              </c:strCache>
            </c:strRef>
          </c:tx>
          <c:spPr>
            <a:ln w="12700">
              <a:solidFill>
                <a:srgbClr val="00B0F0"/>
              </a:solidFill>
            </a:ln>
          </c:spPr>
          <c:marker>
            <c:symbol val="none"/>
          </c:marker>
          <c:dLbls>
            <c:dLbl>
              <c:idx val="0"/>
              <c:layout>
                <c:manualLayout>
                  <c:x val="-7.7556676788002002E-2"/>
                  <c:y val="9.885264767476370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 sz="600"/>
                  </a:pPr>
                  <a:endParaRPr lang="zh-CN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B-0435-4B5C-A740-DFC3423006ED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6350">
                      <a:prstDash val="dash"/>
                    </a:ln>
                  </c:spPr>
                </c15:leaderLines>
              </c:ext>
            </c:extLst>
          </c:dLbls>
          <c:xVal>
            <c:numRef>
              <c:f>('Frame Dimensions'!$J$69,'Frame Dimensions'!$J$70,'Frame Dimensions'!$J$71)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xVal>
          <c:yVal>
            <c:numRef>
              <c:f>('Frame Dimensions'!$K$69,'Frame Dimensions'!$K$70,'Frame Dimensions'!$K$71)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1926-42E9-A629-A51F9233A1E4}"/>
            </c:ext>
          </c:extLst>
        </c:ser>
        <c:ser>
          <c:idx val="23"/>
          <c:order val="36"/>
          <c:tx>
            <c:strRef>
              <c:f>'Frame Dimensions'!$B$85</c:f>
              <c:strCache>
                <c:ptCount val="1"/>
                <c:pt idx="0">
                  <c:v>0</c:v>
                </c:pt>
              </c:strCache>
            </c:strRef>
          </c:tx>
          <c:spPr>
            <a:ln w="12700">
              <a:solidFill>
                <a:srgbClr val="00B0F0"/>
              </a:solidFill>
            </a:ln>
          </c:spPr>
          <c:marker>
            <c:symbol val="none"/>
          </c:marker>
          <c:dLbls>
            <c:dLbl>
              <c:idx val="0"/>
              <c:layout>
                <c:manualLayout>
                  <c:x val="-2.2159050510857717E-2"/>
                  <c:y val="9.3910015291025703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 sz="600"/>
                  </a:pPr>
                  <a:endParaRPr lang="zh-CN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11-0435-4B5C-A740-DFC3423006ED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6350">
                      <a:prstDash val="dash"/>
                    </a:ln>
                  </c:spPr>
                </c15:leaderLines>
              </c:ext>
            </c:extLst>
          </c:dLbls>
          <c:xVal>
            <c:numRef>
              <c:f>('Frame Dimensions'!$J$85,'Frame Dimensions'!$J$86,'Frame Dimensions'!$J$87)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xVal>
          <c:yVal>
            <c:numRef>
              <c:f>('Frame Dimensions'!$K$85,'Frame Dimensions'!$K$86,'Frame Dimensions'!$K$87)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5-1926-42E9-A629-A51F9233A1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9138528"/>
        <c:axId val="529138920"/>
        <c:extLst xmlns:c16r2="http://schemas.microsoft.com/office/drawing/2015/06/chart"/>
      </c:scatterChart>
      <c:valAx>
        <c:axId val="5291385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</a:t>
                </a:r>
              </a:p>
            </c:rich>
          </c:tx>
          <c:overlay val="0"/>
        </c:title>
        <c:numFmt formatCode="0" sourceLinked="1"/>
        <c:majorTickMark val="out"/>
        <c:minorTickMark val="none"/>
        <c:tickLblPos val="nextTo"/>
        <c:crossAx val="529138920"/>
        <c:crosses val="autoZero"/>
        <c:crossBetween val="midCat"/>
        <c:majorUnit val="1000"/>
      </c:valAx>
      <c:valAx>
        <c:axId val="529138920"/>
        <c:scaling>
          <c:orientation val="minMax"/>
        </c:scaling>
        <c:delete val="0"/>
        <c:axPos val="l"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ln w="9525">
            <a:solidFill>
              <a:schemeClr val="bg1">
                <a:lumMod val="50000"/>
              </a:schemeClr>
            </a:solidFill>
            <a:prstDash val="solid"/>
          </a:ln>
        </c:spPr>
        <c:crossAx val="529138528"/>
        <c:crosses val="autoZero"/>
        <c:crossBetween val="midCat"/>
        <c:majorUnit val="1000"/>
      </c:valAx>
    </c:plotArea>
    <c:plotVisOnly val="1"/>
    <c:dispBlanksAs val="gap"/>
    <c:showDLblsOverMax val="0"/>
  </c:chart>
  <c:spPr>
    <a:ln w="12700">
      <a:solidFill>
        <a:schemeClr val="tx1">
          <a:tint val="75000"/>
          <a:shade val="95000"/>
          <a:satMod val="105000"/>
        </a:schemeClr>
      </a:solidFill>
    </a:ln>
  </c:spPr>
  <c:printSettings>
    <c:headerFooter/>
    <c:pageMargins b="0.75000000000000722" l="0.70000000000000062" r="0.70000000000000062" t="0.75000000000000722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Drawings!$P$5</c:f>
          <c:strCache>
            <c:ptCount val="1"/>
            <c:pt idx="0">
              <c:v>XOE 273-90, RD135 Inlet View</c:v>
            </c:pt>
          </c:strCache>
        </c:strRef>
      </c:tx>
      <c:overlay val="1"/>
      <c:txPr>
        <a:bodyPr/>
        <a:lstStyle/>
        <a:p>
          <a:pPr>
            <a:defRPr sz="1400"/>
          </a:pPr>
          <a:endParaRPr lang="zh-CN"/>
        </a:p>
      </c:txPr>
    </c:title>
    <c:autoTitleDeleted val="0"/>
    <c:plotArea>
      <c:layout>
        <c:manualLayout>
          <c:layoutTarget val="inner"/>
          <c:xMode val="edge"/>
          <c:yMode val="edge"/>
          <c:x val="4.8975380531837719E-2"/>
          <c:y val="0.13180791808568723"/>
          <c:w val="0.8471926509186356"/>
          <c:h val="0.74119241354596732"/>
        </c:manualLayout>
      </c:layout>
      <c:scatterChart>
        <c:scatterStyle val="smoothMarker"/>
        <c:varyColors val="0"/>
        <c:ser>
          <c:idx val="8"/>
          <c:order val="0"/>
          <c:tx>
            <c:strRef>
              <c:f>'Frame Dimensions'!$Z$23</c:f>
              <c:strCache>
                <c:ptCount val="1"/>
                <c:pt idx="0">
                  <c:v>caly</c:v>
                </c:pt>
              </c:strCache>
            </c:strRef>
          </c:tx>
          <c:spPr>
            <a:ln w="12700"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('Frame Dimensions'!$Z$25,'Frame Dimensions'!$Z$25)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('Frame Dimensions'!$Z$24,'Frame Dimensions'!$Z$25)</c:f>
              <c:numCache>
                <c:formatCode>General</c:formatCode>
                <c:ptCount val="2"/>
                <c:pt idx="0" formatCode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2C11-4FF4-A908-B0A5C2747988}"/>
            </c:ext>
          </c:extLst>
        </c:ser>
        <c:ser>
          <c:idx val="7"/>
          <c:order val="1"/>
          <c:tx>
            <c:strRef>
              <c:f>'Frame Dimensions'!$AA$23</c:f>
              <c:strCache>
                <c:ptCount val="1"/>
                <c:pt idx="0">
                  <c:v>calz</c:v>
                </c:pt>
              </c:strCache>
            </c:strRef>
          </c:tx>
          <c:spPr>
            <a:ln w="12700"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('Frame Dimensions'!$AA$24,'Frame Dimensions'!$AA$25)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('Frame Dimensions'!$Z$25,'Frame Dimensions'!$Z$25)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2C11-4FF4-A908-B0A5C2747988}"/>
            </c:ext>
          </c:extLst>
        </c:ser>
        <c:ser>
          <c:idx val="4"/>
          <c:order val="2"/>
          <c:tx>
            <c:strRef>
              <c:f>House!$A$57</c:f>
              <c:strCache>
                <c:ptCount val="1"/>
                <c:pt idx="0">
                  <c:v>House Inlet View</c:v>
                </c:pt>
              </c:strCache>
            </c:strRef>
          </c:tx>
          <c:spPr>
            <a:ln w="1270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House!$C$57:$Y$57</c:f>
              <c:numCache>
                <c:formatCode>0</c:formatCode>
                <c:ptCount val="23"/>
                <c:pt idx="0">
                  <c:v>-1073.5999999999999</c:v>
                </c:pt>
                <c:pt idx="1">
                  <c:v>-982</c:v>
                </c:pt>
                <c:pt idx="2">
                  <c:v>-876.2</c:v>
                </c:pt>
                <c:pt idx="3">
                  <c:v>-706.8</c:v>
                </c:pt>
                <c:pt idx="4">
                  <c:v>-482.5</c:v>
                </c:pt>
                <c:pt idx="5">
                  <c:v>-216.3</c:v>
                </c:pt>
                <c:pt idx="6">
                  <c:v>75.7</c:v>
                </c:pt>
                <c:pt idx="7">
                  <c:v>374.6</c:v>
                </c:pt>
                <c:pt idx="8">
                  <c:v>660.6</c:v>
                </c:pt>
                <c:pt idx="9">
                  <c:v>913.7</c:v>
                </c:pt>
                <c:pt idx="10">
                  <c:v>1115.5</c:v>
                </c:pt>
                <c:pt idx="11">
                  <c:v>1250.2</c:v>
                </c:pt>
                <c:pt idx="12">
                  <c:v>1305.9000000000001</c:v>
                </c:pt>
                <c:pt idx="13">
                  <c:v>1275.5</c:v>
                </c:pt>
                <c:pt idx="14">
                  <c:v>1157.5</c:v>
                </c:pt>
                <c:pt idx="15">
                  <c:v>956.2</c:v>
                </c:pt>
                <c:pt idx="16">
                  <c:v>681.9</c:v>
                </c:pt>
                <c:pt idx="17">
                  <c:v>350</c:v>
                </c:pt>
                <c:pt idx="18">
                  <c:v>-19.3</c:v>
                </c:pt>
                <c:pt idx="19">
                  <c:v>-402.7</c:v>
                </c:pt>
                <c:pt idx="20">
                  <c:v>-774.8</c:v>
                </c:pt>
                <c:pt idx="21">
                  <c:v>-1109.8</c:v>
                </c:pt>
                <c:pt idx="22">
                  <c:v>-1871.1</c:v>
                </c:pt>
              </c:numCache>
            </c:numRef>
          </c:xVal>
          <c:yVal>
            <c:numRef>
              <c:f>House!$C$58:$Y$58</c:f>
              <c:numCache>
                <c:formatCode>0</c:formatCode>
                <c:ptCount val="23"/>
                <c:pt idx="0">
                  <c:v>820</c:v>
                </c:pt>
                <c:pt idx="1">
                  <c:v>911.6</c:v>
                </c:pt>
                <c:pt idx="2">
                  <c:v>661.1</c:v>
                </c:pt>
                <c:pt idx="3">
                  <c:v>441.4</c:v>
                </c:pt>
                <c:pt idx="4">
                  <c:v>268.60000000000002</c:v>
                </c:pt>
                <c:pt idx="5">
                  <c:v>156.29999999999995</c:v>
                </c:pt>
                <c:pt idx="6">
                  <c:v>114.70000000000005</c:v>
                </c:pt>
                <c:pt idx="7">
                  <c:v>149.5</c:v>
                </c:pt>
                <c:pt idx="8">
                  <c:v>261.5</c:v>
                </c:pt>
                <c:pt idx="9">
                  <c:v>446.29999999999995</c:v>
                </c:pt>
                <c:pt idx="10">
                  <c:v>694.5</c:v>
                </c:pt>
                <c:pt idx="11">
                  <c:v>991.8</c:v>
                </c:pt>
                <c:pt idx="12">
                  <c:v>1320.3</c:v>
                </c:pt>
                <c:pt idx="13">
                  <c:v>1659</c:v>
                </c:pt>
                <c:pt idx="14">
                  <c:v>1985.3</c:v>
                </c:pt>
                <c:pt idx="15">
                  <c:v>2276.6</c:v>
                </c:pt>
                <c:pt idx="16">
                  <c:v>2511.9</c:v>
                </c:pt>
                <c:pt idx="17">
                  <c:v>2672.8</c:v>
                </c:pt>
                <c:pt idx="18">
                  <c:v>2745.4</c:v>
                </c:pt>
                <c:pt idx="19">
                  <c:v>2721.1</c:v>
                </c:pt>
                <c:pt idx="20">
                  <c:v>2597.5</c:v>
                </c:pt>
                <c:pt idx="21">
                  <c:v>2378.8000000000002</c:v>
                </c:pt>
                <c:pt idx="22">
                  <c:v>1617.5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2C11-4FF4-A908-B0A5C2747988}"/>
            </c:ext>
          </c:extLst>
        </c:ser>
        <c:ser>
          <c:idx val="6"/>
          <c:order val="3"/>
          <c:tx>
            <c:strRef>
              <c:f>'Select Drive &amp; Motor'!$B$28</c:f>
              <c:strCache>
                <c:ptCount val="1"/>
                <c:pt idx="0">
                  <c:v>Center Height (RD/135)</c:v>
                </c:pt>
              </c:strCache>
            </c:strRef>
          </c:tx>
          <c:spPr>
            <a:ln w="31750">
              <a:solidFill>
                <a:schemeClr val="tx1"/>
              </a:solidFill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0</c:v>
              </c:pt>
            </c:numLit>
          </c:xVal>
          <c:yVal>
            <c:numRef>
              <c:f>(House!$AH$11,House!$AI$11)</c:f>
              <c:numCache>
                <c:formatCode>_-\ ###0_-;\-\ ###0_-;_-\ "-"??_-;_-@_-</c:formatCode>
                <c:ptCount val="2"/>
                <c:pt idx="0">
                  <c:v>1270</c:v>
                </c:pt>
                <c:pt idx="1">
                  <c:v>1268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2C11-4FF4-A908-B0A5C2747988}"/>
            </c:ext>
          </c:extLst>
        </c:ser>
        <c:ser>
          <c:idx val="14"/>
          <c:order val="4"/>
          <c:tx>
            <c:strRef>
              <c:f>House!$Y$54</c:f>
              <c:strCache>
                <c:ptCount val="1"/>
                <c:pt idx="0">
                  <c:v>HfunnelR</c:v>
                </c:pt>
              </c:strCache>
            </c:strRef>
          </c:tx>
          <c:spPr>
            <a:ln w="1270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(House!$C$57,House!$Y$57)</c:f>
              <c:numCache>
                <c:formatCode>0</c:formatCode>
                <c:ptCount val="2"/>
                <c:pt idx="0">
                  <c:v>-1073.5999999999999</c:v>
                </c:pt>
                <c:pt idx="1">
                  <c:v>-1871.1</c:v>
                </c:pt>
              </c:numCache>
            </c:numRef>
          </c:xVal>
          <c:yVal>
            <c:numRef>
              <c:f>(House!$C$58,House!$Y$58)</c:f>
              <c:numCache>
                <c:formatCode>0</c:formatCode>
                <c:ptCount val="2"/>
                <c:pt idx="0">
                  <c:v>820</c:v>
                </c:pt>
                <c:pt idx="1">
                  <c:v>1617.5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4-2C11-4FF4-A908-B0A5C2747988}"/>
            </c:ext>
          </c:extLst>
        </c:ser>
        <c:ser>
          <c:idx val="15"/>
          <c:order val="5"/>
          <c:tx>
            <c:strRef>
              <c:f>'House reinf, Inlet Side'!$B$79</c:f>
              <c:strCache>
                <c:ptCount val="1"/>
                <c:pt idx="0">
                  <c:v>#REF!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dLbls>
            <c:dLbl>
              <c:idx val="1"/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0-9FAC-4FDD-B5D6-415E6407926F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('House reinf, Inlet Side'!$B$83,'House reinf, Inlet Side'!$B$85)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('House reinf, Inlet Side'!$B$84,'House reinf, Inlet Side'!$B$86)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5-2C11-4FF4-A908-B0A5C2747988}"/>
            </c:ext>
          </c:extLst>
        </c:ser>
        <c:ser>
          <c:idx val="18"/>
          <c:order val="6"/>
          <c:tx>
            <c:strRef>
              <c:f>'House reinf, Inlet Side'!$C$79</c:f>
              <c:strCache>
                <c:ptCount val="1"/>
                <c:pt idx="0">
                  <c:v>#REF!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dLbls>
            <c:dLbl>
              <c:idx val="1"/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1-9FAC-4FDD-B5D6-415E6407926F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('House reinf, Inlet Side'!$C$83,'House reinf, Inlet Side'!$C$85)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('House reinf, Inlet Side'!$C$84,'House reinf, Inlet Side'!$C$86)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6-2C11-4FF4-A908-B0A5C2747988}"/>
            </c:ext>
          </c:extLst>
        </c:ser>
        <c:ser>
          <c:idx val="19"/>
          <c:order val="7"/>
          <c:tx>
            <c:strRef>
              <c:f>'House reinf, Inlet Side'!$D$79</c:f>
              <c:strCache>
                <c:ptCount val="1"/>
                <c:pt idx="0">
                  <c:v>#REF!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dLbls>
            <c:dLbl>
              <c:idx val="1"/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2-9FAC-4FDD-B5D6-415E6407926F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('House reinf, Inlet Side'!$D$83,'House reinf, Inlet Side'!$D$85)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('House reinf, Inlet Side'!$D$84,'House reinf, Inlet Side'!$D$86)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7-2C11-4FF4-A908-B0A5C2747988}"/>
            </c:ext>
          </c:extLst>
        </c:ser>
        <c:ser>
          <c:idx val="20"/>
          <c:order val="8"/>
          <c:tx>
            <c:strRef>
              <c:f>'House reinf, Inlet Side'!$E$79</c:f>
              <c:strCache>
                <c:ptCount val="1"/>
                <c:pt idx="0">
                  <c:v>#REF!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dLbls>
            <c:dLbl>
              <c:idx val="1"/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3-9FAC-4FDD-B5D6-415E6407926F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('House reinf, Inlet Side'!$E$83,'House reinf, Inlet Side'!$E$85)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('House reinf, Inlet Side'!$E$84,'House reinf, Inlet Side'!$E$86)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8-2C11-4FF4-A908-B0A5C2747988}"/>
            </c:ext>
          </c:extLst>
        </c:ser>
        <c:ser>
          <c:idx val="21"/>
          <c:order val="9"/>
          <c:tx>
            <c:strRef>
              <c:f>'House reinf, Inlet Side'!$F$79</c:f>
              <c:strCache>
                <c:ptCount val="1"/>
                <c:pt idx="0">
                  <c:v>#REF!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dLbls>
            <c:dLbl>
              <c:idx val="1"/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4-9FAC-4FDD-B5D6-415E6407926F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('House reinf, Inlet Side'!$F$83,'House reinf, Inlet Side'!$F$85)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('House reinf, Inlet Side'!$F$84,'House reinf, Inlet Side'!$F$86)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9-2C11-4FF4-A908-B0A5C2747988}"/>
            </c:ext>
          </c:extLst>
        </c:ser>
        <c:ser>
          <c:idx val="22"/>
          <c:order val="10"/>
          <c:tx>
            <c:strRef>
              <c:f>'House reinf, Inlet Side'!$G$79</c:f>
              <c:strCache>
                <c:ptCount val="1"/>
                <c:pt idx="0">
                  <c:v>#REF!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dLbls>
            <c:dLbl>
              <c:idx val="1"/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5-9FAC-4FDD-B5D6-415E6407926F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('House reinf, Inlet Side'!$G$83,'House reinf, Inlet Side'!$G$85)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('House reinf, Inlet Side'!$G$84,'House reinf, Inlet Side'!$G$86)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A-2C11-4FF4-A908-B0A5C2747988}"/>
            </c:ext>
          </c:extLst>
        </c:ser>
        <c:ser>
          <c:idx val="23"/>
          <c:order val="11"/>
          <c:tx>
            <c:strRef>
              <c:f>'House reinf, Inlet Side'!$H$79</c:f>
              <c:strCache>
                <c:ptCount val="1"/>
                <c:pt idx="0">
                  <c:v>#REF!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dLbls>
            <c:dLbl>
              <c:idx val="1"/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6-9FAC-4FDD-B5D6-415E6407926F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('House reinf, Inlet Side'!$H$83,'House reinf, Inlet Side'!$H$85)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('House reinf, Inlet Side'!$H$84,'House reinf, Inlet Side'!$H$86)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B-2C11-4FF4-A908-B0A5C2747988}"/>
            </c:ext>
          </c:extLst>
        </c:ser>
        <c:ser>
          <c:idx val="24"/>
          <c:order val="12"/>
          <c:tx>
            <c:strRef>
              <c:f>'House reinf, Inlet Side'!$I$79</c:f>
              <c:strCache>
                <c:ptCount val="1"/>
                <c:pt idx="0">
                  <c:v>#REF!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dLbls>
            <c:dLbl>
              <c:idx val="1"/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7-9FAC-4FDD-B5D6-415E6407926F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('House reinf, Inlet Side'!$I$83,'House reinf, Inlet Side'!$I$85)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('House reinf, Inlet Side'!$I$84,'House reinf, Inlet Side'!$I$86)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C-2C11-4FF4-A908-B0A5C2747988}"/>
            </c:ext>
          </c:extLst>
        </c:ser>
        <c:ser>
          <c:idx val="25"/>
          <c:order val="13"/>
          <c:tx>
            <c:strRef>
              <c:f>'House reinf, Inlet Side'!$J$79</c:f>
              <c:strCache>
                <c:ptCount val="1"/>
                <c:pt idx="0">
                  <c:v>#REF!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dLbls>
            <c:dLbl>
              <c:idx val="1"/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8-9FAC-4FDD-B5D6-415E6407926F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('House reinf, Inlet Side'!$J$83,'House reinf, Inlet Side'!$J$85)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('House reinf, Inlet Side'!$J$84,'House reinf, Inlet Side'!$J$86)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D-2C11-4FF4-A908-B0A5C2747988}"/>
            </c:ext>
          </c:extLst>
        </c:ser>
        <c:ser>
          <c:idx val="26"/>
          <c:order val="14"/>
          <c:tx>
            <c:strRef>
              <c:f>'House reinf, Inlet Side'!$K$79</c:f>
              <c:strCache>
                <c:ptCount val="1"/>
                <c:pt idx="0">
                  <c:v>#REF!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dLbls>
            <c:dLbl>
              <c:idx val="1"/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9-9FAC-4FDD-B5D6-415E6407926F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('House reinf, Inlet Side'!$K$83,'House reinf, Inlet Side'!$K$85)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('House reinf, Inlet Side'!$K$84,'House reinf, Inlet Side'!$K$86)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E-2C11-4FF4-A908-B0A5C2747988}"/>
            </c:ext>
          </c:extLst>
        </c:ser>
        <c:ser>
          <c:idx val="27"/>
          <c:order val="15"/>
          <c:tx>
            <c:strRef>
              <c:f>'House reinf, Inlet Side'!$L$79</c:f>
              <c:strCache>
                <c:ptCount val="1"/>
                <c:pt idx="0">
                  <c:v>#REF!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dLbls>
            <c:dLbl>
              <c:idx val="1"/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A-9FAC-4FDD-B5D6-415E6407926F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('House reinf, Inlet Side'!$L$83,'House reinf, Inlet Side'!$L$85)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('House reinf, Inlet Side'!$L$84,'House reinf, Inlet Side'!$L$86)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F-2C11-4FF4-A908-B0A5C2747988}"/>
            </c:ext>
          </c:extLst>
        </c:ser>
        <c:ser>
          <c:idx val="28"/>
          <c:order val="16"/>
          <c:tx>
            <c:strRef>
              <c:f>'House reinf, Inlet Side'!$M$79</c:f>
              <c:strCache>
                <c:ptCount val="1"/>
                <c:pt idx="0">
                  <c:v>#REF!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dLbls>
            <c:dLbl>
              <c:idx val="1"/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B-9FAC-4FDD-B5D6-415E6407926F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('House reinf, Inlet Side'!$M$83,'House reinf, Inlet Side'!$M$85)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('House reinf, Inlet Side'!$M$84,'House reinf, Inlet Side'!$M$86)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10-2C11-4FF4-A908-B0A5C2747988}"/>
            </c:ext>
          </c:extLst>
        </c:ser>
        <c:ser>
          <c:idx val="29"/>
          <c:order val="17"/>
          <c:tx>
            <c:strRef>
              <c:f>'House reinf, Inlet Side'!$N$79</c:f>
              <c:strCache>
                <c:ptCount val="1"/>
                <c:pt idx="0">
                  <c:v>#REF!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dLbls>
            <c:dLbl>
              <c:idx val="1"/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C-9FAC-4FDD-B5D6-415E6407926F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('House reinf, Inlet Side'!$N$83,'House reinf, Inlet Side'!$N$85)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('House reinf, Inlet Side'!$N$84,'House reinf, Inlet Side'!$N$86)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11-2C11-4FF4-A908-B0A5C2747988}"/>
            </c:ext>
          </c:extLst>
        </c:ser>
        <c:ser>
          <c:idx val="30"/>
          <c:order val="18"/>
          <c:tx>
            <c:strRef>
              <c:f>'House reinf, Inlet Side'!$O$79</c:f>
              <c:strCache>
                <c:ptCount val="1"/>
                <c:pt idx="0">
                  <c:v>#REF!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dLbls>
            <c:dLbl>
              <c:idx val="1"/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D-9FAC-4FDD-B5D6-415E6407926F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('House reinf, Inlet Side'!$O$83,'House reinf, Inlet Side'!$O$85)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('House reinf, Inlet Side'!$O$84,'House reinf, Inlet Side'!$O$86)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12-2C11-4FF4-A908-B0A5C2747988}"/>
            </c:ext>
          </c:extLst>
        </c:ser>
        <c:ser>
          <c:idx val="31"/>
          <c:order val="19"/>
          <c:tx>
            <c:strRef>
              <c:f>'House reinf, Inlet Side'!$P$79</c:f>
              <c:strCache>
                <c:ptCount val="1"/>
                <c:pt idx="0">
                  <c:v>#REF!</c:v>
                </c:pt>
              </c:strCache>
            </c:strRef>
          </c:tx>
          <c:spPr>
            <a:ln w="12700">
              <a:solidFill>
                <a:srgbClr val="FF0000">
                  <a:alpha val="99000"/>
                </a:srgbClr>
              </a:solidFill>
            </a:ln>
          </c:spPr>
          <c:marker>
            <c:symbol val="none"/>
          </c:marker>
          <c:dLbls>
            <c:dLbl>
              <c:idx val="1"/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E-9FAC-4FDD-B5D6-415E6407926F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('House reinf, Inlet Side'!$P$83,'House reinf, Inlet Side'!$P$85)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('House reinf, Inlet Side'!$P$84,'House reinf, Inlet Side'!$P$86)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13-2C11-4FF4-A908-B0A5C2747988}"/>
            </c:ext>
          </c:extLst>
        </c:ser>
        <c:ser>
          <c:idx val="32"/>
          <c:order val="20"/>
          <c:tx>
            <c:strRef>
              <c:f>'House reinf, Inlet Side'!$Q$79</c:f>
              <c:strCache>
                <c:ptCount val="1"/>
                <c:pt idx="0">
                  <c:v>#REF!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dLbls>
            <c:dLbl>
              <c:idx val="1"/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F-9FAC-4FDD-B5D6-415E6407926F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('House reinf, Inlet Side'!$Q$83,'House reinf, Inlet Side'!$Q$85)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('House reinf, Inlet Side'!$Q$84,'House reinf, Inlet Side'!$Q$86)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14-2C11-4FF4-A908-B0A5C2747988}"/>
            </c:ext>
          </c:extLst>
        </c:ser>
        <c:ser>
          <c:idx val="33"/>
          <c:order val="21"/>
          <c:tx>
            <c:strRef>
              <c:f>'House reinf, Inlet Side'!$R$79</c:f>
              <c:strCache>
                <c:ptCount val="1"/>
                <c:pt idx="0">
                  <c:v>#REF!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dLbls>
            <c:dLbl>
              <c:idx val="1"/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10-9FAC-4FDD-B5D6-415E6407926F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('House reinf, Inlet Side'!$R$83,'House reinf, Inlet Side'!$R$85)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('House reinf, Inlet Side'!$R$84,'House reinf, Inlet Side'!$R$86)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15-2C11-4FF4-A908-B0A5C2747988}"/>
            </c:ext>
          </c:extLst>
        </c:ser>
        <c:ser>
          <c:idx val="34"/>
          <c:order val="22"/>
          <c:tx>
            <c:strRef>
              <c:f>'House reinf, Inlet Side'!$S$79</c:f>
              <c:strCache>
                <c:ptCount val="1"/>
                <c:pt idx="0">
                  <c:v>#REF!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dLbls>
            <c:dLbl>
              <c:idx val="1"/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11-9FAC-4FDD-B5D6-415E6407926F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('House reinf, Inlet Side'!$S$83,'House reinf, Inlet Side'!$S$85)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('House reinf, Inlet Side'!$S$84,'House reinf, Inlet Side'!$S$86)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16-2C11-4FF4-A908-B0A5C2747988}"/>
            </c:ext>
          </c:extLst>
        </c:ser>
        <c:ser>
          <c:idx val="35"/>
          <c:order val="23"/>
          <c:tx>
            <c:strRef>
              <c:f>'House reinf, Inlet Side'!$T$79</c:f>
              <c:strCache>
                <c:ptCount val="1"/>
                <c:pt idx="0">
                  <c:v>#REF!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dLbls>
            <c:dLbl>
              <c:idx val="1"/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12-9FAC-4FDD-B5D6-415E6407926F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('House reinf, Inlet Side'!$T$83,'House reinf, Inlet Side'!$T$85)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('House reinf, Inlet Side'!$T$84,'House reinf, Inlet Side'!$T$86)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17-2C11-4FF4-A908-B0A5C2747988}"/>
            </c:ext>
          </c:extLst>
        </c:ser>
        <c:ser>
          <c:idx val="36"/>
          <c:order val="24"/>
          <c:tx>
            <c:strRef>
              <c:f>'House reinf, Inlet Side'!$U$79</c:f>
              <c:strCache>
                <c:ptCount val="1"/>
                <c:pt idx="0">
                  <c:v>#REF!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dLbls>
            <c:dLbl>
              <c:idx val="1"/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13-9FAC-4FDD-B5D6-415E6407926F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('House reinf, Inlet Side'!$U$83,'House reinf, Inlet Side'!$U$85)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('House reinf, Inlet Side'!$U$84,'House reinf, Inlet Side'!$U$86)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18-2C11-4FF4-A908-B0A5C2747988}"/>
            </c:ext>
          </c:extLst>
        </c:ser>
        <c:ser>
          <c:idx val="37"/>
          <c:order val="25"/>
          <c:tx>
            <c:strRef>
              <c:f>'House reinf, Inlet Side'!$V$79</c:f>
              <c:strCache>
                <c:ptCount val="1"/>
                <c:pt idx="0">
                  <c:v>#REF!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dLbls>
            <c:dLbl>
              <c:idx val="1"/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14-9FAC-4FDD-B5D6-415E6407926F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('House reinf, Inlet Side'!$V$83,'House reinf, Inlet Side'!$V$85)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('House reinf, Inlet Side'!$V$84,'House reinf, Inlet Side'!$V$86)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19-2C11-4FF4-A908-B0A5C2747988}"/>
            </c:ext>
          </c:extLst>
        </c:ser>
        <c:ser>
          <c:idx val="38"/>
          <c:order val="26"/>
          <c:tx>
            <c:strRef>
              <c:f>'House reinf, Inlet Side'!$W$79</c:f>
              <c:strCache>
                <c:ptCount val="1"/>
                <c:pt idx="0">
                  <c:v>#REF!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dLbls>
            <c:dLbl>
              <c:idx val="1"/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15-9FAC-4FDD-B5D6-415E6407926F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('House reinf, Inlet Side'!$W$83,'House reinf, Inlet Side'!$W$85)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('House reinf, Inlet Side'!$W$84,'House reinf, Inlet Side'!$W$86)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1A-2C11-4FF4-A908-B0A5C2747988}"/>
            </c:ext>
          </c:extLst>
        </c:ser>
        <c:ser>
          <c:idx val="39"/>
          <c:order val="27"/>
          <c:tx>
            <c:strRef>
              <c:f>'House reinf, Inlet Side'!$X$79</c:f>
              <c:strCache>
                <c:ptCount val="1"/>
                <c:pt idx="0">
                  <c:v>#REF!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dLbls>
            <c:dLbl>
              <c:idx val="1"/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16-9FAC-4FDD-B5D6-415E6407926F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('House reinf, Inlet Side'!$X$83,'House reinf, Inlet Side'!$X$85)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('House reinf, Inlet Side'!$X$84,'House reinf, Inlet Side'!$X$86)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1B-2C11-4FF4-A908-B0A5C2747988}"/>
            </c:ext>
          </c:extLst>
        </c:ser>
        <c:ser>
          <c:idx val="40"/>
          <c:order val="28"/>
          <c:tx>
            <c:strRef>
              <c:f>'House reinf, Inlet Side'!$Y$79</c:f>
              <c:strCache>
                <c:ptCount val="1"/>
                <c:pt idx="0">
                  <c:v>#REF!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dLbls>
            <c:dLbl>
              <c:idx val="1"/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17-9FAC-4FDD-B5D6-415E6407926F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('House reinf, Inlet Side'!$Y$83,'House reinf, Inlet Side'!$Y$85)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('House reinf, Inlet Side'!$Y$84,'House reinf, Inlet Side'!$Y$86)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1C-2C11-4FF4-A908-B0A5C2747988}"/>
            </c:ext>
          </c:extLst>
        </c:ser>
        <c:ser>
          <c:idx val="41"/>
          <c:order val="29"/>
          <c:tx>
            <c:strRef>
              <c:f>'House reinf, Inlet Side'!$Z$79</c:f>
              <c:strCache>
                <c:ptCount val="1"/>
                <c:pt idx="0">
                  <c:v>#REF!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dLbls>
            <c:dLbl>
              <c:idx val="1"/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18-9FAC-4FDD-B5D6-415E6407926F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('House reinf, Inlet Side'!$Z$83,'House reinf, Inlet Side'!$Z$85)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('House reinf, Inlet Side'!$Z$84,'House reinf, Inlet Side'!$Z$86)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1D-2C11-4FF4-A908-B0A5C2747988}"/>
            </c:ext>
          </c:extLst>
        </c:ser>
        <c:ser>
          <c:idx val="42"/>
          <c:order val="30"/>
          <c:tx>
            <c:strRef>
              <c:f>'House reinf, Inlet Side'!$AA$79</c:f>
              <c:strCache>
                <c:ptCount val="1"/>
                <c:pt idx="0">
                  <c:v>#REF!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dLbls>
            <c:dLbl>
              <c:idx val="1"/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19-9FAC-4FDD-B5D6-415E6407926F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('House reinf, Inlet Side'!$AA$83,'House reinf, Inlet Side'!$AA$85)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('House reinf, Inlet Side'!$AA$84,'House reinf, Inlet Side'!$AA$86)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1E-2C11-4FF4-A908-B0A5C2747988}"/>
            </c:ext>
          </c:extLst>
        </c:ser>
        <c:ser>
          <c:idx val="43"/>
          <c:order val="31"/>
          <c:tx>
            <c:strRef>
              <c:f>'House reinf, Inlet Side'!$AB$79</c:f>
              <c:strCache>
                <c:ptCount val="1"/>
                <c:pt idx="0">
                  <c:v>#REF!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dPt>
            <c:idx val="1"/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20-2C11-4FF4-A908-B0A5C2747988}"/>
              </c:ext>
            </c:extLst>
          </c:dPt>
          <c:dLbls>
            <c:dLbl>
              <c:idx val="1"/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20-2C11-4FF4-A908-B0A5C2747988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('House reinf, Inlet Side'!$AB$83,'House reinf, Inlet Side'!$AB$85)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('House reinf, Inlet Side'!$AB$84,'House reinf, Inlet Side'!$AB$86)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21-2C11-4FF4-A908-B0A5C2747988}"/>
            </c:ext>
          </c:extLst>
        </c:ser>
        <c:ser>
          <c:idx val="0"/>
          <c:order val="32"/>
          <c:tx>
            <c:strRef>
              <c:f>House!$A$61</c:f>
              <c:strCache>
                <c:ptCount val="1"/>
                <c:pt idx="0">
                  <c:v>FPHole</c:v>
                </c:pt>
              </c:strCache>
            </c:strRef>
          </c:tx>
          <c:spPr>
            <a:ln w="6350">
              <a:solidFill>
                <a:srgbClr val="FF0000"/>
              </a:solidFill>
              <a:prstDash val="lgDash"/>
            </a:ln>
          </c:spPr>
          <c:marker>
            <c:symbol val="none"/>
          </c:marker>
          <c:dLbls>
            <c:dLbl>
              <c:idx val="2"/>
              <c:layout>
                <c:manualLayout>
                  <c:x val="6.9222906917319721E-2"/>
                  <c:y val="-0.14863913266530257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 sz="600"/>
                  </a:pPr>
                  <a:endParaRPr lang="zh-CN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9-8AEB-4F31-85FF-C2FA8F608A3C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6350">
                      <a:prstDash val="dash"/>
                    </a:ln>
                  </c:spPr>
                </c15:leaderLines>
              </c:ext>
            </c:extLst>
          </c:dLbls>
          <c:xVal>
            <c:numRef>
              <c:f>House!$B$61:$AJ$61</c:f>
              <c:numCache>
                <c:formatCode>0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xVal>
          <c:yVal>
            <c:numRef>
              <c:f>House!$B$62:$AJ$62</c:f>
              <c:numCache>
                <c:formatCode>0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22-2C11-4FF4-A908-B0A5C2747988}"/>
            </c:ext>
          </c:extLst>
        </c:ser>
        <c:ser>
          <c:idx val="2"/>
          <c:order val="33"/>
          <c:tx>
            <c:strRef>
              <c:f>'House reinf, Inlet Side'!$B$60</c:f>
              <c:strCache>
                <c:ptCount val="1"/>
                <c:pt idx="0">
                  <c:v>#REF!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('House reinf, Inlet Side'!$B$63,'House reinf, Inlet Side'!$B$65)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('House reinf, Inlet Side'!$B$64,'House reinf, Inlet Side'!$B$66)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25-2C11-4FF4-A908-B0A5C2747988}"/>
            </c:ext>
          </c:extLst>
        </c:ser>
        <c:ser>
          <c:idx val="3"/>
          <c:order val="34"/>
          <c:tx>
            <c:strRef>
              <c:f>'House reinf, Inlet Side'!$C$60</c:f>
              <c:strCache>
                <c:ptCount val="1"/>
                <c:pt idx="0">
                  <c:v>#REF!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('House reinf, Inlet Side'!$C$63,'House reinf, Inlet Side'!$C$65)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('House reinf, Inlet Side'!$C$64,'House reinf, Inlet Side'!$C$66)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26-2C11-4FF4-A908-B0A5C2747988}"/>
            </c:ext>
          </c:extLst>
        </c:ser>
        <c:ser>
          <c:idx val="5"/>
          <c:order val="35"/>
          <c:tx>
            <c:strRef>
              <c:f>'House reinf, Inlet Side'!$D$60</c:f>
              <c:strCache>
                <c:ptCount val="1"/>
                <c:pt idx="0">
                  <c:v>#REF!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('House reinf, Inlet Side'!$D$63,'House reinf, Inlet Side'!$D$65)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('House reinf, Inlet Side'!$D$64,'House reinf, Inlet Side'!$D$66)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27-2C11-4FF4-A908-B0A5C2747988}"/>
            </c:ext>
          </c:extLst>
        </c:ser>
        <c:ser>
          <c:idx val="9"/>
          <c:order val="36"/>
          <c:tx>
            <c:strRef>
              <c:f>'House reinf, Inlet Side'!$E$60</c:f>
              <c:strCache>
                <c:ptCount val="1"/>
                <c:pt idx="0">
                  <c:v>#REF!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('House reinf, Inlet Side'!$E$63,'House reinf, Inlet Side'!$E$65)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('House reinf, Inlet Side'!$E$64,'House reinf, Inlet Side'!$E$66)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28-2C11-4FF4-A908-B0A5C2747988}"/>
            </c:ext>
          </c:extLst>
        </c:ser>
        <c:ser>
          <c:idx val="80"/>
          <c:order val="37"/>
          <c:tx>
            <c:strRef>
              <c:f>House!$Z$55</c:f>
              <c:strCache>
                <c:ptCount val="1"/>
                <c:pt idx="0">
                  <c:v>Rreinf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(House!$B$57,House!$Z$57)</c:f>
              <c:numCache>
                <c:formatCode>0</c:formatCode>
                <c:ptCount val="2"/>
                <c:pt idx="0">
                  <c:v>-982</c:v>
                </c:pt>
                <c:pt idx="1">
                  <c:v>-1779.5</c:v>
                </c:pt>
              </c:numCache>
            </c:numRef>
          </c:xVal>
          <c:yVal>
            <c:numRef>
              <c:f>(House!$B$58,House!$Z$58)</c:f>
              <c:numCache>
                <c:formatCode>0</c:formatCode>
                <c:ptCount val="2"/>
                <c:pt idx="0">
                  <c:v>911.6</c:v>
                </c:pt>
                <c:pt idx="1">
                  <c:v>1709.1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6BA1-412B-B9AF-8B61BDEFA8EB}"/>
            </c:ext>
          </c:extLst>
        </c:ser>
        <c:ser>
          <c:idx val="83"/>
          <c:order val="38"/>
          <c:tx>
            <c:strRef>
              <c:f>House!$A$69</c:f>
              <c:strCache>
                <c:ptCount val="1"/>
                <c:pt idx="0">
                  <c:v>Insulation Inlet View</c:v>
                </c:pt>
              </c:strCache>
            </c:strRef>
          </c:tx>
          <c:spPr>
            <a:ln w="6350">
              <a:solidFill>
                <a:schemeClr val="tx1"/>
              </a:solidFill>
              <a:prstDash val="sysDash"/>
            </a:ln>
          </c:spPr>
          <c:marker>
            <c:symbol val="none"/>
          </c:marker>
          <c:xVal>
            <c:numRef>
              <c:f>House!$C$69:$Y$69</c:f>
              <c:numCache>
                <c:formatCode>0</c:formatCode>
                <c:ptCount val="23"/>
                <c:pt idx="0">
                  <c:v>-1073.5999999999999</c:v>
                </c:pt>
                <c:pt idx="1">
                  <c:v>-982</c:v>
                </c:pt>
                <c:pt idx="2">
                  <c:v>-876.2</c:v>
                </c:pt>
                <c:pt idx="3">
                  <c:v>-706.8</c:v>
                </c:pt>
                <c:pt idx="4">
                  <c:v>-482.5</c:v>
                </c:pt>
                <c:pt idx="5">
                  <c:v>-216.3</c:v>
                </c:pt>
                <c:pt idx="6">
                  <c:v>75.7</c:v>
                </c:pt>
                <c:pt idx="7">
                  <c:v>374.6</c:v>
                </c:pt>
                <c:pt idx="8">
                  <c:v>660.6</c:v>
                </c:pt>
                <c:pt idx="9">
                  <c:v>913.7</c:v>
                </c:pt>
                <c:pt idx="10">
                  <c:v>1115.5</c:v>
                </c:pt>
                <c:pt idx="11">
                  <c:v>1250.2</c:v>
                </c:pt>
                <c:pt idx="12">
                  <c:v>1305.9000000000001</c:v>
                </c:pt>
                <c:pt idx="13">
                  <c:v>1275.5</c:v>
                </c:pt>
                <c:pt idx="14">
                  <c:v>1157.5</c:v>
                </c:pt>
                <c:pt idx="15">
                  <c:v>956.2</c:v>
                </c:pt>
                <c:pt idx="16">
                  <c:v>681.9</c:v>
                </c:pt>
                <c:pt idx="17">
                  <c:v>350</c:v>
                </c:pt>
                <c:pt idx="18">
                  <c:v>-19.3</c:v>
                </c:pt>
                <c:pt idx="19">
                  <c:v>-402.7</c:v>
                </c:pt>
                <c:pt idx="20">
                  <c:v>-774.8</c:v>
                </c:pt>
                <c:pt idx="21">
                  <c:v>-1109.8</c:v>
                </c:pt>
                <c:pt idx="22">
                  <c:v>-1871.1</c:v>
                </c:pt>
              </c:numCache>
            </c:numRef>
          </c:xVal>
          <c:yVal>
            <c:numRef>
              <c:f>House!$C$70:$Y$70</c:f>
              <c:numCache>
                <c:formatCode>0</c:formatCode>
                <c:ptCount val="23"/>
                <c:pt idx="0">
                  <c:v>820</c:v>
                </c:pt>
                <c:pt idx="1">
                  <c:v>911.6</c:v>
                </c:pt>
                <c:pt idx="2">
                  <c:v>661.1</c:v>
                </c:pt>
                <c:pt idx="3">
                  <c:v>441.4</c:v>
                </c:pt>
                <c:pt idx="4">
                  <c:v>268.60000000000002</c:v>
                </c:pt>
                <c:pt idx="5">
                  <c:v>156.29999999999995</c:v>
                </c:pt>
                <c:pt idx="6">
                  <c:v>114.70000000000005</c:v>
                </c:pt>
                <c:pt idx="7">
                  <c:v>149.5</c:v>
                </c:pt>
                <c:pt idx="8">
                  <c:v>261.5</c:v>
                </c:pt>
                <c:pt idx="9">
                  <c:v>446.29999999999995</c:v>
                </c:pt>
                <c:pt idx="10">
                  <c:v>694.5</c:v>
                </c:pt>
                <c:pt idx="11">
                  <c:v>991.8</c:v>
                </c:pt>
                <c:pt idx="12">
                  <c:v>1320.3</c:v>
                </c:pt>
                <c:pt idx="13">
                  <c:v>1659</c:v>
                </c:pt>
                <c:pt idx="14">
                  <c:v>1985.3</c:v>
                </c:pt>
                <c:pt idx="15">
                  <c:v>2276.6</c:v>
                </c:pt>
                <c:pt idx="16">
                  <c:v>2511.9</c:v>
                </c:pt>
                <c:pt idx="17">
                  <c:v>2672.8</c:v>
                </c:pt>
                <c:pt idx="18">
                  <c:v>2745.4</c:v>
                </c:pt>
                <c:pt idx="19">
                  <c:v>2721.1</c:v>
                </c:pt>
                <c:pt idx="20">
                  <c:v>2597.5</c:v>
                </c:pt>
                <c:pt idx="21">
                  <c:v>2378.8000000000002</c:v>
                </c:pt>
                <c:pt idx="22">
                  <c:v>1617.5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C566-48B0-AA9D-BC150021C17F}"/>
            </c:ext>
          </c:extLst>
        </c:ser>
        <c:ser>
          <c:idx val="62"/>
          <c:order val="39"/>
          <c:tx>
            <c:strRef>
              <c:f>'Frame Dimensions'!$B$101</c:f>
              <c:strCache>
                <c:ptCount val="1"/>
                <c:pt idx="0">
                  <c:v>#REF!</c:v>
                </c:pt>
              </c:strCache>
            </c:strRef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Pt>
            <c:idx val="1"/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6-8AEB-4F31-85FF-C2FA8F608A3C}"/>
              </c:ext>
            </c:extLst>
          </c:dPt>
          <c:dLbls>
            <c:dLbl>
              <c:idx val="1"/>
              <c:layout>
                <c:manualLayout>
                  <c:x val="-0.1546302981472181"/>
                  <c:y val="9.9555176496825791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 sz="600"/>
                  </a:pPr>
                  <a:endParaRPr lang="zh-CN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6-8AEB-4F31-85FF-C2FA8F608A3C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6350">
                      <a:prstDash val="dash"/>
                    </a:ln>
                  </c:spPr>
                </c15:leaderLines>
              </c:ext>
            </c:extLst>
          </c:dLbls>
          <c:xVal>
            <c:numRef>
              <c:f>('Frame Dimensions'!$L$101,'Frame Dimensions'!$O$101)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('Frame Dimensions'!$K$101,'Frame Dimensions'!$N$101)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5-8AEB-4F31-85FF-C2FA8F608A3C}"/>
            </c:ext>
          </c:extLst>
        </c:ser>
        <c:ser>
          <c:idx val="81"/>
          <c:order val="40"/>
          <c:tx>
            <c:strRef>
              <c:f>'Frame Dimensions'!$B$100</c:f>
              <c:strCache>
                <c:ptCount val="1"/>
                <c:pt idx="0">
                  <c:v>#REF!</c:v>
                </c:pt>
              </c:strCache>
            </c:strRef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Pt>
            <c:idx val="1"/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3-EA5F-4452-8064-9C1F9FB0C597}"/>
              </c:ext>
            </c:extLst>
          </c:dPt>
          <c:dLbls>
            <c:dLbl>
              <c:idx val="1"/>
              <c:layout>
                <c:manualLayout>
                  <c:x val="7.4760739470705301E-2"/>
                  <c:y val="4.9546377555099025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 sz="600"/>
                  </a:pPr>
                  <a:endParaRPr lang="zh-CN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3-EA5F-4452-8064-9C1F9FB0C597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6350">
                      <a:solidFill>
                        <a:schemeClr val="tx1"/>
                      </a:solidFill>
                      <a:prstDash val="dash"/>
                    </a:ln>
                  </c:spPr>
                </c15:leaderLines>
              </c:ext>
            </c:extLst>
          </c:dLbls>
          <c:xVal>
            <c:numRef>
              <c:f>('Frame Dimensions'!$L$100,'Frame Dimensions'!$O$100)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('Frame Dimensions'!$K$100,'Frame Dimensions'!$N$100)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F76E-444E-8762-AB9C0338352E}"/>
            </c:ext>
          </c:extLst>
        </c:ser>
        <c:ser>
          <c:idx val="63"/>
          <c:order val="41"/>
          <c:tx>
            <c:strRef>
              <c:f>'Frame Dimensions'!$B$120</c:f>
              <c:strCache>
                <c:ptCount val="1"/>
                <c:pt idx="0">
                  <c:v>SFBase_L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('Frame Dimensions'!$L$120,'Frame Dimensions'!$O$120)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('Frame Dimensions'!$K$120,'Frame Dimensions'!$N$120)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5-5ACD-426B-8C39-5497C125F4F0}"/>
            </c:ext>
          </c:extLst>
        </c:ser>
        <c:ser>
          <c:idx val="82"/>
          <c:order val="42"/>
          <c:tx>
            <c:strRef>
              <c:f>'Frame Dimensions'!$B$121</c:f>
              <c:strCache>
                <c:ptCount val="1"/>
                <c:pt idx="0">
                  <c:v>sfbase_L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('Frame Dimensions'!$L$121,'Frame Dimensions'!$O$121)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('Frame Dimensions'!$K$121,'Frame Dimensions'!$N$121)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6-5ACD-426B-8C39-5497C125F4F0}"/>
            </c:ext>
          </c:extLst>
        </c:ser>
        <c:ser>
          <c:idx val="84"/>
          <c:order val="43"/>
          <c:tx>
            <c:strRef>
              <c:f>'Frame Dimensions'!$B$124</c:f>
              <c:strCache>
                <c:ptCount val="1"/>
                <c:pt idx="0">
                  <c:v>SFBase_R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('Frame Dimensions'!$L$124,'Frame Dimensions'!$O$124)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('Frame Dimensions'!$K$124,'Frame Dimensions'!$N$124)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7-5ACD-426B-8C39-5497C125F4F0}"/>
            </c:ext>
          </c:extLst>
        </c:ser>
        <c:ser>
          <c:idx val="88"/>
          <c:order val="44"/>
          <c:tx>
            <c:strRef>
              <c:f>'Frame Dimensions'!$B$125</c:f>
              <c:strCache>
                <c:ptCount val="1"/>
                <c:pt idx="0">
                  <c:v>sfbase_R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('Frame Dimensions'!$L$125,'Frame Dimensions'!$O$125)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('Frame Dimensions'!$K$125,'Frame Dimensions'!$N$125)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8-5ACD-426B-8C39-5497C125F4F0}"/>
            </c:ext>
          </c:extLst>
        </c:ser>
        <c:ser>
          <c:idx val="89"/>
          <c:order val="45"/>
          <c:tx>
            <c:strRef>
              <c:f>'House reinf, Inlet Side'!$B$50</c:f>
              <c:strCache>
                <c:ptCount val="1"/>
                <c:pt idx="0">
                  <c:v>SPSiFVL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('House reinf, Inlet Side'!$B$53,'House reinf, Inlet Side'!$B$55)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('House reinf, Inlet Side'!$B$54,'House reinf, Inlet Side'!$B$56)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5-3FCE-42DE-985A-D8F6B84A6C74}"/>
            </c:ext>
          </c:extLst>
        </c:ser>
        <c:ser>
          <c:idx val="90"/>
          <c:order val="46"/>
          <c:tx>
            <c:strRef>
              <c:f>'House reinf, Inlet Side'!$C$50</c:f>
              <c:strCache>
                <c:ptCount val="1"/>
                <c:pt idx="0">
                  <c:v>SPSiFVR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('House reinf, Inlet Side'!$C$53,'House reinf, Inlet Side'!$C$55)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('House reinf, Inlet Side'!$C$54,'House reinf, Inlet Side'!$C$56)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6-3FCE-42DE-985A-D8F6B84A6C74}"/>
            </c:ext>
          </c:extLst>
        </c:ser>
        <c:ser>
          <c:idx val="91"/>
          <c:order val="47"/>
          <c:tx>
            <c:strRef>
              <c:f>'House reinf, Inlet Side'!$D$50</c:f>
              <c:strCache>
                <c:ptCount val="1"/>
                <c:pt idx="0">
                  <c:v>SPSiFHhi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('House reinf, Inlet Side'!$D$53,'House reinf, Inlet Side'!$D$55)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('House reinf, Inlet Side'!$D$54,'House reinf, Inlet Side'!$D$56)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7-3FCE-42DE-985A-D8F6B84A6C74}"/>
            </c:ext>
          </c:extLst>
        </c:ser>
        <c:ser>
          <c:idx val="92"/>
          <c:order val="48"/>
          <c:tx>
            <c:strRef>
              <c:f>'House reinf, Inlet Side'!$E$50</c:f>
              <c:strCache>
                <c:ptCount val="1"/>
                <c:pt idx="0">
                  <c:v>SPSiFHlo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('House reinf, Inlet Side'!$E$53,'House reinf, Inlet Side'!$E$55)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('House reinf, Inlet Side'!$E$54,'House reinf, Inlet Side'!$E$56)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8-3FCE-42DE-985A-D8F6B84A6C74}"/>
            </c:ext>
          </c:extLst>
        </c:ser>
        <c:ser>
          <c:idx val="93"/>
          <c:order val="49"/>
          <c:tx>
            <c:strRef>
              <c:f>'House reinf, Inlet Side'!$B$69</c:f>
              <c:strCache>
                <c:ptCount val="1"/>
                <c:pt idx="0">
                  <c:v>SPSeFVL_i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('House reinf, Inlet Side'!$B$72,'House reinf, Inlet Side'!$B$74)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('House reinf, Inlet Side'!$B$73,'House reinf, Inlet Side'!$B$75)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A-3FCE-42DE-985A-D8F6B84A6C74}"/>
            </c:ext>
          </c:extLst>
        </c:ser>
        <c:ser>
          <c:idx val="94"/>
          <c:order val="50"/>
          <c:tx>
            <c:strRef>
              <c:f>'House reinf, Inlet Side'!$D$69</c:f>
              <c:strCache>
                <c:ptCount val="1"/>
                <c:pt idx="0">
                  <c:v>SPSeFVR_i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('House reinf, Inlet Side'!$D$72,'House reinf, Inlet Side'!$D$74)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('House reinf, Inlet Side'!$D$73,'House reinf, Inlet Side'!$D$75)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B-3FCE-42DE-985A-D8F6B84A6C74}"/>
            </c:ext>
          </c:extLst>
        </c:ser>
        <c:ser>
          <c:idx val="17"/>
          <c:order val="51"/>
          <c:tx>
            <c:strRef>
              <c:f>'House reinf, Inlet Side'!$E$69</c:f>
              <c:strCache>
                <c:ptCount val="1"/>
                <c:pt idx="0">
                  <c:v>SPSeFVR_o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('House reinf, Inlet Side'!$E$72,'House reinf, Inlet Side'!$E$74)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('House reinf, Inlet Side'!$E$73,'House reinf, Inlet Side'!$E$75)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5-89D9-4E88-A4CC-21C66B80B043}"/>
            </c:ext>
          </c:extLst>
        </c:ser>
        <c:ser>
          <c:idx val="95"/>
          <c:order val="52"/>
          <c:tx>
            <c:strRef>
              <c:f>'House reinf, Inlet Side'!$F$69</c:f>
              <c:strCache>
                <c:ptCount val="1"/>
                <c:pt idx="0">
                  <c:v>SPSeFHhi_i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('House reinf, Inlet Side'!$F$72,'House reinf, Inlet Side'!$F$74)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('House reinf, Inlet Side'!$F$73,'House reinf, Inlet Side'!$F$75)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C-3FCE-42DE-985A-D8F6B84A6C74}"/>
            </c:ext>
          </c:extLst>
        </c:ser>
        <c:ser>
          <c:idx val="45"/>
          <c:order val="53"/>
          <c:tx>
            <c:strRef>
              <c:f>'House reinf, Inlet Side'!$G$69</c:f>
              <c:strCache>
                <c:ptCount val="1"/>
                <c:pt idx="0">
                  <c:v>SPSeFHhi_o</c:v>
                </c:pt>
              </c:strCache>
            </c:strRef>
          </c:tx>
          <c:marker>
            <c:symbol val="none"/>
          </c:marker>
          <c:xVal>
            <c:numRef>
              <c:f>('House reinf, Inlet Side'!$G$72,'House reinf, Inlet Side'!$G$74)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('House reinf, Inlet Side'!$G$73,'House reinf, Inlet Side'!$G$75)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7-89D9-4E88-A4CC-21C66B80B043}"/>
            </c:ext>
          </c:extLst>
        </c:ser>
        <c:ser>
          <c:idx val="96"/>
          <c:order val="54"/>
          <c:tx>
            <c:strRef>
              <c:f>'House reinf, Inlet Side'!$H$69</c:f>
              <c:strCache>
                <c:ptCount val="1"/>
                <c:pt idx="0">
                  <c:v>SPSeFHlo_i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('House reinf, Inlet Side'!$H$72,'House reinf, Inlet Side'!$H$74)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('House reinf, Inlet Side'!$H$73,'House reinf, Inlet Side'!$H$75)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D-3FCE-42DE-985A-D8F6B84A6C74}"/>
            </c:ext>
          </c:extLst>
        </c:ser>
        <c:ser>
          <c:idx val="44"/>
          <c:order val="55"/>
          <c:tx>
            <c:strRef>
              <c:f>'House reinf, Inlet Side'!$I$69</c:f>
              <c:strCache>
                <c:ptCount val="1"/>
                <c:pt idx="0">
                  <c:v>SPSeFHlo_o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('House reinf, Inlet Side'!$I$72,'House reinf, Inlet Side'!$I$74)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('House reinf, Inlet Side'!$I$73,'House reinf, Inlet Side'!$I$75)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6-89D9-4E88-A4CC-21C66B80B043}"/>
            </c:ext>
          </c:extLst>
        </c:ser>
        <c:ser>
          <c:idx val="97"/>
          <c:order val="56"/>
          <c:tx>
            <c:strRef>
              <c:f>'House reinf, Inlet Side'!$J$69</c:f>
              <c:strCache>
                <c:ptCount val="1"/>
                <c:pt idx="0">
                  <c:v>SPSeFOuL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('House reinf, Inlet Side'!$J$72,'House reinf, Inlet Side'!$J$74)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('House reinf, Inlet Side'!$J$73,'House reinf, Inlet Side'!$J$75)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5-7B47-4CE5-A12B-AF3607E9DCBB}"/>
            </c:ext>
          </c:extLst>
        </c:ser>
        <c:ser>
          <c:idx val="98"/>
          <c:order val="57"/>
          <c:tx>
            <c:strRef>
              <c:f>'House reinf, Inlet Side'!$K$69</c:f>
              <c:strCache>
                <c:ptCount val="1"/>
                <c:pt idx="0">
                  <c:v>SPSeFOuR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('House reinf, Inlet Side'!$K$72,'House reinf, Inlet Side'!$K$74)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('House reinf, Inlet Side'!$K$73,'House reinf, Inlet Side'!$K$75)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6-7B47-4CE5-A12B-AF3607E9DCBB}"/>
            </c:ext>
          </c:extLst>
        </c:ser>
        <c:ser>
          <c:idx val="99"/>
          <c:order val="58"/>
          <c:tx>
            <c:strRef>
              <c:f>'House reinf, Inlet Side'!$L$69</c:f>
              <c:strCache>
                <c:ptCount val="1"/>
                <c:pt idx="0">
                  <c:v>SPSeFOloR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('House reinf, Inlet Side'!$L$72,'House reinf, Inlet Side'!$L$74)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('House reinf, Inlet Side'!$L$73,'House reinf, Inlet Side'!$L$75)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7-7B47-4CE5-A12B-AF3607E9DCBB}"/>
            </c:ext>
          </c:extLst>
        </c:ser>
        <c:ser>
          <c:idx val="100"/>
          <c:order val="59"/>
          <c:tx>
            <c:strRef>
              <c:f>'House reinf, Inlet Side'!$M$69</c:f>
              <c:strCache>
                <c:ptCount val="1"/>
                <c:pt idx="0">
                  <c:v>SPSeFOloL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('House reinf, Inlet Side'!$M$72,'House reinf, Inlet Side'!$M$74)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('House reinf, Inlet Side'!$M$73,'House reinf, Inlet Side'!$M$75)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8-7B47-4CE5-A12B-AF3607E9DCBB}"/>
            </c:ext>
          </c:extLst>
        </c:ser>
        <c:ser>
          <c:idx val="101"/>
          <c:order val="60"/>
          <c:tx>
            <c:strRef>
              <c:f>'House reinf, Inlet Side'!$F$50</c:f>
              <c:strCache>
                <c:ptCount val="1"/>
                <c:pt idx="0">
                  <c:v>SPSiFOuL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('House reinf, Inlet Side'!$F$53,'House reinf, Inlet Side'!$F$55)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('House reinf, Inlet Side'!$F$54,'House reinf, Inlet Side'!$F$56)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9-7B47-4CE5-A12B-AF3607E9DCBB}"/>
            </c:ext>
          </c:extLst>
        </c:ser>
        <c:ser>
          <c:idx val="102"/>
          <c:order val="61"/>
          <c:tx>
            <c:strRef>
              <c:f>'House reinf, Inlet Side'!$G$50</c:f>
              <c:strCache>
                <c:ptCount val="1"/>
                <c:pt idx="0">
                  <c:v>SPSiFOuR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('House reinf, Inlet Side'!$G$53,'House reinf, Inlet Side'!$G$55)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('House reinf, Inlet Side'!$G$54,'House reinf, Inlet Side'!$G$56)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A-7B47-4CE5-A12B-AF3607E9DCBB}"/>
            </c:ext>
          </c:extLst>
        </c:ser>
        <c:ser>
          <c:idx val="103"/>
          <c:order val="62"/>
          <c:tx>
            <c:strRef>
              <c:f>'House reinf, Inlet Side'!$H$50</c:f>
              <c:strCache>
                <c:ptCount val="1"/>
                <c:pt idx="0">
                  <c:v>SPSiFOloR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('House reinf, Inlet Side'!$H$53,'House reinf, Inlet Side'!$H$55)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('House reinf, Inlet Side'!$H$54,'House reinf, Inlet Side'!$H$56)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B-7B47-4CE5-A12B-AF3607E9DCBB}"/>
            </c:ext>
          </c:extLst>
        </c:ser>
        <c:ser>
          <c:idx val="104"/>
          <c:order val="63"/>
          <c:tx>
            <c:strRef>
              <c:f>'House reinf, Inlet Side'!$I$50</c:f>
              <c:strCache>
                <c:ptCount val="1"/>
                <c:pt idx="0">
                  <c:v>SPSiFOloL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('House reinf, Inlet Side'!$I$53,'House reinf, Inlet Side'!$I$55)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('House reinf, Inlet Side'!$I$54,'House reinf, Inlet Side'!$I$56)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C-7B47-4CE5-A12B-AF3607E9DCBB}"/>
            </c:ext>
          </c:extLst>
        </c:ser>
        <c:ser>
          <c:idx val="1"/>
          <c:order val="64"/>
          <c:tx>
            <c:strRef>
              <c:f>'House reinf, Inlet Side'!$A$92</c:f>
              <c:strCache>
                <c:ptCount val="1"/>
                <c:pt idx="0">
                  <c:v>#REF!</c:v>
                </c:pt>
              </c:strCache>
            </c:strRef>
          </c:tx>
          <c:spPr>
            <a:ln w="12700"/>
          </c:spPr>
          <c:marker>
            <c:symbol val="none"/>
          </c:marker>
          <c:xVal>
            <c:numRef>
              <c:f>'House reinf, Inlet Side'!$B$92:$AJ$92</c:f>
              <c:numCache>
                <c:formatCode>0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xVal>
          <c:yVal>
            <c:numRef>
              <c:f>'House reinf, Inlet Side'!$B$93:$AJ$93</c:f>
              <c:numCache>
                <c:formatCode>0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5-C50E-4DF3-B646-9E998A03365D}"/>
            </c:ext>
          </c:extLst>
        </c:ser>
        <c:ser>
          <c:idx val="10"/>
          <c:order val="65"/>
          <c:tx>
            <c:strRef>
              <c:f>'House reinf, Inlet Side'!$A$94</c:f>
              <c:strCache>
                <c:ptCount val="1"/>
                <c:pt idx="0">
                  <c:v>#REF!</c:v>
                </c:pt>
              </c:strCache>
            </c:strRef>
          </c:tx>
          <c:spPr>
            <a:ln w="1270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'House reinf, Inlet Side'!$B$94:$AJ$94</c:f>
              <c:numCache>
                <c:formatCode>0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xVal>
          <c:yVal>
            <c:numRef>
              <c:f>'House reinf, Inlet Side'!$B$95:$AJ$95</c:f>
              <c:numCache>
                <c:formatCode>0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6-C50E-4DF3-B646-9E998A03365D}"/>
            </c:ext>
          </c:extLst>
        </c:ser>
        <c:ser>
          <c:idx val="11"/>
          <c:order val="66"/>
          <c:tx>
            <c:strRef>
              <c:f>'House reinf, Inlet Side'!$B$41</c:f>
              <c:strCache>
                <c:ptCount val="1"/>
                <c:pt idx="0">
                  <c:v>CFV L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('House reinf, Inlet Side'!$B$44,'House reinf, Inlet Side'!$B$46)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('House reinf, Inlet Side'!$B$45,'House reinf, Inlet Side'!$B$47)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8-C50E-4DF3-B646-9E998A03365D}"/>
            </c:ext>
          </c:extLst>
        </c:ser>
        <c:ser>
          <c:idx val="12"/>
          <c:order val="67"/>
          <c:tx>
            <c:strRef>
              <c:f>'House reinf, Inlet Side'!$C$41</c:f>
              <c:strCache>
                <c:ptCount val="1"/>
                <c:pt idx="0">
                  <c:v>CFV R</c:v>
                </c:pt>
              </c:strCache>
            </c:strRef>
          </c:tx>
          <c:spPr>
            <a:ln w="12700"/>
          </c:spPr>
          <c:marker>
            <c:symbol val="none"/>
          </c:marker>
          <c:dPt>
            <c:idx val="1"/>
            <c:bubble3D val="0"/>
            <c:spPr>
              <a:ln w="12700">
                <a:solidFill>
                  <a:srgbClr val="FF0000"/>
                </a:solidFill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C-C50E-4DF3-B646-9E998A03365D}"/>
              </c:ext>
            </c:extLst>
          </c:dPt>
          <c:xVal>
            <c:numRef>
              <c:f>('House reinf, Inlet Side'!$C$44,'House reinf, Inlet Side'!$C$46)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('House reinf, Inlet Side'!$C$45,'House reinf, Inlet Side'!$C$47)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9-C50E-4DF3-B646-9E998A03365D}"/>
            </c:ext>
          </c:extLst>
        </c:ser>
        <c:ser>
          <c:idx val="13"/>
          <c:order val="68"/>
          <c:tx>
            <c:strRef>
              <c:f>'House reinf, Inlet Side'!$D$41</c:f>
              <c:strCache>
                <c:ptCount val="1"/>
                <c:pt idx="0">
                  <c:v>CFH Hi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('House reinf, Inlet Side'!$D$44,'House reinf, Inlet Side'!$D$46)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('House reinf, Inlet Side'!$D$45,'House reinf, Inlet Side'!$D$47)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A-C50E-4DF3-B646-9E998A03365D}"/>
            </c:ext>
          </c:extLst>
        </c:ser>
        <c:ser>
          <c:idx val="16"/>
          <c:order val="69"/>
          <c:tx>
            <c:strRef>
              <c:f>'House reinf, Inlet Side'!$E$41</c:f>
              <c:strCache>
                <c:ptCount val="1"/>
                <c:pt idx="0">
                  <c:v>CFV Lo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('House reinf, Inlet Side'!$E$44,'House reinf, Inlet Side'!$E$46)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('House reinf, Inlet Side'!$E$45,'House reinf, Inlet Side'!$E$47)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B-C50E-4DF3-B646-9E998A03365D}"/>
            </c:ext>
          </c:extLst>
        </c:ser>
        <c:ser>
          <c:idx val="46"/>
          <c:order val="70"/>
          <c:tx>
            <c:strRef>
              <c:f>'House reinf, Inlet Side'!$C$69</c:f>
              <c:strCache>
                <c:ptCount val="1"/>
                <c:pt idx="0">
                  <c:v>SPSeFVL_o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('House reinf, Inlet Side'!$C$72,'House reinf, Inlet Side'!$C$74)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('House reinf, Inlet Side'!$C$73,'House reinf, Inlet Side'!$C$75)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8-89D9-4E88-A4CC-21C66B80B0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9139704"/>
        <c:axId val="530182664"/>
      </c:scatterChart>
      <c:valAx>
        <c:axId val="5291397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Z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30182664"/>
        <c:crosses val="autoZero"/>
        <c:crossBetween val="midCat"/>
        <c:majorUnit val="1000"/>
      </c:valAx>
      <c:valAx>
        <c:axId val="53018266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0" sourceLinked="1"/>
        <c:majorTickMark val="out"/>
        <c:minorTickMark val="none"/>
        <c:tickLblPos val="nextTo"/>
        <c:spPr>
          <a:ln>
            <a:solidFill>
              <a:schemeClr val="tx1">
                <a:tint val="75000"/>
                <a:shade val="95000"/>
                <a:satMod val="105000"/>
              </a:schemeClr>
            </a:solidFill>
            <a:prstDash val="dash"/>
          </a:ln>
        </c:spPr>
        <c:crossAx val="529139704"/>
        <c:crosses val="autoZero"/>
        <c:crossBetween val="midCat"/>
        <c:majorUnit val="1000"/>
      </c:valAx>
      <c:spPr>
        <a:noFill/>
        <a:ln w="25400">
          <a:noFill/>
        </a:ln>
      </c:spPr>
    </c:plotArea>
    <c:plotVisOnly val="1"/>
    <c:dispBlanksAs val="gap"/>
    <c:showDLblsOverMax val="0"/>
  </c:chart>
  <c:spPr>
    <a:ln w="12700"/>
  </c:spPr>
  <c:printSettings>
    <c:headerFooter/>
    <c:pageMargins b="0.75000000000000855" l="0.70000000000000062" r="0.70000000000000062" t="0.75000000000000855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Drawings!$P$4</c:f>
          <c:strCache>
            <c:ptCount val="1"/>
            <c:pt idx="0">
              <c:v>XOE 273-90, RD135 Drive View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zh-CN"/>
        </a:p>
      </c:txPr>
    </c:title>
    <c:autoTitleDeleted val="0"/>
    <c:plotArea>
      <c:layout>
        <c:manualLayout>
          <c:layoutTarget val="inner"/>
          <c:xMode val="edge"/>
          <c:yMode val="edge"/>
          <c:x val="5.0157820931244081E-2"/>
          <c:y val="0.11868815818357474"/>
          <c:w val="0.8471926509186356"/>
          <c:h val="0.74119241354596732"/>
        </c:manualLayout>
      </c:layout>
      <c:scatterChart>
        <c:scatterStyle val="smoothMarker"/>
        <c:varyColors val="0"/>
        <c:ser>
          <c:idx val="8"/>
          <c:order val="0"/>
          <c:tx>
            <c:strRef>
              <c:f>'Frame Dimensions'!$Z$23</c:f>
              <c:strCache>
                <c:ptCount val="1"/>
                <c:pt idx="0">
                  <c:v>caly</c:v>
                </c:pt>
              </c:strCache>
            </c:strRef>
          </c:tx>
          <c:spPr>
            <a:ln w="12700"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('Frame Dimensions'!$Z$25,'Frame Dimensions'!$Z$25)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('Frame Dimensions'!$Z$24,'Frame Dimensions'!$Z$25)</c:f>
              <c:numCache>
                <c:formatCode>General</c:formatCode>
                <c:ptCount val="2"/>
                <c:pt idx="0" formatCode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A-3A2A-464E-8F1D-A45CAF18E3BD}"/>
            </c:ext>
          </c:extLst>
        </c:ser>
        <c:ser>
          <c:idx val="7"/>
          <c:order val="1"/>
          <c:tx>
            <c:strRef>
              <c:f>'Frame Dimensions'!$AA$23</c:f>
              <c:strCache>
                <c:ptCount val="1"/>
                <c:pt idx="0">
                  <c:v>calz</c:v>
                </c:pt>
              </c:strCache>
            </c:strRef>
          </c:tx>
          <c:spPr>
            <a:ln w="12700"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('Frame Dimensions'!$AA$24,'Frame Dimensions'!$AA$25)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('Frame Dimensions'!$Z$25,'Frame Dimensions'!$Z$25)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9-3A2A-464E-8F1D-A45CAF18E3BD}"/>
            </c:ext>
          </c:extLst>
        </c:ser>
        <c:ser>
          <c:idx val="1"/>
          <c:order val="2"/>
          <c:tx>
            <c:strRef>
              <c:f>'Frame Dimensions'!$B$90</c:f>
              <c:strCache>
                <c:ptCount val="1"/>
                <c:pt idx="0">
                  <c:v>VHF_L</c:v>
                </c:pt>
              </c:strCache>
            </c:strRef>
          </c:tx>
          <c:spPr>
            <a:ln w="1270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1"/>
              <c:layout>
                <c:manualLayout>
                  <c:x val="-0.14624575720743901"/>
                  <c:y val="-7.9376650533551044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 sz="600"/>
                  </a:pPr>
                  <a:endParaRPr lang="zh-CN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4-DCB0-4AA6-B9FF-8956E880E6FC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6350">
                      <a:prstDash val="dash"/>
                    </a:ln>
                  </c:spPr>
                </c15:leaderLines>
              </c:ext>
            </c:extLst>
          </c:dLbls>
          <c:xVal>
            <c:numRef>
              <c:f>('Frame Dimensions'!$O$91,'Frame Dimensions'!$O$90)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('Frame Dimensions'!$N$91,'Frame Dimensions'!$N$90)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3A2A-464E-8F1D-A45CAF18E3BD}"/>
            </c:ext>
          </c:extLst>
        </c:ser>
        <c:ser>
          <c:idx val="0"/>
          <c:order val="3"/>
          <c:tx>
            <c:strRef>
              <c:f>'Frame Dimensions'!$B$93</c:f>
              <c:strCache>
                <c:ptCount val="1"/>
                <c:pt idx="0">
                  <c:v>VHF_R</c:v>
                </c:pt>
              </c:strCache>
            </c:strRef>
          </c:tx>
          <c:spPr>
            <a:ln w="1270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1"/>
              <c:layout>
                <c:manualLayout>
                  <c:x val="4.1266493600119226E-2"/>
                  <c:y val="-6.9257931260139877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 sz="600"/>
                  </a:pPr>
                  <a:endParaRPr lang="zh-CN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2-DCB0-4AA6-B9FF-8956E880E6FC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6350">
                      <a:prstDash val="dash"/>
                    </a:ln>
                  </c:spPr>
                </c15:leaderLines>
              </c:ext>
            </c:extLst>
          </c:dLbls>
          <c:xVal>
            <c:numRef>
              <c:f>('Frame Dimensions'!$O$94,'Frame Dimensions'!$O$93)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('Frame Dimensions'!$N$94,'Frame Dimensions'!$N$93)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3A2A-464E-8F1D-A45CAF18E3BD}"/>
            </c:ext>
          </c:extLst>
        </c:ser>
        <c:ser>
          <c:idx val="2"/>
          <c:order val="4"/>
          <c:tx>
            <c:strRef>
              <c:f>'Frame Dimensions'!$B$115</c:f>
              <c:strCache>
                <c:ptCount val="1"/>
                <c:pt idx="0">
                  <c:v>SFX</c:v>
                </c:pt>
              </c:strCache>
            </c:strRef>
          </c:tx>
          <c:spPr>
            <a:ln w="6350">
              <a:solidFill>
                <a:schemeClr val="tx1"/>
              </a:solidFill>
              <a:prstDash val="solid"/>
            </a:ln>
          </c:spPr>
          <c:marker>
            <c:symbol val="none"/>
          </c:marker>
          <c:dLbls>
            <c:dLbl>
              <c:idx val="1"/>
              <c:layout>
                <c:manualLayout>
                  <c:x val="6.6004470893392606E-2"/>
                  <c:y val="-3.4762384050439479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 sz="600"/>
                  </a:pPr>
                  <a:endParaRPr lang="zh-CN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3-17E4-4C6C-B4DA-53F2E140A4C6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6350">
                      <a:prstDash val="dash"/>
                    </a:ln>
                  </c:spPr>
                </c15:leaderLines>
              </c:ext>
            </c:extLst>
          </c:dLbls>
          <c:xVal>
            <c:numRef>
              <c:f>('Frame Dimensions'!$L$115,'Frame Dimensions'!$O$115)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('Frame Dimensions'!$K$115,'Frame Dimensions'!$N$115)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3A2A-464E-8F1D-A45CAF18E3BD}"/>
            </c:ext>
          </c:extLst>
        </c:ser>
        <c:ser>
          <c:idx val="5"/>
          <c:order val="5"/>
          <c:tx>
            <c:v>SFXL</c:v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('Frame Dimensions'!$L$116,'Frame Dimensions'!$L$115)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('Frame Dimensions'!$K$116,'Frame Dimensions'!$K$115)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3A2A-464E-8F1D-A45CAF18E3BD}"/>
            </c:ext>
          </c:extLst>
        </c:ser>
        <c:ser>
          <c:idx val="9"/>
          <c:order val="6"/>
          <c:tx>
            <c:v>SFXR</c:v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('Frame Dimensions'!$O$116,'Frame Dimensions'!$O$115)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('Frame Dimensions'!$N$116,'Frame Dimensions'!$N$115)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4-3A2A-464E-8F1D-A45CAF18E3BD}"/>
            </c:ext>
          </c:extLst>
        </c:ser>
        <c:ser>
          <c:idx val="4"/>
          <c:order val="7"/>
          <c:tx>
            <c:strRef>
              <c:f>House!$A$53</c:f>
              <c:strCache>
                <c:ptCount val="1"/>
                <c:pt idx="0">
                  <c:v>COMPLETE HOUSE outside RD, 135, 1269</c:v>
                </c:pt>
              </c:strCache>
            </c:strRef>
          </c:tx>
          <c:spPr>
            <a:ln w="1270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House!$C$56:$Y$56</c:f>
              <c:numCache>
                <c:formatCode>0</c:formatCode>
                <c:ptCount val="23"/>
                <c:pt idx="0">
                  <c:v>1073.5999999999999</c:v>
                </c:pt>
                <c:pt idx="1">
                  <c:v>982</c:v>
                </c:pt>
                <c:pt idx="2">
                  <c:v>876.2</c:v>
                </c:pt>
                <c:pt idx="3">
                  <c:v>706.8</c:v>
                </c:pt>
                <c:pt idx="4">
                  <c:v>482.5</c:v>
                </c:pt>
                <c:pt idx="5">
                  <c:v>216.3</c:v>
                </c:pt>
                <c:pt idx="6">
                  <c:v>-75.7</c:v>
                </c:pt>
                <c:pt idx="7">
                  <c:v>-374.6</c:v>
                </c:pt>
                <c:pt idx="8">
                  <c:v>-660.6</c:v>
                </c:pt>
                <c:pt idx="9">
                  <c:v>-913.7</c:v>
                </c:pt>
                <c:pt idx="10">
                  <c:v>-1115.5</c:v>
                </c:pt>
                <c:pt idx="11">
                  <c:v>-1250.2</c:v>
                </c:pt>
                <c:pt idx="12">
                  <c:v>-1305.9000000000001</c:v>
                </c:pt>
                <c:pt idx="13">
                  <c:v>-1275.5</c:v>
                </c:pt>
                <c:pt idx="14">
                  <c:v>-1157.5</c:v>
                </c:pt>
                <c:pt idx="15">
                  <c:v>-956.2</c:v>
                </c:pt>
                <c:pt idx="16">
                  <c:v>-681.9</c:v>
                </c:pt>
                <c:pt idx="17">
                  <c:v>-350</c:v>
                </c:pt>
                <c:pt idx="18">
                  <c:v>19.3</c:v>
                </c:pt>
                <c:pt idx="19">
                  <c:v>402.7</c:v>
                </c:pt>
                <c:pt idx="20">
                  <c:v>774.8</c:v>
                </c:pt>
                <c:pt idx="21">
                  <c:v>1109.8</c:v>
                </c:pt>
                <c:pt idx="22">
                  <c:v>1871.1</c:v>
                </c:pt>
              </c:numCache>
            </c:numRef>
          </c:xVal>
          <c:yVal>
            <c:numRef>
              <c:f>House!$C$58:$Y$58</c:f>
              <c:numCache>
                <c:formatCode>0</c:formatCode>
                <c:ptCount val="23"/>
                <c:pt idx="0">
                  <c:v>820</c:v>
                </c:pt>
                <c:pt idx="1">
                  <c:v>911.6</c:v>
                </c:pt>
                <c:pt idx="2">
                  <c:v>661.1</c:v>
                </c:pt>
                <c:pt idx="3">
                  <c:v>441.4</c:v>
                </c:pt>
                <c:pt idx="4">
                  <c:v>268.60000000000002</c:v>
                </c:pt>
                <c:pt idx="5">
                  <c:v>156.29999999999995</c:v>
                </c:pt>
                <c:pt idx="6">
                  <c:v>114.70000000000005</c:v>
                </c:pt>
                <c:pt idx="7">
                  <c:v>149.5</c:v>
                </c:pt>
                <c:pt idx="8">
                  <c:v>261.5</c:v>
                </c:pt>
                <c:pt idx="9">
                  <c:v>446.29999999999995</c:v>
                </c:pt>
                <c:pt idx="10">
                  <c:v>694.5</c:v>
                </c:pt>
                <c:pt idx="11">
                  <c:v>991.8</c:v>
                </c:pt>
                <c:pt idx="12">
                  <c:v>1320.3</c:v>
                </c:pt>
                <c:pt idx="13">
                  <c:v>1659</c:v>
                </c:pt>
                <c:pt idx="14">
                  <c:v>1985.3</c:v>
                </c:pt>
                <c:pt idx="15">
                  <c:v>2276.6</c:v>
                </c:pt>
                <c:pt idx="16">
                  <c:v>2511.9</c:v>
                </c:pt>
                <c:pt idx="17">
                  <c:v>2672.8</c:v>
                </c:pt>
                <c:pt idx="18">
                  <c:v>2745.4</c:v>
                </c:pt>
                <c:pt idx="19">
                  <c:v>2721.1</c:v>
                </c:pt>
                <c:pt idx="20">
                  <c:v>2597.5</c:v>
                </c:pt>
                <c:pt idx="21">
                  <c:v>2378.8000000000002</c:v>
                </c:pt>
                <c:pt idx="22">
                  <c:v>1617.5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B-3A2A-464E-8F1D-A45CAF18E3BD}"/>
            </c:ext>
          </c:extLst>
        </c:ser>
        <c:ser>
          <c:idx val="6"/>
          <c:order val="8"/>
          <c:tx>
            <c:strRef>
              <c:f>'Select Drive &amp; Motor'!$B$28</c:f>
              <c:strCache>
                <c:ptCount val="1"/>
                <c:pt idx="0">
                  <c:v>Center Height (RD/135)</c:v>
                </c:pt>
              </c:strCache>
            </c:strRef>
          </c:tx>
          <c:spPr>
            <a:ln w="31750">
              <a:solidFill>
                <a:schemeClr val="tx1"/>
              </a:solidFill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0</c:v>
              </c:pt>
            </c:numLit>
          </c:xVal>
          <c:yVal>
            <c:numRef>
              <c:f>(House!$AH$11,House!$AI$11)</c:f>
              <c:numCache>
                <c:formatCode>_-\ ###0_-;\-\ ###0_-;_-\ "-"??_-;_-@_-</c:formatCode>
                <c:ptCount val="2"/>
                <c:pt idx="0">
                  <c:v>1270</c:v>
                </c:pt>
                <c:pt idx="1">
                  <c:v>1268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C-3A2A-464E-8F1D-A45CAF18E3BD}"/>
            </c:ext>
          </c:extLst>
        </c:ser>
        <c:ser>
          <c:idx val="14"/>
          <c:order val="9"/>
          <c:tx>
            <c:strRef>
              <c:f>House!$Y$54:$Y$54</c:f>
              <c:strCache>
                <c:ptCount val="1"/>
                <c:pt idx="0">
                  <c:v>HfunnelR</c:v>
                </c:pt>
              </c:strCache>
            </c:strRef>
          </c:tx>
          <c:spPr>
            <a:ln w="1270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(House!$C$56,House!$Y$56)</c:f>
              <c:numCache>
                <c:formatCode>0</c:formatCode>
                <c:ptCount val="2"/>
                <c:pt idx="0">
                  <c:v>1073.5999999999999</c:v>
                </c:pt>
                <c:pt idx="1">
                  <c:v>1871.1</c:v>
                </c:pt>
              </c:numCache>
            </c:numRef>
          </c:xVal>
          <c:yVal>
            <c:numRef>
              <c:f>(House!$C$58,House!$Y$58)</c:f>
              <c:numCache>
                <c:formatCode>0</c:formatCode>
                <c:ptCount val="2"/>
                <c:pt idx="0">
                  <c:v>820</c:v>
                </c:pt>
                <c:pt idx="1">
                  <c:v>1617.5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D-3A2A-464E-8F1D-A45CAF18E3BD}"/>
            </c:ext>
          </c:extLst>
        </c:ser>
        <c:ser>
          <c:idx val="15"/>
          <c:order val="10"/>
          <c:tx>
            <c:strRef>
              <c:f>'House reinf, Drive Side'!$B$79</c:f>
              <c:strCache>
                <c:ptCount val="1"/>
                <c:pt idx="0">
                  <c:v>#REF!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2-DF5A-4D59-9877-08C60A94FD1E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0"/>
            <c:showCatName val="0"/>
            <c:showSerName val="1"/>
            <c:showPercent val="0"/>
            <c:showBubbleSize val="0"/>
            <c:separator> </c:separator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('House reinf, Drive Side'!$B$83,'House reinf, Drive Side'!$B$85)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('House reinf, Drive Side'!$B$84,'House reinf, Drive Side'!$B$86)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E-3A2A-464E-8F1D-A45CAF18E3BD}"/>
            </c:ext>
          </c:extLst>
        </c:ser>
        <c:ser>
          <c:idx val="18"/>
          <c:order val="11"/>
          <c:tx>
            <c:strRef>
              <c:f>'House reinf, Drive Side'!$C$79</c:f>
              <c:strCache>
                <c:ptCount val="1"/>
                <c:pt idx="0">
                  <c:v>#REF!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2-D386-461D-977C-C16DC2014126}"/>
                </c:ext>
                <c:ext xmlns:c15="http://schemas.microsoft.com/office/drawing/2012/chart" uri="{CE6537A1-D6FC-4f65-9D91-7224C49458BB}"/>
              </c:extLst>
            </c:dLbl>
            <c:dLbl>
              <c:idx val="1"/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3-D386-461D-977C-C16DC2014126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('House reinf, Drive Side'!$C$83,'House reinf, Drive Side'!$C$85)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('House reinf, Drive Side'!$C$84,'House reinf, Drive Side'!$C$86)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F-3A2A-464E-8F1D-A45CAF18E3BD}"/>
            </c:ext>
          </c:extLst>
        </c:ser>
        <c:ser>
          <c:idx val="19"/>
          <c:order val="12"/>
          <c:tx>
            <c:strRef>
              <c:f>'House reinf, Drive Side'!$D$79</c:f>
              <c:strCache>
                <c:ptCount val="1"/>
                <c:pt idx="0">
                  <c:v>#REF!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dLbls>
            <c:dLbl>
              <c:idx val="1"/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4-D386-461D-977C-C16DC2014126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('House reinf, Drive Side'!$D$83,'House reinf, Drive Side'!$D$85)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('House reinf, Drive Side'!$D$84,'House reinf, Drive Side'!$D$86)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10-3A2A-464E-8F1D-A45CAF18E3BD}"/>
            </c:ext>
          </c:extLst>
        </c:ser>
        <c:ser>
          <c:idx val="20"/>
          <c:order val="13"/>
          <c:tx>
            <c:strRef>
              <c:f>'House reinf, Drive Side'!$E$79</c:f>
              <c:strCache>
                <c:ptCount val="1"/>
                <c:pt idx="0">
                  <c:v>#REF!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dLbls>
            <c:dLbl>
              <c:idx val="1"/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5-D386-461D-977C-C16DC2014126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('House reinf, Drive Side'!$E$83,'House reinf, Drive Side'!$E$85)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('House reinf, Drive Side'!$E$84,'House reinf, Drive Side'!$E$86)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11-3A2A-464E-8F1D-A45CAF18E3BD}"/>
            </c:ext>
          </c:extLst>
        </c:ser>
        <c:ser>
          <c:idx val="21"/>
          <c:order val="14"/>
          <c:tx>
            <c:strRef>
              <c:f>'House reinf, Drive Side'!$F$79</c:f>
              <c:strCache>
                <c:ptCount val="1"/>
                <c:pt idx="0">
                  <c:v>#REF!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dLbls>
            <c:dLbl>
              <c:idx val="1"/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6-D386-461D-977C-C16DC2014126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('House reinf, Drive Side'!$F$83,'House reinf, Drive Side'!$F$85)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('House reinf, Drive Side'!$F$84,'House reinf, Drive Side'!$F$86)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12-3A2A-464E-8F1D-A45CAF18E3BD}"/>
            </c:ext>
          </c:extLst>
        </c:ser>
        <c:ser>
          <c:idx val="22"/>
          <c:order val="15"/>
          <c:tx>
            <c:strRef>
              <c:f>'House reinf, Drive Side'!$G$79</c:f>
              <c:strCache>
                <c:ptCount val="1"/>
                <c:pt idx="0">
                  <c:v>#REF!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dLbls>
            <c:dLbl>
              <c:idx val="1"/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7-D386-461D-977C-C16DC2014126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('House reinf, Drive Side'!$G$83,'House reinf, Drive Side'!$G$85)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('House reinf, Drive Side'!$G$84,'House reinf, Drive Side'!$G$86)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13-3A2A-464E-8F1D-A45CAF18E3BD}"/>
            </c:ext>
          </c:extLst>
        </c:ser>
        <c:ser>
          <c:idx val="23"/>
          <c:order val="16"/>
          <c:tx>
            <c:strRef>
              <c:f>'House reinf, Drive Side'!$H$79</c:f>
              <c:strCache>
                <c:ptCount val="1"/>
                <c:pt idx="0">
                  <c:v>#REF!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dLbls>
            <c:dLbl>
              <c:idx val="1"/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8-D386-461D-977C-C16DC2014126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('House reinf, Drive Side'!$H$83,'House reinf, Drive Side'!$H$85)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('House reinf, Drive Side'!$H$84,'House reinf, Drive Side'!$H$86)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14-3A2A-464E-8F1D-A45CAF18E3BD}"/>
            </c:ext>
          </c:extLst>
        </c:ser>
        <c:ser>
          <c:idx val="24"/>
          <c:order val="17"/>
          <c:tx>
            <c:strRef>
              <c:f>'House reinf, Drive Side'!$I$79</c:f>
              <c:strCache>
                <c:ptCount val="1"/>
                <c:pt idx="0">
                  <c:v>#REF!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9-D386-461D-977C-C16DC2014126}"/>
                </c:ext>
                <c:ext xmlns:c15="http://schemas.microsoft.com/office/drawing/2012/chart" uri="{CE6537A1-D6FC-4f65-9D91-7224C49458BB}"/>
              </c:extLst>
            </c:dLbl>
            <c:dLbl>
              <c:idx val="1"/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A-D386-461D-977C-C16DC2014126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('House reinf, Drive Side'!$I$83,'House reinf, Drive Side'!$I$85)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('House reinf, Drive Side'!$I$84,'House reinf, Drive Side'!$I$86)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15-3A2A-464E-8F1D-A45CAF18E3BD}"/>
            </c:ext>
          </c:extLst>
        </c:ser>
        <c:ser>
          <c:idx val="25"/>
          <c:order val="18"/>
          <c:tx>
            <c:strRef>
              <c:f>'House reinf, Drive Side'!$J$79</c:f>
              <c:strCache>
                <c:ptCount val="1"/>
                <c:pt idx="0">
                  <c:v>#REF!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dLbls>
            <c:dLbl>
              <c:idx val="1"/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B-D386-461D-977C-C16DC2014126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('House reinf, Drive Side'!$J$83,'House reinf, Drive Side'!$J$85)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('House reinf, Drive Side'!$J$84,'House reinf, Drive Side'!$J$86)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16-3A2A-464E-8F1D-A45CAF18E3BD}"/>
            </c:ext>
          </c:extLst>
        </c:ser>
        <c:ser>
          <c:idx val="26"/>
          <c:order val="19"/>
          <c:tx>
            <c:strRef>
              <c:f>'House reinf, Drive Side'!$K$79</c:f>
              <c:strCache>
                <c:ptCount val="1"/>
                <c:pt idx="0">
                  <c:v>#REF!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C-D386-461D-977C-C16DC2014126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('House reinf, Drive Side'!$K$83,'House reinf, Drive Side'!$K$85)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('House reinf, Drive Side'!$K$84,'House reinf, Drive Side'!$K$86)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17-3A2A-464E-8F1D-A45CAF18E3BD}"/>
            </c:ext>
          </c:extLst>
        </c:ser>
        <c:ser>
          <c:idx val="27"/>
          <c:order val="20"/>
          <c:tx>
            <c:strRef>
              <c:f>'House reinf, Drive Side'!$L$79</c:f>
              <c:strCache>
                <c:ptCount val="1"/>
                <c:pt idx="0">
                  <c:v>#REF!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dLbls>
            <c:dLbl>
              <c:idx val="1"/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D-D386-461D-977C-C16DC2014126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('House reinf, Drive Side'!$L$83,'House reinf, Drive Side'!$L$85)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('House reinf, Drive Side'!$L$84,'House reinf, Drive Side'!$L$86)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18-3A2A-464E-8F1D-A45CAF18E3BD}"/>
            </c:ext>
          </c:extLst>
        </c:ser>
        <c:ser>
          <c:idx val="28"/>
          <c:order val="21"/>
          <c:tx>
            <c:strRef>
              <c:f>'House reinf, Drive Side'!$M$79</c:f>
              <c:strCache>
                <c:ptCount val="1"/>
                <c:pt idx="0">
                  <c:v>#REF!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dLbls>
            <c:dLbl>
              <c:idx val="1"/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E-D386-461D-977C-C16DC2014126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('House reinf, Drive Side'!$M$83,'House reinf, Drive Side'!$M$85)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('House reinf, Drive Side'!$M$84,'House reinf, Drive Side'!$M$86)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19-3A2A-464E-8F1D-A45CAF18E3BD}"/>
            </c:ext>
          </c:extLst>
        </c:ser>
        <c:ser>
          <c:idx val="29"/>
          <c:order val="22"/>
          <c:tx>
            <c:strRef>
              <c:f>'House reinf, Drive Side'!$N$79</c:f>
              <c:strCache>
                <c:ptCount val="1"/>
                <c:pt idx="0">
                  <c:v>#REF!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F-D386-461D-977C-C16DC2014126}"/>
                </c:ext>
                <c:ext xmlns:c15="http://schemas.microsoft.com/office/drawing/2012/chart" uri="{CE6537A1-D6FC-4f65-9D91-7224C49458BB}"/>
              </c:extLst>
            </c:dLbl>
            <c:dLbl>
              <c:idx val="1"/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10-D386-461D-977C-C16DC2014126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('House reinf, Drive Side'!$N$83,'House reinf, Drive Side'!$N$85)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('House reinf, Drive Side'!$N$84,'House reinf, Drive Side'!$N$86)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1A-3A2A-464E-8F1D-A45CAF18E3BD}"/>
            </c:ext>
          </c:extLst>
        </c:ser>
        <c:ser>
          <c:idx val="30"/>
          <c:order val="23"/>
          <c:tx>
            <c:strRef>
              <c:f>'House reinf, Drive Side'!$O$79</c:f>
              <c:strCache>
                <c:ptCount val="1"/>
                <c:pt idx="0">
                  <c:v>#REF!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11-D386-461D-977C-C16DC2014126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('House reinf, Drive Side'!$O$83,'House reinf, Drive Side'!$O$85)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('House reinf, Drive Side'!$O$84,'House reinf, Drive Side'!$O$86)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1B-3A2A-464E-8F1D-A45CAF18E3BD}"/>
            </c:ext>
          </c:extLst>
        </c:ser>
        <c:ser>
          <c:idx val="31"/>
          <c:order val="24"/>
          <c:tx>
            <c:strRef>
              <c:f>'House reinf, Drive Side'!$P$79</c:f>
              <c:strCache>
                <c:ptCount val="1"/>
                <c:pt idx="0">
                  <c:v>#REF!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dLbls>
            <c:dLbl>
              <c:idx val="1"/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12-D386-461D-977C-C16DC2014126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('House reinf, Drive Side'!$P$83,'House reinf, Drive Side'!$P$85)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('House reinf, Drive Side'!$P$84,'House reinf, Drive Side'!$P$86)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1C-3A2A-464E-8F1D-A45CAF18E3BD}"/>
            </c:ext>
          </c:extLst>
        </c:ser>
        <c:ser>
          <c:idx val="32"/>
          <c:order val="25"/>
          <c:tx>
            <c:strRef>
              <c:f>'House reinf, Drive Side'!$Q$79</c:f>
              <c:strCache>
                <c:ptCount val="1"/>
                <c:pt idx="0">
                  <c:v>#REF!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dLbls>
            <c:dLbl>
              <c:idx val="1"/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13-D386-461D-977C-C16DC2014126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('House reinf, Drive Side'!$Q$83,'House reinf, Drive Side'!$Q$85)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('House reinf, Drive Side'!$Q$84,'House reinf, Drive Side'!$Q$86)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1D-3A2A-464E-8F1D-A45CAF18E3BD}"/>
            </c:ext>
          </c:extLst>
        </c:ser>
        <c:ser>
          <c:idx val="33"/>
          <c:order val="26"/>
          <c:tx>
            <c:strRef>
              <c:f>'House reinf, Drive Side'!$R$79</c:f>
              <c:strCache>
                <c:ptCount val="1"/>
                <c:pt idx="0">
                  <c:v>#REF!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dLbls>
            <c:dLbl>
              <c:idx val="1"/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14-D386-461D-977C-C16DC2014126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('House reinf, Drive Side'!$R$83,'House reinf, Drive Side'!$R$85)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('House reinf, Drive Side'!$R$84,'House reinf, Drive Side'!$R$86)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1E-3A2A-464E-8F1D-A45CAF18E3BD}"/>
            </c:ext>
          </c:extLst>
        </c:ser>
        <c:ser>
          <c:idx val="34"/>
          <c:order val="27"/>
          <c:tx>
            <c:strRef>
              <c:f>'House reinf, Drive Side'!$S$79</c:f>
              <c:strCache>
                <c:ptCount val="1"/>
                <c:pt idx="0">
                  <c:v>#REF!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dLbls>
            <c:dLbl>
              <c:idx val="1"/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15-D386-461D-977C-C16DC2014126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('House reinf, Drive Side'!$S$83,'House reinf, Drive Side'!$S$85)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('House reinf, Drive Side'!$S$84,'House reinf, Drive Side'!$S$86)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1F-3A2A-464E-8F1D-A45CAF18E3BD}"/>
            </c:ext>
          </c:extLst>
        </c:ser>
        <c:ser>
          <c:idx val="35"/>
          <c:order val="28"/>
          <c:tx>
            <c:strRef>
              <c:f>'House reinf, Drive Side'!$T$79</c:f>
              <c:strCache>
                <c:ptCount val="1"/>
                <c:pt idx="0">
                  <c:v>#REF!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dLbls>
            <c:dLbl>
              <c:idx val="1"/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16-D386-461D-977C-C16DC2014126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('House reinf, Drive Side'!$T$83,'House reinf, Drive Side'!$T$85)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('House reinf, Drive Side'!$T$84,'House reinf, Drive Side'!$T$86)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20-3A2A-464E-8F1D-A45CAF18E3BD}"/>
            </c:ext>
          </c:extLst>
        </c:ser>
        <c:ser>
          <c:idx val="36"/>
          <c:order val="29"/>
          <c:tx>
            <c:strRef>
              <c:f>'House reinf, Drive Side'!$U$79</c:f>
              <c:strCache>
                <c:ptCount val="1"/>
                <c:pt idx="0">
                  <c:v>#REF!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dLbls>
            <c:dLbl>
              <c:idx val="1"/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17-D386-461D-977C-C16DC2014126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('House reinf, Drive Side'!$U$83,'House reinf, Drive Side'!$U$85)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('House reinf, Drive Side'!$U$84,'House reinf, Drive Side'!$U$86)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21-3A2A-464E-8F1D-A45CAF18E3BD}"/>
            </c:ext>
          </c:extLst>
        </c:ser>
        <c:ser>
          <c:idx val="37"/>
          <c:order val="30"/>
          <c:tx>
            <c:strRef>
              <c:f>'House reinf, Drive Side'!$V$79</c:f>
              <c:strCache>
                <c:ptCount val="1"/>
                <c:pt idx="0">
                  <c:v>#REF!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dLbls>
            <c:dLbl>
              <c:idx val="1"/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18-D386-461D-977C-C16DC2014126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('House reinf, Drive Side'!$V$83,'House reinf, Drive Side'!$V$85)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('House reinf, Drive Side'!$V$84,'House reinf, Drive Side'!$V$86)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22-3A2A-464E-8F1D-A45CAF18E3BD}"/>
            </c:ext>
          </c:extLst>
        </c:ser>
        <c:ser>
          <c:idx val="38"/>
          <c:order val="31"/>
          <c:tx>
            <c:strRef>
              <c:f>'House reinf, Drive Side'!$W$79</c:f>
              <c:strCache>
                <c:ptCount val="1"/>
                <c:pt idx="0">
                  <c:v>#REF!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dLbls>
            <c:dLbl>
              <c:idx val="1"/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19-D386-461D-977C-C16DC2014126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('House reinf, Drive Side'!$W$83,'House reinf, Drive Side'!$W$85)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('House reinf, Drive Side'!$W$84,'House reinf, Drive Side'!$W$86)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23-3A2A-464E-8F1D-A45CAF18E3BD}"/>
            </c:ext>
          </c:extLst>
        </c:ser>
        <c:ser>
          <c:idx val="39"/>
          <c:order val="32"/>
          <c:tx>
            <c:strRef>
              <c:f>'House reinf, Drive Side'!$X$79</c:f>
              <c:strCache>
                <c:ptCount val="1"/>
                <c:pt idx="0">
                  <c:v>#REF!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dLbls>
            <c:dLbl>
              <c:idx val="1"/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1A-D386-461D-977C-C16DC2014126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('House reinf, Drive Side'!$X$83,'House reinf, Drive Side'!$X$85)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('House reinf, Drive Side'!$X$84,'House reinf, Drive Side'!$X$86)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24-3A2A-464E-8F1D-A45CAF18E3BD}"/>
            </c:ext>
          </c:extLst>
        </c:ser>
        <c:ser>
          <c:idx val="40"/>
          <c:order val="33"/>
          <c:tx>
            <c:strRef>
              <c:f>'House reinf, Drive Side'!$Y$79</c:f>
              <c:strCache>
                <c:ptCount val="1"/>
                <c:pt idx="0">
                  <c:v>#REF!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dLbls>
            <c:dLbl>
              <c:idx val="1"/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1B-D386-461D-977C-C16DC2014126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('House reinf, Drive Side'!$Y$83,'House reinf, Drive Side'!$Y$85)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('House reinf, Drive Side'!$Y$84,'House reinf, Drive Side'!$Y$86)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25-3A2A-464E-8F1D-A45CAF18E3BD}"/>
            </c:ext>
          </c:extLst>
        </c:ser>
        <c:ser>
          <c:idx val="41"/>
          <c:order val="34"/>
          <c:tx>
            <c:strRef>
              <c:f>'House reinf, Drive Side'!$Z$79</c:f>
              <c:strCache>
                <c:ptCount val="1"/>
                <c:pt idx="0">
                  <c:v>#REF!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dLbls>
            <c:dLbl>
              <c:idx val="1"/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1C-D386-461D-977C-C16DC2014126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('House reinf, Drive Side'!$Z$83,'House reinf, Drive Side'!$Z$85)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('House reinf, Drive Side'!$Z$84,'House reinf, Drive Side'!$Z$86)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26-3A2A-464E-8F1D-A45CAF18E3BD}"/>
            </c:ext>
          </c:extLst>
        </c:ser>
        <c:ser>
          <c:idx val="42"/>
          <c:order val="35"/>
          <c:tx>
            <c:strRef>
              <c:f>'House reinf, Drive Side'!$AA$79</c:f>
              <c:strCache>
                <c:ptCount val="1"/>
                <c:pt idx="0">
                  <c:v>#REF!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dLbls>
            <c:dLbl>
              <c:idx val="1"/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1D-D386-461D-977C-C16DC2014126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('House reinf, Drive Side'!$AA$83,'House reinf, Drive Side'!$AA$85)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('House reinf, Drive Side'!$AA$84,'House reinf, Drive Side'!$AA$86)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27-3A2A-464E-8F1D-A45CAF18E3BD}"/>
            </c:ext>
          </c:extLst>
        </c:ser>
        <c:ser>
          <c:idx val="43"/>
          <c:order val="36"/>
          <c:tx>
            <c:strRef>
              <c:f>'House reinf, Drive Side'!$AB$79</c:f>
              <c:strCache>
                <c:ptCount val="1"/>
                <c:pt idx="0">
                  <c:v>#REF!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dPt>
            <c:idx val="1"/>
            <c:bubble3D val="0"/>
            <c:spPr>
              <a:ln w="12700">
                <a:solidFill>
                  <a:srgbClr val="FF0000"/>
                </a:solidFill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29-3A2A-464E-8F1D-A45CAF18E3BD}"/>
              </c:ext>
            </c:extLst>
          </c:dPt>
          <c:dLbls>
            <c:dLbl>
              <c:idx val="1"/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29-3A2A-464E-8F1D-A45CAF18E3BD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('House reinf, Drive Side'!$AB$83,'House reinf, Drive Side'!$AB$85)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('House reinf, Drive Side'!$AB$84,'House reinf, Drive Side'!$AB$86)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2A-3A2A-464E-8F1D-A45CAF18E3BD}"/>
            </c:ext>
          </c:extLst>
        </c:ser>
        <c:ser>
          <c:idx val="10"/>
          <c:order val="37"/>
          <c:tx>
            <c:strRef>
              <c:f>'Frame Dimensions'!$B$96</c:f>
              <c:strCache>
                <c:ptCount val="1"/>
                <c:pt idx="0">
                  <c:v>HFHi</c:v>
                </c:pt>
              </c:strCache>
            </c:strRef>
          </c:tx>
          <c:spPr>
            <a:ln w="1270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1"/>
              <c:layout>
                <c:manualLayout>
                  <c:x val="3.8515394026777949E-2"/>
                  <c:y val="-9.8939901800199834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 sz="600"/>
                  </a:pPr>
                  <a:endParaRPr lang="zh-CN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3-DCB0-4AA6-B9FF-8956E880E6FC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6350">
                      <a:prstDash val="dash"/>
                    </a:ln>
                  </c:spPr>
                </c15:leaderLines>
              </c:ext>
            </c:extLst>
          </c:dLbls>
          <c:xVal>
            <c:numRef>
              <c:f>('Frame Dimensions'!$L$96,'Frame Dimensions'!$O$96)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('Frame Dimensions'!$K$96,'Frame Dimensions'!$N$96)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2B-3A2A-464E-8F1D-A45CAF18E3BD}"/>
            </c:ext>
          </c:extLst>
        </c:ser>
        <c:ser>
          <c:idx val="12"/>
          <c:order val="38"/>
          <c:tx>
            <c:strRef>
              <c:f>'Frame Dimensions'!$B$73</c:f>
              <c:strCache>
                <c:ptCount val="1"/>
                <c:pt idx="0">
                  <c:v>0</c:v>
                </c:pt>
              </c:strCache>
            </c:strRef>
          </c:tx>
          <c:spPr>
            <a:ln w="9525">
              <a:solidFill>
                <a:srgbClr val="00B0F0"/>
              </a:solidFill>
              <a:prstDash val="solid"/>
            </a:ln>
          </c:spPr>
          <c:marker>
            <c:symbol val="none"/>
          </c:marker>
          <c:xVal>
            <c:numRef>
              <c:f>('Frame Dimensions'!$L$73,'Frame Dimensions'!$O$73)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('Frame Dimensions'!$K$73,'Frame Dimensions'!$N$73)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2C-3A2A-464E-8F1D-A45CAF18E3BD}"/>
            </c:ext>
          </c:extLst>
        </c:ser>
        <c:ser>
          <c:idx val="11"/>
          <c:order val="39"/>
          <c:tx>
            <c:strRef>
              <c:f>'Frame Dimensions'!$B$77</c:f>
              <c:strCache>
                <c:ptCount val="1"/>
                <c:pt idx="0">
                  <c:v>0</c:v>
                </c:pt>
              </c:strCache>
            </c:strRef>
          </c:tx>
          <c:spPr>
            <a:ln w="9525">
              <a:solidFill>
                <a:srgbClr val="00B0F0"/>
              </a:solidFill>
              <a:prstDash val="solid"/>
            </a:ln>
          </c:spPr>
          <c:marker>
            <c:symbol val="none"/>
          </c:marker>
          <c:xVal>
            <c:numRef>
              <c:f>('Frame Dimensions'!$L$77,'Frame Dimensions'!$O$77)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('Frame Dimensions'!$K$77,'Frame Dimensions'!$N$77)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30-3A2A-464E-8F1D-A45CAF18E3BD}"/>
            </c:ext>
          </c:extLst>
        </c:ser>
        <c:ser>
          <c:idx val="44"/>
          <c:order val="40"/>
          <c:tx>
            <c:strRef>
              <c:f>'Frame Dimensions'!$B$81</c:f>
              <c:strCache>
                <c:ptCount val="1"/>
                <c:pt idx="0">
                  <c:v>0</c:v>
                </c:pt>
              </c:strCache>
            </c:strRef>
          </c:tx>
          <c:spPr>
            <a:ln w="9525">
              <a:solidFill>
                <a:srgbClr val="00B0F0"/>
              </a:solidFill>
              <a:prstDash val="solid"/>
            </a:ln>
          </c:spPr>
          <c:marker>
            <c:symbol val="none"/>
          </c:marker>
          <c:xVal>
            <c:numRef>
              <c:f>('Frame Dimensions'!$L$81,'Frame Dimensions'!$O$81)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('Frame Dimensions'!$K$81,'Frame Dimensions'!$N$81)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2D-3A2A-464E-8F1D-A45CAF18E3BD}"/>
            </c:ext>
          </c:extLst>
        </c:ser>
        <c:ser>
          <c:idx val="45"/>
          <c:order val="41"/>
          <c:tx>
            <c:strRef>
              <c:f>'Frame Dimensions'!$B$162</c:f>
              <c:strCache>
                <c:ptCount val="1"/>
                <c:pt idx="0">
                  <c:v>0</c:v>
                </c:pt>
              </c:strCache>
            </c:strRef>
          </c:tx>
          <c:spPr>
            <a:ln w="1270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('Frame Dimensions'!$L$162,'Frame Dimensions'!$O$162)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('Frame Dimensions'!$K$162,'Frame Dimensions'!$N$162)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2E-3A2A-464E-8F1D-A45CAF18E3BD}"/>
            </c:ext>
          </c:extLst>
        </c:ser>
        <c:ser>
          <c:idx val="46"/>
          <c:order val="42"/>
          <c:tx>
            <c:strRef>
              <c:f>'Frame Dimensions'!$B$164</c:f>
              <c:strCache>
                <c:ptCount val="1"/>
                <c:pt idx="0">
                  <c:v>0</c:v>
                </c:pt>
              </c:strCache>
            </c:strRef>
          </c:tx>
          <c:spPr>
            <a:ln w="1270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('Frame Dimensions'!$L$164,'Frame Dimensions'!$O$164)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('Frame Dimensions'!$K$164,'Frame Dimensions'!$N$164)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2F-3A2A-464E-8F1D-A45CAF18E3BD}"/>
            </c:ext>
          </c:extLst>
        </c:ser>
        <c:ser>
          <c:idx val="50"/>
          <c:order val="43"/>
          <c:tx>
            <c:strRef>
              <c:f>'House reinf, Drive Side'!$AC$79</c:f>
              <c:strCache>
                <c:ptCount val="1"/>
                <c:pt idx="0">
                  <c:v>#REF!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dLbls>
            <c:dLbl>
              <c:idx val="1"/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10-F043-41B6-97C1-293F63CD7804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('House reinf, Drive Side'!$AC$83,'House reinf, Drive Side'!$AC$85)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('House reinf, Drive Side'!$AC$84,'House reinf, Drive Side'!$AC$86)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6-F043-41B6-97C1-293F63CD7804}"/>
            </c:ext>
          </c:extLst>
        </c:ser>
        <c:ser>
          <c:idx val="51"/>
          <c:order val="44"/>
          <c:tx>
            <c:strRef>
              <c:f>'House reinf, Drive Side'!$AD$79</c:f>
              <c:strCache>
                <c:ptCount val="1"/>
                <c:pt idx="0">
                  <c:v>#REF!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dLbls>
            <c:dLbl>
              <c:idx val="1"/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11-F043-41B6-97C1-293F63CD7804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('House reinf, Drive Side'!$AD$83,'House reinf, Drive Side'!$AD$85)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('House reinf, Drive Side'!$AD$84,'House reinf, Drive Side'!$AD$86)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7-F043-41B6-97C1-293F63CD7804}"/>
            </c:ext>
          </c:extLst>
        </c:ser>
        <c:ser>
          <c:idx val="76"/>
          <c:order val="45"/>
          <c:tx>
            <c:strRef>
              <c:f>'House reinf, Drive Side'!$AE$79</c:f>
              <c:strCache>
                <c:ptCount val="1"/>
                <c:pt idx="0">
                  <c:v>#REF!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7-393D-45C8-8A9C-19367D27FD41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('House reinf, Drive Side'!$AE$83,'House reinf, Drive Side'!$AE$85)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('House reinf, Drive Side'!$AE$84,'House reinf, Drive Side'!$AE$86)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E952-423E-BAAB-CE89178AA7B2}"/>
            </c:ext>
          </c:extLst>
        </c:ser>
        <c:ser>
          <c:idx val="3"/>
          <c:order val="46"/>
          <c:tx>
            <c:strRef>
              <c:f>'House reinf, Drive Side'!$AF$79</c:f>
              <c:strCache>
                <c:ptCount val="1"/>
                <c:pt idx="0">
                  <c:v>#REF!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2-2DC6-48E7-9AB6-498B5C24C196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('House reinf, Drive Side'!$AF$83,'House reinf, Drive Side'!$AF$85)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('House reinf, Drive Side'!$AF$84,'House reinf, Drive Side'!$AF$86)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393D-45C8-8A9C-19367D27FD41}"/>
            </c:ext>
          </c:extLst>
        </c:ser>
        <c:ser>
          <c:idx val="52"/>
          <c:order val="47"/>
          <c:tx>
            <c:strRef>
              <c:f>'House reinf, Drive Side'!$AG$79</c:f>
              <c:strCache>
                <c:ptCount val="1"/>
                <c:pt idx="0">
                  <c:v>#REF!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dLbls>
            <c:dLbl>
              <c:idx val="1"/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 xmlns:c15="http://schemas.microsoft.com/office/drawing/2012/chart">
                <c:ext xmlns:c16="http://schemas.microsoft.com/office/drawing/2014/chart" uri="{C3380CC4-5D6E-409C-BE32-E72D297353CC}">
                  <c16:uniqueId val="{00000012-F043-41B6-97C1-293F63CD7804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 xmlns:c15="http://schemas.microsoft.com/office/drawing/2012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('House reinf, Drive Side'!$AG$83,'House reinf, Drive Side'!$AG$85)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('House reinf, Drive Side'!$AG$84,'House reinf, Drive Side'!$AG$86)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8-F043-41B6-97C1-293F63CD7804}"/>
            </c:ext>
          </c:extLst>
        </c:ser>
        <c:ser>
          <c:idx val="53"/>
          <c:order val="48"/>
          <c:tx>
            <c:strRef>
              <c:f>'House reinf, Drive Side'!$AH$79</c:f>
              <c:strCache>
                <c:ptCount val="1"/>
                <c:pt idx="0">
                  <c:v>#REF!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dLbls>
            <c:dLbl>
              <c:idx val="1"/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 xmlns:c15="http://schemas.microsoft.com/office/drawing/2012/chart">
                <c:ext xmlns:c16="http://schemas.microsoft.com/office/drawing/2014/chart" uri="{C3380CC4-5D6E-409C-BE32-E72D297353CC}">
                  <c16:uniqueId val="{00000013-F043-41B6-97C1-293F63CD7804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 xmlns:c15="http://schemas.microsoft.com/office/drawing/2012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('House reinf, Drive Side'!$AH$83,'House reinf, Drive Side'!$AH$85)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('House reinf, Drive Side'!$AH$84,'House reinf, Drive Side'!$AH$86)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9-F043-41B6-97C1-293F63CD7804}"/>
            </c:ext>
          </c:extLst>
        </c:ser>
        <c:ser>
          <c:idx val="77"/>
          <c:order val="49"/>
          <c:tx>
            <c:strRef>
              <c:f>'House reinf, Drive Side'!$AI$79</c:f>
              <c:strCache>
                <c:ptCount val="1"/>
                <c:pt idx="0">
                  <c:v>#REF!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dLbls>
            <c:dLbl>
              <c:idx val="1"/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4-E952-423E-BAAB-CE89178AA7B2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('House reinf, Drive Side'!$AI$83,'House reinf, Drive Side'!$AI$85)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('House reinf, Drive Side'!$AI$84,'House reinf, Drive Side'!$AI$86)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E952-423E-BAAB-CE89178AA7B2}"/>
            </c:ext>
          </c:extLst>
        </c:ser>
        <c:ser>
          <c:idx val="13"/>
          <c:order val="50"/>
          <c:tx>
            <c:strRef>
              <c:f>'House reinf, Drive Side'!$AJ$79</c:f>
              <c:strCache>
                <c:ptCount val="1"/>
                <c:pt idx="0">
                  <c:v>#REF!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6-393D-45C8-8A9C-19367D27FD41}"/>
                </c:ext>
                <c:ext xmlns:c15="http://schemas.microsoft.com/office/drawing/2012/chart" uri="{CE6537A1-D6FC-4f65-9D91-7224C49458BB}"/>
              </c:extLst>
            </c:dLbl>
            <c:dLbl>
              <c:idx val="1"/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5-393D-45C8-8A9C-19367D27FD41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('House reinf, Drive Side'!$AJ$83,'House reinf, Drive Side'!$AJ$85)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('House reinf, Drive Side'!$AJ$84,'House reinf, Drive Side'!$AJ$86)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4-393D-45C8-8A9C-19367D27FD41}"/>
            </c:ext>
          </c:extLst>
        </c:ser>
        <c:ser>
          <c:idx val="55"/>
          <c:order val="51"/>
          <c:tx>
            <c:strRef>
              <c:f>'Frame Dimensions'!$B$25</c:f>
              <c:strCache>
                <c:ptCount val="1"/>
                <c:pt idx="0">
                  <c:v>#REF!</c:v>
                </c:pt>
              </c:strCache>
              <c:extLst xmlns:c16r2="http://schemas.microsoft.com/office/drawing/2015/06/chart" xmlns:c15="http://schemas.microsoft.com/office/drawing/2012/chart"/>
            </c:strRef>
          </c:tx>
          <c:spPr>
            <a:ln w="9525">
              <a:solidFill>
                <a:srgbClr val="00B0F0"/>
              </a:solidFill>
              <a:prstDash val="solid"/>
            </a:ln>
          </c:spPr>
          <c:marker>
            <c:symbol val="none"/>
          </c:marker>
          <c:xVal>
            <c:numRef>
              <c:f>('Frame Dimensions'!$L$25,'Frame Dimensions'!$O$25)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  <c:extLst xmlns:c16r2="http://schemas.microsoft.com/office/drawing/2015/06/chart" xmlns:c15="http://schemas.microsoft.com/office/drawing/2012/chart"/>
            </c:numRef>
          </c:xVal>
          <c:yVal>
            <c:numRef>
              <c:f>('Frame Dimensions'!$K$25,'Frame Dimensions'!$N$25)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  <c:extLst xmlns:c16r2="http://schemas.microsoft.com/office/drawing/2015/06/chart" xmlns:c15="http://schemas.microsoft.com/office/drawing/2012/chart"/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3-A9AF-476F-9CB8-A7B8F1B17692}"/>
            </c:ext>
          </c:extLst>
        </c:ser>
        <c:ser>
          <c:idx val="54"/>
          <c:order val="52"/>
          <c:tx>
            <c:strRef>
              <c:f>'Frame Dimensions'!$B$29</c:f>
              <c:strCache>
                <c:ptCount val="1"/>
                <c:pt idx="0">
                  <c:v>#REF!</c:v>
                </c:pt>
              </c:strCache>
              <c:extLst xmlns:c16r2="http://schemas.microsoft.com/office/drawing/2015/06/chart" xmlns:c15="http://schemas.microsoft.com/office/drawing/2012/chart"/>
            </c:strRef>
          </c:tx>
          <c:spPr>
            <a:ln w="9525">
              <a:solidFill>
                <a:srgbClr val="00B0F0"/>
              </a:solidFill>
              <a:prstDash val="solid"/>
            </a:ln>
          </c:spPr>
          <c:marker>
            <c:symbol val="none"/>
          </c:marker>
          <c:xVal>
            <c:numRef>
              <c:f>('Frame Dimensions'!$L$29,'Frame Dimensions'!$O$29)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  <c:extLst xmlns:c16r2="http://schemas.microsoft.com/office/drawing/2015/06/chart" xmlns:c15="http://schemas.microsoft.com/office/drawing/2012/chart"/>
            </c:numRef>
          </c:xVal>
          <c:yVal>
            <c:numRef>
              <c:f>('Frame Dimensions'!$K$29,'Frame Dimensions'!$N$29)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  <c:extLst xmlns:c16r2="http://schemas.microsoft.com/office/drawing/2015/06/chart" xmlns:c15="http://schemas.microsoft.com/office/drawing/2012/chart"/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2-A9AF-476F-9CB8-A7B8F1B17692}"/>
            </c:ext>
          </c:extLst>
        </c:ser>
        <c:ser>
          <c:idx val="56"/>
          <c:order val="53"/>
          <c:tx>
            <c:strRef>
              <c:f>'Frame Dimensions'!$B$33</c:f>
              <c:strCache>
                <c:ptCount val="1"/>
                <c:pt idx="0">
                  <c:v>#REF!</c:v>
                </c:pt>
              </c:strCache>
              <c:extLst xmlns:c16r2="http://schemas.microsoft.com/office/drawing/2015/06/chart" xmlns:c15="http://schemas.microsoft.com/office/drawing/2012/chart"/>
            </c:strRef>
          </c:tx>
          <c:spPr>
            <a:ln w="9525">
              <a:solidFill>
                <a:srgbClr val="00B0F0"/>
              </a:solidFill>
              <a:prstDash val="solid"/>
            </a:ln>
          </c:spPr>
          <c:marker>
            <c:symbol val="none"/>
          </c:marker>
          <c:xVal>
            <c:numRef>
              <c:f>('Frame Dimensions'!$L$33,'Frame Dimensions'!$O$33)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  <c:extLst xmlns:c16r2="http://schemas.microsoft.com/office/drawing/2015/06/chart" xmlns:c15="http://schemas.microsoft.com/office/drawing/2012/chart"/>
            </c:numRef>
          </c:xVal>
          <c:yVal>
            <c:numRef>
              <c:f>('Frame Dimensions'!$K$33,'Frame Dimensions'!$N$33)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  <c:extLst xmlns:c16r2="http://schemas.microsoft.com/office/drawing/2015/06/chart" xmlns:c15="http://schemas.microsoft.com/office/drawing/2012/chart"/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4-A9AF-476F-9CB8-A7B8F1B17692}"/>
            </c:ext>
          </c:extLst>
        </c:ser>
        <c:ser>
          <c:idx val="57"/>
          <c:order val="54"/>
          <c:tx>
            <c:strRef>
              <c:f>House!$Z$55</c:f>
              <c:strCache>
                <c:ptCount val="1"/>
                <c:pt idx="0">
                  <c:v>Rreinf</c:v>
                </c:pt>
              </c:strCache>
              <c:extLst xmlns:c16r2="http://schemas.microsoft.com/office/drawing/2015/06/chart" xmlns:c15="http://schemas.microsoft.com/office/drawing/2012/chart"/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(House!$B$56,House!$Z$56)</c:f>
              <c:numCache>
                <c:formatCode>0</c:formatCode>
                <c:ptCount val="2"/>
                <c:pt idx="0">
                  <c:v>982</c:v>
                </c:pt>
                <c:pt idx="1">
                  <c:v>1779.5</c:v>
                </c:pt>
              </c:numCache>
              <c:extLst xmlns:c16r2="http://schemas.microsoft.com/office/drawing/2015/06/chart" xmlns:c15="http://schemas.microsoft.com/office/drawing/2012/chart"/>
            </c:numRef>
          </c:xVal>
          <c:yVal>
            <c:numRef>
              <c:f>(House!$B$58,House!$Z$58)</c:f>
              <c:numCache>
                <c:formatCode>0</c:formatCode>
                <c:ptCount val="2"/>
                <c:pt idx="0">
                  <c:v>911.6</c:v>
                </c:pt>
                <c:pt idx="1">
                  <c:v>1709.1</c:v>
                </c:pt>
              </c:numCache>
              <c:extLst xmlns:c16r2="http://schemas.microsoft.com/office/drawing/2015/06/chart" xmlns:c15="http://schemas.microsoft.com/office/drawing/2012/chart"/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2-F6A3-4980-B267-6932CBBE1A3D}"/>
            </c:ext>
          </c:extLst>
        </c:ser>
        <c:ser>
          <c:idx val="60"/>
          <c:order val="55"/>
          <c:tx>
            <c:strRef>
              <c:f>House!$A$68</c:f>
              <c:strCache>
                <c:ptCount val="1"/>
                <c:pt idx="0">
                  <c:v>Insulation Drive View</c:v>
                </c:pt>
              </c:strCache>
              <c:extLst xmlns:c16r2="http://schemas.microsoft.com/office/drawing/2015/06/chart" xmlns:c15="http://schemas.microsoft.com/office/drawing/2012/chart"/>
            </c:strRef>
          </c:tx>
          <c:spPr>
            <a:ln w="6350">
              <a:solidFill>
                <a:schemeClr val="tx1"/>
              </a:solidFill>
              <a:prstDash val="sysDash"/>
            </a:ln>
          </c:spPr>
          <c:marker>
            <c:symbol val="none"/>
          </c:marker>
          <c:xVal>
            <c:numRef>
              <c:f>House!$C$68:$Y$68</c:f>
              <c:numCache>
                <c:formatCode>0</c:formatCode>
                <c:ptCount val="23"/>
                <c:pt idx="0">
                  <c:v>1073.5999999999999</c:v>
                </c:pt>
                <c:pt idx="1">
                  <c:v>982</c:v>
                </c:pt>
                <c:pt idx="2">
                  <c:v>876.2</c:v>
                </c:pt>
                <c:pt idx="3">
                  <c:v>706.8</c:v>
                </c:pt>
                <c:pt idx="4">
                  <c:v>482.5</c:v>
                </c:pt>
                <c:pt idx="5">
                  <c:v>216.3</c:v>
                </c:pt>
                <c:pt idx="6">
                  <c:v>-75.7</c:v>
                </c:pt>
                <c:pt idx="7">
                  <c:v>-374.6</c:v>
                </c:pt>
                <c:pt idx="8">
                  <c:v>-660.6</c:v>
                </c:pt>
                <c:pt idx="9">
                  <c:v>-913.7</c:v>
                </c:pt>
                <c:pt idx="10">
                  <c:v>-1115.5</c:v>
                </c:pt>
                <c:pt idx="11">
                  <c:v>-1250.2</c:v>
                </c:pt>
                <c:pt idx="12">
                  <c:v>-1305.9000000000001</c:v>
                </c:pt>
                <c:pt idx="13">
                  <c:v>-1275.5</c:v>
                </c:pt>
                <c:pt idx="14">
                  <c:v>-1157.5</c:v>
                </c:pt>
                <c:pt idx="15">
                  <c:v>-956.2</c:v>
                </c:pt>
                <c:pt idx="16">
                  <c:v>-681.9</c:v>
                </c:pt>
                <c:pt idx="17">
                  <c:v>-350</c:v>
                </c:pt>
                <c:pt idx="18">
                  <c:v>19.3</c:v>
                </c:pt>
                <c:pt idx="19">
                  <c:v>402.7</c:v>
                </c:pt>
                <c:pt idx="20">
                  <c:v>774.8</c:v>
                </c:pt>
                <c:pt idx="21">
                  <c:v>1109.8</c:v>
                </c:pt>
                <c:pt idx="22">
                  <c:v>1871.1</c:v>
                </c:pt>
              </c:numCache>
              <c:extLst xmlns:c16r2="http://schemas.microsoft.com/office/drawing/2015/06/chart" xmlns:c15="http://schemas.microsoft.com/office/drawing/2012/chart"/>
            </c:numRef>
          </c:xVal>
          <c:yVal>
            <c:numRef>
              <c:f>House!$C$70:$Y$70</c:f>
              <c:numCache>
                <c:formatCode>0</c:formatCode>
                <c:ptCount val="23"/>
                <c:pt idx="0">
                  <c:v>820</c:v>
                </c:pt>
                <c:pt idx="1">
                  <c:v>911.6</c:v>
                </c:pt>
                <c:pt idx="2">
                  <c:v>661.1</c:v>
                </c:pt>
                <c:pt idx="3">
                  <c:v>441.4</c:v>
                </c:pt>
                <c:pt idx="4">
                  <c:v>268.60000000000002</c:v>
                </c:pt>
                <c:pt idx="5">
                  <c:v>156.29999999999995</c:v>
                </c:pt>
                <c:pt idx="6">
                  <c:v>114.70000000000005</c:v>
                </c:pt>
                <c:pt idx="7">
                  <c:v>149.5</c:v>
                </c:pt>
                <c:pt idx="8">
                  <c:v>261.5</c:v>
                </c:pt>
                <c:pt idx="9">
                  <c:v>446.29999999999995</c:v>
                </c:pt>
                <c:pt idx="10">
                  <c:v>694.5</c:v>
                </c:pt>
                <c:pt idx="11">
                  <c:v>991.8</c:v>
                </c:pt>
                <c:pt idx="12">
                  <c:v>1320.3</c:v>
                </c:pt>
                <c:pt idx="13">
                  <c:v>1659</c:v>
                </c:pt>
                <c:pt idx="14">
                  <c:v>1985.3</c:v>
                </c:pt>
                <c:pt idx="15">
                  <c:v>2276.6</c:v>
                </c:pt>
                <c:pt idx="16">
                  <c:v>2511.9</c:v>
                </c:pt>
                <c:pt idx="17">
                  <c:v>2672.8</c:v>
                </c:pt>
                <c:pt idx="18">
                  <c:v>2745.4</c:v>
                </c:pt>
                <c:pt idx="19">
                  <c:v>2721.1</c:v>
                </c:pt>
                <c:pt idx="20">
                  <c:v>2597.5</c:v>
                </c:pt>
                <c:pt idx="21">
                  <c:v>2378.8000000000002</c:v>
                </c:pt>
                <c:pt idx="22">
                  <c:v>1617.5</c:v>
                </c:pt>
              </c:numCache>
              <c:extLst xmlns:c16r2="http://schemas.microsoft.com/office/drawing/2015/06/chart" xmlns:c15="http://schemas.microsoft.com/office/drawing/2012/chart"/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4-C306-4601-B411-28370F4ADDA6}"/>
            </c:ext>
          </c:extLst>
        </c:ser>
        <c:ser>
          <c:idx val="49"/>
          <c:order val="56"/>
          <c:tx>
            <c:v>BSBBL</c:v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('Frame Dimensions'!$L$112,'Frame Dimensions'!$L$111)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  <c:extLst xmlns:c16r2="http://schemas.microsoft.com/office/drawing/2015/06/chart" xmlns:c15="http://schemas.microsoft.com/office/drawing/2012/chart"/>
            </c:numRef>
          </c:xVal>
          <c:yVal>
            <c:numRef>
              <c:f>('Frame Dimensions'!$K$112,'Frame Dimensions'!$K$111)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  <c:extLst xmlns:c16r2="http://schemas.microsoft.com/office/drawing/2015/06/chart" xmlns:c15="http://schemas.microsoft.com/office/drawing/2012/chart"/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2-EA6A-4DCF-B9AD-322E39CE78A2}"/>
            </c:ext>
          </c:extLst>
        </c:ser>
        <c:ser>
          <c:idx val="58"/>
          <c:order val="57"/>
          <c:tx>
            <c:v>BSBBT</c:v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('Frame Dimensions'!$L$111,'Frame Dimensions'!$O$111)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  <c:extLst xmlns:c16r2="http://schemas.microsoft.com/office/drawing/2015/06/chart" xmlns:c15="http://schemas.microsoft.com/office/drawing/2012/chart"/>
            </c:numRef>
          </c:xVal>
          <c:yVal>
            <c:numRef>
              <c:f>('Frame Dimensions'!$K$111,'Frame Dimensions'!$N$111)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  <c:extLst xmlns:c16r2="http://schemas.microsoft.com/office/drawing/2015/06/chart" xmlns:c15="http://schemas.microsoft.com/office/drawing/2012/chart"/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3-EA6A-4DCF-B9AD-322E39CE78A2}"/>
            </c:ext>
          </c:extLst>
        </c:ser>
        <c:ser>
          <c:idx val="59"/>
          <c:order val="58"/>
          <c:tx>
            <c:v>BSBBR</c:v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('Frame Dimensions'!$O$112,'Frame Dimensions'!$O$111)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  <c:extLst xmlns:c16r2="http://schemas.microsoft.com/office/drawing/2015/06/chart" xmlns:c15="http://schemas.microsoft.com/office/drawing/2012/chart"/>
            </c:numRef>
          </c:xVal>
          <c:yVal>
            <c:numRef>
              <c:f>('Frame Dimensions'!$N$112,'Frame Dimensions'!$N$111)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  <c:extLst xmlns:c16r2="http://schemas.microsoft.com/office/drawing/2015/06/chart" xmlns:c15="http://schemas.microsoft.com/office/drawing/2012/chart"/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4-EA6A-4DCF-B9AD-322E39CE78A2}"/>
            </c:ext>
          </c:extLst>
        </c:ser>
        <c:ser>
          <c:idx val="47"/>
          <c:order val="59"/>
          <c:tx>
            <c:strRef>
              <c:f>'Frame Dimensions'!$B$120</c:f>
              <c:strCache>
                <c:ptCount val="1"/>
                <c:pt idx="0">
                  <c:v>SFBase_L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('Frame Dimensions'!$L$120,'Frame Dimensions'!$O$120)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('Frame Dimensions'!$K$120,'Frame Dimensions'!$N$120)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9081-4E01-9E98-8AD50F79D535}"/>
            </c:ext>
          </c:extLst>
        </c:ser>
        <c:ser>
          <c:idx val="48"/>
          <c:order val="60"/>
          <c:tx>
            <c:strRef>
              <c:f>'Frame Dimensions'!$B$121</c:f>
              <c:strCache>
                <c:ptCount val="1"/>
                <c:pt idx="0">
                  <c:v>sfbase_L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('Frame Dimensions'!$L$121,'Frame Dimensions'!$O$121)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('Frame Dimensions'!$K$121,'Frame Dimensions'!$N$121)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9081-4E01-9E98-8AD50F79D535}"/>
            </c:ext>
          </c:extLst>
        </c:ser>
        <c:ser>
          <c:idx val="61"/>
          <c:order val="61"/>
          <c:tx>
            <c:strRef>
              <c:f>'Frame Dimensions'!$B$124</c:f>
              <c:strCache>
                <c:ptCount val="1"/>
                <c:pt idx="0">
                  <c:v>SFBase_R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('Frame Dimensions'!$L$124,'Frame Dimensions'!$O$124)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('Frame Dimensions'!$K$124,'Frame Dimensions'!$N$124)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4-9081-4E01-9E98-8AD50F79D535}"/>
            </c:ext>
          </c:extLst>
        </c:ser>
        <c:ser>
          <c:idx val="62"/>
          <c:order val="62"/>
          <c:tx>
            <c:strRef>
              <c:f>'Frame Dimensions'!$B$125</c:f>
              <c:strCache>
                <c:ptCount val="1"/>
                <c:pt idx="0">
                  <c:v>sfbase_R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('Frame Dimensions'!$L$125,'Frame Dimensions'!$O$125)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('Frame Dimensions'!$K$125,'Frame Dimensions'!$N$125)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5-9081-4E01-9E98-8AD50F79D535}"/>
            </c:ext>
          </c:extLst>
        </c:ser>
        <c:ser>
          <c:idx val="63"/>
          <c:order val="63"/>
          <c:tx>
            <c:strRef>
              <c:f>'Frame Dimensions'!$B$103</c:f>
              <c:strCache>
                <c:ptCount val="1"/>
                <c:pt idx="0">
                  <c:v>MSMM</c:v>
                </c:pt>
              </c:strCache>
            </c:strRef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('Frame Dimensions'!$L$103,'Frame Dimensions'!$O$103)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('Frame Dimensions'!$K$103,'Frame Dimensions'!$N$103)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6-9081-4E01-9E98-8AD50F79D535}"/>
            </c:ext>
          </c:extLst>
        </c:ser>
        <c:ser>
          <c:idx val="64"/>
          <c:order val="64"/>
          <c:tx>
            <c:v>MSMML</c:v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('Frame Dimensions'!$L$106,'Frame Dimensions'!$L$105)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('Frame Dimensions'!$K$106,'Frame Dimensions'!$K$105)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7-9081-4E01-9E98-8AD50F79D535}"/>
            </c:ext>
          </c:extLst>
        </c:ser>
        <c:ser>
          <c:idx val="65"/>
          <c:order val="65"/>
          <c:tx>
            <c:v>MSMMR</c:v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('Frame Dimensions'!$O$106,'Frame Dimensions'!$O$105)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('Frame Dimensions'!$N$106,'Frame Dimensions'!$N$105)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8-9081-4E01-9E98-8AD50F79D535}"/>
            </c:ext>
          </c:extLst>
        </c:ser>
        <c:ser>
          <c:idx val="66"/>
          <c:order val="66"/>
          <c:tx>
            <c:strRef>
              <c:f>House!$B$75</c:f>
              <c:strCache>
                <c:ptCount val="1"/>
                <c:pt idx="0">
                  <c:v>#REF!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(House!$B$77,House!$B$79)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(House!$B$78,House!$B$80)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8742-4A7B-9117-19A01DAD6C16}"/>
            </c:ext>
          </c:extLst>
        </c:ser>
        <c:ser>
          <c:idx val="67"/>
          <c:order val="67"/>
          <c:tx>
            <c:strRef>
              <c:f>House!$C$75</c:f>
              <c:strCache>
                <c:ptCount val="1"/>
                <c:pt idx="0">
                  <c:v>#REF!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(House!$C$77,House!$C$79)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(House!$C$78,House!$C$80)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8742-4A7B-9117-19A01DAD6C16}"/>
            </c:ext>
          </c:extLst>
        </c:ser>
        <c:ser>
          <c:idx val="68"/>
          <c:order val="68"/>
          <c:tx>
            <c:strRef>
              <c:f>House!$D$75</c:f>
              <c:strCache>
                <c:ptCount val="1"/>
                <c:pt idx="0">
                  <c:v>#REF!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(House!$D$77,House!$D$79)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(House!$D$78,House!$D$80)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4-8742-4A7B-9117-19A01DAD6C16}"/>
            </c:ext>
          </c:extLst>
        </c:ser>
        <c:ser>
          <c:idx val="69"/>
          <c:order val="69"/>
          <c:tx>
            <c:strRef>
              <c:f>House!$E$75</c:f>
              <c:strCache>
                <c:ptCount val="1"/>
                <c:pt idx="0">
                  <c:v>#REF!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(House!$E$77,House!$E$79)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(House!$E$78,House!$E$80)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5-8742-4A7B-9117-19A01DAD6C16}"/>
            </c:ext>
          </c:extLst>
        </c:ser>
        <c:ser>
          <c:idx val="70"/>
          <c:order val="70"/>
          <c:tx>
            <c:strRef>
              <c:f>House!$F$75</c:f>
              <c:strCache>
                <c:ptCount val="1"/>
                <c:pt idx="0">
                  <c:v>#REF!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(House!$F$77,House!$F$79)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(House!$F$78,House!$F$80)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6-8742-4A7B-9117-19A01DAD6C16}"/>
            </c:ext>
          </c:extLst>
        </c:ser>
        <c:ser>
          <c:idx val="71"/>
          <c:order val="71"/>
          <c:tx>
            <c:strRef>
              <c:f>House!$G$75</c:f>
              <c:strCache>
                <c:ptCount val="1"/>
                <c:pt idx="0">
                  <c:v>#REF!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(House!$G$77,House!$G$79)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(House!$G$78,House!$G$80)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7-8742-4A7B-9117-19A01DAD6C16}"/>
            </c:ext>
          </c:extLst>
        </c:ser>
        <c:ser>
          <c:idx val="72"/>
          <c:order val="72"/>
          <c:tx>
            <c:strRef>
              <c:f>House!$H$75</c:f>
              <c:strCache>
                <c:ptCount val="1"/>
                <c:pt idx="0">
                  <c:v>#REF!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(House!$H$77,House!$H$79)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(House!$H$78,House!$H$80)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8-8742-4A7B-9117-19A01DAD6C16}"/>
            </c:ext>
          </c:extLst>
        </c:ser>
        <c:ser>
          <c:idx val="73"/>
          <c:order val="73"/>
          <c:tx>
            <c:strRef>
              <c:f>House!$I$75</c:f>
              <c:strCache>
                <c:ptCount val="1"/>
                <c:pt idx="0">
                  <c:v>#REF!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(House!$I$77,House!$I$79)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(House!$I$78,House!$I$80)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9-8742-4A7B-9117-19A01DAD6C16}"/>
            </c:ext>
          </c:extLst>
        </c:ser>
        <c:ser>
          <c:idx val="74"/>
          <c:order val="74"/>
          <c:tx>
            <c:strRef>
              <c:f>House!$J$75</c:f>
              <c:strCache>
                <c:ptCount val="1"/>
                <c:pt idx="0">
                  <c:v>#REF!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(House!$J$77,House!$J$79)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(House!$J$78,House!$J$80)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A-8742-4A7B-9117-19A01DAD6C16}"/>
            </c:ext>
          </c:extLst>
        </c:ser>
        <c:ser>
          <c:idx val="75"/>
          <c:order val="75"/>
          <c:tx>
            <c:strRef>
              <c:f>House!$K$75</c:f>
              <c:strCache>
                <c:ptCount val="1"/>
                <c:pt idx="0">
                  <c:v>#REF!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(House!$K$77,House!$K$79)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(House!$K$78,House!$K$80)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B-8742-4A7B-9117-19A01DAD6C16}"/>
            </c:ext>
          </c:extLst>
        </c:ser>
        <c:ser>
          <c:idx val="17"/>
          <c:order val="76"/>
          <c:tx>
            <c:strRef>
              <c:f>House!$A$63</c:f>
              <c:strCache>
                <c:ptCount val="1"/>
                <c:pt idx="0">
                  <c:v>BPHole</c:v>
                </c:pt>
              </c:strCache>
            </c:strRef>
          </c:tx>
          <c:spPr>
            <a:ln w="6350">
              <a:solidFill>
                <a:srgbClr val="FF0000"/>
              </a:solidFill>
              <a:prstDash val="dash"/>
            </a:ln>
          </c:spPr>
          <c:marker>
            <c:symbol val="none"/>
          </c:marker>
          <c:dLbls>
            <c:dLbl>
              <c:idx val="33"/>
              <c:layout>
                <c:manualLayout>
                  <c:x val="9.3699872644510365E-2"/>
                  <c:y val="7.458142060483297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 sz="600"/>
                  </a:pPr>
                  <a:endParaRPr lang="zh-CN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2-345F-4160-9303-DD1AC00914BF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6350">
                      <a:prstDash val="dash"/>
                    </a:ln>
                  </c:spPr>
                </c15:leaderLines>
              </c:ext>
            </c:extLst>
          </c:dLbls>
          <c:xVal>
            <c:numRef>
              <c:f>House!$B$63:$AJ$63</c:f>
              <c:numCache>
                <c:formatCode>0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xVal>
          <c:yVal>
            <c:numRef>
              <c:f>House!$B$64:$AJ$64</c:f>
              <c:numCache>
                <c:formatCode>0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AFB2-4731-B908-367DDDBF513F}"/>
            </c:ext>
          </c:extLst>
        </c:ser>
        <c:ser>
          <c:idx val="16"/>
          <c:order val="77"/>
          <c:tx>
            <c:strRef>
              <c:f>'House reinf, Drive Side'!$A$92</c:f>
              <c:strCache>
                <c:ptCount val="1"/>
                <c:pt idx="0">
                  <c:v>#REF!</c:v>
                </c:pt>
              </c:strCache>
            </c:strRef>
          </c:tx>
          <c:spPr>
            <a:ln w="1270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2"/>
              <c:layout>
                <c:manualLayout>
                  <c:x val="0.12773638607277779"/>
                  <c:y val="4.9694535127188209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 sz="600"/>
                  </a:pPr>
                  <a:endParaRPr lang="zh-CN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4-358A-4924-B68C-333E200D865A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6350">
                      <a:prstDash val="dash"/>
                    </a:ln>
                  </c:spPr>
                </c15:leaderLines>
              </c:ext>
            </c:extLst>
          </c:dLbls>
          <c:xVal>
            <c:numRef>
              <c:f>'House reinf, Drive Side'!$B$92:$AJ$92</c:f>
              <c:numCache>
                <c:formatCode>0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xVal>
          <c:yVal>
            <c:numRef>
              <c:f>'House reinf, Drive Side'!$B$93:$AJ$93</c:f>
              <c:numCache>
                <c:formatCode>0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358A-4924-B68C-333E200D865A}"/>
            </c:ext>
          </c:extLst>
        </c:ser>
        <c:ser>
          <c:idx val="78"/>
          <c:order val="78"/>
          <c:tx>
            <c:strRef>
              <c:f>'House reinf, Drive Side'!$A$94</c:f>
              <c:strCache>
                <c:ptCount val="1"/>
                <c:pt idx="0">
                  <c:v>#REF!</c:v>
                </c:pt>
              </c:strCache>
            </c:strRef>
          </c:tx>
          <c:spPr>
            <a:ln w="1270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'House reinf, Drive Side'!$B$94:$AJ$94</c:f>
              <c:numCache>
                <c:formatCode>0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xVal>
          <c:yVal>
            <c:numRef>
              <c:f>'House reinf, Drive Side'!$B$95:$AJ$95</c:f>
              <c:numCache>
                <c:formatCode>0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358A-4924-B68C-333E200D865A}"/>
            </c:ext>
          </c:extLst>
        </c:ser>
        <c:ser>
          <c:idx val="81"/>
          <c:order val="79"/>
          <c:tx>
            <c:strRef>
              <c:f>'House reinf, Drive Side'!$B$69</c:f>
              <c:strCache>
                <c:ptCount val="1"/>
                <c:pt idx="0">
                  <c:v>SPSeFVL_i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('House reinf, Drive Side'!$B$72,'House reinf, Drive Side'!$B$74)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('House reinf, Drive Side'!$B$73,'House reinf, Drive Side'!$B$75)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5-358A-4924-B68C-333E200D865A}"/>
            </c:ext>
          </c:extLst>
        </c:ser>
        <c:ser>
          <c:idx val="82"/>
          <c:order val="80"/>
          <c:tx>
            <c:strRef>
              <c:f>'House reinf, Drive Side'!$D$69</c:f>
              <c:strCache>
                <c:ptCount val="1"/>
                <c:pt idx="0">
                  <c:v>SPSeFVR_i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('House reinf, Drive Side'!$D$72,'House reinf, Drive Side'!$D$74)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('House reinf, Drive Side'!$D$73,'House reinf, Drive Side'!$D$75)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6-358A-4924-B68C-333E200D865A}"/>
            </c:ext>
          </c:extLst>
        </c:ser>
        <c:ser>
          <c:idx val="83"/>
          <c:order val="81"/>
          <c:tx>
            <c:strRef>
              <c:f>'House reinf, Drive Side'!$F$69</c:f>
              <c:strCache>
                <c:ptCount val="1"/>
                <c:pt idx="0">
                  <c:v>SPSeFHhi_i</c:v>
                </c:pt>
              </c:strCache>
            </c:strRef>
          </c:tx>
          <c:marker>
            <c:symbol val="none"/>
          </c:marker>
          <c:xVal>
            <c:numRef>
              <c:f>('House reinf, Drive Side'!$F$72,'House reinf, Drive Side'!$F$74)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('House reinf, Drive Side'!$F$73,'House reinf, Drive Side'!$F$75)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7-358A-4924-B68C-333E200D865A}"/>
            </c:ext>
          </c:extLst>
        </c:ser>
        <c:ser>
          <c:idx val="84"/>
          <c:order val="82"/>
          <c:tx>
            <c:strRef>
              <c:f>'House reinf, Drive Side'!$H$69</c:f>
              <c:strCache>
                <c:ptCount val="1"/>
                <c:pt idx="0">
                  <c:v>SPSeFHlo_i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('House reinf, Drive Side'!$H$72,'House reinf, Drive Side'!$H$74)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('House reinf, Drive Side'!$H$73,'House reinf, Drive Side'!$H$75)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8-358A-4924-B68C-333E200D865A}"/>
            </c:ext>
          </c:extLst>
        </c:ser>
        <c:ser>
          <c:idx val="85"/>
          <c:order val="83"/>
          <c:tx>
            <c:strRef>
              <c:f>'House reinf, Drive Side'!$J$69</c:f>
              <c:strCache>
                <c:ptCount val="1"/>
                <c:pt idx="0">
                  <c:v>SPSeFOuL</c:v>
                </c:pt>
              </c:strCache>
            </c:strRef>
          </c:tx>
          <c:marker>
            <c:symbol val="none"/>
          </c:marker>
          <c:xVal>
            <c:numRef>
              <c:f>('House reinf, Drive Side'!$J$72,'House reinf, Drive Side'!$J$74)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('House reinf, Drive Side'!$J$73,'House reinf, Drive Side'!$J$75)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9-358A-4924-B68C-333E200D865A}"/>
            </c:ext>
          </c:extLst>
        </c:ser>
        <c:ser>
          <c:idx val="86"/>
          <c:order val="84"/>
          <c:tx>
            <c:strRef>
              <c:f>'House reinf, Drive Side'!$K$69</c:f>
              <c:strCache>
                <c:ptCount val="1"/>
                <c:pt idx="0">
                  <c:v>SPSeFOuR</c:v>
                </c:pt>
              </c:strCache>
            </c:strRef>
          </c:tx>
          <c:marker>
            <c:symbol val="none"/>
          </c:marker>
          <c:xVal>
            <c:numRef>
              <c:f>('House reinf, Drive Side'!$K$72,'House reinf, Drive Side'!$K$74)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('House reinf, Drive Side'!$K$73,'House reinf, Drive Side'!$K$75)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A-358A-4924-B68C-333E200D865A}"/>
            </c:ext>
          </c:extLst>
        </c:ser>
        <c:ser>
          <c:idx val="87"/>
          <c:order val="85"/>
          <c:tx>
            <c:strRef>
              <c:f>'House reinf, Drive Side'!$L$69</c:f>
              <c:strCache>
                <c:ptCount val="1"/>
                <c:pt idx="0">
                  <c:v>SPSeFOloR</c:v>
                </c:pt>
              </c:strCache>
            </c:strRef>
          </c:tx>
          <c:marker>
            <c:symbol val="none"/>
          </c:marker>
          <c:xVal>
            <c:numRef>
              <c:f>('House reinf, Drive Side'!$L$72,'House reinf, Drive Side'!$L$74)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('House reinf, Drive Side'!$L$73,'House reinf, Drive Side'!$L$75)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B-358A-4924-B68C-333E200D865A}"/>
            </c:ext>
          </c:extLst>
        </c:ser>
        <c:ser>
          <c:idx val="88"/>
          <c:order val="86"/>
          <c:tx>
            <c:strRef>
              <c:f>'House reinf, Drive Side'!$M$69</c:f>
              <c:strCache>
                <c:ptCount val="1"/>
                <c:pt idx="0">
                  <c:v>SPSeFOloL</c:v>
                </c:pt>
              </c:strCache>
            </c:strRef>
          </c:tx>
          <c:marker>
            <c:symbol val="none"/>
          </c:marker>
          <c:xVal>
            <c:numRef>
              <c:f>('House reinf, Drive Side'!$M$72,'House reinf, Drive Side'!$M$74)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('House reinf, Drive Side'!$M$73,'House reinf, Drive Side'!$M$75)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C-358A-4924-B68C-333E200D86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0183448"/>
        <c:axId val="530183840"/>
        <c:extLst xmlns:c16r2="http://schemas.microsoft.com/office/drawing/2015/06/chart"/>
      </c:scatterChart>
      <c:valAx>
        <c:axId val="5301834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Z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30183840"/>
        <c:crosses val="autoZero"/>
        <c:crossBetween val="midCat"/>
        <c:majorUnit val="1000"/>
      </c:valAx>
      <c:valAx>
        <c:axId val="53018384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0" sourceLinked="1"/>
        <c:majorTickMark val="out"/>
        <c:minorTickMark val="none"/>
        <c:tickLblPos val="nextTo"/>
        <c:crossAx val="530183448"/>
        <c:crosses val="autoZero"/>
        <c:crossBetween val="midCat"/>
        <c:majorUnit val="1000"/>
      </c:valAx>
    </c:plotArea>
    <c:plotVisOnly val="1"/>
    <c:dispBlanksAs val="gap"/>
    <c:showDLblsOverMax val="0"/>
  </c:chart>
  <c:spPr>
    <a:ln w="12700"/>
  </c:spPr>
  <c:printSettings>
    <c:headerFooter/>
    <c:pageMargins b="0.75000000000000855" l="0.70000000000000062" r="0.70000000000000062" t="0.75000000000000855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'Frame Dimensions'!$A$166</c:f>
          <c:strCache>
            <c:ptCount val="1"/>
            <c:pt idx="0">
              <c:v>HUB_C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zh-CN"/>
        </a:p>
      </c:txPr>
    </c:title>
    <c:autoTitleDeleted val="0"/>
    <c:plotArea>
      <c:layout>
        <c:manualLayout>
          <c:layoutTarget val="inner"/>
          <c:xMode val="edge"/>
          <c:yMode val="edge"/>
          <c:x val="2.7655526392534269E-2"/>
          <c:y val="0.12184273780321862"/>
          <c:w val="0.8471926509186356"/>
          <c:h val="0.74119241354596688"/>
        </c:manualLayout>
      </c:layout>
      <c:scatterChart>
        <c:scatterStyle val="lineMarker"/>
        <c:varyColors val="0"/>
        <c:ser>
          <c:idx val="0"/>
          <c:order val="0"/>
          <c:tx>
            <c:strRef>
              <c:f>'Frame Dimensions'!$B$167</c:f>
              <c:strCache>
                <c:ptCount val="1"/>
                <c:pt idx="0">
                  <c:v>Hubo+</c:v>
                </c:pt>
              </c:strCache>
            </c:strRef>
          </c:tx>
          <c:spPr>
            <a:ln w="1270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('Frame Dimensions'!$J$167,'Frame Dimensions'!$M$167,'Frame Dimensions'!$M$169,'Frame Dimensions'!$J$169,'Frame Dimensions'!$J$167)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('Frame Dimensions'!$K$167,'Frame Dimensions'!$N$167,'Frame Dimensions'!$N$169,'Frame Dimensions'!$K$169,'Frame Dimensions'!$K$167)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D2B-4DF6-B2B1-D604A2AC0142}"/>
            </c:ext>
          </c:extLst>
        </c:ser>
        <c:ser>
          <c:idx val="1"/>
          <c:order val="1"/>
          <c:tx>
            <c:strRef>
              <c:f>'Frame Dimensions'!$B$168</c:f>
              <c:strCache>
                <c:ptCount val="1"/>
                <c:pt idx="0">
                  <c:v>Hubi+</c:v>
                </c:pt>
              </c:strCache>
            </c:strRef>
          </c:tx>
          <c:spPr>
            <a:ln w="1270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('Frame Dimensions'!$J$168,'Frame Dimensions'!$M$168,'Frame Dimensions'!$M$170,'Frame Dimensions'!$J$170,'Frame Dimensions'!$J$168)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('Frame Dimensions'!$K$168,'Frame Dimensions'!$N$168,'Frame Dimensions'!$N$170,'Frame Dimensions'!$K$170,'Frame Dimensions'!$K$168)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9D2B-4DF6-B2B1-D604A2AC01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0184624"/>
        <c:axId val="530185016"/>
      </c:scatterChart>
      <c:valAx>
        <c:axId val="530184624"/>
        <c:scaling>
          <c:orientation val="minMax"/>
          <c:max val="300"/>
          <c:min val="-3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0" sourceLinked="1"/>
        <c:majorTickMark val="out"/>
        <c:minorTickMark val="none"/>
        <c:tickLblPos val="nextTo"/>
        <c:spPr>
          <a:ln>
            <a:prstDash val="dash"/>
          </a:ln>
        </c:spPr>
        <c:crossAx val="530185016"/>
        <c:crosses val="autoZero"/>
        <c:crossBetween val="midCat"/>
        <c:majorUnit val="50"/>
      </c:valAx>
      <c:valAx>
        <c:axId val="530185016"/>
        <c:scaling>
          <c:orientation val="minMax"/>
          <c:max val="150"/>
          <c:min val="-150"/>
        </c:scaling>
        <c:delete val="0"/>
        <c:axPos val="l"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X</a:t>
                </a:r>
              </a:p>
            </c:rich>
          </c:tx>
          <c:layout>
            <c:manualLayout>
              <c:xMode val="edge"/>
              <c:yMode val="edge"/>
              <c:x val="1.2522501369648588E-2"/>
              <c:y val="0.46835952239452155"/>
            </c:manualLayout>
          </c:layout>
          <c:overlay val="0"/>
        </c:title>
        <c:numFmt formatCode="0" sourceLinked="1"/>
        <c:majorTickMark val="out"/>
        <c:minorTickMark val="none"/>
        <c:tickLblPos val="nextTo"/>
        <c:spPr>
          <a:ln>
            <a:prstDash val="dash"/>
          </a:ln>
        </c:spPr>
        <c:crossAx val="530184624"/>
        <c:crosses val="autoZero"/>
        <c:crossBetween val="midCat"/>
      </c:valAx>
    </c:plotArea>
    <c:plotVisOnly val="1"/>
    <c:dispBlanksAs val="gap"/>
    <c:showDLblsOverMax val="0"/>
  </c:chart>
  <c:spPr>
    <a:ln w="12700"/>
  </c:spPr>
  <c:printSettings>
    <c:headerFooter/>
    <c:pageMargins b="0.7500000000000081" l="0.70000000000000062" r="0.70000000000000062" t="0.7500000000000081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House!$A$18</c:f>
              <c:strCache>
                <c:ptCount val="1"/>
                <c:pt idx="0">
                  <c:v>DRIVE VIEW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House!$D$22:$X$22</c:f>
              <c:numCache>
                <c:formatCode>0</c:formatCode>
                <c:ptCount val="21"/>
                <c:pt idx="0">
                  <c:v>441.63608351903093</c:v>
                </c:pt>
                <c:pt idx="1">
                  <c:v>189.76842833419454</c:v>
                </c:pt>
                <c:pt idx="2">
                  <c:v>-85.390841890904142</c:v>
                </c:pt>
                <c:pt idx="3">
                  <c:v>-366.18599062454092</c:v>
                </c:pt>
                <c:pt idx="4">
                  <c:v>-633.84733276053862</c:v>
                </c:pt>
                <c:pt idx="5">
                  <c:v>-869.71516461647775</c:v>
                </c:pt>
                <c:pt idx="6">
                  <c:v>-1056.507049257455</c:v>
                </c:pt>
                <c:pt idx="7">
                  <c:v>-1179.5445062502893</c:v>
                </c:pt>
                <c:pt idx="8">
                  <c:v>-1227.8544160797051</c:v>
                </c:pt>
                <c:pt idx="9">
                  <c:v>-1195.0654100156862</c:v>
                </c:pt>
                <c:pt idx="10">
                  <c:v>-1080.0300773426088</c:v>
                </c:pt>
                <c:pt idx="11">
                  <c:v>-887.11950165678206</c:v>
                </c:pt>
                <c:pt idx="12">
                  <c:v>-626.15658818143959</c:v>
                </c:pt>
                <c:pt idx="13">
                  <c:v>-311.97769233066299</c:v>
                </c:pt>
                <c:pt idx="14">
                  <c:v>36.363224662875822</c:v>
                </c:pt>
                <c:pt idx="15">
                  <c:v>396.70890736742643</c:v>
                </c:pt>
                <c:pt idx="16">
                  <c:v>745.16940915253167</c:v>
                </c:pt>
                <c:pt idx="17">
                  <c:v>1057.6668848778002</c:v>
                </c:pt>
                <c:pt idx="18">
                  <c:v>1311.5572731907439</c:v>
                </c:pt>
                <c:pt idx="19">
                  <c:v>1487.222322279604</c:v>
                </c:pt>
                <c:pt idx="20">
                  <c:v>1569.5229922103276</c:v>
                </c:pt>
              </c:numCache>
            </c:numRef>
          </c:xVal>
          <c:yVal>
            <c:numRef>
              <c:f>House!$D$23:$X$23</c:f>
              <c:numCache>
                <c:formatCode>0</c:formatCode>
                <c:ptCount val="21"/>
                <c:pt idx="0">
                  <c:v>947.0916374532992</c:v>
                </c:pt>
                <c:pt idx="1">
                  <c:v>1049.4331565213881</c:v>
                </c:pt>
                <c:pt idx="2">
                  <c:v>1084.9935196601525</c:v>
                </c:pt>
                <c:pt idx="3">
                  <c:v>1048.5956399967813</c:v>
                </c:pt>
                <c:pt idx="4">
                  <c:v>939.71731554668168</c:v>
                </c:pt>
                <c:pt idx="5">
                  <c:v>762.71972887652214</c:v>
                </c:pt>
                <c:pt idx="6">
                  <c:v>526.75498353856813</c:v>
                </c:pt>
                <c:pt idx="7">
                  <c:v>245.34561013903004</c:v>
                </c:pt>
                <c:pt idx="8">
                  <c:v>-64.349123229612289</c:v>
                </c:pt>
                <c:pt idx="9">
                  <c:v>-382.54345373374764</c:v>
                </c:pt>
                <c:pt idx="10">
                  <c:v>-688.05504305259228</c:v>
                </c:pt>
                <c:pt idx="11">
                  <c:v>-959.68047017168317</c:v>
                </c:pt>
                <c:pt idx="12">
                  <c:v>-1177.629266843798</c:v>
                </c:pt>
                <c:pt idx="13">
                  <c:v>-1324.9218886359483</c:v>
                </c:pt>
                <c:pt idx="14">
                  <c:v>-1388.6555249468331</c:v>
                </c:pt>
                <c:pt idx="15">
                  <c:v>-1361.0466022280202</c:v>
                </c:pt>
                <c:pt idx="16">
                  <c:v>-1240.170158527817</c:v>
                </c:pt>
                <c:pt idx="17">
                  <c:v>-1030.3334630500399</c:v>
                </c:pt>
                <c:pt idx="18">
                  <c:v>-742.04340220550364</c:v>
                </c:pt>
                <c:pt idx="19">
                  <c:v>-391.55296085766645</c:v>
                </c:pt>
                <c:pt idx="20">
                  <c:v>-3.8457973377000741E-13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2E18-42EC-8960-4DB2ADD2D019}"/>
            </c:ext>
          </c:extLst>
        </c:ser>
        <c:ser>
          <c:idx val="1"/>
          <c:order val="1"/>
          <c:tx>
            <c:strRef>
              <c:f>House!$B$19</c:f>
              <c:strCache>
                <c:ptCount val="1"/>
                <c:pt idx="0">
                  <c:v>Lreinf</c:v>
                </c:pt>
              </c:strCache>
            </c:strRef>
          </c:tx>
          <c:spPr>
            <a:ln w="19050" cap="rnd">
              <a:solidFill>
                <a:schemeClr val="tx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(House!$D$22,House!$C$22)</c:f>
              <c:numCache>
                <c:formatCode>0</c:formatCode>
                <c:ptCount val="2"/>
                <c:pt idx="0">
                  <c:v>441.63608351903093</c:v>
                </c:pt>
                <c:pt idx="1">
                  <c:v>441.63608351903093</c:v>
                </c:pt>
              </c:numCache>
            </c:numRef>
          </c:xVal>
          <c:yVal>
            <c:numRef>
              <c:f>(House!$D$23,House!$C$23)</c:f>
              <c:numCache>
                <c:formatCode>0</c:formatCode>
                <c:ptCount val="2"/>
                <c:pt idx="0">
                  <c:v>947.0916374532992</c:v>
                </c:pt>
                <c:pt idx="1">
                  <c:v>1076.6210889730667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2E18-42EC-8960-4DB2ADD2D019}"/>
            </c:ext>
          </c:extLst>
        </c:ser>
        <c:ser>
          <c:idx val="2"/>
          <c:order val="2"/>
          <c:tx>
            <c:strRef>
              <c:f>House!$Y$19</c:f>
              <c:strCache>
                <c:ptCount val="1"/>
                <c:pt idx="0">
                  <c:v>RF stop</c:v>
                </c:pt>
              </c:strCache>
            </c:strRef>
          </c:tx>
          <c:spPr>
            <a:ln w="19050" cap="rnd">
              <a:solidFill>
                <a:schemeClr val="tx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(House!$X$22,House!$Y$22)</c:f>
              <c:numCache>
                <c:formatCode>0</c:formatCode>
                <c:ptCount val="2"/>
                <c:pt idx="0">
                  <c:v>1569.5229922103276</c:v>
                </c:pt>
                <c:pt idx="1">
                  <c:v>1569.5229922103276</c:v>
                </c:pt>
              </c:numCache>
            </c:numRef>
          </c:xVal>
          <c:yVal>
            <c:numRef>
              <c:f>(House!$X$23,House!$Y$23)</c:f>
              <c:numCache>
                <c:formatCode>0</c:formatCode>
                <c:ptCount val="2"/>
                <c:pt idx="0">
                  <c:v>-3.8457973377000741E-13</c:v>
                </c:pt>
                <c:pt idx="1">
                  <c:v>1076.6210889730667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2E18-42EC-8960-4DB2ADD2D0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0185800"/>
        <c:axId val="530186192"/>
      </c:scatterChart>
      <c:valAx>
        <c:axId val="530185800"/>
        <c:scaling>
          <c:orientation val="minMax"/>
          <c:max val="2000"/>
          <c:min val="-2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30186192"/>
        <c:crosses val="autoZero"/>
        <c:crossBetween val="midCat"/>
        <c:majorUnit val="1000"/>
      </c:valAx>
      <c:valAx>
        <c:axId val="530186192"/>
        <c:scaling>
          <c:orientation val="minMax"/>
          <c:max val="2000"/>
          <c:min val="-2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30185800"/>
        <c:crosses val="autoZero"/>
        <c:crossBetween val="midCat"/>
        <c:majorUnit val="10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House!$A$30</c:f>
              <c:strCache>
                <c:ptCount val="1"/>
                <c:pt idx="0">
                  <c:v>DRIVE VIEW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House!$D$34:$X$34</c:f>
              <c:numCache>
                <c:formatCode>0</c:formatCode>
                <c:ptCount val="21"/>
                <c:pt idx="0">
                  <c:v>-982</c:v>
                </c:pt>
                <c:pt idx="1">
                  <c:v>-876.2</c:v>
                </c:pt>
                <c:pt idx="2">
                  <c:v>-706.8</c:v>
                </c:pt>
                <c:pt idx="3">
                  <c:v>-482.5</c:v>
                </c:pt>
                <c:pt idx="4">
                  <c:v>-216.3</c:v>
                </c:pt>
                <c:pt idx="5">
                  <c:v>75.7</c:v>
                </c:pt>
                <c:pt idx="6">
                  <c:v>374.6</c:v>
                </c:pt>
                <c:pt idx="7">
                  <c:v>660.6</c:v>
                </c:pt>
                <c:pt idx="8">
                  <c:v>913.7</c:v>
                </c:pt>
                <c:pt idx="9">
                  <c:v>1115.5</c:v>
                </c:pt>
                <c:pt idx="10">
                  <c:v>1250.2</c:v>
                </c:pt>
                <c:pt idx="11">
                  <c:v>1305.9000000000001</c:v>
                </c:pt>
                <c:pt idx="12">
                  <c:v>1275.5</c:v>
                </c:pt>
                <c:pt idx="13">
                  <c:v>1157.5</c:v>
                </c:pt>
                <c:pt idx="14">
                  <c:v>956.2</c:v>
                </c:pt>
                <c:pt idx="15">
                  <c:v>681.9</c:v>
                </c:pt>
                <c:pt idx="16">
                  <c:v>350</c:v>
                </c:pt>
                <c:pt idx="17">
                  <c:v>-19.3</c:v>
                </c:pt>
                <c:pt idx="18">
                  <c:v>-402.7</c:v>
                </c:pt>
                <c:pt idx="19">
                  <c:v>-774.8</c:v>
                </c:pt>
                <c:pt idx="20">
                  <c:v>-1109.8</c:v>
                </c:pt>
              </c:numCache>
            </c:numRef>
          </c:xVal>
          <c:yVal>
            <c:numRef>
              <c:f>House!$D$35:$X$35</c:f>
              <c:numCache>
                <c:formatCode>0</c:formatCode>
                <c:ptCount val="21"/>
                <c:pt idx="0">
                  <c:v>-357.4</c:v>
                </c:pt>
                <c:pt idx="1">
                  <c:v>-607.9</c:v>
                </c:pt>
                <c:pt idx="2">
                  <c:v>-827.6</c:v>
                </c:pt>
                <c:pt idx="3">
                  <c:v>-1000.4</c:v>
                </c:pt>
                <c:pt idx="4">
                  <c:v>-1112.7</c:v>
                </c:pt>
                <c:pt idx="5">
                  <c:v>-1154.3</c:v>
                </c:pt>
                <c:pt idx="6">
                  <c:v>-1119.5</c:v>
                </c:pt>
                <c:pt idx="7">
                  <c:v>-1007.5</c:v>
                </c:pt>
                <c:pt idx="8">
                  <c:v>-822.7</c:v>
                </c:pt>
                <c:pt idx="9">
                  <c:v>-574.5</c:v>
                </c:pt>
                <c:pt idx="10">
                  <c:v>-277.2</c:v>
                </c:pt>
                <c:pt idx="11">
                  <c:v>51.3</c:v>
                </c:pt>
                <c:pt idx="12">
                  <c:v>390</c:v>
                </c:pt>
                <c:pt idx="13">
                  <c:v>716.3</c:v>
                </c:pt>
                <c:pt idx="14">
                  <c:v>1007.6</c:v>
                </c:pt>
                <c:pt idx="15">
                  <c:v>1242.9000000000001</c:v>
                </c:pt>
                <c:pt idx="16">
                  <c:v>1403.8</c:v>
                </c:pt>
                <c:pt idx="17">
                  <c:v>1476.4</c:v>
                </c:pt>
                <c:pt idx="18">
                  <c:v>1452.1</c:v>
                </c:pt>
                <c:pt idx="19">
                  <c:v>1328.5</c:v>
                </c:pt>
                <c:pt idx="20">
                  <c:v>1109.8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A841-4A1C-9542-2740C2AD1B1B}"/>
            </c:ext>
          </c:extLst>
        </c:ser>
        <c:ser>
          <c:idx val="1"/>
          <c:order val="1"/>
          <c:tx>
            <c:strRef>
              <c:f>House!$B$31</c:f>
              <c:strCache>
                <c:ptCount val="1"/>
                <c:pt idx="0">
                  <c:v>Lreinf</c:v>
                </c:pt>
              </c:strCache>
            </c:strRef>
          </c:tx>
          <c:spPr>
            <a:ln w="19050" cap="rnd">
              <a:solidFill>
                <a:schemeClr val="tx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(House!$D$34,House!$C$34)</c:f>
              <c:numCache>
                <c:formatCode>0</c:formatCode>
                <c:ptCount val="2"/>
                <c:pt idx="0">
                  <c:v>-982</c:v>
                </c:pt>
                <c:pt idx="1">
                  <c:v>-1073.5999999999999</c:v>
                </c:pt>
              </c:numCache>
            </c:numRef>
          </c:xVal>
          <c:yVal>
            <c:numRef>
              <c:f>(House!$D$35,House!$C$35)</c:f>
              <c:numCache>
                <c:formatCode>0</c:formatCode>
                <c:ptCount val="2"/>
                <c:pt idx="0">
                  <c:v>-357.4</c:v>
                </c:pt>
                <c:pt idx="1">
                  <c:v>-449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A841-4A1C-9542-2740C2AD1B1B}"/>
            </c:ext>
          </c:extLst>
        </c:ser>
        <c:ser>
          <c:idx val="2"/>
          <c:order val="2"/>
          <c:tx>
            <c:strRef>
              <c:f>House!$Y$31</c:f>
              <c:strCache>
                <c:ptCount val="1"/>
                <c:pt idx="0">
                  <c:v>RF stop</c:v>
                </c:pt>
              </c:strCache>
            </c:strRef>
          </c:tx>
          <c:spPr>
            <a:ln w="19050" cap="rnd">
              <a:solidFill>
                <a:schemeClr val="tx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(House!$X$34,House!$Y$34)</c:f>
              <c:numCache>
                <c:formatCode>0</c:formatCode>
                <c:ptCount val="2"/>
                <c:pt idx="0">
                  <c:v>-1109.8</c:v>
                </c:pt>
                <c:pt idx="1">
                  <c:v>-1871.1</c:v>
                </c:pt>
              </c:numCache>
            </c:numRef>
          </c:xVal>
          <c:yVal>
            <c:numRef>
              <c:f>(House!$X$35,House!$Y$35)</c:f>
              <c:numCache>
                <c:formatCode>0</c:formatCode>
                <c:ptCount val="2"/>
                <c:pt idx="0">
                  <c:v>1109.8</c:v>
                </c:pt>
                <c:pt idx="1">
                  <c:v>348.5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A841-4A1C-9542-2740C2AD1B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4207528"/>
        <c:axId val="534207920"/>
      </c:scatterChart>
      <c:valAx>
        <c:axId val="534207528"/>
        <c:scaling>
          <c:orientation val="minMax"/>
          <c:max val="2000"/>
          <c:min val="-2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34207920"/>
        <c:crosses val="autoZero"/>
        <c:crossBetween val="midCat"/>
        <c:majorUnit val="1000"/>
      </c:valAx>
      <c:valAx>
        <c:axId val="534207920"/>
        <c:scaling>
          <c:orientation val="minMax"/>
          <c:max val="2000"/>
          <c:min val="-2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34207528"/>
        <c:crosses val="autoZero"/>
        <c:crossBetween val="midCat"/>
        <c:majorUnit val="10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2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6.xml"/><Relationship Id="rId3" Type="http://schemas.openxmlformats.org/officeDocument/2006/relationships/chart" Target="../charts/chart11.xml"/><Relationship Id="rId7" Type="http://schemas.openxmlformats.org/officeDocument/2006/relationships/chart" Target="../charts/chart15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6" Type="http://schemas.openxmlformats.org/officeDocument/2006/relationships/chart" Target="../charts/chart14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emf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png"/><Relationship Id="rId1" Type="http://schemas.openxmlformats.org/officeDocument/2006/relationships/image" Target="../media/image7.png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JP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82</xdr:row>
      <xdr:rowOff>19050</xdr:rowOff>
    </xdr:from>
    <xdr:to>
      <xdr:col>3</xdr:col>
      <xdr:colOff>695325</xdr:colOff>
      <xdr:row>85</xdr:row>
      <xdr:rowOff>152400</xdr:rowOff>
    </xdr:to>
    <xdr:sp macro="[0]!Direct_Driven" textlink="">
      <xdr:nvSpPr>
        <xdr:cNvPr id="2" name="Rounded Rectangle 1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SpPr/>
      </xdr:nvSpPr>
      <xdr:spPr>
        <a:xfrm>
          <a:off x="0" y="8887883"/>
          <a:ext cx="4896908" cy="609600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da-DK" sz="1400" b="1">
              <a:solidFill>
                <a:sysClr val="windowText" lastClr="000000"/>
              </a:solidFill>
            </a:rPr>
            <a:t>DIRECT DRIVEN</a:t>
          </a:r>
          <a:endParaRPr lang="da-DK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0</xdr:colOff>
      <xdr:row>87</xdr:row>
      <xdr:rowOff>21431</xdr:rowOff>
    </xdr:from>
    <xdr:to>
      <xdr:col>3</xdr:col>
      <xdr:colOff>695325</xdr:colOff>
      <xdr:row>90</xdr:row>
      <xdr:rowOff>154781</xdr:rowOff>
    </xdr:to>
    <xdr:sp macro="[0]!Coupling_Driven" textlink="">
      <xdr:nvSpPr>
        <xdr:cNvPr id="3" name="Rounded Rectangle 2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SpPr/>
      </xdr:nvSpPr>
      <xdr:spPr>
        <a:xfrm>
          <a:off x="0" y="10927556"/>
          <a:ext cx="5553075" cy="633413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da-DK" sz="1400" b="1">
              <a:solidFill>
                <a:sysClr val="windowText" lastClr="000000"/>
              </a:solidFill>
            </a:rPr>
            <a:t>COUPLING</a:t>
          </a:r>
          <a:r>
            <a:rPr lang="da-DK" sz="1400" b="1" baseline="0">
              <a:solidFill>
                <a:sysClr val="windowText" lastClr="000000"/>
              </a:solidFill>
            </a:rPr>
            <a:t> DRIVEN</a:t>
          </a:r>
          <a:endParaRPr lang="da-DK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17</xdr:col>
      <xdr:colOff>714372</xdr:colOff>
      <xdr:row>0</xdr:row>
      <xdr:rowOff>9265</xdr:rowOff>
    </xdr:from>
    <xdr:to>
      <xdr:col>19</xdr:col>
      <xdr:colOff>709081</xdr:colOff>
      <xdr:row>1</xdr:row>
      <xdr:rowOff>400847</xdr:rowOff>
    </xdr:to>
    <xdr:sp macro="[0]!Reset_Data" textlink="">
      <xdr:nvSpPr>
        <xdr:cNvPr id="53" name="Rounded Rectangle 52">
          <a:extLst>
            <a:ext uri="{FF2B5EF4-FFF2-40B4-BE49-F238E27FC236}">
              <a16:creationId xmlns:a16="http://schemas.microsoft.com/office/drawing/2014/main" xmlns="" id="{00000000-0008-0000-0000-000035000000}"/>
            </a:ext>
          </a:extLst>
        </xdr:cNvPr>
        <xdr:cNvSpPr/>
      </xdr:nvSpPr>
      <xdr:spPr>
        <a:xfrm>
          <a:off x="13430247" y="9265"/>
          <a:ext cx="1423459" cy="8083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da-DK" sz="1100"/>
            <a:t>New Fan, Reset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9525</xdr:colOff>
          <xdr:row>0</xdr:row>
          <xdr:rowOff>47625</xdr:rowOff>
        </xdr:from>
        <xdr:to>
          <xdr:col>21</xdr:col>
          <xdr:colOff>714375</xdr:colOff>
          <xdr:row>1</xdr:row>
          <xdr:rowOff>390525</xdr:rowOff>
        </xdr:to>
        <xdr:sp macro="" textlink="">
          <xdr:nvSpPr>
            <xdr:cNvPr id="5145" name="Button 25" hidden="1">
              <a:extLst>
                <a:ext uri="{63B3BB69-23CF-44E3-9099-C40C66FF867C}">
                  <a14:compatExt spid="_x0000_s5145"/>
                </a:ext>
                <a:ext uri="{FF2B5EF4-FFF2-40B4-BE49-F238E27FC236}">
                  <a16:creationId xmlns:a16="http://schemas.microsoft.com/office/drawing/2014/main" xmlns="" id="{00000000-0008-0000-0000-00001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FFFFFF"/>
                  </a:solidFill>
                  <a:latin typeface="Calibri"/>
                </a:rPr>
                <a:t>Select Fan File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18142</xdr:colOff>
      <xdr:row>9</xdr:row>
      <xdr:rowOff>18153</xdr:rowOff>
    </xdr:from>
    <xdr:to>
      <xdr:col>12</xdr:col>
      <xdr:colOff>671285</xdr:colOff>
      <xdr:row>12</xdr:row>
      <xdr:rowOff>9081</xdr:rowOff>
    </xdr:to>
    <xdr:sp macro="[0]!Direct_Driven" textlink="">
      <xdr:nvSpPr>
        <xdr:cNvPr id="7" name="Rounded Rectangle 1">
          <a:extLst>
            <a:ext uri="{FF2B5EF4-FFF2-40B4-BE49-F238E27FC236}">
              <a16:creationId xmlns:a16="http://schemas.microsoft.com/office/drawing/2014/main" xmlns="" id="{00000000-0008-0000-0000-000007000000}"/>
            </a:ext>
          </a:extLst>
        </xdr:cNvPr>
        <xdr:cNvSpPr/>
      </xdr:nvSpPr>
      <xdr:spPr>
        <a:xfrm>
          <a:off x="6785428" y="2376724"/>
          <a:ext cx="3374571" cy="544286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da-DK" sz="1400" b="1">
              <a:solidFill>
                <a:sysClr val="windowText" lastClr="000000"/>
              </a:solidFill>
            </a:rPr>
            <a:t>DIRECT DRIVEN</a:t>
          </a:r>
          <a:endParaRPr lang="da-DK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8</xdr:col>
      <xdr:colOff>7257</xdr:colOff>
      <xdr:row>12</xdr:row>
      <xdr:rowOff>27221</xdr:rowOff>
    </xdr:from>
    <xdr:to>
      <xdr:col>12</xdr:col>
      <xdr:colOff>671286</xdr:colOff>
      <xdr:row>14</xdr:row>
      <xdr:rowOff>179621</xdr:rowOff>
    </xdr:to>
    <xdr:sp macro="[0]!Coupling_Driven" textlink="">
      <xdr:nvSpPr>
        <xdr:cNvPr id="8" name="Rounded Rectangle 1">
          <a:extLst>
            <a:ext uri="{FF2B5EF4-FFF2-40B4-BE49-F238E27FC236}">
              <a16:creationId xmlns:a16="http://schemas.microsoft.com/office/drawing/2014/main" xmlns="" id="{00000000-0008-0000-0000-000008000000}"/>
            </a:ext>
          </a:extLst>
        </xdr:cNvPr>
        <xdr:cNvSpPr/>
      </xdr:nvSpPr>
      <xdr:spPr>
        <a:xfrm>
          <a:off x="6774543" y="2939150"/>
          <a:ext cx="3385457" cy="515257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da-DK" sz="1400" b="1">
              <a:solidFill>
                <a:sysClr val="windowText" lastClr="000000"/>
              </a:solidFill>
            </a:rPr>
            <a:t>COUPLING DRIVEN</a:t>
          </a:r>
          <a:endParaRPr lang="da-DK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15</xdr:col>
      <xdr:colOff>9071</xdr:colOff>
      <xdr:row>9</xdr:row>
      <xdr:rowOff>0</xdr:rowOff>
    </xdr:from>
    <xdr:to>
      <xdr:col>19</xdr:col>
      <xdr:colOff>662214</xdr:colOff>
      <xdr:row>11</xdr:row>
      <xdr:rowOff>172357</xdr:rowOff>
    </xdr:to>
    <xdr:sp macro="[0]!Load_Fan_Cost_Calculator" textlink="">
      <xdr:nvSpPr>
        <xdr:cNvPr id="9" name="Rounded Rectangle 1">
          <a:extLst>
            <a:ext uri="{FF2B5EF4-FFF2-40B4-BE49-F238E27FC236}">
              <a16:creationId xmlns:a16="http://schemas.microsoft.com/office/drawing/2014/main" xmlns="" id="{00000000-0008-0000-0000-000009000000}"/>
            </a:ext>
          </a:extLst>
        </xdr:cNvPr>
        <xdr:cNvSpPr/>
      </xdr:nvSpPr>
      <xdr:spPr>
        <a:xfrm>
          <a:off x="11538857" y="2358571"/>
          <a:ext cx="3374571" cy="544286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da-DK" sz="1400" b="1">
              <a:solidFill>
                <a:sysClr val="windowText" lastClr="000000"/>
              </a:solidFill>
            </a:rPr>
            <a:t>LOAD</a:t>
          </a:r>
          <a:r>
            <a:rPr lang="da-DK" sz="1400" b="1" baseline="0">
              <a:solidFill>
                <a:sysClr val="windowText" lastClr="000000"/>
              </a:solidFill>
            </a:rPr>
            <a:t> FCC</a:t>
          </a:r>
          <a:endParaRPr lang="da-DK" sz="1100" b="1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259081</xdr:colOff>
      <xdr:row>0</xdr:row>
      <xdr:rowOff>0</xdr:rowOff>
    </xdr:from>
    <xdr:to>
      <xdr:col>9</xdr:col>
      <xdr:colOff>15241</xdr:colOff>
      <xdr:row>4</xdr:row>
      <xdr:rowOff>101194</xdr:rowOff>
    </xdr:to>
    <xdr:pic>
      <xdr:nvPicPr>
        <xdr:cNvPr id="3" name="图片 2">
          <a:extLst>
            <a:ext uri="{FF2B5EF4-FFF2-40B4-BE49-F238E27FC236}">
              <a16:creationId xmlns:a16="http://schemas.microsoft.com/office/drawing/2014/main" xmlns="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67301" y="0"/>
          <a:ext cx="1173480" cy="710794"/>
        </a:xfrm>
        <a:prstGeom prst="rect">
          <a:avLst/>
        </a:prstGeom>
      </xdr:spPr>
    </xdr:pic>
    <xdr:clientData/>
  </xdr:twoCellAnchor>
  <xdr:twoCellAnchor>
    <xdr:from>
      <xdr:col>13</xdr:col>
      <xdr:colOff>114300</xdr:colOff>
      <xdr:row>2</xdr:row>
      <xdr:rowOff>114300</xdr:rowOff>
    </xdr:from>
    <xdr:to>
      <xdr:col>15</xdr:col>
      <xdr:colOff>175260</xdr:colOff>
      <xdr:row>5</xdr:row>
      <xdr:rowOff>91440</xdr:rowOff>
    </xdr:to>
    <xdr:sp macro="[0]!outpdf" textlink="">
      <xdr:nvSpPr>
        <xdr:cNvPr id="2" name="矩形: 圆角 1">
          <a:extLst>
            <a:ext uri="{FF2B5EF4-FFF2-40B4-BE49-F238E27FC236}">
              <a16:creationId xmlns:a16="http://schemas.microsoft.com/office/drawing/2014/main" xmlns="" id="{00000000-0008-0000-0200-000002000000}"/>
            </a:ext>
          </a:extLst>
        </xdr:cNvPr>
        <xdr:cNvSpPr/>
      </xdr:nvSpPr>
      <xdr:spPr>
        <a:xfrm>
          <a:off x="8503920" y="419100"/>
          <a:ext cx="1280160" cy="43434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导出</a:t>
          </a:r>
          <a:r>
            <a:rPr lang="en-US" altLang="zh-CN" sz="1100"/>
            <a:t>PDF</a:t>
          </a:r>
          <a:endParaRPr lang="zh-CN" altLang="en-US" sz="1100"/>
        </a:p>
      </xdr:txBody>
    </xdr:sp>
    <xdr:clientData/>
  </xdr:twoCellAnchor>
  <xdr:twoCellAnchor>
    <xdr:from>
      <xdr:col>0</xdr:col>
      <xdr:colOff>0</xdr:colOff>
      <xdr:row>56</xdr:row>
      <xdr:rowOff>7620</xdr:rowOff>
    </xdr:from>
    <xdr:to>
      <xdr:col>8</xdr:col>
      <xdr:colOff>594360</xdr:colOff>
      <xdr:row>82</xdr:row>
      <xdr:rowOff>144780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xmlns="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0.39355</cdr:x>
      <cdr:y>0.1156</cdr:y>
    </cdr:from>
    <cdr:to>
      <cdr:x>0.42194</cdr:x>
      <cdr:y>0.15229</cdr:y>
    </cdr:to>
    <cdr:sp macro="" textlink="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xmlns="" id="{6CB6CC9D-FA0F-4E4F-B57D-81F19ADE1CD9}"/>
            </a:ext>
          </a:extLst>
        </cdr:cNvPr>
        <cdr:cNvSpPr txBox="1"/>
      </cdr:nvSpPr>
      <cdr:spPr>
        <a:xfrm xmlns:a="http://schemas.openxmlformats.org/drawingml/2006/main">
          <a:off x="3631406" y="750092"/>
          <a:ext cx="261938" cy="2381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da-DK" sz="1100"/>
        </a:p>
      </cdr:txBody>
    </cdr:sp>
  </cdr:relSizeAnchor>
  <cdr:relSizeAnchor xmlns:cdr="http://schemas.openxmlformats.org/drawingml/2006/chartDrawing">
    <cdr:from>
      <cdr:x>0.00797</cdr:x>
      <cdr:y>0.0142</cdr:y>
    </cdr:from>
    <cdr:to>
      <cdr:x>0.1252</cdr:x>
      <cdr:y>0.13183</cdr:y>
    </cdr:to>
    <cdr:pic>
      <cdr:nvPicPr>
        <cdr:cNvPr id="5" name="图片 4">
          <a:extLst xmlns:a="http://schemas.openxmlformats.org/drawingml/2006/main">
            <a:ext uri="{FF2B5EF4-FFF2-40B4-BE49-F238E27FC236}">
              <a16:creationId xmlns:a16="http://schemas.microsoft.com/office/drawing/2014/main" xmlns="" id="{3A0DBD6A-B4DC-4FB4-AFC5-24A0A295E9E8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76200" y="91440"/>
          <a:ext cx="1120140" cy="757414"/>
        </a:xfrm>
        <a:prstGeom xmlns:a="http://schemas.openxmlformats.org/drawingml/2006/main" prst="rect">
          <a:avLst/>
        </a:prstGeom>
      </cdr:spPr>
    </cdr:pic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259081</xdr:colOff>
      <xdr:row>0</xdr:row>
      <xdr:rowOff>0</xdr:rowOff>
    </xdr:from>
    <xdr:to>
      <xdr:col>9</xdr:col>
      <xdr:colOff>15241</xdr:colOff>
      <xdr:row>4</xdr:row>
      <xdr:rowOff>101194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xmlns="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02581" y="0"/>
          <a:ext cx="1173480" cy="710794"/>
        </a:xfrm>
        <a:prstGeom prst="rect">
          <a:avLst/>
        </a:prstGeom>
      </xdr:spPr>
    </xdr:pic>
    <xdr:clientData/>
  </xdr:twoCellAnchor>
  <xdr:twoCellAnchor>
    <xdr:from>
      <xdr:col>13</xdr:col>
      <xdr:colOff>114300</xdr:colOff>
      <xdr:row>2</xdr:row>
      <xdr:rowOff>114300</xdr:rowOff>
    </xdr:from>
    <xdr:to>
      <xdr:col>15</xdr:col>
      <xdr:colOff>175260</xdr:colOff>
      <xdr:row>5</xdr:row>
      <xdr:rowOff>91440</xdr:rowOff>
    </xdr:to>
    <xdr:sp macro="[0]!outpdf2" textlink="">
      <xdr:nvSpPr>
        <xdr:cNvPr id="3" name="矩形: 圆角 2">
          <a:extLst>
            <a:ext uri="{FF2B5EF4-FFF2-40B4-BE49-F238E27FC236}">
              <a16:creationId xmlns:a16="http://schemas.microsoft.com/office/drawing/2014/main" xmlns="" id="{00000000-0008-0000-0300-000003000000}"/>
            </a:ext>
          </a:extLst>
        </xdr:cNvPr>
        <xdr:cNvSpPr/>
      </xdr:nvSpPr>
      <xdr:spPr>
        <a:xfrm>
          <a:off x="9212580" y="419100"/>
          <a:ext cx="2179320" cy="43434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导出</a:t>
          </a:r>
          <a:r>
            <a:rPr lang="en-US" altLang="zh-CN" sz="1100"/>
            <a:t>PDF</a:t>
          </a:r>
          <a:endParaRPr lang="zh-CN" altLang="en-US" sz="1100"/>
        </a:p>
      </xdr:txBody>
    </xdr:sp>
    <xdr:clientData/>
  </xdr:twoCellAnchor>
  <xdr:twoCellAnchor>
    <xdr:from>
      <xdr:col>0</xdr:col>
      <xdr:colOff>0</xdr:colOff>
      <xdr:row>56</xdr:row>
      <xdr:rowOff>7620</xdr:rowOff>
    </xdr:from>
    <xdr:to>
      <xdr:col>8</xdr:col>
      <xdr:colOff>594360</xdr:colOff>
      <xdr:row>82</xdr:row>
      <xdr:rowOff>144780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xmlns="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0.39355</cdr:x>
      <cdr:y>0.1156</cdr:y>
    </cdr:from>
    <cdr:to>
      <cdr:x>0.42194</cdr:x>
      <cdr:y>0.15229</cdr:y>
    </cdr:to>
    <cdr:sp macro="" textlink="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xmlns="" id="{6CB6CC9D-FA0F-4E4F-B57D-81F19ADE1CD9}"/>
            </a:ext>
          </a:extLst>
        </cdr:cNvPr>
        <cdr:cNvSpPr txBox="1"/>
      </cdr:nvSpPr>
      <cdr:spPr>
        <a:xfrm xmlns:a="http://schemas.openxmlformats.org/drawingml/2006/main">
          <a:off x="3631406" y="750092"/>
          <a:ext cx="261938" cy="2381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da-DK" sz="1100"/>
        </a:p>
      </cdr:txBody>
    </cdr:sp>
  </cdr:relSizeAnchor>
  <cdr:relSizeAnchor xmlns:cdr="http://schemas.openxmlformats.org/drawingml/2006/chartDrawing">
    <cdr:from>
      <cdr:x>0.00797</cdr:x>
      <cdr:y>0.0142</cdr:y>
    </cdr:from>
    <cdr:to>
      <cdr:x>0.1252</cdr:x>
      <cdr:y>0.13183</cdr:y>
    </cdr:to>
    <cdr:pic>
      <cdr:nvPicPr>
        <cdr:cNvPr id="5" name="图片 4">
          <a:extLst xmlns:a="http://schemas.openxmlformats.org/drawingml/2006/main">
            <a:ext uri="{FF2B5EF4-FFF2-40B4-BE49-F238E27FC236}">
              <a16:creationId xmlns:a16="http://schemas.microsoft.com/office/drawing/2014/main" xmlns="" id="{3A0DBD6A-B4DC-4FB4-AFC5-24A0A295E9E8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76200" y="91440"/>
          <a:ext cx="1120140" cy="757414"/>
        </a:xfrm>
        <a:prstGeom xmlns:a="http://schemas.openxmlformats.org/drawingml/2006/main" prst="rect">
          <a:avLst/>
        </a:prstGeom>
      </cdr:spPr>
    </cdr:pic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59532</xdr:colOff>
      <xdr:row>6</xdr:row>
      <xdr:rowOff>10583</xdr:rowOff>
    </xdr:from>
    <xdr:to>
      <xdr:col>8</xdr:col>
      <xdr:colOff>809626</xdr:colOff>
      <xdr:row>52</xdr:row>
      <xdr:rowOff>244929</xdr:rowOff>
    </xdr:to>
    <xdr:sp macro="[0]!Create_Direct_files" textlink="">
      <xdr:nvSpPr>
        <xdr:cNvPr id="69" name="Rounded Rectangle 68">
          <a:extLst>
            <a:ext uri="{FF2B5EF4-FFF2-40B4-BE49-F238E27FC236}">
              <a16:creationId xmlns:a16="http://schemas.microsoft.com/office/drawing/2014/main" xmlns="" id="{00000000-0008-0000-0500-000045000000}"/>
            </a:ext>
          </a:extLst>
        </xdr:cNvPr>
        <xdr:cNvSpPr/>
      </xdr:nvSpPr>
      <xdr:spPr>
        <a:xfrm>
          <a:off x="10918032" y="2024440"/>
          <a:ext cx="1684451" cy="11664346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da-DK" sz="1600" b="1">
              <a:solidFill>
                <a:schemeClr val="tx1"/>
              </a:solidFill>
            </a:rPr>
            <a:t>CREATE</a:t>
          </a:r>
        </a:p>
        <a:p>
          <a:pPr algn="ctr"/>
          <a:r>
            <a:rPr lang="da-DK" sz="1600" b="1">
              <a:solidFill>
                <a:schemeClr val="tx1"/>
              </a:solidFill>
            </a:rPr>
            <a:t>AXLE</a:t>
          </a:r>
          <a:r>
            <a:rPr lang="da-DK" sz="1600" b="1" baseline="0">
              <a:solidFill>
                <a:schemeClr val="tx1"/>
              </a:solidFill>
            </a:rPr>
            <a:t> </a:t>
          </a:r>
        </a:p>
        <a:p>
          <a:pPr algn="ctr"/>
          <a:r>
            <a:rPr lang="da-DK" sz="1600" b="1" baseline="0">
              <a:solidFill>
                <a:schemeClr val="tx1"/>
              </a:solidFill>
            </a:rPr>
            <a:t>&amp;</a:t>
          </a:r>
        </a:p>
        <a:p>
          <a:pPr algn="ctr"/>
          <a:r>
            <a:rPr lang="da-DK" sz="1600" b="1" baseline="0">
              <a:solidFill>
                <a:schemeClr val="tx1"/>
              </a:solidFill>
            </a:rPr>
            <a:t> BEARING</a:t>
          </a:r>
        </a:p>
        <a:p>
          <a:pPr algn="ctr"/>
          <a:r>
            <a:rPr lang="da-DK" sz="1600" b="1" baseline="0">
              <a:solidFill>
                <a:schemeClr val="tx1"/>
              </a:solidFill>
            </a:rPr>
            <a:t>SPECS file</a:t>
          </a:r>
          <a:endParaRPr lang="da-DK" sz="1600" b="1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396872</xdr:colOff>
      <xdr:row>26</xdr:row>
      <xdr:rowOff>158751</xdr:rowOff>
    </xdr:from>
    <xdr:to>
      <xdr:col>18</xdr:col>
      <xdr:colOff>879929</xdr:colOff>
      <xdr:row>43</xdr:row>
      <xdr:rowOff>243484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xmlns="" id="{00000000-0008-0000-0500-000002000000}"/>
            </a:ext>
          </a:extLst>
        </xdr:cNvPr>
        <xdr:cNvGrpSpPr/>
      </xdr:nvGrpSpPr>
      <xdr:grpSpPr>
        <a:xfrm>
          <a:off x="15109334" y="7475905"/>
          <a:ext cx="8532903" cy="4402733"/>
          <a:chOff x="10060772" y="2184645"/>
          <a:chExt cx="8733835" cy="6922380"/>
        </a:xfrm>
      </xdr:grpSpPr>
      <xdr:grpSp>
        <xdr:nvGrpSpPr>
          <xdr:cNvPr id="25" name="Group 24">
            <a:extLst>
              <a:ext uri="{FF2B5EF4-FFF2-40B4-BE49-F238E27FC236}">
                <a16:creationId xmlns:a16="http://schemas.microsoft.com/office/drawing/2014/main" xmlns="" id="{00000000-0008-0000-0500-000019000000}"/>
              </a:ext>
            </a:extLst>
          </xdr:cNvPr>
          <xdr:cNvGrpSpPr/>
        </xdr:nvGrpSpPr>
        <xdr:grpSpPr>
          <a:xfrm>
            <a:off x="10060772" y="2411677"/>
            <a:ext cx="8733835" cy="5285590"/>
            <a:chOff x="9524999" y="2386874"/>
            <a:chExt cx="7863613" cy="5257670"/>
          </a:xfrm>
        </xdr:grpSpPr>
        <xdr:grpSp>
          <xdr:nvGrpSpPr>
            <xdr:cNvPr id="24" name="Group 23">
              <a:extLst>
                <a:ext uri="{FF2B5EF4-FFF2-40B4-BE49-F238E27FC236}">
                  <a16:creationId xmlns:a16="http://schemas.microsoft.com/office/drawing/2014/main" xmlns="" id="{00000000-0008-0000-0500-000018000000}"/>
                </a:ext>
              </a:extLst>
            </xdr:cNvPr>
            <xdr:cNvGrpSpPr/>
          </xdr:nvGrpSpPr>
          <xdr:grpSpPr>
            <a:xfrm>
              <a:off x="9524999" y="2386874"/>
              <a:ext cx="7863613" cy="5257670"/>
              <a:chOff x="9524999" y="2386874"/>
              <a:chExt cx="7863613" cy="5257670"/>
            </a:xfrm>
          </xdr:grpSpPr>
          <xdr:cxnSp macro="">
            <xdr:nvCxnSpPr>
              <xdr:cNvPr id="67" name="Straight Arrow Connector 66">
                <a:extLst>
                  <a:ext uri="{FF2B5EF4-FFF2-40B4-BE49-F238E27FC236}">
                    <a16:creationId xmlns:a16="http://schemas.microsoft.com/office/drawing/2014/main" xmlns="" id="{00000000-0008-0000-0500-000043000000}"/>
                  </a:ext>
                </a:extLst>
              </xdr:cNvPr>
              <xdr:cNvCxnSpPr/>
            </xdr:nvCxnSpPr>
            <xdr:spPr>
              <a:xfrm rot="5400000" flipH="1" flipV="1">
                <a:off x="16613884" y="5165468"/>
                <a:ext cx="640101" cy="1"/>
              </a:xfrm>
              <a:prstGeom prst="straightConnector1">
                <a:avLst/>
              </a:prstGeom>
              <a:ln w="38100">
                <a:solidFill>
                  <a:schemeClr val="tx1"/>
                </a:solidFill>
                <a:headEnd type="arrow"/>
                <a:tailEnd type="arrow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75" name="TextBox 74">
                <a:extLst>
                  <a:ext uri="{FF2B5EF4-FFF2-40B4-BE49-F238E27FC236}">
                    <a16:creationId xmlns:a16="http://schemas.microsoft.com/office/drawing/2014/main" xmlns="" id="{00000000-0008-0000-0500-00004B000000}"/>
                  </a:ext>
                </a:extLst>
              </xdr:cNvPr>
              <xdr:cNvSpPr txBox="1"/>
            </xdr:nvSpPr>
            <xdr:spPr>
              <a:xfrm>
                <a:off x="15987716" y="2386874"/>
                <a:ext cx="864359" cy="640028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wrap="none" rtlCol="0" anchor="t">
                <a:noAutofit/>
              </a:bodyPr>
              <a:lstStyle/>
              <a:p>
                <a:r>
                  <a:rPr lang="da-DK" sz="1100"/>
                  <a:t>IMPELLER</a:t>
                </a:r>
              </a:p>
            </xdr:txBody>
          </xdr:sp>
          <xdr:cxnSp macro="">
            <xdr:nvCxnSpPr>
              <xdr:cNvPr id="54" name="Straight Arrow Connector 53">
                <a:extLst>
                  <a:ext uri="{FF2B5EF4-FFF2-40B4-BE49-F238E27FC236}">
                    <a16:creationId xmlns:a16="http://schemas.microsoft.com/office/drawing/2014/main" xmlns="" id="{00000000-0008-0000-0500-000036000000}"/>
                  </a:ext>
                </a:extLst>
              </xdr:cNvPr>
              <xdr:cNvCxnSpPr/>
            </xdr:nvCxnSpPr>
            <xdr:spPr>
              <a:xfrm>
                <a:off x="15846815" y="7644542"/>
                <a:ext cx="1541797" cy="2"/>
              </a:xfrm>
              <a:prstGeom prst="straightConnector1">
                <a:avLst/>
              </a:prstGeom>
              <a:ln w="38100">
                <a:solidFill>
                  <a:schemeClr val="tx1"/>
                </a:solidFill>
                <a:headEnd type="arrow"/>
                <a:tailEnd type="arrow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57" name="Rectangle 2">
                <a:extLst>
                  <a:ext uri="{FF2B5EF4-FFF2-40B4-BE49-F238E27FC236}">
                    <a16:creationId xmlns:a16="http://schemas.microsoft.com/office/drawing/2014/main" xmlns="" id="{00000000-0008-0000-0500-000039000000}"/>
                  </a:ext>
                </a:extLst>
              </xdr:cNvPr>
              <xdr:cNvSpPr/>
            </xdr:nvSpPr>
            <xdr:spPr>
              <a:xfrm>
                <a:off x="9524999" y="4805650"/>
                <a:ext cx="7006211" cy="619590"/>
              </a:xfrm>
              <a:prstGeom prst="rect">
                <a:avLst/>
              </a:prstGeom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rtlCol="0" anchor="ctr"/>
              <a:lstStyle/>
              <a:p>
                <a:pPr algn="ctr"/>
                <a:endParaRPr lang="da-DK" sz="1100"/>
              </a:p>
            </xdr:txBody>
          </xdr:sp>
          <xdr:sp macro="" textlink="">
            <xdr:nvSpPr>
              <xdr:cNvPr id="59" name="Rectangle 4">
                <a:extLst>
                  <a:ext uri="{FF2B5EF4-FFF2-40B4-BE49-F238E27FC236}">
                    <a16:creationId xmlns:a16="http://schemas.microsoft.com/office/drawing/2014/main" xmlns="" id="{00000000-0008-0000-0500-00003B000000}"/>
                  </a:ext>
                </a:extLst>
              </xdr:cNvPr>
              <xdr:cNvSpPr/>
            </xdr:nvSpPr>
            <xdr:spPr>
              <a:xfrm>
                <a:off x="10381412" y="4571443"/>
                <a:ext cx="456089" cy="1077094"/>
              </a:xfrm>
              <a:prstGeom prst="rect">
                <a:avLst/>
              </a:prstGeom>
              <a:solidFill>
                <a:srgbClr val="00B0F0"/>
              </a:solidFill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rtlCol="0" anchor="ctr"/>
              <a:lstStyle/>
              <a:p>
                <a:pPr algn="ctr"/>
                <a:endParaRPr lang="da-DK" sz="1100"/>
              </a:p>
            </xdr:txBody>
          </xdr:sp>
          <xdr:sp macro="" textlink="">
            <xdr:nvSpPr>
              <xdr:cNvPr id="60" name="Frame 59">
                <a:extLst>
                  <a:ext uri="{FF2B5EF4-FFF2-40B4-BE49-F238E27FC236}">
                    <a16:creationId xmlns:a16="http://schemas.microsoft.com/office/drawing/2014/main" xmlns="" id="{00000000-0008-0000-0500-00003C000000}"/>
                  </a:ext>
                </a:extLst>
              </xdr:cNvPr>
              <xdr:cNvSpPr/>
            </xdr:nvSpPr>
            <xdr:spPr>
              <a:xfrm>
                <a:off x="14648626" y="4679337"/>
                <a:ext cx="2022871" cy="893818"/>
              </a:xfrm>
              <a:prstGeom prst="frame">
                <a:avLst/>
              </a:prstGeom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rtlCol="0" anchor="ctr"/>
              <a:lstStyle/>
              <a:p>
                <a:pPr algn="ctr"/>
                <a:endParaRPr lang="da-DK" sz="1100">
                  <a:solidFill>
                    <a:schemeClr val="tx1"/>
                  </a:solidFill>
                </a:endParaRPr>
              </a:p>
            </xdr:txBody>
          </xdr:sp>
          <xdr:cxnSp macro="">
            <xdr:nvCxnSpPr>
              <xdr:cNvPr id="61" name="Straight Connector 60">
                <a:extLst>
                  <a:ext uri="{FF2B5EF4-FFF2-40B4-BE49-F238E27FC236}">
                    <a16:creationId xmlns:a16="http://schemas.microsoft.com/office/drawing/2014/main" xmlns="" id="{00000000-0008-0000-0500-00003D000000}"/>
                  </a:ext>
                </a:extLst>
              </xdr:cNvPr>
              <xdr:cNvCxnSpPr/>
            </xdr:nvCxnSpPr>
            <xdr:spPr>
              <a:xfrm rot="5400000">
                <a:off x="13390088" y="5071794"/>
                <a:ext cx="4890946" cy="9915"/>
              </a:xfrm>
              <a:prstGeom prst="line">
                <a:avLst/>
              </a:prstGeom>
              <a:ln w="76200">
                <a:solidFill>
                  <a:srgbClr val="FF0000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77" name="Frame 3">
                <a:extLst>
                  <a:ext uri="{FF2B5EF4-FFF2-40B4-BE49-F238E27FC236}">
                    <a16:creationId xmlns:a16="http://schemas.microsoft.com/office/drawing/2014/main" xmlns="" id="{00000000-0008-0000-0500-00004D000000}"/>
                  </a:ext>
                </a:extLst>
              </xdr:cNvPr>
              <xdr:cNvSpPr/>
            </xdr:nvSpPr>
            <xdr:spPr>
              <a:xfrm>
                <a:off x="9549543" y="3479927"/>
                <a:ext cx="4952272" cy="3260991"/>
              </a:xfrm>
              <a:prstGeom prst="frame">
                <a:avLst/>
              </a:prstGeom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rtlCol="0" anchor="ctr"/>
              <a:lstStyle/>
              <a:p>
                <a:pPr algn="ctr"/>
                <a:endParaRPr lang="da-DK" sz="1100">
                  <a:solidFill>
                    <a:schemeClr val="tx1"/>
                  </a:solidFill>
                </a:endParaRPr>
              </a:p>
            </xdr:txBody>
          </xdr:sp>
          <xdr:sp macro="" textlink="">
            <xdr:nvSpPr>
              <xdr:cNvPr id="78" name="Rectangle 17">
                <a:extLst>
                  <a:ext uri="{FF2B5EF4-FFF2-40B4-BE49-F238E27FC236}">
                    <a16:creationId xmlns:a16="http://schemas.microsoft.com/office/drawing/2014/main" xmlns="" id="{00000000-0008-0000-0500-00004E000000}"/>
                  </a:ext>
                </a:extLst>
              </xdr:cNvPr>
              <xdr:cNvSpPr/>
            </xdr:nvSpPr>
            <xdr:spPr>
              <a:xfrm>
                <a:off x="13888602" y="4589833"/>
                <a:ext cx="598624" cy="1017563"/>
              </a:xfrm>
              <a:prstGeom prst="rect">
                <a:avLst/>
              </a:prstGeom>
              <a:solidFill>
                <a:srgbClr val="00B0F0"/>
              </a:solidFill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rtlCol="0" anchor="ctr"/>
              <a:lstStyle/>
              <a:p>
                <a:pPr algn="ctr"/>
                <a:endParaRPr lang="da-DK" sz="1100"/>
              </a:p>
            </xdr:txBody>
          </xdr:sp>
        </xdr:grpSp>
        <xdr:cxnSp macro="">
          <xdr:nvCxnSpPr>
            <xdr:cNvPr id="20" name="Straight Arrow Connector 19">
              <a:extLst>
                <a:ext uri="{FF2B5EF4-FFF2-40B4-BE49-F238E27FC236}">
                  <a16:creationId xmlns:a16="http://schemas.microsoft.com/office/drawing/2014/main" xmlns="" id="{00000000-0008-0000-0500-000014000000}"/>
                </a:ext>
              </a:extLst>
            </xdr:cNvPr>
            <xdr:cNvCxnSpPr/>
          </xdr:nvCxnSpPr>
          <xdr:spPr>
            <a:xfrm>
              <a:off x="10519580" y="5922774"/>
              <a:ext cx="3704333" cy="0"/>
            </a:xfrm>
            <a:prstGeom prst="straightConnector1">
              <a:avLst/>
            </a:prstGeom>
            <a:ln w="38100">
              <a:solidFill>
                <a:schemeClr val="tx1"/>
              </a:solidFill>
              <a:headEnd type="arrow"/>
              <a:tailEnd type="arrow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31" name="Straight Connector 9">
            <a:extLst>
              <a:ext uri="{FF2B5EF4-FFF2-40B4-BE49-F238E27FC236}">
                <a16:creationId xmlns:a16="http://schemas.microsoft.com/office/drawing/2014/main" xmlns="" id="{00000000-0008-0000-0500-00001F000000}"/>
              </a:ext>
            </a:extLst>
          </xdr:cNvPr>
          <xdr:cNvCxnSpPr/>
        </xdr:nvCxnSpPr>
        <xdr:spPr>
          <a:xfrm>
            <a:off x="16884331" y="2184645"/>
            <a:ext cx="1488" cy="6922380"/>
          </a:xfrm>
          <a:prstGeom prst="line">
            <a:avLst/>
          </a:prstGeom>
          <a:ln w="38100">
            <a:solidFill>
              <a:srgbClr val="00B0F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2" name="Straight Arrow Connector 31">
            <a:extLst>
              <a:ext uri="{FF2B5EF4-FFF2-40B4-BE49-F238E27FC236}">
                <a16:creationId xmlns:a16="http://schemas.microsoft.com/office/drawing/2014/main" xmlns="" id="{00000000-0008-0000-0500-000020000000}"/>
              </a:ext>
            </a:extLst>
          </xdr:cNvPr>
          <xdr:cNvCxnSpPr/>
        </xdr:nvCxnSpPr>
        <xdr:spPr>
          <a:xfrm>
            <a:off x="16869823" y="8835397"/>
            <a:ext cx="209987" cy="0"/>
          </a:xfrm>
          <a:prstGeom prst="straightConnector1">
            <a:avLst/>
          </a:prstGeom>
          <a:ln w="38100">
            <a:solidFill>
              <a:schemeClr val="tx1"/>
            </a:solidFill>
            <a:headEnd type="arrow"/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17</xdr:col>
      <xdr:colOff>272143</xdr:colOff>
      <xdr:row>31</xdr:row>
      <xdr:rowOff>36286</xdr:rowOff>
    </xdr:from>
    <xdr:to>
      <xdr:col>18</xdr:col>
      <xdr:colOff>81643</xdr:colOff>
      <xdr:row>31</xdr:row>
      <xdr:rowOff>36286</xdr:rowOff>
    </xdr:to>
    <xdr:cxnSp macro="">
      <xdr:nvCxnSpPr>
        <xdr:cNvPr id="27" name="Straight Arrow Connector 26">
          <a:extLst>
            <a:ext uri="{FF2B5EF4-FFF2-40B4-BE49-F238E27FC236}">
              <a16:creationId xmlns:a16="http://schemas.microsoft.com/office/drawing/2014/main" xmlns="" id="{00000000-0008-0000-0500-00001B000000}"/>
            </a:ext>
          </a:extLst>
        </xdr:cNvPr>
        <xdr:cNvCxnSpPr/>
      </xdr:nvCxnSpPr>
      <xdr:spPr>
        <a:xfrm>
          <a:off x="20474214" y="12464143"/>
          <a:ext cx="743858" cy="0"/>
        </a:xfrm>
        <a:prstGeom prst="straightConnector1">
          <a:avLst/>
        </a:prstGeom>
        <a:ln w="38100">
          <a:solidFill>
            <a:schemeClr val="tx1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920750</xdr:colOff>
      <xdr:row>32</xdr:row>
      <xdr:rowOff>9072</xdr:rowOff>
    </xdr:from>
    <xdr:to>
      <xdr:col>18</xdr:col>
      <xdr:colOff>90714</xdr:colOff>
      <xdr:row>32</xdr:row>
      <xdr:rowOff>10583</xdr:rowOff>
    </xdr:to>
    <xdr:cxnSp macro="">
      <xdr:nvCxnSpPr>
        <xdr:cNvPr id="28" name="Straight Arrow Connector 27">
          <a:extLst>
            <a:ext uri="{FF2B5EF4-FFF2-40B4-BE49-F238E27FC236}">
              <a16:creationId xmlns:a16="http://schemas.microsoft.com/office/drawing/2014/main" xmlns="" id="{00000000-0008-0000-0500-00001C000000}"/>
            </a:ext>
          </a:extLst>
        </xdr:cNvPr>
        <xdr:cNvCxnSpPr/>
      </xdr:nvCxnSpPr>
      <xdr:spPr>
        <a:xfrm flipV="1">
          <a:off x="19208750" y="6867072"/>
          <a:ext cx="1963964" cy="1511"/>
        </a:xfrm>
        <a:prstGeom prst="straightConnector1">
          <a:avLst/>
        </a:prstGeom>
        <a:ln w="38100">
          <a:solidFill>
            <a:schemeClr val="tx1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916214</xdr:colOff>
      <xdr:row>35</xdr:row>
      <xdr:rowOff>226785</xdr:rowOff>
    </xdr:from>
    <xdr:to>
      <xdr:col>17</xdr:col>
      <xdr:colOff>54429</xdr:colOff>
      <xdr:row>35</xdr:row>
      <xdr:rowOff>226786</xdr:rowOff>
    </xdr:to>
    <xdr:cxnSp macro="">
      <xdr:nvCxnSpPr>
        <xdr:cNvPr id="22" name="Straight Arrow Connector 21">
          <a:extLst>
            <a:ext uri="{FF2B5EF4-FFF2-40B4-BE49-F238E27FC236}">
              <a16:creationId xmlns:a16="http://schemas.microsoft.com/office/drawing/2014/main" xmlns="" id="{00000000-0008-0000-0500-000016000000}"/>
            </a:ext>
          </a:extLst>
        </xdr:cNvPr>
        <xdr:cNvCxnSpPr/>
      </xdr:nvCxnSpPr>
      <xdr:spPr>
        <a:xfrm flipV="1">
          <a:off x="19249571" y="7828642"/>
          <a:ext cx="1006929" cy="1"/>
        </a:xfrm>
        <a:prstGeom prst="straightConnector1">
          <a:avLst/>
        </a:prstGeom>
        <a:ln w="38100">
          <a:solidFill>
            <a:schemeClr val="tx1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6</xdr:row>
      <xdr:rowOff>1</xdr:rowOff>
    </xdr:from>
    <xdr:to>
      <xdr:col>13</xdr:col>
      <xdr:colOff>838150</xdr:colOff>
      <xdr:row>16</xdr:row>
      <xdr:rowOff>98307</xdr:rowOff>
    </xdr:to>
    <xdr:graphicFrame macro="">
      <xdr:nvGraphicFramePr>
        <xdr:cNvPr id="21" name="Chart 20">
          <a:extLst>
            <a:ext uri="{FF2B5EF4-FFF2-40B4-BE49-F238E27FC236}">
              <a16:creationId xmlns:a16="http://schemas.microsoft.com/office/drawing/2014/main" xmlns="" id="{00000000-0008-0000-05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838150</xdr:colOff>
      <xdr:row>6</xdr:row>
      <xdr:rowOff>0</xdr:rowOff>
    </xdr:from>
    <xdr:to>
      <xdr:col>18</xdr:col>
      <xdr:colOff>632337</xdr:colOff>
      <xdr:row>16</xdr:row>
      <xdr:rowOff>94644</xdr:rowOff>
    </xdr:to>
    <xdr:graphicFrame macro="">
      <xdr:nvGraphicFramePr>
        <xdr:cNvPr id="26" name="Chart 25">
          <a:extLst>
            <a:ext uri="{FF2B5EF4-FFF2-40B4-BE49-F238E27FC236}">
              <a16:creationId xmlns:a16="http://schemas.microsoft.com/office/drawing/2014/main" xmlns="" id="{00000000-0008-0000-05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16</xdr:row>
      <xdr:rowOff>110439</xdr:rowOff>
    </xdr:from>
    <xdr:to>
      <xdr:col>13</xdr:col>
      <xdr:colOff>836755</xdr:colOff>
      <xdr:row>26</xdr:row>
      <xdr:rowOff>181584</xdr:rowOff>
    </xdr:to>
    <xdr:graphicFrame macro="">
      <xdr:nvGraphicFramePr>
        <xdr:cNvPr id="29" name="Chart 28">
          <a:extLst>
            <a:ext uri="{FF2B5EF4-FFF2-40B4-BE49-F238E27FC236}">
              <a16:creationId xmlns:a16="http://schemas.microsoft.com/office/drawing/2014/main" xmlns="" id="{00000000-0008-0000-05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63500</xdr:colOff>
      <xdr:row>6</xdr:row>
      <xdr:rowOff>5099</xdr:rowOff>
    </xdr:from>
    <xdr:to>
      <xdr:col>8</xdr:col>
      <xdr:colOff>785812</xdr:colOff>
      <xdr:row>106</xdr:row>
      <xdr:rowOff>21167</xdr:rowOff>
    </xdr:to>
    <xdr:sp macro="[0]!Create_Coupling_files" textlink="">
      <xdr:nvSpPr>
        <xdr:cNvPr id="71" name="Rounded Rectangle 70">
          <a:extLst>
            <a:ext uri="{FF2B5EF4-FFF2-40B4-BE49-F238E27FC236}">
              <a16:creationId xmlns:a16="http://schemas.microsoft.com/office/drawing/2014/main" xmlns="" id="{00000000-0008-0000-0600-000047000000}"/>
            </a:ext>
          </a:extLst>
        </xdr:cNvPr>
        <xdr:cNvSpPr/>
      </xdr:nvSpPr>
      <xdr:spPr>
        <a:xfrm>
          <a:off x="10900833" y="2037099"/>
          <a:ext cx="1653646" cy="22368068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da-DK" sz="1600" b="1">
              <a:solidFill>
                <a:schemeClr val="tx1"/>
              </a:solidFill>
            </a:rPr>
            <a:t>CREATE</a:t>
          </a:r>
        </a:p>
        <a:p>
          <a:pPr algn="ctr"/>
          <a:r>
            <a:rPr lang="da-DK" sz="1600" b="1">
              <a:solidFill>
                <a:schemeClr val="tx1"/>
              </a:solidFill>
            </a:rPr>
            <a:t>AXLE</a:t>
          </a:r>
          <a:r>
            <a:rPr lang="da-DK" sz="1600" b="1" baseline="0">
              <a:solidFill>
                <a:schemeClr val="tx1"/>
              </a:solidFill>
            </a:rPr>
            <a:t> </a:t>
          </a:r>
        </a:p>
        <a:p>
          <a:pPr algn="ctr"/>
          <a:r>
            <a:rPr lang="da-DK" sz="1600" b="1" baseline="0">
              <a:solidFill>
                <a:schemeClr val="tx1"/>
              </a:solidFill>
            </a:rPr>
            <a:t>&amp;</a:t>
          </a:r>
        </a:p>
        <a:p>
          <a:pPr algn="ctr"/>
          <a:r>
            <a:rPr lang="da-DK" sz="1600" b="1" baseline="0">
              <a:solidFill>
                <a:schemeClr val="tx1"/>
              </a:solidFill>
            </a:rPr>
            <a:t> BEARING</a:t>
          </a:r>
        </a:p>
        <a:p>
          <a:pPr algn="ctr"/>
          <a:r>
            <a:rPr lang="da-DK" sz="1600" b="1" baseline="0">
              <a:solidFill>
                <a:schemeClr val="tx1"/>
              </a:solidFill>
            </a:rPr>
            <a:t>SPECS file</a:t>
          </a:r>
          <a:endParaRPr lang="da-DK" sz="1600" b="1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27</xdr:row>
      <xdr:rowOff>215637</xdr:rowOff>
    </xdr:from>
    <xdr:to>
      <xdr:col>20</xdr:col>
      <xdr:colOff>518583</xdr:colOff>
      <xdr:row>37</xdr:row>
      <xdr:rowOff>2959</xdr:rowOff>
    </xdr:to>
    <xdr:grpSp>
      <xdr:nvGrpSpPr>
        <xdr:cNvPr id="35" name="Group 41">
          <a:extLst>
            <a:ext uri="{FF2B5EF4-FFF2-40B4-BE49-F238E27FC236}">
              <a16:creationId xmlns:a16="http://schemas.microsoft.com/office/drawing/2014/main" xmlns="" id="{00000000-0008-0000-0600-000023000000}"/>
            </a:ext>
          </a:extLst>
        </xdr:cNvPr>
        <xdr:cNvGrpSpPr/>
      </xdr:nvGrpSpPr>
      <xdr:grpSpPr>
        <a:xfrm>
          <a:off x="13689106" y="7719096"/>
          <a:ext cx="11563101" cy="2297439"/>
          <a:chOff x="12096750" y="3510345"/>
          <a:chExt cx="11439368" cy="4783200"/>
        </a:xfrm>
      </xdr:grpSpPr>
      <xdr:sp macro="" textlink="">
        <xdr:nvSpPr>
          <xdr:cNvPr id="43" name="Rounded Rectangle 42">
            <a:extLst>
              <a:ext uri="{FF2B5EF4-FFF2-40B4-BE49-F238E27FC236}">
                <a16:creationId xmlns:a16="http://schemas.microsoft.com/office/drawing/2014/main" xmlns="" id="{00000000-0008-0000-0600-00002B000000}"/>
              </a:ext>
            </a:extLst>
          </xdr:cNvPr>
          <xdr:cNvSpPr/>
        </xdr:nvSpPr>
        <xdr:spPr>
          <a:xfrm>
            <a:off x="12096750" y="4958866"/>
            <a:ext cx="460375" cy="1787017"/>
          </a:xfrm>
          <a:prstGeom prst="roundRect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da-DK" sz="1100"/>
          </a:p>
        </xdr:txBody>
      </xdr:sp>
      <xdr:sp macro="" textlink="">
        <xdr:nvSpPr>
          <xdr:cNvPr id="44" name="Rectangle 43">
            <a:extLst>
              <a:ext uri="{FF2B5EF4-FFF2-40B4-BE49-F238E27FC236}">
                <a16:creationId xmlns:a16="http://schemas.microsoft.com/office/drawing/2014/main" xmlns="" id="{00000000-0008-0000-0600-00002C000000}"/>
              </a:ext>
            </a:extLst>
          </xdr:cNvPr>
          <xdr:cNvSpPr/>
        </xdr:nvSpPr>
        <xdr:spPr>
          <a:xfrm>
            <a:off x="12374651" y="5353403"/>
            <a:ext cx="10419088" cy="997945"/>
          </a:xfrm>
          <a:prstGeom prst="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da-DK" sz="1100"/>
          </a:p>
        </xdr:txBody>
      </xdr:sp>
      <xdr:grpSp>
        <xdr:nvGrpSpPr>
          <xdr:cNvPr id="45" name="Group 39">
            <a:extLst>
              <a:ext uri="{FF2B5EF4-FFF2-40B4-BE49-F238E27FC236}">
                <a16:creationId xmlns:a16="http://schemas.microsoft.com/office/drawing/2014/main" xmlns="" id="{00000000-0008-0000-0600-00002D000000}"/>
              </a:ext>
            </a:extLst>
          </xdr:cNvPr>
          <xdr:cNvGrpSpPr/>
        </xdr:nvGrpSpPr>
        <xdr:grpSpPr>
          <a:xfrm>
            <a:off x="13123373" y="5013789"/>
            <a:ext cx="1984375" cy="2799080"/>
            <a:chOff x="13123373" y="5014138"/>
            <a:chExt cx="1984375" cy="2829883"/>
          </a:xfrm>
        </xdr:grpSpPr>
        <xdr:sp macro="" textlink="">
          <xdr:nvSpPr>
            <xdr:cNvPr id="59" name="Frame 2">
              <a:extLst>
                <a:ext uri="{FF2B5EF4-FFF2-40B4-BE49-F238E27FC236}">
                  <a16:creationId xmlns:a16="http://schemas.microsoft.com/office/drawing/2014/main" xmlns="" id="{00000000-0008-0000-0600-00003B000000}"/>
                </a:ext>
              </a:extLst>
            </xdr:cNvPr>
            <xdr:cNvSpPr/>
          </xdr:nvSpPr>
          <xdr:spPr>
            <a:xfrm>
              <a:off x="13123373" y="6785889"/>
              <a:ext cx="1984375" cy="1058132"/>
            </a:xfrm>
            <a:prstGeom prst="frame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endParaRPr lang="da-DK" sz="1100">
                <a:solidFill>
                  <a:schemeClr val="tx1"/>
                </a:solidFill>
              </a:endParaRPr>
            </a:p>
          </xdr:txBody>
        </xdr:sp>
        <xdr:sp macro="" textlink="">
          <xdr:nvSpPr>
            <xdr:cNvPr id="60" name="Rectangle 4">
              <a:extLst>
                <a:ext uri="{FF2B5EF4-FFF2-40B4-BE49-F238E27FC236}">
                  <a16:creationId xmlns:a16="http://schemas.microsoft.com/office/drawing/2014/main" xmlns="" id="{00000000-0008-0000-0600-00003C000000}"/>
                </a:ext>
              </a:extLst>
            </xdr:cNvPr>
            <xdr:cNvSpPr/>
          </xdr:nvSpPr>
          <xdr:spPr>
            <a:xfrm>
              <a:off x="13297203" y="5014138"/>
              <a:ext cx="730248" cy="1763810"/>
            </a:xfrm>
            <a:prstGeom prst="rect">
              <a:avLst/>
            </a:prstGeom>
            <a:solidFill>
              <a:srgbClr val="00B0F0"/>
            </a:solidFill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r>
                <a:rPr lang="da-DK" sz="1100"/>
                <a:t>B1</a:t>
              </a:r>
            </a:p>
          </xdr:txBody>
        </xdr:sp>
      </xdr:grpSp>
      <xdr:grpSp>
        <xdr:nvGrpSpPr>
          <xdr:cNvPr id="46" name="Group 40">
            <a:extLst>
              <a:ext uri="{FF2B5EF4-FFF2-40B4-BE49-F238E27FC236}">
                <a16:creationId xmlns:a16="http://schemas.microsoft.com/office/drawing/2014/main" xmlns="" id="{00000000-0008-0000-0600-00002E000000}"/>
              </a:ext>
            </a:extLst>
          </xdr:cNvPr>
          <xdr:cNvGrpSpPr/>
        </xdr:nvGrpSpPr>
        <xdr:grpSpPr>
          <a:xfrm>
            <a:off x="18013162" y="5004541"/>
            <a:ext cx="1984375" cy="2808327"/>
            <a:chOff x="17997287" y="4988666"/>
            <a:chExt cx="1984375" cy="2808326"/>
          </a:xfrm>
        </xdr:grpSpPr>
        <xdr:sp macro="" textlink="">
          <xdr:nvSpPr>
            <xdr:cNvPr id="57" name="Frame 3">
              <a:extLst>
                <a:ext uri="{FF2B5EF4-FFF2-40B4-BE49-F238E27FC236}">
                  <a16:creationId xmlns:a16="http://schemas.microsoft.com/office/drawing/2014/main" xmlns="" id="{00000000-0008-0000-0600-000039000000}"/>
                </a:ext>
              </a:extLst>
            </xdr:cNvPr>
            <xdr:cNvSpPr/>
          </xdr:nvSpPr>
          <xdr:spPr>
            <a:xfrm>
              <a:off x="17997287" y="6746877"/>
              <a:ext cx="1984375" cy="1050115"/>
            </a:xfrm>
            <a:prstGeom prst="frame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endParaRPr lang="da-DK" sz="1100">
                <a:solidFill>
                  <a:schemeClr val="tx1"/>
                </a:solidFill>
              </a:endParaRPr>
            </a:p>
          </xdr:txBody>
        </xdr:sp>
        <xdr:sp macro="" textlink="">
          <xdr:nvSpPr>
            <xdr:cNvPr id="58" name="Rectangle 5">
              <a:extLst>
                <a:ext uri="{FF2B5EF4-FFF2-40B4-BE49-F238E27FC236}">
                  <a16:creationId xmlns:a16="http://schemas.microsoft.com/office/drawing/2014/main" xmlns="" id="{00000000-0008-0000-0600-00003A000000}"/>
                </a:ext>
              </a:extLst>
            </xdr:cNvPr>
            <xdr:cNvSpPr/>
          </xdr:nvSpPr>
          <xdr:spPr>
            <a:xfrm>
              <a:off x="19047643" y="4988666"/>
              <a:ext cx="730250" cy="1758017"/>
            </a:xfrm>
            <a:prstGeom prst="rect">
              <a:avLst/>
            </a:prstGeom>
            <a:solidFill>
              <a:srgbClr val="00B0F0"/>
            </a:solidFill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r>
                <a:rPr lang="da-DK" sz="1100"/>
                <a:t>B2</a:t>
              </a:r>
            </a:p>
          </xdr:txBody>
        </xdr:sp>
      </xdr:grpSp>
      <xdr:sp macro="" textlink="">
        <xdr:nvSpPr>
          <xdr:cNvPr id="47" name="Frame 46">
            <a:extLst>
              <a:ext uri="{FF2B5EF4-FFF2-40B4-BE49-F238E27FC236}">
                <a16:creationId xmlns:a16="http://schemas.microsoft.com/office/drawing/2014/main" xmlns="" id="{00000000-0008-0000-0600-00002F000000}"/>
              </a:ext>
            </a:extLst>
          </xdr:cNvPr>
          <xdr:cNvSpPr/>
        </xdr:nvSpPr>
        <xdr:spPr>
          <a:xfrm>
            <a:off x="21780500" y="5073891"/>
            <a:ext cx="1158875" cy="1544736"/>
          </a:xfrm>
          <a:prstGeom prst="frame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da-DK" sz="1100">
              <a:solidFill>
                <a:schemeClr val="tx1"/>
              </a:solidFill>
            </a:endParaRPr>
          </a:p>
        </xdr:txBody>
      </xdr:sp>
      <xdr:cxnSp macro="">
        <xdr:nvCxnSpPr>
          <xdr:cNvPr id="48" name="Straight Connector 47">
            <a:extLst>
              <a:ext uri="{FF2B5EF4-FFF2-40B4-BE49-F238E27FC236}">
                <a16:creationId xmlns:a16="http://schemas.microsoft.com/office/drawing/2014/main" xmlns="" id="{00000000-0008-0000-0600-000030000000}"/>
              </a:ext>
            </a:extLst>
          </xdr:cNvPr>
          <xdr:cNvCxnSpPr/>
        </xdr:nvCxnSpPr>
        <xdr:spPr>
          <a:xfrm flipH="1">
            <a:off x="22084956" y="3686614"/>
            <a:ext cx="5812" cy="4421239"/>
          </a:xfrm>
          <a:prstGeom prst="line">
            <a:avLst/>
          </a:prstGeom>
          <a:ln w="76200">
            <a:solidFill>
              <a:srgbClr val="FF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9" name="Straight Arrow Connector 48">
            <a:extLst>
              <a:ext uri="{FF2B5EF4-FFF2-40B4-BE49-F238E27FC236}">
                <a16:creationId xmlns:a16="http://schemas.microsoft.com/office/drawing/2014/main" xmlns="" id="{00000000-0008-0000-0600-000031000000}"/>
              </a:ext>
            </a:extLst>
          </xdr:cNvPr>
          <xdr:cNvCxnSpPr/>
        </xdr:nvCxnSpPr>
        <xdr:spPr>
          <a:xfrm flipV="1">
            <a:off x="12341959" y="3510345"/>
            <a:ext cx="9399703" cy="24325"/>
          </a:xfrm>
          <a:prstGeom prst="straightConnector1">
            <a:avLst/>
          </a:prstGeom>
          <a:ln w="38100">
            <a:solidFill>
              <a:schemeClr val="tx1"/>
            </a:solidFill>
            <a:headEnd type="arrow"/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0" name="Straight Arrow Connector 49">
            <a:extLst>
              <a:ext uri="{FF2B5EF4-FFF2-40B4-BE49-F238E27FC236}">
                <a16:creationId xmlns:a16="http://schemas.microsoft.com/office/drawing/2014/main" xmlns="" id="{00000000-0008-0000-0600-000032000000}"/>
              </a:ext>
            </a:extLst>
          </xdr:cNvPr>
          <xdr:cNvCxnSpPr/>
        </xdr:nvCxnSpPr>
        <xdr:spPr>
          <a:xfrm flipV="1">
            <a:off x="12406396" y="7222678"/>
            <a:ext cx="719501" cy="13155"/>
          </a:xfrm>
          <a:prstGeom prst="straightConnector1">
            <a:avLst/>
          </a:prstGeom>
          <a:ln w="38100">
            <a:solidFill>
              <a:schemeClr val="tx1"/>
            </a:solidFill>
            <a:headEnd type="arrow"/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1" name="Straight Arrow Connector 15">
            <a:extLst>
              <a:ext uri="{FF2B5EF4-FFF2-40B4-BE49-F238E27FC236}">
                <a16:creationId xmlns:a16="http://schemas.microsoft.com/office/drawing/2014/main" xmlns="" id="{00000000-0008-0000-0600-000033000000}"/>
              </a:ext>
            </a:extLst>
          </xdr:cNvPr>
          <xdr:cNvCxnSpPr/>
        </xdr:nvCxnSpPr>
        <xdr:spPr>
          <a:xfrm flipV="1">
            <a:off x="13572276" y="4328219"/>
            <a:ext cx="5890838" cy="18237"/>
          </a:xfrm>
          <a:prstGeom prst="straightConnector1">
            <a:avLst/>
          </a:prstGeom>
          <a:ln w="38100">
            <a:solidFill>
              <a:schemeClr val="tx1"/>
            </a:solidFill>
            <a:headEnd type="arrow"/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2" name="Straight Arrow Connector 51">
            <a:extLst>
              <a:ext uri="{FF2B5EF4-FFF2-40B4-BE49-F238E27FC236}">
                <a16:creationId xmlns:a16="http://schemas.microsoft.com/office/drawing/2014/main" xmlns="" id="{00000000-0008-0000-0600-000034000000}"/>
              </a:ext>
            </a:extLst>
          </xdr:cNvPr>
          <xdr:cNvCxnSpPr/>
        </xdr:nvCxnSpPr>
        <xdr:spPr>
          <a:xfrm flipV="1">
            <a:off x="19451850" y="4752509"/>
            <a:ext cx="2614399" cy="13382"/>
          </a:xfrm>
          <a:prstGeom prst="straightConnector1">
            <a:avLst/>
          </a:prstGeom>
          <a:ln w="38100">
            <a:solidFill>
              <a:schemeClr val="tx1"/>
            </a:solidFill>
            <a:headEnd type="arrow"/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3" name="Straight Arrow Connector 52">
            <a:extLst>
              <a:ext uri="{FF2B5EF4-FFF2-40B4-BE49-F238E27FC236}">
                <a16:creationId xmlns:a16="http://schemas.microsoft.com/office/drawing/2014/main" xmlns="" id="{00000000-0008-0000-0600-000035000000}"/>
              </a:ext>
            </a:extLst>
          </xdr:cNvPr>
          <xdr:cNvCxnSpPr/>
        </xdr:nvCxnSpPr>
        <xdr:spPr>
          <a:xfrm flipV="1">
            <a:off x="22058764" y="7366080"/>
            <a:ext cx="1477354" cy="6425"/>
          </a:xfrm>
          <a:prstGeom prst="straightConnector1">
            <a:avLst/>
          </a:prstGeom>
          <a:ln w="38100">
            <a:solidFill>
              <a:schemeClr val="tx1"/>
            </a:solidFill>
            <a:headEnd type="arrow"/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5" name="Straight Arrow Connector 54">
            <a:extLst>
              <a:ext uri="{FF2B5EF4-FFF2-40B4-BE49-F238E27FC236}">
                <a16:creationId xmlns:a16="http://schemas.microsoft.com/office/drawing/2014/main" xmlns="" id="{00000000-0008-0000-0600-000037000000}"/>
              </a:ext>
            </a:extLst>
          </xdr:cNvPr>
          <xdr:cNvCxnSpPr/>
        </xdr:nvCxnSpPr>
        <xdr:spPr>
          <a:xfrm rot="5400000" flipH="1" flipV="1">
            <a:off x="22521861" y="5754420"/>
            <a:ext cx="1044360" cy="2"/>
          </a:xfrm>
          <a:prstGeom prst="straightConnector1">
            <a:avLst/>
          </a:prstGeom>
          <a:ln w="38100">
            <a:solidFill>
              <a:schemeClr val="tx1"/>
            </a:solidFill>
            <a:headEnd type="arrow"/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6" name="Straight Arrow Connector 55">
            <a:extLst>
              <a:ext uri="{FF2B5EF4-FFF2-40B4-BE49-F238E27FC236}">
                <a16:creationId xmlns:a16="http://schemas.microsoft.com/office/drawing/2014/main" xmlns="" id="{00000000-0008-0000-0600-000038000000}"/>
              </a:ext>
            </a:extLst>
          </xdr:cNvPr>
          <xdr:cNvCxnSpPr/>
        </xdr:nvCxnSpPr>
        <xdr:spPr>
          <a:xfrm>
            <a:off x="13062001" y="8278119"/>
            <a:ext cx="8845500" cy="15426"/>
          </a:xfrm>
          <a:prstGeom prst="straightConnector1">
            <a:avLst/>
          </a:prstGeom>
          <a:ln w="38100">
            <a:solidFill>
              <a:schemeClr val="tx1"/>
            </a:solidFill>
            <a:headEnd type="arrow"/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271211</xdr:colOff>
      <xdr:row>30</xdr:row>
      <xdr:rowOff>72782</xdr:rowOff>
    </xdr:from>
    <xdr:to>
      <xdr:col>10</xdr:col>
      <xdr:colOff>522431</xdr:colOff>
      <xdr:row>30</xdr:row>
      <xdr:rowOff>91157</xdr:rowOff>
    </xdr:to>
    <xdr:cxnSp macro="">
      <xdr:nvCxnSpPr>
        <xdr:cNvPr id="38" name="Straight Arrow Connector 37">
          <a:extLst>
            <a:ext uri="{FF2B5EF4-FFF2-40B4-BE49-F238E27FC236}">
              <a16:creationId xmlns:a16="http://schemas.microsoft.com/office/drawing/2014/main" xmlns="" id="{00000000-0008-0000-0600-000026000000}"/>
            </a:ext>
          </a:extLst>
        </xdr:cNvPr>
        <xdr:cNvCxnSpPr/>
      </xdr:nvCxnSpPr>
      <xdr:spPr>
        <a:xfrm>
          <a:off x="13005847" y="8177691"/>
          <a:ext cx="1186402" cy="18375"/>
        </a:xfrm>
        <a:prstGeom prst="straightConnector1">
          <a:avLst/>
        </a:prstGeom>
        <a:ln w="38100">
          <a:solidFill>
            <a:schemeClr val="tx1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848327</xdr:colOff>
      <xdr:row>27</xdr:row>
      <xdr:rowOff>38100</xdr:rowOff>
    </xdr:from>
    <xdr:to>
      <xdr:col>18</xdr:col>
      <xdr:colOff>848327</xdr:colOff>
      <xdr:row>37</xdr:row>
      <xdr:rowOff>113818</xdr:rowOff>
    </xdr:to>
    <xdr:cxnSp macro="">
      <xdr:nvCxnSpPr>
        <xdr:cNvPr id="39" name="Straight Connector 9">
          <a:extLst>
            <a:ext uri="{FF2B5EF4-FFF2-40B4-BE49-F238E27FC236}">
              <a16:creationId xmlns:a16="http://schemas.microsoft.com/office/drawing/2014/main" xmlns="" id="{00000000-0008-0000-0600-000027000000}"/>
            </a:ext>
          </a:extLst>
        </xdr:cNvPr>
        <xdr:cNvCxnSpPr/>
      </xdr:nvCxnSpPr>
      <xdr:spPr>
        <a:xfrm>
          <a:off x="21999600" y="7381009"/>
          <a:ext cx="0" cy="2615718"/>
        </a:xfrm>
        <a:prstGeom prst="line">
          <a:avLst/>
        </a:prstGeom>
        <a:ln w="38100">
          <a:solidFill>
            <a:srgbClr val="00B0F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846704</xdr:colOff>
      <xdr:row>36</xdr:row>
      <xdr:rowOff>126964</xdr:rowOff>
    </xdr:from>
    <xdr:to>
      <xdr:col>19</xdr:col>
      <xdr:colOff>108605</xdr:colOff>
      <xdr:row>36</xdr:row>
      <xdr:rowOff>126964</xdr:rowOff>
    </xdr:to>
    <xdr:cxnSp macro="">
      <xdr:nvCxnSpPr>
        <xdr:cNvPr id="40" name="Straight Arrow Connector 39">
          <a:extLst>
            <a:ext uri="{FF2B5EF4-FFF2-40B4-BE49-F238E27FC236}">
              <a16:creationId xmlns:a16="http://schemas.microsoft.com/office/drawing/2014/main" xmlns="" id="{00000000-0008-0000-0600-000028000000}"/>
            </a:ext>
          </a:extLst>
        </xdr:cNvPr>
        <xdr:cNvCxnSpPr/>
      </xdr:nvCxnSpPr>
      <xdr:spPr>
        <a:xfrm>
          <a:off x="21997977" y="9755873"/>
          <a:ext cx="197083" cy="0"/>
        </a:xfrm>
        <a:prstGeom prst="straightConnector1">
          <a:avLst/>
        </a:prstGeom>
        <a:ln w="38100">
          <a:solidFill>
            <a:schemeClr val="tx1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709351</xdr:colOff>
      <xdr:row>27</xdr:row>
      <xdr:rowOff>168294</xdr:rowOff>
    </xdr:from>
    <xdr:to>
      <xdr:col>18</xdr:col>
      <xdr:colOff>709351</xdr:colOff>
      <xdr:row>37</xdr:row>
      <xdr:rowOff>161161</xdr:rowOff>
    </xdr:to>
    <xdr:cxnSp macro="">
      <xdr:nvCxnSpPr>
        <xdr:cNvPr id="42" name="Straight Connector 41">
          <a:extLst>
            <a:ext uri="{FF2B5EF4-FFF2-40B4-BE49-F238E27FC236}">
              <a16:creationId xmlns:a16="http://schemas.microsoft.com/office/drawing/2014/main" xmlns="" id="{00000000-0008-0000-0600-00002A000000}"/>
            </a:ext>
          </a:extLst>
        </xdr:cNvPr>
        <xdr:cNvCxnSpPr/>
      </xdr:nvCxnSpPr>
      <xdr:spPr>
        <a:xfrm>
          <a:off x="21860624" y="7511203"/>
          <a:ext cx="0" cy="2532867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281037</xdr:colOff>
      <xdr:row>42</xdr:row>
      <xdr:rowOff>228600</xdr:rowOff>
    </xdr:from>
    <xdr:to>
      <xdr:col>18</xdr:col>
      <xdr:colOff>750454</xdr:colOff>
      <xdr:row>42</xdr:row>
      <xdr:rowOff>230909</xdr:rowOff>
    </xdr:to>
    <xdr:cxnSp macro="">
      <xdr:nvCxnSpPr>
        <xdr:cNvPr id="112" name="Straight Arrow Connector 111">
          <a:extLst>
            <a:ext uri="{FF2B5EF4-FFF2-40B4-BE49-F238E27FC236}">
              <a16:creationId xmlns:a16="http://schemas.microsoft.com/office/drawing/2014/main" xmlns="" id="{00000000-0008-0000-0600-000070000000}"/>
            </a:ext>
          </a:extLst>
        </xdr:cNvPr>
        <xdr:cNvCxnSpPr/>
      </xdr:nvCxnSpPr>
      <xdr:spPr>
        <a:xfrm>
          <a:off x="13015673" y="11381509"/>
          <a:ext cx="8886054" cy="2309"/>
        </a:xfrm>
        <a:prstGeom prst="straightConnector1">
          <a:avLst/>
        </a:prstGeom>
        <a:ln w="31750">
          <a:solidFill>
            <a:schemeClr val="tx1"/>
          </a:solidFill>
          <a:headEnd type="triangl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742124</xdr:colOff>
      <xdr:row>42</xdr:row>
      <xdr:rowOff>228600</xdr:rowOff>
    </xdr:from>
    <xdr:to>
      <xdr:col>19</xdr:col>
      <xdr:colOff>810646</xdr:colOff>
      <xdr:row>42</xdr:row>
      <xdr:rowOff>228600</xdr:rowOff>
    </xdr:to>
    <xdr:cxnSp macro="">
      <xdr:nvCxnSpPr>
        <xdr:cNvPr id="116" name="Straight Arrow Connector 115">
          <a:extLst>
            <a:ext uri="{FF2B5EF4-FFF2-40B4-BE49-F238E27FC236}">
              <a16:creationId xmlns:a16="http://schemas.microsoft.com/office/drawing/2014/main" xmlns="" id="{00000000-0008-0000-0600-000074000000}"/>
            </a:ext>
          </a:extLst>
        </xdr:cNvPr>
        <xdr:cNvCxnSpPr/>
      </xdr:nvCxnSpPr>
      <xdr:spPr>
        <a:xfrm>
          <a:off x="21893397" y="11381509"/>
          <a:ext cx="1003704" cy="0"/>
        </a:xfrm>
        <a:prstGeom prst="straightConnector1">
          <a:avLst/>
        </a:prstGeom>
        <a:ln w="31750">
          <a:solidFill>
            <a:schemeClr val="tx1"/>
          </a:solidFill>
          <a:headEnd type="triangl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795205</xdr:colOff>
      <xdr:row>42</xdr:row>
      <xdr:rowOff>228600</xdr:rowOff>
    </xdr:from>
    <xdr:to>
      <xdr:col>20</xdr:col>
      <xdr:colOff>629024</xdr:colOff>
      <xdr:row>42</xdr:row>
      <xdr:rowOff>228600</xdr:rowOff>
    </xdr:to>
    <xdr:cxnSp macro="">
      <xdr:nvCxnSpPr>
        <xdr:cNvPr id="118" name="Straight Arrow Connector 117">
          <a:extLst>
            <a:ext uri="{FF2B5EF4-FFF2-40B4-BE49-F238E27FC236}">
              <a16:creationId xmlns:a16="http://schemas.microsoft.com/office/drawing/2014/main" xmlns="" id="{00000000-0008-0000-0600-000076000000}"/>
            </a:ext>
          </a:extLst>
        </xdr:cNvPr>
        <xdr:cNvCxnSpPr/>
      </xdr:nvCxnSpPr>
      <xdr:spPr>
        <a:xfrm>
          <a:off x="22881660" y="11381509"/>
          <a:ext cx="769000" cy="0"/>
        </a:xfrm>
        <a:prstGeom prst="straightConnector1">
          <a:avLst/>
        </a:prstGeom>
        <a:ln w="31750">
          <a:solidFill>
            <a:schemeClr val="tx1"/>
          </a:solidFill>
          <a:headEnd type="triangl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138546</xdr:colOff>
      <xdr:row>39</xdr:row>
      <xdr:rowOff>138423</xdr:rowOff>
    </xdr:from>
    <xdr:to>
      <xdr:col>12</xdr:col>
      <xdr:colOff>84672</xdr:colOff>
      <xdr:row>41</xdr:row>
      <xdr:rowOff>139362</xdr:rowOff>
    </xdr:to>
    <xdr:sp macro="" textlink="">
      <xdr:nvSpPr>
        <xdr:cNvPr id="110" name="Rectangle 109">
          <a:extLst>
            <a:ext uri="{FF2B5EF4-FFF2-40B4-BE49-F238E27FC236}">
              <a16:creationId xmlns:a16="http://schemas.microsoft.com/office/drawing/2014/main" xmlns="" id="{00000000-0008-0000-0600-00006E000000}"/>
            </a:ext>
          </a:extLst>
        </xdr:cNvPr>
        <xdr:cNvSpPr/>
      </xdr:nvSpPr>
      <xdr:spPr>
        <a:xfrm>
          <a:off x="13808364" y="10529332"/>
          <a:ext cx="1816490" cy="508939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da-DK" sz="1100"/>
        </a:p>
      </xdr:txBody>
    </xdr:sp>
    <xdr:clientData/>
  </xdr:twoCellAnchor>
  <xdr:twoCellAnchor>
    <xdr:from>
      <xdr:col>19</xdr:col>
      <xdr:colOff>694899</xdr:colOff>
      <xdr:row>40</xdr:row>
      <xdr:rowOff>11658</xdr:rowOff>
    </xdr:from>
    <xdr:to>
      <xdr:col>20</xdr:col>
      <xdr:colOff>578123</xdr:colOff>
      <xdr:row>41</xdr:row>
      <xdr:rowOff>12128</xdr:rowOff>
    </xdr:to>
    <xdr:sp macro="" textlink="">
      <xdr:nvSpPr>
        <xdr:cNvPr id="111" name="Rectangle 110">
          <a:extLst>
            <a:ext uri="{FF2B5EF4-FFF2-40B4-BE49-F238E27FC236}">
              <a16:creationId xmlns:a16="http://schemas.microsoft.com/office/drawing/2014/main" xmlns="" id="{00000000-0008-0000-0600-00006F000000}"/>
            </a:ext>
          </a:extLst>
        </xdr:cNvPr>
        <xdr:cNvSpPr/>
      </xdr:nvSpPr>
      <xdr:spPr>
        <a:xfrm>
          <a:off x="22781354" y="10656567"/>
          <a:ext cx="818405" cy="25447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da-DK" sz="1100"/>
        </a:p>
      </xdr:txBody>
    </xdr:sp>
    <xdr:clientData/>
  </xdr:twoCellAnchor>
  <xdr:twoCellAnchor>
    <xdr:from>
      <xdr:col>13</xdr:col>
      <xdr:colOff>89200</xdr:colOff>
      <xdr:row>39</xdr:row>
      <xdr:rowOff>138423</xdr:rowOff>
    </xdr:from>
    <xdr:to>
      <xdr:col>18</xdr:col>
      <xdr:colOff>749910</xdr:colOff>
      <xdr:row>41</xdr:row>
      <xdr:rowOff>139362</xdr:rowOff>
    </xdr:to>
    <xdr:sp macro="" textlink="">
      <xdr:nvSpPr>
        <xdr:cNvPr id="113" name="Rectangle 112">
          <a:extLst>
            <a:ext uri="{FF2B5EF4-FFF2-40B4-BE49-F238E27FC236}">
              <a16:creationId xmlns:a16="http://schemas.microsoft.com/office/drawing/2014/main" xmlns="" id="{00000000-0008-0000-0600-000071000000}"/>
            </a:ext>
          </a:extLst>
        </xdr:cNvPr>
        <xdr:cNvSpPr/>
      </xdr:nvSpPr>
      <xdr:spPr>
        <a:xfrm>
          <a:off x="16564564" y="10529332"/>
          <a:ext cx="5336619" cy="508939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da-DK" sz="1100"/>
        </a:p>
      </xdr:txBody>
    </xdr:sp>
    <xdr:clientData/>
  </xdr:twoCellAnchor>
  <xdr:twoCellAnchor>
    <xdr:from>
      <xdr:col>12</xdr:col>
      <xdr:colOff>48063</xdr:colOff>
      <xdr:row>39</xdr:row>
      <xdr:rowOff>138423</xdr:rowOff>
    </xdr:from>
    <xdr:to>
      <xdr:col>12</xdr:col>
      <xdr:colOff>443367</xdr:colOff>
      <xdr:row>39</xdr:row>
      <xdr:rowOff>138423</xdr:rowOff>
    </xdr:to>
    <xdr:cxnSp macro="">
      <xdr:nvCxnSpPr>
        <xdr:cNvPr id="114" name="Straight Connector 113">
          <a:extLst>
            <a:ext uri="{FF2B5EF4-FFF2-40B4-BE49-F238E27FC236}">
              <a16:creationId xmlns:a16="http://schemas.microsoft.com/office/drawing/2014/main" xmlns="" id="{00000000-0008-0000-0600-000072000000}"/>
            </a:ext>
          </a:extLst>
        </xdr:cNvPr>
        <xdr:cNvCxnSpPr/>
      </xdr:nvCxnSpPr>
      <xdr:spPr>
        <a:xfrm>
          <a:off x="15588245" y="10529332"/>
          <a:ext cx="395304" cy="0"/>
        </a:xfrm>
        <a:prstGeom prst="line">
          <a:avLst/>
        </a:prstGeom>
        <a:ln w="31750">
          <a:solidFill>
            <a:sysClr val="windowText" lastClr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924892</xdr:colOff>
      <xdr:row>40</xdr:row>
      <xdr:rowOff>13805</xdr:rowOff>
    </xdr:from>
    <xdr:to>
      <xdr:col>8</xdr:col>
      <xdr:colOff>924892</xdr:colOff>
      <xdr:row>41</xdr:row>
      <xdr:rowOff>96630</xdr:rowOff>
    </xdr:to>
    <xdr:cxnSp macro="">
      <xdr:nvCxnSpPr>
        <xdr:cNvPr id="117" name="Straight Arrow Connector 116">
          <a:extLst>
            <a:ext uri="{FF2B5EF4-FFF2-40B4-BE49-F238E27FC236}">
              <a16:creationId xmlns:a16="http://schemas.microsoft.com/office/drawing/2014/main" xmlns="" id="{00000000-0008-0000-0600-000075000000}"/>
            </a:ext>
          </a:extLst>
        </xdr:cNvPr>
        <xdr:cNvCxnSpPr/>
      </xdr:nvCxnSpPr>
      <xdr:spPr>
        <a:xfrm flipV="1">
          <a:off x="12686196" y="10670762"/>
          <a:ext cx="0" cy="331303"/>
        </a:xfrm>
        <a:prstGeom prst="straightConnector1">
          <a:avLst/>
        </a:prstGeom>
        <a:ln w="31750">
          <a:solidFill>
            <a:schemeClr val="tx1"/>
          </a:solidFill>
          <a:headEnd type="triangl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749911</xdr:colOff>
      <xdr:row>39</xdr:row>
      <xdr:rowOff>138426</xdr:rowOff>
    </xdr:from>
    <xdr:to>
      <xdr:col>19</xdr:col>
      <xdr:colOff>787549</xdr:colOff>
      <xdr:row>41</xdr:row>
      <xdr:rowOff>137953</xdr:rowOff>
    </xdr:to>
    <xdr:sp macro="" textlink="">
      <xdr:nvSpPr>
        <xdr:cNvPr id="119" name="Trapezoid 118">
          <a:extLst>
            <a:ext uri="{FF2B5EF4-FFF2-40B4-BE49-F238E27FC236}">
              <a16:creationId xmlns:a16="http://schemas.microsoft.com/office/drawing/2014/main" xmlns="" id="{00000000-0008-0000-0600-000077000000}"/>
            </a:ext>
          </a:extLst>
        </xdr:cNvPr>
        <xdr:cNvSpPr/>
      </xdr:nvSpPr>
      <xdr:spPr>
        <a:xfrm rot="5400000">
          <a:off x="22133830" y="10296689"/>
          <a:ext cx="507527" cy="972820"/>
        </a:xfrm>
        <a:prstGeom prst="trapezoid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da-DK" sz="1100"/>
        </a:p>
      </xdr:txBody>
    </xdr:sp>
    <xdr:clientData/>
  </xdr:twoCellAnchor>
  <xdr:twoCellAnchor>
    <xdr:from>
      <xdr:col>21</xdr:col>
      <xdr:colOff>44425</xdr:colOff>
      <xdr:row>40</xdr:row>
      <xdr:rowOff>11659</xdr:rowOff>
    </xdr:from>
    <xdr:to>
      <xdr:col>21</xdr:col>
      <xdr:colOff>44426</xdr:colOff>
      <xdr:row>41</xdr:row>
      <xdr:rowOff>12128</xdr:rowOff>
    </xdr:to>
    <xdr:cxnSp macro="">
      <xdr:nvCxnSpPr>
        <xdr:cNvPr id="120" name="Straight Arrow Connector 119">
          <a:extLst>
            <a:ext uri="{FF2B5EF4-FFF2-40B4-BE49-F238E27FC236}">
              <a16:creationId xmlns:a16="http://schemas.microsoft.com/office/drawing/2014/main" xmlns="" id="{00000000-0008-0000-0600-000078000000}"/>
            </a:ext>
          </a:extLst>
        </xdr:cNvPr>
        <xdr:cNvCxnSpPr/>
      </xdr:nvCxnSpPr>
      <xdr:spPr>
        <a:xfrm flipV="1">
          <a:off x="24001243" y="10656568"/>
          <a:ext cx="1" cy="254469"/>
        </a:xfrm>
        <a:prstGeom prst="straightConnector1">
          <a:avLst/>
        </a:prstGeom>
        <a:ln w="31750">
          <a:solidFill>
            <a:schemeClr val="tx1"/>
          </a:solidFill>
          <a:headEnd type="triangl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55753</xdr:colOff>
      <xdr:row>41</xdr:row>
      <xdr:rowOff>139357</xdr:rowOff>
    </xdr:from>
    <xdr:to>
      <xdr:col>12</xdr:col>
      <xdr:colOff>451057</xdr:colOff>
      <xdr:row>41</xdr:row>
      <xdr:rowOff>139357</xdr:rowOff>
    </xdr:to>
    <xdr:cxnSp macro="">
      <xdr:nvCxnSpPr>
        <xdr:cNvPr id="131" name="Straight Connector 130">
          <a:extLst>
            <a:ext uri="{FF2B5EF4-FFF2-40B4-BE49-F238E27FC236}">
              <a16:creationId xmlns:a16="http://schemas.microsoft.com/office/drawing/2014/main" xmlns="" id="{00000000-0008-0000-0600-000083000000}"/>
            </a:ext>
          </a:extLst>
        </xdr:cNvPr>
        <xdr:cNvCxnSpPr/>
      </xdr:nvCxnSpPr>
      <xdr:spPr>
        <a:xfrm>
          <a:off x="15595935" y="11038266"/>
          <a:ext cx="395304" cy="0"/>
        </a:xfrm>
        <a:prstGeom prst="line">
          <a:avLst/>
        </a:prstGeom>
        <a:ln w="31750">
          <a:solidFill>
            <a:sysClr val="windowText" lastClr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734472</xdr:colOff>
      <xdr:row>38</xdr:row>
      <xdr:rowOff>1834</xdr:rowOff>
    </xdr:from>
    <xdr:to>
      <xdr:col>19</xdr:col>
      <xdr:colOff>801296</xdr:colOff>
      <xdr:row>39</xdr:row>
      <xdr:rowOff>86243</xdr:rowOff>
    </xdr:to>
    <xdr:sp macro="" textlink="">
      <xdr:nvSpPr>
        <xdr:cNvPr id="134" name="Right Brace 133">
          <a:extLst>
            <a:ext uri="{FF2B5EF4-FFF2-40B4-BE49-F238E27FC236}">
              <a16:creationId xmlns:a16="http://schemas.microsoft.com/office/drawing/2014/main" xmlns="" id="{00000000-0008-0000-0600-000086000000}"/>
            </a:ext>
          </a:extLst>
        </xdr:cNvPr>
        <xdr:cNvSpPr/>
      </xdr:nvSpPr>
      <xdr:spPr>
        <a:xfrm rot="16200000">
          <a:off x="22217543" y="9806945"/>
          <a:ext cx="338409" cy="1002006"/>
        </a:xfrm>
        <a:prstGeom prst="rightBrace">
          <a:avLst>
            <a:gd name="adj1" fmla="val 0"/>
            <a:gd name="adj2" fmla="val 87972"/>
          </a:avLst>
        </a:prstGeom>
        <a:ln w="2540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rtlCol="0" anchor="ctr"/>
        <a:lstStyle/>
        <a:p>
          <a:pPr algn="ctr"/>
          <a:endParaRPr lang="da-DK" sz="1100"/>
        </a:p>
      </xdr:txBody>
    </xdr:sp>
    <xdr:clientData/>
  </xdr:twoCellAnchor>
  <xdr:twoCellAnchor>
    <xdr:from>
      <xdr:col>19</xdr:col>
      <xdr:colOff>331204</xdr:colOff>
      <xdr:row>33</xdr:row>
      <xdr:rowOff>180917</xdr:rowOff>
    </xdr:from>
    <xdr:to>
      <xdr:col>19</xdr:col>
      <xdr:colOff>669230</xdr:colOff>
      <xdr:row>37</xdr:row>
      <xdr:rowOff>232744</xdr:rowOff>
    </xdr:to>
    <xdr:cxnSp macro="">
      <xdr:nvCxnSpPr>
        <xdr:cNvPr id="136" name="Straight Arrow Connector 135">
          <a:extLst>
            <a:ext uri="{FF2B5EF4-FFF2-40B4-BE49-F238E27FC236}">
              <a16:creationId xmlns:a16="http://schemas.microsoft.com/office/drawing/2014/main" xmlns="" id="{00000000-0008-0000-0600-000088000000}"/>
            </a:ext>
          </a:extLst>
        </xdr:cNvPr>
        <xdr:cNvCxnSpPr/>
      </xdr:nvCxnSpPr>
      <xdr:spPr>
        <a:xfrm flipH="1" flipV="1">
          <a:off x="22417659" y="9047826"/>
          <a:ext cx="338026" cy="1067827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247065</xdr:colOff>
      <xdr:row>27</xdr:row>
      <xdr:rowOff>203801</xdr:rowOff>
    </xdr:from>
    <xdr:to>
      <xdr:col>9</xdr:col>
      <xdr:colOff>262506</xdr:colOff>
      <xdr:row>42</xdr:row>
      <xdr:rowOff>157585</xdr:rowOff>
    </xdr:to>
    <xdr:cxnSp macro="">
      <xdr:nvCxnSpPr>
        <xdr:cNvPr id="141" name="Straight Connector 140">
          <a:extLst>
            <a:ext uri="{FF2B5EF4-FFF2-40B4-BE49-F238E27FC236}">
              <a16:creationId xmlns:a16="http://schemas.microsoft.com/office/drawing/2014/main" xmlns="" id="{00000000-0008-0000-0600-00008D000000}"/>
            </a:ext>
          </a:extLst>
        </xdr:cNvPr>
        <xdr:cNvCxnSpPr/>
      </xdr:nvCxnSpPr>
      <xdr:spPr>
        <a:xfrm>
          <a:off x="12981701" y="7546710"/>
          <a:ext cx="15441" cy="3763784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433244</xdr:colOff>
      <xdr:row>29</xdr:row>
      <xdr:rowOff>110054</xdr:rowOff>
    </xdr:from>
    <xdr:to>
      <xdr:col>18</xdr:col>
      <xdr:colOff>844360</xdr:colOff>
      <xdr:row>29</xdr:row>
      <xdr:rowOff>114456</xdr:rowOff>
    </xdr:to>
    <xdr:cxnSp macro="">
      <xdr:nvCxnSpPr>
        <xdr:cNvPr id="85" name="Straight Arrow Connector 84">
          <a:extLst>
            <a:ext uri="{FF2B5EF4-FFF2-40B4-BE49-F238E27FC236}">
              <a16:creationId xmlns:a16="http://schemas.microsoft.com/office/drawing/2014/main" xmlns="" id="{00000000-0008-0000-0600-000055000000}"/>
            </a:ext>
          </a:extLst>
        </xdr:cNvPr>
        <xdr:cNvCxnSpPr/>
      </xdr:nvCxnSpPr>
      <xdr:spPr>
        <a:xfrm flipV="1">
          <a:off x="19714153" y="7960963"/>
          <a:ext cx="2281480" cy="4402"/>
        </a:xfrm>
        <a:prstGeom prst="straightConnector1">
          <a:avLst/>
        </a:prstGeom>
        <a:ln w="38100">
          <a:solidFill>
            <a:schemeClr val="tx1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885022</xdr:colOff>
      <xdr:row>35</xdr:row>
      <xdr:rowOff>11415</xdr:rowOff>
    </xdr:from>
    <xdr:to>
      <xdr:col>18</xdr:col>
      <xdr:colOff>873056</xdr:colOff>
      <xdr:row>35</xdr:row>
      <xdr:rowOff>13623</xdr:rowOff>
    </xdr:to>
    <xdr:cxnSp macro="">
      <xdr:nvCxnSpPr>
        <xdr:cNvPr id="91" name="Straight Arrow Connector 90">
          <a:extLst>
            <a:ext uri="{FF2B5EF4-FFF2-40B4-BE49-F238E27FC236}">
              <a16:creationId xmlns:a16="http://schemas.microsoft.com/office/drawing/2014/main" xmlns="" id="{00000000-0008-0000-0600-00005B000000}"/>
            </a:ext>
          </a:extLst>
        </xdr:cNvPr>
        <xdr:cNvCxnSpPr/>
      </xdr:nvCxnSpPr>
      <xdr:spPr>
        <a:xfrm>
          <a:off x="20165931" y="9386324"/>
          <a:ext cx="1858398" cy="2208"/>
        </a:xfrm>
        <a:prstGeom prst="straightConnector1">
          <a:avLst/>
        </a:prstGeom>
        <a:ln w="38100">
          <a:solidFill>
            <a:schemeClr val="tx1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1377</xdr:colOff>
      <xdr:row>34</xdr:row>
      <xdr:rowOff>214464</xdr:rowOff>
    </xdr:from>
    <xdr:to>
      <xdr:col>10</xdr:col>
      <xdr:colOff>560358</xdr:colOff>
      <xdr:row>34</xdr:row>
      <xdr:rowOff>220865</xdr:rowOff>
    </xdr:to>
    <xdr:cxnSp macro="">
      <xdr:nvCxnSpPr>
        <xdr:cNvPr id="93" name="Straight Arrow Connector 92">
          <a:extLst>
            <a:ext uri="{FF2B5EF4-FFF2-40B4-BE49-F238E27FC236}">
              <a16:creationId xmlns:a16="http://schemas.microsoft.com/office/drawing/2014/main" xmlns="" id="{00000000-0008-0000-0600-00005D000000}"/>
            </a:ext>
          </a:extLst>
        </xdr:cNvPr>
        <xdr:cNvCxnSpPr/>
      </xdr:nvCxnSpPr>
      <xdr:spPr>
        <a:xfrm flipV="1">
          <a:off x="13671195" y="9335373"/>
          <a:ext cx="558981" cy="6401"/>
        </a:xfrm>
        <a:prstGeom prst="straightConnector1">
          <a:avLst/>
        </a:prstGeom>
        <a:ln w="38100">
          <a:solidFill>
            <a:schemeClr val="tx1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78</xdr:row>
      <xdr:rowOff>215637</xdr:rowOff>
    </xdr:from>
    <xdr:to>
      <xdr:col>20</xdr:col>
      <xdr:colOff>529166</xdr:colOff>
      <xdr:row>88</xdr:row>
      <xdr:rowOff>2959</xdr:rowOff>
    </xdr:to>
    <xdr:grpSp>
      <xdr:nvGrpSpPr>
        <xdr:cNvPr id="193" name="Group 41">
          <a:extLst>
            <a:ext uri="{FF2B5EF4-FFF2-40B4-BE49-F238E27FC236}">
              <a16:creationId xmlns:a16="http://schemas.microsoft.com/office/drawing/2014/main" xmlns="" id="{00000000-0008-0000-0600-0000C1000000}"/>
            </a:ext>
          </a:extLst>
        </xdr:cNvPr>
        <xdr:cNvGrpSpPr/>
      </xdr:nvGrpSpPr>
      <xdr:grpSpPr>
        <a:xfrm>
          <a:off x="13689106" y="20520696"/>
          <a:ext cx="11573684" cy="2297439"/>
          <a:chOff x="12096750" y="3510345"/>
          <a:chExt cx="11450616" cy="4783200"/>
        </a:xfrm>
      </xdr:grpSpPr>
      <xdr:sp macro="" textlink="">
        <xdr:nvSpPr>
          <xdr:cNvPr id="232" name="Rounded Rectangle 231">
            <a:extLst>
              <a:ext uri="{FF2B5EF4-FFF2-40B4-BE49-F238E27FC236}">
                <a16:creationId xmlns:a16="http://schemas.microsoft.com/office/drawing/2014/main" xmlns="" id="{00000000-0008-0000-0600-0000E8000000}"/>
              </a:ext>
            </a:extLst>
          </xdr:cNvPr>
          <xdr:cNvSpPr/>
        </xdr:nvSpPr>
        <xdr:spPr>
          <a:xfrm>
            <a:off x="12096750" y="4958866"/>
            <a:ext cx="460375" cy="1787017"/>
          </a:xfrm>
          <a:prstGeom prst="roundRect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da-DK" sz="1100"/>
          </a:p>
        </xdr:txBody>
      </xdr:sp>
      <xdr:sp macro="" textlink="">
        <xdr:nvSpPr>
          <xdr:cNvPr id="233" name="Rectangle 232">
            <a:extLst>
              <a:ext uri="{FF2B5EF4-FFF2-40B4-BE49-F238E27FC236}">
                <a16:creationId xmlns:a16="http://schemas.microsoft.com/office/drawing/2014/main" xmlns="" id="{00000000-0008-0000-0600-0000E9000000}"/>
              </a:ext>
            </a:extLst>
          </xdr:cNvPr>
          <xdr:cNvSpPr/>
        </xdr:nvSpPr>
        <xdr:spPr>
          <a:xfrm>
            <a:off x="12374652" y="5353403"/>
            <a:ext cx="10407839" cy="997945"/>
          </a:xfrm>
          <a:prstGeom prst="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da-DK" sz="1100"/>
          </a:p>
        </xdr:txBody>
      </xdr:sp>
      <xdr:grpSp>
        <xdr:nvGrpSpPr>
          <xdr:cNvPr id="234" name="Group 39">
            <a:extLst>
              <a:ext uri="{FF2B5EF4-FFF2-40B4-BE49-F238E27FC236}">
                <a16:creationId xmlns:a16="http://schemas.microsoft.com/office/drawing/2014/main" xmlns="" id="{00000000-0008-0000-0600-0000EA000000}"/>
              </a:ext>
            </a:extLst>
          </xdr:cNvPr>
          <xdr:cNvGrpSpPr/>
        </xdr:nvGrpSpPr>
        <xdr:grpSpPr>
          <a:xfrm>
            <a:off x="13123373" y="5013789"/>
            <a:ext cx="1984375" cy="2799080"/>
            <a:chOff x="13123373" y="5014138"/>
            <a:chExt cx="1984375" cy="2829883"/>
          </a:xfrm>
        </xdr:grpSpPr>
        <xdr:sp macro="" textlink="">
          <xdr:nvSpPr>
            <xdr:cNvPr id="247" name="Frame 2">
              <a:extLst>
                <a:ext uri="{FF2B5EF4-FFF2-40B4-BE49-F238E27FC236}">
                  <a16:creationId xmlns:a16="http://schemas.microsoft.com/office/drawing/2014/main" xmlns="" id="{00000000-0008-0000-0600-0000F7000000}"/>
                </a:ext>
              </a:extLst>
            </xdr:cNvPr>
            <xdr:cNvSpPr/>
          </xdr:nvSpPr>
          <xdr:spPr>
            <a:xfrm>
              <a:off x="13123373" y="6785889"/>
              <a:ext cx="1984375" cy="1058132"/>
            </a:xfrm>
            <a:prstGeom prst="frame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endParaRPr lang="da-DK" sz="1100">
                <a:solidFill>
                  <a:schemeClr val="tx1"/>
                </a:solidFill>
              </a:endParaRPr>
            </a:p>
          </xdr:txBody>
        </xdr:sp>
        <xdr:sp macro="" textlink="">
          <xdr:nvSpPr>
            <xdr:cNvPr id="248" name="Rectangle 4">
              <a:extLst>
                <a:ext uri="{FF2B5EF4-FFF2-40B4-BE49-F238E27FC236}">
                  <a16:creationId xmlns:a16="http://schemas.microsoft.com/office/drawing/2014/main" xmlns="" id="{00000000-0008-0000-0600-0000F8000000}"/>
                </a:ext>
              </a:extLst>
            </xdr:cNvPr>
            <xdr:cNvSpPr/>
          </xdr:nvSpPr>
          <xdr:spPr>
            <a:xfrm>
              <a:off x="13297203" y="5014138"/>
              <a:ext cx="730248" cy="1763810"/>
            </a:xfrm>
            <a:prstGeom prst="rect">
              <a:avLst/>
            </a:prstGeom>
            <a:solidFill>
              <a:srgbClr val="00B0F0"/>
            </a:solidFill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r>
                <a:rPr lang="da-DK" sz="1100"/>
                <a:t>B1</a:t>
              </a:r>
            </a:p>
          </xdr:txBody>
        </xdr:sp>
      </xdr:grpSp>
      <xdr:grpSp>
        <xdr:nvGrpSpPr>
          <xdr:cNvPr id="235" name="Group 40">
            <a:extLst>
              <a:ext uri="{FF2B5EF4-FFF2-40B4-BE49-F238E27FC236}">
                <a16:creationId xmlns:a16="http://schemas.microsoft.com/office/drawing/2014/main" xmlns="" id="{00000000-0008-0000-0600-0000EB000000}"/>
              </a:ext>
            </a:extLst>
          </xdr:cNvPr>
          <xdr:cNvGrpSpPr/>
        </xdr:nvGrpSpPr>
        <xdr:grpSpPr>
          <a:xfrm>
            <a:off x="18013162" y="5004541"/>
            <a:ext cx="1984375" cy="2808327"/>
            <a:chOff x="17997287" y="4988666"/>
            <a:chExt cx="1984375" cy="2808326"/>
          </a:xfrm>
        </xdr:grpSpPr>
        <xdr:sp macro="" textlink="">
          <xdr:nvSpPr>
            <xdr:cNvPr id="245" name="Frame 3">
              <a:extLst>
                <a:ext uri="{FF2B5EF4-FFF2-40B4-BE49-F238E27FC236}">
                  <a16:creationId xmlns:a16="http://schemas.microsoft.com/office/drawing/2014/main" xmlns="" id="{00000000-0008-0000-0600-0000F5000000}"/>
                </a:ext>
              </a:extLst>
            </xdr:cNvPr>
            <xdr:cNvSpPr/>
          </xdr:nvSpPr>
          <xdr:spPr>
            <a:xfrm>
              <a:off x="17997287" y="6746877"/>
              <a:ext cx="1984375" cy="1050115"/>
            </a:xfrm>
            <a:prstGeom prst="frame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endParaRPr lang="da-DK" sz="1100">
                <a:solidFill>
                  <a:schemeClr val="tx1"/>
                </a:solidFill>
              </a:endParaRPr>
            </a:p>
          </xdr:txBody>
        </xdr:sp>
        <xdr:sp macro="" textlink="">
          <xdr:nvSpPr>
            <xdr:cNvPr id="246" name="Rectangle 5">
              <a:extLst>
                <a:ext uri="{FF2B5EF4-FFF2-40B4-BE49-F238E27FC236}">
                  <a16:creationId xmlns:a16="http://schemas.microsoft.com/office/drawing/2014/main" xmlns="" id="{00000000-0008-0000-0600-0000F6000000}"/>
                </a:ext>
              </a:extLst>
            </xdr:cNvPr>
            <xdr:cNvSpPr/>
          </xdr:nvSpPr>
          <xdr:spPr>
            <a:xfrm>
              <a:off x="19047643" y="4988666"/>
              <a:ext cx="730250" cy="1758017"/>
            </a:xfrm>
            <a:prstGeom prst="rect">
              <a:avLst/>
            </a:prstGeom>
            <a:solidFill>
              <a:srgbClr val="00B0F0"/>
            </a:solidFill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r>
                <a:rPr lang="da-DK" sz="1100"/>
                <a:t>B2</a:t>
              </a:r>
            </a:p>
          </xdr:txBody>
        </xdr:sp>
      </xdr:grpSp>
      <xdr:sp macro="" textlink="">
        <xdr:nvSpPr>
          <xdr:cNvPr id="236" name="Frame 235">
            <a:extLst>
              <a:ext uri="{FF2B5EF4-FFF2-40B4-BE49-F238E27FC236}">
                <a16:creationId xmlns:a16="http://schemas.microsoft.com/office/drawing/2014/main" xmlns="" id="{00000000-0008-0000-0600-0000EC000000}"/>
              </a:ext>
            </a:extLst>
          </xdr:cNvPr>
          <xdr:cNvSpPr/>
        </xdr:nvSpPr>
        <xdr:spPr>
          <a:xfrm>
            <a:off x="21780500" y="5073891"/>
            <a:ext cx="1158875" cy="1544736"/>
          </a:xfrm>
          <a:prstGeom prst="frame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da-DK" sz="1100">
              <a:solidFill>
                <a:schemeClr val="tx1"/>
              </a:solidFill>
            </a:endParaRPr>
          </a:p>
        </xdr:txBody>
      </xdr:sp>
      <xdr:cxnSp macro="">
        <xdr:nvCxnSpPr>
          <xdr:cNvPr id="237" name="Straight Connector 236">
            <a:extLst>
              <a:ext uri="{FF2B5EF4-FFF2-40B4-BE49-F238E27FC236}">
                <a16:creationId xmlns:a16="http://schemas.microsoft.com/office/drawing/2014/main" xmlns="" id="{00000000-0008-0000-0600-0000ED000000}"/>
              </a:ext>
            </a:extLst>
          </xdr:cNvPr>
          <xdr:cNvCxnSpPr/>
        </xdr:nvCxnSpPr>
        <xdr:spPr>
          <a:xfrm flipH="1">
            <a:off x="22084956" y="3686614"/>
            <a:ext cx="5812" cy="4421239"/>
          </a:xfrm>
          <a:prstGeom prst="line">
            <a:avLst/>
          </a:prstGeom>
          <a:ln w="76200">
            <a:solidFill>
              <a:srgbClr val="FF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38" name="Straight Arrow Connector 237">
            <a:extLst>
              <a:ext uri="{FF2B5EF4-FFF2-40B4-BE49-F238E27FC236}">
                <a16:creationId xmlns:a16="http://schemas.microsoft.com/office/drawing/2014/main" xmlns="" id="{00000000-0008-0000-0600-0000EE000000}"/>
              </a:ext>
            </a:extLst>
          </xdr:cNvPr>
          <xdr:cNvCxnSpPr/>
        </xdr:nvCxnSpPr>
        <xdr:spPr>
          <a:xfrm flipV="1">
            <a:off x="12341959" y="3510345"/>
            <a:ext cx="9399703" cy="24325"/>
          </a:xfrm>
          <a:prstGeom prst="straightConnector1">
            <a:avLst/>
          </a:prstGeom>
          <a:ln w="38100">
            <a:solidFill>
              <a:schemeClr val="tx1"/>
            </a:solidFill>
            <a:headEnd type="arrow"/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39" name="Straight Arrow Connector 238">
            <a:extLst>
              <a:ext uri="{FF2B5EF4-FFF2-40B4-BE49-F238E27FC236}">
                <a16:creationId xmlns:a16="http://schemas.microsoft.com/office/drawing/2014/main" xmlns="" id="{00000000-0008-0000-0600-0000EF000000}"/>
              </a:ext>
            </a:extLst>
          </xdr:cNvPr>
          <xdr:cNvCxnSpPr/>
        </xdr:nvCxnSpPr>
        <xdr:spPr>
          <a:xfrm flipV="1">
            <a:off x="12406396" y="7019257"/>
            <a:ext cx="719501" cy="13156"/>
          </a:xfrm>
          <a:prstGeom prst="straightConnector1">
            <a:avLst/>
          </a:prstGeom>
          <a:ln w="38100">
            <a:solidFill>
              <a:schemeClr val="tx1"/>
            </a:solidFill>
            <a:headEnd type="arrow"/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0" name="Straight Arrow Connector 15">
            <a:extLst>
              <a:ext uri="{FF2B5EF4-FFF2-40B4-BE49-F238E27FC236}">
                <a16:creationId xmlns:a16="http://schemas.microsoft.com/office/drawing/2014/main" xmlns="" id="{00000000-0008-0000-0600-0000F0000000}"/>
              </a:ext>
            </a:extLst>
          </xdr:cNvPr>
          <xdr:cNvCxnSpPr/>
        </xdr:nvCxnSpPr>
        <xdr:spPr>
          <a:xfrm flipV="1">
            <a:off x="13572276" y="4328219"/>
            <a:ext cx="5890838" cy="18237"/>
          </a:xfrm>
          <a:prstGeom prst="straightConnector1">
            <a:avLst/>
          </a:prstGeom>
          <a:ln w="38100">
            <a:solidFill>
              <a:schemeClr val="tx1"/>
            </a:solidFill>
            <a:headEnd type="arrow"/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1" name="Straight Arrow Connector 240">
            <a:extLst>
              <a:ext uri="{FF2B5EF4-FFF2-40B4-BE49-F238E27FC236}">
                <a16:creationId xmlns:a16="http://schemas.microsoft.com/office/drawing/2014/main" xmlns="" id="{00000000-0008-0000-0600-0000F1000000}"/>
              </a:ext>
            </a:extLst>
          </xdr:cNvPr>
          <xdr:cNvCxnSpPr/>
        </xdr:nvCxnSpPr>
        <xdr:spPr>
          <a:xfrm flipV="1">
            <a:off x="19451850" y="4752509"/>
            <a:ext cx="2614399" cy="13382"/>
          </a:xfrm>
          <a:prstGeom prst="straightConnector1">
            <a:avLst/>
          </a:prstGeom>
          <a:ln w="38100">
            <a:solidFill>
              <a:schemeClr val="tx1"/>
            </a:solidFill>
            <a:headEnd type="arrow"/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2" name="Straight Arrow Connector 241">
            <a:extLst>
              <a:ext uri="{FF2B5EF4-FFF2-40B4-BE49-F238E27FC236}">
                <a16:creationId xmlns:a16="http://schemas.microsoft.com/office/drawing/2014/main" xmlns="" id="{00000000-0008-0000-0600-0000F2000000}"/>
              </a:ext>
            </a:extLst>
          </xdr:cNvPr>
          <xdr:cNvCxnSpPr/>
        </xdr:nvCxnSpPr>
        <xdr:spPr>
          <a:xfrm flipV="1">
            <a:off x="22058764" y="7366080"/>
            <a:ext cx="1488602" cy="6425"/>
          </a:xfrm>
          <a:prstGeom prst="straightConnector1">
            <a:avLst/>
          </a:prstGeom>
          <a:ln w="38100">
            <a:solidFill>
              <a:schemeClr val="tx1"/>
            </a:solidFill>
            <a:headEnd type="arrow"/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3" name="Straight Arrow Connector 242">
            <a:extLst>
              <a:ext uri="{FF2B5EF4-FFF2-40B4-BE49-F238E27FC236}">
                <a16:creationId xmlns:a16="http://schemas.microsoft.com/office/drawing/2014/main" xmlns="" id="{00000000-0008-0000-0600-0000F3000000}"/>
              </a:ext>
            </a:extLst>
          </xdr:cNvPr>
          <xdr:cNvCxnSpPr/>
        </xdr:nvCxnSpPr>
        <xdr:spPr>
          <a:xfrm rot="5400000" flipH="1" flipV="1">
            <a:off x="22488118" y="5829166"/>
            <a:ext cx="1044360" cy="2"/>
          </a:xfrm>
          <a:prstGeom prst="straightConnector1">
            <a:avLst/>
          </a:prstGeom>
          <a:ln w="38100">
            <a:solidFill>
              <a:schemeClr val="tx1"/>
            </a:solidFill>
            <a:headEnd type="arrow"/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4" name="Straight Arrow Connector 243">
            <a:extLst>
              <a:ext uri="{FF2B5EF4-FFF2-40B4-BE49-F238E27FC236}">
                <a16:creationId xmlns:a16="http://schemas.microsoft.com/office/drawing/2014/main" xmlns="" id="{00000000-0008-0000-0600-0000F4000000}"/>
              </a:ext>
            </a:extLst>
          </xdr:cNvPr>
          <xdr:cNvCxnSpPr/>
        </xdr:nvCxnSpPr>
        <xdr:spPr>
          <a:xfrm>
            <a:off x="13062001" y="8278119"/>
            <a:ext cx="8845500" cy="15426"/>
          </a:xfrm>
          <a:prstGeom prst="straightConnector1">
            <a:avLst/>
          </a:prstGeom>
          <a:ln w="38100">
            <a:solidFill>
              <a:schemeClr val="tx1"/>
            </a:solidFill>
            <a:headEnd type="arrow"/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271210</xdr:colOff>
      <xdr:row>81</xdr:row>
      <xdr:rowOff>69022</xdr:rowOff>
    </xdr:from>
    <xdr:to>
      <xdr:col>10</xdr:col>
      <xdr:colOff>510761</xdr:colOff>
      <xdr:row>81</xdr:row>
      <xdr:rowOff>72782</xdr:rowOff>
    </xdr:to>
    <xdr:cxnSp macro="">
      <xdr:nvCxnSpPr>
        <xdr:cNvPr id="227" name="Straight Arrow Connector 226">
          <a:extLst>
            <a:ext uri="{FF2B5EF4-FFF2-40B4-BE49-F238E27FC236}">
              <a16:creationId xmlns:a16="http://schemas.microsoft.com/office/drawing/2014/main" xmlns="" id="{00000000-0008-0000-0600-0000E3000000}"/>
            </a:ext>
          </a:extLst>
        </xdr:cNvPr>
        <xdr:cNvCxnSpPr/>
      </xdr:nvCxnSpPr>
      <xdr:spPr>
        <a:xfrm flipV="1">
          <a:off x="12971210" y="20913587"/>
          <a:ext cx="1178247" cy="3760"/>
        </a:xfrm>
        <a:prstGeom prst="straightConnector1">
          <a:avLst/>
        </a:prstGeom>
        <a:ln w="38100">
          <a:solidFill>
            <a:schemeClr val="tx1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848291</xdr:colOff>
      <xdr:row>78</xdr:row>
      <xdr:rowOff>38100</xdr:rowOff>
    </xdr:from>
    <xdr:to>
      <xdr:col>18</xdr:col>
      <xdr:colOff>848291</xdr:colOff>
      <xdr:row>88</xdr:row>
      <xdr:rowOff>113818</xdr:rowOff>
    </xdr:to>
    <xdr:cxnSp macro="">
      <xdr:nvCxnSpPr>
        <xdr:cNvPr id="228" name="Straight Connector 9">
          <a:extLst>
            <a:ext uri="{FF2B5EF4-FFF2-40B4-BE49-F238E27FC236}">
              <a16:creationId xmlns:a16="http://schemas.microsoft.com/office/drawing/2014/main" xmlns="" id="{00000000-0008-0000-0600-0000E4000000}"/>
            </a:ext>
          </a:extLst>
        </xdr:cNvPr>
        <xdr:cNvCxnSpPr/>
      </xdr:nvCxnSpPr>
      <xdr:spPr>
        <a:xfrm>
          <a:off x="21999564" y="20335009"/>
          <a:ext cx="0" cy="2615718"/>
        </a:xfrm>
        <a:prstGeom prst="line">
          <a:avLst/>
        </a:prstGeom>
        <a:ln w="38100">
          <a:solidFill>
            <a:srgbClr val="00B0F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846668</xdr:colOff>
      <xdr:row>87</xdr:row>
      <xdr:rowOff>126964</xdr:rowOff>
    </xdr:from>
    <xdr:to>
      <xdr:col>19</xdr:col>
      <xdr:colOff>108569</xdr:colOff>
      <xdr:row>87</xdr:row>
      <xdr:rowOff>126964</xdr:rowOff>
    </xdr:to>
    <xdr:cxnSp macro="">
      <xdr:nvCxnSpPr>
        <xdr:cNvPr id="229" name="Straight Arrow Connector 228">
          <a:extLst>
            <a:ext uri="{FF2B5EF4-FFF2-40B4-BE49-F238E27FC236}">
              <a16:creationId xmlns:a16="http://schemas.microsoft.com/office/drawing/2014/main" xmlns="" id="{00000000-0008-0000-0600-0000E5000000}"/>
            </a:ext>
          </a:extLst>
        </xdr:cNvPr>
        <xdr:cNvCxnSpPr/>
      </xdr:nvCxnSpPr>
      <xdr:spPr>
        <a:xfrm>
          <a:off x="21997941" y="22709873"/>
          <a:ext cx="197083" cy="0"/>
        </a:xfrm>
        <a:prstGeom prst="straightConnector1">
          <a:avLst/>
        </a:prstGeom>
        <a:ln w="38100">
          <a:solidFill>
            <a:schemeClr val="tx1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709316</xdr:colOff>
      <xdr:row>78</xdr:row>
      <xdr:rowOff>168294</xdr:rowOff>
    </xdr:from>
    <xdr:to>
      <xdr:col>18</xdr:col>
      <xdr:colOff>709316</xdr:colOff>
      <xdr:row>88</xdr:row>
      <xdr:rowOff>161161</xdr:rowOff>
    </xdr:to>
    <xdr:cxnSp macro="">
      <xdr:nvCxnSpPr>
        <xdr:cNvPr id="231" name="Straight Connector 230">
          <a:extLst>
            <a:ext uri="{FF2B5EF4-FFF2-40B4-BE49-F238E27FC236}">
              <a16:creationId xmlns:a16="http://schemas.microsoft.com/office/drawing/2014/main" xmlns="" id="{00000000-0008-0000-0600-0000E7000000}"/>
            </a:ext>
          </a:extLst>
        </xdr:cNvPr>
        <xdr:cNvCxnSpPr/>
      </xdr:nvCxnSpPr>
      <xdr:spPr>
        <a:xfrm>
          <a:off x="21860589" y="20465203"/>
          <a:ext cx="0" cy="2532867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281036</xdr:colOff>
      <xdr:row>93</xdr:row>
      <xdr:rowOff>228600</xdr:rowOff>
    </xdr:from>
    <xdr:to>
      <xdr:col>18</xdr:col>
      <xdr:colOff>796636</xdr:colOff>
      <xdr:row>93</xdr:row>
      <xdr:rowOff>242455</xdr:rowOff>
    </xdr:to>
    <xdr:cxnSp macro="">
      <xdr:nvCxnSpPr>
        <xdr:cNvPr id="178" name="Straight Arrow Connector 177">
          <a:extLst>
            <a:ext uri="{FF2B5EF4-FFF2-40B4-BE49-F238E27FC236}">
              <a16:creationId xmlns:a16="http://schemas.microsoft.com/office/drawing/2014/main" xmlns="" id="{00000000-0008-0000-0600-0000B2000000}"/>
            </a:ext>
          </a:extLst>
        </xdr:cNvPr>
        <xdr:cNvCxnSpPr/>
      </xdr:nvCxnSpPr>
      <xdr:spPr>
        <a:xfrm>
          <a:off x="13015672" y="24335509"/>
          <a:ext cx="8932237" cy="13855"/>
        </a:xfrm>
        <a:prstGeom prst="straightConnector1">
          <a:avLst/>
        </a:prstGeom>
        <a:ln w="31750">
          <a:solidFill>
            <a:schemeClr val="tx1"/>
          </a:solidFill>
          <a:headEnd type="triangl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742094</xdr:colOff>
      <xdr:row>93</xdr:row>
      <xdr:rowOff>240145</xdr:rowOff>
    </xdr:from>
    <xdr:to>
      <xdr:col>19</xdr:col>
      <xdr:colOff>810611</xdr:colOff>
      <xdr:row>93</xdr:row>
      <xdr:rowOff>240145</xdr:rowOff>
    </xdr:to>
    <xdr:cxnSp macro="">
      <xdr:nvCxnSpPr>
        <xdr:cNvPr id="179" name="Straight Arrow Connector 178">
          <a:extLst>
            <a:ext uri="{FF2B5EF4-FFF2-40B4-BE49-F238E27FC236}">
              <a16:creationId xmlns:a16="http://schemas.microsoft.com/office/drawing/2014/main" xmlns="" id="{00000000-0008-0000-0600-0000B3000000}"/>
            </a:ext>
          </a:extLst>
        </xdr:cNvPr>
        <xdr:cNvCxnSpPr/>
      </xdr:nvCxnSpPr>
      <xdr:spPr>
        <a:xfrm>
          <a:off x="21893367" y="24347054"/>
          <a:ext cx="1003699" cy="0"/>
        </a:xfrm>
        <a:prstGeom prst="straightConnector1">
          <a:avLst/>
        </a:prstGeom>
        <a:ln w="31750">
          <a:solidFill>
            <a:schemeClr val="tx1"/>
          </a:solidFill>
          <a:headEnd type="triangl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772079</xdr:colOff>
      <xdr:row>93</xdr:row>
      <xdr:rowOff>240145</xdr:rowOff>
    </xdr:from>
    <xdr:to>
      <xdr:col>20</xdr:col>
      <xdr:colOff>605896</xdr:colOff>
      <xdr:row>93</xdr:row>
      <xdr:rowOff>240145</xdr:rowOff>
    </xdr:to>
    <xdr:cxnSp macro="">
      <xdr:nvCxnSpPr>
        <xdr:cNvPr id="180" name="Straight Arrow Connector 179">
          <a:extLst>
            <a:ext uri="{FF2B5EF4-FFF2-40B4-BE49-F238E27FC236}">
              <a16:creationId xmlns:a16="http://schemas.microsoft.com/office/drawing/2014/main" xmlns="" id="{00000000-0008-0000-0600-0000B4000000}"/>
            </a:ext>
          </a:extLst>
        </xdr:cNvPr>
        <xdr:cNvCxnSpPr/>
      </xdr:nvCxnSpPr>
      <xdr:spPr>
        <a:xfrm>
          <a:off x="22858534" y="24347054"/>
          <a:ext cx="768998" cy="0"/>
        </a:xfrm>
        <a:prstGeom prst="straightConnector1">
          <a:avLst/>
        </a:prstGeom>
        <a:ln w="31750">
          <a:solidFill>
            <a:schemeClr val="tx1"/>
          </a:solidFill>
          <a:headEnd type="triangl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91</xdr:row>
      <xdr:rowOff>27609</xdr:rowOff>
    </xdr:from>
    <xdr:to>
      <xdr:col>9</xdr:col>
      <xdr:colOff>0</xdr:colOff>
      <xdr:row>92</xdr:row>
      <xdr:rowOff>82826</xdr:rowOff>
    </xdr:to>
    <xdr:cxnSp macro="">
      <xdr:nvCxnSpPr>
        <xdr:cNvPr id="189" name="Straight Arrow Connector 188">
          <a:extLst>
            <a:ext uri="{FF2B5EF4-FFF2-40B4-BE49-F238E27FC236}">
              <a16:creationId xmlns:a16="http://schemas.microsoft.com/office/drawing/2014/main" xmlns="" id="{00000000-0008-0000-0600-0000BD000000}"/>
            </a:ext>
          </a:extLst>
        </xdr:cNvPr>
        <xdr:cNvCxnSpPr/>
      </xdr:nvCxnSpPr>
      <xdr:spPr>
        <a:xfrm flipV="1">
          <a:off x="12700000" y="23356957"/>
          <a:ext cx="0" cy="303695"/>
        </a:xfrm>
        <a:prstGeom prst="straightConnector1">
          <a:avLst/>
        </a:prstGeom>
        <a:ln w="31750">
          <a:solidFill>
            <a:schemeClr val="tx1"/>
          </a:solidFill>
          <a:headEnd type="triangl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342217</xdr:colOff>
      <xdr:row>84</xdr:row>
      <xdr:rowOff>201256</xdr:rowOff>
    </xdr:from>
    <xdr:to>
      <xdr:col>19</xdr:col>
      <xdr:colOff>674038</xdr:colOff>
      <xdr:row>89</xdr:row>
      <xdr:rowOff>1838</xdr:rowOff>
    </xdr:to>
    <xdr:cxnSp macro="">
      <xdr:nvCxnSpPr>
        <xdr:cNvPr id="184" name="Straight Arrow Connector 183">
          <a:extLst>
            <a:ext uri="{FF2B5EF4-FFF2-40B4-BE49-F238E27FC236}">
              <a16:creationId xmlns:a16="http://schemas.microsoft.com/office/drawing/2014/main" xmlns="" id="{00000000-0008-0000-0600-0000B8000000}"/>
            </a:ext>
          </a:extLst>
        </xdr:cNvPr>
        <xdr:cNvCxnSpPr>
          <a:stCxn id="182" idx="1"/>
          <a:endCxn id="236" idx="2"/>
        </xdr:cNvCxnSpPr>
      </xdr:nvCxnSpPr>
      <xdr:spPr>
        <a:xfrm flipH="1" flipV="1">
          <a:off x="22429174" y="21791256"/>
          <a:ext cx="331821" cy="1042973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247064</xdr:colOff>
      <xdr:row>78</xdr:row>
      <xdr:rowOff>203801</xdr:rowOff>
    </xdr:from>
    <xdr:to>
      <xdr:col>9</xdr:col>
      <xdr:colOff>262505</xdr:colOff>
      <xdr:row>93</xdr:row>
      <xdr:rowOff>157585</xdr:rowOff>
    </xdr:to>
    <xdr:cxnSp macro="">
      <xdr:nvCxnSpPr>
        <xdr:cNvPr id="176" name="Straight Connector 175">
          <a:extLst>
            <a:ext uri="{FF2B5EF4-FFF2-40B4-BE49-F238E27FC236}">
              <a16:creationId xmlns:a16="http://schemas.microsoft.com/office/drawing/2014/main" xmlns="" id="{00000000-0008-0000-0600-0000B0000000}"/>
            </a:ext>
          </a:extLst>
        </xdr:cNvPr>
        <xdr:cNvCxnSpPr/>
      </xdr:nvCxnSpPr>
      <xdr:spPr>
        <a:xfrm>
          <a:off x="12981700" y="20500710"/>
          <a:ext cx="15441" cy="3763784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433217</xdr:colOff>
      <xdr:row>80</xdr:row>
      <xdr:rowOff>110054</xdr:rowOff>
    </xdr:from>
    <xdr:to>
      <xdr:col>18</xdr:col>
      <xdr:colOff>844324</xdr:colOff>
      <xdr:row>80</xdr:row>
      <xdr:rowOff>114456</xdr:rowOff>
    </xdr:to>
    <xdr:cxnSp macro="">
      <xdr:nvCxnSpPr>
        <xdr:cNvPr id="174" name="Straight Arrow Connector 173">
          <a:extLst>
            <a:ext uri="{FF2B5EF4-FFF2-40B4-BE49-F238E27FC236}">
              <a16:creationId xmlns:a16="http://schemas.microsoft.com/office/drawing/2014/main" xmlns="" id="{00000000-0008-0000-0600-0000AE000000}"/>
            </a:ext>
          </a:extLst>
        </xdr:cNvPr>
        <xdr:cNvCxnSpPr/>
      </xdr:nvCxnSpPr>
      <xdr:spPr>
        <a:xfrm flipV="1">
          <a:off x="19714126" y="20914963"/>
          <a:ext cx="2281471" cy="4402"/>
        </a:xfrm>
        <a:prstGeom prst="straightConnector1">
          <a:avLst/>
        </a:prstGeom>
        <a:ln w="38100">
          <a:solidFill>
            <a:schemeClr val="tx1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884993</xdr:colOff>
      <xdr:row>86</xdr:row>
      <xdr:rowOff>11415</xdr:rowOff>
    </xdr:from>
    <xdr:to>
      <xdr:col>18</xdr:col>
      <xdr:colOff>873019</xdr:colOff>
      <xdr:row>86</xdr:row>
      <xdr:rowOff>13623</xdr:rowOff>
    </xdr:to>
    <xdr:cxnSp macro="">
      <xdr:nvCxnSpPr>
        <xdr:cNvPr id="172" name="Straight Arrow Connector 171">
          <a:extLst>
            <a:ext uri="{FF2B5EF4-FFF2-40B4-BE49-F238E27FC236}">
              <a16:creationId xmlns:a16="http://schemas.microsoft.com/office/drawing/2014/main" xmlns="" id="{00000000-0008-0000-0600-0000AC000000}"/>
            </a:ext>
          </a:extLst>
        </xdr:cNvPr>
        <xdr:cNvCxnSpPr/>
      </xdr:nvCxnSpPr>
      <xdr:spPr>
        <a:xfrm>
          <a:off x="20165902" y="22340324"/>
          <a:ext cx="1858390" cy="2208"/>
        </a:xfrm>
        <a:prstGeom prst="straightConnector1">
          <a:avLst/>
        </a:prstGeom>
        <a:ln w="38100">
          <a:solidFill>
            <a:schemeClr val="tx1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24465</xdr:colOff>
      <xdr:row>86</xdr:row>
      <xdr:rowOff>64373</xdr:rowOff>
    </xdr:from>
    <xdr:to>
      <xdr:col>10</xdr:col>
      <xdr:colOff>583444</xdr:colOff>
      <xdr:row>86</xdr:row>
      <xdr:rowOff>70774</xdr:rowOff>
    </xdr:to>
    <xdr:cxnSp macro="">
      <xdr:nvCxnSpPr>
        <xdr:cNvPr id="168" name="Straight Arrow Connector 167">
          <a:extLst>
            <a:ext uri="{FF2B5EF4-FFF2-40B4-BE49-F238E27FC236}">
              <a16:creationId xmlns:a16="http://schemas.microsoft.com/office/drawing/2014/main" xmlns="" id="{00000000-0008-0000-0600-0000A8000000}"/>
            </a:ext>
          </a:extLst>
        </xdr:cNvPr>
        <xdr:cNvCxnSpPr/>
      </xdr:nvCxnSpPr>
      <xdr:spPr>
        <a:xfrm flipV="1">
          <a:off x="13694283" y="22393282"/>
          <a:ext cx="558979" cy="6401"/>
        </a:xfrm>
        <a:prstGeom prst="straightConnector1">
          <a:avLst/>
        </a:prstGeom>
        <a:ln w="38100">
          <a:solidFill>
            <a:schemeClr val="tx1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687917</xdr:colOff>
      <xdr:row>30</xdr:row>
      <xdr:rowOff>178413</xdr:rowOff>
    </xdr:from>
    <xdr:to>
      <xdr:col>20</xdr:col>
      <xdr:colOff>0</xdr:colOff>
      <xdr:row>30</xdr:row>
      <xdr:rowOff>179917</xdr:rowOff>
    </xdr:to>
    <xdr:cxnSp macro="">
      <xdr:nvCxnSpPr>
        <xdr:cNvPr id="99" name="Straight Arrow Connector 98">
          <a:extLst>
            <a:ext uri="{FF2B5EF4-FFF2-40B4-BE49-F238E27FC236}">
              <a16:creationId xmlns:a16="http://schemas.microsoft.com/office/drawing/2014/main" xmlns="" id="{00000000-0008-0000-0600-000063000000}"/>
            </a:ext>
          </a:extLst>
        </xdr:cNvPr>
        <xdr:cNvCxnSpPr/>
      </xdr:nvCxnSpPr>
      <xdr:spPr>
        <a:xfrm>
          <a:off x="21769917" y="7798413"/>
          <a:ext cx="1174750" cy="1504"/>
        </a:xfrm>
        <a:prstGeom prst="straightConnector1">
          <a:avLst/>
        </a:prstGeom>
        <a:ln w="38100">
          <a:solidFill>
            <a:schemeClr val="tx1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328084</xdr:colOff>
      <xdr:row>29</xdr:row>
      <xdr:rowOff>169333</xdr:rowOff>
    </xdr:from>
    <xdr:to>
      <xdr:col>20</xdr:col>
      <xdr:colOff>423333</xdr:colOff>
      <xdr:row>30</xdr:row>
      <xdr:rowOff>211668</xdr:rowOff>
    </xdr:to>
    <xdr:cxnSp macro="">
      <xdr:nvCxnSpPr>
        <xdr:cNvPr id="8" name="Straight Connector 7">
          <a:extLst>
            <a:ext uri="{FF2B5EF4-FFF2-40B4-BE49-F238E27FC236}">
              <a16:creationId xmlns:a16="http://schemas.microsoft.com/office/drawing/2014/main" xmlns="" id="{00000000-0008-0000-0600-000008000000}"/>
            </a:ext>
          </a:extLst>
        </xdr:cNvPr>
        <xdr:cNvCxnSpPr/>
      </xdr:nvCxnSpPr>
      <xdr:spPr>
        <a:xfrm flipV="1">
          <a:off x="22341417" y="7535333"/>
          <a:ext cx="1026583" cy="296335"/>
        </a:xfrm>
        <a:prstGeom prst="line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127000</xdr:colOff>
      <xdr:row>29</xdr:row>
      <xdr:rowOff>220747</xdr:rowOff>
    </xdr:from>
    <xdr:to>
      <xdr:col>19</xdr:col>
      <xdr:colOff>878417</xdr:colOff>
      <xdr:row>29</xdr:row>
      <xdr:rowOff>232833</xdr:rowOff>
    </xdr:to>
    <xdr:cxnSp macro="">
      <xdr:nvCxnSpPr>
        <xdr:cNvPr id="104" name="Straight Arrow Connector 103">
          <a:extLst>
            <a:ext uri="{FF2B5EF4-FFF2-40B4-BE49-F238E27FC236}">
              <a16:creationId xmlns:a16="http://schemas.microsoft.com/office/drawing/2014/main" xmlns="" id="{00000000-0008-0000-0600-000068000000}"/>
            </a:ext>
          </a:extLst>
        </xdr:cNvPr>
        <xdr:cNvCxnSpPr/>
      </xdr:nvCxnSpPr>
      <xdr:spPr>
        <a:xfrm>
          <a:off x="22140333" y="7586747"/>
          <a:ext cx="751417" cy="12086"/>
        </a:xfrm>
        <a:prstGeom prst="straightConnector1">
          <a:avLst/>
        </a:prstGeom>
        <a:ln w="38100">
          <a:solidFill>
            <a:schemeClr val="tx1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681572</xdr:colOff>
      <xdr:row>81</xdr:row>
      <xdr:rowOff>182607</xdr:rowOff>
    </xdr:from>
    <xdr:to>
      <xdr:col>19</xdr:col>
      <xdr:colOff>924989</xdr:colOff>
      <xdr:row>81</xdr:row>
      <xdr:rowOff>184111</xdr:rowOff>
    </xdr:to>
    <xdr:cxnSp macro="">
      <xdr:nvCxnSpPr>
        <xdr:cNvPr id="106" name="Straight Arrow Connector 105">
          <a:extLst>
            <a:ext uri="{FF2B5EF4-FFF2-40B4-BE49-F238E27FC236}">
              <a16:creationId xmlns:a16="http://schemas.microsoft.com/office/drawing/2014/main" xmlns="" id="{00000000-0008-0000-0600-00006A000000}"/>
            </a:ext>
          </a:extLst>
        </xdr:cNvPr>
        <xdr:cNvCxnSpPr/>
      </xdr:nvCxnSpPr>
      <xdr:spPr>
        <a:xfrm>
          <a:off x="21763572" y="20502607"/>
          <a:ext cx="1174750" cy="1504"/>
        </a:xfrm>
        <a:prstGeom prst="straightConnector1">
          <a:avLst/>
        </a:prstGeom>
        <a:ln w="38100">
          <a:solidFill>
            <a:schemeClr val="tx1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321739</xdr:colOff>
      <xdr:row>80</xdr:row>
      <xdr:rowOff>179917</xdr:rowOff>
    </xdr:from>
    <xdr:to>
      <xdr:col>20</xdr:col>
      <xdr:colOff>391583</xdr:colOff>
      <xdr:row>81</xdr:row>
      <xdr:rowOff>215862</xdr:rowOff>
    </xdr:to>
    <xdr:cxnSp macro="">
      <xdr:nvCxnSpPr>
        <xdr:cNvPr id="107" name="Straight Connector 106">
          <a:extLst>
            <a:ext uri="{FF2B5EF4-FFF2-40B4-BE49-F238E27FC236}">
              <a16:creationId xmlns:a16="http://schemas.microsoft.com/office/drawing/2014/main" xmlns="" id="{00000000-0008-0000-0600-00006B000000}"/>
            </a:ext>
          </a:extLst>
        </xdr:cNvPr>
        <xdr:cNvCxnSpPr/>
      </xdr:nvCxnSpPr>
      <xdr:spPr>
        <a:xfrm flipV="1">
          <a:off x="22335072" y="20245917"/>
          <a:ext cx="1001178" cy="289945"/>
        </a:xfrm>
        <a:prstGeom prst="line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120655</xdr:colOff>
      <xdr:row>80</xdr:row>
      <xdr:rowOff>224941</xdr:rowOff>
    </xdr:from>
    <xdr:to>
      <xdr:col>19</xdr:col>
      <xdr:colOff>899584</xdr:colOff>
      <xdr:row>80</xdr:row>
      <xdr:rowOff>232833</xdr:rowOff>
    </xdr:to>
    <xdr:cxnSp macro="">
      <xdr:nvCxnSpPr>
        <xdr:cNvPr id="108" name="Straight Arrow Connector 107">
          <a:extLst>
            <a:ext uri="{FF2B5EF4-FFF2-40B4-BE49-F238E27FC236}">
              <a16:creationId xmlns:a16="http://schemas.microsoft.com/office/drawing/2014/main" xmlns="" id="{00000000-0008-0000-0600-00006C000000}"/>
            </a:ext>
          </a:extLst>
        </xdr:cNvPr>
        <xdr:cNvCxnSpPr/>
      </xdr:nvCxnSpPr>
      <xdr:spPr>
        <a:xfrm>
          <a:off x="22133988" y="20290941"/>
          <a:ext cx="778929" cy="7892"/>
        </a:xfrm>
        <a:prstGeom prst="straightConnector1">
          <a:avLst/>
        </a:prstGeom>
        <a:ln w="38100">
          <a:solidFill>
            <a:schemeClr val="tx1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394856</xdr:colOff>
      <xdr:row>39</xdr:row>
      <xdr:rowOff>219364</xdr:rowOff>
    </xdr:from>
    <xdr:to>
      <xdr:col>10</xdr:col>
      <xdr:colOff>127000</xdr:colOff>
      <xdr:row>41</xdr:row>
      <xdr:rowOff>72401</xdr:rowOff>
    </xdr:to>
    <xdr:sp macro="" textlink="">
      <xdr:nvSpPr>
        <xdr:cNvPr id="115" name="Rectangle 114">
          <a:extLst>
            <a:ext uri="{FF2B5EF4-FFF2-40B4-BE49-F238E27FC236}">
              <a16:creationId xmlns:a16="http://schemas.microsoft.com/office/drawing/2014/main" xmlns="" id="{00000000-0008-0000-0600-000073000000}"/>
            </a:ext>
          </a:extLst>
        </xdr:cNvPr>
        <xdr:cNvSpPr/>
      </xdr:nvSpPr>
      <xdr:spPr>
        <a:xfrm>
          <a:off x="13129492" y="10610273"/>
          <a:ext cx="667326" cy="361037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da-DK" sz="1100"/>
        </a:p>
      </xdr:txBody>
    </xdr:sp>
    <xdr:clientData/>
  </xdr:twoCellAnchor>
  <xdr:twoCellAnchor>
    <xdr:from>
      <xdr:col>9</xdr:col>
      <xdr:colOff>358913</xdr:colOff>
      <xdr:row>89</xdr:row>
      <xdr:rowOff>1837</xdr:rowOff>
    </xdr:from>
    <xdr:to>
      <xdr:col>20</xdr:col>
      <xdr:colOff>917012</xdr:colOff>
      <xdr:row>92</xdr:row>
      <xdr:rowOff>139362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xmlns="" id="{00000000-0008-0000-0600-000004000000}"/>
            </a:ext>
          </a:extLst>
        </xdr:cNvPr>
        <xdr:cNvGrpSpPr/>
      </xdr:nvGrpSpPr>
      <xdr:grpSpPr>
        <a:xfrm>
          <a:off x="14048019" y="23068025"/>
          <a:ext cx="11602617" cy="890561"/>
          <a:chOff x="13002489" y="22834228"/>
          <a:chExt cx="11029349" cy="882960"/>
        </a:xfrm>
      </xdr:grpSpPr>
      <xdr:sp macro="" textlink="">
        <xdr:nvSpPr>
          <xdr:cNvPr id="185" name="Rectangle 184">
            <a:extLst>
              <a:ext uri="{FF2B5EF4-FFF2-40B4-BE49-F238E27FC236}">
                <a16:creationId xmlns:a16="http://schemas.microsoft.com/office/drawing/2014/main" xmlns="" id="{00000000-0008-0000-0600-0000B9000000}"/>
              </a:ext>
            </a:extLst>
          </xdr:cNvPr>
          <xdr:cNvSpPr/>
        </xdr:nvSpPr>
        <xdr:spPr>
          <a:xfrm>
            <a:off x="13638696" y="23219293"/>
            <a:ext cx="1962051" cy="497895"/>
          </a:xfrm>
          <a:prstGeom prst="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da-DK" sz="1100"/>
          </a:p>
        </xdr:txBody>
      </xdr:sp>
      <xdr:sp macro="" textlink="">
        <xdr:nvSpPr>
          <xdr:cNvPr id="186" name="Rectangle 185">
            <a:extLst>
              <a:ext uri="{FF2B5EF4-FFF2-40B4-BE49-F238E27FC236}">
                <a16:creationId xmlns:a16="http://schemas.microsoft.com/office/drawing/2014/main" xmlns="" id="{00000000-0008-0000-0600-0000BA000000}"/>
              </a:ext>
            </a:extLst>
          </xdr:cNvPr>
          <xdr:cNvSpPr/>
        </xdr:nvSpPr>
        <xdr:spPr>
          <a:xfrm>
            <a:off x="22804925" y="23341006"/>
            <a:ext cx="821916" cy="248948"/>
          </a:xfrm>
          <a:prstGeom prst="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da-DK" sz="1100"/>
          </a:p>
        </xdr:txBody>
      </xdr:sp>
      <xdr:sp macro="" textlink="">
        <xdr:nvSpPr>
          <xdr:cNvPr id="187" name="Rectangle 186">
            <a:extLst>
              <a:ext uri="{FF2B5EF4-FFF2-40B4-BE49-F238E27FC236}">
                <a16:creationId xmlns:a16="http://schemas.microsoft.com/office/drawing/2014/main" xmlns="" id="{00000000-0008-0000-0600-0000BB000000}"/>
              </a:ext>
            </a:extLst>
          </xdr:cNvPr>
          <xdr:cNvSpPr/>
        </xdr:nvSpPr>
        <xdr:spPr>
          <a:xfrm>
            <a:off x="16567077" y="23219293"/>
            <a:ext cx="5354167" cy="497895"/>
          </a:xfrm>
          <a:prstGeom prst="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da-DK" sz="1100"/>
          </a:p>
        </xdr:txBody>
      </xdr:sp>
      <xdr:cxnSp macro="">
        <xdr:nvCxnSpPr>
          <xdr:cNvPr id="188" name="Straight Connector 187">
            <a:extLst>
              <a:ext uri="{FF2B5EF4-FFF2-40B4-BE49-F238E27FC236}">
                <a16:creationId xmlns:a16="http://schemas.microsoft.com/office/drawing/2014/main" xmlns="" id="{00000000-0008-0000-0600-0000BC000000}"/>
              </a:ext>
            </a:extLst>
          </xdr:cNvPr>
          <xdr:cNvCxnSpPr/>
        </xdr:nvCxnSpPr>
        <xdr:spPr>
          <a:xfrm>
            <a:off x="15564139" y="23219293"/>
            <a:ext cx="395303" cy="0"/>
          </a:xfrm>
          <a:prstGeom prst="line">
            <a:avLst/>
          </a:prstGeom>
          <a:ln w="31750">
            <a:solidFill>
              <a:sysClr val="windowText" lastClr="000000"/>
            </a:solidFill>
            <a:prstDash val="das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90" name="Trapezoid 189">
            <a:extLst>
              <a:ext uri="{FF2B5EF4-FFF2-40B4-BE49-F238E27FC236}">
                <a16:creationId xmlns:a16="http://schemas.microsoft.com/office/drawing/2014/main" xmlns="" id="{00000000-0008-0000-0600-0000BE000000}"/>
              </a:ext>
            </a:extLst>
          </xdr:cNvPr>
          <xdr:cNvSpPr/>
        </xdr:nvSpPr>
        <xdr:spPr>
          <a:xfrm rot="5400000">
            <a:off x="22161167" y="22979373"/>
            <a:ext cx="496483" cy="976330"/>
          </a:xfrm>
          <a:prstGeom prst="trapezoid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da-DK" sz="1100"/>
          </a:p>
        </xdr:txBody>
      </xdr:sp>
      <xdr:cxnSp macro="">
        <xdr:nvCxnSpPr>
          <xdr:cNvPr id="191" name="Straight Arrow Connector 190">
            <a:extLst>
              <a:ext uri="{FF2B5EF4-FFF2-40B4-BE49-F238E27FC236}">
                <a16:creationId xmlns:a16="http://schemas.microsoft.com/office/drawing/2014/main" xmlns="" id="{00000000-0008-0000-0600-0000BF000000}"/>
              </a:ext>
            </a:extLst>
          </xdr:cNvPr>
          <xdr:cNvCxnSpPr/>
        </xdr:nvCxnSpPr>
        <xdr:spPr>
          <a:xfrm flipV="1">
            <a:off x="24031837" y="23352548"/>
            <a:ext cx="1" cy="248947"/>
          </a:xfrm>
          <a:prstGeom prst="straightConnector1">
            <a:avLst/>
          </a:prstGeom>
          <a:ln w="31750">
            <a:solidFill>
              <a:schemeClr val="tx1"/>
            </a:solidFill>
            <a:headEnd type="triangle" w="med" len="med"/>
            <a:tailEnd type="triangl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92" name="Straight Connector 191">
            <a:extLst>
              <a:ext uri="{FF2B5EF4-FFF2-40B4-BE49-F238E27FC236}">
                <a16:creationId xmlns:a16="http://schemas.microsoft.com/office/drawing/2014/main" xmlns="" id="{00000000-0008-0000-0600-0000C0000000}"/>
              </a:ext>
            </a:extLst>
          </xdr:cNvPr>
          <xdr:cNvCxnSpPr/>
        </xdr:nvCxnSpPr>
        <xdr:spPr>
          <a:xfrm>
            <a:off x="15571828" y="23717183"/>
            <a:ext cx="395303" cy="0"/>
          </a:xfrm>
          <a:prstGeom prst="line">
            <a:avLst/>
          </a:prstGeom>
          <a:ln w="31750">
            <a:solidFill>
              <a:sysClr val="windowText" lastClr="000000"/>
            </a:solidFill>
            <a:prstDash val="das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82" name="Right Brace 181">
            <a:extLst>
              <a:ext uri="{FF2B5EF4-FFF2-40B4-BE49-F238E27FC236}">
                <a16:creationId xmlns:a16="http://schemas.microsoft.com/office/drawing/2014/main" xmlns="" id="{00000000-0008-0000-0600-0000B6000000}"/>
              </a:ext>
            </a:extLst>
          </xdr:cNvPr>
          <xdr:cNvSpPr/>
        </xdr:nvSpPr>
        <xdr:spPr>
          <a:xfrm rot="16200000">
            <a:off x="22306312" y="22468355"/>
            <a:ext cx="284397" cy="1016144"/>
          </a:xfrm>
          <a:prstGeom prst="rightBrace">
            <a:avLst>
              <a:gd name="adj1" fmla="val 0"/>
              <a:gd name="adj2" fmla="val 87972"/>
            </a:avLst>
          </a:prstGeom>
          <a:ln w="25400"/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rtlCol="0" anchor="ctr"/>
          <a:lstStyle/>
          <a:p>
            <a:pPr algn="ctr"/>
            <a:endParaRPr lang="da-DK" sz="1100"/>
          </a:p>
        </xdr:txBody>
      </xdr:sp>
      <xdr:sp macro="" textlink="">
        <xdr:nvSpPr>
          <xdr:cNvPr id="122" name="Rectangle 121">
            <a:extLst>
              <a:ext uri="{FF2B5EF4-FFF2-40B4-BE49-F238E27FC236}">
                <a16:creationId xmlns:a16="http://schemas.microsoft.com/office/drawing/2014/main" xmlns="" id="{00000000-0008-0000-0600-00007A000000}"/>
              </a:ext>
            </a:extLst>
          </xdr:cNvPr>
          <xdr:cNvSpPr/>
        </xdr:nvSpPr>
        <xdr:spPr>
          <a:xfrm>
            <a:off x="13002489" y="23311780"/>
            <a:ext cx="621146" cy="335319"/>
          </a:xfrm>
          <a:prstGeom prst="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da-DK" sz="1100"/>
          </a:p>
        </xdr:txBody>
      </xdr:sp>
    </xdr:grpSp>
    <xdr:clientData/>
  </xdr:twoCellAnchor>
  <xdr:twoCellAnchor>
    <xdr:from>
      <xdr:col>16</xdr:col>
      <xdr:colOff>384686</xdr:colOff>
      <xdr:row>35</xdr:row>
      <xdr:rowOff>32045</xdr:rowOff>
    </xdr:from>
    <xdr:to>
      <xdr:col>17</xdr:col>
      <xdr:colOff>8485</xdr:colOff>
      <xdr:row>35</xdr:row>
      <xdr:rowOff>38446</xdr:rowOff>
    </xdr:to>
    <xdr:cxnSp macro="">
      <xdr:nvCxnSpPr>
        <xdr:cNvPr id="92" name="Straight Arrow Connector 91">
          <a:extLst>
            <a:ext uri="{FF2B5EF4-FFF2-40B4-BE49-F238E27FC236}">
              <a16:creationId xmlns:a16="http://schemas.microsoft.com/office/drawing/2014/main" xmlns="" id="{00000000-0008-0000-0600-00005C000000}"/>
            </a:ext>
          </a:extLst>
        </xdr:cNvPr>
        <xdr:cNvCxnSpPr/>
      </xdr:nvCxnSpPr>
      <xdr:spPr>
        <a:xfrm flipV="1">
          <a:off x="19665595" y="9406954"/>
          <a:ext cx="558981" cy="6401"/>
        </a:xfrm>
        <a:prstGeom prst="straightConnector1">
          <a:avLst/>
        </a:prstGeom>
        <a:ln w="38100">
          <a:solidFill>
            <a:schemeClr val="tx1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350046</xdr:colOff>
      <xdr:row>86</xdr:row>
      <xdr:rowOff>20500</xdr:rowOff>
    </xdr:from>
    <xdr:to>
      <xdr:col>16</xdr:col>
      <xdr:colOff>909025</xdr:colOff>
      <xdr:row>86</xdr:row>
      <xdr:rowOff>26901</xdr:rowOff>
    </xdr:to>
    <xdr:cxnSp macro="">
      <xdr:nvCxnSpPr>
        <xdr:cNvPr id="94" name="Straight Arrow Connector 93">
          <a:extLst>
            <a:ext uri="{FF2B5EF4-FFF2-40B4-BE49-F238E27FC236}">
              <a16:creationId xmlns:a16="http://schemas.microsoft.com/office/drawing/2014/main" xmlns="" id="{00000000-0008-0000-0600-00005E000000}"/>
            </a:ext>
          </a:extLst>
        </xdr:cNvPr>
        <xdr:cNvCxnSpPr/>
      </xdr:nvCxnSpPr>
      <xdr:spPr>
        <a:xfrm flipV="1">
          <a:off x="19630955" y="22349409"/>
          <a:ext cx="558979" cy="6401"/>
        </a:xfrm>
        <a:prstGeom prst="straightConnector1">
          <a:avLst/>
        </a:prstGeom>
        <a:ln w="38100">
          <a:solidFill>
            <a:schemeClr val="tx1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6</xdr:row>
      <xdr:rowOff>1</xdr:rowOff>
    </xdr:from>
    <xdr:to>
      <xdr:col>13</xdr:col>
      <xdr:colOff>838150</xdr:colOff>
      <xdr:row>16</xdr:row>
      <xdr:rowOff>98307</xdr:rowOff>
    </xdr:to>
    <xdr:graphicFrame macro="">
      <xdr:nvGraphicFramePr>
        <xdr:cNvPr id="95" name="Chart 94">
          <a:extLst>
            <a:ext uri="{FF2B5EF4-FFF2-40B4-BE49-F238E27FC236}">
              <a16:creationId xmlns:a16="http://schemas.microsoft.com/office/drawing/2014/main" xmlns="" id="{00000000-0008-0000-0600-00005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838150</xdr:colOff>
      <xdr:row>6</xdr:row>
      <xdr:rowOff>0</xdr:rowOff>
    </xdr:from>
    <xdr:to>
      <xdr:col>18</xdr:col>
      <xdr:colOff>632337</xdr:colOff>
      <xdr:row>16</xdr:row>
      <xdr:rowOff>94644</xdr:rowOff>
    </xdr:to>
    <xdr:graphicFrame macro="">
      <xdr:nvGraphicFramePr>
        <xdr:cNvPr id="97" name="Chart 96">
          <a:extLst>
            <a:ext uri="{FF2B5EF4-FFF2-40B4-BE49-F238E27FC236}">
              <a16:creationId xmlns:a16="http://schemas.microsoft.com/office/drawing/2014/main" xmlns="" id="{00000000-0008-0000-0600-00006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16</xdr:row>
      <xdr:rowOff>110435</xdr:rowOff>
    </xdr:from>
    <xdr:to>
      <xdr:col>13</xdr:col>
      <xdr:colOff>836755</xdr:colOff>
      <xdr:row>26</xdr:row>
      <xdr:rowOff>181580</xdr:rowOff>
    </xdr:to>
    <xdr:graphicFrame macro="">
      <xdr:nvGraphicFramePr>
        <xdr:cNvPr id="98" name="Chart 97">
          <a:extLst>
            <a:ext uri="{FF2B5EF4-FFF2-40B4-BE49-F238E27FC236}">
              <a16:creationId xmlns:a16="http://schemas.microsoft.com/office/drawing/2014/main" xmlns="" id="{00000000-0008-0000-0600-00006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32</xdr:row>
      <xdr:rowOff>2268</xdr:rowOff>
    </xdr:from>
    <xdr:to>
      <xdr:col>5</xdr:col>
      <xdr:colOff>478692</xdr:colOff>
      <xdr:row>47</xdr:row>
      <xdr:rowOff>824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478692</xdr:colOff>
      <xdr:row>32</xdr:row>
      <xdr:rowOff>2048</xdr:rowOff>
    </xdr:from>
    <xdr:to>
      <xdr:col>13</xdr:col>
      <xdr:colOff>542192</xdr:colOff>
      <xdr:row>47</xdr:row>
      <xdr:rowOff>2886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xmlns="" id="{00000000-0008-0000-07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</xdr:colOff>
      <xdr:row>47</xdr:row>
      <xdr:rowOff>6138</xdr:rowOff>
    </xdr:from>
    <xdr:to>
      <xdr:col>5</xdr:col>
      <xdr:colOff>478692</xdr:colOff>
      <xdr:row>62</xdr:row>
      <xdr:rowOff>11335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xmlns="" id="{00000000-0008-0000-07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478692</xdr:colOff>
      <xdr:row>47</xdr:row>
      <xdr:rowOff>7254</xdr:rowOff>
    </xdr:from>
    <xdr:to>
      <xdr:col>13</xdr:col>
      <xdr:colOff>547077</xdr:colOff>
      <xdr:row>62</xdr:row>
      <xdr:rowOff>12390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xmlns="" id="{00000000-0008-0000-07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2</xdr:row>
      <xdr:rowOff>4188</xdr:rowOff>
    </xdr:from>
    <xdr:to>
      <xdr:col>5</xdr:col>
      <xdr:colOff>483576</xdr:colOff>
      <xdr:row>17</xdr:row>
      <xdr:rowOff>1919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xmlns="" id="{00000000-0008-0000-07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0</xdr:colOff>
      <xdr:row>17</xdr:row>
      <xdr:rowOff>9071</xdr:rowOff>
    </xdr:from>
    <xdr:to>
      <xdr:col>5</xdr:col>
      <xdr:colOff>483576</xdr:colOff>
      <xdr:row>32</xdr:row>
      <xdr:rowOff>576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xmlns="" id="{00000000-0008-0000-07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483576</xdr:colOff>
      <xdr:row>2</xdr:row>
      <xdr:rowOff>4187</xdr:rowOff>
    </xdr:from>
    <xdr:to>
      <xdr:col>13</xdr:col>
      <xdr:colOff>544384</xdr:colOff>
      <xdr:row>16</xdr:row>
      <xdr:rowOff>170613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xmlns="" id="{00000000-0008-0000-07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478692</xdr:colOff>
      <xdr:row>17</xdr:row>
      <xdr:rowOff>6928</xdr:rowOff>
    </xdr:from>
    <xdr:to>
      <xdr:col>13</xdr:col>
      <xdr:colOff>547078</xdr:colOff>
      <xdr:row>32</xdr:row>
      <xdr:rowOff>577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xmlns="" id="{00000000-0008-0000-07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19274</xdr:colOff>
      <xdr:row>4</xdr:row>
      <xdr:rowOff>9524</xdr:rowOff>
    </xdr:from>
    <xdr:to>
      <xdr:col>16</xdr:col>
      <xdr:colOff>590550</xdr:colOff>
      <xdr:row>33</xdr:row>
      <xdr:rowOff>103222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xmlns="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067274" y="657224"/>
          <a:ext cx="7276876" cy="4884773"/>
        </a:xfrm>
        <a:prstGeom prst="rect">
          <a:avLst/>
        </a:prstGeom>
        <a:scene3d>
          <a:camera prst="orthographicFront">
            <a:rot lat="0" lon="0" rev="0"/>
          </a:camera>
          <a:lightRig rig="threePt" dir="t"/>
        </a:scene3d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468313</xdr:colOff>
      <xdr:row>212</xdr:row>
      <xdr:rowOff>63500</xdr:rowOff>
    </xdr:from>
    <xdr:to>
      <xdr:col>6</xdr:col>
      <xdr:colOff>9833</xdr:colOff>
      <xdr:row>212</xdr:row>
      <xdr:rowOff>134295</xdr:rowOff>
    </xdr:to>
    <xdr:cxnSp macro="">
      <xdr:nvCxnSpPr>
        <xdr:cNvPr id="17" name="Straight Connector 16">
          <a:extLst>
            <a:ext uri="{FF2B5EF4-FFF2-40B4-BE49-F238E27FC236}">
              <a16:creationId xmlns:a16="http://schemas.microsoft.com/office/drawing/2014/main" xmlns="" id="{00000000-0008-0000-0A00-000011000000}"/>
            </a:ext>
          </a:extLst>
        </xdr:cNvPr>
        <xdr:cNvCxnSpPr>
          <a:stCxn id="4" idx="0"/>
        </xdr:cNvCxnSpPr>
      </xdr:nvCxnSpPr>
      <xdr:spPr>
        <a:xfrm flipH="1" flipV="1">
          <a:off x="8977313" y="24669750"/>
          <a:ext cx="97145" cy="70795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22860</xdr:colOff>
      <xdr:row>11</xdr:row>
      <xdr:rowOff>7859</xdr:rowOff>
    </xdr:from>
    <xdr:to>
      <xdr:col>50</xdr:col>
      <xdr:colOff>152400</xdr:colOff>
      <xdr:row>44</xdr:row>
      <xdr:rowOff>96518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xmlns="" id="{00000000-0008-0000-0B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74520" y="1684259"/>
          <a:ext cx="7597140" cy="5117859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22860</xdr:colOff>
      <xdr:row>11</xdr:row>
      <xdr:rowOff>7859</xdr:rowOff>
    </xdr:from>
    <xdr:to>
      <xdr:col>50</xdr:col>
      <xdr:colOff>152400</xdr:colOff>
      <xdr:row>44</xdr:row>
      <xdr:rowOff>96518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xmlns="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74520" y="1684259"/>
          <a:ext cx="7597140" cy="5117859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22860</xdr:colOff>
      <xdr:row>11</xdr:row>
      <xdr:rowOff>7859</xdr:rowOff>
    </xdr:from>
    <xdr:to>
      <xdr:col>50</xdr:col>
      <xdr:colOff>152400</xdr:colOff>
      <xdr:row>44</xdr:row>
      <xdr:rowOff>96518</xdr:rowOff>
    </xdr:to>
    <xdr:pic>
      <xdr:nvPicPr>
        <xdr:cNvPr id="3" name="图片 2">
          <a:extLst>
            <a:ext uri="{FF2B5EF4-FFF2-40B4-BE49-F238E27FC236}">
              <a16:creationId xmlns:a16="http://schemas.microsoft.com/office/drawing/2014/main" xmlns="" id="{00000000-0008-0000-0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74520" y="1684259"/>
          <a:ext cx="7597140" cy="5117859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0</xdr:row>
      <xdr:rowOff>31750</xdr:rowOff>
    </xdr:from>
    <xdr:to>
      <xdr:col>8</xdr:col>
      <xdr:colOff>0</xdr:colOff>
      <xdr:row>0</xdr:row>
      <xdr:rowOff>238125</xdr:rowOff>
    </xdr:to>
    <xdr:sp macro="[0]!Calculate_Axle_Bearings" textlink="">
      <xdr:nvSpPr>
        <xdr:cNvPr id="8" name="Rounded Rectangle 7">
          <a:extLst>
            <a:ext uri="{FF2B5EF4-FFF2-40B4-BE49-F238E27FC236}">
              <a16:creationId xmlns:a16="http://schemas.microsoft.com/office/drawing/2014/main" xmlns="" id="{00000000-0008-0000-0E00-000008000000}"/>
            </a:ext>
          </a:extLst>
        </xdr:cNvPr>
        <xdr:cNvSpPr/>
      </xdr:nvSpPr>
      <xdr:spPr>
        <a:xfrm>
          <a:off x="7239000" y="31750"/>
          <a:ext cx="1968500" cy="2063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a-DK" sz="1100"/>
            <a:t>Calculate REG bearings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15875</xdr:colOff>
      <xdr:row>0</xdr:row>
      <xdr:rowOff>31750</xdr:rowOff>
    </xdr:from>
    <xdr:to>
      <xdr:col>8</xdr:col>
      <xdr:colOff>15875</xdr:colOff>
      <xdr:row>0</xdr:row>
      <xdr:rowOff>238125</xdr:rowOff>
    </xdr:to>
    <xdr:sp macro="[0]!Calculate_Axle_Bearings" textlink="">
      <xdr:nvSpPr>
        <xdr:cNvPr id="44" name="Rounded Rectangle 43">
          <a:extLst>
            <a:ext uri="{FF2B5EF4-FFF2-40B4-BE49-F238E27FC236}">
              <a16:creationId xmlns:a16="http://schemas.microsoft.com/office/drawing/2014/main" xmlns="" id="{00000000-0008-0000-0F00-00002C000000}"/>
            </a:ext>
          </a:extLst>
        </xdr:cNvPr>
        <xdr:cNvSpPr/>
      </xdr:nvSpPr>
      <xdr:spPr>
        <a:xfrm>
          <a:off x="7254875" y="31750"/>
          <a:ext cx="1968500" cy="2063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a-DK" sz="1100"/>
            <a:t>Calculate PDN bearings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10584</xdr:colOff>
      <xdr:row>18</xdr:row>
      <xdr:rowOff>2720</xdr:rowOff>
    </xdr:from>
    <xdr:to>
      <xdr:col>29</xdr:col>
      <xdr:colOff>14815</xdr:colOff>
      <xdr:row>27</xdr:row>
      <xdr:rowOff>4233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xmlns="" id="{00000000-0008-0000-1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25</xdr:col>
      <xdr:colOff>311723</xdr:colOff>
      <xdr:row>112</xdr:row>
      <xdr:rowOff>46189</xdr:rowOff>
    </xdr:from>
    <xdr:to>
      <xdr:col>25</xdr:col>
      <xdr:colOff>380996</xdr:colOff>
      <xdr:row>112</xdr:row>
      <xdr:rowOff>120657</xdr:rowOff>
    </xdr:to>
    <xdr:cxnSp macro="">
      <xdr:nvCxnSpPr>
        <xdr:cNvPr id="12" name="Straight Connector 11">
          <a:extLst>
            <a:ext uri="{FF2B5EF4-FFF2-40B4-BE49-F238E27FC236}">
              <a16:creationId xmlns:a16="http://schemas.microsoft.com/office/drawing/2014/main" xmlns="" id="{00000000-0008-0000-1100-00000C000000}"/>
            </a:ext>
          </a:extLst>
        </xdr:cNvPr>
        <xdr:cNvCxnSpPr/>
      </xdr:nvCxnSpPr>
      <xdr:spPr>
        <a:xfrm>
          <a:off x="16417632" y="34163007"/>
          <a:ext cx="69273" cy="74468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0</xdr:colOff>
      <xdr:row>0</xdr:row>
      <xdr:rowOff>0</xdr:rowOff>
    </xdr:from>
    <xdr:to>
      <xdr:col>17</xdr:col>
      <xdr:colOff>539615</xdr:colOff>
      <xdr:row>2</xdr:row>
      <xdr:rowOff>10612</xdr:rowOff>
    </xdr:to>
    <xdr:sp macro="[0]!Find_House_coord" textlink="">
      <xdr:nvSpPr>
        <xdr:cNvPr id="5" name="Rounded Rectangle 2">
          <a:extLst>
            <a:ext uri="{FF2B5EF4-FFF2-40B4-BE49-F238E27FC236}">
              <a16:creationId xmlns:a16="http://schemas.microsoft.com/office/drawing/2014/main" xmlns="" id="{00000000-0008-0000-1100-000005000000}"/>
            </a:ext>
          </a:extLst>
        </xdr:cNvPr>
        <xdr:cNvSpPr/>
      </xdr:nvSpPr>
      <xdr:spPr>
        <a:xfrm>
          <a:off x="11298208" y="0"/>
          <a:ext cx="1641879" cy="489857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Find HOUSE</a:t>
          </a:r>
        </a:p>
        <a:p>
          <a:pPr algn="ctr"/>
          <a:r>
            <a:rPr lang="en-US" sz="1100"/>
            <a:t> coord.</a:t>
          </a:r>
        </a:p>
      </xdr:txBody>
    </xdr:sp>
    <xdr:clientData/>
  </xdr:twoCellAnchor>
  <xdr:twoCellAnchor>
    <xdr:from>
      <xdr:col>26</xdr:col>
      <xdr:colOff>12700</xdr:colOff>
      <xdr:row>30</xdr:row>
      <xdr:rowOff>0</xdr:rowOff>
    </xdr:from>
    <xdr:to>
      <xdr:col>29</xdr:col>
      <xdr:colOff>16931</xdr:colOff>
      <xdr:row>38</xdr:row>
      <xdr:rowOff>1513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xmlns="" id="{00000000-0008-0000-1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19</xdr:col>
      <xdr:colOff>0</xdr:colOff>
      <xdr:row>0</xdr:row>
      <xdr:rowOff>0</xdr:rowOff>
    </xdr:from>
    <xdr:to>
      <xdr:col>21</xdr:col>
      <xdr:colOff>535164</xdr:colOff>
      <xdr:row>2</xdr:row>
      <xdr:rowOff>0</xdr:rowOff>
    </xdr:to>
    <xdr:sp macro="[0]!Find_House_SF_coord" textlink="">
      <xdr:nvSpPr>
        <xdr:cNvPr id="8" name="Rounded Rectangle 2">
          <a:extLst>
            <a:ext uri="{FF2B5EF4-FFF2-40B4-BE49-F238E27FC236}">
              <a16:creationId xmlns:a16="http://schemas.microsoft.com/office/drawing/2014/main" xmlns="" id="{00000000-0008-0000-1100-000008000000}"/>
            </a:ext>
          </a:extLst>
        </xdr:cNvPr>
        <xdr:cNvSpPr/>
      </xdr:nvSpPr>
      <xdr:spPr>
        <a:xfrm>
          <a:off x="13639800" y="0"/>
          <a:ext cx="1652764" cy="4826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Find House</a:t>
          </a:r>
        </a:p>
        <a:p>
          <a:pPr algn="ctr"/>
          <a:r>
            <a:rPr lang="en-US" sz="1100"/>
            <a:t> SF</a:t>
          </a:r>
          <a:r>
            <a:rPr lang="en-US" sz="1100" baseline="0"/>
            <a:t> </a:t>
          </a:r>
          <a:r>
            <a:rPr lang="en-US" sz="1100"/>
            <a:t>coord.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290286</xdr:colOff>
      <xdr:row>25</xdr:row>
      <xdr:rowOff>100796</xdr:rowOff>
    </xdr:from>
    <xdr:to>
      <xdr:col>18</xdr:col>
      <xdr:colOff>0</xdr:colOff>
      <xdr:row>39</xdr:row>
      <xdr:rowOff>154225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xmlns="" id="{00000000-0008-0000-1300-000002000000}"/>
            </a:ext>
          </a:extLst>
        </xdr:cNvPr>
        <xdr:cNvGrpSpPr/>
      </xdr:nvGrpSpPr>
      <xdr:grpSpPr>
        <a:xfrm>
          <a:off x="12141627" y="4825196"/>
          <a:ext cx="2183973" cy="2563547"/>
          <a:chOff x="7592786" y="26884647"/>
          <a:chExt cx="4644571" cy="2334424"/>
        </a:xfrm>
      </xdr:grpSpPr>
      <xdr:sp macro="" textlink="">
        <xdr:nvSpPr>
          <xdr:cNvPr id="3" name="Freeform 7">
            <a:extLst>
              <a:ext uri="{FF2B5EF4-FFF2-40B4-BE49-F238E27FC236}">
                <a16:creationId xmlns:a16="http://schemas.microsoft.com/office/drawing/2014/main" xmlns="" id="{00000000-0008-0000-1300-000003000000}"/>
              </a:ext>
            </a:extLst>
          </xdr:cNvPr>
          <xdr:cNvSpPr/>
        </xdr:nvSpPr>
        <xdr:spPr>
          <a:xfrm>
            <a:off x="7874000" y="27096358"/>
            <a:ext cx="3982357" cy="961572"/>
          </a:xfrm>
          <a:custGeom>
            <a:avLst/>
            <a:gdLst>
              <a:gd name="connsiteX0" fmla="*/ 0 w 3964214"/>
              <a:gd name="connsiteY0" fmla="*/ 988786 h 988786"/>
              <a:gd name="connsiteX1" fmla="*/ 544286 w 3964214"/>
              <a:gd name="connsiteY1" fmla="*/ 979714 h 988786"/>
              <a:gd name="connsiteX2" fmla="*/ 1687286 w 3964214"/>
              <a:gd name="connsiteY2" fmla="*/ 498928 h 988786"/>
              <a:gd name="connsiteX3" fmla="*/ 2276929 w 3964214"/>
              <a:gd name="connsiteY3" fmla="*/ 498928 h 988786"/>
              <a:gd name="connsiteX4" fmla="*/ 3392714 w 3964214"/>
              <a:gd name="connsiteY4" fmla="*/ 18143 h 988786"/>
              <a:gd name="connsiteX5" fmla="*/ 3964214 w 3964214"/>
              <a:gd name="connsiteY5" fmla="*/ 0 h 988786"/>
              <a:gd name="connsiteX0" fmla="*/ 0 w 3964214"/>
              <a:gd name="connsiteY0" fmla="*/ 970643 h 970643"/>
              <a:gd name="connsiteX1" fmla="*/ 544286 w 3964214"/>
              <a:gd name="connsiteY1" fmla="*/ 961571 h 970643"/>
              <a:gd name="connsiteX2" fmla="*/ 1687286 w 3964214"/>
              <a:gd name="connsiteY2" fmla="*/ 480785 h 970643"/>
              <a:gd name="connsiteX3" fmla="*/ 2276929 w 3964214"/>
              <a:gd name="connsiteY3" fmla="*/ 480785 h 970643"/>
              <a:gd name="connsiteX4" fmla="*/ 3392714 w 3964214"/>
              <a:gd name="connsiteY4" fmla="*/ 0 h 970643"/>
              <a:gd name="connsiteX5" fmla="*/ 3964214 w 3964214"/>
              <a:gd name="connsiteY5" fmla="*/ 18143 h 970643"/>
              <a:gd name="connsiteX0" fmla="*/ 0 w 3964214"/>
              <a:gd name="connsiteY0" fmla="*/ 979714 h 979714"/>
              <a:gd name="connsiteX1" fmla="*/ 544286 w 3964214"/>
              <a:gd name="connsiteY1" fmla="*/ 970642 h 979714"/>
              <a:gd name="connsiteX2" fmla="*/ 1687286 w 3964214"/>
              <a:gd name="connsiteY2" fmla="*/ 489856 h 979714"/>
              <a:gd name="connsiteX3" fmla="*/ 2276929 w 3964214"/>
              <a:gd name="connsiteY3" fmla="*/ 489856 h 979714"/>
              <a:gd name="connsiteX4" fmla="*/ 3392714 w 3964214"/>
              <a:gd name="connsiteY4" fmla="*/ 9071 h 979714"/>
              <a:gd name="connsiteX5" fmla="*/ 3964214 w 3964214"/>
              <a:gd name="connsiteY5" fmla="*/ 0 h 979714"/>
              <a:gd name="connsiteX0" fmla="*/ 0 w 3982357"/>
              <a:gd name="connsiteY0" fmla="*/ 988786 h 988786"/>
              <a:gd name="connsiteX1" fmla="*/ 544286 w 3982357"/>
              <a:gd name="connsiteY1" fmla="*/ 979714 h 988786"/>
              <a:gd name="connsiteX2" fmla="*/ 1687286 w 3982357"/>
              <a:gd name="connsiteY2" fmla="*/ 498928 h 988786"/>
              <a:gd name="connsiteX3" fmla="*/ 2276929 w 3982357"/>
              <a:gd name="connsiteY3" fmla="*/ 498928 h 988786"/>
              <a:gd name="connsiteX4" fmla="*/ 3392714 w 3982357"/>
              <a:gd name="connsiteY4" fmla="*/ 18143 h 988786"/>
              <a:gd name="connsiteX5" fmla="*/ 3982357 w 3982357"/>
              <a:gd name="connsiteY5" fmla="*/ 0 h 988786"/>
              <a:gd name="connsiteX0" fmla="*/ 0 w 3982357"/>
              <a:gd name="connsiteY0" fmla="*/ 970643 h 970643"/>
              <a:gd name="connsiteX1" fmla="*/ 544286 w 3982357"/>
              <a:gd name="connsiteY1" fmla="*/ 961571 h 970643"/>
              <a:gd name="connsiteX2" fmla="*/ 1687286 w 3982357"/>
              <a:gd name="connsiteY2" fmla="*/ 480785 h 970643"/>
              <a:gd name="connsiteX3" fmla="*/ 2276929 w 3982357"/>
              <a:gd name="connsiteY3" fmla="*/ 480785 h 970643"/>
              <a:gd name="connsiteX4" fmla="*/ 3392714 w 3982357"/>
              <a:gd name="connsiteY4" fmla="*/ 0 h 970643"/>
              <a:gd name="connsiteX5" fmla="*/ 3982357 w 3982357"/>
              <a:gd name="connsiteY5" fmla="*/ 9071 h 970643"/>
              <a:gd name="connsiteX0" fmla="*/ 0 w 3982357"/>
              <a:gd name="connsiteY0" fmla="*/ 961572 h 961572"/>
              <a:gd name="connsiteX1" fmla="*/ 544286 w 3982357"/>
              <a:gd name="connsiteY1" fmla="*/ 952500 h 961572"/>
              <a:gd name="connsiteX2" fmla="*/ 1687286 w 3982357"/>
              <a:gd name="connsiteY2" fmla="*/ 471714 h 961572"/>
              <a:gd name="connsiteX3" fmla="*/ 2276929 w 3982357"/>
              <a:gd name="connsiteY3" fmla="*/ 471714 h 961572"/>
              <a:gd name="connsiteX4" fmla="*/ 3392714 w 3982357"/>
              <a:gd name="connsiteY4" fmla="*/ 1 h 961572"/>
              <a:gd name="connsiteX5" fmla="*/ 3982357 w 3982357"/>
              <a:gd name="connsiteY5" fmla="*/ 0 h 961572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</a:cxnLst>
            <a:rect l="l" t="t" r="r" b="b"/>
            <a:pathLst>
              <a:path w="3982357" h="961572">
                <a:moveTo>
                  <a:pt x="0" y="961572"/>
                </a:moveTo>
                <a:lnTo>
                  <a:pt x="544286" y="952500"/>
                </a:lnTo>
                <a:lnTo>
                  <a:pt x="1687286" y="471714"/>
                </a:lnTo>
                <a:lnTo>
                  <a:pt x="2276929" y="471714"/>
                </a:lnTo>
                <a:lnTo>
                  <a:pt x="3392714" y="1"/>
                </a:lnTo>
                <a:lnTo>
                  <a:pt x="3982357" y="0"/>
                </a:lnTo>
              </a:path>
            </a:pathLst>
          </a:cu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4" name="Straight Connector 3">
            <a:extLst>
              <a:ext uri="{FF2B5EF4-FFF2-40B4-BE49-F238E27FC236}">
                <a16:creationId xmlns:a16="http://schemas.microsoft.com/office/drawing/2014/main" xmlns="" id="{00000000-0008-0000-1300-000004000000}"/>
              </a:ext>
            </a:extLst>
          </xdr:cNvPr>
          <xdr:cNvCxnSpPr/>
        </xdr:nvCxnSpPr>
        <xdr:spPr>
          <a:xfrm>
            <a:off x="9735313" y="26884647"/>
            <a:ext cx="25544" cy="2334424"/>
          </a:xfrm>
          <a:prstGeom prst="line">
            <a:avLst/>
          </a:prstGeom>
          <a:ln w="22225">
            <a:solidFill>
              <a:srgbClr val="FF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5" name="Freeform 19">
            <a:extLst>
              <a:ext uri="{FF2B5EF4-FFF2-40B4-BE49-F238E27FC236}">
                <a16:creationId xmlns:a16="http://schemas.microsoft.com/office/drawing/2014/main" xmlns="" id="{00000000-0008-0000-1300-000005000000}"/>
              </a:ext>
            </a:extLst>
          </xdr:cNvPr>
          <xdr:cNvSpPr/>
        </xdr:nvSpPr>
        <xdr:spPr>
          <a:xfrm>
            <a:off x="7592786" y="27123563"/>
            <a:ext cx="644071" cy="861794"/>
          </a:xfrm>
          <a:custGeom>
            <a:avLst/>
            <a:gdLst>
              <a:gd name="connsiteX0" fmla="*/ 771072 w 771072"/>
              <a:gd name="connsiteY0" fmla="*/ 1088571 h 1088571"/>
              <a:gd name="connsiteX1" fmla="*/ 589643 w 771072"/>
              <a:gd name="connsiteY1" fmla="*/ 1079500 h 1088571"/>
              <a:gd name="connsiteX2" fmla="*/ 589643 w 771072"/>
              <a:gd name="connsiteY2" fmla="*/ 1079500 h 1088571"/>
              <a:gd name="connsiteX3" fmla="*/ 453572 w 771072"/>
              <a:gd name="connsiteY3" fmla="*/ 1025071 h 1088571"/>
              <a:gd name="connsiteX4" fmla="*/ 326572 w 771072"/>
              <a:gd name="connsiteY4" fmla="*/ 907143 h 1088571"/>
              <a:gd name="connsiteX5" fmla="*/ 208643 w 771072"/>
              <a:gd name="connsiteY5" fmla="*/ 707571 h 1088571"/>
              <a:gd name="connsiteX6" fmla="*/ 145143 w 771072"/>
              <a:gd name="connsiteY6" fmla="*/ 535214 h 1088571"/>
              <a:gd name="connsiteX7" fmla="*/ 0 w 771072"/>
              <a:gd name="connsiteY7" fmla="*/ 0 h 1088571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</a:cxnLst>
            <a:rect l="l" t="t" r="r" b="b"/>
            <a:pathLst>
              <a:path w="771072" h="1088571">
                <a:moveTo>
                  <a:pt x="771072" y="1088571"/>
                </a:moveTo>
                <a:lnTo>
                  <a:pt x="589643" y="1079500"/>
                </a:lnTo>
                <a:lnTo>
                  <a:pt x="589643" y="1079500"/>
                </a:lnTo>
                <a:cubicBezTo>
                  <a:pt x="566965" y="1070429"/>
                  <a:pt x="497417" y="1053797"/>
                  <a:pt x="453572" y="1025071"/>
                </a:cubicBezTo>
                <a:cubicBezTo>
                  <a:pt x="409727" y="996345"/>
                  <a:pt x="367393" y="960060"/>
                  <a:pt x="326572" y="907143"/>
                </a:cubicBezTo>
                <a:cubicBezTo>
                  <a:pt x="285751" y="854226"/>
                  <a:pt x="238881" y="769559"/>
                  <a:pt x="208643" y="707571"/>
                </a:cubicBezTo>
                <a:cubicBezTo>
                  <a:pt x="178405" y="645583"/>
                  <a:pt x="179917" y="653142"/>
                  <a:pt x="145143" y="535214"/>
                </a:cubicBezTo>
                <a:cubicBezTo>
                  <a:pt x="110369" y="417286"/>
                  <a:pt x="55184" y="208643"/>
                  <a:pt x="0" y="0"/>
                </a:cubicBezTo>
              </a:path>
            </a:pathLst>
          </a:custGeom>
          <a:noFill/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6" name="Straight Arrow Connector 5">
            <a:extLst>
              <a:ext uri="{FF2B5EF4-FFF2-40B4-BE49-F238E27FC236}">
                <a16:creationId xmlns:a16="http://schemas.microsoft.com/office/drawing/2014/main" xmlns="" id="{00000000-0008-0000-1300-000006000000}"/>
              </a:ext>
            </a:extLst>
          </xdr:cNvPr>
          <xdr:cNvCxnSpPr/>
        </xdr:nvCxnSpPr>
        <xdr:spPr>
          <a:xfrm>
            <a:off x="7864929" y="28166786"/>
            <a:ext cx="553357" cy="0"/>
          </a:xfrm>
          <a:prstGeom prst="straightConnector1">
            <a:avLst/>
          </a:prstGeom>
          <a:ln>
            <a:headEnd type="triangle"/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" name="Straight Arrow Connector 6">
            <a:extLst>
              <a:ext uri="{FF2B5EF4-FFF2-40B4-BE49-F238E27FC236}">
                <a16:creationId xmlns:a16="http://schemas.microsoft.com/office/drawing/2014/main" xmlns="" id="{00000000-0008-0000-1300-000007000000}"/>
              </a:ext>
            </a:extLst>
          </xdr:cNvPr>
          <xdr:cNvCxnSpPr/>
        </xdr:nvCxnSpPr>
        <xdr:spPr>
          <a:xfrm>
            <a:off x="8427357" y="28175857"/>
            <a:ext cx="1115786" cy="0"/>
          </a:xfrm>
          <a:prstGeom prst="straightConnector1">
            <a:avLst/>
          </a:prstGeom>
          <a:ln>
            <a:headEnd type="triangle"/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" name="Straight Arrow Connector 7">
            <a:extLst>
              <a:ext uri="{FF2B5EF4-FFF2-40B4-BE49-F238E27FC236}">
                <a16:creationId xmlns:a16="http://schemas.microsoft.com/office/drawing/2014/main" xmlns="" id="{00000000-0008-0000-1300-000008000000}"/>
              </a:ext>
            </a:extLst>
          </xdr:cNvPr>
          <xdr:cNvCxnSpPr/>
        </xdr:nvCxnSpPr>
        <xdr:spPr>
          <a:xfrm>
            <a:off x="9561286" y="28066995"/>
            <a:ext cx="199571" cy="0"/>
          </a:xfrm>
          <a:prstGeom prst="straightConnector1">
            <a:avLst/>
          </a:prstGeom>
          <a:ln>
            <a:headEnd type="triangle"/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" name="Straight Arrow Connector 8">
            <a:extLst>
              <a:ext uri="{FF2B5EF4-FFF2-40B4-BE49-F238E27FC236}">
                <a16:creationId xmlns:a16="http://schemas.microsoft.com/office/drawing/2014/main" xmlns="" id="{00000000-0008-0000-1300-000009000000}"/>
              </a:ext>
            </a:extLst>
          </xdr:cNvPr>
          <xdr:cNvCxnSpPr/>
        </xdr:nvCxnSpPr>
        <xdr:spPr>
          <a:xfrm>
            <a:off x="9779000" y="27976286"/>
            <a:ext cx="353786" cy="0"/>
          </a:xfrm>
          <a:prstGeom prst="straightConnector1">
            <a:avLst/>
          </a:prstGeom>
          <a:ln>
            <a:headEnd type="triangle"/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0" name="Straight Arrow Connector 9">
            <a:extLst>
              <a:ext uri="{FF2B5EF4-FFF2-40B4-BE49-F238E27FC236}">
                <a16:creationId xmlns:a16="http://schemas.microsoft.com/office/drawing/2014/main" xmlns="" id="{00000000-0008-0000-1300-00000A000000}"/>
              </a:ext>
            </a:extLst>
          </xdr:cNvPr>
          <xdr:cNvCxnSpPr/>
        </xdr:nvCxnSpPr>
        <xdr:spPr>
          <a:xfrm>
            <a:off x="10160000" y="27976286"/>
            <a:ext cx="1115786" cy="0"/>
          </a:xfrm>
          <a:prstGeom prst="straightConnector1">
            <a:avLst/>
          </a:prstGeom>
          <a:ln>
            <a:headEnd type="triangle"/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1" name="Straight Arrow Connector 10">
            <a:extLst>
              <a:ext uri="{FF2B5EF4-FFF2-40B4-BE49-F238E27FC236}">
                <a16:creationId xmlns:a16="http://schemas.microsoft.com/office/drawing/2014/main" xmlns="" id="{00000000-0008-0000-1300-00000B000000}"/>
              </a:ext>
            </a:extLst>
          </xdr:cNvPr>
          <xdr:cNvCxnSpPr/>
        </xdr:nvCxnSpPr>
        <xdr:spPr>
          <a:xfrm>
            <a:off x="11293929" y="27976286"/>
            <a:ext cx="562428" cy="0"/>
          </a:xfrm>
          <a:prstGeom prst="straightConnector1">
            <a:avLst/>
          </a:prstGeom>
          <a:ln>
            <a:headEnd type="triangle"/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2" name="Straight Arrow Connector 11">
            <a:extLst>
              <a:ext uri="{FF2B5EF4-FFF2-40B4-BE49-F238E27FC236}">
                <a16:creationId xmlns:a16="http://schemas.microsoft.com/office/drawing/2014/main" xmlns="" id="{00000000-0008-0000-1300-00000C000000}"/>
              </a:ext>
            </a:extLst>
          </xdr:cNvPr>
          <xdr:cNvCxnSpPr/>
        </xdr:nvCxnSpPr>
        <xdr:spPr>
          <a:xfrm>
            <a:off x="9779000" y="28865286"/>
            <a:ext cx="2068286" cy="0"/>
          </a:xfrm>
          <a:prstGeom prst="straightConnector1">
            <a:avLst/>
          </a:prstGeom>
          <a:ln>
            <a:headEnd type="triangle"/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3" name="Straight Arrow Connector 12">
            <a:extLst>
              <a:ext uri="{FF2B5EF4-FFF2-40B4-BE49-F238E27FC236}">
                <a16:creationId xmlns:a16="http://schemas.microsoft.com/office/drawing/2014/main" xmlns="" id="{00000000-0008-0000-1300-00000D000000}"/>
              </a:ext>
            </a:extLst>
          </xdr:cNvPr>
          <xdr:cNvCxnSpPr/>
        </xdr:nvCxnSpPr>
        <xdr:spPr>
          <a:xfrm flipV="1">
            <a:off x="12237357" y="27078214"/>
            <a:ext cx="0" cy="1805215"/>
          </a:xfrm>
          <a:prstGeom prst="straightConnector1">
            <a:avLst/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" name="Straight Arrow Connector 13">
            <a:extLst>
              <a:ext uri="{FF2B5EF4-FFF2-40B4-BE49-F238E27FC236}">
                <a16:creationId xmlns:a16="http://schemas.microsoft.com/office/drawing/2014/main" xmlns="" id="{00000000-0008-0000-1300-00000E000000}"/>
              </a:ext>
            </a:extLst>
          </xdr:cNvPr>
          <xdr:cNvCxnSpPr>
            <a:endCxn id="3" idx="2"/>
          </xdr:cNvCxnSpPr>
        </xdr:nvCxnSpPr>
        <xdr:spPr>
          <a:xfrm flipV="1">
            <a:off x="9561286" y="27568072"/>
            <a:ext cx="0" cy="1324429"/>
          </a:xfrm>
          <a:prstGeom prst="straightConnector1">
            <a:avLst/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13</xdr:col>
      <xdr:colOff>120953</xdr:colOff>
      <xdr:row>32</xdr:row>
      <xdr:rowOff>40317</xdr:rowOff>
    </xdr:from>
    <xdr:to>
      <xdr:col>15</xdr:col>
      <xdr:colOff>3166</xdr:colOff>
      <xdr:row>32</xdr:row>
      <xdr:rowOff>42974</xdr:rowOff>
    </xdr:to>
    <xdr:cxnSp macro="">
      <xdr:nvCxnSpPr>
        <xdr:cNvPr id="15" name="Straight Connector 14">
          <a:extLst>
            <a:ext uri="{FF2B5EF4-FFF2-40B4-BE49-F238E27FC236}">
              <a16:creationId xmlns:a16="http://schemas.microsoft.com/office/drawing/2014/main" xmlns="" id="{00000000-0008-0000-1300-00000F000000}"/>
            </a:ext>
          </a:extLst>
        </xdr:cNvPr>
        <xdr:cNvCxnSpPr>
          <a:stCxn id="5" idx="0"/>
        </xdr:cNvCxnSpPr>
      </xdr:nvCxnSpPr>
      <xdr:spPr>
        <a:xfrm flipH="1" flipV="1">
          <a:off x="16408703" y="30336167"/>
          <a:ext cx="987113" cy="2657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120953</xdr:colOff>
      <xdr:row>28</xdr:row>
      <xdr:rowOff>40317</xdr:rowOff>
    </xdr:from>
    <xdr:to>
      <xdr:col>13</xdr:col>
      <xdr:colOff>120953</xdr:colOff>
      <xdr:row>36</xdr:row>
      <xdr:rowOff>90714</xdr:rowOff>
    </xdr:to>
    <xdr:cxnSp macro="">
      <xdr:nvCxnSpPr>
        <xdr:cNvPr id="16" name="Straight Connector 15">
          <a:extLst>
            <a:ext uri="{FF2B5EF4-FFF2-40B4-BE49-F238E27FC236}">
              <a16:creationId xmlns:a16="http://schemas.microsoft.com/office/drawing/2014/main" xmlns="" id="{00000000-0008-0000-1300-000010000000}"/>
            </a:ext>
          </a:extLst>
        </xdr:cNvPr>
        <xdr:cNvCxnSpPr/>
      </xdr:nvCxnSpPr>
      <xdr:spPr>
        <a:xfrm>
          <a:off x="16408703" y="29586867"/>
          <a:ext cx="0" cy="1536297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51609</xdr:colOff>
      <xdr:row>28</xdr:row>
      <xdr:rowOff>31447</xdr:rowOff>
    </xdr:from>
    <xdr:to>
      <xdr:col>13</xdr:col>
      <xdr:colOff>51609</xdr:colOff>
      <xdr:row>36</xdr:row>
      <xdr:rowOff>81844</xdr:rowOff>
    </xdr:to>
    <xdr:cxnSp macro="">
      <xdr:nvCxnSpPr>
        <xdr:cNvPr id="17" name="Straight Connector 16">
          <a:extLst>
            <a:ext uri="{FF2B5EF4-FFF2-40B4-BE49-F238E27FC236}">
              <a16:creationId xmlns:a16="http://schemas.microsoft.com/office/drawing/2014/main" xmlns="" id="{00000000-0008-0000-1300-000011000000}"/>
            </a:ext>
          </a:extLst>
        </xdr:cNvPr>
        <xdr:cNvCxnSpPr/>
      </xdr:nvCxnSpPr>
      <xdr:spPr>
        <a:xfrm>
          <a:off x="16339359" y="29577997"/>
          <a:ext cx="0" cy="1536297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491871</xdr:colOff>
      <xdr:row>25</xdr:row>
      <xdr:rowOff>75604</xdr:rowOff>
    </xdr:from>
    <xdr:to>
      <xdr:col>12</xdr:col>
      <xdr:colOff>503968</xdr:colOff>
      <xdr:row>39</xdr:row>
      <xdr:rowOff>151190</xdr:rowOff>
    </xdr:to>
    <xdr:cxnSp macro="">
      <xdr:nvCxnSpPr>
        <xdr:cNvPr id="18" name="Straight Connector 17">
          <a:extLst>
            <a:ext uri="{FF2B5EF4-FFF2-40B4-BE49-F238E27FC236}">
              <a16:creationId xmlns:a16="http://schemas.microsoft.com/office/drawing/2014/main" xmlns="" id="{00000000-0008-0000-1300-000012000000}"/>
            </a:ext>
          </a:extLst>
        </xdr:cNvPr>
        <xdr:cNvCxnSpPr/>
      </xdr:nvCxnSpPr>
      <xdr:spPr>
        <a:xfrm>
          <a:off x="16227171" y="29069704"/>
          <a:ext cx="12097" cy="2666386"/>
        </a:xfrm>
        <a:prstGeom prst="line">
          <a:avLst/>
        </a:prstGeom>
        <a:ln w="2222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151191</xdr:colOff>
      <xdr:row>30</xdr:row>
      <xdr:rowOff>68135</xdr:rowOff>
    </xdr:from>
    <xdr:to>
      <xdr:col>14</xdr:col>
      <xdr:colOff>362599</xdr:colOff>
      <xdr:row>31</xdr:row>
      <xdr:rowOff>40318</xdr:rowOff>
    </xdr:to>
    <xdr:cxnSp macro="">
      <xdr:nvCxnSpPr>
        <xdr:cNvPr id="19" name="Straight Connector 18">
          <a:extLst>
            <a:ext uri="{FF2B5EF4-FFF2-40B4-BE49-F238E27FC236}">
              <a16:creationId xmlns:a16="http://schemas.microsoft.com/office/drawing/2014/main" xmlns="" id="{00000000-0008-0000-1300-000013000000}"/>
            </a:ext>
          </a:extLst>
        </xdr:cNvPr>
        <xdr:cNvCxnSpPr>
          <a:stCxn id="5" idx="5"/>
        </xdr:cNvCxnSpPr>
      </xdr:nvCxnSpPr>
      <xdr:spPr>
        <a:xfrm flipH="1">
          <a:off x="16438941" y="29995685"/>
          <a:ext cx="763858" cy="156333"/>
        </a:xfrm>
        <a:prstGeom prst="line">
          <a:avLst/>
        </a:prstGeom>
        <a:ln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120953</xdr:colOff>
      <xdr:row>30</xdr:row>
      <xdr:rowOff>68135</xdr:rowOff>
    </xdr:from>
    <xdr:to>
      <xdr:col>14</xdr:col>
      <xdr:colOff>362599</xdr:colOff>
      <xdr:row>30</xdr:row>
      <xdr:rowOff>80635</xdr:rowOff>
    </xdr:to>
    <xdr:cxnSp macro="">
      <xdr:nvCxnSpPr>
        <xdr:cNvPr id="20" name="Straight Connector 19">
          <a:extLst>
            <a:ext uri="{FF2B5EF4-FFF2-40B4-BE49-F238E27FC236}">
              <a16:creationId xmlns:a16="http://schemas.microsoft.com/office/drawing/2014/main" xmlns="" id="{00000000-0008-0000-1300-000014000000}"/>
            </a:ext>
          </a:extLst>
        </xdr:cNvPr>
        <xdr:cNvCxnSpPr>
          <a:stCxn id="5" idx="5"/>
        </xdr:cNvCxnSpPr>
      </xdr:nvCxnSpPr>
      <xdr:spPr>
        <a:xfrm flipH="1">
          <a:off x="16408703" y="29995685"/>
          <a:ext cx="794096" cy="1250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311723</xdr:colOff>
      <xdr:row>32</xdr:row>
      <xdr:rowOff>46189</xdr:rowOff>
    </xdr:from>
    <xdr:to>
      <xdr:col>14</xdr:col>
      <xdr:colOff>380996</xdr:colOff>
      <xdr:row>32</xdr:row>
      <xdr:rowOff>120657</xdr:rowOff>
    </xdr:to>
    <xdr:cxnSp macro="">
      <xdr:nvCxnSpPr>
        <xdr:cNvPr id="21" name="Straight Connector 20">
          <a:extLst>
            <a:ext uri="{FF2B5EF4-FFF2-40B4-BE49-F238E27FC236}">
              <a16:creationId xmlns:a16="http://schemas.microsoft.com/office/drawing/2014/main" xmlns="" id="{00000000-0008-0000-1300-000015000000}"/>
            </a:ext>
          </a:extLst>
        </xdr:cNvPr>
        <xdr:cNvCxnSpPr/>
      </xdr:nvCxnSpPr>
      <xdr:spPr>
        <a:xfrm>
          <a:off x="17151923" y="30342039"/>
          <a:ext cx="69273" cy="74468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527170</xdr:colOff>
      <xdr:row>38</xdr:row>
      <xdr:rowOff>155755</xdr:rowOff>
    </xdr:from>
    <xdr:to>
      <xdr:col>17</xdr:col>
      <xdr:colOff>527169</xdr:colOff>
      <xdr:row>38</xdr:row>
      <xdr:rowOff>155755</xdr:rowOff>
    </xdr:to>
    <xdr:cxnSp macro="">
      <xdr:nvCxnSpPr>
        <xdr:cNvPr id="22" name="Straight Arrow Connector 21">
          <a:extLst>
            <a:ext uri="{FF2B5EF4-FFF2-40B4-BE49-F238E27FC236}">
              <a16:creationId xmlns:a16="http://schemas.microsoft.com/office/drawing/2014/main" xmlns="" id="{00000000-0008-0000-1300-000016000000}"/>
            </a:ext>
          </a:extLst>
        </xdr:cNvPr>
        <xdr:cNvCxnSpPr/>
      </xdr:nvCxnSpPr>
      <xdr:spPr>
        <a:xfrm>
          <a:off x="16262470" y="31556505"/>
          <a:ext cx="2762249" cy="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0</xdr:colOff>
      <xdr:row>0</xdr:row>
      <xdr:rowOff>0</xdr:rowOff>
    </xdr:from>
    <xdr:to>
      <xdr:col>17</xdr:col>
      <xdr:colOff>535164</xdr:colOff>
      <xdr:row>2</xdr:row>
      <xdr:rowOff>0</xdr:rowOff>
    </xdr:to>
    <xdr:sp macro="[0]!Find_Central_Frame_Side_HF_coord" textlink="">
      <xdr:nvSpPr>
        <xdr:cNvPr id="2" name="Rounded Rectangle 2">
          <a:extLst>
            <a:ext uri="{FF2B5EF4-FFF2-40B4-BE49-F238E27FC236}">
              <a16:creationId xmlns:a16="http://schemas.microsoft.com/office/drawing/2014/main" xmlns="" id="{00000000-0008-0000-1400-000002000000}"/>
            </a:ext>
          </a:extLst>
        </xdr:cNvPr>
        <xdr:cNvSpPr/>
      </xdr:nvSpPr>
      <xdr:spPr>
        <a:xfrm>
          <a:off x="11468100" y="0"/>
          <a:ext cx="1640064" cy="4826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Find CF SIDE</a:t>
          </a:r>
        </a:p>
        <a:p>
          <a:pPr algn="ctr"/>
          <a:r>
            <a:rPr lang="en-US" sz="1100"/>
            <a:t> coord.</a:t>
          </a:r>
        </a:p>
      </xdr:txBody>
    </xdr:sp>
    <xdr:clientData/>
  </xdr:twoCellAnchor>
  <xdr:twoCellAnchor>
    <xdr:from>
      <xdr:col>38</xdr:col>
      <xdr:colOff>50800</xdr:colOff>
      <xdr:row>6</xdr:row>
      <xdr:rowOff>165100</xdr:rowOff>
    </xdr:from>
    <xdr:to>
      <xdr:col>40</xdr:col>
      <xdr:colOff>508000</xdr:colOff>
      <xdr:row>13</xdr:row>
      <xdr:rowOff>12700</xdr:rowOff>
    </xdr:to>
    <xdr:sp macro="[0]!Find_Central_Frame_HF_coord" textlink="">
      <xdr:nvSpPr>
        <xdr:cNvPr id="3" name="Rectangle: Rounded Corners 2">
          <a:extLst>
            <a:ext uri="{FF2B5EF4-FFF2-40B4-BE49-F238E27FC236}">
              <a16:creationId xmlns:a16="http://schemas.microsoft.com/office/drawing/2014/main" xmlns="" id="{00000000-0008-0000-1400-000003000000}"/>
            </a:ext>
          </a:extLst>
        </xdr:cNvPr>
        <xdr:cNvSpPr/>
      </xdr:nvSpPr>
      <xdr:spPr>
        <a:xfrm>
          <a:off x="20599400" y="1511300"/>
          <a:ext cx="1574800" cy="11811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a-DK" sz="1100"/>
        </a:p>
      </xdr:txBody>
    </xdr:sp>
    <xdr:clientData/>
  </xdr:twoCellAnchor>
  <xdr:twoCellAnchor>
    <xdr:from>
      <xdr:col>19</xdr:col>
      <xdr:colOff>0</xdr:colOff>
      <xdr:row>0</xdr:row>
      <xdr:rowOff>0</xdr:rowOff>
    </xdr:from>
    <xdr:to>
      <xdr:col>21</xdr:col>
      <xdr:colOff>535164</xdr:colOff>
      <xdr:row>2</xdr:row>
      <xdr:rowOff>0</xdr:rowOff>
    </xdr:to>
    <xdr:sp macro="[0]!Find_House_SF_coord" textlink="">
      <xdr:nvSpPr>
        <xdr:cNvPr id="4" name="Rounded Rectangle 2">
          <a:extLst>
            <a:ext uri="{FF2B5EF4-FFF2-40B4-BE49-F238E27FC236}">
              <a16:creationId xmlns:a16="http://schemas.microsoft.com/office/drawing/2014/main" xmlns="" id="{00000000-0008-0000-1400-000004000000}"/>
            </a:ext>
          </a:extLst>
        </xdr:cNvPr>
        <xdr:cNvSpPr/>
      </xdr:nvSpPr>
      <xdr:spPr>
        <a:xfrm>
          <a:off x="13589000" y="0"/>
          <a:ext cx="1652764" cy="4826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Find House</a:t>
          </a:r>
        </a:p>
        <a:p>
          <a:pPr algn="ctr"/>
          <a:r>
            <a:rPr lang="en-US" sz="1100"/>
            <a:t>  SF</a:t>
          </a:r>
          <a:r>
            <a:rPr lang="en-US" sz="1100" baseline="0"/>
            <a:t> </a:t>
          </a:r>
          <a:r>
            <a:rPr lang="en-US" sz="1100"/>
            <a:t>coord.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0</xdr:colOff>
      <xdr:row>0</xdr:row>
      <xdr:rowOff>0</xdr:rowOff>
    </xdr:from>
    <xdr:to>
      <xdr:col>17</xdr:col>
      <xdr:colOff>535164</xdr:colOff>
      <xdr:row>2</xdr:row>
      <xdr:rowOff>0</xdr:rowOff>
    </xdr:to>
    <xdr:sp macro="[0]!Find_Support_Plate_Side_HF_coord" textlink="">
      <xdr:nvSpPr>
        <xdr:cNvPr id="2" name="Rounded Rectangle 2">
          <a:extLst>
            <a:ext uri="{FF2B5EF4-FFF2-40B4-BE49-F238E27FC236}">
              <a16:creationId xmlns:a16="http://schemas.microsoft.com/office/drawing/2014/main" xmlns="" id="{00000000-0008-0000-1500-000002000000}"/>
            </a:ext>
          </a:extLst>
        </xdr:cNvPr>
        <xdr:cNvSpPr/>
      </xdr:nvSpPr>
      <xdr:spPr>
        <a:xfrm>
          <a:off x="11518900" y="0"/>
          <a:ext cx="1640064" cy="4826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Find SP SIDE</a:t>
          </a:r>
        </a:p>
        <a:p>
          <a:pPr algn="ctr"/>
          <a:r>
            <a:rPr lang="en-US" sz="1100"/>
            <a:t> HF coord.</a:t>
          </a:r>
        </a:p>
      </xdr:txBody>
    </xdr:sp>
    <xdr:clientData/>
  </xdr:twoCellAnchor>
  <xdr:twoCellAnchor>
    <xdr:from>
      <xdr:col>19</xdr:col>
      <xdr:colOff>0</xdr:colOff>
      <xdr:row>0</xdr:row>
      <xdr:rowOff>0</xdr:rowOff>
    </xdr:from>
    <xdr:to>
      <xdr:col>21</xdr:col>
      <xdr:colOff>535164</xdr:colOff>
      <xdr:row>2</xdr:row>
      <xdr:rowOff>0</xdr:rowOff>
    </xdr:to>
    <xdr:sp macro="[0]!Find_House_SF_coord" textlink="">
      <xdr:nvSpPr>
        <xdr:cNvPr id="3" name="Rounded Rectangle 2">
          <a:extLst>
            <a:ext uri="{FF2B5EF4-FFF2-40B4-BE49-F238E27FC236}">
              <a16:creationId xmlns:a16="http://schemas.microsoft.com/office/drawing/2014/main" xmlns="" id="{00000000-0008-0000-1500-000003000000}"/>
            </a:ext>
          </a:extLst>
        </xdr:cNvPr>
        <xdr:cNvSpPr/>
      </xdr:nvSpPr>
      <xdr:spPr>
        <a:xfrm>
          <a:off x="13589000" y="0"/>
          <a:ext cx="1652764" cy="4826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Find House </a:t>
          </a:r>
        </a:p>
        <a:p>
          <a:pPr algn="ctr"/>
          <a:r>
            <a:rPr lang="en-US" sz="1100"/>
            <a:t>SF</a:t>
          </a:r>
          <a:r>
            <a:rPr lang="en-US" sz="1100" baseline="0"/>
            <a:t> </a:t>
          </a:r>
          <a:r>
            <a:rPr lang="en-US" sz="1100"/>
            <a:t>coord.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0</xdr:colOff>
      <xdr:row>0</xdr:row>
      <xdr:rowOff>0</xdr:rowOff>
    </xdr:from>
    <xdr:to>
      <xdr:col>17</xdr:col>
      <xdr:colOff>535164</xdr:colOff>
      <xdr:row>2</xdr:row>
      <xdr:rowOff>0</xdr:rowOff>
    </xdr:to>
    <xdr:sp macro="[0]!Find_DRIVE_HF_SF_coord" textlink="">
      <xdr:nvSpPr>
        <xdr:cNvPr id="2" name="Rounded Rectangle 2">
          <a:extLst>
            <a:ext uri="{FF2B5EF4-FFF2-40B4-BE49-F238E27FC236}">
              <a16:creationId xmlns:a16="http://schemas.microsoft.com/office/drawing/2014/main" xmlns="" id="{00000000-0008-0000-1600-000002000000}"/>
            </a:ext>
          </a:extLst>
        </xdr:cNvPr>
        <xdr:cNvSpPr/>
      </xdr:nvSpPr>
      <xdr:spPr>
        <a:xfrm>
          <a:off x="11303000" y="0"/>
          <a:ext cx="1635831" cy="486833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Find DRIVE SIDE</a:t>
          </a:r>
        </a:p>
        <a:p>
          <a:pPr algn="ctr"/>
          <a:r>
            <a:rPr lang="en-US" sz="1100"/>
            <a:t> HF &amp; SF</a:t>
          </a:r>
          <a:r>
            <a:rPr lang="en-US" sz="1100" baseline="0"/>
            <a:t> </a:t>
          </a:r>
          <a:r>
            <a:rPr lang="en-US" sz="1100"/>
            <a:t>coord.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0</xdr:colOff>
      <xdr:row>0</xdr:row>
      <xdr:rowOff>0</xdr:rowOff>
    </xdr:from>
    <xdr:to>
      <xdr:col>17</xdr:col>
      <xdr:colOff>535164</xdr:colOff>
      <xdr:row>2</xdr:row>
      <xdr:rowOff>0</xdr:rowOff>
    </xdr:to>
    <xdr:sp macro="[0]!Find_DRIVE_HF_SF_coord" textlink="">
      <xdr:nvSpPr>
        <xdr:cNvPr id="2" name="Rounded Rectangle 2">
          <a:extLst>
            <a:ext uri="{FF2B5EF4-FFF2-40B4-BE49-F238E27FC236}">
              <a16:creationId xmlns:a16="http://schemas.microsoft.com/office/drawing/2014/main" xmlns="" id="{00000000-0008-0000-1700-000002000000}"/>
            </a:ext>
          </a:extLst>
        </xdr:cNvPr>
        <xdr:cNvSpPr/>
      </xdr:nvSpPr>
      <xdr:spPr>
        <a:xfrm>
          <a:off x="11303000" y="0"/>
          <a:ext cx="1635831" cy="486833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Find INLET SIDE</a:t>
          </a:r>
        </a:p>
        <a:p>
          <a:pPr algn="ctr"/>
          <a:r>
            <a:rPr lang="en-US" sz="1100"/>
            <a:t> HF &amp; SF</a:t>
          </a:r>
          <a:r>
            <a:rPr lang="en-US" sz="1100" baseline="0"/>
            <a:t> </a:t>
          </a:r>
          <a:r>
            <a:rPr lang="en-US" sz="1100"/>
            <a:t>coord.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7942</xdr:colOff>
      <xdr:row>3</xdr:row>
      <xdr:rowOff>13605</xdr:rowOff>
    </xdr:from>
    <xdr:to>
      <xdr:col>32</xdr:col>
      <xdr:colOff>580568</xdr:colOff>
      <xdr:row>24</xdr:row>
      <xdr:rowOff>17007</xdr:rowOff>
    </xdr:to>
    <xdr:pic>
      <xdr:nvPicPr>
        <xdr:cNvPr id="2" name="图片 10">
          <a:extLst>
            <a:ext uri="{FF2B5EF4-FFF2-40B4-BE49-F238E27FC236}">
              <a16:creationId xmlns:a16="http://schemas.microsoft.com/office/drawing/2014/main" xmlns="" id="{00000000-0008-0000-1800-000002000000}"/>
            </a:ext>
          </a:extLst>
        </xdr:cNvPr>
        <xdr:cNvPicPr/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8780013" y="566962"/>
          <a:ext cx="10805198" cy="402204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9</xdr:col>
      <xdr:colOff>0</xdr:colOff>
      <xdr:row>40</xdr:row>
      <xdr:rowOff>7948</xdr:rowOff>
    </xdr:from>
    <xdr:to>
      <xdr:col>19</xdr:col>
      <xdr:colOff>373062</xdr:colOff>
      <xdr:row>62</xdr:row>
      <xdr:rowOff>2279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xmlns="" id="{00000000-0008-0000-18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270500" y="7727734"/>
          <a:ext cx="6287633" cy="4557259"/>
        </a:xfrm>
        <a:prstGeom prst="rect">
          <a:avLst/>
        </a:prstGeom>
      </xdr:spPr>
    </xdr:pic>
    <xdr:clientData/>
  </xdr:twoCellAnchor>
  <xdr:twoCellAnchor>
    <xdr:from>
      <xdr:col>14</xdr:col>
      <xdr:colOff>0</xdr:colOff>
      <xdr:row>80</xdr:row>
      <xdr:rowOff>199569</xdr:rowOff>
    </xdr:from>
    <xdr:to>
      <xdr:col>23</xdr:col>
      <xdr:colOff>187013</xdr:colOff>
      <xdr:row>94</xdr:row>
      <xdr:rowOff>9071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xmlns="" id="{00000000-0008-0000-1800-000005000000}"/>
            </a:ext>
          </a:extLst>
        </xdr:cNvPr>
        <xdr:cNvGrpSpPr/>
      </xdr:nvGrpSpPr>
      <xdr:grpSpPr>
        <a:xfrm>
          <a:off x="8784771" y="16364855"/>
          <a:ext cx="6097956" cy="2541816"/>
          <a:chOff x="899381" y="1215316"/>
          <a:chExt cx="5684299" cy="2724246"/>
        </a:xfrm>
      </xdr:grpSpPr>
      <xdr:sp macro="" textlink="">
        <xdr:nvSpPr>
          <xdr:cNvPr id="6" name="Rectangle 5">
            <a:extLst>
              <a:ext uri="{FF2B5EF4-FFF2-40B4-BE49-F238E27FC236}">
                <a16:creationId xmlns:a16="http://schemas.microsoft.com/office/drawing/2014/main" xmlns="" id="{00000000-0008-0000-1800-000006000000}"/>
              </a:ext>
            </a:extLst>
          </xdr:cNvPr>
          <xdr:cNvSpPr/>
        </xdr:nvSpPr>
        <xdr:spPr>
          <a:xfrm>
            <a:off x="1215647" y="1590744"/>
            <a:ext cx="3875844" cy="107051"/>
          </a:xfrm>
          <a:prstGeom prst="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da-DK"/>
          </a:p>
        </xdr:txBody>
      </xdr:sp>
      <xdr:sp macro="" textlink="">
        <xdr:nvSpPr>
          <xdr:cNvPr id="7" name="Rectangle 6">
            <a:extLst>
              <a:ext uri="{FF2B5EF4-FFF2-40B4-BE49-F238E27FC236}">
                <a16:creationId xmlns:a16="http://schemas.microsoft.com/office/drawing/2014/main" xmlns="" id="{00000000-0008-0000-1800-000007000000}"/>
              </a:ext>
            </a:extLst>
          </xdr:cNvPr>
          <xdr:cNvSpPr/>
        </xdr:nvSpPr>
        <xdr:spPr>
          <a:xfrm>
            <a:off x="1215647" y="1697796"/>
            <a:ext cx="108605" cy="1772181"/>
          </a:xfrm>
          <a:prstGeom prst="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da-DK"/>
          </a:p>
        </xdr:txBody>
      </xdr:sp>
      <xdr:sp macro="" textlink="">
        <xdr:nvSpPr>
          <xdr:cNvPr id="8" name="Rectangle 7">
            <a:extLst>
              <a:ext uri="{FF2B5EF4-FFF2-40B4-BE49-F238E27FC236}">
                <a16:creationId xmlns:a16="http://schemas.microsoft.com/office/drawing/2014/main" xmlns="" id="{00000000-0008-0000-1800-000008000000}"/>
              </a:ext>
            </a:extLst>
          </xdr:cNvPr>
          <xdr:cNvSpPr/>
        </xdr:nvSpPr>
        <xdr:spPr>
          <a:xfrm>
            <a:off x="3870815" y="1697796"/>
            <a:ext cx="108605" cy="1772181"/>
          </a:xfrm>
          <a:prstGeom prst="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da-DK"/>
          </a:p>
        </xdr:txBody>
      </xdr:sp>
      <xdr:sp macro="" textlink="">
        <xdr:nvSpPr>
          <xdr:cNvPr id="9" name="Rectangle 8">
            <a:extLst>
              <a:ext uri="{FF2B5EF4-FFF2-40B4-BE49-F238E27FC236}">
                <a16:creationId xmlns:a16="http://schemas.microsoft.com/office/drawing/2014/main" xmlns="" id="{00000000-0008-0000-1800-000009000000}"/>
              </a:ext>
            </a:extLst>
          </xdr:cNvPr>
          <xdr:cNvSpPr/>
        </xdr:nvSpPr>
        <xdr:spPr>
          <a:xfrm>
            <a:off x="1215646" y="3469976"/>
            <a:ext cx="4989046" cy="104339"/>
          </a:xfrm>
          <a:prstGeom prst="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da-DK"/>
          </a:p>
        </xdr:txBody>
      </xdr:sp>
      <xdr:sp macro="" textlink="">
        <xdr:nvSpPr>
          <xdr:cNvPr id="10" name="Rectangle 9">
            <a:extLst>
              <a:ext uri="{FF2B5EF4-FFF2-40B4-BE49-F238E27FC236}">
                <a16:creationId xmlns:a16="http://schemas.microsoft.com/office/drawing/2014/main" xmlns="" id="{00000000-0008-0000-1800-00000A000000}"/>
              </a:ext>
            </a:extLst>
          </xdr:cNvPr>
          <xdr:cNvSpPr/>
        </xdr:nvSpPr>
        <xdr:spPr>
          <a:xfrm>
            <a:off x="6096088" y="2930972"/>
            <a:ext cx="108605" cy="539004"/>
          </a:xfrm>
          <a:prstGeom prst="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da-DK"/>
          </a:p>
        </xdr:txBody>
      </xdr:sp>
      <xdr:sp macro="" textlink="">
        <xdr:nvSpPr>
          <xdr:cNvPr id="11" name="Rectangle 10">
            <a:extLst>
              <a:ext uri="{FF2B5EF4-FFF2-40B4-BE49-F238E27FC236}">
                <a16:creationId xmlns:a16="http://schemas.microsoft.com/office/drawing/2014/main" xmlns="" id="{00000000-0008-0000-1800-00000B000000}"/>
              </a:ext>
            </a:extLst>
          </xdr:cNvPr>
          <xdr:cNvSpPr/>
        </xdr:nvSpPr>
        <xdr:spPr>
          <a:xfrm>
            <a:off x="5227247" y="2930971"/>
            <a:ext cx="108605" cy="539004"/>
          </a:xfrm>
          <a:prstGeom prst="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da-DK"/>
          </a:p>
        </xdr:txBody>
      </xdr:sp>
      <xdr:sp macro="" textlink="">
        <xdr:nvSpPr>
          <xdr:cNvPr id="12" name="TextBox 20">
            <a:extLst>
              <a:ext uri="{FF2B5EF4-FFF2-40B4-BE49-F238E27FC236}">
                <a16:creationId xmlns:a16="http://schemas.microsoft.com/office/drawing/2014/main" xmlns="" id="{00000000-0008-0000-1800-00000C000000}"/>
              </a:ext>
            </a:extLst>
          </xdr:cNvPr>
          <xdr:cNvSpPr txBox="1"/>
        </xdr:nvSpPr>
        <xdr:spPr>
          <a:xfrm>
            <a:off x="3381460" y="3619598"/>
            <a:ext cx="255320" cy="319964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en-US"/>
              <a:t>l2</a:t>
            </a:r>
            <a:endParaRPr lang="da-DK"/>
          </a:p>
        </xdr:txBody>
      </xdr:sp>
      <xdr:sp macro="" textlink="">
        <xdr:nvSpPr>
          <xdr:cNvPr id="13" name="TextBox 21">
            <a:extLst>
              <a:ext uri="{FF2B5EF4-FFF2-40B4-BE49-F238E27FC236}">
                <a16:creationId xmlns:a16="http://schemas.microsoft.com/office/drawing/2014/main" xmlns="" id="{00000000-0008-0000-1800-00000D000000}"/>
              </a:ext>
            </a:extLst>
          </xdr:cNvPr>
          <xdr:cNvSpPr txBox="1"/>
        </xdr:nvSpPr>
        <xdr:spPr>
          <a:xfrm>
            <a:off x="2846354" y="1235493"/>
            <a:ext cx="255320" cy="319964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en-US"/>
              <a:t>l1</a:t>
            </a:r>
            <a:endParaRPr lang="da-DK"/>
          </a:p>
        </xdr:txBody>
      </xdr:sp>
      <xdr:sp macro="" textlink="">
        <xdr:nvSpPr>
          <xdr:cNvPr id="14" name="TextBox 23">
            <a:extLst>
              <a:ext uri="{FF2B5EF4-FFF2-40B4-BE49-F238E27FC236}">
                <a16:creationId xmlns:a16="http://schemas.microsoft.com/office/drawing/2014/main" xmlns="" id="{00000000-0008-0000-1800-00000E000000}"/>
              </a:ext>
            </a:extLst>
          </xdr:cNvPr>
          <xdr:cNvSpPr txBox="1"/>
        </xdr:nvSpPr>
        <xdr:spPr>
          <a:xfrm>
            <a:off x="899381" y="2423904"/>
            <a:ext cx="304953" cy="319964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en-US"/>
              <a:t>h1</a:t>
            </a:r>
            <a:endParaRPr lang="da-DK"/>
          </a:p>
        </xdr:txBody>
      </xdr:sp>
      <xdr:sp macro="" textlink="">
        <xdr:nvSpPr>
          <xdr:cNvPr id="15" name="TextBox 24">
            <a:extLst>
              <a:ext uri="{FF2B5EF4-FFF2-40B4-BE49-F238E27FC236}">
                <a16:creationId xmlns:a16="http://schemas.microsoft.com/office/drawing/2014/main" xmlns="" id="{00000000-0008-0000-1800-00000F000000}"/>
              </a:ext>
            </a:extLst>
          </xdr:cNvPr>
          <xdr:cNvSpPr txBox="1"/>
        </xdr:nvSpPr>
        <xdr:spPr>
          <a:xfrm>
            <a:off x="6278727" y="3040491"/>
            <a:ext cx="304953" cy="319964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en-US"/>
              <a:t>h2</a:t>
            </a:r>
            <a:endParaRPr lang="da-DK"/>
          </a:p>
        </xdr:txBody>
      </xdr:sp>
      <xdr:sp macro="" textlink="">
        <xdr:nvSpPr>
          <xdr:cNvPr id="16" name="Rectangle 15">
            <a:extLst>
              <a:ext uri="{FF2B5EF4-FFF2-40B4-BE49-F238E27FC236}">
                <a16:creationId xmlns:a16="http://schemas.microsoft.com/office/drawing/2014/main" xmlns="" id="{00000000-0008-0000-1800-000010000000}"/>
              </a:ext>
            </a:extLst>
          </xdr:cNvPr>
          <xdr:cNvSpPr/>
        </xdr:nvSpPr>
        <xdr:spPr>
          <a:xfrm>
            <a:off x="6096087" y="3465526"/>
            <a:ext cx="108605" cy="114336"/>
          </a:xfrm>
          <a:prstGeom prst="rect">
            <a:avLst/>
          </a:prstGeom>
          <a:solidFill>
            <a:srgbClr val="FFFF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da-DK"/>
          </a:p>
        </xdr:txBody>
      </xdr:sp>
      <xdr:sp macro="" textlink="">
        <xdr:nvSpPr>
          <xdr:cNvPr id="17" name="Rectangle 16">
            <a:extLst>
              <a:ext uri="{FF2B5EF4-FFF2-40B4-BE49-F238E27FC236}">
                <a16:creationId xmlns:a16="http://schemas.microsoft.com/office/drawing/2014/main" xmlns="" id="{00000000-0008-0000-1800-000011000000}"/>
              </a:ext>
            </a:extLst>
          </xdr:cNvPr>
          <xdr:cNvSpPr/>
        </xdr:nvSpPr>
        <xdr:spPr>
          <a:xfrm>
            <a:off x="1215647" y="3459980"/>
            <a:ext cx="108605" cy="114336"/>
          </a:xfrm>
          <a:prstGeom prst="rect">
            <a:avLst/>
          </a:prstGeom>
          <a:solidFill>
            <a:srgbClr val="FFFF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da-DK"/>
          </a:p>
        </xdr:txBody>
      </xdr:sp>
      <xdr:sp macro="" textlink="">
        <xdr:nvSpPr>
          <xdr:cNvPr id="18" name="Rectangle 17">
            <a:extLst>
              <a:ext uri="{FF2B5EF4-FFF2-40B4-BE49-F238E27FC236}">
                <a16:creationId xmlns:a16="http://schemas.microsoft.com/office/drawing/2014/main" xmlns="" id="{00000000-0008-0000-1800-000012000000}"/>
              </a:ext>
            </a:extLst>
          </xdr:cNvPr>
          <xdr:cNvSpPr/>
        </xdr:nvSpPr>
        <xdr:spPr>
          <a:xfrm>
            <a:off x="1215647" y="1592305"/>
            <a:ext cx="108605" cy="114336"/>
          </a:xfrm>
          <a:prstGeom prst="rect">
            <a:avLst/>
          </a:prstGeom>
          <a:solidFill>
            <a:srgbClr val="FFFF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da-DK"/>
          </a:p>
        </xdr:txBody>
      </xdr:sp>
      <xdr:sp macro="" textlink="">
        <xdr:nvSpPr>
          <xdr:cNvPr id="19" name="Rectangle 18">
            <a:extLst>
              <a:ext uri="{FF2B5EF4-FFF2-40B4-BE49-F238E27FC236}">
                <a16:creationId xmlns:a16="http://schemas.microsoft.com/office/drawing/2014/main" xmlns="" id="{00000000-0008-0000-1800-000013000000}"/>
              </a:ext>
            </a:extLst>
          </xdr:cNvPr>
          <xdr:cNvSpPr/>
        </xdr:nvSpPr>
        <xdr:spPr>
          <a:xfrm>
            <a:off x="3870815" y="1582099"/>
            <a:ext cx="108605" cy="114336"/>
          </a:xfrm>
          <a:prstGeom prst="rect">
            <a:avLst/>
          </a:prstGeom>
          <a:solidFill>
            <a:srgbClr val="FFFF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da-DK"/>
          </a:p>
        </xdr:txBody>
      </xdr:sp>
      <xdr:sp macro="" textlink="">
        <xdr:nvSpPr>
          <xdr:cNvPr id="20" name="Rectangle 19">
            <a:extLst>
              <a:ext uri="{FF2B5EF4-FFF2-40B4-BE49-F238E27FC236}">
                <a16:creationId xmlns:a16="http://schemas.microsoft.com/office/drawing/2014/main" xmlns="" id="{00000000-0008-0000-1800-000014000000}"/>
              </a:ext>
            </a:extLst>
          </xdr:cNvPr>
          <xdr:cNvSpPr/>
        </xdr:nvSpPr>
        <xdr:spPr>
          <a:xfrm>
            <a:off x="3870815" y="3461129"/>
            <a:ext cx="108605" cy="114336"/>
          </a:xfrm>
          <a:prstGeom prst="rect">
            <a:avLst/>
          </a:prstGeom>
          <a:solidFill>
            <a:srgbClr val="FFFF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da-DK"/>
          </a:p>
        </xdr:txBody>
      </xdr:sp>
      <xdr:sp macro="" textlink="">
        <xdr:nvSpPr>
          <xdr:cNvPr id="21" name="Rectangle 20">
            <a:extLst>
              <a:ext uri="{FF2B5EF4-FFF2-40B4-BE49-F238E27FC236}">
                <a16:creationId xmlns:a16="http://schemas.microsoft.com/office/drawing/2014/main" xmlns="" id="{00000000-0008-0000-1800-000015000000}"/>
              </a:ext>
            </a:extLst>
          </xdr:cNvPr>
          <xdr:cNvSpPr/>
        </xdr:nvSpPr>
        <xdr:spPr>
          <a:xfrm>
            <a:off x="4992389" y="1581898"/>
            <a:ext cx="107000" cy="114538"/>
          </a:xfrm>
          <a:prstGeom prst="rect">
            <a:avLst/>
          </a:prstGeom>
          <a:solidFill>
            <a:srgbClr val="FFFF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da-DK"/>
          </a:p>
        </xdr:txBody>
      </xdr:sp>
      <xdr:grpSp>
        <xdr:nvGrpSpPr>
          <xdr:cNvPr id="22" name="Group 21">
            <a:extLst>
              <a:ext uri="{FF2B5EF4-FFF2-40B4-BE49-F238E27FC236}">
                <a16:creationId xmlns:a16="http://schemas.microsoft.com/office/drawing/2014/main" xmlns="" id="{00000000-0008-0000-1800-000016000000}"/>
              </a:ext>
            </a:extLst>
          </xdr:cNvPr>
          <xdr:cNvGrpSpPr/>
        </xdr:nvGrpSpPr>
        <xdr:grpSpPr>
          <a:xfrm>
            <a:off x="903008" y="1215316"/>
            <a:ext cx="495913" cy="588643"/>
            <a:chOff x="904415" y="1215318"/>
            <a:chExt cx="688714" cy="679468"/>
          </a:xfrm>
        </xdr:grpSpPr>
        <xdr:grpSp>
          <xdr:nvGrpSpPr>
            <xdr:cNvPr id="53" name="Group 52">
              <a:extLst>
                <a:ext uri="{FF2B5EF4-FFF2-40B4-BE49-F238E27FC236}">
                  <a16:creationId xmlns:a16="http://schemas.microsoft.com/office/drawing/2014/main" xmlns="" id="{00000000-0008-0000-1800-000035000000}"/>
                </a:ext>
              </a:extLst>
            </xdr:cNvPr>
            <xdr:cNvGrpSpPr/>
          </xdr:nvGrpSpPr>
          <xdr:grpSpPr>
            <a:xfrm>
              <a:off x="1206630" y="1412241"/>
              <a:ext cx="386499" cy="482545"/>
              <a:chOff x="1206630" y="1412241"/>
              <a:chExt cx="386499" cy="482545"/>
            </a:xfrm>
          </xdr:grpSpPr>
          <xdr:sp macro="" textlink="">
            <xdr:nvSpPr>
              <xdr:cNvPr id="55" name="Oval 54">
                <a:extLst>
                  <a:ext uri="{FF2B5EF4-FFF2-40B4-BE49-F238E27FC236}">
                    <a16:creationId xmlns:a16="http://schemas.microsoft.com/office/drawing/2014/main" xmlns="" id="{00000000-0008-0000-1800-000037000000}"/>
                  </a:ext>
                </a:extLst>
              </xdr:cNvPr>
              <xdr:cNvSpPr/>
            </xdr:nvSpPr>
            <xdr:spPr>
              <a:xfrm>
                <a:off x="1206630" y="1523095"/>
                <a:ext cx="386499" cy="371691"/>
              </a:xfrm>
              <a:prstGeom prst="ellipse">
                <a:avLst/>
              </a:prstGeom>
              <a:noFill/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wrap="square" rtlCol="0" anchor="ctr"/>
              <a:lstStyle>
                <a:defPPr>
                  <a:defRPr lang="en-US"/>
                </a:defPPr>
                <a:lvl1pPr marL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da-DK"/>
              </a:p>
            </xdr:txBody>
          </xdr:sp>
          <xdr:cxnSp macro="">
            <xdr:nvCxnSpPr>
              <xdr:cNvPr id="56" name="Straight Connector 55">
                <a:extLst>
                  <a:ext uri="{FF2B5EF4-FFF2-40B4-BE49-F238E27FC236}">
                    <a16:creationId xmlns:a16="http://schemas.microsoft.com/office/drawing/2014/main" xmlns="" id="{00000000-0008-0000-1800-000038000000}"/>
                  </a:ext>
                </a:extLst>
              </xdr:cNvPr>
              <xdr:cNvCxnSpPr>
                <a:stCxn id="55" idx="0"/>
              </xdr:cNvCxnSpPr>
            </xdr:nvCxnSpPr>
            <xdr:spPr>
              <a:xfrm flipH="1" flipV="1">
                <a:off x="1206631" y="1412241"/>
                <a:ext cx="193249" cy="110854"/>
              </a:xfrm>
              <a:prstGeom prst="line">
                <a:avLst/>
              </a:prstGeom>
              <a:ln>
                <a:solidFill>
                  <a:schemeClr val="accent1">
                    <a:lumMod val="75000"/>
                  </a:schemeClr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  <xdr:sp macro="" textlink="">
          <xdr:nvSpPr>
            <xdr:cNvPr id="54" name="TextBox 45">
              <a:extLst>
                <a:ext uri="{FF2B5EF4-FFF2-40B4-BE49-F238E27FC236}">
                  <a16:creationId xmlns:a16="http://schemas.microsoft.com/office/drawing/2014/main" xmlns="" id="{00000000-0008-0000-1800-000036000000}"/>
                </a:ext>
              </a:extLst>
            </xdr:cNvPr>
            <xdr:cNvSpPr txBox="1"/>
          </xdr:nvSpPr>
          <xdr:spPr>
            <a:xfrm>
              <a:off x="904415" y="1215318"/>
              <a:ext cx="413446" cy="307777"/>
            </a:xfrm>
            <a:prstGeom prst="rect">
              <a:avLst/>
            </a:prstGeom>
            <a:noFill/>
          </xdr:spPr>
          <xdr:txBody>
            <a:bodyPr wrap="square" rtlCol="0">
              <a:spAutoFit/>
            </a:bodyPr>
            <a:lstStyle>
              <a:defPPr>
                <a:defRPr lang="en-US"/>
              </a:defPPr>
              <a:lvl1pPr marL="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r>
                <a:rPr lang="en-US" sz="1400"/>
                <a:t>1</a:t>
              </a:r>
              <a:endParaRPr lang="da-DK" sz="1400"/>
            </a:p>
          </xdr:txBody>
        </xdr:sp>
      </xdr:grpSp>
      <xdr:grpSp>
        <xdr:nvGrpSpPr>
          <xdr:cNvPr id="23" name="Group 22">
            <a:extLst>
              <a:ext uri="{FF2B5EF4-FFF2-40B4-BE49-F238E27FC236}">
                <a16:creationId xmlns:a16="http://schemas.microsoft.com/office/drawing/2014/main" xmlns="" id="{00000000-0008-0000-1800-000017000000}"/>
              </a:ext>
            </a:extLst>
          </xdr:cNvPr>
          <xdr:cNvGrpSpPr/>
        </xdr:nvGrpSpPr>
        <xdr:grpSpPr>
          <a:xfrm>
            <a:off x="5782817" y="3096523"/>
            <a:ext cx="495913" cy="588643"/>
            <a:chOff x="904415" y="1215318"/>
            <a:chExt cx="688714" cy="679468"/>
          </a:xfrm>
        </xdr:grpSpPr>
        <xdr:grpSp>
          <xdr:nvGrpSpPr>
            <xdr:cNvPr id="49" name="Group 48">
              <a:extLst>
                <a:ext uri="{FF2B5EF4-FFF2-40B4-BE49-F238E27FC236}">
                  <a16:creationId xmlns:a16="http://schemas.microsoft.com/office/drawing/2014/main" xmlns="" id="{00000000-0008-0000-1800-000031000000}"/>
                </a:ext>
              </a:extLst>
            </xdr:cNvPr>
            <xdr:cNvGrpSpPr/>
          </xdr:nvGrpSpPr>
          <xdr:grpSpPr>
            <a:xfrm>
              <a:off x="1206630" y="1412241"/>
              <a:ext cx="386499" cy="482545"/>
              <a:chOff x="1206630" y="1412241"/>
              <a:chExt cx="386499" cy="482545"/>
            </a:xfrm>
          </xdr:grpSpPr>
          <xdr:sp macro="" textlink="">
            <xdr:nvSpPr>
              <xdr:cNvPr id="51" name="Oval 50">
                <a:extLst>
                  <a:ext uri="{FF2B5EF4-FFF2-40B4-BE49-F238E27FC236}">
                    <a16:creationId xmlns:a16="http://schemas.microsoft.com/office/drawing/2014/main" xmlns="" id="{00000000-0008-0000-1800-000033000000}"/>
                  </a:ext>
                </a:extLst>
              </xdr:cNvPr>
              <xdr:cNvSpPr/>
            </xdr:nvSpPr>
            <xdr:spPr>
              <a:xfrm>
                <a:off x="1206630" y="1523095"/>
                <a:ext cx="386499" cy="371691"/>
              </a:xfrm>
              <a:prstGeom prst="ellipse">
                <a:avLst/>
              </a:prstGeom>
              <a:noFill/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wrap="square" rtlCol="0" anchor="ctr"/>
              <a:lstStyle>
                <a:defPPr>
                  <a:defRPr lang="en-US"/>
                </a:defPPr>
                <a:lvl1pPr marL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da-DK"/>
              </a:p>
            </xdr:txBody>
          </xdr:sp>
          <xdr:cxnSp macro="">
            <xdr:nvCxnSpPr>
              <xdr:cNvPr id="52" name="Straight Connector 51">
                <a:extLst>
                  <a:ext uri="{FF2B5EF4-FFF2-40B4-BE49-F238E27FC236}">
                    <a16:creationId xmlns:a16="http://schemas.microsoft.com/office/drawing/2014/main" xmlns="" id="{00000000-0008-0000-1800-000034000000}"/>
                  </a:ext>
                </a:extLst>
              </xdr:cNvPr>
              <xdr:cNvCxnSpPr>
                <a:stCxn id="51" idx="0"/>
              </xdr:cNvCxnSpPr>
            </xdr:nvCxnSpPr>
            <xdr:spPr>
              <a:xfrm flipH="1" flipV="1">
                <a:off x="1206631" y="1412241"/>
                <a:ext cx="193249" cy="110854"/>
              </a:xfrm>
              <a:prstGeom prst="line">
                <a:avLst/>
              </a:prstGeom>
              <a:ln>
                <a:solidFill>
                  <a:schemeClr val="accent1">
                    <a:lumMod val="75000"/>
                  </a:schemeClr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  <xdr:sp macro="" textlink="">
          <xdr:nvSpPr>
            <xdr:cNvPr id="50" name="TextBox 50">
              <a:extLst>
                <a:ext uri="{FF2B5EF4-FFF2-40B4-BE49-F238E27FC236}">
                  <a16:creationId xmlns:a16="http://schemas.microsoft.com/office/drawing/2014/main" xmlns="" id="{00000000-0008-0000-1800-000032000000}"/>
                </a:ext>
              </a:extLst>
            </xdr:cNvPr>
            <xdr:cNvSpPr txBox="1"/>
          </xdr:nvSpPr>
          <xdr:spPr>
            <a:xfrm>
              <a:off x="904415" y="1215318"/>
              <a:ext cx="413446" cy="307777"/>
            </a:xfrm>
            <a:prstGeom prst="rect">
              <a:avLst/>
            </a:prstGeom>
            <a:noFill/>
          </xdr:spPr>
          <xdr:txBody>
            <a:bodyPr wrap="square" rtlCol="0">
              <a:spAutoFit/>
            </a:bodyPr>
            <a:lstStyle>
              <a:defPPr>
                <a:defRPr lang="en-US"/>
              </a:defPPr>
              <a:lvl1pPr marL="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r>
                <a:rPr lang="en-US" sz="1400"/>
                <a:t>1</a:t>
              </a:r>
              <a:endParaRPr lang="da-DK" sz="1400"/>
            </a:p>
          </xdr:txBody>
        </xdr:sp>
      </xdr:grpSp>
      <xdr:grpSp>
        <xdr:nvGrpSpPr>
          <xdr:cNvPr id="24" name="Group 23">
            <a:extLst>
              <a:ext uri="{FF2B5EF4-FFF2-40B4-BE49-F238E27FC236}">
                <a16:creationId xmlns:a16="http://schemas.microsoft.com/office/drawing/2014/main" xmlns="" id="{00000000-0008-0000-1800-000018000000}"/>
              </a:ext>
            </a:extLst>
          </xdr:cNvPr>
          <xdr:cNvGrpSpPr/>
        </xdr:nvGrpSpPr>
        <xdr:grpSpPr>
          <a:xfrm>
            <a:off x="3570293" y="1223622"/>
            <a:ext cx="495913" cy="588643"/>
            <a:chOff x="904415" y="1215318"/>
            <a:chExt cx="688714" cy="679468"/>
          </a:xfrm>
        </xdr:grpSpPr>
        <xdr:grpSp>
          <xdr:nvGrpSpPr>
            <xdr:cNvPr id="45" name="Group 44">
              <a:extLst>
                <a:ext uri="{FF2B5EF4-FFF2-40B4-BE49-F238E27FC236}">
                  <a16:creationId xmlns:a16="http://schemas.microsoft.com/office/drawing/2014/main" xmlns="" id="{00000000-0008-0000-1800-00002D000000}"/>
                </a:ext>
              </a:extLst>
            </xdr:cNvPr>
            <xdr:cNvGrpSpPr/>
          </xdr:nvGrpSpPr>
          <xdr:grpSpPr>
            <a:xfrm>
              <a:off x="1206630" y="1412241"/>
              <a:ext cx="386499" cy="482545"/>
              <a:chOff x="1206630" y="1412241"/>
              <a:chExt cx="386499" cy="482545"/>
            </a:xfrm>
          </xdr:grpSpPr>
          <xdr:sp macro="" textlink="">
            <xdr:nvSpPr>
              <xdr:cNvPr id="47" name="Oval 46">
                <a:extLst>
                  <a:ext uri="{FF2B5EF4-FFF2-40B4-BE49-F238E27FC236}">
                    <a16:creationId xmlns:a16="http://schemas.microsoft.com/office/drawing/2014/main" xmlns="" id="{00000000-0008-0000-1800-00002F000000}"/>
                  </a:ext>
                </a:extLst>
              </xdr:cNvPr>
              <xdr:cNvSpPr/>
            </xdr:nvSpPr>
            <xdr:spPr>
              <a:xfrm>
                <a:off x="1206630" y="1523095"/>
                <a:ext cx="386499" cy="371691"/>
              </a:xfrm>
              <a:prstGeom prst="ellipse">
                <a:avLst/>
              </a:prstGeom>
              <a:noFill/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wrap="square" rtlCol="0" anchor="ctr"/>
              <a:lstStyle>
                <a:defPPr>
                  <a:defRPr lang="en-US"/>
                </a:defPPr>
                <a:lvl1pPr marL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da-DK"/>
              </a:p>
            </xdr:txBody>
          </xdr:sp>
          <xdr:cxnSp macro="">
            <xdr:nvCxnSpPr>
              <xdr:cNvPr id="48" name="Straight Connector 47">
                <a:extLst>
                  <a:ext uri="{FF2B5EF4-FFF2-40B4-BE49-F238E27FC236}">
                    <a16:creationId xmlns:a16="http://schemas.microsoft.com/office/drawing/2014/main" xmlns="" id="{00000000-0008-0000-1800-000030000000}"/>
                  </a:ext>
                </a:extLst>
              </xdr:cNvPr>
              <xdr:cNvCxnSpPr>
                <a:stCxn id="47" idx="0"/>
              </xdr:cNvCxnSpPr>
            </xdr:nvCxnSpPr>
            <xdr:spPr>
              <a:xfrm flipH="1" flipV="1">
                <a:off x="1206631" y="1412241"/>
                <a:ext cx="193249" cy="110854"/>
              </a:xfrm>
              <a:prstGeom prst="line">
                <a:avLst/>
              </a:prstGeom>
              <a:ln>
                <a:solidFill>
                  <a:schemeClr val="accent1">
                    <a:lumMod val="75000"/>
                  </a:schemeClr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  <xdr:sp macro="" textlink="">
          <xdr:nvSpPr>
            <xdr:cNvPr id="46" name="TextBox 55">
              <a:extLst>
                <a:ext uri="{FF2B5EF4-FFF2-40B4-BE49-F238E27FC236}">
                  <a16:creationId xmlns:a16="http://schemas.microsoft.com/office/drawing/2014/main" xmlns="" id="{00000000-0008-0000-1800-00002E000000}"/>
                </a:ext>
              </a:extLst>
            </xdr:cNvPr>
            <xdr:cNvSpPr txBox="1"/>
          </xdr:nvSpPr>
          <xdr:spPr>
            <a:xfrm>
              <a:off x="904415" y="1215318"/>
              <a:ext cx="413446" cy="307777"/>
            </a:xfrm>
            <a:prstGeom prst="rect">
              <a:avLst/>
            </a:prstGeom>
            <a:noFill/>
          </xdr:spPr>
          <xdr:txBody>
            <a:bodyPr wrap="square" rtlCol="0">
              <a:spAutoFit/>
            </a:bodyPr>
            <a:lstStyle>
              <a:defPPr>
                <a:defRPr lang="en-US"/>
              </a:defPPr>
              <a:lvl1pPr marL="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r>
                <a:rPr lang="en-US" sz="1400"/>
                <a:t>1</a:t>
              </a:r>
              <a:endParaRPr lang="da-DK" sz="1400"/>
            </a:p>
          </xdr:txBody>
        </xdr:sp>
      </xdr:grpSp>
      <xdr:grpSp>
        <xdr:nvGrpSpPr>
          <xdr:cNvPr id="25" name="Group 24">
            <a:extLst>
              <a:ext uri="{FF2B5EF4-FFF2-40B4-BE49-F238E27FC236}">
                <a16:creationId xmlns:a16="http://schemas.microsoft.com/office/drawing/2014/main" xmlns="" id="{00000000-0008-0000-1800-000019000000}"/>
              </a:ext>
            </a:extLst>
          </xdr:cNvPr>
          <xdr:cNvGrpSpPr/>
        </xdr:nvGrpSpPr>
        <xdr:grpSpPr>
          <a:xfrm>
            <a:off x="3571651" y="3089059"/>
            <a:ext cx="495913" cy="588643"/>
            <a:chOff x="904415" y="1215318"/>
            <a:chExt cx="688714" cy="679468"/>
          </a:xfrm>
        </xdr:grpSpPr>
        <xdr:grpSp>
          <xdr:nvGrpSpPr>
            <xdr:cNvPr id="41" name="Group 40">
              <a:extLst>
                <a:ext uri="{FF2B5EF4-FFF2-40B4-BE49-F238E27FC236}">
                  <a16:creationId xmlns:a16="http://schemas.microsoft.com/office/drawing/2014/main" xmlns="" id="{00000000-0008-0000-1800-000029000000}"/>
                </a:ext>
              </a:extLst>
            </xdr:cNvPr>
            <xdr:cNvGrpSpPr/>
          </xdr:nvGrpSpPr>
          <xdr:grpSpPr>
            <a:xfrm>
              <a:off x="1206630" y="1412241"/>
              <a:ext cx="386499" cy="482545"/>
              <a:chOff x="1206630" y="1412241"/>
              <a:chExt cx="386499" cy="482545"/>
            </a:xfrm>
          </xdr:grpSpPr>
          <xdr:sp macro="" textlink="">
            <xdr:nvSpPr>
              <xdr:cNvPr id="43" name="Oval 42">
                <a:extLst>
                  <a:ext uri="{FF2B5EF4-FFF2-40B4-BE49-F238E27FC236}">
                    <a16:creationId xmlns:a16="http://schemas.microsoft.com/office/drawing/2014/main" xmlns="" id="{00000000-0008-0000-1800-00002B000000}"/>
                  </a:ext>
                </a:extLst>
              </xdr:cNvPr>
              <xdr:cNvSpPr/>
            </xdr:nvSpPr>
            <xdr:spPr>
              <a:xfrm>
                <a:off x="1206630" y="1523095"/>
                <a:ext cx="386499" cy="371691"/>
              </a:xfrm>
              <a:prstGeom prst="ellipse">
                <a:avLst/>
              </a:prstGeom>
              <a:noFill/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wrap="square" rtlCol="0" anchor="ctr"/>
              <a:lstStyle>
                <a:defPPr>
                  <a:defRPr lang="en-US"/>
                </a:defPPr>
                <a:lvl1pPr marL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da-DK"/>
              </a:p>
            </xdr:txBody>
          </xdr:sp>
          <xdr:cxnSp macro="">
            <xdr:nvCxnSpPr>
              <xdr:cNvPr id="44" name="Straight Connector 43">
                <a:extLst>
                  <a:ext uri="{FF2B5EF4-FFF2-40B4-BE49-F238E27FC236}">
                    <a16:creationId xmlns:a16="http://schemas.microsoft.com/office/drawing/2014/main" xmlns="" id="{00000000-0008-0000-1800-00002C000000}"/>
                  </a:ext>
                </a:extLst>
              </xdr:cNvPr>
              <xdr:cNvCxnSpPr>
                <a:stCxn id="43" idx="0"/>
              </xdr:cNvCxnSpPr>
            </xdr:nvCxnSpPr>
            <xdr:spPr>
              <a:xfrm flipH="1" flipV="1">
                <a:off x="1206631" y="1412241"/>
                <a:ext cx="193249" cy="110854"/>
              </a:xfrm>
              <a:prstGeom prst="line">
                <a:avLst/>
              </a:prstGeom>
              <a:ln>
                <a:solidFill>
                  <a:schemeClr val="accent1">
                    <a:lumMod val="75000"/>
                  </a:schemeClr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  <xdr:sp macro="" textlink="">
          <xdr:nvSpPr>
            <xdr:cNvPr id="42" name="TextBox 60">
              <a:extLst>
                <a:ext uri="{FF2B5EF4-FFF2-40B4-BE49-F238E27FC236}">
                  <a16:creationId xmlns:a16="http://schemas.microsoft.com/office/drawing/2014/main" xmlns="" id="{00000000-0008-0000-1800-00002A000000}"/>
                </a:ext>
              </a:extLst>
            </xdr:cNvPr>
            <xdr:cNvSpPr txBox="1"/>
          </xdr:nvSpPr>
          <xdr:spPr>
            <a:xfrm>
              <a:off x="904415" y="1215318"/>
              <a:ext cx="413446" cy="307777"/>
            </a:xfrm>
            <a:prstGeom prst="rect">
              <a:avLst/>
            </a:prstGeom>
            <a:noFill/>
          </xdr:spPr>
          <xdr:txBody>
            <a:bodyPr wrap="square" rtlCol="0">
              <a:spAutoFit/>
            </a:bodyPr>
            <a:lstStyle>
              <a:defPPr>
                <a:defRPr lang="en-US"/>
              </a:defPPr>
              <a:lvl1pPr marL="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r>
                <a:rPr lang="en-US" sz="1400"/>
                <a:t>1</a:t>
              </a:r>
              <a:endParaRPr lang="da-DK" sz="1400"/>
            </a:p>
          </xdr:txBody>
        </xdr:sp>
      </xdr:grpSp>
      <xdr:grpSp>
        <xdr:nvGrpSpPr>
          <xdr:cNvPr id="26" name="Group 25">
            <a:extLst>
              <a:ext uri="{FF2B5EF4-FFF2-40B4-BE49-F238E27FC236}">
                <a16:creationId xmlns:a16="http://schemas.microsoft.com/office/drawing/2014/main" xmlns="" id="{00000000-0008-0000-1800-00001A000000}"/>
              </a:ext>
            </a:extLst>
          </xdr:cNvPr>
          <xdr:cNvGrpSpPr/>
        </xdr:nvGrpSpPr>
        <xdr:grpSpPr>
          <a:xfrm>
            <a:off x="910047" y="3101467"/>
            <a:ext cx="495913" cy="588643"/>
            <a:chOff x="904415" y="1215318"/>
            <a:chExt cx="688714" cy="679468"/>
          </a:xfrm>
        </xdr:grpSpPr>
        <xdr:grpSp>
          <xdr:nvGrpSpPr>
            <xdr:cNvPr id="37" name="Group 36">
              <a:extLst>
                <a:ext uri="{FF2B5EF4-FFF2-40B4-BE49-F238E27FC236}">
                  <a16:creationId xmlns:a16="http://schemas.microsoft.com/office/drawing/2014/main" xmlns="" id="{00000000-0008-0000-1800-000025000000}"/>
                </a:ext>
              </a:extLst>
            </xdr:cNvPr>
            <xdr:cNvGrpSpPr/>
          </xdr:nvGrpSpPr>
          <xdr:grpSpPr>
            <a:xfrm>
              <a:off x="1206630" y="1412241"/>
              <a:ext cx="386499" cy="482545"/>
              <a:chOff x="1206630" y="1412241"/>
              <a:chExt cx="386499" cy="482545"/>
            </a:xfrm>
          </xdr:grpSpPr>
          <xdr:sp macro="" textlink="">
            <xdr:nvSpPr>
              <xdr:cNvPr id="39" name="Oval 38">
                <a:extLst>
                  <a:ext uri="{FF2B5EF4-FFF2-40B4-BE49-F238E27FC236}">
                    <a16:creationId xmlns:a16="http://schemas.microsoft.com/office/drawing/2014/main" xmlns="" id="{00000000-0008-0000-1800-000027000000}"/>
                  </a:ext>
                </a:extLst>
              </xdr:cNvPr>
              <xdr:cNvSpPr/>
            </xdr:nvSpPr>
            <xdr:spPr>
              <a:xfrm>
                <a:off x="1206630" y="1523095"/>
                <a:ext cx="386499" cy="371691"/>
              </a:xfrm>
              <a:prstGeom prst="ellipse">
                <a:avLst/>
              </a:prstGeom>
              <a:noFill/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wrap="square" rtlCol="0" anchor="ctr"/>
              <a:lstStyle>
                <a:defPPr>
                  <a:defRPr lang="en-US"/>
                </a:defPPr>
                <a:lvl1pPr marL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da-DK"/>
              </a:p>
            </xdr:txBody>
          </xdr:sp>
          <xdr:cxnSp macro="">
            <xdr:nvCxnSpPr>
              <xdr:cNvPr id="40" name="Straight Connector 39">
                <a:extLst>
                  <a:ext uri="{FF2B5EF4-FFF2-40B4-BE49-F238E27FC236}">
                    <a16:creationId xmlns:a16="http://schemas.microsoft.com/office/drawing/2014/main" xmlns="" id="{00000000-0008-0000-1800-000028000000}"/>
                  </a:ext>
                </a:extLst>
              </xdr:cNvPr>
              <xdr:cNvCxnSpPr>
                <a:stCxn id="39" idx="0"/>
              </xdr:cNvCxnSpPr>
            </xdr:nvCxnSpPr>
            <xdr:spPr>
              <a:xfrm flipH="1" flipV="1">
                <a:off x="1206631" y="1412241"/>
                <a:ext cx="193249" cy="110854"/>
              </a:xfrm>
              <a:prstGeom prst="line">
                <a:avLst/>
              </a:prstGeom>
              <a:ln>
                <a:solidFill>
                  <a:schemeClr val="accent1">
                    <a:lumMod val="75000"/>
                  </a:schemeClr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  <xdr:sp macro="" textlink="">
          <xdr:nvSpPr>
            <xdr:cNvPr id="38" name="TextBox 65">
              <a:extLst>
                <a:ext uri="{FF2B5EF4-FFF2-40B4-BE49-F238E27FC236}">
                  <a16:creationId xmlns:a16="http://schemas.microsoft.com/office/drawing/2014/main" xmlns="" id="{00000000-0008-0000-1800-000026000000}"/>
                </a:ext>
              </a:extLst>
            </xdr:cNvPr>
            <xdr:cNvSpPr txBox="1"/>
          </xdr:nvSpPr>
          <xdr:spPr>
            <a:xfrm>
              <a:off x="904415" y="1215318"/>
              <a:ext cx="413446" cy="307777"/>
            </a:xfrm>
            <a:prstGeom prst="rect">
              <a:avLst/>
            </a:prstGeom>
            <a:noFill/>
          </xdr:spPr>
          <xdr:txBody>
            <a:bodyPr wrap="square" rtlCol="0">
              <a:spAutoFit/>
            </a:bodyPr>
            <a:lstStyle>
              <a:defPPr>
                <a:defRPr lang="en-US"/>
              </a:defPPr>
              <a:lvl1pPr marL="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r>
                <a:rPr lang="en-US" sz="1400"/>
                <a:t>1</a:t>
              </a:r>
              <a:endParaRPr lang="da-DK" sz="1400"/>
            </a:p>
          </xdr:txBody>
        </xdr:sp>
      </xdr:grpSp>
      <xdr:grpSp>
        <xdr:nvGrpSpPr>
          <xdr:cNvPr id="27" name="Group 26">
            <a:extLst>
              <a:ext uri="{FF2B5EF4-FFF2-40B4-BE49-F238E27FC236}">
                <a16:creationId xmlns:a16="http://schemas.microsoft.com/office/drawing/2014/main" xmlns="" id="{00000000-0008-0000-1800-00001B000000}"/>
              </a:ext>
            </a:extLst>
          </xdr:cNvPr>
          <xdr:cNvGrpSpPr/>
        </xdr:nvGrpSpPr>
        <xdr:grpSpPr>
          <a:xfrm>
            <a:off x="4906788" y="3072069"/>
            <a:ext cx="495913" cy="588643"/>
            <a:chOff x="904415" y="1215318"/>
            <a:chExt cx="688714" cy="679468"/>
          </a:xfrm>
        </xdr:grpSpPr>
        <xdr:grpSp>
          <xdr:nvGrpSpPr>
            <xdr:cNvPr id="33" name="Group 32">
              <a:extLst>
                <a:ext uri="{FF2B5EF4-FFF2-40B4-BE49-F238E27FC236}">
                  <a16:creationId xmlns:a16="http://schemas.microsoft.com/office/drawing/2014/main" xmlns="" id="{00000000-0008-0000-1800-000021000000}"/>
                </a:ext>
              </a:extLst>
            </xdr:cNvPr>
            <xdr:cNvGrpSpPr/>
          </xdr:nvGrpSpPr>
          <xdr:grpSpPr>
            <a:xfrm>
              <a:off x="1206630" y="1412241"/>
              <a:ext cx="386499" cy="482545"/>
              <a:chOff x="1206630" y="1412241"/>
              <a:chExt cx="386499" cy="482545"/>
            </a:xfrm>
          </xdr:grpSpPr>
          <xdr:sp macro="" textlink="">
            <xdr:nvSpPr>
              <xdr:cNvPr id="35" name="Oval 34">
                <a:extLst>
                  <a:ext uri="{FF2B5EF4-FFF2-40B4-BE49-F238E27FC236}">
                    <a16:creationId xmlns:a16="http://schemas.microsoft.com/office/drawing/2014/main" xmlns="" id="{00000000-0008-0000-1800-000023000000}"/>
                  </a:ext>
                </a:extLst>
              </xdr:cNvPr>
              <xdr:cNvSpPr/>
            </xdr:nvSpPr>
            <xdr:spPr>
              <a:xfrm>
                <a:off x="1206630" y="1523095"/>
                <a:ext cx="386499" cy="371691"/>
              </a:xfrm>
              <a:prstGeom prst="ellipse">
                <a:avLst/>
              </a:prstGeom>
              <a:noFill/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wrap="square" rtlCol="0" anchor="ctr"/>
              <a:lstStyle>
                <a:defPPr>
                  <a:defRPr lang="en-US"/>
                </a:defPPr>
                <a:lvl1pPr marL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da-DK"/>
              </a:p>
            </xdr:txBody>
          </xdr:sp>
          <xdr:cxnSp macro="">
            <xdr:nvCxnSpPr>
              <xdr:cNvPr id="36" name="Straight Connector 35">
                <a:extLst>
                  <a:ext uri="{FF2B5EF4-FFF2-40B4-BE49-F238E27FC236}">
                    <a16:creationId xmlns:a16="http://schemas.microsoft.com/office/drawing/2014/main" xmlns="" id="{00000000-0008-0000-1800-000024000000}"/>
                  </a:ext>
                </a:extLst>
              </xdr:cNvPr>
              <xdr:cNvCxnSpPr>
                <a:stCxn id="35" idx="0"/>
              </xdr:cNvCxnSpPr>
            </xdr:nvCxnSpPr>
            <xdr:spPr>
              <a:xfrm flipH="1" flipV="1">
                <a:off x="1206631" y="1412241"/>
                <a:ext cx="193249" cy="110854"/>
              </a:xfrm>
              <a:prstGeom prst="line">
                <a:avLst/>
              </a:prstGeom>
              <a:ln>
                <a:solidFill>
                  <a:schemeClr val="accent1">
                    <a:lumMod val="75000"/>
                  </a:schemeClr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  <xdr:sp macro="" textlink="">
          <xdr:nvSpPr>
            <xdr:cNvPr id="34" name="TextBox 70">
              <a:extLst>
                <a:ext uri="{FF2B5EF4-FFF2-40B4-BE49-F238E27FC236}">
                  <a16:creationId xmlns:a16="http://schemas.microsoft.com/office/drawing/2014/main" xmlns="" id="{00000000-0008-0000-1800-000022000000}"/>
                </a:ext>
              </a:extLst>
            </xdr:cNvPr>
            <xdr:cNvSpPr txBox="1"/>
          </xdr:nvSpPr>
          <xdr:spPr>
            <a:xfrm>
              <a:off x="904415" y="1215318"/>
              <a:ext cx="413446" cy="307777"/>
            </a:xfrm>
            <a:prstGeom prst="rect">
              <a:avLst/>
            </a:prstGeom>
            <a:noFill/>
          </xdr:spPr>
          <xdr:txBody>
            <a:bodyPr wrap="square" rtlCol="0">
              <a:spAutoFit/>
            </a:bodyPr>
            <a:lstStyle>
              <a:defPPr>
                <a:defRPr lang="en-US"/>
              </a:defPPr>
              <a:lvl1pPr marL="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r>
                <a:rPr lang="en-US" sz="1400"/>
                <a:t>2</a:t>
              </a:r>
              <a:endParaRPr lang="da-DK" sz="1400"/>
            </a:p>
          </xdr:txBody>
        </xdr:sp>
      </xdr:grpSp>
      <xdr:grpSp>
        <xdr:nvGrpSpPr>
          <xdr:cNvPr id="28" name="Group 27">
            <a:extLst>
              <a:ext uri="{FF2B5EF4-FFF2-40B4-BE49-F238E27FC236}">
                <a16:creationId xmlns:a16="http://schemas.microsoft.com/office/drawing/2014/main" xmlns="" id="{00000000-0008-0000-1800-00001C000000}"/>
              </a:ext>
            </a:extLst>
          </xdr:cNvPr>
          <xdr:cNvGrpSpPr/>
        </xdr:nvGrpSpPr>
        <xdr:grpSpPr>
          <a:xfrm>
            <a:off x="4687569" y="1215316"/>
            <a:ext cx="495913" cy="588643"/>
            <a:chOff x="904415" y="1215318"/>
            <a:chExt cx="688714" cy="679468"/>
          </a:xfrm>
        </xdr:grpSpPr>
        <xdr:grpSp>
          <xdr:nvGrpSpPr>
            <xdr:cNvPr id="29" name="Group 28">
              <a:extLst>
                <a:ext uri="{FF2B5EF4-FFF2-40B4-BE49-F238E27FC236}">
                  <a16:creationId xmlns:a16="http://schemas.microsoft.com/office/drawing/2014/main" xmlns="" id="{00000000-0008-0000-1800-00001D000000}"/>
                </a:ext>
              </a:extLst>
            </xdr:cNvPr>
            <xdr:cNvGrpSpPr/>
          </xdr:nvGrpSpPr>
          <xdr:grpSpPr>
            <a:xfrm>
              <a:off x="1206630" y="1412241"/>
              <a:ext cx="386499" cy="482545"/>
              <a:chOff x="1206630" y="1412241"/>
              <a:chExt cx="386499" cy="482545"/>
            </a:xfrm>
          </xdr:grpSpPr>
          <xdr:sp macro="" textlink="">
            <xdr:nvSpPr>
              <xdr:cNvPr id="31" name="Oval 30">
                <a:extLst>
                  <a:ext uri="{FF2B5EF4-FFF2-40B4-BE49-F238E27FC236}">
                    <a16:creationId xmlns:a16="http://schemas.microsoft.com/office/drawing/2014/main" xmlns="" id="{00000000-0008-0000-1800-00001F000000}"/>
                  </a:ext>
                </a:extLst>
              </xdr:cNvPr>
              <xdr:cNvSpPr/>
            </xdr:nvSpPr>
            <xdr:spPr>
              <a:xfrm>
                <a:off x="1206630" y="1523095"/>
                <a:ext cx="386499" cy="371691"/>
              </a:xfrm>
              <a:prstGeom prst="ellipse">
                <a:avLst/>
              </a:prstGeom>
              <a:noFill/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wrap="square" rtlCol="0" anchor="ctr"/>
              <a:lstStyle>
                <a:defPPr>
                  <a:defRPr lang="en-US"/>
                </a:defPPr>
                <a:lvl1pPr marL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da-DK"/>
              </a:p>
            </xdr:txBody>
          </xdr:sp>
          <xdr:cxnSp macro="">
            <xdr:nvCxnSpPr>
              <xdr:cNvPr id="32" name="Straight Connector 31">
                <a:extLst>
                  <a:ext uri="{FF2B5EF4-FFF2-40B4-BE49-F238E27FC236}">
                    <a16:creationId xmlns:a16="http://schemas.microsoft.com/office/drawing/2014/main" xmlns="" id="{00000000-0008-0000-1800-000020000000}"/>
                  </a:ext>
                </a:extLst>
              </xdr:cNvPr>
              <xdr:cNvCxnSpPr>
                <a:stCxn id="31" idx="0"/>
              </xdr:cNvCxnSpPr>
            </xdr:nvCxnSpPr>
            <xdr:spPr>
              <a:xfrm flipH="1" flipV="1">
                <a:off x="1206631" y="1412241"/>
                <a:ext cx="193249" cy="110854"/>
              </a:xfrm>
              <a:prstGeom prst="line">
                <a:avLst/>
              </a:prstGeom>
              <a:ln>
                <a:solidFill>
                  <a:schemeClr val="accent1">
                    <a:lumMod val="75000"/>
                  </a:schemeClr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  <xdr:sp macro="" textlink="">
          <xdr:nvSpPr>
            <xdr:cNvPr id="30" name="TextBox 75">
              <a:extLst>
                <a:ext uri="{FF2B5EF4-FFF2-40B4-BE49-F238E27FC236}">
                  <a16:creationId xmlns:a16="http://schemas.microsoft.com/office/drawing/2014/main" xmlns="" id="{00000000-0008-0000-1800-00001E000000}"/>
                </a:ext>
              </a:extLst>
            </xdr:cNvPr>
            <xdr:cNvSpPr txBox="1"/>
          </xdr:nvSpPr>
          <xdr:spPr>
            <a:xfrm>
              <a:off x="904415" y="1215318"/>
              <a:ext cx="413446" cy="307777"/>
            </a:xfrm>
            <a:prstGeom prst="rect">
              <a:avLst/>
            </a:prstGeom>
            <a:noFill/>
          </xdr:spPr>
          <xdr:txBody>
            <a:bodyPr wrap="square" rtlCol="0">
              <a:spAutoFit/>
            </a:bodyPr>
            <a:lstStyle>
              <a:defPPr>
                <a:defRPr lang="en-US"/>
              </a:defPPr>
              <a:lvl1pPr marL="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r>
                <a:rPr lang="en-US" sz="1400"/>
                <a:t>2</a:t>
              </a:r>
              <a:endParaRPr lang="da-DK" sz="1400"/>
            </a:p>
          </xdr:txBody>
        </xdr:sp>
      </xdr:grpSp>
    </xdr:grpSp>
    <xdr:clientData/>
  </xdr:twoCellAnchor>
  <xdr:twoCellAnchor>
    <xdr:from>
      <xdr:col>23</xdr:col>
      <xdr:colOff>589643</xdr:colOff>
      <xdr:row>77</xdr:row>
      <xdr:rowOff>90714</xdr:rowOff>
    </xdr:from>
    <xdr:to>
      <xdr:col>37</xdr:col>
      <xdr:colOff>281215</xdr:colOff>
      <xdr:row>93</xdr:row>
      <xdr:rowOff>197698</xdr:rowOff>
    </xdr:to>
    <xdr:grpSp>
      <xdr:nvGrpSpPr>
        <xdr:cNvPr id="57" name="Group 56">
          <a:extLst>
            <a:ext uri="{FF2B5EF4-FFF2-40B4-BE49-F238E27FC236}">
              <a16:creationId xmlns:a16="http://schemas.microsoft.com/office/drawing/2014/main" xmlns="" id="{00000000-0008-0000-1800-000039000000}"/>
            </a:ext>
          </a:extLst>
        </xdr:cNvPr>
        <xdr:cNvGrpSpPr/>
      </xdr:nvGrpSpPr>
      <xdr:grpSpPr>
        <a:xfrm>
          <a:off x="15285357" y="15689943"/>
          <a:ext cx="8487229" cy="3209412"/>
          <a:chOff x="752535" y="967726"/>
          <a:chExt cx="8464589" cy="3236627"/>
        </a:xfrm>
      </xdr:grpSpPr>
      <xdr:sp macro="" textlink="">
        <xdr:nvSpPr>
          <xdr:cNvPr id="58" name="Rectangle 57">
            <a:extLst>
              <a:ext uri="{FF2B5EF4-FFF2-40B4-BE49-F238E27FC236}">
                <a16:creationId xmlns:a16="http://schemas.microsoft.com/office/drawing/2014/main" xmlns="" id="{00000000-0008-0000-1800-00003A000000}"/>
              </a:ext>
            </a:extLst>
          </xdr:cNvPr>
          <xdr:cNvSpPr/>
        </xdr:nvSpPr>
        <xdr:spPr>
          <a:xfrm>
            <a:off x="1219633" y="1995406"/>
            <a:ext cx="3924695" cy="117552"/>
          </a:xfrm>
          <a:prstGeom prst="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da-DK"/>
          </a:p>
        </xdr:txBody>
      </xdr:sp>
      <xdr:sp macro="" textlink="">
        <xdr:nvSpPr>
          <xdr:cNvPr id="59" name="Rectangle 58">
            <a:extLst>
              <a:ext uri="{FF2B5EF4-FFF2-40B4-BE49-F238E27FC236}">
                <a16:creationId xmlns:a16="http://schemas.microsoft.com/office/drawing/2014/main" xmlns="" id="{00000000-0008-0000-1800-00003B000000}"/>
              </a:ext>
            </a:extLst>
          </xdr:cNvPr>
          <xdr:cNvSpPr/>
        </xdr:nvSpPr>
        <xdr:spPr>
          <a:xfrm>
            <a:off x="1219633" y="2112959"/>
            <a:ext cx="109974" cy="1653307"/>
          </a:xfrm>
          <a:prstGeom prst="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da-DK"/>
          </a:p>
        </xdr:txBody>
      </xdr:sp>
      <xdr:sp macro="" textlink="">
        <xdr:nvSpPr>
          <xdr:cNvPr id="60" name="Rectangle 59">
            <a:extLst>
              <a:ext uri="{FF2B5EF4-FFF2-40B4-BE49-F238E27FC236}">
                <a16:creationId xmlns:a16="http://schemas.microsoft.com/office/drawing/2014/main" xmlns="" id="{00000000-0008-0000-1800-00003C000000}"/>
              </a:ext>
            </a:extLst>
          </xdr:cNvPr>
          <xdr:cNvSpPr/>
        </xdr:nvSpPr>
        <xdr:spPr>
          <a:xfrm>
            <a:off x="3908266" y="2112959"/>
            <a:ext cx="109974" cy="1653307"/>
          </a:xfrm>
          <a:prstGeom prst="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da-DK"/>
          </a:p>
        </xdr:txBody>
      </xdr:sp>
      <xdr:sp macro="" textlink="">
        <xdr:nvSpPr>
          <xdr:cNvPr id="61" name="Rectangle 60">
            <a:extLst>
              <a:ext uri="{FF2B5EF4-FFF2-40B4-BE49-F238E27FC236}">
                <a16:creationId xmlns:a16="http://schemas.microsoft.com/office/drawing/2014/main" xmlns="" id="{00000000-0008-0000-1800-00003D000000}"/>
              </a:ext>
            </a:extLst>
          </xdr:cNvPr>
          <xdr:cNvSpPr/>
        </xdr:nvSpPr>
        <xdr:spPr>
          <a:xfrm>
            <a:off x="1219633" y="3766266"/>
            <a:ext cx="7603856" cy="114918"/>
          </a:xfrm>
          <a:prstGeom prst="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da-DK"/>
          </a:p>
        </xdr:txBody>
      </xdr:sp>
      <xdr:sp macro="" textlink="">
        <xdr:nvSpPr>
          <xdr:cNvPr id="62" name="TextBox 20">
            <a:extLst>
              <a:ext uri="{FF2B5EF4-FFF2-40B4-BE49-F238E27FC236}">
                <a16:creationId xmlns:a16="http://schemas.microsoft.com/office/drawing/2014/main" xmlns="" id="{00000000-0008-0000-1800-00003E000000}"/>
              </a:ext>
            </a:extLst>
          </xdr:cNvPr>
          <xdr:cNvSpPr txBox="1"/>
        </xdr:nvSpPr>
        <xdr:spPr>
          <a:xfrm>
            <a:off x="3412743" y="3905852"/>
            <a:ext cx="258538" cy="298501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en-US"/>
              <a:t>l2</a:t>
            </a:r>
            <a:endParaRPr lang="da-DK"/>
          </a:p>
        </xdr:txBody>
      </xdr:sp>
      <xdr:sp macro="" textlink="">
        <xdr:nvSpPr>
          <xdr:cNvPr id="63" name="TextBox 21">
            <a:extLst>
              <a:ext uri="{FF2B5EF4-FFF2-40B4-BE49-F238E27FC236}">
                <a16:creationId xmlns:a16="http://schemas.microsoft.com/office/drawing/2014/main" xmlns="" id="{00000000-0008-0000-1800-00003F000000}"/>
              </a:ext>
            </a:extLst>
          </xdr:cNvPr>
          <xdr:cNvSpPr txBox="1"/>
        </xdr:nvSpPr>
        <xdr:spPr>
          <a:xfrm>
            <a:off x="2870893" y="1681666"/>
            <a:ext cx="258538" cy="298501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en-US"/>
              <a:t>l1</a:t>
            </a:r>
            <a:endParaRPr lang="da-DK"/>
          </a:p>
        </xdr:txBody>
      </xdr:sp>
      <xdr:sp macro="" textlink="">
        <xdr:nvSpPr>
          <xdr:cNvPr id="64" name="TextBox 23">
            <a:extLst>
              <a:ext uri="{FF2B5EF4-FFF2-40B4-BE49-F238E27FC236}">
                <a16:creationId xmlns:a16="http://schemas.microsoft.com/office/drawing/2014/main" xmlns="" id="{00000000-0008-0000-1800-000040000000}"/>
              </a:ext>
            </a:extLst>
          </xdr:cNvPr>
          <xdr:cNvSpPr txBox="1"/>
        </xdr:nvSpPr>
        <xdr:spPr>
          <a:xfrm>
            <a:off x="852246" y="2790361"/>
            <a:ext cx="308797" cy="298501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en-US"/>
              <a:t>h1</a:t>
            </a:r>
            <a:endParaRPr lang="da-DK"/>
          </a:p>
        </xdr:txBody>
      </xdr:sp>
      <xdr:grpSp>
        <xdr:nvGrpSpPr>
          <xdr:cNvPr id="65" name="Group 64">
            <a:extLst>
              <a:ext uri="{FF2B5EF4-FFF2-40B4-BE49-F238E27FC236}">
                <a16:creationId xmlns:a16="http://schemas.microsoft.com/office/drawing/2014/main" xmlns="" id="{00000000-0008-0000-1800-000041000000}"/>
              </a:ext>
            </a:extLst>
          </xdr:cNvPr>
          <xdr:cNvGrpSpPr/>
        </xdr:nvGrpSpPr>
        <xdr:grpSpPr>
          <a:xfrm>
            <a:off x="7874170" y="3263416"/>
            <a:ext cx="1342954" cy="609515"/>
            <a:chOff x="7874170" y="2820356"/>
            <a:chExt cx="1342954" cy="609515"/>
          </a:xfrm>
        </xdr:grpSpPr>
        <xdr:sp macro="" textlink="">
          <xdr:nvSpPr>
            <xdr:cNvPr id="147" name="TextBox 24">
              <a:extLst>
                <a:ext uri="{FF2B5EF4-FFF2-40B4-BE49-F238E27FC236}">
                  <a16:creationId xmlns:a16="http://schemas.microsoft.com/office/drawing/2014/main" xmlns="" id="{00000000-0008-0000-1800-000093000000}"/>
                </a:ext>
              </a:extLst>
            </xdr:cNvPr>
            <xdr:cNvSpPr txBox="1"/>
          </xdr:nvSpPr>
          <xdr:spPr>
            <a:xfrm>
              <a:off x="8908327" y="2922529"/>
              <a:ext cx="308797" cy="298501"/>
            </a:xfrm>
            <a:prstGeom prst="rect">
              <a:avLst/>
            </a:prstGeom>
            <a:noFill/>
          </xdr:spPr>
          <xdr:txBody>
            <a:bodyPr wrap="square" rtlCol="0">
              <a:spAutoFit/>
            </a:bodyPr>
            <a:lstStyle>
              <a:defPPr>
                <a:defRPr lang="en-US"/>
              </a:defPPr>
              <a:lvl1pPr marL="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r>
                <a:rPr lang="en-US"/>
                <a:t>h2</a:t>
              </a:r>
              <a:endParaRPr lang="da-DK"/>
            </a:p>
          </xdr:txBody>
        </xdr:sp>
        <xdr:sp macro="" textlink="">
          <xdr:nvSpPr>
            <xdr:cNvPr id="148" name="Rectangle 147">
              <a:extLst>
                <a:ext uri="{FF2B5EF4-FFF2-40B4-BE49-F238E27FC236}">
                  <a16:creationId xmlns:a16="http://schemas.microsoft.com/office/drawing/2014/main" xmlns="" id="{00000000-0008-0000-1800-000094000000}"/>
                </a:ext>
              </a:extLst>
            </xdr:cNvPr>
            <xdr:cNvSpPr/>
          </xdr:nvSpPr>
          <xdr:spPr>
            <a:xfrm>
              <a:off x="8716254" y="2820357"/>
              <a:ext cx="109974" cy="502849"/>
            </a:xfrm>
            <a:prstGeom prst="rect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n-US"/>
              </a:defPPr>
              <a:lvl1pPr marL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da-DK"/>
            </a:p>
          </xdr:txBody>
        </xdr:sp>
        <xdr:sp macro="" textlink="">
          <xdr:nvSpPr>
            <xdr:cNvPr id="149" name="Rectangle 148">
              <a:extLst>
                <a:ext uri="{FF2B5EF4-FFF2-40B4-BE49-F238E27FC236}">
                  <a16:creationId xmlns:a16="http://schemas.microsoft.com/office/drawing/2014/main" xmlns="" id="{00000000-0008-0000-1800-000095000000}"/>
                </a:ext>
              </a:extLst>
            </xdr:cNvPr>
            <xdr:cNvSpPr/>
          </xdr:nvSpPr>
          <xdr:spPr>
            <a:xfrm>
              <a:off x="7874170" y="2820356"/>
              <a:ext cx="109974" cy="502849"/>
            </a:xfrm>
            <a:prstGeom prst="rect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n-US"/>
              </a:defPPr>
              <a:lvl1pPr marL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da-DK"/>
            </a:p>
          </xdr:txBody>
        </xdr:sp>
        <xdr:sp macro="" textlink="">
          <xdr:nvSpPr>
            <xdr:cNvPr id="150" name="Rectangle 149">
              <a:extLst>
                <a:ext uri="{FF2B5EF4-FFF2-40B4-BE49-F238E27FC236}">
                  <a16:creationId xmlns:a16="http://schemas.microsoft.com/office/drawing/2014/main" xmlns="" id="{00000000-0008-0000-1800-000096000000}"/>
                </a:ext>
              </a:extLst>
            </xdr:cNvPr>
            <xdr:cNvSpPr/>
          </xdr:nvSpPr>
          <xdr:spPr>
            <a:xfrm>
              <a:off x="8716254" y="3323205"/>
              <a:ext cx="109974" cy="106666"/>
            </a:xfrm>
            <a:prstGeom prst="rect">
              <a:avLst/>
            </a:prstGeom>
            <a:solidFill>
              <a:srgbClr val="FFFF00"/>
            </a:solidFill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n-US"/>
              </a:defPPr>
              <a:lvl1pPr marL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da-DK"/>
            </a:p>
          </xdr:txBody>
        </xdr:sp>
      </xdr:grpSp>
      <xdr:sp macro="" textlink="">
        <xdr:nvSpPr>
          <xdr:cNvPr id="66" name="Rectangle 65">
            <a:extLst>
              <a:ext uri="{FF2B5EF4-FFF2-40B4-BE49-F238E27FC236}">
                <a16:creationId xmlns:a16="http://schemas.microsoft.com/office/drawing/2014/main" xmlns="" id="{00000000-0008-0000-1800-000042000000}"/>
              </a:ext>
            </a:extLst>
          </xdr:cNvPr>
          <xdr:cNvSpPr/>
        </xdr:nvSpPr>
        <xdr:spPr>
          <a:xfrm>
            <a:off x="1219633" y="2000481"/>
            <a:ext cx="109974" cy="106666"/>
          </a:xfrm>
          <a:prstGeom prst="rect">
            <a:avLst/>
          </a:prstGeom>
          <a:solidFill>
            <a:srgbClr val="FFFF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da-DK"/>
          </a:p>
        </xdr:txBody>
      </xdr:sp>
      <xdr:sp macro="" textlink="">
        <xdr:nvSpPr>
          <xdr:cNvPr id="67" name="Rectangle 66">
            <a:extLst>
              <a:ext uri="{FF2B5EF4-FFF2-40B4-BE49-F238E27FC236}">
                <a16:creationId xmlns:a16="http://schemas.microsoft.com/office/drawing/2014/main" xmlns="" id="{00000000-0008-0000-1800-000043000000}"/>
              </a:ext>
            </a:extLst>
          </xdr:cNvPr>
          <xdr:cNvSpPr/>
        </xdr:nvSpPr>
        <xdr:spPr>
          <a:xfrm>
            <a:off x="3908266" y="1995595"/>
            <a:ext cx="109974" cy="106666"/>
          </a:xfrm>
          <a:prstGeom prst="rect">
            <a:avLst/>
          </a:prstGeom>
          <a:solidFill>
            <a:srgbClr val="FFFF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da-DK"/>
          </a:p>
        </xdr:txBody>
      </xdr:sp>
      <xdr:sp macro="" textlink="">
        <xdr:nvSpPr>
          <xdr:cNvPr id="68" name="Rectangle 67">
            <a:extLst>
              <a:ext uri="{FF2B5EF4-FFF2-40B4-BE49-F238E27FC236}">
                <a16:creationId xmlns:a16="http://schemas.microsoft.com/office/drawing/2014/main" xmlns="" id="{00000000-0008-0000-1800-000044000000}"/>
              </a:ext>
            </a:extLst>
          </xdr:cNvPr>
          <xdr:cNvSpPr/>
        </xdr:nvSpPr>
        <xdr:spPr>
          <a:xfrm>
            <a:off x="3913994" y="3774518"/>
            <a:ext cx="109974" cy="106666"/>
          </a:xfrm>
          <a:prstGeom prst="rect">
            <a:avLst/>
          </a:prstGeom>
          <a:solidFill>
            <a:srgbClr val="FFFF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da-DK"/>
          </a:p>
        </xdr:txBody>
      </xdr:sp>
      <xdr:sp macro="" textlink="">
        <xdr:nvSpPr>
          <xdr:cNvPr id="69" name="Rectangle 68">
            <a:extLst>
              <a:ext uri="{FF2B5EF4-FFF2-40B4-BE49-F238E27FC236}">
                <a16:creationId xmlns:a16="http://schemas.microsoft.com/office/drawing/2014/main" xmlns="" id="{00000000-0008-0000-1800-000045000000}"/>
              </a:ext>
            </a:extLst>
          </xdr:cNvPr>
          <xdr:cNvSpPr/>
        </xdr:nvSpPr>
        <xdr:spPr>
          <a:xfrm>
            <a:off x="5155782" y="1403650"/>
            <a:ext cx="98519" cy="2362615"/>
          </a:xfrm>
          <a:prstGeom prst="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da-DK"/>
          </a:p>
        </xdr:txBody>
      </xdr:sp>
      <xdr:sp macro="" textlink="">
        <xdr:nvSpPr>
          <xdr:cNvPr id="70" name="Rectangle 69">
            <a:extLst>
              <a:ext uri="{FF2B5EF4-FFF2-40B4-BE49-F238E27FC236}">
                <a16:creationId xmlns:a16="http://schemas.microsoft.com/office/drawing/2014/main" xmlns="" id="{00000000-0008-0000-1800-000046000000}"/>
              </a:ext>
            </a:extLst>
          </xdr:cNvPr>
          <xdr:cNvSpPr/>
        </xdr:nvSpPr>
        <xdr:spPr>
          <a:xfrm>
            <a:off x="5946072" y="1395398"/>
            <a:ext cx="98519" cy="2362615"/>
          </a:xfrm>
          <a:prstGeom prst="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da-DK"/>
          </a:p>
        </xdr:txBody>
      </xdr:sp>
      <xdr:sp macro="" textlink="">
        <xdr:nvSpPr>
          <xdr:cNvPr id="71" name="Rectangle 70">
            <a:extLst>
              <a:ext uri="{FF2B5EF4-FFF2-40B4-BE49-F238E27FC236}">
                <a16:creationId xmlns:a16="http://schemas.microsoft.com/office/drawing/2014/main" xmlns="" id="{00000000-0008-0000-1800-000047000000}"/>
              </a:ext>
            </a:extLst>
          </xdr:cNvPr>
          <xdr:cNvSpPr/>
        </xdr:nvSpPr>
        <xdr:spPr>
          <a:xfrm>
            <a:off x="5150054" y="3766265"/>
            <a:ext cx="109974" cy="106666"/>
          </a:xfrm>
          <a:prstGeom prst="rect">
            <a:avLst/>
          </a:prstGeom>
          <a:solidFill>
            <a:srgbClr val="FFFF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da-DK"/>
          </a:p>
        </xdr:txBody>
      </xdr:sp>
      <xdr:sp macro="" textlink="">
        <xdr:nvSpPr>
          <xdr:cNvPr id="72" name="Rectangle 71">
            <a:extLst>
              <a:ext uri="{FF2B5EF4-FFF2-40B4-BE49-F238E27FC236}">
                <a16:creationId xmlns:a16="http://schemas.microsoft.com/office/drawing/2014/main" xmlns="" id="{00000000-0008-0000-1800-000048000000}"/>
              </a:ext>
            </a:extLst>
          </xdr:cNvPr>
          <xdr:cNvSpPr/>
        </xdr:nvSpPr>
        <xdr:spPr>
          <a:xfrm>
            <a:off x="5946072" y="3766265"/>
            <a:ext cx="109974" cy="106666"/>
          </a:xfrm>
          <a:prstGeom prst="rect">
            <a:avLst/>
          </a:prstGeom>
          <a:solidFill>
            <a:srgbClr val="FFFF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da-DK"/>
          </a:p>
        </xdr:txBody>
      </xdr:sp>
      <xdr:sp macro="" textlink="">
        <xdr:nvSpPr>
          <xdr:cNvPr id="73" name="Rectangle 72">
            <a:extLst>
              <a:ext uri="{FF2B5EF4-FFF2-40B4-BE49-F238E27FC236}">
                <a16:creationId xmlns:a16="http://schemas.microsoft.com/office/drawing/2014/main" xmlns="" id="{00000000-0008-0000-1800-000049000000}"/>
              </a:ext>
            </a:extLst>
          </xdr:cNvPr>
          <xdr:cNvSpPr/>
        </xdr:nvSpPr>
        <xdr:spPr>
          <a:xfrm>
            <a:off x="1219633" y="3766265"/>
            <a:ext cx="109974" cy="106666"/>
          </a:xfrm>
          <a:prstGeom prst="rect">
            <a:avLst/>
          </a:prstGeom>
          <a:solidFill>
            <a:srgbClr val="FFFF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da-DK"/>
          </a:p>
        </xdr:txBody>
      </xdr:sp>
      <xdr:sp macro="" textlink="">
        <xdr:nvSpPr>
          <xdr:cNvPr id="74" name="Rectangle 73">
            <a:extLst>
              <a:ext uri="{FF2B5EF4-FFF2-40B4-BE49-F238E27FC236}">
                <a16:creationId xmlns:a16="http://schemas.microsoft.com/office/drawing/2014/main" xmlns="" id="{00000000-0008-0000-1800-00004A000000}"/>
              </a:ext>
            </a:extLst>
          </xdr:cNvPr>
          <xdr:cNvSpPr/>
        </xdr:nvSpPr>
        <xdr:spPr>
          <a:xfrm>
            <a:off x="6056047" y="1991054"/>
            <a:ext cx="1400556" cy="121903"/>
          </a:xfrm>
          <a:prstGeom prst="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da-DK"/>
          </a:p>
        </xdr:txBody>
      </xdr:sp>
      <xdr:sp macro="" textlink="">
        <xdr:nvSpPr>
          <xdr:cNvPr id="75" name="TextBox 52">
            <a:extLst>
              <a:ext uri="{FF2B5EF4-FFF2-40B4-BE49-F238E27FC236}">
                <a16:creationId xmlns:a16="http://schemas.microsoft.com/office/drawing/2014/main" xmlns="" id="{00000000-0008-0000-1800-00004B000000}"/>
              </a:ext>
            </a:extLst>
          </xdr:cNvPr>
          <xdr:cNvSpPr txBox="1"/>
        </xdr:nvSpPr>
        <xdr:spPr>
          <a:xfrm>
            <a:off x="5395514" y="1062688"/>
            <a:ext cx="354584" cy="369332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en-US"/>
              <a:t>l3</a:t>
            </a:r>
            <a:endParaRPr lang="da-DK"/>
          </a:p>
        </xdr:txBody>
      </xdr:sp>
      <xdr:sp macro="" textlink="">
        <xdr:nvSpPr>
          <xdr:cNvPr id="76" name="TextBox 53">
            <a:extLst>
              <a:ext uri="{FF2B5EF4-FFF2-40B4-BE49-F238E27FC236}">
                <a16:creationId xmlns:a16="http://schemas.microsoft.com/office/drawing/2014/main" xmlns="" id="{00000000-0008-0000-1800-00004C000000}"/>
              </a:ext>
            </a:extLst>
          </xdr:cNvPr>
          <xdr:cNvSpPr txBox="1"/>
        </xdr:nvSpPr>
        <xdr:spPr>
          <a:xfrm>
            <a:off x="6559070" y="1571293"/>
            <a:ext cx="354584" cy="369332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en-US"/>
              <a:t>l4</a:t>
            </a:r>
            <a:endParaRPr lang="da-DK"/>
          </a:p>
        </xdr:txBody>
      </xdr:sp>
      <xdr:sp macro="" textlink="">
        <xdr:nvSpPr>
          <xdr:cNvPr id="77" name="TextBox 55">
            <a:extLst>
              <a:ext uri="{FF2B5EF4-FFF2-40B4-BE49-F238E27FC236}">
                <a16:creationId xmlns:a16="http://schemas.microsoft.com/office/drawing/2014/main" xmlns="" id="{00000000-0008-0000-1800-00004D000000}"/>
              </a:ext>
            </a:extLst>
          </xdr:cNvPr>
          <xdr:cNvSpPr txBox="1"/>
        </xdr:nvSpPr>
        <xdr:spPr>
          <a:xfrm>
            <a:off x="5395863" y="2786826"/>
            <a:ext cx="423514" cy="369332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en-US"/>
              <a:t>h3</a:t>
            </a:r>
            <a:endParaRPr lang="da-DK"/>
          </a:p>
        </xdr:txBody>
      </xdr:sp>
      <xdr:sp macro="" textlink="">
        <xdr:nvSpPr>
          <xdr:cNvPr id="78" name="Rectangle 77">
            <a:extLst>
              <a:ext uri="{FF2B5EF4-FFF2-40B4-BE49-F238E27FC236}">
                <a16:creationId xmlns:a16="http://schemas.microsoft.com/office/drawing/2014/main" xmlns="" id="{00000000-0008-0000-1800-00004E000000}"/>
              </a:ext>
            </a:extLst>
          </xdr:cNvPr>
          <xdr:cNvSpPr/>
        </xdr:nvSpPr>
        <xdr:spPr>
          <a:xfrm>
            <a:off x="5155782" y="1403010"/>
            <a:ext cx="888809" cy="114290"/>
          </a:xfrm>
          <a:prstGeom prst="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da-DK"/>
          </a:p>
        </xdr:txBody>
      </xdr:sp>
      <xdr:sp macro="" textlink="">
        <xdr:nvSpPr>
          <xdr:cNvPr id="79" name="Rectangle 78">
            <a:extLst>
              <a:ext uri="{FF2B5EF4-FFF2-40B4-BE49-F238E27FC236}">
                <a16:creationId xmlns:a16="http://schemas.microsoft.com/office/drawing/2014/main" xmlns="" id="{00000000-0008-0000-1800-00004F000000}"/>
              </a:ext>
            </a:extLst>
          </xdr:cNvPr>
          <xdr:cNvSpPr/>
        </xdr:nvSpPr>
        <xdr:spPr>
          <a:xfrm>
            <a:off x="5946072" y="1403009"/>
            <a:ext cx="109974" cy="106666"/>
          </a:xfrm>
          <a:prstGeom prst="rect">
            <a:avLst/>
          </a:prstGeom>
          <a:solidFill>
            <a:srgbClr val="FFFF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da-DK"/>
          </a:p>
        </xdr:txBody>
      </xdr:sp>
      <xdr:sp macro="" textlink="">
        <xdr:nvSpPr>
          <xdr:cNvPr id="80" name="Rectangle 79">
            <a:extLst>
              <a:ext uri="{FF2B5EF4-FFF2-40B4-BE49-F238E27FC236}">
                <a16:creationId xmlns:a16="http://schemas.microsoft.com/office/drawing/2014/main" xmlns="" id="{00000000-0008-0000-1800-000050000000}"/>
              </a:ext>
            </a:extLst>
          </xdr:cNvPr>
          <xdr:cNvSpPr/>
        </xdr:nvSpPr>
        <xdr:spPr>
          <a:xfrm>
            <a:off x="5153980" y="1414761"/>
            <a:ext cx="109974" cy="106666"/>
          </a:xfrm>
          <a:prstGeom prst="rect">
            <a:avLst/>
          </a:prstGeom>
          <a:solidFill>
            <a:srgbClr val="FFFF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da-DK"/>
          </a:p>
        </xdr:txBody>
      </xdr:sp>
      <xdr:sp macro="" textlink="">
        <xdr:nvSpPr>
          <xdr:cNvPr id="81" name="Rectangle 80">
            <a:extLst>
              <a:ext uri="{FF2B5EF4-FFF2-40B4-BE49-F238E27FC236}">
                <a16:creationId xmlns:a16="http://schemas.microsoft.com/office/drawing/2014/main" xmlns="" id="{00000000-0008-0000-1800-000051000000}"/>
              </a:ext>
            </a:extLst>
          </xdr:cNvPr>
          <xdr:cNvSpPr/>
        </xdr:nvSpPr>
        <xdr:spPr>
          <a:xfrm>
            <a:off x="7346629" y="1993804"/>
            <a:ext cx="109974" cy="106666"/>
          </a:xfrm>
          <a:prstGeom prst="rect">
            <a:avLst/>
          </a:prstGeom>
          <a:solidFill>
            <a:srgbClr val="FFFF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da-DK"/>
          </a:p>
        </xdr:txBody>
      </xdr:sp>
      <xdr:grpSp>
        <xdr:nvGrpSpPr>
          <xdr:cNvPr id="82" name="Group 81">
            <a:extLst>
              <a:ext uri="{FF2B5EF4-FFF2-40B4-BE49-F238E27FC236}">
                <a16:creationId xmlns:a16="http://schemas.microsoft.com/office/drawing/2014/main" xmlns="" id="{00000000-0008-0000-1800-000052000000}"/>
              </a:ext>
            </a:extLst>
          </xdr:cNvPr>
          <xdr:cNvGrpSpPr/>
        </xdr:nvGrpSpPr>
        <xdr:grpSpPr>
          <a:xfrm>
            <a:off x="782495" y="1560758"/>
            <a:ext cx="688714" cy="679468"/>
            <a:chOff x="904415" y="1215318"/>
            <a:chExt cx="688714" cy="679468"/>
          </a:xfrm>
        </xdr:grpSpPr>
        <xdr:grpSp>
          <xdr:nvGrpSpPr>
            <xdr:cNvPr id="143" name="Group 142">
              <a:extLst>
                <a:ext uri="{FF2B5EF4-FFF2-40B4-BE49-F238E27FC236}">
                  <a16:creationId xmlns:a16="http://schemas.microsoft.com/office/drawing/2014/main" xmlns="" id="{00000000-0008-0000-1800-00008F000000}"/>
                </a:ext>
              </a:extLst>
            </xdr:cNvPr>
            <xdr:cNvGrpSpPr/>
          </xdr:nvGrpSpPr>
          <xdr:grpSpPr>
            <a:xfrm>
              <a:off x="1206630" y="1412241"/>
              <a:ext cx="386499" cy="482545"/>
              <a:chOff x="1206630" y="1412241"/>
              <a:chExt cx="386499" cy="482545"/>
            </a:xfrm>
          </xdr:grpSpPr>
          <xdr:sp macro="" textlink="">
            <xdr:nvSpPr>
              <xdr:cNvPr id="145" name="Oval 144">
                <a:extLst>
                  <a:ext uri="{FF2B5EF4-FFF2-40B4-BE49-F238E27FC236}">
                    <a16:creationId xmlns:a16="http://schemas.microsoft.com/office/drawing/2014/main" xmlns="" id="{00000000-0008-0000-1800-000091000000}"/>
                  </a:ext>
                </a:extLst>
              </xdr:cNvPr>
              <xdr:cNvSpPr/>
            </xdr:nvSpPr>
            <xdr:spPr>
              <a:xfrm>
                <a:off x="1206630" y="1523095"/>
                <a:ext cx="386499" cy="371691"/>
              </a:xfrm>
              <a:prstGeom prst="ellipse">
                <a:avLst/>
              </a:prstGeom>
              <a:noFill/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wrap="square" rtlCol="0" anchor="ctr"/>
              <a:lstStyle>
                <a:defPPr>
                  <a:defRPr lang="en-US"/>
                </a:defPPr>
                <a:lvl1pPr marL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da-DK"/>
              </a:p>
            </xdr:txBody>
          </xdr:sp>
          <xdr:cxnSp macro="">
            <xdr:nvCxnSpPr>
              <xdr:cNvPr id="146" name="Straight Connector 145">
                <a:extLst>
                  <a:ext uri="{FF2B5EF4-FFF2-40B4-BE49-F238E27FC236}">
                    <a16:creationId xmlns:a16="http://schemas.microsoft.com/office/drawing/2014/main" xmlns="" id="{00000000-0008-0000-1800-000092000000}"/>
                  </a:ext>
                </a:extLst>
              </xdr:cNvPr>
              <xdr:cNvCxnSpPr>
                <a:stCxn id="145" idx="0"/>
              </xdr:cNvCxnSpPr>
            </xdr:nvCxnSpPr>
            <xdr:spPr>
              <a:xfrm flipH="1" flipV="1">
                <a:off x="1206630" y="1412241"/>
                <a:ext cx="193250" cy="110854"/>
              </a:xfrm>
              <a:prstGeom prst="line">
                <a:avLst/>
              </a:prstGeom>
              <a:ln>
                <a:solidFill>
                  <a:schemeClr val="accent1">
                    <a:lumMod val="75000"/>
                  </a:schemeClr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  <xdr:sp macro="" textlink="">
          <xdr:nvSpPr>
            <xdr:cNvPr id="144" name="TextBox 63">
              <a:extLst>
                <a:ext uri="{FF2B5EF4-FFF2-40B4-BE49-F238E27FC236}">
                  <a16:creationId xmlns:a16="http://schemas.microsoft.com/office/drawing/2014/main" xmlns="" id="{00000000-0008-0000-1800-000090000000}"/>
                </a:ext>
              </a:extLst>
            </xdr:cNvPr>
            <xdr:cNvSpPr txBox="1"/>
          </xdr:nvSpPr>
          <xdr:spPr>
            <a:xfrm>
              <a:off x="904415" y="1215318"/>
              <a:ext cx="413446" cy="307777"/>
            </a:xfrm>
            <a:prstGeom prst="rect">
              <a:avLst/>
            </a:prstGeom>
            <a:noFill/>
          </xdr:spPr>
          <xdr:txBody>
            <a:bodyPr wrap="square" rtlCol="0">
              <a:spAutoFit/>
            </a:bodyPr>
            <a:lstStyle>
              <a:defPPr>
                <a:defRPr lang="en-US"/>
              </a:defPPr>
              <a:lvl1pPr marL="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r>
                <a:rPr lang="en-US" sz="1400"/>
                <a:t>1</a:t>
              </a:r>
              <a:endParaRPr lang="da-DK" sz="1400"/>
            </a:p>
          </xdr:txBody>
        </xdr:sp>
      </xdr:grpSp>
      <xdr:grpSp>
        <xdr:nvGrpSpPr>
          <xdr:cNvPr id="83" name="Group 82">
            <a:extLst>
              <a:ext uri="{FF2B5EF4-FFF2-40B4-BE49-F238E27FC236}">
                <a16:creationId xmlns:a16="http://schemas.microsoft.com/office/drawing/2014/main" xmlns="" id="{00000000-0008-0000-1800-000053000000}"/>
              </a:ext>
            </a:extLst>
          </xdr:cNvPr>
          <xdr:cNvGrpSpPr/>
        </xdr:nvGrpSpPr>
        <xdr:grpSpPr>
          <a:xfrm>
            <a:off x="4695344" y="979486"/>
            <a:ext cx="688714" cy="679468"/>
            <a:chOff x="904415" y="1215318"/>
            <a:chExt cx="688714" cy="679468"/>
          </a:xfrm>
        </xdr:grpSpPr>
        <xdr:grpSp>
          <xdr:nvGrpSpPr>
            <xdr:cNvPr id="139" name="Group 138">
              <a:extLst>
                <a:ext uri="{FF2B5EF4-FFF2-40B4-BE49-F238E27FC236}">
                  <a16:creationId xmlns:a16="http://schemas.microsoft.com/office/drawing/2014/main" xmlns="" id="{00000000-0008-0000-1800-00008B000000}"/>
                </a:ext>
              </a:extLst>
            </xdr:cNvPr>
            <xdr:cNvGrpSpPr/>
          </xdr:nvGrpSpPr>
          <xdr:grpSpPr>
            <a:xfrm>
              <a:off x="1206630" y="1412241"/>
              <a:ext cx="386499" cy="482545"/>
              <a:chOff x="1206630" y="1412241"/>
              <a:chExt cx="386499" cy="482545"/>
            </a:xfrm>
          </xdr:grpSpPr>
          <xdr:sp macro="" textlink="">
            <xdr:nvSpPr>
              <xdr:cNvPr id="141" name="Oval 140">
                <a:extLst>
                  <a:ext uri="{FF2B5EF4-FFF2-40B4-BE49-F238E27FC236}">
                    <a16:creationId xmlns:a16="http://schemas.microsoft.com/office/drawing/2014/main" xmlns="" id="{00000000-0008-0000-1800-00008D000000}"/>
                  </a:ext>
                </a:extLst>
              </xdr:cNvPr>
              <xdr:cNvSpPr/>
            </xdr:nvSpPr>
            <xdr:spPr>
              <a:xfrm>
                <a:off x="1206630" y="1523095"/>
                <a:ext cx="386499" cy="371691"/>
              </a:xfrm>
              <a:prstGeom prst="ellipse">
                <a:avLst/>
              </a:prstGeom>
              <a:noFill/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wrap="square" rtlCol="0" anchor="ctr"/>
              <a:lstStyle>
                <a:defPPr>
                  <a:defRPr lang="en-US"/>
                </a:defPPr>
                <a:lvl1pPr marL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da-DK"/>
              </a:p>
            </xdr:txBody>
          </xdr:sp>
          <xdr:cxnSp macro="">
            <xdr:nvCxnSpPr>
              <xdr:cNvPr id="142" name="Straight Connector 141">
                <a:extLst>
                  <a:ext uri="{FF2B5EF4-FFF2-40B4-BE49-F238E27FC236}">
                    <a16:creationId xmlns:a16="http://schemas.microsoft.com/office/drawing/2014/main" xmlns="" id="{00000000-0008-0000-1800-00008E000000}"/>
                  </a:ext>
                </a:extLst>
              </xdr:cNvPr>
              <xdr:cNvCxnSpPr>
                <a:stCxn id="141" idx="0"/>
              </xdr:cNvCxnSpPr>
            </xdr:nvCxnSpPr>
            <xdr:spPr>
              <a:xfrm flipH="1" flipV="1">
                <a:off x="1206630" y="1412241"/>
                <a:ext cx="193250" cy="110854"/>
              </a:xfrm>
              <a:prstGeom prst="line">
                <a:avLst/>
              </a:prstGeom>
              <a:ln>
                <a:solidFill>
                  <a:schemeClr val="accent1">
                    <a:lumMod val="75000"/>
                  </a:schemeClr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  <xdr:sp macro="" textlink="">
          <xdr:nvSpPr>
            <xdr:cNvPr id="140" name="TextBox 68">
              <a:extLst>
                <a:ext uri="{FF2B5EF4-FFF2-40B4-BE49-F238E27FC236}">
                  <a16:creationId xmlns:a16="http://schemas.microsoft.com/office/drawing/2014/main" xmlns="" id="{00000000-0008-0000-1800-00008C000000}"/>
                </a:ext>
              </a:extLst>
            </xdr:cNvPr>
            <xdr:cNvSpPr txBox="1"/>
          </xdr:nvSpPr>
          <xdr:spPr>
            <a:xfrm>
              <a:off x="904415" y="1215318"/>
              <a:ext cx="413446" cy="307777"/>
            </a:xfrm>
            <a:prstGeom prst="rect">
              <a:avLst/>
            </a:prstGeom>
            <a:noFill/>
          </xdr:spPr>
          <xdr:txBody>
            <a:bodyPr wrap="square" rtlCol="0">
              <a:spAutoFit/>
            </a:bodyPr>
            <a:lstStyle>
              <a:defPPr>
                <a:defRPr lang="en-US"/>
              </a:defPPr>
              <a:lvl1pPr marL="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r>
                <a:rPr lang="en-US" sz="1400"/>
                <a:t>1</a:t>
              </a:r>
              <a:endParaRPr lang="da-DK" sz="1400"/>
            </a:p>
          </xdr:txBody>
        </xdr:sp>
      </xdr:grpSp>
      <xdr:grpSp>
        <xdr:nvGrpSpPr>
          <xdr:cNvPr id="84" name="Group 83">
            <a:extLst>
              <a:ext uri="{FF2B5EF4-FFF2-40B4-BE49-F238E27FC236}">
                <a16:creationId xmlns:a16="http://schemas.microsoft.com/office/drawing/2014/main" xmlns="" id="{00000000-0008-0000-1800-000054000000}"/>
              </a:ext>
            </a:extLst>
          </xdr:cNvPr>
          <xdr:cNvGrpSpPr/>
        </xdr:nvGrpSpPr>
        <xdr:grpSpPr>
          <a:xfrm>
            <a:off x="3465269" y="3324356"/>
            <a:ext cx="688714" cy="679468"/>
            <a:chOff x="904415" y="1215318"/>
            <a:chExt cx="688714" cy="679468"/>
          </a:xfrm>
        </xdr:grpSpPr>
        <xdr:grpSp>
          <xdr:nvGrpSpPr>
            <xdr:cNvPr id="135" name="Group 134">
              <a:extLst>
                <a:ext uri="{FF2B5EF4-FFF2-40B4-BE49-F238E27FC236}">
                  <a16:creationId xmlns:a16="http://schemas.microsoft.com/office/drawing/2014/main" xmlns="" id="{00000000-0008-0000-1800-000087000000}"/>
                </a:ext>
              </a:extLst>
            </xdr:cNvPr>
            <xdr:cNvGrpSpPr/>
          </xdr:nvGrpSpPr>
          <xdr:grpSpPr>
            <a:xfrm>
              <a:off x="1206630" y="1412241"/>
              <a:ext cx="386499" cy="482545"/>
              <a:chOff x="1206630" y="1412241"/>
              <a:chExt cx="386499" cy="482545"/>
            </a:xfrm>
          </xdr:grpSpPr>
          <xdr:sp macro="" textlink="">
            <xdr:nvSpPr>
              <xdr:cNvPr id="137" name="Oval 136">
                <a:extLst>
                  <a:ext uri="{FF2B5EF4-FFF2-40B4-BE49-F238E27FC236}">
                    <a16:creationId xmlns:a16="http://schemas.microsoft.com/office/drawing/2014/main" xmlns="" id="{00000000-0008-0000-1800-000089000000}"/>
                  </a:ext>
                </a:extLst>
              </xdr:cNvPr>
              <xdr:cNvSpPr/>
            </xdr:nvSpPr>
            <xdr:spPr>
              <a:xfrm>
                <a:off x="1206630" y="1523095"/>
                <a:ext cx="386499" cy="371691"/>
              </a:xfrm>
              <a:prstGeom prst="ellipse">
                <a:avLst/>
              </a:prstGeom>
              <a:noFill/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wrap="square" rtlCol="0" anchor="ctr"/>
              <a:lstStyle>
                <a:defPPr>
                  <a:defRPr lang="en-US"/>
                </a:defPPr>
                <a:lvl1pPr marL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da-DK"/>
              </a:p>
            </xdr:txBody>
          </xdr:sp>
          <xdr:cxnSp macro="">
            <xdr:nvCxnSpPr>
              <xdr:cNvPr id="138" name="Straight Connector 137">
                <a:extLst>
                  <a:ext uri="{FF2B5EF4-FFF2-40B4-BE49-F238E27FC236}">
                    <a16:creationId xmlns:a16="http://schemas.microsoft.com/office/drawing/2014/main" xmlns="" id="{00000000-0008-0000-1800-00008A000000}"/>
                  </a:ext>
                </a:extLst>
              </xdr:cNvPr>
              <xdr:cNvCxnSpPr>
                <a:stCxn id="137" idx="0"/>
              </xdr:cNvCxnSpPr>
            </xdr:nvCxnSpPr>
            <xdr:spPr>
              <a:xfrm flipH="1" flipV="1">
                <a:off x="1206630" y="1412241"/>
                <a:ext cx="193250" cy="110854"/>
              </a:xfrm>
              <a:prstGeom prst="line">
                <a:avLst/>
              </a:prstGeom>
              <a:ln>
                <a:solidFill>
                  <a:schemeClr val="accent1">
                    <a:lumMod val="75000"/>
                  </a:schemeClr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  <xdr:sp macro="" textlink="">
          <xdr:nvSpPr>
            <xdr:cNvPr id="136" name="TextBox 73">
              <a:extLst>
                <a:ext uri="{FF2B5EF4-FFF2-40B4-BE49-F238E27FC236}">
                  <a16:creationId xmlns:a16="http://schemas.microsoft.com/office/drawing/2014/main" xmlns="" id="{00000000-0008-0000-1800-000088000000}"/>
                </a:ext>
              </a:extLst>
            </xdr:cNvPr>
            <xdr:cNvSpPr txBox="1"/>
          </xdr:nvSpPr>
          <xdr:spPr>
            <a:xfrm>
              <a:off x="904415" y="1215318"/>
              <a:ext cx="413446" cy="307777"/>
            </a:xfrm>
            <a:prstGeom prst="rect">
              <a:avLst/>
            </a:prstGeom>
            <a:noFill/>
          </xdr:spPr>
          <xdr:txBody>
            <a:bodyPr wrap="square" rtlCol="0">
              <a:spAutoFit/>
            </a:bodyPr>
            <a:lstStyle>
              <a:defPPr>
                <a:defRPr lang="en-US"/>
              </a:defPPr>
              <a:lvl1pPr marL="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r>
                <a:rPr lang="en-US" sz="1400"/>
                <a:t>1</a:t>
              </a:r>
              <a:endParaRPr lang="da-DK" sz="1400"/>
            </a:p>
          </xdr:txBody>
        </xdr:sp>
      </xdr:grpSp>
      <xdr:grpSp>
        <xdr:nvGrpSpPr>
          <xdr:cNvPr id="85" name="Group 84">
            <a:extLst>
              <a:ext uri="{FF2B5EF4-FFF2-40B4-BE49-F238E27FC236}">
                <a16:creationId xmlns:a16="http://schemas.microsoft.com/office/drawing/2014/main" xmlns="" id="{00000000-0008-0000-1800-000055000000}"/>
              </a:ext>
            </a:extLst>
          </xdr:cNvPr>
          <xdr:cNvGrpSpPr/>
        </xdr:nvGrpSpPr>
        <xdr:grpSpPr>
          <a:xfrm>
            <a:off x="752535" y="3310813"/>
            <a:ext cx="688714" cy="679468"/>
            <a:chOff x="904415" y="1215318"/>
            <a:chExt cx="688714" cy="679468"/>
          </a:xfrm>
        </xdr:grpSpPr>
        <xdr:grpSp>
          <xdr:nvGrpSpPr>
            <xdr:cNvPr id="131" name="Group 130">
              <a:extLst>
                <a:ext uri="{FF2B5EF4-FFF2-40B4-BE49-F238E27FC236}">
                  <a16:creationId xmlns:a16="http://schemas.microsoft.com/office/drawing/2014/main" xmlns="" id="{00000000-0008-0000-1800-000083000000}"/>
                </a:ext>
              </a:extLst>
            </xdr:cNvPr>
            <xdr:cNvGrpSpPr/>
          </xdr:nvGrpSpPr>
          <xdr:grpSpPr>
            <a:xfrm>
              <a:off x="1206630" y="1412241"/>
              <a:ext cx="386499" cy="482545"/>
              <a:chOff x="1206630" y="1412241"/>
              <a:chExt cx="386499" cy="482545"/>
            </a:xfrm>
          </xdr:grpSpPr>
          <xdr:sp macro="" textlink="">
            <xdr:nvSpPr>
              <xdr:cNvPr id="133" name="Oval 132">
                <a:extLst>
                  <a:ext uri="{FF2B5EF4-FFF2-40B4-BE49-F238E27FC236}">
                    <a16:creationId xmlns:a16="http://schemas.microsoft.com/office/drawing/2014/main" xmlns="" id="{00000000-0008-0000-1800-000085000000}"/>
                  </a:ext>
                </a:extLst>
              </xdr:cNvPr>
              <xdr:cNvSpPr/>
            </xdr:nvSpPr>
            <xdr:spPr>
              <a:xfrm>
                <a:off x="1206630" y="1523095"/>
                <a:ext cx="386499" cy="371691"/>
              </a:xfrm>
              <a:prstGeom prst="ellipse">
                <a:avLst/>
              </a:prstGeom>
              <a:noFill/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wrap="square" rtlCol="0" anchor="ctr"/>
              <a:lstStyle>
                <a:defPPr>
                  <a:defRPr lang="en-US"/>
                </a:defPPr>
                <a:lvl1pPr marL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da-DK"/>
              </a:p>
            </xdr:txBody>
          </xdr:sp>
          <xdr:cxnSp macro="">
            <xdr:nvCxnSpPr>
              <xdr:cNvPr id="134" name="Straight Connector 133">
                <a:extLst>
                  <a:ext uri="{FF2B5EF4-FFF2-40B4-BE49-F238E27FC236}">
                    <a16:creationId xmlns:a16="http://schemas.microsoft.com/office/drawing/2014/main" xmlns="" id="{00000000-0008-0000-1800-000086000000}"/>
                  </a:ext>
                </a:extLst>
              </xdr:cNvPr>
              <xdr:cNvCxnSpPr>
                <a:stCxn id="133" idx="0"/>
              </xdr:cNvCxnSpPr>
            </xdr:nvCxnSpPr>
            <xdr:spPr>
              <a:xfrm flipH="1" flipV="1">
                <a:off x="1206630" y="1412241"/>
                <a:ext cx="193250" cy="110854"/>
              </a:xfrm>
              <a:prstGeom prst="line">
                <a:avLst/>
              </a:prstGeom>
              <a:ln>
                <a:solidFill>
                  <a:schemeClr val="accent1">
                    <a:lumMod val="75000"/>
                  </a:schemeClr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  <xdr:sp macro="" textlink="">
          <xdr:nvSpPr>
            <xdr:cNvPr id="132" name="TextBox 78">
              <a:extLst>
                <a:ext uri="{FF2B5EF4-FFF2-40B4-BE49-F238E27FC236}">
                  <a16:creationId xmlns:a16="http://schemas.microsoft.com/office/drawing/2014/main" xmlns="" id="{00000000-0008-0000-1800-000084000000}"/>
                </a:ext>
              </a:extLst>
            </xdr:cNvPr>
            <xdr:cNvSpPr txBox="1"/>
          </xdr:nvSpPr>
          <xdr:spPr>
            <a:xfrm>
              <a:off x="904415" y="1215318"/>
              <a:ext cx="413446" cy="307777"/>
            </a:xfrm>
            <a:prstGeom prst="rect">
              <a:avLst/>
            </a:prstGeom>
            <a:noFill/>
          </xdr:spPr>
          <xdr:txBody>
            <a:bodyPr wrap="square" rtlCol="0">
              <a:spAutoFit/>
            </a:bodyPr>
            <a:lstStyle>
              <a:defPPr>
                <a:defRPr lang="en-US"/>
              </a:defPPr>
              <a:lvl1pPr marL="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r>
                <a:rPr lang="en-US" sz="1400"/>
                <a:t>1</a:t>
              </a:r>
              <a:endParaRPr lang="da-DK" sz="1400"/>
            </a:p>
          </xdr:txBody>
        </xdr:sp>
      </xdr:grpSp>
      <xdr:grpSp>
        <xdr:nvGrpSpPr>
          <xdr:cNvPr id="86" name="Group 85">
            <a:extLst>
              <a:ext uri="{FF2B5EF4-FFF2-40B4-BE49-F238E27FC236}">
                <a16:creationId xmlns:a16="http://schemas.microsoft.com/office/drawing/2014/main" xmlns="" id="{00000000-0008-0000-1800-000056000000}"/>
              </a:ext>
            </a:extLst>
          </xdr:cNvPr>
          <xdr:cNvGrpSpPr/>
        </xdr:nvGrpSpPr>
        <xdr:grpSpPr>
          <a:xfrm>
            <a:off x="3465269" y="1560758"/>
            <a:ext cx="688714" cy="679468"/>
            <a:chOff x="904415" y="1215318"/>
            <a:chExt cx="688714" cy="679468"/>
          </a:xfrm>
        </xdr:grpSpPr>
        <xdr:grpSp>
          <xdr:nvGrpSpPr>
            <xdr:cNvPr id="127" name="Group 126">
              <a:extLst>
                <a:ext uri="{FF2B5EF4-FFF2-40B4-BE49-F238E27FC236}">
                  <a16:creationId xmlns:a16="http://schemas.microsoft.com/office/drawing/2014/main" xmlns="" id="{00000000-0008-0000-1800-00007F000000}"/>
                </a:ext>
              </a:extLst>
            </xdr:cNvPr>
            <xdr:cNvGrpSpPr/>
          </xdr:nvGrpSpPr>
          <xdr:grpSpPr>
            <a:xfrm>
              <a:off x="1206630" y="1412241"/>
              <a:ext cx="386499" cy="482545"/>
              <a:chOff x="1206630" y="1412241"/>
              <a:chExt cx="386499" cy="482545"/>
            </a:xfrm>
          </xdr:grpSpPr>
          <xdr:sp macro="" textlink="">
            <xdr:nvSpPr>
              <xdr:cNvPr id="129" name="Oval 128">
                <a:extLst>
                  <a:ext uri="{FF2B5EF4-FFF2-40B4-BE49-F238E27FC236}">
                    <a16:creationId xmlns:a16="http://schemas.microsoft.com/office/drawing/2014/main" xmlns="" id="{00000000-0008-0000-1800-000081000000}"/>
                  </a:ext>
                </a:extLst>
              </xdr:cNvPr>
              <xdr:cNvSpPr/>
            </xdr:nvSpPr>
            <xdr:spPr>
              <a:xfrm>
                <a:off x="1206630" y="1523095"/>
                <a:ext cx="386499" cy="371691"/>
              </a:xfrm>
              <a:prstGeom prst="ellipse">
                <a:avLst/>
              </a:prstGeom>
              <a:noFill/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wrap="square" rtlCol="0" anchor="ctr"/>
              <a:lstStyle>
                <a:defPPr>
                  <a:defRPr lang="en-US"/>
                </a:defPPr>
                <a:lvl1pPr marL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da-DK"/>
              </a:p>
            </xdr:txBody>
          </xdr:sp>
          <xdr:cxnSp macro="">
            <xdr:nvCxnSpPr>
              <xdr:cNvPr id="130" name="Straight Connector 129">
                <a:extLst>
                  <a:ext uri="{FF2B5EF4-FFF2-40B4-BE49-F238E27FC236}">
                    <a16:creationId xmlns:a16="http://schemas.microsoft.com/office/drawing/2014/main" xmlns="" id="{00000000-0008-0000-1800-000082000000}"/>
                  </a:ext>
                </a:extLst>
              </xdr:cNvPr>
              <xdr:cNvCxnSpPr>
                <a:stCxn id="129" idx="0"/>
              </xdr:cNvCxnSpPr>
            </xdr:nvCxnSpPr>
            <xdr:spPr>
              <a:xfrm flipH="1" flipV="1">
                <a:off x="1206630" y="1412241"/>
                <a:ext cx="193250" cy="110854"/>
              </a:xfrm>
              <a:prstGeom prst="line">
                <a:avLst/>
              </a:prstGeom>
              <a:ln>
                <a:solidFill>
                  <a:schemeClr val="accent1">
                    <a:lumMod val="75000"/>
                  </a:schemeClr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  <xdr:sp macro="" textlink="">
          <xdr:nvSpPr>
            <xdr:cNvPr id="128" name="TextBox 83">
              <a:extLst>
                <a:ext uri="{FF2B5EF4-FFF2-40B4-BE49-F238E27FC236}">
                  <a16:creationId xmlns:a16="http://schemas.microsoft.com/office/drawing/2014/main" xmlns="" id="{00000000-0008-0000-1800-000080000000}"/>
                </a:ext>
              </a:extLst>
            </xdr:cNvPr>
            <xdr:cNvSpPr txBox="1"/>
          </xdr:nvSpPr>
          <xdr:spPr>
            <a:xfrm>
              <a:off x="904415" y="1215318"/>
              <a:ext cx="413446" cy="307777"/>
            </a:xfrm>
            <a:prstGeom prst="rect">
              <a:avLst/>
            </a:prstGeom>
            <a:noFill/>
          </xdr:spPr>
          <xdr:txBody>
            <a:bodyPr wrap="square" rtlCol="0">
              <a:spAutoFit/>
            </a:bodyPr>
            <a:lstStyle>
              <a:defPPr>
                <a:defRPr lang="en-US"/>
              </a:defPPr>
              <a:lvl1pPr marL="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r>
                <a:rPr lang="en-US" sz="1400"/>
                <a:t>1</a:t>
              </a:r>
              <a:endParaRPr lang="da-DK" sz="1400"/>
            </a:p>
          </xdr:txBody>
        </xdr:sp>
      </xdr:grpSp>
      <xdr:grpSp>
        <xdr:nvGrpSpPr>
          <xdr:cNvPr id="87" name="Group 86">
            <a:extLst>
              <a:ext uri="{FF2B5EF4-FFF2-40B4-BE49-F238E27FC236}">
                <a16:creationId xmlns:a16="http://schemas.microsoft.com/office/drawing/2014/main" xmlns="" id="{00000000-0008-0000-1800-000057000000}"/>
              </a:ext>
            </a:extLst>
          </xdr:cNvPr>
          <xdr:cNvGrpSpPr/>
        </xdr:nvGrpSpPr>
        <xdr:grpSpPr>
          <a:xfrm>
            <a:off x="5489405" y="3324356"/>
            <a:ext cx="688714" cy="679468"/>
            <a:chOff x="904415" y="1215318"/>
            <a:chExt cx="688714" cy="679468"/>
          </a:xfrm>
        </xdr:grpSpPr>
        <xdr:grpSp>
          <xdr:nvGrpSpPr>
            <xdr:cNvPr id="123" name="Group 122">
              <a:extLst>
                <a:ext uri="{FF2B5EF4-FFF2-40B4-BE49-F238E27FC236}">
                  <a16:creationId xmlns:a16="http://schemas.microsoft.com/office/drawing/2014/main" xmlns="" id="{00000000-0008-0000-1800-00007B000000}"/>
                </a:ext>
              </a:extLst>
            </xdr:cNvPr>
            <xdr:cNvGrpSpPr/>
          </xdr:nvGrpSpPr>
          <xdr:grpSpPr>
            <a:xfrm>
              <a:off x="1206630" y="1412241"/>
              <a:ext cx="386499" cy="482545"/>
              <a:chOff x="1206630" y="1412241"/>
              <a:chExt cx="386499" cy="482545"/>
            </a:xfrm>
          </xdr:grpSpPr>
          <xdr:sp macro="" textlink="">
            <xdr:nvSpPr>
              <xdr:cNvPr id="125" name="Oval 124">
                <a:extLst>
                  <a:ext uri="{FF2B5EF4-FFF2-40B4-BE49-F238E27FC236}">
                    <a16:creationId xmlns:a16="http://schemas.microsoft.com/office/drawing/2014/main" xmlns="" id="{00000000-0008-0000-1800-00007D000000}"/>
                  </a:ext>
                </a:extLst>
              </xdr:cNvPr>
              <xdr:cNvSpPr/>
            </xdr:nvSpPr>
            <xdr:spPr>
              <a:xfrm>
                <a:off x="1206630" y="1523095"/>
                <a:ext cx="386499" cy="371691"/>
              </a:xfrm>
              <a:prstGeom prst="ellipse">
                <a:avLst/>
              </a:prstGeom>
              <a:noFill/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wrap="square" rtlCol="0" anchor="ctr"/>
              <a:lstStyle>
                <a:defPPr>
                  <a:defRPr lang="en-US"/>
                </a:defPPr>
                <a:lvl1pPr marL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da-DK"/>
              </a:p>
            </xdr:txBody>
          </xdr:sp>
          <xdr:cxnSp macro="">
            <xdr:nvCxnSpPr>
              <xdr:cNvPr id="126" name="Straight Connector 125">
                <a:extLst>
                  <a:ext uri="{FF2B5EF4-FFF2-40B4-BE49-F238E27FC236}">
                    <a16:creationId xmlns:a16="http://schemas.microsoft.com/office/drawing/2014/main" xmlns="" id="{00000000-0008-0000-1800-00007E000000}"/>
                  </a:ext>
                </a:extLst>
              </xdr:cNvPr>
              <xdr:cNvCxnSpPr>
                <a:stCxn id="125" idx="0"/>
              </xdr:cNvCxnSpPr>
            </xdr:nvCxnSpPr>
            <xdr:spPr>
              <a:xfrm flipH="1" flipV="1">
                <a:off x="1206630" y="1412241"/>
                <a:ext cx="193250" cy="110854"/>
              </a:xfrm>
              <a:prstGeom prst="line">
                <a:avLst/>
              </a:prstGeom>
              <a:ln>
                <a:solidFill>
                  <a:schemeClr val="accent1">
                    <a:lumMod val="75000"/>
                  </a:schemeClr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  <xdr:sp macro="" textlink="">
          <xdr:nvSpPr>
            <xdr:cNvPr id="124" name="TextBox 88">
              <a:extLst>
                <a:ext uri="{FF2B5EF4-FFF2-40B4-BE49-F238E27FC236}">
                  <a16:creationId xmlns:a16="http://schemas.microsoft.com/office/drawing/2014/main" xmlns="" id="{00000000-0008-0000-1800-00007C000000}"/>
                </a:ext>
              </a:extLst>
            </xdr:cNvPr>
            <xdr:cNvSpPr txBox="1"/>
          </xdr:nvSpPr>
          <xdr:spPr>
            <a:xfrm>
              <a:off x="904415" y="1215318"/>
              <a:ext cx="413446" cy="307777"/>
            </a:xfrm>
            <a:prstGeom prst="rect">
              <a:avLst/>
            </a:prstGeom>
            <a:noFill/>
          </xdr:spPr>
          <xdr:txBody>
            <a:bodyPr wrap="square" rtlCol="0">
              <a:spAutoFit/>
            </a:bodyPr>
            <a:lstStyle>
              <a:defPPr>
                <a:defRPr lang="en-US"/>
              </a:defPPr>
              <a:lvl1pPr marL="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r>
                <a:rPr lang="en-US" sz="1400"/>
                <a:t>1</a:t>
              </a:r>
              <a:endParaRPr lang="da-DK" sz="1400"/>
            </a:p>
          </xdr:txBody>
        </xdr:sp>
      </xdr:grpSp>
      <xdr:grpSp>
        <xdr:nvGrpSpPr>
          <xdr:cNvPr id="88" name="Group 87">
            <a:extLst>
              <a:ext uri="{FF2B5EF4-FFF2-40B4-BE49-F238E27FC236}">
                <a16:creationId xmlns:a16="http://schemas.microsoft.com/office/drawing/2014/main" xmlns="" id="{00000000-0008-0000-1800-000058000000}"/>
              </a:ext>
            </a:extLst>
          </xdr:cNvPr>
          <xdr:cNvGrpSpPr/>
        </xdr:nvGrpSpPr>
        <xdr:grpSpPr>
          <a:xfrm>
            <a:off x="4695344" y="3310781"/>
            <a:ext cx="688714" cy="679468"/>
            <a:chOff x="904415" y="1215318"/>
            <a:chExt cx="688714" cy="679468"/>
          </a:xfrm>
        </xdr:grpSpPr>
        <xdr:grpSp>
          <xdr:nvGrpSpPr>
            <xdr:cNvPr id="119" name="Group 118">
              <a:extLst>
                <a:ext uri="{FF2B5EF4-FFF2-40B4-BE49-F238E27FC236}">
                  <a16:creationId xmlns:a16="http://schemas.microsoft.com/office/drawing/2014/main" xmlns="" id="{00000000-0008-0000-1800-000077000000}"/>
                </a:ext>
              </a:extLst>
            </xdr:cNvPr>
            <xdr:cNvGrpSpPr/>
          </xdr:nvGrpSpPr>
          <xdr:grpSpPr>
            <a:xfrm>
              <a:off x="1206630" y="1412241"/>
              <a:ext cx="386499" cy="482545"/>
              <a:chOff x="1206630" y="1412241"/>
              <a:chExt cx="386499" cy="482545"/>
            </a:xfrm>
          </xdr:grpSpPr>
          <xdr:sp macro="" textlink="">
            <xdr:nvSpPr>
              <xdr:cNvPr id="121" name="Oval 120">
                <a:extLst>
                  <a:ext uri="{FF2B5EF4-FFF2-40B4-BE49-F238E27FC236}">
                    <a16:creationId xmlns:a16="http://schemas.microsoft.com/office/drawing/2014/main" xmlns="" id="{00000000-0008-0000-1800-000079000000}"/>
                  </a:ext>
                </a:extLst>
              </xdr:cNvPr>
              <xdr:cNvSpPr/>
            </xdr:nvSpPr>
            <xdr:spPr>
              <a:xfrm>
                <a:off x="1206630" y="1523095"/>
                <a:ext cx="386499" cy="371691"/>
              </a:xfrm>
              <a:prstGeom prst="ellipse">
                <a:avLst/>
              </a:prstGeom>
              <a:noFill/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wrap="square" rtlCol="0" anchor="ctr"/>
              <a:lstStyle>
                <a:defPPr>
                  <a:defRPr lang="en-US"/>
                </a:defPPr>
                <a:lvl1pPr marL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da-DK"/>
              </a:p>
            </xdr:txBody>
          </xdr:sp>
          <xdr:cxnSp macro="">
            <xdr:nvCxnSpPr>
              <xdr:cNvPr id="122" name="Straight Connector 121">
                <a:extLst>
                  <a:ext uri="{FF2B5EF4-FFF2-40B4-BE49-F238E27FC236}">
                    <a16:creationId xmlns:a16="http://schemas.microsoft.com/office/drawing/2014/main" xmlns="" id="{00000000-0008-0000-1800-00007A000000}"/>
                  </a:ext>
                </a:extLst>
              </xdr:cNvPr>
              <xdr:cNvCxnSpPr>
                <a:stCxn id="121" idx="0"/>
              </xdr:cNvCxnSpPr>
            </xdr:nvCxnSpPr>
            <xdr:spPr>
              <a:xfrm flipH="1" flipV="1">
                <a:off x="1206630" y="1412241"/>
                <a:ext cx="193250" cy="110854"/>
              </a:xfrm>
              <a:prstGeom prst="line">
                <a:avLst/>
              </a:prstGeom>
              <a:ln>
                <a:solidFill>
                  <a:schemeClr val="accent1">
                    <a:lumMod val="75000"/>
                  </a:schemeClr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  <xdr:sp macro="" textlink="">
          <xdr:nvSpPr>
            <xdr:cNvPr id="120" name="TextBox 93">
              <a:extLst>
                <a:ext uri="{FF2B5EF4-FFF2-40B4-BE49-F238E27FC236}">
                  <a16:creationId xmlns:a16="http://schemas.microsoft.com/office/drawing/2014/main" xmlns="" id="{00000000-0008-0000-1800-000078000000}"/>
                </a:ext>
              </a:extLst>
            </xdr:cNvPr>
            <xdr:cNvSpPr txBox="1"/>
          </xdr:nvSpPr>
          <xdr:spPr>
            <a:xfrm>
              <a:off x="904415" y="1215318"/>
              <a:ext cx="413446" cy="307777"/>
            </a:xfrm>
            <a:prstGeom prst="rect">
              <a:avLst/>
            </a:prstGeom>
            <a:noFill/>
          </xdr:spPr>
          <xdr:txBody>
            <a:bodyPr wrap="square" rtlCol="0">
              <a:spAutoFit/>
            </a:bodyPr>
            <a:lstStyle>
              <a:defPPr>
                <a:defRPr lang="en-US"/>
              </a:defPPr>
              <a:lvl1pPr marL="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r>
                <a:rPr lang="en-US" sz="1400"/>
                <a:t>1</a:t>
              </a:r>
              <a:endParaRPr lang="da-DK" sz="1400"/>
            </a:p>
          </xdr:txBody>
        </xdr:sp>
      </xdr:grpSp>
      <xdr:grpSp>
        <xdr:nvGrpSpPr>
          <xdr:cNvPr id="89" name="Group 88">
            <a:extLst>
              <a:ext uri="{FF2B5EF4-FFF2-40B4-BE49-F238E27FC236}">
                <a16:creationId xmlns:a16="http://schemas.microsoft.com/office/drawing/2014/main" xmlns="" id="{00000000-0008-0000-1800-000059000000}"/>
              </a:ext>
            </a:extLst>
          </xdr:cNvPr>
          <xdr:cNvGrpSpPr/>
        </xdr:nvGrpSpPr>
        <xdr:grpSpPr>
          <a:xfrm>
            <a:off x="5502986" y="967726"/>
            <a:ext cx="688714" cy="679468"/>
            <a:chOff x="904415" y="1215318"/>
            <a:chExt cx="688714" cy="679468"/>
          </a:xfrm>
        </xdr:grpSpPr>
        <xdr:grpSp>
          <xdr:nvGrpSpPr>
            <xdr:cNvPr id="115" name="Group 114">
              <a:extLst>
                <a:ext uri="{FF2B5EF4-FFF2-40B4-BE49-F238E27FC236}">
                  <a16:creationId xmlns:a16="http://schemas.microsoft.com/office/drawing/2014/main" xmlns="" id="{00000000-0008-0000-1800-000073000000}"/>
                </a:ext>
              </a:extLst>
            </xdr:cNvPr>
            <xdr:cNvGrpSpPr/>
          </xdr:nvGrpSpPr>
          <xdr:grpSpPr>
            <a:xfrm>
              <a:off x="1206630" y="1412241"/>
              <a:ext cx="386499" cy="482545"/>
              <a:chOff x="1206630" y="1412241"/>
              <a:chExt cx="386499" cy="482545"/>
            </a:xfrm>
          </xdr:grpSpPr>
          <xdr:sp macro="" textlink="">
            <xdr:nvSpPr>
              <xdr:cNvPr id="117" name="Oval 116">
                <a:extLst>
                  <a:ext uri="{FF2B5EF4-FFF2-40B4-BE49-F238E27FC236}">
                    <a16:creationId xmlns:a16="http://schemas.microsoft.com/office/drawing/2014/main" xmlns="" id="{00000000-0008-0000-1800-000075000000}"/>
                  </a:ext>
                </a:extLst>
              </xdr:cNvPr>
              <xdr:cNvSpPr/>
            </xdr:nvSpPr>
            <xdr:spPr>
              <a:xfrm>
                <a:off x="1206630" y="1523095"/>
                <a:ext cx="386499" cy="371691"/>
              </a:xfrm>
              <a:prstGeom prst="ellipse">
                <a:avLst/>
              </a:prstGeom>
              <a:noFill/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wrap="square" rtlCol="0" anchor="ctr"/>
              <a:lstStyle>
                <a:defPPr>
                  <a:defRPr lang="en-US"/>
                </a:defPPr>
                <a:lvl1pPr marL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da-DK"/>
              </a:p>
            </xdr:txBody>
          </xdr:sp>
          <xdr:cxnSp macro="">
            <xdr:nvCxnSpPr>
              <xdr:cNvPr id="118" name="Straight Connector 117">
                <a:extLst>
                  <a:ext uri="{FF2B5EF4-FFF2-40B4-BE49-F238E27FC236}">
                    <a16:creationId xmlns:a16="http://schemas.microsoft.com/office/drawing/2014/main" xmlns="" id="{00000000-0008-0000-1800-000076000000}"/>
                  </a:ext>
                </a:extLst>
              </xdr:cNvPr>
              <xdr:cNvCxnSpPr>
                <a:stCxn id="117" idx="0"/>
              </xdr:cNvCxnSpPr>
            </xdr:nvCxnSpPr>
            <xdr:spPr>
              <a:xfrm flipH="1" flipV="1">
                <a:off x="1206630" y="1412241"/>
                <a:ext cx="193250" cy="110854"/>
              </a:xfrm>
              <a:prstGeom prst="line">
                <a:avLst/>
              </a:prstGeom>
              <a:ln>
                <a:solidFill>
                  <a:schemeClr val="accent1">
                    <a:lumMod val="75000"/>
                  </a:schemeClr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  <xdr:sp macro="" textlink="">
          <xdr:nvSpPr>
            <xdr:cNvPr id="116" name="TextBox 98">
              <a:extLst>
                <a:ext uri="{FF2B5EF4-FFF2-40B4-BE49-F238E27FC236}">
                  <a16:creationId xmlns:a16="http://schemas.microsoft.com/office/drawing/2014/main" xmlns="" id="{00000000-0008-0000-1800-000074000000}"/>
                </a:ext>
              </a:extLst>
            </xdr:cNvPr>
            <xdr:cNvSpPr txBox="1"/>
          </xdr:nvSpPr>
          <xdr:spPr>
            <a:xfrm>
              <a:off x="904415" y="1215318"/>
              <a:ext cx="413446" cy="307777"/>
            </a:xfrm>
            <a:prstGeom prst="rect">
              <a:avLst/>
            </a:prstGeom>
            <a:noFill/>
          </xdr:spPr>
          <xdr:txBody>
            <a:bodyPr wrap="square" rtlCol="0">
              <a:spAutoFit/>
            </a:bodyPr>
            <a:lstStyle>
              <a:defPPr>
                <a:defRPr lang="en-US"/>
              </a:defPPr>
              <a:lvl1pPr marL="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r>
                <a:rPr lang="en-US" sz="1400"/>
                <a:t>1</a:t>
              </a:r>
              <a:endParaRPr lang="da-DK" sz="1400"/>
            </a:p>
          </xdr:txBody>
        </xdr:sp>
      </xdr:grpSp>
      <xdr:grpSp>
        <xdr:nvGrpSpPr>
          <xdr:cNvPr id="90" name="Group 89">
            <a:extLst>
              <a:ext uri="{FF2B5EF4-FFF2-40B4-BE49-F238E27FC236}">
                <a16:creationId xmlns:a16="http://schemas.microsoft.com/office/drawing/2014/main" xmlns="" id="{00000000-0008-0000-1800-00005A000000}"/>
              </a:ext>
            </a:extLst>
          </xdr:cNvPr>
          <xdr:cNvGrpSpPr/>
        </xdr:nvGrpSpPr>
        <xdr:grpSpPr>
          <a:xfrm>
            <a:off x="6913654" y="1556609"/>
            <a:ext cx="688714" cy="679468"/>
            <a:chOff x="904415" y="1215318"/>
            <a:chExt cx="688714" cy="679468"/>
          </a:xfrm>
        </xdr:grpSpPr>
        <xdr:grpSp>
          <xdr:nvGrpSpPr>
            <xdr:cNvPr id="111" name="Group 110">
              <a:extLst>
                <a:ext uri="{FF2B5EF4-FFF2-40B4-BE49-F238E27FC236}">
                  <a16:creationId xmlns:a16="http://schemas.microsoft.com/office/drawing/2014/main" xmlns="" id="{00000000-0008-0000-1800-00006F000000}"/>
                </a:ext>
              </a:extLst>
            </xdr:cNvPr>
            <xdr:cNvGrpSpPr/>
          </xdr:nvGrpSpPr>
          <xdr:grpSpPr>
            <a:xfrm>
              <a:off x="1206630" y="1412241"/>
              <a:ext cx="386499" cy="482545"/>
              <a:chOff x="1206630" y="1412241"/>
              <a:chExt cx="386499" cy="482545"/>
            </a:xfrm>
          </xdr:grpSpPr>
          <xdr:sp macro="" textlink="">
            <xdr:nvSpPr>
              <xdr:cNvPr id="113" name="Oval 112">
                <a:extLst>
                  <a:ext uri="{FF2B5EF4-FFF2-40B4-BE49-F238E27FC236}">
                    <a16:creationId xmlns:a16="http://schemas.microsoft.com/office/drawing/2014/main" xmlns="" id="{00000000-0008-0000-1800-000071000000}"/>
                  </a:ext>
                </a:extLst>
              </xdr:cNvPr>
              <xdr:cNvSpPr/>
            </xdr:nvSpPr>
            <xdr:spPr>
              <a:xfrm>
                <a:off x="1206630" y="1523095"/>
                <a:ext cx="386499" cy="371691"/>
              </a:xfrm>
              <a:prstGeom prst="ellipse">
                <a:avLst/>
              </a:prstGeom>
              <a:noFill/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wrap="square" rtlCol="0" anchor="ctr"/>
              <a:lstStyle>
                <a:defPPr>
                  <a:defRPr lang="en-US"/>
                </a:defPPr>
                <a:lvl1pPr marL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da-DK"/>
              </a:p>
            </xdr:txBody>
          </xdr:sp>
          <xdr:cxnSp macro="">
            <xdr:nvCxnSpPr>
              <xdr:cNvPr id="114" name="Straight Connector 113">
                <a:extLst>
                  <a:ext uri="{FF2B5EF4-FFF2-40B4-BE49-F238E27FC236}">
                    <a16:creationId xmlns:a16="http://schemas.microsoft.com/office/drawing/2014/main" xmlns="" id="{00000000-0008-0000-1800-000072000000}"/>
                  </a:ext>
                </a:extLst>
              </xdr:cNvPr>
              <xdr:cNvCxnSpPr>
                <a:stCxn id="113" idx="0"/>
              </xdr:cNvCxnSpPr>
            </xdr:nvCxnSpPr>
            <xdr:spPr>
              <a:xfrm flipH="1" flipV="1">
                <a:off x="1206630" y="1412241"/>
                <a:ext cx="193250" cy="110854"/>
              </a:xfrm>
              <a:prstGeom prst="line">
                <a:avLst/>
              </a:prstGeom>
              <a:ln>
                <a:solidFill>
                  <a:schemeClr val="accent1">
                    <a:lumMod val="75000"/>
                  </a:schemeClr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  <xdr:sp macro="" textlink="">
          <xdr:nvSpPr>
            <xdr:cNvPr id="112" name="TextBox 103">
              <a:extLst>
                <a:ext uri="{FF2B5EF4-FFF2-40B4-BE49-F238E27FC236}">
                  <a16:creationId xmlns:a16="http://schemas.microsoft.com/office/drawing/2014/main" xmlns="" id="{00000000-0008-0000-1800-000070000000}"/>
                </a:ext>
              </a:extLst>
            </xdr:cNvPr>
            <xdr:cNvSpPr txBox="1"/>
          </xdr:nvSpPr>
          <xdr:spPr>
            <a:xfrm>
              <a:off x="904415" y="1215318"/>
              <a:ext cx="413446" cy="307777"/>
            </a:xfrm>
            <a:prstGeom prst="rect">
              <a:avLst/>
            </a:prstGeom>
            <a:noFill/>
          </xdr:spPr>
          <xdr:txBody>
            <a:bodyPr wrap="square" rtlCol="0">
              <a:spAutoFit/>
            </a:bodyPr>
            <a:lstStyle>
              <a:defPPr>
                <a:defRPr lang="en-US"/>
              </a:defPPr>
              <a:lvl1pPr marL="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r>
                <a:rPr lang="en-US" sz="1400"/>
                <a:t>2</a:t>
              </a:r>
              <a:endParaRPr lang="da-DK" sz="1400"/>
            </a:p>
          </xdr:txBody>
        </xdr:sp>
      </xdr:grpSp>
      <xdr:grpSp>
        <xdr:nvGrpSpPr>
          <xdr:cNvPr id="91" name="Group 90">
            <a:extLst>
              <a:ext uri="{FF2B5EF4-FFF2-40B4-BE49-F238E27FC236}">
                <a16:creationId xmlns:a16="http://schemas.microsoft.com/office/drawing/2014/main" xmlns="" id="{00000000-0008-0000-1800-00005B000000}"/>
              </a:ext>
            </a:extLst>
          </xdr:cNvPr>
          <xdr:cNvGrpSpPr/>
        </xdr:nvGrpSpPr>
        <xdr:grpSpPr>
          <a:xfrm>
            <a:off x="7448079" y="3313008"/>
            <a:ext cx="688714" cy="679468"/>
            <a:chOff x="904415" y="1215318"/>
            <a:chExt cx="688714" cy="679468"/>
          </a:xfrm>
        </xdr:grpSpPr>
        <xdr:grpSp>
          <xdr:nvGrpSpPr>
            <xdr:cNvPr id="107" name="Group 106">
              <a:extLst>
                <a:ext uri="{FF2B5EF4-FFF2-40B4-BE49-F238E27FC236}">
                  <a16:creationId xmlns:a16="http://schemas.microsoft.com/office/drawing/2014/main" xmlns="" id="{00000000-0008-0000-1800-00006B000000}"/>
                </a:ext>
              </a:extLst>
            </xdr:cNvPr>
            <xdr:cNvGrpSpPr/>
          </xdr:nvGrpSpPr>
          <xdr:grpSpPr>
            <a:xfrm>
              <a:off x="1206630" y="1412241"/>
              <a:ext cx="386499" cy="482545"/>
              <a:chOff x="1206630" y="1412241"/>
              <a:chExt cx="386499" cy="482545"/>
            </a:xfrm>
          </xdr:grpSpPr>
          <xdr:sp macro="" textlink="">
            <xdr:nvSpPr>
              <xdr:cNvPr id="109" name="Oval 108">
                <a:extLst>
                  <a:ext uri="{FF2B5EF4-FFF2-40B4-BE49-F238E27FC236}">
                    <a16:creationId xmlns:a16="http://schemas.microsoft.com/office/drawing/2014/main" xmlns="" id="{00000000-0008-0000-1800-00006D000000}"/>
                  </a:ext>
                </a:extLst>
              </xdr:cNvPr>
              <xdr:cNvSpPr/>
            </xdr:nvSpPr>
            <xdr:spPr>
              <a:xfrm>
                <a:off x="1206630" y="1523095"/>
                <a:ext cx="386499" cy="371691"/>
              </a:xfrm>
              <a:prstGeom prst="ellipse">
                <a:avLst/>
              </a:prstGeom>
              <a:noFill/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wrap="square" rtlCol="0" anchor="ctr"/>
              <a:lstStyle>
                <a:defPPr>
                  <a:defRPr lang="en-US"/>
                </a:defPPr>
                <a:lvl1pPr marL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da-DK"/>
              </a:p>
            </xdr:txBody>
          </xdr:sp>
          <xdr:cxnSp macro="">
            <xdr:nvCxnSpPr>
              <xdr:cNvPr id="110" name="Straight Connector 109">
                <a:extLst>
                  <a:ext uri="{FF2B5EF4-FFF2-40B4-BE49-F238E27FC236}">
                    <a16:creationId xmlns:a16="http://schemas.microsoft.com/office/drawing/2014/main" xmlns="" id="{00000000-0008-0000-1800-00006E000000}"/>
                  </a:ext>
                </a:extLst>
              </xdr:cNvPr>
              <xdr:cNvCxnSpPr>
                <a:stCxn id="109" idx="0"/>
              </xdr:cNvCxnSpPr>
            </xdr:nvCxnSpPr>
            <xdr:spPr>
              <a:xfrm flipH="1" flipV="1">
                <a:off x="1206630" y="1412241"/>
                <a:ext cx="193250" cy="110854"/>
              </a:xfrm>
              <a:prstGeom prst="line">
                <a:avLst/>
              </a:prstGeom>
              <a:ln>
                <a:solidFill>
                  <a:schemeClr val="accent1">
                    <a:lumMod val="75000"/>
                  </a:schemeClr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  <xdr:sp macro="" textlink="">
          <xdr:nvSpPr>
            <xdr:cNvPr id="108" name="TextBox 108">
              <a:extLst>
                <a:ext uri="{FF2B5EF4-FFF2-40B4-BE49-F238E27FC236}">
                  <a16:creationId xmlns:a16="http://schemas.microsoft.com/office/drawing/2014/main" xmlns="" id="{00000000-0008-0000-1800-00006C000000}"/>
                </a:ext>
              </a:extLst>
            </xdr:cNvPr>
            <xdr:cNvSpPr txBox="1"/>
          </xdr:nvSpPr>
          <xdr:spPr>
            <a:xfrm>
              <a:off x="904415" y="1215318"/>
              <a:ext cx="413446" cy="307777"/>
            </a:xfrm>
            <a:prstGeom prst="rect">
              <a:avLst/>
            </a:prstGeom>
            <a:noFill/>
          </xdr:spPr>
          <xdr:txBody>
            <a:bodyPr wrap="square" rtlCol="0">
              <a:spAutoFit/>
            </a:bodyPr>
            <a:lstStyle>
              <a:defPPr>
                <a:defRPr lang="en-US"/>
              </a:defPPr>
              <a:lvl1pPr marL="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r>
                <a:rPr lang="en-US" sz="1400"/>
                <a:t>2</a:t>
              </a:r>
              <a:endParaRPr lang="da-DK" sz="1400"/>
            </a:p>
          </xdr:txBody>
        </xdr:sp>
      </xdr:grpSp>
      <xdr:grpSp>
        <xdr:nvGrpSpPr>
          <xdr:cNvPr id="92" name="Group 91">
            <a:extLst>
              <a:ext uri="{FF2B5EF4-FFF2-40B4-BE49-F238E27FC236}">
                <a16:creationId xmlns:a16="http://schemas.microsoft.com/office/drawing/2014/main" xmlns="" id="{00000000-0008-0000-1800-00005C000000}"/>
              </a:ext>
            </a:extLst>
          </xdr:cNvPr>
          <xdr:cNvGrpSpPr/>
        </xdr:nvGrpSpPr>
        <xdr:grpSpPr>
          <a:xfrm>
            <a:off x="8287270" y="3326096"/>
            <a:ext cx="688714" cy="679468"/>
            <a:chOff x="904415" y="1215318"/>
            <a:chExt cx="688714" cy="679468"/>
          </a:xfrm>
        </xdr:grpSpPr>
        <xdr:grpSp>
          <xdr:nvGrpSpPr>
            <xdr:cNvPr id="103" name="Group 102">
              <a:extLst>
                <a:ext uri="{FF2B5EF4-FFF2-40B4-BE49-F238E27FC236}">
                  <a16:creationId xmlns:a16="http://schemas.microsoft.com/office/drawing/2014/main" xmlns="" id="{00000000-0008-0000-1800-000067000000}"/>
                </a:ext>
              </a:extLst>
            </xdr:cNvPr>
            <xdr:cNvGrpSpPr/>
          </xdr:nvGrpSpPr>
          <xdr:grpSpPr>
            <a:xfrm>
              <a:off x="1206630" y="1412241"/>
              <a:ext cx="386499" cy="482545"/>
              <a:chOff x="1206630" y="1412241"/>
              <a:chExt cx="386499" cy="482545"/>
            </a:xfrm>
          </xdr:grpSpPr>
          <xdr:sp macro="" textlink="">
            <xdr:nvSpPr>
              <xdr:cNvPr id="105" name="Oval 104">
                <a:extLst>
                  <a:ext uri="{FF2B5EF4-FFF2-40B4-BE49-F238E27FC236}">
                    <a16:creationId xmlns:a16="http://schemas.microsoft.com/office/drawing/2014/main" xmlns="" id="{00000000-0008-0000-1800-000069000000}"/>
                  </a:ext>
                </a:extLst>
              </xdr:cNvPr>
              <xdr:cNvSpPr/>
            </xdr:nvSpPr>
            <xdr:spPr>
              <a:xfrm>
                <a:off x="1206630" y="1523095"/>
                <a:ext cx="386499" cy="371691"/>
              </a:xfrm>
              <a:prstGeom prst="ellipse">
                <a:avLst/>
              </a:prstGeom>
              <a:noFill/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wrap="square" rtlCol="0" anchor="ctr"/>
              <a:lstStyle>
                <a:defPPr>
                  <a:defRPr lang="en-US"/>
                </a:defPPr>
                <a:lvl1pPr marL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da-DK"/>
              </a:p>
            </xdr:txBody>
          </xdr:sp>
          <xdr:cxnSp macro="">
            <xdr:nvCxnSpPr>
              <xdr:cNvPr id="106" name="Straight Connector 105">
                <a:extLst>
                  <a:ext uri="{FF2B5EF4-FFF2-40B4-BE49-F238E27FC236}">
                    <a16:creationId xmlns:a16="http://schemas.microsoft.com/office/drawing/2014/main" xmlns="" id="{00000000-0008-0000-1800-00006A000000}"/>
                  </a:ext>
                </a:extLst>
              </xdr:cNvPr>
              <xdr:cNvCxnSpPr>
                <a:stCxn id="105" idx="0"/>
              </xdr:cNvCxnSpPr>
            </xdr:nvCxnSpPr>
            <xdr:spPr>
              <a:xfrm flipH="1" flipV="1">
                <a:off x="1206630" y="1412241"/>
                <a:ext cx="193250" cy="110854"/>
              </a:xfrm>
              <a:prstGeom prst="line">
                <a:avLst/>
              </a:prstGeom>
              <a:ln>
                <a:solidFill>
                  <a:schemeClr val="accent1">
                    <a:lumMod val="75000"/>
                  </a:schemeClr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  <xdr:sp macro="" textlink="">
          <xdr:nvSpPr>
            <xdr:cNvPr id="104" name="TextBox 113">
              <a:extLst>
                <a:ext uri="{FF2B5EF4-FFF2-40B4-BE49-F238E27FC236}">
                  <a16:creationId xmlns:a16="http://schemas.microsoft.com/office/drawing/2014/main" xmlns="" id="{00000000-0008-0000-1800-000068000000}"/>
                </a:ext>
              </a:extLst>
            </xdr:cNvPr>
            <xdr:cNvSpPr txBox="1"/>
          </xdr:nvSpPr>
          <xdr:spPr>
            <a:xfrm>
              <a:off x="904415" y="1215318"/>
              <a:ext cx="413446" cy="307777"/>
            </a:xfrm>
            <a:prstGeom prst="rect">
              <a:avLst/>
            </a:prstGeom>
            <a:noFill/>
          </xdr:spPr>
          <xdr:txBody>
            <a:bodyPr wrap="square" rtlCol="0">
              <a:spAutoFit/>
            </a:bodyPr>
            <a:lstStyle>
              <a:defPPr>
                <a:defRPr lang="en-US"/>
              </a:defPPr>
              <a:lvl1pPr marL="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r>
                <a:rPr lang="en-US" sz="1400"/>
                <a:t>1</a:t>
              </a:r>
              <a:endParaRPr lang="da-DK" sz="1400"/>
            </a:p>
          </xdr:txBody>
        </xdr:sp>
      </xdr:grpSp>
      <xdr:grpSp>
        <xdr:nvGrpSpPr>
          <xdr:cNvPr id="93" name="Group 92">
            <a:extLst>
              <a:ext uri="{FF2B5EF4-FFF2-40B4-BE49-F238E27FC236}">
                <a16:creationId xmlns:a16="http://schemas.microsoft.com/office/drawing/2014/main" xmlns="" id="{00000000-0008-0000-1800-00005D000000}"/>
              </a:ext>
            </a:extLst>
          </xdr:cNvPr>
          <xdr:cNvGrpSpPr/>
        </xdr:nvGrpSpPr>
        <xdr:grpSpPr>
          <a:xfrm>
            <a:off x="5521925" y="1555914"/>
            <a:ext cx="688714" cy="679468"/>
            <a:chOff x="904415" y="1215318"/>
            <a:chExt cx="688714" cy="679468"/>
          </a:xfrm>
        </xdr:grpSpPr>
        <xdr:grpSp>
          <xdr:nvGrpSpPr>
            <xdr:cNvPr id="99" name="Group 98">
              <a:extLst>
                <a:ext uri="{FF2B5EF4-FFF2-40B4-BE49-F238E27FC236}">
                  <a16:creationId xmlns:a16="http://schemas.microsoft.com/office/drawing/2014/main" xmlns="" id="{00000000-0008-0000-1800-000063000000}"/>
                </a:ext>
              </a:extLst>
            </xdr:cNvPr>
            <xdr:cNvGrpSpPr/>
          </xdr:nvGrpSpPr>
          <xdr:grpSpPr>
            <a:xfrm>
              <a:off x="1206630" y="1412241"/>
              <a:ext cx="386499" cy="482545"/>
              <a:chOff x="1206630" y="1412241"/>
              <a:chExt cx="386499" cy="482545"/>
            </a:xfrm>
          </xdr:grpSpPr>
          <xdr:sp macro="" textlink="">
            <xdr:nvSpPr>
              <xdr:cNvPr id="101" name="Oval 100">
                <a:extLst>
                  <a:ext uri="{FF2B5EF4-FFF2-40B4-BE49-F238E27FC236}">
                    <a16:creationId xmlns:a16="http://schemas.microsoft.com/office/drawing/2014/main" xmlns="" id="{00000000-0008-0000-1800-000065000000}"/>
                  </a:ext>
                </a:extLst>
              </xdr:cNvPr>
              <xdr:cNvSpPr/>
            </xdr:nvSpPr>
            <xdr:spPr>
              <a:xfrm>
                <a:off x="1206630" y="1523095"/>
                <a:ext cx="386499" cy="371691"/>
              </a:xfrm>
              <a:prstGeom prst="ellipse">
                <a:avLst/>
              </a:prstGeom>
              <a:noFill/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wrap="square" rtlCol="0" anchor="ctr"/>
              <a:lstStyle>
                <a:defPPr>
                  <a:defRPr lang="en-US"/>
                </a:defPPr>
                <a:lvl1pPr marL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da-DK"/>
              </a:p>
            </xdr:txBody>
          </xdr:sp>
          <xdr:cxnSp macro="">
            <xdr:nvCxnSpPr>
              <xdr:cNvPr id="102" name="Straight Connector 101">
                <a:extLst>
                  <a:ext uri="{FF2B5EF4-FFF2-40B4-BE49-F238E27FC236}">
                    <a16:creationId xmlns:a16="http://schemas.microsoft.com/office/drawing/2014/main" xmlns="" id="{00000000-0008-0000-1800-000066000000}"/>
                  </a:ext>
                </a:extLst>
              </xdr:cNvPr>
              <xdr:cNvCxnSpPr>
                <a:stCxn id="101" idx="0"/>
              </xdr:cNvCxnSpPr>
            </xdr:nvCxnSpPr>
            <xdr:spPr>
              <a:xfrm flipH="1" flipV="1">
                <a:off x="1206630" y="1412241"/>
                <a:ext cx="193250" cy="110854"/>
              </a:xfrm>
              <a:prstGeom prst="line">
                <a:avLst/>
              </a:prstGeom>
              <a:ln>
                <a:solidFill>
                  <a:schemeClr val="accent1">
                    <a:lumMod val="75000"/>
                  </a:schemeClr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  <xdr:sp macro="" textlink="">
          <xdr:nvSpPr>
            <xdr:cNvPr id="100" name="TextBox 119">
              <a:extLst>
                <a:ext uri="{FF2B5EF4-FFF2-40B4-BE49-F238E27FC236}">
                  <a16:creationId xmlns:a16="http://schemas.microsoft.com/office/drawing/2014/main" xmlns="" id="{00000000-0008-0000-1800-000064000000}"/>
                </a:ext>
              </a:extLst>
            </xdr:cNvPr>
            <xdr:cNvSpPr txBox="1"/>
          </xdr:nvSpPr>
          <xdr:spPr>
            <a:xfrm>
              <a:off x="904415" y="1215318"/>
              <a:ext cx="413446" cy="307777"/>
            </a:xfrm>
            <a:prstGeom prst="rect">
              <a:avLst/>
            </a:prstGeom>
            <a:noFill/>
          </xdr:spPr>
          <xdr:txBody>
            <a:bodyPr wrap="square" rtlCol="0">
              <a:spAutoFit/>
            </a:bodyPr>
            <a:lstStyle>
              <a:defPPr>
                <a:defRPr lang="en-US"/>
              </a:defPPr>
              <a:lvl1pPr marL="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r>
                <a:rPr lang="en-US" sz="1400"/>
                <a:t>3</a:t>
              </a:r>
              <a:endParaRPr lang="da-DK" sz="1400"/>
            </a:p>
          </xdr:txBody>
        </xdr:sp>
      </xdr:grpSp>
      <xdr:grpSp>
        <xdr:nvGrpSpPr>
          <xdr:cNvPr id="94" name="Group 93">
            <a:extLst>
              <a:ext uri="{FF2B5EF4-FFF2-40B4-BE49-F238E27FC236}">
                <a16:creationId xmlns:a16="http://schemas.microsoft.com/office/drawing/2014/main" xmlns="" id="{00000000-0008-0000-1800-00005E000000}"/>
              </a:ext>
            </a:extLst>
          </xdr:cNvPr>
          <xdr:cNvGrpSpPr/>
        </xdr:nvGrpSpPr>
        <xdr:grpSpPr>
          <a:xfrm>
            <a:off x="4675148" y="1537051"/>
            <a:ext cx="688714" cy="679468"/>
            <a:chOff x="904415" y="1215318"/>
            <a:chExt cx="688714" cy="679468"/>
          </a:xfrm>
        </xdr:grpSpPr>
        <xdr:grpSp>
          <xdr:nvGrpSpPr>
            <xdr:cNvPr id="95" name="Group 94">
              <a:extLst>
                <a:ext uri="{FF2B5EF4-FFF2-40B4-BE49-F238E27FC236}">
                  <a16:creationId xmlns:a16="http://schemas.microsoft.com/office/drawing/2014/main" xmlns="" id="{00000000-0008-0000-1800-00005F000000}"/>
                </a:ext>
              </a:extLst>
            </xdr:cNvPr>
            <xdr:cNvGrpSpPr/>
          </xdr:nvGrpSpPr>
          <xdr:grpSpPr>
            <a:xfrm>
              <a:off x="1206630" y="1412241"/>
              <a:ext cx="386499" cy="482545"/>
              <a:chOff x="1206630" y="1412241"/>
              <a:chExt cx="386499" cy="482545"/>
            </a:xfrm>
          </xdr:grpSpPr>
          <xdr:sp macro="" textlink="">
            <xdr:nvSpPr>
              <xdr:cNvPr id="97" name="Oval 96">
                <a:extLst>
                  <a:ext uri="{FF2B5EF4-FFF2-40B4-BE49-F238E27FC236}">
                    <a16:creationId xmlns:a16="http://schemas.microsoft.com/office/drawing/2014/main" xmlns="" id="{00000000-0008-0000-1800-000061000000}"/>
                  </a:ext>
                </a:extLst>
              </xdr:cNvPr>
              <xdr:cNvSpPr/>
            </xdr:nvSpPr>
            <xdr:spPr>
              <a:xfrm>
                <a:off x="1206630" y="1523095"/>
                <a:ext cx="386499" cy="371691"/>
              </a:xfrm>
              <a:prstGeom prst="ellipse">
                <a:avLst/>
              </a:prstGeom>
              <a:noFill/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wrap="square" rtlCol="0" anchor="ctr"/>
              <a:lstStyle>
                <a:defPPr>
                  <a:defRPr lang="en-US"/>
                </a:defPPr>
                <a:lvl1pPr marL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da-DK"/>
              </a:p>
            </xdr:txBody>
          </xdr:sp>
          <xdr:cxnSp macro="">
            <xdr:nvCxnSpPr>
              <xdr:cNvPr id="98" name="Straight Connector 97">
                <a:extLst>
                  <a:ext uri="{FF2B5EF4-FFF2-40B4-BE49-F238E27FC236}">
                    <a16:creationId xmlns:a16="http://schemas.microsoft.com/office/drawing/2014/main" xmlns="" id="{00000000-0008-0000-1800-000062000000}"/>
                  </a:ext>
                </a:extLst>
              </xdr:cNvPr>
              <xdr:cNvCxnSpPr>
                <a:stCxn id="97" idx="0"/>
              </xdr:cNvCxnSpPr>
            </xdr:nvCxnSpPr>
            <xdr:spPr>
              <a:xfrm flipH="1" flipV="1">
                <a:off x="1206630" y="1412241"/>
                <a:ext cx="193250" cy="110854"/>
              </a:xfrm>
              <a:prstGeom prst="line">
                <a:avLst/>
              </a:prstGeom>
              <a:ln>
                <a:solidFill>
                  <a:schemeClr val="accent1">
                    <a:lumMod val="75000"/>
                  </a:schemeClr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  <xdr:sp macro="" textlink="">
          <xdr:nvSpPr>
            <xdr:cNvPr id="96" name="TextBox 124">
              <a:extLst>
                <a:ext uri="{FF2B5EF4-FFF2-40B4-BE49-F238E27FC236}">
                  <a16:creationId xmlns:a16="http://schemas.microsoft.com/office/drawing/2014/main" xmlns="" id="{00000000-0008-0000-1800-000060000000}"/>
                </a:ext>
              </a:extLst>
            </xdr:cNvPr>
            <xdr:cNvSpPr txBox="1"/>
          </xdr:nvSpPr>
          <xdr:spPr>
            <a:xfrm>
              <a:off x="904415" y="1215318"/>
              <a:ext cx="413446" cy="307777"/>
            </a:xfrm>
            <a:prstGeom prst="rect">
              <a:avLst/>
            </a:prstGeom>
            <a:noFill/>
          </xdr:spPr>
          <xdr:txBody>
            <a:bodyPr wrap="square" rtlCol="0">
              <a:spAutoFit/>
            </a:bodyPr>
            <a:lstStyle>
              <a:defPPr>
                <a:defRPr lang="en-US"/>
              </a:defPPr>
              <a:lvl1pPr marL="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r>
                <a:rPr lang="en-US" sz="1400"/>
                <a:t>3</a:t>
              </a:r>
              <a:endParaRPr lang="da-DK" sz="1400"/>
            </a:p>
          </xdr:txBody>
        </xdr:sp>
      </xdr:grpSp>
    </xdr:grpSp>
    <xdr:clientData/>
  </xdr:twoCellAnchor>
  <xdr:twoCellAnchor>
    <xdr:from>
      <xdr:col>13</xdr:col>
      <xdr:colOff>453571</xdr:colOff>
      <xdr:row>96</xdr:row>
      <xdr:rowOff>154215</xdr:rowOff>
    </xdr:from>
    <xdr:to>
      <xdr:col>23</xdr:col>
      <xdr:colOff>312149</xdr:colOff>
      <xdr:row>109</xdr:row>
      <xdr:rowOff>193344</xdr:rowOff>
    </xdr:to>
    <xdr:grpSp>
      <xdr:nvGrpSpPr>
        <xdr:cNvPr id="151" name="Group 150">
          <a:extLst>
            <a:ext uri="{FF2B5EF4-FFF2-40B4-BE49-F238E27FC236}">
              <a16:creationId xmlns:a16="http://schemas.microsoft.com/office/drawing/2014/main" xmlns="" id="{00000000-0008-0000-1800-000097000000}"/>
            </a:ext>
          </a:extLst>
        </xdr:cNvPr>
        <xdr:cNvGrpSpPr/>
      </xdr:nvGrpSpPr>
      <xdr:grpSpPr>
        <a:xfrm>
          <a:off x="8617857" y="19454586"/>
          <a:ext cx="6390006" cy="2586387"/>
          <a:chOff x="574261" y="1068290"/>
          <a:chExt cx="5936435" cy="2633558"/>
        </a:xfrm>
      </xdr:grpSpPr>
      <xdr:sp macro="" textlink="">
        <xdr:nvSpPr>
          <xdr:cNvPr id="152" name="Rectangle 151">
            <a:extLst>
              <a:ext uri="{FF2B5EF4-FFF2-40B4-BE49-F238E27FC236}">
                <a16:creationId xmlns:a16="http://schemas.microsoft.com/office/drawing/2014/main" xmlns="" id="{00000000-0008-0000-1800-000098000000}"/>
              </a:ext>
            </a:extLst>
          </xdr:cNvPr>
          <xdr:cNvSpPr/>
        </xdr:nvSpPr>
        <xdr:spPr>
          <a:xfrm>
            <a:off x="1046480" y="1442720"/>
            <a:ext cx="3825911" cy="1879599"/>
          </a:xfrm>
          <a:prstGeom prst="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da-DK"/>
          </a:p>
        </xdr:txBody>
      </xdr:sp>
      <xdr:sp macro="" textlink="">
        <xdr:nvSpPr>
          <xdr:cNvPr id="153" name="Rectangle 152">
            <a:extLst>
              <a:ext uri="{FF2B5EF4-FFF2-40B4-BE49-F238E27FC236}">
                <a16:creationId xmlns:a16="http://schemas.microsoft.com/office/drawing/2014/main" xmlns="" id="{00000000-0008-0000-1800-000099000000}"/>
              </a:ext>
            </a:extLst>
          </xdr:cNvPr>
          <xdr:cNvSpPr/>
        </xdr:nvSpPr>
        <xdr:spPr>
          <a:xfrm>
            <a:off x="4872391" y="2756418"/>
            <a:ext cx="1156907" cy="565901"/>
          </a:xfrm>
          <a:prstGeom prst="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da-DK"/>
          </a:p>
        </xdr:txBody>
      </xdr:sp>
      <xdr:sp macro="" textlink="">
        <xdr:nvSpPr>
          <xdr:cNvPr id="154" name="Rectangle 153">
            <a:extLst>
              <a:ext uri="{FF2B5EF4-FFF2-40B4-BE49-F238E27FC236}">
                <a16:creationId xmlns:a16="http://schemas.microsoft.com/office/drawing/2014/main" xmlns="" id="{00000000-0008-0000-1800-00009A000000}"/>
              </a:ext>
            </a:extLst>
          </xdr:cNvPr>
          <xdr:cNvSpPr/>
        </xdr:nvSpPr>
        <xdr:spPr>
          <a:xfrm>
            <a:off x="1046480" y="2378451"/>
            <a:ext cx="31805" cy="943868"/>
          </a:xfrm>
          <a:prstGeom prst="rect">
            <a:avLst/>
          </a:prstGeom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da-DK"/>
          </a:p>
        </xdr:txBody>
      </xdr:sp>
      <xdr:sp macro="" textlink="">
        <xdr:nvSpPr>
          <xdr:cNvPr id="155" name="Rectangle 154">
            <a:extLst>
              <a:ext uri="{FF2B5EF4-FFF2-40B4-BE49-F238E27FC236}">
                <a16:creationId xmlns:a16="http://schemas.microsoft.com/office/drawing/2014/main" xmlns="" id="{00000000-0008-0000-1800-00009B000000}"/>
              </a:ext>
            </a:extLst>
          </xdr:cNvPr>
          <xdr:cNvSpPr/>
        </xdr:nvSpPr>
        <xdr:spPr>
          <a:xfrm>
            <a:off x="5993075" y="3004984"/>
            <a:ext cx="31805" cy="317335"/>
          </a:xfrm>
          <a:prstGeom prst="rect">
            <a:avLst/>
          </a:prstGeom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da-DK"/>
          </a:p>
        </xdr:txBody>
      </xdr:sp>
      <xdr:sp macro="" textlink="">
        <xdr:nvSpPr>
          <xdr:cNvPr id="156" name="TextBox 83">
            <a:extLst>
              <a:ext uri="{FF2B5EF4-FFF2-40B4-BE49-F238E27FC236}">
                <a16:creationId xmlns:a16="http://schemas.microsoft.com/office/drawing/2014/main" xmlns="" id="{00000000-0008-0000-1800-00009C000000}"/>
              </a:ext>
            </a:extLst>
          </xdr:cNvPr>
          <xdr:cNvSpPr txBox="1"/>
        </xdr:nvSpPr>
        <xdr:spPr>
          <a:xfrm>
            <a:off x="574261" y="2129264"/>
            <a:ext cx="304953" cy="319964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en-US"/>
              <a:t>h1</a:t>
            </a:r>
            <a:endParaRPr lang="da-DK"/>
          </a:p>
        </xdr:txBody>
      </xdr:sp>
      <xdr:sp macro="" textlink="">
        <xdr:nvSpPr>
          <xdr:cNvPr id="157" name="TextBox 85">
            <a:extLst>
              <a:ext uri="{FF2B5EF4-FFF2-40B4-BE49-F238E27FC236}">
                <a16:creationId xmlns:a16="http://schemas.microsoft.com/office/drawing/2014/main" xmlns="" id="{00000000-0008-0000-1800-00009D000000}"/>
              </a:ext>
            </a:extLst>
          </xdr:cNvPr>
          <xdr:cNvSpPr txBox="1"/>
        </xdr:nvSpPr>
        <xdr:spPr>
          <a:xfrm>
            <a:off x="2806958" y="3332516"/>
            <a:ext cx="354584" cy="369332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en-US"/>
              <a:t>l2</a:t>
            </a:r>
            <a:endParaRPr lang="da-DK"/>
          </a:p>
        </xdr:txBody>
      </xdr:sp>
      <xdr:sp macro="" textlink="">
        <xdr:nvSpPr>
          <xdr:cNvPr id="158" name="TextBox 86">
            <a:extLst>
              <a:ext uri="{FF2B5EF4-FFF2-40B4-BE49-F238E27FC236}">
                <a16:creationId xmlns:a16="http://schemas.microsoft.com/office/drawing/2014/main" xmlns="" id="{00000000-0008-0000-1800-00009E000000}"/>
              </a:ext>
            </a:extLst>
          </xdr:cNvPr>
          <xdr:cNvSpPr txBox="1"/>
        </xdr:nvSpPr>
        <xdr:spPr>
          <a:xfrm>
            <a:off x="2753368" y="1068290"/>
            <a:ext cx="354584" cy="369332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en-US"/>
              <a:t>l1</a:t>
            </a:r>
            <a:endParaRPr lang="da-DK"/>
          </a:p>
        </xdr:txBody>
      </xdr:sp>
      <xdr:sp macro="" textlink="">
        <xdr:nvSpPr>
          <xdr:cNvPr id="159" name="TextBox 87">
            <a:extLst>
              <a:ext uri="{FF2B5EF4-FFF2-40B4-BE49-F238E27FC236}">
                <a16:creationId xmlns:a16="http://schemas.microsoft.com/office/drawing/2014/main" xmlns="" id="{00000000-0008-0000-1800-00009F000000}"/>
              </a:ext>
            </a:extLst>
          </xdr:cNvPr>
          <xdr:cNvSpPr txBox="1"/>
        </xdr:nvSpPr>
        <xdr:spPr>
          <a:xfrm>
            <a:off x="6087182" y="2843687"/>
            <a:ext cx="423514" cy="369332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en-US"/>
              <a:t>h2</a:t>
            </a:r>
            <a:endParaRPr lang="da-DK"/>
          </a:p>
        </xdr:txBody>
      </xdr:sp>
      <xdr:sp macro="" textlink="">
        <xdr:nvSpPr>
          <xdr:cNvPr id="160" name="Rectangle 159">
            <a:extLst>
              <a:ext uri="{FF2B5EF4-FFF2-40B4-BE49-F238E27FC236}">
                <a16:creationId xmlns:a16="http://schemas.microsoft.com/office/drawing/2014/main" xmlns="" id="{00000000-0008-0000-1800-0000A0000000}"/>
              </a:ext>
            </a:extLst>
          </xdr:cNvPr>
          <xdr:cNvSpPr/>
        </xdr:nvSpPr>
        <xdr:spPr>
          <a:xfrm>
            <a:off x="3698240" y="2368291"/>
            <a:ext cx="31805" cy="943868"/>
          </a:xfrm>
          <a:prstGeom prst="rect">
            <a:avLst/>
          </a:prstGeom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da-DK"/>
          </a:p>
        </xdr:txBody>
      </xdr:sp>
    </xdr:grpSp>
    <xdr:clientData/>
  </xdr:twoCellAnchor>
  <xdr:twoCellAnchor>
    <xdr:from>
      <xdr:col>23</xdr:col>
      <xdr:colOff>616857</xdr:colOff>
      <xdr:row>94</xdr:row>
      <xdr:rowOff>117928</xdr:rowOff>
    </xdr:from>
    <xdr:to>
      <xdr:col>37</xdr:col>
      <xdr:colOff>396050</xdr:colOff>
      <xdr:row>110</xdr:row>
      <xdr:rowOff>41308</xdr:rowOff>
    </xdr:to>
    <xdr:grpSp>
      <xdr:nvGrpSpPr>
        <xdr:cNvPr id="161" name="Group 160">
          <a:extLst>
            <a:ext uri="{FF2B5EF4-FFF2-40B4-BE49-F238E27FC236}">
              <a16:creationId xmlns:a16="http://schemas.microsoft.com/office/drawing/2014/main" xmlns="" id="{00000000-0008-0000-1800-0000A1000000}"/>
            </a:ext>
          </a:extLst>
        </xdr:cNvPr>
        <xdr:cNvGrpSpPr/>
      </xdr:nvGrpSpPr>
      <xdr:grpSpPr>
        <a:xfrm>
          <a:off x="15312571" y="19015528"/>
          <a:ext cx="8574850" cy="3080237"/>
          <a:chOff x="574261" y="941308"/>
          <a:chExt cx="7997907" cy="3107451"/>
        </a:xfrm>
      </xdr:grpSpPr>
      <xdr:sp macro="" textlink="">
        <xdr:nvSpPr>
          <xdr:cNvPr id="162" name="TextBox 83">
            <a:extLst>
              <a:ext uri="{FF2B5EF4-FFF2-40B4-BE49-F238E27FC236}">
                <a16:creationId xmlns:a16="http://schemas.microsoft.com/office/drawing/2014/main" xmlns="" id="{00000000-0008-0000-1800-0000A2000000}"/>
              </a:ext>
            </a:extLst>
          </xdr:cNvPr>
          <xdr:cNvSpPr txBox="1"/>
        </xdr:nvSpPr>
        <xdr:spPr>
          <a:xfrm>
            <a:off x="574261" y="2129264"/>
            <a:ext cx="304953" cy="319964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en-US"/>
              <a:t>h1</a:t>
            </a:r>
            <a:endParaRPr lang="da-DK"/>
          </a:p>
        </xdr:txBody>
      </xdr:sp>
      <xdr:sp macro="" textlink="">
        <xdr:nvSpPr>
          <xdr:cNvPr id="163" name="TextBox 85">
            <a:extLst>
              <a:ext uri="{FF2B5EF4-FFF2-40B4-BE49-F238E27FC236}">
                <a16:creationId xmlns:a16="http://schemas.microsoft.com/office/drawing/2014/main" xmlns="" id="{00000000-0008-0000-1800-0000A3000000}"/>
              </a:ext>
            </a:extLst>
          </xdr:cNvPr>
          <xdr:cNvSpPr txBox="1"/>
        </xdr:nvSpPr>
        <xdr:spPr>
          <a:xfrm>
            <a:off x="2806958" y="3332516"/>
            <a:ext cx="354584" cy="369332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en-US"/>
              <a:t>l2</a:t>
            </a:r>
            <a:endParaRPr lang="da-DK"/>
          </a:p>
        </xdr:txBody>
      </xdr:sp>
      <xdr:grpSp>
        <xdr:nvGrpSpPr>
          <xdr:cNvPr id="164" name="Group 163">
            <a:extLst>
              <a:ext uri="{FF2B5EF4-FFF2-40B4-BE49-F238E27FC236}">
                <a16:creationId xmlns:a16="http://schemas.microsoft.com/office/drawing/2014/main" xmlns="" id="{00000000-0008-0000-1800-0000A4000000}"/>
              </a:ext>
            </a:extLst>
          </xdr:cNvPr>
          <xdr:cNvGrpSpPr/>
        </xdr:nvGrpSpPr>
        <xdr:grpSpPr>
          <a:xfrm>
            <a:off x="1046480" y="1310640"/>
            <a:ext cx="7525688" cy="2326639"/>
            <a:chOff x="1046480" y="995680"/>
            <a:chExt cx="7525688" cy="2326639"/>
          </a:xfrm>
        </xdr:grpSpPr>
        <xdr:sp macro="" textlink="">
          <xdr:nvSpPr>
            <xdr:cNvPr id="169" name="Rectangle 168">
              <a:extLst>
                <a:ext uri="{FF2B5EF4-FFF2-40B4-BE49-F238E27FC236}">
                  <a16:creationId xmlns:a16="http://schemas.microsoft.com/office/drawing/2014/main" xmlns="" id="{00000000-0008-0000-1800-0000A9000000}"/>
                </a:ext>
              </a:extLst>
            </xdr:cNvPr>
            <xdr:cNvSpPr/>
          </xdr:nvSpPr>
          <xdr:spPr>
            <a:xfrm>
              <a:off x="1046480" y="1442720"/>
              <a:ext cx="3825911" cy="1879599"/>
            </a:xfrm>
            <a:prstGeom prst="rect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n-US"/>
              </a:defPPr>
              <a:lvl1pPr marL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da-DK"/>
            </a:p>
          </xdr:txBody>
        </xdr:sp>
        <xdr:sp macro="" textlink="">
          <xdr:nvSpPr>
            <xdr:cNvPr id="170" name="Rectangle 169">
              <a:extLst>
                <a:ext uri="{FF2B5EF4-FFF2-40B4-BE49-F238E27FC236}">
                  <a16:creationId xmlns:a16="http://schemas.microsoft.com/office/drawing/2014/main" xmlns="" id="{00000000-0008-0000-1800-0000AA000000}"/>
                </a:ext>
              </a:extLst>
            </xdr:cNvPr>
            <xdr:cNvSpPr/>
          </xdr:nvSpPr>
          <xdr:spPr>
            <a:xfrm>
              <a:off x="1046480" y="2378451"/>
              <a:ext cx="31805" cy="943868"/>
            </a:xfrm>
            <a:prstGeom prst="rect">
              <a:avLst/>
            </a:prstGeom>
          </xdr:spPr>
          <xdr:style>
            <a:lnRef idx="2">
              <a:schemeClr val="dk1">
                <a:shade val="50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n-US"/>
              </a:defPPr>
              <a:lvl1pPr marL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da-DK"/>
            </a:p>
          </xdr:txBody>
        </xdr:sp>
        <xdr:sp macro="" textlink="">
          <xdr:nvSpPr>
            <xdr:cNvPr id="171" name="TextBox 86">
              <a:extLst>
                <a:ext uri="{FF2B5EF4-FFF2-40B4-BE49-F238E27FC236}">
                  <a16:creationId xmlns:a16="http://schemas.microsoft.com/office/drawing/2014/main" xmlns="" id="{00000000-0008-0000-1800-0000AB000000}"/>
                </a:ext>
              </a:extLst>
            </xdr:cNvPr>
            <xdr:cNvSpPr txBox="1"/>
          </xdr:nvSpPr>
          <xdr:spPr>
            <a:xfrm>
              <a:off x="2753368" y="1068290"/>
              <a:ext cx="354584" cy="369332"/>
            </a:xfrm>
            <a:prstGeom prst="rect">
              <a:avLst/>
            </a:prstGeom>
            <a:noFill/>
          </xdr:spPr>
          <xdr:txBody>
            <a:bodyPr wrap="square" rtlCol="0">
              <a:spAutoFit/>
            </a:bodyPr>
            <a:lstStyle>
              <a:defPPr>
                <a:defRPr lang="en-US"/>
              </a:defPPr>
              <a:lvl1pPr marL="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r>
                <a:rPr lang="en-US"/>
                <a:t>l1</a:t>
              </a:r>
              <a:endParaRPr lang="da-DK"/>
            </a:p>
          </xdr:txBody>
        </xdr:sp>
        <xdr:grpSp>
          <xdr:nvGrpSpPr>
            <xdr:cNvPr id="172" name="Group 171">
              <a:extLst>
                <a:ext uri="{FF2B5EF4-FFF2-40B4-BE49-F238E27FC236}">
                  <a16:creationId xmlns:a16="http://schemas.microsoft.com/office/drawing/2014/main" xmlns="" id="{00000000-0008-0000-1800-0000AC000000}"/>
                </a:ext>
              </a:extLst>
            </xdr:cNvPr>
            <xdr:cNvGrpSpPr/>
          </xdr:nvGrpSpPr>
          <xdr:grpSpPr>
            <a:xfrm>
              <a:off x="6933863" y="2756418"/>
              <a:ext cx="1638305" cy="565901"/>
              <a:chOff x="4872391" y="2756418"/>
              <a:chExt cx="1638305" cy="565901"/>
            </a:xfrm>
          </xdr:grpSpPr>
          <xdr:sp macro="" textlink="">
            <xdr:nvSpPr>
              <xdr:cNvPr id="178" name="Rectangle 177">
                <a:extLst>
                  <a:ext uri="{FF2B5EF4-FFF2-40B4-BE49-F238E27FC236}">
                    <a16:creationId xmlns:a16="http://schemas.microsoft.com/office/drawing/2014/main" xmlns="" id="{00000000-0008-0000-1800-0000B2000000}"/>
                  </a:ext>
                </a:extLst>
              </xdr:cNvPr>
              <xdr:cNvSpPr/>
            </xdr:nvSpPr>
            <xdr:spPr>
              <a:xfrm>
                <a:off x="4872391" y="2756418"/>
                <a:ext cx="1156907" cy="565901"/>
              </a:xfrm>
              <a:prstGeom prst="rect">
                <a:avLst/>
              </a:prstGeom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wrap="square" rtlCol="0" anchor="ctr"/>
              <a:lstStyle>
                <a:defPPr>
                  <a:defRPr lang="en-US"/>
                </a:defPPr>
                <a:lvl1pPr marL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da-DK"/>
              </a:p>
            </xdr:txBody>
          </xdr:sp>
          <xdr:sp macro="" textlink="">
            <xdr:nvSpPr>
              <xdr:cNvPr id="179" name="Rectangle 178">
                <a:extLst>
                  <a:ext uri="{FF2B5EF4-FFF2-40B4-BE49-F238E27FC236}">
                    <a16:creationId xmlns:a16="http://schemas.microsoft.com/office/drawing/2014/main" xmlns="" id="{00000000-0008-0000-1800-0000B3000000}"/>
                  </a:ext>
                </a:extLst>
              </xdr:cNvPr>
              <xdr:cNvSpPr/>
            </xdr:nvSpPr>
            <xdr:spPr>
              <a:xfrm>
                <a:off x="5993075" y="3004984"/>
                <a:ext cx="31805" cy="317335"/>
              </a:xfrm>
              <a:prstGeom prst="rect">
                <a:avLst/>
              </a:prstGeom>
            </xdr:spPr>
            <xdr:style>
              <a:lnRef idx="2">
                <a:schemeClr val="dk1">
                  <a:shade val="50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wrap="square" rtlCol="0" anchor="ctr"/>
              <a:lstStyle>
                <a:defPPr>
                  <a:defRPr lang="en-US"/>
                </a:defPPr>
                <a:lvl1pPr marL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da-DK"/>
              </a:p>
            </xdr:txBody>
          </xdr:sp>
          <xdr:sp macro="" textlink="">
            <xdr:nvSpPr>
              <xdr:cNvPr id="180" name="TextBox 87">
                <a:extLst>
                  <a:ext uri="{FF2B5EF4-FFF2-40B4-BE49-F238E27FC236}">
                    <a16:creationId xmlns:a16="http://schemas.microsoft.com/office/drawing/2014/main" xmlns="" id="{00000000-0008-0000-1800-0000B4000000}"/>
                  </a:ext>
                </a:extLst>
              </xdr:cNvPr>
              <xdr:cNvSpPr txBox="1"/>
            </xdr:nvSpPr>
            <xdr:spPr>
              <a:xfrm>
                <a:off x="6087182" y="2843687"/>
                <a:ext cx="423514" cy="369332"/>
              </a:xfrm>
              <a:prstGeom prst="rect">
                <a:avLst/>
              </a:prstGeom>
              <a:noFill/>
            </xdr:spPr>
            <xdr:txBody>
              <a:bodyPr wrap="square" rtlCol="0">
                <a:spAutoFit/>
              </a:bodyPr>
              <a:lstStyle>
                <a:defPPr>
                  <a:defRPr lang="en-US"/>
                </a:defPPr>
                <a:lvl1pPr marL="0" algn="l" defTabSz="4572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4572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4572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4572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4572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4572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4572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4572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4572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r>
                  <a:rPr lang="en-US"/>
                  <a:t>h2</a:t>
                </a:r>
                <a:endParaRPr lang="da-DK"/>
              </a:p>
            </xdr:txBody>
          </xdr:sp>
        </xdr:grpSp>
        <xdr:sp macro="" textlink="">
          <xdr:nvSpPr>
            <xdr:cNvPr id="173" name="Rectangle 172">
              <a:extLst>
                <a:ext uri="{FF2B5EF4-FFF2-40B4-BE49-F238E27FC236}">
                  <a16:creationId xmlns:a16="http://schemas.microsoft.com/office/drawing/2014/main" xmlns="" id="{00000000-0008-0000-1800-0000AD000000}"/>
                </a:ext>
              </a:extLst>
            </xdr:cNvPr>
            <xdr:cNvSpPr/>
          </xdr:nvSpPr>
          <xdr:spPr>
            <a:xfrm>
              <a:off x="3698240" y="2368291"/>
              <a:ext cx="31805" cy="943868"/>
            </a:xfrm>
            <a:prstGeom prst="rect">
              <a:avLst/>
            </a:prstGeom>
          </xdr:spPr>
          <xdr:style>
            <a:lnRef idx="2">
              <a:schemeClr val="dk1">
                <a:shade val="50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n-US"/>
              </a:defPPr>
              <a:lvl1pPr marL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da-DK"/>
            </a:p>
          </xdr:txBody>
        </xdr:sp>
        <xdr:sp macro="" textlink="">
          <xdr:nvSpPr>
            <xdr:cNvPr id="174" name="Rectangle 173">
              <a:extLst>
                <a:ext uri="{FF2B5EF4-FFF2-40B4-BE49-F238E27FC236}">
                  <a16:creationId xmlns:a16="http://schemas.microsoft.com/office/drawing/2014/main" xmlns="" id="{00000000-0008-0000-1800-0000AE000000}"/>
                </a:ext>
              </a:extLst>
            </xdr:cNvPr>
            <xdr:cNvSpPr/>
          </xdr:nvSpPr>
          <xdr:spPr>
            <a:xfrm>
              <a:off x="4872391" y="995680"/>
              <a:ext cx="1203289" cy="2326639"/>
            </a:xfrm>
            <a:prstGeom prst="rect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n-US"/>
              </a:defPPr>
              <a:lvl1pPr marL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da-DK"/>
            </a:p>
          </xdr:txBody>
        </xdr:sp>
        <xdr:sp macro="" textlink="">
          <xdr:nvSpPr>
            <xdr:cNvPr id="175" name="Rectangle 174">
              <a:extLst>
                <a:ext uri="{FF2B5EF4-FFF2-40B4-BE49-F238E27FC236}">
                  <a16:creationId xmlns:a16="http://schemas.microsoft.com/office/drawing/2014/main" xmlns="" id="{00000000-0008-0000-1800-0000AF000000}"/>
                </a:ext>
              </a:extLst>
            </xdr:cNvPr>
            <xdr:cNvSpPr/>
          </xdr:nvSpPr>
          <xdr:spPr>
            <a:xfrm>
              <a:off x="6075680" y="1437622"/>
              <a:ext cx="858183" cy="1884697"/>
            </a:xfrm>
            <a:prstGeom prst="rect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n-US"/>
              </a:defPPr>
              <a:lvl1pPr marL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da-DK"/>
            </a:p>
          </xdr:txBody>
        </xdr:sp>
        <xdr:sp macro="" textlink="">
          <xdr:nvSpPr>
            <xdr:cNvPr id="176" name="Rectangle 175">
              <a:extLst>
                <a:ext uri="{FF2B5EF4-FFF2-40B4-BE49-F238E27FC236}">
                  <a16:creationId xmlns:a16="http://schemas.microsoft.com/office/drawing/2014/main" xmlns="" id="{00000000-0008-0000-1800-0000B0000000}"/>
                </a:ext>
              </a:extLst>
            </xdr:cNvPr>
            <xdr:cNvSpPr/>
          </xdr:nvSpPr>
          <xdr:spPr>
            <a:xfrm>
              <a:off x="4886960" y="2368291"/>
              <a:ext cx="31805" cy="943868"/>
            </a:xfrm>
            <a:prstGeom prst="rect">
              <a:avLst/>
            </a:prstGeom>
          </xdr:spPr>
          <xdr:style>
            <a:lnRef idx="2">
              <a:schemeClr val="dk1">
                <a:shade val="50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n-US"/>
              </a:defPPr>
              <a:lvl1pPr marL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da-DK"/>
            </a:p>
          </xdr:txBody>
        </xdr:sp>
        <xdr:sp macro="" textlink="">
          <xdr:nvSpPr>
            <xdr:cNvPr id="177" name="Rectangle 176">
              <a:extLst>
                <a:ext uri="{FF2B5EF4-FFF2-40B4-BE49-F238E27FC236}">
                  <a16:creationId xmlns:a16="http://schemas.microsoft.com/office/drawing/2014/main" xmlns="" id="{00000000-0008-0000-1800-0000B1000000}"/>
                </a:ext>
              </a:extLst>
            </xdr:cNvPr>
            <xdr:cNvSpPr/>
          </xdr:nvSpPr>
          <xdr:spPr>
            <a:xfrm>
              <a:off x="6045200" y="2378451"/>
              <a:ext cx="31805" cy="943868"/>
            </a:xfrm>
            <a:prstGeom prst="rect">
              <a:avLst/>
            </a:prstGeom>
          </xdr:spPr>
          <xdr:style>
            <a:lnRef idx="2">
              <a:schemeClr val="dk1">
                <a:shade val="50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n-US"/>
              </a:defPPr>
              <a:lvl1pPr marL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da-DK"/>
            </a:p>
          </xdr:txBody>
        </xdr:sp>
      </xdr:grpSp>
      <xdr:sp macro="" textlink="">
        <xdr:nvSpPr>
          <xdr:cNvPr id="165" name="TextBox 34">
            <a:extLst>
              <a:ext uri="{FF2B5EF4-FFF2-40B4-BE49-F238E27FC236}">
                <a16:creationId xmlns:a16="http://schemas.microsoft.com/office/drawing/2014/main" xmlns="" id="{00000000-0008-0000-1800-0000A5000000}"/>
              </a:ext>
            </a:extLst>
          </xdr:cNvPr>
          <xdr:cNvSpPr txBox="1"/>
        </xdr:nvSpPr>
        <xdr:spPr>
          <a:xfrm>
            <a:off x="4264027" y="3679427"/>
            <a:ext cx="354584" cy="369332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en-US"/>
              <a:t>l2</a:t>
            </a:r>
            <a:endParaRPr lang="da-DK"/>
          </a:p>
        </xdr:txBody>
      </xdr:sp>
      <xdr:sp macro="" textlink="">
        <xdr:nvSpPr>
          <xdr:cNvPr id="166" name="TextBox 35">
            <a:extLst>
              <a:ext uri="{FF2B5EF4-FFF2-40B4-BE49-F238E27FC236}">
                <a16:creationId xmlns:a16="http://schemas.microsoft.com/office/drawing/2014/main" xmlns="" id="{00000000-0008-0000-1800-0000A6000000}"/>
              </a:ext>
            </a:extLst>
          </xdr:cNvPr>
          <xdr:cNvSpPr txBox="1"/>
        </xdr:nvSpPr>
        <xdr:spPr>
          <a:xfrm>
            <a:off x="5296743" y="941308"/>
            <a:ext cx="354584" cy="369332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en-US"/>
              <a:t>l3</a:t>
            </a:r>
            <a:endParaRPr lang="da-DK"/>
          </a:p>
        </xdr:txBody>
      </xdr:sp>
      <xdr:sp macro="" textlink="">
        <xdr:nvSpPr>
          <xdr:cNvPr id="167" name="TextBox 37">
            <a:extLst>
              <a:ext uri="{FF2B5EF4-FFF2-40B4-BE49-F238E27FC236}">
                <a16:creationId xmlns:a16="http://schemas.microsoft.com/office/drawing/2014/main" xmlns="" id="{00000000-0008-0000-1800-0000A7000000}"/>
              </a:ext>
            </a:extLst>
          </xdr:cNvPr>
          <xdr:cNvSpPr txBox="1"/>
        </xdr:nvSpPr>
        <xdr:spPr>
          <a:xfrm>
            <a:off x="6327479" y="1378914"/>
            <a:ext cx="354584" cy="369332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en-US"/>
              <a:t>l4</a:t>
            </a:r>
            <a:endParaRPr lang="da-DK"/>
          </a:p>
        </xdr:txBody>
      </xdr:sp>
      <xdr:sp macro="" textlink="">
        <xdr:nvSpPr>
          <xdr:cNvPr id="168" name="TextBox 38">
            <a:extLst>
              <a:ext uri="{FF2B5EF4-FFF2-40B4-BE49-F238E27FC236}">
                <a16:creationId xmlns:a16="http://schemas.microsoft.com/office/drawing/2014/main" xmlns="" id="{00000000-0008-0000-1800-0000A8000000}"/>
              </a:ext>
            </a:extLst>
          </xdr:cNvPr>
          <xdr:cNvSpPr txBox="1"/>
        </xdr:nvSpPr>
        <xdr:spPr>
          <a:xfrm>
            <a:off x="5260522" y="2129264"/>
            <a:ext cx="423514" cy="369332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en-US"/>
              <a:t>h3</a:t>
            </a:r>
            <a:endParaRPr lang="da-DK"/>
          </a:p>
        </xdr:txBody>
      </xdr:sp>
    </xdr:grp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54428</xdr:colOff>
      <xdr:row>16</xdr:row>
      <xdr:rowOff>31750</xdr:rowOff>
    </xdr:from>
    <xdr:to>
      <xdr:col>26</xdr:col>
      <xdr:colOff>238125</xdr:colOff>
      <xdr:row>16</xdr:row>
      <xdr:rowOff>176893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xmlns="" id="{00000000-0008-0000-1900-000002000000}"/>
            </a:ext>
          </a:extLst>
        </xdr:cNvPr>
        <xdr:cNvSpPr/>
      </xdr:nvSpPr>
      <xdr:spPr>
        <a:xfrm>
          <a:off x="10309678" y="2978150"/>
          <a:ext cx="6851197" cy="145143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da-DK" sz="1100"/>
            <a:t>SFBase</a:t>
          </a:r>
        </a:p>
      </xdr:txBody>
    </xdr:sp>
    <xdr:clientData/>
  </xdr:twoCellAnchor>
  <xdr:twoCellAnchor>
    <xdr:from>
      <xdr:col>16</xdr:col>
      <xdr:colOff>571499</xdr:colOff>
      <xdr:row>7</xdr:row>
      <xdr:rowOff>14775</xdr:rowOff>
    </xdr:from>
    <xdr:to>
      <xdr:col>19</xdr:col>
      <xdr:colOff>7937</xdr:colOff>
      <xdr:row>9</xdr:row>
      <xdr:rowOff>152400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xmlns="" id="{00000000-0008-0000-1900-000003000000}"/>
            </a:ext>
          </a:extLst>
        </xdr:cNvPr>
        <xdr:cNvSpPr/>
      </xdr:nvSpPr>
      <xdr:spPr>
        <a:xfrm>
          <a:off x="10807699" y="1303825"/>
          <a:ext cx="1366838" cy="5059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da-DK" sz="1100"/>
            <a:t>MSMM</a:t>
          </a:r>
        </a:p>
      </xdr:txBody>
    </xdr:sp>
    <xdr:clientData/>
  </xdr:twoCellAnchor>
  <xdr:twoCellAnchor>
    <xdr:from>
      <xdr:col>6</xdr:col>
      <xdr:colOff>585107</xdr:colOff>
      <xdr:row>18</xdr:row>
      <xdr:rowOff>76200</xdr:rowOff>
    </xdr:from>
    <xdr:to>
      <xdr:col>11</xdr:col>
      <xdr:colOff>25400</xdr:colOff>
      <xdr:row>18</xdr:row>
      <xdr:rowOff>81642</xdr:rowOff>
    </xdr:to>
    <xdr:cxnSp macro="">
      <xdr:nvCxnSpPr>
        <xdr:cNvPr id="4" name="Straight Arrow Connector 3">
          <a:extLst>
            <a:ext uri="{FF2B5EF4-FFF2-40B4-BE49-F238E27FC236}">
              <a16:creationId xmlns:a16="http://schemas.microsoft.com/office/drawing/2014/main" xmlns="" id="{00000000-0008-0000-1900-000004000000}"/>
            </a:ext>
          </a:extLst>
        </xdr:cNvPr>
        <xdr:cNvCxnSpPr/>
      </xdr:nvCxnSpPr>
      <xdr:spPr>
        <a:xfrm flipV="1">
          <a:off x="4934857" y="3390900"/>
          <a:ext cx="2583543" cy="5442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27214</xdr:colOff>
      <xdr:row>17</xdr:row>
      <xdr:rowOff>0</xdr:rowOff>
    </xdr:from>
    <xdr:to>
      <xdr:col>26</xdr:col>
      <xdr:colOff>71204</xdr:colOff>
      <xdr:row>17</xdr:row>
      <xdr:rowOff>0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xmlns="" id="{00000000-0008-0000-1900-000005000000}"/>
            </a:ext>
          </a:extLst>
        </xdr:cNvPr>
        <xdr:cNvCxnSpPr/>
      </xdr:nvCxnSpPr>
      <xdr:spPr>
        <a:xfrm>
          <a:off x="10282464" y="3130550"/>
          <a:ext cx="6711490" cy="0"/>
        </a:xfrm>
        <a:prstGeom prst="straightConnector1">
          <a:avLst/>
        </a:prstGeom>
        <a:ln w="38100">
          <a:solidFill>
            <a:srgbClr val="FF0000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258315</xdr:colOff>
      <xdr:row>5</xdr:row>
      <xdr:rowOff>29870</xdr:rowOff>
    </xdr:from>
    <xdr:to>
      <xdr:col>14</xdr:col>
      <xdr:colOff>10286</xdr:colOff>
      <xdr:row>18</xdr:row>
      <xdr:rowOff>110216</xdr:rowOff>
    </xdr:to>
    <xdr:grpSp>
      <xdr:nvGrpSpPr>
        <xdr:cNvPr id="6" name="Group 12">
          <a:extLst>
            <a:ext uri="{FF2B5EF4-FFF2-40B4-BE49-F238E27FC236}">
              <a16:creationId xmlns:a16="http://schemas.microsoft.com/office/drawing/2014/main" xmlns="" id="{00000000-0008-0000-1900-000006000000}"/>
            </a:ext>
          </a:extLst>
        </xdr:cNvPr>
        <xdr:cNvGrpSpPr/>
      </xdr:nvGrpSpPr>
      <xdr:grpSpPr>
        <a:xfrm>
          <a:off x="4597482" y="929453"/>
          <a:ext cx="4535637" cy="2419263"/>
          <a:chOff x="4159135" y="182563"/>
          <a:chExt cx="5423778" cy="2646346"/>
        </a:xfrm>
      </xdr:grpSpPr>
      <xdr:grpSp>
        <xdr:nvGrpSpPr>
          <xdr:cNvPr id="7" name="Group 83">
            <a:extLst>
              <a:ext uri="{FF2B5EF4-FFF2-40B4-BE49-F238E27FC236}">
                <a16:creationId xmlns:a16="http://schemas.microsoft.com/office/drawing/2014/main" xmlns="" id="{00000000-0008-0000-1900-000007000000}"/>
              </a:ext>
            </a:extLst>
          </xdr:cNvPr>
          <xdr:cNvGrpSpPr/>
        </xdr:nvGrpSpPr>
        <xdr:grpSpPr>
          <a:xfrm>
            <a:off x="4572000" y="182563"/>
            <a:ext cx="5010913" cy="2349499"/>
            <a:chOff x="15122525" y="4575969"/>
            <a:chExt cx="7357238" cy="2667000"/>
          </a:xfrm>
        </xdr:grpSpPr>
        <xdr:cxnSp macro="">
          <xdr:nvCxnSpPr>
            <xdr:cNvPr id="9" name="Straight Arrow Connector 8">
              <a:extLst>
                <a:ext uri="{FF2B5EF4-FFF2-40B4-BE49-F238E27FC236}">
                  <a16:creationId xmlns:a16="http://schemas.microsoft.com/office/drawing/2014/main" xmlns="" id="{00000000-0008-0000-1900-000009000000}"/>
                </a:ext>
              </a:extLst>
            </xdr:cNvPr>
            <xdr:cNvCxnSpPr/>
          </xdr:nvCxnSpPr>
          <xdr:spPr>
            <a:xfrm>
              <a:off x="21019015" y="4762500"/>
              <a:ext cx="0" cy="2476500"/>
            </a:xfrm>
            <a:prstGeom prst="straightConnector1">
              <a:avLst/>
            </a:prstGeom>
            <a:ln>
              <a:headEnd type="arrow"/>
              <a:tailEnd type="arrow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grpSp>
          <xdr:nvGrpSpPr>
            <xdr:cNvPr id="10" name="Group 72">
              <a:extLst>
                <a:ext uri="{FF2B5EF4-FFF2-40B4-BE49-F238E27FC236}">
                  <a16:creationId xmlns:a16="http://schemas.microsoft.com/office/drawing/2014/main" xmlns="" id="{00000000-0008-0000-1900-00000A000000}"/>
                </a:ext>
              </a:extLst>
            </xdr:cNvPr>
            <xdr:cNvGrpSpPr/>
          </xdr:nvGrpSpPr>
          <xdr:grpSpPr>
            <a:xfrm>
              <a:off x="17261588" y="4575969"/>
              <a:ext cx="5218175" cy="2667000"/>
              <a:chOff x="17245713" y="4560094"/>
              <a:chExt cx="5218175" cy="2667000"/>
            </a:xfrm>
          </xdr:grpSpPr>
          <xdr:cxnSp macro="">
            <xdr:nvCxnSpPr>
              <xdr:cNvPr id="20" name="Straight Arrow Connector 19">
                <a:extLst>
                  <a:ext uri="{FF2B5EF4-FFF2-40B4-BE49-F238E27FC236}">
                    <a16:creationId xmlns:a16="http://schemas.microsoft.com/office/drawing/2014/main" xmlns="" id="{00000000-0008-0000-1900-000014000000}"/>
                  </a:ext>
                </a:extLst>
              </xdr:cNvPr>
              <xdr:cNvCxnSpPr/>
            </xdr:nvCxnSpPr>
            <xdr:spPr>
              <a:xfrm flipV="1">
                <a:off x="17245713" y="4560094"/>
                <a:ext cx="0" cy="2667000"/>
              </a:xfrm>
              <a:prstGeom prst="straightConnector1">
                <a:avLst/>
              </a:prstGeom>
              <a:ln w="38100">
                <a:solidFill>
                  <a:srgbClr val="FF0000"/>
                </a:solidFill>
                <a:tailEnd type="arrow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21" name="Straight Arrow Connector 20">
                <a:extLst>
                  <a:ext uri="{FF2B5EF4-FFF2-40B4-BE49-F238E27FC236}">
                    <a16:creationId xmlns:a16="http://schemas.microsoft.com/office/drawing/2014/main" xmlns="" id="{00000000-0008-0000-1900-000015000000}"/>
                  </a:ext>
                </a:extLst>
              </xdr:cNvPr>
              <xdr:cNvCxnSpPr/>
            </xdr:nvCxnSpPr>
            <xdr:spPr>
              <a:xfrm flipV="1">
                <a:off x="17245713" y="7225393"/>
                <a:ext cx="5218175" cy="1701"/>
              </a:xfrm>
              <a:prstGeom prst="straightConnector1">
                <a:avLst/>
              </a:prstGeom>
              <a:ln w="38100">
                <a:solidFill>
                  <a:srgbClr val="FF0000"/>
                </a:solidFill>
                <a:tailEnd type="arrow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  <xdr:grpSp>
          <xdr:nvGrpSpPr>
            <xdr:cNvPr id="11" name="Group 82">
              <a:extLst>
                <a:ext uri="{FF2B5EF4-FFF2-40B4-BE49-F238E27FC236}">
                  <a16:creationId xmlns:a16="http://schemas.microsoft.com/office/drawing/2014/main" xmlns="" id="{00000000-0008-0000-1900-00000B000000}"/>
                </a:ext>
              </a:extLst>
            </xdr:cNvPr>
            <xdr:cNvGrpSpPr/>
          </xdr:nvGrpSpPr>
          <xdr:grpSpPr>
            <a:xfrm>
              <a:off x="15122525" y="4753772"/>
              <a:ext cx="4240497" cy="2473322"/>
              <a:chOff x="15122525" y="4753772"/>
              <a:chExt cx="4240497" cy="2473322"/>
            </a:xfrm>
          </xdr:grpSpPr>
          <xdr:grpSp>
            <xdr:nvGrpSpPr>
              <xdr:cNvPr id="12" name="Group 74">
                <a:extLst>
                  <a:ext uri="{FF2B5EF4-FFF2-40B4-BE49-F238E27FC236}">
                    <a16:creationId xmlns:a16="http://schemas.microsoft.com/office/drawing/2014/main" xmlns="" id="{00000000-0008-0000-1900-00000C000000}"/>
                  </a:ext>
                </a:extLst>
              </xdr:cNvPr>
              <xdr:cNvGrpSpPr/>
            </xdr:nvGrpSpPr>
            <xdr:grpSpPr>
              <a:xfrm>
                <a:off x="17240250" y="4760122"/>
                <a:ext cx="2122772" cy="2466972"/>
                <a:chOff x="17240250" y="4760122"/>
                <a:chExt cx="2122772" cy="2466972"/>
              </a:xfrm>
            </xdr:grpSpPr>
            <xdr:cxnSp macro="">
              <xdr:nvCxnSpPr>
                <xdr:cNvPr id="17" name="Straight Arrow Connector 16">
                  <a:extLst>
                    <a:ext uri="{FF2B5EF4-FFF2-40B4-BE49-F238E27FC236}">
                      <a16:creationId xmlns:a16="http://schemas.microsoft.com/office/drawing/2014/main" xmlns="" id="{00000000-0008-0000-1900-000011000000}"/>
                    </a:ext>
                  </a:extLst>
                </xdr:cNvPr>
                <xdr:cNvCxnSpPr/>
              </xdr:nvCxnSpPr>
              <xdr:spPr>
                <a:xfrm>
                  <a:off x="17240250" y="7223125"/>
                  <a:ext cx="2122772" cy="3969"/>
                </a:xfrm>
                <a:prstGeom prst="straightConnector1">
                  <a:avLst/>
                </a:prstGeom>
                <a:ln>
                  <a:headEnd type="arrow"/>
                  <a:tailEnd type="arrow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18" name="Straight Arrow Connector 17">
                  <a:extLst>
                    <a:ext uri="{FF2B5EF4-FFF2-40B4-BE49-F238E27FC236}">
                      <a16:creationId xmlns:a16="http://schemas.microsoft.com/office/drawing/2014/main" xmlns="" id="{00000000-0008-0000-1900-000012000000}"/>
                    </a:ext>
                  </a:extLst>
                </xdr:cNvPr>
                <xdr:cNvCxnSpPr/>
              </xdr:nvCxnSpPr>
              <xdr:spPr>
                <a:xfrm>
                  <a:off x="18147293" y="4760122"/>
                  <a:ext cx="1201396" cy="2452688"/>
                </a:xfrm>
                <a:prstGeom prst="straightConnector1">
                  <a:avLst/>
                </a:prstGeom>
                <a:ln>
                  <a:headEnd type="arrow"/>
                  <a:tailEnd type="arrow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19" name="Straight Arrow Connector 28">
                  <a:extLst>
                    <a:ext uri="{FF2B5EF4-FFF2-40B4-BE49-F238E27FC236}">
                      <a16:creationId xmlns:a16="http://schemas.microsoft.com/office/drawing/2014/main" xmlns="" id="{00000000-0008-0000-1900-000013000000}"/>
                    </a:ext>
                  </a:extLst>
                </xdr:cNvPr>
                <xdr:cNvCxnSpPr/>
              </xdr:nvCxnSpPr>
              <xdr:spPr>
                <a:xfrm>
                  <a:off x="17240250" y="4762500"/>
                  <a:ext cx="909482" cy="1"/>
                </a:xfrm>
                <a:prstGeom prst="straightConnector1">
                  <a:avLst/>
                </a:prstGeom>
                <a:ln>
                  <a:headEnd type="arrow"/>
                  <a:tailEnd type="arrow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</xdr:grpSp>
          <xdr:grpSp>
            <xdr:nvGrpSpPr>
              <xdr:cNvPr id="13" name="Group 75">
                <a:extLst>
                  <a:ext uri="{FF2B5EF4-FFF2-40B4-BE49-F238E27FC236}">
                    <a16:creationId xmlns:a16="http://schemas.microsoft.com/office/drawing/2014/main" xmlns="" id="{00000000-0008-0000-1900-00000D000000}"/>
                  </a:ext>
                </a:extLst>
              </xdr:cNvPr>
              <xdr:cNvGrpSpPr/>
            </xdr:nvGrpSpPr>
            <xdr:grpSpPr>
              <a:xfrm flipH="1">
                <a:off x="15122525" y="4753772"/>
                <a:ext cx="2122772" cy="2466972"/>
                <a:chOff x="17240250" y="4760122"/>
                <a:chExt cx="2122772" cy="2466972"/>
              </a:xfrm>
            </xdr:grpSpPr>
            <xdr:cxnSp macro="">
              <xdr:nvCxnSpPr>
                <xdr:cNvPr id="14" name="Straight Arrow Connector 13">
                  <a:extLst>
                    <a:ext uri="{FF2B5EF4-FFF2-40B4-BE49-F238E27FC236}">
                      <a16:creationId xmlns:a16="http://schemas.microsoft.com/office/drawing/2014/main" xmlns="" id="{00000000-0008-0000-1900-00000E000000}"/>
                    </a:ext>
                  </a:extLst>
                </xdr:cNvPr>
                <xdr:cNvCxnSpPr/>
              </xdr:nvCxnSpPr>
              <xdr:spPr>
                <a:xfrm>
                  <a:off x="17240250" y="7223125"/>
                  <a:ext cx="2122772" cy="3969"/>
                </a:xfrm>
                <a:prstGeom prst="straightConnector1">
                  <a:avLst/>
                </a:prstGeom>
                <a:ln>
                  <a:headEnd type="arrow"/>
                  <a:tailEnd type="arrow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15" name="Straight Arrow Connector 14">
                  <a:extLst>
                    <a:ext uri="{FF2B5EF4-FFF2-40B4-BE49-F238E27FC236}">
                      <a16:creationId xmlns:a16="http://schemas.microsoft.com/office/drawing/2014/main" xmlns="" id="{00000000-0008-0000-1900-00000F000000}"/>
                    </a:ext>
                  </a:extLst>
                </xdr:cNvPr>
                <xdr:cNvCxnSpPr/>
              </xdr:nvCxnSpPr>
              <xdr:spPr>
                <a:xfrm>
                  <a:off x="18147293" y="4760122"/>
                  <a:ext cx="1201396" cy="2452688"/>
                </a:xfrm>
                <a:prstGeom prst="straightConnector1">
                  <a:avLst/>
                </a:prstGeom>
                <a:ln>
                  <a:headEnd type="arrow"/>
                  <a:tailEnd type="arrow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16" name="Straight Arrow Connector 15">
                  <a:extLst>
                    <a:ext uri="{FF2B5EF4-FFF2-40B4-BE49-F238E27FC236}">
                      <a16:creationId xmlns:a16="http://schemas.microsoft.com/office/drawing/2014/main" xmlns="" id="{00000000-0008-0000-1900-000010000000}"/>
                    </a:ext>
                  </a:extLst>
                </xdr:cNvPr>
                <xdr:cNvCxnSpPr/>
              </xdr:nvCxnSpPr>
              <xdr:spPr>
                <a:xfrm>
                  <a:off x="17240250" y="4762500"/>
                  <a:ext cx="909482" cy="1"/>
                </a:xfrm>
                <a:prstGeom prst="straightConnector1">
                  <a:avLst/>
                </a:prstGeom>
                <a:ln>
                  <a:headEnd type="arrow"/>
                  <a:tailEnd type="arrow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</xdr:grpSp>
        </xdr:grpSp>
      </xdr:grpSp>
      <xdr:sp macro="" textlink="">
        <xdr:nvSpPr>
          <xdr:cNvPr id="8" name="Arc 7">
            <a:extLst>
              <a:ext uri="{FF2B5EF4-FFF2-40B4-BE49-F238E27FC236}">
                <a16:creationId xmlns:a16="http://schemas.microsoft.com/office/drawing/2014/main" xmlns="" id="{00000000-0008-0000-1900-000008000000}"/>
              </a:ext>
            </a:extLst>
          </xdr:cNvPr>
          <xdr:cNvSpPr/>
        </xdr:nvSpPr>
        <xdr:spPr>
          <a:xfrm rot="359687">
            <a:off x="4159135" y="2162649"/>
            <a:ext cx="991277" cy="666260"/>
          </a:xfrm>
          <a:prstGeom prst="arc">
            <a:avLst>
              <a:gd name="adj1" fmla="val 16200000"/>
              <a:gd name="adj2" fmla="val 21499628"/>
            </a:avLst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rtlCol="0" anchor="ctr"/>
          <a:lstStyle/>
          <a:p>
            <a:pPr algn="ctr"/>
            <a:endParaRPr lang="da-DK" sz="1100"/>
          </a:p>
        </xdr:txBody>
      </xdr:sp>
    </xdr:grpSp>
    <xdr:clientData/>
  </xdr:twoCellAnchor>
  <xdr:twoCellAnchor>
    <xdr:from>
      <xdr:col>21</xdr:col>
      <xdr:colOff>40815</xdr:colOff>
      <xdr:row>2</xdr:row>
      <xdr:rowOff>0</xdr:rowOff>
    </xdr:from>
    <xdr:to>
      <xdr:col>22</xdr:col>
      <xdr:colOff>246063</xdr:colOff>
      <xdr:row>2</xdr:row>
      <xdr:rowOff>0</xdr:rowOff>
    </xdr:to>
    <xdr:cxnSp macro="">
      <xdr:nvCxnSpPr>
        <xdr:cNvPr id="22" name="Straight Arrow Connector 21">
          <a:extLst>
            <a:ext uri="{FF2B5EF4-FFF2-40B4-BE49-F238E27FC236}">
              <a16:creationId xmlns:a16="http://schemas.microsoft.com/office/drawing/2014/main" xmlns="" id="{00000000-0008-0000-1900-000016000000}"/>
            </a:ext>
          </a:extLst>
        </xdr:cNvPr>
        <xdr:cNvCxnSpPr/>
      </xdr:nvCxnSpPr>
      <xdr:spPr>
        <a:xfrm>
          <a:off x="13566315" y="368300"/>
          <a:ext cx="884698" cy="0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455831</xdr:colOff>
      <xdr:row>2</xdr:row>
      <xdr:rowOff>0</xdr:rowOff>
    </xdr:from>
    <xdr:to>
      <xdr:col>25</xdr:col>
      <xdr:colOff>309562</xdr:colOff>
      <xdr:row>2</xdr:row>
      <xdr:rowOff>5670</xdr:rowOff>
    </xdr:to>
    <xdr:cxnSp macro="">
      <xdr:nvCxnSpPr>
        <xdr:cNvPr id="23" name="Straight Arrow Connector 22">
          <a:extLst>
            <a:ext uri="{FF2B5EF4-FFF2-40B4-BE49-F238E27FC236}">
              <a16:creationId xmlns:a16="http://schemas.microsoft.com/office/drawing/2014/main" xmlns="" id="{00000000-0008-0000-1900-000017000000}"/>
            </a:ext>
          </a:extLst>
        </xdr:cNvPr>
        <xdr:cNvCxnSpPr/>
      </xdr:nvCxnSpPr>
      <xdr:spPr>
        <a:xfrm flipV="1">
          <a:off x="14660781" y="368300"/>
          <a:ext cx="1892081" cy="5670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298977</xdr:colOff>
      <xdr:row>1</xdr:row>
      <xdr:rowOff>190500</xdr:rowOff>
    </xdr:from>
    <xdr:to>
      <xdr:col>26</xdr:col>
      <xdr:colOff>219370</xdr:colOff>
      <xdr:row>2</xdr:row>
      <xdr:rowOff>11113</xdr:rowOff>
    </xdr:to>
    <xdr:cxnSp macro="">
      <xdr:nvCxnSpPr>
        <xdr:cNvPr id="24" name="Straight Arrow Connector 23">
          <a:extLst>
            <a:ext uri="{FF2B5EF4-FFF2-40B4-BE49-F238E27FC236}">
              <a16:creationId xmlns:a16="http://schemas.microsoft.com/office/drawing/2014/main" xmlns="" id="{00000000-0008-0000-1900-000018000000}"/>
            </a:ext>
          </a:extLst>
        </xdr:cNvPr>
        <xdr:cNvCxnSpPr/>
      </xdr:nvCxnSpPr>
      <xdr:spPr>
        <a:xfrm>
          <a:off x="16542277" y="368300"/>
          <a:ext cx="599843" cy="11113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95249</xdr:colOff>
      <xdr:row>2</xdr:row>
      <xdr:rowOff>0</xdr:rowOff>
    </xdr:from>
    <xdr:to>
      <xdr:col>21</xdr:col>
      <xdr:colOff>27194</xdr:colOff>
      <xdr:row>2</xdr:row>
      <xdr:rowOff>13607</xdr:rowOff>
    </xdr:to>
    <xdr:cxnSp macro="">
      <xdr:nvCxnSpPr>
        <xdr:cNvPr id="25" name="Straight Arrow Connector 24">
          <a:extLst>
            <a:ext uri="{FF2B5EF4-FFF2-40B4-BE49-F238E27FC236}">
              <a16:creationId xmlns:a16="http://schemas.microsoft.com/office/drawing/2014/main" xmlns="" id="{00000000-0008-0000-1900-000019000000}"/>
            </a:ext>
          </a:extLst>
        </xdr:cNvPr>
        <xdr:cNvCxnSpPr/>
      </xdr:nvCxnSpPr>
      <xdr:spPr>
        <a:xfrm flipV="1">
          <a:off x="12261849" y="368300"/>
          <a:ext cx="1290845" cy="13607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223213</xdr:colOff>
      <xdr:row>3</xdr:row>
      <xdr:rowOff>768</xdr:rowOff>
    </xdr:from>
    <xdr:to>
      <xdr:col>25</xdr:col>
      <xdr:colOff>531055</xdr:colOff>
      <xdr:row>17</xdr:row>
      <xdr:rowOff>8092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xmlns="" id="{00000000-0008-0000-1900-00001A000000}"/>
            </a:ext>
          </a:extLst>
        </xdr:cNvPr>
        <xdr:cNvGrpSpPr/>
      </xdr:nvGrpSpPr>
      <xdr:grpSpPr>
        <a:xfrm>
          <a:off x="14383713" y="540518"/>
          <a:ext cx="2339842" cy="2526157"/>
          <a:chOff x="16168006" y="593132"/>
          <a:chExt cx="2147580" cy="2884781"/>
        </a:xfrm>
      </xdr:grpSpPr>
      <xdr:grpSp>
        <xdr:nvGrpSpPr>
          <xdr:cNvPr id="27" name="Group 26">
            <a:extLst>
              <a:ext uri="{FF2B5EF4-FFF2-40B4-BE49-F238E27FC236}">
                <a16:creationId xmlns:a16="http://schemas.microsoft.com/office/drawing/2014/main" xmlns="" id="{00000000-0008-0000-1900-00001B000000}"/>
              </a:ext>
            </a:extLst>
          </xdr:cNvPr>
          <xdr:cNvGrpSpPr/>
        </xdr:nvGrpSpPr>
        <xdr:grpSpPr>
          <a:xfrm>
            <a:off x="16925110" y="593132"/>
            <a:ext cx="1390476" cy="2884781"/>
            <a:chOff x="5950411" y="11613323"/>
            <a:chExt cx="2218578" cy="2476500"/>
          </a:xfrm>
        </xdr:grpSpPr>
        <xdr:cxnSp macro="">
          <xdr:nvCxnSpPr>
            <xdr:cNvPr id="31" name="Straight Arrow Connector 30">
              <a:extLst>
                <a:ext uri="{FF2B5EF4-FFF2-40B4-BE49-F238E27FC236}">
                  <a16:creationId xmlns:a16="http://schemas.microsoft.com/office/drawing/2014/main" xmlns="" id="{00000000-0008-0000-1900-00001F000000}"/>
                </a:ext>
              </a:extLst>
            </xdr:cNvPr>
            <xdr:cNvCxnSpPr/>
          </xdr:nvCxnSpPr>
          <xdr:spPr>
            <a:xfrm>
              <a:off x="8168989" y="11613323"/>
              <a:ext cx="0" cy="2476500"/>
            </a:xfrm>
            <a:prstGeom prst="straightConnector1">
              <a:avLst/>
            </a:prstGeom>
            <a:ln>
              <a:headEnd type="arrow"/>
              <a:tailEnd type="arrow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32" name="Rectangle 31">
              <a:extLst>
                <a:ext uri="{FF2B5EF4-FFF2-40B4-BE49-F238E27FC236}">
                  <a16:creationId xmlns:a16="http://schemas.microsoft.com/office/drawing/2014/main" xmlns="" id="{00000000-0008-0000-1900-000020000000}"/>
                </a:ext>
              </a:extLst>
            </xdr:cNvPr>
            <xdr:cNvSpPr/>
          </xdr:nvSpPr>
          <xdr:spPr>
            <a:xfrm>
              <a:off x="5950411" y="11832772"/>
              <a:ext cx="983645" cy="463831"/>
            </a:xfrm>
            <a:prstGeom prst="rect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r>
                <a:rPr lang="da-DK" sz="1100"/>
                <a:t>BSBB</a:t>
              </a:r>
            </a:p>
          </xdr:txBody>
        </xdr:sp>
      </xdr:grpSp>
      <xdr:cxnSp macro="">
        <xdr:nvCxnSpPr>
          <xdr:cNvPr id="28" name="Straight Arrow Connector 27">
            <a:extLst>
              <a:ext uri="{FF2B5EF4-FFF2-40B4-BE49-F238E27FC236}">
                <a16:creationId xmlns:a16="http://schemas.microsoft.com/office/drawing/2014/main" xmlns="" id="{00000000-0008-0000-1900-00001C000000}"/>
              </a:ext>
            </a:extLst>
          </xdr:cNvPr>
          <xdr:cNvCxnSpPr/>
        </xdr:nvCxnSpPr>
        <xdr:spPr>
          <a:xfrm>
            <a:off x="16924226" y="595963"/>
            <a:ext cx="13607" cy="2843893"/>
          </a:xfrm>
          <a:prstGeom prst="straightConnector1">
            <a:avLst/>
          </a:prstGeom>
          <a:ln>
            <a:headEnd type="arrow"/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9" name="Straight Arrow Connector 28">
            <a:extLst>
              <a:ext uri="{FF2B5EF4-FFF2-40B4-BE49-F238E27FC236}">
                <a16:creationId xmlns:a16="http://schemas.microsoft.com/office/drawing/2014/main" xmlns="" id="{00000000-0008-0000-1900-00001D000000}"/>
              </a:ext>
            </a:extLst>
          </xdr:cNvPr>
          <xdr:cNvCxnSpPr/>
        </xdr:nvCxnSpPr>
        <xdr:spPr>
          <a:xfrm>
            <a:off x="17553214" y="612321"/>
            <a:ext cx="13609" cy="2830286"/>
          </a:xfrm>
          <a:prstGeom prst="straightConnector1">
            <a:avLst/>
          </a:prstGeom>
          <a:ln>
            <a:headEnd type="arrow"/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0" name="Straight Arrow Connector 29">
            <a:extLst>
              <a:ext uri="{FF2B5EF4-FFF2-40B4-BE49-F238E27FC236}">
                <a16:creationId xmlns:a16="http://schemas.microsoft.com/office/drawing/2014/main" xmlns="" id="{00000000-0008-0000-1900-00001E000000}"/>
              </a:ext>
            </a:extLst>
          </xdr:cNvPr>
          <xdr:cNvCxnSpPr/>
        </xdr:nvCxnSpPr>
        <xdr:spPr>
          <a:xfrm flipH="1">
            <a:off x="16168006" y="625929"/>
            <a:ext cx="24494" cy="2792187"/>
          </a:xfrm>
          <a:prstGeom prst="straightConnector1">
            <a:avLst/>
          </a:prstGeom>
          <a:ln>
            <a:headEnd type="arrow"/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16</xdr:col>
      <xdr:colOff>46921</xdr:colOff>
      <xdr:row>6</xdr:row>
      <xdr:rowOff>13607</xdr:rowOff>
    </xdr:from>
    <xdr:to>
      <xdr:col>16</xdr:col>
      <xdr:colOff>54429</xdr:colOff>
      <xdr:row>16</xdr:row>
      <xdr:rowOff>144098</xdr:rowOff>
    </xdr:to>
    <xdr:cxnSp macro="">
      <xdr:nvCxnSpPr>
        <xdr:cNvPr id="33" name="Straight Arrow Connector 32">
          <a:extLst>
            <a:ext uri="{FF2B5EF4-FFF2-40B4-BE49-F238E27FC236}">
              <a16:creationId xmlns:a16="http://schemas.microsoft.com/office/drawing/2014/main" xmlns="" id="{00000000-0008-0000-1900-000021000000}"/>
            </a:ext>
          </a:extLst>
        </xdr:cNvPr>
        <xdr:cNvCxnSpPr/>
      </xdr:nvCxnSpPr>
      <xdr:spPr>
        <a:xfrm flipH="1">
          <a:off x="10302171" y="1118507"/>
          <a:ext cx="7508" cy="1971991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562177</xdr:colOff>
      <xdr:row>6</xdr:row>
      <xdr:rowOff>21545</xdr:rowOff>
    </xdr:from>
    <xdr:to>
      <xdr:col>16</xdr:col>
      <xdr:colOff>566965</xdr:colOff>
      <xdr:row>16</xdr:row>
      <xdr:rowOff>195580</xdr:rowOff>
    </xdr:to>
    <xdr:cxnSp macro="">
      <xdr:nvCxnSpPr>
        <xdr:cNvPr id="34" name="Straight Arrow Connector 33">
          <a:extLst>
            <a:ext uri="{FF2B5EF4-FFF2-40B4-BE49-F238E27FC236}">
              <a16:creationId xmlns:a16="http://schemas.microsoft.com/office/drawing/2014/main" xmlns="" id="{00000000-0008-0000-1900-000022000000}"/>
            </a:ext>
          </a:extLst>
        </xdr:cNvPr>
        <xdr:cNvCxnSpPr/>
      </xdr:nvCxnSpPr>
      <xdr:spPr>
        <a:xfrm flipH="1">
          <a:off x="10804727" y="1126445"/>
          <a:ext cx="4788" cy="2002835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0</xdr:colOff>
      <xdr:row>5</xdr:row>
      <xdr:rowOff>169333</xdr:rowOff>
    </xdr:from>
    <xdr:to>
      <xdr:col>20</xdr:col>
      <xdr:colOff>205</xdr:colOff>
      <xdr:row>16</xdr:row>
      <xdr:rowOff>190365</xdr:rowOff>
    </xdr:to>
    <xdr:cxnSp macro="">
      <xdr:nvCxnSpPr>
        <xdr:cNvPr id="35" name="Straight Arrow Connector 34">
          <a:extLst>
            <a:ext uri="{FF2B5EF4-FFF2-40B4-BE49-F238E27FC236}">
              <a16:creationId xmlns:a16="http://schemas.microsoft.com/office/drawing/2014/main" xmlns="" id="{00000000-0008-0000-1900-000023000000}"/>
            </a:ext>
          </a:extLst>
        </xdr:cNvPr>
        <xdr:cNvCxnSpPr/>
      </xdr:nvCxnSpPr>
      <xdr:spPr>
        <a:xfrm>
          <a:off x="12846050" y="1090083"/>
          <a:ext cx="205" cy="2040332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657</xdr:colOff>
      <xdr:row>6</xdr:row>
      <xdr:rowOff>0</xdr:rowOff>
    </xdr:from>
    <xdr:to>
      <xdr:col>19</xdr:col>
      <xdr:colOff>13607</xdr:colOff>
      <xdr:row>16</xdr:row>
      <xdr:rowOff>193088</xdr:rowOff>
    </xdr:to>
    <xdr:cxnSp macro="">
      <xdr:nvCxnSpPr>
        <xdr:cNvPr id="36" name="Straight Arrow Connector 35">
          <a:extLst>
            <a:ext uri="{FF2B5EF4-FFF2-40B4-BE49-F238E27FC236}">
              <a16:creationId xmlns:a16="http://schemas.microsoft.com/office/drawing/2014/main" xmlns="" id="{00000000-0008-0000-1900-000024000000}"/>
            </a:ext>
          </a:extLst>
        </xdr:cNvPr>
        <xdr:cNvCxnSpPr/>
      </xdr:nvCxnSpPr>
      <xdr:spPr>
        <a:xfrm flipH="1">
          <a:off x="12167257" y="1104900"/>
          <a:ext cx="12950" cy="2028238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13610</xdr:colOff>
      <xdr:row>3</xdr:row>
      <xdr:rowOff>13610</xdr:rowOff>
    </xdr:from>
    <xdr:to>
      <xdr:col>16</xdr:col>
      <xdr:colOff>13610</xdr:colOff>
      <xdr:row>16</xdr:row>
      <xdr:rowOff>202575</xdr:rowOff>
    </xdr:to>
    <xdr:cxnSp macro="">
      <xdr:nvCxnSpPr>
        <xdr:cNvPr id="37" name="Straight Arrow Connector 36">
          <a:extLst>
            <a:ext uri="{FF2B5EF4-FFF2-40B4-BE49-F238E27FC236}">
              <a16:creationId xmlns:a16="http://schemas.microsoft.com/office/drawing/2014/main" xmlns="" id="{00000000-0008-0000-1900-000025000000}"/>
            </a:ext>
          </a:extLst>
        </xdr:cNvPr>
        <xdr:cNvCxnSpPr/>
      </xdr:nvCxnSpPr>
      <xdr:spPr>
        <a:xfrm flipV="1">
          <a:off x="10268860" y="566060"/>
          <a:ext cx="0" cy="2563865"/>
        </a:xfrm>
        <a:prstGeom prst="straightConnector1">
          <a:avLst/>
        </a:prstGeom>
        <a:ln w="38100">
          <a:solidFill>
            <a:srgbClr val="FF0000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13607</xdr:colOff>
      <xdr:row>18</xdr:row>
      <xdr:rowOff>81642</xdr:rowOff>
    </xdr:from>
    <xdr:to>
      <xdr:col>22</xdr:col>
      <xdr:colOff>190500</xdr:colOff>
      <xdr:row>18</xdr:row>
      <xdr:rowOff>84667</xdr:rowOff>
    </xdr:to>
    <xdr:cxnSp macro="">
      <xdr:nvCxnSpPr>
        <xdr:cNvPr id="38" name="Straight Arrow Connector 37">
          <a:extLst>
            <a:ext uri="{FF2B5EF4-FFF2-40B4-BE49-F238E27FC236}">
              <a16:creationId xmlns:a16="http://schemas.microsoft.com/office/drawing/2014/main" xmlns="" id="{00000000-0008-0000-1900-000026000000}"/>
            </a:ext>
          </a:extLst>
        </xdr:cNvPr>
        <xdr:cNvCxnSpPr/>
      </xdr:nvCxnSpPr>
      <xdr:spPr>
        <a:xfrm>
          <a:off x="10268857" y="3396342"/>
          <a:ext cx="4126593" cy="3025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3296</xdr:colOff>
      <xdr:row>19</xdr:row>
      <xdr:rowOff>0</xdr:rowOff>
    </xdr:from>
    <xdr:to>
      <xdr:col>26</xdr:col>
      <xdr:colOff>264584</xdr:colOff>
      <xdr:row>19</xdr:row>
      <xdr:rowOff>2721</xdr:rowOff>
    </xdr:to>
    <xdr:cxnSp macro="">
      <xdr:nvCxnSpPr>
        <xdr:cNvPr id="39" name="Straight Arrow Connector 38">
          <a:extLst>
            <a:ext uri="{FF2B5EF4-FFF2-40B4-BE49-F238E27FC236}">
              <a16:creationId xmlns:a16="http://schemas.microsoft.com/office/drawing/2014/main" xmlns="" id="{00000000-0008-0000-1900-000027000000}"/>
            </a:ext>
          </a:extLst>
        </xdr:cNvPr>
        <xdr:cNvCxnSpPr/>
      </xdr:nvCxnSpPr>
      <xdr:spPr>
        <a:xfrm flipV="1">
          <a:off x="10258546" y="3498850"/>
          <a:ext cx="6928788" cy="2721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101297</xdr:colOff>
      <xdr:row>13</xdr:row>
      <xdr:rowOff>179917</xdr:rowOff>
    </xdr:from>
    <xdr:to>
      <xdr:col>10</xdr:col>
      <xdr:colOff>243417</xdr:colOff>
      <xdr:row>13</xdr:row>
      <xdr:rowOff>190501</xdr:rowOff>
    </xdr:to>
    <xdr:cxnSp macro="">
      <xdr:nvCxnSpPr>
        <xdr:cNvPr id="40" name="Straight Connector 39">
          <a:extLst>
            <a:ext uri="{FF2B5EF4-FFF2-40B4-BE49-F238E27FC236}">
              <a16:creationId xmlns:a16="http://schemas.microsoft.com/office/drawing/2014/main" xmlns="" id="{00000000-0008-0000-1900-000028000000}"/>
            </a:ext>
          </a:extLst>
        </xdr:cNvPr>
        <xdr:cNvCxnSpPr/>
      </xdr:nvCxnSpPr>
      <xdr:spPr>
        <a:xfrm flipV="1">
          <a:off x="5130497" y="2573867"/>
          <a:ext cx="2053470" cy="4234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9524</xdr:colOff>
      <xdr:row>7</xdr:row>
      <xdr:rowOff>8424</xdr:rowOff>
    </xdr:from>
    <xdr:to>
      <xdr:col>22</xdr:col>
      <xdr:colOff>230188</xdr:colOff>
      <xdr:row>15</xdr:row>
      <xdr:rowOff>169332</xdr:rowOff>
    </xdr:to>
    <xdr:sp macro="" textlink="">
      <xdr:nvSpPr>
        <xdr:cNvPr id="41" name="Rectangle 40">
          <a:extLst>
            <a:ext uri="{FF2B5EF4-FFF2-40B4-BE49-F238E27FC236}">
              <a16:creationId xmlns:a16="http://schemas.microsoft.com/office/drawing/2014/main" xmlns="" id="{00000000-0008-0000-1900-000029000000}"/>
            </a:ext>
          </a:extLst>
        </xdr:cNvPr>
        <xdr:cNvSpPr/>
      </xdr:nvSpPr>
      <xdr:spPr>
        <a:xfrm>
          <a:off x="12855574" y="1297474"/>
          <a:ext cx="1579564" cy="163410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da-DK" sz="1100"/>
            <a:t>MSMB</a:t>
          </a:r>
        </a:p>
      </xdr:txBody>
    </xdr:sp>
    <xdr:clientData/>
  </xdr:twoCellAnchor>
  <xdr:twoCellAnchor>
    <xdr:from>
      <xdr:col>25</xdr:col>
      <xdr:colOff>539750</xdr:colOff>
      <xdr:row>7</xdr:row>
      <xdr:rowOff>2075</xdr:rowOff>
    </xdr:from>
    <xdr:to>
      <xdr:col>26</xdr:col>
      <xdr:colOff>246062</xdr:colOff>
      <xdr:row>16</xdr:row>
      <xdr:rowOff>10583</xdr:rowOff>
    </xdr:to>
    <xdr:sp macro="" textlink="">
      <xdr:nvSpPr>
        <xdr:cNvPr id="42" name="Rectangle 41">
          <a:extLst>
            <a:ext uri="{FF2B5EF4-FFF2-40B4-BE49-F238E27FC236}">
              <a16:creationId xmlns:a16="http://schemas.microsoft.com/office/drawing/2014/main" xmlns="" id="{00000000-0008-0000-1900-00002A000000}"/>
            </a:ext>
          </a:extLst>
        </xdr:cNvPr>
        <xdr:cNvSpPr/>
      </xdr:nvSpPr>
      <xdr:spPr>
        <a:xfrm>
          <a:off x="16783050" y="1291125"/>
          <a:ext cx="385762" cy="166585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da-DK" sz="1100"/>
            <a:t>SFX</a:t>
          </a:r>
        </a:p>
      </xdr:txBody>
    </xdr:sp>
    <xdr:clientData/>
  </xdr:twoCellAnchor>
  <xdr:twoCellAnchor>
    <xdr:from>
      <xdr:col>19</xdr:col>
      <xdr:colOff>664632</xdr:colOff>
      <xdr:row>3</xdr:row>
      <xdr:rowOff>52917</xdr:rowOff>
    </xdr:from>
    <xdr:to>
      <xdr:col>22</xdr:col>
      <xdr:colOff>232833</xdr:colOff>
      <xdr:row>6</xdr:row>
      <xdr:rowOff>5141</xdr:rowOff>
    </xdr:to>
    <xdr:cxnSp macro="">
      <xdr:nvCxnSpPr>
        <xdr:cNvPr id="43" name="Straight Arrow Connector 42">
          <a:extLst>
            <a:ext uri="{FF2B5EF4-FFF2-40B4-BE49-F238E27FC236}">
              <a16:creationId xmlns:a16="http://schemas.microsoft.com/office/drawing/2014/main" xmlns="" id="{00000000-0008-0000-1900-00002B000000}"/>
            </a:ext>
          </a:extLst>
        </xdr:cNvPr>
        <xdr:cNvCxnSpPr/>
      </xdr:nvCxnSpPr>
      <xdr:spPr>
        <a:xfrm flipV="1">
          <a:off x="12831232" y="605367"/>
          <a:ext cx="1606551" cy="504674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0</xdr:colOff>
      <xdr:row>13</xdr:row>
      <xdr:rowOff>38058</xdr:rowOff>
    </xdr:from>
    <xdr:to>
      <xdr:col>19</xdr:col>
      <xdr:colOff>5821</xdr:colOff>
      <xdr:row>15</xdr:row>
      <xdr:rowOff>175683</xdr:rowOff>
    </xdr:to>
    <xdr:sp macro="" textlink="">
      <xdr:nvSpPr>
        <xdr:cNvPr id="44" name="Rectangle 43">
          <a:extLst>
            <a:ext uri="{FF2B5EF4-FFF2-40B4-BE49-F238E27FC236}">
              <a16:creationId xmlns:a16="http://schemas.microsoft.com/office/drawing/2014/main" xmlns="" id="{00000000-0008-0000-1900-00002C000000}"/>
            </a:ext>
          </a:extLst>
        </xdr:cNvPr>
        <xdr:cNvSpPr/>
      </xdr:nvSpPr>
      <xdr:spPr>
        <a:xfrm>
          <a:off x="10807700" y="2432008"/>
          <a:ext cx="1364721" cy="5059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da-DK" sz="1100"/>
            <a:t>SFMM</a:t>
          </a:r>
        </a:p>
      </xdr:txBody>
    </xdr:sp>
    <xdr:clientData/>
  </xdr:twoCellAnchor>
  <xdr:twoCellAnchor>
    <xdr:from>
      <xdr:col>23</xdr:col>
      <xdr:colOff>391584</xdr:colOff>
      <xdr:row>13</xdr:row>
      <xdr:rowOff>52916</xdr:rowOff>
    </xdr:from>
    <xdr:to>
      <xdr:col>24</xdr:col>
      <xdr:colOff>385933</xdr:colOff>
      <xdr:row>15</xdr:row>
      <xdr:rowOff>166214</xdr:rowOff>
    </xdr:to>
    <xdr:sp macro="" textlink="">
      <xdr:nvSpPr>
        <xdr:cNvPr id="45" name="Rectangle 44">
          <a:extLst>
            <a:ext uri="{FF2B5EF4-FFF2-40B4-BE49-F238E27FC236}">
              <a16:creationId xmlns:a16="http://schemas.microsoft.com/office/drawing/2014/main" xmlns="" id="{00000000-0008-0000-1900-00002D000000}"/>
            </a:ext>
          </a:extLst>
        </xdr:cNvPr>
        <xdr:cNvSpPr/>
      </xdr:nvSpPr>
      <xdr:spPr>
        <a:xfrm>
          <a:off x="15275984" y="2446866"/>
          <a:ext cx="673799" cy="48159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da-DK" sz="1100"/>
            <a:t>SFBB</a:t>
          </a: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54428</xdr:colOff>
      <xdr:row>16</xdr:row>
      <xdr:rowOff>31750</xdr:rowOff>
    </xdr:from>
    <xdr:to>
      <xdr:col>26</xdr:col>
      <xdr:colOff>238125</xdr:colOff>
      <xdr:row>16</xdr:row>
      <xdr:rowOff>176893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xmlns="" id="{00000000-0008-0000-1A00-000002000000}"/>
            </a:ext>
          </a:extLst>
        </xdr:cNvPr>
        <xdr:cNvSpPr/>
      </xdr:nvSpPr>
      <xdr:spPr>
        <a:xfrm>
          <a:off x="10309678" y="2978150"/>
          <a:ext cx="6851197" cy="145143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da-DK" sz="1100"/>
            <a:t>SFBase</a:t>
          </a:r>
        </a:p>
      </xdr:txBody>
    </xdr:sp>
    <xdr:clientData/>
  </xdr:twoCellAnchor>
  <xdr:twoCellAnchor>
    <xdr:from>
      <xdr:col>16</xdr:col>
      <xdr:colOff>571499</xdr:colOff>
      <xdr:row>7</xdr:row>
      <xdr:rowOff>14775</xdr:rowOff>
    </xdr:from>
    <xdr:to>
      <xdr:col>19</xdr:col>
      <xdr:colOff>7937</xdr:colOff>
      <xdr:row>9</xdr:row>
      <xdr:rowOff>152400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xmlns="" id="{00000000-0008-0000-1A00-000003000000}"/>
            </a:ext>
          </a:extLst>
        </xdr:cNvPr>
        <xdr:cNvSpPr/>
      </xdr:nvSpPr>
      <xdr:spPr>
        <a:xfrm>
          <a:off x="10807699" y="1303825"/>
          <a:ext cx="1366838" cy="5059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da-DK" sz="1100"/>
            <a:t>MSMM</a:t>
          </a:r>
        </a:p>
      </xdr:txBody>
    </xdr:sp>
    <xdr:clientData/>
  </xdr:twoCellAnchor>
  <xdr:twoCellAnchor>
    <xdr:from>
      <xdr:col>6</xdr:col>
      <xdr:colOff>585107</xdr:colOff>
      <xdr:row>18</xdr:row>
      <xdr:rowOff>76200</xdr:rowOff>
    </xdr:from>
    <xdr:to>
      <xdr:col>11</xdr:col>
      <xdr:colOff>25400</xdr:colOff>
      <xdr:row>18</xdr:row>
      <xdr:rowOff>81642</xdr:rowOff>
    </xdr:to>
    <xdr:cxnSp macro="">
      <xdr:nvCxnSpPr>
        <xdr:cNvPr id="4" name="Straight Arrow Connector 3">
          <a:extLst>
            <a:ext uri="{FF2B5EF4-FFF2-40B4-BE49-F238E27FC236}">
              <a16:creationId xmlns:a16="http://schemas.microsoft.com/office/drawing/2014/main" xmlns="" id="{00000000-0008-0000-1A00-000004000000}"/>
            </a:ext>
          </a:extLst>
        </xdr:cNvPr>
        <xdr:cNvCxnSpPr/>
      </xdr:nvCxnSpPr>
      <xdr:spPr>
        <a:xfrm flipV="1">
          <a:off x="4934857" y="3390900"/>
          <a:ext cx="2583543" cy="5442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27214</xdr:colOff>
      <xdr:row>17</xdr:row>
      <xdr:rowOff>0</xdr:rowOff>
    </xdr:from>
    <xdr:to>
      <xdr:col>26</xdr:col>
      <xdr:colOff>71204</xdr:colOff>
      <xdr:row>17</xdr:row>
      <xdr:rowOff>0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xmlns="" id="{00000000-0008-0000-1A00-000005000000}"/>
            </a:ext>
          </a:extLst>
        </xdr:cNvPr>
        <xdr:cNvCxnSpPr/>
      </xdr:nvCxnSpPr>
      <xdr:spPr>
        <a:xfrm>
          <a:off x="10282464" y="3130550"/>
          <a:ext cx="6711490" cy="0"/>
        </a:xfrm>
        <a:prstGeom prst="straightConnector1">
          <a:avLst/>
        </a:prstGeom>
        <a:ln w="38100">
          <a:solidFill>
            <a:srgbClr val="FF0000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258315</xdr:colOff>
      <xdr:row>5</xdr:row>
      <xdr:rowOff>29870</xdr:rowOff>
    </xdr:from>
    <xdr:to>
      <xdr:col>14</xdr:col>
      <xdr:colOff>10286</xdr:colOff>
      <xdr:row>18</xdr:row>
      <xdr:rowOff>110216</xdr:rowOff>
    </xdr:to>
    <xdr:grpSp>
      <xdr:nvGrpSpPr>
        <xdr:cNvPr id="6" name="Group 12">
          <a:extLst>
            <a:ext uri="{FF2B5EF4-FFF2-40B4-BE49-F238E27FC236}">
              <a16:creationId xmlns:a16="http://schemas.microsoft.com/office/drawing/2014/main" xmlns="" id="{00000000-0008-0000-1A00-000006000000}"/>
            </a:ext>
          </a:extLst>
        </xdr:cNvPr>
        <xdr:cNvGrpSpPr/>
      </xdr:nvGrpSpPr>
      <xdr:grpSpPr>
        <a:xfrm>
          <a:off x="4612601" y="937013"/>
          <a:ext cx="4559828" cy="2438917"/>
          <a:chOff x="4159135" y="182563"/>
          <a:chExt cx="5423778" cy="2646346"/>
        </a:xfrm>
      </xdr:grpSpPr>
      <xdr:grpSp>
        <xdr:nvGrpSpPr>
          <xdr:cNvPr id="7" name="Group 83">
            <a:extLst>
              <a:ext uri="{FF2B5EF4-FFF2-40B4-BE49-F238E27FC236}">
                <a16:creationId xmlns:a16="http://schemas.microsoft.com/office/drawing/2014/main" xmlns="" id="{00000000-0008-0000-1A00-000007000000}"/>
              </a:ext>
            </a:extLst>
          </xdr:cNvPr>
          <xdr:cNvGrpSpPr/>
        </xdr:nvGrpSpPr>
        <xdr:grpSpPr>
          <a:xfrm>
            <a:off x="4572000" y="182563"/>
            <a:ext cx="5010913" cy="2349499"/>
            <a:chOff x="15122525" y="4575969"/>
            <a:chExt cx="7357238" cy="2667000"/>
          </a:xfrm>
        </xdr:grpSpPr>
        <xdr:cxnSp macro="">
          <xdr:nvCxnSpPr>
            <xdr:cNvPr id="9" name="Straight Arrow Connector 8">
              <a:extLst>
                <a:ext uri="{FF2B5EF4-FFF2-40B4-BE49-F238E27FC236}">
                  <a16:creationId xmlns:a16="http://schemas.microsoft.com/office/drawing/2014/main" xmlns="" id="{00000000-0008-0000-1A00-000009000000}"/>
                </a:ext>
              </a:extLst>
            </xdr:cNvPr>
            <xdr:cNvCxnSpPr/>
          </xdr:nvCxnSpPr>
          <xdr:spPr>
            <a:xfrm>
              <a:off x="21019015" y="4762500"/>
              <a:ext cx="0" cy="2476500"/>
            </a:xfrm>
            <a:prstGeom prst="straightConnector1">
              <a:avLst/>
            </a:prstGeom>
            <a:ln>
              <a:headEnd type="arrow"/>
              <a:tailEnd type="arrow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grpSp>
          <xdr:nvGrpSpPr>
            <xdr:cNvPr id="10" name="Group 72">
              <a:extLst>
                <a:ext uri="{FF2B5EF4-FFF2-40B4-BE49-F238E27FC236}">
                  <a16:creationId xmlns:a16="http://schemas.microsoft.com/office/drawing/2014/main" xmlns="" id="{00000000-0008-0000-1A00-00000A000000}"/>
                </a:ext>
              </a:extLst>
            </xdr:cNvPr>
            <xdr:cNvGrpSpPr/>
          </xdr:nvGrpSpPr>
          <xdr:grpSpPr>
            <a:xfrm>
              <a:off x="17261588" y="4575969"/>
              <a:ext cx="5218175" cy="2667000"/>
              <a:chOff x="17245713" y="4560094"/>
              <a:chExt cx="5218175" cy="2667000"/>
            </a:xfrm>
          </xdr:grpSpPr>
          <xdr:cxnSp macro="">
            <xdr:nvCxnSpPr>
              <xdr:cNvPr id="20" name="Straight Arrow Connector 19">
                <a:extLst>
                  <a:ext uri="{FF2B5EF4-FFF2-40B4-BE49-F238E27FC236}">
                    <a16:creationId xmlns:a16="http://schemas.microsoft.com/office/drawing/2014/main" xmlns="" id="{00000000-0008-0000-1A00-000014000000}"/>
                  </a:ext>
                </a:extLst>
              </xdr:cNvPr>
              <xdr:cNvCxnSpPr/>
            </xdr:nvCxnSpPr>
            <xdr:spPr>
              <a:xfrm flipV="1">
                <a:off x="17245713" y="4560094"/>
                <a:ext cx="0" cy="2667000"/>
              </a:xfrm>
              <a:prstGeom prst="straightConnector1">
                <a:avLst/>
              </a:prstGeom>
              <a:ln w="38100">
                <a:solidFill>
                  <a:srgbClr val="FF0000"/>
                </a:solidFill>
                <a:tailEnd type="arrow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21" name="Straight Arrow Connector 20">
                <a:extLst>
                  <a:ext uri="{FF2B5EF4-FFF2-40B4-BE49-F238E27FC236}">
                    <a16:creationId xmlns:a16="http://schemas.microsoft.com/office/drawing/2014/main" xmlns="" id="{00000000-0008-0000-1A00-000015000000}"/>
                  </a:ext>
                </a:extLst>
              </xdr:cNvPr>
              <xdr:cNvCxnSpPr/>
            </xdr:nvCxnSpPr>
            <xdr:spPr>
              <a:xfrm flipV="1">
                <a:off x="17245713" y="7225393"/>
                <a:ext cx="5218175" cy="1701"/>
              </a:xfrm>
              <a:prstGeom prst="straightConnector1">
                <a:avLst/>
              </a:prstGeom>
              <a:ln w="38100">
                <a:solidFill>
                  <a:srgbClr val="FF0000"/>
                </a:solidFill>
                <a:tailEnd type="arrow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  <xdr:grpSp>
          <xdr:nvGrpSpPr>
            <xdr:cNvPr id="11" name="Group 82">
              <a:extLst>
                <a:ext uri="{FF2B5EF4-FFF2-40B4-BE49-F238E27FC236}">
                  <a16:creationId xmlns:a16="http://schemas.microsoft.com/office/drawing/2014/main" xmlns="" id="{00000000-0008-0000-1A00-00000B000000}"/>
                </a:ext>
              </a:extLst>
            </xdr:cNvPr>
            <xdr:cNvGrpSpPr/>
          </xdr:nvGrpSpPr>
          <xdr:grpSpPr>
            <a:xfrm>
              <a:off x="15122525" y="4753772"/>
              <a:ext cx="4240497" cy="2473322"/>
              <a:chOff x="15122525" y="4753772"/>
              <a:chExt cx="4240497" cy="2473322"/>
            </a:xfrm>
          </xdr:grpSpPr>
          <xdr:grpSp>
            <xdr:nvGrpSpPr>
              <xdr:cNvPr id="12" name="Group 74">
                <a:extLst>
                  <a:ext uri="{FF2B5EF4-FFF2-40B4-BE49-F238E27FC236}">
                    <a16:creationId xmlns:a16="http://schemas.microsoft.com/office/drawing/2014/main" xmlns="" id="{00000000-0008-0000-1A00-00000C000000}"/>
                  </a:ext>
                </a:extLst>
              </xdr:cNvPr>
              <xdr:cNvGrpSpPr/>
            </xdr:nvGrpSpPr>
            <xdr:grpSpPr>
              <a:xfrm>
                <a:off x="17240250" y="4760122"/>
                <a:ext cx="2122772" cy="2466972"/>
                <a:chOff x="17240250" y="4760122"/>
                <a:chExt cx="2122772" cy="2466972"/>
              </a:xfrm>
            </xdr:grpSpPr>
            <xdr:cxnSp macro="">
              <xdr:nvCxnSpPr>
                <xdr:cNvPr id="17" name="Straight Arrow Connector 16">
                  <a:extLst>
                    <a:ext uri="{FF2B5EF4-FFF2-40B4-BE49-F238E27FC236}">
                      <a16:creationId xmlns:a16="http://schemas.microsoft.com/office/drawing/2014/main" xmlns="" id="{00000000-0008-0000-1A00-000011000000}"/>
                    </a:ext>
                  </a:extLst>
                </xdr:cNvPr>
                <xdr:cNvCxnSpPr/>
              </xdr:nvCxnSpPr>
              <xdr:spPr>
                <a:xfrm>
                  <a:off x="17240250" y="7223125"/>
                  <a:ext cx="2122772" cy="3969"/>
                </a:xfrm>
                <a:prstGeom prst="straightConnector1">
                  <a:avLst/>
                </a:prstGeom>
                <a:ln>
                  <a:headEnd type="arrow"/>
                  <a:tailEnd type="arrow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18" name="Straight Arrow Connector 17">
                  <a:extLst>
                    <a:ext uri="{FF2B5EF4-FFF2-40B4-BE49-F238E27FC236}">
                      <a16:creationId xmlns:a16="http://schemas.microsoft.com/office/drawing/2014/main" xmlns="" id="{00000000-0008-0000-1A00-000012000000}"/>
                    </a:ext>
                  </a:extLst>
                </xdr:cNvPr>
                <xdr:cNvCxnSpPr/>
              </xdr:nvCxnSpPr>
              <xdr:spPr>
                <a:xfrm>
                  <a:off x="18147293" y="4760122"/>
                  <a:ext cx="1201396" cy="2452688"/>
                </a:xfrm>
                <a:prstGeom prst="straightConnector1">
                  <a:avLst/>
                </a:prstGeom>
                <a:ln>
                  <a:headEnd type="arrow"/>
                  <a:tailEnd type="arrow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19" name="Straight Arrow Connector 28">
                  <a:extLst>
                    <a:ext uri="{FF2B5EF4-FFF2-40B4-BE49-F238E27FC236}">
                      <a16:creationId xmlns:a16="http://schemas.microsoft.com/office/drawing/2014/main" xmlns="" id="{00000000-0008-0000-1A00-000013000000}"/>
                    </a:ext>
                  </a:extLst>
                </xdr:cNvPr>
                <xdr:cNvCxnSpPr/>
              </xdr:nvCxnSpPr>
              <xdr:spPr>
                <a:xfrm>
                  <a:off x="17240250" y="4762500"/>
                  <a:ext cx="909482" cy="1"/>
                </a:xfrm>
                <a:prstGeom prst="straightConnector1">
                  <a:avLst/>
                </a:prstGeom>
                <a:ln>
                  <a:headEnd type="arrow"/>
                  <a:tailEnd type="arrow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</xdr:grpSp>
          <xdr:grpSp>
            <xdr:nvGrpSpPr>
              <xdr:cNvPr id="13" name="Group 75">
                <a:extLst>
                  <a:ext uri="{FF2B5EF4-FFF2-40B4-BE49-F238E27FC236}">
                    <a16:creationId xmlns:a16="http://schemas.microsoft.com/office/drawing/2014/main" xmlns="" id="{00000000-0008-0000-1A00-00000D000000}"/>
                  </a:ext>
                </a:extLst>
              </xdr:cNvPr>
              <xdr:cNvGrpSpPr/>
            </xdr:nvGrpSpPr>
            <xdr:grpSpPr>
              <a:xfrm flipH="1">
                <a:off x="15122525" y="4753772"/>
                <a:ext cx="2122772" cy="2466972"/>
                <a:chOff x="17240250" y="4760122"/>
                <a:chExt cx="2122772" cy="2466972"/>
              </a:xfrm>
            </xdr:grpSpPr>
            <xdr:cxnSp macro="">
              <xdr:nvCxnSpPr>
                <xdr:cNvPr id="14" name="Straight Arrow Connector 13">
                  <a:extLst>
                    <a:ext uri="{FF2B5EF4-FFF2-40B4-BE49-F238E27FC236}">
                      <a16:creationId xmlns:a16="http://schemas.microsoft.com/office/drawing/2014/main" xmlns="" id="{00000000-0008-0000-1A00-00000E000000}"/>
                    </a:ext>
                  </a:extLst>
                </xdr:cNvPr>
                <xdr:cNvCxnSpPr/>
              </xdr:nvCxnSpPr>
              <xdr:spPr>
                <a:xfrm>
                  <a:off x="17240250" y="7223125"/>
                  <a:ext cx="2122772" cy="3969"/>
                </a:xfrm>
                <a:prstGeom prst="straightConnector1">
                  <a:avLst/>
                </a:prstGeom>
                <a:ln>
                  <a:headEnd type="arrow"/>
                  <a:tailEnd type="arrow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15" name="Straight Arrow Connector 14">
                  <a:extLst>
                    <a:ext uri="{FF2B5EF4-FFF2-40B4-BE49-F238E27FC236}">
                      <a16:creationId xmlns:a16="http://schemas.microsoft.com/office/drawing/2014/main" xmlns="" id="{00000000-0008-0000-1A00-00000F000000}"/>
                    </a:ext>
                  </a:extLst>
                </xdr:cNvPr>
                <xdr:cNvCxnSpPr/>
              </xdr:nvCxnSpPr>
              <xdr:spPr>
                <a:xfrm>
                  <a:off x="18147293" y="4760122"/>
                  <a:ext cx="1201396" cy="2452688"/>
                </a:xfrm>
                <a:prstGeom prst="straightConnector1">
                  <a:avLst/>
                </a:prstGeom>
                <a:ln>
                  <a:headEnd type="arrow"/>
                  <a:tailEnd type="arrow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16" name="Straight Arrow Connector 15">
                  <a:extLst>
                    <a:ext uri="{FF2B5EF4-FFF2-40B4-BE49-F238E27FC236}">
                      <a16:creationId xmlns:a16="http://schemas.microsoft.com/office/drawing/2014/main" xmlns="" id="{00000000-0008-0000-1A00-000010000000}"/>
                    </a:ext>
                  </a:extLst>
                </xdr:cNvPr>
                <xdr:cNvCxnSpPr/>
              </xdr:nvCxnSpPr>
              <xdr:spPr>
                <a:xfrm>
                  <a:off x="17240250" y="4762500"/>
                  <a:ext cx="909482" cy="1"/>
                </a:xfrm>
                <a:prstGeom prst="straightConnector1">
                  <a:avLst/>
                </a:prstGeom>
                <a:ln>
                  <a:headEnd type="arrow"/>
                  <a:tailEnd type="arrow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</xdr:grpSp>
        </xdr:grpSp>
      </xdr:grpSp>
      <xdr:sp macro="" textlink="">
        <xdr:nvSpPr>
          <xdr:cNvPr id="8" name="Arc 7">
            <a:extLst>
              <a:ext uri="{FF2B5EF4-FFF2-40B4-BE49-F238E27FC236}">
                <a16:creationId xmlns:a16="http://schemas.microsoft.com/office/drawing/2014/main" xmlns="" id="{00000000-0008-0000-1A00-000008000000}"/>
              </a:ext>
            </a:extLst>
          </xdr:cNvPr>
          <xdr:cNvSpPr/>
        </xdr:nvSpPr>
        <xdr:spPr>
          <a:xfrm rot="359687">
            <a:off x="4159135" y="2162649"/>
            <a:ext cx="991277" cy="666260"/>
          </a:xfrm>
          <a:prstGeom prst="arc">
            <a:avLst>
              <a:gd name="adj1" fmla="val 16200000"/>
              <a:gd name="adj2" fmla="val 21499628"/>
            </a:avLst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rtlCol="0" anchor="ctr"/>
          <a:lstStyle/>
          <a:p>
            <a:pPr algn="ctr"/>
            <a:endParaRPr lang="da-DK" sz="1100"/>
          </a:p>
        </xdr:txBody>
      </xdr:sp>
    </xdr:grpSp>
    <xdr:clientData/>
  </xdr:twoCellAnchor>
  <xdr:twoCellAnchor>
    <xdr:from>
      <xdr:col>21</xdr:col>
      <xdr:colOff>40815</xdr:colOff>
      <xdr:row>2</xdr:row>
      <xdr:rowOff>0</xdr:rowOff>
    </xdr:from>
    <xdr:to>
      <xdr:col>22</xdr:col>
      <xdr:colOff>246063</xdr:colOff>
      <xdr:row>2</xdr:row>
      <xdr:rowOff>0</xdr:rowOff>
    </xdr:to>
    <xdr:cxnSp macro="">
      <xdr:nvCxnSpPr>
        <xdr:cNvPr id="22" name="Straight Arrow Connector 21">
          <a:extLst>
            <a:ext uri="{FF2B5EF4-FFF2-40B4-BE49-F238E27FC236}">
              <a16:creationId xmlns:a16="http://schemas.microsoft.com/office/drawing/2014/main" xmlns="" id="{00000000-0008-0000-1A00-000016000000}"/>
            </a:ext>
          </a:extLst>
        </xdr:cNvPr>
        <xdr:cNvCxnSpPr/>
      </xdr:nvCxnSpPr>
      <xdr:spPr>
        <a:xfrm>
          <a:off x="13566315" y="368300"/>
          <a:ext cx="884698" cy="0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455831</xdr:colOff>
      <xdr:row>2</xdr:row>
      <xdr:rowOff>0</xdr:rowOff>
    </xdr:from>
    <xdr:to>
      <xdr:col>25</xdr:col>
      <xdr:colOff>309562</xdr:colOff>
      <xdr:row>2</xdr:row>
      <xdr:rowOff>5670</xdr:rowOff>
    </xdr:to>
    <xdr:cxnSp macro="">
      <xdr:nvCxnSpPr>
        <xdr:cNvPr id="23" name="Straight Arrow Connector 22">
          <a:extLst>
            <a:ext uri="{FF2B5EF4-FFF2-40B4-BE49-F238E27FC236}">
              <a16:creationId xmlns:a16="http://schemas.microsoft.com/office/drawing/2014/main" xmlns="" id="{00000000-0008-0000-1A00-000017000000}"/>
            </a:ext>
          </a:extLst>
        </xdr:cNvPr>
        <xdr:cNvCxnSpPr/>
      </xdr:nvCxnSpPr>
      <xdr:spPr>
        <a:xfrm flipV="1">
          <a:off x="14660781" y="368300"/>
          <a:ext cx="1892081" cy="5670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298977</xdr:colOff>
      <xdr:row>1</xdr:row>
      <xdr:rowOff>190500</xdr:rowOff>
    </xdr:from>
    <xdr:to>
      <xdr:col>26</xdr:col>
      <xdr:colOff>219370</xdr:colOff>
      <xdr:row>2</xdr:row>
      <xdr:rowOff>11113</xdr:rowOff>
    </xdr:to>
    <xdr:cxnSp macro="">
      <xdr:nvCxnSpPr>
        <xdr:cNvPr id="24" name="Straight Arrow Connector 23">
          <a:extLst>
            <a:ext uri="{FF2B5EF4-FFF2-40B4-BE49-F238E27FC236}">
              <a16:creationId xmlns:a16="http://schemas.microsoft.com/office/drawing/2014/main" xmlns="" id="{00000000-0008-0000-1A00-000018000000}"/>
            </a:ext>
          </a:extLst>
        </xdr:cNvPr>
        <xdr:cNvCxnSpPr/>
      </xdr:nvCxnSpPr>
      <xdr:spPr>
        <a:xfrm>
          <a:off x="16542277" y="368300"/>
          <a:ext cx="599843" cy="11113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95249</xdr:colOff>
      <xdr:row>2</xdr:row>
      <xdr:rowOff>0</xdr:rowOff>
    </xdr:from>
    <xdr:to>
      <xdr:col>21</xdr:col>
      <xdr:colOff>27194</xdr:colOff>
      <xdr:row>2</xdr:row>
      <xdr:rowOff>13607</xdr:rowOff>
    </xdr:to>
    <xdr:cxnSp macro="">
      <xdr:nvCxnSpPr>
        <xdr:cNvPr id="25" name="Straight Arrow Connector 24">
          <a:extLst>
            <a:ext uri="{FF2B5EF4-FFF2-40B4-BE49-F238E27FC236}">
              <a16:creationId xmlns:a16="http://schemas.microsoft.com/office/drawing/2014/main" xmlns="" id="{00000000-0008-0000-1A00-000019000000}"/>
            </a:ext>
          </a:extLst>
        </xdr:cNvPr>
        <xdr:cNvCxnSpPr/>
      </xdr:nvCxnSpPr>
      <xdr:spPr>
        <a:xfrm flipV="1">
          <a:off x="12261849" y="368300"/>
          <a:ext cx="1290845" cy="13607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223213</xdr:colOff>
      <xdr:row>3</xdr:row>
      <xdr:rowOff>768</xdr:rowOff>
    </xdr:from>
    <xdr:to>
      <xdr:col>25</xdr:col>
      <xdr:colOff>531055</xdr:colOff>
      <xdr:row>17</xdr:row>
      <xdr:rowOff>8092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xmlns="" id="{00000000-0008-0000-1A00-00001A000000}"/>
            </a:ext>
          </a:extLst>
        </xdr:cNvPr>
        <xdr:cNvGrpSpPr/>
      </xdr:nvGrpSpPr>
      <xdr:grpSpPr>
        <a:xfrm>
          <a:off x="14447213" y="545054"/>
          <a:ext cx="2348913" cy="2547324"/>
          <a:chOff x="16168006" y="593132"/>
          <a:chExt cx="2147580" cy="2884781"/>
        </a:xfrm>
      </xdr:grpSpPr>
      <xdr:grpSp>
        <xdr:nvGrpSpPr>
          <xdr:cNvPr id="27" name="Group 26">
            <a:extLst>
              <a:ext uri="{FF2B5EF4-FFF2-40B4-BE49-F238E27FC236}">
                <a16:creationId xmlns:a16="http://schemas.microsoft.com/office/drawing/2014/main" xmlns="" id="{00000000-0008-0000-1A00-00001B000000}"/>
              </a:ext>
            </a:extLst>
          </xdr:cNvPr>
          <xdr:cNvGrpSpPr/>
        </xdr:nvGrpSpPr>
        <xdr:grpSpPr>
          <a:xfrm>
            <a:off x="16925110" y="593132"/>
            <a:ext cx="1390476" cy="2884781"/>
            <a:chOff x="5950411" y="11613323"/>
            <a:chExt cx="2218578" cy="2476500"/>
          </a:xfrm>
        </xdr:grpSpPr>
        <xdr:cxnSp macro="">
          <xdr:nvCxnSpPr>
            <xdr:cNvPr id="31" name="Straight Arrow Connector 30">
              <a:extLst>
                <a:ext uri="{FF2B5EF4-FFF2-40B4-BE49-F238E27FC236}">
                  <a16:creationId xmlns:a16="http://schemas.microsoft.com/office/drawing/2014/main" xmlns="" id="{00000000-0008-0000-1A00-00001F000000}"/>
                </a:ext>
              </a:extLst>
            </xdr:cNvPr>
            <xdr:cNvCxnSpPr/>
          </xdr:nvCxnSpPr>
          <xdr:spPr>
            <a:xfrm>
              <a:off x="8168989" y="11613323"/>
              <a:ext cx="0" cy="2476500"/>
            </a:xfrm>
            <a:prstGeom prst="straightConnector1">
              <a:avLst/>
            </a:prstGeom>
            <a:ln>
              <a:headEnd type="arrow"/>
              <a:tailEnd type="arrow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32" name="Rectangle 31">
              <a:extLst>
                <a:ext uri="{FF2B5EF4-FFF2-40B4-BE49-F238E27FC236}">
                  <a16:creationId xmlns:a16="http://schemas.microsoft.com/office/drawing/2014/main" xmlns="" id="{00000000-0008-0000-1A00-000020000000}"/>
                </a:ext>
              </a:extLst>
            </xdr:cNvPr>
            <xdr:cNvSpPr/>
          </xdr:nvSpPr>
          <xdr:spPr>
            <a:xfrm>
              <a:off x="5950411" y="11832772"/>
              <a:ext cx="983645" cy="463831"/>
            </a:xfrm>
            <a:prstGeom prst="rect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r>
                <a:rPr lang="da-DK" sz="1100"/>
                <a:t>BSBB</a:t>
              </a:r>
            </a:p>
          </xdr:txBody>
        </xdr:sp>
      </xdr:grpSp>
      <xdr:cxnSp macro="">
        <xdr:nvCxnSpPr>
          <xdr:cNvPr id="28" name="Straight Arrow Connector 27">
            <a:extLst>
              <a:ext uri="{FF2B5EF4-FFF2-40B4-BE49-F238E27FC236}">
                <a16:creationId xmlns:a16="http://schemas.microsoft.com/office/drawing/2014/main" xmlns="" id="{00000000-0008-0000-1A00-00001C000000}"/>
              </a:ext>
            </a:extLst>
          </xdr:cNvPr>
          <xdr:cNvCxnSpPr/>
        </xdr:nvCxnSpPr>
        <xdr:spPr>
          <a:xfrm>
            <a:off x="16924226" y="595963"/>
            <a:ext cx="13607" cy="2843893"/>
          </a:xfrm>
          <a:prstGeom prst="straightConnector1">
            <a:avLst/>
          </a:prstGeom>
          <a:ln>
            <a:headEnd type="arrow"/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9" name="Straight Arrow Connector 28">
            <a:extLst>
              <a:ext uri="{FF2B5EF4-FFF2-40B4-BE49-F238E27FC236}">
                <a16:creationId xmlns:a16="http://schemas.microsoft.com/office/drawing/2014/main" xmlns="" id="{00000000-0008-0000-1A00-00001D000000}"/>
              </a:ext>
            </a:extLst>
          </xdr:cNvPr>
          <xdr:cNvCxnSpPr/>
        </xdr:nvCxnSpPr>
        <xdr:spPr>
          <a:xfrm>
            <a:off x="17553214" y="612321"/>
            <a:ext cx="13609" cy="2830286"/>
          </a:xfrm>
          <a:prstGeom prst="straightConnector1">
            <a:avLst/>
          </a:prstGeom>
          <a:ln>
            <a:headEnd type="arrow"/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0" name="Straight Arrow Connector 29">
            <a:extLst>
              <a:ext uri="{FF2B5EF4-FFF2-40B4-BE49-F238E27FC236}">
                <a16:creationId xmlns:a16="http://schemas.microsoft.com/office/drawing/2014/main" xmlns="" id="{00000000-0008-0000-1A00-00001E000000}"/>
              </a:ext>
            </a:extLst>
          </xdr:cNvPr>
          <xdr:cNvCxnSpPr/>
        </xdr:nvCxnSpPr>
        <xdr:spPr>
          <a:xfrm flipH="1">
            <a:off x="16168006" y="625929"/>
            <a:ext cx="24494" cy="2792187"/>
          </a:xfrm>
          <a:prstGeom prst="straightConnector1">
            <a:avLst/>
          </a:prstGeom>
          <a:ln>
            <a:headEnd type="arrow"/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16</xdr:col>
      <xdr:colOff>46921</xdr:colOff>
      <xdr:row>6</xdr:row>
      <xdr:rowOff>13607</xdr:rowOff>
    </xdr:from>
    <xdr:to>
      <xdr:col>16</xdr:col>
      <xdr:colOff>54429</xdr:colOff>
      <xdr:row>16</xdr:row>
      <xdr:rowOff>144098</xdr:rowOff>
    </xdr:to>
    <xdr:cxnSp macro="">
      <xdr:nvCxnSpPr>
        <xdr:cNvPr id="33" name="Straight Arrow Connector 32">
          <a:extLst>
            <a:ext uri="{FF2B5EF4-FFF2-40B4-BE49-F238E27FC236}">
              <a16:creationId xmlns:a16="http://schemas.microsoft.com/office/drawing/2014/main" xmlns="" id="{00000000-0008-0000-1A00-000021000000}"/>
            </a:ext>
          </a:extLst>
        </xdr:cNvPr>
        <xdr:cNvCxnSpPr/>
      </xdr:nvCxnSpPr>
      <xdr:spPr>
        <a:xfrm flipH="1">
          <a:off x="10302171" y="1118507"/>
          <a:ext cx="7508" cy="1971991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562177</xdr:colOff>
      <xdr:row>6</xdr:row>
      <xdr:rowOff>21545</xdr:rowOff>
    </xdr:from>
    <xdr:to>
      <xdr:col>16</xdr:col>
      <xdr:colOff>566965</xdr:colOff>
      <xdr:row>16</xdr:row>
      <xdr:rowOff>195580</xdr:rowOff>
    </xdr:to>
    <xdr:cxnSp macro="">
      <xdr:nvCxnSpPr>
        <xdr:cNvPr id="34" name="Straight Arrow Connector 33">
          <a:extLst>
            <a:ext uri="{FF2B5EF4-FFF2-40B4-BE49-F238E27FC236}">
              <a16:creationId xmlns:a16="http://schemas.microsoft.com/office/drawing/2014/main" xmlns="" id="{00000000-0008-0000-1A00-000022000000}"/>
            </a:ext>
          </a:extLst>
        </xdr:cNvPr>
        <xdr:cNvCxnSpPr/>
      </xdr:nvCxnSpPr>
      <xdr:spPr>
        <a:xfrm flipH="1">
          <a:off x="10804727" y="1126445"/>
          <a:ext cx="4788" cy="2002835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0</xdr:colOff>
      <xdr:row>5</xdr:row>
      <xdr:rowOff>169333</xdr:rowOff>
    </xdr:from>
    <xdr:to>
      <xdr:col>20</xdr:col>
      <xdr:colOff>205</xdr:colOff>
      <xdr:row>16</xdr:row>
      <xdr:rowOff>190365</xdr:rowOff>
    </xdr:to>
    <xdr:cxnSp macro="">
      <xdr:nvCxnSpPr>
        <xdr:cNvPr id="35" name="Straight Arrow Connector 34">
          <a:extLst>
            <a:ext uri="{FF2B5EF4-FFF2-40B4-BE49-F238E27FC236}">
              <a16:creationId xmlns:a16="http://schemas.microsoft.com/office/drawing/2014/main" xmlns="" id="{00000000-0008-0000-1A00-000023000000}"/>
            </a:ext>
          </a:extLst>
        </xdr:cNvPr>
        <xdr:cNvCxnSpPr/>
      </xdr:nvCxnSpPr>
      <xdr:spPr>
        <a:xfrm>
          <a:off x="12846050" y="1090083"/>
          <a:ext cx="205" cy="2040332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657</xdr:colOff>
      <xdr:row>6</xdr:row>
      <xdr:rowOff>0</xdr:rowOff>
    </xdr:from>
    <xdr:to>
      <xdr:col>19</xdr:col>
      <xdr:colOff>13607</xdr:colOff>
      <xdr:row>16</xdr:row>
      <xdr:rowOff>193088</xdr:rowOff>
    </xdr:to>
    <xdr:cxnSp macro="">
      <xdr:nvCxnSpPr>
        <xdr:cNvPr id="36" name="Straight Arrow Connector 35">
          <a:extLst>
            <a:ext uri="{FF2B5EF4-FFF2-40B4-BE49-F238E27FC236}">
              <a16:creationId xmlns:a16="http://schemas.microsoft.com/office/drawing/2014/main" xmlns="" id="{00000000-0008-0000-1A00-000024000000}"/>
            </a:ext>
          </a:extLst>
        </xdr:cNvPr>
        <xdr:cNvCxnSpPr/>
      </xdr:nvCxnSpPr>
      <xdr:spPr>
        <a:xfrm flipH="1">
          <a:off x="12167257" y="1104900"/>
          <a:ext cx="12950" cy="2028238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13610</xdr:colOff>
      <xdr:row>3</xdr:row>
      <xdr:rowOff>13610</xdr:rowOff>
    </xdr:from>
    <xdr:to>
      <xdr:col>16</xdr:col>
      <xdr:colOff>13610</xdr:colOff>
      <xdr:row>16</xdr:row>
      <xdr:rowOff>202575</xdr:rowOff>
    </xdr:to>
    <xdr:cxnSp macro="">
      <xdr:nvCxnSpPr>
        <xdr:cNvPr id="37" name="Straight Arrow Connector 36">
          <a:extLst>
            <a:ext uri="{FF2B5EF4-FFF2-40B4-BE49-F238E27FC236}">
              <a16:creationId xmlns:a16="http://schemas.microsoft.com/office/drawing/2014/main" xmlns="" id="{00000000-0008-0000-1A00-000025000000}"/>
            </a:ext>
          </a:extLst>
        </xdr:cNvPr>
        <xdr:cNvCxnSpPr/>
      </xdr:nvCxnSpPr>
      <xdr:spPr>
        <a:xfrm flipV="1">
          <a:off x="10268860" y="566060"/>
          <a:ext cx="0" cy="2563865"/>
        </a:xfrm>
        <a:prstGeom prst="straightConnector1">
          <a:avLst/>
        </a:prstGeom>
        <a:ln w="38100">
          <a:solidFill>
            <a:srgbClr val="FF0000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13607</xdr:colOff>
      <xdr:row>18</xdr:row>
      <xdr:rowOff>81642</xdr:rowOff>
    </xdr:from>
    <xdr:to>
      <xdr:col>22</xdr:col>
      <xdr:colOff>190500</xdr:colOff>
      <xdr:row>18</xdr:row>
      <xdr:rowOff>84667</xdr:rowOff>
    </xdr:to>
    <xdr:cxnSp macro="">
      <xdr:nvCxnSpPr>
        <xdr:cNvPr id="38" name="Straight Arrow Connector 37">
          <a:extLst>
            <a:ext uri="{FF2B5EF4-FFF2-40B4-BE49-F238E27FC236}">
              <a16:creationId xmlns:a16="http://schemas.microsoft.com/office/drawing/2014/main" xmlns="" id="{00000000-0008-0000-1A00-000026000000}"/>
            </a:ext>
          </a:extLst>
        </xdr:cNvPr>
        <xdr:cNvCxnSpPr/>
      </xdr:nvCxnSpPr>
      <xdr:spPr>
        <a:xfrm>
          <a:off x="10268857" y="3396342"/>
          <a:ext cx="4126593" cy="3025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3296</xdr:colOff>
      <xdr:row>19</xdr:row>
      <xdr:rowOff>0</xdr:rowOff>
    </xdr:from>
    <xdr:to>
      <xdr:col>26</xdr:col>
      <xdr:colOff>264584</xdr:colOff>
      <xdr:row>19</xdr:row>
      <xdr:rowOff>2721</xdr:rowOff>
    </xdr:to>
    <xdr:cxnSp macro="">
      <xdr:nvCxnSpPr>
        <xdr:cNvPr id="39" name="Straight Arrow Connector 38">
          <a:extLst>
            <a:ext uri="{FF2B5EF4-FFF2-40B4-BE49-F238E27FC236}">
              <a16:creationId xmlns:a16="http://schemas.microsoft.com/office/drawing/2014/main" xmlns="" id="{00000000-0008-0000-1A00-000027000000}"/>
            </a:ext>
          </a:extLst>
        </xdr:cNvPr>
        <xdr:cNvCxnSpPr/>
      </xdr:nvCxnSpPr>
      <xdr:spPr>
        <a:xfrm flipV="1">
          <a:off x="10258546" y="3498850"/>
          <a:ext cx="6928788" cy="2721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101297</xdr:colOff>
      <xdr:row>13</xdr:row>
      <xdr:rowOff>179917</xdr:rowOff>
    </xdr:from>
    <xdr:to>
      <xdr:col>10</xdr:col>
      <xdr:colOff>243417</xdr:colOff>
      <xdr:row>13</xdr:row>
      <xdr:rowOff>190501</xdr:rowOff>
    </xdr:to>
    <xdr:cxnSp macro="">
      <xdr:nvCxnSpPr>
        <xdr:cNvPr id="40" name="Straight Connector 39">
          <a:extLst>
            <a:ext uri="{FF2B5EF4-FFF2-40B4-BE49-F238E27FC236}">
              <a16:creationId xmlns:a16="http://schemas.microsoft.com/office/drawing/2014/main" xmlns="" id="{00000000-0008-0000-1A00-000028000000}"/>
            </a:ext>
          </a:extLst>
        </xdr:cNvPr>
        <xdr:cNvCxnSpPr/>
      </xdr:nvCxnSpPr>
      <xdr:spPr>
        <a:xfrm flipV="1">
          <a:off x="5130497" y="2573867"/>
          <a:ext cx="2053470" cy="4234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9524</xdr:colOff>
      <xdr:row>7</xdr:row>
      <xdr:rowOff>8424</xdr:rowOff>
    </xdr:from>
    <xdr:to>
      <xdr:col>22</xdr:col>
      <xdr:colOff>230188</xdr:colOff>
      <xdr:row>15</xdr:row>
      <xdr:rowOff>169332</xdr:rowOff>
    </xdr:to>
    <xdr:sp macro="" textlink="">
      <xdr:nvSpPr>
        <xdr:cNvPr id="41" name="Rectangle 40">
          <a:extLst>
            <a:ext uri="{FF2B5EF4-FFF2-40B4-BE49-F238E27FC236}">
              <a16:creationId xmlns:a16="http://schemas.microsoft.com/office/drawing/2014/main" xmlns="" id="{00000000-0008-0000-1A00-000029000000}"/>
            </a:ext>
          </a:extLst>
        </xdr:cNvPr>
        <xdr:cNvSpPr/>
      </xdr:nvSpPr>
      <xdr:spPr>
        <a:xfrm>
          <a:off x="12855574" y="1297474"/>
          <a:ext cx="1579564" cy="163410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da-DK" sz="1100"/>
            <a:t>MSMB</a:t>
          </a:r>
        </a:p>
      </xdr:txBody>
    </xdr:sp>
    <xdr:clientData/>
  </xdr:twoCellAnchor>
  <xdr:twoCellAnchor>
    <xdr:from>
      <xdr:col>25</xdr:col>
      <xdr:colOff>539750</xdr:colOff>
      <xdr:row>7</xdr:row>
      <xdr:rowOff>2075</xdr:rowOff>
    </xdr:from>
    <xdr:to>
      <xdr:col>26</xdr:col>
      <xdr:colOff>246062</xdr:colOff>
      <xdr:row>16</xdr:row>
      <xdr:rowOff>10583</xdr:rowOff>
    </xdr:to>
    <xdr:sp macro="" textlink="">
      <xdr:nvSpPr>
        <xdr:cNvPr id="42" name="Rectangle 41">
          <a:extLst>
            <a:ext uri="{FF2B5EF4-FFF2-40B4-BE49-F238E27FC236}">
              <a16:creationId xmlns:a16="http://schemas.microsoft.com/office/drawing/2014/main" xmlns="" id="{00000000-0008-0000-1A00-00002A000000}"/>
            </a:ext>
          </a:extLst>
        </xdr:cNvPr>
        <xdr:cNvSpPr/>
      </xdr:nvSpPr>
      <xdr:spPr>
        <a:xfrm>
          <a:off x="16783050" y="1291125"/>
          <a:ext cx="385762" cy="166585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da-DK" sz="1100"/>
            <a:t>SFX</a:t>
          </a:r>
        </a:p>
      </xdr:txBody>
    </xdr:sp>
    <xdr:clientData/>
  </xdr:twoCellAnchor>
  <xdr:twoCellAnchor>
    <xdr:from>
      <xdr:col>19</xdr:col>
      <xdr:colOff>664632</xdr:colOff>
      <xdr:row>3</xdr:row>
      <xdr:rowOff>52917</xdr:rowOff>
    </xdr:from>
    <xdr:to>
      <xdr:col>22</xdr:col>
      <xdr:colOff>232833</xdr:colOff>
      <xdr:row>6</xdr:row>
      <xdr:rowOff>5141</xdr:rowOff>
    </xdr:to>
    <xdr:cxnSp macro="">
      <xdr:nvCxnSpPr>
        <xdr:cNvPr id="43" name="Straight Arrow Connector 42">
          <a:extLst>
            <a:ext uri="{FF2B5EF4-FFF2-40B4-BE49-F238E27FC236}">
              <a16:creationId xmlns:a16="http://schemas.microsoft.com/office/drawing/2014/main" xmlns="" id="{00000000-0008-0000-1A00-00002B000000}"/>
            </a:ext>
          </a:extLst>
        </xdr:cNvPr>
        <xdr:cNvCxnSpPr/>
      </xdr:nvCxnSpPr>
      <xdr:spPr>
        <a:xfrm flipV="1">
          <a:off x="12831232" y="605367"/>
          <a:ext cx="1606551" cy="504674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0</xdr:colOff>
      <xdr:row>13</xdr:row>
      <xdr:rowOff>38058</xdr:rowOff>
    </xdr:from>
    <xdr:to>
      <xdr:col>19</xdr:col>
      <xdr:colOff>5821</xdr:colOff>
      <xdr:row>15</xdr:row>
      <xdr:rowOff>175683</xdr:rowOff>
    </xdr:to>
    <xdr:sp macro="" textlink="">
      <xdr:nvSpPr>
        <xdr:cNvPr id="44" name="Rectangle 43">
          <a:extLst>
            <a:ext uri="{FF2B5EF4-FFF2-40B4-BE49-F238E27FC236}">
              <a16:creationId xmlns:a16="http://schemas.microsoft.com/office/drawing/2014/main" xmlns="" id="{00000000-0008-0000-1A00-00002C000000}"/>
            </a:ext>
          </a:extLst>
        </xdr:cNvPr>
        <xdr:cNvSpPr/>
      </xdr:nvSpPr>
      <xdr:spPr>
        <a:xfrm>
          <a:off x="10807700" y="2432008"/>
          <a:ext cx="1364721" cy="5059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da-DK" sz="1100"/>
            <a:t>SFMM</a:t>
          </a:r>
        </a:p>
      </xdr:txBody>
    </xdr:sp>
    <xdr:clientData/>
  </xdr:twoCellAnchor>
  <xdr:twoCellAnchor>
    <xdr:from>
      <xdr:col>23</xdr:col>
      <xdr:colOff>391584</xdr:colOff>
      <xdr:row>13</xdr:row>
      <xdr:rowOff>52916</xdr:rowOff>
    </xdr:from>
    <xdr:to>
      <xdr:col>24</xdr:col>
      <xdr:colOff>385933</xdr:colOff>
      <xdr:row>15</xdr:row>
      <xdr:rowOff>166214</xdr:rowOff>
    </xdr:to>
    <xdr:sp macro="" textlink="">
      <xdr:nvSpPr>
        <xdr:cNvPr id="45" name="Rectangle 44">
          <a:extLst>
            <a:ext uri="{FF2B5EF4-FFF2-40B4-BE49-F238E27FC236}">
              <a16:creationId xmlns:a16="http://schemas.microsoft.com/office/drawing/2014/main" xmlns="" id="{00000000-0008-0000-1A00-00002D000000}"/>
            </a:ext>
          </a:extLst>
        </xdr:cNvPr>
        <xdr:cNvSpPr/>
      </xdr:nvSpPr>
      <xdr:spPr>
        <a:xfrm>
          <a:off x="15275984" y="2446866"/>
          <a:ext cx="673799" cy="48159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da-DK" sz="1100"/>
            <a:t>SFBB</a:t>
          </a: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54428</xdr:colOff>
      <xdr:row>16</xdr:row>
      <xdr:rowOff>31750</xdr:rowOff>
    </xdr:from>
    <xdr:to>
      <xdr:col>26</xdr:col>
      <xdr:colOff>238125</xdr:colOff>
      <xdr:row>16</xdr:row>
      <xdr:rowOff>176893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xmlns="" id="{00000000-0008-0000-1B00-000002000000}"/>
            </a:ext>
          </a:extLst>
        </xdr:cNvPr>
        <xdr:cNvSpPr/>
      </xdr:nvSpPr>
      <xdr:spPr>
        <a:xfrm>
          <a:off x="10277928" y="2910417"/>
          <a:ext cx="6830030" cy="145143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da-DK" sz="1100"/>
            <a:t>SFBase</a:t>
          </a:r>
        </a:p>
      </xdr:txBody>
    </xdr:sp>
    <xdr:clientData/>
  </xdr:twoCellAnchor>
  <xdr:twoCellAnchor>
    <xdr:from>
      <xdr:col>16</xdr:col>
      <xdr:colOff>571499</xdr:colOff>
      <xdr:row>7</xdr:row>
      <xdr:rowOff>14775</xdr:rowOff>
    </xdr:from>
    <xdr:to>
      <xdr:col>19</xdr:col>
      <xdr:colOff>7937</xdr:colOff>
      <xdr:row>9</xdr:row>
      <xdr:rowOff>152400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xmlns="" id="{00000000-0008-0000-1B00-000003000000}"/>
            </a:ext>
          </a:extLst>
        </xdr:cNvPr>
        <xdr:cNvSpPr/>
      </xdr:nvSpPr>
      <xdr:spPr>
        <a:xfrm>
          <a:off x="12160249" y="1392725"/>
          <a:ext cx="1169988" cy="5313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da-DK" sz="1100"/>
            <a:t>MSMM</a:t>
          </a:r>
        </a:p>
      </xdr:txBody>
    </xdr:sp>
    <xdr:clientData/>
  </xdr:twoCellAnchor>
  <xdr:twoCellAnchor>
    <xdr:from>
      <xdr:col>6</xdr:col>
      <xdr:colOff>585107</xdr:colOff>
      <xdr:row>18</xdr:row>
      <xdr:rowOff>76200</xdr:rowOff>
    </xdr:from>
    <xdr:to>
      <xdr:col>11</xdr:col>
      <xdr:colOff>25400</xdr:colOff>
      <xdr:row>18</xdr:row>
      <xdr:rowOff>81642</xdr:rowOff>
    </xdr:to>
    <xdr:cxnSp macro="">
      <xdr:nvCxnSpPr>
        <xdr:cNvPr id="4" name="Straight Arrow Connector 3">
          <a:extLst>
            <a:ext uri="{FF2B5EF4-FFF2-40B4-BE49-F238E27FC236}">
              <a16:creationId xmlns:a16="http://schemas.microsoft.com/office/drawing/2014/main" xmlns="" id="{00000000-0008-0000-1B00-000004000000}"/>
            </a:ext>
          </a:extLst>
        </xdr:cNvPr>
        <xdr:cNvCxnSpPr/>
      </xdr:nvCxnSpPr>
      <xdr:spPr>
        <a:xfrm flipV="1">
          <a:off x="6389007" y="3619500"/>
          <a:ext cx="2335893" cy="5442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27214</xdr:colOff>
      <xdr:row>17</xdr:row>
      <xdr:rowOff>0</xdr:rowOff>
    </xdr:from>
    <xdr:to>
      <xdr:col>26</xdr:col>
      <xdr:colOff>71204</xdr:colOff>
      <xdr:row>17</xdr:row>
      <xdr:rowOff>0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xmlns="" id="{00000000-0008-0000-1B00-000005000000}"/>
            </a:ext>
          </a:extLst>
        </xdr:cNvPr>
        <xdr:cNvCxnSpPr/>
      </xdr:nvCxnSpPr>
      <xdr:spPr>
        <a:xfrm>
          <a:off x="11615964" y="3346450"/>
          <a:ext cx="5822490" cy="0"/>
        </a:xfrm>
        <a:prstGeom prst="straightConnector1">
          <a:avLst/>
        </a:prstGeom>
        <a:ln w="38100">
          <a:solidFill>
            <a:srgbClr val="FF0000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258315</xdr:colOff>
      <xdr:row>5</xdr:row>
      <xdr:rowOff>29870</xdr:rowOff>
    </xdr:from>
    <xdr:to>
      <xdr:col>14</xdr:col>
      <xdr:colOff>10286</xdr:colOff>
      <xdr:row>18</xdr:row>
      <xdr:rowOff>110216</xdr:rowOff>
    </xdr:to>
    <xdr:grpSp>
      <xdr:nvGrpSpPr>
        <xdr:cNvPr id="6" name="Group 12">
          <a:extLst>
            <a:ext uri="{FF2B5EF4-FFF2-40B4-BE49-F238E27FC236}">
              <a16:creationId xmlns:a16="http://schemas.microsoft.com/office/drawing/2014/main" xmlns="" id="{00000000-0008-0000-1B00-000006000000}"/>
            </a:ext>
          </a:extLst>
        </xdr:cNvPr>
        <xdr:cNvGrpSpPr/>
      </xdr:nvGrpSpPr>
      <xdr:grpSpPr>
        <a:xfrm>
          <a:off x="4597482" y="929453"/>
          <a:ext cx="4535637" cy="2419263"/>
          <a:chOff x="4159135" y="182563"/>
          <a:chExt cx="5423778" cy="2646346"/>
        </a:xfrm>
      </xdr:grpSpPr>
      <xdr:grpSp>
        <xdr:nvGrpSpPr>
          <xdr:cNvPr id="7" name="Group 83">
            <a:extLst>
              <a:ext uri="{FF2B5EF4-FFF2-40B4-BE49-F238E27FC236}">
                <a16:creationId xmlns:a16="http://schemas.microsoft.com/office/drawing/2014/main" xmlns="" id="{00000000-0008-0000-1B00-000007000000}"/>
              </a:ext>
            </a:extLst>
          </xdr:cNvPr>
          <xdr:cNvGrpSpPr/>
        </xdr:nvGrpSpPr>
        <xdr:grpSpPr>
          <a:xfrm>
            <a:off x="4572000" y="182563"/>
            <a:ext cx="5010913" cy="2349499"/>
            <a:chOff x="15122525" y="4575969"/>
            <a:chExt cx="7357238" cy="2667000"/>
          </a:xfrm>
        </xdr:grpSpPr>
        <xdr:cxnSp macro="">
          <xdr:nvCxnSpPr>
            <xdr:cNvPr id="9" name="Straight Arrow Connector 8">
              <a:extLst>
                <a:ext uri="{FF2B5EF4-FFF2-40B4-BE49-F238E27FC236}">
                  <a16:creationId xmlns:a16="http://schemas.microsoft.com/office/drawing/2014/main" xmlns="" id="{00000000-0008-0000-1B00-000009000000}"/>
                </a:ext>
              </a:extLst>
            </xdr:cNvPr>
            <xdr:cNvCxnSpPr/>
          </xdr:nvCxnSpPr>
          <xdr:spPr>
            <a:xfrm>
              <a:off x="21019015" y="4762500"/>
              <a:ext cx="0" cy="2476500"/>
            </a:xfrm>
            <a:prstGeom prst="straightConnector1">
              <a:avLst/>
            </a:prstGeom>
            <a:ln>
              <a:headEnd type="arrow"/>
              <a:tailEnd type="arrow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grpSp>
          <xdr:nvGrpSpPr>
            <xdr:cNvPr id="10" name="Group 72">
              <a:extLst>
                <a:ext uri="{FF2B5EF4-FFF2-40B4-BE49-F238E27FC236}">
                  <a16:creationId xmlns:a16="http://schemas.microsoft.com/office/drawing/2014/main" xmlns="" id="{00000000-0008-0000-1B00-00000A000000}"/>
                </a:ext>
              </a:extLst>
            </xdr:cNvPr>
            <xdr:cNvGrpSpPr/>
          </xdr:nvGrpSpPr>
          <xdr:grpSpPr>
            <a:xfrm>
              <a:off x="17261588" y="4575969"/>
              <a:ext cx="5218175" cy="2667000"/>
              <a:chOff x="17245713" y="4560094"/>
              <a:chExt cx="5218175" cy="2667000"/>
            </a:xfrm>
          </xdr:grpSpPr>
          <xdr:cxnSp macro="">
            <xdr:nvCxnSpPr>
              <xdr:cNvPr id="20" name="Straight Arrow Connector 19">
                <a:extLst>
                  <a:ext uri="{FF2B5EF4-FFF2-40B4-BE49-F238E27FC236}">
                    <a16:creationId xmlns:a16="http://schemas.microsoft.com/office/drawing/2014/main" xmlns="" id="{00000000-0008-0000-1B00-000014000000}"/>
                  </a:ext>
                </a:extLst>
              </xdr:cNvPr>
              <xdr:cNvCxnSpPr/>
            </xdr:nvCxnSpPr>
            <xdr:spPr>
              <a:xfrm flipV="1">
                <a:off x="17245713" y="4560094"/>
                <a:ext cx="0" cy="2667000"/>
              </a:xfrm>
              <a:prstGeom prst="straightConnector1">
                <a:avLst/>
              </a:prstGeom>
              <a:ln w="38100">
                <a:solidFill>
                  <a:srgbClr val="FF0000"/>
                </a:solidFill>
                <a:tailEnd type="arrow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21" name="Straight Arrow Connector 20">
                <a:extLst>
                  <a:ext uri="{FF2B5EF4-FFF2-40B4-BE49-F238E27FC236}">
                    <a16:creationId xmlns:a16="http://schemas.microsoft.com/office/drawing/2014/main" xmlns="" id="{00000000-0008-0000-1B00-000015000000}"/>
                  </a:ext>
                </a:extLst>
              </xdr:cNvPr>
              <xdr:cNvCxnSpPr/>
            </xdr:nvCxnSpPr>
            <xdr:spPr>
              <a:xfrm flipV="1">
                <a:off x="17245713" y="7225393"/>
                <a:ext cx="5218175" cy="1701"/>
              </a:xfrm>
              <a:prstGeom prst="straightConnector1">
                <a:avLst/>
              </a:prstGeom>
              <a:ln w="38100">
                <a:solidFill>
                  <a:srgbClr val="FF0000"/>
                </a:solidFill>
                <a:tailEnd type="arrow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  <xdr:grpSp>
          <xdr:nvGrpSpPr>
            <xdr:cNvPr id="11" name="Group 82">
              <a:extLst>
                <a:ext uri="{FF2B5EF4-FFF2-40B4-BE49-F238E27FC236}">
                  <a16:creationId xmlns:a16="http://schemas.microsoft.com/office/drawing/2014/main" xmlns="" id="{00000000-0008-0000-1B00-00000B000000}"/>
                </a:ext>
              </a:extLst>
            </xdr:cNvPr>
            <xdr:cNvGrpSpPr/>
          </xdr:nvGrpSpPr>
          <xdr:grpSpPr>
            <a:xfrm>
              <a:off x="15122525" y="4753772"/>
              <a:ext cx="4240497" cy="2473322"/>
              <a:chOff x="15122525" y="4753772"/>
              <a:chExt cx="4240497" cy="2473322"/>
            </a:xfrm>
          </xdr:grpSpPr>
          <xdr:grpSp>
            <xdr:nvGrpSpPr>
              <xdr:cNvPr id="12" name="Group 74">
                <a:extLst>
                  <a:ext uri="{FF2B5EF4-FFF2-40B4-BE49-F238E27FC236}">
                    <a16:creationId xmlns:a16="http://schemas.microsoft.com/office/drawing/2014/main" xmlns="" id="{00000000-0008-0000-1B00-00000C000000}"/>
                  </a:ext>
                </a:extLst>
              </xdr:cNvPr>
              <xdr:cNvGrpSpPr/>
            </xdr:nvGrpSpPr>
            <xdr:grpSpPr>
              <a:xfrm>
                <a:off x="17240250" y="4760122"/>
                <a:ext cx="2122772" cy="2466972"/>
                <a:chOff x="17240250" y="4760122"/>
                <a:chExt cx="2122772" cy="2466972"/>
              </a:xfrm>
            </xdr:grpSpPr>
            <xdr:cxnSp macro="">
              <xdr:nvCxnSpPr>
                <xdr:cNvPr id="17" name="Straight Arrow Connector 16">
                  <a:extLst>
                    <a:ext uri="{FF2B5EF4-FFF2-40B4-BE49-F238E27FC236}">
                      <a16:creationId xmlns:a16="http://schemas.microsoft.com/office/drawing/2014/main" xmlns="" id="{00000000-0008-0000-1B00-000011000000}"/>
                    </a:ext>
                  </a:extLst>
                </xdr:cNvPr>
                <xdr:cNvCxnSpPr/>
              </xdr:nvCxnSpPr>
              <xdr:spPr>
                <a:xfrm>
                  <a:off x="17240250" y="7223125"/>
                  <a:ext cx="2122772" cy="3969"/>
                </a:xfrm>
                <a:prstGeom prst="straightConnector1">
                  <a:avLst/>
                </a:prstGeom>
                <a:ln>
                  <a:headEnd type="arrow"/>
                  <a:tailEnd type="arrow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18" name="Straight Arrow Connector 17">
                  <a:extLst>
                    <a:ext uri="{FF2B5EF4-FFF2-40B4-BE49-F238E27FC236}">
                      <a16:creationId xmlns:a16="http://schemas.microsoft.com/office/drawing/2014/main" xmlns="" id="{00000000-0008-0000-1B00-000012000000}"/>
                    </a:ext>
                  </a:extLst>
                </xdr:cNvPr>
                <xdr:cNvCxnSpPr/>
              </xdr:nvCxnSpPr>
              <xdr:spPr>
                <a:xfrm>
                  <a:off x="18147293" y="4760122"/>
                  <a:ext cx="1201396" cy="2452688"/>
                </a:xfrm>
                <a:prstGeom prst="straightConnector1">
                  <a:avLst/>
                </a:prstGeom>
                <a:ln>
                  <a:headEnd type="arrow"/>
                  <a:tailEnd type="arrow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19" name="Straight Arrow Connector 28">
                  <a:extLst>
                    <a:ext uri="{FF2B5EF4-FFF2-40B4-BE49-F238E27FC236}">
                      <a16:creationId xmlns:a16="http://schemas.microsoft.com/office/drawing/2014/main" xmlns="" id="{00000000-0008-0000-1B00-000013000000}"/>
                    </a:ext>
                  </a:extLst>
                </xdr:cNvPr>
                <xdr:cNvCxnSpPr/>
              </xdr:nvCxnSpPr>
              <xdr:spPr>
                <a:xfrm>
                  <a:off x="17240250" y="4762500"/>
                  <a:ext cx="909482" cy="1"/>
                </a:xfrm>
                <a:prstGeom prst="straightConnector1">
                  <a:avLst/>
                </a:prstGeom>
                <a:ln>
                  <a:headEnd type="arrow"/>
                  <a:tailEnd type="arrow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</xdr:grpSp>
          <xdr:grpSp>
            <xdr:nvGrpSpPr>
              <xdr:cNvPr id="13" name="Group 75">
                <a:extLst>
                  <a:ext uri="{FF2B5EF4-FFF2-40B4-BE49-F238E27FC236}">
                    <a16:creationId xmlns:a16="http://schemas.microsoft.com/office/drawing/2014/main" xmlns="" id="{00000000-0008-0000-1B00-00000D000000}"/>
                  </a:ext>
                </a:extLst>
              </xdr:cNvPr>
              <xdr:cNvGrpSpPr/>
            </xdr:nvGrpSpPr>
            <xdr:grpSpPr>
              <a:xfrm flipH="1">
                <a:off x="15122525" y="4753772"/>
                <a:ext cx="2122772" cy="2466972"/>
                <a:chOff x="17240250" y="4760122"/>
                <a:chExt cx="2122772" cy="2466972"/>
              </a:xfrm>
            </xdr:grpSpPr>
            <xdr:cxnSp macro="">
              <xdr:nvCxnSpPr>
                <xdr:cNvPr id="14" name="Straight Arrow Connector 13">
                  <a:extLst>
                    <a:ext uri="{FF2B5EF4-FFF2-40B4-BE49-F238E27FC236}">
                      <a16:creationId xmlns:a16="http://schemas.microsoft.com/office/drawing/2014/main" xmlns="" id="{00000000-0008-0000-1B00-00000E000000}"/>
                    </a:ext>
                  </a:extLst>
                </xdr:cNvPr>
                <xdr:cNvCxnSpPr/>
              </xdr:nvCxnSpPr>
              <xdr:spPr>
                <a:xfrm>
                  <a:off x="17240250" y="7223125"/>
                  <a:ext cx="2122772" cy="3969"/>
                </a:xfrm>
                <a:prstGeom prst="straightConnector1">
                  <a:avLst/>
                </a:prstGeom>
                <a:ln>
                  <a:headEnd type="arrow"/>
                  <a:tailEnd type="arrow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15" name="Straight Arrow Connector 14">
                  <a:extLst>
                    <a:ext uri="{FF2B5EF4-FFF2-40B4-BE49-F238E27FC236}">
                      <a16:creationId xmlns:a16="http://schemas.microsoft.com/office/drawing/2014/main" xmlns="" id="{00000000-0008-0000-1B00-00000F000000}"/>
                    </a:ext>
                  </a:extLst>
                </xdr:cNvPr>
                <xdr:cNvCxnSpPr/>
              </xdr:nvCxnSpPr>
              <xdr:spPr>
                <a:xfrm>
                  <a:off x="18147293" y="4760122"/>
                  <a:ext cx="1201396" cy="2452688"/>
                </a:xfrm>
                <a:prstGeom prst="straightConnector1">
                  <a:avLst/>
                </a:prstGeom>
                <a:ln>
                  <a:headEnd type="arrow"/>
                  <a:tailEnd type="arrow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16" name="Straight Arrow Connector 15">
                  <a:extLst>
                    <a:ext uri="{FF2B5EF4-FFF2-40B4-BE49-F238E27FC236}">
                      <a16:creationId xmlns:a16="http://schemas.microsoft.com/office/drawing/2014/main" xmlns="" id="{00000000-0008-0000-1B00-000010000000}"/>
                    </a:ext>
                  </a:extLst>
                </xdr:cNvPr>
                <xdr:cNvCxnSpPr/>
              </xdr:nvCxnSpPr>
              <xdr:spPr>
                <a:xfrm>
                  <a:off x="17240250" y="4762500"/>
                  <a:ext cx="909482" cy="1"/>
                </a:xfrm>
                <a:prstGeom prst="straightConnector1">
                  <a:avLst/>
                </a:prstGeom>
                <a:ln>
                  <a:headEnd type="arrow"/>
                  <a:tailEnd type="arrow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</xdr:grpSp>
        </xdr:grpSp>
      </xdr:grpSp>
      <xdr:sp macro="" textlink="">
        <xdr:nvSpPr>
          <xdr:cNvPr id="8" name="Arc 7">
            <a:extLst>
              <a:ext uri="{FF2B5EF4-FFF2-40B4-BE49-F238E27FC236}">
                <a16:creationId xmlns:a16="http://schemas.microsoft.com/office/drawing/2014/main" xmlns="" id="{00000000-0008-0000-1B00-000008000000}"/>
              </a:ext>
            </a:extLst>
          </xdr:cNvPr>
          <xdr:cNvSpPr/>
        </xdr:nvSpPr>
        <xdr:spPr>
          <a:xfrm rot="359687">
            <a:off x="4159135" y="2162649"/>
            <a:ext cx="991277" cy="666260"/>
          </a:xfrm>
          <a:prstGeom prst="arc">
            <a:avLst>
              <a:gd name="adj1" fmla="val 16200000"/>
              <a:gd name="adj2" fmla="val 21499628"/>
            </a:avLst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rtlCol="0" anchor="ctr"/>
          <a:lstStyle/>
          <a:p>
            <a:pPr algn="ctr"/>
            <a:endParaRPr lang="da-DK" sz="1100"/>
          </a:p>
        </xdr:txBody>
      </xdr:sp>
    </xdr:grpSp>
    <xdr:clientData/>
  </xdr:twoCellAnchor>
  <xdr:twoCellAnchor>
    <xdr:from>
      <xdr:col>21</xdr:col>
      <xdr:colOff>40815</xdr:colOff>
      <xdr:row>2</xdr:row>
      <xdr:rowOff>0</xdr:rowOff>
    </xdr:from>
    <xdr:to>
      <xdr:col>22</xdr:col>
      <xdr:colOff>246063</xdr:colOff>
      <xdr:row>2</xdr:row>
      <xdr:rowOff>0</xdr:rowOff>
    </xdr:to>
    <xdr:cxnSp macro="">
      <xdr:nvCxnSpPr>
        <xdr:cNvPr id="22" name="Straight Arrow Connector 21">
          <a:extLst>
            <a:ext uri="{FF2B5EF4-FFF2-40B4-BE49-F238E27FC236}">
              <a16:creationId xmlns:a16="http://schemas.microsoft.com/office/drawing/2014/main" xmlns="" id="{00000000-0008-0000-1B00-000016000000}"/>
            </a:ext>
          </a:extLst>
        </xdr:cNvPr>
        <xdr:cNvCxnSpPr/>
      </xdr:nvCxnSpPr>
      <xdr:spPr>
        <a:xfrm>
          <a:off x="14518815" y="393700"/>
          <a:ext cx="783098" cy="0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455831</xdr:colOff>
      <xdr:row>2</xdr:row>
      <xdr:rowOff>0</xdr:rowOff>
    </xdr:from>
    <xdr:to>
      <xdr:col>25</xdr:col>
      <xdr:colOff>309562</xdr:colOff>
      <xdr:row>2</xdr:row>
      <xdr:rowOff>5670</xdr:rowOff>
    </xdr:to>
    <xdr:cxnSp macro="">
      <xdr:nvCxnSpPr>
        <xdr:cNvPr id="23" name="Straight Arrow Connector 22">
          <a:extLst>
            <a:ext uri="{FF2B5EF4-FFF2-40B4-BE49-F238E27FC236}">
              <a16:creationId xmlns:a16="http://schemas.microsoft.com/office/drawing/2014/main" xmlns="" id="{00000000-0008-0000-1B00-000017000000}"/>
            </a:ext>
          </a:extLst>
        </xdr:cNvPr>
        <xdr:cNvCxnSpPr/>
      </xdr:nvCxnSpPr>
      <xdr:spPr>
        <a:xfrm flipV="1">
          <a:off x="15511681" y="393700"/>
          <a:ext cx="1587281" cy="5670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298977</xdr:colOff>
      <xdr:row>1</xdr:row>
      <xdr:rowOff>190500</xdr:rowOff>
    </xdr:from>
    <xdr:to>
      <xdr:col>26</xdr:col>
      <xdr:colOff>219370</xdr:colOff>
      <xdr:row>2</xdr:row>
      <xdr:rowOff>11113</xdr:rowOff>
    </xdr:to>
    <xdr:cxnSp macro="">
      <xdr:nvCxnSpPr>
        <xdr:cNvPr id="24" name="Straight Arrow Connector 23">
          <a:extLst>
            <a:ext uri="{FF2B5EF4-FFF2-40B4-BE49-F238E27FC236}">
              <a16:creationId xmlns:a16="http://schemas.microsoft.com/office/drawing/2014/main" xmlns="" id="{00000000-0008-0000-1B00-000018000000}"/>
            </a:ext>
          </a:extLst>
        </xdr:cNvPr>
        <xdr:cNvCxnSpPr/>
      </xdr:nvCxnSpPr>
      <xdr:spPr>
        <a:xfrm>
          <a:off x="16618477" y="391583"/>
          <a:ext cx="597726" cy="21697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95249</xdr:colOff>
      <xdr:row>2</xdr:row>
      <xdr:rowOff>0</xdr:rowOff>
    </xdr:from>
    <xdr:to>
      <xdr:col>21</xdr:col>
      <xdr:colOff>27194</xdr:colOff>
      <xdr:row>2</xdr:row>
      <xdr:rowOff>13607</xdr:rowOff>
    </xdr:to>
    <xdr:cxnSp macro="">
      <xdr:nvCxnSpPr>
        <xdr:cNvPr id="25" name="Straight Arrow Connector 24">
          <a:extLst>
            <a:ext uri="{FF2B5EF4-FFF2-40B4-BE49-F238E27FC236}">
              <a16:creationId xmlns:a16="http://schemas.microsoft.com/office/drawing/2014/main" xmlns="" id="{00000000-0008-0000-1B00-000019000000}"/>
            </a:ext>
          </a:extLst>
        </xdr:cNvPr>
        <xdr:cNvCxnSpPr/>
      </xdr:nvCxnSpPr>
      <xdr:spPr>
        <a:xfrm flipV="1">
          <a:off x="13417549" y="393700"/>
          <a:ext cx="1087645" cy="13607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223213</xdr:colOff>
      <xdr:row>3</xdr:row>
      <xdr:rowOff>768</xdr:rowOff>
    </xdr:from>
    <xdr:to>
      <xdr:col>25</xdr:col>
      <xdr:colOff>531055</xdr:colOff>
      <xdr:row>17</xdr:row>
      <xdr:rowOff>8092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xmlns="" id="{00000000-0008-0000-1B00-00001A000000}"/>
            </a:ext>
          </a:extLst>
        </xdr:cNvPr>
        <xdr:cNvGrpSpPr/>
      </xdr:nvGrpSpPr>
      <xdr:grpSpPr>
        <a:xfrm>
          <a:off x="14383713" y="540518"/>
          <a:ext cx="2339842" cy="2526157"/>
          <a:chOff x="16168006" y="593132"/>
          <a:chExt cx="2147580" cy="2884781"/>
        </a:xfrm>
      </xdr:grpSpPr>
      <xdr:grpSp>
        <xdr:nvGrpSpPr>
          <xdr:cNvPr id="27" name="Group 26">
            <a:extLst>
              <a:ext uri="{FF2B5EF4-FFF2-40B4-BE49-F238E27FC236}">
                <a16:creationId xmlns:a16="http://schemas.microsoft.com/office/drawing/2014/main" xmlns="" id="{00000000-0008-0000-1B00-00001B000000}"/>
              </a:ext>
            </a:extLst>
          </xdr:cNvPr>
          <xdr:cNvGrpSpPr/>
        </xdr:nvGrpSpPr>
        <xdr:grpSpPr>
          <a:xfrm>
            <a:off x="16925110" y="593132"/>
            <a:ext cx="1390476" cy="2884781"/>
            <a:chOff x="5950411" y="11613323"/>
            <a:chExt cx="2218578" cy="2476500"/>
          </a:xfrm>
        </xdr:grpSpPr>
        <xdr:cxnSp macro="">
          <xdr:nvCxnSpPr>
            <xdr:cNvPr id="31" name="Straight Arrow Connector 30">
              <a:extLst>
                <a:ext uri="{FF2B5EF4-FFF2-40B4-BE49-F238E27FC236}">
                  <a16:creationId xmlns:a16="http://schemas.microsoft.com/office/drawing/2014/main" xmlns="" id="{00000000-0008-0000-1B00-00001F000000}"/>
                </a:ext>
              </a:extLst>
            </xdr:cNvPr>
            <xdr:cNvCxnSpPr/>
          </xdr:nvCxnSpPr>
          <xdr:spPr>
            <a:xfrm>
              <a:off x="8168989" y="11613323"/>
              <a:ext cx="0" cy="2476500"/>
            </a:xfrm>
            <a:prstGeom prst="straightConnector1">
              <a:avLst/>
            </a:prstGeom>
            <a:ln>
              <a:headEnd type="arrow"/>
              <a:tailEnd type="arrow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32" name="Rectangle 31">
              <a:extLst>
                <a:ext uri="{FF2B5EF4-FFF2-40B4-BE49-F238E27FC236}">
                  <a16:creationId xmlns:a16="http://schemas.microsoft.com/office/drawing/2014/main" xmlns="" id="{00000000-0008-0000-1B00-000020000000}"/>
                </a:ext>
              </a:extLst>
            </xdr:cNvPr>
            <xdr:cNvSpPr/>
          </xdr:nvSpPr>
          <xdr:spPr>
            <a:xfrm>
              <a:off x="5950411" y="11832772"/>
              <a:ext cx="983645" cy="463831"/>
            </a:xfrm>
            <a:prstGeom prst="rect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r>
                <a:rPr lang="da-DK" sz="1100"/>
                <a:t>BSBB</a:t>
              </a:r>
            </a:p>
          </xdr:txBody>
        </xdr:sp>
      </xdr:grpSp>
      <xdr:cxnSp macro="">
        <xdr:nvCxnSpPr>
          <xdr:cNvPr id="28" name="Straight Arrow Connector 27">
            <a:extLst>
              <a:ext uri="{FF2B5EF4-FFF2-40B4-BE49-F238E27FC236}">
                <a16:creationId xmlns:a16="http://schemas.microsoft.com/office/drawing/2014/main" xmlns="" id="{00000000-0008-0000-1B00-00001C000000}"/>
              </a:ext>
            </a:extLst>
          </xdr:cNvPr>
          <xdr:cNvCxnSpPr/>
        </xdr:nvCxnSpPr>
        <xdr:spPr>
          <a:xfrm>
            <a:off x="16924226" y="595963"/>
            <a:ext cx="13607" cy="2843893"/>
          </a:xfrm>
          <a:prstGeom prst="straightConnector1">
            <a:avLst/>
          </a:prstGeom>
          <a:ln>
            <a:headEnd type="arrow"/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9" name="Straight Arrow Connector 28">
            <a:extLst>
              <a:ext uri="{FF2B5EF4-FFF2-40B4-BE49-F238E27FC236}">
                <a16:creationId xmlns:a16="http://schemas.microsoft.com/office/drawing/2014/main" xmlns="" id="{00000000-0008-0000-1B00-00001D000000}"/>
              </a:ext>
            </a:extLst>
          </xdr:cNvPr>
          <xdr:cNvCxnSpPr/>
        </xdr:nvCxnSpPr>
        <xdr:spPr>
          <a:xfrm>
            <a:off x="17553214" y="612321"/>
            <a:ext cx="13609" cy="2830286"/>
          </a:xfrm>
          <a:prstGeom prst="straightConnector1">
            <a:avLst/>
          </a:prstGeom>
          <a:ln>
            <a:headEnd type="arrow"/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0" name="Straight Arrow Connector 29">
            <a:extLst>
              <a:ext uri="{FF2B5EF4-FFF2-40B4-BE49-F238E27FC236}">
                <a16:creationId xmlns:a16="http://schemas.microsoft.com/office/drawing/2014/main" xmlns="" id="{00000000-0008-0000-1B00-00001E000000}"/>
              </a:ext>
            </a:extLst>
          </xdr:cNvPr>
          <xdr:cNvCxnSpPr/>
        </xdr:nvCxnSpPr>
        <xdr:spPr>
          <a:xfrm flipH="1">
            <a:off x="16168006" y="625929"/>
            <a:ext cx="24494" cy="2792187"/>
          </a:xfrm>
          <a:prstGeom prst="straightConnector1">
            <a:avLst/>
          </a:prstGeom>
          <a:ln>
            <a:headEnd type="arrow"/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16</xdr:col>
      <xdr:colOff>46921</xdr:colOff>
      <xdr:row>6</xdr:row>
      <xdr:rowOff>13607</xdr:rowOff>
    </xdr:from>
    <xdr:to>
      <xdr:col>16</xdr:col>
      <xdr:colOff>54429</xdr:colOff>
      <xdr:row>16</xdr:row>
      <xdr:rowOff>144098</xdr:rowOff>
    </xdr:to>
    <xdr:cxnSp macro="">
      <xdr:nvCxnSpPr>
        <xdr:cNvPr id="33" name="Straight Arrow Connector 32">
          <a:extLst>
            <a:ext uri="{FF2B5EF4-FFF2-40B4-BE49-F238E27FC236}">
              <a16:creationId xmlns:a16="http://schemas.microsoft.com/office/drawing/2014/main" xmlns="" id="{00000000-0008-0000-1B00-000021000000}"/>
            </a:ext>
          </a:extLst>
        </xdr:cNvPr>
        <xdr:cNvCxnSpPr/>
      </xdr:nvCxnSpPr>
      <xdr:spPr>
        <a:xfrm flipH="1">
          <a:off x="11635671" y="1194707"/>
          <a:ext cx="7508" cy="2098991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562177</xdr:colOff>
      <xdr:row>6</xdr:row>
      <xdr:rowOff>21545</xdr:rowOff>
    </xdr:from>
    <xdr:to>
      <xdr:col>16</xdr:col>
      <xdr:colOff>566965</xdr:colOff>
      <xdr:row>16</xdr:row>
      <xdr:rowOff>195580</xdr:rowOff>
    </xdr:to>
    <xdr:cxnSp macro="">
      <xdr:nvCxnSpPr>
        <xdr:cNvPr id="34" name="Straight Arrow Connector 33">
          <a:extLst>
            <a:ext uri="{FF2B5EF4-FFF2-40B4-BE49-F238E27FC236}">
              <a16:creationId xmlns:a16="http://schemas.microsoft.com/office/drawing/2014/main" xmlns="" id="{00000000-0008-0000-1B00-000022000000}"/>
            </a:ext>
          </a:extLst>
        </xdr:cNvPr>
        <xdr:cNvCxnSpPr/>
      </xdr:nvCxnSpPr>
      <xdr:spPr>
        <a:xfrm flipH="1">
          <a:off x="12150927" y="1202645"/>
          <a:ext cx="4788" cy="2142535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0</xdr:colOff>
      <xdr:row>5</xdr:row>
      <xdr:rowOff>169333</xdr:rowOff>
    </xdr:from>
    <xdr:to>
      <xdr:col>20</xdr:col>
      <xdr:colOff>205</xdr:colOff>
      <xdr:row>16</xdr:row>
      <xdr:rowOff>190365</xdr:rowOff>
    </xdr:to>
    <xdr:cxnSp macro="">
      <xdr:nvCxnSpPr>
        <xdr:cNvPr id="35" name="Straight Arrow Connector 34">
          <a:extLst>
            <a:ext uri="{FF2B5EF4-FFF2-40B4-BE49-F238E27FC236}">
              <a16:creationId xmlns:a16="http://schemas.microsoft.com/office/drawing/2014/main" xmlns="" id="{00000000-0008-0000-1B00-000023000000}"/>
            </a:ext>
          </a:extLst>
        </xdr:cNvPr>
        <xdr:cNvCxnSpPr/>
      </xdr:nvCxnSpPr>
      <xdr:spPr>
        <a:xfrm>
          <a:off x="12932833" y="1174750"/>
          <a:ext cx="205" cy="2232948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657</xdr:colOff>
      <xdr:row>6</xdr:row>
      <xdr:rowOff>0</xdr:rowOff>
    </xdr:from>
    <xdr:to>
      <xdr:col>19</xdr:col>
      <xdr:colOff>13607</xdr:colOff>
      <xdr:row>16</xdr:row>
      <xdr:rowOff>193088</xdr:rowOff>
    </xdr:to>
    <xdr:cxnSp macro="">
      <xdr:nvCxnSpPr>
        <xdr:cNvPr id="36" name="Straight Arrow Connector 35">
          <a:extLst>
            <a:ext uri="{FF2B5EF4-FFF2-40B4-BE49-F238E27FC236}">
              <a16:creationId xmlns:a16="http://schemas.microsoft.com/office/drawing/2014/main" xmlns="" id="{00000000-0008-0000-1B00-000024000000}"/>
            </a:ext>
          </a:extLst>
        </xdr:cNvPr>
        <xdr:cNvCxnSpPr/>
      </xdr:nvCxnSpPr>
      <xdr:spPr>
        <a:xfrm flipH="1">
          <a:off x="13322957" y="1181100"/>
          <a:ext cx="12950" cy="2161588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13610</xdr:colOff>
      <xdr:row>3</xdr:row>
      <xdr:rowOff>13610</xdr:rowOff>
    </xdr:from>
    <xdr:to>
      <xdr:col>16</xdr:col>
      <xdr:colOff>13610</xdr:colOff>
      <xdr:row>16</xdr:row>
      <xdr:rowOff>202575</xdr:rowOff>
    </xdr:to>
    <xdr:cxnSp macro="">
      <xdr:nvCxnSpPr>
        <xdr:cNvPr id="37" name="Straight Arrow Connector 36">
          <a:extLst>
            <a:ext uri="{FF2B5EF4-FFF2-40B4-BE49-F238E27FC236}">
              <a16:creationId xmlns:a16="http://schemas.microsoft.com/office/drawing/2014/main" xmlns="" id="{00000000-0008-0000-1B00-000025000000}"/>
            </a:ext>
          </a:extLst>
        </xdr:cNvPr>
        <xdr:cNvCxnSpPr/>
      </xdr:nvCxnSpPr>
      <xdr:spPr>
        <a:xfrm flipV="1">
          <a:off x="11602360" y="604160"/>
          <a:ext cx="0" cy="2741665"/>
        </a:xfrm>
        <a:prstGeom prst="straightConnector1">
          <a:avLst/>
        </a:prstGeom>
        <a:ln w="38100">
          <a:solidFill>
            <a:srgbClr val="FF0000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13607</xdr:colOff>
      <xdr:row>18</xdr:row>
      <xdr:rowOff>81642</xdr:rowOff>
    </xdr:from>
    <xdr:to>
      <xdr:col>22</xdr:col>
      <xdr:colOff>190500</xdr:colOff>
      <xdr:row>18</xdr:row>
      <xdr:rowOff>84667</xdr:rowOff>
    </xdr:to>
    <xdr:cxnSp macro="">
      <xdr:nvCxnSpPr>
        <xdr:cNvPr id="38" name="Straight Arrow Connector 37">
          <a:extLst>
            <a:ext uri="{FF2B5EF4-FFF2-40B4-BE49-F238E27FC236}">
              <a16:creationId xmlns:a16="http://schemas.microsoft.com/office/drawing/2014/main" xmlns="" id="{00000000-0008-0000-1B00-000026000000}"/>
            </a:ext>
          </a:extLst>
        </xdr:cNvPr>
        <xdr:cNvCxnSpPr/>
      </xdr:nvCxnSpPr>
      <xdr:spPr>
        <a:xfrm>
          <a:off x="10237107" y="3701142"/>
          <a:ext cx="4240893" cy="3025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3296</xdr:colOff>
      <xdr:row>19</xdr:row>
      <xdr:rowOff>0</xdr:rowOff>
    </xdr:from>
    <xdr:to>
      <xdr:col>26</xdr:col>
      <xdr:colOff>264584</xdr:colOff>
      <xdr:row>19</xdr:row>
      <xdr:rowOff>2721</xdr:rowOff>
    </xdr:to>
    <xdr:cxnSp macro="">
      <xdr:nvCxnSpPr>
        <xdr:cNvPr id="39" name="Straight Arrow Connector 38">
          <a:extLst>
            <a:ext uri="{FF2B5EF4-FFF2-40B4-BE49-F238E27FC236}">
              <a16:creationId xmlns:a16="http://schemas.microsoft.com/office/drawing/2014/main" xmlns="" id="{00000000-0008-0000-1B00-000027000000}"/>
            </a:ext>
          </a:extLst>
        </xdr:cNvPr>
        <xdr:cNvCxnSpPr/>
      </xdr:nvCxnSpPr>
      <xdr:spPr>
        <a:xfrm flipV="1">
          <a:off x="10226796" y="3820583"/>
          <a:ext cx="7034621" cy="2721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101297</xdr:colOff>
      <xdr:row>13</xdr:row>
      <xdr:rowOff>179917</xdr:rowOff>
    </xdr:from>
    <xdr:to>
      <xdr:col>10</xdr:col>
      <xdr:colOff>243417</xdr:colOff>
      <xdr:row>13</xdr:row>
      <xdr:rowOff>190501</xdr:rowOff>
    </xdr:to>
    <xdr:cxnSp macro="">
      <xdr:nvCxnSpPr>
        <xdr:cNvPr id="40" name="Straight Connector 39">
          <a:extLst>
            <a:ext uri="{FF2B5EF4-FFF2-40B4-BE49-F238E27FC236}">
              <a16:creationId xmlns:a16="http://schemas.microsoft.com/office/drawing/2014/main" xmlns="" id="{00000000-0008-0000-1B00-000028000000}"/>
            </a:ext>
          </a:extLst>
        </xdr:cNvPr>
        <xdr:cNvCxnSpPr/>
      </xdr:nvCxnSpPr>
      <xdr:spPr>
        <a:xfrm flipV="1">
          <a:off x="5117797" y="2794000"/>
          <a:ext cx="2047120" cy="10584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9524</xdr:colOff>
      <xdr:row>7</xdr:row>
      <xdr:rowOff>8424</xdr:rowOff>
    </xdr:from>
    <xdr:to>
      <xdr:col>22</xdr:col>
      <xdr:colOff>230188</xdr:colOff>
      <xdr:row>15</xdr:row>
      <xdr:rowOff>169332</xdr:rowOff>
    </xdr:to>
    <xdr:sp macro="" textlink="">
      <xdr:nvSpPr>
        <xdr:cNvPr id="41" name="Rectangle 40">
          <a:extLst>
            <a:ext uri="{FF2B5EF4-FFF2-40B4-BE49-F238E27FC236}">
              <a16:creationId xmlns:a16="http://schemas.microsoft.com/office/drawing/2014/main" xmlns="" id="{00000000-0008-0000-1B00-000029000000}"/>
            </a:ext>
          </a:extLst>
        </xdr:cNvPr>
        <xdr:cNvSpPr/>
      </xdr:nvSpPr>
      <xdr:spPr>
        <a:xfrm>
          <a:off x="12815357" y="1267841"/>
          <a:ext cx="1575331" cy="1600241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da-DK" sz="1100"/>
            <a:t>MSMB</a:t>
          </a:r>
        </a:p>
      </xdr:txBody>
    </xdr:sp>
    <xdr:clientData/>
  </xdr:twoCellAnchor>
  <xdr:twoCellAnchor>
    <xdr:from>
      <xdr:col>25</xdr:col>
      <xdr:colOff>539750</xdr:colOff>
      <xdr:row>7</xdr:row>
      <xdr:rowOff>2075</xdr:rowOff>
    </xdr:from>
    <xdr:to>
      <xdr:col>26</xdr:col>
      <xdr:colOff>246062</xdr:colOff>
      <xdr:row>16</xdr:row>
      <xdr:rowOff>10583</xdr:rowOff>
    </xdr:to>
    <xdr:sp macro="" textlink="">
      <xdr:nvSpPr>
        <xdr:cNvPr id="43" name="Rectangle 42">
          <a:extLst>
            <a:ext uri="{FF2B5EF4-FFF2-40B4-BE49-F238E27FC236}">
              <a16:creationId xmlns:a16="http://schemas.microsoft.com/office/drawing/2014/main" xmlns="" id="{00000000-0008-0000-1B00-00002B000000}"/>
            </a:ext>
          </a:extLst>
        </xdr:cNvPr>
        <xdr:cNvSpPr/>
      </xdr:nvSpPr>
      <xdr:spPr>
        <a:xfrm>
          <a:off x="16732250" y="1261492"/>
          <a:ext cx="383645" cy="162775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da-DK" sz="1100"/>
            <a:t>SFX</a:t>
          </a:r>
        </a:p>
      </xdr:txBody>
    </xdr:sp>
    <xdr:clientData/>
  </xdr:twoCellAnchor>
  <xdr:twoCellAnchor>
    <xdr:from>
      <xdr:col>19</xdr:col>
      <xdr:colOff>664632</xdr:colOff>
      <xdr:row>3</xdr:row>
      <xdr:rowOff>52917</xdr:rowOff>
    </xdr:from>
    <xdr:to>
      <xdr:col>22</xdr:col>
      <xdr:colOff>232833</xdr:colOff>
      <xdr:row>6</xdr:row>
      <xdr:rowOff>5141</xdr:rowOff>
    </xdr:to>
    <xdr:cxnSp macro="">
      <xdr:nvCxnSpPr>
        <xdr:cNvPr id="44" name="Straight Arrow Connector 43">
          <a:extLst>
            <a:ext uri="{FF2B5EF4-FFF2-40B4-BE49-F238E27FC236}">
              <a16:creationId xmlns:a16="http://schemas.microsoft.com/office/drawing/2014/main" xmlns="" id="{00000000-0008-0000-1B00-00002C000000}"/>
            </a:ext>
          </a:extLst>
        </xdr:cNvPr>
        <xdr:cNvCxnSpPr/>
      </xdr:nvCxnSpPr>
      <xdr:spPr>
        <a:xfrm flipV="1">
          <a:off x="12920132" y="592667"/>
          <a:ext cx="1600201" cy="491974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0</xdr:colOff>
      <xdr:row>13</xdr:row>
      <xdr:rowOff>38058</xdr:rowOff>
    </xdr:from>
    <xdr:to>
      <xdr:col>19</xdr:col>
      <xdr:colOff>5821</xdr:colOff>
      <xdr:row>15</xdr:row>
      <xdr:rowOff>175683</xdr:rowOff>
    </xdr:to>
    <xdr:sp macro="" textlink="">
      <xdr:nvSpPr>
        <xdr:cNvPr id="45" name="Rectangle 44">
          <a:extLst>
            <a:ext uri="{FF2B5EF4-FFF2-40B4-BE49-F238E27FC236}">
              <a16:creationId xmlns:a16="http://schemas.microsoft.com/office/drawing/2014/main" xmlns="" id="{00000000-0008-0000-1B00-00002D000000}"/>
            </a:ext>
          </a:extLst>
        </xdr:cNvPr>
        <xdr:cNvSpPr/>
      </xdr:nvSpPr>
      <xdr:spPr>
        <a:xfrm>
          <a:off x="10773833" y="2376975"/>
          <a:ext cx="1360488" cy="49745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da-DK" sz="1100"/>
            <a:t>SFMM</a:t>
          </a:r>
        </a:p>
      </xdr:txBody>
    </xdr:sp>
    <xdr:clientData/>
  </xdr:twoCellAnchor>
  <xdr:twoCellAnchor>
    <xdr:from>
      <xdr:col>23</xdr:col>
      <xdr:colOff>391584</xdr:colOff>
      <xdr:row>13</xdr:row>
      <xdr:rowOff>52916</xdr:rowOff>
    </xdr:from>
    <xdr:to>
      <xdr:col>24</xdr:col>
      <xdr:colOff>385933</xdr:colOff>
      <xdr:row>15</xdr:row>
      <xdr:rowOff>166214</xdr:rowOff>
    </xdr:to>
    <xdr:sp macro="" textlink="">
      <xdr:nvSpPr>
        <xdr:cNvPr id="46" name="Rectangle 45">
          <a:extLst>
            <a:ext uri="{FF2B5EF4-FFF2-40B4-BE49-F238E27FC236}">
              <a16:creationId xmlns:a16="http://schemas.microsoft.com/office/drawing/2014/main" xmlns="" id="{00000000-0008-0000-1B00-00002E000000}"/>
            </a:ext>
          </a:extLst>
        </xdr:cNvPr>
        <xdr:cNvSpPr/>
      </xdr:nvSpPr>
      <xdr:spPr>
        <a:xfrm>
          <a:off x="15229417" y="2391833"/>
          <a:ext cx="671683" cy="473131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da-DK" sz="1100"/>
            <a:t>SFBB</a:t>
          </a: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308430</xdr:colOff>
      <xdr:row>60</xdr:row>
      <xdr:rowOff>81643</xdr:rowOff>
    </xdr:from>
    <xdr:to>
      <xdr:col>14</xdr:col>
      <xdr:colOff>186416</xdr:colOff>
      <xdr:row>72</xdr:row>
      <xdr:rowOff>9073</xdr:rowOff>
    </xdr:to>
    <xdr:pic>
      <xdr:nvPicPr>
        <xdr:cNvPr id="2" name="Picture 1" descr="UPE european standard channel with parallel flanges. UPE beam">
          <a:extLst>
            <a:ext uri="{FF2B5EF4-FFF2-40B4-BE49-F238E27FC236}">
              <a16:creationId xmlns:a16="http://schemas.microsoft.com/office/drawing/2014/main" xmlns="" id="{00000000-0008-0000-2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14144" y="5569857"/>
          <a:ext cx="2200272" cy="211364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308429</xdr:colOff>
      <xdr:row>21</xdr:row>
      <xdr:rowOff>66741</xdr:rowOff>
    </xdr:from>
    <xdr:to>
      <xdr:col>13</xdr:col>
      <xdr:colOff>544286</xdr:colOff>
      <xdr:row>32</xdr:row>
      <xdr:rowOff>29493</xdr:rowOff>
    </xdr:to>
    <xdr:pic>
      <xdr:nvPicPr>
        <xdr:cNvPr id="3" name="Picture 2" descr="Steel equal angles, L profile">
          <a:extLst>
            <a:ext uri="{FF2B5EF4-FFF2-40B4-BE49-F238E27FC236}">
              <a16:creationId xmlns:a16="http://schemas.microsoft.com/office/drawing/2014/main" xmlns="" id="{00000000-0008-0000-2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14143" y="2470670"/>
          <a:ext cx="1977572" cy="196753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489856</xdr:colOff>
      <xdr:row>42</xdr:row>
      <xdr:rowOff>9072</xdr:rowOff>
    </xdr:from>
    <xdr:to>
      <xdr:col>13</xdr:col>
      <xdr:colOff>81642</xdr:colOff>
      <xdr:row>52</xdr:row>
      <xdr:rowOff>172357</xdr:rowOff>
    </xdr:to>
    <xdr:pic>
      <xdr:nvPicPr>
        <xdr:cNvPr id="4" name="Picture 3" descr="Steel equal angles, L profile">
          <a:extLst>
            <a:ext uri="{FF2B5EF4-FFF2-40B4-BE49-F238E27FC236}">
              <a16:creationId xmlns:a16="http://schemas.microsoft.com/office/drawing/2014/main" xmlns="" id="{00000000-0008-0000-20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95570" y="6050643"/>
          <a:ext cx="1333501" cy="198664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674029</xdr:colOff>
      <xdr:row>44</xdr:row>
      <xdr:rowOff>0</xdr:rowOff>
    </xdr:from>
    <xdr:to>
      <xdr:col>40</xdr:col>
      <xdr:colOff>10584</xdr:colOff>
      <xdr:row>59</xdr:row>
      <xdr:rowOff>46849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00000000-0008-0000-2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196" y="7630583"/>
          <a:ext cx="4077887" cy="2586848"/>
        </a:xfrm>
        <a:prstGeom prst="rect">
          <a:avLst/>
        </a:prstGeom>
      </xdr:spPr>
    </xdr:pic>
    <xdr:clientData/>
  </xdr:twoCellAnchor>
  <xdr:twoCellAnchor editAs="oneCell">
    <xdr:from>
      <xdr:col>34</xdr:col>
      <xdr:colOff>0</xdr:colOff>
      <xdr:row>21</xdr:row>
      <xdr:rowOff>0</xdr:rowOff>
    </xdr:from>
    <xdr:to>
      <xdr:col>40</xdr:col>
      <xdr:colOff>19</xdr:colOff>
      <xdr:row>38</xdr:row>
      <xdr:rowOff>52917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xmlns="" id="{00000000-0008-0000-2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6500" y="3566583"/>
          <a:ext cx="4064018" cy="2931584"/>
        </a:xfrm>
        <a:prstGeom prst="rect">
          <a:avLst/>
        </a:prstGeom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26</xdr:col>
      <xdr:colOff>23813</xdr:colOff>
      <xdr:row>1</xdr:row>
      <xdr:rowOff>865187</xdr:rowOff>
    </xdr:from>
    <xdr:to>
      <xdr:col>35</xdr:col>
      <xdr:colOff>166688</xdr:colOff>
      <xdr:row>29</xdr:row>
      <xdr:rowOff>150812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xmlns="" id="{00000000-0008-0000-2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581313" y="1055687"/>
          <a:ext cx="6286500" cy="4651375"/>
        </a:xfrm>
        <a:prstGeom prst="rect">
          <a:avLst/>
        </a:prstGeom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0</xdr:colOff>
      <xdr:row>0</xdr:row>
      <xdr:rowOff>0</xdr:rowOff>
    </xdr:from>
    <xdr:to>
      <xdr:col>15</xdr:col>
      <xdr:colOff>318655</xdr:colOff>
      <xdr:row>31</xdr:row>
      <xdr:rowOff>903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00000000-0008-0000-2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6000" y="0"/>
          <a:ext cx="3366655" cy="590005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jb/Dropbox/Fan%20Tools/New%20Fan%20Line/Barker%20JET%20Bill%20of%20Materials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dministrator/Desktop/AS%20Fan%20Selector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dministrator/Desktop/BMS-------&#21629;&#21517;&#36716;&#25442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st Calculator"/>
      <sheetName val="Cost structures, ALL"/>
      <sheetName val="Subsystem Cost"/>
      <sheetName val="Impeller Manufacturing data"/>
      <sheetName val="Fan List"/>
      <sheetName val="House C Data"/>
      <sheetName val="Impeller C &amp; Run Data"/>
      <sheetName val="Fan Hydraulic Data"/>
      <sheetName val="Forbrug"/>
      <sheetName val="INLET"/>
      <sheetName val="HOUSE&amp;INLET"/>
      <sheetName val="IMPELLER"/>
      <sheetName val="FRAME"/>
      <sheetName val="DRIVE&amp;MOUNTING"/>
      <sheetName val="MOTOR HANDLING"/>
      <sheetName val="Fan Data &amp; Deformation"/>
      <sheetName val="Impeller sketch"/>
      <sheetName val="CH vs Calc cost"/>
      <sheetName val="Graphics"/>
      <sheetName val="Currencies"/>
      <sheetName val="Mechanical data, limits"/>
      <sheetName val="stop"/>
      <sheetName val="Barker JET Bill of Materials"/>
      <sheetName val="Fan Name List"/>
    </sheetNames>
    <sheetDataSet>
      <sheetData sheetId="0">
        <row r="1">
          <cell r="A1">
            <v>160706</v>
          </cell>
        </row>
        <row r="41">
          <cell r="E41">
            <v>250</v>
          </cell>
          <cell r="H41">
            <v>1275</v>
          </cell>
          <cell r="I41">
            <v>1625</v>
          </cell>
          <cell r="J41">
            <v>0.76151635614453639</v>
          </cell>
          <cell r="K41">
            <v>0.15219728288207379</v>
          </cell>
          <cell r="L41">
            <v>1.1681407662289616</v>
          </cell>
          <cell r="M41">
            <v>6.2831853071795862</v>
          </cell>
          <cell r="N41">
            <v>0.96717802986980728</v>
          </cell>
        </row>
        <row r="44">
          <cell r="D44" t="str">
            <v>blank</v>
          </cell>
          <cell r="G44">
            <v>1120</v>
          </cell>
          <cell r="I44">
            <v>648.81472596764172</v>
          </cell>
          <cell r="L44">
            <v>17.849920852480309</v>
          </cell>
          <cell r="M44">
            <v>28.895364003328858</v>
          </cell>
        </row>
        <row r="46">
          <cell r="D46">
            <v>4</v>
          </cell>
          <cell r="E46">
            <v>4</v>
          </cell>
          <cell r="F46">
            <v>13.000000000000002</v>
          </cell>
          <cell r="G46">
            <v>420.44576839331609</v>
          </cell>
          <cell r="K46">
            <v>0.53708322392200936</v>
          </cell>
          <cell r="L46">
            <v>0.3220262421283856</v>
          </cell>
          <cell r="M46">
            <v>-0.79502526412746499</v>
          </cell>
          <cell r="N46">
            <v>0.64295733038064973</v>
          </cell>
        </row>
      </sheetData>
      <sheetData sheetId="1">
        <row r="2">
          <cell r="C2">
            <v>41000</v>
          </cell>
        </row>
      </sheetData>
      <sheetData sheetId="2">
        <row r="2">
          <cell r="C2" t="str">
            <v>drive offset</v>
          </cell>
        </row>
      </sheetData>
      <sheetData sheetId="3"/>
      <sheetData sheetId="4" refreshError="1"/>
      <sheetData sheetId="5">
        <row r="17">
          <cell r="A17" t="str">
            <v>TESTFAN</v>
          </cell>
        </row>
      </sheetData>
      <sheetData sheetId="6">
        <row r="1">
          <cell r="B1">
            <v>7850</v>
          </cell>
        </row>
      </sheetData>
      <sheetData sheetId="7"/>
      <sheetData sheetId="8">
        <row r="2">
          <cell r="C2">
            <v>3</v>
          </cell>
        </row>
      </sheetData>
      <sheetData sheetId="9">
        <row r="2">
          <cell r="C2">
            <v>3</v>
          </cell>
        </row>
      </sheetData>
      <sheetData sheetId="10">
        <row r="2">
          <cell r="C2">
            <v>3</v>
          </cell>
        </row>
      </sheetData>
      <sheetData sheetId="11">
        <row r="2">
          <cell r="C2">
            <v>3</v>
          </cell>
        </row>
      </sheetData>
      <sheetData sheetId="12">
        <row r="2">
          <cell r="C2">
            <v>3</v>
          </cell>
        </row>
      </sheetData>
      <sheetData sheetId="13">
        <row r="2">
          <cell r="C2">
            <v>3</v>
          </cell>
        </row>
      </sheetData>
      <sheetData sheetId="14"/>
      <sheetData sheetId="15">
        <row r="4">
          <cell r="B4">
            <v>240000000</v>
          </cell>
        </row>
      </sheetData>
      <sheetData sheetId="16"/>
      <sheetData sheetId="17"/>
      <sheetData sheetId="18"/>
      <sheetData sheetId="19">
        <row r="2">
          <cell r="C2">
            <v>1.1000000000000001</v>
          </cell>
        </row>
      </sheetData>
      <sheetData sheetId="20">
        <row r="1">
          <cell r="A1">
            <v>160305</v>
          </cell>
        </row>
      </sheetData>
      <sheetData sheetId="21"/>
      <sheetData sheetId="22" refreshError="1"/>
      <sheetData sheetId="23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an Selection"/>
      <sheetName val="Fan Type Calc."/>
      <sheetName val="Curves (Std. conditions)"/>
      <sheetName val="Curves (Ops. conditions)"/>
      <sheetName val="Fan Torque Curve"/>
      <sheetName val="Curves (Simulation) (a)"/>
      <sheetName val="Curves (Simulation) (b)"/>
      <sheetName val="Curves (Simulation) (1)"/>
      <sheetName val="Curves (Simulation) (2)"/>
      <sheetName val="Data for BOSS"/>
      <sheetName val="Fan template"/>
      <sheetName val="stop"/>
      <sheetName val="Fan Data &amp; Deformation"/>
      <sheetName val="Calc. sheet"/>
      <sheetName val="Ventilator relevance"/>
      <sheetName val="Fan Name List"/>
      <sheetName val="House C Data"/>
      <sheetName val="Impeller C &amp; Run Data"/>
      <sheetName val="Fan Hydraulic Data"/>
      <sheetName val="Mechanical data, limits"/>
      <sheetName val="Material Options"/>
      <sheetName val="STOCK LIST"/>
      <sheetName val="stop1"/>
    </sheetNames>
    <sheetDataSet>
      <sheetData sheetId="0">
        <row r="4">
          <cell r="B4" t="str">
            <v>Direct</v>
          </cell>
        </row>
        <row r="7">
          <cell r="I7">
            <v>0</v>
          </cell>
        </row>
        <row r="8">
          <cell r="I8">
            <v>1020</v>
          </cell>
        </row>
        <row r="9">
          <cell r="I9">
            <v>0</v>
          </cell>
        </row>
        <row r="10">
          <cell r="I10">
            <v>50</v>
          </cell>
        </row>
        <row r="12">
          <cell r="I12">
            <v>204630</v>
          </cell>
        </row>
        <row r="13">
          <cell r="D13">
            <v>0</v>
          </cell>
        </row>
        <row r="14">
          <cell r="C14">
            <v>1</v>
          </cell>
          <cell r="D14">
            <v>0</v>
          </cell>
        </row>
        <row r="15">
          <cell r="C15">
            <v>0</v>
          </cell>
        </row>
        <row r="24">
          <cell r="B24" t="str">
            <v>Steel</v>
          </cell>
        </row>
        <row r="26">
          <cell r="C26">
            <v>70</v>
          </cell>
          <cell r="D26" t="str">
            <v>XOE 306-125</v>
          </cell>
          <cell r="E26" t="str">
            <v>HS</v>
          </cell>
        </row>
        <row r="27">
          <cell r="C27">
            <v>1466.6608017497426</v>
          </cell>
        </row>
        <row r="39">
          <cell r="B39" t="str">
            <v>XOE 306-125 HS</v>
          </cell>
        </row>
        <row r="50">
          <cell r="D50">
            <v>0.85235296150373752</v>
          </cell>
        </row>
        <row r="57">
          <cell r="B57">
            <v>20</v>
          </cell>
        </row>
        <row r="61">
          <cell r="B61">
            <v>1.2050000000000001</v>
          </cell>
        </row>
        <row r="81">
          <cell r="A81">
            <v>0</v>
          </cell>
        </row>
        <row r="82">
          <cell r="A82">
            <v>0</v>
          </cell>
        </row>
        <row r="83">
          <cell r="A83">
            <v>0</v>
          </cell>
        </row>
      </sheetData>
      <sheetData sheetId="1"/>
      <sheetData sheetId="2">
        <row r="65">
          <cell r="C65">
            <v>1</v>
          </cell>
        </row>
      </sheetData>
      <sheetData sheetId="3"/>
      <sheetData sheetId="4"/>
      <sheetData sheetId="5"/>
      <sheetData sheetId="6"/>
      <sheetData sheetId="7"/>
      <sheetData sheetId="8"/>
      <sheetData sheetId="9">
        <row r="7">
          <cell r="F7" t="str">
            <v>XOE 306-125 HS</v>
          </cell>
        </row>
        <row r="9">
          <cell r="D9">
            <v>1250</v>
          </cell>
          <cell r="G9">
            <v>1.25</v>
          </cell>
        </row>
        <row r="10">
          <cell r="D10">
            <v>1800</v>
          </cell>
        </row>
        <row r="11">
          <cell r="D11">
            <v>5</v>
          </cell>
        </row>
        <row r="12">
          <cell r="D12">
            <v>3088.9291369814141</v>
          </cell>
        </row>
        <row r="18">
          <cell r="D18">
            <v>1800</v>
          </cell>
        </row>
        <row r="19">
          <cell r="D19">
            <v>0</v>
          </cell>
        </row>
        <row r="20">
          <cell r="D20">
            <v>1139.5691194683543</v>
          </cell>
        </row>
        <row r="21">
          <cell r="D21">
            <v>1020</v>
          </cell>
        </row>
        <row r="22">
          <cell r="D22">
            <v>119.56911946835436</v>
          </cell>
        </row>
        <row r="23">
          <cell r="D23">
            <v>50</v>
          </cell>
        </row>
        <row r="24">
          <cell r="D24">
            <v>204630</v>
          </cell>
        </row>
        <row r="25">
          <cell r="D25">
            <v>1466.6608017497426</v>
          </cell>
        </row>
        <row r="26">
          <cell r="D26">
            <v>1.2050000000000001</v>
          </cell>
        </row>
        <row r="27">
          <cell r="D27">
            <v>0.85235296150373752</v>
          </cell>
        </row>
        <row r="28">
          <cell r="D28">
            <v>745.28808189214294</v>
          </cell>
        </row>
        <row r="33">
          <cell r="D33" t="str">
            <v>Pa</v>
          </cell>
        </row>
        <row r="36">
          <cell r="P36">
            <v>1.0931289843411525</v>
          </cell>
        </row>
        <row r="38">
          <cell r="J38">
            <v>1.2050000000000001</v>
          </cell>
        </row>
        <row r="40">
          <cell r="J40">
            <v>11026.863135703079</v>
          </cell>
        </row>
        <row r="44">
          <cell r="J44">
            <v>12319.483052991385</v>
          </cell>
        </row>
        <row r="46">
          <cell r="J46">
            <v>821.56099741634398</v>
          </cell>
        </row>
        <row r="66">
          <cell r="G66">
            <v>1789.7333880293902</v>
          </cell>
        </row>
        <row r="67">
          <cell r="G67">
            <v>268</v>
          </cell>
        </row>
        <row r="68">
          <cell r="D68">
            <v>973</v>
          </cell>
          <cell r="G68">
            <v>367</v>
          </cell>
        </row>
        <row r="70">
          <cell r="D70">
            <v>6</v>
          </cell>
          <cell r="G70">
            <v>6</v>
          </cell>
        </row>
        <row r="74">
          <cell r="D74" t="str">
            <v>Steel</v>
          </cell>
          <cell r="G74">
            <v>668</v>
          </cell>
        </row>
        <row r="75">
          <cell r="D75">
            <v>12</v>
          </cell>
          <cell r="G75">
            <v>99.89439000000003</v>
          </cell>
        </row>
        <row r="77">
          <cell r="D77">
            <v>1</v>
          </cell>
        </row>
        <row r="78">
          <cell r="D78">
            <v>8</v>
          </cell>
          <cell r="G78">
            <v>115.403470514506</v>
          </cell>
        </row>
        <row r="81">
          <cell r="D81">
            <v>1</v>
          </cell>
        </row>
        <row r="82">
          <cell r="D82">
            <v>8</v>
          </cell>
          <cell r="G82">
            <v>93.531574076715074</v>
          </cell>
        </row>
      </sheetData>
      <sheetData sheetId="10"/>
      <sheetData sheetId="11"/>
      <sheetData sheetId="12">
        <row r="4">
          <cell r="H4">
            <v>0.9</v>
          </cell>
        </row>
        <row r="11">
          <cell r="E11">
            <v>1466.6608017497426</v>
          </cell>
        </row>
        <row r="12">
          <cell r="B12">
            <v>153.58836000283691</v>
          </cell>
          <cell r="E12">
            <v>153.58836000283691</v>
          </cell>
        </row>
        <row r="47">
          <cell r="B47">
            <v>212494870.23354831</v>
          </cell>
        </row>
        <row r="56">
          <cell r="B56">
            <v>1552.9734664732769</v>
          </cell>
        </row>
      </sheetData>
      <sheetData sheetId="13"/>
      <sheetData sheetId="14"/>
      <sheetData sheetId="15"/>
      <sheetData sheetId="16">
        <row r="17">
          <cell r="A17" t="str">
            <v>TESTFAN</v>
          </cell>
        </row>
      </sheetData>
      <sheetData sheetId="17"/>
      <sheetData sheetId="18">
        <row r="18">
          <cell r="B18">
            <v>2400</v>
          </cell>
        </row>
      </sheetData>
      <sheetData sheetId="19">
        <row r="1">
          <cell r="E1">
            <v>9.8070000000000004</v>
          </cell>
        </row>
        <row r="39">
          <cell r="A39" t="str">
            <v>Data Type</v>
          </cell>
          <cell r="B39" t="str">
            <v>Density</v>
          </cell>
          <cell r="C39" t="str">
            <v>YS regr.</v>
          </cell>
          <cell r="D39">
            <v>0</v>
          </cell>
          <cell r="E39">
            <v>0</v>
          </cell>
          <cell r="F39" t="str">
            <v>safety factor</v>
          </cell>
          <cell r="G39" t="str">
            <v>minT</v>
          </cell>
          <cell r="H39" t="str">
            <v>maxT</v>
          </cell>
          <cell r="I39" t="str">
            <v>Plate T, mm</v>
          </cell>
          <cell r="J39">
            <v>0</v>
          </cell>
          <cell r="K39">
            <v>0</v>
          </cell>
          <cell r="L39">
            <v>0</v>
          </cell>
          <cell r="M39">
            <v>0</v>
          </cell>
          <cell r="N39">
            <v>0</v>
          </cell>
          <cell r="O39">
            <v>0</v>
          </cell>
          <cell r="P39">
            <v>0</v>
          </cell>
          <cell r="Q39">
            <v>0</v>
          </cell>
          <cell r="R39">
            <v>0</v>
          </cell>
          <cell r="S39">
            <v>0</v>
          </cell>
        </row>
        <row r="40">
          <cell r="I40">
            <v>0</v>
          </cell>
          <cell r="J40">
            <v>1</v>
          </cell>
          <cell r="K40">
            <v>2</v>
          </cell>
          <cell r="L40">
            <v>3</v>
          </cell>
          <cell r="M40">
            <v>4</v>
          </cell>
          <cell r="N40">
            <v>5</v>
          </cell>
          <cell r="O40">
            <v>6</v>
          </cell>
          <cell r="P40">
            <v>7</v>
          </cell>
          <cell r="Q40">
            <v>8</v>
          </cell>
          <cell r="R40">
            <v>8</v>
          </cell>
          <cell r="S40">
            <v>8</v>
          </cell>
        </row>
        <row r="41">
          <cell r="A41" t="str">
            <v>Steel</v>
          </cell>
          <cell r="B41">
            <v>7850</v>
          </cell>
          <cell r="C41">
            <v>5.7490138375806119E-4</v>
          </cell>
          <cell r="D41">
            <v>-0.48039999582576742</v>
          </cell>
          <cell r="E41">
            <v>250</v>
          </cell>
          <cell r="F41">
            <v>0.9</v>
          </cell>
          <cell r="G41">
            <v>3</v>
          </cell>
          <cell r="H41">
            <v>10</v>
          </cell>
          <cell r="I41">
            <v>0</v>
          </cell>
          <cell r="J41">
            <v>0</v>
          </cell>
          <cell r="K41">
            <v>0</v>
          </cell>
          <cell r="L41">
            <v>0</v>
          </cell>
          <cell r="M41">
            <v>3</v>
          </cell>
          <cell r="N41">
            <v>4</v>
          </cell>
          <cell r="O41">
            <v>5</v>
          </cell>
          <cell r="P41">
            <v>6</v>
          </cell>
          <cell r="Q41">
            <v>8</v>
          </cell>
          <cell r="R41">
            <v>8</v>
          </cell>
          <cell r="S41">
            <v>8</v>
          </cell>
        </row>
        <row r="42">
          <cell r="A42" t="str">
            <v>AISI304</v>
          </cell>
          <cell r="B42">
            <v>7850</v>
          </cell>
          <cell r="C42">
            <v>5.7490138375806119E-4</v>
          </cell>
          <cell r="D42">
            <v>-0.48039999582576742</v>
          </cell>
          <cell r="E42">
            <v>240</v>
          </cell>
          <cell r="F42">
            <v>0.9</v>
          </cell>
          <cell r="G42">
            <v>3</v>
          </cell>
          <cell r="H42">
            <v>10</v>
          </cell>
          <cell r="I42">
            <v>0</v>
          </cell>
          <cell r="J42">
            <v>0</v>
          </cell>
          <cell r="K42">
            <v>0</v>
          </cell>
          <cell r="L42">
            <v>0</v>
          </cell>
          <cell r="M42">
            <v>3</v>
          </cell>
          <cell r="N42">
            <v>4</v>
          </cell>
          <cell r="O42">
            <v>5</v>
          </cell>
          <cell r="P42">
            <v>6</v>
          </cell>
          <cell r="Q42">
            <v>8</v>
          </cell>
          <cell r="R42">
            <v>8</v>
          </cell>
          <cell r="S42">
            <v>8</v>
          </cell>
        </row>
        <row r="43">
          <cell r="A43" t="str">
            <v>AISI304L</v>
          </cell>
          <cell r="B43">
            <v>7850</v>
          </cell>
          <cell r="C43">
            <v>5.7490138375806119E-4</v>
          </cell>
          <cell r="D43">
            <v>-0.48039999582576742</v>
          </cell>
          <cell r="E43">
            <v>260</v>
          </cell>
          <cell r="F43">
            <v>0.9</v>
          </cell>
          <cell r="G43">
            <v>2</v>
          </cell>
          <cell r="H43">
            <v>10</v>
          </cell>
          <cell r="I43">
            <v>0</v>
          </cell>
          <cell r="J43">
            <v>0</v>
          </cell>
          <cell r="K43">
            <v>0</v>
          </cell>
          <cell r="L43">
            <v>2</v>
          </cell>
          <cell r="M43">
            <v>3</v>
          </cell>
          <cell r="N43">
            <v>4</v>
          </cell>
          <cell r="O43">
            <v>5</v>
          </cell>
          <cell r="P43">
            <v>6</v>
          </cell>
          <cell r="Q43">
            <v>8</v>
          </cell>
          <cell r="R43">
            <v>8</v>
          </cell>
          <cell r="S43">
            <v>8</v>
          </cell>
        </row>
        <row r="44">
          <cell r="A44" t="str">
            <v>AISI316L</v>
          </cell>
          <cell r="B44">
            <v>7850</v>
          </cell>
          <cell r="C44">
            <v>5.7490138375806119E-4</v>
          </cell>
          <cell r="D44">
            <v>-0.48039999582576742</v>
          </cell>
          <cell r="E44">
            <v>295</v>
          </cell>
          <cell r="F44">
            <v>0.9</v>
          </cell>
          <cell r="G44">
            <v>2</v>
          </cell>
          <cell r="H44">
            <v>10</v>
          </cell>
          <cell r="I44">
            <v>0</v>
          </cell>
          <cell r="J44">
            <v>0</v>
          </cell>
          <cell r="K44">
            <v>0</v>
          </cell>
          <cell r="L44">
            <v>2</v>
          </cell>
          <cell r="M44">
            <v>3</v>
          </cell>
          <cell r="N44">
            <v>4</v>
          </cell>
          <cell r="O44">
            <v>5</v>
          </cell>
          <cell r="P44">
            <v>6</v>
          </cell>
          <cell r="Q44">
            <v>8</v>
          </cell>
          <cell r="R44">
            <v>8</v>
          </cell>
          <cell r="S44">
            <v>8</v>
          </cell>
        </row>
        <row r="45">
          <cell r="A45" t="str">
            <v>AISI2205</v>
          </cell>
          <cell r="B45">
            <v>7850</v>
          </cell>
          <cell r="C45">
            <v>5.7490138375806119E-4</v>
          </cell>
          <cell r="D45">
            <v>-0.48039999582576742</v>
          </cell>
          <cell r="E45">
            <v>450</v>
          </cell>
          <cell r="F45">
            <v>0.9</v>
          </cell>
          <cell r="G45">
            <v>2</v>
          </cell>
          <cell r="H45">
            <v>10</v>
          </cell>
          <cell r="I45">
            <v>0</v>
          </cell>
          <cell r="J45">
            <v>0</v>
          </cell>
          <cell r="K45">
            <v>0</v>
          </cell>
          <cell r="L45">
            <v>2</v>
          </cell>
          <cell r="M45">
            <v>3</v>
          </cell>
          <cell r="N45">
            <v>4</v>
          </cell>
          <cell r="O45">
            <v>5</v>
          </cell>
          <cell r="P45">
            <v>6</v>
          </cell>
          <cell r="Q45">
            <v>8</v>
          </cell>
          <cell r="R45">
            <v>8</v>
          </cell>
          <cell r="S45">
            <v>8</v>
          </cell>
        </row>
        <row r="46">
          <cell r="A46" t="str">
            <v>CORTEN</v>
          </cell>
          <cell r="B46">
            <v>7850</v>
          </cell>
          <cell r="C46">
            <v>5.7490138375806119E-4</v>
          </cell>
          <cell r="D46">
            <v>-0.48039999582576742</v>
          </cell>
          <cell r="E46">
            <v>350</v>
          </cell>
          <cell r="F46">
            <v>0.9</v>
          </cell>
          <cell r="G46">
            <v>2</v>
          </cell>
          <cell r="H46">
            <v>6</v>
          </cell>
          <cell r="I46">
            <v>0</v>
          </cell>
          <cell r="J46">
            <v>0</v>
          </cell>
          <cell r="K46">
            <v>0</v>
          </cell>
          <cell r="L46">
            <v>2</v>
          </cell>
          <cell r="M46">
            <v>3</v>
          </cell>
          <cell r="N46">
            <v>4</v>
          </cell>
          <cell r="O46">
            <v>5</v>
          </cell>
          <cell r="P46">
            <v>6</v>
          </cell>
          <cell r="Q46">
            <v>6</v>
          </cell>
          <cell r="R46">
            <v>6</v>
          </cell>
          <cell r="S46">
            <v>6</v>
          </cell>
        </row>
        <row r="47">
          <cell r="A47" t="str">
            <v>DOMEX</v>
          </cell>
          <cell r="B47">
            <v>7850</v>
          </cell>
          <cell r="C47">
            <v>5.7490138375806119E-4</v>
          </cell>
          <cell r="D47">
            <v>-0.48039999582576742</v>
          </cell>
          <cell r="E47">
            <v>650</v>
          </cell>
          <cell r="F47">
            <v>0.9</v>
          </cell>
          <cell r="G47">
            <v>2</v>
          </cell>
          <cell r="H47">
            <v>6</v>
          </cell>
          <cell r="I47">
            <v>0</v>
          </cell>
          <cell r="J47">
            <v>0</v>
          </cell>
          <cell r="K47">
            <v>0</v>
          </cell>
          <cell r="L47">
            <v>2</v>
          </cell>
          <cell r="M47">
            <v>3</v>
          </cell>
          <cell r="N47">
            <v>4</v>
          </cell>
          <cell r="O47">
            <v>5</v>
          </cell>
          <cell r="P47">
            <v>6</v>
          </cell>
          <cell r="Q47">
            <v>6</v>
          </cell>
          <cell r="R47">
            <v>6</v>
          </cell>
          <cell r="S47">
            <v>6</v>
          </cell>
        </row>
        <row r="48">
          <cell r="A48" t="str">
            <v>Al6061</v>
          </cell>
          <cell r="B48">
            <v>2699</v>
          </cell>
          <cell r="C48">
            <v>5.7490138375806119E-4</v>
          </cell>
          <cell r="D48">
            <v>-0.48039999582576742</v>
          </cell>
          <cell r="E48">
            <v>55</v>
          </cell>
          <cell r="F48">
            <v>0.9</v>
          </cell>
          <cell r="G48">
            <v>3</v>
          </cell>
          <cell r="H48">
            <v>8</v>
          </cell>
          <cell r="I48">
            <v>0</v>
          </cell>
          <cell r="J48">
            <v>0</v>
          </cell>
          <cell r="K48">
            <v>0</v>
          </cell>
          <cell r="L48">
            <v>0</v>
          </cell>
          <cell r="M48">
            <v>3</v>
          </cell>
          <cell r="N48">
            <v>4</v>
          </cell>
          <cell r="O48">
            <v>5</v>
          </cell>
          <cell r="P48">
            <v>6</v>
          </cell>
          <cell r="Q48">
            <v>8</v>
          </cell>
          <cell r="R48">
            <v>8</v>
          </cell>
          <cell r="S48">
            <v>8</v>
          </cell>
        </row>
        <row r="49">
          <cell r="A49" t="str">
            <v>Al57</v>
          </cell>
          <cell r="B49">
            <v>2699</v>
          </cell>
          <cell r="C49">
            <v>5.7490138375806119E-4</v>
          </cell>
          <cell r="D49">
            <v>-0.48039999582576742</v>
          </cell>
          <cell r="E49">
            <v>100</v>
          </cell>
          <cell r="F49">
            <v>0.9</v>
          </cell>
          <cell r="G49">
            <v>3</v>
          </cell>
          <cell r="H49">
            <v>8</v>
          </cell>
          <cell r="I49">
            <v>0</v>
          </cell>
          <cell r="J49">
            <v>0</v>
          </cell>
          <cell r="K49">
            <v>0</v>
          </cell>
          <cell r="L49">
            <v>0</v>
          </cell>
          <cell r="M49">
            <v>3</v>
          </cell>
          <cell r="N49">
            <v>4</v>
          </cell>
          <cell r="O49">
            <v>5</v>
          </cell>
          <cell r="P49">
            <v>6</v>
          </cell>
          <cell r="Q49">
            <v>8</v>
          </cell>
          <cell r="R49">
            <v>8</v>
          </cell>
          <cell r="S49">
            <v>8</v>
          </cell>
        </row>
        <row r="60">
          <cell r="H60" t="str">
            <v>Max air Speed</v>
          </cell>
          <cell r="I60">
            <v>0</v>
          </cell>
          <cell r="J60">
            <v>0</v>
          </cell>
          <cell r="K60">
            <v>0</v>
          </cell>
          <cell r="L60">
            <v>0</v>
          </cell>
          <cell r="M60">
            <v>0</v>
          </cell>
          <cell r="N60">
            <v>0</v>
          </cell>
          <cell r="O60">
            <v>0</v>
          </cell>
        </row>
        <row r="61">
          <cell r="H61" t="str">
            <v>Pt&lt;mmh2o&gt;</v>
          </cell>
          <cell r="I61" t="str">
            <v>Des. airspeed @ inlet&lt;m/s&gt;</v>
          </cell>
          <cell r="J61">
            <v>0</v>
          </cell>
          <cell r="K61">
            <v>0</v>
          </cell>
          <cell r="L61" t="str">
            <v>min</v>
          </cell>
          <cell r="M61" t="str">
            <v>-delta</v>
          </cell>
          <cell r="N61" t="str">
            <v>max</v>
          </cell>
          <cell r="O61" t="str">
            <v>+delta</v>
          </cell>
        </row>
        <row r="62">
          <cell r="H62">
            <v>0</v>
          </cell>
          <cell r="I62">
            <v>15</v>
          </cell>
          <cell r="J62">
            <v>5</v>
          </cell>
          <cell r="K62">
            <v>0</v>
          </cell>
          <cell r="L62">
            <v>10</v>
          </cell>
          <cell r="M62">
            <v>5</v>
          </cell>
          <cell r="N62">
            <v>25</v>
          </cell>
          <cell r="O62">
            <v>10</v>
          </cell>
        </row>
        <row r="63">
          <cell r="H63">
            <v>250</v>
          </cell>
          <cell r="I63">
            <v>20</v>
          </cell>
          <cell r="J63">
            <v>0</v>
          </cell>
          <cell r="K63">
            <v>0</v>
          </cell>
          <cell r="L63">
            <v>10</v>
          </cell>
          <cell r="M63">
            <v>10</v>
          </cell>
          <cell r="N63">
            <v>30</v>
          </cell>
          <cell r="O63">
            <v>10</v>
          </cell>
        </row>
        <row r="64">
          <cell r="H64">
            <v>500</v>
          </cell>
          <cell r="I64">
            <v>25</v>
          </cell>
          <cell r="J64">
            <v>0</v>
          </cell>
          <cell r="K64">
            <v>0</v>
          </cell>
          <cell r="L64">
            <v>15</v>
          </cell>
          <cell r="M64">
            <v>10</v>
          </cell>
          <cell r="N64">
            <v>35</v>
          </cell>
          <cell r="O64">
            <v>10</v>
          </cell>
        </row>
        <row r="65">
          <cell r="H65">
            <v>750</v>
          </cell>
          <cell r="I65">
            <v>26</v>
          </cell>
          <cell r="J65">
            <v>1</v>
          </cell>
          <cell r="K65">
            <v>0</v>
          </cell>
          <cell r="L65">
            <v>16</v>
          </cell>
          <cell r="M65">
            <v>10</v>
          </cell>
          <cell r="N65">
            <v>36</v>
          </cell>
          <cell r="O65">
            <v>10</v>
          </cell>
        </row>
        <row r="66">
          <cell r="H66">
            <v>1000</v>
          </cell>
          <cell r="I66">
            <v>27</v>
          </cell>
          <cell r="J66">
            <v>0</v>
          </cell>
          <cell r="K66">
            <v>0</v>
          </cell>
          <cell r="L66">
            <v>17</v>
          </cell>
          <cell r="M66">
            <v>10</v>
          </cell>
          <cell r="N66">
            <v>37</v>
          </cell>
          <cell r="O66">
            <v>10</v>
          </cell>
        </row>
        <row r="67">
          <cell r="H67">
            <v>1250</v>
          </cell>
          <cell r="I67">
            <v>28</v>
          </cell>
          <cell r="J67">
            <v>0</v>
          </cell>
          <cell r="K67">
            <v>0</v>
          </cell>
          <cell r="L67">
            <v>18</v>
          </cell>
          <cell r="M67">
            <v>10</v>
          </cell>
          <cell r="N67">
            <v>38</v>
          </cell>
          <cell r="O67">
            <v>10</v>
          </cell>
        </row>
        <row r="68">
          <cell r="H68">
            <v>1500</v>
          </cell>
          <cell r="I68">
            <v>30</v>
          </cell>
          <cell r="J68">
            <v>2</v>
          </cell>
          <cell r="K68">
            <v>0</v>
          </cell>
          <cell r="L68">
            <v>20</v>
          </cell>
          <cell r="M68">
            <v>10</v>
          </cell>
          <cell r="N68">
            <v>40</v>
          </cell>
          <cell r="O68">
            <v>10</v>
          </cell>
        </row>
        <row r="69">
          <cell r="H69">
            <v>1750</v>
          </cell>
          <cell r="I69">
            <v>32</v>
          </cell>
          <cell r="J69">
            <v>0</v>
          </cell>
          <cell r="K69">
            <v>0</v>
          </cell>
          <cell r="L69">
            <v>22</v>
          </cell>
          <cell r="M69">
            <v>10</v>
          </cell>
          <cell r="N69">
            <v>42</v>
          </cell>
          <cell r="O69">
            <v>10</v>
          </cell>
        </row>
        <row r="70">
          <cell r="H70">
            <v>2000</v>
          </cell>
          <cell r="I70">
            <v>34</v>
          </cell>
          <cell r="J70">
            <v>0</v>
          </cell>
          <cell r="K70">
            <v>0</v>
          </cell>
          <cell r="L70">
            <v>24</v>
          </cell>
          <cell r="M70">
            <v>10</v>
          </cell>
          <cell r="N70">
            <v>44</v>
          </cell>
          <cell r="O70">
            <v>10</v>
          </cell>
        </row>
        <row r="71">
          <cell r="H71">
            <v>2250</v>
          </cell>
          <cell r="I71">
            <v>36</v>
          </cell>
          <cell r="J71">
            <v>2</v>
          </cell>
          <cell r="K71">
            <v>0</v>
          </cell>
          <cell r="L71">
            <v>26</v>
          </cell>
          <cell r="M71">
            <v>10</v>
          </cell>
          <cell r="N71">
            <v>46</v>
          </cell>
          <cell r="O71">
            <v>10</v>
          </cell>
        </row>
        <row r="72">
          <cell r="H72">
            <v>2500</v>
          </cell>
          <cell r="I72">
            <v>38</v>
          </cell>
          <cell r="J72">
            <v>0</v>
          </cell>
          <cell r="K72">
            <v>0</v>
          </cell>
          <cell r="L72">
            <v>28</v>
          </cell>
          <cell r="M72">
            <v>10</v>
          </cell>
          <cell r="N72">
            <v>48</v>
          </cell>
          <cell r="O72">
            <v>10</v>
          </cell>
        </row>
        <row r="73">
          <cell r="H73">
            <v>2750</v>
          </cell>
          <cell r="I73">
            <v>40</v>
          </cell>
          <cell r="J73">
            <v>0</v>
          </cell>
          <cell r="K73">
            <v>0</v>
          </cell>
          <cell r="L73">
            <v>30</v>
          </cell>
          <cell r="M73">
            <v>10</v>
          </cell>
          <cell r="N73">
            <v>50</v>
          </cell>
          <cell r="O73">
            <v>10</v>
          </cell>
        </row>
        <row r="74">
          <cell r="H74">
            <v>3000</v>
          </cell>
          <cell r="I74">
            <v>41</v>
          </cell>
          <cell r="J74">
            <v>1</v>
          </cell>
          <cell r="K74">
            <v>0</v>
          </cell>
          <cell r="L74">
            <v>31</v>
          </cell>
          <cell r="M74">
            <v>10</v>
          </cell>
          <cell r="N74">
            <v>51</v>
          </cell>
          <cell r="O74">
            <v>10</v>
          </cell>
        </row>
        <row r="75">
          <cell r="H75">
            <v>3250</v>
          </cell>
          <cell r="I75">
            <v>42</v>
          </cell>
          <cell r="J75">
            <v>0</v>
          </cell>
          <cell r="K75">
            <v>0</v>
          </cell>
          <cell r="L75">
            <v>32</v>
          </cell>
          <cell r="M75">
            <v>10</v>
          </cell>
          <cell r="N75">
            <v>52</v>
          </cell>
          <cell r="O75">
            <v>10</v>
          </cell>
        </row>
        <row r="76">
          <cell r="H76">
            <v>3500</v>
          </cell>
          <cell r="I76">
            <v>43</v>
          </cell>
          <cell r="J76">
            <v>0</v>
          </cell>
          <cell r="K76">
            <v>0</v>
          </cell>
          <cell r="L76">
            <v>33</v>
          </cell>
          <cell r="M76">
            <v>10</v>
          </cell>
          <cell r="N76">
            <v>53</v>
          </cell>
          <cell r="O76">
            <v>10</v>
          </cell>
        </row>
        <row r="77">
          <cell r="H77">
            <v>3750</v>
          </cell>
          <cell r="I77">
            <v>44</v>
          </cell>
          <cell r="J77">
            <v>1</v>
          </cell>
          <cell r="K77">
            <v>0</v>
          </cell>
          <cell r="L77">
            <v>34</v>
          </cell>
          <cell r="M77">
            <v>10</v>
          </cell>
          <cell r="N77">
            <v>54</v>
          </cell>
          <cell r="O77">
            <v>10</v>
          </cell>
        </row>
        <row r="78">
          <cell r="H78">
            <v>4000</v>
          </cell>
          <cell r="I78">
            <v>45</v>
          </cell>
          <cell r="J78">
            <v>0</v>
          </cell>
          <cell r="K78">
            <v>0</v>
          </cell>
          <cell r="L78">
            <v>35</v>
          </cell>
          <cell r="M78">
            <v>10</v>
          </cell>
          <cell r="N78">
            <v>55</v>
          </cell>
          <cell r="O78">
            <v>10</v>
          </cell>
        </row>
        <row r="79">
          <cell r="H79">
            <v>4250</v>
          </cell>
          <cell r="I79">
            <v>46</v>
          </cell>
          <cell r="J79">
            <v>0</v>
          </cell>
          <cell r="K79">
            <v>0</v>
          </cell>
          <cell r="L79">
            <v>36</v>
          </cell>
          <cell r="M79">
            <v>10</v>
          </cell>
          <cell r="N79">
            <v>56</v>
          </cell>
          <cell r="O79">
            <v>10</v>
          </cell>
        </row>
        <row r="80">
          <cell r="H80">
            <v>4500</v>
          </cell>
          <cell r="I80">
            <v>47</v>
          </cell>
          <cell r="J80">
            <v>0</v>
          </cell>
          <cell r="K80">
            <v>0</v>
          </cell>
          <cell r="L80">
            <v>37</v>
          </cell>
          <cell r="M80">
            <v>10</v>
          </cell>
          <cell r="N80">
            <v>57</v>
          </cell>
          <cell r="O80">
            <v>10</v>
          </cell>
        </row>
      </sheetData>
      <sheetData sheetId="20">
        <row r="2">
          <cell r="A2" t="str">
            <v>Steel</v>
          </cell>
          <cell r="E2" t="str">
            <v>Steel</v>
          </cell>
          <cell r="G2" t="str">
            <v>Steel</v>
          </cell>
          <cell r="I2" t="str">
            <v>Steel</v>
          </cell>
          <cell r="K2" t="str">
            <v>Steel</v>
          </cell>
        </row>
        <row r="3">
          <cell r="A3" t="str">
            <v>AISI304</v>
          </cell>
          <cell r="E3" t="str">
            <v>AISI304</v>
          </cell>
          <cell r="G3" t="str">
            <v>AISI304</v>
          </cell>
          <cell r="I3" t="str">
            <v>AISI304</v>
          </cell>
          <cell r="K3" t="str">
            <v>AISI304</v>
          </cell>
        </row>
        <row r="4">
          <cell r="A4" t="str">
            <v>AISI304L</v>
          </cell>
          <cell r="E4" t="str">
            <v>AISI304L</v>
          </cell>
          <cell r="G4" t="str">
            <v>AISI304L</v>
          </cell>
        </row>
        <row r="5">
          <cell r="A5" t="str">
            <v>AISI316L</v>
          </cell>
          <cell r="G5" t="str">
            <v>AISI316L</v>
          </cell>
        </row>
        <row r="6">
          <cell r="A6" t="str">
            <v>AISI2205</v>
          </cell>
          <cell r="G6" t="str">
            <v>AISI2205</v>
          </cell>
        </row>
        <row r="7">
          <cell r="A7" t="str">
            <v>CORTEN</v>
          </cell>
          <cell r="G7" t="str">
            <v>CORTEN</v>
          </cell>
        </row>
        <row r="8">
          <cell r="A8" t="str">
            <v>DOMEX</v>
          </cell>
          <cell r="G8" t="str">
            <v>DOMEX</v>
          </cell>
        </row>
      </sheetData>
      <sheetData sheetId="21">
        <row r="1">
          <cell r="A1" t="str">
            <v>OE 96-35</v>
          </cell>
        </row>
        <row r="2">
          <cell r="A2" t="str">
            <v>OE 116-35</v>
          </cell>
        </row>
        <row r="3">
          <cell r="A3" t="str">
            <v>OE 116-40</v>
          </cell>
        </row>
        <row r="4">
          <cell r="A4" t="str">
            <v>OE 116-60</v>
          </cell>
        </row>
        <row r="5">
          <cell r="A5" t="str">
            <v>OE 116-60A</v>
          </cell>
        </row>
        <row r="6">
          <cell r="A6" t="str">
            <v>OE 138-45</v>
          </cell>
        </row>
        <row r="7">
          <cell r="A7" t="str">
            <v>OE 135-45</v>
          </cell>
        </row>
        <row r="8">
          <cell r="A8" t="str">
            <v>OE 135-45A</v>
          </cell>
        </row>
        <row r="9">
          <cell r="A9" t="str">
            <v>OE 135-55</v>
          </cell>
        </row>
        <row r="10">
          <cell r="A10" t="str">
            <v>OE 135-65</v>
          </cell>
        </row>
        <row r="11">
          <cell r="A11" t="str">
            <v>OE 153-55</v>
          </cell>
        </row>
        <row r="12">
          <cell r="A12" t="str">
            <v>OE 153-63</v>
          </cell>
        </row>
        <row r="13">
          <cell r="A13" t="str">
            <v>OE 153-70</v>
          </cell>
        </row>
        <row r="14">
          <cell r="A14" t="str">
            <v>OE 153-70A</v>
          </cell>
        </row>
        <row r="15">
          <cell r="A15" t="str">
            <v>OE 166-60</v>
          </cell>
        </row>
        <row r="16">
          <cell r="A16" t="str">
            <v>OE 166-45A</v>
          </cell>
        </row>
        <row r="17">
          <cell r="A17" t="str">
            <v>OE 166-50</v>
          </cell>
        </row>
        <row r="18">
          <cell r="A18" t="str">
            <v>OE 166-55</v>
          </cell>
        </row>
        <row r="19">
          <cell r="A19" t="str">
            <v>OE 166-60</v>
          </cell>
        </row>
        <row r="20">
          <cell r="A20" t="str">
            <v>OE 166-70</v>
          </cell>
        </row>
        <row r="21">
          <cell r="A21" t="str">
            <v>OE 166-63</v>
          </cell>
        </row>
        <row r="22">
          <cell r="A22" t="str">
            <v>OE 166-80</v>
          </cell>
        </row>
        <row r="23">
          <cell r="A23" t="str">
            <v>OE 184-45</v>
          </cell>
        </row>
        <row r="24">
          <cell r="A24" t="str">
            <v>OE 191-55</v>
          </cell>
        </row>
        <row r="25">
          <cell r="A25" t="str">
            <v>OE 191-60</v>
          </cell>
        </row>
        <row r="26">
          <cell r="A26" t="str">
            <v>OE 191-63</v>
          </cell>
        </row>
        <row r="27">
          <cell r="A27" t="str">
            <v>OE 191-80</v>
          </cell>
        </row>
        <row r="28">
          <cell r="A28" t="str">
            <v>OE 191-80A</v>
          </cell>
        </row>
        <row r="29">
          <cell r="A29" t="str">
            <v>OE 191-85</v>
          </cell>
        </row>
        <row r="30">
          <cell r="A30" t="str">
            <v>OE 210-60</v>
          </cell>
        </row>
        <row r="31">
          <cell r="A31" t="str">
            <v>OE 210-60A</v>
          </cell>
        </row>
        <row r="32">
          <cell r="A32" t="str">
            <v>OE 210-63</v>
          </cell>
        </row>
        <row r="33">
          <cell r="A33" t="str">
            <v>OE 210-75</v>
          </cell>
        </row>
        <row r="34">
          <cell r="A34" t="str">
            <v>OE 210-95</v>
          </cell>
        </row>
        <row r="35">
          <cell r="A35" t="str">
            <v>OE 210-95A</v>
          </cell>
        </row>
        <row r="36">
          <cell r="A36" t="str">
            <v>OE 210-90</v>
          </cell>
        </row>
        <row r="37">
          <cell r="A37" t="str">
            <v>OE 233-60</v>
          </cell>
        </row>
        <row r="38">
          <cell r="A38" t="str">
            <v>OE 233-75</v>
          </cell>
        </row>
        <row r="39">
          <cell r="A39" t="str">
            <v>OE 233-90</v>
          </cell>
        </row>
        <row r="40">
          <cell r="A40" t="str">
            <v>OE 233-110</v>
          </cell>
        </row>
        <row r="41">
          <cell r="A41" t="str">
            <v>OE 233-100</v>
          </cell>
        </row>
        <row r="42">
          <cell r="A42" t="str">
            <v>OE 270-65</v>
          </cell>
        </row>
        <row r="43">
          <cell r="A43" t="str">
            <v>OE 270-80</v>
          </cell>
        </row>
        <row r="44">
          <cell r="A44" t="str">
            <v>OE 270-90</v>
          </cell>
        </row>
        <row r="45">
          <cell r="A45" t="str">
            <v>OE 270-110</v>
          </cell>
        </row>
        <row r="46">
          <cell r="A46" t="str">
            <v>OE 270-120</v>
          </cell>
        </row>
        <row r="47">
          <cell r="A47" t="str">
            <v>OE 270-120A</v>
          </cell>
        </row>
        <row r="48">
          <cell r="A48" t="str">
            <v>OE 302-85</v>
          </cell>
        </row>
        <row r="49">
          <cell r="A49" t="str">
            <v>OE 302-95</v>
          </cell>
        </row>
        <row r="50">
          <cell r="A50" t="str">
            <v>OE 302-100</v>
          </cell>
        </row>
        <row r="51">
          <cell r="A51" t="str">
            <v>OE 302-130</v>
          </cell>
        </row>
        <row r="52">
          <cell r="A52" t="str">
            <v>OE 302-125</v>
          </cell>
        </row>
        <row r="53">
          <cell r="A53" t="str">
            <v>OE 302-120</v>
          </cell>
        </row>
        <row r="54">
          <cell r="A54" t="str">
            <v>OE 320-75</v>
          </cell>
        </row>
        <row r="55">
          <cell r="A55" t="str">
            <v>OE 330-95</v>
          </cell>
        </row>
        <row r="56">
          <cell r="A56" t="str">
            <v>OE 330-125</v>
          </cell>
        </row>
      </sheetData>
      <sheetData sheetId="22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查询"/>
      <sheetName val="Sheet2"/>
      <sheetName val="old FS 命名转化"/>
      <sheetName val="Ventilator relevance"/>
      <sheetName val="name_change"/>
      <sheetName val="old FS 命名转化 (F)"/>
    </sheetNames>
    <sheetDataSet>
      <sheetData sheetId="0"/>
      <sheetData sheetId="1"/>
      <sheetData sheetId="2"/>
      <sheetData sheetId="3"/>
      <sheetData sheetId="4"/>
      <sheetData sheetId="5">
        <row r="3">
          <cell r="A3" t="str">
            <v>HN 560-350</v>
          </cell>
          <cell r="B3" t="str">
            <v>AP 56-175</v>
          </cell>
        </row>
        <row r="4">
          <cell r="A4" t="str">
            <v>HN 690-350</v>
          </cell>
          <cell r="B4" t="str">
            <v>AP 69-175</v>
          </cell>
        </row>
        <row r="5">
          <cell r="A5" t="str">
            <v>HN 690-450</v>
          </cell>
          <cell r="B5" t="str">
            <v>AP 69-225</v>
          </cell>
        </row>
        <row r="6">
          <cell r="A6" t="str">
            <v>HN 690-560</v>
          </cell>
          <cell r="B6" t="str">
            <v>AP 69-280</v>
          </cell>
        </row>
        <row r="7">
          <cell r="A7" t="str">
            <v>HN 690-560vA</v>
          </cell>
          <cell r="B7" t="str">
            <v>AP 69-280</v>
          </cell>
        </row>
        <row r="8">
          <cell r="A8" t="str">
            <v>HN 800-350</v>
          </cell>
          <cell r="B8" t="str">
            <v>AP 80-175</v>
          </cell>
        </row>
        <row r="9">
          <cell r="A9" t="str">
            <v>HN 800-400</v>
          </cell>
          <cell r="B9" t="str">
            <v>AP 80-200</v>
          </cell>
        </row>
        <row r="10">
          <cell r="A10" t="str">
            <v>HN 800-450</v>
          </cell>
          <cell r="B10" t="str">
            <v>AP 80-225</v>
          </cell>
        </row>
        <row r="11">
          <cell r="A11" t="str">
            <v>HN 800-500</v>
          </cell>
          <cell r="B11" t="str">
            <v>AP 80-250</v>
          </cell>
        </row>
        <row r="12">
          <cell r="A12" t="str">
            <v>HN 800-630</v>
          </cell>
          <cell r="B12" t="str">
            <v>AP 80-315</v>
          </cell>
        </row>
        <row r="13">
          <cell r="A13" t="str">
            <v>HN 900-500</v>
          </cell>
          <cell r="B13" t="str">
            <v>AP 90-250</v>
          </cell>
        </row>
        <row r="14">
          <cell r="A14" t="str">
            <v>HN 900-560</v>
          </cell>
          <cell r="B14" t="str">
            <v>AP 90-280</v>
          </cell>
        </row>
        <row r="15">
          <cell r="A15" t="str">
            <v>HN 900-630</v>
          </cell>
          <cell r="B15" t="str">
            <v>AP 90-315</v>
          </cell>
        </row>
        <row r="16">
          <cell r="A16" t="str">
            <v>HN 900-710</v>
          </cell>
          <cell r="B16" t="str">
            <v>AP 90-355</v>
          </cell>
        </row>
        <row r="17">
          <cell r="A17" t="str">
            <v>HN 1000-400,45</v>
          </cell>
          <cell r="B17" t="str">
            <v>AP 100-200A</v>
          </cell>
        </row>
        <row r="18">
          <cell r="A18" t="str">
            <v>HN 1000-400</v>
          </cell>
          <cell r="B18" t="str">
            <v>AP 100-200B</v>
          </cell>
        </row>
        <row r="19">
          <cell r="A19" t="str">
            <v>HN 1000-450</v>
          </cell>
          <cell r="B19" t="str">
            <v>AP 100-225</v>
          </cell>
        </row>
        <row r="20">
          <cell r="A20" t="str">
            <v>HN 1000-500</v>
          </cell>
          <cell r="B20" t="str">
            <v>AP 100-250</v>
          </cell>
        </row>
        <row r="21">
          <cell r="A21" t="str">
            <v>HN 1000-560</v>
          </cell>
          <cell r="B21" t="str">
            <v>AP 100-280</v>
          </cell>
        </row>
        <row r="22">
          <cell r="A22" t="str">
            <v>HN 1000-630</v>
          </cell>
          <cell r="B22" t="str">
            <v>AP 100-315</v>
          </cell>
        </row>
        <row r="23">
          <cell r="A23" t="str">
            <v>HN 1000-710</v>
          </cell>
          <cell r="B23" t="str">
            <v>AP 100-355</v>
          </cell>
        </row>
        <row r="24">
          <cell r="A24" t="str">
            <v>HN 1000-800</v>
          </cell>
          <cell r="B24" t="str">
            <v>AP 100-400</v>
          </cell>
        </row>
        <row r="25">
          <cell r="A25" t="str">
            <v>HN 1120-400</v>
          </cell>
          <cell r="B25" t="str">
            <v>AP 112-200</v>
          </cell>
        </row>
        <row r="26">
          <cell r="A26" t="str">
            <v>HN 1120-500</v>
          </cell>
          <cell r="B26" t="str">
            <v>AP 112-250</v>
          </cell>
        </row>
        <row r="27">
          <cell r="A27" t="str">
            <v>HN 1120-560</v>
          </cell>
          <cell r="B27" t="str">
            <v>AP 112-280</v>
          </cell>
        </row>
        <row r="28">
          <cell r="A28" t="str">
            <v>HN 1120-630</v>
          </cell>
          <cell r="B28" t="str">
            <v>AP 112-315</v>
          </cell>
        </row>
        <row r="29">
          <cell r="A29" t="str">
            <v>HN 1120-710</v>
          </cell>
          <cell r="B29" t="str">
            <v>AP 112-355</v>
          </cell>
        </row>
        <row r="30">
          <cell r="A30" t="str">
            <v>HN 1120-800</v>
          </cell>
          <cell r="B30" t="str">
            <v>AP 112-400</v>
          </cell>
        </row>
        <row r="31">
          <cell r="A31" t="str">
            <v>HN 1120-900</v>
          </cell>
          <cell r="B31" t="str">
            <v>AP 112-450</v>
          </cell>
        </row>
        <row r="32">
          <cell r="A32" t="str">
            <v>HN 1250-500</v>
          </cell>
          <cell r="B32" t="str">
            <v>AP 125-250</v>
          </cell>
        </row>
        <row r="33">
          <cell r="A33" t="str">
            <v>HN 1250-560</v>
          </cell>
          <cell r="B33" t="str">
            <v>AP 125-280</v>
          </cell>
        </row>
        <row r="34">
          <cell r="A34" t="str">
            <v>HN 1250-630</v>
          </cell>
          <cell r="B34" t="str">
            <v>AP 125-315</v>
          </cell>
        </row>
        <row r="35">
          <cell r="A35" t="str">
            <v>HN 1250-710</v>
          </cell>
          <cell r="B35" t="str">
            <v>AP 125-355</v>
          </cell>
        </row>
        <row r="36">
          <cell r="A36" t="str">
            <v>HN 1250-800</v>
          </cell>
          <cell r="B36" t="str">
            <v>AP 125-400</v>
          </cell>
        </row>
        <row r="37">
          <cell r="A37" t="str">
            <v>HN 1250-900</v>
          </cell>
          <cell r="B37" t="str">
            <v>AP 125-450</v>
          </cell>
        </row>
        <row r="38">
          <cell r="A38" t="str">
            <v>HN 1250-1000</v>
          </cell>
          <cell r="B38" t="str">
            <v>AP 125-500</v>
          </cell>
        </row>
        <row r="39">
          <cell r="A39" t="str">
            <v>HN 1400-560</v>
          </cell>
          <cell r="B39" t="str">
            <v>AP 140-280</v>
          </cell>
        </row>
        <row r="40">
          <cell r="A40" t="str">
            <v>HN 1400-710</v>
          </cell>
          <cell r="B40" t="str">
            <v>AP 140-355</v>
          </cell>
        </row>
        <row r="41">
          <cell r="A41" t="str">
            <v>HN 1400-900</v>
          </cell>
          <cell r="B41" t="str">
            <v>AP 140-450</v>
          </cell>
        </row>
        <row r="42">
          <cell r="A42" t="str">
            <v>HN 1400-1000</v>
          </cell>
          <cell r="B42" t="str">
            <v>AP 140-500</v>
          </cell>
        </row>
        <row r="43">
          <cell r="A43" t="str">
            <v>HN 1400-1120</v>
          </cell>
          <cell r="B43" t="str">
            <v>AP 140-560</v>
          </cell>
        </row>
        <row r="44">
          <cell r="A44" t="str">
            <v>HN 1600-560</v>
          </cell>
          <cell r="B44" t="str">
            <v>AP 160-280</v>
          </cell>
        </row>
        <row r="45">
          <cell r="A45" t="str">
            <v>HN 1600-710</v>
          </cell>
          <cell r="B45" t="str">
            <v>AP 160-355</v>
          </cell>
        </row>
        <row r="46">
          <cell r="A46" t="str">
            <v>HN 1600-900</v>
          </cell>
          <cell r="B46" t="str">
            <v>AP 160-450</v>
          </cell>
        </row>
        <row r="47">
          <cell r="A47" t="str">
            <v>HN 1600-1000</v>
          </cell>
          <cell r="B47" t="str">
            <v>AP 160-500</v>
          </cell>
        </row>
        <row r="48">
          <cell r="A48" t="str">
            <v>HN 1600-1120</v>
          </cell>
          <cell r="B48" t="str">
            <v>AP 160-560</v>
          </cell>
        </row>
        <row r="49">
          <cell r="A49" t="str">
            <v>JB 1600-1250</v>
          </cell>
          <cell r="B49" t="str">
            <v>AP 160-625</v>
          </cell>
        </row>
        <row r="50">
          <cell r="A50" t="str">
            <v>HN 1800-710</v>
          </cell>
          <cell r="B50" t="str">
            <v>AP 180-355</v>
          </cell>
        </row>
        <row r="51">
          <cell r="A51" t="str">
            <v>HN 1800-900</v>
          </cell>
          <cell r="B51" t="str">
            <v>AP 180-450</v>
          </cell>
        </row>
        <row r="52">
          <cell r="A52" t="str">
            <v>HN 1800-1000</v>
          </cell>
          <cell r="B52" t="str">
            <v>AP 180-500</v>
          </cell>
        </row>
        <row r="53">
          <cell r="A53" t="str">
            <v>HN 1800-1120</v>
          </cell>
          <cell r="B53" t="str">
            <v>AP 180-560</v>
          </cell>
        </row>
        <row r="54">
          <cell r="A54" t="str">
            <v>HN 1800-1250</v>
          </cell>
          <cell r="B54" t="str">
            <v>AP 180-625</v>
          </cell>
        </row>
        <row r="55">
          <cell r="A55" t="str">
            <v>HN 1800-1400</v>
          </cell>
          <cell r="B55" t="str">
            <v>AP 180-700</v>
          </cell>
        </row>
        <row r="56">
          <cell r="A56" t="str">
            <v>HN 2000-710</v>
          </cell>
          <cell r="B56" t="str">
            <v>AP 200-355</v>
          </cell>
        </row>
        <row r="57">
          <cell r="A57" t="str">
            <v>HN 2000-900</v>
          </cell>
          <cell r="B57" t="str">
            <v>AP 200-450</v>
          </cell>
        </row>
        <row r="58">
          <cell r="A58" t="str">
            <v>HN 2000-1120</v>
          </cell>
          <cell r="B58" t="str">
            <v>AP 200-560</v>
          </cell>
        </row>
        <row r="59">
          <cell r="A59" t="str">
            <v>HN 2000-1400</v>
          </cell>
          <cell r="B59" t="str">
            <v>AP 200-700</v>
          </cell>
        </row>
        <row r="60">
          <cell r="A60" t="str">
            <v>HN 2000-1600</v>
          </cell>
          <cell r="B60" t="str">
            <v>AP 200-800</v>
          </cell>
        </row>
        <row r="61">
          <cell r="A61" t="str">
            <v>MT 26</v>
          </cell>
          <cell r="B61" t="str">
            <v>BP 26-0</v>
          </cell>
        </row>
        <row r="62">
          <cell r="A62" t="str">
            <v>MT 28</v>
          </cell>
          <cell r="B62" t="str">
            <v>BP 28-0</v>
          </cell>
        </row>
        <row r="63">
          <cell r="A63" t="str">
            <v>MT 28-100</v>
          </cell>
          <cell r="B63" t="str">
            <v>BP 28-10</v>
          </cell>
        </row>
        <row r="64">
          <cell r="A64" t="str">
            <v>MT 28-125</v>
          </cell>
          <cell r="B64" t="str">
            <v>BP 28-12</v>
          </cell>
        </row>
        <row r="65">
          <cell r="A65" t="str">
            <v>MT 29</v>
          </cell>
          <cell r="B65" t="str">
            <v>BP 29-0</v>
          </cell>
        </row>
        <row r="66">
          <cell r="A66" t="str">
            <v>MT 400-160</v>
          </cell>
          <cell r="B66" t="str">
            <v>BP 80-16</v>
          </cell>
        </row>
        <row r="67">
          <cell r="A67" t="str">
            <v>MT 400-200</v>
          </cell>
          <cell r="B67" t="str">
            <v>BP 80-20</v>
          </cell>
        </row>
        <row r="68">
          <cell r="A68" t="str">
            <v>MT 425-250</v>
          </cell>
          <cell r="B68" t="str">
            <v>BP 85-25</v>
          </cell>
        </row>
        <row r="69">
          <cell r="A69" t="str">
            <v>MT 500-200</v>
          </cell>
          <cell r="B69" t="str">
            <v>BP 100-20</v>
          </cell>
        </row>
        <row r="70">
          <cell r="A70" t="str">
            <v>MT 500-250</v>
          </cell>
          <cell r="B70" t="str">
            <v>BP 100-25</v>
          </cell>
        </row>
        <row r="71">
          <cell r="A71" t="str">
            <v>MT 500-310</v>
          </cell>
          <cell r="B71" t="str">
            <v>BP 100-31</v>
          </cell>
        </row>
        <row r="72">
          <cell r="A72" t="str">
            <v>MT 600-200</v>
          </cell>
          <cell r="B72" t="str">
            <v>BP 120-20</v>
          </cell>
        </row>
        <row r="73">
          <cell r="A73" t="str">
            <v>MT 600-250</v>
          </cell>
          <cell r="B73" t="str">
            <v>BP 120-25</v>
          </cell>
        </row>
        <row r="74">
          <cell r="A74" t="str">
            <v>MT 600-250vA</v>
          </cell>
          <cell r="B74" t="str">
            <v>BP 120-25A</v>
          </cell>
        </row>
        <row r="75">
          <cell r="A75" t="str">
            <v>MT 600-250vB</v>
          </cell>
          <cell r="B75" t="str">
            <v>BP 120-25B</v>
          </cell>
        </row>
        <row r="76">
          <cell r="A76" t="str">
            <v>MT 600-310</v>
          </cell>
          <cell r="B76" t="str">
            <v>BP 120-31</v>
          </cell>
        </row>
        <row r="77">
          <cell r="A77" t="str">
            <v>MT 600-310vA</v>
          </cell>
          <cell r="B77" t="str">
            <v>BP 120-31A</v>
          </cell>
        </row>
        <row r="78">
          <cell r="A78" t="str">
            <v>MT 600-310vB</v>
          </cell>
          <cell r="B78" t="str">
            <v>BP 120-31B</v>
          </cell>
        </row>
        <row r="79">
          <cell r="A79" t="str">
            <v>MT 600-350</v>
          </cell>
          <cell r="B79" t="str">
            <v>BP 120-35</v>
          </cell>
        </row>
        <row r="80">
          <cell r="A80" t="str">
            <v>MT 600-350vA</v>
          </cell>
          <cell r="B80" t="str">
            <v>BP 120-35A</v>
          </cell>
        </row>
        <row r="81">
          <cell r="A81" t="str">
            <v>MT 600-350vB</v>
          </cell>
          <cell r="B81" t="str">
            <v>BP 120-35B</v>
          </cell>
        </row>
        <row r="82">
          <cell r="A82" t="str">
            <v>MT 675-200</v>
          </cell>
          <cell r="B82" t="str">
            <v>BP 135-20</v>
          </cell>
        </row>
        <row r="83">
          <cell r="A83" t="str">
            <v>MT 675-250</v>
          </cell>
          <cell r="B83" t="str">
            <v>BP 135-25</v>
          </cell>
        </row>
        <row r="84">
          <cell r="A84" t="str">
            <v>MT 675-310</v>
          </cell>
          <cell r="B84" t="str">
            <v>BP 135-31</v>
          </cell>
        </row>
        <row r="85">
          <cell r="A85" t="str">
            <v>MT 675-350</v>
          </cell>
          <cell r="B85" t="str">
            <v>BP 135-35</v>
          </cell>
        </row>
        <row r="86">
          <cell r="A86" t="str">
            <v>MT 675-400</v>
          </cell>
          <cell r="B86" t="str">
            <v>BP 135-40</v>
          </cell>
        </row>
        <row r="87">
          <cell r="A87" t="str">
            <v>MT 725-450</v>
          </cell>
          <cell r="B87" t="str">
            <v>BP 145-45</v>
          </cell>
        </row>
        <row r="88">
          <cell r="A88" t="str">
            <v>MT 800-200</v>
          </cell>
          <cell r="B88" t="str">
            <v>BP 160-20</v>
          </cell>
        </row>
        <row r="89">
          <cell r="A89" t="str">
            <v>MT 800-250</v>
          </cell>
          <cell r="B89" t="str">
            <v>BP 160-25</v>
          </cell>
        </row>
        <row r="90">
          <cell r="A90" t="str">
            <v>MT 800-310</v>
          </cell>
          <cell r="B90" t="str">
            <v>BP 160-31</v>
          </cell>
        </row>
        <row r="91">
          <cell r="A91" t="str">
            <v>MT 800-350</v>
          </cell>
          <cell r="B91" t="str">
            <v>BP 160-35</v>
          </cell>
        </row>
        <row r="92">
          <cell r="A92" t="str">
            <v>MT 800-400</v>
          </cell>
          <cell r="B92" t="str">
            <v>BP 160-40</v>
          </cell>
        </row>
        <row r="93">
          <cell r="A93" t="str">
            <v>MT 800-500</v>
          </cell>
          <cell r="B93" t="str">
            <v>BP 160-50</v>
          </cell>
        </row>
        <row r="94">
          <cell r="A94" t="str">
            <v>MT 900-550</v>
          </cell>
          <cell r="B94" t="str">
            <v>BP 180-55</v>
          </cell>
        </row>
        <row r="95">
          <cell r="A95" t="str">
            <v>MT 950-625</v>
          </cell>
          <cell r="B95" t="str">
            <v>BP 190-63</v>
          </cell>
        </row>
        <row r="96">
          <cell r="A96" t="str">
            <v>MT 1100-700</v>
          </cell>
          <cell r="B96" t="str">
            <v>BP 220-70</v>
          </cell>
        </row>
        <row r="97">
          <cell r="A97" t="str">
            <v>MT 1250-800</v>
          </cell>
          <cell r="B97" t="str">
            <v>BP 250-80</v>
          </cell>
        </row>
        <row r="98">
          <cell r="A98" t="str">
            <v>FT 24</v>
          </cell>
          <cell r="B98" t="str">
            <v>FP 24</v>
          </cell>
        </row>
        <row r="99">
          <cell r="A99" t="str">
            <v>FT 33</v>
          </cell>
          <cell r="B99" t="str">
            <v>FP 33</v>
          </cell>
        </row>
        <row r="100">
          <cell r="A100" t="str">
            <v>VB 400-160</v>
          </cell>
          <cell r="B100" t="str">
            <v>DP 400-160</v>
          </cell>
        </row>
        <row r="101">
          <cell r="A101" t="str">
            <v>VB 400-200</v>
          </cell>
          <cell r="B101" t="str">
            <v>DP 400-200</v>
          </cell>
        </row>
        <row r="102">
          <cell r="A102" t="str">
            <v>VB 425-250</v>
          </cell>
          <cell r="B102" t="str">
            <v>DP 425-250</v>
          </cell>
        </row>
        <row r="103">
          <cell r="A103" t="str">
            <v>VB 500-250</v>
          </cell>
          <cell r="B103" t="str">
            <v>DP 500-250</v>
          </cell>
        </row>
        <row r="104">
          <cell r="A104" t="str">
            <v>VB 500-310</v>
          </cell>
          <cell r="B104" t="str">
            <v>DP 500-310</v>
          </cell>
        </row>
        <row r="105">
          <cell r="A105" t="str">
            <v>VB 600-250</v>
          </cell>
          <cell r="B105" t="str">
            <v>DP 600-250</v>
          </cell>
        </row>
        <row r="106">
          <cell r="A106" t="str">
            <v>VB 600-350</v>
          </cell>
          <cell r="B106" t="str">
            <v>DP 600-350</v>
          </cell>
        </row>
        <row r="107">
          <cell r="A107" t="str">
            <v>VB 675-350</v>
          </cell>
          <cell r="B107" t="str">
            <v>DP 675-350</v>
          </cell>
        </row>
        <row r="108">
          <cell r="A108" t="str">
            <v>VB 675-400</v>
          </cell>
          <cell r="B108" t="str">
            <v>DP 675-400</v>
          </cell>
        </row>
        <row r="109">
          <cell r="A109" t="str">
            <v>VB 725-450</v>
          </cell>
          <cell r="B109" t="str">
            <v>DP 725-450</v>
          </cell>
        </row>
        <row r="110">
          <cell r="A110" t="str">
            <v>VB 800-400</v>
          </cell>
          <cell r="B110" t="str">
            <v>DP 800-400</v>
          </cell>
        </row>
        <row r="111">
          <cell r="A111" t="str">
            <v>VB 800-500</v>
          </cell>
          <cell r="B111" t="str">
            <v>DP 800-500</v>
          </cell>
        </row>
        <row r="112">
          <cell r="A112" t="str">
            <v>VB 900-550</v>
          </cell>
          <cell r="B112" t="str">
            <v>DP 900-550</v>
          </cell>
        </row>
        <row r="113">
          <cell r="A113" t="str">
            <v>VB 950-625</v>
          </cell>
          <cell r="B113" t="str">
            <v>DP 950-625</v>
          </cell>
        </row>
        <row r="114">
          <cell r="A114" t="str">
            <v>VB 1100-700</v>
          </cell>
          <cell r="B114" t="str">
            <v>DP 1100-700</v>
          </cell>
        </row>
        <row r="115">
          <cell r="A115" t="str">
            <v>VB 1250-800</v>
          </cell>
          <cell r="B115" t="str">
            <v>DP 1250-800</v>
          </cell>
        </row>
        <row r="116">
          <cell r="A116" t="str">
            <v>HT 5-370</v>
          </cell>
          <cell r="B116" t="str">
            <v>CP 5-370</v>
          </cell>
        </row>
        <row r="117">
          <cell r="A117" t="str">
            <v>HT 5-370</v>
          </cell>
          <cell r="B117" t="str">
            <v>CP 5-370</v>
          </cell>
        </row>
        <row r="118">
          <cell r="A118" t="str">
            <v>HT 10-370</v>
          </cell>
          <cell r="B118" t="str">
            <v>CP 10-370</v>
          </cell>
        </row>
        <row r="119">
          <cell r="A119" t="str">
            <v>HT 10-370</v>
          </cell>
          <cell r="B119" t="str">
            <v>CP 10-370</v>
          </cell>
        </row>
        <row r="120">
          <cell r="A120" t="str">
            <v>HT 15-370</v>
          </cell>
          <cell r="B120" t="str">
            <v>CP 15-370</v>
          </cell>
        </row>
        <row r="121">
          <cell r="A121" t="str">
            <v>HT 15-370</v>
          </cell>
          <cell r="B121" t="str">
            <v>CP 15-370</v>
          </cell>
        </row>
        <row r="122">
          <cell r="A122" t="str">
            <v>HT 20-370</v>
          </cell>
          <cell r="B122" t="str">
            <v>CP 20-370</v>
          </cell>
        </row>
        <row r="123">
          <cell r="A123" t="str">
            <v>HT 30-370</v>
          </cell>
          <cell r="B123" t="str">
            <v>CP 30-370</v>
          </cell>
        </row>
        <row r="124">
          <cell r="A124" t="str">
            <v>HT 30-370vA</v>
          </cell>
          <cell r="B124" t="str">
            <v>CP 30-370vA</v>
          </cell>
        </row>
        <row r="125">
          <cell r="A125" t="str">
            <v>HT 30-370vB</v>
          </cell>
          <cell r="B125" t="str">
            <v>CP 30-370vB</v>
          </cell>
        </row>
        <row r="126">
          <cell r="A126" t="str">
            <v>HT 5-530</v>
          </cell>
          <cell r="B126" t="str">
            <v>CP 5-530</v>
          </cell>
        </row>
        <row r="127">
          <cell r="A127" t="str">
            <v>HT 5-530</v>
          </cell>
          <cell r="B127" t="str">
            <v>CP 5-530</v>
          </cell>
        </row>
        <row r="128">
          <cell r="A128" t="str">
            <v>HT 10-530</v>
          </cell>
          <cell r="B128" t="str">
            <v>CP 10-530</v>
          </cell>
        </row>
        <row r="129">
          <cell r="A129" t="str">
            <v>HT 10-530</v>
          </cell>
          <cell r="B129" t="str">
            <v>CP 10-530</v>
          </cell>
        </row>
        <row r="130">
          <cell r="A130" t="str">
            <v>HT 15-530</v>
          </cell>
          <cell r="B130" t="str">
            <v>CP 15-530</v>
          </cell>
        </row>
        <row r="131">
          <cell r="A131" t="str">
            <v>HT 15-530</v>
          </cell>
          <cell r="B131" t="str">
            <v>CP 15-530</v>
          </cell>
        </row>
        <row r="132">
          <cell r="A132" t="str">
            <v>HT 25-530</v>
          </cell>
          <cell r="B132" t="str">
            <v>CP 25-530</v>
          </cell>
        </row>
        <row r="133">
          <cell r="A133" t="str">
            <v>HT 35-530</v>
          </cell>
          <cell r="B133" t="str">
            <v>CP 35-530</v>
          </cell>
        </row>
        <row r="134">
          <cell r="A134" t="str">
            <v>HT 5-630</v>
          </cell>
          <cell r="B134" t="str">
            <v>CP 5-630</v>
          </cell>
        </row>
        <row r="135">
          <cell r="A135" t="str">
            <v>HT 5-630</v>
          </cell>
          <cell r="B135" t="str">
            <v>CP 5-630</v>
          </cell>
        </row>
        <row r="136">
          <cell r="A136" t="str">
            <v>HT 10-630</v>
          </cell>
          <cell r="B136" t="str">
            <v>CP 10-630</v>
          </cell>
        </row>
        <row r="137">
          <cell r="A137" t="str">
            <v>HT 10-630</v>
          </cell>
          <cell r="B137" t="str">
            <v>CP 10-630</v>
          </cell>
        </row>
        <row r="138">
          <cell r="A138" t="str">
            <v>HT 15-630</v>
          </cell>
          <cell r="B138" t="str">
            <v>CP 15-630</v>
          </cell>
        </row>
        <row r="139">
          <cell r="A139" t="str">
            <v>HT 25-630</v>
          </cell>
          <cell r="B139" t="str">
            <v>CP 25-630</v>
          </cell>
        </row>
        <row r="140">
          <cell r="A140" t="str">
            <v>HT 35-630</v>
          </cell>
          <cell r="B140" t="str">
            <v>CP 35-630</v>
          </cell>
        </row>
        <row r="141">
          <cell r="A141" t="str">
            <v>HT 5-700</v>
          </cell>
          <cell r="B141" t="str">
            <v>CP 5-700</v>
          </cell>
        </row>
        <row r="142">
          <cell r="A142" t="str">
            <v>HT 5-700</v>
          </cell>
          <cell r="B142" t="str">
            <v>CP 5-700</v>
          </cell>
        </row>
        <row r="143">
          <cell r="A143" t="str">
            <v>HT 10-700</v>
          </cell>
          <cell r="B143" t="str">
            <v>CP 10-700</v>
          </cell>
        </row>
        <row r="144">
          <cell r="A144" t="str">
            <v>HT 10-700</v>
          </cell>
          <cell r="B144" t="str">
            <v>CP 10-700</v>
          </cell>
        </row>
        <row r="145">
          <cell r="A145" t="str">
            <v>HT 15-700</v>
          </cell>
          <cell r="B145" t="str">
            <v>CP 15-700</v>
          </cell>
        </row>
        <row r="146">
          <cell r="A146" t="str">
            <v>HT 15-700</v>
          </cell>
          <cell r="B146" t="str">
            <v>CP 15-700</v>
          </cell>
        </row>
        <row r="147">
          <cell r="A147" t="str">
            <v>HT 25-700</v>
          </cell>
          <cell r="B147" t="str">
            <v>CP 25-700</v>
          </cell>
        </row>
        <row r="148">
          <cell r="A148" t="str">
            <v>HT 5-750</v>
          </cell>
          <cell r="B148" t="str">
            <v>CP 5-750</v>
          </cell>
        </row>
        <row r="149">
          <cell r="A149" t="str">
            <v>HT 10-750</v>
          </cell>
          <cell r="B149" t="str">
            <v>CP 10-750</v>
          </cell>
        </row>
        <row r="150">
          <cell r="A150" t="str">
            <v>HT 15-750</v>
          </cell>
          <cell r="B150" t="str">
            <v>CP 15-750</v>
          </cell>
        </row>
        <row r="151">
          <cell r="A151" t="str">
            <v>HT 25-750</v>
          </cell>
          <cell r="B151" t="str">
            <v>CP 25-750</v>
          </cell>
        </row>
        <row r="152">
          <cell r="A152" t="str">
            <v>HT 10-775</v>
          </cell>
          <cell r="B152" t="str">
            <v>CP 10-775</v>
          </cell>
        </row>
        <row r="153">
          <cell r="A153" t="str">
            <v>HT 25-775</v>
          </cell>
          <cell r="B153" t="str">
            <v>CP 25-775</v>
          </cell>
        </row>
        <row r="154">
          <cell r="A154" t="str">
            <v>LT 200</v>
          </cell>
          <cell r="B154" t="str">
            <v>EP 200</v>
          </cell>
        </row>
        <row r="155">
          <cell r="A155" t="str">
            <v>LT 200vA</v>
          </cell>
          <cell r="B155" t="str">
            <v>EP 200vA</v>
          </cell>
        </row>
        <row r="156">
          <cell r="A156" t="str">
            <v>LT 265</v>
          </cell>
          <cell r="B156" t="str">
            <v>EP 265</v>
          </cell>
        </row>
        <row r="157">
          <cell r="A157" t="str">
            <v>LTX 265</v>
          </cell>
          <cell r="B157" t="str">
            <v>EP  265</v>
          </cell>
        </row>
        <row r="158">
          <cell r="A158" t="str">
            <v>LT 315</v>
          </cell>
          <cell r="B158" t="str">
            <v>EP 315</v>
          </cell>
        </row>
        <row r="159">
          <cell r="A159" t="str">
            <v>LTX 315</v>
          </cell>
          <cell r="B159" t="str">
            <v>EP  315</v>
          </cell>
        </row>
        <row r="160">
          <cell r="A160" t="str">
            <v>LT 365</v>
          </cell>
          <cell r="B160" t="str">
            <v>EP 365</v>
          </cell>
        </row>
        <row r="161">
          <cell r="A161" t="str">
            <v>LTX 365</v>
          </cell>
          <cell r="B161" t="str">
            <v>EP  365</v>
          </cell>
        </row>
        <row r="162">
          <cell r="A162" t="str">
            <v>LT 425</v>
          </cell>
          <cell r="B162" t="str">
            <v>EP 425</v>
          </cell>
        </row>
        <row r="163">
          <cell r="A163" t="str">
            <v>LTX 425</v>
          </cell>
          <cell r="B163" t="str">
            <v>EP  425</v>
          </cell>
        </row>
        <row r="164">
          <cell r="A164" t="str">
            <v>LT 465</v>
          </cell>
          <cell r="B164" t="str">
            <v>EP 465</v>
          </cell>
        </row>
        <row r="165">
          <cell r="A165" t="str">
            <v>LTX 465</v>
          </cell>
          <cell r="B165" t="str">
            <v>EP  465</v>
          </cell>
        </row>
        <row r="166">
          <cell r="A166" t="str">
            <v>LT 515</v>
          </cell>
          <cell r="B166" t="str">
            <v>EP 515</v>
          </cell>
        </row>
        <row r="167">
          <cell r="A167" t="str">
            <v>LT 565</v>
          </cell>
          <cell r="B167" t="str">
            <v>EP 565</v>
          </cell>
        </row>
        <row r="168">
          <cell r="A168" t="str">
            <v>LT 615</v>
          </cell>
          <cell r="B168" t="str">
            <v>EP 615</v>
          </cell>
        </row>
        <row r="169">
          <cell r="A169" t="str">
            <v>LT 765</v>
          </cell>
          <cell r="B169" t="str">
            <v>EP 765</v>
          </cell>
        </row>
        <row r="170">
          <cell r="A170" t="str">
            <v>LT 815</v>
          </cell>
          <cell r="B170" t="str">
            <v>EP 815</v>
          </cell>
        </row>
        <row r="171">
          <cell r="A171" t="str">
            <v>LT 1000</v>
          </cell>
          <cell r="B171" t="str">
            <v>EP 1000</v>
          </cell>
        </row>
        <row r="172">
          <cell r="A172" t="str">
            <v>LT 1100</v>
          </cell>
          <cell r="B172" t="str">
            <v>EP 1100</v>
          </cell>
        </row>
        <row r="173">
          <cell r="A173" t="str">
            <v>LT 650</v>
          </cell>
          <cell r="B173" t="str">
            <v>EP 650</v>
          </cell>
        </row>
        <row r="174">
          <cell r="A174" t="str">
            <v>LT 700</v>
          </cell>
          <cell r="B174" t="str">
            <v>EP 700</v>
          </cell>
        </row>
        <row r="175">
          <cell r="A175" t="str">
            <v>TS 315</v>
          </cell>
          <cell r="B175" t="str">
            <v>FP 315</v>
          </cell>
        </row>
        <row r="176">
          <cell r="A176" t="str">
            <v>TSX 315</v>
          </cell>
          <cell r="B176" t="str">
            <v>FP  315</v>
          </cell>
        </row>
        <row r="177">
          <cell r="A177" t="str">
            <v>TS 365</v>
          </cell>
          <cell r="B177" t="str">
            <v>FP 365</v>
          </cell>
        </row>
        <row r="178">
          <cell r="A178" t="str">
            <v>TSX 365</v>
          </cell>
          <cell r="B178" t="str">
            <v>FP  365</v>
          </cell>
        </row>
        <row r="179">
          <cell r="A179" t="str">
            <v>TS 425</v>
          </cell>
          <cell r="B179" t="str">
            <v>FP 425</v>
          </cell>
        </row>
        <row r="180">
          <cell r="A180" t="str">
            <v>TSX 425</v>
          </cell>
          <cell r="B180" t="str">
            <v>FP  425</v>
          </cell>
        </row>
        <row r="181">
          <cell r="A181" t="str">
            <v>TS 425-370</v>
          </cell>
          <cell r="B181" t="str">
            <v>FP 425-370</v>
          </cell>
        </row>
        <row r="182">
          <cell r="A182" t="str">
            <v>TS 425-400</v>
          </cell>
          <cell r="B182" t="str">
            <v>FP 425-400</v>
          </cell>
        </row>
        <row r="183">
          <cell r="A183" t="str">
            <v>TS 465</v>
          </cell>
          <cell r="B183" t="str">
            <v>FP 465</v>
          </cell>
        </row>
        <row r="184">
          <cell r="A184" t="str">
            <v>TSX 465</v>
          </cell>
          <cell r="B184" t="str">
            <v>FP  465</v>
          </cell>
        </row>
        <row r="185">
          <cell r="A185" t="str">
            <v>TS 515</v>
          </cell>
          <cell r="B185" t="str">
            <v>FP 515</v>
          </cell>
        </row>
        <row r="186">
          <cell r="A186" t="str">
            <v>VSB 315</v>
          </cell>
          <cell r="B186" t="str">
            <v>GP 315</v>
          </cell>
        </row>
        <row r="187">
          <cell r="A187" t="str">
            <v>VSBX 315</v>
          </cell>
          <cell r="B187" t="str">
            <v>GP 315X</v>
          </cell>
        </row>
        <row r="188">
          <cell r="A188" t="str">
            <v>VSB 365</v>
          </cell>
          <cell r="B188" t="str">
            <v>GP 365</v>
          </cell>
        </row>
        <row r="189">
          <cell r="A189" t="str">
            <v>VSBX 365</v>
          </cell>
          <cell r="B189" t="str">
            <v>GP365X</v>
          </cell>
        </row>
        <row r="190">
          <cell r="A190" t="str">
            <v>VSB 425</v>
          </cell>
          <cell r="B190" t="str">
            <v>GP 425</v>
          </cell>
        </row>
      </sheetData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Alan Shi" id="{B4F7C31D-13F4-4081-BB7A-8E54FA5405E6}" userId="e3b47581b161d148" providerId="Windows Live"/>
</personList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17" dT="2019-09-14T13:06:14.46" personId="{B4F7C31D-13F4-4081-BB7A-8E54FA5405E6}" id="{FA68256C-41A3-4C36-BA62-BDF260814A21}">
    <text>默认：
1、进气温度60~150℃配特氟龙轴封。                                                              2、进气温度＞150℃配铜环轴封。                                                                               如有特殊的密封要求，请务必注明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17" dT="2019-09-14T13:06:14.46" personId="{B4F7C31D-13F4-4081-BB7A-8E54FA5405E6}" id="{75908F5B-3328-4E2B-B9EF-6727993D4F60}">
    <text>默认：
1、进气温度60~150℃配特氟龙轴封。                                                              2、进气温度＞150℃配铜环轴封。                                                                               如有特殊的密封要求，请务必注明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2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microsoft.com/office/2017/10/relationships/threadedComment" Target="../threadedComments/threadedComment2.xml"/><Relationship Id="rId4" Type="http://schemas.openxmlformats.org/officeDocument/2006/relationships/comments" Target="../comments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5" Type="http://schemas.openxmlformats.org/officeDocument/2006/relationships/comments" Target="../comments4.xml"/><Relationship Id="rId4" Type="http://schemas.openxmlformats.org/officeDocument/2006/relationships/vmlDrawing" Target="../drawings/vmlDrawing6.v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5" Type="http://schemas.openxmlformats.org/officeDocument/2006/relationships/comments" Target="../comments5.xml"/><Relationship Id="rId4" Type="http://schemas.openxmlformats.org/officeDocument/2006/relationships/vmlDrawing" Target="../drawings/vmlDrawing8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6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2.bin"/><Relationship Id="rId4" Type="http://schemas.openxmlformats.org/officeDocument/2006/relationships/comments" Target="../comments7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3.bin"/><Relationship Id="rId4" Type="http://schemas.openxmlformats.org/officeDocument/2006/relationships/comments" Target="../comments8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5.bin"/><Relationship Id="rId4" Type="http://schemas.openxmlformats.org/officeDocument/2006/relationships/comments" Target="../comments10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6.bin"/><Relationship Id="rId4" Type="http://schemas.openxmlformats.org/officeDocument/2006/relationships/comments" Target="../comments11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7.bin"/><Relationship Id="rId4" Type="http://schemas.openxmlformats.org/officeDocument/2006/relationships/comments" Target="../comments12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8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9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0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1.bin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2.bin"/><Relationship Id="rId4" Type="http://schemas.openxmlformats.org/officeDocument/2006/relationships/comments" Target="../comments13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3.bin"/><Relationship Id="rId4" Type="http://schemas.openxmlformats.org/officeDocument/2006/relationships/comments" Target="../comments14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4.bin"/><Relationship Id="rId4" Type="http://schemas.openxmlformats.org/officeDocument/2006/relationships/comments" Target="../comments15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comments" Target="../comments16.xml"/><Relationship Id="rId2" Type="http://schemas.openxmlformats.org/officeDocument/2006/relationships/vmlDrawing" Target="../drawings/vmlDrawing20.vml"/><Relationship Id="rId1" Type="http://schemas.openxmlformats.org/officeDocument/2006/relationships/printerSettings" Target="../printerSettings/printerSettings25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7.xml"/><Relationship Id="rId2" Type="http://schemas.openxmlformats.org/officeDocument/2006/relationships/vmlDrawing" Target="../drawings/vmlDrawing21.vml"/><Relationship Id="rId1" Type="http://schemas.openxmlformats.org/officeDocument/2006/relationships/printerSettings" Target="../printerSettings/printerSettings26.bin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8.xml"/><Relationship Id="rId2" Type="http://schemas.openxmlformats.org/officeDocument/2006/relationships/vmlDrawing" Target="../drawings/vmlDrawing22.vml"/><Relationship Id="rId1" Type="http://schemas.openxmlformats.org/officeDocument/2006/relationships/printerSettings" Target="../printerSettings/printerSettings27.bin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9.xml"/><Relationship Id="rId2" Type="http://schemas.openxmlformats.org/officeDocument/2006/relationships/vmlDrawing" Target="../drawings/vmlDrawing23.vml"/><Relationship Id="rId1" Type="http://schemas.openxmlformats.org/officeDocument/2006/relationships/printerSettings" Target="../printerSettings/printerSettings28.bin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4.v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Relationship Id="rId4" Type="http://schemas.openxmlformats.org/officeDocument/2006/relationships/comments" Target="../comments20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5.v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30.bin"/><Relationship Id="rId4" Type="http://schemas.openxmlformats.org/officeDocument/2006/relationships/comments" Target="../comments21.xml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31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comments" Target="../comments22.xml"/><Relationship Id="rId2" Type="http://schemas.openxmlformats.org/officeDocument/2006/relationships/vmlDrawing" Target="../drawings/vmlDrawing26.vml"/><Relationship Id="rId1" Type="http://schemas.openxmlformats.org/officeDocument/2006/relationships/printerSettings" Target="../printerSettings/printerSettings33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3.xml"/><Relationship Id="rId2" Type="http://schemas.openxmlformats.org/officeDocument/2006/relationships/vmlDrawing" Target="../drawings/vmlDrawing27.vml"/><Relationship Id="rId1" Type="http://schemas.openxmlformats.org/officeDocument/2006/relationships/printerSettings" Target="../printerSettings/printerSettings35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pageSetUpPr fitToPage="1"/>
  </sheetPr>
  <dimension ref="A1:AO109"/>
  <sheetViews>
    <sheetView tabSelected="1" zoomScale="85" zoomScaleNormal="85" workbookViewId="0">
      <pane xSplit="2" ySplit="5" topLeftCell="C12" activePane="bottomRight" state="frozen"/>
      <selection pane="topRight"/>
      <selection pane="bottomLeft"/>
      <selection pane="bottomRight" activeCell="H14" sqref="H14"/>
    </sheetView>
  </sheetViews>
  <sheetFormatPr defaultColWidth="9.140625" defaultRowHeight="14.45" customHeight="1"/>
  <cols>
    <col min="1" max="1" width="31.5703125" style="2873" customWidth="1"/>
    <col min="2" max="2" width="10.7109375" style="2895" customWidth="1"/>
    <col min="3" max="24" width="10.7109375" style="2873" customWidth="1"/>
    <col min="25" max="16384" width="9.140625" style="2873"/>
  </cols>
  <sheetData>
    <row r="1" spans="1:38" s="2868" customFormat="1" ht="33" customHeight="1" thickBot="1">
      <c r="A1" s="2865" t="s">
        <v>1398</v>
      </c>
      <c r="B1" s="2866" t="str">
        <f>Boss_no</f>
        <v>NBF191005</v>
      </c>
      <c r="C1" s="3550" t="str">
        <f>Cust_Proj_ID&amp;", "&amp;Cust_Fan_ID&amp;", "&amp;Fan_Type&amp;IF(modified_d_2&gt;0,"(d_2 "&amp;modified_d_2&amp;") "," ")&amp;Impeller_type&amp;", "&amp;DRIVE_Type&amp;", "&amp;House!$E$6&amp;House!$G$6</f>
        <v>, , XOE 273-90 REG, Direct, RD135</v>
      </c>
      <c r="D1" s="3550"/>
      <c r="E1" s="3550"/>
      <c r="F1" s="3550"/>
      <c r="G1" s="3550"/>
      <c r="H1" s="3550"/>
      <c r="I1" s="3550"/>
      <c r="J1" s="3550"/>
      <c r="K1" s="3550"/>
      <c r="L1" s="3550"/>
      <c r="M1" s="3550"/>
      <c r="N1" s="3550"/>
      <c r="O1" s="3550"/>
      <c r="P1" s="3550"/>
      <c r="Q1" s="3551"/>
      <c r="R1" s="2867">
        <f ca="1">TODAY()</f>
        <v>43825</v>
      </c>
      <c r="V1" s="2869"/>
      <c r="Y1" s="2869"/>
      <c r="Z1" s="2869"/>
      <c r="AA1" s="2869"/>
      <c r="AB1" s="2869"/>
      <c r="AC1" s="2869"/>
      <c r="AD1" s="2869"/>
      <c r="AE1" s="2869"/>
      <c r="AF1" s="2869"/>
      <c r="AG1" s="2869"/>
      <c r="AH1" s="2869"/>
      <c r="AI1" s="2869"/>
      <c r="AJ1" s="2869"/>
      <c r="AK1" s="2869"/>
      <c r="AL1" s="2869"/>
    </row>
    <row r="2" spans="1:38" s="2868" customFormat="1" ht="33" customHeight="1" thickBot="1">
      <c r="A2" s="2870" t="s">
        <v>1399</v>
      </c>
      <c r="B2" s="3563"/>
      <c r="C2" s="3564"/>
      <c r="D2" s="3564"/>
      <c r="E2" s="3564"/>
      <c r="F2" s="3564"/>
      <c r="G2" s="3564"/>
      <c r="H2" s="3564"/>
      <c r="I2" s="3564"/>
      <c r="J2" s="3564"/>
      <c r="K2" s="3564"/>
      <c r="L2" s="3564"/>
      <c r="M2" s="3564"/>
      <c r="N2" s="3564"/>
      <c r="O2" s="3565"/>
      <c r="P2" s="3552" t="str">
        <f>(YEAR(R2)-2000)&amp;TEXT(R2,"mmdd")</f>
        <v>190923</v>
      </c>
      <c r="Q2" s="3553"/>
      <c r="R2" s="2871">
        <v>43731</v>
      </c>
      <c r="S2" s="2872"/>
      <c r="V2" s="2869"/>
      <c r="Y2" s="2873"/>
      <c r="Z2" s="2873"/>
      <c r="AA2" s="2873"/>
      <c r="AB2" s="2873"/>
      <c r="AC2" s="2873"/>
      <c r="AD2" s="2873"/>
      <c r="AE2" s="2873"/>
      <c r="AF2" s="2873"/>
      <c r="AG2" s="2873"/>
      <c r="AH2" s="2873"/>
      <c r="AI2" s="2873"/>
      <c r="AJ2" s="2873"/>
      <c r="AK2" s="2873"/>
      <c r="AL2" s="2873"/>
    </row>
    <row r="3" spans="1:38" s="2869" customFormat="1" ht="33" customHeight="1" thickBot="1">
      <c r="A3" s="2874" t="s">
        <v>108</v>
      </c>
      <c r="B3" s="2875" t="s">
        <v>4401</v>
      </c>
      <c r="C3" s="2876"/>
      <c r="D3" s="2877"/>
      <c r="E3" s="2878"/>
      <c r="F3" s="2878"/>
      <c r="G3" s="2876"/>
      <c r="H3" s="2876"/>
      <c r="I3" s="2878"/>
      <c r="J3" s="2878"/>
      <c r="L3" s="2879"/>
      <c r="S3" s="3537" t="s">
        <v>4397</v>
      </c>
      <c r="T3" s="3538"/>
      <c r="U3" s="3536" t="s">
        <v>3345</v>
      </c>
      <c r="V3" s="3536"/>
    </row>
    <row r="4" spans="1:38" ht="13.5" customHeight="1">
      <c r="A4" s="3566"/>
      <c r="B4" s="3567"/>
      <c r="C4" s="2880" t="s">
        <v>1441</v>
      </c>
      <c r="D4" s="2881" t="s">
        <v>1470</v>
      </c>
      <c r="E4" s="2881" t="s">
        <v>1442</v>
      </c>
      <c r="F4" s="2882" t="s">
        <v>1443</v>
      </c>
      <c r="G4" s="3554" t="s">
        <v>3457</v>
      </c>
      <c r="H4" s="3555"/>
      <c r="I4" s="3543" t="b">
        <v>0</v>
      </c>
      <c r="J4" s="3544"/>
      <c r="K4" s="3554" t="s">
        <v>3233</v>
      </c>
      <c r="L4" s="3555"/>
      <c r="M4" s="3559" t="e">
        <f ca="1">IF(Force_BIG_F,FALSE,IF(AND(MJ_2&lt;0.11,$AH$4),TRUE,IF(MJ_2&lt;0.1,TRUE,FALSE)))</f>
        <v>#REF!</v>
      </c>
      <c r="N4" s="3560"/>
      <c r="O4" s="3571" t="str">
        <f>DRIVE_Type</f>
        <v>Direct</v>
      </c>
      <c r="P4" s="3573" t="e">
        <f ca="1">Frame_Type</f>
        <v>#REF!</v>
      </c>
      <c r="Q4" s="3575" t="e">
        <f ca="1">Drive_Frame</f>
        <v>#REF!</v>
      </c>
      <c r="U4" s="3536"/>
      <c r="V4" s="3536"/>
      <c r="AF4" s="3539" t="s">
        <v>3458</v>
      </c>
      <c r="AG4" s="3540"/>
      <c r="AH4" s="3534" t="b">
        <v>0</v>
      </c>
    </row>
    <row r="5" spans="1:38" ht="13.5" customHeight="1" thickBot="1">
      <c r="A5" s="3568"/>
      <c r="B5" s="3569"/>
      <c r="C5" s="2883" t="e">
        <f ca="1">House_W</f>
        <v>#REF!</v>
      </c>
      <c r="D5" s="2884" t="e">
        <f ca="1">Inlet_W</f>
        <v>#REF!</v>
      </c>
      <c r="E5" s="2884">
        <f>Impeller_W</f>
        <v>373.52098482947673</v>
      </c>
      <c r="F5" s="2885" t="e">
        <f ca="1">Frame_Weight</f>
        <v>#REF!</v>
      </c>
      <c r="G5" s="3556"/>
      <c r="H5" s="3557"/>
      <c r="I5" s="3545"/>
      <c r="J5" s="3546"/>
      <c r="K5" s="3556"/>
      <c r="L5" s="3557"/>
      <c r="M5" s="3561"/>
      <c r="N5" s="3562"/>
      <c r="O5" s="3572"/>
      <c r="P5" s="3574"/>
      <c r="Q5" s="3576"/>
      <c r="U5" s="3536"/>
      <c r="V5" s="3536"/>
      <c r="AF5" s="3541"/>
      <c r="AG5" s="3542"/>
      <c r="AH5" s="3535"/>
    </row>
    <row r="6" spans="1:38" ht="15" customHeight="1">
      <c r="A6" s="2886" t="s">
        <v>3868</v>
      </c>
      <c r="B6" s="2887" t="s">
        <v>3894</v>
      </c>
      <c r="C6" s="3570" t="s">
        <v>4839</v>
      </c>
      <c r="D6" s="3547"/>
      <c r="E6" s="2888" t="s">
        <v>3918</v>
      </c>
      <c r="F6" s="2889" t="s">
        <v>2580</v>
      </c>
      <c r="G6" s="2890">
        <f>MATCH(Fan_Type,'House C Data'!$A$1:$A$300,0)</f>
        <v>62</v>
      </c>
      <c r="H6" s="3367" t="s">
        <v>4828</v>
      </c>
      <c r="L6" s="2891" t="s">
        <v>2253</v>
      </c>
      <c r="M6" s="3558" t="s">
        <v>1545</v>
      </c>
      <c r="N6" s="3558"/>
      <c r="O6" s="2892" t="s">
        <v>3865</v>
      </c>
      <c r="P6" s="2893"/>
      <c r="R6" s="3547" t="str">
        <f>$M$6</f>
        <v>XOE 237-110</v>
      </c>
      <c r="S6" s="3547"/>
      <c r="T6" s="2888" t="s">
        <v>3918</v>
      </c>
      <c r="U6" s="2889" t="str">
        <f>$O$6</f>
        <v>Reg</v>
      </c>
    </row>
    <row r="7" spans="1:38" ht="15" customHeight="1">
      <c r="A7" s="2894"/>
      <c r="E7" s="2896" t="s">
        <v>3919</v>
      </c>
      <c r="F7" s="2897">
        <v>0</v>
      </c>
      <c r="G7" s="2890">
        <f>INDEX('Impeller C &amp; Run Data'!$A$1:$KO$300,fan_number,MATCH("d_2",'Impeller C &amp; Run Data'!$A$16:$AI$16,0))</f>
        <v>1600</v>
      </c>
      <c r="L7" s="2898"/>
      <c r="M7" s="2899"/>
      <c r="N7" s="2899"/>
      <c r="O7" s="2900"/>
      <c r="P7" s="2893"/>
      <c r="R7" s="2895"/>
      <c r="S7" s="2895"/>
      <c r="T7" s="2895"/>
      <c r="U7" s="2895"/>
    </row>
    <row r="8" spans="1:38" ht="15" customHeight="1">
      <c r="A8" s="2894"/>
      <c r="B8" s="2901" t="s">
        <v>3874</v>
      </c>
      <c r="C8" s="2902"/>
      <c r="D8" s="2902"/>
      <c r="E8" s="2902"/>
      <c r="F8" s="2903" t="s">
        <v>4399</v>
      </c>
      <c r="L8" s="2898"/>
      <c r="M8" s="2899"/>
      <c r="N8" s="2899"/>
      <c r="O8" s="2900"/>
      <c r="P8" s="2893"/>
      <c r="R8" s="2895"/>
      <c r="S8" s="2895"/>
      <c r="T8" s="2895"/>
      <c r="U8" s="2895"/>
    </row>
    <row r="9" spans="1:38" ht="15" customHeight="1">
      <c r="A9" s="2894"/>
      <c r="B9" s="2901" t="s">
        <v>3875</v>
      </c>
      <c r="C9" s="2902"/>
      <c r="D9" s="2902"/>
      <c r="E9" s="2902"/>
      <c r="F9" s="2903" t="s">
        <v>4399</v>
      </c>
      <c r="H9" s="2904"/>
      <c r="L9" s="2898"/>
      <c r="M9" s="2899"/>
      <c r="N9" s="2899"/>
      <c r="O9" s="2900"/>
      <c r="P9" s="2893"/>
      <c r="R9" s="2895"/>
      <c r="S9" s="2895"/>
      <c r="T9" s="2895"/>
      <c r="U9" s="2895"/>
    </row>
    <row r="10" spans="1:38" ht="15" customHeight="1">
      <c r="A10" s="2894"/>
      <c r="B10" s="2901" t="s">
        <v>3876</v>
      </c>
      <c r="C10" s="2902"/>
      <c r="D10" s="2902"/>
      <c r="E10" s="2902"/>
      <c r="F10" s="2905" t="s">
        <v>4399</v>
      </c>
      <c r="G10" s="2906">
        <f>MATCH(Impeller_mat&amp;", "&amp;Impeller_type,'Impeller C &amp; Run Data'!$A$14:$KO$14,0)</f>
        <v>36</v>
      </c>
      <c r="H10" s="2904"/>
      <c r="L10" s="2898"/>
      <c r="M10" s="2899"/>
      <c r="N10" s="2899"/>
      <c r="O10" s="2900"/>
      <c r="P10" s="2893"/>
      <c r="R10" s="2895"/>
      <c r="S10" s="2895"/>
      <c r="T10" s="2895"/>
      <c r="U10" s="2895"/>
    </row>
    <row r="11" spans="1:38" s="2910" customFormat="1" ht="15">
      <c r="A11" s="2907"/>
      <c r="B11" s="3484" t="s">
        <v>4813</v>
      </c>
      <c r="C11" s="2908">
        <v>0</v>
      </c>
      <c r="D11" s="3410" t="s">
        <v>4814</v>
      </c>
      <c r="E11" s="2908"/>
      <c r="F11" s="2909"/>
      <c r="O11" s="2893"/>
      <c r="P11" s="2893"/>
      <c r="R11" s="2911"/>
      <c r="S11" s="2911"/>
      <c r="T11" s="2911"/>
      <c r="U11" s="2911"/>
    </row>
    <row r="12" spans="1:38" ht="15">
      <c r="A12" s="2912"/>
      <c r="B12" s="2901" t="s">
        <v>18</v>
      </c>
      <c r="C12" s="2913">
        <f>9194/9.805</f>
        <v>937.68485466598679</v>
      </c>
      <c r="D12" s="2914" t="s">
        <v>190</v>
      </c>
      <c r="E12" s="3548" t="str">
        <f>ROUND(Pt*g*Q/3600/1000,0)&amp;" kW"</f>
        <v>196 kW</v>
      </c>
      <c r="F12" s="3549"/>
      <c r="L12" s="2893"/>
      <c r="M12" s="2893"/>
      <c r="Q12" s="2893"/>
      <c r="AH12" s="2915"/>
    </row>
    <row r="13" spans="1:38" ht="15">
      <c r="A13" s="2912"/>
      <c r="B13" s="2901" t="s">
        <v>1814</v>
      </c>
      <c r="C13" s="2916">
        <v>76898</v>
      </c>
      <c r="D13" s="2914" t="s">
        <v>3866</v>
      </c>
      <c r="E13" s="3548"/>
      <c r="F13" s="3549"/>
      <c r="G13" s="2891"/>
      <c r="L13" s="2893"/>
      <c r="M13" s="2893"/>
      <c r="Q13" s="2893"/>
      <c r="AH13" s="2915"/>
    </row>
    <row r="14" spans="1:38" ht="15">
      <c r="A14" s="2912"/>
      <c r="B14" s="2901" t="s">
        <v>3867</v>
      </c>
      <c r="C14" s="2916">
        <v>50</v>
      </c>
      <c r="D14" s="2914" t="s">
        <v>2</v>
      </c>
      <c r="F14" s="2917"/>
      <c r="G14" s="2891"/>
      <c r="L14" s="2893"/>
      <c r="M14" s="2893"/>
      <c r="Q14" s="2893"/>
      <c r="AH14" s="2915"/>
    </row>
    <row r="15" spans="1:38" ht="15">
      <c r="A15" s="2912"/>
      <c r="B15" s="2901" t="s">
        <v>227</v>
      </c>
      <c r="C15" s="2913">
        <v>2950</v>
      </c>
      <c r="D15" s="2914" t="s">
        <v>134</v>
      </c>
      <c r="E15" s="2873">
        <f>RPM/60*2*PI()</f>
        <v>308.92327760299634</v>
      </c>
      <c r="F15" s="2918">
        <f>E15/(2*PI())</f>
        <v>49.166666666666671</v>
      </c>
      <c r="Q15" s="2893"/>
    </row>
    <row r="16" spans="1:38" ht="15">
      <c r="A16" s="2912"/>
      <c r="B16" s="2901" t="s">
        <v>1065</v>
      </c>
      <c r="C16" s="2919">
        <v>1.093</v>
      </c>
      <c r="D16" s="3410" t="s">
        <v>4704</v>
      </c>
      <c r="F16" s="2917"/>
      <c r="K16" s="2891"/>
      <c r="L16" s="2893"/>
      <c r="M16" s="2893"/>
      <c r="Q16" s="2893"/>
    </row>
    <row r="17" spans="1:25" ht="15.75" thickBot="1">
      <c r="A17" s="2883"/>
      <c r="B17" s="2920" t="s">
        <v>1249</v>
      </c>
      <c r="C17" s="2921" t="s">
        <v>4840</v>
      </c>
      <c r="D17" s="2922">
        <v>135</v>
      </c>
      <c r="E17" s="2923"/>
      <c r="F17" s="2924" t="s">
        <v>2571</v>
      </c>
      <c r="H17" s="3444" t="s">
        <v>4772</v>
      </c>
      <c r="I17" s="3443">
        <v>0</v>
      </c>
      <c r="J17" s="3442" t="s">
        <v>4773</v>
      </c>
      <c r="K17" s="3483">
        <v>0.65011541835608422</v>
      </c>
      <c r="M17" s="3517" t="s">
        <v>4843</v>
      </c>
      <c r="N17" s="3519">
        <f>9550*C21/RPM</f>
        <v>1133.050847457627</v>
      </c>
      <c r="O17" s="3518" t="s">
        <v>4844</v>
      </c>
      <c r="P17" s="2893"/>
      <c r="Q17" s="2893"/>
    </row>
    <row r="18" spans="1:25" ht="15.75" thickBot="1">
      <c r="A18" s="2912"/>
      <c r="B18" s="2925"/>
      <c r="C18" s="2926"/>
      <c r="D18" s="2927"/>
      <c r="E18" s="2926"/>
      <c r="F18" s="2927"/>
      <c r="O18" s="2893"/>
      <c r="P18" s="2893"/>
      <c r="Q18" s="2893"/>
    </row>
    <row r="19" spans="1:25" s="2910" customFormat="1" ht="15">
      <c r="A19" s="2886" t="s">
        <v>77</v>
      </c>
      <c r="B19" s="2928"/>
      <c r="C19" s="2881"/>
      <c r="D19" s="2881"/>
      <c r="E19" s="2881"/>
      <c r="F19" s="2929"/>
      <c r="G19" s="2881"/>
      <c r="H19" s="2930"/>
      <c r="I19" s="2930"/>
      <c r="J19" s="2930"/>
      <c r="K19" s="2930"/>
      <c r="L19" s="2930"/>
      <c r="M19" s="2930"/>
      <c r="N19" s="2930"/>
      <c r="O19" s="2930"/>
      <c r="P19" s="2930"/>
      <c r="Q19" s="2930"/>
      <c r="R19" s="2930"/>
      <c r="S19" s="2930"/>
      <c r="T19" s="2930"/>
      <c r="U19" s="2930"/>
      <c r="V19" s="2930"/>
      <c r="W19" s="2930"/>
      <c r="X19" s="2930"/>
      <c r="Y19" s="2931"/>
    </row>
    <row r="20" spans="1:25" ht="15">
      <c r="A20" s="2912"/>
      <c r="B20" s="2901" t="s">
        <v>93</v>
      </c>
      <c r="C20" s="2932">
        <v>2</v>
      </c>
      <c r="D20" s="2933"/>
      <c r="E20" s="2934">
        <f>IF(RPM&lt;900,8,IF(RPM&lt;1300,6,IF(RPM&lt;2000,4,2)))</f>
        <v>2</v>
      </c>
      <c r="F20" s="2934"/>
      <c r="G20" s="2932">
        <v>50</v>
      </c>
      <c r="H20" s="2934" t="s">
        <v>3478</v>
      </c>
      <c r="I20" s="2934"/>
      <c r="J20" s="2934"/>
      <c r="K20" s="2934"/>
      <c r="L20" s="2934"/>
      <c r="M20" s="2934"/>
      <c r="N20" s="2934"/>
      <c r="O20" s="2934"/>
      <c r="P20" s="2934"/>
      <c r="Q20" s="2934"/>
      <c r="R20" s="2934"/>
      <c r="S20" s="2934"/>
      <c r="T20" s="2934"/>
      <c r="U20" s="2934"/>
      <c r="V20" s="2934"/>
      <c r="W20" s="2934"/>
      <c r="X20" s="2934"/>
      <c r="Y20" s="2935"/>
    </row>
    <row r="21" spans="1:25" ht="15">
      <c r="A21" s="2912"/>
      <c r="B21" s="2901" t="s">
        <v>1019</v>
      </c>
      <c r="C21" s="2932">
        <v>350</v>
      </c>
      <c r="D21" s="2933" t="s">
        <v>188</v>
      </c>
      <c r="E21" s="2936" t="s">
        <v>4400</v>
      </c>
      <c r="F21" s="2934"/>
      <c r="G21" s="2937">
        <v>1.1000000000000001</v>
      </c>
      <c r="H21" s="2934"/>
      <c r="I21" s="2934"/>
      <c r="J21" s="2934"/>
      <c r="K21" s="2934"/>
      <c r="L21" s="2934"/>
      <c r="M21" s="2934"/>
      <c r="N21" s="2934"/>
      <c r="O21" s="2934"/>
      <c r="P21" s="2934"/>
      <c r="Q21" s="2934"/>
      <c r="R21" s="2934"/>
      <c r="S21" s="2934"/>
      <c r="T21" s="2934"/>
      <c r="U21" s="2934"/>
      <c r="V21" s="2934"/>
      <c r="W21" s="2934"/>
      <c r="X21" s="2934"/>
      <c r="Y21" s="2935"/>
    </row>
    <row r="22" spans="1:25" ht="15">
      <c r="A22" s="2912"/>
      <c r="B22" s="2901" t="s">
        <v>289</v>
      </c>
      <c r="C22" s="3520">
        <v>0</v>
      </c>
      <c r="D22" s="3520"/>
      <c r="E22" s="3521" t="str">
        <f>IF(Motor_freq.=60,IF(E21="IE1",IF(C20=2,"IE1_2p60_kW",IF(C20=4,"IE1_4p60_kW",IF(C20=6,"IE1_6p60_kW","IE1_8p60_kW"))),IF(E21="IE2",IF(C20=2,"IE2_2p60_kW",IF(C20=4,"IE2_4p60_kW",IF(C20=6,"IE2_6p60_kW","IE2_8p60_kW"))),IF(E21="IE3",IF(C20=2,"IE3_2p60_kW",IF(C20=4,"IE3_4p60_kW",IF(C20=6,"IE3_6p60_kW","IE3_8p60_kW"))),FALSE))),IF(E21="IE1",IF(C20=2,"IE1_2p50_kW",IF(C20=4,"IE1_4p50_kW",IF(C20=6,"IE1_6p50_kW","IE1_8p50_kW"))),IF(E21="IE2",IF(C20=2,"IE2_2p50_kW",IF(C20=4,"IE2_4p50_kW",IF(C20=6,"IE2_6p50_kW","IE2_8p50_kW"))),IF(E21="IE3",IF(C20=2,"IE3_2p50_kW",IF(C20=4,"IE3_4p50_kW",IF(C20=6,"IE3_6p50_kW","IE3_8p50_kW"))),FALSE))))</f>
        <v>IE2_2p50_kW</v>
      </c>
      <c r="F22" s="3521"/>
      <c r="G22" s="2934">
        <f ca="1">MATCH($C$21*Powersafe,INDIRECT(E22),1)+1</f>
        <v>29</v>
      </c>
      <c r="H22" s="3521" t="e">
        <f ca="1">IF(C22&lt;&gt;0,C22,IF(E21="IE1",IF(C20=2,INDEX(Motor_IE1_2P,G22,4),IF(C20=4,INDEX(Motor_IE1_4p,G22,4),IF(C20=6,INDEX(Motor_IE1_6p,G22,4),INDEX(Motor_IE1_8p,G22,4)))),IF(E21="IE2",IF(C20=2,INDEX(Motor_IE2_2p,G22,4),IF(C20=4,INDEX(Motor_IE2_4p,G22,4),IF(C20=6,INDEX(Motor_IE2_6p,G22,4),INDEX(Motor_IE2_8p,G22,4)))),IF(E21="IE3",IF(C20=2,INDEX(Motor_IE3_2p,G22,4),IF(C20=4,INDEX(Motor_IE3_4p,G22,4),IF(C20=6,INDEX(Motor_IE3_6p,G22,4),INDEX(Motor_IE3_8p,G22,4)))),FALSE))))</f>
        <v>#REF!</v>
      </c>
      <c r="I22" s="3521"/>
      <c r="J22" s="2934" t="e">
        <f ca="1">MATCH(Motor_Name,Motor_types,0)</f>
        <v>#REF!</v>
      </c>
      <c r="K22" s="2934"/>
      <c r="L22" s="2934"/>
      <c r="M22" s="2938" t="s">
        <v>2631</v>
      </c>
      <c r="N22" s="2937" t="e">
        <f ca="1">MJ_2</f>
        <v>#REF!</v>
      </c>
      <c r="O22" s="2934"/>
      <c r="P22" s="2934"/>
      <c r="Q22" s="2934"/>
      <c r="R22" s="2934"/>
      <c r="S22" s="2934"/>
      <c r="T22" s="2934"/>
      <c r="U22" s="2934"/>
      <c r="V22" s="2934"/>
      <c r="W22" s="2934"/>
      <c r="X22" s="2934"/>
      <c r="Y22" s="2935"/>
    </row>
    <row r="23" spans="1:25" ht="45">
      <c r="A23" s="2912"/>
      <c r="B23" s="3526" t="s">
        <v>3871</v>
      </c>
      <c r="C23" s="2939" t="str">
        <f>IF(Motor_freq.=50,"Kw.-230/400V-50Hz-L","Kw.-254/440V-60Hz-L")</f>
        <v>Kw.-230/400V-50Hz-L</v>
      </c>
      <c r="D23" s="2940" t="s">
        <v>990</v>
      </c>
      <c r="E23" s="2940" t="s">
        <v>1015</v>
      </c>
      <c r="F23" s="2940" t="s">
        <v>1014</v>
      </c>
      <c r="G23" s="2940" t="s">
        <v>986</v>
      </c>
      <c r="H23" s="2940" t="s">
        <v>985</v>
      </c>
      <c r="I23" s="2940" t="s">
        <v>984</v>
      </c>
      <c r="J23" s="2940" t="s">
        <v>983</v>
      </c>
      <c r="K23" s="2940" t="s">
        <v>982</v>
      </c>
      <c r="L23" s="2940" t="s">
        <v>981</v>
      </c>
      <c r="M23" s="2940" t="s">
        <v>980</v>
      </c>
      <c r="N23" s="2940" t="s">
        <v>2774</v>
      </c>
      <c r="O23" s="2940" t="s">
        <v>979</v>
      </c>
      <c r="P23" s="2940" t="s">
        <v>978</v>
      </c>
      <c r="Q23" s="2940" t="s">
        <v>977</v>
      </c>
      <c r="R23" s="2940" t="s">
        <v>976</v>
      </c>
      <c r="S23" s="2940" t="s">
        <v>975</v>
      </c>
      <c r="T23" s="2940" t="s">
        <v>974</v>
      </c>
      <c r="U23" s="2940" t="s">
        <v>973</v>
      </c>
      <c r="V23" s="2940" t="s">
        <v>972</v>
      </c>
      <c r="W23" s="2940" t="s">
        <v>1729</v>
      </c>
      <c r="X23" s="2940" t="s">
        <v>1730</v>
      </c>
      <c r="Y23" s="2941" t="str">
        <f>Definition!AF26</f>
        <v>AA</v>
      </c>
    </row>
    <row r="24" spans="1:25" ht="15">
      <c r="A24" s="2942"/>
      <c r="B24" s="3526"/>
      <c r="C24" s="2943"/>
      <c r="D24" s="2943"/>
      <c r="E24" s="2943"/>
      <c r="F24" s="2943"/>
      <c r="G24" s="2943"/>
      <c r="H24" s="2943"/>
      <c r="I24" s="2943"/>
      <c r="J24" s="2943"/>
      <c r="K24" s="2943"/>
      <c r="L24" s="2943"/>
      <c r="M24" s="2943"/>
      <c r="N24" s="2943"/>
      <c r="O24" s="2943"/>
      <c r="P24" s="2943"/>
      <c r="Q24" s="2943"/>
      <c r="R24" s="2943"/>
      <c r="S24" s="2943"/>
      <c r="T24" s="2943"/>
      <c r="U24" s="2943"/>
      <c r="V24" s="2943"/>
      <c r="W24" s="2943"/>
      <c r="X24" s="2943"/>
      <c r="Y24" s="2944">
        <v>208</v>
      </c>
    </row>
    <row r="25" spans="1:25" ht="15.75" thickBot="1">
      <c r="A25" s="2945"/>
      <c r="B25" s="3527"/>
      <c r="C25" s="2946" t="e">
        <f t="shared" ref="C25:M25" ca="1" si="0">IF(C$24&lt;&gt;0,C$24,INDEX(Motor_Data_All,$J$22,MATCH(C$23,Motor_parameter,0)))</f>
        <v>#REF!</v>
      </c>
      <c r="D25" s="2947" t="e">
        <f t="shared" ca="1" si="0"/>
        <v>#REF!</v>
      </c>
      <c r="E25" s="2947" t="e">
        <f t="shared" ca="1" si="0"/>
        <v>#REF!</v>
      </c>
      <c r="F25" s="2947" t="e">
        <f t="shared" ca="1" si="0"/>
        <v>#REF!</v>
      </c>
      <c r="G25" s="2947" t="e">
        <f t="shared" ca="1" si="0"/>
        <v>#REF!</v>
      </c>
      <c r="H25" s="2947" t="e">
        <f t="shared" ca="1" si="0"/>
        <v>#REF!</v>
      </c>
      <c r="I25" s="2947" t="e">
        <f t="shared" ca="1" si="0"/>
        <v>#REF!</v>
      </c>
      <c r="J25" s="2947" t="e">
        <f t="shared" ca="1" si="0"/>
        <v>#REF!</v>
      </c>
      <c r="K25" s="2947" t="e">
        <f t="shared" ca="1" si="0"/>
        <v>#REF!</v>
      </c>
      <c r="L25" s="2947" t="e">
        <f t="shared" ca="1" si="0"/>
        <v>#REF!</v>
      </c>
      <c r="M25" s="2947" t="e">
        <f t="shared" ca="1" si="0"/>
        <v>#REF!</v>
      </c>
      <c r="N25" s="2947" t="e">
        <f ca="1">VLOOKUP(SF,MotorKey_Fb,2,FALSE)</f>
        <v>#REF!</v>
      </c>
      <c r="O25" s="2947" t="e">
        <f t="shared" ref="O25:V25" ca="1" si="1">IF(O$24&lt;&gt;0,O$24,INDEX(Motor_Data_All,$J$22,MATCH(O$23,Motor_parameter,0)))</f>
        <v>#REF!</v>
      </c>
      <c r="P25" s="2947" t="e">
        <f t="shared" ca="1" si="1"/>
        <v>#REF!</v>
      </c>
      <c r="Q25" s="2947" t="e">
        <f t="shared" ca="1" si="1"/>
        <v>#REF!</v>
      </c>
      <c r="R25" s="2947" t="e">
        <f t="shared" ca="1" si="1"/>
        <v>#REF!</v>
      </c>
      <c r="S25" s="2947" t="e">
        <f t="shared" ca="1" si="1"/>
        <v>#REF!</v>
      </c>
      <c r="T25" s="2947" t="e">
        <f t="shared" ca="1" si="1"/>
        <v>#REF!</v>
      </c>
      <c r="U25" s="2947" t="e">
        <f t="shared" ca="1" si="1"/>
        <v>#REF!</v>
      </c>
      <c r="V25" s="2947" t="e">
        <f t="shared" ca="1" si="1"/>
        <v>#REF!</v>
      </c>
      <c r="W25" s="2947" t="e">
        <f ca="1">1*IF(W$24&lt;&gt;0,W$24,LEFT(INDEX(Motor_Data_All,$J$22,MATCH(W$23,Motor_parameter,0)),4))</f>
        <v>#REF!</v>
      </c>
      <c r="X25" s="2947" t="e">
        <f ca="1">1*IF(X$24&lt;&gt;0,X$24,LEFT(INDEX(Motor_Data_All,$J$22,MATCH(X$23,Motor_parameter,0)),4))</f>
        <v>#REF!</v>
      </c>
      <c r="Y25" s="2948" t="e">
        <f ca="1">MAB-MA</f>
        <v>#REF!</v>
      </c>
    </row>
    <row r="26" spans="1:25" ht="15.75" thickBot="1">
      <c r="A26" s="2891"/>
      <c r="C26" s="2904"/>
      <c r="G26" s="2949"/>
      <c r="H26" s="2949"/>
      <c r="I26" s="2949"/>
      <c r="J26" s="2949"/>
      <c r="K26" s="2949"/>
      <c r="O26" s="2949"/>
      <c r="P26" s="2949"/>
      <c r="Q26" s="2949"/>
      <c r="R26" s="2949"/>
      <c r="T26" s="2949"/>
      <c r="U26" s="2949"/>
      <c r="V26" s="2949"/>
    </row>
    <row r="27" spans="1:25" ht="29.1" customHeight="1">
      <c r="A27" s="2886" t="s">
        <v>291</v>
      </c>
      <c r="B27" s="2928"/>
      <c r="C27" s="2881"/>
      <c r="D27" s="2881"/>
      <c r="E27" s="2881"/>
      <c r="F27" s="2881"/>
      <c r="G27" s="2950"/>
      <c r="H27" s="2950"/>
      <c r="I27" s="2950"/>
      <c r="J27" s="2950"/>
      <c r="K27" s="2950"/>
      <c r="L27" s="2881"/>
      <c r="M27" s="2881"/>
      <c r="N27" s="2881"/>
      <c r="O27" s="2950"/>
      <c r="P27" s="2950"/>
      <c r="Q27" s="2950"/>
      <c r="R27" s="2950"/>
      <c r="S27" s="2881"/>
      <c r="T27" s="2950"/>
      <c r="U27" s="2951"/>
      <c r="V27" s="2949"/>
    </row>
    <row r="28" spans="1:25" ht="15.75" thickBot="1">
      <c r="A28" s="2883"/>
      <c r="B28" s="2952" t="str">
        <f>"Center Height"&amp;" ("&amp;Fan_orientation&amp;"/"&amp;H_rotation&amp;")"</f>
        <v>Center Height (RD/135)</v>
      </c>
      <c r="C28" s="2953">
        <v>0</v>
      </c>
      <c r="D28" s="2884" t="s">
        <v>136</v>
      </c>
      <c r="E28" s="2884"/>
      <c r="F28" s="2954">
        <f>Center_H</f>
        <v>1269</v>
      </c>
      <c r="G28" s="2884" t="s">
        <v>136</v>
      </c>
      <c r="H28" s="2955"/>
      <c r="I28" s="2956" t="s">
        <v>343</v>
      </c>
      <c r="J28" s="2957">
        <v>2</v>
      </c>
      <c r="K28" s="2884"/>
      <c r="L28" s="2884"/>
      <c r="M28" s="2958" t="s">
        <v>3462</v>
      </c>
      <c r="N28" s="2959">
        <v>1.5</v>
      </c>
      <c r="O28" s="2884"/>
      <c r="P28" s="2884"/>
      <c r="Q28" s="2884"/>
      <c r="R28" s="2884"/>
      <c r="S28" s="2884"/>
      <c r="T28" s="2955"/>
      <c r="U28" s="2960"/>
      <c r="V28" s="2949"/>
    </row>
    <row r="29" spans="1:25" s="2910" customFormat="1" ht="15.75" thickBot="1">
      <c r="A29" s="2898"/>
      <c r="B29" s="2911"/>
      <c r="C29" s="2961"/>
      <c r="D29" s="2961"/>
      <c r="G29" s="2898"/>
      <c r="H29" s="2962"/>
      <c r="M29" s="2963"/>
      <c r="N29" s="2964"/>
      <c r="O29" s="2962"/>
      <c r="P29" s="2964"/>
      <c r="Q29" s="2898"/>
      <c r="R29" s="2965"/>
      <c r="T29" s="2964"/>
      <c r="U29" s="2964"/>
      <c r="V29" s="2964"/>
    </row>
    <row r="30" spans="1:25" s="2910" customFormat="1" ht="29.1" customHeight="1">
      <c r="A30" s="2966" t="s">
        <v>110</v>
      </c>
      <c r="B30" s="3528" t="s">
        <v>3880</v>
      </c>
      <c r="C30" s="3528"/>
      <c r="D30" s="3528"/>
      <c r="E30" s="3528"/>
      <c r="F30" s="3528"/>
      <c r="G30" s="3528"/>
      <c r="H30" s="3528"/>
      <c r="I30" s="3528"/>
      <c r="J30" s="3528"/>
      <c r="K30" s="3528"/>
      <c r="L30" s="3528"/>
      <c r="M30" s="3528"/>
      <c r="N30" s="3528"/>
      <c r="O30" s="3528"/>
      <c r="P30" s="3528"/>
      <c r="Q30" s="3528"/>
      <c r="R30" s="3528"/>
      <c r="S30" s="3528"/>
      <c r="T30" s="3528"/>
      <c r="U30" s="3529"/>
    </row>
    <row r="31" spans="1:25" s="2910" customFormat="1" ht="15">
      <c r="A31" s="2907"/>
      <c r="B31" s="2925" t="s">
        <v>1089</v>
      </c>
      <c r="C31" s="2967">
        <v>0</v>
      </c>
      <c r="D31" s="2893" t="s">
        <v>1135</v>
      </c>
      <c r="E31" s="2968">
        <f>IF(C31&lt;&gt;0,C31,IF(ISERROR(fan_number),C31,INDEX('House C Data'!$A$1:$KO$300,fan_number,G31)))</f>
        <v>0.95050964215147715</v>
      </c>
      <c r="F31" s="2893" t="s">
        <v>1135</v>
      </c>
      <c r="G31" s="2969">
        <f>MATCH(B31,'House C Data'!$A$16:$AF$16,0)</f>
        <v>11</v>
      </c>
      <c r="I31" s="2893"/>
      <c r="J31" s="2893"/>
      <c r="K31" s="2893"/>
      <c r="L31" s="2893"/>
      <c r="M31" s="2893"/>
      <c r="N31" s="2893"/>
      <c r="O31" s="2934"/>
      <c r="P31" s="2934"/>
      <c r="Q31" s="2934"/>
      <c r="R31" s="2934"/>
      <c r="S31" s="2934"/>
      <c r="T31" s="2893"/>
      <c r="U31" s="2970"/>
    </row>
    <row r="32" spans="1:25" s="2910" customFormat="1" ht="14.45" customHeight="1">
      <c r="A32" s="2907"/>
      <c r="B32" s="2925" t="s">
        <v>1236</v>
      </c>
      <c r="C32" s="2967">
        <v>0</v>
      </c>
      <c r="D32" s="2893" t="s">
        <v>1138</v>
      </c>
      <c r="E32" s="2968">
        <f>IF(C32&lt;&gt;0,C32,IF(ISERROR(fan_number),C32,INDEX('House C Data'!$A$1:$KO$300,fan_number,G32)))</f>
        <v>7.9312948555555277E-2</v>
      </c>
      <c r="F32" s="2893" t="s">
        <v>1138</v>
      </c>
      <c r="G32" s="2969">
        <f>MATCH(B32,'House C Data'!$A$16:$AF$16,0)</f>
        <v>12</v>
      </c>
      <c r="I32" s="2893"/>
      <c r="J32" s="2893"/>
      <c r="K32" s="2893"/>
      <c r="L32" s="2934"/>
      <c r="M32" s="2893"/>
      <c r="N32" s="2893"/>
      <c r="O32" s="2893"/>
      <c r="P32" s="2893"/>
      <c r="Q32" s="2893"/>
      <c r="R32" s="2893"/>
      <c r="S32" s="2934"/>
      <c r="T32" s="2934"/>
      <c r="U32" s="2970"/>
    </row>
    <row r="33" spans="1:41" s="2910" customFormat="1" ht="14.45" customHeight="1">
      <c r="A33" s="2907"/>
      <c r="B33" s="2925" t="s">
        <v>1237</v>
      </c>
      <c r="C33" s="2967">
        <v>0</v>
      </c>
      <c r="D33" s="2893" t="s">
        <v>1137</v>
      </c>
      <c r="E33" s="2968">
        <f>IF(C33&lt;&gt;0,C33,IF(ISERROR(fan_number),C33,INDEX('House C Data'!$A$1:$KO$300,fan_number,G33)))</f>
        <v>1.1344640137963142</v>
      </c>
      <c r="F33" s="2893" t="s">
        <v>1137</v>
      </c>
      <c r="G33" s="2969">
        <f>MATCH(B33,'House C Data'!$A$16:$AF$16,0)</f>
        <v>13</v>
      </c>
      <c r="I33" s="2893"/>
      <c r="J33" s="2893"/>
      <c r="K33" s="2893"/>
      <c r="L33" s="2934"/>
      <c r="M33" s="2893"/>
      <c r="N33" s="2893"/>
      <c r="O33" s="2893"/>
      <c r="P33" s="2893"/>
      <c r="Q33" s="2893"/>
      <c r="R33" s="2893"/>
      <c r="S33" s="2934"/>
      <c r="T33" s="2934"/>
      <c r="U33" s="2970"/>
    </row>
    <row r="34" spans="1:41" s="2910" customFormat="1" ht="14.45" customHeight="1">
      <c r="A34" s="2907"/>
      <c r="B34" s="2925" t="s">
        <v>1238</v>
      </c>
      <c r="C34" s="2967">
        <v>0</v>
      </c>
      <c r="D34" s="2893" t="s">
        <v>1137</v>
      </c>
      <c r="E34" s="2968">
        <f>IF(C34&lt;&gt;0,C34,IF(ISERROR(fan_number),C34,INDEX('House C Data'!$A$1:$KO$300,fan_number,G34)))</f>
        <v>6.2831853071795862</v>
      </c>
      <c r="F34" s="2893" t="s">
        <v>1137</v>
      </c>
      <c r="G34" s="2969">
        <f>MATCH(B34,'House C Data'!$A$16:$AF$16,0)</f>
        <v>14</v>
      </c>
      <c r="I34" s="2893"/>
      <c r="J34" s="2893"/>
      <c r="K34" s="2893"/>
      <c r="L34" s="2934"/>
      <c r="M34" s="2893"/>
      <c r="N34" s="2893"/>
      <c r="O34" s="2893"/>
      <c r="P34" s="2893"/>
      <c r="Q34" s="2893"/>
      <c r="R34" s="2893"/>
      <c r="S34" s="2934"/>
      <c r="T34" s="2934"/>
      <c r="U34" s="2970"/>
    </row>
    <row r="35" spans="1:41" s="2910" customFormat="1" ht="14.45" customHeight="1">
      <c r="A35" s="2907"/>
      <c r="B35" s="2925" t="s">
        <v>1239</v>
      </c>
      <c r="C35" s="2913">
        <v>0</v>
      </c>
      <c r="D35" s="2893" t="s">
        <v>136</v>
      </c>
      <c r="E35" s="2971">
        <f>IF(C35&lt;&gt;0,C35,IF(ISERROR(fan_number),C35,INDEX('House C Data'!$A$1:$KO$300,fan_number,G35)*1000))</f>
        <v>1076.6210889730671</v>
      </c>
      <c r="F35" s="2893" t="s">
        <v>136</v>
      </c>
      <c r="G35" s="2969">
        <f>MATCH(B35,'House C Data'!$A$16:$AF$16,0)</f>
        <v>15</v>
      </c>
      <c r="I35" s="2893"/>
      <c r="J35" s="2893"/>
      <c r="K35" s="2893"/>
      <c r="L35" s="2934"/>
      <c r="M35" s="2893"/>
      <c r="N35" s="2893"/>
      <c r="O35" s="2893"/>
      <c r="P35" s="2893"/>
      <c r="Q35" s="2893"/>
      <c r="R35" s="2893"/>
      <c r="S35" s="2934"/>
      <c r="T35" s="2934"/>
      <c r="U35" s="2970"/>
      <c r="V35" s="2873"/>
      <c r="W35" s="2873"/>
    </row>
    <row r="36" spans="1:41" s="2910" customFormat="1" ht="14.45" customHeight="1">
      <c r="A36" s="2907"/>
      <c r="B36" s="2925" t="s">
        <v>2179</v>
      </c>
      <c r="C36" s="2913">
        <v>0</v>
      </c>
      <c r="D36" s="2893" t="s">
        <v>136</v>
      </c>
      <c r="E36" s="2971">
        <f>IF(C36&lt;&gt;0,C36,IF(ISERROR(fan_number),C36,INDEX('House C Data'!$A$1:$KO$300,fan_number,G36)))</f>
        <v>5</v>
      </c>
      <c r="F36" s="2893" t="s">
        <v>136</v>
      </c>
      <c r="G36" s="2969">
        <f>MATCH(B36,'House C Data'!$A$16:$AF$16,0)</f>
        <v>6</v>
      </c>
      <c r="I36" s="2893"/>
      <c r="J36" s="2893"/>
      <c r="K36" s="2893"/>
      <c r="L36" s="2934"/>
      <c r="M36" s="2893"/>
      <c r="N36" s="2893"/>
      <c r="O36" s="2893"/>
      <c r="P36" s="2893"/>
      <c r="Q36" s="2893"/>
      <c r="R36" s="2893"/>
      <c r="S36" s="2934"/>
      <c r="T36" s="2934"/>
      <c r="U36" s="2970"/>
      <c r="V36" s="2873"/>
      <c r="W36" s="2873"/>
    </row>
    <row r="37" spans="1:41" s="2910" customFormat="1" ht="14.45" customHeight="1">
      <c r="A37" s="2907"/>
      <c r="B37" s="2901" t="s">
        <v>3923</v>
      </c>
      <c r="C37" s="2913">
        <v>0</v>
      </c>
      <c r="D37" s="2893" t="s">
        <v>136</v>
      </c>
      <c r="E37" s="2971">
        <f>IF(C37&lt;&gt;0,C37,IF(ISERROR(fan_number),C37,INDEX('House C Data'!$A$1:$KO$300,fan_number,G37)))</f>
        <v>630</v>
      </c>
      <c r="F37" s="2893" t="s">
        <v>136</v>
      </c>
      <c r="G37" s="2969">
        <f>MATCH(B37,'House C Data'!$A$16:$AF$16,0)</f>
        <v>9</v>
      </c>
      <c r="I37" s="2893"/>
      <c r="J37" s="2893"/>
      <c r="K37" s="2893"/>
      <c r="L37" s="2934"/>
      <c r="M37" s="2893"/>
      <c r="N37" s="2893"/>
      <c r="O37" s="2893"/>
      <c r="P37" s="2893"/>
      <c r="Q37" s="2893"/>
      <c r="R37" s="2893"/>
      <c r="S37" s="2934"/>
      <c r="T37" s="2934"/>
      <c r="U37" s="2970"/>
    </row>
    <row r="38" spans="1:41" s="2910" customFormat="1" ht="14.45" customHeight="1">
      <c r="A38" s="2907"/>
      <c r="B38" s="2925" t="s">
        <v>3924</v>
      </c>
      <c r="C38" s="2913">
        <v>0</v>
      </c>
      <c r="D38" s="2893" t="s">
        <v>136</v>
      </c>
      <c r="E38" s="2971">
        <f>IF(C38&lt;&gt;0,C38,IF(ISERROR(fan_number),C38,INDEX('House C Data'!$A$1:$KO$300,fan_number,G38)))</f>
        <v>1125</v>
      </c>
      <c r="F38" s="2893" t="s">
        <v>136</v>
      </c>
      <c r="G38" s="2969">
        <f>MATCH(B38,'House C Data'!$A$16:$AF$16,0)</f>
        <v>10</v>
      </c>
      <c r="I38" s="2893"/>
      <c r="J38" s="2893"/>
      <c r="K38" s="2893"/>
      <c r="L38" s="2893"/>
      <c r="M38" s="2893"/>
      <c r="N38" s="2893"/>
      <c r="O38" s="2893"/>
      <c r="P38" s="2893"/>
      <c r="Q38" s="2893"/>
      <c r="R38" s="2893"/>
      <c r="S38" s="2893"/>
      <c r="T38" s="2893"/>
      <c r="U38" s="2970"/>
      <c r="AD38" s="2873" t="s">
        <v>109</v>
      </c>
      <c r="AK38" s="2873"/>
      <c r="AL38" s="2873"/>
      <c r="AM38" s="2873"/>
      <c r="AN38" s="2972"/>
      <c r="AO38" s="2972"/>
    </row>
    <row r="39" spans="1:41" s="2910" customFormat="1" ht="14.45" customHeight="1">
      <c r="A39" s="2907"/>
      <c r="B39" s="2925" t="s">
        <v>2254</v>
      </c>
      <c r="C39" s="2913">
        <v>0</v>
      </c>
      <c r="D39" s="2893" t="s">
        <v>136</v>
      </c>
      <c r="E39" s="2971">
        <f>IF(C39&lt;&gt;0,C39,IF(ISERROR(fan_number),C39,INDEX('House C Data'!$A$1:$KO$300,fan_number,G39)))</f>
        <v>950</v>
      </c>
      <c r="F39" s="2893" t="s">
        <v>136</v>
      </c>
      <c r="G39" s="2969">
        <f>MATCH(B39,'House C Data'!$A$16:$AE$16,0)</f>
        <v>5</v>
      </c>
      <c r="H39" s="2893"/>
      <c r="I39" s="2893"/>
      <c r="J39" s="2893"/>
      <c r="K39" s="2893"/>
      <c r="L39" s="2893"/>
      <c r="M39" s="2893"/>
      <c r="N39" s="2893"/>
      <c r="O39" s="2893"/>
      <c r="P39" s="2893"/>
      <c r="Q39" s="2893"/>
      <c r="R39" s="2893"/>
      <c r="S39" s="2893"/>
      <c r="T39" s="2893"/>
      <c r="U39" s="2970"/>
      <c r="AI39" s="2873"/>
      <c r="AJ39" s="2873"/>
    </row>
    <row r="40" spans="1:41" ht="14.45" customHeight="1">
      <c r="A40" s="2912"/>
      <c r="B40" s="2938" t="s">
        <v>3877</v>
      </c>
      <c r="C40" s="2913">
        <v>0</v>
      </c>
      <c r="D40" s="2893" t="s">
        <v>136</v>
      </c>
      <c r="E40" s="2934" t="e">
        <f ca="1">DIHo</f>
        <v>#REF!</v>
      </c>
      <c r="F40" s="2934" t="s">
        <v>136</v>
      </c>
      <c r="G40" s="2969"/>
      <c r="H40" s="2934"/>
      <c r="I40" s="2934"/>
      <c r="J40" s="2934"/>
      <c r="K40" s="2934"/>
      <c r="L40" s="2934"/>
      <c r="M40" s="2934"/>
      <c r="N40" s="2934"/>
      <c r="O40" s="2934"/>
      <c r="P40" s="2934"/>
      <c r="Q40" s="2934"/>
      <c r="R40" s="2934"/>
      <c r="S40" s="2934"/>
      <c r="T40" s="2934"/>
      <c r="U40" s="2935"/>
    </row>
    <row r="41" spans="1:41" ht="14.45" customHeight="1" thickBot="1">
      <c r="A41" s="2912"/>
      <c r="B41" s="2973"/>
      <c r="C41" s="2934"/>
      <c r="D41" s="2934"/>
      <c r="E41" s="2934"/>
      <c r="F41" s="2934"/>
      <c r="G41" s="2934"/>
      <c r="H41" s="2934"/>
      <c r="I41" s="2934"/>
      <c r="J41" s="2934"/>
      <c r="K41" s="2934"/>
      <c r="L41" s="2934"/>
      <c r="M41" s="2934"/>
      <c r="N41" s="2934"/>
      <c r="O41" s="2934"/>
      <c r="P41" s="2934"/>
      <c r="Q41" s="2934"/>
      <c r="R41" s="2934"/>
      <c r="S41" s="2934"/>
      <c r="T41" s="2934"/>
      <c r="U41" s="2935"/>
    </row>
    <row r="42" spans="1:41" ht="29.1" customHeight="1">
      <c r="A42" s="2974" t="s">
        <v>112</v>
      </c>
      <c r="B42" s="3528" t="s">
        <v>3879</v>
      </c>
      <c r="C42" s="3528"/>
      <c r="D42" s="3528"/>
      <c r="E42" s="3528"/>
      <c r="F42" s="3528"/>
      <c r="G42" s="3528"/>
      <c r="H42" s="3528"/>
      <c r="I42" s="3528"/>
      <c r="J42" s="3528"/>
      <c r="K42" s="3528"/>
      <c r="L42" s="3528"/>
      <c r="M42" s="3528"/>
      <c r="N42" s="3528"/>
      <c r="O42" s="3528"/>
      <c r="P42" s="3528"/>
      <c r="Q42" s="3528"/>
      <c r="R42" s="3528"/>
      <c r="S42" s="3528"/>
      <c r="T42" s="3528"/>
      <c r="U42" s="3529"/>
    </row>
    <row r="43" spans="1:41" ht="14.45" customHeight="1">
      <c r="A43" s="2912"/>
      <c r="B43" s="2975" t="s">
        <v>1512</v>
      </c>
      <c r="C43" s="2932">
        <v>0</v>
      </c>
      <c r="D43" s="2893"/>
      <c r="E43" s="2976" t="str">
        <f>IF(C43&lt;&gt;0,C43,IF(ISERROR(fan_number),C43,INDEX('Impeller C &amp; Run Data'!$A$1:$KO$300,fan_number,G43)))</f>
        <v>b72</v>
      </c>
      <c r="F43" s="2893"/>
      <c r="G43" s="2977">
        <f>MATCH(B43,'Impeller C &amp; Run Data'!$A$16:$AI$16,0)</f>
        <v>2</v>
      </c>
      <c r="H43" s="2934"/>
      <c r="I43" s="2975" t="s">
        <v>2178</v>
      </c>
      <c r="J43" s="2932">
        <v>0</v>
      </c>
      <c r="K43" s="2893"/>
      <c r="L43" s="2976" t="str">
        <f>IF(J43&lt;&gt;0,J43,IF(ISERROR(fan_number),J43,INDEX('Impeller C &amp; Run Data'!$A$1:$KO$300,fan_number,N43)))</f>
        <v>DOMEX</v>
      </c>
      <c r="M43" s="2893"/>
      <c r="N43" s="2906">
        <f>MATCH(I43,'Impeller C &amp; Run Data'!$AJ$16:$BB$16,0)+$G$10-1</f>
        <v>43</v>
      </c>
      <c r="O43" s="2934"/>
      <c r="P43" s="2975" t="s">
        <v>2168</v>
      </c>
      <c r="Q43" s="2932">
        <v>0</v>
      </c>
      <c r="R43" s="2893" t="s">
        <v>136</v>
      </c>
      <c r="S43" s="2971">
        <f>IF(Q43&lt;&gt;0,Q43,IF(ISERROR(fan_number),Q43,INDEX('Impeller C &amp; Run Data'!$A$1:$KO$300,fan_number,U43)))</f>
        <v>6</v>
      </c>
      <c r="T43" s="2893" t="s">
        <v>136</v>
      </c>
      <c r="U43" s="2978">
        <f>MATCH(P43,'Impeller C &amp; Run Data'!$A$16:$AI$16,0)</f>
        <v>14</v>
      </c>
    </row>
    <row r="44" spans="1:41" ht="14.45" customHeight="1">
      <c r="A44" s="2912"/>
      <c r="B44" s="2975" t="s">
        <v>1240</v>
      </c>
      <c r="C44" s="2967">
        <v>0</v>
      </c>
      <c r="D44" s="2893" t="s">
        <v>136</v>
      </c>
      <c r="E44" s="2968">
        <f>IF(C44&lt;&gt;0,C44,IF(ISERROR(fan_number),C44,INDEX('Impeller C &amp; Run Data'!$A$1:$KO$300,fan_number,G44)))</f>
        <v>0.34986698905933239</v>
      </c>
      <c r="F44" s="2893" t="s">
        <v>136</v>
      </c>
      <c r="G44" s="2977">
        <f>MATCH(B44,'Impeller C &amp; Run Data'!$A$16:$AI$16,0)</f>
        <v>30</v>
      </c>
      <c r="H44" s="2934"/>
      <c r="I44" s="2975" t="s">
        <v>2164</v>
      </c>
      <c r="J44" s="2932">
        <v>0</v>
      </c>
      <c r="K44" s="2893" t="s">
        <v>136</v>
      </c>
      <c r="L44" s="2971">
        <f>IF(J44&lt;&gt;0,J44,IF(ISERROR(fan_number),J44,INDEX('Impeller C &amp; Run Data'!$A$1:$KO$300,fan_number,N44)))</f>
        <v>721</v>
      </c>
      <c r="M44" s="2893" t="s">
        <v>136</v>
      </c>
      <c r="N44" s="2977">
        <f>MATCH(I44,'Impeller C &amp; Run Data'!$A$16:$AI$16,0)</f>
        <v>3</v>
      </c>
      <c r="O44" s="2934"/>
      <c r="P44" s="2975" t="s">
        <v>2181</v>
      </c>
      <c r="Q44" s="2932">
        <v>0</v>
      </c>
      <c r="R44" s="2893" t="s">
        <v>131</v>
      </c>
      <c r="S44" s="2971">
        <f>IF(Q44&lt;&gt;0,Q44,IF(ISERROR(fan_number),Q44,INDEX('Impeller C &amp; Run Data'!$A$1:$KO$300,fan_number,U44)))</f>
        <v>76.573964736761013</v>
      </c>
      <c r="T44" s="2893" t="s">
        <v>131</v>
      </c>
      <c r="U44" s="2978">
        <f>MATCH(P44,'Impeller C &amp; Run Data'!$A$16:$AI$16,0)</f>
        <v>15</v>
      </c>
    </row>
    <row r="45" spans="1:41" ht="14.45" customHeight="1">
      <c r="A45" s="2912"/>
      <c r="B45" s="2975" t="s">
        <v>1241</v>
      </c>
      <c r="C45" s="2967">
        <v>0</v>
      </c>
      <c r="D45" s="2893" t="s">
        <v>136</v>
      </c>
      <c r="E45" s="2968">
        <f>IF(C45&lt;&gt;0,C45,IF(ISERROR(fan_number),C45,INDEX('Impeller C &amp; Run Data'!$A$1:$KO$300,fan_number,G45)))</f>
        <v>0.7265425280053609</v>
      </c>
      <c r="F45" s="2893" t="s">
        <v>136</v>
      </c>
      <c r="G45" s="2977">
        <f>MATCH(B45,'Impeller C &amp; Run Data'!$A$16:$AI$16,0)</f>
        <v>31</v>
      </c>
      <c r="H45" s="2934"/>
      <c r="I45" s="2975" t="s">
        <v>1797</v>
      </c>
      <c r="J45" s="2932">
        <v>0</v>
      </c>
      <c r="K45" s="2893" t="s">
        <v>136</v>
      </c>
      <c r="L45" s="2971">
        <f>IF(J45&lt;&gt;0,J45,IF(ISERROR(fan_number),J45,IF(modified_d_2&gt;0,modified_d_2,INDEX('Impeller C &amp; Run Data'!$A$1:$KO$300,fan_number,N45))))</f>
        <v>1600</v>
      </c>
      <c r="M45" s="2893" t="s">
        <v>136</v>
      </c>
      <c r="N45" s="2977">
        <f>MATCH(I45,'Impeller C &amp; Run Data'!$A$16:$AI$16,0)</f>
        <v>4</v>
      </c>
      <c r="O45" s="2934"/>
      <c r="P45" s="2975" t="s">
        <v>2169</v>
      </c>
      <c r="Q45" s="2932">
        <v>0</v>
      </c>
      <c r="R45" s="2893" t="s">
        <v>136</v>
      </c>
      <c r="S45" s="2971">
        <f>IF(Q45&lt;&gt;0,Q45,IF(ISERROR(fan_number),Q45,INDEX('Impeller C &amp; Run Data'!$A$1:$KO$300,fan_number,U45)))</f>
        <v>6</v>
      </c>
      <c r="T45" s="2893" t="s">
        <v>136</v>
      </c>
      <c r="U45" s="2978">
        <f>MATCH(P45,'Impeller C &amp; Run Data'!$A$16:$AI$16,0)</f>
        <v>16</v>
      </c>
      <c r="AI45" s="2979"/>
    </row>
    <row r="46" spans="1:41" ht="14.45" customHeight="1">
      <c r="A46" s="2912"/>
      <c r="B46" s="2975" t="s">
        <v>1242</v>
      </c>
      <c r="C46" s="2967">
        <v>0</v>
      </c>
      <c r="D46" s="2893" t="s">
        <v>1137</v>
      </c>
      <c r="E46" s="2968">
        <f>IF(C46&lt;&gt;0,C46,IF(ISERROR(fan_number),C46,INDEX('Impeller C &amp; Run Data'!$A$1:$KO$300,fan_number,G46)))</f>
        <v>-0.21310856071109702</v>
      </c>
      <c r="F46" s="2893" t="s">
        <v>1137</v>
      </c>
      <c r="G46" s="2977">
        <f>MATCH(B46,'Impeller C &amp; Run Data'!$A$16:$AI$16,0)</f>
        <v>32</v>
      </c>
      <c r="H46" s="2934"/>
      <c r="I46" s="2975" t="s">
        <v>1132</v>
      </c>
      <c r="J46" s="2932">
        <v>0</v>
      </c>
      <c r="K46" s="2893" t="s">
        <v>136</v>
      </c>
      <c r="L46" s="2980">
        <f>IF(J46&lt;&gt;0,J46,IF(ISERROR(fan_number),J46,INDEX('Impeller C &amp; Run Data'!$A$1:$KO$300,fan_number,N46)))</f>
        <v>700</v>
      </c>
      <c r="M46" s="2893" t="s">
        <v>136</v>
      </c>
      <c r="N46" s="2977">
        <f>MATCH(I46,'Impeller C &amp; Run Data'!$A$16:$AI$16,0)</f>
        <v>5</v>
      </c>
      <c r="O46" s="2934"/>
      <c r="P46" s="2975" t="s">
        <v>2182</v>
      </c>
      <c r="Q46" s="2932">
        <v>0</v>
      </c>
      <c r="R46" s="2893" t="s">
        <v>131</v>
      </c>
      <c r="S46" s="2971">
        <f>IF(Q46&lt;&gt;0,Q46,IF(ISERROR(fan_number),Q46,INDEX('Impeller C &amp; Run Data'!$A$1:$KO$300,fan_number,U46)))</f>
        <v>49.125683587934731</v>
      </c>
      <c r="T46" s="2893" t="s">
        <v>131</v>
      </c>
      <c r="U46" s="2978">
        <f>MATCH(P46,'Impeller C &amp; Run Data'!$A$16:$AI$16,0)</f>
        <v>17</v>
      </c>
    </row>
    <row r="47" spans="1:41" ht="14.45" customHeight="1">
      <c r="A47" s="2912"/>
      <c r="B47" s="2975" t="s">
        <v>1243</v>
      </c>
      <c r="C47" s="2967">
        <v>0</v>
      </c>
      <c r="D47" s="2893" t="s">
        <v>1137</v>
      </c>
      <c r="E47" s="2968">
        <f>IF(C47&lt;&gt;0,C47,IF(ISERROR(fan_number),C47,INDEX('Impeller C &amp; Run Data'!$A$1:$KO$300,fan_number,G47)))</f>
        <v>0.90549989586878465</v>
      </c>
      <c r="F47" s="2893" t="s">
        <v>1137</v>
      </c>
      <c r="G47" s="2977">
        <f>MATCH(B47,'Impeller C &amp; Run Data'!$A$16:$AI$16,0)</f>
        <v>33</v>
      </c>
      <c r="H47" s="2934"/>
      <c r="I47" s="2975" t="s">
        <v>2165</v>
      </c>
      <c r="J47" s="2932">
        <v>0</v>
      </c>
      <c r="K47" s="2893" t="s">
        <v>136</v>
      </c>
      <c r="L47" s="2971">
        <f>IF(J47&lt;&gt;0,J47,IF(ISERROR(fan_number),J47,INDEX('Impeller C &amp; Run Data'!$A$1:$KO$300,fan_number,N47)))</f>
        <v>630</v>
      </c>
      <c r="M47" s="2893" t="s">
        <v>136</v>
      </c>
      <c r="N47" s="2977">
        <f>MATCH(I47,'Impeller C &amp; Run Data'!$A$16:$AI$16,0)</f>
        <v>6</v>
      </c>
      <c r="O47" s="2934"/>
      <c r="P47" s="2975" t="s">
        <v>2180</v>
      </c>
      <c r="Q47" s="2932">
        <v>0</v>
      </c>
      <c r="R47" s="2893" t="s">
        <v>136</v>
      </c>
      <c r="S47" s="2971">
        <f>IF(Q47&lt;&gt;0,Q47,IF(ISERROR(fan_number),Q47,INDEX('Impeller C &amp; Run Data'!$A$1:$KO$300,fan_number,U47)))</f>
        <v>20</v>
      </c>
      <c r="T47" s="2893" t="s">
        <v>136</v>
      </c>
      <c r="U47" s="2978">
        <f>MATCH(P47,'Impeller C &amp; Run Data'!$A$16:$AI$16,0)</f>
        <v>18</v>
      </c>
    </row>
    <row r="48" spans="1:41" ht="14.45" customHeight="1">
      <c r="A48" s="2912"/>
      <c r="B48" s="2975"/>
      <c r="C48" s="2932"/>
      <c r="D48" s="2934"/>
      <c r="E48" s="2934"/>
      <c r="F48" s="2934"/>
      <c r="G48" s="2969"/>
      <c r="H48" s="2934"/>
      <c r="I48" s="2975" t="s">
        <v>1428</v>
      </c>
      <c r="J48" s="2932">
        <v>0</v>
      </c>
      <c r="K48" s="2893" t="s">
        <v>136</v>
      </c>
      <c r="L48" s="2980">
        <f>IF(J48&lt;&gt;0,J48,IF(ISERROR(fan_number),J48,INDEX('Impeller C &amp; Run Data'!$A$1:$KO$300,fan_number,N48)))</f>
        <v>365</v>
      </c>
      <c r="M48" s="2893" t="s">
        <v>136</v>
      </c>
      <c r="N48" s="2977">
        <f>MATCH(I48,'Impeller C &amp; Run Data'!$A$16:$AI$16,0)</f>
        <v>7</v>
      </c>
      <c r="O48" s="2934"/>
      <c r="P48" s="2975" t="s">
        <v>2408</v>
      </c>
      <c r="Q48" s="2932">
        <v>0</v>
      </c>
      <c r="R48" s="2893" t="s">
        <v>136</v>
      </c>
      <c r="S48" s="2971">
        <f>IF(Q48&lt;&gt;0,Q48,IF(ISERROR(fan_number),Q48,INDEX('Impeller C &amp; Run Data'!$A$1:$KO$300,fan_number,U48)))</f>
        <v>1109.9553078519668</v>
      </c>
      <c r="T48" s="2893" t="s">
        <v>136</v>
      </c>
      <c r="U48" s="2978">
        <f>MATCH(P48,'Impeller C &amp; Run Data'!$A$16:$AI$16,0)</f>
        <v>19</v>
      </c>
    </row>
    <row r="49" spans="1:33" ht="14.45" customHeight="1">
      <c r="A49" s="2912"/>
      <c r="B49" s="2975"/>
      <c r="C49" s="2932"/>
      <c r="D49" s="2934"/>
      <c r="E49" s="2934"/>
      <c r="F49" s="2934"/>
      <c r="G49" s="2969"/>
      <c r="H49" s="2934"/>
      <c r="I49" s="2975" t="s">
        <v>1429</v>
      </c>
      <c r="J49" s="2932">
        <v>0</v>
      </c>
      <c r="K49" s="2893" t="s">
        <v>136</v>
      </c>
      <c r="L49" s="2971">
        <f>IF(J49&lt;&gt;0,J49,IF(ISERROR(fan_number),J49,INDEX('Impeller C &amp; Run Data'!$A$1:$KO$300,fan_number,N49)))</f>
        <v>253</v>
      </c>
      <c r="M49" s="2893" t="s">
        <v>136</v>
      </c>
      <c r="N49" s="2977">
        <f>MATCH(I49,'Impeller C &amp; Run Data'!$A$16:$AI$16,0)</f>
        <v>8</v>
      </c>
      <c r="O49" s="2934"/>
      <c r="P49" s="2975" t="s">
        <v>2183</v>
      </c>
      <c r="Q49" s="2932">
        <v>0</v>
      </c>
      <c r="R49" s="2893" t="s">
        <v>131</v>
      </c>
      <c r="S49" s="2971">
        <f>IF(Q49&lt;&gt;0,Q49,IF(ISERROR(fan_number),Q49,INDEX('Impeller C &amp; Run Data'!$A$1:$KO$300,fan_number,U49)))</f>
        <v>151.91495120625333</v>
      </c>
      <c r="T49" s="2893" t="s">
        <v>131</v>
      </c>
      <c r="U49" s="2978">
        <f>MATCH(P49,'Impeller C &amp; Run Data'!$A$16:$AI$16,0)</f>
        <v>20</v>
      </c>
      <c r="Z49" s="2964"/>
      <c r="AC49" s="2934"/>
      <c r="AD49" s="2934"/>
      <c r="AE49" s="2934"/>
      <c r="AF49" s="2934"/>
      <c r="AG49" s="2934"/>
    </row>
    <row r="50" spans="1:33" ht="14.45" customHeight="1">
      <c r="A50" s="2912"/>
      <c r="B50" s="2975"/>
      <c r="C50" s="2932"/>
      <c r="D50" s="2934"/>
      <c r="E50" s="2934"/>
      <c r="F50" s="2934"/>
      <c r="G50" s="2969"/>
      <c r="H50" s="2934"/>
      <c r="I50" s="2975" t="s">
        <v>2166</v>
      </c>
      <c r="J50" s="2932">
        <v>0</v>
      </c>
      <c r="K50" s="2893" t="s">
        <v>136</v>
      </c>
      <c r="L50" s="2971">
        <f>IF(J50&lt;&gt;0,J50,IF(ISERROR(fan_number),J50,INDEX('Impeller C &amp; Run Data'!$A$1:$KO$300,fan_number,N50)))</f>
        <v>185</v>
      </c>
      <c r="M50" s="2893" t="s">
        <v>136</v>
      </c>
      <c r="N50" s="2977">
        <f>MATCH(I50,'Impeller C &amp; Run Data'!$A$16:$AI$16,0)</f>
        <v>9</v>
      </c>
      <c r="O50" s="2934"/>
      <c r="P50" s="2975" t="s">
        <v>2173</v>
      </c>
      <c r="Q50" s="2932">
        <v>0</v>
      </c>
      <c r="R50" s="2893" t="s">
        <v>136</v>
      </c>
      <c r="S50" s="2971">
        <f>IF(Q50&lt;&gt;0,Q50,IF(ISERROR(fan_number),Q50,INDEX('Impeller C &amp; Run Data'!$A$1:$KO$300,fan_number,U50)))</f>
        <v>420</v>
      </c>
      <c r="T50" s="2893" t="s">
        <v>136</v>
      </c>
      <c r="U50" s="2978">
        <f>MATCH(P50,'Impeller C &amp; Run Data'!$A$16:$AI$16,0)</f>
        <v>24</v>
      </c>
      <c r="Z50" s="2964"/>
      <c r="AC50" s="2934"/>
      <c r="AD50" s="2934"/>
      <c r="AE50" s="2934"/>
      <c r="AF50" s="2934"/>
      <c r="AG50" s="2934"/>
    </row>
    <row r="51" spans="1:33" ht="14.45" customHeight="1">
      <c r="A51" s="2912"/>
      <c r="B51" s="2975"/>
      <c r="C51" s="2932"/>
      <c r="D51" s="2934"/>
      <c r="E51" s="2934"/>
      <c r="F51" s="2934"/>
      <c r="G51" s="2969"/>
      <c r="H51" s="2934"/>
      <c r="I51" s="2975" t="s">
        <v>1067</v>
      </c>
      <c r="J51" s="2932">
        <v>0</v>
      </c>
      <c r="K51" s="2893" t="s">
        <v>1489</v>
      </c>
      <c r="L51" s="2971">
        <f>IF(J51&lt;&gt;0,J51,IF(ISERROR(fan_number),J51,INDEX('Impeller C &amp; Run Data'!$A$1:$KO$300,fan_number,N51)))</f>
        <v>36</v>
      </c>
      <c r="M51" s="2893" t="s">
        <v>1489</v>
      </c>
      <c r="N51" s="2977">
        <f>MATCH(I51,'Impeller C &amp; Run Data'!$A$16:$AI$16,0)</f>
        <v>10</v>
      </c>
      <c r="O51" s="2934"/>
      <c r="P51" s="2975" t="s">
        <v>1841</v>
      </c>
      <c r="Q51" s="2932">
        <v>0</v>
      </c>
      <c r="R51" s="2893" t="s">
        <v>136</v>
      </c>
      <c r="S51" s="2971">
        <f>IF(Q51&lt;&gt;0,Q51,IF(ISERROR(fan_number),Q51,INDEX('Impeller C &amp; Run Data'!$A$1:$KO$300,fan_number,U51)))</f>
        <v>56.269330410535765</v>
      </c>
      <c r="T51" s="2893" t="s">
        <v>136</v>
      </c>
      <c r="U51" s="2978">
        <f>MATCH(P51,'Impeller C &amp; Run Data'!$A$16:$AI$16,0)</f>
        <v>25</v>
      </c>
      <c r="Z51" s="2964"/>
      <c r="AC51" s="2934"/>
      <c r="AD51" s="2934"/>
      <c r="AE51" s="2934"/>
      <c r="AF51" s="2981"/>
      <c r="AG51" s="2934"/>
    </row>
    <row r="52" spans="1:33" ht="14.45" customHeight="1">
      <c r="A52" s="2912"/>
      <c r="B52" s="2975"/>
      <c r="C52" s="2932"/>
      <c r="D52" s="2934"/>
      <c r="E52" s="2934"/>
      <c r="F52" s="2934"/>
      <c r="G52" s="2969"/>
      <c r="H52" s="2934"/>
      <c r="I52" s="2975" t="s">
        <v>1068</v>
      </c>
      <c r="J52" s="2932">
        <v>0</v>
      </c>
      <c r="K52" s="2893" t="s">
        <v>1489</v>
      </c>
      <c r="L52" s="2971">
        <f>IF(J52&lt;&gt;0,J52,IF(ISERROR(fan_number),J52,INDEX('Impeller C &amp; Run Data'!$A$1:$KO$300,fan_number,N52)))</f>
        <v>49.7</v>
      </c>
      <c r="M52" s="2893" t="s">
        <v>1489</v>
      </c>
      <c r="N52" s="2977">
        <f>MATCH(I52,'Impeller C &amp; Run Data'!$A$16:$AI$16,0)</f>
        <v>11</v>
      </c>
      <c r="O52" s="2934"/>
      <c r="P52" s="2975" t="s">
        <v>2174</v>
      </c>
      <c r="Q52" s="2932">
        <v>0</v>
      </c>
      <c r="R52" s="2893" t="s">
        <v>136</v>
      </c>
      <c r="S52" s="2971">
        <f>IF(Q52&lt;&gt;0,Q52,IF(ISERROR(fan_number),Q52,INDEX('Impeller C &amp; Run Data'!$A$1:$KO$300,fan_number,U52)))</f>
        <v>6</v>
      </c>
      <c r="T52" s="2893" t="s">
        <v>136</v>
      </c>
      <c r="U52" s="2978">
        <f>MATCH(P52,'Impeller C &amp; Run Data'!$A$16:$AI$16,0)</f>
        <v>26</v>
      </c>
    </row>
    <row r="53" spans="1:33" ht="14.45" customHeight="1">
      <c r="A53" s="2912"/>
      <c r="B53" s="2975"/>
      <c r="C53" s="2932"/>
      <c r="D53" s="2934"/>
      <c r="E53" s="2934"/>
      <c r="F53" s="2934"/>
      <c r="G53" s="2969"/>
      <c r="H53" s="2934"/>
      <c r="I53" s="2975" t="s">
        <v>3870</v>
      </c>
      <c r="J53" s="2932">
        <v>0</v>
      </c>
      <c r="K53" s="2893"/>
      <c r="L53" s="2971">
        <f>IF(J53&lt;&gt;0,J53,IF(ISERROR(fan_number),J53,INDEX('Impeller C &amp; Run Data'!$A$1:$KO$300,fan_number,N53)))</f>
        <v>12</v>
      </c>
      <c r="M53" s="2893"/>
      <c r="N53" s="2977">
        <f>MATCH(I53,'Impeller C &amp; Run Data'!$A$16:$AI$16,0)</f>
        <v>12</v>
      </c>
      <c r="O53" s="2934"/>
      <c r="Q53" s="2932"/>
      <c r="U53" s="2982"/>
    </row>
    <row r="54" spans="1:33" s="2934" customFormat="1" ht="14.45" customHeight="1">
      <c r="A54" s="2912"/>
      <c r="B54" s="2975"/>
      <c r="C54" s="2932"/>
      <c r="G54" s="2969"/>
      <c r="I54" s="2975" t="s">
        <v>3903</v>
      </c>
      <c r="J54" s="2932">
        <v>0</v>
      </c>
      <c r="K54" s="2893" t="s">
        <v>136</v>
      </c>
      <c r="L54" s="2971">
        <f>IF(J54&lt;&gt;0,J54,IF(ISERROR(fan_number),J54,INDEX('Impeller C &amp; Run Data'!$A$1:$KO$300,fan_number,N54)))</f>
        <v>5</v>
      </c>
      <c r="M54" s="2893" t="s">
        <v>136</v>
      </c>
      <c r="N54" s="2906">
        <f>MATCH(I54,'Impeller C &amp; Run Data'!$AJ$16:$BB$16,0)+$G$10-1</f>
        <v>44</v>
      </c>
      <c r="Q54" s="2932"/>
      <c r="R54" s="2873"/>
      <c r="S54" s="2873"/>
      <c r="T54" s="2873"/>
      <c r="U54" s="2982"/>
    </row>
    <row r="55" spans="1:33" ht="14.45" customHeight="1">
      <c r="A55" s="2912"/>
      <c r="B55" s="2975"/>
      <c r="C55" s="2932"/>
      <c r="D55" s="2934"/>
      <c r="E55" s="2934"/>
      <c r="F55" s="2934"/>
      <c r="G55" s="2969"/>
      <c r="H55" s="2934"/>
      <c r="I55" s="2975" t="s">
        <v>3904</v>
      </c>
      <c r="J55" s="2932">
        <v>0</v>
      </c>
      <c r="K55" s="2893"/>
      <c r="L55" s="2971">
        <f>IF(J55&lt;&gt;0,J55,IF(ISERROR(fan_number),J55,INDEX('Impeller C &amp; Run Data'!$A$1:$KO$300,fan_number,N55)))</f>
        <v>0</v>
      </c>
      <c r="M55" s="2893"/>
      <c r="N55" s="2906">
        <f>MATCH(I55,'Impeller C &amp; Run Data'!$AJ$16:$BB$16,0)+$G$10-1</f>
        <v>45</v>
      </c>
      <c r="O55" s="2934"/>
      <c r="Q55" s="2932"/>
      <c r="U55" s="2982"/>
    </row>
    <row r="56" spans="1:33" ht="14.45" customHeight="1">
      <c r="A56" s="2912"/>
      <c r="B56" s="2975"/>
      <c r="C56" s="2932"/>
      <c r="D56" s="2934"/>
      <c r="E56" s="2934"/>
      <c r="F56" s="2934"/>
      <c r="G56" s="2969"/>
      <c r="H56" s="2934"/>
      <c r="I56" s="2975" t="s">
        <v>3905</v>
      </c>
      <c r="J56" s="2932">
        <v>0</v>
      </c>
      <c r="K56" s="2893" t="s">
        <v>136</v>
      </c>
      <c r="L56" s="2971">
        <f>IF(J56&lt;&gt;0,J56,IF(ISERROR(fan_number),J56,INDEX('Impeller C &amp; Run Data'!$A$1:$KO$300,fan_number,N56)))</f>
        <v>0</v>
      </c>
      <c r="M56" s="2893" t="s">
        <v>136</v>
      </c>
      <c r="N56" s="2906">
        <f>MATCH(I56,'Impeller C &amp; Run Data'!$AJ$16:$BB$16,0)+$G$10-1</f>
        <v>46</v>
      </c>
      <c r="O56" s="2934"/>
      <c r="Q56" s="2932"/>
      <c r="U56" s="2982"/>
    </row>
    <row r="57" spans="1:33" ht="14.45" customHeight="1">
      <c r="A57" s="2912"/>
      <c r="B57" s="2975"/>
      <c r="C57" s="2932"/>
      <c r="D57" s="2934"/>
      <c r="E57" s="2934"/>
      <c r="F57" s="2934"/>
      <c r="G57" s="2969"/>
      <c r="H57" s="2934"/>
      <c r="I57" s="2975" t="s">
        <v>3906</v>
      </c>
      <c r="J57" s="2932">
        <v>0</v>
      </c>
      <c r="K57" s="2893" t="s">
        <v>136</v>
      </c>
      <c r="L57" s="2971">
        <f>IF(J57&lt;&gt;0,J57,IF(ISERROR(fan_number),J57,INDEX('Impeller C &amp; Run Data'!$A$1:$KO$300,fan_number,N57)))</f>
        <v>0</v>
      </c>
      <c r="M57" s="2893" t="s">
        <v>136</v>
      </c>
      <c r="N57" s="2906">
        <f>MATCH(I57,'Impeller C &amp; Run Data'!$AJ$16:$BB$16,0)+$G$10-1</f>
        <v>47</v>
      </c>
      <c r="O57" s="2934"/>
      <c r="P57" s="2975"/>
      <c r="Q57" s="2932"/>
      <c r="R57" s="2893"/>
      <c r="S57" s="2983"/>
      <c r="T57" s="2893"/>
      <c r="U57" s="2978"/>
    </row>
    <row r="58" spans="1:33" ht="14.45" customHeight="1">
      <c r="A58" s="2912"/>
      <c r="B58" s="2975"/>
      <c r="C58" s="2932"/>
      <c r="D58" s="2934"/>
      <c r="E58" s="2934"/>
      <c r="F58" s="2934"/>
      <c r="G58" s="2969"/>
      <c r="H58" s="2934"/>
      <c r="I58" s="2975" t="s">
        <v>3907</v>
      </c>
      <c r="J58" s="2932">
        <v>0</v>
      </c>
      <c r="K58" s="2893"/>
      <c r="L58" s="2971">
        <f>IF(J58&lt;&gt;0,J58,IF(ISERROR(fan_number),J58,INDEX('Impeller C &amp; Run Data'!$A$1:$KO$300,fan_number,N58)))</f>
        <v>0</v>
      </c>
      <c r="M58" s="2893"/>
      <c r="N58" s="2906">
        <f>MATCH(I58,'Impeller C &amp; Run Data'!$AJ$16:$BB$16,0)+$G$10-1</f>
        <v>49</v>
      </c>
      <c r="O58" s="2934"/>
      <c r="P58" s="2975"/>
      <c r="Q58" s="2932"/>
      <c r="R58" s="2893"/>
      <c r="S58" s="2983"/>
      <c r="T58" s="2893"/>
      <c r="U58" s="2978"/>
    </row>
    <row r="59" spans="1:33" ht="14.45" customHeight="1">
      <c r="A59" s="2912"/>
      <c r="B59" s="2975"/>
      <c r="C59" s="2932"/>
      <c r="D59" s="2934"/>
      <c r="E59" s="2934"/>
      <c r="F59" s="2934"/>
      <c r="G59" s="2969"/>
      <c r="H59" s="2934"/>
      <c r="I59" s="2975" t="s">
        <v>3908</v>
      </c>
      <c r="J59" s="2932">
        <v>0</v>
      </c>
      <c r="K59" s="2893" t="s">
        <v>136</v>
      </c>
      <c r="L59" s="2971">
        <f>IF(J59&lt;&gt;0,J59,IF(ISERROR(fan_number),J59,INDEX('Impeller C &amp; Run Data'!$A$1:$KO$300,fan_number,N59)))</f>
        <v>0</v>
      </c>
      <c r="M59" s="2893" t="s">
        <v>136</v>
      </c>
      <c r="N59" s="2906">
        <f>MATCH(I59,'Impeller C &amp; Run Data'!$AJ$16:$BB$16,0)+$G$10-1</f>
        <v>50</v>
      </c>
      <c r="O59" s="2934"/>
      <c r="P59" s="2975"/>
      <c r="Q59" s="2932"/>
      <c r="R59" s="2893"/>
      <c r="S59" s="2983"/>
      <c r="T59" s="2893"/>
      <c r="U59" s="2978"/>
    </row>
    <row r="60" spans="1:33" ht="14.45" customHeight="1">
      <c r="A60" s="2912"/>
      <c r="B60" s="2975"/>
      <c r="C60" s="2932"/>
      <c r="D60" s="2934"/>
      <c r="E60" s="2934"/>
      <c r="F60" s="2934"/>
      <c r="G60" s="2969"/>
      <c r="H60" s="2934"/>
      <c r="I60" s="2975" t="s">
        <v>3909</v>
      </c>
      <c r="J60" s="2932">
        <v>0</v>
      </c>
      <c r="K60" s="2893" t="s">
        <v>136</v>
      </c>
      <c r="L60" s="2971">
        <f>IF(J60&lt;&gt;0,J60,IF(ISERROR(fan_number),J60,INDEX('Impeller C &amp; Run Data'!$A$1:$KO$300,fan_number,N60)))</f>
        <v>0</v>
      </c>
      <c r="M60" s="2893" t="s">
        <v>136</v>
      </c>
      <c r="N60" s="2906">
        <f>MATCH(I60,'Impeller C &amp; Run Data'!$AJ$16:$BB$16,0)+$G$10-1</f>
        <v>51</v>
      </c>
      <c r="O60" s="2934"/>
      <c r="P60" s="2975"/>
      <c r="Q60" s="2932"/>
      <c r="R60" s="2893"/>
      <c r="S60" s="2983"/>
      <c r="T60" s="2893"/>
      <c r="U60" s="2978"/>
    </row>
    <row r="61" spans="1:33" ht="14.45" customHeight="1">
      <c r="A61" s="2912"/>
      <c r="B61" s="2975"/>
      <c r="C61" s="2932"/>
      <c r="D61" s="2934"/>
      <c r="E61" s="2934"/>
      <c r="F61" s="2934"/>
      <c r="G61" s="2969"/>
      <c r="H61" s="2934"/>
      <c r="J61" s="2932">
        <v>0</v>
      </c>
      <c r="O61" s="2934"/>
      <c r="P61" s="2975"/>
      <c r="Q61" s="2932"/>
      <c r="U61" s="2982"/>
    </row>
    <row r="62" spans="1:33" ht="14.45" customHeight="1">
      <c r="A62" s="2912"/>
      <c r="B62" s="2973"/>
      <c r="C62" s="2934"/>
      <c r="D62" s="2934"/>
      <c r="E62" s="2934"/>
      <c r="F62" s="2934"/>
      <c r="G62" s="2934"/>
      <c r="H62" s="2934"/>
      <c r="I62" s="2934"/>
      <c r="J62" s="2934"/>
      <c r="K62" s="2934"/>
      <c r="L62" s="2934"/>
      <c r="M62" s="2934"/>
      <c r="N62" s="2934"/>
      <c r="O62" s="2934"/>
      <c r="P62" s="2984"/>
      <c r="Q62" s="2934"/>
      <c r="R62" s="2934"/>
      <c r="S62" s="2934"/>
      <c r="T62" s="2985"/>
      <c r="U62" s="2935"/>
    </row>
    <row r="63" spans="1:33" ht="14.45" customHeight="1">
      <c r="A63" s="2912"/>
      <c r="B63" s="2973"/>
      <c r="C63" s="3522" t="s">
        <v>3878</v>
      </c>
      <c r="D63" s="3522"/>
      <c r="E63" s="3522"/>
      <c r="F63" s="3522"/>
      <c r="G63" s="3522"/>
      <c r="H63" s="3522"/>
      <c r="I63" s="3522"/>
      <c r="J63" s="3522"/>
      <c r="K63" s="3522"/>
      <c r="L63" s="3522"/>
      <c r="M63" s="3522"/>
      <c r="N63" s="3522"/>
      <c r="O63" s="3522"/>
      <c r="P63" s="3522"/>
      <c r="Q63" s="3522"/>
      <c r="R63" s="3522"/>
      <c r="S63" s="3522"/>
      <c r="T63" s="3522"/>
      <c r="U63" s="3523"/>
    </row>
    <row r="64" spans="1:33" ht="14.45" customHeight="1">
      <c r="A64" s="2912"/>
      <c r="B64" s="2973"/>
      <c r="C64" s="3524"/>
      <c r="D64" s="3524"/>
      <c r="E64" s="3524"/>
      <c r="F64" s="3524"/>
      <c r="G64" s="3524"/>
      <c r="H64" s="3524"/>
      <c r="I64" s="3524"/>
      <c r="J64" s="3524"/>
      <c r="K64" s="3524"/>
      <c r="L64" s="3524"/>
      <c r="M64" s="3524"/>
      <c r="N64" s="3524"/>
      <c r="O64" s="3524"/>
      <c r="P64" s="3524"/>
      <c r="Q64" s="3524"/>
      <c r="R64" s="3524"/>
      <c r="S64" s="3524"/>
      <c r="T64" s="3524"/>
      <c r="U64" s="3525"/>
    </row>
    <row r="65" spans="1:22" ht="14.45" customHeight="1">
      <c r="A65" s="2912"/>
      <c r="B65" s="2975" t="s">
        <v>2176</v>
      </c>
      <c r="C65" s="2932">
        <v>0</v>
      </c>
      <c r="D65" s="2934" t="s">
        <v>2511</v>
      </c>
      <c r="E65" s="3148">
        <f>IF(C65&lt;&gt;0,C65,IF(ISERROR(fan_number),C65,INDEX('Impeller C &amp; Run Data'!$A$1:$KO$300,fan_number,G65)))</f>
        <v>10.805248859872489</v>
      </c>
      <c r="F65" s="2934" t="s">
        <v>2511</v>
      </c>
      <c r="G65" s="2986">
        <f>MATCH(B65,'Impeller C &amp; Run Data'!$A$16:$BB$16,0)</f>
        <v>35</v>
      </c>
      <c r="H65" s="2934"/>
      <c r="I65" s="2975" t="s">
        <v>2167</v>
      </c>
      <c r="J65" s="2932">
        <v>0</v>
      </c>
      <c r="K65" s="2893" t="s">
        <v>136</v>
      </c>
      <c r="L65" s="2971">
        <f>IF(J65&lt;&gt;0,J65,IF(ISERROR(fan_number),J65,INDEX('Impeller C &amp; Run Data'!$A$1:$KO$300,fan_number,N65)))</f>
        <v>681</v>
      </c>
      <c r="M65" s="2893" t="s">
        <v>136</v>
      </c>
      <c r="N65" s="2977">
        <f>MATCH(I65,'Impeller C &amp; Run Data'!$A$16:$BB$16,0)</f>
        <v>13</v>
      </c>
      <c r="P65" s="2975" t="s">
        <v>1857</v>
      </c>
      <c r="S65" s="2971">
        <f>IF(Cone_H=0,(ROUND(2/3*L47/2*TAN(RADIANS(15))/5,0)*5/2),Cone_H)+10</f>
        <v>66.269330410535758</v>
      </c>
      <c r="T65" s="2893" t="s">
        <v>136</v>
      </c>
      <c r="U65" s="2935"/>
    </row>
    <row r="66" spans="1:22" ht="14.45" customHeight="1">
      <c r="A66" s="2912"/>
      <c r="B66" s="2975" t="s">
        <v>2177</v>
      </c>
      <c r="C66" s="2932">
        <v>0</v>
      </c>
      <c r="D66" s="2893" t="s">
        <v>131</v>
      </c>
      <c r="E66" s="2976">
        <f>IF(C66&lt;&gt;0,C66,IF(ISERROR(fan_number),C66,INDEX('Impeller C &amp; Run Data'!$A$1:$KO$300,fan_number,G66)))</f>
        <v>373.52098482947673</v>
      </c>
      <c r="F66" s="2893" t="s">
        <v>131</v>
      </c>
      <c r="G66" s="2906">
        <f>MATCH(B66,'Impeller C &amp; Run Data'!$AJ$16:$BB$16,0)+$G$10-1</f>
        <v>37</v>
      </c>
      <c r="H66" s="2934"/>
      <c r="I66" s="2975" t="s">
        <v>2175</v>
      </c>
      <c r="J66" s="2932">
        <v>0</v>
      </c>
      <c r="K66" s="2893" t="s">
        <v>131</v>
      </c>
      <c r="L66" s="2971">
        <f>IF(J66&lt;&gt;0,J66,IF(ISERROR(fan_number),J66,INDEX('Impeller C &amp; Run Data'!$A$1:$KO$300,fan_number,N66)))</f>
        <v>6.7556258866869339</v>
      </c>
      <c r="M66" s="2893" t="s">
        <v>131</v>
      </c>
      <c r="N66" s="2977">
        <f>MATCH(I66,'Impeller C &amp; Run Data'!$A$16:$BB$16,0)</f>
        <v>27</v>
      </c>
      <c r="P66" s="2975" t="s">
        <v>3873</v>
      </c>
      <c r="S66" s="2959">
        <v>1.5</v>
      </c>
      <c r="U66" s="2935"/>
    </row>
    <row r="67" spans="1:22" ht="14.45" customHeight="1">
      <c r="A67" s="2912"/>
      <c r="B67" s="2901" t="s">
        <v>2804</v>
      </c>
      <c r="C67" s="2934"/>
      <c r="D67" s="2984"/>
      <c r="E67" s="2987" t="e">
        <f ca="1">Impeller_W-WF_P-WHub_P-WHub_C</f>
        <v>#REF!</v>
      </c>
      <c r="F67" s="2983" t="s">
        <v>131</v>
      </c>
      <c r="G67" s="2986"/>
      <c r="H67" s="2934"/>
      <c r="I67" s="2975" t="s">
        <v>2252</v>
      </c>
      <c r="J67" s="2932">
        <v>0</v>
      </c>
      <c r="K67" s="2934" t="s">
        <v>131</v>
      </c>
      <c r="L67" s="2971">
        <f>IF(J67&lt;&gt;0,J67,IF(ISERROR(fan_number),J67,INDEX('Impeller C &amp; Run Data'!$A$1:$KO$300,fan_number,N67)))</f>
        <v>70.244468999999995</v>
      </c>
      <c r="M67" s="2934" t="s">
        <v>131</v>
      </c>
      <c r="N67" s="2906">
        <f>MATCH(I67,'Impeller C &amp; Run Data'!$AJ$16:$BB$16,0)+$G$10-1</f>
        <v>36</v>
      </c>
      <c r="P67" s="2988"/>
      <c r="S67" s="2989"/>
      <c r="T67" s="2893"/>
      <c r="U67" s="2935"/>
    </row>
    <row r="68" spans="1:22" ht="14.45" customHeight="1">
      <c r="A68" s="2912"/>
      <c r="B68" s="2975" t="s">
        <v>42</v>
      </c>
      <c r="C68" s="2932">
        <v>0</v>
      </c>
      <c r="D68" s="2893" t="s">
        <v>136</v>
      </c>
      <c r="E68" s="2971">
        <f>IF(C68&lt;&gt;0,C68,IF(ISERROR(fan_number),C68,INDEX('Impeller C &amp; Run Data'!$A$1:$KO$300,fan_number,G68)))</f>
        <v>84.359573999729562</v>
      </c>
      <c r="F68" s="2893" t="s">
        <v>136</v>
      </c>
      <c r="G68" s="2906">
        <f>MATCH(B68,'Impeller C &amp; Run Data'!$AJ$16:$BB$16,0)+$G$10-1</f>
        <v>40</v>
      </c>
      <c r="H68" s="2934"/>
      <c r="I68" s="2975" t="s">
        <v>3881</v>
      </c>
      <c r="J68" s="2932">
        <v>0</v>
      </c>
      <c r="K68" s="2934" t="s">
        <v>131</v>
      </c>
      <c r="L68" s="2971">
        <f>IF(J68&lt;&gt;0,J68,IF(ISERROR(fan_number),J68,INDEX('Impeller C &amp; Run Data'!$A$1:$KO$300,fan_number,N68)))</f>
        <v>0</v>
      </c>
      <c r="M68" s="2934" t="s">
        <v>131</v>
      </c>
      <c r="N68" s="2906">
        <f>MATCH(I68,'Impeller C &amp; Run Data'!$AJ$16:$BB$16,0)+$G$10-1</f>
        <v>38</v>
      </c>
      <c r="P68" s="2975" t="s">
        <v>3872</v>
      </c>
      <c r="S68" s="2959">
        <v>1.25</v>
      </c>
      <c r="U68" s="2935"/>
    </row>
    <row r="69" spans="1:22" ht="14.45" customHeight="1">
      <c r="A69" s="2912"/>
      <c r="B69" s="2975" t="s">
        <v>4085</v>
      </c>
      <c r="C69" s="2932">
        <v>0</v>
      </c>
      <c r="D69" s="2934" t="s">
        <v>3475</v>
      </c>
      <c r="E69" s="3147">
        <f>IF(C69&lt;&gt;0,C69,IF(ISERROR(fan_number),C69,INDEX('Impeller C &amp; Run Data'!$A$1:$KO$300,fan_number,G69)))</f>
        <v>103.06600630720121</v>
      </c>
      <c r="F69" s="2934" t="s">
        <v>3475</v>
      </c>
      <c r="G69" s="2906">
        <f>MATCH(B69,'Impeller C &amp; Run Data'!$AJ$16:$BB$16,0)+$G$10-1</f>
        <v>41</v>
      </c>
      <c r="H69" s="2934"/>
      <c r="I69" s="2975" t="s">
        <v>3882</v>
      </c>
      <c r="J69" s="2932">
        <v>0</v>
      </c>
      <c r="K69" s="2893" t="s">
        <v>131</v>
      </c>
      <c r="L69" s="2971">
        <f>IF(J69&lt;&gt;0,J69,IF(ISERROR(fan_number),J69,INDEX('Impeller C &amp; Run Data'!$A$1:$KO$300,fan_number,N69)))</f>
        <v>0</v>
      </c>
      <c r="M69" s="2893" t="s">
        <v>131</v>
      </c>
      <c r="N69" s="2906">
        <f>MATCH(I69,'Impeller C &amp; Run Data'!$AJ$16:$BB$16,0)+$G$10-1</f>
        <v>39</v>
      </c>
      <c r="P69" s="2988"/>
      <c r="S69" s="2989"/>
      <c r="T69" s="2893"/>
      <c r="U69" s="2935"/>
    </row>
    <row r="70" spans="1:22" ht="14.45" customHeight="1">
      <c r="A70" s="2912"/>
      <c r="B70" s="2901" t="s">
        <v>4086</v>
      </c>
      <c r="D70" s="2934"/>
      <c r="E70" s="3147">
        <f>Impeller_W/12*(3*(d_2/1000)^2/4+(Impeller_W/(PI()/4*(d_2/1000)^2*steel_density))^2)</f>
        <v>59.780790277077244</v>
      </c>
      <c r="F70" s="2983" t="s">
        <v>3475</v>
      </c>
      <c r="G70" s="2990"/>
      <c r="H70" s="2934"/>
      <c r="P70" s="2988"/>
      <c r="S70" s="2989"/>
      <c r="T70" s="2893"/>
      <c r="U70" s="2935"/>
    </row>
    <row r="71" spans="1:22" ht="14.45" customHeight="1">
      <c r="A71" s="2912"/>
      <c r="G71" s="2991"/>
      <c r="H71" s="2934"/>
      <c r="I71" s="2975"/>
      <c r="L71" s="2893"/>
      <c r="N71" s="2991"/>
      <c r="P71" s="2988"/>
      <c r="S71" s="2989"/>
      <c r="T71" s="2893"/>
      <c r="U71" s="2935"/>
    </row>
    <row r="72" spans="1:22" ht="14.45" customHeight="1" thickBot="1">
      <c r="A72" s="2883"/>
      <c r="B72" s="2992"/>
      <c r="C72" s="2956"/>
      <c r="D72" s="2956"/>
      <c r="E72" s="2884"/>
      <c r="F72" s="2884"/>
      <c r="G72" s="2884"/>
      <c r="H72" s="2884"/>
      <c r="I72" s="2884"/>
      <c r="J72" s="2884"/>
      <c r="K72" s="2884"/>
      <c r="L72" s="2884"/>
      <c r="M72" s="2993"/>
      <c r="N72" s="2994"/>
      <c r="O72" s="2995"/>
      <c r="P72" s="2884"/>
      <c r="Q72" s="2884"/>
      <c r="R72" s="2884"/>
      <c r="S72" s="2884"/>
      <c r="T72" s="2884"/>
      <c r="U72" s="2885"/>
    </row>
    <row r="73" spans="1:22" ht="14.45" customHeight="1">
      <c r="B73" s="2984"/>
      <c r="C73" s="2891"/>
      <c r="D73" s="2891"/>
      <c r="N73" s="2964"/>
      <c r="V73" s="2988"/>
    </row>
    <row r="74" spans="1:22" ht="14.45" customHeight="1">
      <c r="B74" s="2984"/>
      <c r="C74" s="2891"/>
      <c r="D74" s="2891"/>
      <c r="N74" s="2964"/>
    </row>
    <row r="75" spans="1:22" ht="15">
      <c r="A75" s="2891" t="s">
        <v>75</v>
      </c>
      <c r="C75" s="3532">
        <v>0</v>
      </c>
      <c r="D75" s="3532"/>
      <c r="E75" s="2910" t="s">
        <v>136</v>
      </c>
      <c r="F75" s="2996" t="s">
        <v>76</v>
      </c>
      <c r="N75" s="2964"/>
    </row>
    <row r="76" spans="1:22" ht="15">
      <c r="A76" s="2891" t="s">
        <v>1731</v>
      </c>
      <c r="C76" s="3532">
        <v>0</v>
      </c>
      <c r="D76" s="3532"/>
      <c r="E76" s="2910" t="s">
        <v>136</v>
      </c>
      <c r="F76" s="2996" t="s">
        <v>76</v>
      </c>
      <c r="I76" s="2996"/>
      <c r="N76" s="2964"/>
    </row>
    <row r="77" spans="1:22" ht="15">
      <c r="A77" s="2997"/>
      <c r="B77" s="2998"/>
      <c r="C77" s="2997"/>
      <c r="D77" s="2997"/>
      <c r="E77" s="2997"/>
      <c r="F77" s="2997"/>
      <c r="N77" s="2964"/>
    </row>
    <row r="78" spans="1:22" ht="15">
      <c r="A78" s="2999" t="s">
        <v>20</v>
      </c>
      <c r="N78" s="2964"/>
    </row>
    <row r="79" spans="1:22" ht="15">
      <c r="A79" s="2891" t="s">
        <v>35</v>
      </c>
      <c r="C79" s="3531">
        <v>0</v>
      </c>
      <c r="D79" s="3531"/>
      <c r="E79" s="3531"/>
      <c r="M79" s="2964"/>
    </row>
    <row r="80" spans="1:22" ht="15">
      <c r="A80" s="2891" t="s">
        <v>21</v>
      </c>
      <c r="C80" s="3532">
        <v>0</v>
      </c>
      <c r="D80" s="3532"/>
      <c r="E80" s="2910" t="s">
        <v>136</v>
      </c>
      <c r="G80" s="2891" t="s">
        <v>1294</v>
      </c>
      <c r="H80" s="2971">
        <v>75</v>
      </c>
      <c r="I80" s="2910" t="s">
        <v>136</v>
      </c>
      <c r="N80" s="2964"/>
    </row>
    <row r="81" spans="1:28" ht="15">
      <c r="A81" s="2891" t="s">
        <v>4133</v>
      </c>
      <c r="C81" s="3000">
        <v>4</v>
      </c>
      <c r="D81" s="3000">
        <v>4</v>
      </c>
      <c r="F81" s="2971">
        <f>IF(C81&lt;&gt;0,C81,6)</f>
        <v>4</v>
      </c>
      <c r="G81" s="2971">
        <f>IF(D81&lt;&gt;0,D81,6)</f>
        <v>4</v>
      </c>
      <c r="N81" s="2964"/>
    </row>
    <row r="82" spans="1:28" ht="15">
      <c r="N82" s="2964"/>
    </row>
    <row r="83" spans="1:28" ht="15">
      <c r="A83" s="2873">
        <v>0</v>
      </c>
      <c r="N83" s="2964"/>
    </row>
    <row r="84" spans="1:28" ht="15">
      <c r="N84" s="2964"/>
    </row>
    <row r="85" spans="1:28" ht="15">
      <c r="N85" s="2964"/>
    </row>
    <row r="86" spans="1:28" ht="15">
      <c r="N86" s="2964"/>
      <c r="AB86" s="2984"/>
    </row>
    <row r="87" spans="1:28" ht="15">
      <c r="N87" s="2964"/>
      <c r="AB87" s="2984"/>
    </row>
    <row r="88" spans="1:28" ht="15">
      <c r="N88" s="2964"/>
    </row>
    <row r="89" spans="1:28" ht="15">
      <c r="N89" s="2964"/>
    </row>
    <row r="90" spans="1:28" ht="15">
      <c r="N90" s="2964"/>
    </row>
    <row r="91" spans="1:28" ht="15">
      <c r="N91" s="2964"/>
    </row>
    <row r="92" spans="1:28" ht="15">
      <c r="N92" s="2964"/>
      <c r="AB92" s="2984"/>
    </row>
    <row r="93" spans="1:28" ht="15">
      <c r="N93" s="2964"/>
    </row>
    <row r="94" spans="1:28" ht="15">
      <c r="N94" s="2964"/>
    </row>
    <row r="95" spans="1:28" ht="15">
      <c r="N95" s="2964"/>
    </row>
    <row r="96" spans="1:28" ht="15">
      <c r="N96" s="2964"/>
    </row>
    <row r="97" spans="1:28" ht="15">
      <c r="N97" s="2964"/>
    </row>
    <row r="98" spans="1:28" ht="15">
      <c r="A98" s="2873" t="s">
        <v>51</v>
      </c>
      <c r="F98" s="2971" t="e">
        <f ca="1">10^6*MPower/(Fan_Max_rpm*2*PI()/60)</f>
        <v>#REF!</v>
      </c>
      <c r="G98" s="2991" t="s">
        <v>189</v>
      </c>
      <c r="N98" s="2964"/>
    </row>
    <row r="99" spans="1:28" ht="15">
      <c r="A99" s="2873" t="s">
        <v>3477</v>
      </c>
      <c r="B99" s="2998"/>
      <c r="C99" s="3531">
        <v>0</v>
      </c>
      <c r="D99" s="3531"/>
      <c r="E99" s="2873" t="s">
        <v>134</v>
      </c>
      <c r="F99" s="2971">
        <f>IF(C99&lt;&gt;0,C99,IF(RPM&gt;3600*1.05,RPM,INDEX( Natural_max_rpm,1,MATCH(RPM,Natural_max_rpm,1)+IF(ISERROR(MATCH(RPM,Natural_max_rpm,0)),1,0))))</f>
        <v>3000</v>
      </c>
      <c r="G99" s="2873" t="s">
        <v>134</v>
      </c>
      <c r="H99" s="2873">
        <f>Fan_Max_rpm/60*2*PI()</f>
        <v>314.15926535897933</v>
      </c>
      <c r="I99" s="2873" t="s">
        <v>2670</v>
      </c>
      <c r="J99" s="2873">
        <f>H99/(2*PI())</f>
        <v>50</v>
      </c>
      <c r="K99" s="2873" t="s">
        <v>3478</v>
      </c>
    </row>
    <row r="100" spans="1:28" ht="14.45" customHeight="1">
      <c r="A100" s="2873" t="s">
        <v>3565</v>
      </c>
      <c r="B100" s="3001">
        <v>1</v>
      </c>
      <c r="C100" s="3531">
        <v>0</v>
      </c>
      <c r="D100" s="3531"/>
      <c r="E100" s="2873" t="s">
        <v>134</v>
      </c>
      <c r="F100" s="2971">
        <f>IF(C100&lt;&gt;0,C100,IF(Fan_Max_rpm&gt;$B$100*RPM,Fan_Max_rpm,$B$100*RPM))</f>
        <v>3000</v>
      </c>
      <c r="G100" s="2991" t="s">
        <v>134</v>
      </c>
      <c r="H100" s="2873">
        <f>min_Critical_V_rpm/60*2*PI()</f>
        <v>314.15926535897933</v>
      </c>
      <c r="I100" s="2873" t="s">
        <v>2670</v>
      </c>
      <c r="J100" s="2873">
        <f>H100/(2*PI())</f>
        <v>50</v>
      </c>
      <c r="K100" s="2873" t="s">
        <v>3478</v>
      </c>
      <c r="AB100" s="2984"/>
    </row>
    <row r="101" spans="1:28" ht="14.45" customHeight="1">
      <c r="A101" s="2873" t="s">
        <v>3564</v>
      </c>
      <c r="B101" s="3002">
        <v>1.1000000000000001</v>
      </c>
      <c r="C101" s="3531">
        <v>0</v>
      </c>
      <c r="D101" s="3531"/>
      <c r="E101" s="2873" t="s">
        <v>134</v>
      </c>
      <c r="F101" s="2971">
        <f>IF(C101&lt;&gt;0,C101,IF(Fan_Max_rpm&gt;$B$101*RPM,Fan_Max_rpm,$B$101*RPM))</f>
        <v>3245.0000000000005</v>
      </c>
      <c r="G101" s="2991" t="s">
        <v>134</v>
      </c>
      <c r="H101" s="2873">
        <f>min_Critical_B_rpm/60*2*PI()</f>
        <v>339.81560536329602</v>
      </c>
      <c r="I101" s="2873" t="s">
        <v>2670</v>
      </c>
      <c r="J101" s="2873">
        <f>H101/(2*PI())</f>
        <v>54.083333333333343</v>
      </c>
      <c r="K101" s="2873" t="s">
        <v>3478</v>
      </c>
      <c r="N101" s="2964"/>
    </row>
    <row r="102" spans="1:28" ht="14.45" customHeight="1">
      <c r="A102" s="2873" t="s">
        <v>3869</v>
      </c>
      <c r="B102" s="2997"/>
      <c r="C102" s="3533" t="e">
        <f ca="1">((Frame_Weight+T_House_weight+Impeller_W)*Wsafe+Mweight)</f>
        <v>#REF!</v>
      </c>
      <c r="D102" s="3533"/>
      <c r="E102" s="2991" t="s">
        <v>131</v>
      </c>
      <c r="F102" s="3003">
        <v>1.1000000000000001</v>
      </c>
      <c r="N102" s="2964"/>
      <c r="AB102" s="2984"/>
    </row>
    <row r="103" spans="1:28" ht="14.45" customHeight="1">
      <c r="A103" s="2873" t="s">
        <v>45</v>
      </c>
      <c r="B103" s="2873"/>
      <c r="C103" s="3530">
        <v>100</v>
      </c>
      <c r="D103" s="3530"/>
      <c r="E103" s="2873" t="s">
        <v>3476</v>
      </c>
      <c r="N103" s="2964"/>
      <c r="AB103" s="2984"/>
    </row>
    <row r="104" spans="1:28" ht="14.45" customHeight="1">
      <c r="A104" s="3004" t="s">
        <v>3890</v>
      </c>
      <c r="C104" s="3530">
        <v>210000</v>
      </c>
      <c r="D104" s="3530"/>
      <c r="E104" s="2873" t="s">
        <v>191</v>
      </c>
      <c r="F104" s="3005">
        <f>E_Nmm2*10^6</f>
        <v>210000000000</v>
      </c>
      <c r="G104" s="2873" t="s">
        <v>222</v>
      </c>
      <c r="N104" s="2964"/>
      <c r="AB104" s="2984"/>
    </row>
    <row r="105" spans="1:28" ht="14.45" customHeight="1">
      <c r="N105" s="2964"/>
      <c r="AB105" s="2984"/>
    </row>
    <row r="106" spans="1:28" ht="14.45" customHeight="1" thickBot="1">
      <c r="A106" s="3006" t="s">
        <v>4835</v>
      </c>
      <c r="B106" s="3006"/>
      <c r="C106" s="3006"/>
      <c r="D106" s="3006"/>
      <c r="E106" s="3006"/>
      <c r="F106" s="3006"/>
      <c r="G106" s="3006"/>
      <c r="H106" s="3006"/>
      <c r="I106" s="3006"/>
      <c r="J106" s="3006"/>
      <c r="K106" s="3006"/>
      <c r="L106" s="3006"/>
      <c r="M106" s="3006"/>
      <c r="N106" s="3006"/>
      <c r="O106" s="3006"/>
      <c r="P106" s="3006"/>
      <c r="Q106" s="3006"/>
      <c r="AB106" s="2984"/>
    </row>
    <row r="107" spans="1:28" ht="14.45" customHeight="1">
      <c r="A107" s="3007" t="s">
        <v>4834</v>
      </c>
      <c r="AB107" s="2984"/>
    </row>
    <row r="108" spans="1:28" ht="14.45" customHeight="1">
      <c r="A108" s="3007"/>
      <c r="AB108" s="2984"/>
    </row>
    <row r="109" spans="1:28" ht="14.45" customHeight="1">
      <c r="A109" s="3007"/>
      <c r="AB109" s="2984"/>
    </row>
  </sheetData>
  <mergeCells count="36">
    <mergeCell ref="R6:S6"/>
    <mergeCell ref="E12:F13"/>
    <mergeCell ref="C1:Q1"/>
    <mergeCell ref="P2:Q2"/>
    <mergeCell ref="G4:H5"/>
    <mergeCell ref="M6:N6"/>
    <mergeCell ref="K4:L5"/>
    <mergeCell ref="M4:N5"/>
    <mergeCell ref="B2:O2"/>
    <mergeCell ref="A4:B5"/>
    <mergeCell ref="C6:D6"/>
    <mergeCell ref="O4:O5"/>
    <mergeCell ref="P4:P5"/>
    <mergeCell ref="Q4:Q5"/>
    <mergeCell ref="AH4:AH5"/>
    <mergeCell ref="U3:V5"/>
    <mergeCell ref="S3:T3"/>
    <mergeCell ref="AF4:AG5"/>
    <mergeCell ref="I4:J5"/>
    <mergeCell ref="C104:D104"/>
    <mergeCell ref="C79:E79"/>
    <mergeCell ref="C75:D75"/>
    <mergeCell ref="C80:D80"/>
    <mergeCell ref="C103:D103"/>
    <mergeCell ref="C76:D76"/>
    <mergeCell ref="C99:D99"/>
    <mergeCell ref="C102:D102"/>
    <mergeCell ref="C101:D101"/>
    <mergeCell ref="C100:D100"/>
    <mergeCell ref="C22:D22"/>
    <mergeCell ref="E22:F22"/>
    <mergeCell ref="C63:U64"/>
    <mergeCell ref="B23:B25"/>
    <mergeCell ref="B42:U42"/>
    <mergeCell ref="B30:U30"/>
    <mergeCell ref="H22:I22"/>
  </mergeCells>
  <phoneticPr fontId="170" type="noConversion"/>
  <conditionalFormatting sqref="A3:Q4 A5:N5">
    <cfRule type="expression" dxfId="324" priority="2">
      <formula>MJ_2&gt;J_2_max</formula>
    </cfRule>
  </conditionalFormatting>
  <conditionalFormatting sqref="A4 G4:N5">
    <cfRule type="expression" dxfId="323" priority="1">
      <formula>MJ_2&gt;5</formula>
    </cfRule>
  </conditionalFormatting>
  <conditionalFormatting sqref="D17">
    <cfRule type="expression" dxfId="322" priority="3478">
      <formula>OR($D$17&lt;0,$D$17&gt;=360,AND($D$17&gt;180,$D$17&lt;270))</formula>
    </cfRule>
  </conditionalFormatting>
  <dataValidations xWindow="390" yWindow="391" count="9">
    <dataValidation type="list" allowBlank="1" showInputMessage="1" showErrorMessage="1" sqref="C79:E79">
      <formula1>Seals_Cooling</formula1>
    </dataValidation>
    <dataValidation type="list" allowBlank="1" showInputMessage="1" showErrorMessage="1" sqref="C20">
      <formula1>"2, 4, 6, 8, 0"</formula1>
    </dataValidation>
    <dataValidation type="list" allowBlank="1" showInputMessage="1" showErrorMessage="1" prompt="Select Version:_x000a_- International_x000a_- JB local - C_x000a_- Local - Desktop" sqref="B3">
      <formula1>"INTERNATIONAL, JB local - C, Local - Desktop"</formula1>
    </dataValidation>
    <dataValidation type="list" allowBlank="1" showInputMessage="1" showErrorMessage="1" sqref="E21">
      <formula1>"IE1,IE2,IE3"</formula1>
    </dataValidation>
    <dataValidation type="list" allowBlank="1" showInputMessage="1" showErrorMessage="1" sqref="C17">
      <formula1>"LG,RD"</formula1>
    </dataValidation>
    <dataValidation type="list" allowBlank="1" showInputMessage="1" showErrorMessage="1" sqref="M6:N10">
      <formula1>Fan_name_list</formula1>
    </dataValidation>
    <dataValidation type="list" allowBlank="1" showInputMessage="1" showErrorMessage="1" sqref="O6:O10">
      <formula1>"Reg,HS"</formula1>
    </dataValidation>
    <dataValidation type="list" allowBlank="1" showInputMessage="1" showErrorMessage="1" sqref="F10">
      <formula1>Possible_Imp_mat</formula1>
    </dataValidation>
    <dataValidation type="list" allowBlank="1" showInputMessage="1" showErrorMessage="1" sqref="G20">
      <formula1>"50,60"</formula1>
    </dataValidation>
  </dataValidations>
  <pageMargins left="0.70866141732283472" right="0.70866141732283472" top="0.74803149606299213" bottom="0.74803149606299213" header="0.31496062992125984" footer="0.31496062992125984"/>
  <pageSetup paperSize="9" scale="30" orientation="landscape" r:id="rId1"/>
  <headerFooter>
    <oddHeader>&amp;L&amp;G&amp;R&amp;D</oddHeader>
    <oddFooter>&amp;L&amp;12CONFIDENTIAL&amp;C&amp;12&amp;F / &amp;A&amp;Rpage &amp;P / &amp;N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45" r:id="rId5" name="Button 25">
              <controlPr defaultSize="0" print="0" autoFill="0" autoPict="0" macro="[0]!Data_Extract_Batch">
                <anchor moveWithCells="1" sizeWithCells="1">
                  <from>
                    <xdr:col>20</xdr:col>
                    <xdr:colOff>9525</xdr:colOff>
                    <xdr:row>0</xdr:row>
                    <xdr:rowOff>47625</xdr:rowOff>
                  </from>
                  <to>
                    <xdr:col>21</xdr:col>
                    <xdr:colOff>714375</xdr:colOff>
                    <xdr:row>1</xdr:row>
                    <xdr:rowOff>390525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U12"/>
  <sheetViews>
    <sheetView workbookViewId="0">
      <selection activeCell="K3" sqref="K3:U8"/>
    </sheetView>
  </sheetViews>
  <sheetFormatPr defaultRowHeight="12.75"/>
  <sheetData>
    <row r="3" spans="1:21">
      <c r="A3">
        <v>2906.2103689010814</v>
      </c>
      <c r="B3">
        <v>675.68469666465273</v>
      </c>
      <c r="C3">
        <v>6684.2838484724871</v>
      </c>
      <c r="D3">
        <v>21.000486681903329</v>
      </c>
      <c r="E3">
        <v>12.303612406381282</v>
      </c>
      <c r="F3">
        <v>0.58587272727272699</v>
      </c>
      <c r="K3" t="s">
        <v>4815</v>
      </c>
    </row>
    <row r="4" spans="1:21">
      <c r="B4">
        <v>652.22342247490781</v>
      </c>
      <c r="C4">
        <v>8147.0764008193637</v>
      </c>
      <c r="D4">
        <v>22.455065846017828</v>
      </c>
      <c r="E4">
        <v>14.475442700217043</v>
      </c>
      <c r="F4">
        <v>0.64464040317139004</v>
      </c>
      <c r="K4" t="s">
        <v>4816</v>
      </c>
      <c r="N4">
        <v>63</v>
      </c>
      <c r="O4">
        <v>125</v>
      </c>
      <c r="P4">
        <v>250</v>
      </c>
      <c r="Q4">
        <v>500</v>
      </c>
      <c r="R4">
        <v>1000</v>
      </c>
      <c r="S4">
        <v>2000</v>
      </c>
      <c r="T4">
        <v>4000</v>
      </c>
      <c r="U4" t="s">
        <v>4809</v>
      </c>
    </row>
    <row r="5" spans="1:21">
      <c r="B5">
        <v>617.50073667408537</v>
      </c>
      <c r="C5">
        <v>9590.494217373569</v>
      </c>
      <c r="D5">
        <v>23.727822614618042</v>
      </c>
      <c r="E5">
        <v>16.132888876338356</v>
      </c>
      <c r="F5">
        <v>0.67991442528735602</v>
      </c>
      <c r="K5" t="s">
        <v>4817</v>
      </c>
      <c r="N5">
        <v>98.22293356255814</v>
      </c>
      <c r="O5">
        <v>97.72293356255814</v>
      </c>
      <c r="P5">
        <v>100.02293356255814</v>
      </c>
      <c r="Q5">
        <v>101.52293356255814</v>
      </c>
      <c r="R5">
        <v>105.12293356255813</v>
      </c>
      <c r="S5">
        <v>97.022933562558137</v>
      </c>
      <c r="T5">
        <v>92.622933562558131</v>
      </c>
      <c r="U5">
        <v>108.8202950779261</v>
      </c>
    </row>
    <row r="6" spans="1:21">
      <c r="B6">
        <v>577.14734506772425</v>
      </c>
      <c r="C6">
        <v>10898.288883379055</v>
      </c>
      <c r="D6">
        <v>24.909668185461083</v>
      </c>
      <c r="E6">
        <v>17.13478629964785</v>
      </c>
      <c r="F6">
        <v>0.68787693886861301</v>
      </c>
      <c r="K6" t="s">
        <v>4818</v>
      </c>
      <c r="N6">
        <v>72.022933562558137</v>
      </c>
      <c r="O6">
        <v>81.622933562558131</v>
      </c>
      <c r="P6">
        <v>91.422933562558143</v>
      </c>
      <c r="Q6">
        <v>98.322933562558134</v>
      </c>
      <c r="R6">
        <v>105.12293356255813</v>
      </c>
      <c r="S6">
        <v>98.22293356255814</v>
      </c>
      <c r="T6">
        <v>93.622933562558131</v>
      </c>
      <c r="U6">
        <v>106.97413916985542</v>
      </c>
    </row>
    <row r="7" spans="1:21">
      <c r="B7">
        <v>525.5325418502855</v>
      </c>
      <c r="C7">
        <v>12302.95722834791</v>
      </c>
      <c r="D7">
        <v>26.546069745089913</v>
      </c>
      <c r="E7">
        <v>17.613383944078841</v>
      </c>
      <c r="F7">
        <v>0.66350251141552496</v>
      </c>
      <c r="K7" t="s">
        <v>4819</v>
      </c>
      <c r="M7">
        <v>-10.600464291504029</v>
      </c>
      <c r="N7">
        <v>61.422469271054112</v>
      </c>
      <c r="O7">
        <v>71.022469271054106</v>
      </c>
      <c r="P7">
        <v>80.822469271054118</v>
      </c>
      <c r="Q7">
        <v>87.722469271054109</v>
      </c>
      <c r="R7">
        <v>94.522469271054106</v>
      </c>
      <c r="S7">
        <v>87.622469271054115</v>
      </c>
      <c r="T7">
        <v>83.022469271054106</v>
      </c>
      <c r="U7">
        <v>96.373674878351409</v>
      </c>
    </row>
    <row r="8" spans="1:21">
      <c r="B8">
        <v>478.6099934707957</v>
      </c>
      <c r="C8">
        <v>13368.567696944974</v>
      </c>
      <c r="D8">
        <v>27.727915315932933</v>
      </c>
      <c r="E8">
        <v>17.43011757570682</v>
      </c>
      <c r="F8">
        <v>0.62861262295081999</v>
      </c>
      <c r="K8" t="s">
        <v>4820</v>
      </c>
      <c r="M8">
        <v>-6.1484708266531349</v>
      </c>
      <c r="N8">
        <v>53.374462735904999</v>
      </c>
      <c r="O8">
        <v>67.974462735904993</v>
      </c>
      <c r="P8">
        <v>82.774462735905004</v>
      </c>
      <c r="Q8">
        <v>89.674462735904996</v>
      </c>
      <c r="R8">
        <v>91.474462735904993</v>
      </c>
      <c r="S8">
        <v>84.574462735905001</v>
      </c>
      <c r="T8">
        <v>79.974462735904993</v>
      </c>
      <c r="U8">
        <v>94.645020104861828</v>
      </c>
    </row>
    <row r="9" spans="1:21">
      <c r="B9">
        <v>478.6099934707957</v>
      </c>
      <c r="C9">
        <v>13368.567696944974</v>
      </c>
      <c r="D9">
        <v>27.727915315932933</v>
      </c>
      <c r="E9">
        <v>17.43011757570682</v>
      </c>
      <c r="F9">
        <v>0.62861262295081999</v>
      </c>
    </row>
    <row r="10" spans="1:21">
      <c r="B10">
        <v>478.6099934707957</v>
      </c>
      <c r="C10">
        <v>13368.567696944974</v>
      </c>
      <c r="D10">
        <v>27.727915315932933</v>
      </c>
      <c r="E10">
        <v>17.43011757570682</v>
      </c>
      <c r="F10">
        <v>0.62861262295081999</v>
      </c>
    </row>
    <row r="11" spans="1:21">
      <c r="B11">
        <v>478.6099934707957</v>
      </c>
      <c r="C11">
        <v>13368.567696944974</v>
      </c>
      <c r="D11">
        <v>27.727915315932933</v>
      </c>
      <c r="E11">
        <v>17.43011757570682</v>
      </c>
      <c r="F11">
        <v>0.62861262295081999</v>
      </c>
    </row>
    <row r="12" spans="1:21">
      <c r="B12">
        <v>478.6099934707957</v>
      </c>
      <c r="C12">
        <v>13368.567696944974</v>
      </c>
      <c r="D12">
        <v>27.727915315932933</v>
      </c>
      <c r="E12">
        <v>17.43011757570682</v>
      </c>
      <c r="F12">
        <v>0.62861262295081999</v>
      </c>
    </row>
  </sheetData>
  <phoneticPr fontId="170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8"/>
  <dimension ref="A1:S89"/>
  <sheetViews>
    <sheetView topLeftCell="A13" zoomScaleNormal="100" zoomScaleSheetLayoutView="81" workbookViewId="0">
      <selection activeCell="G95" sqref="G95"/>
    </sheetView>
  </sheetViews>
  <sheetFormatPr defaultColWidth="8.85546875" defaultRowHeight="12"/>
  <cols>
    <col min="1" max="1" width="8.85546875" style="3429" customWidth="1"/>
    <col min="2" max="2" width="10.7109375" style="3429" customWidth="1"/>
    <col min="3" max="3" width="11.28515625" style="3429" customWidth="1"/>
    <col min="4" max="4" width="11.42578125" style="3429" customWidth="1"/>
    <col min="5" max="5" width="13.28515625" style="3429" customWidth="1"/>
    <col min="6" max="6" width="8.85546875" style="3429"/>
    <col min="7" max="7" width="10.5703125" style="3429" customWidth="1"/>
    <col min="8" max="8" width="11.7109375" style="3429" customWidth="1"/>
    <col min="9" max="10" width="8.85546875" style="3429"/>
    <col min="11" max="11" width="8.85546875" style="3473"/>
    <col min="12" max="12" width="9.5703125" style="3429" bestFit="1" customWidth="1"/>
    <col min="13" max="13" width="9.7109375" style="3429" bestFit="1" customWidth="1"/>
    <col min="14" max="14" width="12.42578125" style="3429" bestFit="1" customWidth="1"/>
    <col min="15" max="15" width="18.42578125" style="3429" bestFit="1" customWidth="1"/>
    <col min="16" max="16" width="14" style="3429" bestFit="1" customWidth="1"/>
    <col min="17" max="17" width="17.28515625" style="3429" bestFit="1" customWidth="1"/>
    <col min="18" max="16384" width="8.85546875" style="3429"/>
  </cols>
  <sheetData>
    <row r="1" spans="1:14">
      <c r="N1" s="3429" t="str">
        <f>E2&amp;" "&amp;E4&amp;" "&amp;C19&amp;" "&amp;C18</f>
        <v>10050 BP 120-35A 直连 RD135</v>
      </c>
    </row>
    <row r="2" spans="1:14">
      <c r="B2" s="3582" t="s">
        <v>4746</v>
      </c>
      <c r="C2" s="3582"/>
      <c r="D2" s="3582"/>
      <c r="E2" s="3583">
        <v>10050</v>
      </c>
      <c r="F2" s="3583"/>
      <c r="G2" s="3583"/>
    </row>
    <row r="3" spans="1:14">
      <c r="B3" s="3582" t="s">
        <v>4747</v>
      </c>
      <c r="C3" s="3582"/>
      <c r="D3" s="3582"/>
      <c r="E3" s="3584">
        <f ca="1">TODAY()</f>
        <v>43825</v>
      </c>
      <c r="F3" s="3583"/>
      <c r="G3" s="3583"/>
    </row>
    <row r="4" spans="1:14">
      <c r="B4" s="3582" t="s">
        <v>4788</v>
      </c>
      <c r="C4" s="3582"/>
      <c r="D4" s="3582"/>
      <c r="E4" s="3583" t="str">
        <f>'Select Drive &amp; Motor'!H6</f>
        <v>BP 120-35A</v>
      </c>
      <c r="F4" s="3583"/>
      <c r="G4" s="3583"/>
    </row>
    <row r="6" spans="1:14">
      <c r="A6" s="3431"/>
    </row>
    <row r="7" spans="1:14">
      <c r="B7" s="3585" t="s">
        <v>4748</v>
      </c>
      <c r="C7" s="3586"/>
      <c r="D7" s="3586"/>
      <c r="E7" s="3586"/>
      <c r="F7" s="3586"/>
      <c r="G7" s="3586"/>
      <c r="H7" s="3586"/>
    </row>
    <row r="8" spans="1:14">
      <c r="B8" s="3458" t="s">
        <v>4781</v>
      </c>
      <c r="C8" s="3458" t="s">
        <v>4782</v>
      </c>
      <c r="D8" s="3458" t="s">
        <v>4783</v>
      </c>
      <c r="E8" s="3459" t="s">
        <v>4771</v>
      </c>
      <c r="F8" s="3458" t="s">
        <v>4784</v>
      </c>
      <c r="G8" s="3460" t="s">
        <v>4749</v>
      </c>
      <c r="H8" s="3458" t="s">
        <v>4785</v>
      </c>
    </row>
    <row r="9" spans="1:14">
      <c r="B9" s="3438">
        <f>Q</f>
        <v>76898</v>
      </c>
      <c r="C9" s="3439"/>
      <c r="D9" s="3439">
        <f>Pt*g</f>
        <v>9195.8753697093325</v>
      </c>
      <c r="E9" s="3440">
        <f>rho_medium</f>
        <v>1.093</v>
      </c>
      <c r="F9" s="3439">
        <f>Temp</f>
        <v>50</v>
      </c>
      <c r="G9" s="3441">
        <f>'Select Drive &amp; Motor'!C21</f>
        <v>350</v>
      </c>
      <c r="H9" s="3439">
        <f>'Select Drive &amp; Motor'!I17</f>
        <v>0</v>
      </c>
    </row>
    <row r="11" spans="1:14">
      <c r="B11" s="3588" t="s">
        <v>4753</v>
      </c>
      <c r="C11" s="3589"/>
      <c r="D11" s="3589"/>
      <c r="E11" s="3589"/>
      <c r="F11" s="3589"/>
      <c r="G11" s="3589"/>
    </row>
    <row r="12" spans="1:14">
      <c r="B12" s="3461" t="s">
        <v>4786</v>
      </c>
      <c r="C12" s="3461" t="s">
        <v>4821</v>
      </c>
      <c r="D12" s="3461" t="s">
        <v>4787</v>
      </c>
      <c r="E12" s="3462" t="s">
        <v>4750</v>
      </c>
      <c r="F12" s="3462" t="s">
        <v>4751</v>
      </c>
      <c r="G12" s="3462" t="s">
        <v>4752</v>
      </c>
    </row>
    <row r="13" spans="1:14">
      <c r="B13" s="3430" t="e">
        <f ca="1">MPower</f>
        <v>#REF!</v>
      </c>
      <c r="C13" s="3456">
        <f>RPM</f>
        <v>2950</v>
      </c>
      <c r="D13" s="3430" t="e">
        <f ca="1">MPoles</f>
        <v>#REF!</v>
      </c>
      <c r="E13" s="3430" t="str">
        <f>'Select Drive &amp; Motor'!E21</f>
        <v>IE2</v>
      </c>
      <c r="F13" s="3430"/>
      <c r="G13" s="3430" t="e">
        <f ca="1">Mweight</f>
        <v>#REF!</v>
      </c>
    </row>
    <row r="14" spans="1:14">
      <c r="A14" s="3434" t="s">
        <v>4754</v>
      </c>
      <c r="B14" s="3590"/>
      <c r="C14" s="3591"/>
      <c r="D14" s="3591"/>
      <c r="E14" s="3591"/>
      <c r="F14" s="3591"/>
      <c r="G14" s="3592"/>
    </row>
    <row r="17" spans="2:7" ht="13.15" customHeight="1">
      <c r="B17" s="3587" t="s">
        <v>4755</v>
      </c>
      <c r="C17" s="3587"/>
      <c r="E17" s="3436" t="s">
        <v>4762</v>
      </c>
      <c r="G17" s="3457" t="s">
        <v>4764</v>
      </c>
    </row>
    <row r="18" spans="2:7">
      <c r="B18" s="3435" t="s">
        <v>4756</v>
      </c>
      <c r="C18" s="3430" t="str">
        <f>Fan_orientation&amp;H_rotation</f>
        <v>RD135</v>
      </c>
      <c r="E18" s="3445" t="e">
        <f ca="1">"~"&amp;(CEILING(System_weight_safe,50))</f>
        <v>#REF!</v>
      </c>
      <c r="G18" s="3432"/>
    </row>
    <row r="19" spans="2:7">
      <c r="B19" s="3435" t="s">
        <v>4757</v>
      </c>
      <c r="C19" s="3430" t="s">
        <v>4774</v>
      </c>
    </row>
    <row r="21" spans="2:7">
      <c r="B21" s="3587" t="s">
        <v>4758</v>
      </c>
      <c r="C21" s="3578"/>
      <c r="D21" s="3437" t="s">
        <v>4763</v>
      </c>
    </row>
    <row r="22" spans="2:7">
      <c r="B22" s="3433" t="s">
        <v>4759</v>
      </c>
      <c r="C22" s="3439"/>
      <c r="D22" s="3439" t="s">
        <v>4697</v>
      </c>
    </row>
    <row r="23" spans="2:7">
      <c r="B23" s="3433" t="s">
        <v>4760</v>
      </c>
      <c r="C23" s="3439"/>
      <c r="D23" s="3439" t="s">
        <v>4697</v>
      </c>
    </row>
    <row r="24" spans="2:7">
      <c r="B24" s="3433" t="s">
        <v>4761</v>
      </c>
      <c r="C24" s="3439"/>
      <c r="D24" s="3439" t="s">
        <v>4697</v>
      </c>
    </row>
    <row r="27" spans="2:7">
      <c r="B27" s="3587" t="s">
        <v>4765</v>
      </c>
      <c r="C27" s="3587"/>
    </row>
    <row r="28" spans="2:7">
      <c r="B28" s="3433" t="s">
        <v>4766</v>
      </c>
      <c r="C28" s="3463"/>
    </row>
    <row r="29" spans="2:7">
      <c r="B29" s="3433" t="s">
        <v>4767</v>
      </c>
      <c r="C29" s="3439"/>
    </row>
    <row r="30" spans="2:7">
      <c r="B30" s="3433" t="s">
        <v>4768</v>
      </c>
      <c r="C30" s="3439"/>
    </row>
    <row r="31" spans="2:7">
      <c r="B31" s="3433" t="s">
        <v>4769</v>
      </c>
      <c r="C31" s="3439"/>
    </row>
    <row r="32" spans="2:7">
      <c r="B32" s="3433" t="s">
        <v>4770</v>
      </c>
      <c r="C32" s="3439"/>
    </row>
    <row r="46" spans="2:10">
      <c r="H46" s="3581" t="s">
        <v>4807</v>
      </c>
      <c r="I46" s="3581"/>
      <c r="J46" s="3581"/>
    </row>
    <row r="47" spans="2:10">
      <c r="B47" s="3482" t="s">
        <v>4789</v>
      </c>
      <c r="C47" s="3593" t="s">
        <v>4790</v>
      </c>
      <c r="D47" s="3593"/>
      <c r="E47" s="3475">
        <v>0</v>
      </c>
      <c r="F47" s="3429" t="s">
        <v>222</v>
      </c>
    </row>
    <row r="48" spans="2:10">
      <c r="C48" s="3594" t="s">
        <v>4791</v>
      </c>
      <c r="D48" s="3594"/>
      <c r="E48" s="3475">
        <v>601.44275215377502</v>
      </c>
      <c r="F48" s="3429" t="s">
        <v>222</v>
      </c>
    </row>
    <row r="49" spans="1:19">
      <c r="C49" s="3594" t="s">
        <v>4792</v>
      </c>
      <c r="D49" s="3594"/>
      <c r="E49" s="3475">
        <v>5897.231664079527</v>
      </c>
      <c r="F49" s="3429" t="s">
        <v>222</v>
      </c>
    </row>
    <row r="50" spans="1:19">
      <c r="C50" s="3593" t="s">
        <v>4793</v>
      </c>
      <c r="D50" s="3593"/>
      <c r="E50" s="3475">
        <f>D9</f>
        <v>9195.8753697093325</v>
      </c>
      <c r="F50" s="3429" t="s">
        <v>222</v>
      </c>
    </row>
    <row r="51" spans="1:19">
      <c r="C51" s="3593" t="s">
        <v>4794</v>
      </c>
      <c r="D51" s="3593"/>
      <c r="E51" s="3475">
        <f>F9</f>
        <v>50</v>
      </c>
      <c r="F51" s="3429" t="s">
        <v>2</v>
      </c>
    </row>
    <row r="52" spans="1:19">
      <c r="C52" s="3593" t="s">
        <v>4795</v>
      </c>
      <c r="D52" s="3593"/>
      <c r="E52" s="3475">
        <f>B9</f>
        <v>76898</v>
      </c>
      <c r="F52" s="3429" t="s">
        <v>3866</v>
      </c>
    </row>
    <row r="53" spans="1:19">
      <c r="C53" s="3593" t="s">
        <v>4796</v>
      </c>
      <c r="D53" s="3593"/>
      <c r="E53" s="3475">
        <f>C13</f>
        <v>2950</v>
      </c>
      <c r="F53" s="3429" t="s">
        <v>4805</v>
      </c>
      <c r="M53" s="3429">
        <v>0</v>
      </c>
    </row>
    <row r="54" spans="1:19">
      <c r="C54" s="3593" t="s">
        <v>1065</v>
      </c>
      <c r="D54" s="3593"/>
      <c r="E54" s="3480">
        <f>E9</f>
        <v>1.093</v>
      </c>
      <c r="F54" s="3429" t="s">
        <v>1800</v>
      </c>
    </row>
    <row r="55" spans="1:19">
      <c r="C55" s="3593" t="s">
        <v>4797</v>
      </c>
      <c r="D55" s="3593"/>
      <c r="E55" s="3476">
        <f>'Select Drive &amp; Motor'!K17</f>
        <v>0.65011541835608422</v>
      </c>
    </row>
    <row r="56" spans="1:19" ht="12.75" thickBot="1">
      <c r="C56" s="3593" t="s">
        <v>4798</v>
      </c>
      <c r="D56" s="3593"/>
      <c r="E56" s="3481">
        <f>'Select Drive &amp; Motor'!C21</f>
        <v>350</v>
      </c>
      <c r="F56" s="3429" t="s">
        <v>4806</v>
      </c>
    </row>
    <row r="57" spans="1:19">
      <c r="A57" s="3464"/>
      <c r="B57" s="3465"/>
      <c r="C57" s="3465"/>
      <c r="D57" s="3465"/>
      <c r="E57" s="3465"/>
      <c r="F57" s="3465"/>
      <c r="G57" s="3465"/>
      <c r="H57" s="3465"/>
      <c r="I57" s="3466"/>
      <c r="J57" s="3468"/>
      <c r="L57" s="3485" t="s">
        <v>4799</v>
      </c>
      <c r="M57" s="3486" t="s">
        <v>4812</v>
      </c>
      <c r="N57" s="3486" t="s">
        <v>4800</v>
      </c>
      <c r="O57" s="3485" t="s">
        <v>4801</v>
      </c>
      <c r="P57" s="3485" t="s">
        <v>4802</v>
      </c>
      <c r="Q57" s="3485" t="s">
        <v>4803</v>
      </c>
      <c r="S57" s="3474" t="s">
        <v>4804</v>
      </c>
    </row>
    <row r="58" spans="1:19">
      <c r="A58" s="3467"/>
      <c r="B58" s="3468"/>
      <c r="C58" s="3468"/>
      <c r="D58" s="3468"/>
      <c r="E58" s="3468"/>
      <c r="F58" s="3468"/>
      <c r="G58" s="3468"/>
      <c r="H58" s="3468"/>
      <c r="I58" s="3469"/>
      <c r="J58" s="3468"/>
      <c r="L58" s="3487">
        <f>DATA!A3</f>
        <v>2906.2103689010814</v>
      </c>
      <c r="M58" s="3488">
        <f>DATA!B3</f>
        <v>675.68469666465273</v>
      </c>
      <c r="N58" s="3488">
        <f>DATA!C3</f>
        <v>6684.2838484724871</v>
      </c>
      <c r="O58" s="3489">
        <f>DATA!D3</f>
        <v>21.000486681903329</v>
      </c>
      <c r="P58" s="3489">
        <f>DATA!E3</f>
        <v>12.303612406381282</v>
      </c>
      <c r="Q58" s="3490">
        <f>DATA!F3</f>
        <v>0.58587272727272699</v>
      </c>
      <c r="S58" s="3479">
        <f t="shared" ref="S58:S67" si="0">M58*g</f>
        <v>6626.4398201902495</v>
      </c>
    </row>
    <row r="59" spans="1:19">
      <c r="A59" s="3467"/>
      <c r="B59" s="3468"/>
      <c r="C59" s="3468"/>
      <c r="D59" s="3468"/>
      <c r="E59" s="3468"/>
      <c r="F59" s="3468"/>
      <c r="G59" s="3468"/>
      <c r="H59" s="3468"/>
      <c r="I59" s="3469"/>
      <c r="J59" s="3468"/>
      <c r="L59" s="3491"/>
      <c r="M59" s="3488">
        <f>DATA!B4</f>
        <v>652.22342247490781</v>
      </c>
      <c r="N59" s="3488">
        <f>DATA!C4</f>
        <v>8147.0764008193637</v>
      </c>
      <c r="O59" s="3489">
        <f>DATA!D4</f>
        <v>22.455065846017828</v>
      </c>
      <c r="P59" s="3489">
        <f>DATA!E4</f>
        <v>14.475442700217043</v>
      </c>
      <c r="Q59" s="3490">
        <f>DATA!F4</f>
        <v>0.64464040317139004</v>
      </c>
      <c r="S59" s="3479">
        <f t="shared" si="0"/>
        <v>6396.3551042114213</v>
      </c>
    </row>
    <row r="60" spans="1:19">
      <c r="A60" s="3467"/>
      <c r="B60" s="3468"/>
      <c r="C60" s="3468"/>
      <c r="D60" s="3468"/>
      <c r="E60" s="3468"/>
      <c r="F60" s="3468"/>
      <c r="G60" s="3468"/>
      <c r="H60" s="3468"/>
      <c r="I60" s="3469"/>
      <c r="J60" s="3468"/>
      <c r="L60" s="3491"/>
      <c r="M60" s="3488">
        <f>DATA!B5</f>
        <v>617.50073667408537</v>
      </c>
      <c r="N60" s="3488">
        <f>DATA!C5</f>
        <v>9590.494217373569</v>
      </c>
      <c r="O60" s="3489">
        <f>DATA!D5</f>
        <v>23.727822614618042</v>
      </c>
      <c r="P60" s="3489">
        <f>DATA!E5</f>
        <v>16.132888876338356</v>
      </c>
      <c r="Q60" s="3490">
        <f>DATA!F5</f>
        <v>0.67991442528735602</v>
      </c>
      <c r="S60" s="3479">
        <f t="shared" si="0"/>
        <v>6055.8297245627555</v>
      </c>
    </row>
    <row r="61" spans="1:19">
      <c r="A61" s="3467"/>
      <c r="B61" s="3468"/>
      <c r="C61" s="3468"/>
      <c r="D61" s="3468"/>
      <c r="E61" s="3468"/>
      <c r="F61" s="3468"/>
      <c r="G61" s="3468"/>
      <c r="H61" s="3468"/>
      <c r="I61" s="3469"/>
      <c r="J61" s="3468"/>
      <c r="L61" s="3491"/>
      <c r="M61" s="3488">
        <f>DATA!B6</f>
        <v>577.14734506772425</v>
      </c>
      <c r="N61" s="3488">
        <f>DATA!C6</f>
        <v>10898.288883379055</v>
      </c>
      <c r="O61" s="3489">
        <f>DATA!D6</f>
        <v>24.909668185461083</v>
      </c>
      <c r="P61" s="3489">
        <f>DATA!E6</f>
        <v>17.13478629964785</v>
      </c>
      <c r="Q61" s="3490">
        <f>DATA!F6</f>
        <v>0.68787693886861301</v>
      </c>
      <c r="S61" s="3479">
        <f t="shared" si="0"/>
        <v>5660.0840130791721</v>
      </c>
    </row>
    <row r="62" spans="1:19">
      <c r="A62" s="3467"/>
      <c r="B62" s="3468"/>
      <c r="C62" s="3468"/>
      <c r="D62" s="3468"/>
      <c r="E62" s="3468"/>
      <c r="F62" s="3468"/>
      <c r="G62" s="3468"/>
      <c r="H62" s="3468"/>
      <c r="I62" s="3469"/>
      <c r="J62" s="3468"/>
      <c r="L62" s="3491"/>
      <c r="M62" s="3488">
        <f>DATA!B7</f>
        <v>525.5325418502855</v>
      </c>
      <c r="N62" s="3488">
        <f>DATA!C7</f>
        <v>12302.95722834791</v>
      </c>
      <c r="O62" s="3489">
        <f>DATA!D7</f>
        <v>26.546069745089913</v>
      </c>
      <c r="P62" s="3489">
        <f>DATA!E7</f>
        <v>17.613383944078841</v>
      </c>
      <c r="Q62" s="3490">
        <f>DATA!F7</f>
        <v>0.66350251141552496</v>
      </c>
      <c r="S62" s="3479">
        <f t="shared" si="0"/>
        <v>5153.8976379257501</v>
      </c>
    </row>
    <row r="63" spans="1:19">
      <c r="A63" s="3467"/>
      <c r="B63" s="3468"/>
      <c r="C63" s="3468"/>
      <c r="D63" s="3468"/>
      <c r="E63" s="3468"/>
      <c r="F63" s="3468"/>
      <c r="G63" s="3468"/>
      <c r="H63" s="3468"/>
      <c r="I63" s="3469"/>
      <c r="J63" s="3468"/>
      <c r="L63" s="3491"/>
      <c r="M63" s="3488">
        <f>DATA!B8</f>
        <v>478.6099934707957</v>
      </c>
      <c r="N63" s="3488">
        <f>DATA!C8</f>
        <v>13368.567696944974</v>
      </c>
      <c r="O63" s="3489">
        <f>DATA!D8</f>
        <v>27.727915315932933</v>
      </c>
      <c r="P63" s="3489">
        <f>DATA!E8</f>
        <v>17.43011757570682</v>
      </c>
      <c r="Q63" s="3490">
        <f>DATA!F8</f>
        <v>0.62861262295081999</v>
      </c>
      <c r="S63" s="3479">
        <f t="shared" si="0"/>
        <v>4693.7282059680938</v>
      </c>
    </row>
    <row r="64" spans="1:19">
      <c r="A64" s="3467"/>
      <c r="B64" s="3468"/>
      <c r="C64" s="3468"/>
      <c r="D64" s="3468"/>
      <c r="E64" s="3468"/>
      <c r="F64" s="3468"/>
      <c r="G64" s="3468"/>
      <c r="H64" s="3468"/>
      <c r="I64" s="3469"/>
      <c r="J64" s="3468"/>
      <c r="L64" s="3491"/>
      <c r="M64" s="3488">
        <f>DATA!B9</f>
        <v>478.6099934707957</v>
      </c>
      <c r="N64" s="3488">
        <f>DATA!C9</f>
        <v>13368.567696944974</v>
      </c>
      <c r="O64" s="3489">
        <f>DATA!D9</f>
        <v>27.727915315932933</v>
      </c>
      <c r="P64" s="3489">
        <f>DATA!E9</f>
        <v>17.43011757570682</v>
      </c>
      <c r="Q64" s="3490">
        <f>DATA!F9</f>
        <v>0.62861262295081999</v>
      </c>
      <c r="S64" s="3479">
        <f t="shared" si="0"/>
        <v>4693.7282059680938</v>
      </c>
    </row>
    <row r="65" spans="1:19">
      <c r="A65" s="3467"/>
      <c r="B65" s="3468"/>
      <c r="C65" s="3468"/>
      <c r="D65" s="3468"/>
      <c r="E65" s="3468"/>
      <c r="F65" s="3468"/>
      <c r="G65" s="3468"/>
      <c r="H65" s="3468"/>
      <c r="I65" s="3469"/>
      <c r="J65" s="3468"/>
      <c r="L65" s="3491"/>
      <c r="M65" s="3488">
        <f>DATA!B10</f>
        <v>478.6099934707957</v>
      </c>
      <c r="N65" s="3488">
        <f>DATA!C10</f>
        <v>13368.567696944974</v>
      </c>
      <c r="O65" s="3489">
        <f>DATA!D10</f>
        <v>27.727915315932933</v>
      </c>
      <c r="P65" s="3489">
        <f>DATA!E10</f>
        <v>17.43011757570682</v>
      </c>
      <c r="Q65" s="3490">
        <f>DATA!F10</f>
        <v>0.62861262295081999</v>
      </c>
      <c r="S65" s="3479">
        <f t="shared" si="0"/>
        <v>4693.7282059680938</v>
      </c>
    </row>
    <row r="66" spans="1:19">
      <c r="A66" s="3467"/>
      <c r="B66" s="3468"/>
      <c r="C66" s="3468"/>
      <c r="D66" s="3468"/>
      <c r="E66" s="3468"/>
      <c r="F66" s="3468"/>
      <c r="G66" s="3468"/>
      <c r="H66" s="3468"/>
      <c r="I66" s="3469"/>
      <c r="J66" s="3468"/>
      <c r="L66" s="3491"/>
      <c r="M66" s="3488">
        <f>DATA!B11</f>
        <v>478.6099934707957</v>
      </c>
      <c r="N66" s="3488">
        <f>DATA!C11</f>
        <v>13368.567696944974</v>
      </c>
      <c r="O66" s="3489">
        <f>DATA!D11</f>
        <v>27.727915315932933</v>
      </c>
      <c r="P66" s="3489">
        <f>DATA!E11</f>
        <v>17.43011757570682</v>
      </c>
      <c r="Q66" s="3490">
        <f>DATA!F11</f>
        <v>0.62861262295081999</v>
      </c>
      <c r="S66" s="3479">
        <f t="shared" si="0"/>
        <v>4693.7282059680938</v>
      </c>
    </row>
    <row r="67" spans="1:19">
      <c r="A67" s="3467"/>
      <c r="B67" s="3468"/>
      <c r="C67" s="3468"/>
      <c r="D67" s="3468"/>
      <c r="E67" s="3468"/>
      <c r="F67" s="3468"/>
      <c r="G67" s="3468"/>
      <c r="H67" s="3468"/>
      <c r="I67" s="3469"/>
      <c r="J67" s="3468"/>
      <c r="L67" s="3491"/>
      <c r="M67" s="3488">
        <f>DATA!B12</f>
        <v>478.6099934707957</v>
      </c>
      <c r="N67" s="3488">
        <f>DATA!C12</f>
        <v>13368.567696944974</v>
      </c>
      <c r="O67" s="3489">
        <f>DATA!D12</f>
        <v>27.727915315932933</v>
      </c>
      <c r="P67" s="3489">
        <f>DATA!E12</f>
        <v>17.43011757570682</v>
      </c>
      <c r="Q67" s="3490">
        <f>DATA!F12</f>
        <v>0.62861262295081999</v>
      </c>
      <c r="S67" s="3479">
        <f t="shared" si="0"/>
        <v>4693.7282059680938</v>
      </c>
    </row>
    <row r="68" spans="1:19">
      <c r="A68" s="3467"/>
      <c r="B68" s="3468"/>
      <c r="C68" s="3468"/>
      <c r="D68" s="3468"/>
      <c r="E68" s="3468"/>
      <c r="F68" s="3468"/>
      <c r="G68" s="3468"/>
      <c r="H68" s="3468"/>
      <c r="I68" s="3469"/>
      <c r="J68" s="3468"/>
    </row>
    <row r="69" spans="1:19">
      <c r="A69" s="3467"/>
      <c r="B69" s="3468"/>
      <c r="C69" s="3468"/>
      <c r="D69" s="3468"/>
      <c r="E69" s="3468"/>
      <c r="F69" s="3468"/>
      <c r="G69" s="3468"/>
      <c r="H69" s="3468"/>
      <c r="I69" s="3469"/>
      <c r="J69" s="3468"/>
    </row>
    <row r="70" spans="1:19">
      <c r="A70" s="3467"/>
      <c r="B70" s="3468"/>
      <c r="C70" s="3468"/>
      <c r="D70" s="3468"/>
      <c r="E70" s="3468"/>
      <c r="F70" s="3468"/>
      <c r="G70" s="3468"/>
      <c r="H70" s="3468"/>
      <c r="I70" s="3469"/>
      <c r="J70" s="3468"/>
    </row>
    <row r="71" spans="1:19">
      <c r="A71" s="3467"/>
      <c r="B71" s="3468"/>
      <c r="C71" s="3468"/>
      <c r="D71" s="3468"/>
      <c r="E71" s="3468"/>
      <c r="F71" s="3468"/>
      <c r="G71" s="3468"/>
      <c r="H71" s="3468"/>
      <c r="I71" s="3469"/>
      <c r="J71" s="3468"/>
    </row>
    <row r="72" spans="1:19">
      <c r="A72" s="3467"/>
      <c r="B72" s="3468"/>
      <c r="C72" s="3468"/>
      <c r="D72" s="3468"/>
      <c r="E72" s="3468"/>
      <c r="F72" s="3468"/>
      <c r="G72" s="3468"/>
      <c r="H72" s="3468"/>
      <c r="I72" s="3469"/>
      <c r="J72" s="3468"/>
    </row>
    <row r="73" spans="1:19">
      <c r="A73" s="3467"/>
      <c r="B73" s="3468"/>
      <c r="C73" s="3468"/>
      <c r="D73" s="3468"/>
      <c r="E73" s="3468"/>
      <c r="F73" s="3468"/>
      <c r="G73" s="3468"/>
      <c r="H73" s="3468"/>
      <c r="I73" s="3469"/>
      <c r="J73" s="3468"/>
    </row>
    <row r="74" spans="1:19">
      <c r="A74" s="3467"/>
      <c r="B74" s="3468"/>
      <c r="C74" s="3468"/>
      <c r="D74" s="3468"/>
      <c r="E74" s="3468"/>
      <c r="F74" s="3468"/>
      <c r="G74" s="3468"/>
      <c r="H74" s="3468"/>
      <c r="I74" s="3469"/>
      <c r="J74" s="3468"/>
    </row>
    <row r="75" spans="1:19">
      <c r="A75" s="3467"/>
      <c r="B75" s="3468"/>
      <c r="C75" s="3468"/>
      <c r="D75" s="3468"/>
      <c r="E75" s="3468"/>
      <c r="F75" s="3468"/>
      <c r="G75" s="3468"/>
      <c r="H75" s="3468"/>
      <c r="I75" s="3469"/>
      <c r="J75" s="3468"/>
    </row>
    <row r="76" spans="1:19">
      <c r="A76" s="3467"/>
      <c r="B76" s="3468"/>
      <c r="C76" s="3468"/>
      <c r="D76" s="3468"/>
      <c r="E76" s="3468"/>
      <c r="F76" s="3468"/>
      <c r="G76" s="3468"/>
      <c r="H76" s="3468"/>
      <c r="I76" s="3469"/>
      <c r="J76" s="3468"/>
    </row>
    <row r="77" spans="1:19">
      <c r="A77" s="3467"/>
      <c r="B77" s="3468"/>
      <c r="C77" s="3468"/>
      <c r="D77" s="3468"/>
      <c r="E77" s="3468"/>
      <c r="F77" s="3468"/>
      <c r="G77" s="3468"/>
      <c r="H77" s="3468"/>
      <c r="I77" s="3469"/>
      <c r="J77" s="3468"/>
    </row>
    <row r="78" spans="1:19">
      <c r="A78" s="3467"/>
      <c r="B78" s="3468"/>
      <c r="C78" s="3468"/>
      <c r="D78" s="3468"/>
      <c r="E78" s="3468"/>
      <c r="F78" s="3468"/>
      <c r="G78" s="3468"/>
      <c r="H78" s="3468"/>
      <c r="I78" s="3469"/>
      <c r="J78" s="3468"/>
    </row>
    <row r="79" spans="1:19">
      <c r="A79" s="3467"/>
      <c r="B79" s="3468"/>
      <c r="C79" s="3468"/>
      <c r="D79" s="3468"/>
      <c r="E79" s="3468"/>
      <c r="F79" s="3468"/>
      <c r="G79" s="3468"/>
      <c r="H79" s="3468"/>
      <c r="I79" s="3469"/>
      <c r="J79" s="3468"/>
    </row>
    <row r="80" spans="1:19">
      <c r="A80" s="3467"/>
      <c r="B80" s="3468"/>
      <c r="C80" s="3468"/>
      <c r="D80" s="3468"/>
      <c r="E80" s="3468"/>
      <c r="F80" s="3468"/>
      <c r="G80" s="3468"/>
      <c r="H80" s="3468"/>
      <c r="I80" s="3469"/>
      <c r="J80" s="3468"/>
    </row>
    <row r="81" spans="1:10">
      <c r="A81" s="3467"/>
      <c r="B81" s="3468"/>
      <c r="C81" s="3468"/>
      <c r="D81" s="3468"/>
      <c r="E81" s="3468"/>
      <c r="F81" s="3468"/>
      <c r="G81" s="3468"/>
      <c r="H81" s="3468"/>
      <c r="I81" s="3469"/>
      <c r="J81" s="3468"/>
    </row>
    <row r="82" spans="1:10">
      <c r="A82" s="3467"/>
      <c r="B82" s="3468"/>
      <c r="C82" s="3468"/>
      <c r="D82" s="3468"/>
      <c r="E82" s="3468"/>
      <c r="F82" s="3468"/>
      <c r="G82" s="3468"/>
      <c r="H82" s="3468"/>
      <c r="I82" s="3469"/>
      <c r="J82" s="3468"/>
    </row>
    <row r="83" spans="1:10" ht="12.75" thickBot="1">
      <c r="A83" s="3470"/>
      <c r="B83" s="3471"/>
      <c r="C83" s="3471"/>
      <c r="D83" s="3471"/>
      <c r="E83" s="3471"/>
      <c r="F83" s="3471"/>
      <c r="G83" s="3471"/>
      <c r="H83" s="3471"/>
      <c r="I83" s="3472"/>
      <c r="J83" s="3468"/>
    </row>
    <row r="85" spans="1:10">
      <c r="A85" s="3577" t="s">
        <v>4808</v>
      </c>
      <c r="B85" s="3578"/>
    </row>
    <row r="88" spans="1:10">
      <c r="A88" s="3579" t="s">
        <v>4810</v>
      </c>
      <c r="B88" s="3580"/>
      <c r="C88" s="3439">
        <v>63</v>
      </c>
      <c r="D88" s="3439">
        <v>125</v>
      </c>
      <c r="E88" s="3439">
        <v>250</v>
      </c>
      <c r="F88" s="3439">
        <v>500</v>
      </c>
      <c r="G88" s="3439">
        <v>1000</v>
      </c>
      <c r="H88" s="3439">
        <v>2000</v>
      </c>
      <c r="I88" s="3439">
        <v>4000</v>
      </c>
      <c r="J88" s="3439" t="s">
        <v>4809</v>
      </c>
    </row>
    <row r="89" spans="1:10">
      <c r="A89" s="3579" t="s">
        <v>4811</v>
      </c>
      <c r="B89" s="3580"/>
      <c r="C89" s="3492">
        <f>DATA!N8</f>
        <v>53.374462735904999</v>
      </c>
      <c r="D89" s="3492">
        <f>DATA!O8</f>
        <v>67.974462735904993</v>
      </c>
      <c r="E89" s="3492">
        <f>DATA!P8</f>
        <v>82.774462735905004</v>
      </c>
      <c r="F89" s="3492">
        <f>DATA!Q8</f>
        <v>89.674462735904996</v>
      </c>
      <c r="G89" s="3492">
        <f>DATA!R8</f>
        <v>91.474462735904993</v>
      </c>
      <c r="H89" s="3492">
        <f>DATA!S8</f>
        <v>84.574462735905001</v>
      </c>
      <c r="I89" s="3492">
        <f>DATA!T8</f>
        <v>79.974462735904993</v>
      </c>
      <c r="J89" s="3492">
        <f>DATA!U8</f>
        <v>94.645020104861828</v>
      </c>
    </row>
  </sheetData>
  <mergeCells count="26">
    <mergeCell ref="C52:D52"/>
    <mergeCell ref="C53:D53"/>
    <mergeCell ref="C54:D54"/>
    <mergeCell ref="C55:D55"/>
    <mergeCell ref="C56:D56"/>
    <mergeCell ref="C47:D47"/>
    <mergeCell ref="C48:D48"/>
    <mergeCell ref="C49:D49"/>
    <mergeCell ref="C50:D50"/>
    <mergeCell ref="C51:D51"/>
    <mergeCell ref="A85:B85"/>
    <mergeCell ref="A88:B88"/>
    <mergeCell ref="A89:B89"/>
    <mergeCell ref="H46:J46"/>
    <mergeCell ref="B2:D2"/>
    <mergeCell ref="B3:D3"/>
    <mergeCell ref="E2:G2"/>
    <mergeCell ref="E3:G3"/>
    <mergeCell ref="B7:H7"/>
    <mergeCell ref="B4:D4"/>
    <mergeCell ref="E4:G4"/>
    <mergeCell ref="B27:C27"/>
    <mergeCell ref="B11:G11"/>
    <mergeCell ref="B14:G14"/>
    <mergeCell ref="B17:C17"/>
    <mergeCell ref="B21:C21"/>
  </mergeCells>
  <phoneticPr fontId="170" type="noConversion"/>
  <dataValidations disablePrompts="1" count="1">
    <dataValidation type="list" allowBlank="1" showInputMessage="1" showErrorMessage="1" sqref="C19">
      <formula1>"直连,联轴器,皮带"</formula1>
    </dataValidation>
  </dataValidations>
  <pageMargins left="0.7" right="0.7" top="0.75" bottom="0.75" header="0.3" footer="0.3"/>
  <pageSetup paperSize="9" scale="74" orientation="portrait" r:id="rId1"/>
  <rowBreaks count="2" manualBreakCount="2">
    <brk id="45" max="9" man="1"/>
    <brk id="101" max="9" man="1"/>
  </rowBreaks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/>
  <dimension ref="A1:S89"/>
  <sheetViews>
    <sheetView topLeftCell="A61" zoomScaleNormal="100" zoomScaleSheetLayoutView="81" workbookViewId="0">
      <selection activeCell="D93" sqref="D93"/>
    </sheetView>
  </sheetViews>
  <sheetFormatPr defaultColWidth="8.85546875" defaultRowHeight="12"/>
  <cols>
    <col min="1" max="1" width="8.85546875" style="3429" customWidth="1"/>
    <col min="2" max="2" width="10.7109375" style="3429" customWidth="1"/>
    <col min="3" max="3" width="11.28515625" style="3429" customWidth="1"/>
    <col min="4" max="4" width="11.42578125" style="3429" customWidth="1"/>
    <col min="5" max="5" width="13.28515625" style="3429" customWidth="1"/>
    <col min="6" max="6" width="8.85546875" style="3429"/>
    <col min="7" max="7" width="10.5703125" style="3429" customWidth="1"/>
    <col min="8" max="8" width="11.7109375" style="3429" customWidth="1"/>
    <col min="9" max="10" width="8.85546875" style="3429"/>
    <col min="11" max="11" width="8.85546875" style="3473"/>
    <col min="12" max="12" width="9.5703125" style="3429" bestFit="1" customWidth="1"/>
    <col min="13" max="13" width="9.7109375" style="3429" bestFit="1" customWidth="1"/>
    <col min="14" max="14" width="12.42578125" style="3429" bestFit="1" customWidth="1"/>
    <col min="15" max="15" width="18.42578125" style="3429" bestFit="1" customWidth="1"/>
    <col min="16" max="16" width="14" style="3429" bestFit="1" customWidth="1"/>
    <col min="17" max="17" width="17.28515625" style="3429" bestFit="1" customWidth="1"/>
    <col min="18" max="16384" width="8.85546875" style="3429"/>
  </cols>
  <sheetData>
    <row r="1" spans="1:14">
      <c r="N1" s="3429" t="str">
        <f>E2&amp;" "&amp;E4&amp;" "&amp;C19&amp;" "&amp;C18</f>
        <v>10050 BP 120-35A 联轴器 RD135</v>
      </c>
    </row>
    <row r="2" spans="1:14">
      <c r="B2" s="3582" t="s">
        <v>4746</v>
      </c>
      <c r="C2" s="3582"/>
      <c r="D2" s="3582"/>
      <c r="E2" s="3583">
        <v>10050</v>
      </c>
      <c r="F2" s="3583"/>
      <c r="G2" s="3583"/>
    </row>
    <row r="3" spans="1:14">
      <c r="B3" s="3582" t="s">
        <v>4747</v>
      </c>
      <c r="C3" s="3582"/>
      <c r="D3" s="3582"/>
      <c r="E3" s="3584">
        <f ca="1">TODAY()</f>
        <v>43825</v>
      </c>
      <c r="F3" s="3583"/>
      <c r="G3" s="3583"/>
    </row>
    <row r="4" spans="1:14">
      <c r="B4" s="3582" t="s">
        <v>4788</v>
      </c>
      <c r="C4" s="3582"/>
      <c r="D4" s="3582"/>
      <c r="E4" s="3583" t="str">
        <f>'Select Drive &amp; Motor'!H6</f>
        <v>BP 120-35A</v>
      </c>
      <c r="F4" s="3583"/>
      <c r="G4" s="3583"/>
    </row>
    <row r="6" spans="1:14">
      <c r="A6" s="3431"/>
    </row>
    <row r="7" spans="1:14">
      <c r="B7" s="3585" t="s">
        <v>4748</v>
      </c>
      <c r="C7" s="3586"/>
      <c r="D7" s="3586"/>
      <c r="E7" s="3586"/>
      <c r="F7" s="3586"/>
      <c r="G7" s="3586"/>
      <c r="H7" s="3586"/>
    </row>
    <row r="8" spans="1:14">
      <c r="B8" s="3458" t="s">
        <v>4781</v>
      </c>
      <c r="C8" s="3458" t="s">
        <v>4782</v>
      </c>
      <c r="D8" s="3458" t="s">
        <v>4783</v>
      </c>
      <c r="E8" s="3459" t="s">
        <v>4771</v>
      </c>
      <c r="F8" s="3458" t="s">
        <v>4784</v>
      </c>
      <c r="G8" s="3460" t="s">
        <v>4749</v>
      </c>
      <c r="H8" s="3458" t="s">
        <v>4785</v>
      </c>
    </row>
    <row r="9" spans="1:14">
      <c r="B9" s="3438">
        <f>Q</f>
        <v>76898</v>
      </c>
      <c r="C9" s="3439"/>
      <c r="D9" s="3439">
        <f>Pt*g</f>
        <v>9195.8753697093325</v>
      </c>
      <c r="E9" s="3440">
        <f>rho_medium</f>
        <v>1.093</v>
      </c>
      <c r="F9" s="3439">
        <f>Temp</f>
        <v>50</v>
      </c>
      <c r="G9" s="3441">
        <f>'Select Drive &amp; Motor'!C21</f>
        <v>350</v>
      </c>
      <c r="H9" s="3439">
        <f>'Select Drive &amp; Motor'!I17</f>
        <v>0</v>
      </c>
    </row>
    <row r="11" spans="1:14">
      <c r="B11" s="3588" t="s">
        <v>4753</v>
      </c>
      <c r="C11" s="3589"/>
      <c r="D11" s="3589"/>
      <c r="E11" s="3589"/>
      <c r="F11" s="3589"/>
      <c r="G11" s="3589"/>
    </row>
    <row r="12" spans="1:14">
      <c r="B12" s="3461" t="s">
        <v>4786</v>
      </c>
      <c r="C12" s="3461" t="s">
        <v>4821</v>
      </c>
      <c r="D12" s="3461" t="s">
        <v>4787</v>
      </c>
      <c r="E12" s="3462" t="s">
        <v>4750</v>
      </c>
      <c r="F12" s="3462" t="s">
        <v>4751</v>
      </c>
      <c r="G12" s="3462" t="s">
        <v>4752</v>
      </c>
    </row>
    <row r="13" spans="1:14">
      <c r="B13" s="3478" t="e">
        <f ca="1">MPower</f>
        <v>#REF!</v>
      </c>
      <c r="C13" s="3456">
        <f>RPM</f>
        <v>2950</v>
      </c>
      <c r="D13" s="3478" t="e">
        <f ca="1">MPoles</f>
        <v>#REF!</v>
      </c>
      <c r="E13" s="3478" t="str">
        <f>'Select Drive &amp; Motor'!E21</f>
        <v>IE2</v>
      </c>
      <c r="F13" s="3478"/>
      <c r="G13" s="3478" t="e">
        <f ca="1">Mweight</f>
        <v>#REF!</v>
      </c>
    </row>
    <row r="14" spans="1:14">
      <c r="A14" s="3434" t="s">
        <v>4754</v>
      </c>
      <c r="B14" s="3590"/>
      <c r="C14" s="3591"/>
      <c r="D14" s="3591"/>
      <c r="E14" s="3591"/>
      <c r="F14" s="3591"/>
      <c r="G14" s="3592"/>
    </row>
    <row r="17" spans="2:8" ht="13.15" customHeight="1">
      <c r="B17" s="3587" t="s">
        <v>4755</v>
      </c>
      <c r="C17" s="3587"/>
      <c r="E17" s="3436" t="s">
        <v>4762</v>
      </c>
      <c r="G17" s="3457" t="s">
        <v>4764</v>
      </c>
    </row>
    <row r="18" spans="2:8">
      <c r="B18" s="3435" t="s">
        <v>4756</v>
      </c>
      <c r="C18" s="3478" t="str">
        <f>Fan_orientation&amp;H_rotation</f>
        <v>RD135</v>
      </c>
      <c r="E18" s="3445" t="e">
        <f ca="1">"~"&amp;(CEILING(System_weight_safe,50))</f>
        <v>#REF!</v>
      </c>
      <c r="G18" s="3432"/>
    </row>
    <row r="19" spans="2:8">
      <c r="B19" s="3435" t="s">
        <v>4757</v>
      </c>
      <c r="C19" s="3478" t="s">
        <v>4822</v>
      </c>
    </row>
    <row r="21" spans="2:8">
      <c r="B21" s="3587" t="s">
        <v>4758</v>
      </c>
      <c r="C21" s="3578"/>
      <c r="D21" s="3477" t="s">
        <v>4763</v>
      </c>
      <c r="G21" s="3587" t="s">
        <v>4823</v>
      </c>
      <c r="H21" s="3587"/>
    </row>
    <row r="22" spans="2:8">
      <c r="B22" s="3433" t="s">
        <v>4759</v>
      </c>
      <c r="C22" s="3439"/>
      <c r="D22" s="3439" t="s">
        <v>4697</v>
      </c>
      <c r="G22" s="3433" t="s">
        <v>4824</v>
      </c>
      <c r="H22" s="3493" t="e">
        <f>'Coupling driven'!G11</f>
        <v>#N/A</v>
      </c>
    </row>
    <row r="23" spans="2:8">
      <c r="B23" s="3433" t="s">
        <v>4760</v>
      </c>
      <c r="C23" s="3439"/>
      <c r="D23" s="3439" t="s">
        <v>4697</v>
      </c>
      <c r="G23" s="3433" t="s">
        <v>4825</v>
      </c>
      <c r="H23" s="3493">
        <f>Chosen_REG</f>
        <v>0</v>
      </c>
    </row>
    <row r="24" spans="2:8">
      <c r="B24" s="3433" t="s">
        <v>4761</v>
      </c>
      <c r="C24" s="3439"/>
      <c r="D24" s="3439" t="s">
        <v>4697</v>
      </c>
      <c r="G24" s="3433" t="s">
        <v>4827</v>
      </c>
      <c r="H24" s="3494" t="e">
        <f>'Coupling driven'!G12</f>
        <v>#N/A</v>
      </c>
    </row>
    <row r="25" spans="2:8">
      <c r="G25" s="3587" t="s">
        <v>4826</v>
      </c>
      <c r="H25" s="3587"/>
    </row>
    <row r="26" spans="2:8">
      <c r="G26" s="3433" t="s">
        <v>4824</v>
      </c>
      <c r="H26" s="3493">
        <f>'Coupling driven'!G64</f>
        <v>0</v>
      </c>
    </row>
    <row r="27" spans="2:8">
      <c r="B27" s="3587" t="s">
        <v>4765</v>
      </c>
      <c r="C27" s="3587"/>
      <c r="G27" s="3433" t="s">
        <v>4825</v>
      </c>
      <c r="H27" s="3493">
        <f>Chosen_PDN</f>
        <v>0</v>
      </c>
    </row>
    <row r="28" spans="2:8">
      <c r="B28" s="3433" t="s">
        <v>4766</v>
      </c>
      <c r="C28" s="3463"/>
      <c r="G28" s="3433" t="s">
        <v>4827</v>
      </c>
      <c r="H28" s="3494" t="e">
        <f>'Coupling driven'!G65</f>
        <v>#N/A</v>
      </c>
    </row>
    <row r="29" spans="2:8">
      <c r="B29" s="3433" t="s">
        <v>4767</v>
      </c>
      <c r="C29" s="3439"/>
    </row>
    <row r="30" spans="2:8">
      <c r="B30" s="3433" t="s">
        <v>4768</v>
      </c>
      <c r="C30" s="3439"/>
    </row>
    <row r="31" spans="2:8">
      <c r="B31" s="3433" t="s">
        <v>4769</v>
      </c>
      <c r="C31" s="3439"/>
    </row>
    <row r="32" spans="2:8">
      <c r="B32" s="3433" t="s">
        <v>4770</v>
      </c>
      <c r="C32" s="3439"/>
    </row>
    <row r="46" spans="2:10">
      <c r="H46" s="3581" t="s">
        <v>4807</v>
      </c>
      <c r="I46" s="3581"/>
      <c r="J46" s="3581"/>
    </row>
    <row r="47" spans="2:10">
      <c r="B47" s="3482" t="s">
        <v>4789</v>
      </c>
      <c r="C47" s="3593" t="s">
        <v>4790</v>
      </c>
      <c r="D47" s="3593"/>
      <c r="E47" s="3475">
        <v>0</v>
      </c>
      <c r="F47" s="3429" t="s">
        <v>222</v>
      </c>
    </row>
    <row r="48" spans="2:10">
      <c r="C48" s="3594" t="s">
        <v>4791</v>
      </c>
      <c r="D48" s="3594"/>
      <c r="E48" s="3475">
        <v>601.44275215377502</v>
      </c>
      <c r="F48" s="3429" t="s">
        <v>222</v>
      </c>
    </row>
    <row r="49" spans="1:19">
      <c r="C49" s="3594" t="s">
        <v>4792</v>
      </c>
      <c r="D49" s="3594"/>
      <c r="E49" s="3475">
        <v>5897.231664079527</v>
      </c>
      <c r="F49" s="3429" t="s">
        <v>222</v>
      </c>
    </row>
    <row r="50" spans="1:19">
      <c r="C50" s="3593" t="s">
        <v>4793</v>
      </c>
      <c r="D50" s="3593"/>
      <c r="E50" s="3475">
        <f>D9</f>
        <v>9195.8753697093325</v>
      </c>
      <c r="F50" s="3429" t="s">
        <v>222</v>
      </c>
    </row>
    <row r="51" spans="1:19">
      <c r="C51" s="3593" t="s">
        <v>4794</v>
      </c>
      <c r="D51" s="3593"/>
      <c r="E51" s="3475">
        <f>F9</f>
        <v>50</v>
      </c>
      <c r="F51" s="3429" t="s">
        <v>2</v>
      </c>
    </row>
    <row r="52" spans="1:19">
      <c r="C52" s="3593" t="s">
        <v>4795</v>
      </c>
      <c r="D52" s="3593"/>
      <c r="E52" s="3475">
        <f>B9</f>
        <v>76898</v>
      </c>
      <c r="F52" s="3429" t="s">
        <v>3866</v>
      </c>
    </row>
    <row r="53" spans="1:19">
      <c r="C53" s="3593" t="s">
        <v>4796</v>
      </c>
      <c r="D53" s="3593"/>
      <c r="E53" s="3475">
        <f>C13</f>
        <v>2950</v>
      </c>
      <c r="F53" s="3429" t="s">
        <v>4805</v>
      </c>
      <c r="M53" s="3429">
        <v>0</v>
      </c>
    </row>
    <row r="54" spans="1:19">
      <c r="C54" s="3593" t="s">
        <v>1065</v>
      </c>
      <c r="D54" s="3593"/>
      <c r="E54" s="3480">
        <f>E9</f>
        <v>1.093</v>
      </c>
      <c r="F54" s="3429" t="s">
        <v>1800</v>
      </c>
    </row>
    <row r="55" spans="1:19">
      <c r="C55" s="3593" t="s">
        <v>4797</v>
      </c>
      <c r="D55" s="3593"/>
      <c r="E55" s="3476">
        <f>'Select Drive &amp; Motor'!K17</f>
        <v>0.65011541835608422</v>
      </c>
    </row>
    <row r="56" spans="1:19" ht="12.75" thickBot="1">
      <c r="C56" s="3593" t="s">
        <v>4798</v>
      </c>
      <c r="D56" s="3593"/>
      <c r="E56" s="3481">
        <f>'Select Drive &amp; Motor'!C21</f>
        <v>350</v>
      </c>
      <c r="F56" s="3429" t="s">
        <v>4806</v>
      </c>
    </row>
    <row r="57" spans="1:19">
      <c r="A57" s="3464"/>
      <c r="B57" s="3465"/>
      <c r="C57" s="3465"/>
      <c r="D57" s="3465"/>
      <c r="E57" s="3465"/>
      <c r="F57" s="3465"/>
      <c r="G57" s="3465"/>
      <c r="H57" s="3465"/>
      <c r="I57" s="3466"/>
      <c r="J57" s="3468"/>
      <c r="L57" s="3485" t="s">
        <v>4799</v>
      </c>
      <c r="M57" s="3486" t="s">
        <v>4812</v>
      </c>
      <c r="N57" s="3486" t="s">
        <v>4800</v>
      </c>
      <c r="O57" s="3485" t="s">
        <v>4801</v>
      </c>
      <c r="P57" s="3485" t="s">
        <v>4802</v>
      </c>
      <c r="Q57" s="3485" t="s">
        <v>4803</v>
      </c>
      <c r="S57" s="3474" t="s">
        <v>4804</v>
      </c>
    </row>
    <row r="58" spans="1:19">
      <c r="A58" s="3467"/>
      <c r="B58" s="3468"/>
      <c r="C58" s="3468"/>
      <c r="D58" s="3468"/>
      <c r="E58" s="3468"/>
      <c r="F58" s="3468"/>
      <c r="G58" s="3468"/>
      <c r="H58" s="3468"/>
      <c r="I58" s="3469"/>
      <c r="J58" s="3468"/>
      <c r="L58" s="3487">
        <f>DATA!A3</f>
        <v>2906.2103689010814</v>
      </c>
      <c r="M58" s="3488">
        <f>DATA!B3</f>
        <v>675.68469666465273</v>
      </c>
      <c r="N58" s="3488">
        <f>DATA!C3</f>
        <v>6684.2838484724871</v>
      </c>
      <c r="O58" s="3489">
        <f>DATA!D3</f>
        <v>21.000486681903329</v>
      </c>
      <c r="P58" s="3489">
        <f>DATA!E3</f>
        <v>12.303612406381282</v>
      </c>
      <c r="Q58" s="3490">
        <f>DATA!F3</f>
        <v>0.58587272727272699</v>
      </c>
      <c r="S58" s="3479">
        <f t="shared" ref="S58:S67" si="0">M58*g</f>
        <v>6626.4398201902495</v>
      </c>
    </row>
    <row r="59" spans="1:19">
      <c r="A59" s="3467"/>
      <c r="B59" s="3468"/>
      <c r="C59" s="3468"/>
      <c r="D59" s="3468"/>
      <c r="E59" s="3468"/>
      <c r="F59" s="3468"/>
      <c r="G59" s="3468"/>
      <c r="H59" s="3468"/>
      <c r="I59" s="3469"/>
      <c r="J59" s="3468"/>
      <c r="L59" s="3491"/>
      <c r="M59" s="3488">
        <f>DATA!B4</f>
        <v>652.22342247490781</v>
      </c>
      <c r="N59" s="3488">
        <f>DATA!C4</f>
        <v>8147.0764008193637</v>
      </c>
      <c r="O59" s="3489">
        <f>DATA!D4</f>
        <v>22.455065846017828</v>
      </c>
      <c r="P59" s="3489">
        <f>DATA!E4</f>
        <v>14.475442700217043</v>
      </c>
      <c r="Q59" s="3490">
        <f>DATA!F4</f>
        <v>0.64464040317139004</v>
      </c>
      <c r="S59" s="3479">
        <f t="shared" si="0"/>
        <v>6396.3551042114213</v>
      </c>
    </row>
    <row r="60" spans="1:19">
      <c r="A60" s="3467"/>
      <c r="B60" s="3468"/>
      <c r="C60" s="3468"/>
      <c r="D60" s="3468"/>
      <c r="E60" s="3468"/>
      <c r="F60" s="3468"/>
      <c r="G60" s="3468"/>
      <c r="H60" s="3468"/>
      <c r="I60" s="3469"/>
      <c r="J60" s="3468"/>
      <c r="L60" s="3491"/>
      <c r="M60" s="3488">
        <f>DATA!B5</f>
        <v>617.50073667408537</v>
      </c>
      <c r="N60" s="3488">
        <f>DATA!C5</f>
        <v>9590.494217373569</v>
      </c>
      <c r="O60" s="3489">
        <f>DATA!D5</f>
        <v>23.727822614618042</v>
      </c>
      <c r="P60" s="3489">
        <f>DATA!E5</f>
        <v>16.132888876338356</v>
      </c>
      <c r="Q60" s="3490">
        <f>DATA!F5</f>
        <v>0.67991442528735602</v>
      </c>
      <c r="S60" s="3479">
        <f t="shared" si="0"/>
        <v>6055.8297245627555</v>
      </c>
    </row>
    <row r="61" spans="1:19">
      <c r="A61" s="3467"/>
      <c r="B61" s="3468"/>
      <c r="C61" s="3468"/>
      <c r="D61" s="3468"/>
      <c r="E61" s="3468"/>
      <c r="F61" s="3468"/>
      <c r="G61" s="3468"/>
      <c r="H61" s="3468"/>
      <c r="I61" s="3469"/>
      <c r="J61" s="3468"/>
      <c r="L61" s="3491"/>
      <c r="M61" s="3488">
        <f>DATA!B6</f>
        <v>577.14734506772425</v>
      </c>
      <c r="N61" s="3488">
        <f>DATA!C6</f>
        <v>10898.288883379055</v>
      </c>
      <c r="O61" s="3489">
        <f>DATA!D6</f>
        <v>24.909668185461083</v>
      </c>
      <c r="P61" s="3489">
        <f>DATA!E6</f>
        <v>17.13478629964785</v>
      </c>
      <c r="Q61" s="3490">
        <f>DATA!F6</f>
        <v>0.68787693886861301</v>
      </c>
      <c r="S61" s="3479">
        <f t="shared" si="0"/>
        <v>5660.0840130791721</v>
      </c>
    </row>
    <row r="62" spans="1:19">
      <c r="A62" s="3467"/>
      <c r="B62" s="3468"/>
      <c r="C62" s="3468"/>
      <c r="D62" s="3468"/>
      <c r="E62" s="3468"/>
      <c r="F62" s="3468"/>
      <c r="G62" s="3468"/>
      <c r="H62" s="3468"/>
      <c r="I62" s="3469"/>
      <c r="J62" s="3468"/>
      <c r="L62" s="3491"/>
      <c r="M62" s="3488">
        <f>DATA!B7</f>
        <v>525.5325418502855</v>
      </c>
      <c r="N62" s="3488">
        <f>DATA!C7</f>
        <v>12302.95722834791</v>
      </c>
      <c r="O62" s="3489">
        <f>DATA!D7</f>
        <v>26.546069745089913</v>
      </c>
      <c r="P62" s="3489">
        <f>DATA!E7</f>
        <v>17.613383944078841</v>
      </c>
      <c r="Q62" s="3490">
        <f>DATA!F7</f>
        <v>0.66350251141552496</v>
      </c>
      <c r="S62" s="3479">
        <f t="shared" si="0"/>
        <v>5153.8976379257501</v>
      </c>
    </row>
    <row r="63" spans="1:19">
      <c r="A63" s="3467"/>
      <c r="B63" s="3468"/>
      <c r="C63" s="3468"/>
      <c r="D63" s="3468"/>
      <c r="E63" s="3468"/>
      <c r="F63" s="3468"/>
      <c r="G63" s="3468"/>
      <c r="H63" s="3468"/>
      <c r="I63" s="3469"/>
      <c r="J63" s="3468"/>
      <c r="L63" s="3491"/>
      <c r="M63" s="3488">
        <f>DATA!B8</f>
        <v>478.6099934707957</v>
      </c>
      <c r="N63" s="3488">
        <f>DATA!C8</f>
        <v>13368.567696944974</v>
      </c>
      <c r="O63" s="3489">
        <f>DATA!D8</f>
        <v>27.727915315932933</v>
      </c>
      <c r="P63" s="3489">
        <f>DATA!E8</f>
        <v>17.43011757570682</v>
      </c>
      <c r="Q63" s="3490">
        <f>DATA!F8</f>
        <v>0.62861262295081999</v>
      </c>
      <c r="S63" s="3479">
        <f t="shared" si="0"/>
        <v>4693.7282059680938</v>
      </c>
    </row>
    <row r="64" spans="1:19">
      <c r="A64" s="3467"/>
      <c r="B64" s="3468"/>
      <c r="C64" s="3468"/>
      <c r="D64" s="3468"/>
      <c r="E64" s="3468"/>
      <c r="F64" s="3468"/>
      <c r="G64" s="3468"/>
      <c r="H64" s="3468"/>
      <c r="I64" s="3469"/>
      <c r="J64" s="3468"/>
      <c r="L64" s="3491"/>
      <c r="M64" s="3488">
        <f>DATA!B9</f>
        <v>478.6099934707957</v>
      </c>
      <c r="N64" s="3488">
        <f>DATA!C9</f>
        <v>13368.567696944974</v>
      </c>
      <c r="O64" s="3489">
        <f>DATA!D9</f>
        <v>27.727915315932933</v>
      </c>
      <c r="P64" s="3489">
        <f>DATA!E9</f>
        <v>17.43011757570682</v>
      </c>
      <c r="Q64" s="3490">
        <f>DATA!F9</f>
        <v>0.62861262295081999</v>
      </c>
      <c r="S64" s="3479">
        <f t="shared" si="0"/>
        <v>4693.7282059680938</v>
      </c>
    </row>
    <row r="65" spans="1:19">
      <c r="A65" s="3467"/>
      <c r="B65" s="3468"/>
      <c r="C65" s="3468"/>
      <c r="D65" s="3468"/>
      <c r="E65" s="3468"/>
      <c r="F65" s="3468"/>
      <c r="G65" s="3468"/>
      <c r="H65" s="3468"/>
      <c r="I65" s="3469"/>
      <c r="J65" s="3468"/>
      <c r="L65" s="3491"/>
      <c r="M65" s="3488">
        <f>DATA!B10</f>
        <v>478.6099934707957</v>
      </c>
      <c r="N65" s="3488">
        <f>DATA!C10</f>
        <v>13368.567696944974</v>
      </c>
      <c r="O65" s="3489">
        <f>DATA!D10</f>
        <v>27.727915315932933</v>
      </c>
      <c r="P65" s="3489">
        <f>DATA!E10</f>
        <v>17.43011757570682</v>
      </c>
      <c r="Q65" s="3490">
        <f>DATA!F10</f>
        <v>0.62861262295081999</v>
      </c>
      <c r="S65" s="3479">
        <f t="shared" si="0"/>
        <v>4693.7282059680938</v>
      </c>
    </row>
    <row r="66" spans="1:19">
      <c r="A66" s="3467"/>
      <c r="B66" s="3468"/>
      <c r="C66" s="3468"/>
      <c r="D66" s="3468"/>
      <c r="E66" s="3468"/>
      <c r="F66" s="3468"/>
      <c r="G66" s="3468"/>
      <c r="H66" s="3468"/>
      <c r="I66" s="3469"/>
      <c r="J66" s="3468"/>
      <c r="L66" s="3491"/>
      <c r="M66" s="3488">
        <f>DATA!B11</f>
        <v>478.6099934707957</v>
      </c>
      <c r="N66" s="3488">
        <f>DATA!C11</f>
        <v>13368.567696944974</v>
      </c>
      <c r="O66" s="3489">
        <f>DATA!D11</f>
        <v>27.727915315932933</v>
      </c>
      <c r="P66" s="3489">
        <f>DATA!E11</f>
        <v>17.43011757570682</v>
      </c>
      <c r="Q66" s="3490">
        <f>DATA!F11</f>
        <v>0.62861262295081999</v>
      </c>
      <c r="S66" s="3479">
        <f t="shared" si="0"/>
        <v>4693.7282059680938</v>
      </c>
    </row>
    <row r="67" spans="1:19">
      <c r="A67" s="3467"/>
      <c r="B67" s="3468"/>
      <c r="C67" s="3468"/>
      <c r="D67" s="3468"/>
      <c r="E67" s="3468"/>
      <c r="F67" s="3468"/>
      <c r="G67" s="3468"/>
      <c r="H67" s="3468"/>
      <c r="I67" s="3469"/>
      <c r="J67" s="3468"/>
      <c r="L67" s="3491"/>
      <c r="M67" s="3488">
        <f>DATA!B12</f>
        <v>478.6099934707957</v>
      </c>
      <c r="N67" s="3488">
        <f>DATA!C12</f>
        <v>13368.567696944974</v>
      </c>
      <c r="O67" s="3489">
        <f>DATA!D12</f>
        <v>27.727915315932933</v>
      </c>
      <c r="P67" s="3489">
        <f>DATA!E12</f>
        <v>17.43011757570682</v>
      </c>
      <c r="Q67" s="3490">
        <f>DATA!F12</f>
        <v>0.62861262295081999</v>
      </c>
      <c r="S67" s="3479">
        <f t="shared" si="0"/>
        <v>4693.7282059680938</v>
      </c>
    </row>
    <row r="68" spans="1:19">
      <c r="A68" s="3467"/>
      <c r="B68" s="3468"/>
      <c r="C68" s="3468"/>
      <c r="D68" s="3468"/>
      <c r="E68" s="3468"/>
      <c r="F68" s="3468"/>
      <c r="G68" s="3468"/>
      <c r="H68" s="3468"/>
      <c r="I68" s="3469"/>
      <c r="J68" s="3468"/>
    </row>
    <row r="69" spans="1:19">
      <c r="A69" s="3467"/>
      <c r="B69" s="3468"/>
      <c r="C69" s="3468"/>
      <c r="D69" s="3468"/>
      <c r="E69" s="3468"/>
      <c r="F69" s="3468"/>
      <c r="G69" s="3468"/>
      <c r="H69" s="3468"/>
      <c r="I69" s="3469"/>
      <c r="J69" s="3468"/>
    </row>
    <row r="70" spans="1:19">
      <c r="A70" s="3467"/>
      <c r="B70" s="3468"/>
      <c r="C70" s="3468"/>
      <c r="D70" s="3468"/>
      <c r="E70" s="3468"/>
      <c r="F70" s="3468"/>
      <c r="G70" s="3468"/>
      <c r="H70" s="3468"/>
      <c r="I70" s="3469"/>
      <c r="J70" s="3468"/>
    </row>
    <row r="71" spans="1:19">
      <c r="A71" s="3467"/>
      <c r="B71" s="3468"/>
      <c r="C71" s="3468"/>
      <c r="D71" s="3468"/>
      <c r="E71" s="3468"/>
      <c r="F71" s="3468"/>
      <c r="G71" s="3468"/>
      <c r="H71" s="3468"/>
      <c r="I71" s="3469"/>
      <c r="J71" s="3468"/>
    </row>
    <row r="72" spans="1:19">
      <c r="A72" s="3467"/>
      <c r="B72" s="3468"/>
      <c r="C72" s="3468"/>
      <c r="D72" s="3468"/>
      <c r="E72" s="3468"/>
      <c r="F72" s="3468"/>
      <c r="G72" s="3468"/>
      <c r="H72" s="3468"/>
      <c r="I72" s="3469"/>
      <c r="J72" s="3468"/>
    </row>
    <row r="73" spans="1:19">
      <c r="A73" s="3467"/>
      <c r="B73" s="3468"/>
      <c r="C73" s="3468"/>
      <c r="D73" s="3468"/>
      <c r="E73" s="3468"/>
      <c r="F73" s="3468"/>
      <c r="G73" s="3468"/>
      <c r="H73" s="3468"/>
      <c r="I73" s="3469"/>
      <c r="J73" s="3468"/>
    </row>
    <row r="74" spans="1:19">
      <c r="A74" s="3467"/>
      <c r="B74" s="3468"/>
      <c r="C74" s="3468"/>
      <c r="D74" s="3468"/>
      <c r="E74" s="3468"/>
      <c r="F74" s="3468"/>
      <c r="G74" s="3468"/>
      <c r="H74" s="3468"/>
      <c r="I74" s="3469"/>
      <c r="J74" s="3468"/>
    </row>
    <row r="75" spans="1:19">
      <c r="A75" s="3467"/>
      <c r="B75" s="3468"/>
      <c r="C75" s="3468"/>
      <c r="D75" s="3468"/>
      <c r="E75" s="3468"/>
      <c r="F75" s="3468"/>
      <c r="G75" s="3468"/>
      <c r="H75" s="3468"/>
      <c r="I75" s="3469"/>
      <c r="J75" s="3468"/>
    </row>
    <row r="76" spans="1:19">
      <c r="A76" s="3467"/>
      <c r="B76" s="3468"/>
      <c r="C76" s="3468"/>
      <c r="D76" s="3468"/>
      <c r="E76" s="3468"/>
      <c r="F76" s="3468"/>
      <c r="G76" s="3468"/>
      <c r="H76" s="3468"/>
      <c r="I76" s="3469"/>
      <c r="J76" s="3468"/>
    </row>
    <row r="77" spans="1:19">
      <c r="A77" s="3467"/>
      <c r="B77" s="3468"/>
      <c r="C77" s="3468"/>
      <c r="D77" s="3468"/>
      <c r="E77" s="3468"/>
      <c r="F77" s="3468"/>
      <c r="G77" s="3468"/>
      <c r="H77" s="3468"/>
      <c r="I77" s="3469"/>
      <c r="J77" s="3468"/>
    </row>
    <row r="78" spans="1:19">
      <c r="A78" s="3467"/>
      <c r="B78" s="3468"/>
      <c r="C78" s="3468"/>
      <c r="D78" s="3468"/>
      <c r="E78" s="3468"/>
      <c r="F78" s="3468"/>
      <c r="G78" s="3468"/>
      <c r="H78" s="3468"/>
      <c r="I78" s="3469"/>
      <c r="J78" s="3468"/>
    </row>
    <row r="79" spans="1:19">
      <c r="A79" s="3467"/>
      <c r="B79" s="3468"/>
      <c r="C79" s="3468"/>
      <c r="D79" s="3468"/>
      <c r="E79" s="3468"/>
      <c r="F79" s="3468"/>
      <c r="G79" s="3468"/>
      <c r="H79" s="3468"/>
      <c r="I79" s="3469"/>
      <c r="J79" s="3468"/>
    </row>
    <row r="80" spans="1:19">
      <c r="A80" s="3467"/>
      <c r="B80" s="3468"/>
      <c r="C80" s="3468"/>
      <c r="D80" s="3468"/>
      <c r="E80" s="3468"/>
      <c r="F80" s="3468"/>
      <c r="G80" s="3468"/>
      <c r="H80" s="3468"/>
      <c r="I80" s="3469"/>
      <c r="J80" s="3468"/>
    </row>
    <row r="81" spans="1:10">
      <c r="A81" s="3467"/>
      <c r="B81" s="3468"/>
      <c r="C81" s="3468"/>
      <c r="D81" s="3468"/>
      <c r="E81" s="3468"/>
      <c r="F81" s="3468"/>
      <c r="G81" s="3468"/>
      <c r="H81" s="3468"/>
      <c r="I81" s="3469"/>
      <c r="J81" s="3468"/>
    </row>
    <row r="82" spans="1:10">
      <c r="A82" s="3467"/>
      <c r="B82" s="3468"/>
      <c r="C82" s="3468"/>
      <c r="D82" s="3468"/>
      <c r="E82" s="3468"/>
      <c r="F82" s="3468"/>
      <c r="G82" s="3468"/>
      <c r="H82" s="3468"/>
      <c r="I82" s="3469"/>
      <c r="J82" s="3468"/>
    </row>
    <row r="83" spans="1:10" ht="12.75" thickBot="1">
      <c r="A83" s="3470"/>
      <c r="B83" s="3471"/>
      <c r="C83" s="3471"/>
      <c r="D83" s="3471"/>
      <c r="E83" s="3471"/>
      <c r="F83" s="3471"/>
      <c r="G83" s="3471"/>
      <c r="H83" s="3471"/>
      <c r="I83" s="3472"/>
      <c r="J83" s="3468"/>
    </row>
    <row r="85" spans="1:10">
      <c r="A85" s="3577" t="s">
        <v>4808</v>
      </c>
      <c r="B85" s="3578"/>
    </row>
    <row r="88" spans="1:10">
      <c r="A88" s="3579" t="s">
        <v>4810</v>
      </c>
      <c r="B88" s="3580"/>
      <c r="C88" s="3439">
        <v>63</v>
      </c>
      <c r="D88" s="3439">
        <v>125</v>
      </c>
      <c r="E88" s="3439">
        <v>250</v>
      </c>
      <c r="F88" s="3439">
        <v>500</v>
      </c>
      <c r="G88" s="3439">
        <v>1000</v>
      </c>
      <c r="H88" s="3439">
        <v>2000</v>
      </c>
      <c r="I88" s="3439">
        <v>4000</v>
      </c>
      <c r="J88" s="3439" t="s">
        <v>4809</v>
      </c>
    </row>
    <row r="89" spans="1:10">
      <c r="A89" s="3579" t="s">
        <v>4811</v>
      </c>
      <c r="B89" s="3580"/>
      <c r="C89" s="3492">
        <f>DATA!N8</f>
        <v>53.374462735904999</v>
      </c>
      <c r="D89" s="3492">
        <f>DATA!O8</f>
        <v>67.974462735904993</v>
      </c>
      <c r="E89" s="3492">
        <f>DATA!P8</f>
        <v>82.774462735905004</v>
      </c>
      <c r="F89" s="3492">
        <f>DATA!Q8</f>
        <v>89.674462735904996</v>
      </c>
      <c r="G89" s="3492">
        <f>DATA!R8</f>
        <v>91.474462735904993</v>
      </c>
      <c r="H89" s="3492">
        <f>DATA!S8</f>
        <v>84.574462735905001</v>
      </c>
      <c r="I89" s="3492">
        <f>DATA!T8</f>
        <v>79.974462735904993</v>
      </c>
      <c r="J89" s="3492">
        <f>DATA!U8</f>
        <v>94.645020104861828</v>
      </c>
    </row>
  </sheetData>
  <mergeCells count="28">
    <mergeCell ref="A88:B88"/>
    <mergeCell ref="A89:B89"/>
    <mergeCell ref="G21:H21"/>
    <mergeCell ref="G25:H25"/>
    <mergeCell ref="C52:D52"/>
    <mergeCell ref="C53:D53"/>
    <mergeCell ref="C54:D54"/>
    <mergeCell ref="C55:D55"/>
    <mergeCell ref="C56:D56"/>
    <mergeCell ref="A85:B85"/>
    <mergeCell ref="H46:J46"/>
    <mergeCell ref="C47:D47"/>
    <mergeCell ref="C48:D48"/>
    <mergeCell ref="C49:D49"/>
    <mergeCell ref="C50:D50"/>
    <mergeCell ref="C51:D51"/>
    <mergeCell ref="B27:C27"/>
    <mergeCell ref="B2:D2"/>
    <mergeCell ref="E2:G2"/>
    <mergeCell ref="B3:D3"/>
    <mergeCell ref="E3:G3"/>
    <mergeCell ref="B4:D4"/>
    <mergeCell ref="E4:G4"/>
    <mergeCell ref="B7:H7"/>
    <mergeCell ref="B11:G11"/>
    <mergeCell ref="B14:G14"/>
    <mergeCell ref="B17:C17"/>
    <mergeCell ref="B21:C21"/>
  </mergeCells>
  <phoneticPr fontId="170" type="noConversion"/>
  <dataValidations disablePrompts="1" count="1">
    <dataValidation type="list" allowBlank="1" showInputMessage="1" showErrorMessage="1" sqref="C19">
      <formula1>"直连,联轴器,皮带"</formula1>
    </dataValidation>
  </dataValidations>
  <pageMargins left="0.7" right="0.7" top="0.75" bottom="0.75" header="0.3" footer="0.3"/>
  <pageSetup paperSize="9" scale="74" orientation="portrait" r:id="rId1"/>
  <rowBreaks count="2" manualBreakCount="2">
    <brk id="45" max="9" man="1"/>
    <brk id="101" max="9" man="1"/>
  </rowBreaks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C652"/>
  <sheetViews>
    <sheetView topLeftCell="A27" workbookViewId="0">
      <selection activeCell="H599" sqref="H599"/>
    </sheetView>
  </sheetViews>
  <sheetFormatPr defaultColWidth="9" defaultRowHeight="13.5"/>
  <cols>
    <col min="1" max="1" width="22.85546875" style="3362" customWidth="1"/>
    <col min="2" max="2" width="23.28515625" style="3362" customWidth="1"/>
    <col min="3" max="3" width="21.85546875" style="3362" customWidth="1"/>
    <col min="4" max="16384" width="9" style="3362"/>
  </cols>
  <sheetData>
    <row r="1" spans="1:3">
      <c r="A1" s="3362" t="s">
        <v>4402</v>
      </c>
      <c r="B1" s="3362" t="s">
        <v>4403</v>
      </c>
      <c r="C1" s="3363" t="s">
        <v>4404</v>
      </c>
    </row>
    <row r="2" spans="1:3">
      <c r="A2" s="3362" t="s">
        <v>1513</v>
      </c>
      <c r="B2" s="3362" t="s">
        <v>1883</v>
      </c>
      <c r="C2" s="3362" t="str">
        <f>VLOOKUP(B2,'[3]old FS 命名转化 (F)'!$A$3:$B$190,2,FALSE)</f>
        <v>AP 56-175</v>
      </c>
    </row>
    <row r="3" spans="1:3">
      <c r="A3" s="3362" t="s">
        <v>1514</v>
      </c>
      <c r="B3" s="3362" t="s">
        <v>1885</v>
      </c>
      <c r="C3" s="3362" t="str">
        <f>VLOOKUP(B3,'[3]old FS 命名转化 (F)'!$A$3:$B$190,2,FALSE)</f>
        <v>AP 69-175</v>
      </c>
    </row>
    <row r="4" spans="1:3">
      <c r="A4" s="3362" t="s">
        <v>1515</v>
      </c>
      <c r="B4" s="3362" t="s">
        <v>1887</v>
      </c>
      <c r="C4" s="3362" t="str">
        <f>VLOOKUP(B4,'[3]old FS 命名转化 (F)'!$A$3:$B$190,2,FALSE)</f>
        <v>AP 69-225</v>
      </c>
    </row>
    <row r="5" spans="1:3">
      <c r="A5" s="3362" t="s">
        <v>1516</v>
      </c>
      <c r="B5" s="3362" t="s">
        <v>1889</v>
      </c>
      <c r="C5" s="3362" t="str">
        <f>VLOOKUP(B5,'[3]old FS 命名转化 (F)'!$A$3:$B$190,2,FALSE)</f>
        <v>AP 69-280</v>
      </c>
    </row>
    <row r="6" spans="1:3">
      <c r="A6" s="3362" t="s">
        <v>1680</v>
      </c>
      <c r="B6" s="3362" t="s">
        <v>1891</v>
      </c>
      <c r="C6" s="3362" t="str">
        <f>VLOOKUP(B6,'[3]old FS 命名转化 (F)'!$A$3:$B$190,2,FALSE)</f>
        <v>AP 69-280</v>
      </c>
    </row>
    <row r="7" spans="1:3">
      <c r="A7" s="3362" t="s">
        <v>1517</v>
      </c>
      <c r="B7" s="3362" t="s">
        <v>1893</v>
      </c>
      <c r="C7" s="3362" t="str">
        <f>VLOOKUP(B7,'[3]old FS 命名转化 (F)'!$A$3:$B$190,2,FALSE)</f>
        <v>AP 80-175</v>
      </c>
    </row>
    <row r="8" spans="1:3">
      <c r="A8" s="3362" t="s">
        <v>1518</v>
      </c>
      <c r="B8" s="3362" t="s">
        <v>1895</v>
      </c>
      <c r="C8" s="3362" t="str">
        <f>VLOOKUP(B8,'[3]old FS 命名转化 (F)'!$A$3:$B$190,2,FALSE)</f>
        <v>AP 80-200</v>
      </c>
    </row>
    <row r="9" spans="1:3">
      <c r="A9" s="3362" t="s">
        <v>1662</v>
      </c>
      <c r="B9" s="3362" t="s">
        <v>1897</v>
      </c>
      <c r="C9" s="3362" t="str">
        <f>VLOOKUP(B9,'[3]old FS 命名转化 (F)'!$A$3:$B$190,2,FALSE)</f>
        <v>AP 80-225</v>
      </c>
    </row>
    <row r="10" spans="1:3">
      <c r="A10" s="3362" t="s">
        <v>1519</v>
      </c>
      <c r="B10" s="3362" t="s">
        <v>1899</v>
      </c>
      <c r="C10" s="3362" t="str">
        <f>VLOOKUP(B10,'[3]old FS 命名转化 (F)'!$A$3:$B$190,2,FALSE)</f>
        <v>AP 80-250</v>
      </c>
    </row>
    <row r="11" spans="1:3">
      <c r="A11" s="3362" t="s">
        <v>1520</v>
      </c>
      <c r="B11" s="3362" t="s">
        <v>1901</v>
      </c>
      <c r="C11" s="3362" t="str">
        <f>VLOOKUP(B11,'[3]old FS 命名转化 (F)'!$A$3:$B$190,2,FALSE)</f>
        <v>AP 80-315</v>
      </c>
    </row>
    <row r="12" spans="1:3">
      <c r="A12" s="3362" t="s">
        <v>1521</v>
      </c>
      <c r="B12" s="3362" t="s">
        <v>1903</v>
      </c>
      <c r="C12" s="3362" t="str">
        <f>VLOOKUP(B12,'[3]old FS 命名转化 (F)'!$A$3:$B$190,2,FALSE)</f>
        <v>AP 90-250</v>
      </c>
    </row>
    <row r="13" spans="1:3">
      <c r="A13" s="3362" t="s">
        <v>1522</v>
      </c>
      <c r="B13" s="3362" t="s">
        <v>1905</v>
      </c>
      <c r="C13" s="3362" t="str">
        <f>VLOOKUP(B13,'[3]old FS 命名转化 (F)'!$A$3:$B$190,2,FALSE)</f>
        <v>AP 90-280</v>
      </c>
    </row>
    <row r="14" spans="1:3">
      <c r="A14" s="3362" t="s">
        <v>1523</v>
      </c>
      <c r="B14" s="3362" t="s">
        <v>1907</v>
      </c>
      <c r="C14" s="3362" t="str">
        <f>VLOOKUP(B14,'[3]old FS 命名转化 (F)'!$A$3:$B$190,2,FALSE)</f>
        <v>AP 90-315</v>
      </c>
    </row>
    <row r="15" spans="1:3">
      <c r="A15" s="3362" t="s">
        <v>1681</v>
      </c>
      <c r="B15" s="3362" t="s">
        <v>1909</v>
      </c>
      <c r="C15" s="3362" t="str">
        <f>VLOOKUP(B15,'[3]old FS 命名转化 (F)'!$A$3:$B$190,2,FALSE)</f>
        <v>AP 90-355</v>
      </c>
    </row>
    <row r="16" spans="1:3">
      <c r="A16" s="3362" t="s">
        <v>1524</v>
      </c>
      <c r="B16" s="3362" t="s">
        <v>1911</v>
      </c>
      <c r="C16" s="3362" t="str">
        <f>VLOOKUP(B16,'[3]old FS 命名转化 (F)'!$A$3:$B$190,2,FALSE)</f>
        <v>AP 100-200A</v>
      </c>
    </row>
    <row r="17" spans="1:3">
      <c r="A17" s="3362" t="s">
        <v>1682</v>
      </c>
      <c r="B17" s="3362" t="s">
        <v>1913</v>
      </c>
      <c r="C17" s="3362" t="str">
        <f>VLOOKUP(B17,'[3]old FS 命名转化 (F)'!$A$3:$B$190,2,FALSE)</f>
        <v>AP 100-200B</v>
      </c>
    </row>
    <row r="18" spans="1:3">
      <c r="A18" s="3362" t="s">
        <v>1525</v>
      </c>
      <c r="B18" s="3362" t="s">
        <v>1915</v>
      </c>
      <c r="C18" s="3362" t="str">
        <f>VLOOKUP(B18,'[3]old FS 命名转化 (F)'!$A$3:$B$190,2,FALSE)</f>
        <v>AP 100-225</v>
      </c>
    </row>
    <row r="19" spans="1:3">
      <c r="A19" s="3362" t="s">
        <v>1683</v>
      </c>
      <c r="B19" s="3362" t="s">
        <v>1915</v>
      </c>
      <c r="C19" s="3362" t="str">
        <f>VLOOKUP(B19,'[3]old FS 命名转化 (F)'!$A$3:$B$190,2,FALSE)</f>
        <v>AP 100-225</v>
      </c>
    </row>
    <row r="20" spans="1:3">
      <c r="A20" s="3362" t="s">
        <v>1526</v>
      </c>
      <c r="B20" s="3362" t="s">
        <v>1917</v>
      </c>
      <c r="C20" s="3362" t="str">
        <f>VLOOKUP(B20,'[3]old FS 命名转化 (F)'!$A$3:$B$190,2,FALSE)</f>
        <v>AP 100-250</v>
      </c>
    </row>
    <row r="21" spans="1:3">
      <c r="A21" s="3362" t="s">
        <v>1527</v>
      </c>
      <c r="B21" s="3362" t="s">
        <v>1919</v>
      </c>
      <c r="C21" s="3362" t="str">
        <f>VLOOKUP(B21,'[3]old FS 命名转化 (F)'!$A$3:$B$190,2,FALSE)</f>
        <v>AP 100-280</v>
      </c>
    </row>
    <row r="22" spans="1:3">
      <c r="A22" s="3362" t="s">
        <v>1528</v>
      </c>
      <c r="B22" s="3362" t="s">
        <v>1921</v>
      </c>
      <c r="C22" s="3362" t="str">
        <f>VLOOKUP(B22,'[3]old FS 命名转化 (F)'!$A$3:$B$190,2,FALSE)</f>
        <v>AP 100-315</v>
      </c>
    </row>
    <row r="23" spans="1:3">
      <c r="A23" s="3362" t="s">
        <v>1529</v>
      </c>
      <c r="B23" s="3362" t="s">
        <v>1923</v>
      </c>
      <c r="C23" s="3362" t="str">
        <f>VLOOKUP(B23,'[3]old FS 命名转化 (F)'!$A$3:$B$190,2,FALSE)</f>
        <v>AP 100-355</v>
      </c>
    </row>
    <row r="24" spans="1:3">
      <c r="A24" s="3362" t="s">
        <v>1530</v>
      </c>
      <c r="B24" s="3362" t="s">
        <v>1925</v>
      </c>
      <c r="C24" s="3362" t="str">
        <f>VLOOKUP(B24,'[3]old FS 命名转化 (F)'!$A$3:$B$190,2,FALSE)</f>
        <v>AP 100-400</v>
      </c>
    </row>
    <row r="25" spans="1:3">
      <c r="A25" s="3362" t="s">
        <v>1531</v>
      </c>
      <c r="B25" s="3362" t="s">
        <v>1927</v>
      </c>
      <c r="C25" s="3362" t="str">
        <f>VLOOKUP(B25,'[3]old FS 命名转化 (F)'!$A$3:$B$190,2,FALSE)</f>
        <v>AP 112-200</v>
      </c>
    </row>
    <row r="26" spans="1:3">
      <c r="A26" s="3362" t="s">
        <v>1532</v>
      </c>
      <c r="B26" s="3362" t="s">
        <v>1929</v>
      </c>
      <c r="C26" s="3362" t="str">
        <f>VLOOKUP(B26,'[3]old FS 命名转化 (F)'!$A$3:$B$190,2,FALSE)</f>
        <v>AP 112-250</v>
      </c>
    </row>
    <row r="27" spans="1:3">
      <c r="A27" s="3362" t="s">
        <v>1533</v>
      </c>
      <c r="B27" s="3362" t="s">
        <v>1931</v>
      </c>
      <c r="C27" s="3362" t="str">
        <f>VLOOKUP(B27,'[3]old FS 命名转化 (F)'!$A$3:$B$190,2,FALSE)</f>
        <v>AP 112-280</v>
      </c>
    </row>
    <row r="28" spans="1:3">
      <c r="A28" s="3362" t="s">
        <v>1534</v>
      </c>
      <c r="B28" s="3362" t="s">
        <v>1933</v>
      </c>
      <c r="C28" s="3362" t="str">
        <f>VLOOKUP(B28,'[3]old FS 命名转化 (F)'!$A$3:$B$190,2,FALSE)</f>
        <v>AP 112-315</v>
      </c>
    </row>
    <row r="29" spans="1:3">
      <c r="A29" s="3362" t="s">
        <v>1535</v>
      </c>
      <c r="B29" s="3362" t="s">
        <v>1935</v>
      </c>
      <c r="C29" s="3362" t="str">
        <f>VLOOKUP(B29,'[3]old FS 命名转化 (F)'!$A$3:$B$190,2,FALSE)</f>
        <v>AP 112-355</v>
      </c>
    </row>
    <row r="30" spans="1:3">
      <c r="A30" s="3362" t="s">
        <v>1684</v>
      </c>
      <c r="B30" s="3362" t="s">
        <v>1937</v>
      </c>
      <c r="C30" s="3362" t="str">
        <f>VLOOKUP(B30,'[3]old FS 命名转化 (F)'!$A$3:$B$190,2,FALSE)</f>
        <v>AP 112-400</v>
      </c>
    </row>
    <row r="31" spans="1:3">
      <c r="A31" s="3362" t="s">
        <v>1536</v>
      </c>
      <c r="B31" s="3362" t="s">
        <v>1939</v>
      </c>
      <c r="C31" s="3362" t="str">
        <f>VLOOKUP(B31,'[3]old FS 命名转化 (F)'!$A$3:$B$190,2,FALSE)</f>
        <v>AP 112-450</v>
      </c>
    </row>
    <row r="32" spans="1:3">
      <c r="A32" s="3362" t="s">
        <v>1537</v>
      </c>
      <c r="B32" s="3362" t="s">
        <v>1941</v>
      </c>
      <c r="C32" s="3362" t="str">
        <f>VLOOKUP(B32,'[3]old FS 命名转化 (F)'!$A$3:$B$190,2,FALSE)</f>
        <v>AP 125-250</v>
      </c>
    </row>
    <row r="33" spans="1:3">
      <c r="A33" s="3362" t="s">
        <v>1685</v>
      </c>
      <c r="B33" s="3362" t="s">
        <v>1943</v>
      </c>
      <c r="C33" s="3362" t="str">
        <f>VLOOKUP(B33,'[3]old FS 命名转化 (F)'!$A$3:$B$190,2,FALSE)</f>
        <v>AP 125-280</v>
      </c>
    </row>
    <row r="34" spans="1:3">
      <c r="A34" s="3362" t="s">
        <v>1538</v>
      </c>
      <c r="B34" s="3362" t="s">
        <v>1945</v>
      </c>
      <c r="C34" s="3362" t="str">
        <f>VLOOKUP(B34,'[3]old FS 命名转化 (F)'!$A$3:$B$190,2,FALSE)</f>
        <v>AP 125-315</v>
      </c>
    </row>
    <row r="35" spans="1:3">
      <c r="A35" s="3362" t="s">
        <v>1539</v>
      </c>
      <c r="B35" s="3362" t="s">
        <v>1947</v>
      </c>
      <c r="C35" s="3362" t="str">
        <f>VLOOKUP(B35,'[3]old FS 命名转化 (F)'!$A$3:$B$190,2,FALSE)</f>
        <v>AP 125-355</v>
      </c>
    </row>
    <row r="36" spans="1:3">
      <c r="A36" s="3362" t="s">
        <v>1540</v>
      </c>
      <c r="B36" s="3362" t="s">
        <v>1949</v>
      </c>
      <c r="C36" s="3362" t="str">
        <f>VLOOKUP(B36,'[3]old FS 命名转化 (F)'!$A$3:$B$190,2,FALSE)</f>
        <v>AP 125-400</v>
      </c>
    </row>
    <row r="37" spans="1:3">
      <c r="A37" s="3362" t="s">
        <v>1686</v>
      </c>
      <c r="B37" s="3362" t="s">
        <v>1951</v>
      </c>
      <c r="C37" s="3362" t="str">
        <f>VLOOKUP(B37,'[3]old FS 命名转化 (F)'!$A$3:$B$190,2,FALSE)</f>
        <v>AP 125-450</v>
      </c>
    </row>
    <row r="38" spans="1:3">
      <c r="A38" s="3362" t="s">
        <v>1541</v>
      </c>
      <c r="B38" s="3362" t="s">
        <v>1953</v>
      </c>
      <c r="C38" s="3362" t="str">
        <f>VLOOKUP(B38,'[3]old FS 命名转化 (F)'!$A$3:$B$190,2,FALSE)</f>
        <v>AP 125-500</v>
      </c>
    </row>
    <row r="39" spans="1:3">
      <c r="A39" s="3362" t="s">
        <v>1542</v>
      </c>
      <c r="B39" s="3362" t="s">
        <v>1955</v>
      </c>
      <c r="C39" s="3362" t="str">
        <f>VLOOKUP(B39,'[3]old FS 命名转化 (F)'!$A$3:$B$190,2,FALSE)</f>
        <v>AP 140-280</v>
      </c>
    </row>
    <row r="40" spans="1:3">
      <c r="A40" s="3362" t="s">
        <v>1543</v>
      </c>
      <c r="B40" s="3362" t="s">
        <v>1957</v>
      </c>
      <c r="C40" s="3362" t="str">
        <f>VLOOKUP(B40,'[3]old FS 命名转化 (F)'!$A$3:$B$190,2,FALSE)</f>
        <v>AP 140-355</v>
      </c>
    </row>
    <row r="41" spans="1:3">
      <c r="A41" s="3362" t="s">
        <v>1544</v>
      </c>
      <c r="B41" s="3362" t="s">
        <v>1959</v>
      </c>
      <c r="C41" s="3362" t="str">
        <f>VLOOKUP(B41,'[3]old FS 命名转化 (F)'!$A$3:$B$190,2,FALSE)</f>
        <v>AP 140-450</v>
      </c>
    </row>
    <row r="42" spans="1:3">
      <c r="A42" s="3362" t="s">
        <v>1545</v>
      </c>
      <c r="B42" s="3362" t="s">
        <v>1961</v>
      </c>
      <c r="C42" s="3362" t="str">
        <f>VLOOKUP(B42,'[3]old FS 命名转化 (F)'!$A$3:$B$190,2,FALSE)</f>
        <v>AP 140-500</v>
      </c>
    </row>
    <row r="43" spans="1:3">
      <c r="A43" s="3362" t="s">
        <v>1546</v>
      </c>
      <c r="B43" s="3362" t="s">
        <v>1963</v>
      </c>
      <c r="C43" s="3362" t="str">
        <f>VLOOKUP(B43,'[3]old FS 命名转化 (F)'!$A$3:$B$190,2,FALSE)</f>
        <v>AP 140-560</v>
      </c>
    </row>
    <row r="44" spans="1:3">
      <c r="A44" s="3362" t="s">
        <v>1547</v>
      </c>
      <c r="B44" s="3362" t="s">
        <v>1965</v>
      </c>
      <c r="C44" s="3362" t="str">
        <f>VLOOKUP(B44,'[3]old FS 命名转化 (F)'!$A$3:$B$190,2,FALSE)</f>
        <v>AP 160-280</v>
      </c>
    </row>
    <row r="45" spans="1:3">
      <c r="A45" s="3362" t="s">
        <v>1548</v>
      </c>
      <c r="B45" s="3362" t="s">
        <v>1967</v>
      </c>
      <c r="C45" s="3362" t="str">
        <f>VLOOKUP(B45,'[3]old FS 命名转化 (F)'!$A$3:$B$190,2,FALSE)</f>
        <v>AP 160-355</v>
      </c>
    </row>
    <row r="46" spans="1:3">
      <c r="A46" s="3362" t="s">
        <v>1549</v>
      </c>
      <c r="B46" s="3362" t="s">
        <v>1969</v>
      </c>
      <c r="C46" s="3362" t="str">
        <f>VLOOKUP(B46,'[3]old FS 命名转化 (F)'!$A$3:$B$190,2,FALSE)</f>
        <v>AP 160-450</v>
      </c>
    </row>
    <row r="47" spans="1:3">
      <c r="A47" s="3362" t="s">
        <v>1550</v>
      </c>
      <c r="B47" s="3362" t="s">
        <v>1971</v>
      </c>
      <c r="C47" s="3362" t="str">
        <f>VLOOKUP(B47,'[3]old FS 命名转化 (F)'!$A$3:$B$190,2,FALSE)</f>
        <v>AP 160-500</v>
      </c>
    </row>
    <row r="48" spans="1:3">
      <c r="A48" s="3362" t="s">
        <v>1551</v>
      </c>
      <c r="B48" s="3362" t="s">
        <v>1973</v>
      </c>
      <c r="C48" s="3362" t="str">
        <f>VLOOKUP(B48,'[3]old FS 命名转化 (F)'!$A$3:$B$190,2,FALSE)</f>
        <v>AP 160-560</v>
      </c>
    </row>
    <row r="49" spans="1:3">
      <c r="A49" s="3362" t="s">
        <v>1552</v>
      </c>
      <c r="B49" s="3362" t="s">
        <v>1975</v>
      </c>
      <c r="C49" s="3363" t="s">
        <v>4405</v>
      </c>
    </row>
    <row r="50" spans="1:3">
      <c r="A50" s="3362" t="s">
        <v>1553</v>
      </c>
      <c r="B50" s="3362" t="s">
        <v>1977</v>
      </c>
      <c r="C50" s="3362" t="str">
        <f>VLOOKUP(B50,'[3]old FS 命名转化 (F)'!$A$3:$B$190,2,FALSE)</f>
        <v>AP 180-355</v>
      </c>
    </row>
    <row r="51" spans="1:3">
      <c r="A51" s="3362" t="s">
        <v>1554</v>
      </c>
      <c r="B51" s="3362" t="s">
        <v>1979</v>
      </c>
      <c r="C51" s="3362" t="str">
        <f>VLOOKUP(B51,'[3]old FS 命名转化 (F)'!$A$3:$B$190,2,FALSE)</f>
        <v>AP 180-450</v>
      </c>
    </row>
    <row r="52" spans="1:3">
      <c r="A52" s="3362" t="s">
        <v>1555</v>
      </c>
      <c r="B52" s="3362" t="s">
        <v>1981</v>
      </c>
      <c r="C52" s="3362" t="str">
        <f>VLOOKUP(B52,'[3]old FS 命名转化 (F)'!$A$3:$B$190,2,FALSE)</f>
        <v>AP 180-500</v>
      </c>
    </row>
    <row r="53" spans="1:3">
      <c r="A53" s="3362" t="s">
        <v>1556</v>
      </c>
      <c r="B53" s="3362" t="s">
        <v>1983</v>
      </c>
      <c r="C53" s="3362" t="str">
        <f>VLOOKUP(B53,'[3]old FS 命名转化 (F)'!$A$3:$B$190,2,FALSE)</f>
        <v>AP 180-560</v>
      </c>
    </row>
    <row r="54" spans="1:3">
      <c r="A54" s="3362" t="s">
        <v>1557</v>
      </c>
      <c r="B54" s="3362" t="s">
        <v>1985</v>
      </c>
      <c r="C54" s="3362" t="str">
        <f>VLOOKUP(B54,'[3]old FS 命名转化 (F)'!$A$3:$B$190,2,FALSE)</f>
        <v>AP 180-625</v>
      </c>
    </row>
    <row r="55" spans="1:3">
      <c r="A55" s="3362" t="s">
        <v>1558</v>
      </c>
      <c r="B55" s="3362" t="s">
        <v>1987</v>
      </c>
      <c r="C55" s="3362" t="str">
        <f>VLOOKUP(B55,'[3]old FS 命名转化 (F)'!$A$3:$B$190,2,FALSE)</f>
        <v>AP 180-700</v>
      </c>
    </row>
    <row r="56" spans="1:3">
      <c r="A56" s="3362" t="s">
        <v>1559</v>
      </c>
      <c r="B56" s="3362" t="s">
        <v>1989</v>
      </c>
      <c r="C56" s="3362" t="str">
        <f>VLOOKUP(B56,'[3]old FS 命名转化 (F)'!$A$3:$B$190,2,FALSE)</f>
        <v>AP 200-355</v>
      </c>
    </row>
    <row r="57" spans="1:3">
      <c r="A57" s="3362" t="s">
        <v>1560</v>
      </c>
      <c r="B57" s="3362" t="s">
        <v>1991</v>
      </c>
      <c r="C57" s="3362" t="str">
        <f>VLOOKUP(B57,'[3]old FS 命名转化 (F)'!$A$3:$B$190,2,FALSE)</f>
        <v>AP 200-450</v>
      </c>
    </row>
    <row r="58" spans="1:3">
      <c r="A58" s="3362" t="s">
        <v>1561</v>
      </c>
      <c r="B58" s="3362" t="s">
        <v>1993</v>
      </c>
      <c r="C58" s="3362" t="str">
        <f>VLOOKUP(B58,'[3]old FS 命名转化 (F)'!$A$3:$B$190,2,FALSE)</f>
        <v>AP 200-560</v>
      </c>
    </row>
    <row r="59" spans="1:3">
      <c r="A59" s="3362" t="s">
        <v>1562</v>
      </c>
      <c r="B59" s="3362" t="s">
        <v>1995</v>
      </c>
      <c r="C59" s="3362" t="str">
        <f>VLOOKUP(B59,'[3]old FS 命名转化 (F)'!$A$3:$B$190,2,FALSE)</f>
        <v>AP 200-700</v>
      </c>
    </row>
    <row r="60" spans="1:3">
      <c r="A60" s="3362" t="s">
        <v>1687</v>
      </c>
      <c r="B60" s="3362" t="s">
        <v>1997</v>
      </c>
      <c r="C60" s="3362" t="str">
        <f>VLOOKUP(B60,'[3]old FS 命名转化 (F)'!$A$3:$B$190,2,FALSE)</f>
        <v>AP 200-800</v>
      </c>
    </row>
    <row r="61" spans="1:3">
      <c r="A61" s="3362" t="s">
        <v>1563</v>
      </c>
      <c r="B61" s="3362" t="s">
        <v>2000</v>
      </c>
      <c r="C61" s="3363" t="s">
        <v>4406</v>
      </c>
    </row>
    <row r="62" spans="1:3">
      <c r="A62" s="3362" t="s">
        <v>2333</v>
      </c>
      <c r="B62" s="3362" t="s">
        <v>2003</v>
      </c>
      <c r="C62" s="3363" t="s">
        <v>4407</v>
      </c>
    </row>
    <row r="63" spans="1:3">
      <c r="A63" s="3362" t="s">
        <v>1564</v>
      </c>
      <c r="B63" s="3362" t="s">
        <v>2006</v>
      </c>
      <c r="C63" s="3363" t="s">
        <v>4408</v>
      </c>
    </row>
    <row r="64" spans="1:3">
      <c r="A64" s="3362" t="s">
        <v>1565</v>
      </c>
      <c r="B64" s="3362" t="s">
        <v>2009</v>
      </c>
      <c r="C64" s="3363" t="s">
        <v>4409</v>
      </c>
    </row>
    <row r="65" spans="1:3">
      <c r="A65" s="3362" t="s">
        <v>2337</v>
      </c>
      <c r="B65" s="3362" t="s">
        <v>2012</v>
      </c>
      <c r="C65" s="3363" t="s">
        <v>4410</v>
      </c>
    </row>
    <row r="66" spans="1:3">
      <c r="A66" s="3362" t="s">
        <v>2339</v>
      </c>
      <c r="B66" s="3362" t="s">
        <v>2531</v>
      </c>
      <c r="C66" s="3363" t="s">
        <v>4411</v>
      </c>
    </row>
    <row r="67" spans="1:3">
      <c r="A67" s="3362" t="s">
        <v>1566</v>
      </c>
      <c r="B67" s="3362" t="s">
        <v>2015</v>
      </c>
      <c r="C67" s="3363" t="s">
        <v>4412</v>
      </c>
    </row>
    <row r="68" spans="1:3">
      <c r="A68" s="3362" t="s">
        <v>2341</v>
      </c>
      <c r="B68" s="3362" t="s">
        <v>2018</v>
      </c>
      <c r="C68" s="3363" t="s">
        <v>4413</v>
      </c>
    </row>
    <row r="69" spans="1:3">
      <c r="A69" s="3362" t="s">
        <v>1567</v>
      </c>
      <c r="B69" s="3362" t="s">
        <v>2021</v>
      </c>
      <c r="C69" s="3363" t="s">
        <v>4414</v>
      </c>
    </row>
    <row r="70" spans="1:3">
      <c r="A70" s="3362" t="s">
        <v>1568</v>
      </c>
      <c r="B70" s="3362" t="s">
        <v>2024</v>
      </c>
      <c r="C70" s="3363" t="s">
        <v>4415</v>
      </c>
    </row>
    <row r="71" spans="1:3">
      <c r="A71" s="3362" t="s">
        <v>1569</v>
      </c>
      <c r="B71" s="3362" t="s">
        <v>2027</v>
      </c>
      <c r="C71" s="3363" t="s">
        <v>4416</v>
      </c>
    </row>
    <row r="72" spans="1:3">
      <c r="A72" s="3362" t="s">
        <v>2346</v>
      </c>
      <c r="B72" s="3362" t="s">
        <v>2030</v>
      </c>
      <c r="C72" s="3363" t="s">
        <v>4417</v>
      </c>
    </row>
    <row r="73" spans="1:3">
      <c r="A73" s="3362" t="s">
        <v>2348</v>
      </c>
      <c r="B73" s="3362" t="s">
        <v>2032</v>
      </c>
      <c r="C73" s="3363" t="s">
        <v>4418</v>
      </c>
    </row>
    <row r="74" spans="1:3">
      <c r="A74" s="3362" t="s">
        <v>2349</v>
      </c>
      <c r="B74" s="3362" t="s">
        <v>2035</v>
      </c>
      <c r="C74" s="3363" t="s">
        <v>4419</v>
      </c>
    </row>
    <row r="75" spans="1:3">
      <c r="A75" s="3362" t="s">
        <v>2351</v>
      </c>
      <c r="B75" s="3362" t="s">
        <v>2038</v>
      </c>
      <c r="C75" s="3363" t="s">
        <v>4420</v>
      </c>
    </row>
    <row r="76" spans="1:3">
      <c r="A76" s="3362" t="s">
        <v>2353</v>
      </c>
      <c r="B76" s="3362" t="s">
        <v>2041</v>
      </c>
      <c r="C76" s="3363" t="s">
        <v>4421</v>
      </c>
    </row>
    <row r="77" spans="1:3">
      <c r="A77" s="3362" t="s">
        <v>2354</v>
      </c>
      <c r="B77" s="3362" t="s">
        <v>2043</v>
      </c>
      <c r="C77" s="3363" t="s">
        <v>4422</v>
      </c>
    </row>
    <row r="78" spans="1:3">
      <c r="A78" s="3362" t="s">
        <v>2356</v>
      </c>
      <c r="B78" s="3362" t="s">
        <v>2534</v>
      </c>
      <c r="C78" s="3363" t="s">
        <v>4423</v>
      </c>
    </row>
    <row r="79" spans="1:3">
      <c r="A79" s="3362" t="s">
        <v>2358</v>
      </c>
      <c r="B79" s="3362" t="s">
        <v>2535</v>
      </c>
      <c r="C79" s="3363" t="s">
        <v>4424</v>
      </c>
    </row>
    <row r="80" spans="1:3">
      <c r="A80" s="3362" t="s">
        <v>2359</v>
      </c>
      <c r="B80" s="3362" t="s">
        <v>2536</v>
      </c>
      <c r="C80" s="3363" t="s">
        <v>4425</v>
      </c>
    </row>
    <row r="81" spans="1:3">
      <c r="A81" s="3362" t="s">
        <v>2524</v>
      </c>
      <c r="B81" s="3362" t="s">
        <v>2543</v>
      </c>
      <c r="C81" s="3363" t="s">
        <v>4426</v>
      </c>
    </row>
    <row r="82" spans="1:3">
      <c r="A82" s="3362" t="s">
        <v>2362</v>
      </c>
      <c r="B82" s="3362" t="s">
        <v>2538</v>
      </c>
      <c r="C82" s="3363" t="s">
        <v>4427</v>
      </c>
    </row>
    <row r="83" spans="1:3">
      <c r="A83" s="3362" t="s">
        <v>2364</v>
      </c>
      <c r="B83" s="3362" t="s">
        <v>2539</v>
      </c>
      <c r="C83" s="3363" t="s">
        <v>4428</v>
      </c>
    </row>
    <row r="84" spans="1:3">
      <c r="A84" s="3362" t="s">
        <v>2412</v>
      </c>
      <c r="B84" s="3362" t="s">
        <v>2540</v>
      </c>
      <c r="C84" s="3363" t="s">
        <v>4429</v>
      </c>
    </row>
    <row r="85" spans="1:3">
      <c r="A85" s="3362" t="s">
        <v>2527</v>
      </c>
      <c r="B85" s="3362" t="s">
        <v>2544</v>
      </c>
      <c r="C85" s="3363" t="s">
        <v>4430</v>
      </c>
    </row>
    <row r="86" spans="1:3">
      <c r="A86" s="3362" t="s">
        <v>1570</v>
      </c>
      <c r="B86" s="3362" t="s">
        <v>1998</v>
      </c>
      <c r="C86" s="3362" t="str">
        <f>VLOOKUP(B86,'[3]old FS 命名转化 (F)'!$A$3:$B$190,2,FALSE)</f>
        <v>BP 26-0</v>
      </c>
    </row>
    <row r="87" spans="1:3">
      <c r="A87" s="3362" t="s">
        <v>1571</v>
      </c>
      <c r="B87" s="3362" t="s">
        <v>2001</v>
      </c>
      <c r="C87" s="3362" t="str">
        <f>VLOOKUP(B87,'[3]old FS 命名转化 (F)'!$A$3:$B$190,2,FALSE)</f>
        <v>BP 28-0</v>
      </c>
    </row>
    <row r="88" spans="1:3">
      <c r="A88" s="3362" t="s">
        <v>1572</v>
      </c>
      <c r="B88" s="3362" t="s">
        <v>2004</v>
      </c>
      <c r="C88" s="3362" t="str">
        <f>VLOOKUP(B88,'[3]old FS 命名转化 (F)'!$A$3:$B$190,2,FALSE)</f>
        <v>BP 28-10</v>
      </c>
    </row>
    <row r="89" spans="1:3">
      <c r="A89" s="3362" t="s">
        <v>1573</v>
      </c>
      <c r="B89" s="3362" t="s">
        <v>2007</v>
      </c>
      <c r="C89" s="3362" t="str">
        <f>VLOOKUP(B89,'[3]old FS 命名转化 (F)'!$A$3:$B$190,2,FALSE)</f>
        <v>BP 28-12</v>
      </c>
    </row>
    <row r="90" spans="1:3">
      <c r="A90" s="3362" t="s">
        <v>1574</v>
      </c>
      <c r="B90" s="3362" t="s">
        <v>2010</v>
      </c>
      <c r="C90" s="3362" t="str">
        <f>VLOOKUP(B90,'[3]old FS 命名转化 (F)'!$A$3:$B$190,2,FALSE)</f>
        <v>BP 29-0</v>
      </c>
    </row>
    <row r="91" spans="1:3">
      <c r="A91" s="3362" t="s">
        <v>1575</v>
      </c>
      <c r="B91" s="3362" t="s">
        <v>2013</v>
      </c>
      <c r="C91" s="3362" t="str">
        <f>VLOOKUP(B91,'[3]old FS 命名转化 (F)'!$A$3:$B$190,2,FALSE)</f>
        <v>BP 80-16</v>
      </c>
    </row>
    <row r="92" spans="1:3">
      <c r="A92" s="3362" t="s">
        <v>1576</v>
      </c>
      <c r="B92" s="3362" t="s">
        <v>2016</v>
      </c>
      <c r="C92" s="3362" t="str">
        <f>VLOOKUP(B92,'[3]old FS 命名转化 (F)'!$A$3:$B$190,2,FALSE)</f>
        <v>BP 80-20</v>
      </c>
    </row>
    <row r="93" spans="1:3">
      <c r="A93" s="3362" t="s">
        <v>1577</v>
      </c>
      <c r="B93" s="3362" t="s">
        <v>2019</v>
      </c>
      <c r="C93" s="3362" t="str">
        <f>VLOOKUP(B93,'[3]old FS 命名转化 (F)'!$A$3:$B$190,2,FALSE)</f>
        <v>BP 85-25</v>
      </c>
    </row>
    <row r="94" spans="1:3">
      <c r="A94" s="3362" t="s">
        <v>1578</v>
      </c>
      <c r="B94" s="3362" t="s">
        <v>2022</v>
      </c>
      <c r="C94" s="3362" t="str">
        <f>VLOOKUP(B94,'[3]old FS 命名转化 (F)'!$A$3:$B$190,2,FALSE)</f>
        <v>BP 100-20</v>
      </c>
    </row>
    <row r="95" spans="1:3">
      <c r="A95" s="3362" t="s">
        <v>1579</v>
      </c>
      <c r="B95" s="3362" t="s">
        <v>2025</v>
      </c>
      <c r="C95" s="3362" t="str">
        <f>VLOOKUP(B95,'[3]old FS 命名转化 (F)'!$A$3:$B$190,2,FALSE)</f>
        <v>BP 100-25</v>
      </c>
    </row>
    <row r="96" spans="1:3">
      <c r="A96" s="3362" t="s">
        <v>1580</v>
      </c>
      <c r="B96" s="3362" t="s">
        <v>2028</v>
      </c>
      <c r="C96" s="3362" t="str">
        <f>VLOOKUP(B96,'[3]old FS 命名转化 (F)'!$A$3:$B$190,2,FALSE)</f>
        <v>BP 100-31</v>
      </c>
    </row>
    <row r="97" spans="1:3">
      <c r="A97" s="3362" t="s">
        <v>1581</v>
      </c>
      <c r="B97" s="3362" t="s">
        <v>2031</v>
      </c>
      <c r="C97" s="3362" t="str">
        <f>VLOOKUP(B97,'[3]old FS 命名转化 (F)'!$A$3:$B$190,2,FALSE)</f>
        <v>BP 120-20</v>
      </c>
    </row>
    <row r="98" spans="1:3">
      <c r="A98" s="3362" t="s">
        <v>1582</v>
      </c>
      <c r="B98" s="3362" t="s">
        <v>2033</v>
      </c>
      <c r="C98" s="3362" t="str">
        <f>VLOOKUP(B98,'[3]old FS 命名转化 (F)'!$A$3:$B$190,2,FALSE)</f>
        <v>BP 120-25</v>
      </c>
    </row>
    <row r="99" spans="1:3">
      <c r="A99" s="3362" t="s">
        <v>1688</v>
      </c>
      <c r="B99" s="3362" t="s">
        <v>2036</v>
      </c>
      <c r="C99" s="3362" t="str">
        <f>VLOOKUP(B99,'[3]old FS 命名转化 (F)'!$A$3:$B$190,2,FALSE)</f>
        <v>BP 120-25A</v>
      </c>
    </row>
    <row r="100" spans="1:3">
      <c r="A100" s="3362" t="s">
        <v>1689</v>
      </c>
      <c r="B100" s="3362" t="s">
        <v>2039</v>
      </c>
      <c r="C100" s="3362" t="str">
        <f>VLOOKUP(B100,'[3]old FS 命名转化 (F)'!$A$3:$B$190,2,FALSE)</f>
        <v>BP 120-25B</v>
      </c>
    </row>
    <row r="101" spans="1:3">
      <c r="A101" s="3362" t="s">
        <v>1583</v>
      </c>
      <c r="B101" s="3362" t="s">
        <v>2042</v>
      </c>
      <c r="C101" s="3362" t="str">
        <f>VLOOKUP(B101,'[3]old FS 命名转化 (F)'!$A$3:$B$190,2,FALSE)</f>
        <v>BP 120-31</v>
      </c>
    </row>
    <row r="102" spans="1:3">
      <c r="A102" s="3362" t="s">
        <v>1690</v>
      </c>
      <c r="B102" s="3362" t="s">
        <v>2044</v>
      </c>
      <c r="C102" s="3362" t="str">
        <f>VLOOKUP(B102,'[3]old FS 命名转化 (F)'!$A$3:$B$190,2,FALSE)</f>
        <v>BP 120-31A</v>
      </c>
    </row>
    <row r="103" spans="1:3">
      <c r="A103" s="3362" t="s">
        <v>1691</v>
      </c>
      <c r="B103" s="3362" t="s">
        <v>2046</v>
      </c>
      <c r="C103" s="3362" t="str">
        <f>VLOOKUP(B103,'[3]old FS 命名转化 (F)'!$A$3:$B$190,2,FALSE)</f>
        <v>BP 120-31B</v>
      </c>
    </row>
    <row r="104" spans="1:3">
      <c r="A104" s="3362" t="s">
        <v>1584</v>
      </c>
      <c r="B104" s="3362" t="s">
        <v>2047</v>
      </c>
      <c r="C104" s="3362" t="str">
        <f>VLOOKUP(B104,'[3]old FS 命名转化 (F)'!$A$3:$B$190,2,FALSE)</f>
        <v>BP 120-35</v>
      </c>
    </row>
    <row r="105" spans="1:3">
      <c r="A105" s="3362" t="s">
        <v>1692</v>
      </c>
      <c r="B105" s="3362" t="s">
        <v>2048</v>
      </c>
      <c r="C105" s="3362" t="str">
        <f>VLOOKUP(B105,'[3]old FS 命名转化 (F)'!$A$3:$B$190,2,FALSE)</f>
        <v>BP 120-35A</v>
      </c>
    </row>
    <row r="106" spans="1:3">
      <c r="A106" s="3362" t="s">
        <v>1693</v>
      </c>
      <c r="B106" s="3362" t="s">
        <v>2049</v>
      </c>
      <c r="C106" s="3362" t="str">
        <f>VLOOKUP(B106,'[3]old FS 命名转化 (F)'!$A$3:$B$190,2,FALSE)</f>
        <v>BP 120-35B</v>
      </c>
    </row>
    <row r="107" spans="1:3">
      <c r="A107" s="3362" t="s">
        <v>1585</v>
      </c>
      <c r="B107" s="3362" t="s">
        <v>2050</v>
      </c>
      <c r="C107" s="3362" t="str">
        <f>VLOOKUP(B107,'[3]old FS 命名转化 (F)'!$A$3:$B$190,2,FALSE)</f>
        <v>BP 135-20</v>
      </c>
    </row>
    <row r="108" spans="1:3">
      <c r="A108" s="3362" t="s">
        <v>1586</v>
      </c>
      <c r="B108" s="3362" t="s">
        <v>2051</v>
      </c>
      <c r="C108" s="3362" t="str">
        <f>VLOOKUP(B108,'[3]old FS 命名转化 (F)'!$A$3:$B$190,2,FALSE)</f>
        <v>BP 135-25</v>
      </c>
    </row>
    <row r="109" spans="1:3">
      <c r="A109" s="3362" t="s">
        <v>1587</v>
      </c>
      <c r="B109" s="3362" t="s">
        <v>2052</v>
      </c>
      <c r="C109" s="3362" t="str">
        <f>VLOOKUP(B109,'[3]old FS 命名转化 (F)'!$A$3:$B$190,2,FALSE)</f>
        <v>BP 135-31</v>
      </c>
    </row>
    <row r="110" spans="1:3">
      <c r="A110" s="3362" t="s">
        <v>1588</v>
      </c>
      <c r="B110" s="3362" t="s">
        <v>2053</v>
      </c>
      <c r="C110" s="3362" t="str">
        <f>VLOOKUP(B110,'[3]old FS 命名转化 (F)'!$A$3:$B$190,2,FALSE)</f>
        <v>BP 135-35</v>
      </c>
    </row>
    <row r="111" spans="1:3">
      <c r="A111" s="3362" t="s">
        <v>1589</v>
      </c>
      <c r="B111" s="3362" t="s">
        <v>2054</v>
      </c>
      <c r="C111" s="3362" t="str">
        <f>VLOOKUP(B111,'[3]old FS 命名转化 (F)'!$A$3:$B$190,2,FALSE)</f>
        <v>BP 135-40</v>
      </c>
    </row>
    <row r="112" spans="1:3">
      <c r="A112" s="3362" t="s">
        <v>1590</v>
      </c>
      <c r="B112" s="3362" t="s">
        <v>2055</v>
      </c>
      <c r="C112" s="3362" t="str">
        <f>VLOOKUP(B112,'[3]old FS 命名转化 (F)'!$A$3:$B$190,2,FALSE)</f>
        <v>BP 145-45</v>
      </c>
    </row>
    <row r="113" spans="1:3">
      <c r="A113" s="3362" t="s">
        <v>1591</v>
      </c>
      <c r="B113" s="3362" t="s">
        <v>2056</v>
      </c>
      <c r="C113" s="3362" t="str">
        <f>VLOOKUP(B113,'[3]old FS 命名转化 (F)'!$A$3:$B$190,2,FALSE)</f>
        <v>BP 160-20</v>
      </c>
    </row>
    <row r="114" spans="1:3">
      <c r="A114" s="3362" t="s">
        <v>1592</v>
      </c>
      <c r="B114" s="3362" t="s">
        <v>2057</v>
      </c>
      <c r="C114" s="3362" t="str">
        <f>VLOOKUP(B114,'[3]old FS 命名转化 (F)'!$A$3:$B$190,2,FALSE)</f>
        <v>BP 160-25</v>
      </c>
    </row>
    <row r="115" spans="1:3">
      <c r="A115" s="3362" t="s">
        <v>1593</v>
      </c>
      <c r="B115" s="3362" t="s">
        <v>2058</v>
      </c>
      <c r="C115" s="3362" t="str">
        <f>VLOOKUP(B115,'[3]old FS 命名转化 (F)'!$A$3:$B$190,2,FALSE)</f>
        <v>BP 160-31</v>
      </c>
    </row>
    <row r="116" spans="1:3">
      <c r="A116" s="3362" t="s">
        <v>1594</v>
      </c>
      <c r="B116" s="3362" t="s">
        <v>2059</v>
      </c>
      <c r="C116" s="3362" t="str">
        <f>VLOOKUP(B116,'[3]old FS 命名转化 (F)'!$A$3:$B$190,2,FALSE)</f>
        <v>BP 160-35</v>
      </c>
    </row>
    <row r="117" spans="1:3">
      <c r="A117" s="3362" t="s">
        <v>1595</v>
      </c>
      <c r="B117" s="3362" t="s">
        <v>2060</v>
      </c>
      <c r="C117" s="3362" t="str">
        <f>VLOOKUP(B117,'[3]old FS 命名转化 (F)'!$A$3:$B$190,2,FALSE)</f>
        <v>BP 160-40</v>
      </c>
    </row>
    <row r="118" spans="1:3">
      <c r="A118" s="3362" t="s">
        <v>1596</v>
      </c>
      <c r="B118" s="3362" t="s">
        <v>2061</v>
      </c>
      <c r="C118" s="3362" t="str">
        <f>VLOOKUP(B118,'[3]old FS 命名转化 (F)'!$A$3:$B$190,2,FALSE)</f>
        <v>BP 160-50</v>
      </c>
    </row>
    <row r="119" spans="1:3">
      <c r="A119" s="3362" t="s">
        <v>1597</v>
      </c>
      <c r="B119" s="3362" t="s">
        <v>2062</v>
      </c>
      <c r="C119" s="3362" t="str">
        <f>VLOOKUP(B119,'[3]old FS 命名转化 (F)'!$A$3:$B$190,2,FALSE)</f>
        <v>BP 180-55</v>
      </c>
    </row>
    <row r="120" spans="1:3">
      <c r="A120" s="3362" t="s">
        <v>1598</v>
      </c>
      <c r="B120" s="3362" t="s">
        <v>2063</v>
      </c>
      <c r="C120" s="3362" t="str">
        <f>VLOOKUP(B120,'[3]old FS 命名转化 (F)'!$A$3:$B$190,2,FALSE)</f>
        <v>BP 190-63</v>
      </c>
    </row>
    <row r="121" spans="1:3">
      <c r="A121" s="3362" t="s">
        <v>1599</v>
      </c>
      <c r="B121" s="3362" t="s">
        <v>2064</v>
      </c>
      <c r="C121" s="3362" t="str">
        <f>VLOOKUP(B121,'[3]old FS 命名转化 (F)'!$A$3:$B$190,2,FALSE)</f>
        <v>BP 220-70</v>
      </c>
    </row>
    <row r="122" spans="1:3">
      <c r="A122" s="3362" t="s">
        <v>1600</v>
      </c>
      <c r="B122" s="3362" t="s">
        <v>2065</v>
      </c>
      <c r="C122" s="3362" t="str">
        <f>VLOOKUP(B122,'[3]old FS 命名转化 (F)'!$A$3:$B$190,2,FALSE)</f>
        <v>BP 250-80</v>
      </c>
    </row>
    <row r="123" spans="1:3">
      <c r="A123" s="3362" t="s">
        <v>1601</v>
      </c>
      <c r="B123" s="3362" t="s">
        <v>2066</v>
      </c>
      <c r="C123" s="3362" t="str">
        <f>VLOOKUP(B123,'[3]old FS 命名转化 (F)'!$A$3:$B$190,2,FALSE)</f>
        <v>FP 24</v>
      </c>
    </row>
    <row r="124" spans="1:3">
      <c r="A124" s="3362" t="s">
        <v>1694</v>
      </c>
      <c r="B124" s="3362" t="s">
        <v>2067</v>
      </c>
      <c r="C124" s="3362" t="str">
        <f>VLOOKUP(B124,'[3]old FS 命名转化 (F)'!$A$3:$B$190,2,FALSE)</f>
        <v>FP 33</v>
      </c>
    </row>
    <row r="125" spans="1:3">
      <c r="A125" s="3362" t="s">
        <v>1695</v>
      </c>
      <c r="B125" s="3362" t="s">
        <v>2068</v>
      </c>
      <c r="C125" s="3362" t="str">
        <f>VLOOKUP(B125,'[3]old FS 命名转化 (F)'!$A$3:$B$190,2,FALSE)</f>
        <v>DP 400-160</v>
      </c>
    </row>
    <row r="126" spans="1:3">
      <c r="A126" s="3362" t="s">
        <v>1602</v>
      </c>
      <c r="B126" s="3362" t="s">
        <v>2069</v>
      </c>
      <c r="C126" s="3362" t="str">
        <f>VLOOKUP(B126,'[3]old FS 命名转化 (F)'!$A$3:$B$190,2,FALSE)</f>
        <v>DP 400-200</v>
      </c>
    </row>
    <row r="127" spans="1:3">
      <c r="A127" s="3362" t="s">
        <v>1603</v>
      </c>
      <c r="B127" s="3362" t="s">
        <v>2070</v>
      </c>
      <c r="C127" s="3362" t="str">
        <f>VLOOKUP(B127,'[3]old FS 命名转化 (F)'!$A$3:$B$190,2,FALSE)</f>
        <v>DP 425-250</v>
      </c>
    </row>
    <row r="128" spans="1:3">
      <c r="A128" s="3362" t="s">
        <v>1604</v>
      </c>
      <c r="B128" s="3362" t="s">
        <v>2071</v>
      </c>
      <c r="C128" s="3362" t="str">
        <f>VLOOKUP(B128,'[3]old FS 命名转化 (F)'!$A$3:$B$190,2,FALSE)</f>
        <v>DP 500-250</v>
      </c>
    </row>
    <row r="129" spans="1:3">
      <c r="A129" s="3362" t="s">
        <v>1605</v>
      </c>
      <c r="B129" s="3362" t="s">
        <v>2072</v>
      </c>
      <c r="C129" s="3362" t="str">
        <f>VLOOKUP(B129,'[3]old FS 命名转化 (F)'!$A$3:$B$190,2,FALSE)</f>
        <v>DP 500-310</v>
      </c>
    </row>
    <row r="130" spans="1:3">
      <c r="A130" s="3362" t="s">
        <v>1606</v>
      </c>
      <c r="B130" s="3362" t="s">
        <v>2073</v>
      </c>
      <c r="C130" s="3362" t="str">
        <f>VLOOKUP(B130,'[3]old FS 命名转化 (F)'!$A$3:$B$190,2,FALSE)</f>
        <v>DP 600-250</v>
      </c>
    </row>
    <row r="131" spans="1:3">
      <c r="A131" s="3362" t="s">
        <v>1607</v>
      </c>
      <c r="B131" s="3362" t="s">
        <v>2074</v>
      </c>
      <c r="C131" s="3362" t="str">
        <f>VLOOKUP(B131,'[3]old FS 命名转化 (F)'!$A$3:$B$190,2,FALSE)</f>
        <v>DP 600-350</v>
      </c>
    </row>
    <row r="132" spans="1:3">
      <c r="A132" s="3362" t="s">
        <v>1608</v>
      </c>
      <c r="B132" s="3362" t="s">
        <v>2075</v>
      </c>
      <c r="C132" s="3362" t="str">
        <f>VLOOKUP(B132,'[3]old FS 命名转化 (F)'!$A$3:$B$190,2,FALSE)</f>
        <v>DP 675-350</v>
      </c>
    </row>
    <row r="133" spans="1:3">
      <c r="A133" s="3362" t="s">
        <v>1609</v>
      </c>
      <c r="B133" s="3362" t="s">
        <v>2076</v>
      </c>
      <c r="C133" s="3362" t="str">
        <f>VLOOKUP(B133,'[3]old FS 命名转化 (F)'!$A$3:$B$190,2,FALSE)</f>
        <v>DP 675-400</v>
      </c>
    </row>
    <row r="134" spans="1:3">
      <c r="A134" s="3362" t="s">
        <v>1610</v>
      </c>
      <c r="B134" s="3362" t="s">
        <v>2077</v>
      </c>
      <c r="C134" s="3362" t="str">
        <f>VLOOKUP(B134,'[3]old FS 命名转化 (F)'!$A$3:$B$190,2,FALSE)</f>
        <v>DP 725-450</v>
      </c>
    </row>
    <row r="135" spans="1:3">
      <c r="A135" s="3362" t="s">
        <v>1611</v>
      </c>
      <c r="B135" s="3362" t="s">
        <v>2078</v>
      </c>
      <c r="C135" s="3362" t="str">
        <f>VLOOKUP(B135,'[3]old FS 命名转化 (F)'!$A$3:$B$190,2,FALSE)</f>
        <v>DP 800-400</v>
      </c>
    </row>
    <row r="136" spans="1:3">
      <c r="A136" s="3362" t="s">
        <v>1612</v>
      </c>
      <c r="B136" s="3362" t="s">
        <v>2079</v>
      </c>
      <c r="C136" s="3362" t="str">
        <f>VLOOKUP(B136,'[3]old FS 命名转化 (F)'!$A$3:$B$190,2,FALSE)</f>
        <v>DP 800-500</v>
      </c>
    </row>
    <row r="137" spans="1:3">
      <c r="A137" s="3362" t="s">
        <v>1613</v>
      </c>
      <c r="B137" s="3362" t="s">
        <v>2080</v>
      </c>
      <c r="C137" s="3362" t="str">
        <f>VLOOKUP(B137,'[3]old FS 命名转化 (F)'!$A$3:$B$190,2,FALSE)</f>
        <v>DP 900-550</v>
      </c>
    </row>
    <row r="138" spans="1:3">
      <c r="A138" s="3362" t="s">
        <v>1614</v>
      </c>
      <c r="B138" s="3362" t="s">
        <v>2081</v>
      </c>
      <c r="C138" s="3362" t="str">
        <f>VLOOKUP(B138,'[3]old FS 命名转化 (F)'!$A$3:$B$190,2,FALSE)</f>
        <v>DP 950-625</v>
      </c>
    </row>
    <row r="139" spans="1:3">
      <c r="A139" s="3362" t="s">
        <v>1615</v>
      </c>
      <c r="B139" s="3362" t="s">
        <v>2082</v>
      </c>
      <c r="C139" s="3362" t="str">
        <f>VLOOKUP(B139,'[3]old FS 命名转化 (F)'!$A$3:$B$190,2,FALSE)</f>
        <v>DP 1100-700</v>
      </c>
    </row>
    <row r="140" spans="1:3">
      <c r="A140" s="3362" t="s">
        <v>1616</v>
      </c>
      <c r="B140" s="3362" t="s">
        <v>2084</v>
      </c>
      <c r="C140" s="3362" t="str">
        <f>VLOOKUP(B140,'[3]old FS 命名转化 (F)'!$A$3:$B$190,2,FALSE)</f>
        <v>DP 1250-800</v>
      </c>
    </row>
    <row r="141" spans="1:3">
      <c r="A141" s="3362" t="s">
        <v>1617</v>
      </c>
      <c r="B141" s="3362" t="s">
        <v>2085</v>
      </c>
      <c r="C141" s="3362" t="str">
        <f>VLOOKUP(B141,'[3]old FS 命名转化 (F)'!$A$3:$B$190,2,FALSE)</f>
        <v>CP 5-370</v>
      </c>
    </row>
    <row r="142" spans="1:3">
      <c r="A142" s="3362" t="s">
        <v>1618</v>
      </c>
      <c r="B142" s="3362" t="s">
        <v>2085</v>
      </c>
      <c r="C142" s="3362" t="str">
        <f>VLOOKUP(B142,'[3]old FS 命名转化 (F)'!$A$3:$B$190,2,FALSE)</f>
        <v>CP 5-370</v>
      </c>
    </row>
    <row r="143" spans="1:3">
      <c r="A143" s="3362" t="s">
        <v>1696</v>
      </c>
      <c r="B143" s="3362" t="s">
        <v>2086</v>
      </c>
      <c r="C143" s="3362" t="str">
        <f>VLOOKUP(B143,'[3]old FS 命名转化 (F)'!$A$3:$B$190,2,FALSE)</f>
        <v>CP 10-370</v>
      </c>
    </row>
    <row r="144" spans="1:3">
      <c r="A144" s="3362" t="s">
        <v>1697</v>
      </c>
      <c r="B144" s="3362" t="s">
        <v>2086</v>
      </c>
      <c r="C144" s="3362" t="str">
        <f>VLOOKUP(B144,'[3]old FS 命名转化 (F)'!$A$3:$B$190,2,FALSE)</f>
        <v>CP 10-370</v>
      </c>
    </row>
    <row r="145" spans="1:3">
      <c r="A145" s="3362" t="s">
        <v>1619</v>
      </c>
      <c r="B145" s="3362" t="s">
        <v>2087</v>
      </c>
      <c r="C145" s="3362" t="str">
        <f>VLOOKUP(B145,'[3]old FS 命名转化 (F)'!$A$3:$B$190,2,FALSE)</f>
        <v>CP 15-370</v>
      </c>
    </row>
    <row r="146" spans="1:3">
      <c r="A146" s="3362" t="s">
        <v>1698</v>
      </c>
      <c r="B146" s="3362" t="s">
        <v>2087</v>
      </c>
      <c r="C146" s="3362" t="str">
        <f>VLOOKUP(B146,'[3]old FS 命名转化 (F)'!$A$3:$B$190,2,FALSE)</f>
        <v>CP 15-370</v>
      </c>
    </row>
    <row r="147" spans="1:3">
      <c r="A147" s="3362" t="s">
        <v>1620</v>
      </c>
      <c r="B147" s="3362" t="s">
        <v>2088</v>
      </c>
      <c r="C147" s="3362" t="str">
        <f>VLOOKUP(B147,'[3]old FS 命名转化 (F)'!$A$3:$B$190,2,FALSE)</f>
        <v>CP 20-370</v>
      </c>
    </row>
    <row r="148" spans="1:3">
      <c r="A148" s="3362" t="s">
        <v>1621</v>
      </c>
      <c r="B148" s="3362" t="s">
        <v>2089</v>
      </c>
      <c r="C148" s="3362" t="str">
        <f>VLOOKUP(B148,'[3]old FS 命名转化 (F)'!$A$3:$B$190,2,FALSE)</f>
        <v>CP 30-370</v>
      </c>
    </row>
    <row r="149" spans="1:3">
      <c r="A149" s="3362" t="s">
        <v>1699</v>
      </c>
      <c r="B149" s="3362" t="s">
        <v>2090</v>
      </c>
      <c r="C149" s="3362" t="str">
        <f>VLOOKUP(B149,'[3]old FS 命名转化 (F)'!$A$3:$B$190,2,FALSE)</f>
        <v>CP 30-370vA</v>
      </c>
    </row>
    <row r="150" spans="1:3">
      <c r="A150" s="3362" t="s">
        <v>1700</v>
      </c>
      <c r="B150" s="3362" t="s">
        <v>2091</v>
      </c>
      <c r="C150" s="3362" t="str">
        <f>VLOOKUP(B150,'[3]old FS 命名转化 (F)'!$A$3:$B$190,2,FALSE)</f>
        <v>CP 30-370vB</v>
      </c>
    </row>
    <row r="151" spans="1:3">
      <c r="A151" s="3362" t="s">
        <v>1622</v>
      </c>
      <c r="B151" s="3362" t="s">
        <v>2092</v>
      </c>
      <c r="C151" s="3362" t="str">
        <f>VLOOKUP(B151,'[3]old FS 命名转化 (F)'!$A$3:$B$190,2,FALSE)</f>
        <v>CP 5-530</v>
      </c>
    </row>
    <row r="152" spans="1:3">
      <c r="A152" s="3362" t="s">
        <v>1623</v>
      </c>
      <c r="B152" s="3362" t="s">
        <v>2092</v>
      </c>
      <c r="C152" s="3362" t="str">
        <f>VLOOKUP(B152,'[3]old FS 命名转化 (F)'!$A$3:$B$190,2,FALSE)</f>
        <v>CP 5-530</v>
      </c>
    </row>
    <row r="153" spans="1:3">
      <c r="A153" s="3362" t="s">
        <v>1701</v>
      </c>
      <c r="B153" s="3362" t="s">
        <v>2093</v>
      </c>
      <c r="C153" s="3362" t="str">
        <f>VLOOKUP(B153,'[3]old FS 命名转化 (F)'!$A$3:$B$190,2,FALSE)</f>
        <v>CP 10-530</v>
      </c>
    </row>
    <row r="154" spans="1:3">
      <c r="A154" s="3362" t="s">
        <v>1702</v>
      </c>
      <c r="B154" s="3362" t="s">
        <v>2093</v>
      </c>
      <c r="C154" s="3362" t="str">
        <f>VLOOKUP(B154,'[3]old FS 命名转化 (F)'!$A$3:$B$190,2,FALSE)</f>
        <v>CP 10-530</v>
      </c>
    </row>
    <row r="155" spans="1:3">
      <c r="A155" s="3362" t="s">
        <v>1624</v>
      </c>
      <c r="B155" s="3362" t="s">
        <v>2094</v>
      </c>
      <c r="C155" s="3362" t="str">
        <f>VLOOKUP(B155,'[3]old FS 命名转化 (F)'!$A$3:$B$190,2,FALSE)</f>
        <v>CP 15-530</v>
      </c>
    </row>
    <row r="156" spans="1:3">
      <c r="A156" s="3362" t="s">
        <v>1703</v>
      </c>
      <c r="B156" s="3362" t="s">
        <v>2094</v>
      </c>
      <c r="C156" s="3362" t="str">
        <f>VLOOKUP(B156,'[3]old FS 命名转化 (F)'!$A$3:$B$190,2,FALSE)</f>
        <v>CP 15-530</v>
      </c>
    </row>
    <row r="157" spans="1:3">
      <c r="A157" s="3362" t="s">
        <v>1625</v>
      </c>
      <c r="B157" s="3362" t="s">
        <v>2095</v>
      </c>
      <c r="C157" s="3362" t="str">
        <f>VLOOKUP(B157,'[3]old FS 命名转化 (F)'!$A$3:$B$190,2,FALSE)</f>
        <v>CP 25-530</v>
      </c>
    </row>
    <row r="158" spans="1:3">
      <c r="A158" s="3362" t="s">
        <v>1626</v>
      </c>
      <c r="B158" s="3362" t="s">
        <v>2097</v>
      </c>
      <c r="C158" s="3362" t="str">
        <f>VLOOKUP(B158,'[3]old FS 命名转化 (F)'!$A$3:$B$190,2,FALSE)</f>
        <v>CP 35-530</v>
      </c>
    </row>
    <row r="159" spans="1:3">
      <c r="A159" s="3362" t="s">
        <v>1627</v>
      </c>
      <c r="B159" s="3362" t="s">
        <v>2098</v>
      </c>
      <c r="C159" s="3362" t="str">
        <f>VLOOKUP(B159,'[3]old FS 命名转化 (F)'!$A$3:$B$190,2,FALSE)</f>
        <v>CP 5-630</v>
      </c>
    </row>
    <row r="160" spans="1:3">
      <c r="A160" s="3362" t="s">
        <v>1628</v>
      </c>
      <c r="B160" s="3362" t="s">
        <v>2098</v>
      </c>
      <c r="C160" s="3362" t="str">
        <f>VLOOKUP(B160,'[3]old FS 命名转化 (F)'!$A$3:$B$190,2,FALSE)</f>
        <v>CP 5-630</v>
      </c>
    </row>
    <row r="161" spans="1:3">
      <c r="A161" s="3362" t="s">
        <v>1704</v>
      </c>
      <c r="B161" s="3362" t="s">
        <v>2099</v>
      </c>
      <c r="C161" s="3362" t="str">
        <f>VLOOKUP(B161,'[3]old FS 命名转化 (F)'!$A$3:$B$190,2,FALSE)</f>
        <v>CP 10-630</v>
      </c>
    </row>
    <row r="162" spans="1:3">
      <c r="A162" s="3362" t="s">
        <v>1705</v>
      </c>
      <c r="B162" s="3362" t="s">
        <v>2099</v>
      </c>
      <c r="C162" s="3362" t="str">
        <f>VLOOKUP(B162,'[3]old FS 命名转化 (F)'!$A$3:$B$190,2,FALSE)</f>
        <v>CP 10-630</v>
      </c>
    </row>
    <row r="163" spans="1:3">
      <c r="A163" s="3362" t="s">
        <v>1706</v>
      </c>
      <c r="B163" s="3362" t="s">
        <v>2100</v>
      </c>
      <c r="C163" s="3362" t="str">
        <f>VLOOKUP(B163,'[3]old FS 命名转化 (F)'!$A$3:$B$190,2,FALSE)</f>
        <v>CP 15-630</v>
      </c>
    </row>
    <row r="164" spans="1:3">
      <c r="A164" s="3362" t="s">
        <v>1629</v>
      </c>
      <c r="B164" s="3362" t="s">
        <v>2101</v>
      </c>
      <c r="C164" s="3362" t="str">
        <f>VLOOKUP(B164,'[3]old FS 命名转化 (F)'!$A$3:$B$190,2,FALSE)</f>
        <v>CP 25-630</v>
      </c>
    </row>
    <row r="165" spans="1:3">
      <c r="A165" s="3362" t="s">
        <v>1630</v>
      </c>
      <c r="B165" s="3362" t="s">
        <v>2102</v>
      </c>
      <c r="C165" s="3362" t="str">
        <f>VLOOKUP(B165,'[3]old FS 命名转化 (F)'!$A$3:$B$190,2,FALSE)</f>
        <v>CP 35-630</v>
      </c>
    </row>
    <row r="166" spans="1:3">
      <c r="A166" s="3362" t="s">
        <v>1631</v>
      </c>
      <c r="B166" s="3362" t="s">
        <v>2103</v>
      </c>
      <c r="C166" s="3362" t="str">
        <f>VLOOKUP(B166,'[3]old FS 命名转化 (F)'!$A$3:$B$190,2,FALSE)</f>
        <v>CP 5-700</v>
      </c>
    </row>
    <row r="167" spans="1:3">
      <c r="A167" s="3362" t="s">
        <v>1632</v>
      </c>
      <c r="B167" s="3362" t="s">
        <v>2103</v>
      </c>
      <c r="C167" s="3362" t="str">
        <f>VLOOKUP(B167,'[3]old FS 命名转化 (F)'!$A$3:$B$190,2,FALSE)</f>
        <v>CP 5-700</v>
      </c>
    </row>
    <row r="168" spans="1:3">
      <c r="A168" s="3362" t="s">
        <v>1707</v>
      </c>
      <c r="B168" s="3362" t="s">
        <v>2104</v>
      </c>
      <c r="C168" s="3362" t="str">
        <f>VLOOKUP(B168,'[3]old FS 命名转化 (F)'!$A$3:$B$190,2,FALSE)</f>
        <v>CP 10-700</v>
      </c>
    </row>
    <row r="169" spans="1:3">
      <c r="A169" s="3362" t="s">
        <v>1708</v>
      </c>
      <c r="B169" s="3362" t="s">
        <v>2104</v>
      </c>
      <c r="C169" s="3362" t="str">
        <f>VLOOKUP(B169,'[3]old FS 命名转化 (F)'!$A$3:$B$190,2,FALSE)</f>
        <v>CP 10-700</v>
      </c>
    </row>
    <row r="170" spans="1:3">
      <c r="A170" s="3362" t="s">
        <v>1633</v>
      </c>
      <c r="B170" s="3362" t="s">
        <v>2105</v>
      </c>
      <c r="C170" s="3362" t="str">
        <f>VLOOKUP(B170,'[3]old FS 命名转化 (F)'!$A$3:$B$190,2,FALSE)</f>
        <v>CP 15-700</v>
      </c>
    </row>
    <row r="171" spans="1:3">
      <c r="A171" s="3362" t="s">
        <v>1709</v>
      </c>
      <c r="B171" s="3362" t="s">
        <v>2105</v>
      </c>
      <c r="C171" s="3362" t="str">
        <f>VLOOKUP(B171,'[3]old FS 命名转化 (F)'!$A$3:$B$190,2,FALSE)</f>
        <v>CP 15-700</v>
      </c>
    </row>
    <row r="172" spans="1:3">
      <c r="A172" s="3362" t="s">
        <v>1634</v>
      </c>
      <c r="B172" s="3362" t="s">
        <v>2106</v>
      </c>
      <c r="C172" s="3362" t="str">
        <f>VLOOKUP(B172,'[3]old FS 命名转化 (F)'!$A$3:$B$190,2,FALSE)</f>
        <v>CP 25-700</v>
      </c>
    </row>
    <row r="173" spans="1:3">
      <c r="A173" s="3362" t="s">
        <v>1635</v>
      </c>
      <c r="B173" s="3362" t="s">
        <v>2107</v>
      </c>
      <c r="C173" s="3362" t="str">
        <f>VLOOKUP(B173,'[3]old FS 命名转化 (F)'!$A$3:$B$190,2,FALSE)</f>
        <v>CP 5-750</v>
      </c>
    </row>
    <row r="174" spans="1:3">
      <c r="A174" s="3362" t="s">
        <v>1710</v>
      </c>
      <c r="B174" s="3362" t="s">
        <v>2108</v>
      </c>
      <c r="C174" s="3362" t="str">
        <f>VLOOKUP(B174,'[3]old FS 命名转化 (F)'!$A$3:$B$190,2,FALSE)</f>
        <v>CP 10-750</v>
      </c>
    </row>
    <row r="175" spans="1:3">
      <c r="A175" s="3362" t="s">
        <v>1711</v>
      </c>
      <c r="B175" s="3362" t="s">
        <v>2109</v>
      </c>
      <c r="C175" s="3362" t="str">
        <f>VLOOKUP(B175,'[3]old FS 命名转化 (F)'!$A$3:$B$190,2,FALSE)</f>
        <v>CP 15-750</v>
      </c>
    </row>
    <row r="176" spans="1:3">
      <c r="A176" s="3362" t="s">
        <v>1636</v>
      </c>
      <c r="B176" s="3362" t="s">
        <v>2110</v>
      </c>
      <c r="C176" s="3362" t="str">
        <f>VLOOKUP(B176,'[3]old FS 命名转化 (F)'!$A$3:$B$190,2,FALSE)</f>
        <v>CP 25-750</v>
      </c>
    </row>
    <row r="177" spans="1:3">
      <c r="A177" s="3362" t="s">
        <v>1712</v>
      </c>
      <c r="B177" s="3362" t="s">
        <v>2111</v>
      </c>
      <c r="C177" s="3362" t="str">
        <f>VLOOKUP(B177,'[3]old FS 命名转化 (F)'!$A$3:$B$190,2,FALSE)</f>
        <v>CP 10-775</v>
      </c>
    </row>
    <row r="178" spans="1:3">
      <c r="A178" s="3362" t="s">
        <v>1713</v>
      </c>
      <c r="B178" s="3362" t="s">
        <v>2112</v>
      </c>
      <c r="C178" s="3362" t="str">
        <f>VLOOKUP(B178,'[3]old FS 命名转化 (F)'!$A$3:$B$190,2,FALSE)</f>
        <v>CP 25-775</v>
      </c>
    </row>
    <row r="179" spans="1:3">
      <c r="A179" s="3362" t="s">
        <v>1637</v>
      </c>
      <c r="B179" s="3362" t="s">
        <v>2113</v>
      </c>
      <c r="C179" s="3362" t="str">
        <f>VLOOKUP(B179,'[3]old FS 命名转化 (F)'!$A$3:$B$190,2,FALSE)</f>
        <v>EP 200</v>
      </c>
    </row>
    <row r="180" spans="1:3">
      <c r="A180" s="3362" t="s">
        <v>1714</v>
      </c>
      <c r="B180" s="3362" t="s">
        <v>2114</v>
      </c>
      <c r="C180" s="3362" t="str">
        <f>VLOOKUP(B180,'[3]old FS 命名转化 (F)'!$A$3:$B$190,2,FALSE)</f>
        <v>EP 200vA</v>
      </c>
    </row>
    <row r="181" spans="1:3">
      <c r="A181" s="3362" t="s">
        <v>1638</v>
      </c>
      <c r="B181" s="3362" t="s">
        <v>2115</v>
      </c>
      <c r="C181" s="3362" t="str">
        <f>VLOOKUP(B181,'[3]old FS 命名转化 (F)'!$A$3:$B$190,2,FALSE)</f>
        <v>EP 265</v>
      </c>
    </row>
    <row r="182" spans="1:3">
      <c r="A182" s="3362" t="s">
        <v>1715</v>
      </c>
      <c r="B182" s="3362" t="s">
        <v>2116</v>
      </c>
      <c r="C182" s="3362" t="str">
        <f>VLOOKUP(B182,'[3]old FS 命名转化 (F)'!$A$3:$B$190,2,FALSE)</f>
        <v>EP  265</v>
      </c>
    </row>
    <row r="183" spans="1:3">
      <c r="A183" s="3362" t="s">
        <v>1639</v>
      </c>
      <c r="B183" s="3362" t="s">
        <v>2117</v>
      </c>
      <c r="C183" s="3362" t="str">
        <f>VLOOKUP(B183,'[3]old FS 命名转化 (F)'!$A$3:$B$190,2,FALSE)</f>
        <v>EP 315</v>
      </c>
    </row>
    <row r="184" spans="1:3">
      <c r="A184" s="3362" t="s">
        <v>1716</v>
      </c>
      <c r="B184" s="3362" t="s">
        <v>2118</v>
      </c>
      <c r="C184" s="3362" t="str">
        <f>VLOOKUP(B184,'[3]old FS 命名转化 (F)'!$A$3:$B$190,2,FALSE)</f>
        <v>EP  315</v>
      </c>
    </row>
    <row r="185" spans="1:3">
      <c r="A185" s="3362" t="s">
        <v>1640</v>
      </c>
      <c r="B185" s="3362" t="s">
        <v>2119</v>
      </c>
      <c r="C185" s="3362" t="str">
        <f>VLOOKUP(B185,'[3]old FS 命名转化 (F)'!$A$3:$B$190,2,FALSE)</f>
        <v>EP 365</v>
      </c>
    </row>
    <row r="186" spans="1:3">
      <c r="A186" s="3362" t="s">
        <v>1717</v>
      </c>
      <c r="B186" s="3362" t="s">
        <v>2120</v>
      </c>
      <c r="C186" s="3362" t="str">
        <f>VLOOKUP(B186,'[3]old FS 命名转化 (F)'!$A$3:$B$190,2,FALSE)</f>
        <v>EP  365</v>
      </c>
    </row>
    <row r="187" spans="1:3">
      <c r="A187" s="3362" t="s">
        <v>1641</v>
      </c>
      <c r="B187" s="3362" t="s">
        <v>2121</v>
      </c>
      <c r="C187" s="3362" t="str">
        <f>VLOOKUP(B187,'[3]old FS 命名转化 (F)'!$A$3:$B$190,2,FALSE)</f>
        <v>EP 425</v>
      </c>
    </row>
    <row r="188" spans="1:3">
      <c r="A188" s="3362" t="s">
        <v>1718</v>
      </c>
      <c r="B188" s="3362" t="s">
        <v>2122</v>
      </c>
      <c r="C188" s="3362" t="str">
        <f>VLOOKUP(B188,'[3]old FS 命名转化 (F)'!$A$3:$B$190,2,FALSE)</f>
        <v>EP  425</v>
      </c>
    </row>
    <row r="189" spans="1:3">
      <c r="A189" s="3362" t="s">
        <v>1642</v>
      </c>
      <c r="B189" s="3362" t="s">
        <v>2123</v>
      </c>
      <c r="C189" s="3362" t="str">
        <f>VLOOKUP(B189,'[3]old FS 命名转化 (F)'!$A$3:$B$190,2,FALSE)</f>
        <v>EP 465</v>
      </c>
    </row>
    <row r="190" spans="1:3">
      <c r="A190" s="3362" t="s">
        <v>1719</v>
      </c>
      <c r="B190" s="3362" t="s">
        <v>2124</v>
      </c>
      <c r="C190" s="3362" t="str">
        <f>VLOOKUP(B190,'[3]old FS 命名转化 (F)'!$A$3:$B$190,2,FALSE)</f>
        <v>EP  465</v>
      </c>
    </row>
    <row r="191" spans="1:3">
      <c r="A191" s="3362" t="s">
        <v>1643</v>
      </c>
      <c r="B191" s="3362" t="s">
        <v>2125</v>
      </c>
      <c r="C191" s="3362" t="str">
        <f>VLOOKUP(B191,'[3]old FS 命名转化 (F)'!$A$3:$B$190,2,FALSE)</f>
        <v>EP 515</v>
      </c>
    </row>
    <row r="192" spans="1:3">
      <c r="A192" s="3362" t="s">
        <v>1644</v>
      </c>
      <c r="B192" s="3362" t="s">
        <v>2126</v>
      </c>
      <c r="C192" s="3362" t="str">
        <f>VLOOKUP(B192,'[3]old FS 命名转化 (F)'!$A$3:$B$190,2,FALSE)</f>
        <v>EP 565</v>
      </c>
    </row>
    <row r="193" spans="1:3">
      <c r="A193" s="3362" t="s">
        <v>1645</v>
      </c>
      <c r="B193" s="3362" t="s">
        <v>2127</v>
      </c>
      <c r="C193" s="3362" t="str">
        <f>VLOOKUP(B193,'[3]old FS 命名转化 (F)'!$A$3:$B$190,2,FALSE)</f>
        <v>EP 615</v>
      </c>
    </row>
    <row r="194" spans="1:3">
      <c r="A194" s="3362" t="s">
        <v>1646</v>
      </c>
      <c r="B194" s="3362" t="s">
        <v>2128</v>
      </c>
      <c r="C194" s="3362" t="str">
        <f>VLOOKUP(B194,'[3]old FS 命名转化 (F)'!$A$3:$B$190,2,FALSE)</f>
        <v>EP 765</v>
      </c>
    </row>
    <row r="195" spans="1:3">
      <c r="A195" s="3362" t="s">
        <v>1647</v>
      </c>
      <c r="B195" s="3362" t="s">
        <v>2129</v>
      </c>
      <c r="C195" s="3362" t="str">
        <f>VLOOKUP(B195,'[3]old FS 命名转化 (F)'!$A$3:$B$190,2,FALSE)</f>
        <v>EP 815</v>
      </c>
    </row>
    <row r="196" spans="1:3">
      <c r="A196" s="3362" t="s">
        <v>1648</v>
      </c>
      <c r="B196" s="3362" t="s">
        <v>2131</v>
      </c>
      <c r="C196" s="3362" t="str">
        <f>VLOOKUP(B196,'[3]old FS 命名转化 (F)'!$A$3:$B$190,2,FALSE)</f>
        <v>EP 1000</v>
      </c>
    </row>
    <row r="197" spans="1:3">
      <c r="A197" s="3362" t="s">
        <v>1649</v>
      </c>
      <c r="B197" s="3362" t="s">
        <v>2132</v>
      </c>
      <c r="C197" s="3362" t="str">
        <f>VLOOKUP(B197,'[3]old FS 命名转化 (F)'!$A$3:$B$190,2,FALSE)</f>
        <v>EP 1100</v>
      </c>
    </row>
    <row r="198" spans="1:3">
      <c r="A198" s="3362" t="s">
        <v>1650</v>
      </c>
      <c r="B198" s="3362" t="s">
        <v>2133</v>
      </c>
      <c r="C198" s="3362" t="str">
        <f>VLOOKUP(B198,'[3]old FS 命名转化 (F)'!$A$3:$B$190,2,FALSE)</f>
        <v>EP 650</v>
      </c>
    </row>
    <row r="199" spans="1:3">
      <c r="A199" s="3362" t="s">
        <v>1651</v>
      </c>
      <c r="B199" s="3362" t="s">
        <v>2134</v>
      </c>
      <c r="C199" s="3362" t="str">
        <f>VLOOKUP(B199,'[3]old FS 命名转化 (F)'!$A$3:$B$190,2,FALSE)</f>
        <v>EP 700</v>
      </c>
    </row>
    <row r="200" spans="1:3">
      <c r="A200" s="3362" t="s">
        <v>1652</v>
      </c>
      <c r="B200" s="3362" t="s">
        <v>2135</v>
      </c>
      <c r="C200" s="3362" t="str">
        <f>VLOOKUP(B200,'[3]old FS 命名转化 (F)'!$A$3:$B$190,2,FALSE)</f>
        <v>FP 315</v>
      </c>
    </row>
    <row r="201" spans="1:3">
      <c r="A201" s="3362" t="s">
        <v>1720</v>
      </c>
      <c r="B201" s="3362" t="s">
        <v>2136</v>
      </c>
      <c r="C201" s="3362" t="str">
        <f>VLOOKUP(B201,'[3]old FS 命名转化 (F)'!$A$3:$B$190,2,FALSE)</f>
        <v>FP  315</v>
      </c>
    </row>
    <row r="202" spans="1:3">
      <c r="A202" s="3362" t="s">
        <v>1653</v>
      </c>
      <c r="B202" s="3362" t="s">
        <v>2137</v>
      </c>
      <c r="C202" s="3362" t="str">
        <f>VLOOKUP(B202,'[3]old FS 命名转化 (F)'!$A$3:$B$190,2,FALSE)</f>
        <v>FP 365</v>
      </c>
    </row>
    <row r="203" spans="1:3">
      <c r="A203" s="3362" t="s">
        <v>1721</v>
      </c>
      <c r="B203" s="3362" t="s">
        <v>2138</v>
      </c>
      <c r="C203" s="3362" t="str">
        <f>VLOOKUP(B203,'[3]old FS 命名转化 (F)'!$A$3:$B$190,2,FALSE)</f>
        <v>FP  365</v>
      </c>
    </row>
    <row r="204" spans="1:3">
      <c r="A204" s="3362" t="s">
        <v>1654</v>
      </c>
      <c r="B204" s="3362" t="s">
        <v>2139</v>
      </c>
      <c r="C204" s="3362" t="str">
        <f>VLOOKUP(B204,'[3]old FS 命名转化 (F)'!$A$3:$B$190,2,FALSE)</f>
        <v>FP 425</v>
      </c>
    </row>
    <row r="205" spans="1:3">
      <c r="A205" s="3362" t="s">
        <v>1722</v>
      </c>
      <c r="B205" s="3362" t="s">
        <v>2140</v>
      </c>
      <c r="C205" s="3362" t="str">
        <f>VLOOKUP(B205,'[3]old FS 命名转化 (F)'!$A$3:$B$190,2,FALSE)</f>
        <v>FP  425</v>
      </c>
    </row>
    <row r="206" spans="1:3">
      <c r="A206" s="3362" t="s">
        <v>1655</v>
      </c>
      <c r="B206" s="3362" t="s">
        <v>2141</v>
      </c>
      <c r="C206" s="3362" t="str">
        <f>VLOOKUP(B206,'[3]old FS 命名转化 (F)'!$A$3:$B$190,2,FALSE)</f>
        <v>FP 425-370</v>
      </c>
    </row>
    <row r="207" spans="1:3">
      <c r="A207" s="3362" t="s">
        <v>1723</v>
      </c>
      <c r="B207" s="3362" t="s">
        <v>2142</v>
      </c>
      <c r="C207" s="3362" t="str">
        <f>VLOOKUP(B207,'[3]old FS 命名转化 (F)'!$A$3:$B$190,2,FALSE)</f>
        <v>FP 425-400</v>
      </c>
    </row>
    <row r="208" spans="1:3">
      <c r="A208" s="3362" t="s">
        <v>1656</v>
      </c>
      <c r="B208" s="3362" t="s">
        <v>2143</v>
      </c>
      <c r="C208" s="3362" t="str">
        <f>VLOOKUP(B208,'[3]old FS 命名转化 (F)'!$A$3:$B$190,2,FALSE)</f>
        <v>FP 465</v>
      </c>
    </row>
    <row r="209" spans="1:3">
      <c r="A209" s="3362" t="s">
        <v>1724</v>
      </c>
      <c r="B209" s="3362" t="s">
        <v>2144</v>
      </c>
      <c r="C209" s="3362" t="str">
        <f>VLOOKUP(B209,'[3]old FS 命名转化 (F)'!$A$3:$B$190,2,FALSE)</f>
        <v>FP  465</v>
      </c>
    </row>
    <row r="210" spans="1:3">
      <c r="A210" s="3362" t="s">
        <v>1657</v>
      </c>
      <c r="B210" s="3362" t="s">
        <v>2145</v>
      </c>
      <c r="C210" s="3362" t="str">
        <f>VLOOKUP(B210,'[3]old FS 命名转化 (F)'!$A$3:$B$190,2,FALSE)</f>
        <v>FP 515</v>
      </c>
    </row>
    <row r="211" spans="1:3">
      <c r="A211" s="3362" t="s">
        <v>1658</v>
      </c>
      <c r="B211" s="3362" t="s">
        <v>2146</v>
      </c>
      <c r="C211" s="3362" t="str">
        <f>VLOOKUP(B211,'[3]old FS 命名转化 (F)'!$A$3:$B$190,2,FALSE)</f>
        <v>GP 315</v>
      </c>
    </row>
    <row r="212" spans="1:3">
      <c r="A212" s="3362" t="s">
        <v>1725</v>
      </c>
      <c r="B212" s="3362" t="s">
        <v>2147</v>
      </c>
      <c r="C212" s="3362" t="str">
        <f>VLOOKUP(B212,'[3]old FS 命名转化 (F)'!$A$3:$B$190,2,FALSE)</f>
        <v>GP 315X</v>
      </c>
    </row>
    <row r="213" spans="1:3">
      <c r="A213" s="3362" t="s">
        <v>1659</v>
      </c>
      <c r="B213" s="3362" t="s">
        <v>2148</v>
      </c>
      <c r="C213" s="3362" t="str">
        <f>VLOOKUP(B213,'[3]old FS 命名转化 (F)'!$A$3:$B$190,2,FALSE)</f>
        <v>GP 365</v>
      </c>
    </row>
    <row r="214" spans="1:3">
      <c r="A214" s="3362" t="s">
        <v>1726</v>
      </c>
      <c r="B214" s="3362" t="s">
        <v>2149</v>
      </c>
      <c r="C214" s="3362" t="str">
        <f>VLOOKUP(B214,'[3]old FS 命名转化 (F)'!$A$3:$B$190,2,FALSE)</f>
        <v>GP365X</v>
      </c>
    </row>
    <row r="215" spans="1:3">
      <c r="A215" s="3362" t="s">
        <v>1660</v>
      </c>
      <c r="B215" s="3362" t="s">
        <v>2150</v>
      </c>
      <c r="C215" s="3362" t="str">
        <f>VLOOKUP(B215,'[3]old FS 命名转化 (F)'!$A$3:$B$190,2,FALSE)</f>
        <v>GP 425</v>
      </c>
    </row>
    <row r="216" spans="1:3">
      <c r="A216" s="3362" t="s">
        <v>1727</v>
      </c>
      <c r="B216" s="3362" t="s">
        <v>2151</v>
      </c>
      <c r="C216" s="3363" t="s">
        <v>4431</v>
      </c>
    </row>
    <row r="217" spans="1:3">
      <c r="A217" s="3362" t="s">
        <v>1661</v>
      </c>
      <c r="B217" s="3362" t="s">
        <v>2153</v>
      </c>
      <c r="C217" s="3363" t="s">
        <v>4432</v>
      </c>
    </row>
    <row r="218" spans="1:3">
      <c r="A218" s="3362" t="s">
        <v>1728</v>
      </c>
      <c r="B218" s="3362" t="s">
        <v>2154</v>
      </c>
      <c r="C218" s="3363" t="s">
        <v>4433</v>
      </c>
    </row>
    <row r="219" spans="1:3" s="3364" customFormat="1">
      <c r="A219" s="3364" t="s">
        <v>1883</v>
      </c>
      <c r="B219" s="3364" t="s">
        <v>1513</v>
      </c>
      <c r="C219" s="3364" t="s">
        <v>4434</v>
      </c>
    </row>
    <row r="220" spans="1:3">
      <c r="A220" s="3362" t="s">
        <v>1885</v>
      </c>
      <c r="B220" s="3362" t="s">
        <v>1514</v>
      </c>
      <c r="C220" s="3362" t="s">
        <v>4435</v>
      </c>
    </row>
    <row r="221" spans="1:3">
      <c r="A221" s="3362" t="s">
        <v>1887</v>
      </c>
      <c r="B221" s="3362" t="s">
        <v>1515</v>
      </c>
      <c r="C221" s="3362" t="s">
        <v>4436</v>
      </c>
    </row>
    <row r="222" spans="1:3">
      <c r="A222" s="3362" t="s">
        <v>1889</v>
      </c>
      <c r="B222" s="3362" t="s">
        <v>1516</v>
      </c>
      <c r="C222" s="3362" t="s">
        <v>4437</v>
      </c>
    </row>
    <row r="223" spans="1:3">
      <c r="A223" s="3362" t="s">
        <v>1891</v>
      </c>
      <c r="B223" s="3362" t="s">
        <v>1680</v>
      </c>
      <c r="C223" s="3362" t="s">
        <v>4437</v>
      </c>
    </row>
    <row r="224" spans="1:3">
      <c r="A224" s="3362" t="s">
        <v>1893</v>
      </c>
      <c r="B224" s="3362" t="s">
        <v>1517</v>
      </c>
      <c r="C224" s="3362" t="s">
        <v>4438</v>
      </c>
    </row>
    <row r="225" spans="1:3">
      <c r="A225" s="3362" t="s">
        <v>1895</v>
      </c>
      <c r="B225" s="3362" t="s">
        <v>1518</v>
      </c>
      <c r="C225" s="3362" t="s">
        <v>4439</v>
      </c>
    </row>
    <row r="226" spans="1:3">
      <c r="A226" s="3362" t="s">
        <v>1897</v>
      </c>
      <c r="B226" s="3362" t="s">
        <v>1662</v>
      </c>
      <c r="C226" s="3362" t="s">
        <v>4440</v>
      </c>
    </row>
    <row r="227" spans="1:3">
      <c r="A227" s="3362" t="s">
        <v>1899</v>
      </c>
      <c r="B227" s="3362" t="s">
        <v>1519</v>
      </c>
      <c r="C227" s="3362" t="s">
        <v>4441</v>
      </c>
    </row>
    <row r="228" spans="1:3">
      <c r="A228" s="3362" t="s">
        <v>1901</v>
      </c>
      <c r="B228" s="3362" t="s">
        <v>1520</v>
      </c>
      <c r="C228" s="3362" t="s">
        <v>4442</v>
      </c>
    </row>
    <row r="229" spans="1:3">
      <c r="A229" s="3362" t="s">
        <v>1903</v>
      </c>
      <c r="B229" s="3362" t="s">
        <v>1521</v>
      </c>
      <c r="C229" s="3362" t="s">
        <v>4443</v>
      </c>
    </row>
    <row r="230" spans="1:3">
      <c r="A230" s="3362" t="s">
        <v>1905</v>
      </c>
      <c r="B230" s="3362" t="s">
        <v>1522</v>
      </c>
      <c r="C230" s="3362" t="s">
        <v>4444</v>
      </c>
    </row>
    <row r="231" spans="1:3">
      <c r="A231" s="3362" t="s">
        <v>1907</v>
      </c>
      <c r="B231" s="3362" t="s">
        <v>1523</v>
      </c>
      <c r="C231" s="3362" t="s">
        <v>4445</v>
      </c>
    </row>
    <row r="232" spans="1:3">
      <c r="A232" s="3362" t="s">
        <v>1909</v>
      </c>
      <c r="B232" s="3362" t="s">
        <v>1681</v>
      </c>
      <c r="C232" s="3362" t="s">
        <v>4446</v>
      </c>
    </row>
    <row r="233" spans="1:3">
      <c r="A233" s="3362" t="s">
        <v>1911</v>
      </c>
      <c r="B233" s="3362" t="s">
        <v>1524</v>
      </c>
      <c r="C233" s="3362" t="s">
        <v>4447</v>
      </c>
    </row>
    <row r="234" spans="1:3">
      <c r="A234" s="3362" t="s">
        <v>1913</v>
      </c>
      <c r="B234" s="3362" t="s">
        <v>1682</v>
      </c>
      <c r="C234" s="3362" t="s">
        <v>4448</v>
      </c>
    </row>
    <row r="235" spans="1:3">
      <c r="A235" s="3362" t="s">
        <v>1915</v>
      </c>
      <c r="B235" s="3362" t="s">
        <v>1525</v>
      </c>
      <c r="C235" s="3362" t="s">
        <v>4449</v>
      </c>
    </row>
    <row r="236" spans="1:3">
      <c r="A236" s="3362" t="s">
        <v>1915</v>
      </c>
      <c r="B236" s="3362" t="s">
        <v>1683</v>
      </c>
      <c r="C236" s="3362" t="s">
        <v>4449</v>
      </c>
    </row>
    <row r="237" spans="1:3">
      <c r="A237" s="3362" t="s">
        <v>1917</v>
      </c>
      <c r="B237" s="3362" t="s">
        <v>1526</v>
      </c>
      <c r="C237" s="3362" t="s">
        <v>4450</v>
      </c>
    </row>
    <row r="238" spans="1:3">
      <c r="A238" s="3362" t="s">
        <v>1919</v>
      </c>
      <c r="B238" s="3362" t="s">
        <v>1527</v>
      </c>
      <c r="C238" s="3362" t="s">
        <v>4451</v>
      </c>
    </row>
    <row r="239" spans="1:3">
      <c r="A239" s="3362" t="s">
        <v>1921</v>
      </c>
      <c r="B239" s="3362" t="s">
        <v>1528</v>
      </c>
      <c r="C239" s="3362" t="s">
        <v>4452</v>
      </c>
    </row>
    <row r="240" spans="1:3">
      <c r="A240" s="3362" t="s">
        <v>1923</v>
      </c>
      <c r="B240" s="3362" t="s">
        <v>1529</v>
      </c>
      <c r="C240" s="3362" t="s">
        <v>4453</v>
      </c>
    </row>
    <row r="241" spans="1:3">
      <c r="A241" s="3362" t="s">
        <v>1925</v>
      </c>
      <c r="B241" s="3362" t="s">
        <v>1530</v>
      </c>
      <c r="C241" s="3362" t="s">
        <v>4454</v>
      </c>
    </row>
    <row r="242" spans="1:3">
      <c r="A242" s="3362" t="s">
        <v>1927</v>
      </c>
      <c r="B242" s="3362" t="s">
        <v>1531</v>
      </c>
      <c r="C242" s="3362" t="s">
        <v>4455</v>
      </c>
    </row>
    <row r="243" spans="1:3">
      <c r="A243" s="3362" t="s">
        <v>1929</v>
      </c>
      <c r="B243" s="3362" t="s">
        <v>1532</v>
      </c>
      <c r="C243" s="3362" t="s">
        <v>4456</v>
      </c>
    </row>
    <row r="244" spans="1:3">
      <c r="A244" s="3362" t="s">
        <v>1931</v>
      </c>
      <c r="B244" s="3362" t="s">
        <v>1533</v>
      </c>
      <c r="C244" s="3362" t="s">
        <v>4457</v>
      </c>
    </row>
    <row r="245" spans="1:3">
      <c r="A245" s="3362" t="s">
        <v>1933</v>
      </c>
      <c r="B245" s="3362" t="s">
        <v>1534</v>
      </c>
      <c r="C245" s="3362" t="s">
        <v>4458</v>
      </c>
    </row>
    <row r="246" spans="1:3">
      <c r="A246" s="3362" t="s">
        <v>1935</v>
      </c>
      <c r="B246" s="3362" t="s">
        <v>1535</v>
      </c>
      <c r="C246" s="3362" t="s">
        <v>4459</v>
      </c>
    </row>
    <row r="247" spans="1:3">
      <c r="A247" s="3362" t="s">
        <v>1937</v>
      </c>
      <c r="B247" s="3362" t="s">
        <v>1684</v>
      </c>
      <c r="C247" s="3362" t="s">
        <v>4460</v>
      </c>
    </row>
    <row r="248" spans="1:3">
      <c r="A248" s="3362" t="s">
        <v>1939</v>
      </c>
      <c r="B248" s="3362" t="s">
        <v>1536</v>
      </c>
      <c r="C248" s="3362" t="s">
        <v>4461</v>
      </c>
    </row>
    <row r="249" spans="1:3">
      <c r="A249" s="3362" t="s">
        <v>1941</v>
      </c>
      <c r="B249" s="3362" t="s">
        <v>1537</v>
      </c>
      <c r="C249" s="3362" t="s">
        <v>4462</v>
      </c>
    </row>
    <row r="250" spans="1:3">
      <c r="A250" s="3362" t="s">
        <v>1943</v>
      </c>
      <c r="B250" s="3362" t="s">
        <v>1685</v>
      </c>
      <c r="C250" s="3362" t="s">
        <v>4463</v>
      </c>
    </row>
    <row r="251" spans="1:3">
      <c r="A251" s="3362" t="s">
        <v>1945</v>
      </c>
      <c r="B251" s="3362" t="s">
        <v>1538</v>
      </c>
      <c r="C251" s="3362" t="s">
        <v>4464</v>
      </c>
    </row>
    <row r="252" spans="1:3">
      <c r="A252" s="3362" t="s">
        <v>1947</v>
      </c>
      <c r="B252" s="3362" t="s">
        <v>1539</v>
      </c>
      <c r="C252" s="3362" t="s">
        <v>4465</v>
      </c>
    </row>
    <row r="253" spans="1:3">
      <c r="A253" s="3362" t="s">
        <v>1949</v>
      </c>
      <c r="B253" s="3362" t="s">
        <v>1540</v>
      </c>
      <c r="C253" s="3362" t="s">
        <v>4466</v>
      </c>
    </row>
    <row r="254" spans="1:3">
      <c r="A254" s="3362" t="s">
        <v>1951</v>
      </c>
      <c r="B254" s="3362" t="s">
        <v>1686</v>
      </c>
      <c r="C254" s="3362" t="s">
        <v>4467</v>
      </c>
    </row>
    <row r="255" spans="1:3">
      <c r="A255" s="3362" t="s">
        <v>1953</v>
      </c>
      <c r="B255" s="3362" t="s">
        <v>1541</v>
      </c>
      <c r="C255" s="3362" t="s">
        <v>4468</v>
      </c>
    </row>
    <row r="256" spans="1:3">
      <c r="A256" s="3362" t="s">
        <v>1955</v>
      </c>
      <c r="B256" s="3362" t="s">
        <v>1542</v>
      </c>
      <c r="C256" s="3362" t="s">
        <v>4469</v>
      </c>
    </row>
    <row r="257" spans="1:3">
      <c r="A257" s="3362" t="s">
        <v>1957</v>
      </c>
      <c r="B257" s="3362" t="s">
        <v>1543</v>
      </c>
      <c r="C257" s="3362" t="s">
        <v>4470</v>
      </c>
    </row>
    <row r="258" spans="1:3">
      <c r="A258" s="3362" t="s">
        <v>1959</v>
      </c>
      <c r="B258" s="3362" t="s">
        <v>1544</v>
      </c>
      <c r="C258" s="3362" t="s">
        <v>4471</v>
      </c>
    </row>
    <row r="259" spans="1:3">
      <c r="A259" s="3362" t="s">
        <v>1961</v>
      </c>
      <c r="B259" s="3362" t="s">
        <v>1545</v>
      </c>
      <c r="C259" s="3362" t="s">
        <v>4472</v>
      </c>
    </row>
    <row r="260" spans="1:3">
      <c r="A260" s="3362" t="s">
        <v>1963</v>
      </c>
      <c r="B260" s="3362" t="s">
        <v>1546</v>
      </c>
      <c r="C260" s="3362" t="s">
        <v>4473</v>
      </c>
    </row>
    <row r="261" spans="1:3">
      <c r="A261" s="3362" t="s">
        <v>1965</v>
      </c>
      <c r="B261" s="3362" t="s">
        <v>1547</v>
      </c>
      <c r="C261" s="3362" t="s">
        <v>4474</v>
      </c>
    </row>
    <row r="262" spans="1:3">
      <c r="A262" s="3362" t="s">
        <v>1967</v>
      </c>
      <c r="B262" s="3362" t="s">
        <v>1548</v>
      </c>
      <c r="C262" s="3362" t="s">
        <v>4475</v>
      </c>
    </row>
    <row r="263" spans="1:3">
      <c r="A263" s="3362" t="s">
        <v>1969</v>
      </c>
      <c r="B263" s="3362" t="s">
        <v>1549</v>
      </c>
      <c r="C263" s="3362" t="s">
        <v>4476</v>
      </c>
    </row>
    <row r="264" spans="1:3">
      <c r="A264" s="3362" t="s">
        <v>1971</v>
      </c>
      <c r="B264" s="3362" t="s">
        <v>1550</v>
      </c>
      <c r="C264" s="3362" t="s">
        <v>4477</v>
      </c>
    </row>
    <row r="265" spans="1:3">
      <c r="A265" s="3362" t="s">
        <v>1973</v>
      </c>
      <c r="B265" s="3362" t="s">
        <v>1551</v>
      </c>
      <c r="C265" s="3362" t="s">
        <v>4478</v>
      </c>
    </row>
    <row r="266" spans="1:3">
      <c r="A266" s="3362" t="s">
        <v>1975</v>
      </c>
      <c r="B266" s="3362" t="s">
        <v>1552</v>
      </c>
      <c r="C266" s="3362" t="s">
        <v>4479</v>
      </c>
    </row>
    <row r="267" spans="1:3">
      <c r="A267" s="3362" t="s">
        <v>1977</v>
      </c>
      <c r="B267" s="3362" t="s">
        <v>1553</v>
      </c>
      <c r="C267" s="3362" t="s">
        <v>4480</v>
      </c>
    </row>
    <row r="268" spans="1:3">
      <c r="A268" s="3362" t="s">
        <v>1979</v>
      </c>
      <c r="B268" s="3362" t="s">
        <v>1554</v>
      </c>
      <c r="C268" s="3362" t="s">
        <v>4481</v>
      </c>
    </row>
    <row r="269" spans="1:3">
      <c r="A269" s="3362" t="s">
        <v>1981</v>
      </c>
      <c r="B269" s="3362" t="s">
        <v>1555</v>
      </c>
      <c r="C269" s="3362" t="s">
        <v>4482</v>
      </c>
    </row>
    <row r="270" spans="1:3">
      <c r="A270" s="3362" t="s">
        <v>1983</v>
      </c>
      <c r="B270" s="3362" t="s">
        <v>1556</v>
      </c>
      <c r="C270" s="3362" t="s">
        <v>4483</v>
      </c>
    </row>
    <row r="271" spans="1:3">
      <c r="A271" s="3362" t="s">
        <v>1985</v>
      </c>
      <c r="B271" s="3362" t="s">
        <v>1557</v>
      </c>
      <c r="C271" s="3362" t="s">
        <v>4484</v>
      </c>
    </row>
    <row r="272" spans="1:3">
      <c r="A272" s="3362" t="s">
        <v>1987</v>
      </c>
      <c r="B272" s="3362" t="s">
        <v>1558</v>
      </c>
      <c r="C272" s="3362" t="s">
        <v>4485</v>
      </c>
    </row>
    <row r="273" spans="1:3">
      <c r="A273" s="3362" t="s">
        <v>1989</v>
      </c>
      <c r="B273" s="3362" t="s">
        <v>1559</v>
      </c>
      <c r="C273" s="3362" t="s">
        <v>4486</v>
      </c>
    </row>
    <row r="274" spans="1:3">
      <c r="A274" s="3362" t="s">
        <v>1991</v>
      </c>
      <c r="B274" s="3362" t="s">
        <v>1560</v>
      </c>
      <c r="C274" s="3362" t="s">
        <v>4487</v>
      </c>
    </row>
    <row r="275" spans="1:3">
      <c r="A275" s="3362" t="s">
        <v>1993</v>
      </c>
      <c r="B275" s="3362" t="s">
        <v>1561</v>
      </c>
      <c r="C275" s="3362" t="s">
        <v>4488</v>
      </c>
    </row>
    <row r="276" spans="1:3">
      <c r="A276" s="3362" t="s">
        <v>1995</v>
      </c>
      <c r="B276" s="3362" t="s">
        <v>1562</v>
      </c>
      <c r="C276" s="3362" t="s">
        <v>4489</v>
      </c>
    </row>
    <row r="277" spans="1:3">
      <c r="A277" s="3362" t="s">
        <v>1997</v>
      </c>
      <c r="B277" s="3362" t="s">
        <v>1687</v>
      </c>
      <c r="C277" s="3362" t="s">
        <v>4490</v>
      </c>
    </row>
    <row r="278" spans="1:3">
      <c r="A278" s="3362" t="s">
        <v>2000</v>
      </c>
      <c r="B278" s="3362" t="s">
        <v>1563</v>
      </c>
      <c r="C278" s="3362" t="s">
        <v>4491</v>
      </c>
    </row>
    <row r="279" spans="1:3">
      <c r="A279" s="3362" t="s">
        <v>2003</v>
      </c>
      <c r="B279" s="3362" t="s">
        <v>2333</v>
      </c>
      <c r="C279" s="3362" t="s">
        <v>4492</v>
      </c>
    </row>
    <row r="280" spans="1:3">
      <c r="A280" s="3362" t="s">
        <v>2006</v>
      </c>
      <c r="B280" s="3362" t="s">
        <v>1564</v>
      </c>
      <c r="C280" s="3362" t="s">
        <v>4493</v>
      </c>
    </row>
    <row r="281" spans="1:3">
      <c r="A281" s="3362" t="s">
        <v>2009</v>
      </c>
      <c r="B281" s="3362" t="s">
        <v>1565</v>
      </c>
      <c r="C281" s="3362" t="s">
        <v>4494</v>
      </c>
    </row>
    <row r="282" spans="1:3">
      <c r="A282" s="3362" t="s">
        <v>2012</v>
      </c>
      <c r="B282" s="3362" t="s">
        <v>2337</v>
      </c>
      <c r="C282" s="3362" t="s">
        <v>4495</v>
      </c>
    </row>
    <row r="283" spans="1:3">
      <c r="A283" s="3362" t="s">
        <v>2531</v>
      </c>
      <c r="B283" s="3362" t="s">
        <v>2339</v>
      </c>
      <c r="C283" s="3362" t="s">
        <v>4496</v>
      </c>
    </row>
    <row r="284" spans="1:3">
      <c r="A284" s="3362" t="s">
        <v>2015</v>
      </c>
      <c r="B284" s="3362" t="s">
        <v>1566</v>
      </c>
      <c r="C284" s="3362" t="s">
        <v>4497</v>
      </c>
    </row>
    <row r="285" spans="1:3">
      <c r="A285" s="3362" t="s">
        <v>2018</v>
      </c>
      <c r="B285" s="3362" t="s">
        <v>2341</v>
      </c>
      <c r="C285" s="3362" t="s">
        <v>4498</v>
      </c>
    </row>
    <row r="286" spans="1:3">
      <c r="A286" s="3362" t="s">
        <v>2021</v>
      </c>
      <c r="B286" s="3362" t="s">
        <v>1567</v>
      </c>
      <c r="C286" s="3362" t="s">
        <v>4499</v>
      </c>
    </row>
    <row r="287" spans="1:3">
      <c r="A287" s="3362" t="s">
        <v>2024</v>
      </c>
      <c r="B287" s="3362" t="s">
        <v>1568</v>
      </c>
      <c r="C287" s="3362" t="s">
        <v>4500</v>
      </c>
    </row>
    <row r="288" spans="1:3">
      <c r="A288" s="3362" t="s">
        <v>2027</v>
      </c>
      <c r="B288" s="3362" t="s">
        <v>1569</v>
      </c>
      <c r="C288" s="3362" t="s">
        <v>4501</v>
      </c>
    </row>
    <row r="289" spans="1:3">
      <c r="A289" s="3362" t="s">
        <v>2030</v>
      </c>
      <c r="B289" s="3362" t="s">
        <v>2346</v>
      </c>
      <c r="C289" s="3362" t="s">
        <v>4502</v>
      </c>
    </row>
    <row r="290" spans="1:3">
      <c r="A290" s="3362" t="s">
        <v>2032</v>
      </c>
      <c r="B290" s="3362" t="s">
        <v>2348</v>
      </c>
      <c r="C290" s="3362" t="s">
        <v>4503</v>
      </c>
    </row>
    <row r="291" spans="1:3">
      <c r="A291" s="3362" t="s">
        <v>2035</v>
      </c>
      <c r="B291" s="3362" t="s">
        <v>2349</v>
      </c>
      <c r="C291" s="3362" t="s">
        <v>4504</v>
      </c>
    </row>
    <row r="292" spans="1:3">
      <c r="A292" s="3362" t="s">
        <v>2038</v>
      </c>
      <c r="B292" s="3362" t="s">
        <v>2351</v>
      </c>
      <c r="C292" s="3362" t="s">
        <v>4505</v>
      </c>
    </row>
    <row r="293" spans="1:3">
      <c r="A293" s="3362" t="s">
        <v>2041</v>
      </c>
      <c r="B293" s="3362" t="s">
        <v>2353</v>
      </c>
      <c r="C293" s="3362" t="s">
        <v>4506</v>
      </c>
    </row>
    <row r="294" spans="1:3">
      <c r="A294" s="3362" t="s">
        <v>2043</v>
      </c>
      <c r="B294" s="3362" t="s">
        <v>2354</v>
      </c>
      <c r="C294" s="3362" t="s">
        <v>4507</v>
      </c>
    </row>
    <row r="295" spans="1:3">
      <c r="A295" s="3362" t="s">
        <v>2534</v>
      </c>
      <c r="B295" s="3362" t="s">
        <v>2356</v>
      </c>
      <c r="C295" s="3362" t="s">
        <v>4508</v>
      </c>
    </row>
    <row r="296" spans="1:3">
      <c r="A296" s="3362" t="s">
        <v>2535</v>
      </c>
      <c r="B296" s="3362" t="s">
        <v>2358</v>
      </c>
      <c r="C296" s="3362" t="s">
        <v>4509</v>
      </c>
    </row>
    <row r="297" spans="1:3">
      <c r="A297" s="3362" t="s">
        <v>2536</v>
      </c>
      <c r="B297" s="3362" t="s">
        <v>2359</v>
      </c>
      <c r="C297" s="3362" t="s">
        <v>4510</v>
      </c>
    </row>
    <row r="298" spans="1:3">
      <c r="A298" s="3362" t="s">
        <v>2543</v>
      </c>
      <c r="B298" s="3362" t="s">
        <v>2524</v>
      </c>
      <c r="C298" s="3362" t="s">
        <v>4511</v>
      </c>
    </row>
    <row r="299" spans="1:3">
      <c r="A299" s="3362" t="s">
        <v>2538</v>
      </c>
      <c r="B299" s="3362" t="s">
        <v>2362</v>
      </c>
      <c r="C299" s="3362" t="s">
        <v>4512</v>
      </c>
    </row>
    <row r="300" spans="1:3">
      <c r="A300" s="3362" t="s">
        <v>2539</v>
      </c>
      <c r="B300" s="3362" t="s">
        <v>2364</v>
      </c>
      <c r="C300" s="3362" t="s">
        <v>4513</v>
      </c>
    </row>
    <row r="301" spans="1:3">
      <c r="A301" s="3362" t="s">
        <v>2540</v>
      </c>
      <c r="B301" s="3362" t="s">
        <v>2412</v>
      </c>
      <c r="C301" s="3362" t="s">
        <v>4514</v>
      </c>
    </row>
    <row r="302" spans="1:3">
      <c r="A302" s="3362" t="s">
        <v>2544</v>
      </c>
      <c r="B302" s="3362" t="s">
        <v>2527</v>
      </c>
      <c r="C302" s="3362" t="s">
        <v>4515</v>
      </c>
    </row>
    <row r="303" spans="1:3">
      <c r="A303" s="3362" t="s">
        <v>1998</v>
      </c>
      <c r="B303" s="3362" t="s">
        <v>1570</v>
      </c>
      <c r="C303" s="3362" t="s">
        <v>4516</v>
      </c>
    </row>
    <row r="304" spans="1:3">
      <c r="A304" s="3362" t="s">
        <v>2001</v>
      </c>
      <c r="B304" s="3362" t="s">
        <v>1571</v>
      </c>
      <c r="C304" s="3362" t="s">
        <v>4517</v>
      </c>
    </row>
    <row r="305" spans="1:3">
      <c r="A305" s="3362" t="s">
        <v>2004</v>
      </c>
      <c r="B305" s="3362" t="s">
        <v>1572</v>
      </c>
      <c r="C305" s="3362" t="s">
        <v>4518</v>
      </c>
    </row>
    <row r="306" spans="1:3">
      <c r="A306" s="3362" t="s">
        <v>2007</v>
      </c>
      <c r="B306" s="3362" t="s">
        <v>1573</v>
      </c>
      <c r="C306" s="3362" t="s">
        <v>4519</v>
      </c>
    </row>
    <row r="307" spans="1:3">
      <c r="A307" s="3362" t="s">
        <v>2010</v>
      </c>
      <c r="B307" s="3362" t="s">
        <v>1574</v>
      </c>
      <c r="C307" s="3362" t="s">
        <v>4520</v>
      </c>
    </row>
    <row r="308" spans="1:3">
      <c r="A308" s="3362" t="s">
        <v>2013</v>
      </c>
      <c r="B308" s="3362" t="s">
        <v>1575</v>
      </c>
      <c r="C308" s="3362" t="s">
        <v>4521</v>
      </c>
    </row>
    <row r="309" spans="1:3">
      <c r="A309" s="3362" t="s">
        <v>2016</v>
      </c>
      <c r="B309" s="3362" t="s">
        <v>1576</v>
      </c>
      <c r="C309" s="3362" t="s">
        <v>4522</v>
      </c>
    </row>
    <row r="310" spans="1:3">
      <c r="A310" s="3362" t="s">
        <v>2019</v>
      </c>
      <c r="B310" s="3362" t="s">
        <v>1577</v>
      </c>
      <c r="C310" s="3362" t="s">
        <v>4523</v>
      </c>
    </row>
    <row r="311" spans="1:3">
      <c r="A311" s="3362" t="s">
        <v>2022</v>
      </c>
      <c r="B311" s="3362" t="s">
        <v>1578</v>
      </c>
      <c r="C311" s="3362" t="s">
        <v>4524</v>
      </c>
    </row>
    <row r="312" spans="1:3">
      <c r="A312" s="3362" t="s">
        <v>2025</v>
      </c>
      <c r="B312" s="3362" t="s">
        <v>1579</v>
      </c>
      <c r="C312" s="3362" t="s">
        <v>4525</v>
      </c>
    </row>
    <row r="313" spans="1:3">
      <c r="A313" s="3362" t="s">
        <v>2028</v>
      </c>
      <c r="B313" s="3362" t="s">
        <v>1580</v>
      </c>
      <c r="C313" s="3362" t="s">
        <v>4526</v>
      </c>
    </row>
    <row r="314" spans="1:3">
      <c r="A314" s="3362" t="s">
        <v>2031</v>
      </c>
      <c r="B314" s="3362" t="s">
        <v>1581</v>
      </c>
      <c r="C314" s="3362" t="s">
        <v>4527</v>
      </c>
    </row>
    <row r="315" spans="1:3">
      <c r="A315" s="3362" t="s">
        <v>2033</v>
      </c>
      <c r="B315" s="3362" t="s">
        <v>1582</v>
      </c>
      <c r="C315" s="3362" t="s">
        <v>4528</v>
      </c>
    </row>
    <row r="316" spans="1:3">
      <c r="A316" s="3362" t="s">
        <v>2036</v>
      </c>
      <c r="B316" s="3362" t="s">
        <v>1688</v>
      </c>
      <c r="C316" s="3362" t="s">
        <v>4529</v>
      </c>
    </row>
    <row r="317" spans="1:3">
      <c r="A317" s="3362" t="s">
        <v>2039</v>
      </c>
      <c r="B317" s="3362" t="s">
        <v>1689</v>
      </c>
      <c r="C317" s="3362" t="s">
        <v>4530</v>
      </c>
    </row>
    <row r="318" spans="1:3">
      <c r="A318" s="3362" t="s">
        <v>2042</v>
      </c>
      <c r="B318" s="3362" t="s">
        <v>1583</v>
      </c>
      <c r="C318" s="3362" t="s">
        <v>4531</v>
      </c>
    </row>
    <row r="319" spans="1:3">
      <c r="A319" s="3362" t="s">
        <v>2044</v>
      </c>
      <c r="B319" s="3362" t="s">
        <v>1690</v>
      </c>
      <c r="C319" s="3362" t="s">
        <v>4532</v>
      </c>
    </row>
    <row r="320" spans="1:3">
      <c r="A320" s="3362" t="s">
        <v>2046</v>
      </c>
      <c r="B320" s="3362" t="s">
        <v>1691</v>
      </c>
      <c r="C320" s="3362" t="s">
        <v>4533</v>
      </c>
    </row>
    <row r="321" spans="1:3">
      <c r="A321" s="3362" t="s">
        <v>2047</v>
      </c>
      <c r="B321" s="3362" t="s">
        <v>1584</v>
      </c>
      <c r="C321" s="3362" t="s">
        <v>4534</v>
      </c>
    </row>
    <row r="322" spans="1:3">
      <c r="A322" s="3362" t="s">
        <v>2048</v>
      </c>
      <c r="B322" s="3362" t="s">
        <v>1692</v>
      </c>
      <c r="C322" s="3362" t="s">
        <v>4535</v>
      </c>
    </row>
    <row r="323" spans="1:3">
      <c r="A323" s="3362" t="s">
        <v>2049</v>
      </c>
      <c r="B323" s="3362" t="s">
        <v>1693</v>
      </c>
      <c r="C323" s="3362" t="s">
        <v>4536</v>
      </c>
    </row>
    <row r="324" spans="1:3">
      <c r="A324" s="3362" t="s">
        <v>2050</v>
      </c>
      <c r="B324" s="3362" t="s">
        <v>1585</v>
      </c>
      <c r="C324" s="3362" t="s">
        <v>4537</v>
      </c>
    </row>
    <row r="325" spans="1:3">
      <c r="A325" s="3362" t="s">
        <v>2051</v>
      </c>
      <c r="B325" s="3362" t="s">
        <v>1586</v>
      </c>
      <c r="C325" s="3362" t="s">
        <v>4538</v>
      </c>
    </row>
    <row r="326" spans="1:3">
      <c r="A326" s="3362" t="s">
        <v>2052</v>
      </c>
      <c r="B326" s="3362" t="s">
        <v>1587</v>
      </c>
      <c r="C326" s="3362" t="s">
        <v>4539</v>
      </c>
    </row>
    <row r="327" spans="1:3">
      <c r="A327" s="3362" t="s">
        <v>2053</v>
      </c>
      <c r="B327" s="3362" t="s">
        <v>1588</v>
      </c>
      <c r="C327" s="3362" t="s">
        <v>4540</v>
      </c>
    </row>
    <row r="328" spans="1:3">
      <c r="A328" s="3362" t="s">
        <v>2054</v>
      </c>
      <c r="B328" s="3362" t="s">
        <v>1589</v>
      </c>
      <c r="C328" s="3362" t="s">
        <v>4541</v>
      </c>
    </row>
    <row r="329" spans="1:3">
      <c r="A329" s="3362" t="s">
        <v>2055</v>
      </c>
      <c r="B329" s="3362" t="s">
        <v>1590</v>
      </c>
      <c r="C329" s="3362" t="s">
        <v>4542</v>
      </c>
    </row>
    <row r="330" spans="1:3">
      <c r="A330" s="3362" t="s">
        <v>2056</v>
      </c>
      <c r="B330" s="3362" t="s">
        <v>1591</v>
      </c>
      <c r="C330" s="3362" t="s">
        <v>4543</v>
      </c>
    </row>
    <row r="331" spans="1:3">
      <c r="A331" s="3362" t="s">
        <v>2057</v>
      </c>
      <c r="B331" s="3362" t="s">
        <v>1592</v>
      </c>
      <c r="C331" s="3362" t="s">
        <v>4544</v>
      </c>
    </row>
    <row r="332" spans="1:3">
      <c r="A332" s="3362" t="s">
        <v>2058</v>
      </c>
      <c r="B332" s="3362" t="s">
        <v>1593</v>
      </c>
      <c r="C332" s="3362" t="s">
        <v>4545</v>
      </c>
    </row>
    <row r="333" spans="1:3">
      <c r="A333" s="3362" t="s">
        <v>2059</v>
      </c>
      <c r="B333" s="3362" t="s">
        <v>1594</v>
      </c>
      <c r="C333" s="3362" t="s">
        <v>4546</v>
      </c>
    </row>
    <row r="334" spans="1:3">
      <c r="A334" s="3362" t="s">
        <v>2060</v>
      </c>
      <c r="B334" s="3362" t="s">
        <v>1595</v>
      </c>
      <c r="C334" s="3362" t="s">
        <v>4547</v>
      </c>
    </row>
    <row r="335" spans="1:3">
      <c r="A335" s="3362" t="s">
        <v>2061</v>
      </c>
      <c r="B335" s="3362" t="s">
        <v>1596</v>
      </c>
      <c r="C335" s="3362" t="s">
        <v>4548</v>
      </c>
    </row>
    <row r="336" spans="1:3">
      <c r="A336" s="3362" t="s">
        <v>2062</v>
      </c>
      <c r="B336" s="3362" t="s">
        <v>1597</v>
      </c>
      <c r="C336" s="3362" t="s">
        <v>4549</v>
      </c>
    </row>
    <row r="337" spans="1:3">
      <c r="A337" s="3362" t="s">
        <v>2063</v>
      </c>
      <c r="B337" s="3362" t="s">
        <v>1598</v>
      </c>
      <c r="C337" s="3362" t="s">
        <v>4550</v>
      </c>
    </row>
    <row r="338" spans="1:3">
      <c r="A338" s="3362" t="s">
        <v>2064</v>
      </c>
      <c r="B338" s="3362" t="s">
        <v>1599</v>
      </c>
      <c r="C338" s="3362" t="s">
        <v>4551</v>
      </c>
    </row>
    <row r="339" spans="1:3">
      <c r="A339" s="3362" t="s">
        <v>2065</v>
      </c>
      <c r="B339" s="3362" t="s">
        <v>1600</v>
      </c>
      <c r="C339" s="3362" t="s">
        <v>4552</v>
      </c>
    </row>
    <row r="340" spans="1:3">
      <c r="A340" s="3362" t="s">
        <v>2066</v>
      </c>
      <c r="B340" s="3362" t="s">
        <v>1601</v>
      </c>
      <c r="C340" s="3362" t="s">
        <v>4553</v>
      </c>
    </row>
    <row r="341" spans="1:3">
      <c r="A341" s="3362" t="s">
        <v>2067</v>
      </c>
      <c r="B341" s="3362" t="s">
        <v>1694</v>
      </c>
      <c r="C341" s="3362" t="s">
        <v>4554</v>
      </c>
    </row>
    <row r="342" spans="1:3">
      <c r="A342" s="3362" t="s">
        <v>2068</v>
      </c>
      <c r="B342" s="3362" t="s">
        <v>1695</v>
      </c>
      <c r="C342" s="3362" t="s">
        <v>4555</v>
      </c>
    </row>
    <row r="343" spans="1:3">
      <c r="A343" s="3362" t="s">
        <v>2069</v>
      </c>
      <c r="B343" s="3362" t="s">
        <v>1602</v>
      </c>
      <c r="C343" s="3362" t="s">
        <v>4556</v>
      </c>
    </row>
    <row r="344" spans="1:3">
      <c r="A344" s="3362" t="s">
        <v>2070</v>
      </c>
      <c r="B344" s="3362" t="s">
        <v>1603</v>
      </c>
      <c r="C344" s="3362" t="s">
        <v>4557</v>
      </c>
    </row>
    <row r="345" spans="1:3">
      <c r="A345" s="3362" t="s">
        <v>2071</v>
      </c>
      <c r="B345" s="3362" t="s">
        <v>1604</v>
      </c>
      <c r="C345" s="3362" t="s">
        <v>4558</v>
      </c>
    </row>
    <row r="346" spans="1:3">
      <c r="A346" s="3362" t="s">
        <v>2072</v>
      </c>
      <c r="B346" s="3362" t="s">
        <v>1605</v>
      </c>
      <c r="C346" s="3362" t="s">
        <v>4559</v>
      </c>
    </row>
    <row r="347" spans="1:3">
      <c r="A347" s="3362" t="s">
        <v>2073</v>
      </c>
      <c r="B347" s="3362" t="s">
        <v>1606</v>
      </c>
      <c r="C347" s="3362" t="s">
        <v>4560</v>
      </c>
    </row>
    <row r="348" spans="1:3">
      <c r="A348" s="3362" t="s">
        <v>2074</v>
      </c>
      <c r="B348" s="3362" t="s">
        <v>1607</v>
      </c>
      <c r="C348" s="3362" t="s">
        <v>4561</v>
      </c>
    </row>
    <row r="349" spans="1:3">
      <c r="A349" s="3362" t="s">
        <v>2075</v>
      </c>
      <c r="B349" s="3362" t="s">
        <v>1608</v>
      </c>
      <c r="C349" s="3362" t="s">
        <v>4562</v>
      </c>
    </row>
    <row r="350" spans="1:3">
      <c r="A350" s="3362" t="s">
        <v>2076</v>
      </c>
      <c r="B350" s="3362" t="s">
        <v>1609</v>
      </c>
      <c r="C350" s="3362" t="s">
        <v>4563</v>
      </c>
    </row>
    <row r="351" spans="1:3">
      <c r="A351" s="3362" t="s">
        <v>2077</v>
      </c>
      <c r="B351" s="3362" t="s">
        <v>1610</v>
      </c>
      <c r="C351" s="3362" t="s">
        <v>4564</v>
      </c>
    </row>
    <row r="352" spans="1:3">
      <c r="A352" s="3362" t="s">
        <v>2078</v>
      </c>
      <c r="B352" s="3362" t="s">
        <v>1611</v>
      </c>
      <c r="C352" s="3362" t="s">
        <v>4565</v>
      </c>
    </row>
    <row r="353" spans="1:3">
      <c r="A353" s="3362" t="s">
        <v>2079</v>
      </c>
      <c r="B353" s="3362" t="s">
        <v>1612</v>
      </c>
      <c r="C353" s="3362" t="s">
        <v>4566</v>
      </c>
    </row>
    <row r="354" spans="1:3">
      <c r="A354" s="3362" t="s">
        <v>2080</v>
      </c>
      <c r="B354" s="3362" t="s">
        <v>1613</v>
      </c>
      <c r="C354" s="3362" t="s">
        <v>4567</v>
      </c>
    </row>
    <row r="355" spans="1:3">
      <c r="A355" s="3362" t="s">
        <v>2081</v>
      </c>
      <c r="B355" s="3362" t="s">
        <v>1614</v>
      </c>
      <c r="C355" s="3362" t="s">
        <v>4568</v>
      </c>
    </row>
    <row r="356" spans="1:3">
      <c r="A356" s="3362" t="s">
        <v>2082</v>
      </c>
      <c r="B356" s="3362" t="s">
        <v>1615</v>
      </c>
      <c r="C356" s="3362" t="s">
        <v>4569</v>
      </c>
    </row>
    <row r="357" spans="1:3">
      <c r="A357" s="3362" t="s">
        <v>2084</v>
      </c>
      <c r="B357" s="3362" t="s">
        <v>1616</v>
      </c>
      <c r="C357" s="3362" t="s">
        <v>4570</v>
      </c>
    </row>
    <row r="358" spans="1:3">
      <c r="A358" s="3362" t="s">
        <v>2085</v>
      </c>
      <c r="B358" s="3362" t="s">
        <v>1617</v>
      </c>
      <c r="C358" s="3362" t="s">
        <v>4571</v>
      </c>
    </row>
    <row r="359" spans="1:3">
      <c r="A359" s="3362" t="s">
        <v>2085</v>
      </c>
      <c r="B359" s="3362" t="s">
        <v>1618</v>
      </c>
      <c r="C359" s="3362" t="s">
        <v>4571</v>
      </c>
    </row>
    <row r="360" spans="1:3">
      <c r="A360" s="3362" t="s">
        <v>2086</v>
      </c>
      <c r="B360" s="3362" t="s">
        <v>1696</v>
      </c>
      <c r="C360" s="3362" t="s">
        <v>4572</v>
      </c>
    </row>
    <row r="361" spans="1:3">
      <c r="A361" s="3362" t="s">
        <v>2086</v>
      </c>
      <c r="B361" s="3362" t="s">
        <v>1697</v>
      </c>
      <c r="C361" s="3362" t="s">
        <v>4572</v>
      </c>
    </row>
    <row r="362" spans="1:3">
      <c r="A362" s="3362" t="s">
        <v>2087</v>
      </c>
      <c r="B362" s="3362" t="s">
        <v>1619</v>
      </c>
      <c r="C362" s="3362" t="s">
        <v>4573</v>
      </c>
    </row>
    <row r="363" spans="1:3">
      <c r="A363" s="3362" t="s">
        <v>2087</v>
      </c>
      <c r="B363" s="3362" t="s">
        <v>1698</v>
      </c>
      <c r="C363" s="3362" t="s">
        <v>4573</v>
      </c>
    </row>
    <row r="364" spans="1:3">
      <c r="A364" s="3362" t="s">
        <v>2088</v>
      </c>
      <c r="B364" s="3362" t="s">
        <v>1620</v>
      </c>
      <c r="C364" s="3362" t="s">
        <v>4574</v>
      </c>
    </row>
    <row r="365" spans="1:3">
      <c r="A365" s="3362" t="s">
        <v>2089</v>
      </c>
      <c r="B365" s="3362" t="s">
        <v>1621</v>
      </c>
      <c r="C365" s="3362" t="s">
        <v>4575</v>
      </c>
    </row>
    <row r="366" spans="1:3">
      <c r="A366" s="3362" t="s">
        <v>2090</v>
      </c>
      <c r="B366" s="3362" t="s">
        <v>1699</v>
      </c>
      <c r="C366" s="3362" t="s">
        <v>4576</v>
      </c>
    </row>
    <row r="367" spans="1:3">
      <c r="A367" s="3362" t="s">
        <v>2091</v>
      </c>
      <c r="B367" s="3362" t="s">
        <v>1700</v>
      </c>
      <c r="C367" s="3362" t="s">
        <v>4577</v>
      </c>
    </row>
    <row r="368" spans="1:3">
      <c r="A368" s="3362" t="s">
        <v>2092</v>
      </c>
      <c r="B368" s="3362" t="s">
        <v>1622</v>
      </c>
      <c r="C368" s="3362" t="s">
        <v>4578</v>
      </c>
    </row>
    <row r="369" spans="1:3">
      <c r="A369" s="3362" t="s">
        <v>2092</v>
      </c>
      <c r="B369" s="3362" t="s">
        <v>1623</v>
      </c>
      <c r="C369" s="3362" t="s">
        <v>4578</v>
      </c>
    </row>
    <row r="370" spans="1:3">
      <c r="A370" s="3362" t="s">
        <v>2093</v>
      </c>
      <c r="B370" s="3362" t="s">
        <v>1701</v>
      </c>
      <c r="C370" s="3362" t="s">
        <v>4579</v>
      </c>
    </row>
    <row r="371" spans="1:3">
      <c r="A371" s="3362" t="s">
        <v>2093</v>
      </c>
      <c r="B371" s="3362" t="s">
        <v>1702</v>
      </c>
      <c r="C371" s="3362" t="s">
        <v>4579</v>
      </c>
    </row>
    <row r="372" spans="1:3">
      <c r="A372" s="3362" t="s">
        <v>2094</v>
      </c>
      <c r="B372" s="3362" t="s">
        <v>1624</v>
      </c>
      <c r="C372" s="3362" t="s">
        <v>4580</v>
      </c>
    </row>
    <row r="373" spans="1:3">
      <c r="A373" s="3362" t="s">
        <v>2094</v>
      </c>
      <c r="B373" s="3362" t="s">
        <v>1703</v>
      </c>
      <c r="C373" s="3362" t="s">
        <v>4580</v>
      </c>
    </row>
    <row r="374" spans="1:3">
      <c r="A374" s="3362" t="s">
        <v>2095</v>
      </c>
      <c r="B374" s="3362" t="s">
        <v>1625</v>
      </c>
      <c r="C374" s="3362" t="s">
        <v>4581</v>
      </c>
    </row>
    <row r="375" spans="1:3">
      <c r="A375" s="3362" t="s">
        <v>2097</v>
      </c>
      <c r="B375" s="3362" t="s">
        <v>1626</v>
      </c>
      <c r="C375" s="3362" t="s">
        <v>4582</v>
      </c>
    </row>
    <row r="376" spans="1:3">
      <c r="A376" s="3362" t="s">
        <v>2098</v>
      </c>
      <c r="B376" s="3362" t="s">
        <v>1627</v>
      </c>
      <c r="C376" s="3362" t="s">
        <v>4583</v>
      </c>
    </row>
    <row r="377" spans="1:3">
      <c r="A377" s="3362" t="s">
        <v>2098</v>
      </c>
      <c r="B377" s="3362" t="s">
        <v>1628</v>
      </c>
      <c r="C377" s="3362" t="s">
        <v>4583</v>
      </c>
    </row>
    <row r="378" spans="1:3">
      <c r="A378" s="3362" t="s">
        <v>2099</v>
      </c>
      <c r="B378" s="3362" t="s">
        <v>1704</v>
      </c>
      <c r="C378" s="3362" t="s">
        <v>4584</v>
      </c>
    </row>
    <row r="379" spans="1:3">
      <c r="A379" s="3362" t="s">
        <v>2099</v>
      </c>
      <c r="B379" s="3362" t="s">
        <v>1705</v>
      </c>
      <c r="C379" s="3362" t="s">
        <v>4584</v>
      </c>
    </row>
    <row r="380" spans="1:3">
      <c r="A380" s="3362" t="s">
        <v>2100</v>
      </c>
      <c r="B380" s="3362" t="s">
        <v>1706</v>
      </c>
      <c r="C380" s="3362" t="s">
        <v>4585</v>
      </c>
    </row>
    <row r="381" spans="1:3">
      <c r="A381" s="3362" t="s">
        <v>2101</v>
      </c>
      <c r="B381" s="3362" t="s">
        <v>1629</v>
      </c>
      <c r="C381" s="3362" t="s">
        <v>4586</v>
      </c>
    </row>
    <row r="382" spans="1:3">
      <c r="A382" s="3362" t="s">
        <v>2102</v>
      </c>
      <c r="B382" s="3362" t="s">
        <v>1630</v>
      </c>
      <c r="C382" s="3362" t="s">
        <v>4587</v>
      </c>
    </row>
    <row r="383" spans="1:3">
      <c r="A383" s="3362" t="s">
        <v>2103</v>
      </c>
      <c r="B383" s="3362" t="s">
        <v>1631</v>
      </c>
      <c r="C383" s="3362" t="s">
        <v>4588</v>
      </c>
    </row>
    <row r="384" spans="1:3">
      <c r="A384" s="3362" t="s">
        <v>2103</v>
      </c>
      <c r="B384" s="3362" t="s">
        <v>1632</v>
      </c>
      <c r="C384" s="3362" t="s">
        <v>4588</v>
      </c>
    </row>
    <row r="385" spans="1:3">
      <c r="A385" s="3362" t="s">
        <v>2104</v>
      </c>
      <c r="B385" s="3362" t="s">
        <v>1707</v>
      </c>
      <c r="C385" s="3362" t="s">
        <v>4589</v>
      </c>
    </row>
    <row r="386" spans="1:3">
      <c r="A386" s="3362" t="s">
        <v>2104</v>
      </c>
      <c r="B386" s="3362" t="s">
        <v>1708</v>
      </c>
      <c r="C386" s="3362" t="s">
        <v>4589</v>
      </c>
    </row>
    <row r="387" spans="1:3">
      <c r="A387" s="3362" t="s">
        <v>2105</v>
      </c>
      <c r="B387" s="3362" t="s">
        <v>1633</v>
      </c>
      <c r="C387" s="3362" t="s">
        <v>4590</v>
      </c>
    </row>
    <row r="388" spans="1:3">
      <c r="A388" s="3362" t="s">
        <v>2105</v>
      </c>
      <c r="B388" s="3362" t="s">
        <v>1709</v>
      </c>
      <c r="C388" s="3362" t="s">
        <v>4590</v>
      </c>
    </row>
    <row r="389" spans="1:3">
      <c r="A389" s="3362" t="s">
        <v>2106</v>
      </c>
      <c r="B389" s="3362" t="s">
        <v>1634</v>
      </c>
      <c r="C389" s="3362" t="s">
        <v>4591</v>
      </c>
    </row>
    <row r="390" spans="1:3">
      <c r="A390" s="3362" t="s">
        <v>2107</v>
      </c>
      <c r="B390" s="3362" t="s">
        <v>1635</v>
      </c>
      <c r="C390" s="3362" t="s">
        <v>4592</v>
      </c>
    </row>
    <row r="391" spans="1:3">
      <c r="A391" s="3362" t="s">
        <v>2108</v>
      </c>
      <c r="B391" s="3362" t="s">
        <v>1710</v>
      </c>
      <c r="C391" s="3362" t="s">
        <v>4593</v>
      </c>
    </row>
    <row r="392" spans="1:3">
      <c r="A392" s="3362" t="s">
        <v>2109</v>
      </c>
      <c r="B392" s="3362" t="s">
        <v>1711</v>
      </c>
      <c r="C392" s="3362" t="s">
        <v>4594</v>
      </c>
    </row>
    <row r="393" spans="1:3">
      <c r="A393" s="3362" t="s">
        <v>2110</v>
      </c>
      <c r="B393" s="3362" t="s">
        <v>1636</v>
      </c>
      <c r="C393" s="3362" t="s">
        <v>4595</v>
      </c>
    </row>
    <row r="394" spans="1:3">
      <c r="A394" s="3362" t="s">
        <v>2111</v>
      </c>
      <c r="B394" s="3362" t="s">
        <v>1712</v>
      </c>
      <c r="C394" s="3362" t="s">
        <v>4596</v>
      </c>
    </row>
    <row r="395" spans="1:3">
      <c r="A395" s="3362" t="s">
        <v>2112</v>
      </c>
      <c r="B395" s="3362" t="s">
        <v>1713</v>
      </c>
      <c r="C395" s="3362" t="s">
        <v>4597</v>
      </c>
    </row>
    <row r="396" spans="1:3">
      <c r="A396" s="3362" t="s">
        <v>2113</v>
      </c>
      <c r="B396" s="3362" t="s">
        <v>1637</v>
      </c>
      <c r="C396" s="3362" t="s">
        <v>4598</v>
      </c>
    </row>
    <row r="397" spans="1:3">
      <c r="A397" s="3362" t="s">
        <v>2114</v>
      </c>
      <c r="B397" s="3362" t="s">
        <v>1714</v>
      </c>
      <c r="C397" s="3362" t="s">
        <v>4599</v>
      </c>
    </row>
    <row r="398" spans="1:3">
      <c r="A398" s="3362" t="s">
        <v>2115</v>
      </c>
      <c r="B398" s="3362" t="s">
        <v>1638</v>
      </c>
      <c r="C398" s="3362" t="s">
        <v>4600</v>
      </c>
    </row>
    <row r="399" spans="1:3">
      <c r="A399" s="3362" t="s">
        <v>2116</v>
      </c>
      <c r="B399" s="3362" t="s">
        <v>1715</v>
      </c>
      <c r="C399" s="3362" t="s">
        <v>4601</v>
      </c>
    </row>
    <row r="400" spans="1:3">
      <c r="A400" s="3362" t="s">
        <v>2117</v>
      </c>
      <c r="B400" s="3362" t="s">
        <v>1639</v>
      </c>
      <c r="C400" s="3362" t="s">
        <v>4602</v>
      </c>
    </row>
    <row r="401" spans="1:3">
      <c r="A401" s="3362" t="s">
        <v>2118</v>
      </c>
      <c r="B401" s="3362" t="s">
        <v>1716</v>
      </c>
      <c r="C401" s="3362" t="s">
        <v>4603</v>
      </c>
    </row>
    <row r="402" spans="1:3">
      <c r="A402" s="3362" t="s">
        <v>2119</v>
      </c>
      <c r="B402" s="3362" t="s">
        <v>1640</v>
      </c>
      <c r="C402" s="3362" t="s">
        <v>4604</v>
      </c>
    </row>
    <row r="403" spans="1:3">
      <c r="A403" s="3362" t="s">
        <v>2120</v>
      </c>
      <c r="B403" s="3362" t="s">
        <v>1717</v>
      </c>
      <c r="C403" s="3362" t="s">
        <v>4605</v>
      </c>
    </row>
    <row r="404" spans="1:3">
      <c r="A404" s="3362" t="s">
        <v>2121</v>
      </c>
      <c r="B404" s="3362" t="s">
        <v>1641</v>
      </c>
      <c r="C404" s="3362" t="s">
        <v>4606</v>
      </c>
    </row>
    <row r="405" spans="1:3">
      <c r="A405" s="3362" t="s">
        <v>2122</v>
      </c>
      <c r="B405" s="3362" t="s">
        <v>1718</v>
      </c>
      <c r="C405" s="3362" t="s">
        <v>4607</v>
      </c>
    </row>
    <row r="406" spans="1:3">
      <c r="A406" s="3362" t="s">
        <v>2123</v>
      </c>
      <c r="B406" s="3362" t="s">
        <v>1642</v>
      </c>
      <c r="C406" s="3362" t="s">
        <v>4608</v>
      </c>
    </row>
    <row r="407" spans="1:3">
      <c r="A407" s="3362" t="s">
        <v>2124</v>
      </c>
      <c r="B407" s="3362" t="s">
        <v>1719</v>
      </c>
      <c r="C407" s="3362" t="s">
        <v>4609</v>
      </c>
    </row>
    <row r="408" spans="1:3">
      <c r="A408" s="3362" t="s">
        <v>2125</v>
      </c>
      <c r="B408" s="3362" t="s">
        <v>1643</v>
      </c>
      <c r="C408" s="3362" t="s">
        <v>4610</v>
      </c>
    </row>
    <row r="409" spans="1:3">
      <c r="A409" s="3362" t="s">
        <v>2126</v>
      </c>
      <c r="B409" s="3362" t="s">
        <v>1644</v>
      </c>
      <c r="C409" s="3362" t="s">
        <v>4611</v>
      </c>
    </row>
    <row r="410" spans="1:3">
      <c r="A410" s="3362" t="s">
        <v>2127</v>
      </c>
      <c r="B410" s="3362" t="s">
        <v>1645</v>
      </c>
      <c r="C410" s="3362" t="s">
        <v>4612</v>
      </c>
    </row>
    <row r="411" spans="1:3">
      <c r="A411" s="3362" t="s">
        <v>2128</v>
      </c>
      <c r="B411" s="3362" t="s">
        <v>1646</v>
      </c>
      <c r="C411" s="3362" t="s">
        <v>4613</v>
      </c>
    </row>
    <row r="412" spans="1:3">
      <c r="A412" s="3362" t="s">
        <v>2129</v>
      </c>
      <c r="B412" s="3362" t="s">
        <v>1647</v>
      </c>
      <c r="C412" s="3362" t="s">
        <v>4614</v>
      </c>
    </row>
    <row r="413" spans="1:3">
      <c r="A413" s="3362" t="s">
        <v>2131</v>
      </c>
      <c r="B413" s="3362" t="s">
        <v>1648</v>
      </c>
      <c r="C413" s="3362" t="s">
        <v>4615</v>
      </c>
    </row>
    <row r="414" spans="1:3">
      <c r="A414" s="3362" t="s">
        <v>2132</v>
      </c>
      <c r="B414" s="3362" t="s">
        <v>1649</v>
      </c>
      <c r="C414" s="3362" t="s">
        <v>4616</v>
      </c>
    </row>
    <row r="415" spans="1:3">
      <c r="A415" s="3362" t="s">
        <v>2133</v>
      </c>
      <c r="B415" s="3362" t="s">
        <v>1650</v>
      </c>
      <c r="C415" s="3362" t="s">
        <v>4617</v>
      </c>
    </row>
    <row r="416" spans="1:3">
      <c r="A416" s="3362" t="s">
        <v>2134</v>
      </c>
      <c r="B416" s="3362" t="s">
        <v>1651</v>
      </c>
      <c r="C416" s="3362" t="s">
        <v>4618</v>
      </c>
    </row>
    <row r="417" spans="1:3">
      <c r="A417" s="3362" t="s">
        <v>2135</v>
      </c>
      <c r="B417" s="3362" t="s">
        <v>1652</v>
      </c>
      <c r="C417" s="3362" t="s">
        <v>4619</v>
      </c>
    </row>
    <row r="418" spans="1:3">
      <c r="A418" s="3362" t="s">
        <v>2136</v>
      </c>
      <c r="B418" s="3362" t="s">
        <v>1720</v>
      </c>
      <c r="C418" s="3362" t="s">
        <v>4620</v>
      </c>
    </row>
    <row r="419" spans="1:3">
      <c r="A419" s="3362" t="s">
        <v>2137</v>
      </c>
      <c r="B419" s="3362" t="s">
        <v>1653</v>
      </c>
      <c r="C419" s="3362" t="s">
        <v>4621</v>
      </c>
    </row>
    <row r="420" spans="1:3">
      <c r="A420" s="3362" t="s">
        <v>2138</v>
      </c>
      <c r="B420" s="3362" t="s">
        <v>1721</v>
      </c>
      <c r="C420" s="3362" t="s">
        <v>4622</v>
      </c>
    </row>
    <row r="421" spans="1:3">
      <c r="A421" s="3362" t="s">
        <v>2139</v>
      </c>
      <c r="B421" s="3362" t="s">
        <v>1654</v>
      </c>
      <c r="C421" s="3362" t="s">
        <v>4623</v>
      </c>
    </row>
    <row r="422" spans="1:3">
      <c r="A422" s="3362" t="s">
        <v>2140</v>
      </c>
      <c r="B422" s="3362" t="s">
        <v>1722</v>
      </c>
      <c r="C422" s="3362" t="s">
        <v>4624</v>
      </c>
    </row>
    <row r="423" spans="1:3">
      <c r="A423" s="3362" t="s">
        <v>2141</v>
      </c>
      <c r="B423" s="3362" t="s">
        <v>1655</v>
      </c>
      <c r="C423" s="3362" t="s">
        <v>4625</v>
      </c>
    </row>
    <row r="424" spans="1:3">
      <c r="A424" s="3362" t="s">
        <v>2142</v>
      </c>
      <c r="B424" s="3362" t="s">
        <v>1723</v>
      </c>
      <c r="C424" s="3362" t="s">
        <v>4626</v>
      </c>
    </row>
    <row r="425" spans="1:3">
      <c r="A425" s="3362" t="s">
        <v>2143</v>
      </c>
      <c r="B425" s="3362" t="s">
        <v>1656</v>
      </c>
      <c r="C425" s="3362" t="s">
        <v>4627</v>
      </c>
    </row>
    <row r="426" spans="1:3">
      <c r="A426" s="3362" t="s">
        <v>2144</v>
      </c>
      <c r="B426" s="3362" t="s">
        <v>1724</v>
      </c>
      <c r="C426" s="3362" t="s">
        <v>4628</v>
      </c>
    </row>
    <row r="427" spans="1:3">
      <c r="A427" s="3362" t="s">
        <v>2145</v>
      </c>
      <c r="B427" s="3362" t="s">
        <v>1657</v>
      </c>
      <c r="C427" s="3362" t="s">
        <v>4629</v>
      </c>
    </row>
    <row r="428" spans="1:3">
      <c r="A428" s="3362" t="s">
        <v>2146</v>
      </c>
      <c r="B428" s="3362" t="s">
        <v>1658</v>
      </c>
      <c r="C428" s="3362" t="s">
        <v>4630</v>
      </c>
    </row>
    <row r="429" spans="1:3">
      <c r="A429" s="3362" t="s">
        <v>2147</v>
      </c>
      <c r="B429" s="3362" t="s">
        <v>1725</v>
      </c>
      <c r="C429" s="3362" t="s">
        <v>4631</v>
      </c>
    </row>
    <row r="430" spans="1:3">
      <c r="A430" s="3362" t="s">
        <v>2148</v>
      </c>
      <c r="B430" s="3362" t="s">
        <v>1659</v>
      </c>
      <c r="C430" s="3362" t="s">
        <v>4632</v>
      </c>
    </row>
    <row r="431" spans="1:3">
      <c r="A431" s="3362" t="s">
        <v>2149</v>
      </c>
      <c r="B431" s="3362" t="s">
        <v>1726</v>
      </c>
      <c r="C431" s="3362" t="s">
        <v>4633</v>
      </c>
    </row>
    <row r="432" spans="1:3">
      <c r="A432" s="3362" t="s">
        <v>2150</v>
      </c>
      <c r="B432" s="3362" t="s">
        <v>1660</v>
      </c>
      <c r="C432" s="3362" t="s">
        <v>4634</v>
      </c>
    </row>
    <row r="433" spans="1:3">
      <c r="A433" s="3362" t="s">
        <v>2151</v>
      </c>
      <c r="B433" s="3362" t="s">
        <v>1727</v>
      </c>
      <c r="C433" s="3362" t="s">
        <v>4635</v>
      </c>
    </row>
    <row r="434" spans="1:3">
      <c r="A434" s="3362" t="s">
        <v>2153</v>
      </c>
      <c r="B434" s="3362" t="s">
        <v>1661</v>
      </c>
      <c r="C434" s="3362" t="s">
        <v>4636</v>
      </c>
    </row>
    <row r="435" spans="1:3">
      <c r="A435" s="3362" t="s">
        <v>2154</v>
      </c>
      <c r="B435" s="3362" t="s">
        <v>1728</v>
      </c>
      <c r="C435" s="3362" t="s">
        <v>4637</v>
      </c>
    </row>
    <row r="436" spans="1:3" s="3364" customFormat="1">
      <c r="A436" s="3364" t="s">
        <v>4434</v>
      </c>
      <c r="B436" s="3364" t="s">
        <v>1883</v>
      </c>
      <c r="C436" s="3364" t="s">
        <v>1513</v>
      </c>
    </row>
    <row r="437" spans="1:3">
      <c r="A437" s="3362" t="s">
        <v>4435</v>
      </c>
      <c r="B437" s="3362" t="s">
        <v>1885</v>
      </c>
      <c r="C437" s="3362" t="s">
        <v>1514</v>
      </c>
    </row>
    <row r="438" spans="1:3">
      <c r="A438" s="3362" t="s">
        <v>4436</v>
      </c>
      <c r="B438" s="3362" t="s">
        <v>1887</v>
      </c>
      <c r="C438" s="3362" t="s">
        <v>1515</v>
      </c>
    </row>
    <row r="439" spans="1:3">
      <c r="A439" s="3362" t="s">
        <v>4437</v>
      </c>
      <c r="B439" s="3362" t="s">
        <v>1889</v>
      </c>
      <c r="C439" s="3362" t="s">
        <v>1516</v>
      </c>
    </row>
    <row r="440" spans="1:3">
      <c r="A440" s="3362" t="s">
        <v>4437</v>
      </c>
      <c r="B440" s="3362" t="s">
        <v>1891</v>
      </c>
      <c r="C440" s="3362" t="s">
        <v>1680</v>
      </c>
    </row>
    <row r="441" spans="1:3">
      <c r="A441" s="3362" t="s">
        <v>4438</v>
      </c>
      <c r="B441" s="3362" t="s">
        <v>1893</v>
      </c>
      <c r="C441" s="3362" t="s">
        <v>1517</v>
      </c>
    </row>
    <row r="442" spans="1:3">
      <c r="A442" s="3362" t="s">
        <v>4439</v>
      </c>
      <c r="B442" s="3362" t="s">
        <v>1895</v>
      </c>
      <c r="C442" s="3362" t="s">
        <v>1518</v>
      </c>
    </row>
    <row r="443" spans="1:3">
      <c r="A443" s="3362" t="s">
        <v>4440</v>
      </c>
      <c r="B443" s="3362" t="s">
        <v>1897</v>
      </c>
      <c r="C443" s="3362" t="s">
        <v>1662</v>
      </c>
    </row>
    <row r="444" spans="1:3">
      <c r="A444" s="3362" t="s">
        <v>4441</v>
      </c>
      <c r="B444" s="3362" t="s">
        <v>1899</v>
      </c>
      <c r="C444" s="3362" t="s">
        <v>1519</v>
      </c>
    </row>
    <row r="445" spans="1:3">
      <c r="A445" s="3362" t="s">
        <v>4442</v>
      </c>
      <c r="B445" s="3362" t="s">
        <v>1901</v>
      </c>
      <c r="C445" s="3362" t="s">
        <v>1520</v>
      </c>
    </row>
    <row r="446" spans="1:3">
      <c r="A446" s="3362" t="s">
        <v>4443</v>
      </c>
      <c r="B446" s="3362" t="s">
        <v>1903</v>
      </c>
      <c r="C446" s="3362" t="s">
        <v>1521</v>
      </c>
    </row>
    <row r="447" spans="1:3">
      <c r="A447" s="3362" t="s">
        <v>4444</v>
      </c>
      <c r="B447" s="3362" t="s">
        <v>1905</v>
      </c>
      <c r="C447" s="3362" t="s">
        <v>1522</v>
      </c>
    </row>
    <row r="448" spans="1:3">
      <c r="A448" s="3362" t="s">
        <v>4445</v>
      </c>
      <c r="B448" s="3362" t="s">
        <v>1907</v>
      </c>
      <c r="C448" s="3362" t="s">
        <v>1523</v>
      </c>
    </row>
    <row r="449" spans="1:3">
      <c r="A449" s="3362" t="s">
        <v>4446</v>
      </c>
      <c r="B449" s="3362" t="s">
        <v>1909</v>
      </c>
      <c r="C449" s="3362" t="s">
        <v>1681</v>
      </c>
    </row>
    <row r="450" spans="1:3">
      <c r="A450" s="3362" t="s">
        <v>4447</v>
      </c>
      <c r="B450" s="3362" t="s">
        <v>1911</v>
      </c>
      <c r="C450" s="3362" t="s">
        <v>1524</v>
      </c>
    </row>
    <row r="451" spans="1:3">
      <c r="A451" s="3362" t="s">
        <v>4448</v>
      </c>
      <c r="B451" s="3362" t="s">
        <v>1913</v>
      </c>
      <c r="C451" s="3362" t="s">
        <v>1682</v>
      </c>
    </row>
    <row r="452" spans="1:3">
      <c r="A452" s="3362" t="s">
        <v>4449</v>
      </c>
      <c r="B452" s="3362" t="s">
        <v>1915</v>
      </c>
      <c r="C452" s="3362" t="s">
        <v>1525</v>
      </c>
    </row>
    <row r="453" spans="1:3">
      <c r="A453" s="3362" t="s">
        <v>4449</v>
      </c>
      <c r="B453" s="3362" t="s">
        <v>1915</v>
      </c>
      <c r="C453" s="3362" t="s">
        <v>1683</v>
      </c>
    </row>
    <row r="454" spans="1:3">
      <c r="A454" s="3362" t="s">
        <v>4450</v>
      </c>
      <c r="B454" s="3362" t="s">
        <v>1917</v>
      </c>
      <c r="C454" s="3362" t="s">
        <v>1526</v>
      </c>
    </row>
    <row r="455" spans="1:3">
      <c r="A455" s="3362" t="s">
        <v>4451</v>
      </c>
      <c r="B455" s="3362" t="s">
        <v>1919</v>
      </c>
      <c r="C455" s="3362" t="s">
        <v>1527</v>
      </c>
    </row>
    <row r="456" spans="1:3">
      <c r="A456" s="3362" t="s">
        <v>4452</v>
      </c>
      <c r="B456" s="3362" t="s">
        <v>1921</v>
      </c>
      <c r="C456" s="3362" t="s">
        <v>1528</v>
      </c>
    </row>
    <row r="457" spans="1:3">
      <c r="A457" s="3362" t="s">
        <v>4453</v>
      </c>
      <c r="B457" s="3362" t="s">
        <v>1923</v>
      </c>
      <c r="C457" s="3362" t="s">
        <v>1529</v>
      </c>
    </row>
    <row r="458" spans="1:3">
      <c r="A458" s="3362" t="s">
        <v>4454</v>
      </c>
      <c r="B458" s="3362" t="s">
        <v>1925</v>
      </c>
      <c r="C458" s="3362" t="s">
        <v>1530</v>
      </c>
    </row>
    <row r="459" spans="1:3">
      <c r="A459" s="3362" t="s">
        <v>4455</v>
      </c>
      <c r="B459" s="3362" t="s">
        <v>1927</v>
      </c>
      <c r="C459" s="3362" t="s">
        <v>1531</v>
      </c>
    </row>
    <row r="460" spans="1:3">
      <c r="A460" s="3362" t="s">
        <v>4456</v>
      </c>
      <c r="B460" s="3362" t="s">
        <v>1929</v>
      </c>
      <c r="C460" s="3362" t="s">
        <v>1532</v>
      </c>
    </row>
    <row r="461" spans="1:3">
      <c r="A461" s="3362" t="s">
        <v>4457</v>
      </c>
      <c r="B461" s="3362" t="s">
        <v>1931</v>
      </c>
      <c r="C461" s="3362" t="s">
        <v>1533</v>
      </c>
    </row>
    <row r="462" spans="1:3">
      <c r="A462" s="3362" t="s">
        <v>4458</v>
      </c>
      <c r="B462" s="3362" t="s">
        <v>1933</v>
      </c>
      <c r="C462" s="3362" t="s">
        <v>1534</v>
      </c>
    </row>
    <row r="463" spans="1:3">
      <c r="A463" s="3362" t="s">
        <v>4459</v>
      </c>
      <c r="B463" s="3362" t="s">
        <v>1935</v>
      </c>
      <c r="C463" s="3362" t="s">
        <v>1535</v>
      </c>
    </row>
    <row r="464" spans="1:3">
      <c r="A464" s="3362" t="s">
        <v>4460</v>
      </c>
      <c r="B464" s="3362" t="s">
        <v>1937</v>
      </c>
      <c r="C464" s="3362" t="s">
        <v>1684</v>
      </c>
    </row>
    <row r="465" spans="1:3">
      <c r="A465" s="3362" t="s">
        <v>4461</v>
      </c>
      <c r="B465" s="3362" t="s">
        <v>1939</v>
      </c>
      <c r="C465" s="3362" t="s">
        <v>1536</v>
      </c>
    </row>
    <row r="466" spans="1:3">
      <c r="A466" s="3362" t="s">
        <v>4462</v>
      </c>
      <c r="B466" s="3362" t="s">
        <v>1941</v>
      </c>
      <c r="C466" s="3362" t="s">
        <v>1537</v>
      </c>
    </row>
    <row r="467" spans="1:3">
      <c r="A467" s="3362" t="s">
        <v>4463</v>
      </c>
      <c r="B467" s="3362" t="s">
        <v>1943</v>
      </c>
      <c r="C467" s="3362" t="s">
        <v>1685</v>
      </c>
    </row>
    <row r="468" spans="1:3">
      <c r="A468" s="3362" t="s">
        <v>4464</v>
      </c>
      <c r="B468" s="3362" t="s">
        <v>1945</v>
      </c>
      <c r="C468" s="3362" t="s">
        <v>1538</v>
      </c>
    </row>
    <row r="469" spans="1:3">
      <c r="A469" s="3362" t="s">
        <v>4465</v>
      </c>
      <c r="B469" s="3362" t="s">
        <v>1947</v>
      </c>
      <c r="C469" s="3362" t="s">
        <v>1539</v>
      </c>
    </row>
    <row r="470" spans="1:3">
      <c r="A470" s="3362" t="s">
        <v>4466</v>
      </c>
      <c r="B470" s="3362" t="s">
        <v>1949</v>
      </c>
      <c r="C470" s="3362" t="s">
        <v>1540</v>
      </c>
    </row>
    <row r="471" spans="1:3">
      <c r="A471" s="3362" t="s">
        <v>4467</v>
      </c>
      <c r="B471" s="3362" t="s">
        <v>1951</v>
      </c>
      <c r="C471" s="3362" t="s">
        <v>1686</v>
      </c>
    </row>
    <row r="472" spans="1:3">
      <c r="A472" s="3362" t="s">
        <v>4468</v>
      </c>
      <c r="B472" s="3362" t="s">
        <v>1953</v>
      </c>
      <c r="C472" s="3362" t="s">
        <v>1541</v>
      </c>
    </row>
    <row r="473" spans="1:3">
      <c r="A473" s="3362" t="s">
        <v>4469</v>
      </c>
      <c r="B473" s="3362" t="s">
        <v>1955</v>
      </c>
      <c r="C473" s="3362" t="s">
        <v>1542</v>
      </c>
    </row>
    <row r="474" spans="1:3">
      <c r="A474" s="3362" t="s">
        <v>4470</v>
      </c>
      <c r="B474" s="3362" t="s">
        <v>1957</v>
      </c>
      <c r="C474" s="3362" t="s">
        <v>1543</v>
      </c>
    </row>
    <row r="475" spans="1:3">
      <c r="A475" s="3362" t="s">
        <v>4471</v>
      </c>
      <c r="B475" s="3362" t="s">
        <v>1959</v>
      </c>
      <c r="C475" s="3362" t="s">
        <v>1544</v>
      </c>
    </row>
    <row r="476" spans="1:3">
      <c r="A476" s="3362" t="s">
        <v>4472</v>
      </c>
      <c r="B476" s="3362" t="s">
        <v>1961</v>
      </c>
      <c r="C476" s="3362" t="s">
        <v>1545</v>
      </c>
    </row>
    <row r="477" spans="1:3">
      <c r="A477" s="3362" t="s">
        <v>4473</v>
      </c>
      <c r="B477" s="3362" t="s">
        <v>1963</v>
      </c>
      <c r="C477" s="3362" t="s">
        <v>1546</v>
      </c>
    </row>
    <row r="478" spans="1:3">
      <c r="A478" s="3362" t="s">
        <v>4474</v>
      </c>
      <c r="B478" s="3362" t="s">
        <v>1965</v>
      </c>
      <c r="C478" s="3362" t="s">
        <v>1547</v>
      </c>
    </row>
    <row r="479" spans="1:3">
      <c r="A479" s="3362" t="s">
        <v>4475</v>
      </c>
      <c r="B479" s="3362" t="s">
        <v>1967</v>
      </c>
      <c r="C479" s="3362" t="s">
        <v>1548</v>
      </c>
    </row>
    <row r="480" spans="1:3">
      <c r="A480" s="3362" t="s">
        <v>4476</v>
      </c>
      <c r="B480" s="3362" t="s">
        <v>1969</v>
      </c>
      <c r="C480" s="3362" t="s">
        <v>1549</v>
      </c>
    </row>
    <row r="481" spans="1:3">
      <c r="A481" s="3362" t="s">
        <v>4477</v>
      </c>
      <c r="B481" s="3362" t="s">
        <v>1971</v>
      </c>
      <c r="C481" s="3362" t="s">
        <v>1550</v>
      </c>
    </row>
    <row r="482" spans="1:3">
      <c r="A482" s="3362" t="s">
        <v>4478</v>
      </c>
      <c r="B482" s="3362" t="s">
        <v>1973</v>
      </c>
      <c r="C482" s="3362" t="s">
        <v>1551</v>
      </c>
    </row>
    <row r="483" spans="1:3">
      <c r="A483" s="3362" t="s">
        <v>4479</v>
      </c>
      <c r="B483" s="3362" t="s">
        <v>1975</v>
      </c>
      <c r="C483" s="3362" t="s">
        <v>1552</v>
      </c>
    </row>
    <row r="484" spans="1:3">
      <c r="A484" s="3362" t="s">
        <v>4480</v>
      </c>
      <c r="B484" s="3362" t="s">
        <v>1977</v>
      </c>
      <c r="C484" s="3362" t="s">
        <v>1553</v>
      </c>
    </row>
    <row r="485" spans="1:3">
      <c r="A485" s="3362" t="s">
        <v>4481</v>
      </c>
      <c r="B485" s="3362" t="s">
        <v>1979</v>
      </c>
      <c r="C485" s="3362" t="s">
        <v>1554</v>
      </c>
    </row>
    <row r="486" spans="1:3">
      <c r="A486" s="3362" t="s">
        <v>4482</v>
      </c>
      <c r="B486" s="3362" t="s">
        <v>1981</v>
      </c>
      <c r="C486" s="3362" t="s">
        <v>1555</v>
      </c>
    </row>
    <row r="487" spans="1:3">
      <c r="A487" s="3362" t="s">
        <v>4483</v>
      </c>
      <c r="B487" s="3362" t="s">
        <v>1983</v>
      </c>
      <c r="C487" s="3362" t="s">
        <v>1556</v>
      </c>
    </row>
    <row r="488" spans="1:3">
      <c r="A488" s="3362" t="s">
        <v>4484</v>
      </c>
      <c r="B488" s="3362" t="s">
        <v>1985</v>
      </c>
      <c r="C488" s="3362" t="s">
        <v>1557</v>
      </c>
    </row>
    <row r="489" spans="1:3">
      <c r="A489" s="3362" t="s">
        <v>4485</v>
      </c>
      <c r="B489" s="3362" t="s">
        <v>1987</v>
      </c>
      <c r="C489" s="3362" t="s">
        <v>1558</v>
      </c>
    </row>
    <row r="490" spans="1:3">
      <c r="A490" s="3362" t="s">
        <v>4486</v>
      </c>
      <c r="B490" s="3362" t="s">
        <v>1989</v>
      </c>
      <c r="C490" s="3362" t="s">
        <v>1559</v>
      </c>
    </row>
    <row r="491" spans="1:3">
      <c r="A491" s="3362" t="s">
        <v>4487</v>
      </c>
      <c r="B491" s="3362" t="s">
        <v>1991</v>
      </c>
      <c r="C491" s="3362" t="s">
        <v>1560</v>
      </c>
    </row>
    <row r="492" spans="1:3">
      <c r="A492" s="3362" t="s">
        <v>4488</v>
      </c>
      <c r="B492" s="3362" t="s">
        <v>1993</v>
      </c>
      <c r="C492" s="3362" t="s">
        <v>1561</v>
      </c>
    </row>
    <row r="493" spans="1:3">
      <c r="A493" s="3362" t="s">
        <v>4489</v>
      </c>
      <c r="B493" s="3362" t="s">
        <v>1995</v>
      </c>
      <c r="C493" s="3362" t="s">
        <v>1562</v>
      </c>
    </row>
    <row r="494" spans="1:3">
      <c r="A494" s="3362" t="s">
        <v>4490</v>
      </c>
      <c r="B494" s="3362" t="s">
        <v>1997</v>
      </c>
      <c r="C494" s="3362" t="s">
        <v>1687</v>
      </c>
    </row>
    <row r="495" spans="1:3">
      <c r="A495" s="3362" t="s">
        <v>4491</v>
      </c>
      <c r="B495" s="3362" t="s">
        <v>2000</v>
      </c>
      <c r="C495" s="3362" t="s">
        <v>1563</v>
      </c>
    </row>
    <row r="496" spans="1:3">
      <c r="A496" s="3362" t="s">
        <v>4492</v>
      </c>
      <c r="B496" s="3362" t="s">
        <v>2003</v>
      </c>
      <c r="C496" s="3362" t="s">
        <v>2333</v>
      </c>
    </row>
    <row r="497" spans="1:3">
      <c r="A497" s="3362" t="s">
        <v>4493</v>
      </c>
      <c r="B497" s="3362" t="s">
        <v>2006</v>
      </c>
      <c r="C497" s="3362" t="s">
        <v>1564</v>
      </c>
    </row>
    <row r="498" spans="1:3">
      <c r="A498" s="3362" t="s">
        <v>4494</v>
      </c>
      <c r="B498" s="3362" t="s">
        <v>2009</v>
      </c>
      <c r="C498" s="3362" t="s">
        <v>1565</v>
      </c>
    </row>
    <row r="499" spans="1:3">
      <c r="A499" s="3362" t="s">
        <v>4495</v>
      </c>
      <c r="B499" s="3362" t="s">
        <v>2012</v>
      </c>
      <c r="C499" s="3362" t="s">
        <v>2337</v>
      </c>
    </row>
    <row r="500" spans="1:3">
      <c r="A500" s="3362" t="s">
        <v>4496</v>
      </c>
      <c r="B500" s="3362" t="s">
        <v>2531</v>
      </c>
      <c r="C500" s="3362" t="s">
        <v>2339</v>
      </c>
    </row>
    <row r="501" spans="1:3">
      <c r="A501" s="3362" t="s">
        <v>4497</v>
      </c>
      <c r="B501" s="3362" t="s">
        <v>2015</v>
      </c>
      <c r="C501" s="3362" t="s">
        <v>1566</v>
      </c>
    </row>
    <row r="502" spans="1:3">
      <c r="A502" s="3362" t="s">
        <v>4498</v>
      </c>
      <c r="B502" s="3362" t="s">
        <v>2018</v>
      </c>
      <c r="C502" s="3362" t="s">
        <v>2341</v>
      </c>
    </row>
    <row r="503" spans="1:3">
      <c r="A503" s="3362" t="s">
        <v>4499</v>
      </c>
      <c r="B503" s="3362" t="s">
        <v>2021</v>
      </c>
      <c r="C503" s="3362" t="s">
        <v>1567</v>
      </c>
    </row>
    <row r="504" spans="1:3">
      <c r="A504" s="3362" t="s">
        <v>4500</v>
      </c>
      <c r="B504" s="3362" t="s">
        <v>2024</v>
      </c>
      <c r="C504" s="3362" t="s">
        <v>1568</v>
      </c>
    </row>
    <row r="505" spans="1:3">
      <c r="A505" s="3362" t="s">
        <v>4501</v>
      </c>
      <c r="B505" s="3362" t="s">
        <v>2027</v>
      </c>
      <c r="C505" s="3362" t="s">
        <v>1569</v>
      </c>
    </row>
    <row r="506" spans="1:3">
      <c r="A506" s="3362" t="s">
        <v>4502</v>
      </c>
      <c r="B506" s="3362" t="s">
        <v>2030</v>
      </c>
      <c r="C506" s="3362" t="s">
        <v>2346</v>
      </c>
    </row>
    <row r="507" spans="1:3">
      <c r="A507" s="3362" t="s">
        <v>4503</v>
      </c>
      <c r="B507" s="3362" t="s">
        <v>2032</v>
      </c>
      <c r="C507" s="3362" t="s">
        <v>2348</v>
      </c>
    </row>
    <row r="508" spans="1:3">
      <c r="A508" s="3362" t="s">
        <v>4504</v>
      </c>
      <c r="B508" s="3362" t="s">
        <v>2035</v>
      </c>
      <c r="C508" s="3362" t="s">
        <v>2349</v>
      </c>
    </row>
    <row r="509" spans="1:3">
      <c r="A509" s="3362" t="s">
        <v>4505</v>
      </c>
      <c r="B509" s="3362" t="s">
        <v>2038</v>
      </c>
      <c r="C509" s="3362" t="s">
        <v>2351</v>
      </c>
    </row>
    <row r="510" spans="1:3">
      <c r="A510" s="3362" t="s">
        <v>4506</v>
      </c>
      <c r="B510" s="3362" t="s">
        <v>2041</v>
      </c>
      <c r="C510" s="3362" t="s">
        <v>2353</v>
      </c>
    </row>
    <row r="511" spans="1:3">
      <c r="A511" s="3362" t="s">
        <v>4507</v>
      </c>
      <c r="B511" s="3362" t="s">
        <v>2043</v>
      </c>
      <c r="C511" s="3362" t="s">
        <v>2354</v>
      </c>
    </row>
    <row r="512" spans="1:3">
      <c r="A512" s="3362" t="s">
        <v>4508</v>
      </c>
      <c r="B512" s="3362" t="s">
        <v>2534</v>
      </c>
      <c r="C512" s="3362" t="s">
        <v>2356</v>
      </c>
    </row>
    <row r="513" spans="1:3">
      <c r="A513" s="3362" t="s">
        <v>4509</v>
      </c>
      <c r="B513" s="3362" t="s">
        <v>2535</v>
      </c>
      <c r="C513" s="3362" t="s">
        <v>2358</v>
      </c>
    </row>
    <row r="514" spans="1:3">
      <c r="A514" s="3362" t="s">
        <v>4510</v>
      </c>
      <c r="B514" s="3362" t="s">
        <v>2536</v>
      </c>
      <c r="C514" s="3362" t="s">
        <v>2359</v>
      </c>
    </row>
    <row r="515" spans="1:3">
      <c r="A515" s="3362" t="s">
        <v>4511</v>
      </c>
      <c r="B515" s="3362" t="s">
        <v>2543</v>
      </c>
      <c r="C515" s="3362" t="s">
        <v>2524</v>
      </c>
    </row>
    <row r="516" spans="1:3">
      <c r="A516" s="3362" t="s">
        <v>4512</v>
      </c>
      <c r="B516" s="3362" t="s">
        <v>2538</v>
      </c>
      <c r="C516" s="3362" t="s">
        <v>2362</v>
      </c>
    </row>
    <row r="517" spans="1:3">
      <c r="A517" s="3362" t="s">
        <v>4513</v>
      </c>
      <c r="B517" s="3362" t="s">
        <v>2539</v>
      </c>
      <c r="C517" s="3362" t="s">
        <v>2364</v>
      </c>
    </row>
    <row r="518" spans="1:3">
      <c r="A518" s="3362" t="s">
        <v>4514</v>
      </c>
      <c r="B518" s="3362" t="s">
        <v>2540</v>
      </c>
      <c r="C518" s="3362" t="s">
        <v>2412</v>
      </c>
    </row>
    <row r="519" spans="1:3">
      <c r="A519" s="3362" t="s">
        <v>4515</v>
      </c>
      <c r="B519" s="3362" t="s">
        <v>2544</v>
      </c>
      <c r="C519" s="3362" t="s">
        <v>2527</v>
      </c>
    </row>
    <row r="520" spans="1:3">
      <c r="A520" s="3362" t="s">
        <v>4516</v>
      </c>
      <c r="B520" s="3362" t="s">
        <v>1998</v>
      </c>
      <c r="C520" s="3362" t="s">
        <v>1570</v>
      </c>
    </row>
    <row r="521" spans="1:3">
      <c r="A521" s="3362" t="s">
        <v>4517</v>
      </c>
      <c r="B521" s="3362" t="s">
        <v>2001</v>
      </c>
      <c r="C521" s="3362" t="s">
        <v>1571</v>
      </c>
    </row>
    <row r="522" spans="1:3">
      <c r="A522" s="3362" t="s">
        <v>4518</v>
      </c>
      <c r="B522" s="3362" t="s">
        <v>2004</v>
      </c>
      <c r="C522" s="3362" t="s">
        <v>1572</v>
      </c>
    </row>
    <row r="523" spans="1:3">
      <c r="A523" s="3362" t="s">
        <v>4519</v>
      </c>
      <c r="B523" s="3362" t="s">
        <v>2007</v>
      </c>
      <c r="C523" s="3362" t="s">
        <v>1573</v>
      </c>
    </row>
    <row r="524" spans="1:3">
      <c r="A524" s="3362" t="s">
        <v>4520</v>
      </c>
      <c r="B524" s="3362" t="s">
        <v>2010</v>
      </c>
      <c r="C524" s="3362" t="s">
        <v>1574</v>
      </c>
    </row>
    <row r="525" spans="1:3">
      <c r="A525" s="3362" t="s">
        <v>4521</v>
      </c>
      <c r="B525" s="3362" t="s">
        <v>2013</v>
      </c>
      <c r="C525" s="3362" t="s">
        <v>1575</v>
      </c>
    </row>
    <row r="526" spans="1:3">
      <c r="A526" s="3362" t="s">
        <v>4522</v>
      </c>
      <c r="B526" s="3362" t="s">
        <v>2016</v>
      </c>
      <c r="C526" s="3362" t="s">
        <v>1576</v>
      </c>
    </row>
    <row r="527" spans="1:3">
      <c r="A527" s="3362" t="s">
        <v>4523</v>
      </c>
      <c r="B527" s="3362" t="s">
        <v>2019</v>
      </c>
      <c r="C527" s="3362" t="s">
        <v>1577</v>
      </c>
    </row>
    <row r="528" spans="1:3">
      <c r="A528" s="3362" t="s">
        <v>4524</v>
      </c>
      <c r="B528" s="3362" t="s">
        <v>2022</v>
      </c>
      <c r="C528" s="3362" t="s">
        <v>1578</v>
      </c>
    </row>
    <row r="529" spans="1:3">
      <c r="A529" s="3362" t="s">
        <v>4525</v>
      </c>
      <c r="B529" s="3362" t="s">
        <v>2025</v>
      </c>
      <c r="C529" s="3362" t="s">
        <v>1579</v>
      </c>
    </row>
    <row r="530" spans="1:3">
      <c r="A530" s="3362" t="s">
        <v>4526</v>
      </c>
      <c r="B530" s="3362" t="s">
        <v>2028</v>
      </c>
      <c r="C530" s="3362" t="s">
        <v>1580</v>
      </c>
    </row>
    <row r="531" spans="1:3">
      <c r="A531" s="3362" t="s">
        <v>4527</v>
      </c>
      <c r="B531" s="3362" t="s">
        <v>2031</v>
      </c>
      <c r="C531" s="3362" t="s">
        <v>1581</v>
      </c>
    </row>
    <row r="532" spans="1:3">
      <c r="A532" s="3362" t="s">
        <v>4528</v>
      </c>
      <c r="B532" s="3362" t="s">
        <v>2033</v>
      </c>
      <c r="C532" s="3362" t="s">
        <v>1582</v>
      </c>
    </row>
    <row r="533" spans="1:3">
      <c r="A533" s="3362" t="s">
        <v>4529</v>
      </c>
      <c r="B533" s="3362" t="s">
        <v>2036</v>
      </c>
      <c r="C533" s="3362" t="s">
        <v>1688</v>
      </c>
    </row>
    <row r="534" spans="1:3">
      <c r="A534" s="3362" t="s">
        <v>4530</v>
      </c>
      <c r="B534" s="3362" t="s">
        <v>2039</v>
      </c>
      <c r="C534" s="3362" t="s">
        <v>1689</v>
      </c>
    </row>
    <row r="535" spans="1:3">
      <c r="A535" s="3362" t="s">
        <v>4531</v>
      </c>
      <c r="B535" s="3362" t="s">
        <v>2042</v>
      </c>
      <c r="C535" s="3362" t="s">
        <v>1583</v>
      </c>
    </row>
    <row r="536" spans="1:3">
      <c r="A536" s="3362" t="s">
        <v>4532</v>
      </c>
      <c r="B536" s="3362" t="s">
        <v>2044</v>
      </c>
      <c r="C536" s="3362" t="s">
        <v>1690</v>
      </c>
    </row>
    <row r="537" spans="1:3">
      <c r="A537" s="3362" t="s">
        <v>4533</v>
      </c>
      <c r="B537" s="3362" t="s">
        <v>2046</v>
      </c>
      <c r="C537" s="3362" t="s">
        <v>1691</v>
      </c>
    </row>
    <row r="538" spans="1:3">
      <c r="A538" s="3362" t="s">
        <v>4534</v>
      </c>
      <c r="B538" s="3362" t="s">
        <v>2047</v>
      </c>
      <c r="C538" s="3362" t="s">
        <v>1584</v>
      </c>
    </row>
    <row r="539" spans="1:3">
      <c r="A539" s="3362" t="s">
        <v>4535</v>
      </c>
      <c r="B539" s="3362" t="s">
        <v>2048</v>
      </c>
      <c r="C539" s="3362" t="s">
        <v>1692</v>
      </c>
    </row>
    <row r="540" spans="1:3">
      <c r="A540" s="3362" t="s">
        <v>4536</v>
      </c>
      <c r="B540" s="3362" t="s">
        <v>2049</v>
      </c>
      <c r="C540" s="3362" t="s">
        <v>1693</v>
      </c>
    </row>
    <row r="541" spans="1:3">
      <c r="A541" s="3362" t="s">
        <v>4537</v>
      </c>
      <c r="B541" s="3362" t="s">
        <v>2050</v>
      </c>
      <c r="C541" s="3362" t="s">
        <v>1585</v>
      </c>
    </row>
    <row r="542" spans="1:3">
      <c r="A542" s="3362" t="s">
        <v>4538</v>
      </c>
      <c r="B542" s="3362" t="s">
        <v>2051</v>
      </c>
      <c r="C542" s="3362" t="s">
        <v>1586</v>
      </c>
    </row>
    <row r="543" spans="1:3">
      <c r="A543" s="3362" t="s">
        <v>4539</v>
      </c>
      <c r="B543" s="3362" t="s">
        <v>2052</v>
      </c>
      <c r="C543" s="3362" t="s">
        <v>1587</v>
      </c>
    </row>
    <row r="544" spans="1:3">
      <c r="A544" s="3362" t="s">
        <v>4540</v>
      </c>
      <c r="B544" s="3362" t="s">
        <v>2053</v>
      </c>
      <c r="C544" s="3362" t="s">
        <v>1588</v>
      </c>
    </row>
    <row r="545" spans="1:3">
      <c r="A545" s="3362" t="s">
        <v>4541</v>
      </c>
      <c r="B545" s="3362" t="s">
        <v>2054</v>
      </c>
      <c r="C545" s="3362" t="s">
        <v>1589</v>
      </c>
    </row>
    <row r="546" spans="1:3">
      <c r="A546" s="3362" t="s">
        <v>4542</v>
      </c>
      <c r="B546" s="3362" t="s">
        <v>2055</v>
      </c>
      <c r="C546" s="3362" t="s">
        <v>1590</v>
      </c>
    </row>
    <row r="547" spans="1:3">
      <c r="A547" s="3362" t="s">
        <v>4543</v>
      </c>
      <c r="B547" s="3362" t="s">
        <v>2056</v>
      </c>
      <c r="C547" s="3362" t="s">
        <v>1591</v>
      </c>
    </row>
    <row r="548" spans="1:3">
      <c r="A548" s="3362" t="s">
        <v>4544</v>
      </c>
      <c r="B548" s="3362" t="s">
        <v>2057</v>
      </c>
      <c r="C548" s="3362" t="s">
        <v>1592</v>
      </c>
    </row>
    <row r="549" spans="1:3">
      <c r="A549" s="3362" t="s">
        <v>4545</v>
      </c>
      <c r="B549" s="3362" t="s">
        <v>2058</v>
      </c>
      <c r="C549" s="3362" t="s">
        <v>1593</v>
      </c>
    </row>
    <row r="550" spans="1:3">
      <c r="A550" s="3362" t="s">
        <v>4546</v>
      </c>
      <c r="B550" s="3362" t="s">
        <v>2059</v>
      </c>
      <c r="C550" s="3362" t="s">
        <v>1594</v>
      </c>
    </row>
    <row r="551" spans="1:3">
      <c r="A551" s="3362" t="s">
        <v>4547</v>
      </c>
      <c r="B551" s="3362" t="s">
        <v>2060</v>
      </c>
      <c r="C551" s="3362" t="s">
        <v>1595</v>
      </c>
    </row>
    <row r="552" spans="1:3">
      <c r="A552" s="3362" t="s">
        <v>4548</v>
      </c>
      <c r="B552" s="3362" t="s">
        <v>2061</v>
      </c>
      <c r="C552" s="3362" t="s">
        <v>1596</v>
      </c>
    </row>
    <row r="553" spans="1:3">
      <c r="A553" s="3362" t="s">
        <v>4549</v>
      </c>
      <c r="B553" s="3362" t="s">
        <v>2062</v>
      </c>
      <c r="C553" s="3362" t="s">
        <v>1597</v>
      </c>
    </row>
    <row r="554" spans="1:3">
      <c r="A554" s="3362" t="s">
        <v>4550</v>
      </c>
      <c r="B554" s="3362" t="s">
        <v>2063</v>
      </c>
      <c r="C554" s="3362" t="s">
        <v>1598</v>
      </c>
    </row>
    <row r="555" spans="1:3">
      <c r="A555" s="3362" t="s">
        <v>4551</v>
      </c>
      <c r="B555" s="3362" t="s">
        <v>2064</v>
      </c>
      <c r="C555" s="3362" t="s">
        <v>1599</v>
      </c>
    </row>
    <row r="556" spans="1:3">
      <c r="A556" s="3362" t="s">
        <v>4552</v>
      </c>
      <c r="B556" s="3362" t="s">
        <v>2065</v>
      </c>
      <c r="C556" s="3362" t="s">
        <v>1600</v>
      </c>
    </row>
    <row r="557" spans="1:3">
      <c r="A557" s="3362" t="s">
        <v>4553</v>
      </c>
      <c r="B557" s="3362" t="s">
        <v>2066</v>
      </c>
      <c r="C557" s="3362" t="s">
        <v>1601</v>
      </c>
    </row>
    <row r="558" spans="1:3">
      <c r="A558" s="3362" t="s">
        <v>4554</v>
      </c>
      <c r="B558" s="3362" t="s">
        <v>2067</v>
      </c>
      <c r="C558" s="3362" t="s">
        <v>1694</v>
      </c>
    </row>
    <row r="559" spans="1:3">
      <c r="A559" s="3362" t="s">
        <v>4555</v>
      </c>
      <c r="B559" s="3362" t="s">
        <v>2068</v>
      </c>
      <c r="C559" s="3362" t="s">
        <v>1695</v>
      </c>
    </row>
    <row r="560" spans="1:3">
      <c r="A560" s="3362" t="s">
        <v>4556</v>
      </c>
      <c r="B560" s="3362" t="s">
        <v>2069</v>
      </c>
      <c r="C560" s="3362" t="s">
        <v>1602</v>
      </c>
    </row>
    <row r="561" spans="1:3">
      <c r="A561" s="3362" t="s">
        <v>4557</v>
      </c>
      <c r="B561" s="3362" t="s">
        <v>2070</v>
      </c>
      <c r="C561" s="3362" t="s">
        <v>1603</v>
      </c>
    </row>
    <row r="562" spans="1:3">
      <c r="A562" s="3362" t="s">
        <v>4558</v>
      </c>
      <c r="B562" s="3362" t="s">
        <v>2071</v>
      </c>
      <c r="C562" s="3362" t="s">
        <v>1604</v>
      </c>
    </row>
    <row r="563" spans="1:3">
      <c r="A563" s="3362" t="s">
        <v>4559</v>
      </c>
      <c r="B563" s="3362" t="s">
        <v>2072</v>
      </c>
      <c r="C563" s="3362" t="s">
        <v>1605</v>
      </c>
    </row>
    <row r="564" spans="1:3">
      <c r="A564" s="3362" t="s">
        <v>4560</v>
      </c>
      <c r="B564" s="3362" t="s">
        <v>2073</v>
      </c>
      <c r="C564" s="3362" t="s">
        <v>1606</v>
      </c>
    </row>
    <row r="565" spans="1:3">
      <c r="A565" s="3362" t="s">
        <v>4561</v>
      </c>
      <c r="B565" s="3362" t="s">
        <v>2074</v>
      </c>
      <c r="C565" s="3362" t="s">
        <v>1607</v>
      </c>
    </row>
    <row r="566" spans="1:3">
      <c r="A566" s="3362" t="s">
        <v>4562</v>
      </c>
      <c r="B566" s="3362" t="s">
        <v>2075</v>
      </c>
      <c r="C566" s="3362" t="s">
        <v>1608</v>
      </c>
    </row>
    <row r="567" spans="1:3">
      <c r="A567" s="3362" t="s">
        <v>4563</v>
      </c>
      <c r="B567" s="3362" t="s">
        <v>2076</v>
      </c>
      <c r="C567" s="3362" t="s">
        <v>1609</v>
      </c>
    </row>
    <row r="568" spans="1:3">
      <c r="A568" s="3362" t="s">
        <v>4564</v>
      </c>
      <c r="B568" s="3362" t="s">
        <v>2077</v>
      </c>
      <c r="C568" s="3362" t="s">
        <v>1610</v>
      </c>
    </row>
    <row r="569" spans="1:3">
      <c r="A569" s="3362" t="s">
        <v>4565</v>
      </c>
      <c r="B569" s="3362" t="s">
        <v>2078</v>
      </c>
      <c r="C569" s="3362" t="s">
        <v>1611</v>
      </c>
    </row>
    <row r="570" spans="1:3">
      <c r="A570" s="3362" t="s">
        <v>4566</v>
      </c>
      <c r="B570" s="3362" t="s">
        <v>2079</v>
      </c>
      <c r="C570" s="3362" t="s">
        <v>1612</v>
      </c>
    </row>
    <row r="571" spans="1:3">
      <c r="A571" s="3362" t="s">
        <v>4567</v>
      </c>
      <c r="B571" s="3362" t="s">
        <v>2080</v>
      </c>
      <c r="C571" s="3362" t="s">
        <v>1613</v>
      </c>
    </row>
    <row r="572" spans="1:3">
      <c r="A572" s="3362" t="s">
        <v>4568</v>
      </c>
      <c r="B572" s="3362" t="s">
        <v>2081</v>
      </c>
      <c r="C572" s="3362" t="s">
        <v>1614</v>
      </c>
    </row>
    <row r="573" spans="1:3">
      <c r="A573" s="3362" t="s">
        <v>4569</v>
      </c>
      <c r="B573" s="3362" t="s">
        <v>2082</v>
      </c>
      <c r="C573" s="3362" t="s">
        <v>1615</v>
      </c>
    </row>
    <row r="574" spans="1:3">
      <c r="A574" s="3362" t="s">
        <v>4570</v>
      </c>
      <c r="B574" s="3362" t="s">
        <v>2084</v>
      </c>
      <c r="C574" s="3362" t="s">
        <v>1616</v>
      </c>
    </row>
    <row r="575" spans="1:3">
      <c r="A575" s="3362" t="s">
        <v>4571</v>
      </c>
      <c r="B575" s="3362" t="s">
        <v>2085</v>
      </c>
      <c r="C575" s="3362" t="s">
        <v>1617</v>
      </c>
    </row>
    <row r="576" spans="1:3">
      <c r="A576" s="3362" t="s">
        <v>4571</v>
      </c>
      <c r="B576" s="3362" t="s">
        <v>2085</v>
      </c>
      <c r="C576" s="3362" t="s">
        <v>1618</v>
      </c>
    </row>
    <row r="577" spans="1:3">
      <c r="A577" s="3362" t="s">
        <v>4572</v>
      </c>
      <c r="B577" s="3362" t="s">
        <v>2086</v>
      </c>
      <c r="C577" s="3362" t="s">
        <v>1696</v>
      </c>
    </row>
    <row r="578" spans="1:3">
      <c r="A578" s="3362" t="s">
        <v>4572</v>
      </c>
      <c r="B578" s="3362" t="s">
        <v>2086</v>
      </c>
      <c r="C578" s="3362" t="s">
        <v>1697</v>
      </c>
    </row>
    <row r="579" spans="1:3">
      <c r="A579" s="3362" t="s">
        <v>4573</v>
      </c>
      <c r="B579" s="3362" t="s">
        <v>2087</v>
      </c>
      <c r="C579" s="3362" t="s">
        <v>1619</v>
      </c>
    </row>
    <row r="580" spans="1:3">
      <c r="A580" s="3362" t="s">
        <v>4573</v>
      </c>
      <c r="B580" s="3362" t="s">
        <v>2087</v>
      </c>
      <c r="C580" s="3362" t="s">
        <v>1698</v>
      </c>
    </row>
    <row r="581" spans="1:3">
      <c r="A581" s="3362" t="s">
        <v>4574</v>
      </c>
      <c r="B581" s="3362" t="s">
        <v>2088</v>
      </c>
      <c r="C581" s="3362" t="s">
        <v>1620</v>
      </c>
    </row>
    <row r="582" spans="1:3">
      <c r="A582" s="3362" t="s">
        <v>4575</v>
      </c>
      <c r="B582" s="3362" t="s">
        <v>2089</v>
      </c>
      <c r="C582" s="3362" t="s">
        <v>1621</v>
      </c>
    </row>
    <row r="583" spans="1:3">
      <c r="A583" s="3362" t="s">
        <v>4576</v>
      </c>
      <c r="B583" s="3362" t="s">
        <v>2090</v>
      </c>
      <c r="C583" s="3362" t="s">
        <v>1699</v>
      </c>
    </row>
    <row r="584" spans="1:3">
      <c r="A584" s="3362" t="s">
        <v>4577</v>
      </c>
      <c r="B584" s="3362" t="s">
        <v>2091</v>
      </c>
      <c r="C584" s="3362" t="s">
        <v>1700</v>
      </c>
    </row>
    <row r="585" spans="1:3">
      <c r="A585" s="3362" t="s">
        <v>4578</v>
      </c>
      <c r="B585" s="3362" t="s">
        <v>2092</v>
      </c>
      <c r="C585" s="3362" t="s">
        <v>1622</v>
      </c>
    </row>
    <row r="586" spans="1:3">
      <c r="A586" s="3362" t="s">
        <v>4578</v>
      </c>
      <c r="B586" s="3362" t="s">
        <v>2092</v>
      </c>
      <c r="C586" s="3362" t="s">
        <v>1623</v>
      </c>
    </row>
    <row r="587" spans="1:3">
      <c r="A587" s="3362" t="s">
        <v>4579</v>
      </c>
      <c r="B587" s="3362" t="s">
        <v>2093</v>
      </c>
      <c r="C587" s="3362" t="s">
        <v>1701</v>
      </c>
    </row>
    <row r="588" spans="1:3">
      <c r="A588" s="3362" t="s">
        <v>4579</v>
      </c>
      <c r="B588" s="3362" t="s">
        <v>2093</v>
      </c>
      <c r="C588" s="3362" t="s">
        <v>1702</v>
      </c>
    </row>
    <row r="589" spans="1:3">
      <c r="A589" s="3362" t="s">
        <v>4580</v>
      </c>
      <c r="B589" s="3362" t="s">
        <v>2094</v>
      </c>
      <c r="C589" s="3362" t="s">
        <v>1624</v>
      </c>
    </row>
    <row r="590" spans="1:3">
      <c r="A590" s="3362" t="s">
        <v>4580</v>
      </c>
      <c r="B590" s="3362" t="s">
        <v>2094</v>
      </c>
      <c r="C590" s="3362" t="s">
        <v>1703</v>
      </c>
    </row>
    <row r="591" spans="1:3">
      <c r="A591" s="3362" t="s">
        <v>4581</v>
      </c>
      <c r="B591" s="3362" t="s">
        <v>2095</v>
      </c>
      <c r="C591" s="3362" t="s">
        <v>1625</v>
      </c>
    </row>
    <row r="592" spans="1:3">
      <c r="A592" s="3362" t="s">
        <v>4582</v>
      </c>
      <c r="B592" s="3362" t="s">
        <v>2097</v>
      </c>
      <c r="C592" s="3362" t="s">
        <v>1626</v>
      </c>
    </row>
    <row r="593" spans="1:3">
      <c r="A593" s="3362" t="s">
        <v>4583</v>
      </c>
      <c r="B593" s="3362" t="s">
        <v>2098</v>
      </c>
      <c r="C593" s="3362" t="s">
        <v>1627</v>
      </c>
    </row>
    <row r="594" spans="1:3">
      <c r="A594" s="3362" t="s">
        <v>4583</v>
      </c>
      <c r="B594" s="3362" t="s">
        <v>2098</v>
      </c>
      <c r="C594" s="3362" t="s">
        <v>1628</v>
      </c>
    </row>
    <row r="595" spans="1:3">
      <c r="A595" s="3362" t="s">
        <v>4584</v>
      </c>
      <c r="B595" s="3362" t="s">
        <v>2099</v>
      </c>
      <c r="C595" s="3362" t="s">
        <v>1704</v>
      </c>
    </row>
    <row r="596" spans="1:3">
      <c r="A596" s="3362" t="s">
        <v>4584</v>
      </c>
      <c r="B596" s="3362" t="s">
        <v>2099</v>
      </c>
      <c r="C596" s="3362" t="s">
        <v>1705</v>
      </c>
    </row>
    <row r="597" spans="1:3">
      <c r="A597" s="3362" t="s">
        <v>4585</v>
      </c>
      <c r="B597" s="3362" t="s">
        <v>2100</v>
      </c>
      <c r="C597" s="3362" t="s">
        <v>1706</v>
      </c>
    </row>
    <row r="598" spans="1:3">
      <c r="A598" s="3362" t="s">
        <v>4586</v>
      </c>
      <c r="B598" s="3362" t="s">
        <v>2101</v>
      </c>
      <c r="C598" s="3362" t="s">
        <v>1629</v>
      </c>
    </row>
    <row r="599" spans="1:3">
      <c r="A599" s="3362" t="s">
        <v>4587</v>
      </c>
      <c r="B599" s="3362" t="s">
        <v>2102</v>
      </c>
      <c r="C599" s="3362" t="s">
        <v>1630</v>
      </c>
    </row>
    <row r="600" spans="1:3">
      <c r="A600" s="3362" t="s">
        <v>4588</v>
      </c>
      <c r="B600" s="3362" t="s">
        <v>2103</v>
      </c>
      <c r="C600" s="3362" t="s">
        <v>1631</v>
      </c>
    </row>
    <row r="601" spans="1:3">
      <c r="A601" s="3362" t="s">
        <v>4588</v>
      </c>
      <c r="B601" s="3362" t="s">
        <v>2103</v>
      </c>
      <c r="C601" s="3362" t="s">
        <v>1632</v>
      </c>
    </row>
    <row r="602" spans="1:3">
      <c r="A602" s="3362" t="s">
        <v>4589</v>
      </c>
      <c r="B602" s="3362" t="s">
        <v>2104</v>
      </c>
      <c r="C602" s="3362" t="s">
        <v>1707</v>
      </c>
    </row>
    <row r="603" spans="1:3">
      <c r="A603" s="3362" t="s">
        <v>4589</v>
      </c>
      <c r="B603" s="3362" t="s">
        <v>2104</v>
      </c>
      <c r="C603" s="3362" t="s">
        <v>1708</v>
      </c>
    </row>
    <row r="604" spans="1:3">
      <c r="A604" s="3362" t="s">
        <v>4590</v>
      </c>
      <c r="B604" s="3362" t="s">
        <v>2105</v>
      </c>
      <c r="C604" s="3362" t="s">
        <v>1633</v>
      </c>
    </row>
    <row r="605" spans="1:3">
      <c r="A605" s="3362" t="s">
        <v>4590</v>
      </c>
      <c r="B605" s="3362" t="s">
        <v>2105</v>
      </c>
      <c r="C605" s="3362" t="s">
        <v>1709</v>
      </c>
    </row>
    <row r="606" spans="1:3">
      <c r="A606" s="3362" t="s">
        <v>4591</v>
      </c>
      <c r="B606" s="3362" t="s">
        <v>2106</v>
      </c>
      <c r="C606" s="3362" t="s">
        <v>1634</v>
      </c>
    </row>
    <row r="607" spans="1:3">
      <c r="A607" s="3362" t="s">
        <v>4592</v>
      </c>
      <c r="B607" s="3362" t="s">
        <v>2107</v>
      </c>
      <c r="C607" s="3362" t="s">
        <v>1635</v>
      </c>
    </row>
    <row r="608" spans="1:3">
      <c r="A608" s="3362" t="s">
        <v>4593</v>
      </c>
      <c r="B608" s="3362" t="s">
        <v>2108</v>
      </c>
      <c r="C608" s="3362" t="s">
        <v>1710</v>
      </c>
    </row>
    <row r="609" spans="1:3">
      <c r="A609" s="3362" t="s">
        <v>4594</v>
      </c>
      <c r="B609" s="3362" t="s">
        <v>2109</v>
      </c>
      <c r="C609" s="3362" t="s">
        <v>1711</v>
      </c>
    </row>
    <row r="610" spans="1:3">
      <c r="A610" s="3362" t="s">
        <v>4595</v>
      </c>
      <c r="B610" s="3362" t="s">
        <v>2110</v>
      </c>
      <c r="C610" s="3362" t="s">
        <v>1636</v>
      </c>
    </row>
    <row r="611" spans="1:3">
      <c r="A611" s="3362" t="s">
        <v>4596</v>
      </c>
      <c r="B611" s="3362" t="s">
        <v>2111</v>
      </c>
      <c r="C611" s="3362" t="s">
        <v>1712</v>
      </c>
    </row>
    <row r="612" spans="1:3">
      <c r="A612" s="3362" t="s">
        <v>4597</v>
      </c>
      <c r="B612" s="3362" t="s">
        <v>2112</v>
      </c>
      <c r="C612" s="3362" t="s">
        <v>1713</v>
      </c>
    </row>
    <row r="613" spans="1:3">
      <c r="A613" s="3362" t="s">
        <v>4598</v>
      </c>
      <c r="B613" s="3362" t="s">
        <v>2113</v>
      </c>
      <c r="C613" s="3362" t="s">
        <v>1637</v>
      </c>
    </row>
    <row r="614" spans="1:3">
      <c r="A614" s="3362" t="s">
        <v>4599</v>
      </c>
      <c r="B614" s="3362" t="s">
        <v>2114</v>
      </c>
      <c r="C614" s="3362" t="s">
        <v>1714</v>
      </c>
    </row>
    <row r="615" spans="1:3">
      <c r="A615" s="3362" t="s">
        <v>4600</v>
      </c>
      <c r="B615" s="3362" t="s">
        <v>2115</v>
      </c>
      <c r="C615" s="3362" t="s">
        <v>1638</v>
      </c>
    </row>
    <row r="616" spans="1:3">
      <c r="A616" s="3362" t="s">
        <v>4601</v>
      </c>
      <c r="B616" s="3362" t="s">
        <v>2116</v>
      </c>
      <c r="C616" s="3362" t="s">
        <v>1715</v>
      </c>
    </row>
    <row r="617" spans="1:3">
      <c r="A617" s="3362" t="s">
        <v>4602</v>
      </c>
      <c r="B617" s="3362" t="s">
        <v>2117</v>
      </c>
      <c r="C617" s="3362" t="s">
        <v>1639</v>
      </c>
    </row>
    <row r="618" spans="1:3">
      <c r="A618" s="3362" t="s">
        <v>4603</v>
      </c>
      <c r="B618" s="3362" t="s">
        <v>2118</v>
      </c>
      <c r="C618" s="3362" t="s">
        <v>1716</v>
      </c>
    </row>
    <row r="619" spans="1:3">
      <c r="A619" s="3362" t="s">
        <v>4604</v>
      </c>
      <c r="B619" s="3362" t="s">
        <v>2119</v>
      </c>
      <c r="C619" s="3362" t="s">
        <v>1640</v>
      </c>
    </row>
    <row r="620" spans="1:3">
      <c r="A620" s="3362" t="s">
        <v>4605</v>
      </c>
      <c r="B620" s="3362" t="s">
        <v>2120</v>
      </c>
      <c r="C620" s="3362" t="s">
        <v>1717</v>
      </c>
    </row>
    <row r="621" spans="1:3">
      <c r="A621" s="3362" t="s">
        <v>4606</v>
      </c>
      <c r="B621" s="3362" t="s">
        <v>2121</v>
      </c>
      <c r="C621" s="3362" t="s">
        <v>1641</v>
      </c>
    </row>
    <row r="622" spans="1:3">
      <c r="A622" s="3362" t="s">
        <v>4607</v>
      </c>
      <c r="B622" s="3362" t="s">
        <v>2122</v>
      </c>
      <c r="C622" s="3362" t="s">
        <v>1718</v>
      </c>
    </row>
    <row r="623" spans="1:3">
      <c r="A623" s="3362" t="s">
        <v>4608</v>
      </c>
      <c r="B623" s="3362" t="s">
        <v>2123</v>
      </c>
      <c r="C623" s="3362" t="s">
        <v>1642</v>
      </c>
    </row>
    <row r="624" spans="1:3">
      <c r="A624" s="3362" t="s">
        <v>4609</v>
      </c>
      <c r="B624" s="3362" t="s">
        <v>2124</v>
      </c>
      <c r="C624" s="3362" t="s">
        <v>1719</v>
      </c>
    </row>
    <row r="625" spans="1:3">
      <c r="A625" s="3362" t="s">
        <v>4610</v>
      </c>
      <c r="B625" s="3362" t="s">
        <v>2125</v>
      </c>
      <c r="C625" s="3362" t="s">
        <v>1643</v>
      </c>
    </row>
    <row r="626" spans="1:3">
      <c r="A626" s="3362" t="s">
        <v>4611</v>
      </c>
      <c r="B626" s="3362" t="s">
        <v>2126</v>
      </c>
      <c r="C626" s="3362" t="s">
        <v>1644</v>
      </c>
    </row>
    <row r="627" spans="1:3">
      <c r="A627" s="3362" t="s">
        <v>4612</v>
      </c>
      <c r="B627" s="3362" t="s">
        <v>2127</v>
      </c>
      <c r="C627" s="3362" t="s">
        <v>1645</v>
      </c>
    </row>
    <row r="628" spans="1:3">
      <c r="A628" s="3362" t="s">
        <v>4613</v>
      </c>
      <c r="B628" s="3362" t="s">
        <v>2128</v>
      </c>
      <c r="C628" s="3362" t="s">
        <v>1646</v>
      </c>
    </row>
    <row r="629" spans="1:3">
      <c r="A629" s="3362" t="s">
        <v>4614</v>
      </c>
      <c r="B629" s="3362" t="s">
        <v>2129</v>
      </c>
      <c r="C629" s="3362" t="s">
        <v>1647</v>
      </c>
    </row>
    <row r="630" spans="1:3">
      <c r="A630" s="3362" t="s">
        <v>4615</v>
      </c>
      <c r="B630" s="3362" t="s">
        <v>2131</v>
      </c>
      <c r="C630" s="3362" t="s">
        <v>1648</v>
      </c>
    </row>
    <row r="631" spans="1:3">
      <c r="A631" s="3362" t="s">
        <v>4616</v>
      </c>
      <c r="B631" s="3362" t="s">
        <v>2132</v>
      </c>
      <c r="C631" s="3362" t="s">
        <v>1649</v>
      </c>
    </row>
    <row r="632" spans="1:3">
      <c r="A632" s="3362" t="s">
        <v>4617</v>
      </c>
      <c r="B632" s="3362" t="s">
        <v>2133</v>
      </c>
      <c r="C632" s="3362" t="s">
        <v>1650</v>
      </c>
    </row>
    <row r="633" spans="1:3">
      <c r="A633" s="3362" t="s">
        <v>4618</v>
      </c>
      <c r="B633" s="3362" t="s">
        <v>2134</v>
      </c>
      <c r="C633" s="3362" t="s">
        <v>1651</v>
      </c>
    </row>
    <row r="634" spans="1:3">
      <c r="A634" s="3362" t="s">
        <v>4619</v>
      </c>
      <c r="B634" s="3362" t="s">
        <v>2135</v>
      </c>
      <c r="C634" s="3362" t="s">
        <v>1652</v>
      </c>
    </row>
    <row r="635" spans="1:3">
      <c r="A635" s="3362" t="s">
        <v>4620</v>
      </c>
      <c r="B635" s="3362" t="s">
        <v>2136</v>
      </c>
      <c r="C635" s="3362" t="s">
        <v>1720</v>
      </c>
    </row>
    <row r="636" spans="1:3">
      <c r="A636" s="3362" t="s">
        <v>4621</v>
      </c>
      <c r="B636" s="3362" t="s">
        <v>2137</v>
      </c>
      <c r="C636" s="3362" t="s">
        <v>1653</v>
      </c>
    </row>
    <row r="637" spans="1:3">
      <c r="A637" s="3362" t="s">
        <v>4622</v>
      </c>
      <c r="B637" s="3362" t="s">
        <v>2138</v>
      </c>
      <c r="C637" s="3362" t="s">
        <v>1721</v>
      </c>
    </row>
    <row r="638" spans="1:3">
      <c r="A638" s="3362" t="s">
        <v>4623</v>
      </c>
      <c r="B638" s="3362" t="s">
        <v>2139</v>
      </c>
      <c r="C638" s="3362" t="s">
        <v>1654</v>
      </c>
    </row>
    <row r="639" spans="1:3">
      <c r="A639" s="3362" t="s">
        <v>4624</v>
      </c>
      <c r="B639" s="3362" t="s">
        <v>2140</v>
      </c>
      <c r="C639" s="3362" t="s">
        <v>1722</v>
      </c>
    </row>
    <row r="640" spans="1:3">
      <c r="A640" s="3362" t="s">
        <v>4625</v>
      </c>
      <c r="B640" s="3362" t="s">
        <v>2141</v>
      </c>
      <c r="C640" s="3362" t="s">
        <v>1655</v>
      </c>
    </row>
    <row r="641" spans="1:3">
      <c r="A641" s="3362" t="s">
        <v>4626</v>
      </c>
      <c r="B641" s="3362" t="s">
        <v>2142</v>
      </c>
      <c r="C641" s="3362" t="s">
        <v>1723</v>
      </c>
    </row>
    <row r="642" spans="1:3">
      <c r="A642" s="3362" t="s">
        <v>4627</v>
      </c>
      <c r="B642" s="3362" t="s">
        <v>2143</v>
      </c>
      <c r="C642" s="3362" t="s">
        <v>1656</v>
      </c>
    </row>
    <row r="643" spans="1:3">
      <c r="A643" s="3362" t="s">
        <v>4628</v>
      </c>
      <c r="B643" s="3362" t="s">
        <v>2144</v>
      </c>
      <c r="C643" s="3362" t="s">
        <v>1724</v>
      </c>
    </row>
    <row r="644" spans="1:3">
      <c r="A644" s="3362" t="s">
        <v>4629</v>
      </c>
      <c r="B644" s="3362" t="s">
        <v>2145</v>
      </c>
      <c r="C644" s="3362" t="s">
        <v>1657</v>
      </c>
    </row>
    <row r="645" spans="1:3">
      <c r="A645" s="3362" t="s">
        <v>4630</v>
      </c>
      <c r="B645" s="3362" t="s">
        <v>2146</v>
      </c>
      <c r="C645" s="3362" t="s">
        <v>1658</v>
      </c>
    </row>
    <row r="646" spans="1:3">
      <c r="A646" s="3362" t="s">
        <v>4631</v>
      </c>
      <c r="B646" s="3362" t="s">
        <v>2147</v>
      </c>
      <c r="C646" s="3362" t="s">
        <v>1725</v>
      </c>
    </row>
    <row r="647" spans="1:3">
      <c r="A647" s="3362" t="s">
        <v>4632</v>
      </c>
      <c r="B647" s="3362" t="s">
        <v>2148</v>
      </c>
      <c r="C647" s="3362" t="s">
        <v>1659</v>
      </c>
    </row>
    <row r="648" spans="1:3">
      <c r="A648" s="3362" t="s">
        <v>4633</v>
      </c>
      <c r="B648" s="3362" t="s">
        <v>2149</v>
      </c>
      <c r="C648" s="3362" t="s">
        <v>1726</v>
      </c>
    </row>
    <row r="649" spans="1:3">
      <c r="A649" s="3362" t="s">
        <v>4634</v>
      </c>
      <c r="B649" s="3362" t="s">
        <v>2150</v>
      </c>
      <c r="C649" s="3362" t="s">
        <v>1660</v>
      </c>
    </row>
    <row r="650" spans="1:3">
      <c r="A650" s="3362" t="s">
        <v>4635</v>
      </c>
      <c r="B650" s="3362" t="s">
        <v>2151</v>
      </c>
      <c r="C650" s="3362" t="s">
        <v>1727</v>
      </c>
    </row>
    <row r="651" spans="1:3">
      <c r="A651" s="3362" t="s">
        <v>4636</v>
      </c>
      <c r="B651" s="3362" t="s">
        <v>2153</v>
      </c>
      <c r="C651" s="3362" t="s">
        <v>1661</v>
      </c>
    </row>
    <row r="652" spans="1:3">
      <c r="A652" s="3362" t="s">
        <v>4637</v>
      </c>
      <c r="B652" s="3362" t="s">
        <v>2154</v>
      </c>
      <c r="C652" s="3362" t="s">
        <v>1728</v>
      </c>
    </row>
  </sheetData>
  <phoneticPr fontId="17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pageSetUpPr fitToPage="1"/>
  </sheetPr>
  <dimension ref="A1:X57"/>
  <sheetViews>
    <sheetView zoomScale="78" zoomScaleNormal="78" workbookViewId="0">
      <selection sqref="A1:Y53"/>
    </sheetView>
  </sheetViews>
  <sheetFormatPr defaultColWidth="14.7109375" defaultRowHeight="20.100000000000001" customHeight="1"/>
  <cols>
    <col min="1" max="1" width="34.7109375" style="165" customWidth="1"/>
    <col min="2" max="7" width="22.7109375" style="165" customWidth="1"/>
    <col min="8" max="8" width="14.7109375" style="165"/>
    <col min="9" max="9" width="14.7109375" style="166"/>
    <col min="10" max="16384" width="14.7109375" style="165"/>
  </cols>
  <sheetData>
    <row r="1" spans="1:22" s="162" customFormat="1" ht="33" customHeight="1" thickBot="1">
      <c r="A1" s="1176"/>
      <c r="B1" s="2330" t="str">
        <f>'Select Drive &amp; Motor'!B1</f>
        <v>NBF191005</v>
      </c>
      <c r="C1" s="3603" t="str">
        <f>'Select Drive &amp; Motor'!C1</f>
        <v>, , XOE 273-90 REG, Direct, RD135</v>
      </c>
      <c r="D1" s="3603"/>
      <c r="E1" s="3603"/>
      <c r="F1" s="3603"/>
      <c r="G1" s="3603"/>
      <c r="H1" s="3603"/>
      <c r="I1" s="3603"/>
      <c r="J1" s="3603"/>
      <c r="K1" s="3603"/>
      <c r="L1" s="3603"/>
      <c r="M1" s="3603"/>
      <c r="N1" s="3604"/>
    </row>
    <row r="2" spans="1:22" s="162" customFormat="1" ht="33" customHeight="1" thickBot="1">
      <c r="A2" s="1176" t="str">
        <f>'Select Drive &amp; Motor'!A2</f>
        <v>Comments</v>
      </c>
      <c r="B2" s="3613">
        <f>'Select Drive &amp; Motor'!B2</f>
        <v>0</v>
      </c>
      <c r="C2" s="3614"/>
      <c r="D2" s="3614"/>
      <c r="E2" s="3614"/>
      <c r="F2" s="3614"/>
      <c r="G2" s="3614"/>
      <c r="H2" s="3614"/>
      <c r="I2" s="3614"/>
      <c r="J2" s="3614"/>
      <c r="K2" s="3614"/>
      <c r="L2" s="3615"/>
      <c r="M2" s="3611" t="str">
        <f>'Select Drive &amp; Motor'!P2</f>
        <v>190923</v>
      </c>
      <c r="N2" s="3612"/>
    </row>
    <row r="3" spans="1:22" s="164" customFormat="1" ht="50.1" customHeight="1" thickBot="1">
      <c r="A3" s="3616" t="s">
        <v>107</v>
      </c>
      <c r="B3" s="3617"/>
      <c r="C3" s="3617"/>
      <c r="D3" s="3617"/>
      <c r="E3" s="3617"/>
      <c r="F3" s="3617"/>
      <c r="G3" s="3618"/>
      <c r="H3" s="688"/>
      <c r="I3" s="1621" t="s">
        <v>3455</v>
      </c>
      <c r="J3" s="1611" t="s">
        <v>2815</v>
      </c>
      <c r="K3" s="1610" t="s">
        <v>2814</v>
      </c>
      <c r="L3" s="1611" t="s">
        <v>2816</v>
      </c>
      <c r="M3" s="1610" t="s">
        <v>3456</v>
      </c>
      <c r="N3" s="1611" t="s">
        <v>2817</v>
      </c>
      <c r="O3" s="1610" t="s">
        <v>2818</v>
      </c>
      <c r="P3" s="1612" t="s">
        <v>2819</v>
      </c>
      <c r="Q3" s="1612" t="s">
        <v>2804</v>
      </c>
      <c r="R3" s="1612" t="s">
        <v>2181</v>
      </c>
      <c r="S3" s="1612" t="s">
        <v>2803</v>
      </c>
      <c r="T3" s="1612" t="s">
        <v>2183</v>
      </c>
      <c r="U3" s="1611" t="s">
        <v>2821</v>
      </c>
      <c r="V3" s="1613" t="s">
        <v>2820</v>
      </c>
    </row>
    <row r="4" spans="1:22" s="301" customFormat="1" ht="20.100000000000001" customHeight="1" thickBot="1">
      <c r="A4" s="459" t="str">
        <f ca="1">IF(ISERROR(F7),"Construction Error",IF(OR(MF_Ra_error,F7),"Construction Error","OK"))</f>
        <v>Construction Error</v>
      </c>
      <c r="B4" s="948" t="str">
        <f>Fan_Type</f>
        <v>XOE 273-90</v>
      </c>
      <c r="C4" s="706" t="str">
        <f>Fan_orientation&amp;H_rotation</f>
        <v>RD135</v>
      </c>
      <c r="D4" s="1792" t="e">
        <f ca="1">DRIVE_Type&amp;" / "&amp;Frame_Type&amp;" "&amp;Drive_Frame</f>
        <v>#REF!</v>
      </c>
      <c r="E4" s="1790"/>
      <c r="F4" s="706"/>
      <c r="G4" s="707"/>
      <c r="I4" s="1614">
        <f ca="1">IF(Construction_error_D="Construction Error",0,House_W)</f>
        <v>0</v>
      </c>
      <c r="J4" s="1615">
        <f ca="1">IF(Construction_error_D="Construction Error",0,House!$G$113)</f>
        <v>0</v>
      </c>
      <c r="K4" s="1616">
        <f ca="1">IF(Construction_error_D="Construction Error",0,T_HR_weight)</f>
        <v>0</v>
      </c>
      <c r="L4" s="1615">
        <f ca="1">IF(Construction_error_D="Construction Error",0,House!$M$114)</f>
        <v>0</v>
      </c>
      <c r="M4" s="1616">
        <f ca="1">IF(Construction_error_D="Construction Error",0,Inlet_W)</f>
        <v>0</v>
      </c>
      <c r="N4" s="1615">
        <f ca="1">IF(Construction_error_D="Construction Error",0,House!$G$112)</f>
        <v>0</v>
      </c>
      <c r="O4" s="1616">
        <f ca="1">IF(Construction_error_D="Construction Error",0,Impeller_W)</f>
        <v>0</v>
      </c>
      <c r="P4" s="1617">
        <f ca="1">IF(Construction_error_D="Construction Error",0,Impeller_Area)</f>
        <v>0</v>
      </c>
      <c r="Q4" s="1618">
        <f ca="1">IF(Construction_error_D="Construction Error",0,laser_WImp)</f>
        <v>0</v>
      </c>
      <c r="R4" s="1618">
        <f ca="1">IF(Construction_error_D="Construction Error",0,WF_P)</f>
        <v>0</v>
      </c>
      <c r="S4" s="1617">
        <f ca="1">IF(Construction_error_D="Construction Error",0,WHub_C)</f>
        <v>0</v>
      </c>
      <c r="T4" s="1619">
        <f ca="1">IF(Construction_error_D="Construction Error",0,WHub_P)</f>
        <v>0</v>
      </c>
      <c r="U4" s="1620">
        <f ca="1">IF(Construction_error_D="Construction Error",0,Frame_Weight)</f>
        <v>0</v>
      </c>
      <c r="V4" s="1622">
        <f ca="1">IF(Construction_error_D="Construction Error",0,Frame_Area)</f>
        <v>0</v>
      </c>
    </row>
    <row r="5" spans="1:22" ht="20.100000000000001" customHeight="1">
      <c r="A5" s="1448"/>
      <c r="B5" s="1442"/>
      <c r="C5" s="1442"/>
      <c r="D5" s="1442"/>
      <c r="E5" s="1442"/>
      <c r="F5" s="1443"/>
      <c r="G5" s="1444"/>
    </row>
    <row r="6" spans="1:22" ht="20.100000000000001" customHeight="1" thickBot="1">
      <c r="A6" s="1445"/>
      <c r="B6" s="1446"/>
      <c r="C6" s="1446"/>
      <c r="D6" s="1446"/>
      <c r="E6" s="1446"/>
      <c r="F6" s="1446"/>
      <c r="G6" s="1447"/>
      <c r="H6" s="705"/>
    </row>
    <row r="7" spans="1:22" ht="20.100000000000001" customHeight="1" thickBot="1">
      <c r="A7" s="764" t="s">
        <v>1740</v>
      </c>
      <c r="B7" s="763"/>
      <c r="C7" s="763"/>
      <c r="D7" s="763"/>
      <c r="E7" s="763"/>
      <c r="F7" s="763" t="b">
        <f ca="1">IF(OR(ISERROR($B$9),ISERROR(MF_Ra),ISERROR($B$42&gt;$B$12),ISERROR($E$20&gt;$F$20)),TRUE,OR($B$42&gt;$B$12,$E$20&gt;$F$20,DRIVE_Type&lt;&gt;"Direct"))</f>
        <v>1</v>
      </c>
      <c r="G7" s="187"/>
      <c r="H7" s="168"/>
      <c r="M7" s="1449"/>
    </row>
    <row r="8" spans="1:22" ht="20.100000000000001" customHeight="1">
      <c r="A8" s="759" t="s">
        <v>77</v>
      </c>
      <c r="B8" s="166"/>
      <c r="C8" s="166"/>
      <c r="D8" s="166"/>
      <c r="E8" s="166"/>
      <c r="F8" s="166"/>
      <c r="G8" s="169"/>
    </row>
    <row r="9" spans="1:22" ht="20.100000000000001" customHeight="1">
      <c r="A9" s="760" t="s">
        <v>289</v>
      </c>
      <c r="B9" s="3605" t="e">
        <f ca="1">Motor_Name</f>
        <v>#REF!</v>
      </c>
      <c r="C9" s="3606"/>
      <c r="G9" s="169"/>
    </row>
    <row r="10" spans="1:22" ht="20.100000000000001" customHeight="1">
      <c r="A10" s="761" t="s">
        <v>92</v>
      </c>
      <c r="B10" s="3607" t="e">
        <f ca="1">MFrame</f>
        <v>#REF!</v>
      </c>
      <c r="C10" s="3608"/>
      <c r="G10" s="169"/>
    </row>
    <row r="11" spans="1:22" ht="20.100000000000001" customHeight="1" thickBot="1">
      <c r="A11" s="762" t="s">
        <v>93</v>
      </c>
      <c r="B11" s="3609" t="e">
        <f ca="1">MPoles</f>
        <v>#REF!</v>
      </c>
      <c r="C11" s="3610"/>
      <c r="G11" s="169"/>
    </row>
    <row r="12" spans="1:22" ht="20.100000000000001" customHeight="1">
      <c r="A12" s="172" t="s">
        <v>78</v>
      </c>
      <c r="B12" s="173" t="e">
        <f ca="1">SD</f>
        <v>#REF!</v>
      </c>
      <c r="C12" s="174" t="s">
        <v>136</v>
      </c>
      <c r="D12" s="171" t="s">
        <v>3513</v>
      </c>
      <c r="E12" s="166"/>
      <c r="F12" s="166"/>
      <c r="G12" s="169"/>
    </row>
    <row r="13" spans="1:22" ht="20.100000000000001" customHeight="1">
      <c r="A13" s="175" t="s">
        <v>49</v>
      </c>
      <c r="B13" s="176" t="e">
        <f ca="1">SE</f>
        <v>#REF!</v>
      </c>
      <c r="C13" s="177" t="s">
        <v>136</v>
      </c>
      <c r="D13" s="166"/>
      <c r="E13" s="166"/>
      <c r="F13" s="166"/>
      <c r="G13" s="169"/>
    </row>
    <row r="14" spans="1:22" ht="20.100000000000001" customHeight="1">
      <c r="A14" s="175" t="s">
        <v>86</v>
      </c>
      <c r="B14" s="176" t="e">
        <f ca="1">ML</f>
        <v>#REF!</v>
      </c>
      <c r="C14" s="177" t="s">
        <v>136</v>
      </c>
      <c r="D14" s="166"/>
      <c r="E14" s="166"/>
      <c r="F14" s="166"/>
      <c r="G14" s="169"/>
    </row>
    <row r="15" spans="1:22" ht="20.100000000000001" customHeight="1">
      <c r="A15" s="175" t="s">
        <v>1857</v>
      </c>
      <c r="B15" s="176">
        <f>Hub_C_iHe</f>
        <v>66.269330410535758</v>
      </c>
      <c r="C15" s="177" t="s">
        <v>136</v>
      </c>
      <c r="D15" s="834" t="s">
        <v>1844</v>
      </c>
      <c r="E15" s="166">
        <v>10</v>
      </c>
      <c r="F15" s="166" t="s">
        <v>136</v>
      </c>
      <c r="G15" s="169"/>
      <c r="H15" s="166"/>
    </row>
    <row r="16" spans="1:22" ht="20.100000000000001" customHeight="1">
      <c r="A16" s="175" t="s">
        <v>1861</v>
      </c>
      <c r="B16" s="176" t="e">
        <f ca="1">Hub_C_iMult*B12</f>
        <v>#REF!</v>
      </c>
      <c r="C16" s="177" t="s">
        <v>136</v>
      </c>
      <c r="D16" s="834"/>
      <c r="E16" s="166"/>
      <c r="F16" s="166"/>
      <c r="G16" s="169"/>
    </row>
    <row r="17" spans="1:18" ht="20.100000000000001" customHeight="1">
      <c r="A17" s="175" t="s">
        <v>1860</v>
      </c>
      <c r="B17" s="176" t="e">
        <f ca="1">SE+E$15</f>
        <v>#REF!</v>
      </c>
      <c r="C17" s="177" t="s">
        <v>136</v>
      </c>
      <c r="D17" s="834" t="s">
        <v>1843</v>
      </c>
      <c r="E17" s="166" t="e">
        <f ca="1">IF('Select Drive &amp; Motor'!$C$40&lt;&gt;0,'Select Drive &amp; Motor'!$C$40,House_P_T+VLOOKUP(Seal_Cooling_Selection,SealThickness,MATCH($B$12,Seal_Axle_Diameter,1)-1,FALSE)+VLOOKUP(Seal_Cooling_Selection,SealThickness,MATCH($B$12,Seal_Axle_Diameter,1),FALSE))</f>
        <v>#REF!</v>
      </c>
      <c r="F17" s="166" t="s">
        <v>136</v>
      </c>
      <c r="G17" s="169"/>
    </row>
    <row r="18" spans="1:18" ht="20.100000000000001" customHeight="1">
      <c r="A18" s="175" t="s">
        <v>2809</v>
      </c>
      <c r="B18" s="176" t="e">
        <f ca="1">Hub_C_eMult*B12</f>
        <v>#REF!</v>
      </c>
      <c r="C18" s="177" t="s">
        <v>136</v>
      </c>
      <c r="D18" s="834" t="s">
        <v>3230</v>
      </c>
      <c r="E18" s="166" t="e">
        <f ca="1">DRa2H_D+DIHo_D</f>
        <v>#REF!</v>
      </c>
      <c r="F18" s="166" t="s">
        <v>136</v>
      </c>
      <c r="G18" s="169"/>
      <c r="H18" s="13"/>
      <c r="I18" s="20"/>
    </row>
    <row r="19" spans="1:18" ht="20.100000000000001" customHeight="1">
      <c r="A19" s="175" t="s">
        <v>2805</v>
      </c>
      <c r="B19" s="1490" t="e">
        <f ca="1">PI()/4*((Hub_C_iD_D/1000)^2*Hub_C_iHe/1000+(Hub_C_eD_D/1000)^2*(Hub_C_tL_D-Hub_C_iHe)/1000-(B12/1000)^2*Hub_C_tL_D/1000)*steel_density</f>
        <v>#REF!</v>
      </c>
      <c r="C19" s="177" t="s">
        <v>131</v>
      </c>
      <c r="G19" s="169"/>
      <c r="H19" s="13"/>
      <c r="I19" s="20"/>
    </row>
    <row r="20" spans="1:18" ht="20.100000000000001" customHeight="1">
      <c r="A20" s="175" t="s">
        <v>1142</v>
      </c>
      <c r="B20" s="176" t="e">
        <f ca="1">MC-IF(Small_F,MC/2,VLOOKUP(MF_Ra,Iron_dim,2,FALSE)/2)+F20</f>
        <v>#REF!</v>
      </c>
      <c r="C20" s="177" t="s">
        <v>136</v>
      </c>
      <c r="D20" s="170" t="s">
        <v>1854</v>
      </c>
      <c r="E20" s="170" t="e">
        <f ca="1">VLOOKUP(Seal_Cooling_Selection,SealThickness,MATCH($B$12,Seal_Axle_Diameter,1)+1,FALSE)+VLOOKUP(HF_V,Iron_dim,4,FALSE)+5</f>
        <v>#REF!</v>
      </c>
      <c r="F20" s="851" t="e">
        <f ca="1">(Hub_C_tL_D-Hub_C_iHe-Hub_P_T-DIHo_D)</f>
        <v>#REF!</v>
      </c>
      <c r="G20" s="169" t="s">
        <v>136</v>
      </c>
      <c r="H20" s="13"/>
    </row>
    <row r="21" spans="1:18" ht="20.100000000000001" customHeight="1" thickBot="1">
      <c r="A21" s="178"/>
      <c r="B21" s="179"/>
      <c r="C21" s="180"/>
      <c r="D21" s="166"/>
      <c r="E21" s="166"/>
      <c r="F21" s="166"/>
      <c r="G21" s="169"/>
      <c r="H21" s="13"/>
    </row>
    <row r="22" spans="1:18" ht="20.100000000000001" customHeight="1">
      <c r="A22" s="830" t="s">
        <v>81</v>
      </c>
      <c r="B22" s="831"/>
      <c r="C22" s="174"/>
      <c r="D22" s="166"/>
      <c r="E22" s="166"/>
      <c r="F22" s="166"/>
      <c r="G22" s="169"/>
    </row>
    <row r="23" spans="1:18" ht="20.100000000000001" customHeight="1">
      <c r="A23" s="175" t="s">
        <v>52</v>
      </c>
      <c r="B23" s="176" t="e">
        <f ca="1">MBe_1</f>
        <v>#REF!</v>
      </c>
      <c r="C23" s="246" t="e">
        <f ca="1">MATCH(B23,Motor_Bearing_Type,0)</f>
        <v>#REF!</v>
      </c>
      <c r="D23" s="47"/>
      <c r="E23" s="17"/>
      <c r="F23" s="166"/>
      <c r="G23" s="19"/>
    </row>
    <row r="24" spans="1:18" ht="20.100000000000001" customHeight="1">
      <c r="A24" s="181" t="s">
        <v>9</v>
      </c>
      <c r="B24" s="182" t="e">
        <f t="shared" ref="B24:B37" ca="1" si="0">VLOOKUP($A24,Motor_Bearing_Strength,$C$23,FALSE)</f>
        <v>#REF!</v>
      </c>
      <c r="C24" s="177"/>
      <c r="D24" s="47"/>
      <c r="E24" s="17"/>
      <c r="F24" s="166"/>
      <c r="G24" s="19"/>
    </row>
    <row r="25" spans="1:18" ht="20.100000000000001" customHeight="1">
      <c r="A25" s="181" t="s">
        <v>10</v>
      </c>
      <c r="B25" s="182" t="e">
        <f t="shared" ca="1" si="0"/>
        <v>#REF!</v>
      </c>
      <c r="C25" s="177"/>
      <c r="D25" s="47"/>
      <c r="E25" s="17"/>
      <c r="F25" s="166"/>
      <c r="G25" s="19"/>
    </row>
    <row r="26" spans="1:18" ht="20.100000000000001" customHeight="1">
      <c r="A26" s="181" t="s">
        <v>11</v>
      </c>
      <c r="B26" s="182" t="e">
        <f t="shared" ca="1" si="0"/>
        <v>#REF!</v>
      </c>
      <c r="C26" s="177"/>
      <c r="D26" s="47"/>
      <c r="E26" s="166"/>
      <c r="F26" s="166"/>
      <c r="G26" s="169"/>
    </row>
    <row r="27" spans="1:18" ht="20.100000000000001" customHeight="1">
      <c r="A27" s="181" t="s">
        <v>12</v>
      </c>
      <c r="B27" s="182" t="e">
        <f t="shared" ca="1" si="0"/>
        <v>#REF!</v>
      </c>
      <c r="C27" s="177"/>
      <c r="D27" s="47"/>
      <c r="E27" s="166"/>
      <c r="F27" s="166"/>
      <c r="G27" s="169"/>
      <c r="M27" s="25"/>
    </row>
    <row r="28" spans="1:18" ht="20.100000000000001" customHeight="1">
      <c r="A28" s="181" t="s">
        <v>1</v>
      </c>
      <c r="B28" s="182" t="e">
        <f t="shared" ca="1" si="0"/>
        <v>#REF!</v>
      </c>
      <c r="C28" s="177"/>
      <c r="D28" s="47"/>
      <c r="E28" s="166"/>
      <c r="F28" s="166"/>
      <c r="G28" s="169"/>
    </row>
    <row r="29" spans="1:18" ht="20.100000000000001" customHeight="1">
      <c r="A29" s="181" t="s">
        <v>54</v>
      </c>
      <c r="B29" s="183" t="e">
        <f t="shared" ca="1" si="0"/>
        <v>#REF!</v>
      </c>
      <c r="C29" s="177"/>
      <c r="D29" s="47"/>
      <c r="E29" s="166"/>
      <c r="F29" s="166"/>
      <c r="G29" s="169"/>
    </row>
    <row r="30" spans="1:18" ht="20.100000000000001" customHeight="1">
      <c r="A30" s="181" t="s">
        <v>2</v>
      </c>
      <c r="B30" s="183" t="e">
        <f t="shared" ca="1" si="0"/>
        <v>#REF!</v>
      </c>
      <c r="C30" s="177"/>
      <c r="D30" s="47"/>
      <c r="E30" s="166"/>
      <c r="F30" s="166"/>
      <c r="G30" s="169"/>
    </row>
    <row r="31" spans="1:18" ht="20.100000000000001" customHeight="1">
      <c r="A31" s="181" t="s">
        <v>3</v>
      </c>
      <c r="B31" s="183" t="e">
        <f t="shared" ca="1" si="0"/>
        <v>#REF!</v>
      </c>
      <c r="C31" s="177" t="s">
        <v>186</v>
      </c>
      <c r="D31" s="47"/>
      <c r="E31" s="166"/>
      <c r="F31" s="166"/>
      <c r="G31" s="169"/>
      <c r="R31" s="1345">
        <f>Hub_C_iHe</f>
        <v>66.269330410535758</v>
      </c>
    </row>
    <row r="32" spans="1:18" ht="20.100000000000001" customHeight="1">
      <c r="A32" s="181" t="s">
        <v>13</v>
      </c>
      <c r="B32" s="182" t="e">
        <f t="shared" ca="1" si="0"/>
        <v>#REF!</v>
      </c>
      <c r="C32" s="177"/>
      <c r="D32" s="47"/>
      <c r="E32" s="166"/>
      <c r="F32" s="166"/>
      <c r="G32" s="169"/>
      <c r="Q32" s="165" t="e">
        <f ca="1">Hub_C_tL</f>
        <v>#REF!</v>
      </c>
    </row>
    <row r="33" spans="1:24" ht="20.100000000000001" customHeight="1">
      <c r="A33" s="181" t="s">
        <v>5</v>
      </c>
      <c r="B33" s="183" t="e">
        <f t="shared" ca="1" si="0"/>
        <v>#REF!</v>
      </c>
      <c r="C33" s="177"/>
      <c r="D33" s="47"/>
      <c r="E33" s="166"/>
      <c r="F33" s="166"/>
      <c r="G33" s="169"/>
    </row>
    <row r="34" spans="1:24" ht="20.100000000000001" customHeight="1">
      <c r="A34" s="181" t="s">
        <v>6</v>
      </c>
      <c r="B34" s="183" t="e">
        <f t="shared" ca="1" si="0"/>
        <v>#REF!</v>
      </c>
      <c r="C34" s="177" t="s">
        <v>1739</v>
      </c>
      <c r="D34" s="47"/>
      <c r="E34" s="166"/>
      <c r="F34" s="166"/>
      <c r="G34" s="169"/>
      <c r="H34" s="166"/>
    </row>
    <row r="35" spans="1:24" ht="20.100000000000001" customHeight="1">
      <c r="A35" s="181" t="s">
        <v>7</v>
      </c>
      <c r="B35" s="183" t="e">
        <f t="shared" ca="1" si="0"/>
        <v>#REF!</v>
      </c>
      <c r="C35" s="177"/>
      <c r="D35" s="47"/>
      <c r="E35" s="166"/>
      <c r="F35" s="166"/>
      <c r="G35" s="169"/>
      <c r="H35" s="166"/>
      <c r="S35" s="165" t="e">
        <f ca="1">B12</f>
        <v>#REF!</v>
      </c>
    </row>
    <row r="36" spans="1:24" ht="20.100000000000001" customHeight="1">
      <c r="A36" s="181" t="s">
        <v>8</v>
      </c>
      <c r="B36" s="183" t="e">
        <f t="shared" ca="1" si="0"/>
        <v>#REF!</v>
      </c>
      <c r="C36" s="177" t="s">
        <v>1739</v>
      </c>
      <c r="D36" s="47"/>
      <c r="E36" s="166"/>
      <c r="F36" s="166"/>
      <c r="G36" s="169"/>
      <c r="H36" s="166"/>
      <c r="O36" s="165">
        <f>DBeBe</f>
        <v>371.5</v>
      </c>
    </row>
    <row r="37" spans="1:24" ht="20.100000000000001" customHeight="1" thickBot="1">
      <c r="A37" s="184" t="s">
        <v>1025</v>
      </c>
      <c r="B37" s="185" t="e">
        <f t="shared" ca="1" si="0"/>
        <v>#REF!</v>
      </c>
      <c r="C37" s="186" t="s">
        <v>1739</v>
      </c>
      <c r="D37" s="47"/>
      <c r="E37" s="166"/>
      <c r="F37" s="166"/>
      <c r="G37" s="169"/>
      <c r="H37" s="166"/>
      <c r="Q37" s="1345" t="e">
        <f ca="1">Hub_C_tL-B15-DIHo_D</f>
        <v>#REF!</v>
      </c>
    </row>
    <row r="38" spans="1:24" ht="20.100000000000001" customHeight="1" thickBot="1">
      <c r="A38" s="1827"/>
      <c r="B38" s="1828"/>
      <c r="C38" s="1447"/>
      <c r="D38" s="47"/>
      <c r="E38" s="166"/>
      <c r="F38" s="166"/>
      <c r="G38" s="169"/>
      <c r="H38" s="166"/>
    </row>
    <row r="39" spans="1:24" ht="20.100000000000001" customHeight="1">
      <c r="A39" s="1829" t="s">
        <v>3515</v>
      </c>
      <c r="B39" s="1830" t="e">
        <f ca="1">B40/60</f>
        <v>#REF!</v>
      </c>
      <c r="C39" s="1444" t="s">
        <v>3478</v>
      </c>
      <c r="D39" s="47"/>
      <c r="E39" s="166"/>
      <c r="F39" s="166"/>
      <c r="G39" s="169"/>
      <c r="M39" s="170"/>
    </row>
    <row r="40" spans="1:24" ht="20.100000000000001" customHeight="1" thickBot="1">
      <c r="A40" s="21" t="s">
        <v>3514</v>
      </c>
      <c r="B40" s="1831" t="e">
        <f ca="1">60/(2*PI())*SQRT(2*PI()/64*E_Nmm2*10^6*(B12/1000)^4/(DIB_D/1000+ICOM/1000)/(Impeller_W*(DIB_D/1000+ICOM/1000)^2+Imoi_1))</f>
        <v>#REF!</v>
      </c>
      <c r="C40" s="1447" t="s">
        <v>186</v>
      </c>
      <c r="D40" s="166"/>
      <c r="E40" s="166"/>
      <c r="F40" s="166"/>
      <c r="G40" s="169"/>
      <c r="K40" s="170"/>
      <c r="R40" s="1345">
        <f>ICOM</f>
        <v>84.359573999729562</v>
      </c>
      <c r="S40" s="1345"/>
    </row>
    <row r="41" spans="1:24" ht="20.100000000000001" customHeight="1">
      <c r="A41" s="832" t="s">
        <v>79</v>
      </c>
      <c r="B41" s="833"/>
      <c r="C41" s="174"/>
      <c r="D41" s="168"/>
      <c r="E41" s="166"/>
      <c r="F41" s="166"/>
      <c r="G41" s="169"/>
      <c r="K41" s="684"/>
    </row>
    <row r="42" spans="1:24" ht="20.100000000000001" customHeight="1">
      <c r="A42" s="188" t="s">
        <v>80</v>
      </c>
      <c r="B42" s="189">
        <f ca="1">IF(ISERROR(SQRT(min_Critical_V_rpm*2*PI()/60*SQRT((DIB_D/1000+ICOM/1000)*(Impeller_W*(DIB_D/1000+ICOM/1000)^2+Imoi_1)/(2*E_Nmm2*10^6*PI()/64)))),0,1000*SQRT(min_Critical_V_rpm*2*PI()/60*SQRT((DIB_D/1000+ICOM/1000)*(Impeller_W*(DIB_D/1000+ICOM/1000)^2+Imoi_1)/(2*E_Nmm2*10^6*PI()/64))))</f>
        <v>0</v>
      </c>
      <c r="C42" s="190" t="s">
        <v>136</v>
      </c>
      <c r="D42" s="168"/>
      <c r="E42" s="166"/>
      <c r="F42" s="166"/>
      <c r="G42" s="169"/>
      <c r="K42" s="170"/>
    </row>
    <row r="43" spans="1:24" ht="20.100000000000001" customHeight="1">
      <c r="A43" s="798"/>
      <c r="B43" s="799"/>
      <c r="C43" s="800"/>
      <c r="D43" s="168"/>
      <c r="E43" s="166"/>
      <c r="F43" s="166"/>
      <c r="G43" s="169"/>
    </row>
    <row r="44" spans="1:24" ht="20.100000000000001" customHeight="1">
      <c r="A44" s="836"/>
      <c r="B44" s="837"/>
      <c r="C44" s="169"/>
      <c r="D44" s="168"/>
      <c r="E44" s="166"/>
      <c r="F44" s="166"/>
      <c r="G44" s="169"/>
      <c r="T44" s="1345" t="e">
        <f ca="1">DIHo_D</f>
        <v>#REF!</v>
      </c>
    </row>
    <row r="45" spans="1:24" ht="20.100000000000001" customHeight="1">
      <c r="A45" s="836"/>
      <c r="B45" s="837"/>
      <c r="C45" s="169"/>
      <c r="D45" s="168"/>
      <c r="E45" s="166"/>
      <c r="F45" s="166"/>
      <c r="G45" s="169"/>
    </row>
    <row r="46" spans="1:24" ht="20.100000000000001" customHeight="1" thickBot="1">
      <c r="A46" s="168"/>
      <c r="B46" s="191"/>
      <c r="C46" s="169"/>
      <c r="D46" s="168"/>
      <c r="E46" s="166"/>
      <c r="F46" s="166"/>
      <c r="G46" s="169"/>
      <c r="M46" s="165">
        <f>MATCH(M47,'Vibration Calculation'!$B$21:$Z$21,0)</f>
        <v>16</v>
      </c>
      <c r="N46" s="165">
        <f>MATCH(N47,'Vibration Calculation'!$B$21:$Z$21,0)</f>
        <v>17</v>
      </c>
      <c r="O46" s="165">
        <f>MATCH(O47,'Vibration Calculation'!$B$21:$Z$21,0)</f>
        <v>18</v>
      </c>
      <c r="P46" s="165">
        <f>MATCH(P47,'Vibration Calculation'!$B$21:$Z$21,0)</f>
        <v>19</v>
      </c>
      <c r="Q46" s="165">
        <f>MATCH(Q47,'Vibration Calculation'!$B$21:$Z$21,0)</f>
        <v>20</v>
      </c>
      <c r="R46" s="165">
        <f>MATCH(R47,'Vibration Calculation'!$B$21:$Z$21,0)</f>
        <v>21</v>
      </c>
      <c r="S46" s="165">
        <f>MATCH(S47,'Vibration Calculation'!$B$21:$Z$21,0)</f>
        <v>22</v>
      </c>
      <c r="T46" s="165">
        <f>MATCH(T47,'Vibration Calculation'!$B$21:$Z$21,0)</f>
        <v>23</v>
      </c>
      <c r="U46" s="165">
        <f>MATCH(U47,'Vibration Calculation'!$B$21:$Z$21,0)</f>
        <v>24</v>
      </c>
    </row>
    <row r="47" spans="1:24" ht="20.100000000000001" customHeight="1">
      <c r="A47" s="192" t="s">
        <v>125</v>
      </c>
      <c r="B47" s="3599" t="s">
        <v>193</v>
      </c>
      <c r="C47" s="3600"/>
      <c r="D47" s="3599" t="s">
        <v>194</v>
      </c>
      <c r="E47" s="3601"/>
      <c r="F47" s="3602"/>
      <c r="G47" s="3601"/>
      <c r="M47" s="235" t="s">
        <v>216</v>
      </c>
      <c r="N47" s="235" t="s">
        <v>219</v>
      </c>
      <c r="O47" s="235" t="s">
        <v>218</v>
      </c>
      <c r="P47" s="236" t="s">
        <v>206</v>
      </c>
      <c r="Q47" s="235" t="s">
        <v>217</v>
      </c>
      <c r="R47" s="235" t="s">
        <v>220</v>
      </c>
      <c r="S47" s="236" t="s">
        <v>207</v>
      </c>
      <c r="T47" s="237" t="s">
        <v>208</v>
      </c>
      <c r="U47" s="237" t="s">
        <v>209</v>
      </c>
    </row>
    <row r="48" spans="1:24" ht="20.100000000000001" customHeight="1">
      <c r="A48" s="226" t="s">
        <v>185</v>
      </c>
      <c r="B48" s="1948" t="e">
        <f ca="1">'Vibration Calculation'!$B$6</f>
        <v>#REF!</v>
      </c>
      <c r="C48" s="1950" t="e">
        <f ca="1">"Vib. No."&amp;$J48-1</f>
        <v>#REF!</v>
      </c>
      <c r="D48" s="1948" t="e">
        <f ca="1">'Vibration Calculation'!$D$6</f>
        <v>#REF!</v>
      </c>
      <c r="E48" s="2001" t="e">
        <f ca="1">"Vib. No."&amp;$K48-1</f>
        <v>#REF!</v>
      </c>
      <c r="F48" s="1947" t="e">
        <f ca="1">$B$48</f>
        <v>#REF!</v>
      </c>
      <c r="G48" s="2002" t="e">
        <f ca="1">"Vib. No."&amp;MATCH($F48,D_Name,0)-1</f>
        <v>#REF!</v>
      </c>
      <c r="J48" s="309" t="e">
        <f ca="1">'Vibration Calculation'!$H$6</f>
        <v>#REF!</v>
      </c>
      <c r="K48" s="309" t="e">
        <f ca="1">'Vibration Calculation'!$I$6</f>
        <v>#REF!</v>
      </c>
      <c r="M48" s="238" t="e">
        <f ca="1">INDEX('Vibration Calculation'!$B$21:$Y$86,$J48,M46)</f>
        <v>#REF!</v>
      </c>
      <c r="N48" s="238" t="e">
        <f ca="1">INDEX('Vibration Calculation'!$B$21:$Y$86,$J48,N46)</f>
        <v>#REF!</v>
      </c>
      <c r="O48" s="238" t="e">
        <f ca="1">INDEX('Vibration Calculation'!$B$21:$Y$86,$J48,O46)</f>
        <v>#REF!</v>
      </c>
      <c r="P48" s="238" t="e">
        <f ca="1">INDEX('Vibration Calculation'!$B$21:$Y$86,$J48,P46)</f>
        <v>#REF!</v>
      </c>
      <c r="Q48" s="238" t="e">
        <f ca="1">INDEX('Vibration Calculation'!$B$21:$Y$86,$J48,Q46)</f>
        <v>#REF!</v>
      </c>
      <c r="R48" s="238" t="e">
        <f ca="1">INDEX('Vibration Calculation'!$B$21:$Y$86,$J48,R46)</f>
        <v>#REF!</v>
      </c>
      <c r="S48" s="238" t="e">
        <f ca="1">INDEX('Vibration Calculation'!$B$21:$Y$86,$J48,S46)</f>
        <v>#REF!</v>
      </c>
      <c r="T48" s="238" t="e">
        <f ca="1">INDEX('Vibration Calculation'!$B$21:$Y$86,$J48,T46)</f>
        <v>#REF!</v>
      </c>
      <c r="U48" s="238" t="e">
        <f ca="1">INDEX('Vibration Calculation'!$B$21:$Y$86,$J48,U46)</f>
        <v>#REF!</v>
      </c>
      <c r="W48" s="1947" t="e">
        <f ca="1">$B$48</f>
        <v>#REF!</v>
      </c>
      <c r="X48" s="2002" t="e">
        <f ca="1">"Vib. No."&amp;MATCH($F48,D_Name,0)-1</f>
        <v>#REF!</v>
      </c>
    </row>
    <row r="49" spans="1:24" ht="20.100000000000001" customHeight="1">
      <c r="A49" s="226"/>
      <c r="B49" s="232" t="str">
        <f>'Vibration Calculation'!B7</f>
        <v>Min</v>
      </c>
      <c r="C49" s="746" t="s">
        <v>200</v>
      </c>
      <c r="D49" s="232" t="str">
        <f>'Vibration Calculation'!D7</f>
        <v>Min</v>
      </c>
      <c r="E49" s="750" t="str">
        <f>'Vibration Calculation'!E7</f>
        <v>Max</v>
      </c>
      <c r="F49" s="1155" t="str">
        <f>'Vibration Calculation'!F7</f>
        <v>Min</v>
      </c>
      <c r="G49" s="750" t="s">
        <v>200</v>
      </c>
      <c r="W49" s="1155">
        <f>'Vibration Calculation'!U7</f>
        <v>0</v>
      </c>
      <c r="X49" s="750" t="s">
        <v>200</v>
      </c>
    </row>
    <row r="50" spans="1:24" ht="20.100000000000001" customHeight="1">
      <c r="A50" s="226" t="s">
        <v>126</v>
      </c>
      <c r="B50" s="233" t="e">
        <f ca="1">'Vibration Calculation'!B8</f>
        <v>#REF!</v>
      </c>
      <c r="C50" s="747" t="e">
        <f ca="1">'Vibration Calculation'!C8</f>
        <v>#REF!</v>
      </c>
      <c r="D50" s="233" t="e">
        <f ca="1">'Vibration Calculation'!D8</f>
        <v>#REF!</v>
      </c>
      <c r="E50" s="751" t="e">
        <f ca="1">'Vibration Calculation'!E8</f>
        <v>#REF!</v>
      </c>
      <c r="F50" s="1162" t="e">
        <f ca="1">$B$50</f>
        <v>#REF!</v>
      </c>
      <c r="G50" s="1163" t="e">
        <f ca="1">$C$50</f>
        <v>#REF!</v>
      </c>
      <c r="W50" s="1162" t="e">
        <f ca="1">$B$50</f>
        <v>#REF!</v>
      </c>
      <c r="X50" s="1163" t="e">
        <f ca="1">$C$50</f>
        <v>#REF!</v>
      </c>
    </row>
    <row r="51" spans="1:24" ht="20.100000000000001" customHeight="1">
      <c r="A51" s="226" t="s">
        <v>127</v>
      </c>
      <c r="B51" s="233" t="e">
        <f ca="1">'Vibration Calculation'!B9</f>
        <v>#REF!</v>
      </c>
      <c r="C51" s="747" t="e">
        <f ca="1">'Vibration Calculation'!C9</f>
        <v>#REF!</v>
      </c>
      <c r="D51" s="233" t="e">
        <f ca="1">'Vibration Calculation'!D9</f>
        <v>#REF!</v>
      </c>
      <c r="E51" s="751" t="e">
        <f ca="1">'Vibration Calculation'!E9</f>
        <v>#REF!</v>
      </c>
      <c r="F51" s="3595" t="e">
        <f ca="1">System_weight_safe/F50</f>
        <v>#REF!</v>
      </c>
      <c r="G51" s="3596"/>
    </row>
    <row r="52" spans="1:24" ht="20.100000000000001" customHeight="1">
      <c r="A52" s="226" t="s">
        <v>179</v>
      </c>
      <c r="B52" s="234" t="e">
        <f ca="1">'Vibration Calculation'!B10</f>
        <v>#REF!</v>
      </c>
      <c r="C52" s="748" t="e">
        <f ca="1">'Vibration Calculation'!C10</f>
        <v>#REF!</v>
      </c>
      <c r="D52" s="234" t="e">
        <f ca="1">'Vibration Calculation'!D10</f>
        <v>#REF!</v>
      </c>
      <c r="E52" s="752" t="e">
        <f ca="1">'Vibration Calculation'!E10</f>
        <v>#REF!</v>
      </c>
      <c r="F52" s="3595"/>
      <c r="G52" s="3596"/>
    </row>
    <row r="53" spans="1:24" ht="20.100000000000001" customHeight="1" thickBot="1">
      <c r="A53" s="227" t="s">
        <v>180</v>
      </c>
      <c r="B53" s="743" t="e">
        <f ca="1">'Vibration Calculation'!B11</f>
        <v>#REF!</v>
      </c>
      <c r="C53" s="749" t="e">
        <f ca="1">'Vibration Calculation'!C11</f>
        <v>#REF!</v>
      </c>
      <c r="D53" s="743" t="e">
        <f ca="1">'Vibration Calculation'!D11</f>
        <v>#REF!</v>
      </c>
      <c r="E53" s="753" t="e">
        <f ca="1">'Vibration Calculation'!E11</f>
        <v>#REF!</v>
      </c>
      <c r="F53" s="3597"/>
      <c r="G53" s="3598"/>
    </row>
    <row r="54" spans="1:24" ht="20.100000000000001" customHeight="1">
      <c r="A54" s="167"/>
      <c r="B54" s="167"/>
      <c r="C54" s="167"/>
      <c r="D54" s="167"/>
      <c r="E54" s="167"/>
      <c r="F54" s="167"/>
      <c r="G54" s="167"/>
    </row>
    <row r="55" spans="1:24" ht="20.100000000000001" customHeight="1">
      <c r="A55" s="166"/>
      <c r="B55" s="193"/>
      <c r="C55" s="166"/>
      <c r="D55" s="166"/>
      <c r="E55" s="166"/>
      <c r="F55" s="166"/>
      <c r="G55" s="166"/>
    </row>
    <row r="56" spans="1:24" ht="20.100000000000001" customHeight="1">
      <c r="A56" s="166"/>
      <c r="B56" s="193"/>
      <c r="C56" s="166"/>
      <c r="D56" s="166"/>
      <c r="E56" s="166"/>
      <c r="F56" s="166"/>
      <c r="G56" s="166"/>
    </row>
    <row r="57" spans="1:24" ht="20.100000000000001" customHeight="1">
      <c r="A57" s="166"/>
      <c r="B57" s="166"/>
      <c r="C57" s="166"/>
      <c r="D57" s="166"/>
      <c r="E57" s="166"/>
      <c r="F57" s="166"/>
      <c r="G57" s="166"/>
    </row>
  </sheetData>
  <mergeCells count="13">
    <mergeCell ref="C1:N1"/>
    <mergeCell ref="B9:C9"/>
    <mergeCell ref="B10:C10"/>
    <mergeCell ref="B11:C11"/>
    <mergeCell ref="M2:N2"/>
    <mergeCell ref="B2:L2"/>
    <mergeCell ref="A3:G3"/>
    <mergeCell ref="F52:G52"/>
    <mergeCell ref="F53:G53"/>
    <mergeCell ref="F51:G51"/>
    <mergeCell ref="B47:C47"/>
    <mergeCell ref="D47:E47"/>
    <mergeCell ref="F47:G47"/>
  </mergeCells>
  <phoneticPr fontId="170" type="noConversion"/>
  <conditionalFormatting sqref="M47:U47">
    <cfRule type="expression" dxfId="321" priority="26">
      <formula>OR($X47&lt;&gt;"",$Y47&lt;&gt;"")</formula>
    </cfRule>
  </conditionalFormatting>
  <conditionalFormatting sqref="D49:G53 D48:E48 A48:C53">
    <cfRule type="expression" dxfId="320" priority="14">
      <formula>AND($T$48="",$U$48="")</formula>
    </cfRule>
  </conditionalFormatting>
  <conditionalFormatting sqref="W50:X50 A50:G50">
    <cfRule type="expression" dxfId="319" priority="13">
      <formula>OR($F$50&lt;$Q$48,$F$50&gt;$N$48)</formula>
    </cfRule>
  </conditionalFormatting>
  <conditionalFormatting sqref="W50:X50">
    <cfRule type="expression" dxfId="318" priority="8">
      <formula>AND($T$48="",$U$48="")</formula>
    </cfRule>
  </conditionalFormatting>
  <conditionalFormatting sqref="W49:X49">
    <cfRule type="expression" dxfId="317" priority="6">
      <formula>AND($T$48="",$U$48="")</formula>
    </cfRule>
  </conditionalFormatting>
  <conditionalFormatting sqref="A9:C45">
    <cfRule type="expression" dxfId="316" priority="5">
      <formula>$F$7</formula>
    </cfRule>
  </conditionalFormatting>
  <conditionalFormatting sqref="D4:G4">
    <cfRule type="expression" dxfId="315" priority="4">
      <formula>$F$7</formula>
    </cfRule>
  </conditionalFormatting>
  <conditionalFormatting sqref="A4:G4">
    <cfRule type="expression" dxfId="314" priority="3">
      <formula>$A$4="Construction Error"</formula>
    </cfRule>
  </conditionalFormatting>
  <conditionalFormatting sqref="M48:U48">
    <cfRule type="expression" dxfId="313" priority="3477">
      <formula>OR($T48&lt;&gt;"",$U48&lt;&gt;"")</formula>
    </cfRule>
  </conditionalFormatting>
  <conditionalFormatting sqref="J48:K48">
    <cfRule type="expression" dxfId="312" priority="1">
      <formula>OR($T48&lt;&gt;"",$U48&lt;&gt;"")</formula>
    </cfRule>
  </conditionalFormatting>
  <dataValidations count="1">
    <dataValidation type="list" allowBlank="1" showInputMessage="1" showErrorMessage="1" sqref="F48 W48">
      <formula1>D_Name</formula1>
    </dataValidation>
  </dataValidations>
  <pageMargins left="0.70866141732283472" right="0.70866141732283472" top="0.74803149606299213" bottom="0.74803149606299213" header="0.31496062992125984" footer="0.31496062992125984"/>
  <pageSetup paperSize="9" scale="34" orientation="landscape" r:id="rId1"/>
  <headerFooter>
    <oddHeader>&amp;L&amp;G&amp;R&amp;D</oddHeader>
    <oddFooter>&amp;L&amp;12CONFIDENTIAL&amp;C&amp;12&amp;F / &amp;A&amp;Rpage &amp;P / &amp;N</oddFooter>
  </headerFooter>
  <drawing r:id="rId2"/>
  <legacyDrawing r:id="rId3"/>
  <legacyDrawingHF r:id="rId4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X109"/>
  <sheetViews>
    <sheetView zoomScale="85" zoomScaleNormal="85" workbookViewId="0"/>
  </sheetViews>
  <sheetFormatPr defaultColWidth="14.7109375" defaultRowHeight="20.100000000000001" customHeight="1"/>
  <cols>
    <col min="1" max="1" width="34.7109375" style="301" customWidth="1"/>
    <col min="2" max="7" width="22.7109375" style="301" customWidth="1"/>
    <col min="8" max="16384" width="14.7109375" style="301"/>
  </cols>
  <sheetData>
    <row r="1" spans="1:23" s="162" customFormat="1" ht="33" customHeight="1" thickBot="1">
      <c r="A1" s="1176" t="str">
        <f>'Select Drive &amp; Motor'!A1</f>
        <v>ID</v>
      </c>
      <c r="B1" s="2330" t="str">
        <f>'Select Drive &amp; Motor'!B1</f>
        <v>NBF191005</v>
      </c>
      <c r="C1" s="3603" t="str">
        <f>'Select Drive &amp; Motor'!C1</f>
        <v>, , XOE 273-90 REG, Direct, RD135</v>
      </c>
      <c r="D1" s="3603"/>
      <c r="E1" s="3603"/>
      <c r="F1" s="3603"/>
      <c r="G1" s="3603"/>
      <c r="H1" s="3603"/>
      <c r="I1" s="3603"/>
      <c r="J1" s="3603"/>
      <c r="K1" s="3603"/>
      <c r="L1" s="3603"/>
      <c r="M1" s="3603"/>
      <c r="N1" s="3604"/>
    </row>
    <row r="2" spans="1:23" s="162" customFormat="1" ht="33" customHeight="1" thickBot="1">
      <c r="A2" s="1176" t="str">
        <f>'Select Drive &amp; Motor'!A2</f>
        <v>Comments</v>
      </c>
      <c r="B2" s="3613">
        <f>'Select Drive &amp; Motor'!B2</f>
        <v>0</v>
      </c>
      <c r="C2" s="3614"/>
      <c r="D2" s="3614"/>
      <c r="E2" s="3614"/>
      <c r="F2" s="3614"/>
      <c r="G2" s="3614"/>
      <c r="H2" s="3627"/>
      <c r="I2" s="3627"/>
      <c r="J2" s="3627"/>
      <c r="K2" s="3627"/>
      <c r="L2" s="3628"/>
      <c r="M2" s="3625" t="str">
        <f>'Select Drive &amp; Motor'!P2</f>
        <v>190923</v>
      </c>
      <c r="N2" s="3626"/>
    </row>
    <row r="3" spans="1:23" s="164" customFormat="1" ht="50.1" customHeight="1" thickBot="1">
      <c r="A3" s="3631" t="s">
        <v>107</v>
      </c>
      <c r="B3" s="3632"/>
      <c r="C3" s="3632"/>
      <c r="D3" s="3632"/>
      <c r="E3" s="3632"/>
      <c r="F3" s="3632"/>
      <c r="G3" s="3633"/>
      <c r="H3" s="1623"/>
      <c r="I3" s="1621" t="s">
        <v>3455</v>
      </c>
      <c r="J3" s="1611" t="s">
        <v>2815</v>
      </c>
      <c r="K3" s="1610" t="s">
        <v>2814</v>
      </c>
      <c r="L3" s="1611" t="s">
        <v>2816</v>
      </c>
      <c r="M3" s="1610" t="s">
        <v>3456</v>
      </c>
      <c r="N3" s="1611" t="s">
        <v>2817</v>
      </c>
      <c r="O3" s="1610" t="s">
        <v>2818</v>
      </c>
      <c r="P3" s="1612" t="s">
        <v>2819</v>
      </c>
      <c r="Q3" s="1612" t="s">
        <v>2804</v>
      </c>
      <c r="R3" s="1612" t="s">
        <v>2181</v>
      </c>
      <c r="S3" s="1612" t="s">
        <v>2803</v>
      </c>
      <c r="T3" s="1612" t="s">
        <v>2183</v>
      </c>
      <c r="U3" s="1611" t="s">
        <v>2821</v>
      </c>
      <c r="V3" s="1613" t="s">
        <v>2820</v>
      </c>
    </row>
    <row r="4" spans="1:23" ht="20.100000000000001" customHeight="1" thickBot="1">
      <c r="A4" s="459" t="str">
        <f ca="1">IF(OR(MF_Ra_error,Coupling_name=0,Bearing_name=0),"Construction Error","OK")</f>
        <v>Construction Error</v>
      </c>
      <c r="B4" s="948" t="str">
        <f>Fan_Type</f>
        <v>XOE 273-90</v>
      </c>
      <c r="C4" s="706" t="str">
        <f>Fan_orientation&amp;H_rotation</f>
        <v>RD135</v>
      </c>
      <c r="D4" s="1791" t="e">
        <f ca="1">DRIVE_Type&amp;" / "&amp;Frame_Type&amp;" "&amp;Drive_Frame</f>
        <v>#REF!</v>
      </c>
      <c r="E4" s="1344">
        <f>IF(B_Type="No Bearing",0,IF(B_Type="REG",$B$27,$B$80))</f>
        <v>0</v>
      </c>
      <c r="F4" s="460" t="s">
        <v>0</v>
      </c>
      <c r="G4" s="1343">
        <f>IF(B_Type="REG",Chosen_REG,IF(B_Type="PDN",Chosen_PDN,0))</f>
        <v>0</v>
      </c>
      <c r="H4" s="1624" t="str">
        <f>IF($F$8,IF($F$61,"No Bearing","PDN"),"REG")</f>
        <v>No Bearing</v>
      </c>
      <c r="I4" s="1614">
        <f ca="1">IF(Construction_error_C="Construction Error",0,House_W)</f>
        <v>0</v>
      </c>
      <c r="J4" s="1615">
        <f ca="1">IF(Construction_error_C="Construction Error",0,House!$G$113)</f>
        <v>0</v>
      </c>
      <c r="K4" s="1616">
        <f ca="1">IF(Construction_error_C="Construction Error",0,T_HR_weight)</f>
        <v>0</v>
      </c>
      <c r="L4" s="1615">
        <f ca="1">IF(Construction_error_C="Construction Error",0,House!$M$114)</f>
        <v>0</v>
      </c>
      <c r="M4" s="1616">
        <f ca="1">IF(Construction_error_C="Construction Error",0,Inlet_W)</f>
        <v>0</v>
      </c>
      <c r="N4" s="1615">
        <f ca="1">IF(Construction_error_C="Construction Error",0,House!$G$112)</f>
        <v>0</v>
      </c>
      <c r="O4" s="1616">
        <f ca="1">IF(Construction_error_C="Construction Error",0,Impeller_W)</f>
        <v>0</v>
      </c>
      <c r="P4" s="1617">
        <f ca="1">IF(Construction_error_C="Construction Error",0,Impeller_Area)</f>
        <v>0</v>
      </c>
      <c r="Q4" s="1618">
        <f ca="1">IF(Construction_error_C="Construction Error",0,laser_WImp)</f>
        <v>0</v>
      </c>
      <c r="R4" s="1618">
        <f ca="1">IF(Construction_error_C="Construction Error",0,WF_P)</f>
        <v>0</v>
      </c>
      <c r="S4" s="1617">
        <f ca="1">IF(Construction_error_C="Construction Error",0,WHub_C)</f>
        <v>0</v>
      </c>
      <c r="T4" s="1619">
        <f ca="1">IF(Construction_error_C="Construction Error",0,WHub_P)</f>
        <v>0</v>
      </c>
      <c r="U4" s="1620">
        <f ca="1">IF(Construction_error_C="Construction Error",0,Frame_Weight)</f>
        <v>0</v>
      </c>
      <c r="V4" s="1622">
        <f ca="1">IF(Construction_error_C="Construction Error",0,Frame_Area)</f>
        <v>0</v>
      </c>
      <c r="W4" s="824" t="str">
        <f>IF($F$8,IF($F$61,"No Bearing","PDN"),"REG")</f>
        <v>No Bearing</v>
      </c>
    </row>
    <row r="5" spans="1:23" ht="20.100000000000001" customHeight="1">
      <c r="A5" s="1448"/>
      <c r="B5" s="1465"/>
      <c r="C5" s="1465"/>
      <c r="D5" s="1465"/>
      <c r="E5" s="1465"/>
      <c r="F5" s="1465"/>
      <c r="G5" s="1444"/>
    </row>
    <row r="6" spans="1:23" ht="20.100000000000001" customHeight="1" thickBot="1">
      <c r="A6" s="1445"/>
      <c r="B6" s="1466"/>
      <c r="C6" s="1446"/>
      <c r="D6" s="1446"/>
      <c r="E6" s="1446"/>
      <c r="F6" s="1446"/>
      <c r="G6" s="1447"/>
    </row>
    <row r="7" spans="1:23" s="194" customFormat="1" ht="20.100000000000001" customHeight="1" thickBot="1">
      <c r="A7" s="3631" t="s">
        <v>61</v>
      </c>
      <c r="B7" s="3632"/>
      <c r="C7" s="3632"/>
      <c r="D7" s="3632"/>
      <c r="E7" s="3632"/>
      <c r="F7" s="3632"/>
      <c r="G7" s="3633"/>
      <c r="H7" s="301"/>
      <c r="I7" s="301"/>
    </row>
    <row r="8" spans="1:23" ht="20.100000000000001" customHeight="1">
      <c r="A8" s="293" t="s">
        <v>116</v>
      </c>
      <c r="B8" s="294"/>
      <c r="C8" s="195"/>
      <c r="D8" s="295"/>
      <c r="E8" s="195"/>
      <c r="F8" s="1894" t="b">
        <f>OR(Chosen_REG=0,IF(ISERROR(OR($B24&lt;min_Critical_B_rpm,SUM($B12:$E12)=0)),TRUE,OR($B24&lt;min_Critical_B_rpm,SUM($B12:$E12)=0)),$G36&lt;1.25,$F26,$F35,DRIVE_Type&lt;&gt;"Coupling")</f>
        <v>1</v>
      </c>
      <c r="G8" s="296" t="s">
        <v>214</v>
      </c>
    </row>
    <row r="9" spans="1:23" ht="20.100000000000001" customHeight="1">
      <c r="A9" s="282" t="s">
        <v>341</v>
      </c>
      <c r="B9" s="283"/>
      <c r="C9" s="284"/>
      <c r="D9" s="285"/>
      <c r="E9" s="286"/>
      <c r="F9" s="286"/>
      <c r="G9" s="287" t="s">
        <v>1738</v>
      </c>
    </row>
    <row r="10" spans="1:23" ht="20.100000000000001" customHeight="1">
      <c r="A10" s="196" t="s">
        <v>0</v>
      </c>
      <c r="B10" s="201"/>
      <c r="C10" s="201"/>
      <c r="D10" s="201"/>
      <c r="E10" s="201"/>
      <c r="F10" s="198"/>
      <c r="G10" s="822">
        <f>$B$10</f>
        <v>0</v>
      </c>
      <c r="W10" s="822">
        <f>$B$10</f>
        <v>0</v>
      </c>
    </row>
    <row r="11" spans="1:23" ht="20.100000000000001" customHeight="1">
      <c r="A11" s="196" t="s">
        <v>309</v>
      </c>
      <c r="B11" s="201"/>
      <c r="C11" s="201"/>
      <c r="D11" s="201"/>
      <c r="E11" s="201"/>
      <c r="F11" s="198"/>
      <c r="G11" s="249" t="e">
        <f>INDEX($B$10:$E$14,2,MATCH(Chosen_REG,$B$10:$E$10,0))</f>
        <v>#N/A</v>
      </c>
    </row>
    <row r="12" spans="1:23" ht="20.100000000000001" customHeight="1">
      <c r="A12" s="196" t="s">
        <v>48</v>
      </c>
      <c r="B12" s="201"/>
      <c r="C12" s="201"/>
      <c r="D12" s="201"/>
      <c r="E12" s="201"/>
      <c r="F12" s="197" t="s">
        <v>225</v>
      </c>
      <c r="G12" s="249" t="e">
        <f>INDEX($B$10:$E$14,3,MATCH(Chosen_REG,$B$10:$E$10,0))</f>
        <v>#N/A</v>
      </c>
    </row>
    <row r="13" spans="1:23" ht="20.100000000000001" customHeight="1">
      <c r="A13" s="196" t="s">
        <v>228</v>
      </c>
      <c r="B13" s="201"/>
      <c r="C13" s="201"/>
      <c r="D13" s="201"/>
      <c r="E13" s="201"/>
      <c r="F13" s="197" t="s">
        <v>227</v>
      </c>
      <c r="G13" s="249" t="e">
        <f>INDEX($B$10:$E$14,4,MATCH(Chosen_REG,$B$10:$E$10,0))</f>
        <v>#N/A</v>
      </c>
    </row>
    <row r="14" spans="1:23" ht="20.100000000000001" customHeight="1" thickBot="1">
      <c r="A14" s="196" t="s">
        <v>1768</v>
      </c>
      <c r="B14" s="201"/>
      <c r="C14" s="201"/>
      <c r="D14" s="201"/>
      <c r="E14" s="201"/>
      <c r="F14" s="197" t="s">
        <v>136</v>
      </c>
      <c r="G14" s="758" t="e">
        <f>INDEX($B$10:$E$14,5,MATCH(Chosen_REG,$B$10:$E$10,0))</f>
        <v>#N/A</v>
      </c>
    </row>
    <row r="15" spans="1:23" ht="20.100000000000001" customHeight="1">
      <c r="A15" s="16" t="s">
        <v>1748</v>
      </c>
      <c r="B15" s="197"/>
      <c r="C15" s="197" t="s">
        <v>136</v>
      </c>
      <c r="D15" s="170" t="s">
        <v>1854</v>
      </c>
      <c r="E15" s="170" t="e">
        <f>VLOOKUP(Seal_Cooling_Selection,SealThickness,MATCH($B36,Seal_Axle_Diameter,0),FALSE)</f>
        <v>#N/A</v>
      </c>
      <c r="F15" s="851" t="e">
        <f>($F45-Hub_C_iHe-Hub_P_T-DIHo_C_REG)</f>
        <v>#N/A</v>
      </c>
      <c r="G15" s="169" t="s">
        <v>136</v>
      </c>
    </row>
    <row r="16" spans="1:23" ht="20.100000000000001" customHeight="1">
      <c r="A16" s="16" t="s">
        <v>1754</v>
      </c>
      <c r="B16" s="197"/>
      <c r="C16" s="200" t="s">
        <v>136</v>
      </c>
      <c r="D16" s="197"/>
      <c r="E16" s="197"/>
      <c r="G16" s="198"/>
    </row>
    <row r="17" spans="1:22" ht="20.100000000000001" customHeight="1">
      <c r="A17" s="20" t="s">
        <v>1755</v>
      </c>
      <c r="B17" s="197"/>
      <c r="C17" s="200" t="s">
        <v>136</v>
      </c>
      <c r="D17" s="197"/>
      <c r="E17" s="197"/>
      <c r="G17" s="198"/>
    </row>
    <row r="18" spans="1:22" ht="20.100000000000001" customHeight="1">
      <c r="A18" s="20" t="s">
        <v>1756</v>
      </c>
      <c r="B18" s="197"/>
      <c r="C18" s="200" t="s">
        <v>136</v>
      </c>
      <c r="D18" s="197"/>
      <c r="E18" s="197"/>
      <c r="G18" s="198"/>
    </row>
    <row r="19" spans="1:22" ht="20.100000000000001" customHeight="1">
      <c r="A19" s="16" t="s">
        <v>41</v>
      </c>
      <c r="B19" s="197"/>
      <c r="C19" s="197" t="s">
        <v>136</v>
      </c>
      <c r="D19" s="197"/>
      <c r="E19" s="201"/>
      <c r="G19" s="198"/>
    </row>
    <row r="20" spans="1:22" ht="20.100000000000001" customHeight="1">
      <c r="A20" s="16" t="s">
        <v>1273</v>
      </c>
      <c r="B20" s="197"/>
      <c r="C20" s="197" t="s">
        <v>136</v>
      </c>
      <c r="D20" s="197"/>
      <c r="E20" s="197"/>
      <c r="G20" s="198"/>
      <c r="J20" s="304"/>
      <c r="K20" s="304"/>
      <c r="L20" s="304"/>
      <c r="M20" s="304"/>
      <c r="N20" s="304"/>
      <c r="O20" s="304"/>
      <c r="P20" s="304"/>
      <c r="Q20" s="304"/>
      <c r="R20" s="304"/>
      <c r="S20" s="304"/>
      <c r="U20" s="304"/>
      <c r="V20" s="194"/>
    </row>
    <row r="21" spans="1:22" ht="20.100000000000001" customHeight="1">
      <c r="A21" s="16" t="s">
        <v>1274</v>
      </c>
      <c r="B21" s="197"/>
      <c r="C21" s="197" t="s">
        <v>136</v>
      </c>
      <c r="D21" s="197"/>
      <c r="E21" s="201"/>
      <c r="G21" s="198"/>
      <c r="J21" s="304"/>
      <c r="K21" s="304"/>
      <c r="L21" s="304"/>
      <c r="M21" s="304"/>
      <c r="O21" s="304"/>
      <c r="P21" s="304"/>
      <c r="Q21" s="304"/>
      <c r="R21" s="304"/>
      <c r="S21" s="304"/>
    </row>
    <row r="22" spans="1:22" ht="20.100000000000001" customHeight="1">
      <c r="A22" s="16" t="s">
        <v>71</v>
      </c>
      <c r="B22" s="197"/>
      <c r="C22" s="197" t="s">
        <v>136</v>
      </c>
      <c r="D22" s="197"/>
      <c r="E22" s="197"/>
      <c r="G22" s="198"/>
      <c r="H22" s="194"/>
      <c r="I22" s="194"/>
      <c r="J22" s="304"/>
      <c r="K22" s="304"/>
      <c r="L22" s="304"/>
      <c r="M22" s="304"/>
      <c r="N22" s="304"/>
      <c r="O22" s="304"/>
      <c r="P22" s="304"/>
      <c r="Q22" s="304"/>
      <c r="R22" s="304"/>
      <c r="S22" s="304"/>
      <c r="U22" s="304"/>
    </row>
    <row r="23" spans="1:22" ht="20.100000000000001" customHeight="1">
      <c r="A23" s="199" t="s">
        <v>3556</v>
      </c>
      <c r="B23" s="291">
        <f>B24/60</f>
        <v>0</v>
      </c>
      <c r="C23" s="291" t="s">
        <v>3478</v>
      </c>
      <c r="D23" s="291"/>
      <c r="E23" s="291"/>
      <c r="F23" s="288">
        <f t="shared" ref="F23" si="0">F24/60</f>
        <v>51.553748875491735</v>
      </c>
      <c r="G23" s="2561"/>
      <c r="H23" s="194"/>
      <c r="I23" s="194"/>
      <c r="J23" s="304"/>
      <c r="K23" s="304"/>
      <c r="L23" s="304"/>
      <c r="M23" s="304"/>
      <c r="N23" s="304"/>
      <c r="O23" s="304"/>
      <c r="P23" s="304"/>
      <c r="Q23" s="304"/>
      <c r="R23" s="304"/>
      <c r="S23" s="304"/>
      <c r="U23" s="304"/>
    </row>
    <row r="24" spans="1:22" ht="20.100000000000001" customHeight="1">
      <c r="A24" s="196" t="s">
        <v>3555</v>
      </c>
      <c r="B24" s="197">
        <f>60/(2*PI())*SQRT(PI()/64*E_Nmm2*10^6*(B36/1000)^4/(1/3*B19/1000+1/2*(DBI_REG/1000+ICOM/1000))/(Impeller_W*(ICOM/1000+DBI_REG/1000)^2))</f>
        <v>0</v>
      </c>
      <c r="C24" s="197" t="s">
        <v>186</v>
      </c>
      <c r="D24" s="197"/>
      <c r="E24" s="197"/>
      <c r="F24" s="201">
        <v>3093.2249325295043</v>
      </c>
      <c r="G24" s="1422"/>
      <c r="J24" s="304"/>
      <c r="K24" s="304"/>
      <c r="L24" s="304"/>
      <c r="M24" s="304"/>
      <c r="N24" s="304"/>
      <c r="O24" s="304"/>
      <c r="P24" s="304"/>
      <c r="Q24" s="304"/>
      <c r="R24" s="304"/>
      <c r="S24" s="304"/>
      <c r="U24" s="304"/>
    </row>
    <row r="25" spans="1:22" ht="20.100000000000001" customHeight="1" thickBot="1">
      <c r="A25" s="398"/>
      <c r="B25" s="399"/>
      <c r="C25" s="399"/>
      <c r="D25" s="399"/>
      <c r="E25" s="399"/>
      <c r="F25" s="399"/>
      <c r="G25" s="400"/>
      <c r="K25" s="304"/>
      <c r="L25" s="304"/>
      <c r="M25" s="304"/>
      <c r="O25" s="304"/>
      <c r="P25" s="304"/>
      <c r="Q25" s="305"/>
      <c r="S25" s="304"/>
      <c r="T25" s="304"/>
      <c r="U25" s="304"/>
    </row>
    <row r="26" spans="1:22" ht="20.100000000000001" customHeight="1">
      <c r="A26" s="402" t="s">
        <v>1141</v>
      </c>
      <c r="B26" s="403"/>
      <c r="C26" s="403"/>
      <c r="D26" s="403"/>
      <c r="E26" s="403"/>
      <c r="F26" s="1895" t="b">
        <f>IF(ISERROR(SUM($B$27:$B$33)=0),TRUE,OR(SUM($B$27:$B$33)=0,$B$29&lt;Fan_Max_rpm,DRIVE_Type&lt;&gt;"Coupling"))</f>
        <v>1</v>
      </c>
      <c r="G26" s="404"/>
      <c r="L26" s="304"/>
      <c r="M26" s="304"/>
      <c r="N26" s="304"/>
      <c r="O26" s="304"/>
      <c r="P26" s="304"/>
      <c r="Q26" s="304"/>
      <c r="S26" s="304"/>
      <c r="T26" s="304"/>
      <c r="U26" s="304"/>
    </row>
    <row r="27" spans="1:22" ht="20.100000000000001" customHeight="1">
      <c r="A27" s="199" t="s">
        <v>288</v>
      </c>
      <c r="B27" s="288"/>
      <c r="C27" s="289"/>
      <c r="D27" s="201" t="s">
        <v>2650</v>
      </c>
      <c r="E27" s="197">
        <v>5</v>
      </c>
      <c r="F27" s="197"/>
      <c r="G27" s="198"/>
      <c r="J27" s="304"/>
      <c r="K27" s="304"/>
      <c r="L27" s="304"/>
      <c r="M27" s="304"/>
      <c r="O27" s="304"/>
      <c r="P27" s="304"/>
      <c r="Q27" s="303" t="e">
        <f>B37</f>
        <v>#N/A</v>
      </c>
      <c r="R27" s="304"/>
      <c r="S27" s="303" t="s">
        <v>110</v>
      </c>
      <c r="T27" s="304"/>
      <c r="U27" s="304"/>
    </row>
    <row r="28" spans="1:22" ht="20.100000000000001" customHeight="1">
      <c r="A28" s="196" t="s">
        <v>123</v>
      </c>
      <c r="B28" s="201"/>
      <c r="C28" s="200" t="s">
        <v>232</v>
      </c>
      <c r="D28" s="197"/>
      <c r="E28" s="197"/>
      <c r="F28" s="197"/>
      <c r="G28" s="198"/>
      <c r="J28" s="304"/>
      <c r="K28" s="305"/>
      <c r="L28" s="304"/>
      <c r="M28" s="304"/>
      <c r="N28" s="304"/>
      <c r="O28" s="304"/>
      <c r="P28" s="303"/>
      <c r="R28" s="304"/>
      <c r="S28" s="304"/>
      <c r="T28" s="303"/>
    </row>
    <row r="29" spans="1:22" ht="20.100000000000001" customHeight="1">
      <c r="A29" s="196" t="s">
        <v>122</v>
      </c>
      <c r="B29" s="201"/>
      <c r="C29" s="200" t="s">
        <v>134</v>
      </c>
      <c r="D29" s="197"/>
      <c r="E29" s="197"/>
      <c r="F29" s="197"/>
      <c r="G29" s="198"/>
      <c r="J29" s="304"/>
      <c r="L29" s="304"/>
      <c r="M29" s="304"/>
      <c r="N29" s="304"/>
      <c r="O29" s="304"/>
      <c r="P29" s="304"/>
      <c r="Q29" s="304"/>
      <c r="R29" s="304">
        <f>B21</f>
        <v>0</v>
      </c>
      <c r="S29" s="304"/>
      <c r="T29" s="303" t="s">
        <v>112</v>
      </c>
      <c r="U29" s="304"/>
    </row>
    <row r="30" spans="1:22" ht="20.100000000000001" customHeight="1">
      <c r="A30" s="196" t="s">
        <v>121</v>
      </c>
      <c r="B30" s="201"/>
      <c r="C30" s="200" t="s">
        <v>136</v>
      </c>
      <c r="D30" s="197"/>
      <c r="E30" s="197"/>
      <c r="F30" s="197"/>
      <c r="G30" s="198"/>
      <c r="J30" s="304">
        <f>B31</f>
        <v>0</v>
      </c>
      <c r="K30" s="304"/>
      <c r="L30" s="304"/>
      <c r="M30" s="304"/>
      <c r="N30" s="304">
        <f>B19</f>
        <v>0</v>
      </c>
      <c r="O30" s="304"/>
      <c r="P30" s="304"/>
      <c r="Q30" s="304"/>
      <c r="S30" s="304"/>
      <c r="T30" s="853">
        <f>D45</f>
        <v>66.269330410535758</v>
      </c>
      <c r="U30" s="304" t="e">
        <f>F45</f>
        <v>#N/A</v>
      </c>
    </row>
    <row r="31" spans="1:22" ht="20.100000000000001" customHeight="1">
      <c r="A31" s="290" t="s">
        <v>1275</v>
      </c>
      <c r="B31" s="197"/>
      <c r="C31" s="197" t="s">
        <v>136</v>
      </c>
      <c r="D31" s="197"/>
      <c r="E31" s="197"/>
      <c r="F31" s="197"/>
      <c r="G31" s="198"/>
      <c r="L31" s="304"/>
      <c r="M31" s="304"/>
      <c r="N31" s="304"/>
      <c r="O31" s="304"/>
      <c r="P31" s="304"/>
      <c r="Q31" s="304"/>
      <c r="R31" s="303">
        <f>B20</f>
        <v>0</v>
      </c>
      <c r="S31" s="304"/>
      <c r="T31" s="304"/>
    </row>
    <row r="32" spans="1:22" ht="20.100000000000001" customHeight="1">
      <c r="A32" s="290" t="s">
        <v>1757</v>
      </c>
      <c r="B32" s="197"/>
      <c r="C32" s="200" t="s">
        <v>136</v>
      </c>
      <c r="D32" s="197" t="s">
        <v>2650</v>
      </c>
      <c r="E32" s="197">
        <v>12</v>
      </c>
      <c r="F32" s="197"/>
      <c r="G32" s="198"/>
      <c r="H32" s="194"/>
      <c r="I32" s="194"/>
      <c r="J32" s="303"/>
      <c r="K32" s="303"/>
      <c r="L32" s="303"/>
      <c r="M32" s="303"/>
      <c r="N32" s="303"/>
      <c r="O32" s="303"/>
      <c r="P32" s="303"/>
      <c r="Q32" s="303"/>
      <c r="R32" s="303"/>
      <c r="S32" s="303"/>
      <c r="U32" s="305">
        <f>B36</f>
        <v>0</v>
      </c>
    </row>
    <row r="33" spans="1:22" ht="20.100000000000001" customHeight="1">
      <c r="A33" s="290" t="s">
        <v>2517</v>
      </c>
      <c r="B33" s="197"/>
      <c r="C33" s="200" t="s">
        <v>136</v>
      </c>
      <c r="D33" s="197"/>
      <c r="E33" s="197"/>
      <c r="F33" s="197"/>
      <c r="G33" s="198"/>
      <c r="H33" s="194"/>
      <c r="I33" s="194"/>
      <c r="J33" s="303"/>
      <c r="K33" s="303"/>
      <c r="L33" s="303"/>
      <c r="M33" s="303"/>
      <c r="N33" s="303"/>
      <c r="O33" s="303"/>
      <c r="P33" s="303"/>
      <c r="Q33" s="303"/>
      <c r="R33" s="303"/>
      <c r="S33" s="303"/>
      <c r="U33" s="303"/>
    </row>
    <row r="34" spans="1:22" ht="20.100000000000001" customHeight="1" thickBot="1">
      <c r="A34" s="202"/>
      <c r="B34" s="203"/>
      <c r="C34" s="203"/>
      <c r="D34" s="203"/>
      <c r="E34" s="203"/>
      <c r="F34" s="203"/>
      <c r="G34" s="204"/>
      <c r="J34" s="304"/>
      <c r="K34" s="304"/>
      <c r="L34" s="304"/>
      <c r="M34" s="304"/>
      <c r="P34" s="304"/>
      <c r="Q34" s="304"/>
      <c r="R34" s="304">
        <f>DRa6H_REG</f>
        <v>0</v>
      </c>
      <c r="S34" s="304"/>
    </row>
    <row r="35" spans="1:22" ht="20.100000000000001" customHeight="1">
      <c r="A35" s="279" t="s">
        <v>1848</v>
      </c>
      <c r="B35" s="280"/>
      <c r="C35" s="280"/>
      <c r="D35" s="280"/>
      <c r="E35" s="280"/>
      <c r="F35" s="1896" t="b">
        <f>IF(ISERROR(SUM($B$36:$B$43)=0),TRUE,OR($B$37=0,SUM($B$36:$B$43)=0,$G$36&lt;1.25,DRIVE_Type&lt;&gt;"Coupling"))</f>
        <v>1</v>
      </c>
      <c r="G35" s="281"/>
      <c r="J35" s="303">
        <f>B32</f>
        <v>0</v>
      </c>
      <c r="K35" s="305">
        <f>B18</f>
        <v>0</v>
      </c>
      <c r="Q35" s="301">
        <f>B16</f>
        <v>0</v>
      </c>
      <c r="U35" s="305">
        <f>ICOM</f>
        <v>84.359573999729562</v>
      </c>
    </row>
    <row r="36" spans="1:22" ht="20.100000000000001" customHeight="1">
      <c r="A36" s="199" t="s">
        <v>50</v>
      </c>
      <c r="B36" s="291"/>
      <c r="C36" s="289" t="s">
        <v>136</v>
      </c>
      <c r="D36" s="288" t="s">
        <v>304</v>
      </c>
      <c r="E36" s="846"/>
      <c r="F36" s="288" t="s">
        <v>224</v>
      </c>
      <c r="G36" s="847"/>
      <c r="J36" s="304"/>
      <c r="K36" s="304"/>
      <c r="L36" s="304"/>
      <c r="M36" s="304"/>
      <c r="N36" s="304"/>
      <c r="O36" s="304"/>
      <c r="P36" s="304"/>
      <c r="Q36" s="304"/>
      <c r="R36" s="304"/>
      <c r="S36" s="304"/>
      <c r="U36" s="304"/>
      <c r="V36" s="304"/>
    </row>
    <row r="37" spans="1:22" ht="20.100000000000001" customHeight="1">
      <c r="A37" s="196" t="s">
        <v>49</v>
      </c>
      <c r="B37" s="197" t="e">
        <f>MAX(DCRa5_REG-C_Gap_REG/2+DBndRa5_REG+DBB_REG+DBI_REG-(Hub_C_tL_REG-Hub_C_iHe-DIHo_C_REG),0)</f>
        <v>#N/A</v>
      </c>
      <c r="C37" s="200" t="s">
        <v>136</v>
      </c>
      <c r="D37" s="197"/>
      <c r="E37" s="197"/>
      <c r="F37" s="197"/>
      <c r="G37" s="198"/>
      <c r="J37" s="304"/>
      <c r="K37" s="304"/>
      <c r="L37" s="304"/>
      <c r="M37" s="304"/>
      <c r="N37" s="304"/>
      <c r="O37" s="304">
        <f>B22</f>
        <v>0</v>
      </c>
      <c r="P37" s="304"/>
      <c r="Q37" s="304"/>
      <c r="R37" s="304"/>
      <c r="S37" s="304"/>
      <c r="T37" s="305" t="e">
        <f ca="1">DIHo</f>
        <v>#REF!</v>
      </c>
      <c r="U37" s="304"/>
    </row>
    <row r="38" spans="1:22" ht="20.100000000000001" customHeight="1">
      <c r="A38" s="196" t="s">
        <v>2754</v>
      </c>
      <c r="B38" s="201" t="e">
        <f>VLOOKUP(A38,Axle_Construction,MATCH($B36,'Axle &amp; Accessories Specs'!$A$30:$AJ$30,0),FALSE)</f>
        <v>#N/A</v>
      </c>
      <c r="C38" s="200"/>
      <c r="D38" s="201"/>
      <c r="E38" s="197"/>
      <c r="F38" s="197"/>
      <c r="G38" s="198"/>
      <c r="J38" s="304"/>
      <c r="K38" s="304"/>
      <c r="L38" s="304"/>
      <c r="M38" s="304"/>
      <c r="N38" s="304"/>
      <c r="O38" s="304"/>
      <c r="P38" s="304"/>
      <c r="Q38" s="304"/>
      <c r="R38" s="304"/>
      <c r="S38" s="304"/>
      <c r="T38" s="304"/>
      <c r="U38" s="304"/>
    </row>
    <row r="39" spans="1:22" ht="20.100000000000001" customHeight="1">
      <c r="A39" s="1421"/>
      <c r="B39" s="201" t="s">
        <v>2753</v>
      </c>
      <c r="C39" s="201" t="s">
        <v>2582</v>
      </c>
      <c r="D39" s="201" t="s">
        <v>117</v>
      </c>
      <c r="E39" s="201" t="s">
        <v>113</v>
      </c>
      <c r="F39" s="201" t="s">
        <v>2587</v>
      </c>
      <c r="G39" s="1422" t="s">
        <v>2588</v>
      </c>
      <c r="J39" s="304"/>
      <c r="K39" s="304"/>
      <c r="L39" s="304"/>
      <c r="M39" s="304"/>
      <c r="N39" s="304"/>
      <c r="O39" s="304"/>
      <c r="P39" s="304"/>
      <c r="Q39" s="304"/>
      <c r="R39" s="304"/>
      <c r="S39" s="304"/>
      <c r="T39" s="304"/>
      <c r="U39" s="304"/>
      <c r="V39" s="304"/>
    </row>
    <row r="40" spans="1:22" ht="20.100000000000001" customHeight="1">
      <c r="A40" s="196"/>
      <c r="B40" s="197" t="e">
        <f>VLOOKUP(B39,Axle_Construction,MATCH($B36,'Axle &amp; Accessories Specs'!$A$30:$AJ$30,0),FALSE)</f>
        <v>#N/A</v>
      </c>
      <c r="C40" s="197" t="e">
        <f>VLOOKUP(C39,Axle_Construction,MATCH($B36,'Axle &amp; Accessories Specs'!$A$30:$AJ$30,0),FALSE)</f>
        <v>#N/A</v>
      </c>
      <c r="D40" s="197" t="e">
        <f>VLOOKUP(D39,Axle_Construction,MATCH($B36,'Axle &amp; Accessories Specs'!$A$30:$AJ$30,0),FALSE)</f>
        <v>#N/A</v>
      </c>
      <c r="E40" s="201" t="e">
        <f>VLOOKUP(E39,Axle_Construction,MATCH($B36,'Axle &amp; Accessories Specs'!$A$30:$AJ$30,0),FALSE)</f>
        <v>#N/A</v>
      </c>
      <c r="F40" s="197">
        <f>IF($B30&gt;=$B36,$B36,$B30-F41)</f>
        <v>0</v>
      </c>
      <c r="G40" s="198">
        <f>DCRa5_REG</f>
        <v>0</v>
      </c>
      <c r="J40" s="301">
        <f>G40</f>
        <v>0</v>
      </c>
      <c r="K40" s="304"/>
      <c r="L40" s="304"/>
      <c r="M40" s="304"/>
      <c r="N40" s="304"/>
      <c r="O40" s="304"/>
      <c r="P40" s="304"/>
      <c r="Q40" s="304"/>
      <c r="R40" s="304"/>
      <c r="S40" s="304"/>
      <c r="T40" s="304"/>
      <c r="U40" s="304"/>
      <c r="V40" s="304"/>
    </row>
    <row r="41" spans="1:22" ht="20.100000000000001" customHeight="1">
      <c r="A41" s="1421"/>
      <c r="B41" s="197"/>
      <c r="C41" s="200"/>
      <c r="D41" s="201"/>
      <c r="E41" s="201" t="s">
        <v>2757</v>
      </c>
      <c r="F41" s="197">
        <v>5</v>
      </c>
      <c r="G41" s="198"/>
      <c r="J41" s="305">
        <f>F40</f>
        <v>0</v>
      </c>
      <c r="K41" s="304"/>
      <c r="L41" s="304"/>
      <c r="M41" s="304"/>
      <c r="N41" s="304"/>
      <c r="O41" s="304"/>
      <c r="P41" s="304"/>
      <c r="Q41" s="304"/>
      <c r="R41" s="304"/>
      <c r="S41" s="304"/>
      <c r="T41" s="304"/>
      <c r="U41" s="304"/>
      <c r="V41" s="301" t="e">
        <f>E40</f>
        <v>#N/A</v>
      </c>
    </row>
    <row r="42" spans="1:22" ht="20.100000000000001" customHeight="1">
      <c r="A42" s="1421"/>
      <c r="B42" s="197"/>
      <c r="C42" s="200"/>
      <c r="D42" s="201"/>
      <c r="E42" s="197"/>
      <c r="F42" s="197"/>
      <c r="G42" s="198"/>
      <c r="J42" s="304"/>
      <c r="K42" s="304"/>
      <c r="L42" s="304"/>
      <c r="M42" s="304"/>
      <c r="O42" s="304"/>
      <c r="P42" s="304"/>
      <c r="Q42" s="304"/>
      <c r="R42" s="304"/>
      <c r="T42" s="304" t="e">
        <f>B40</f>
        <v>#N/A</v>
      </c>
      <c r="U42" s="305" t="e">
        <f>D40</f>
        <v>#N/A</v>
      </c>
    </row>
    <row r="43" spans="1:22" ht="20.100000000000001" customHeight="1">
      <c r="A43" s="196" t="s">
        <v>2750</v>
      </c>
      <c r="B43" s="201" t="e">
        <f>B38</f>
        <v>#N/A</v>
      </c>
      <c r="C43" s="201" t="s">
        <v>2806</v>
      </c>
      <c r="D43" s="1469" t="e">
        <f>PI()/4*((Hub_C_iD_REG/1000)^2*Hub_C_iHe/1000+(Hub_C_eD_REG/1000)^2*(Hub_C_tL_REG-Hub_C_iHe)/1000-(B36/1000)^2*Hub_C_tL_REG/1000)*steel_density</f>
        <v>#N/A</v>
      </c>
      <c r="E43" s="197"/>
      <c r="F43" s="197"/>
      <c r="G43" s="198"/>
      <c r="M43" s="301" t="e">
        <f>B37</f>
        <v>#N/A</v>
      </c>
    </row>
    <row r="44" spans="1:22" ht="20.100000000000001" customHeight="1">
      <c r="A44" s="1421"/>
      <c r="B44" s="201" t="s">
        <v>2583</v>
      </c>
      <c r="C44" s="201" t="s">
        <v>2753</v>
      </c>
      <c r="D44" s="201" t="s">
        <v>1857</v>
      </c>
      <c r="E44" s="201" t="s">
        <v>1859</v>
      </c>
      <c r="F44" s="201" t="s">
        <v>1858</v>
      </c>
      <c r="G44" s="1422" t="s">
        <v>2810</v>
      </c>
    </row>
    <row r="45" spans="1:22" ht="20.100000000000001" customHeight="1">
      <c r="A45" s="1421"/>
      <c r="B45" s="197" t="e">
        <f>VLOOKUP(B44,Axle_Construction,MATCH($B36,'Axle &amp; Accessories Specs'!$A$30:$AJ$30,0),FALSE)</f>
        <v>#N/A</v>
      </c>
      <c r="C45" s="197" t="e">
        <f>B40</f>
        <v>#N/A</v>
      </c>
      <c r="D45" s="201">
        <f>Hub_C_iHe</f>
        <v>66.269330410535758</v>
      </c>
      <c r="E45" s="201">
        <f>Hub_C_iMult*$B36</f>
        <v>0</v>
      </c>
      <c r="F45" s="201" t="e">
        <f>IF($B40=0,$D40,$B40)+$C40</f>
        <v>#N/A</v>
      </c>
      <c r="G45" s="1422">
        <f>Hub_C_eMult*$B36</f>
        <v>0</v>
      </c>
    </row>
    <row r="46" spans="1:22" ht="20.100000000000001" customHeight="1">
      <c r="A46" s="1421"/>
      <c r="B46" s="197"/>
      <c r="C46" s="197"/>
      <c r="D46" s="197"/>
      <c r="E46" s="197" t="s">
        <v>3543</v>
      </c>
      <c r="F46" s="301" t="e">
        <f>(Hub_C_tL_REG-Hub_C_iHe-DIHo_C_REG)</f>
        <v>#N/A</v>
      </c>
      <c r="G46" s="198"/>
    </row>
    <row r="47" spans="1:22" ht="20.100000000000001" customHeight="1">
      <c r="A47" s="836" t="s">
        <v>1850</v>
      </c>
      <c r="B47" s="166" t="e">
        <f>IF('Select Drive &amp; Motor'!$C$40&lt;&gt;0,'Select Drive &amp; Motor'!$C$40,House_P_T+VLOOKUP(Seal_Cooling_Selection,SealThickness,MATCH($B36,Seal_Axle_Diameter,0)-1,FALSE)+VLOOKUP(Seal_Cooling_Selection,SealThickness,MATCH($B36,Seal_Axle_Diameter,0),FALSE))</f>
        <v>#N/A</v>
      </c>
      <c r="C47" s="197" t="s">
        <v>136</v>
      </c>
      <c r="D47" s="197"/>
      <c r="E47" s="197"/>
      <c r="F47" s="166"/>
      <c r="G47" s="198"/>
    </row>
    <row r="48" spans="1:22" ht="20.100000000000001" customHeight="1" thickBot="1">
      <c r="A48" s="202"/>
      <c r="B48" s="203"/>
      <c r="C48" s="203"/>
      <c r="D48" s="203"/>
      <c r="E48" s="203"/>
      <c r="F48" s="203"/>
      <c r="G48" s="204"/>
      <c r="J48" s="302"/>
      <c r="M48" s="302">
        <f>MATCH(M49,'Vibration Calculation'!$B$21:$Z$21,0)</f>
        <v>16</v>
      </c>
      <c r="N48" s="302">
        <f>MATCH(N49,'Vibration Calculation'!$B$21:$Z$21,0)</f>
        <v>17</v>
      </c>
      <c r="O48" s="302">
        <f>MATCH(O49,'Vibration Calculation'!$B$21:$Z$21,0)</f>
        <v>18</v>
      </c>
      <c r="P48" s="302">
        <f>MATCH(P49,'Vibration Calculation'!$B$21:$Z$21,0)</f>
        <v>19</v>
      </c>
      <c r="Q48" s="302">
        <f>MATCH(Q49,'Vibration Calculation'!$B$21:$Z$21,0)</f>
        <v>20</v>
      </c>
      <c r="R48" s="302">
        <f>MATCH(R49,'Vibration Calculation'!$B$21:$Z$21,0)</f>
        <v>21</v>
      </c>
      <c r="S48" s="302">
        <f>MATCH(S49,'Vibration Calculation'!$B$21:$Z$21,0)</f>
        <v>22</v>
      </c>
      <c r="T48" s="302">
        <f>MATCH(T49,'Vibration Calculation'!$B$21:$Z$21,0)</f>
        <v>23</v>
      </c>
      <c r="U48" s="302">
        <f>MATCH(U49,'Vibration Calculation'!$B$21:$Z$21,0)</f>
        <v>24</v>
      </c>
    </row>
    <row r="49" spans="1:24" ht="20.100000000000001" customHeight="1">
      <c r="A49" s="745" t="s">
        <v>128</v>
      </c>
      <c r="B49" s="3629" t="s">
        <v>193</v>
      </c>
      <c r="C49" s="3629"/>
      <c r="D49" s="3629" t="s">
        <v>194</v>
      </c>
      <c r="E49" s="3630"/>
      <c r="F49" s="3619"/>
      <c r="G49" s="3620"/>
      <c r="J49" s="302"/>
      <c r="M49" s="306" t="s">
        <v>216</v>
      </c>
      <c r="N49" s="306" t="s">
        <v>219</v>
      </c>
      <c r="O49" s="306" t="s">
        <v>218</v>
      </c>
      <c r="P49" s="307" t="s">
        <v>206</v>
      </c>
      <c r="Q49" s="306" t="s">
        <v>217</v>
      </c>
      <c r="R49" s="306" t="s">
        <v>220</v>
      </c>
      <c r="S49" s="307" t="s">
        <v>207</v>
      </c>
      <c r="T49" s="308" t="s">
        <v>208</v>
      </c>
      <c r="U49" s="308" t="s">
        <v>209</v>
      </c>
    </row>
    <row r="50" spans="1:24" ht="20.100000000000001" customHeight="1">
      <c r="A50" s="199" t="s">
        <v>185</v>
      </c>
      <c r="B50" s="1948" t="e">
        <f ca="1">'Vibration Calculation'!$B$6</f>
        <v>#REF!</v>
      </c>
      <c r="C50" s="1949" t="e">
        <f ca="1">"Vib. No."&amp;$J50-1</f>
        <v>#REF!</v>
      </c>
      <c r="D50" s="1948" t="e">
        <f ca="1">'Vibration Calculation'!$D$6</f>
        <v>#REF!</v>
      </c>
      <c r="E50" s="1949" t="e">
        <f ca="1">"Vib. No."&amp;$K50-1</f>
        <v>#REF!</v>
      </c>
      <c r="F50" s="1947" t="e">
        <f ca="1">$B$50</f>
        <v>#REF!</v>
      </c>
      <c r="G50" s="2002" t="e">
        <f ca="1">"Vib. No."&amp;MATCH($F50,D_Name,0)-1</f>
        <v>#REF!</v>
      </c>
      <c r="J50" s="309" t="e">
        <f ca="1">'Vibration Calculation'!$H$6</f>
        <v>#REF!</v>
      </c>
      <c r="K50" s="309" t="e">
        <f ca="1">'Vibration Calculation'!$I$6</f>
        <v>#REF!</v>
      </c>
      <c r="M50" s="309" t="e">
        <f ca="1">INDEX('Vibration Calculation'!$B$21:$Y$86,$J50,M48)</f>
        <v>#REF!</v>
      </c>
      <c r="N50" s="309" t="e">
        <f ca="1">INDEX('Vibration Calculation'!$B$21:$Y$86,$J50,N48)</f>
        <v>#REF!</v>
      </c>
      <c r="O50" s="309" t="e">
        <f ca="1">INDEX('Vibration Calculation'!$B$21:$Y$86,$J50,O48)</f>
        <v>#REF!</v>
      </c>
      <c r="P50" s="309" t="e">
        <f ca="1">INDEX('Vibration Calculation'!$B$21:$Y$86,$J50,P48)</f>
        <v>#REF!</v>
      </c>
      <c r="Q50" s="309" t="e">
        <f ca="1">INDEX('Vibration Calculation'!$B$21:$Y$86,$J50,Q48)</f>
        <v>#REF!</v>
      </c>
      <c r="R50" s="309" t="e">
        <f ca="1">INDEX('Vibration Calculation'!$B$21:$Y$86,$J50,R48)</f>
        <v>#REF!</v>
      </c>
      <c r="S50" s="309" t="e">
        <f ca="1">INDEX('Vibration Calculation'!$B$21:$Y$86,$J50,S48)</f>
        <v>#REF!</v>
      </c>
      <c r="T50" s="309" t="e">
        <f ca="1">INDEX('Vibration Calculation'!$B$21:$Y$86,$J50,T48)</f>
        <v>#REF!</v>
      </c>
      <c r="U50" s="309" t="e">
        <f ca="1">INDEX('Vibration Calculation'!$B$21:$Y$86,$J50,U48)</f>
        <v>#REF!</v>
      </c>
      <c r="W50" s="1947" t="e">
        <f ca="1">$B$50</f>
        <v>#REF!</v>
      </c>
      <c r="X50" s="2002" t="e">
        <f ca="1">"Vib. No."&amp;MATCH($F50,D_Name,0)-1</f>
        <v>#REF!</v>
      </c>
    </row>
    <row r="51" spans="1:24" ht="20.100000000000001" customHeight="1">
      <c r="A51" s="196"/>
      <c r="B51" s="1835" t="s">
        <v>199</v>
      </c>
      <c r="C51" s="230" t="s">
        <v>200</v>
      </c>
      <c r="D51" s="1835" t="s">
        <v>199</v>
      </c>
      <c r="E51" s="230" t="s">
        <v>200</v>
      </c>
      <c r="F51" s="1837" t="s">
        <v>199</v>
      </c>
      <c r="G51" s="1836" t="s">
        <v>200</v>
      </c>
      <c r="W51" s="1837" t="s">
        <v>199</v>
      </c>
      <c r="X51" s="1836" t="s">
        <v>200</v>
      </c>
    </row>
    <row r="52" spans="1:24" ht="20.100000000000001" customHeight="1">
      <c r="A52" s="196" t="s">
        <v>129</v>
      </c>
      <c r="B52" s="233" t="e">
        <f ca="1">'Vibration Calculation'!B8</f>
        <v>#REF!</v>
      </c>
      <c r="C52" s="201" t="e">
        <f ca="1">'Vibration Calculation'!C8</f>
        <v>#REF!</v>
      </c>
      <c r="D52" s="233" t="e">
        <f ca="1">'Vibration Calculation'!D8</f>
        <v>#REF!</v>
      </c>
      <c r="E52" s="201" t="e">
        <f ca="1">'Vibration Calculation'!E8</f>
        <v>#REF!</v>
      </c>
      <c r="F52" s="1162" t="e">
        <f ca="1">$B$52</f>
        <v>#REF!</v>
      </c>
      <c r="G52" s="1163" t="e">
        <f ca="1">$C$52</f>
        <v>#REF!</v>
      </c>
      <c r="W52" s="1162" t="e">
        <f ca="1">$B$52</f>
        <v>#REF!</v>
      </c>
      <c r="X52" s="1163" t="e">
        <f ca="1">$C$52</f>
        <v>#REF!</v>
      </c>
    </row>
    <row r="53" spans="1:24" ht="20.100000000000001" customHeight="1">
      <c r="A53" s="196" t="s">
        <v>1276</v>
      </c>
      <c r="B53" s="233" t="e">
        <f ca="1">'Vibration Calculation'!B9</f>
        <v>#REF!</v>
      </c>
      <c r="C53" s="201" t="e">
        <f ca="1">'Vibration Calculation'!C9</f>
        <v>#REF!</v>
      </c>
      <c r="D53" s="233" t="e">
        <f ca="1">'Vibration Calculation'!D9</f>
        <v>#REF!</v>
      </c>
      <c r="E53" s="201" t="e">
        <f ca="1">'Vibration Calculation'!E9</f>
        <v>#REF!</v>
      </c>
      <c r="F53" s="3621" t="e">
        <f ca="1">System_weight_safe/F52</f>
        <v>#REF!</v>
      </c>
      <c r="G53" s="3622"/>
    </row>
    <row r="54" spans="1:24" ht="20.100000000000001" customHeight="1">
      <c r="A54" s="196" t="s">
        <v>179</v>
      </c>
      <c r="B54" s="234" t="e">
        <f ca="1">'Vibration Calculation'!B10</f>
        <v>#REF!</v>
      </c>
      <c r="C54" s="231" t="e">
        <f ca="1">'Vibration Calculation'!C10</f>
        <v>#REF!</v>
      </c>
      <c r="D54" s="234" t="e">
        <f ca="1">'Vibration Calculation'!D10</f>
        <v>#REF!</v>
      </c>
      <c r="E54" s="231" t="e">
        <f ca="1">'Vibration Calculation'!E10</f>
        <v>#REF!</v>
      </c>
      <c r="F54" s="3621"/>
      <c r="G54" s="3622"/>
      <c r="J54" s="194"/>
      <c r="K54" s="194"/>
      <c r="L54" s="194"/>
      <c r="M54" s="194"/>
      <c r="N54" s="194"/>
      <c r="O54" s="194"/>
      <c r="P54" s="194"/>
      <c r="Q54" s="194"/>
      <c r="R54" s="194"/>
      <c r="S54" s="194"/>
      <c r="T54" s="194"/>
      <c r="U54" s="194"/>
      <c r="V54" s="705"/>
    </row>
    <row r="55" spans="1:24" ht="20.100000000000001" customHeight="1" thickBot="1">
      <c r="A55" s="742" t="s">
        <v>180</v>
      </c>
      <c r="B55" s="743" t="e">
        <f ca="1">'Vibration Calculation'!B11</f>
        <v>#REF!</v>
      </c>
      <c r="C55" s="744" t="e">
        <f ca="1">'Vibration Calculation'!C11</f>
        <v>#REF!</v>
      </c>
      <c r="D55" s="743" t="e">
        <f ca="1">'Vibration Calculation'!D11</f>
        <v>#REF!</v>
      </c>
      <c r="E55" s="744" t="e">
        <f ca="1">'Vibration Calculation'!E11</f>
        <v>#REF!</v>
      </c>
      <c r="F55" s="3623"/>
      <c r="G55" s="3624"/>
    </row>
    <row r="56" spans="1:24" ht="20.100000000000001" customHeight="1">
      <c r="A56" s="270"/>
      <c r="B56" s="270"/>
      <c r="C56" s="270"/>
      <c r="D56" s="270"/>
      <c r="E56" s="270"/>
      <c r="F56" s="270"/>
      <c r="G56" s="270"/>
    </row>
    <row r="57" spans="1:24" ht="20.100000000000001" customHeight="1">
      <c r="A57" s="765"/>
      <c r="B57" s="765"/>
      <c r="C57" s="765"/>
      <c r="D57" s="765"/>
      <c r="E57" s="765"/>
      <c r="F57" s="765"/>
      <c r="G57" s="765"/>
      <c r="J57" s="292"/>
      <c r="K57" s="292"/>
      <c r="L57" s="292"/>
      <c r="M57" s="292"/>
      <c r="N57" s="292"/>
      <c r="O57" s="292"/>
      <c r="P57" s="292"/>
      <c r="Q57" s="292"/>
      <c r="R57" s="292"/>
      <c r="S57" s="292"/>
      <c r="T57" s="292"/>
      <c r="U57" s="292"/>
      <c r="V57" s="292"/>
    </row>
    <row r="58" spans="1:24" ht="20.100000000000001" customHeight="1">
      <c r="A58" s="197"/>
      <c r="B58" s="197"/>
      <c r="C58" s="197"/>
      <c r="D58" s="197"/>
      <c r="E58" s="197"/>
      <c r="F58" s="197"/>
      <c r="G58" s="197"/>
      <c r="S58" s="303"/>
    </row>
    <row r="59" spans="1:24" ht="20.100000000000001" customHeight="1" thickBot="1">
      <c r="A59" s="203"/>
      <c r="B59" s="203"/>
      <c r="C59" s="203"/>
      <c r="D59" s="203"/>
      <c r="E59" s="203"/>
      <c r="F59" s="203"/>
      <c r="G59" s="203"/>
    </row>
    <row r="60" spans="1:24" ht="20.100000000000001" customHeight="1" thickBot="1">
      <c r="A60" s="3631" t="s">
        <v>2759</v>
      </c>
      <c r="B60" s="3632"/>
      <c r="C60" s="3632"/>
      <c r="D60" s="3632"/>
      <c r="E60" s="3632"/>
      <c r="F60" s="3632"/>
      <c r="G60" s="3633"/>
    </row>
    <row r="61" spans="1:24" ht="20.100000000000001" customHeight="1">
      <c r="A61" s="293" t="s">
        <v>116</v>
      </c>
      <c r="B61" s="294"/>
      <c r="C61" s="195"/>
      <c r="D61" s="295"/>
      <c r="E61" s="195"/>
      <c r="F61" s="1894" t="b">
        <f>OR(Chosen_PDN=0,IF(ISERROR(OR($B77&lt;min_Critical_B_rpm,SUM($B65:$E65)=0)),TRUE,OR($B77&lt;min_Critical_B_rpm,SUM($B65:$E65)=0)),$G89&lt;1.25,$F79,$F88,DRIVE_Type&lt;&gt;"Coupling")</f>
        <v>1</v>
      </c>
      <c r="G61" s="296"/>
    </row>
    <row r="62" spans="1:24" ht="20.100000000000001" customHeight="1">
      <c r="A62" s="282" t="s">
        <v>341</v>
      </c>
      <c r="B62" s="283" t="s">
        <v>1088</v>
      </c>
      <c r="C62" s="284"/>
      <c r="D62" s="285"/>
      <c r="E62" s="286"/>
      <c r="F62" s="286"/>
      <c r="G62" s="287"/>
    </row>
    <row r="63" spans="1:24" ht="20.100000000000001" customHeight="1">
      <c r="A63" s="196" t="s">
        <v>0</v>
      </c>
      <c r="B63" s="201"/>
      <c r="C63" s="201"/>
      <c r="D63" s="201"/>
      <c r="E63" s="201"/>
      <c r="F63" s="297"/>
      <c r="G63" s="822">
        <f>$B$63</f>
        <v>0</v>
      </c>
      <c r="W63" s="822">
        <f>$B$63</f>
        <v>0</v>
      </c>
    </row>
    <row r="64" spans="1:24" ht="20.100000000000001" customHeight="1">
      <c r="A64" s="196"/>
      <c r="B64" s="201"/>
      <c r="C64" s="201"/>
      <c r="D64" s="201"/>
      <c r="E64" s="201"/>
      <c r="F64" s="198"/>
      <c r="G64" s="823">
        <f>$B$64</f>
        <v>0</v>
      </c>
      <c r="W64" s="823">
        <f>$B$64</f>
        <v>0</v>
      </c>
    </row>
    <row r="65" spans="1:22" ht="20.100000000000001" customHeight="1">
      <c r="A65" s="196" t="s">
        <v>48</v>
      </c>
      <c r="B65" s="201"/>
      <c r="C65" s="201"/>
      <c r="D65" s="201"/>
      <c r="E65" s="201"/>
      <c r="F65" s="197" t="s">
        <v>225</v>
      </c>
      <c r="G65" s="249" t="e">
        <f>INDEX($B$63:$E$67,3,MATCH(Chosen_PDN,$B$63:$E$63,0))</f>
        <v>#N/A</v>
      </c>
    </row>
    <row r="66" spans="1:22" ht="20.100000000000001" customHeight="1">
      <c r="A66" s="196" t="s">
        <v>228</v>
      </c>
      <c r="B66" s="201"/>
      <c r="C66" s="201"/>
      <c r="D66" s="201"/>
      <c r="E66" s="201"/>
      <c r="F66" s="197" t="s">
        <v>227</v>
      </c>
      <c r="G66" s="249" t="e">
        <f>INDEX($B$63:$E$67,4,MATCH(Chosen_PDN,$B$63:$E$63,0))</f>
        <v>#N/A</v>
      </c>
    </row>
    <row r="67" spans="1:22" ht="20.100000000000001" customHeight="1" thickBot="1">
      <c r="A67" s="196" t="s">
        <v>1768</v>
      </c>
      <c r="B67" s="197"/>
      <c r="C67" s="197"/>
      <c r="D67" s="197"/>
      <c r="E67" s="197"/>
      <c r="F67" s="197" t="s">
        <v>136</v>
      </c>
      <c r="G67" s="758" t="e">
        <f>INDEX($B$63:$E$67,5,MATCH(Chosen_PDN,$B$63:$E$63,0))</f>
        <v>#N/A</v>
      </c>
    </row>
    <row r="68" spans="1:22" ht="20.100000000000001" customHeight="1">
      <c r="A68" s="196" t="s">
        <v>1748</v>
      </c>
      <c r="B68" s="201"/>
      <c r="C68" s="200" t="s">
        <v>136</v>
      </c>
      <c r="D68" s="170" t="s">
        <v>1854</v>
      </c>
      <c r="E68" s="170" t="e">
        <f>VLOOKUP(Seal_Cooling_Selection,SealThickness,MATCH($B89,Seal_Axle_Diameter,0),FALSE)</f>
        <v>#N/A</v>
      </c>
      <c r="F68" s="851" t="e">
        <f>($F98-Hub_C_iHe-Hub_P_T-DIHo_C_PDN)</f>
        <v>#N/A</v>
      </c>
      <c r="G68" s="169" t="s">
        <v>136</v>
      </c>
    </row>
    <row r="69" spans="1:22" ht="20.100000000000001" customHeight="1">
      <c r="A69" s="196" t="s">
        <v>1754</v>
      </c>
      <c r="B69" s="201"/>
      <c r="C69" s="200" t="s">
        <v>136</v>
      </c>
      <c r="D69" s="197"/>
      <c r="E69" s="197"/>
      <c r="G69" s="198"/>
    </row>
    <row r="70" spans="1:22" ht="20.100000000000001" customHeight="1">
      <c r="A70" s="196" t="s">
        <v>1755</v>
      </c>
      <c r="B70" s="201"/>
      <c r="C70" s="200" t="s">
        <v>136</v>
      </c>
      <c r="D70" s="197"/>
      <c r="E70" s="197"/>
      <c r="G70" s="198"/>
    </row>
    <row r="71" spans="1:22" ht="20.100000000000001" customHeight="1">
      <c r="A71" s="196" t="s">
        <v>1756</v>
      </c>
      <c r="C71" s="200" t="s">
        <v>136</v>
      </c>
      <c r="D71" s="197"/>
      <c r="E71" s="197"/>
      <c r="G71" s="198"/>
    </row>
    <row r="72" spans="1:22" ht="20.100000000000001" customHeight="1">
      <c r="A72" s="196" t="s">
        <v>41</v>
      </c>
      <c r="B72" s="197"/>
      <c r="C72" s="200" t="s">
        <v>136</v>
      </c>
      <c r="D72" s="197"/>
      <c r="E72" s="197"/>
      <c r="G72" s="198"/>
    </row>
    <row r="73" spans="1:22" ht="20.100000000000001" customHeight="1">
      <c r="A73" s="196" t="s">
        <v>1273</v>
      </c>
      <c r="B73" s="197"/>
      <c r="C73" s="200" t="s">
        <v>136</v>
      </c>
      <c r="D73" s="197"/>
      <c r="E73" s="201"/>
      <c r="G73" s="198"/>
    </row>
    <row r="74" spans="1:22" ht="20.100000000000001" customHeight="1">
      <c r="A74" s="196" t="s">
        <v>1274</v>
      </c>
      <c r="B74" s="197"/>
      <c r="C74" s="200" t="s">
        <v>136</v>
      </c>
      <c r="D74" s="197"/>
      <c r="E74" s="201"/>
      <c r="G74" s="198"/>
      <c r="J74" s="304"/>
      <c r="K74" s="304"/>
      <c r="L74" s="304"/>
      <c r="M74" s="304"/>
      <c r="N74" s="304"/>
      <c r="O74" s="304"/>
      <c r="P74" s="304"/>
      <c r="Q74" s="304"/>
      <c r="R74" s="304"/>
      <c r="S74" s="304"/>
      <c r="U74" s="304"/>
      <c r="V74" s="194"/>
    </row>
    <row r="75" spans="1:22" ht="20.100000000000001" customHeight="1">
      <c r="A75" s="196" t="s">
        <v>71</v>
      </c>
      <c r="B75" s="201"/>
      <c r="C75" s="200" t="s">
        <v>136</v>
      </c>
      <c r="D75" s="197"/>
      <c r="E75" s="197"/>
      <c r="G75" s="198"/>
      <c r="J75" s="304"/>
      <c r="K75" s="304"/>
      <c r="L75" s="304"/>
      <c r="M75" s="304"/>
      <c r="N75" s="303"/>
      <c r="O75" s="304"/>
      <c r="P75" s="304"/>
      <c r="Q75" s="304"/>
      <c r="R75" s="304"/>
      <c r="S75" s="304"/>
      <c r="T75" s="303"/>
    </row>
    <row r="76" spans="1:22" ht="20.100000000000001" customHeight="1">
      <c r="A76" s="199" t="s">
        <v>3556</v>
      </c>
      <c r="B76" s="288">
        <f>B77/60</f>
        <v>0</v>
      </c>
      <c r="C76" s="291" t="s">
        <v>3478</v>
      </c>
      <c r="D76" s="291"/>
      <c r="E76" s="291"/>
      <c r="F76" s="288">
        <f t="shared" ref="F76" si="1">F77/60</f>
        <v>52.884966048720322</v>
      </c>
      <c r="G76" s="2561"/>
      <c r="J76" s="304"/>
      <c r="K76" s="304"/>
      <c r="L76" s="304"/>
      <c r="M76" s="304"/>
      <c r="N76" s="304"/>
      <c r="O76" s="304"/>
      <c r="P76" s="304"/>
      <c r="Q76" s="304"/>
      <c r="R76" s="304"/>
      <c r="S76" s="304"/>
      <c r="U76" s="304"/>
    </row>
    <row r="77" spans="1:22" ht="20.100000000000001" customHeight="1">
      <c r="A77" s="196" t="s">
        <v>3555</v>
      </c>
      <c r="B77" s="197">
        <f>60/(2*PI())*SQRT(PI()/64*E_Nmm2*10^6*(B89/1000)^4/(1/3*B72/1000+1/2*(DBI_PDN/1000+ICOM/1000))/(Impeller_W*(ICOM/1000+DBI_PDN/1000)^2))</f>
        <v>0</v>
      </c>
      <c r="C77" s="197" t="s">
        <v>186</v>
      </c>
      <c r="D77" s="197"/>
      <c r="E77" s="197"/>
      <c r="F77" s="201">
        <v>3173.0979629232193</v>
      </c>
      <c r="G77" s="1422"/>
      <c r="K77" s="304"/>
      <c r="L77" s="304"/>
      <c r="M77" s="304"/>
      <c r="N77" s="304"/>
      <c r="O77" s="304"/>
      <c r="P77" s="304"/>
      <c r="Q77" s="305"/>
      <c r="S77" s="304"/>
      <c r="T77" s="304"/>
      <c r="U77" s="304"/>
    </row>
    <row r="78" spans="1:22" ht="20.100000000000001" customHeight="1" thickBot="1">
      <c r="A78" s="401"/>
      <c r="B78" s="203"/>
      <c r="C78" s="203"/>
      <c r="D78" s="203"/>
      <c r="E78" s="203"/>
      <c r="F78" s="203"/>
      <c r="G78" s="204"/>
      <c r="J78" s="304"/>
      <c r="K78" s="304"/>
      <c r="L78" s="304"/>
      <c r="M78" s="304"/>
      <c r="N78" s="303" t="e">
        <f>B90</f>
        <v>#N/A</v>
      </c>
      <c r="O78" s="304"/>
      <c r="P78" s="304"/>
      <c r="Q78" s="304"/>
      <c r="R78" s="304"/>
      <c r="S78" s="303" t="s">
        <v>110</v>
      </c>
      <c r="T78" s="304"/>
      <c r="U78" s="304"/>
    </row>
    <row r="79" spans="1:22" ht="20.100000000000001" customHeight="1">
      <c r="A79" s="298" t="s">
        <v>1141</v>
      </c>
      <c r="B79" s="299"/>
      <c r="C79" s="299"/>
      <c r="D79" s="299"/>
      <c r="E79" s="299"/>
      <c r="F79" s="1897" t="b">
        <f>IF(ISERROR(SUM($B$81:$B$86)=0),TRUE,OR(SUM($B$81:$B$86)=0,$B$82&lt;Fan_Max_rpm,DRIVE_Type&lt;&gt;"Coupling"))</f>
        <v>1</v>
      </c>
      <c r="G79" s="300"/>
      <c r="J79" s="304"/>
      <c r="K79" s="305"/>
      <c r="L79" s="304"/>
      <c r="M79" s="304"/>
      <c r="N79" s="304"/>
      <c r="O79" s="304"/>
      <c r="P79" s="303"/>
      <c r="R79" s="304"/>
      <c r="S79" s="304"/>
      <c r="T79" s="303"/>
    </row>
    <row r="80" spans="1:22" ht="20.100000000000001" customHeight="1">
      <c r="A80" s="199" t="s">
        <v>288</v>
      </c>
      <c r="B80" s="288"/>
      <c r="C80" s="289"/>
      <c r="D80" s="197" t="s">
        <v>2650</v>
      </c>
      <c r="E80" s="197">
        <v>5</v>
      </c>
      <c r="F80" s="197"/>
      <c r="G80" s="198"/>
      <c r="I80" s="304"/>
      <c r="J80" s="304"/>
      <c r="L80" s="304"/>
      <c r="M80" s="304"/>
      <c r="N80" s="304"/>
      <c r="O80" s="304"/>
      <c r="P80" s="304"/>
      <c r="Q80" s="304"/>
      <c r="R80" s="304">
        <f>B74</f>
        <v>0</v>
      </c>
      <c r="S80" s="304"/>
      <c r="T80" s="303" t="s">
        <v>112</v>
      </c>
      <c r="U80" s="304"/>
    </row>
    <row r="81" spans="1:22" ht="20.100000000000001" customHeight="1">
      <c r="A81" s="196" t="s">
        <v>123</v>
      </c>
      <c r="B81" s="201"/>
      <c r="C81" s="200" t="s">
        <v>232</v>
      </c>
      <c r="D81" s="197"/>
      <c r="E81" s="197"/>
      <c r="F81" s="197"/>
      <c r="G81" s="198"/>
      <c r="J81" s="304">
        <f>B84</f>
        <v>0</v>
      </c>
      <c r="K81" s="304"/>
      <c r="L81" s="304"/>
      <c r="M81" s="304"/>
      <c r="N81" s="304">
        <f>B72</f>
        <v>0</v>
      </c>
      <c r="O81" s="304"/>
      <c r="P81" s="304"/>
      <c r="Q81" s="304"/>
      <c r="S81" s="304"/>
      <c r="T81" s="853">
        <f>D98</f>
        <v>66.269330410535758</v>
      </c>
      <c r="U81" s="304" t="e">
        <f>F98</f>
        <v>#N/A</v>
      </c>
    </row>
    <row r="82" spans="1:22" ht="20.100000000000001" customHeight="1">
      <c r="A82" s="196" t="s">
        <v>122</v>
      </c>
      <c r="B82" s="201"/>
      <c r="C82" s="200" t="s">
        <v>134</v>
      </c>
      <c r="D82" s="197"/>
      <c r="E82" s="197"/>
      <c r="F82" s="197"/>
      <c r="G82" s="198"/>
      <c r="L82" s="304"/>
      <c r="M82" s="304"/>
      <c r="N82" s="304"/>
      <c r="O82" s="304"/>
      <c r="P82" s="304"/>
      <c r="Q82" s="304"/>
      <c r="R82" s="303">
        <f>B73</f>
        <v>0</v>
      </c>
      <c r="S82" s="304"/>
      <c r="T82" s="304"/>
    </row>
    <row r="83" spans="1:22" ht="20.100000000000001" customHeight="1">
      <c r="A83" s="196" t="s">
        <v>121</v>
      </c>
      <c r="B83" s="201"/>
      <c r="C83" s="200" t="s">
        <v>136</v>
      </c>
      <c r="D83" s="197"/>
      <c r="E83" s="197"/>
      <c r="F83" s="197"/>
      <c r="G83" s="198"/>
      <c r="J83" s="303"/>
      <c r="K83" s="303"/>
      <c r="L83" s="303"/>
      <c r="M83" s="303"/>
      <c r="N83" s="303"/>
      <c r="O83" s="303"/>
      <c r="P83" s="303"/>
      <c r="Q83" s="303"/>
      <c r="R83" s="303"/>
      <c r="S83" s="303"/>
      <c r="U83" s="305">
        <f>B89</f>
        <v>0</v>
      </c>
    </row>
    <row r="84" spans="1:22" ht="20.100000000000001" customHeight="1">
      <c r="A84" s="290" t="s">
        <v>1275</v>
      </c>
      <c r="B84" s="197"/>
      <c r="C84" s="197" t="s">
        <v>136</v>
      </c>
      <c r="D84" s="197"/>
      <c r="E84" s="197"/>
      <c r="F84" s="197"/>
      <c r="G84" s="198"/>
      <c r="J84" s="303"/>
      <c r="K84" s="303"/>
      <c r="L84" s="303"/>
      <c r="M84" s="303"/>
      <c r="N84" s="303"/>
      <c r="O84" s="303"/>
      <c r="P84" s="303"/>
      <c r="Q84" s="303"/>
      <c r="R84" s="303"/>
      <c r="S84" s="303"/>
      <c r="U84" s="303"/>
    </row>
    <row r="85" spans="1:22" ht="20.100000000000001" customHeight="1">
      <c r="A85" s="290" t="s">
        <v>1757</v>
      </c>
      <c r="B85" s="197"/>
      <c r="C85" s="200" t="s">
        <v>136</v>
      </c>
      <c r="D85" s="197" t="s">
        <v>2650</v>
      </c>
      <c r="E85" s="197">
        <v>12</v>
      </c>
      <c r="F85" s="197"/>
      <c r="G85" s="198"/>
      <c r="J85" s="304"/>
      <c r="K85" s="304"/>
      <c r="L85" s="304"/>
      <c r="M85" s="304"/>
      <c r="P85" s="304"/>
      <c r="Q85" s="304"/>
      <c r="R85" s="304">
        <f>DRa6H_PDN</f>
        <v>0</v>
      </c>
      <c r="S85" s="304"/>
      <c r="U85" s="305">
        <f>ICOM</f>
        <v>84.359573999729562</v>
      </c>
    </row>
    <row r="86" spans="1:22" ht="20.100000000000001" customHeight="1">
      <c r="A86" s="290" t="s">
        <v>2517</v>
      </c>
      <c r="B86" s="197"/>
      <c r="C86" s="200" t="s">
        <v>136</v>
      </c>
      <c r="D86" s="197"/>
      <c r="E86" s="197"/>
      <c r="F86" s="197"/>
      <c r="G86" s="198"/>
      <c r="J86" s="303">
        <f>B85</f>
        <v>0</v>
      </c>
      <c r="K86" s="305">
        <f>B71</f>
        <v>0</v>
      </c>
      <c r="Q86" s="301">
        <f>B69</f>
        <v>0</v>
      </c>
    </row>
    <row r="87" spans="1:22" ht="20.100000000000001" customHeight="1" thickBot="1">
      <c r="A87" s="202"/>
      <c r="B87" s="203"/>
      <c r="C87" s="203"/>
      <c r="D87" s="203"/>
      <c r="E87" s="203"/>
      <c r="F87" s="203"/>
      <c r="G87" s="204"/>
      <c r="J87" s="304"/>
      <c r="K87" s="304"/>
      <c r="L87" s="304"/>
      <c r="M87" s="304"/>
      <c r="N87" s="304"/>
      <c r="O87" s="304"/>
      <c r="P87" s="304"/>
      <c r="Q87" s="304"/>
      <c r="R87" s="304"/>
      <c r="S87" s="304"/>
      <c r="T87" s="305" t="e">
        <f ca="1">DIHo</f>
        <v>#REF!</v>
      </c>
      <c r="U87" s="304"/>
      <c r="V87" s="304"/>
    </row>
    <row r="88" spans="1:22" ht="20.100000000000001" customHeight="1">
      <c r="A88" s="279" t="s">
        <v>1848</v>
      </c>
      <c r="B88" s="299"/>
      <c r="C88" s="299"/>
      <c r="D88" s="299"/>
      <c r="E88" s="299"/>
      <c r="F88" s="1897" t="b">
        <f>IF(ISERROR(SUM($B$89:$B$95)=0),TRUE,OR($B$90=0,SUM($B$89:$B$95)=0,$G$89&lt;1.25,DRIVE_Type&lt;&gt;"Coupling"))</f>
        <v>1</v>
      </c>
      <c r="G88" s="300"/>
      <c r="J88" s="304"/>
      <c r="K88" s="304"/>
      <c r="L88" s="304"/>
      <c r="M88" s="304"/>
      <c r="N88" s="304"/>
      <c r="O88" s="304">
        <f>B75</f>
        <v>0</v>
      </c>
      <c r="P88" s="304"/>
      <c r="Q88" s="304"/>
      <c r="R88" s="304"/>
      <c r="S88" s="304"/>
      <c r="T88" s="852"/>
      <c r="U88" s="304"/>
    </row>
    <row r="89" spans="1:22" ht="20.100000000000001" customHeight="1">
      <c r="A89" s="199" t="s">
        <v>50</v>
      </c>
      <c r="B89" s="291"/>
      <c r="C89" s="289" t="s">
        <v>136</v>
      </c>
      <c r="D89" s="288" t="s">
        <v>304</v>
      </c>
      <c r="E89" s="846"/>
      <c r="F89" s="288" t="s">
        <v>224</v>
      </c>
      <c r="G89" s="847"/>
      <c r="J89" s="304"/>
      <c r="K89" s="304"/>
      <c r="L89" s="304"/>
      <c r="M89" s="304"/>
      <c r="N89" s="304"/>
      <c r="O89" s="304"/>
      <c r="P89" s="304"/>
      <c r="Q89" s="304"/>
      <c r="R89" s="304"/>
      <c r="S89" s="304"/>
      <c r="T89" s="304"/>
      <c r="U89" s="304"/>
    </row>
    <row r="90" spans="1:22" ht="20.100000000000001" customHeight="1">
      <c r="A90" s="196" t="s">
        <v>49</v>
      </c>
      <c r="B90" s="197" t="e">
        <f>MAX(DCRa5_PDN-C_Gap_PDN/2+DBndRa5_PDN+DBB_PDN+DBI_PDN-(Hub_C_tL_PDN-Hub_C_iHe-DIHo_C_PDN),0)</f>
        <v>#N/A</v>
      </c>
      <c r="C90" s="200" t="s">
        <v>136</v>
      </c>
      <c r="G90" s="198"/>
      <c r="J90" s="304"/>
      <c r="K90" s="304"/>
      <c r="L90" s="304"/>
      <c r="M90" s="304"/>
      <c r="N90" s="304"/>
      <c r="O90" s="304"/>
      <c r="P90" s="304"/>
      <c r="Q90" s="304"/>
      <c r="R90" s="304"/>
      <c r="S90" s="304"/>
      <c r="T90" s="304"/>
      <c r="U90" s="304"/>
    </row>
    <row r="91" spans="1:22" ht="20.100000000000001" customHeight="1">
      <c r="A91" s="196" t="s">
        <v>2754</v>
      </c>
      <c r="B91" s="201" t="e">
        <f>VLOOKUP(A91,Axle_Construction,MATCH($B89,'Axle &amp; Accessories Specs'!$A$30:$AJ$30,0),FALSE)</f>
        <v>#N/A</v>
      </c>
      <c r="C91" s="200"/>
      <c r="D91" s="201"/>
      <c r="E91" s="197"/>
      <c r="F91" s="197"/>
      <c r="G91" s="198"/>
      <c r="J91" s="303">
        <f>G93</f>
        <v>0</v>
      </c>
      <c r="K91" s="304"/>
      <c r="L91" s="304"/>
      <c r="M91" s="304"/>
      <c r="N91" s="304"/>
      <c r="O91" s="304"/>
      <c r="P91" s="304"/>
      <c r="Q91" s="304"/>
      <c r="R91" s="304"/>
      <c r="S91" s="304"/>
      <c r="T91" s="304"/>
      <c r="U91" s="304"/>
    </row>
    <row r="92" spans="1:22" ht="20.100000000000001" customHeight="1">
      <c r="A92" s="196"/>
      <c r="B92" s="201" t="s">
        <v>2753</v>
      </c>
      <c r="C92" s="201" t="s">
        <v>2582</v>
      </c>
      <c r="D92" s="201" t="s">
        <v>117</v>
      </c>
      <c r="E92" s="201" t="s">
        <v>113</v>
      </c>
      <c r="F92" s="201" t="s">
        <v>2587</v>
      </c>
      <c r="G92" s="1422" t="s">
        <v>2588</v>
      </c>
      <c r="J92" s="305">
        <f>F93</f>
        <v>0</v>
      </c>
      <c r="K92" s="304"/>
      <c r="L92" s="304"/>
      <c r="M92" s="304"/>
      <c r="N92" s="304"/>
      <c r="O92" s="304"/>
      <c r="P92" s="304"/>
      <c r="Q92" s="304"/>
      <c r="R92" s="304"/>
      <c r="S92" s="304"/>
      <c r="T92" s="304"/>
      <c r="U92" s="304"/>
      <c r="V92" s="301" t="e">
        <f>E93</f>
        <v>#N/A</v>
      </c>
    </row>
    <row r="93" spans="1:22" ht="20.100000000000001" customHeight="1">
      <c r="A93" s="1421"/>
      <c r="B93" s="197" t="e">
        <f>VLOOKUP(B92,Axle_Construction,MATCH($B89,'Axle &amp; Accessories Specs'!$A$30:$AJ$30,0),FALSE)</f>
        <v>#N/A</v>
      </c>
      <c r="C93" s="197" t="e">
        <f>VLOOKUP(C92,Axle_Construction,MATCH($B89,'Axle &amp; Accessories Specs'!$A$30:$AJ$30,0),FALSE)</f>
        <v>#N/A</v>
      </c>
      <c r="D93" s="197" t="e">
        <f>VLOOKUP(D92,Axle_Construction,MATCH($B89,'Axle &amp; Accessories Specs'!$A$30:$AJ$30,0),FALSE)</f>
        <v>#N/A</v>
      </c>
      <c r="E93" s="201" t="e">
        <f>VLOOKUP(E92,Axle_Construction,MATCH($B89,'Axle &amp; Accessories Specs'!$A$30:$AJ$30,0),FALSE)</f>
        <v>#N/A</v>
      </c>
      <c r="F93" s="197">
        <f>IF($B83&gt;=$B89,$B89,$B83-F94)</f>
        <v>0</v>
      </c>
      <c r="G93" s="198">
        <f>DCRa5_REG</f>
        <v>0</v>
      </c>
      <c r="J93" s="304"/>
      <c r="K93" s="304"/>
      <c r="L93" s="304"/>
      <c r="M93" s="304"/>
      <c r="N93" s="304"/>
      <c r="O93" s="304"/>
      <c r="P93" s="304"/>
      <c r="Q93" s="304"/>
      <c r="R93" s="304"/>
      <c r="S93" s="304"/>
      <c r="T93" s="304"/>
      <c r="U93" s="304"/>
    </row>
    <row r="94" spans="1:22" ht="20.100000000000001" customHeight="1">
      <c r="A94" s="1421"/>
      <c r="B94" s="197"/>
      <c r="C94" s="200"/>
      <c r="D94" s="201"/>
      <c r="E94" s="201" t="s">
        <v>2757</v>
      </c>
      <c r="F94" s="197">
        <v>5</v>
      </c>
      <c r="G94" s="198"/>
      <c r="J94" s="304"/>
      <c r="K94" s="304"/>
      <c r="L94" s="304"/>
      <c r="M94" s="304" t="e">
        <f>B90</f>
        <v>#N/A</v>
      </c>
      <c r="O94" s="304"/>
      <c r="P94" s="304"/>
      <c r="Q94" s="304"/>
      <c r="T94" s="305" t="e">
        <f>B98</f>
        <v>#N/A</v>
      </c>
      <c r="U94" s="305" t="e">
        <f>D93</f>
        <v>#N/A</v>
      </c>
    </row>
    <row r="95" spans="1:22" ht="20.100000000000001" customHeight="1">
      <c r="A95" s="1421"/>
      <c r="B95" s="197"/>
      <c r="C95" s="200"/>
      <c r="D95" s="201"/>
      <c r="E95" s="197"/>
      <c r="F95" s="197"/>
      <c r="G95" s="198"/>
    </row>
    <row r="96" spans="1:22" ht="20.100000000000001" customHeight="1">
      <c r="A96" s="196" t="s">
        <v>2750</v>
      </c>
      <c r="B96" s="201" t="e">
        <f>B91</f>
        <v>#N/A</v>
      </c>
      <c r="C96" s="201" t="s">
        <v>2807</v>
      </c>
      <c r="D96" s="1469" t="e">
        <f>PI()/4*((Hub_C_iD_PDN/1000)^2*Hub_C_iHe/1000+(Hub_C_eD_PDN/1000)^2*(Hub_C_tL_PDN-Hub_C_iHe)/1000-(B89/1000)^2*Hub_C_tL_PDN/1000)*steel_density</f>
        <v>#N/A</v>
      </c>
      <c r="E96" s="197"/>
      <c r="F96" s="197"/>
      <c r="G96" s="198"/>
    </row>
    <row r="97" spans="1:24" ht="20.100000000000001" customHeight="1">
      <c r="A97" s="1421"/>
      <c r="B97" s="201" t="s">
        <v>2583</v>
      </c>
      <c r="C97" s="201" t="s">
        <v>2753</v>
      </c>
      <c r="D97" s="201" t="s">
        <v>1857</v>
      </c>
      <c r="E97" s="201" t="s">
        <v>1859</v>
      </c>
      <c r="F97" s="201" t="s">
        <v>1858</v>
      </c>
      <c r="G97" s="1422" t="s">
        <v>2810</v>
      </c>
    </row>
    <row r="98" spans="1:24" ht="20.100000000000001" customHeight="1">
      <c r="A98" s="1421"/>
      <c r="B98" s="197" t="e">
        <f>VLOOKUP(B97,Axle_Construction,MATCH($B89,'Axle &amp; Accessories Specs'!$A$30:$AJ$30,0),FALSE)</f>
        <v>#N/A</v>
      </c>
      <c r="C98" s="197" t="e">
        <f>B93</f>
        <v>#N/A</v>
      </c>
      <c r="D98" s="201">
        <f>Hub_C_iHe</f>
        <v>66.269330410535758</v>
      </c>
      <c r="E98" s="201">
        <f>Hub_C_iMult*$B89</f>
        <v>0</v>
      </c>
      <c r="F98" s="201" t="e">
        <f>IF($B93=0,$D93,$B93)+$C93</f>
        <v>#N/A</v>
      </c>
      <c r="G98" s="1422">
        <f>Hub_C_eMult*$B89</f>
        <v>0</v>
      </c>
    </row>
    <row r="99" spans="1:24" ht="20.100000000000001" customHeight="1">
      <c r="A99" s="1421"/>
      <c r="B99" s="197"/>
      <c r="C99" s="197"/>
      <c r="D99" s="197"/>
      <c r="E99" s="197" t="s">
        <v>3543</v>
      </c>
      <c r="F99" s="197" t="e">
        <f>(Hub_C_tL_PDN-Hub_C_iHe-DIHo_C_PDN)</f>
        <v>#N/A</v>
      </c>
      <c r="G99" s="198"/>
    </row>
    <row r="100" spans="1:24" ht="20.100000000000001" customHeight="1">
      <c r="A100" s="836" t="s">
        <v>1851</v>
      </c>
      <c r="B100" s="166" t="e">
        <f>IF('Select Drive &amp; Motor'!$C$40&lt;&gt;0,'Select Drive &amp; Motor'!$C$40,House_P_T+VLOOKUP(Seal_Cooling_Selection,SealThickness,MATCH($B89,Seal_Axle_Diameter,0)-1,FALSE)+VLOOKUP(Seal_Cooling_Selection,SealThickness,MATCH($B89,Seal_Axle_Diameter,0),FALSE))</f>
        <v>#N/A</v>
      </c>
      <c r="C100" s="197" t="s">
        <v>136</v>
      </c>
      <c r="D100" s="197"/>
      <c r="E100" s="197"/>
      <c r="F100" s="166"/>
      <c r="G100" s="198"/>
    </row>
    <row r="101" spans="1:24" ht="20.100000000000001" customHeight="1" thickBot="1">
      <c r="A101" s="202"/>
      <c r="B101" s="203"/>
      <c r="C101" s="203"/>
      <c r="D101" s="203"/>
      <c r="E101" s="203"/>
      <c r="F101" s="203"/>
      <c r="G101" s="204"/>
      <c r="J101" s="302"/>
      <c r="M101" s="302">
        <f>MATCH(M102,'Vibration Calculation'!$B$21:$Z$21,0)</f>
        <v>16</v>
      </c>
      <c r="N101" s="302">
        <f>MATCH(N102,'Vibration Calculation'!$B$21:$Z$21,0)</f>
        <v>17</v>
      </c>
      <c r="O101" s="302">
        <f>MATCH(O102,'Vibration Calculation'!$B$21:$Z$21,0)</f>
        <v>18</v>
      </c>
      <c r="P101" s="302">
        <f>MATCH(P102,'Vibration Calculation'!$B$21:$Z$21,0)</f>
        <v>19</v>
      </c>
      <c r="Q101" s="302">
        <f>MATCH(Q102,'Vibration Calculation'!$B$21:$Z$21,0)</f>
        <v>20</v>
      </c>
      <c r="R101" s="302">
        <f>MATCH(R102,'Vibration Calculation'!$B$21:$Z$21,0)</f>
        <v>21</v>
      </c>
      <c r="S101" s="302">
        <f>MATCH(S102,'Vibration Calculation'!$B$21:$Z$21,0)</f>
        <v>22</v>
      </c>
      <c r="T101" s="302">
        <f>MATCH(T102,'Vibration Calculation'!$B$21:$Z$21,0)</f>
        <v>23</v>
      </c>
      <c r="U101" s="302">
        <f>MATCH(U102,'Vibration Calculation'!$B$21:$Z$21,0)</f>
        <v>24</v>
      </c>
    </row>
    <row r="102" spans="1:24" ht="20.100000000000001" customHeight="1">
      <c r="A102" s="205" t="s">
        <v>128</v>
      </c>
      <c r="B102" s="1838" t="s">
        <v>193</v>
      </c>
      <c r="C102" s="1838"/>
      <c r="D102" s="3634" t="s">
        <v>194</v>
      </c>
      <c r="E102" s="3634"/>
      <c r="F102" s="3619" t="s">
        <v>214</v>
      </c>
      <c r="G102" s="3620"/>
      <c r="J102" s="302"/>
      <c r="M102" s="306" t="s">
        <v>216</v>
      </c>
      <c r="N102" s="306" t="s">
        <v>219</v>
      </c>
      <c r="O102" s="306" t="s">
        <v>218</v>
      </c>
      <c r="P102" s="307" t="s">
        <v>206</v>
      </c>
      <c r="Q102" s="306" t="s">
        <v>217</v>
      </c>
      <c r="R102" s="306" t="s">
        <v>220</v>
      </c>
      <c r="S102" s="307" t="s">
        <v>207</v>
      </c>
      <c r="T102" s="308" t="s">
        <v>208</v>
      </c>
      <c r="U102" s="308" t="s">
        <v>209</v>
      </c>
    </row>
    <row r="103" spans="1:24" ht="20.100000000000001" customHeight="1">
      <c r="A103" s="199" t="s">
        <v>185</v>
      </c>
      <c r="B103" s="1948" t="e">
        <f ca="1">'Vibration Calculation'!$B$6</f>
        <v>#REF!</v>
      </c>
      <c r="C103" s="1949" t="e">
        <f ca="1">"Vib. No."&amp;$J103-1</f>
        <v>#REF!</v>
      </c>
      <c r="D103" s="1948" t="e">
        <f ca="1">'Vibration Calculation'!$D$6</f>
        <v>#REF!</v>
      </c>
      <c r="E103" s="1949" t="e">
        <f ca="1">"Vib. No."&amp;$K103-1</f>
        <v>#REF!</v>
      </c>
      <c r="F103" s="1947" t="e">
        <f ca="1">$B$50</f>
        <v>#REF!</v>
      </c>
      <c r="G103" s="2002" t="e">
        <f ca="1">"Vib. No."&amp;MATCH($F103,D_Name,0)-1</f>
        <v>#REF!</v>
      </c>
      <c r="J103" s="309" t="e">
        <f ca="1">'Vibration Calculation'!$H$6</f>
        <v>#REF!</v>
      </c>
      <c r="K103" s="309" t="e">
        <f ca="1">'Vibration Calculation'!$I$6</f>
        <v>#REF!</v>
      </c>
      <c r="M103" s="309" t="e">
        <f ca="1">INDEX('Vibration Calculation'!$B$21:$Y$86,$J103,M101)</f>
        <v>#REF!</v>
      </c>
      <c r="N103" s="309" t="e">
        <f ca="1">INDEX('Vibration Calculation'!$B$21:$Y$86,$J103,N101)</f>
        <v>#REF!</v>
      </c>
      <c r="O103" s="309" t="e">
        <f ca="1">INDEX('Vibration Calculation'!$B$21:$Y$86,$J103,O101)</f>
        <v>#REF!</v>
      </c>
      <c r="P103" s="309" t="e">
        <f ca="1">INDEX('Vibration Calculation'!$B$21:$Y$86,$J103,P101)</f>
        <v>#REF!</v>
      </c>
      <c r="Q103" s="309" t="e">
        <f ca="1">INDEX('Vibration Calculation'!$B$21:$Y$86,$J103,Q101)</f>
        <v>#REF!</v>
      </c>
      <c r="R103" s="309" t="e">
        <f ca="1">INDEX('Vibration Calculation'!$B$21:$Y$86,$J103,R101)</f>
        <v>#REF!</v>
      </c>
      <c r="S103" s="309" t="e">
        <f ca="1">INDEX('Vibration Calculation'!$B$21:$Y$86,$J103,S101)</f>
        <v>#REF!</v>
      </c>
      <c r="T103" s="309" t="e">
        <f ca="1">INDEX('Vibration Calculation'!$B$21:$Y$86,$J103,T101)</f>
        <v>#REF!</v>
      </c>
      <c r="U103" s="309" t="e">
        <f ca="1">INDEX('Vibration Calculation'!$B$21:$Y$86,$J103,U101)</f>
        <v>#REF!</v>
      </c>
      <c r="W103" s="1947" t="e">
        <f ca="1">$B$50</f>
        <v>#REF!</v>
      </c>
      <c r="X103" s="2002" t="e">
        <f ca="1">"Vib. No."&amp;MATCH($F103,D_Name,0)-1</f>
        <v>#REF!</v>
      </c>
    </row>
    <row r="104" spans="1:24" ht="20.100000000000001" customHeight="1">
      <c r="A104" s="196"/>
      <c r="B104" s="1835" t="s">
        <v>199</v>
      </c>
      <c r="C104" s="230" t="s">
        <v>200</v>
      </c>
      <c r="D104" s="1835" t="s">
        <v>199</v>
      </c>
      <c r="E104" s="230" t="s">
        <v>200</v>
      </c>
      <c r="F104" s="1837" t="s">
        <v>199</v>
      </c>
      <c r="G104" s="1836" t="s">
        <v>200</v>
      </c>
      <c r="W104" s="1837" t="s">
        <v>199</v>
      </c>
      <c r="X104" s="1836" t="s">
        <v>200</v>
      </c>
    </row>
    <row r="105" spans="1:24" ht="20.100000000000001" customHeight="1">
      <c r="A105" s="196" t="s">
        <v>129</v>
      </c>
      <c r="B105" s="233" t="e">
        <f ca="1">'Vibration Calculation'!B8</f>
        <v>#REF!</v>
      </c>
      <c r="C105" s="201" t="e">
        <f ca="1">'Vibration Calculation'!C8</f>
        <v>#REF!</v>
      </c>
      <c r="D105" s="233" t="e">
        <f ca="1">'Vibration Calculation'!D8</f>
        <v>#REF!</v>
      </c>
      <c r="E105" s="201" t="e">
        <f ca="1">'Vibration Calculation'!E8</f>
        <v>#REF!</v>
      </c>
      <c r="F105" s="1162" t="e">
        <f ca="1">$B$105</f>
        <v>#REF!</v>
      </c>
      <c r="G105" s="1163" t="e">
        <f ca="1">$C$105</f>
        <v>#REF!</v>
      </c>
      <c r="W105" s="1162" t="e">
        <f ca="1">$B$105</f>
        <v>#REF!</v>
      </c>
      <c r="X105" s="1163" t="e">
        <f ca="1">$C$105</f>
        <v>#REF!</v>
      </c>
    </row>
    <row r="106" spans="1:24" ht="20.100000000000001" customHeight="1">
      <c r="A106" s="196" t="s">
        <v>1276</v>
      </c>
      <c r="B106" s="233" t="e">
        <f ca="1">'Vibration Calculation'!B9</f>
        <v>#REF!</v>
      </c>
      <c r="C106" s="201" t="e">
        <f ca="1">'Vibration Calculation'!C9</f>
        <v>#REF!</v>
      </c>
      <c r="D106" s="233" t="e">
        <f ca="1">'Vibration Calculation'!D9</f>
        <v>#REF!</v>
      </c>
      <c r="E106" s="201" t="e">
        <f ca="1">'Vibration Calculation'!E9</f>
        <v>#REF!</v>
      </c>
      <c r="F106" s="3621" t="e">
        <f ca="1">System_weight_safe/F105</f>
        <v>#REF!</v>
      </c>
      <c r="G106" s="3622"/>
    </row>
    <row r="107" spans="1:24" ht="20.100000000000001" customHeight="1">
      <c r="A107" s="196" t="s">
        <v>179</v>
      </c>
      <c r="B107" s="234" t="e">
        <f ca="1">'Vibration Calculation'!B10</f>
        <v>#REF!</v>
      </c>
      <c r="C107" s="231" t="e">
        <f ca="1">'Vibration Calculation'!C10</f>
        <v>#REF!</v>
      </c>
      <c r="D107" s="234" t="e">
        <f ca="1">'Vibration Calculation'!D10</f>
        <v>#REF!</v>
      </c>
      <c r="E107" s="231" t="e">
        <f ca="1">'Vibration Calculation'!E10</f>
        <v>#REF!</v>
      </c>
      <c r="F107" s="3621"/>
      <c r="G107" s="3622"/>
    </row>
    <row r="108" spans="1:24" ht="20.100000000000001" customHeight="1" thickBot="1">
      <c r="A108" s="754" t="s">
        <v>180</v>
      </c>
      <c r="B108" s="755" t="e">
        <f ca="1">'Vibration Calculation'!B11</f>
        <v>#REF!</v>
      </c>
      <c r="C108" s="756" t="e">
        <f ca="1">'Vibration Calculation'!C11</f>
        <v>#REF!</v>
      </c>
      <c r="D108" s="755" t="e">
        <f ca="1">'Vibration Calculation'!D11</f>
        <v>#REF!</v>
      </c>
      <c r="E108" s="756" t="e">
        <f ca="1">'Vibration Calculation'!E11</f>
        <v>#REF!</v>
      </c>
      <c r="F108" s="3621"/>
      <c r="G108" s="3622"/>
    </row>
    <row r="109" spans="1:24" ht="20.100000000000001" customHeight="1">
      <c r="A109" s="757"/>
      <c r="B109" s="757"/>
      <c r="C109" s="757"/>
      <c r="D109" s="757"/>
      <c r="E109" s="757"/>
      <c r="F109" s="757"/>
      <c r="G109" s="757"/>
    </row>
  </sheetData>
  <mergeCells count="17">
    <mergeCell ref="F108:G108"/>
    <mergeCell ref="F107:G107"/>
    <mergeCell ref="F106:G106"/>
    <mergeCell ref="A60:G60"/>
    <mergeCell ref="D102:E102"/>
    <mergeCell ref="F102:G102"/>
    <mergeCell ref="F49:G49"/>
    <mergeCell ref="F53:G53"/>
    <mergeCell ref="F54:G54"/>
    <mergeCell ref="F55:G55"/>
    <mergeCell ref="C1:N1"/>
    <mergeCell ref="M2:N2"/>
    <mergeCell ref="B2:L2"/>
    <mergeCell ref="B49:C49"/>
    <mergeCell ref="D49:E49"/>
    <mergeCell ref="A3:G3"/>
    <mergeCell ref="A7:G7"/>
  </mergeCells>
  <phoneticPr fontId="170" type="noConversion"/>
  <conditionalFormatting sqref="B13">
    <cfRule type="expression" dxfId="311" priority="99">
      <formula>AND($B$13&gt;0,$B$13&lt;min_Critical_B_rpm)</formula>
    </cfRule>
  </conditionalFormatting>
  <conditionalFormatting sqref="C13">
    <cfRule type="expression" dxfId="310" priority="98">
      <formula>AND($C$13&gt;0,$C$13&lt;min_Critical_B_rpm)</formula>
    </cfRule>
  </conditionalFormatting>
  <conditionalFormatting sqref="D13">
    <cfRule type="expression" dxfId="309" priority="97">
      <formula>AND($D$13&gt;0,$D$13&lt;min_Critical_B_rpm)</formula>
    </cfRule>
  </conditionalFormatting>
  <conditionalFormatting sqref="E13">
    <cfRule type="expression" dxfId="308" priority="96">
      <formula>AND($E$13&gt;0,$E$13&lt;min_Critical_B_rpm)</formula>
    </cfRule>
  </conditionalFormatting>
  <conditionalFormatting sqref="B66">
    <cfRule type="expression" dxfId="307" priority="95">
      <formula>AND($B$66&gt;0,$B$66&lt;min_Critical_B_rpm)</formula>
    </cfRule>
  </conditionalFormatting>
  <conditionalFormatting sqref="C66">
    <cfRule type="expression" dxfId="306" priority="94">
      <formula>AND($C$66&gt;0,$C$66&lt;min_Critical_B_rpm)</formula>
    </cfRule>
  </conditionalFormatting>
  <conditionalFormatting sqref="D66">
    <cfRule type="expression" dxfId="305" priority="93">
      <formula>AND($D$66&gt;0,$D$66&lt;min_Critical_B_rpm)</formula>
    </cfRule>
  </conditionalFormatting>
  <conditionalFormatting sqref="E66">
    <cfRule type="expression" dxfId="304" priority="92">
      <formula>AND($E$66&gt;0,$E$66&lt;min_Critical_B_rpm)</formula>
    </cfRule>
  </conditionalFormatting>
  <conditionalFormatting sqref="A9:G24">
    <cfRule type="expression" dxfId="303" priority="73">
      <formula>$F$8</formula>
    </cfRule>
  </conditionalFormatting>
  <conditionalFormatting sqref="A27:G32">
    <cfRule type="expression" dxfId="302" priority="240">
      <formula>$F$26</formula>
    </cfRule>
  </conditionalFormatting>
  <conditionalFormatting sqref="M102:U102">
    <cfRule type="expression" dxfId="301" priority="243">
      <formula>OR(#REF!&lt;&gt;"",$W83&lt;&gt;"")</formula>
    </cfRule>
  </conditionalFormatting>
  <conditionalFormatting sqref="A80:G86">
    <cfRule type="expression" dxfId="300" priority="271">
      <formula>$F$79</formula>
    </cfRule>
  </conditionalFormatting>
  <conditionalFormatting sqref="A89:G100">
    <cfRule type="expression" dxfId="299" priority="273">
      <formula>$F$88</formula>
    </cfRule>
  </conditionalFormatting>
  <conditionalFormatting sqref="A62:G75 A77:G77 A76:E76">
    <cfRule type="expression" dxfId="298" priority="50">
      <formula>$F$61</formula>
    </cfRule>
  </conditionalFormatting>
  <conditionalFormatting sqref="F36:G36">
    <cfRule type="expression" dxfId="297" priority="14">
      <formula>$G$36&lt;FRlimit*0.9</formula>
    </cfRule>
  </conditionalFormatting>
  <conditionalFormatting sqref="B11">
    <cfRule type="expression" dxfId="296" priority="32">
      <formula>$B$11="Spec."</formula>
    </cfRule>
  </conditionalFormatting>
  <conditionalFormatting sqref="A4:C4">
    <cfRule type="expression" dxfId="295" priority="18">
      <formula>$A$4="Construction Error"</formula>
    </cfRule>
  </conditionalFormatting>
  <conditionalFormatting sqref="M49:U49">
    <cfRule type="expression" dxfId="294" priority="1712">
      <formula>OR($V48&lt;&gt;"",$W37&lt;&gt;"")</formula>
    </cfRule>
  </conditionalFormatting>
  <conditionalFormatting sqref="A33:G33">
    <cfRule type="expression" dxfId="293" priority="16">
      <formula>$F$26</formula>
    </cfRule>
  </conditionalFormatting>
  <conditionalFormatting sqref="A86:G86">
    <cfRule type="expression" dxfId="292" priority="15">
      <formula>$F$79</formula>
    </cfRule>
  </conditionalFormatting>
  <conditionalFormatting sqref="A36:G47">
    <cfRule type="expression" dxfId="291" priority="48">
      <formula>$F$35</formula>
    </cfRule>
  </conditionalFormatting>
  <conditionalFormatting sqref="D4:E4">
    <cfRule type="expression" dxfId="290" priority="1878">
      <formula>OR(ISERROR(MF_Ra),AND($F$26,$F$79))</formula>
    </cfRule>
  </conditionalFormatting>
  <conditionalFormatting sqref="F4:H4">
    <cfRule type="expression" dxfId="289" priority="1879">
      <formula>OR(ISERROR(MF_Ra),AND($F$8,$F$61))</formula>
    </cfRule>
  </conditionalFormatting>
  <conditionalFormatting sqref="W4">
    <cfRule type="expression" dxfId="288" priority="1880">
      <formula>AND($F$8,$F$61)</formula>
    </cfRule>
  </conditionalFormatting>
  <conditionalFormatting sqref="F89:G89">
    <cfRule type="expression" dxfId="287" priority="9">
      <formula>$G$89&lt;FRlimit*0.9</formula>
    </cfRule>
  </conditionalFormatting>
  <conditionalFormatting sqref="F89:G89">
    <cfRule type="expression" dxfId="286" priority="10">
      <formula>$F$88</formula>
    </cfRule>
  </conditionalFormatting>
  <conditionalFormatting sqref="M50:U50 M103:U103">
    <cfRule type="expression" dxfId="285" priority="3445">
      <formula>OR($T50&lt;&gt;"",$U50&lt;&gt;"")</formula>
    </cfRule>
  </conditionalFormatting>
  <conditionalFormatting sqref="B50:E55">
    <cfRule type="expression" dxfId="284" priority="3447">
      <formula>AND($T$50="",$U$50="")</formula>
    </cfRule>
  </conditionalFormatting>
  <conditionalFormatting sqref="F52:G52 W105:X105 AF51:GF51 Z49:AE49 H51:I51 Y51 J52:X52 H103 F105:G105">
    <cfRule type="expression" dxfId="283" priority="3453">
      <formula>OR($F$52&lt;$Q$50,$F$52&gt;$N$50)</formula>
    </cfRule>
  </conditionalFormatting>
  <conditionalFormatting sqref="J50:K50">
    <cfRule type="expression" dxfId="282" priority="3462">
      <formula>OR($T50&lt;&gt;"",$U50&lt;&gt;"")</formula>
    </cfRule>
  </conditionalFormatting>
  <conditionalFormatting sqref="A103 A106:G108 A105:E105 A104:G104 F51:G51 W51:X51 W104:X104">
    <cfRule type="expression" dxfId="281" priority="3466">
      <formula>AND($T$103="",$U$103="")</formula>
    </cfRule>
  </conditionalFormatting>
  <conditionalFormatting sqref="A105:E105">
    <cfRule type="expression" dxfId="280" priority="3473">
      <formula>OR($F$105&lt;$Q$103,$F$105&gt;$N$103)</formula>
    </cfRule>
  </conditionalFormatting>
  <conditionalFormatting sqref="J103:K103">
    <cfRule type="expression" dxfId="279" priority="5">
      <formula>OR($T103&lt;&gt;"",$U103&lt;&gt;"")</formula>
    </cfRule>
  </conditionalFormatting>
  <conditionalFormatting sqref="B103:E103">
    <cfRule type="expression" dxfId="278" priority="3">
      <formula>AND($T$103="",$U$103="")</formula>
    </cfRule>
  </conditionalFormatting>
  <conditionalFormatting sqref="F76:G76">
    <cfRule type="expression" dxfId="277" priority="1">
      <formula>$F$8</formula>
    </cfRule>
  </conditionalFormatting>
  <dataValidations count="2">
    <dataValidation type="list" allowBlank="1" showInputMessage="1" showErrorMessage="1" sqref="F103 F50 W50 W103">
      <formula1>D_Name</formula1>
    </dataValidation>
    <dataValidation type="list" allowBlank="1" showInputMessage="1" showErrorMessage="1" sqref="H4 W4">
      <formula1>"REG, PDN,No Bearing"</formula1>
    </dataValidation>
  </dataValidations>
  <pageMargins left="0.70866141732283472" right="0.70866141732283472" top="0.74803149606299213" bottom="0.74803149606299213" header="0.31496062992125984" footer="0.31496062992125984"/>
  <pageSetup paperSize="9" scale="24" orientation="landscape" r:id="rId1"/>
  <headerFooter>
    <oddHeader>&amp;L&amp;G&amp;R&amp;D</oddHeader>
    <oddFooter>&amp;L&amp;12CONFIDENTIAL&amp;C&amp;12&amp;F / &amp;A&amp;Rpage &amp;P / &amp;N</oddFooter>
  </headerFooter>
  <drawing r:id="rId2"/>
  <legacyDrawing r:id="rId3"/>
  <legacyDrawingHF r:id="rId4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pageSetUpPr fitToPage="1"/>
  </sheetPr>
  <dimension ref="A1:P6"/>
  <sheetViews>
    <sheetView zoomScale="130" zoomScaleNormal="130" workbookViewId="0">
      <pane ySplit="2" topLeftCell="A9" activePane="bottomLeft" state="frozen"/>
      <selection sqref="A1:Y53"/>
      <selection pane="bottomLeft" sqref="A1:Y53"/>
    </sheetView>
  </sheetViews>
  <sheetFormatPr defaultColWidth="9.140625" defaultRowHeight="13.5" customHeight="1"/>
  <cols>
    <col min="1" max="1" width="26.7109375" style="243" customWidth="1"/>
    <col min="2" max="2" width="11.85546875" style="243" customWidth="1"/>
    <col min="3" max="14" width="8.7109375" style="243" customWidth="1"/>
    <col min="15" max="16384" width="9.140625" style="243"/>
  </cols>
  <sheetData>
    <row r="1" spans="1:16" ht="19.5" thickBot="1">
      <c r="A1" s="1176" t="str">
        <f>'Select Drive &amp; Motor'!A1</f>
        <v>ID</v>
      </c>
      <c r="B1" s="2331" t="str">
        <f>'Select Drive &amp; Motor'!B1</f>
        <v>NBF191005</v>
      </c>
      <c r="C1" s="3640" t="str">
        <f>'Select Drive &amp; Motor'!C1</f>
        <v>, , XOE 273-90 REG, Direct, RD135</v>
      </c>
      <c r="D1" s="3640"/>
      <c r="E1" s="3640"/>
      <c r="F1" s="3640"/>
      <c r="G1" s="3640"/>
      <c r="H1" s="3640"/>
      <c r="I1" s="3640"/>
      <c r="J1" s="3640"/>
      <c r="K1" s="3640"/>
      <c r="L1" s="3640"/>
      <c r="M1" s="3640"/>
      <c r="N1" s="3641"/>
    </row>
    <row r="2" spans="1:16" ht="19.5" thickBot="1">
      <c r="A2" s="1176" t="str">
        <f>'Select Drive &amp; Motor'!A2</f>
        <v>Comments</v>
      </c>
      <c r="B2" s="3637">
        <f>'Select Drive &amp; Motor'!B2</f>
        <v>0</v>
      </c>
      <c r="C2" s="3638"/>
      <c r="D2" s="3638"/>
      <c r="E2" s="3638"/>
      <c r="F2" s="3638"/>
      <c r="G2" s="3638"/>
      <c r="H2" s="3638"/>
      <c r="I2" s="3638"/>
      <c r="J2" s="3638"/>
      <c r="K2" s="3638"/>
      <c r="L2" s="3639"/>
      <c r="M2" s="3635" t="str">
        <f>'Select Drive &amp; Motor'!P2</f>
        <v>190923</v>
      </c>
      <c r="N2" s="3636"/>
    </row>
    <row r="3" spans="1:16" ht="13.5" customHeight="1">
      <c r="P3" s="243" t="str">
        <f>Fan_Type&amp;", "&amp;House!$E$6&amp;House!$G$6&amp;" Side View"</f>
        <v>XOE 273-90, RD135 Side View</v>
      </c>
    </row>
    <row r="4" spans="1:16" ht="13.5" customHeight="1">
      <c r="P4" s="243" t="str">
        <f>Fan_Type&amp;", "&amp;House!$E$6&amp;House!$G$6&amp;" Drive View"</f>
        <v>XOE 273-90, RD135 Drive View</v>
      </c>
    </row>
    <row r="5" spans="1:16" ht="13.5" customHeight="1">
      <c r="P5" s="243" t="str">
        <f>Fan_Type&amp;", "&amp;House!$E$6&amp;House!$G$6&amp;" Inlet View"</f>
        <v>XOE 273-90, RD135 Inlet View</v>
      </c>
    </row>
    <row r="6" spans="1:16" ht="13.5" customHeight="1">
      <c r="C6" s="243" t="s">
        <v>2798</v>
      </c>
    </row>
  </sheetData>
  <mergeCells count="3">
    <mergeCell ref="M2:N2"/>
    <mergeCell ref="B2:L2"/>
    <mergeCell ref="C1:N1"/>
  </mergeCells>
  <phoneticPr fontId="170" type="noConversion"/>
  <pageMargins left="0.70866141732283472" right="0.70866141732283472" top="0.74803149606299213" bottom="0.74803149606299213" header="0.31496062992125984" footer="0.31496062992125984"/>
  <pageSetup paperSize="9" scale="62" orientation="landscape" r:id="rId1"/>
  <headerFooter>
    <oddHeader>&amp;L&amp;G&amp;R&amp;D</oddHeader>
    <oddFooter>&amp;L&amp;12CONFIDENTIAL&amp;C&amp;12&amp;F / &amp;A&amp;Rpage &amp;P / &amp;N</oddFooter>
  </headerFooter>
  <drawing r:id="rId2"/>
  <legacyDrawingHF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C2:V41"/>
  <sheetViews>
    <sheetView topLeftCell="B4" workbookViewId="0">
      <selection activeCell="D7" sqref="D7"/>
    </sheetView>
  </sheetViews>
  <sheetFormatPr defaultRowHeight="12.75"/>
  <cols>
    <col min="3" max="3" width="15.5703125" customWidth="1"/>
    <col min="19" max="19" width="20.5703125" customWidth="1"/>
  </cols>
  <sheetData>
    <row r="2" spans="3:20">
      <c r="C2" t="s">
        <v>4709</v>
      </c>
    </row>
    <row r="4" spans="3:20" ht="13.5" thickBot="1"/>
    <row r="5" spans="3:20" ht="13.5" thickBot="1">
      <c r="C5" t="s">
        <v>4710</v>
      </c>
      <c r="D5" s="3446" t="e">
        <f ca="1">ext_inl_D</f>
        <v>#REF!</v>
      </c>
    </row>
    <row r="6" spans="3:20" ht="13.5" thickBot="1">
      <c r="C6" t="s">
        <v>4711</v>
      </c>
      <c r="D6" s="3447">
        <f>D7-2*(TAN(PI()/6)*30)</f>
        <v>659.35898384862242</v>
      </c>
    </row>
    <row r="7" spans="3:20" ht="13.5" thickBot="1">
      <c r="C7" t="s">
        <v>4712</v>
      </c>
      <c r="D7" s="3446">
        <f>d_in-6</f>
        <v>694</v>
      </c>
    </row>
    <row r="8" spans="3:20" ht="13.5" thickBot="1">
      <c r="C8" t="s">
        <v>4713</v>
      </c>
      <c r="D8" s="3447" t="e">
        <f ca="1">V19+House_P_T</f>
        <v>#REF!</v>
      </c>
    </row>
    <row r="9" spans="3:20" ht="13.5" thickBot="1">
      <c r="C9" t="s">
        <v>4714</v>
      </c>
      <c r="D9" s="3447" t="e">
        <f ca="1">'IFB data'!B230</f>
        <v>#REF!</v>
      </c>
      <c r="S9" t="s">
        <v>4719</v>
      </c>
      <c r="T9" s="3448" t="e">
        <f ca="1">(D5-2*D14-D6)/2*(TAN(PI()/3))</f>
        <v>#REF!</v>
      </c>
    </row>
    <row r="10" spans="3:20" ht="13.5" thickBot="1">
      <c r="C10" t="s">
        <v>4715</v>
      </c>
      <c r="D10" s="3446" t="e">
        <f ca="1">D9+30</f>
        <v>#REF!</v>
      </c>
    </row>
    <row r="11" spans="3:20" ht="13.5" thickBot="1">
      <c r="C11" t="s">
        <v>4716</v>
      </c>
      <c r="D11" s="3446">
        <v>75</v>
      </c>
    </row>
    <row r="12" spans="3:20" ht="13.5" thickBot="1">
      <c r="C12" t="s">
        <v>4717</v>
      </c>
      <c r="D12" s="3446">
        <v>30</v>
      </c>
    </row>
    <row r="13" spans="3:20" ht="13.5" thickBot="1"/>
    <row r="14" spans="3:20" ht="13.5" thickBot="1">
      <c r="C14" t="s">
        <v>4718</v>
      </c>
      <c r="D14" s="3446">
        <f>Inlet_P_T</f>
        <v>4</v>
      </c>
    </row>
    <row r="17" spans="19:22">
      <c r="S17" t="s">
        <v>4720</v>
      </c>
      <c r="T17" s="3449" t="e">
        <f ca="1">b_in+Back_P_T+Hub_P_T+DIHo</f>
        <v>#REF!</v>
      </c>
    </row>
    <row r="19" spans="19:22">
      <c r="S19" t="s">
        <v>4721</v>
      </c>
      <c r="T19" s="3449">
        <f>House_B_ins</f>
        <v>630</v>
      </c>
      <c r="V19" s="3448" t="e">
        <f ca="1">T19+2*T21+D9-T17+T24-T9-D11</f>
        <v>#REF!</v>
      </c>
    </row>
    <row r="21" spans="19:22">
      <c r="S21" t="s">
        <v>4722</v>
      </c>
      <c r="T21" s="3449">
        <f>House_P_T</f>
        <v>5</v>
      </c>
    </row>
    <row r="24" spans="19:22">
      <c r="S24" t="s">
        <v>4723</v>
      </c>
      <c r="T24" s="3449">
        <v>20</v>
      </c>
    </row>
    <row r="35" spans="3:20" s="3450" customFormat="1"/>
    <row r="37" spans="3:20">
      <c r="C37" t="s">
        <v>4775</v>
      </c>
      <c r="D37" s="1045" t="e">
        <f ca="1">D9</f>
        <v>#REF!</v>
      </c>
    </row>
    <row r="38" spans="3:20">
      <c r="C38" t="s">
        <v>4776</v>
      </c>
      <c r="D38" t="e">
        <f ca="1">(House_B_ins-T17)+5+D37+House_P_T</f>
        <v>#REF!</v>
      </c>
      <c r="S38" s="405" t="s">
        <v>4723</v>
      </c>
      <c r="T38" s="3449">
        <v>5</v>
      </c>
    </row>
    <row r="39" spans="3:20">
      <c r="C39" t="s">
        <v>4777</v>
      </c>
      <c r="D39">
        <f>D14</f>
        <v>4</v>
      </c>
    </row>
    <row r="41" spans="3:20">
      <c r="C41" t="s">
        <v>4778</v>
      </c>
      <c r="D41">
        <f>d_in-10</f>
        <v>690</v>
      </c>
    </row>
  </sheetData>
  <phoneticPr fontId="170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C2:H15"/>
  <sheetViews>
    <sheetView workbookViewId="0">
      <selection activeCell="H13" sqref="H13"/>
    </sheetView>
  </sheetViews>
  <sheetFormatPr defaultRowHeight="12.75"/>
  <cols>
    <col min="3" max="3" width="13.28515625" customWidth="1"/>
    <col min="4" max="4" width="14.42578125" customWidth="1"/>
    <col min="7" max="7" width="14.28515625" customWidth="1"/>
  </cols>
  <sheetData>
    <row r="2" spans="3:8" ht="14.25" thickBot="1">
      <c r="C2" s="3426" t="s">
        <v>4738</v>
      </c>
      <c r="D2" s="3426" t="s">
        <v>4735</v>
      </c>
    </row>
    <row r="3" spans="3:8" ht="15" thickBot="1">
      <c r="C3" s="3422" t="s">
        <v>4737</v>
      </c>
      <c r="D3" s="1784">
        <v>1</v>
      </c>
      <c r="F3" s="3420" t="s">
        <v>4734</v>
      </c>
      <c r="G3" s="1722" t="e">
        <f ca="1">LEFT(G4,2)</f>
        <v>#REF!</v>
      </c>
      <c r="H3" t="e">
        <f ca="1">VLOOKUP(G3,C3:D4,2,FALSE)</f>
        <v>#REF!</v>
      </c>
    </row>
    <row r="4" spans="3:8" ht="14.25">
      <c r="C4" s="3515" t="s">
        <v>4841</v>
      </c>
      <c r="D4" s="437">
        <v>2</v>
      </c>
      <c r="F4" s="3503" t="s">
        <v>4733</v>
      </c>
      <c r="G4" s="1722" t="e">
        <f ca="1">V_type</f>
        <v>#REF!</v>
      </c>
      <c r="H4" t="e">
        <f ca="1">VLOOKUP(G4,C8:D15,2,FALSE)</f>
        <v>#REF!</v>
      </c>
    </row>
    <row r="5" spans="3:8" ht="14.25">
      <c r="C5" s="3424"/>
      <c r="D5" s="437"/>
      <c r="F5" s="3366" t="s">
        <v>4830</v>
      </c>
      <c r="G5" s="3366"/>
      <c r="H5" s="3366" t="e">
        <f ca="1">VLOOKUP(G4,C8:E15,3,FALSE)</f>
        <v>#REF!</v>
      </c>
    </row>
    <row r="6" spans="3:8" ht="19.5">
      <c r="C6" s="3427"/>
      <c r="D6" s="436"/>
    </row>
    <row r="7" spans="3:8" ht="14.25">
      <c r="C7" s="3424"/>
      <c r="D7" s="437"/>
    </row>
    <row r="8" spans="3:8" ht="14.25">
      <c r="C8" s="3423" t="s">
        <v>4739</v>
      </c>
      <c r="D8" s="437">
        <v>1</v>
      </c>
      <c r="E8">
        <v>12</v>
      </c>
    </row>
    <row r="9" spans="3:8" ht="14.25">
      <c r="C9" s="3424" t="s">
        <v>156</v>
      </c>
      <c r="D9" s="437">
        <v>2</v>
      </c>
      <c r="E9">
        <v>12</v>
      </c>
    </row>
    <row r="10" spans="3:8" ht="14.25">
      <c r="C10" s="3423" t="s">
        <v>4740</v>
      </c>
      <c r="D10" s="437">
        <v>3</v>
      </c>
      <c r="E10">
        <v>12</v>
      </c>
    </row>
    <row r="11" spans="3:8" ht="14.25">
      <c r="C11" s="3423" t="s">
        <v>4741</v>
      </c>
      <c r="D11" s="437">
        <v>4</v>
      </c>
      <c r="E11">
        <v>10</v>
      </c>
    </row>
    <row r="12" spans="3:8" ht="14.25">
      <c r="C12" s="3423" t="s">
        <v>4742</v>
      </c>
      <c r="D12" s="437">
        <v>5</v>
      </c>
      <c r="E12">
        <v>12</v>
      </c>
    </row>
    <row r="13" spans="3:8" ht="14.25">
      <c r="C13" s="3423" t="s">
        <v>4743</v>
      </c>
      <c r="D13" s="437">
        <v>6</v>
      </c>
      <c r="E13">
        <v>14</v>
      </c>
    </row>
    <row r="14" spans="3:8" ht="15" thickBot="1">
      <c r="C14" s="3425" t="s">
        <v>4744</v>
      </c>
      <c r="D14" s="437">
        <v>7</v>
      </c>
      <c r="E14">
        <v>14</v>
      </c>
    </row>
    <row r="15" spans="3:8" ht="14.25">
      <c r="C15" s="3516" t="s">
        <v>4842</v>
      </c>
      <c r="D15" s="452">
        <v>4</v>
      </c>
      <c r="E15">
        <v>10</v>
      </c>
    </row>
  </sheetData>
  <phoneticPr fontId="170" type="noConversion"/>
  <dataValidations count="1">
    <dataValidation type="decimal" errorStyle="warning" operator="greaterThanOrEqual" showErrorMessage="1" errorTitle="Cell Empty!" error="Cells cannot have none numerical values (such as P9) or be empty!_x000a__x000a_Please enter a positive number." sqref="G3:G4">
      <formula1>0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>
    <pageSetUpPr fitToPage="1"/>
  </sheetPr>
  <dimension ref="A1:AE899"/>
  <sheetViews>
    <sheetView showWhiteSpace="0" zoomScale="85" zoomScaleNormal="85" zoomScalePageLayoutView="25" workbookViewId="0">
      <pane xSplit="4" ySplit="1" topLeftCell="E2" activePane="bottomRight" state="frozen"/>
      <selection activeCell="C6" sqref="C6:D6"/>
      <selection pane="topRight" activeCell="C6" sqref="C6:D6"/>
      <selection pane="bottomLeft" activeCell="C6" sqref="C6:D6"/>
      <selection pane="bottomRight" activeCell="J16" sqref="J16"/>
    </sheetView>
  </sheetViews>
  <sheetFormatPr defaultColWidth="9.7109375" defaultRowHeight="15" customHeight="1"/>
  <cols>
    <col min="1" max="1" width="34.42578125" style="410" bestFit="1" customWidth="1"/>
    <col min="2" max="2" width="11.42578125" style="1740" customWidth="1"/>
    <col min="3" max="3" width="8.7109375" style="409" customWidth="1"/>
    <col min="4" max="4" width="59.42578125" style="1677" bestFit="1" customWidth="1"/>
    <col min="5" max="5" width="8.7109375" style="413" customWidth="1"/>
    <col min="6" max="6" width="12.140625" style="413" customWidth="1"/>
    <col min="7" max="9" width="8.7109375" style="408" customWidth="1"/>
    <col min="10" max="10" width="14.28515625" style="408" customWidth="1"/>
    <col min="11" max="11" width="16.28515625" style="408" customWidth="1"/>
    <col min="12" max="12" width="15.140625" style="408" customWidth="1"/>
    <col min="13" max="16" width="8.7109375" style="408" customWidth="1"/>
    <col min="17" max="18" width="9.7109375" style="408"/>
    <col min="19" max="19" width="9.7109375" style="1678"/>
    <col min="20" max="20" width="9.7109375" style="1689"/>
    <col min="21" max="21" width="9.7109375" style="1678"/>
    <col min="22" max="22" width="9.7109375" style="1690"/>
    <col min="23" max="23" width="9.7109375" style="1678"/>
    <col min="24" max="24" width="9.7109375" style="1690"/>
    <col min="25" max="26" width="9.7109375" style="1678"/>
    <col min="27" max="16384" width="9.7109375" style="1137"/>
  </cols>
  <sheetData>
    <row r="1" spans="1:26" ht="15" customHeight="1" thickBot="1">
      <c r="A1" s="2248" t="s">
        <v>1511</v>
      </c>
      <c r="B1" s="1793" t="e">
        <f ca="1">Drive_Frame</f>
        <v>#REF!</v>
      </c>
      <c r="C1" s="1415"/>
      <c r="D1" s="1741" t="e">
        <f ca="1">DRIVE_Type&amp;" / "&amp;Frame_Type</f>
        <v>#REF!</v>
      </c>
      <c r="E1" s="1127" t="str">
        <f>'Select Drive &amp; Motor'!A1</f>
        <v>ID</v>
      </c>
      <c r="F1" s="2331" t="str">
        <f>'Select Drive &amp; Motor'!$B$1</f>
        <v>NBF191005</v>
      </c>
      <c r="G1" s="3640" t="str">
        <f>'Select Drive &amp; Motor'!$C$1</f>
        <v>, , XOE 273-90 REG, Direct, RD135</v>
      </c>
      <c r="H1" s="3640"/>
      <c r="I1" s="3640"/>
      <c r="J1" s="3640"/>
      <c r="K1" s="3640"/>
      <c r="L1" s="3640"/>
      <c r="M1" s="3640"/>
      <c r="N1" s="3640"/>
      <c r="O1" s="3640"/>
      <c r="P1" s="3640"/>
      <c r="Q1" s="3640"/>
      <c r="R1" s="3641"/>
      <c r="S1" s="3020"/>
      <c r="T1" s="3021"/>
      <c r="U1" s="1436"/>
      <c r="V1" s="1436"/>
      <c r="W1" s="3021"/>
      <c r="X1" s="3021"/>
      <c r="Y1" s="3021"/>
      <c r="Z1" s="3022"/>
    </row>
    <row r="2" spans="1:26" ht="15" customHeight="1" thickBot="1">
      <c r="A2" s="434" t="s">
        <v>1143</v>
      </c>
      <c r="B2" s="1730">
        <f>Center_H</f>
        <v>1269</v>
      </c>
      <c r="C2" s="433" t="s">
        <v>136</v>
      </c>
      <c r="D2" s="1128" t="s">
        <v>258</v>
      </c>
      <c r="E2" s="1127" t="str">
        <f>'Select Drive &amp; Motor'!A2</f>
        <v>Comments</v>
      </c>
      <c r="F2" s="3637">
        <f>'Select Drive &amp; Motor'!$B$2</f>
        <v>0</v>
      </c>
      <c r="G2" s="3638"/>
      <c r="H2" s="3638"/>
      <c r="I2" s="3638"/>
      <c r="J2" s="3638"/>
      <c r="K2" s="3638"/>
      <c r="L2" s="3638"/>
      <c r="M2" s="3638"/>
      <c r="N2" s="3638"/>
      <c r="O2" s="3638"/>
      <c r="P2" s="2276"/>
      <c r="Q2" s="3650" t="str">
        <f>'Select Drive &amp; Motor'!$P$2</f>
        <v>190923</v>
      </c>
      <c r="R2" s="3636"/>
      <c r="S2" s="3023"/>
      <c r="T2" s="3024"/>
      <c r="U2" s="1690"/>
      <c r="W2" s="3024"/>
      <c r="X2" s="3024"/>
      <c r="Y2" s="3024"/>
      <c r="Z2" s="3025"/>
    </row>
    <row r="3" spans="1:26" ht="15" customHeight="1" thickBot="1">
      <c r="A3" s="427" t="s">
        <v>1228</v>
      </c>
      <c r="B3" s="1731">
        <f>RADIANS(MFRa_angle)</f>
        <v>1.3089969389957472</v>
      </c>
      <c r="C3" s="426" t="s">
        <v>1137</v>
      </c>
      <c r="D3" s="1113" t="s">
        <v>1213</v>
      </c>
      <c r="E3" s="435"/>
      <c r="F3" s="435"/>
      <c r="G3" s="435"/>
      <c r="H3" s="435"/>
      <c r="I3" s="435"/>
      <c r="J3" s="435"/>
      <c r="K3" s="435"/>
      <c r="L3" s="435"/>
      <c r="M3" s="435"/>
      <c r="N3" s="435"/>
      <c r="O3" s="3655" t="s">
        <v>2575</v>
      </c>
      <c r="P3" s="3656"/>
      <c r="Q3" s="3651" t="str">
        <f>'Select Drive &amp; Motor'!S3</f>
        <v>180202</v>
      </c>
      <c r="R3" s="3652"/>
      <c r="S3" s="3023"/>
      <c r="T3" s="3024"/>
      <c r="U3" s="1690"/>
      <c r="W3" s="3024"/>
      <c r="X3" s="3024"/>
      <c r="Y3" s="3024"/>
      <c r="Z3" s="3025"/>
    </row>
    <row r="4" spans="1:26" ht="15" customHeight="1" thickBot="1">
      <c r="A4" s="2260" t="s">
        <v>3316</v>
      </c>
      <c r="B4" s="1416">
        <v>0</v>
      </c>
      <c r="C4" s="1415" t="s">
        <v>1114</v>
      </c>
      <c r="D4" s="1741"/>
      <c r="E4" s="1781"/>
      <c r="F4" s="1781"/>
      <c r="G4" s="1781"/>
      <c r="H4" s="1781"/>
      <c r="I4" s="1781"/>
      <c r="J4" s="1783"/>
      <c r="K4" s="1783"/>
      <c r="L4" s="1781"/>
      <c r="M4" s="1781"/>
      <c r="N4" s="1782"/>
      <c r="O4" s="3657"/>
      <c r="P4" s="3658"/>
      <c r="Q4" s="3653"/>
      <c r="R4" s="3654"/>
      <c r="S4" s="3026"/>
      <c r="T4" s="3027"/>
      <c r="U4" s="3028"/>
      <c r="V4" s="3028"/>
      <c r="W4" s="3028"/>
      <c r="X4" s="3028"/>
      <c r="Y4" s="3028"/>
      <c r="Z4" s="3029"/>
    </row>
    <row r="5" spans="1:26" ht="15" customHeight="1">
      <c r="A5" s="1653" t="s">
        <v>3290</v>
      </c>
      <c r="B5" s="1655">
        <f>'Frame Dimensions'!$J$25</f>
        <v>0</v>
      </c>
      <c r="C5" s="428" t="s">
        <v>136</v>
      </c>
      <c r="D5" s="1700" t="s">
        <v>3296</v>
      </c>
      <c r="F5" s="413" t="str">
        <f>LEFT(Fan_Type,3)</f>
        <v>XOE</v>
      </c>
      <c r="G5" s="413"/>
      <c r="H5" s="3408" t="s">
        <v>4700</v>
      </c>
      <c r="I5" s="3370" t="s">
        <v>4699</v>
      </c>
      <c r="J5" s="3659" t="str">
        <f>'Select Drive &amp; Motor'!H6</f>
        <v>BP 120-35A</v>
      </c>
      <c r="K5" s="3659"/>
      <c r="L5" s="413"/>
      <c r="M5" s="413"/>
      <c r="N5" s="413"/>
      <c r="O5" s="1658"/>
      <c r="P5" s="1658"/>
      <c r="Q5" s="1659"/>
      <c r="R5" s="1660"/>
      <c r="S5" s="1940"/>
      <c r="T5" s="3030"/>
      <c r="U5" s="3024"/>
      <c r="V5" s="3024"/>
      <c r="W5" s="3024"/>
      <c r="X5" s="3024"/>
      <c r="Y5" s="3024"/>
      <c r="Z5" s="3025"/>
    </row>
    <row r="6" spans="1:26" ht="15" customHeight="1">
      <c r="A6" s="1653" t="s">
        <v>3301</v>
      </c>
      <c r="B6" s="1655" t="e">
        <f ca="1">'Frame Dimensions'!$J$27</f>
        <v>#REF!</v>
      </c>
      <c r="C6" s="428" t="s">
        <v>136</v>
      </c>
      <c r="D6" s="1700" t="s">
        <v>3297</v>
      </c>
      <c r="G6" s="413"/>
      <c r="H6" s="3369"/>
      <c r="I6" s="3370" t="s">
        <v>18</v>
      </c>
      <c r="J6" s="3409">
        <f>Pt*9.805</f>
        <v>9194</v>
      </c>
      <c r="K6" s="2908" t="s">
        <v>4648</v>
      </c>
      <c r="L6" s="435"/>
      <c r="M6" s="2901" t="s">
        <v>18</v>
      </c>
      <c r="N6" s="2913">
        <f>Pt</f>
        <v>937.68485466598679</v>
      </c>
      <c r="O6" s="2914" t="s">
        <v>190</v>
      </c>
      <c r="P6" s="1658"/>
      <c r="Q6" s="1659"/>
      <c r="R6" s="1660"/>
      <c r="S6" s="1940"/>
      <c r="T6" s="3030"/>
      <c r="U6" s="3024"/>
      <c r="V6" s="3024"/>
      <c r="W6" s="3024"/>
      <c r="X6" s="3024"/>
      <c r="Y6" s="3024"/>
      <c r="Z6" s="3025"/>
    </row>
    <row r="7" spans="1:26" ht="15" customHeight="1">
      <c r="A7" s="1653" t="s">
        <v>3291</v>
      </c>
      <c r="B7" s="1655" t="e">
        <f ca="1">'Frame Dimensions'!$J$41</f>
        <v>#REF!</v>
      </c>
      <c r="C7" s="428" t="s">
        <v>136</v>
      </c>
      <c r="D7" s="1700" t="s">
        <v>3298</v>
      </c>
      <c r="G7" s="413"/>
      <c r="H7" s="3369"/>
      <c r="I7" s="3370" t="s">
        <v>1814</v>
      </c>
      <c r="J7" s="3372">
        <f>Q</f>
        <v>76898</v>
      </c>
      <c r="K7" s="2908" t="s">
        <v>4701</v>
      </c>
      <c r="L7" s="413"/>
      <c r="M7" s="413"/>
      <c r="N7" s="413"/>
      <c r="O7" s="413"/>
      <c r="P7" s="1658"/>
      <c r="Q7" s="1659"/>
      <c r="R7" s="1660"/>
      <c r="S7" s="1940"/>
      <c r="T7" s="3030"/>
      <c r="U7" s="3024"/>
      <c r="V7" s="3024"/>
      <c r="W7" s="3024"/>
      <c r="X7" s="3024"/>
      <c r="Y7" s="3024"/>
      <c r="Z7" s="3025"/>
    </row>
    <row r="8" spans="1:26" ht="15" customHeight="1">
      <c r="A8" s="1653" t="s">
        <v>3293</v>
      </c>
      <c r="B8" s="1655" t="e">
        <f ca="1">'Frame Dimensions'!$J$43</f>
        <v>#REF!</v>
      </c>
      <c r="C8" s="428" t="s">
        <v>136</v>
      </c>
      <c r="D8" s="1700" t="s">
        <v>3299</v>
      </c>
      <c r="G8" s="413"/>
      <c r="H8" s="3369"/>
      <c r="I8" s="3370" t="s">
        <v>3867</v>
      </c>
      <c r="J8" s="3372">
        <f>Temp</f>
        <v>50</v>
      </c>
      <c r="K8" s="2908" t="s">
        <v>4702</v>
      </c>
      <c r="L8" s="435"/>
      <c r="M8" s="435"/>
      <c r="N8" s="435"/>
      <c r="O8" s="435"/>
      <c r="P8" s="1658"/>
      <c r="Q8" s="1659"/>
      <c r="R8" s="1660"/>
      <c r="S8" s="1940"/>
      <c r="T8" s="3030"/>
      <c r="U8" s="3024"/>
      <c r="V8" s="3024"/>
      <c r="W8" s="3024"/>
      <c r="X8" s="3024"/>
      <c r="Y8" s="3024"/>
      <c r="Z8" s="3025"/>
    </row>
    <row r="9" spans="1:26" ht="15" customHeight="1">
      <c r="A9" s="1653" t="s">
        <v>3314</v>
      </c>
      <c r="B9" s="1655" t="e">
        <f ca="1">MFHe</f>
        <v>#REF!</v>
      </c>
      <c r="C9" s="428" t="s">
        <v>136</v>
      </c>
      <c r="D9" s="1700" t="s">
        <v>3315</v>
      </c>
      <c r="G9" s="413"/>
      <c r="H9" s="3369"/>
      <c r="I9" s="3370" t="s">
        <v>227</v>
      </c>
      <c r="J9" s="3373">
        <f>RPM</f>
        <v>2950</v>
      </c>
      <c r="K9" s="2908" t="s">
        <v>4703</v>
      </c>
      <c r="L9" s="413"/>
      <c r="M9" s="413"/>
      <c r="N9" s="413"/>
      <c r="O9" s="413"/>
      <c r="P9" s="1658"/>
      <c r="Q9" s="1659"/>
      <c r="R9" s="1660"/>
      <c r="S9" s="1940"/>
      <c r="T9" s="3030"/>
      <c r="U9" s="3024"/>
      <c r="V9" s="3024"/>
      <c r="W9" s="3024"/>
      <c r="X9" s="3024"/>
      <c r="Y9" s="3024"/>
      <c r="Z9" s="3025"/>
    </row>
    <row r="10" spans="1:26" ht="15" customHeight="1">
      <c r="A10" s="1653" t="s">
        <v>3317</v>
      </c>
      <c r="B10" s="1655">
        <f>'Frame Dimensions'!$J$57</f>
        <v>0</v>
      </c>
      <c r="C10" s="428" t="s">
        <v>136</v>
      </c>
      <c r="D10" s="1700" t="s">
        <v>3322</v>
      </c>
      <c r="G10" s="413"/>
      <c r="H10" s="3369"/>
      <c r="I10" s="3370" t="s">
        <v>1065</v>
      </c>
      <c r="J10" s="3374">
        <f>rho_medium</f>
        <v>1.093</v>
      </c>
      <c r="K10" s="2908" t="s">
        <v>4704</v>
      </c>
      <c r="L10" s="413"/>
      <c r="M10" s="413"/>
      <c r="N10" s="413"/>
      <c r="O10" s="413"/>
      <c r="P10" s="1658"/>
      <c r="Q10" s="1659"/>
      <c r="R10" s="1660"/>
      <c r="S10" s="1940"/>
      <c r="T10" s="3030"/>
      <c r="U10" s="3024"/>
      <c r="V10" s="3024"/>
      <c r="W10" s="3024"/>
      <c r="X10" s="3024"/>
      <c r="Y10" s="3024"/>
      <c r="Z10" s="3025"/>
    </row>
    <row r="11" spans="1:26" ht="15" customHeight="1">
      <c r="A11" s="1653" t="s">
        <v>3318</v>
      </c>
      <c r="B11" s="1655">
        <f>'Frame Dimensions'!$J$59</f>
        <v>0</v>
      </c>
      <c r="C11" s="428" t="s">
        <v>136</v>
      </c>
      <c r="D11" s="1700" t="s">
        <v>3323</v>
      </c>
      <c r="G11" s="413"/>
      <c r="H11" s="3369"/>
      <c r="I11" s="3370" t="s">
        <v>1249</v>
      </c>
      <c r="J11" s="3375" t="str">
        <f>Fan_orientation</f>
        <v>RD</v>
      </c>
      <c r="K11" s="3411">
        <f>H_rotation</f>
        <v>135</v>
      </c>
      <c r="L11" s="413"/>
      <c r="M11" s="413"/>
      <c r="N11" s="413"/>
      <c r="O11" s="413"/>
      <c r="P11" s="1658"/>
      <c r="Q11" s="1659"/>
      <c r="R11" s="1660"/>
      <c r="S11" s="1940"/>
      <c r="T11" s="3030"/>
      <c r="U11" s="3024"/>
      <c r="V11" s="3024"/>
      <c r="W11" s="3024"/>
      <c r="X11" s="3024"/>
      <c r="Y11" s="3024"/>
      <c r="Z11" s="3025"/>
    </row>
    <row r="12" spans="1:26" ht="15" customHeight="1">
      <c r="A12" s="1653" t="s">
        <v>3319</v>
      </c>
      <c r="B12" s="1655">
        <f>'Frame Dimensions'!$J$73</f>
        <v>0</v>
      </c>
      <c r="C12" s="428" t="s">
        <v>136</v>
      </c>
      <c r="D12" s="1700" t="s">
        <v>3324</v>
      </c>
      <c r="G12" s="413"/>
      <c r="H12" s="3369"/>
      <c r="I12" s="3370" t="s">
        <v>93</v>
      </c>
      <c r="J12" s="3376">
        <f>'Select Drive &amp; Motor'!C20</f>
        <v>2</v>
      </c>
      <c r="K12" s="2908"/>
      <c r="L12" s="413"/>
      <c r="M12" s="413"/>
      <c r="N12" s="413"/>
      <c r="O12" s="413"/>
      <c r="P12" s="1658"/>
      <c r="Q12" s="1659"/>
      <c r="R12" s="1660"/>
      <c r="S12" s="1940"/>
      <c r="T12" s="3030"/>
      <c r="U12" s="3024"/>
      <c r="V12" s="3024"/>
      <c r="W12" s="3024"/>
      <c r="X12" s="3024"/>
      <c r="Y12" s="3024"/>
      <c r="Z12" s="3025"/>
    </row>
    <row r="13" spans="1:26" ht="15" customHeight="1">
      <c r="A13" s="1653" t="s">
        <v>3320</v>
      </c>
      <c r="B13" s="1655">
        <f>'Frame Dimensions'!$J$75</f>
        <v>0</v>
      </c>
      <c r="C13" s="428" t="s">
        <v>136</v>
      </c>
      <c r="D13" s="1700" t="s">
        <v>3325</v>
      </c>
      <c r="G13" s="413"/>
      <c r="H13" s="3369"/>
      <c r="I13" s="3370" t="s">
        <v>1019</v>
      </c>
      <c r="J13" s="3377">
        <f>'Select Drive &amp; Motor'!C21</f>
        <v>350</v>
      </c>
      <c r="K13" s="3410" t="s">
        <v>4650</v>
      </c>
      <c r="L13" s="413"/>
      <c r="M13" s="413"/>
      <c r="N13" s="413"/>
      <c r="O13" s="413"/>
      <c r="P13" s="1658"/>
      <c r="Q13" s="1659"/>
      <c r="R13" s="1660"/>
      <c r="S13" s="1940"/>
      <c r="T13" s="3030"/>
      <c r="U13" s="3024"/>
      <c r="V13" s="3024"/>
      <c r="W13" s="3024"/>
      <c r="X13" s="3024"/>
      <c r="Y13" s="3024"/>
      <c r="Z13" s="3025"/>
    </row>
    <row r="14" spans="1:26" ht="15" customHeight="1">
      <c r="A14" s="1653" t="s">
        <v>3321</v>
      </c>
      <c r="B14" s="1655">
        <f>BFHe</f>
        <v>0</v>
      </c>
      <c r="C14" s="428" t="s">
        <v>136</v>
      </c>
      <c r="D14" s="1700" t="s">
        <v>3326</v>
      </c>
      <c r="G14" s="413"/>
      <c r="H14" s="3369"/>
      <c r="I14" s="3370" t="s">
        <v>4647</v>
      </c>
      <c r="J14" s="3378" t="e">
        <f ca="1">Motor_Name</f>
        <v>#REF!</v>
      </c>
      <c r="K14" s="435"/>
      <c r="L14" s="413"/>
      <c r="M14" s="413"/>
      <c r="N14" s="413"/>
      <c r="O14" s="413"/>
      <c r="P14" s="1658"/>
      <c r="Q14" s="1659"/>
      <c r="R14" s="1660"/>
      <c r="S14" s="1940"/>
      <c r="T14" s="3030"/>
      <c r="U14" s="3024"/>
      <c r="V14" s="3024"/>
      <c r="W14" s="3024"/>
      <c r="X14" s="3024"/>
      <c r="Y14" s="3024"/>
      <c r="Z14" s="3025"/>
    </row>
    <row r="15" spans="1:26" ht="15" customHeight="1">
      <c r="A15" s="1653" t="s">
        <v>3292</v>
      </c>
      <c r="B15" s="1655" t="e">
        <f ca="1">'Frame Dimensions'!$M$90</f>
        <v>#REF!</v>
      </c>
      <c r="C15" s="428" t="s">
        <v>136</v>
      </c>
      <c r="D15" s="1700" t="s">
        <v>3295</v>
      </c>
      <c r="G15" s="413"/>
      <c r="H15" s="3369"/>
      <c r="I15" s="3371" t="s">
        <v>4649</v>
      </c>
      <c r="J15" s="3376" t="e">
        <f ca="1">MPower</f>
        <v>#REF!</v>
      </c>
      <c r="K15" s="2908" t="s">
        <v>4650</v>
      </c>
      <c r="L15" s="435"/>
      <c r="M15" s="435"/>
      <c r="N15" s="435"/>
      <c r="O15" s="435"/>
      <c r="P15" s="1658"/>
      <c r="Q15" s="1659"/>
      <c r="R15" s="1660"/>
      <c r="S15" s="1940"/>
      <c r="T15" s="3030"/>
      <c r="U15" s="3024"/>
      <c r="V15" s="3024"/>
      <c r="W15" s="3024"/>
      <c r="X15" s="3024"/>
      <c r="Y15" s="3024"/>
      <c r="Z15" s="3025"/>
    </row>
    <row r="16" spans="1:26" ht="15" customHeight="1">
      <c r="A16" s="1653" t="s">
        <v>3294</v>
      </c>
      <c r="B16" s="1655" t="e">
        <f ca="1">'Frame Dimensions'!$M$126+House_P_T</f>
        <v>#REF!</v>
      </c>
      <c r="C16" s="428" t="s">
        <v>136</v>
      </c>
      <c r="D16" s="1700" t="s">
        <v>3300</v>
      </c>
      <c r="G16" s="413"/>
      <c r="H16" s="3513"/>
      <c r="I16" s="3514" t="s">
        <v>4836</v>
      </c>
      <c r="J16" s="3376" t="e">
        <f ca="1">FLOOR('Select Drive &amp; Motor'!C5+'Select Drive &amp; Motor'!D5+'Select Drive &amp; Motor'!E5+'Select Drive &amp; Motor'!F5+Mweight,50)</f>
        <v>#REF!</v>
      </c>
      <c r="K16" s="2908" t="s">
        <v>4837</v>
      </c>
      <c r="L16" s="413"/>
      <c r="M16" s="413"/>
      <c r="N16" s="413"/>
      <c r="O16" s="1658"/>
      <c r="P16" s="1658"/>
      <c r="Q16" s="1659"/>
      <c r="R16" s="1660"/>
      <c r="S16" s="1940"/>
      <c r="T16" s="3030"/>
      <c r="U16" s="3024"/>
      <c r="V16" s="3024"/>
      <c r="W16" s="3024"/>
      <c r="X16" s="3024"/>
      <c r="Y16" s="3024"/>
      <c r="Z16" s="3025"/>
    </row>
    <row r="17" spans="1:26" ht="15" customHeight="1">
      <c r="A17" s="1653" t="s">
        <v>3302</v>
      </c>
      <c r="B17" s="1655">
        <f>'Frame Dimensions'!$J$120</f>
        <v>0</v>
      </c>
      <c r="C17" s="428" t="s">
        <v>136</v>
      </c>
      <c r="D17" s="1700" t="s">
        <v>3305</v>
      </c>
      <c r="G17" s="413"/>
      <c r="H17" s="3513"/>
      <c r="I17" s="3514" t="s">
        <v>4838</v>
      </c>
      <c r="J17" s="3376" t="e">
        <f ca="1">J16*1.2</f>
        <v>#REF!</v>
      </c>
      <c r="K17" s="2908" t="s">
        <v>4837</v>
      </c>
      <c r="L17" s="413"/>
      <c r="M17" s="413"/>
      <c r="N17" s="413"/>
      <c r="O17" s="1658"/>
      <c r="P17" s="1658"/>
      <c r="Q17" s="1659"/>
      <c r="R17" s="1660"/>
      <c r="S17" s="1940"/>
      <c r="T17" s="3030"/>
      <c r="U17" s="3024"/>
      <c r="V17" s="3024"/>
      <c r="W17" s="3024"/>
      <c r="X17" s="3024"/>
      <c r="Y17" s="3024"/>
      <c r="Z17" s="3025"/>
    </row>
    <row r="18" spans="1:26" ht="15" customHeight="1">
      <c r="A18" s="1653" t="s">
        <v>3303</v>
      </c>
      <c r="B18" s="1655" t="e">
        <f ca="1">'Frame Dimensions'!$J$122</f>
        <v>#REF!</v>
      </c>
      <c r="C18" s="428" t="s">
        <v>136</v>
      </c>
      <c r="D18" s="1700" t="s">
        <v>3306</v>
      </c>
      <c r="G18" s="413"/>
      <c r="H18" s="413"/>
      <c r="I18" s="413"/>
      <c r="J18" s="413"/>
      <c r="K18" s="413"/>
      <c r="L18" s="413"/>
      <c r="M18" s="413"/>
      <c r="N18" s="413"/>
      <c r="O18" s="1658"/>
      <c r="P18" s="1658"/>
      <c r="Q18" s="1659"/>
      <c r="R18" s="1660"/>
      <c r="S18" s="1940"/>
      <c r="T18" s="3030"/>
      <c r="U18" s="3024"/>
      <c r="V18" s="3024"/>
      <c r="W18" s="3024"/>
      <c r="X18" s="3024"/>
      <c r="Y18" s="3024"/>
      <c r="Z18" s="3025"/>
    </row>
    <row r="19" spans="1:26" ht="15" customHeight="1">
      <c r="A19" s="1653" t="s">
        <v>3304</v>
      </c>
      <c r="B19" s="1655" t="e">
        <f ca="1">'Frame Dimensions'!$L$120</f>
        <v>#REF!</v>
      </c>
      <c r="C19" s="428" t="s">
        <v>136</v>
      </c>
      <c r="D19" s="1700" t="s">
        <v>3307</v>
      </c>
      <c r="G19" s="413"/>
      <c r="H19" s="413"/>
      <c r="I19" s="413"/>
      <c r="J19" s="413"/>
      <c r="K19" s="413"/>
      <c r="L19" s="413"/>
      <c r="M19" s="413"/>
      <c r="N19" s="413"/>
      <c r="O19" s="1658"/>
      <c r="P19" s="1658"/>
      <c r="Q19" s="1659"/>
      <c r="R19" s="1660"/>
      <c r="S19" s="1940"/>
      <c r="T19" s="3030"/>
      <c r="U19" s="3024"/>
      <c r="V19" s="3024"/>
      <c r="W19" s="3024"/>
      <c r="X19" s="3024"/>
      <c r="Y19" s="3024"/>
      <c r="Z19" s="3025"/>
    </row>
    <row r="20" spans="1:26" ht="15" customHeight="1">
      <c r="A20" s="1653" t="s">
        <v>3308</v>
      </c>
      <c r="B20" s="1655">
        <f>'Frame Dimensions'!$J$124</f>
        <v>0</v>
      </c>
      <c r="C20" s="428" t="s">
        <v>136</v>
      </c>
      <c r="D20" s="1700" t="s">
        <v>3309</v>
      </c>
      <c r="G20" s="413"/>
      <c r="H20" s="413"/>
      <c r="I20" s="413"/>
      <c r="J20" s="413"/>
      <c r="K20" s="413"/>
      <c r="L20" s="413"/>
      <c r="M20" s="413"/>
      <c r="N20" s="413"/>
      <c r="O20" s="1658"/>
      <c r="P20" s="1658"/>
      <c r="Q20" s="1659"/>
      <c r="R20" s="1660"/>
      <c r="S20" s="1940"/>
      <c r="T20" s="3030"/>
      <c r="U20" s="3024"/>
      <c r="V20" s="3024"/>
      <c r="W20" s="3024"/>
      <c r="X20" s="3024"/>
      <c r="Y20" s="3024"/>
      <c r="Z20" s="3025"/>
    </row>
    <row r="21" spans="1:26" ht="15" customHeight="1">
      <c r="A21" s="1653" t="s">
        <v>3310</v>
      </c>
      <c r="B21" s="1655" t="e">
        <f ca="1">'Frame Dimensions'!$J$126</f>
        <v>#REF!</v>
      </c>
      <c r="C21" s="428" t="s">
        <v>136</v>
      </c>
      <c r="D21" s="1700" t="s">
        <v>3311</v>
      </c>
      <c r="G21" s="413"/>
      <c r="H21" s="413"/>
      <c r="I21" s="413"/>
      <c r="J21" s="413"/>
      <c r="K21" s="413"/>
      <c r="L21" s="413"/>
      <c r="M21" s="413"/>
      <c r="N21" s="413"/>
      <c r="O21" s="1658"/>
      <c r="P21" s="1658"/>
      <c r="Q21" s="1659"/>
      <c r="R21" s="1660"/>
      <c r="S21" s="1940"/>
      <c r="T21" s="3030"/>
      <c r="U21" s="3024"/>
      <c r="V21" s="3024"/>
      <c r="W21" s="3024"/>
      <c r="X21" s="3024"/>
      <c r="Y21" s="3024"/>
      <c r="Z21" s="3025"/>
    </row>
    <row r="22" spans="1:26" ht="15" customHeight="1" thickBot="1">
      <c r="A22" s="1653" t="s">
        <v>3312</v>
      </c>
      <c r="B22" s="1655" t="e">
        <f ca="1">'Frame Dimensions'!$L$124</f>
        <v>#REF!</v>
      </c>
      <c r="C22" s="428" t="s">
        <v>136</v>
      </c>
      <c r="D22" s="1700" t="s">
        <v>3313</v>
      </c>
      <c r="G22" s="413"/>
      <c r="H22" s="413"/>
      <c r="I22" s="413"/>
      <c r="J22" s="413"/>
      <c r="K22" s="413"/>
      <c r="L22" s="413"/>
      <c r="M22" s="413"/>
      <c r="N22" s="413"/>
      <c r="O22" s="1658"/>
      <c r="P22" s="1658"/>
      <c r="Q22" s="1659"/>
      <c r="R22" s="1660"/>
      <c r="S22" s="1940"/>
      <c r="T22" s="3030"/>
      <c r="U22" s="3024"/>
      <c r="V22" s="3024"/>
      <c r="W22" s="3024"/>
      <c r="X22" s="3024"/>
      <c r="Y22" s="3024"/>
      <c r="Z22" s="3025"/>
    </row>
    <row r="23" spans="1:26" ht="15" customHeight="1" thickBot="1">
      <c r="A23" s="2248" t="s">
        <v>1211</v>
      </c>
      <c r="B23" s="1416">
        <v>0</v>
      </c>
      <c r="C23" s="1415" t="s">
        <v>1114</v>
      </c>
      <c r="D23" s="1741" t="e">
        <f ca="1">'Frame Dimensions'!$C$25</f>
        <v>#REF!</v>
      </c>
      <c r="E23" s="1781"/>
      <c r="F23" s="1781"/>
      <c r="G23" s="1781"/>
      <c r="H23" s="1781"/>
      <c r="I23" s="1781"/>
      <c r="J23" s="1781"/>
      <c r="K23" s="2315"/>
      <c r="L23" s="2315"/>
      <c r="M23" s="2315"/>
      <c r="N23" s="2315"/>
      <c r="O23" s="2315"/>
      <c r="P23" s="2315"/>
      <c r="Q23" s="2318"/>
      <c r="R23" s="2317"/>
      <c r="S23" s="3026"/>
      <c r="T23" s="3027"/>
      <c r="U23" s="3028"/>
      <c r="V23" s="3028"/>
      <c r="W23" s="3028"/>
      <c r="X23" s="3028"/>
      <c r="Y23" s="3028"/>
      <c r="Z23" s="3029"/>
    </row>
    <row r="24" spans="1:26" ht="15" customHeight="1">
      <c r="A24" s="429" t="s">
        <v>1179</v>
      </c>
      <c r="B24" s="1720" t="e">
        <f ca="1">IF(Small_F,0,VLOOKUP($D23,Iron_dim,2,FALSE))</f>
        <v>#REF!</v>
      </c>
      <c r="C24" s="428" t="s">
        <v>136</v>
      </c>
      <c r="D24" s="1114" t="s">
        <v>3280</v>
      </c>
      <c r="G24" s="413"/>
      <c r="H24" s="413"/>
      <c r="I24" s="413"/>
      <c r="J24" s="413"/>
      <c r="K24" s="438"/>
      <c r="L24" s="438"/>
      <c r="M24" s="438"/>
      <c r="N24" s="438"/>
      <c r="O24" s="438"/>
      <c r="P24" s="438"/>
      <c r="Q24" s="439"/>
      <c r="R24" s="440"/>
      <c r="S24" s="3031"/>
      <c r="T24" s="3030"/>
      <c r="U24" s="3024"/>
      <c r="V24" s="3024"/>
      <c r="W24" s="3024"/>
      <c r="X24" s="3024"/>
      <c r="Y24" s="3024"/>
      <c r="Z24" s="3025"/>
    </row>
    <row r="25" spans="1:26" ht="15" customHeight="1">
      <c r="A25" s="429" t="s">
        <v>1175</v>
      </c>
      <c r="B25" s="1720" t="e">
        <f ca="1">IF(Small_F,0,VLOOKUP($D23,Iron_dim,3,FALSE))</f>
        <v>#REF!</v>
      </c>
      <c r="C25" s="428" t="s">
        <v>136</v>
      </c>
      <c r="D25" s="1114" t="s">
        <v>3281</v>
      </c>
      <c r="G25" s="413"/>
      <c r="H25" s="413"/>
      <c r="I25" s="413"/>
      <c r="J25" s="413"/>
      <c r="K25" s="438"/>
      <c r="L25" s="438"/>
      <c r="M25" s="438"/>
      <c r="N25" s="438"/>
      <c r="O25" s="438"/>
      <c r="P25" s="438"/>
      <c r="Q25" s="439"/>
      <c r="R25" s="440"/>
      <c r="S25" s="3031"/>
      <c r="T25" s="3030"/>
      <c r="U25" s="3024"/>
      <c r="V25" s="3024"/>
      <c r="W25" s="3024"/>
      <c r="X25" s="3024"/>
      <c r="Y25" s="3024"/>
      <c r="Z25" s="3025"/>
    </row>
    <row r="26" spans="1:26" ht="15" customHeight="1">
      <c r="A26" s="429" t="s">
        <v>1178</v>
      </c>
      <c r="B26" s="1720" t="e">
        <f ca="1">IF(Small_F,0,VLOOKUP($D23,Iron_dim,4,FALSE))</f>
        <v>#REF!</v>
      </c>
      <c r="C26" s="428" t="s">
        <v>136</v>
      </c>
      <c r="D26" s="1114" t="s">
        <v>3282</v>
      </c>
      <c r="G26" s="413"/>
      <c r="H26" s="413"/>
      <c r="I26" s="413"/>
      <c r="J26" s="413"/>
      <c r="K26" s="438"/>
      <c r="L26" s="438"/>
      <c r="M26" s="438"/>
      <c r="N26" s="438"/>
      <c r="O26" s="438"/>
      <c r="P26" s="438"/>
      <c r="Q26" s="439"/>
      <c r="R26" s="440"/>
      <c r="S26" s="3031"/>
      <c r="T26" s="3030"/>
      <c r="U26" s="3024"/>
      <c r="V26" s="3024"/>
      <c r="W26" s="3024"/>
      <c r="X26" s="3024"/>
      <c r="Y26" s="3024"/>
      <c r="Z26" s="3025"/>
    </row>
    <row r="27" spans="1:26" ht="15" customHeight="1">
      <c r="A27" s="429" t="s">
        <v>1176</v>
      </c>
      <c r="B27" s="1720" t="e">
        <f ca="1">IF(Small_F,0,VLOOKUP($D23,Iron_dim,5,FALSE))</f>
        <v>#REF!</v>
      </c>
      <c r="C27" s="428" t="s">
        <v>136</v>
      </c>
      <c r="D27" s="1114" t="s">
        <v>3283</v>
      </c>
      <c r="G27" s="413"/>
      <c r="H27" s="413"/>
      <c r="I27" s="413"/>
      <c r="J27" s="413"/>
      <c r="K27" s="438"/>
      <c r="L27" s="438"/>
      <c r="M27" s="438"/>
      <c r="N27" s="438"/>
      <c r="O27" s="438"/>
      <c r="P27" s="438"/>
      <c r="Q27" s="441"/>
      <c r="R27" s="440"/>
      <c r="S27" s="3031"/>
      <c r="T27" s="3030"/>
      <c r="U27" s="3024"/>
      <c r="V27" s="3024"/>
      <c r="W27" s="3024"/>
      <c r="X27" s="3024"/>
      <c r="Y27" s="3024"/>
      <c r="Z27" s="3025"/>
    </row>
    <row r="28" spans="1:26" ht="15" customHeight="1">
      <c r="A28" s="1696" t="s">
        <v>1177</v>
      </c>
      <c r="B28" s="1732" t="e">
        <f ca="1">IF(Small_F,0,VLOOKUP($D23,Iron_dim,6,FALSE))</f>
        <v>#REF!</v>
      </c>
      <c r="C28" s="1692" t="s">
        <v>136</v>
      </c>
      <c r="D28" s="1693" t="s">
        <v>3284</v>
      </c>
      <c r="E28" s="435"/>
      <c r="F28" s="435"/>
      <c r="G28" s="435"/>
      <c r="H28" s="435"/>
      <c r="I28" s="435"/>
      <c r="J28" s="435"/>
      <c r="K28" s="442"/>
      <c r="L28" s="442"/>
      <c r="M28" s="442"/>
      <c r="N28" s="442"/>
      <c r="O28" s="442"/>
      <c r="P28" s="442"/>
      <c r="Q28" s="443"/>
      <c r="R28" s="444"/>
      <c r="S28" s="3031"/>
      <c r="T28" s="3030"/>
      <c r="U28" s="3024"/>
      <c r="V28" s="3024"/>
      <c r="W28" s="3024"/>
      <c r="X28" s="3024"/>
      <c r="Y28" s="3024"/>
      <c r="Z28" s="3025"/>
    </row>
    <row r="29" spans="1:26" ht="15" customHeight="1">
      <c r="A29" s="1694" t="s">
        <v>3384</v>
      </c>
      <c r="B29" s="1717" t="e">
        <f ca="1">'Frame Dimensions'!$D$25</f>
        <v>#REF!</v>
      </c>
      <c r="C29" s="1695" t="s">
        <v>136</v>
      </c>
      <c r="D29" s="1664" t="s">
        <v>3412</v>
      </c>
      <c r="G29" s="413"/>
      <c r="H29" s="413"/>
      <c r="I29" s="413"/>
      <c r="J29" s="413"/>
      <c r="K29" s="438"/>
      <c r="L29" s="438"/>
      <c r="M29" s="438"/>
      <c r="N29" s="438"/>
      <c r="O29" s="438"/>
      <c r="P29" s="441"/>
      <c r="Q29" s="441"/>
      <c r="R29" s="440"/>
      <c r="S29" s="3024"/>
      <c r="T29" s="3030"/>
      <c r="U29" s="3024"/>
      <c r="V29" s="3024"/>
      <c r="W29" s="3024"/>
      <c r="X29" s="3024"/>
      <c r="Y29" s="3024"/>
      <c r="Z29" s="3025"/>
    </row>
    <row r="30" spans="1:26" ht="15" customHeight="1">
      <c r="A30" s="943" t="s">
        <v>3387</v>
      </c>
      <c r="B30" s="1716" t="e">
        <f ca="1">'Frame Dimensions'!$D$29</f>
        <v>#REF!</v>
      </c>
      <c r="C30" s="428" t="s">
        <v>136</v>
      </c>
      <c r="D30" s="1114" t="s">
        <v>3383</v>
      </c>
      <c r="E30" s="435"/>
      <c r="F30" s="435"/>
      <c r="G30" s="435"/>
      <c r="H30" s="435"/>
      <c r="I30" s="435"/>
      <c r="J30" s="435"/>
      <c r="K30" s="442"/>
      <c r="L30" s="442"/>
      <c r="M30" s="442"/>
      <c r="N30" s="442"/>
      <c r="O30" s="442"/>
      <c r="P30" s="443"/>
      <c r="Q30" s="443"/>
      <c r="R30" s="444"/>
      <c r="S30" s="3024"/>
      <c r="T30" s="3030"/>
      <c r="U30" s="3024"/>
      <c r="V30" s="3024"/>
      <c r="W30" s="3024"/>
      <c r="X30" s="3024"/>
      <c r="Y30" s="3024"/>
      <c r="Z30" s="3025"/>
    </row>
    <row r="31" spans="1:26" ht="15" customHeight="1">
      <c r="A31" s="943" t="s">
        <v>3385</v>
      </c>
      <c r="B31" s="1655" t="e">
        <f ca="1">'Frame Dimensions'!$N$29</f>
        <v>#REF!</v>
      </c>
      <c r="C31" s="428" t="s">
        <v>136</v>
      </c>
      <c r="D31" s="1114" t="s">
        <v>3391</v>
      </c>
      <c r="G31" s="413"/>
      <c r="H31" s="413"/>
      <c r="I31" s="413"/>
      <c r="J31" s="413"/>
      <c r="K31" s="438"/>
      <c r="L31" s="438"/>
      <c r="M31" s="438"/>
      <c r="N31" s="438"/>
      <c r="O31" s="438"/>
      <c r="P31" s="441"/>
      <c r="Q31" s="441"/>
      <c r="R31" s="440"/>
      <c r="S31" s="3024"/>
      <c r="T31" s="3030"/>
      <c r="U31" s="3024"/>
      <c r="V31" s="3024"/>
      <c r="W31" s="3024"/>
      <c r="X31" s="3024"/>
      <c r="Y31" s="3024"/>
      <c r="Z31" s="3025"/>
    </row>
    <row r="32" spans="1:26" ht="15" customHeight="1">
      <c r="A32" s="943" t="s">
        <v>3502</v>
      </c>
      <c r="B32" s="1655" t="e">
        <f ca="1">IF(Small_F,0,'Frame Dimensions'!$L$33-'Frame Dimensions'!$L$29)</f>
        <v>#REF!</v>
      </c>
      <c r="C32" s="428" t="s">
        <v>136</v>
      </c>
      <c r="D32" s="1114" t="s">
        <v>3503</v>
      </c>
      <c r="G32" s="413"/>
      <c r="H32" s="413"/>
      <c r="I32" s="413"/>
      <c r="J32" s="413"/>
      <c r="K32" s="438"/>
      <c r="L32" s="438"/>
      <c r="M32" s="438"/>
      <c r="N32" s="438"/>
      <c r="O32" s="438"/>
      <c r="P32" s="441"/>
      <c r="Q32" s="441"/>
      <c r="R32" s="440"/>
      <c r="S32" s="3024"/>
      <c r="T32" s="3030"/>
      <c r="U32" s="3024"/>
      <c r="V32" s="3024"/>
      <c r="W32" s="3024"/>
      <c r="X32" s="3024"/>
      <c r="Y32" s="3024"/>
      <c r="Z32" s="3025"/>
    </row>
    <row r="33" spans="1:26" ht="15" customHeight="1">
      <c r="A33" s="943" t="s">
        <v>3388</v>
      </c>
      <c r="B33" s="1716" t="e">
        <f ca="1">IF(Small_F,'Frame Dimensions'!$D$103,0)</f>
        <v>#REF!</v>
      </c>
      <c r="C33" s="428" t="s">
        <v>136</v>
      </c>
      <c r="D33" s="1114" t="s">
        <v>3422</v>
      </c>
      <c r="E33" s="435"/>
      <c r="F33" s="435"/>
      <c r="G33" s="435"/>
      <c r="H33" s="435"/>
      <c r="I33" s="435"/>
      <c r="J33" s="435"/>
      <c r="K33" s="442"/>
      <c r="L33" s="442"/>
      <c r="M33" s="442"/>
      <c r="N33" s="442"/>
      <c r="O33" s="442"/>
      <c r="P33" s="443"/>
      <c r="Q33" s="443"/>
      <c r="R33" s="444"/>
      <c r="S33" s="3024"/>
      <c r="T33" s="3030"/>
      <c r="U33" s="3024"/>
      <c r="V33" s="3024"/>
      <c r="W33" s="3024"/>
      <c r="X33" s="3024"/>
      <c r="Y33" s="3024"/>
      <c r="Z33" s="3025"/>
    </row>
    <row r="34" spans="1:26" ht="15" customHeight="1">
      <c r="A34" s="943" t="s">
        <v>3408</v>
      </c>
      <c r="B34" s="1716" t="e">
        <f ca="1">IF(Small_F,'Frame Dimensions'!$O$103-'Frame Dimensions'!$L$103,0)</f>
        <v>#REF!</v>
      </c>
      <c r="C34" s="428" t="s">
        <v>136</v>
      </c>
      <c r="D34" s="1114" t="s">
        <v>3411</v>
      </c>
      <c r="E34" s="435"/>
      <c r="F34" s="435"/>
      <c r="G34" s="435"/>
      <c r="H34" s="435"/>
      <c r="I34" s="435"/>
      <c r="J34" s="435"/>
      <c r="K34" s="442"/>
      <c r="L34" s="442"/>
      <c r="M34" s="442"/>
      <c r="N34" s="442"/>
      <c r="O34" s="442"/>
      <c r="P34" s="443"/>
      <c r="Q34" s="443"/>
      <c r="R34" s="444"/>
      <c r="S34" s="3024"/>
      <c r="T34" s="3030"/>
      <c r="U34" s="3024"/>
      <c r="V34" s="3024"/>
      <c r="W34" s="3024"/>
      <c r="X34" s="3024"/>
      <c r="Y34" s="3024"/>
      <c r="Z34" s="3025"/>
    </row>
    <row r="35" spans="1:26" ht="15" customHeight="1">
      <c r="A35" s="943" t="s">
        <v>3390</v>
      </c>
      <c r="B35" s="1716" t="e">
        <f ca="1">IF(Small_F,MSMM_He,0)</f>
        <v>#REF!</v>
      </c>
      <c r="C35" s="428" t="s">
        <v>136</v>
      </c>
      <c r="D35" s="1114" t="s">
        <v>3389</v>
      </c>
      <c r="E35" s="435"/>
      <c r="F35" s="435"/>
      <c r="G35" s="435"/>
      <c r="H35" s="435"/>
      <c r="I35" s="435"/>
      <c r="J35" s="435"/>
      <c r="K35" s="442"/>
      <c r="L35" s="442"/>
      <c r="M35" s="442"/>
      <c r="N35" s="442"/>
      <c r="O35" s="442"/>
      <c r="P35" s="443"/>
      <c r="Q35" s="443"/>
      <c r="R35" s="444"/>
      <c r="S35" s="3024"/>
      <c r="T35" s="3030"/>
      <c r="U35" s="3024"/>
      <c r="V35" s="3024"/>
      <c r="W35" s="3024"/>
      <c r="X35" s="3024"/>
      <c r="Y35" s="3024"/>
      <c r="Z35" s="3025"/>
    </row>
    <row r="36" spans="1:26" ht="15" customHeight="1">
      <c r="A36" s="943" t="s">
        <v>3386</v>
      </c>
      <c r="B36" s="1718" t="e">
        <f ca="1">IF(Small_F,'Frame Dimensions'!$K$103,0)</f>
        <v>#REF!</v>
      </c>
      <c r="C36" s="428" t="s">
        <v>136</v>
      </c>
      <c r="D36" s="1114" t="s">
        <v>3401</v>
      </c>
      <c r="E36" s="435"/>
      <c r="F36" s="435"/>
      <c r="G36" s="435"/>
      <c r="H36" s="435"/>
      <c r="I36" s="435"/>
      <c r="J36" s="435"/>
      <c r="K36" s="442"/>
      <c r="L36" s="442"/>
      <c r="M36" s="442"/>
      <c r="N36" s="442"/>
      <c r="O36" s="442"/>
      <c r="P36" s="443"/>
      <c r="Q36" s="443"/>
      <c r="R36" s="444"/>
      <c r="S36" s="3024"/>
      <c r="T36" s="3030"/>
      <c r="U36" s="3024"/>
      <c r="V36" s="3024"/>
      <c r="W36" s="3024"/>
      <c r="X36" s="3024"/>
      <c r="Y36" s="3024"/>
      <c r="Z36" s="3025"/>
    </row>
    <row r="37" spans="1:26" ht="15" customHeight="1">
      <c r="A37" s="3512" t="s">
        <v>4832</v>
      </c>
      <c r="B37" s="1718" t="e">
        <f ca="1">IF(Small_F,'Frame Dimensions'!$J$105-'Frame Dimensions'!$J$103,0)</f>
        <v>#REF!</v>
      </c>
      <c r="C37" s="428" t="s">
        <v>136</v>
      </c>
      <c r="D37" s="1114" t="s">
        <v>3423</v>
      </c>
      <c r="E37" s="435"/>
      <c r="F37" s="435"/>
      <c r="G37" s="435"/>
      <c r="H37" s="435"/>
      <c r="I37" s="435"/>
      <c r="J37" s="435"/>
      <c r="K37" s="442"/>
      <c r="L37" s="442"/>
      <c r="M37" s="442"/>
      <c r="N37" s="442"/>
      <c r="O37" s="442"/>
      <c r="P37" s="443"/>
      <c r="Q37" s="443"/>
      <c r="R37" s="444"/>
      <c r="S37" s="3024"/>
      <c r="T37" s="3030"/>
      <c r="U37" s="3024"/>
      <c r="V37" s="3024"/>
      <c r="W37" s="3024"/>
      <c r="X37" s="3024"/>
      <c r="Y37" s="3024"/>
      <c r="Z37" s="3025"/>
    </row>
    <row r="38" spans="1:26" ht="15" customHeight="1" thickBot="1">
      <c r="A38" s="943" t="s">
        <v>3504</v>
      </c>
      <c r="B38" s="1655" t="e">
        <f ca="1">IF(Small_F,'Frame Dimensions'!$O$104-'Frame Dimensions'!$L$104,0)</f>
        <v>#REF!</v>
      </c>
      <c r="C38" s="428" t="s">
        <v>136</v>
      </c>
      <c r="D38" s="1114" t="s">
        <v>3503</v>
      </c>
      <c r="G38" s="413"/>
      <c r="H38" s="413"/>
      <c r="I38" s="413"/>
      <c r="J38" s="413"/>
      <c r="K38" s="438"/>
      <c r="L38" s="438"/>
      <c r="M38" s="438"/>
      <c r="N38" s="438"/>
      <c r="O38" s="438"/>
      <c r="P38" s="441"/>
      <c r="Q38" s="441"/>
      <c r="R38" s="440"/>
      <c r="S38" s="3024"/>
      <c r="T38" s="3030"/>
      <c r="U38" s="3024"/>
      <c r="V38" s="3024"/>
      <c r="W38" s="3024"/>
      <c r="X38" s="3024"/>
      <c r="Y38" s="3024"/>
      <c r="Z38" s="3025"/>
    </row>
    <row r="39" spans="1:26" ht="15" customHeight="1" thickBot="1">
      <c r="A39" s="2248" t="s">
        <v>3480</v>
      </c>
      <c r="B39" s="1416">
        <v>0</v>
      </c>
      <c r="C39" s="1415" t="s">
        <v>1114</v>
      </c>
      <c r="D39" s="1741" t="e">
        <f ca="1">'Frame Dimensions'!$C$37</f>
        <v>#REF!</v>
      </c>
      <c r="E39" s="1781"/>
      <c r="F39" s="1781"/>
      <c r="G39" s="1781"/>
      <c r="H39" s="1781"/>
      <c r="I39" s="1781"/>
      <c r="J39" s="1781"/>
      <c r="K39" s="2308"/>
      <c r="L39" s="1781"/>
      <c r="M39" s="1781"/>
      <c r="N39" s="1781"/>
      <c r="O39" s="1781"/>
      <c r="P39" s="1781"/>
      <c r="Q39" s="1781"/>
      <c r="R39" s="2309"/>
      <c r="S39" s="3032"/>
      <c r="T39" s="3027"/>
      <c r="U39" s="3033"/>
      <c r="V39" s="3028"/>
      <c r="W39" s="3033"/>
      <c r="X39" s="3028"/>
      <c r="Y39" s="3033"/>
      <c r="Z39" s="3034"/>
    </row>
    <row r="40" spans="1:26" ht="15" customHeight="1">
      <c r="A40" s="1653" t="s">
        <v>3481</v>
      </c>
      <c r="B40" s="1716" t="e">
        <f ca="1">'Frame Dimensions'!$G$37</f>
        <v>#REF!</v>
      </c>
      <c r="C40" s="1654" t="s">
        <v>136</v>
      </c>
      <c r="D40" s="1701" t="s">
        <v>3482</v>
      </c>
      <c r="G40" s="413"/>
      <c r="H40" s="413"/>
      <c r="I40" s="413"/>
      <c r="J40" s="413"/>
      <c r="K40" s="451"/>
      <c r="L40" s="413"/>
      <c r="M40" s="413"/>
      <c r="N40" s="413"/>
      <c r="O40" s="413"/>
      <c r="P40" s="413"/>
      <c r="Q40" s="413"/>
      <c r="R40" s="448"/>
      <c r="S40" s="3035"/>
      <c r="T40" s="3030"/>
      <c r="U40" s="3036"/>
      <c r="V40" s="3024"/>
      <c r="W40" s="3036"/>
      <c r="X40" s="3024"/>
      <c r="Y40" s="3036"/>
      <c r="Z40" s="3037"/>
    </row>
    <row r="41" spans="1:26" ht="15" customHeight="1">
      <c r="A41" s="1653" t="s">
        <v>4178</v>
      </c>
      <c r="B41" s="1716" t="e">
        <f ca="1">'Frame Dimensions'!$E$37</f>
        <v>#REF!</v>
      </c>
      <c r="C41" s="1654" t="s">
        <v>136</v>
      </c>
      <c r="D41" s="1701" t="s">
        <v>4180</v>
      </c>
      <c r="G41" s="413"/>
      <c r="H41" s="413"/>
      <c r="I41" s="413"/>
      <c r="J41" s="413"/>
      <c r="K41" s="451"/>
      <c r="L41" s="413"/>
      <c r="M41" s="413"/>
      <c r="N41" s="413"/>
      <c r="O41" s="413"/>
      <c r="P41" s="413"/>
      <c r="Q41" s="413"/>
      <c r="R41" s="448"/>
      <c r="S41" s="3035"/>
      <c r="T41" s="3030"/>
      <c r="U41" s="3036"/>
      <c r="V41" s="3024"/>
      <c r="W41" s="3036"/>
      <c r="X41" s="3024"/>
      <c r="Y41" s="3036"/>
      <c r="Z41" s="3037"/>
    </row>
    <row r="42" spans="1:26" ht="15" customHeight="1">
      <c r="A42" s="1653" t="s">
        <v>4179</v>
      </c>
      <c r="B42" s="1716" t="e">
        <f ca="1">'Frame Dimensions'!$E$53</f>
        <v>#REF!</v>
      </c>
      <c r="C42" s="1654" t="s">
        <v>136</v>
      </c>
      <c r="D42" s="1701" t="s">
        <v>4181</v>
      </c>
      <c r="G42" s="413"/>
      <c r="H42" s="413"/>
      <c r="I42" s="413"/>
      <c r="J42" s="413"/>
      <c r="K42" s="451"/>
      <c r="L42" s="413"/>
      <c r="M42" s="413"/>
      <c r="N42" s="413"/>
      <c r="O42" s="413"/>
      <c r="P42" s="413"/>
      <c r="Q42" s="413"/>
      <c r="R42" s="448"/>
      <c r="S42" s="3035"/>
      <c r="T42" s="3030"/>
      <c r="U42" s="3036"/>
      <c r="V42" s="3024"/>
      <c r="W42" s="3036"/>
      <c r="X42" s="3024"/>
      <c r="Y42" s="3036"/>
      <c r="Z42" s="3037"/>
    </row>
    <row r="43" spans="1:26" ht="15" customHeight="1">
      <c r="A43" s="1653" t="s">
        <v>3483</v>
      </c>
      <c r="B43" s="1716" t="e">
        <f ca="1">'Frame Dimensions'!$F$37</f>
        <v>#REF!</v>
      </c>
      <c r="C43" s="1654" t="s">
        <v>136</v>
      </c>
      <c r="D43" s="1701" t="s">
        <v>3484</v>
      </c>
      <c r="G43" s="413"/>
      <c r="H43" s="413"/>
      <c r="I43" s="413"/>
      <c r="J43" s="413"/>
      <c r="K43" s="451"/>
      <c r="L43" s="413"/>
      <c r="M43" s="413"/>
      <c r="N43" s="413"/>
      <c r="O43" s="413"/>
      <c r="P43" s="413"/>
      <c r="Q43" s="413"/>
      <c r="R43" s="448"/>
      <c r="S43" s="3035"/>
      <c r="T43" s="3030"/>
      <c r="U43" s="3036"/>
      <c r="V43" s="3024"/>
      <c r="W43" s="3036"/>
      <c r="X43" s="3024"/>
      <c r="Y43" s="3036"/>
      <c r="Z43" s="3037"/>
    </row>
    <row r="44" spans="1:26" ht="15" customHeight="1">
      <c r="A44" s="1653" t="s">
        <v>3485</v>
      </c>
      <c r="B44" s="1716" t="e">
        <f ca="1">'Frame Dimensions'!$D$37</f>
        <v>#REF!</v>
      </c>
      <c r="C44" s="1654" t="s">
        <v>136</v>
      </c>
      <c r="D44" s="1701" t="s">
        <v>3486</v>
      </c>
      <c r="G44" s="413"/>
      <c r="H44" s="413"/>
      <c r="I44" s="413"/>
      <c r="J44" s="413"/>
      <c r="K44" s="451"/>
      <c r="L44" s="413"/>
      <c r="M44" s="413"/>
      <c r="N44" s="413"/>
      <c r="O44" s="413"/>
      <c r="P44" s="413"/>
      <c r="Q44" s="413"/>
      <c r="R44" s="448"/>
      <c r="S44" s="3035"/>
      <c r="T44" s="3030"/>
      <c r="U44" s="3036"/>
      <c r="V44" s="3024"/>
      <c r="W44" s="3036"/>
      <c r="X44" s="3024"/>
      <c r="Y44" s="3036"/>
      <c r="Z44" s="3037"/>
    </row>
    <row r="45" spans="1:26" ht="15" customHeight="1">
      <c r="A45" s="1653" t="s">
        <v>3487</v>
      </c>
      <c r="B45" s="1716">
        <f>'Frame Dimensions'!$J$37</f>
        <v>0</v>
      </c>
      <c r="C45" s="1654" t="s">
        <v>136</v>
      </c>
      <c r="D45" s="1701" t="s">
        <v>3488</v>
      </c>
      <c r="G45" s="413"/>
      <c r="H45" s="413"/>
      <c r="I45" s="413"/>
      <c r="J45" s="413"/>
      <c r="K45" s="451"/>
      <c r="L45" s="413"/>
      <c r="M45" s="413"/>
      <c r="N45" s="413"/>
      <c r="O45" s="413"/>
      <c r="P45" s="413"/>
      <c r="Q45" s="413"/>
      <c r="R45" s="448"/>
      <c r="S45" s="3035"/>
      <c r="T45" s="3030"/>
      <c r="U45" s="3036"/>
      <c r="V45" s="3024"/>
      <c r="W45" s="3036"/>
      <c r="X45" s="3024"/>
      <c r="Y45" s="3036"/>
      <c r="Z45" s="3037"/>
    </row>
    <row r="46" spans="1:26" ht="15" customHeight="1" thickBot="1">
      <c r="A46" s="1653" t="s">
        <v>3489</v>
      </c>
      <c r="B46" s="1716" t="e">
        <f ca="1">'Frame Dimensions'!$J$53</f>
        <v>#REF!</v>
      </c>
      <c r="C46" s="1654" t="s">
        <v>136</v>
      </c>
      <c r="D46" s="1701" t="s">
        <v>3490</v>
      </c>
      <c r="G46" s="413"/>
      <c r="H46" s="413"/>
      <c r="I46" s="413"/>
      <c r="J46" s="413"/>
      <c r="K46" s="451"/>
      <c r="L46" s="413"/>
      <c r="M46" s="413"/>
      <c r="N46" s="413"/>
      <c r="O46" s="413"/>
      <c r="P46" s="413"/>
      <c r="Q46" s="413"/>
      <c r="R46" s="448"/>
      <c r="S46" s="3035"/>
      <c r="T46" s="3030"/>
      <c r="U46" s="3036"/>
      <c r="V46" s="3024"/>
      <c r="W46" s="3036"/>
      <c r="X46" s="3024"/>
      <c r="Y46" s="3036"/>
      <c r="Z46" s="3037"/>
    </row>
    <row r="47" spans="1:26" ht="15" customHeight="1" thickBot="1">
      <c r="A47" s="2260" t="s">
        <v>3234</v>
      </c>
      <c r="B47" s="1165">
        <v>0</v>
      </c>
      <c r="C47" s="430" t="s">
        <v>1114</v>
      </c>
      <c r="D47" s="2259" t="e">
        <f ca="1">'Frame Dimensions'!$C$103</f>
        <v>#REF!</v>
      </c>
      <c r="E47" s="1781"/>
      <c r="F47" s="1781"/>
      <c r="G47" s="1781"/>
      <c r="H47" s="1781"/>
      <c r="I47" s="1781"/>
      <c r="J47" s="1781"/>
      <c r="K47" s="2315"/>
      <c r="L47" s="2315"/>
      <c r="M47" s="2315"/>
      <c r="N47" s="2315"/>
      <c r="O47" s="2315"/>
      <c r="P47" s="2315"/>
      <c r="Q47" s="2316"/>
      <c r="R47" s="2317"/>
      <c r="S47" s="3026"/>
      <c r="T47" s="3038"/>
      <c r="U47" s="3028"/>
      <c r="V47" s="3028"/>
      <c r="W47" s="3039"/>
      <c r="X47" s="3028"/>
      <c r="Y47" s="3039"/>
      <c r="Z47" s="3040"/>
    </row>
    <row r="48" spans="1:26" ht="15" customHeight="1">
      <c r="A48" s="943" t="s">
        <v>3236</v>
      </c>
      <c r="B48" s="1716" t="e">
        <f ca="1">'Frame Dimensions'!$G$103</f>
        <v>#REF!</v>
      </c>
      <c r="C48" s="428" t="s">
        <v>136</v>
      </c>
      <c r="D48" s="1114" t="s">
        <v>3265</v>
      </c>
      <c r="G48" s="413"/>
      <c r="H48" s="413"/>
      <c r="I48" s="413"/>
      <c r="J48" s="413"/>
      <c r="K48" s="432"/>
      <c r="L48" s="438"/>
      <c r="M48" s="438"/>
      <c r="N48" s="438"/>
      <c r="O48" s="438"/>
      <c r="P48" s="438"/>
      <c r="Q48" s="441"/>
      <c r="R48" s="440"/>
      <c r="S48" s="3031"/>
      <c r="T48" s="3030"/>
      <c r="U48" s="3024"/>
      <c r="V48" s="3041"/>
      <c r="W48" s="3024"/>
      <c r="X48" s="3024"/>
      <c r="Y48" s="3041"/>
      <c r="Z48" s="3025"/>
    </row>
    <row r="49" spans="1:26" ht="15" customHeight="1">
      <c r="A49" s="943" t="s">
        <v>3238</v>
      </c>
      <c r="B49" s="1716" t="e">
        <f ca="1">'Frame Dimensions'!$F$103</f>
        <v>#REF!</v>
      </c>
      <c r="C49" s="428" t="s">
        <v>136</v>
      </c>
      <c r="D49" s="1114" t="s">
        <v>3270</v>
      </c>
      <c r="G49" s="413"/>
      <c r="H49" s="413"/>
      <c r="I49" s="413"/>
      <c r="J49" s="413"/>
      <c r="K49" s="438"/>
      <c r="L49" s="438"/>
      <c r="M49" s="438"/>
      <c r="N49" s="438"/>
      <c r="O49" s="438"/>
      <c r="P49" s="438"/>
      <c r="Q49" s="441"/>
      <c r="R49" s="440"/>
      <c r="S49" s="3031"/>
      <c r="T49" s="3030"/>
      <c r="U49" s="3024"/>
      <c r="V49" s="3024"/>
      <c r="W49" s="3024"/>
      <c r="X49" s="3024"/>
      <c r="Y49" s="3024"/>
      <c r="Z49" s="3025"/>
    </row>
    <row r="50" spans="1:26" ht="15" customHeight="1">
      <c r="A50" s="943" t="s">
        <v>3244</v>
      </c>
      <c r="B50" s="1718" t="e">
        <f ca="1">'Frame Dimensions'!$K$103</f>
        <v>#REF!</v>
      </c>
      <c r="C50" s="428" t="s">
        <v>136</v>
      </c>
      <c r="D50" s="1114" t="s">
        <v>3392</v>
      </c>
      <c r="G50" s="413"/>
      <c r="H50" s="413"/>
      <c r="I50" s="413"/>
      <c r="J50" s="413"/>
      <c r="K50" s="438"/>
      <c r="L50" s="438"/>
      <c r="M50" s="438"/>
      <c r="N50" s="438"/>
      <c r="O50" s="438"/>
      <c r="P50" s="438"/>
      <c r="Q50" s="441"/>
      <c r="R50" s="440"/>
      <c r="S50" s="3031"/>
      <c r="T50" s="3030"/>
      <c r="U50" s="3024"/>
      <c r="V50" s="3024"/>
      <c r="W50" s="3024"/>
      <c r="X50" s="3024"/>
      <c r="Y50" s="3024"/>
      <c r="Z50" s="3025"/>
    </row>
    <row r="51" spans="1:26" ht="15" customHeight="1">
      <c r="A51" s="943" t="s">
        <v>3237</v>
      </c>
      <c r="B51" s="1718" t="e">
        <f ca="1">'Frame Dimensions'!$D$103</f>
        <v>#REF!</v>
      </c>
      <c r="C51" s="428" t="s">
        <v>136</v>
      </c>
      <c r="D51" s="1114" t="s">
        <v>3359</v>
      </c>
      <c r="G51" s="413"/>
      <c r="H51" s="413"/>
      <c r="I51" s="413"/>
      <c r="J51" s="413"/>
      <c r="K51" s="438"/>
      <c r="L51" s="438"/>
      <c r="M51" s="438"/>
      <c r="N51" s="438"/>
      <c r="O51" s="438"/>
      <c r="P51" s="438"/>
      <c r="Q51" s="441"/>
      <c r="R51" s="440"/>
      <c r="S51" s="3031"/>
      <c r="T51" s="3030"/>
      <c r="U51" s="3024"/>
      <c r="V51" s="3024"/>
      <c r="W51" s="3024"/>
      <c r="X51" s="3024"/>
      <c r="Y51" s="3024"/>
      <c r="Z51" s="3025"/>
    </row>
    <row r="52" spans="1:26" ht="15" customHeight="1">
      <c r="A52" s="943" t="s">
        <v>3410</v>
      </c>
      <c r="B52" s="1718" t="e">
        <f ca="1">'Frame Dimensions'!$O$103-'Frame Dimensions'!$L$103</f>
        <v>#REF!</v>
      </c>
      <c r="C52" s="428" t="s">
        <v>136</v>
      </c>
      <c r="D52" s="1114" t="s">
        <v>3409</v>
      </c>
      <c r="G52" s="413"/>
      <c r="H52" s="413"/>
      <c r="I52" s="413"/>
      <c r="J52" s="413"/>
      <c r="K52" s="438"/>
      <c r="L52" s="438"/>
      <c r="M52" s="438"/>
      <c r="N52" s="438"/>
      <c r="O52" s="438"/>
      <c r="P52" s="438"/>
      <c r="Q52" s="441"/>
      <c r="R52" s="440"/>
      <c r="S52" s="3031"/>
      <c r="T52" s="3030"/>
      <c r="U52" s="3024"/>
      <c r="V52" s="3024"/>
      <c r="W52" s="3024"/>
      <c r="X52" s="3024"/>
      <c r="Y52" s="3024"/>
      <c r="Z52" s="3025"/>
    </row>
    <row r="53" spans="1:26" ht="15" customHeight="1">
      <c r="A53" s="943" t="s">
        <v>3239</v>
      </c>
      <c r="B53" s="1718" t="e">
        <f ca="1">MSMM_He</f>
        <v>#REF!</v>
      </c>
      <c r="C53" s="428" t="s">
        <v>136</v>
      </c>
      <c r="D53" s="1114" t="s">
        <v>3269</v>
      </c>
      <c r="G53" s="413"/>
      <c r="H53" s="413"/>
      <c r="I53" s="413"/>
      <c r="J53" s="413"/>
      <c r="K53" s="438"/>
      <c r="L53" s="413"/>
      <c r="M53" s="413"/>
      <c r="N53" s="438"/>
      <c r="O53" s="438"/>
      <c r="P53" s="438"/>
      <c r="Q53" s="441"/>
      <c r="R53" s="440"/>
      <c r="S53" s="3031"/>
      <c r="T53" s="3030"/>
      <c r="U53" s="3024"/>
      <c r="V53" s="3024"/>
      <c r="W53" s="3024"/>
      <c r="X53" s="3024"/>
      <c r="Y53" s="3024"/>
      <c r="Z53" s="3025"/>
    </row>
    <row r="54" spans="1:26" ht="15" customHeight="1">
      <c r="A54" s="943" t="s">
        <v>3350</v>
      </c>
      <c r="B54" s="1718" t="e">
        <f ca="1">'Frame Dimensions'!$K$103-'Frame Dimensions'!$K$104</f>
        <v>#REF!</v>
      </c>
      <c r="C54" s="428" t="s">
        <v>136</v>
      </c>
      <c r="D54" s="1114" t="s">
        <v>3356</v>
      </c>
      <c r="G54" s="413"/>
      <c r="H54" s="413"/>
      <c r="I54" s="413"/>
      <c r="J54" s="445"/>
      <c r="K54" s="438"/>
      <c r="L54" s="438"/>
      <c r="M54" s="438"/>
      <c r="N54" s="438"/>
      <c r="O54" s="438"/>
      <c r="P54" s="441"/>
      <c r="Q54" s="441"/>
      <c r="R54" s="440"/>
      <c r="S54" s="3031"/>
      <c r="T54" s="3030"/>
      <c r="U54" s="3024"/>
      <c r="V54" s="3024"/>
      <c r="W54" s="3024"/>
      <c r="X54" s="3024"/>
      <c r="Y54" s="3024"/>
      <c r="Z54" s="3025"/>
    </row>
    <row r="55" spans="1:26" ht="15" customHeight="1">
      <c r="A55" s="943" t="s">
        <v>3266</v>
      </c>
      <c r="B55" s="1716">
        <f>'Frame Dimensions'!$F$107</f>
        <v>0</v>
      </c>
      <c r="C55" s="428" t="s">
        <v>136</v>
      </c>
      <c r="D55" s="1114" t="s">
        <v>3268</v>
      </c>
      <c r="G55" s="413"/>
      <c r="H55" s="413"/>
      <c r="I55" s="413"/>
      <c r="J55" s="413"/>
      <c r="K55" s="438"/>
      <c r="L55" s="438"/>
      <c r="M55" s="438"/>
      <c r="N55" s="438"/>
      <c r="O55" s="438"/>
      <c r="P55" s="438"/>
      <c r="Q55" s="441"/>
      <c r="R55" s="440"/>
      <c r="S55" s="3031"/>
      <c r="T55" s="3030"/>
      <c r="U55" s="3024"/>
      <c r="V55" s="3024"/>
      <c r="W55" s="3024"/>
      <c r="X55" s="3024"/>
      <c r="Y55" s="3024"/>
      <c r="Z55" s="3025"/>
    </row>
    <row r="56" spans="1:26" ht="15" customHeight="1">
      <c r="A56" s="943" t="s">
        <v>3394</v>
      </c>
      <c r="B56" s="1718">
        <f>'Frame Dimensions'!$K$107</f>
        <v>0</v>
      </c>
      <c r="C56" s="428" t="s">
        <v>136</v>
      </c>
      <c r="D56" s="1114" t="s">
        <v>3393</v>
      </c>
      <c r="G56" s="413"/>
      <c r="H56" s="413"/>
      <c r="I56" s="413"/>
      <c r="J56" s="413"/>
      <c r="K56" s="438"/>
      <c r="L56" s="438"/>
      <c r="M56" s="438"/>
      <c r="N56" s="438"/>
      <c r="O56" s="438"/>
      <c r="P56" s="438"/>
      <c r="Q56" s="441"/>
      <c r="R56" s="440"/>
      <c r="S56" s="3031"/>
      <c r="T56" s="3030"/>
      <c r="U56" s="3024"/>
      <c r="V56" s="3024"/>
      <c r="W56" s="3024"/>
      <c r="X56" s="3024"/>
      <c r="Y56" s="3024"/>
      <c r="Z56" s="3025"/>
    </row>
    <row r="57" spans="1:26" ht="15" customHeight="1">
      <c r="A57" s="943" t="s">
        <v>3267</v>
      </c>
      <c r="B57" s="1718">
        <f>MSMB_w</f>
        <v>0</v>
      </c>
      <c r="C57" s="428" t="s">
        <v>136</v>
      </c>
      <c r="D57" s="1114" t="s">
        <v>3360</v>
      </c>
      <c r="G57" s="413"/>
      <c r="H57" s="413"/>
      <c r="I57" s="413"/>
      <c r="J57" s="413"/>
      <c r="K57" s="438"/>
      <c r="L57" s="438"/>
      <c r="M57" s="438"/>
      <c r="N57" s="438"/>
      <c r="O57" s="438"/>
      <c r="P57" s="438"/>
      <c r="Q57" s="441"/>
      <c r="R57" s="440"/>
      <c r="S57" s="3031"/>
      <c r="T57" s="3030"/>
      <c r="U57" s="3024"/>
      <c r="V57" s="3024"/>
      <c r="W57" s="3024"/>
      <c r="X57" s="3024"/>
      <c r="Y57" s="3024"/>
      <c r="Z57" s="3025"/>
    </row>
    <row r="58" spans="1:26" ht="15" customHeight="1">
      <c r="A58" s="943" t="s">
        <v>3355</v>
      </c>
      <c r="B58" s="1718">
        <f>MSMB_He</f>
        <v>0</v>
      </c>
      <c r="C58" s="428" t="s">
        <v>136</v>
      </c>
      <c r="D58" s="1114" t="s">
        <v>3362</v>
      </c>
      <c r="G58" s="413"/>
      <c r="H58" s="413"/>
      <c r="I58" s="413"/>
      <c r="J58" s="413"/>
      <c r="K58" s="438"/>
      <c r="L58" s="413"/>
      <c r="M58" s="413"/>
      <c r="N58" s="438"/>
      <c r="O58" s="438"/>
      <c r="P58" s="438"/>
      <c r="Q58" s="441"/>
      <c r="R58" s="440"/>
      <c r="S58" s="3031"/>
      <c r="T58" s="3030"/>
      <c r="U58" s="3024"/>
      <c r="V58" s="3024"/>
      <c r="W58" s="3024"/>
      <c r="X58" s="3024"/>
      <c r="Y58" s="3024"/>
      <c r="Z58" s="3025"/>
    </row>
    <row r="59" spans="1:26" ht="15" customHeight="1" thickBot="1">
      <c r="A59" s="943" t="s">
        <v>3361</v>
      </c>
      <c r="B59" s="1718">
        <f>'Frame Dimensions'!$K$107-'Frame Dimensions'!$K$108</f>
        <v>0</v>
      </c>
      <c r="C59" s="428" t="s">
        <v>136</v>
      </c>
      <c r="D59" s="1114" t="s">
        <v>3406</v>
      </c>
      <c r="G59" s="413"/>
      <c r="H59" s="413"/>
      <c r="I59" s="413"/>
      <c r="J59" s="445"/>
      <c r="K59" s="438"/>
      <c r="L59" s="438"/>
      <c r="M59" s="438"/>
      <c r="N59" s="438"/>
      <c r="O59" s="438"/>
      <c r="P59" s="441"/>
      <c r="Q59" s="441"/>
      <c r="R59" s="440"/>
      <c r="S59" s="3031"/>
      <c r="T59" s="3030"/>
      <c r="U59" s="3024"/>
      <c r="V59" s="3024"/>
      <c r="W59" s="3024"/>
      <c r="X59" s="3024"/>
      <c r="Y59" s="3024"/>
      <c r="Z59" s="3025"/>
    </row>
    <row r="60" spans="1:26" ht="15" customHeight="1" thickBot="1">
      <c r="A60" s="2248" t="s">
        <v>1222</v>
      </c>
      <c r="B60" s="1416">
        <v>0</v>
      </c>
      <c r="C60" s="1415" t="s">
        <v>1114</v>
      </c>
      <c r="D60" s="1741">
        <f>'Frame Dimensions'!$C$57</f>
        <v>0</v>
      </c>
      <c r="E60" s="2321"/>
      <c r="F60" s="2321"/>
      <c r="G60" s="2321"/>
      <c r="H60" s="2321"/>
      <c r="I60" s="2321"/>
      <c r="J60" s="2321"/>
      <c r="K60" s="2315"/>
      <c r="L60" s="2315"/>
      <c r="M60" s="2315"/>
      <c r="N60" s="2315"/>
      <c r="O60" s="2315"/>
      <c r="P60" s="2315"/>
      <c r="Q60" s="2316"/>
      <c r="R60" s="2317"/>
      <c r="S60" s="3026"/>
      <c r="T60" s="3027"/>
      <c r="U60" s="3028"/>
      <c r="V60" s="3028"/>
      <c r="W60" s="3028"/>
      <c r="X60" s="3028"/>
      <c r="Y60" s="3028"/>
      <c r="Z60" s="3029"/>
    </row>
    <row r="61" spans="1:26" ht="15" customHeight="1">
      <c r="A61" s="1037" t="s">
        <v>1223</v>
      </c>
      <c r="B61" s="1733" t="e">
        <f ca="1">IF(OR(Small_F,DRIVE_Type&lt;&gt;"Coupling"),0,VLOOKUP($D60,Iron_dim,2,FALSE))</f>
        <v>#REF!</v>
      </c>
      <c r="C61" s="446" t="s">
        <v>136</v>
      </c>
      <c r="D61" s="1702" t="s">
        <v>1214</v>
      </c>
      <c r="E61" s="445"/>
      <c r="F61" s="445"/>
      <c r="G61" s="445"/>
      <c r="H61" s="445"/>
      <c r="I61" s="445"/>
      <c r="J61" s="445"/>
      <c r="K61" s="432"/>
      <c r="L61" s="438"/>
      <c r="M61" s="438"/>
      <c r="N61" s="438"/>
      <c r="O61" s="438"/>
      <c r="P61" s="438"/>
      <c r="Q61" s="438"/>
      <c r="R61" s="447"/>
      <c r="S61" s="3035"/>
      <c r="T61" s="3030"/>
      <c r="U61" s="3024"/>
      <c r="V61" s="3024"/>
      <c r="W61" s="3036"/>
      <c r="X61" s="3024"/>
      <c r="Y61" s="3036"/>
      <c r="Z61" s="3037"/>
    </row>
    <row r="62" spans="1:26" ht="15" customHeight="1">
      <c r="A62" s="1037" t="s">
        <v>1224</v>
      </c>
      <c r="B62" s="1733" t="e">
        <f ca="1">IF(OR(Small_F,DRIVE_Type&lt;&gt;"Coupling"),0,VLOOKUP($D60,Iron_dim,3,FALSE))</f>
        <v>#REF!</v>
      </c>
      <c r="C62" s="446" t="s">
        <v>136</v>
      </c>
      <c r="D62" s="1118" t="s">
        <v>1215</v>
      </c>
      <c r="E62" s="445"/>
      <c r="F62" s="445"/>
      <c r="G62" s="445"/>
      <c r="H62" s="445"/>
      <c r="I62" s="445"/>
      <c r="J62" s="445"/>
      <c r="K62" s="435"/>
      <c r="L62" s="435"/>
      <c r="M62" s="435"/>
      <c r="N62" s="435"/>
      <c r="O62" s="435"/>
      <c r="P62" s="435"/>
      <c r="Q62" s="435"/>
      <c r="R62" s="436"/>
      <c r="S62" s="1940"/>
      <c r="Z62" s="1679"/>
    </row>
    <row r="63" spans="1:26" ht="15" customHeight="1">
      <c r="A63" s="1037" t="s">
        <v>1225</v>
      </c>
      <c r="B63" s="1733" t="e">
        <f ca="1">IF(OR(Small_F,DRIVE_Type&lt;&gt;"Coupling"),0,VLOOKUP($D60,Iron_dim,4,FALSE))</f>
        <v>#REF!</v>
      </c>
      <c r="C63" s="446" t="s">
        <v>136</v>
      </c>
      <c r="D63" s="1118" t="s">
        <v>1216</v>
      </c>
      <c r="E63" s="445"/>
      <c r="F63" s="445"/>
      <c r="G63" s="445"/>
      <c r="H63" s="445"/>
      <c r="I63" s="445"/>
      <c r="J63" s="445"/>
      <c r="K63" s="413"/>
      <c r="L63" s="413"/>
      <c r="M63" s="413"/>
      <c r="N63" s="413"/>
      <c r="O63" s="413"/>
      <c r="P63" s="413"/>
      <c r="Q63" s="413"/>
      <c r="R63" s="437"/>
      <c r="S63" s="1940"/>
      <c r="Z63" s="1679"/>
    </row>
    <row r="64" spans="1:26" ht="15" customHeight="1">
      <c r="A64" s="1037" t="s">
        <v>1226</v>
      </c>
      <c r="B64" s="1733" t="e">
        <f ca="1">IF(OR(Small_F,DRIVE_Type&lt;&gt;"Coupling"),0,VLOOKUP($D60,Iron_dim,5,FALSE))</f>
        <v>#REF!</v>
      </c>
      <c r="C64" s="446" t="s">
        <v>136</v>
      </c>
      <c r="D64" s="1118" t="s">
        <v>1217</v>
      </c>
      <c r="E64" s="445"/>
      <c r="F64" s="445"/>
      <c r="G64" s="445"/>
      <c r="H64" s="445"/>
      <c r="I64" s="445"/>
      <c r="J64" s="445"/>
      <c r="K64" s="413"/>
      <c r="L64" s="413"/>
      <c r="M64" s="413"/>
      <c r="N64" s="413"/>
      <c r="O64" s="413"/>
      <c r="P64" s="413"/>
      <c r="Q64" s="413"/>
      <c r="R64" s="448"/>
      <c r="S64" s="3035"/>
      <c r="T64" s="3030"/>
      <c r="U64" s="3036"/>
      <c r="V64" s="3024"/>
      <c r="W64" s="3036"/>
      <c r="X64" s="3024"/>
      <c r="Y64" s="3036"/>
      <c r="Z64" s="1679"/>
    </row>
    <row r="65" spans="1:26" ht="15" customHeight="1">
      <c r="A65" s="1037" t="s">
        <v>1227</v>
      </c>
      <c r="B65" s="1733" t="e">
        <f ca="1">IF(OR(Small_F,DRIVE_Type&lt;&gt;"Coupling"),0,VLOOKUP($D60,Iron_dim,6,FALSE))</f>
        <v>#REF!</v>
      </c>
      <c r="C65" s="446" t="s">
        <v>136</v>
      </c>
      <c r="D65" s="1118" t="s">
        <v>1218</v>
      </c>
      <c r="E65" s="445"/>
      <c r="F65" s="445"/>
      <c r="G65" s="445"/>
      <c r="H65" s="445"/>
      <c r="I65" s="445"/>
      <c r="J65" s="445"/>
      <c r="K65" s="435"/>
      <c r="L65" s="435"/>
      <c r="M65" s="435"/>
      <c r="N65" s="435"/>
      <c r="O65" s="435"/>
      <c r="P65" s="435"/>
      <c r="Q65" s="435"/>
      <c r="R65" s="449"/>
      <c r="S65" s="3035"/>
      <c r="T65" s="3030"/>
      <c r="U65" s="3036"/>
      <c r="V65" s="3024"/>
      <c r="W65" s="3036"/>
      <c r="X65" s="3024"/>
      <c r="Y65" s="3036"/>
      <c r="Z65" s="1679"/>
    </row>
    <row r="66" spans="1:26" ht="15" customHeight="1">
      <c r="A66" s="1694" t="s">
        <v>3395</v>
      </c>
      <c r="B66" s="1717">
        <f>'Frame Dimensions'!$D$57</f>
        <v>0</v>
      </c>
      <c r="C66" s="1695" t="s">
        <v>136</v>
      </c>
      <c r="D66" s="1664" t="s">
        <v>3413</v>
      </c>
      <c r="G66" s="413"/>
      <c r="H66" s="413"/>
      <c r="I66" s="413"/>
      <c r="J66" s="413"/>
      <c r="K66" s="438"/>
      <c r="L66" s="438"/>
      <c r="M66" s="438"/>
      <c r="N66" s="438"/>
      <c r="O66" s="438"/>
      <c r="P66" s="441"/>
      <c r="Q66" s="441"/>
      <c r="R66" s="440"/>
      <c r="S66" s="3024"/>
      <c r="T66" s="3030"/>
      <c r="U66" s="3024"/>
      <c r="V66" s="3024"/>
      <c r="W66" s="3024"/>
      <c r="X66" s="3024"/>
      <c r="Y66" s="3024"/>
      <c r="Z66" s="3025"/>
    </row>
    <row r="67" spans="1:26" ht="15" customHeight="1">
      <c r="A67" s="943" t="s">
        <v>3396</v>
      </c>
      <c r="B67" s="1716">
        <f>'Frame Dimensions'!$D$61</f>
        <v>0</v>
      </c>
      <c r="C67" s="428" t="s">
        <v>136</v>
      </c>
      <c r="D67" s="1114" t="s">
        <v>3398</v>
      </c>
      <c r="E67" s="435"/>
      <c r="F67" s="435"/>
      <c r="G67" s="435"/>
      <c r="H67" s="435"/>
      <c r="I67" s="435"/>
      <c r="J67" s="435"/>
      <c r="K67" s="442"/>
      <c r="L67" s="442"/>
      <c r="M67" s="442"/>
      <c r="N67" s="442"/>
      <c r="O67" s="442"/>
      <c r="P67" s="443"/>
      <c r="Q67" s="443"/>
      <c r="R67" s="444"/>
      <c r="S67" s="3024"/>
      <c r="T67" s="3030"/>
      <c r="U67" s="3024"/>
      <c r="V67" s="3024"/>
      <c r="W67" s="3024"/>
      <c r="X67" s="3024"/>
      <c r="Y67" s="3024"/>
      <c r="Z67" s="3025"/>
    </row>
    <row r="68" spans="1:26" ht="15" customHeight="1">
      <c r="A68" s="943" t="s">
        <v>3397</v>
      </c>
      <c r="B68" s="1655">
        <f>'Frame Dimensions'!$K$57</f>
        <v>0</v>
      </c>
      <c r="C68" s="428" t="s">
        <v>136</v>
      </c>
      <c r="D68" s="1114" t="s">
        <v>3399</v>
      </c>
      <c r="G68" s="413"/>
      <c r="H68" s="413"/>
      <c r="I68" s="413"/>
      <c r="J68" s="413"/>
      <c r="K68" s="438"/>
      <c r="L68" s="438"/>
      <c r="M68" s="438"/>
      <c r="N68" s="438"/>
      <c r="O68" s="438"/>
      <c r="P68" s="441"/>
      <c r="Q68" s="441"/>
      <c r="R68" s="440"/>
      <c r="S68" s="3024"/>
      <c r="T68" s="3030"/>
      <c r="U68" s="3024"/>
      <c r="V68" s="3024"/>
      <c r="W68" s="3024"/>
      <c r="X68" s="3024"/>
      <c r="Y68" s="3024"/>
      <c r="Z68" s="3025"/>
    </row>
    <row r="69" spans="1:26" ht="15" customHeight="1">
      <c r="A69" s="943" t="s">
        <v>3505</v>
      </c>
      <c r="B69" s="1655" t="e">
        <f ca="1">IF(Small_F,0,'Frame Dimensions'!$L$65-'Frame Dimensions'!$L$61)</f>
        <v>#REF!</v>
      </c>
      <c r="C69" s="428" t="s">
        <v>136</v>
      </c>
      <c r="D69" s="1114" t="s">
        <v>3506</v>
      </c>
      <c r="G69" s="413"/>
      <c r="H69" s="413"/>
      <c r="I69" s="413"/>
      <c r="J69" s="413"/>
      <c r="K69" s="438"/>
      <c r="L69" s="438"/>
      <c r="M69" s="438"/>
      <c r="N69" s="438"/>
      <c r="O69" s="438"/>
      <c r="P69" s="441"/>
      <c r="Q69" s="441"/>
      <c r="R69" s="440"/>
      <c r="S69" s="3024"/>
      <c r="T69" s="3030"/>
      <c r="U69" s="3024"/>
      <c r="V69" s="3024"/>
      <c r="W69" s="3024"/>
      <c r="X69" s="3024"/>
      <c r="Y69" s="3024"/>
      <c r="Z69" s="3025"/>
    </row>
    <row r="70" spans="1:26" ht="15" customHeight="1">
      <c r="A70" s="943" t="s">
        <v>3403</v>
      </c>
      <c r="B70" s="1716" t="e">
        <f ca="1">IF(Small_F,'Frame Dimensions'!$D$111,0)</f>
        <v>#REF!</v>
      </c>
      <c r="C70" s="428" t="s">
        <v>136</v>
      </c>
      <c r="D70" s="1114" t="s">
        <v>3414</v>
      </c>
      <c r="E70" s="435"/>
      <c r="F70" s="435"/>
      <c r="G70" s="435"/>
      <c r="H70" s="435"/>
      <c r="I70" s="435"/>
      <c r="J70" s="435"/>
      <c r="K70" s="442"/>
      <c r="L70" s="442"/>
      <c r="M70" s="442"/>
      <c r="N70" s="442"/>
      <c r="O70" s="442"/>
      <c r="P70" s="443"/>
      <c r="Q70" s="443"/>
      <c r="R70" s="444"/>
      <c r="S70" s="3024"/>
      <c r="T70" s="3030"/>
      <c r="U70" s="3024"/>
      <c r="V70" s="3024"/>
      <c r="W70" s="3024"/>
      <c r="X70" s="3024"/>
      <c r="Y70" s="3024"/>
      <c r="Z70" s="3025"/>
    </row>
    <row r="71" spans="1:26" ht="15" customHeight="1">
      <c r="A71" s="943" t="s">
        <v>3407</v>
      </c>
      <c r="B71" s="1716" t="e">
        <f ca="1">IF(Small_F,'Frame Dimensions'!$O$113-'Frame Dimensions'!$L$113,0)</f>
        <v>#REF!</v>
      </c>
      <c r="C71" s="428" t="s">
        <v>136</v>
      </c>
      <c r="D71" s="1114" t="s">
        <v>3415</v>
      </c>
      <c r="E71" s="435"/>
      <c r="F71" s="435"/>
      <c r="G71" s="435"/>
      <c r="H71" s="435"/>
      <c r="I71" s="435"/>
      <c r="J71" s="435"/>
      <c r="K71" s="442"/>
      <c r="L71" s="442"/>
      <c r="M71" s="442"/>
      <c r="N71" s="442"/>
      <c r="O71" s="442"/>
      <c r="P71" s="443"/>
      <c r="Q71" s="443"/>
      <c r="R71" s="444"/>
      <c r="S71" s="3024"/>
      <c r="T71" s="3030"/>
      <c r="U71" s="3024"/>
      <c r="V71" s="3024"/>
      <c r="W71" s="3024"/>
      <c r="X71" s="3024"/>
      <c r="Y71" s="3024"/>
      <c r="Z71" s="3025"/>
    </row>
    <row r="72" spans="1:26" ht="15" customHeight="1">
      <c r="A72" s="943" t="s">
        <v>3404</v>
      </c>
      <c r="B72" s="1716" t="e">
        <f ca="1">IF(Small_F,BSBB_He,0)</f>
        <v>#REF!</v>
      </c>
      <c r="C72" s="428" t="s">
        <v>136</v>
      </c>
      <c r="D72" s="1114" t="s">
        <v>3400</v>
      </c>
      <c r="E72" s="435"/>
      <c r="F72" s="435"/>
      <c r="G72" s="435"/>
      <c r="H72" s="435"/>
      <c r="I72" s="435"/>
      <c r="J72" s="435"/>
      <c r="K72" s="442"/>
      <c r="L72" s="442"/>
      <c r="M72" s="442"/>
      <c r="N72" s="442"/>
      <c r="O72" s="442"/>
      <c r="P72" s="443"/>
      <c r="Q72" s="443"/>
      <c r="R72" s="444"/>
      <c r="S72" s="3024"/>
      <c r="T72" s="3030"/>
      <c r="U72" s="3024"/>
      <c r="V72" s="3024"/>
      <c r="W72" s="3024"/>
      <c r="X72" s="3024"/>
      <c r="Y72" s="3024"/>
      <c r="Z72" s="3025"/>
    </row>
    <row r="73" spans="1:26" ht="15" customHeight="1">
      <c r="A73" s="943" t="s">
        <v>3405</v>
      </c>
      <c r="B73" s="1718" t="e">
        <f ca="1">IF(Small_F,'Frame Dimensions'!$N$113,0)</f>
        <v>#REF!</v>
      </c>
      <c r="C73" s="428" t="s">
        <v>136</v>
      </c>
      <c r="D73" s="1114" t="s">
        <v>3402</v>
      </c>
      <c r="G73" s="413"/>
      <c r="H73" s="413"/>
      <c r="I73" s="413"/>
      <c r="J73" s="413"/>
      <c r="K73" s="438"/>
      <c r="L73" s="438"/>
      <c r="M73" s="438"/>
      <c r="N73" s="438"/>
      <c r="O73" s="438"/>
      <c r="P73" s="441"/>
      <c r="Q73" s="441"/>
      <c r="R73" s="440"/>
      <c r="S73" s="3024"/>
      <c r="T73" s="3030"/>
      <c r="U73" s="3024"/>
      <c r="V73" s="3024"/>
      <c r="W73" s="3024"/>
      <c r="X73" s="3024"/>
      <c r="Y73" s="3024"/>
      <c r="Z73" s="3025"/>
    </row>
    <row r="74" spans="1:26" ht="15" customHeight="1">
      <c r="A74" s="943" t="s">
        <v>3507</v>
      </c>
      <c r="B74" s="1655" t="e">
        <f ca="1">IF(Small_F,'Frame Dimensions'!$O$112-'Frame Dimensions'!$L$112,0)</f>
        <v>#REF!</v>
      </c>
      <c r="C74" s="428" t="s">
        <v>136</v>
      </c>
      <c r="D74" s="1114" t="s">
        <v>3508</v>
      </c>
      <c r="E74" s="445"/>
      <c r="F74" s="445"/>
      <c r="G74" s="445"/>
      <c r="H74" s="445"/>
      <c r="I74" s="445"/>
      <c r="J74" s="445"/>
      <c r="K74" s="413"/>
      <c r="L74" s="413"/>
      <c r="M74" s="413"/>
      <c r="N74" s="413"/>
      <c r="O74" s="413"/>
      <c r="P74" s="413"/>
      <c r="Q74" s="413"/>
      <c r="R74" s="448"/>
      <c r="S74" s="3035"/>
      <c r="T74" s="3030"/>
      <c r="U74" s="3036"/>
      <c r="V74" s="3024"/>
      <c r="W74" s="3036"/>
      <c r="X74" s="3024"/>
      <c r="Y74" s="3036"/>
      <c r="Z74" s="1679"/>
    </row>
    <row r="75" spans="1:26" ht="15" customHeight="1">
      <c r="A75" s="943" t="s">
        <v>1745</v>
      </c>
      <c r="B75" s="1716">
        <f>DBndRa5</f>
        <v>0</v>
      </c>
      <c r="C75" s="428" t="s">
        <v>136</v>
      </c>
      <c r="D75" s="1114" t="s">
        <v>3460</v>
      </c>
      <c r="E75" s="435"/>
      <c r="F75" s="435"/>
      <c r="G75" s="435"/>
      <c r="H75" s="435"/>
      <c r="I75" s="435"/>
      <c r="J75" s="435"/>
      <c r="K75" s="442"/>
      <c r="L75" s="442"/>
      <c r="M75" s="442"/>
      <c r="N75" s="442"/>
      <c r="O75" s="442"/>
      <c r="P75" s="443"/>
      <c r="Q75" s="443"/>
      <c r="R75" s="444"/>
      <c r="S75" s="3024"/>
      <c r="T75" s="3030"/>
      <c r="U75" s="3024"/>
      <c r="V75" s="3024"/>
      <c r="W75" s="3024"/>
      <c r="X75" s="3024"/>
      <c r="Y75" s="3024"/>
      <c r="Z75" s="3025"/>
    </row>
    <row r="76" spans="1:26" ht="15" customHeight="1" thickBot="1">
      <c r="A76" s="943" t="s">
        <v>1747</v>
      </c>
      <c r="B76" s="1718">
        <f>DBdRa6</f>
        <v>0</v>
      </c>
      <c r="C76" s="428" t="s">
        <v>136</v>
      </c>
      <c r="D76" s="1114" t="s">
        <v>3461</v>
      </c>
      <c r="G76" s="413"/>
      <c r="H76" s="413"/>
      <c r="I76" s="413"/>
      <c r="J76" s="413"/>
      <c r="K76" s="438"/>
      <c r="L76" s="438"/>
      <c r="M76" s="438"/>
      <c r="N76" s="438"/>
      <c r="O76" s="438"/>
      <c r="P76" s="441"/>
      <c r="Q76" s="441"/>
      <c r="R76" s="440"/>
      <c r="S76" s="3024"/>
      <c r="T76" s="3030"/>
      <c r="U76" s="3024"/>
      <c r="V76" s="3024"/>
      <c r="W76" s="3024"/>
      <c r="X76" s="3024"/>
      <c r="Y76" s="3024"/>
      <c r="Z76" s="3025"/>
    </row>
    <row r="77" spans="1:26" ht="15" customHeight="1" thickBot="1">
      <c r="A77" s="431" t="s">
        <v>3491</v>
      </c>
      <c r="B77" s="1416">
        <v>0</v>
      </c>
      <c r="C77" s="1415" t="s">
        <v>1114</v>
      </c>
      <c r="D77" s="1741">
        <f>'Frame Dimensions'!$C$85</f>
        <v>0</v>
      </c>
      <c r="E77" s="1781"/>
      <c r="F77" s="1781"/>
      <c r="G77" s="1781"/>
      <c r="H77" s="1781"/>
      <c r="I77" s="1781"/>
      <c r="J77" s="1781"/>
      <c r="K77" s="2308"/>
      <c r="L77" s="1781"/>
      <c r="M77" s="1781"/>
      <c r="N77" s="1781"/>
      <c r="O77" s="1781"/>
      <c r="P77" s="1781"/>
      <c r="Q77" s="1781"/>
      <c r="R77" s="2309"/>
      <c r="S77" s="3032"/>
      <c r="T77" s="3027"/>
      <c r="U77" s="3033"/>
      <c r="V77" s="3028"/>
      <c r="W77" s="3033"/>
      <c r="X77" s="3028"/>
      <c r="Y77" s="3033"/>
      <c r="Z77" s="3034"/>
    </row>
    <row r="78" spans="1:26" ht="15" customHeight="1">
      <c r="A78" s="1653" t="s">
        <v>3492</v>
      </c>
      <c r="B78" s="1716">
        <f>'Frame Dimensions'!$G$69</f>
        <v>0</v>
      </c>
      <c r="C78" s="1654" t="s">
        <v>136</v>
      </c>
      <c r="D78" s="1701" t="s">
        <v>3493</v>
      </c>
      <c r="G78" s="413"/>
      <c r="H78" s="413"/>
      <c r="I78" s="413"/>
      <c r="J78" s="413"/>
      <c r="K78" s="451"/>
      <c r="L78" s="413"/>
      <c r="M78" s="413"/>
      <c r="N78" s="413"/>
      <c r="O78" s="413"/>
      <c r="P78" s="413"/>
      <c r="Q78" s="413"/>
      <c r="R78" s="448"/>
      <c r="S78" s="3035"/>
      <c r="T78" s="3030"/>
      <c r="U78" s="3036"/>
      <c r="V78" s="3024"/>
      <c r="W78" s="3036"/>
      <c r="X78" s="3024"/>
      <c r="Y78" s="3036"/>
      <c r="Z78" s="3037"/>
    </row>
    <row r="79" spans="1:26" ht="15" customHeight="1">
      <c r="A79" s="1653" t="s">
        <v>4182</v>
      </c>
      <c r="B79" s="1716">
        <f>'Frame Dimensions'!$E$69</f>
        <v>0</v>
      </c>
      <c r="C79" s="1654" t="s">
        <v>136</v>
      </c>
      <c r="D79" s="1701" t="s">
        <v>4183</v>
      </c>
      <c r="G79" s="413"/>
      <c r="H79" s="413"/>
      <c r="I79" s="413"/>
      <c r="J79" s="413"/>
      <c r="K79" s="451"/>
      <c r="L79" s="413"/>
      <c r="M79" s="413"/>
      <c r="N79" s="413"/>
      <c r="O79" s="413"/>
      <c r="P79" s="413"/>
      <c r="Q79" s="413"/>
      <c r="R79" s="448"/>
      <c r="S79" s="3035"/>
      <c r="T79" s="3030"/>
      <c r="U79" s="3036"/>
      <c r="V79" s="3024"/>
      <c r="W79" s="3036"/>
      <c r="X79" s="3024"/>
      <c r="Y79" s="3036"/>
      <c r="Z79" s="3037"/>
    </row>
    <row r="80" spans="1:26" ht="15" customHeight="1">
      <c r="A80" s="1653" t="s">
        <v>4184</v>
      </c>
      <c r="B80" s="1716">
        <f>'Frame Dimensions'!$E$85</f>
        <v>0</v>
      </c>
      <c r="C80" s="1654" t="s">
        <v>136</v>
      </c>
      <c r="D80" s="1701" t="s">
        <v>4185</v>
      </c>
      <c r="G80" s="413"/>
      <c r="H80" s="413"/>
      <c r="I80" s="413"/>
      <c r="J80" s="413"/>
      <c r="K80" s="451"/>
      <c r="L80" s="413"/>
      <c r="M80" s="413"/>
      <c r="N80" s="413"/>
      <c r="O80" s="413"/>
      <c r="P80" s="413"/>
      <c r="Q80" s="413"/>
      <c r="R80" s="448"/>
      <c r="S80" s="3035"/>
      <c r="T80" s="3030"/>
      <c r="U80" s="3036"/>
      <c r="V80" s="3024"/>
      <c r="W80" s="3036"/>
      <c r="X80" s="3024"/>
      <c r="Y80" s="3036"/>
      <c r="Z80" s="3037"/>
    </row>
    <row r="81" spans="1:26" ht="15" customHeight="1">
      <c r="A81" s="1653" t="s">
        <v>3494</v>
      </c>
      <c r="B81" s="1716">
        <f>'Frame Dimensions'!$F$69</f>
        <v>0</v>
      </c>
      <c r="C81" s="1654" t="s">
        <v>136</v>
      </c>
      <c r="D81" s="1701" t="s">
        <v>3495</v>
      </c>
      <c r="G81" s="413"/>
      <c r="H81" s="413"/>
      <c r="I81" s="413"/>
      <c r="J81" s="413"/>
      <c r="K81" s="451"/>
      <c r="L81" s="413"/>
      <c r="M81" s="413"/>
      <c r="N81" s="413"/>
      <c r="O81" s="413"/>
      <c r="P81" s="413"/>
      <c r="Q81" s="413"/>
      <c r="R81" s="448"/>
      <c r="S81" s="3035"/>
      <c r="T81" s="3030"/>
      <c r="U81" s="3036"/>
      <c r="V81" s="3024"/>
      <c r="W81" s="3036"/>
      <c r="X81" s="3024"/>
      <c r="Y81" s="3036"/>
      <c r="Z81" s="3037"/>
    </row>
    <row r="82" spans="1:26" ht="15" customHeight="1">
      <c r="A82" s="1653" t="s">
        <v>3496</v>
      </c>
      <c r="B82" s="1716">
        <f>'Frame Dimensions'!$D$69</f>
        <v>0</v>
      </c>
      <c r="C82" s="1654" t="s">
        <v>136</v>
      </c>
      <c r="D82" s="1701" t="s">
        <v>3497</v>
      </c>
      <c r="G82" s="413"/>
      <c r="H82" s="413"/>
      <c r="I82" s="413"/>
      <c r="J82" s="413"/>
      <c r="K82" s="451"/>
      <c r="L82" s="413"/>
      <c r="M82" s="413"/>
      <c r="N82" s="413"/>
      <c r="O82" s="413"/>
      <c r="P82" s="413"/>
      <c r="Q82" s="413"/>
      <c r="R82" s="448"/>
      <c r="S82" s="3035"/>
      <c r="T82" s="3030"/>
      <c r="U82" s="3036"/>
      <c r="V82" s="3024"/>
      <c r="W82" s="3036"/>
      <c r="X82" s="3024"/>
      <c r="Y82" s="3036"/>
      <c r="Z82" s="3037"/>
    </row>
    <row r="83" spans="1:26" ht="15" customHeight="1">
      <c r="A83" s="1653" t="s">
        <v>3498</v>
      </c>
      <c r="B83" s="1716">
        <f>'Frame Dimensions'!$J$69</f>
        <v>0</v>
      </c>
      <c r="C83" s="1654" t="s">
        <v>136</v>
      </c>
      <c r="D83" s="1701" t="s">
        <v>3499</v>
      </c>
      <c r="G83" s="413"/>
      <c r="H83" s="413"/>
      <c r="I83" s="413"/>
      <c r="J83" s="413"/>
      <c r="K83" s="451"/>
      <c r="L83" s="413"/>
      <c r="M83" s="413"/>
      <c r="N83" s="413"/>
      <c r="O83" s="413"/>
      <c r="P83" s="413"/>
      <c r="Q83" s="413"/>
      <c r="R83" s="448"/>
      <c r="S83" s="3035"/>
      <c r="T83" s="3030"/>
      <c r="U83" s="3036"/>
      <c r="V83" s="3024"/>
      <c r="W83" s="3036"/>
      <c r="X83" s="3024"/>
      <c r="Y83" s="3036"/>
      <c r="Z83" s="3037"/>
    </row>
    <row r="84" spans="1:26" ht="15" customHeight="1" thickBot="1">
      <c r="A84" s="1653" t="s">
        <v>3500</v>
      </c>
      <c r="B84" s="1716">
        <f>'Frame Dimensions'!$J$85</f>
        <v>0</v>
      </c>
      <c r="C84" s="1654" t="s">
        <v>136</v>
      </c>
      <c r="D84" s="1701" t="s">
        <v>3501</v>
      </c>
      <c r="G84" s="413"/>
      <c r="H84" s="413"/>
      <c r="I84" s="413"/>
      <c r="J84" s="413"/>
      <c r="K84" s="451"/>
      <c r="L84" s="413"/>
      <c r="M84" s="413"/>
      <c r="N84" s="413"/>
      <c r="O84" s="413"/>
      <c r="P84" s="413"/>
      <c r="Q84" s="413"/>
      <c r="R84" s="448"/>
      <c r="S84" s="3035"/>
      <c r="T84" s="3030"/>
      <c r="U84" s="3036"/>
      <c r="V84" s="3024"/>
      <c r="W84" s="3036"/>
      <c r="X84" s="3024"/>
      <c r="Y84" s="3036"/>
      <c r="Z84" s="3037"/>
    </row>
    <row r="85" spans="1:26" ht="15" customHeight="1" thickBot="1">
      <c r="A85" s="2248" t="s">
        <v>3257</v>
      </c>
      <c r="B85" s="1416">
        <v>0</v>
      </c>
      <c r="C85" s="1415" t="s">
        <v>1114</v>
      </c>
      <c r="D85" s="2259">
        <f>'Frame Dimensions'!$C$111</f>
        <v>0</v>
      </c>
      <c r="E85" s="1781"/>
      <c r="F85" s="1781"/>
      <c r="G85" s="1781"/>
      <c r="H85" s="1781"/>
      <c r="I85" s="1781"/>
      <c r="J85" s="1781"/>
      <c r="K85" s="2320"/>
      <c r="L85" s="2315"/>
      <c r="M85" s="2315"/>
      <c r="N85" s="2315"/>
      <c r="O85" s="2315"/>
      <c r="P85" s="2315"/>
      <c r="Q85" s="2316"/>
      <c r="R85" s="2317"/>
      <c r="S85" s="3026"/>
      <c r="T85" s="3027"/>
      <c r="U85" s="3028"/>
      <c r="V85" s="3042"/>
      <c r="W85" s="3028"/>
      <c r="X85" s="3028"/>
      <c r="Y85" s="3042"/>
      <c r="Z85" s="3029"/>
    </row>
    <row r="86" spans="1:26" ht="15" customHeight="1">
      <c r="A86" s="943" t="s">
        <v>3258</v>
      </c>
      <c r="B86" s="1716">
        <f>'Frame Dimensions'!$G$111</f>
        <v>0</v>
      </c>
      <c r="C86" s="428" t="s">
        <v>136</v>
      </c>
      <c r="D86" s="1114" t="s">
        <v>3271</v>
      </c>
      <c r="G86" s="413"/>
      <c r="H86" s="413"/>
      <c r="I86" s="413"/>
      <c r="J86" s="413"/>
      <c r="K86" s="438"/>
      <c r="L86" s="438"/>
      <c r="M86" s="438"/>
      <c r="N86" s="438"/>
      <c r="O86" s="438"/>
      <c r="P86" s="438"/>
      <c r="Q86" s="441"/>
      <c r="R86" s="440"/>
      <c r="S86" s="3031"/>
      <c r="T86" s="3030"/>
      <c r="U86" s="3024"/>
      <c r="V86" s="3024"/>
      <c r="W86" s="3024"/>
      <c r="X86" s="3024"/>
      <c r="Y86" s="3024"/>
      <c r="Z86" s="3025"/>
    </row>
    <row r="87" spans="1:26" ht="15" customHeight="1">
      <c r="A87" s="943" t="s">
        <v>3262</v>
      </c>
      <c r="B87" s="1716">
        <f>'Frame Dimensions'!$J$113-'Frame Dimensions'!$J$111</f>
        <v>0</v>
      </c>
      <c r="C87" s="428" t="s">
        <v>136</v>
      </c>
      <c r="D87" s="1114" t="s">
        <v>3272</v>
      </c>
      <c r="G87" s="413"/>
      <c r="H87" s="413"/>
      <c r="I87" s="413"/>
      <c r="J87" s="413"/>
      <c r="K87" s="438"/>
      <c r="L87" s="438"/>
      <c r="M87" s="438"/>
      <c r="N87" s="438"/>
      <c r="O87" s="438"/>
      <c r="P87" s="438"/>
      <c r="Q87" s="441"/>
      <c r="R87" s="440"/>
      <c r="S87" s="3031"/>
      <c r="T87" s="3030"/>
      <c r="U87" s="3024"/>
      <c r="V87" s="3024"/>
      <c r="W87" s="3024"/>
      <c r="X87" s="3024"/>
      <c r="Y87" s="3024"/>
      <c r="Z87" s="3025"/>
    </row>
    <row r="88" spans="1:26" ht="15" customHeight="1">
      <c r="A88" s="943" t="s">
        <v>3259</v>
      </c>
      <c r="B88" s="1718">
        <f>'Frame Dimensions'!$K$111</f>
        <v>0</v>
      </c>
      <c r="C88" s="428" t="s">
        <v>136</v>
      </c>
      <c r="D88" s="1114" t="s">
        <v>3279</v>
      </c>
      <c r="G88" s="413"/>
      <c r="H88" s="413"/>
      <c r="I88" s="413"/>
      <c r="J88" s="413"/>
      <c r="K88" s="438"/>
      <c r="L88" s="438"/>
      <c r="M88" s="438"/>
      <c r="N88" s="438"/>
      <c r="O88" s="438"/>
      <c r="P88" s="438"/>
      <c r="Q88" s="441"/>
      <c r="R88" s="440"/>
      <c r="S88" s="3031"/>
      <c r="T88" s="3030"/>
      <c r="U88" s="3024"/>
      <c r="V88" s="3024"/>
      <c r="W88" s="3024"/>
      <c r="X88" s="3024"/>
      <c r="Y88" s="3024"/>
      <c r="Z88" s="3025"/>
    </row>
    <row r="89" spans="1:26" ht="15" customHeight="1">
      <c r="A89" s="943" t="s">
        <v>3260</v>
      </c>
      <c r="B89" s="1718">
        <f>'Frame Dimensions'!$D$111</f>
        <v>0</v>
      </c>
      <c r="C89" s="428" t="s">
        <v>136</v>
      </c>
      <c r="D89" s="1114" t="s">
        <v>3419</v>
      </c>
      <c r="G89" s="413"/>
      <c r="H89" s="413"/>
      <c r="I89" s="413"/>
      <c r="J89" s="413"/>
      <c r="K89" s="438"/>
      <c r="L89" s="413"/>
      <c r="M89" s="413"/>
      <c r="N89" s="438"/>
      <c r="O89" s="438"/>
      <c r="P89" s="438"/>
      <c r="Q89" s="441"/>
      <c r="R89" s="440"/>
      <c r="S89" s="3031"/>
      <c r="T89" s="3030"/>
      <c r="U89" s="3024"/>
      <c r="V89" s="3024"/>
      <c r="W89" s="3024"/>
      <c r="X89" s="3024"/>
      <c r="Y89" s="3024"/>
      <c r="Z89" s="3025"/>
    </row>
    <row r="90" spans="1:26" ht="15" customHeight="1">
      <c r="A90" s="943" t="s">
        <v>3417</v>
      </c>
      <c r="B90" s="1718">
        <f>'Frame Dimensions'!$O$111-'Frame Dimensions'!$L$111</f>
        <v>0</v>
      </c>
      <c r="C90" s="428" t="s">
        <v>136</v>
      </c>
      <c r="D90" s="1114" t="s">
        <v>3418</v>
      </c>
      <c r="G90" s="413"/>
      <c r="H90" s="413"/>
      <c r="I90" s="413"/>
      <c r="J90" s="413"/>
      <c r="K90" s="438"/>
      <c r="L90" s="413"/>
      <c r="M90" s="413"/>
      <c r="N90" s="438"/>
      <c r="O90" s="438"/>
      <c r="P90" s="438"/>
      <c r="Q90" s="441"/>
      <c r="R90" s="440"/>
      <c r="S90" s="3031"/>
      <c r="T90" s="3030"/>
      <c r="U90" s="3024"/>
      <c r="V90" s="3024"/>
      <c r="W90" s="3024"/>
      <c r="X90" s="3024"/>
      <c r="Y90" s="3024"/>
      <c r="Z90" s="3025"/>
    </row>
    <row r="91" spans="1:26" ht="15" customHeight="1">
      <c r="A91" s="943" t="s">
        <v>3261</v>
      </c>
      <c r="B91" s="1718">
        <f>BSBB_He</f>
        <v>0</v>
      </c>
      <c r="C91" s="428" t="s">
        <v>136</v>
      </c>
      <c r="D91" s="1114" t="s">
        <v>3278</v>
      </c>
      <c r="G91" s="413"/>
      <c r="H91" s="413"/>
      <c r="I91" s="413"/>
      <c r="J91" s="413"/>
      <c r="K91" s="438"/>
      <c r="L91" s="413"/>
      <c r="M91" s="413"/>
      <c r="N91" s="438"/>
      <c r="O91" s="438"/>
      <c r="P91" s="438"/>
      <c r="Q91" s="441"/>
      <c r="R91" s="440"/>
      <c r="S91" s="3031"/>
      <c r="T91" s="3030"/>
      <c r="U91" s="3024"/>
      <c r="V91" s="3024"/>
      <c r="W91" s="3024"/>
      <c r="X91" s="3024"/>
      <c r="Y91" s="3024"/>
      <c r="Z91" s="3025"/>
    </row>
    <row r="92" spans="1:26" ht="15" customHeight="1">
      <c r="A92" s="943" t="s">
        <v>3363</v>
      </c>
      <c r="B92" s="1718">
        <f>'Frame Dimensions'!$K$111-'Frame Dimensions'!$K$112</f>
        <v>0</v>
      </c>
      <c r="C92" s="428" t="s">
        <v>136</v>
      </c>
      <c r="D92" s="1114" t="s">
        <v>3364</v>
      </c>
      <c r="E92" s="445"/>
      <c r="F92" s="445"/>
      <c r="G92" s="445"/>
      <c r="H92" s="445"/>
      <c r="I92" s="445"/>
      <c r="J92" s="413"/>
      <c r="K92" s="435"/>
      <c r="L92" s="435"/>
      <c r="M92" s="435"/>
      <c r="N92" s="435"/>
      <c r="O92" s="435"/>
      <c r="P92" s="435"/>
      <c r="Q92" s="435"/>
      <c r="R92" s="449"/>
      <c r="S92" s="3035"/>
      <c r="T92" s="3030"/>
      <c r="U92" s="3036"/>
      <c r="V92" s="3024"/>
      <c r="W92" s="3036"/>
      <c r="X92" s="3024"/>
      <c r="Y92" s="3036"/>
      <c r="Z92" s="1679"/>
    </row>
    <row r="93" spans="1:26" ht="15" customHeight="1">
      <c r="A93" s="1037" t="s">
        <v>1256</v>
      </c>
      <c r="B93" s="1719">
        <f>AE_M</f>
        <v>0</v>
      </c>
      <c r="C93" s="446" t="s">
        <v>136</v>
      </c>
      <c r="D93" s="1118" t="s">
        <v>89</v>
      </c>
      <c r="E93" s="445"/>
      <c r="F93" s="445"/>
      <c r="G93" s="445"/>
      <c r="H93" s="445"/>
      <c r="I93" s="445"/>
      <c r="J93" s="413"/>
      <c r="K93" s="435"/>
      <c r="L93" s="435"/>
      <c r="M93" s="435"/>
      <c r="N93" s="435"/>
      <c r="O93" s="435"/>
      <c r="P93" s="435"/>
      <c r="Q93" s="435"/>
      <c r="R93" s="449"/>
      <c r="S93" s="3035"/>
      <c r="T93" s="3030"/>
      <c r="U93" s="3036"/>
      <c r="V93" s="3024"/>
      <c r="W93" s="3036"/>
      <c r="X93" s="3024"/>
      <c r="Y93" s="3036"/>
      <c r="Z93" s="1679"/>
    </row>
    <row r="94" spans="1:26" ht="15" customHeight="1">
      <c r="A94" s="1037" t="s">
        <v>1257</v>
      </c>
      <c r="B94" s="1719">
        <f>DBH</f>
        <v>0</v>
      </c>
      <c r="C94" s="446" t="s">
        <v>136</v>
      </c>
      <c r="D94" s="1118" t="s">
        <v>1259</v>
      </c>
      <c r="E94" s="445"/>
      <c r="F94" s="445"/>
      <c r="G94" s="445"/>
      <c r="H94" s="445"/>
      <c r="I94" s="445"/>
      <c r="J94" s="413"/>
      <c r="K94" s="413"/>
      <c r="L94" s="413"/>
      <c r="M94" s="413"/>
      <c r="N94" s="413"/>
      <c r="O94" s="413"/>
      <c r="P94" s="413"/>
      <c r="Q94" s="413"/>
      <c r="R94" s="448"/>
      <c r="S94" s="3035"/>
      <c r="T94" s="3030"/>
      <c r="U94" s="3036"/>
      <c r="V94" s="3024"/>
      <c r="W94" s="3036"/>
      <c r="X94" s="3024"/>
      <c r="Y94" s="3036"/>
      <c r="Z94" s="1679"/>
    </row>
    <row r="95" spans="1:26" ht="15" customHeight="1" thickBot="1">
      <c r="A95" s="1037" t="s">
        <v>1258</v>
      </c>
      <c r="B95" s="1719">
        <f>DBB</f>
        <v>0</v>
      </c>
      <c r="C95" s="446" t="s">
        <v>136</v>
      </c>
      <c r="D95" s="1118" t="s">
        <v>1260</v>
      </c>
      <c r="G95" s="413"/>
      <c r="H95" s="413"/>
      <c r="I95" s="450"/>
      <c r="J95" s="413"/>
      <c r="K95" s="413"/>
      <c r="L95" s="413"/>
      <c r="M95" s="413"/>
      <c r="N95" s="413"/>
      <c r="O95" s="413"/>
      <c r="P95" s="413"/>
      <c r="Q95" s="413"/>
      <c r="R95" s="448"/>
      <c r="S95" s="3035"/>
      <c r="T95" s="3030"/>
      <c r="U95" s="3036"/>
      <c r="V95" s="3024"/>
      <c r="W95" s="3036"/>
      <c r="X95" s="3024"/>
      <c r="Y95" s="3036"/>
      <c r="Z95" s="1679"/>
    </row>
    <row r="96" spans="1:26" ht="15" customHeight="1" thickBot="1">
      <c r="A96" s="431" t="s">
        <v>3443</v>
      </c>
      <c r="B96" s="1416">
        <v>0</v>
      </c>
      <c r="C96" s="1415" t="s">
        <v>1114</v>
      </c>
      <c r="D96" s="3329" t="e">
        <f ca="1">'Frame Dimensions'!$C$120</f>
        <v>#REF!</v>
      </c>
      <c r="E96" s="1781"/>
      <c r="F96" s="1781"/>
      <c r="G96" s="1781"/>
      <c r="H96" s="1781"/>
      <c r="I96" s="1781"/>
      <c r="J96" s="1781"/>
      <c r="K96" s="2308"/>
      <c r="L96" s="1781"/>
      <c r="M96" s="1781"/>
      <c r="N96" s="1781"/>
      <c r="O96" s="1781"/>
      <c r="P96" s="1781"/>
      <c r="Q96" s="1781"/>
      <c r="R96" s="2309"/>
      <c r="S96" s="3032"/>
      <c r="T96" s="3027"/>
      <c r="U96" s="3033"/>
      <c r="V96" s="3028"/>
      <c r="W96" s="3033"/>
      <c r="X96" s="3028"/>
      <c r="Y96" s="3033"/>
      <c r="Z96" s="3034"/>
    </row>
    <row r="97" spans="1:26" ht="15" customHeight="1">
      <c r="A97" s="1653" t="s">
        <v>3250</v>
      </c>
      <c r="B97" s="1716" t="e">
        <f ca="1">'Frame Dimensions'!$G$120</f>
        <v>#REF!</v>
      </c>
      <c r="C97" s="1654" t="s">
        <v>136</v>
      </c>
      <c r="D97" s="1701" t="s">
        <v>3247</v>
      </c>
      <c r="G97" s="413"/>
      <c r="H97" s="413"/>
      <c r="I97" s="413"/>
      <c r="J97" s="413"/>
      <c r="K97" s="451"/>
      <c r="L97" s="413"/>
      <c r="M97" s="413"/>
      <c r="N97" s="413"/>
      <c r="O97" s="413"/>
      <c r="P97" s="413"/>
      <c r="Q97" s="413"/>
      <c r="R97" s="448"/>
      <c r="S97" s="3035"/>
      <c r="T97" s="3030"/>
      <c r="U97" s="3036"/>
      <c r="V97" s="3024"/>
      <c r="W97" s="3036"/>
      <c r="X97" s="3024"/>
      <c r="Y97" s="3036"/>
      <c r="Z97" s="3037"/>
    </row>
    <row r="98" spans="1:26" ht="15" customHeight="1">
      <c r="A98" s="1653" t="s">
        <v>3471</v>
      </c>
      <c r="B98" s="1716" t="e">
        <f ca="1">SFBase_He_L</f>
        <v>#REF!</v>
      </c>
      <c r="C98" s="1654" t="s">
        <v>136</v>
      </c>
      <c r="D98" s="1701" t="s">
        <v>3473</v>
      </c>
      <c r="G98" s="413"/>
      <c r="H98" s="413"/>
      <c r="I98" s="413"/>
      <c r="J98" s="413"/>
      <c r="K98" s="451"/>
      <c r="L98" s="413"/>
      <c r="M98" s="413"/>
      <c r="N98" s="413"/>
      <c r="O98" s="413"/>
      <c r="P98" s="413"/>
      <c r="Q98" s="413"/>
      <c r="R98" s="448"/>
      <c r="S98" s="3035"/>
      <c r="T98" s="3030"/>
      <c r="U98" s="3036"/>
      <c r="V98" s="3024"/>
      <c r="W98" s="3036"/>
      <c r="X98" s="3024"/>
      <c r="Y98" s="3036"/>
      <c r="Z98" s="3037"/>
    </row>
    <row r="99" spans="1:26" ht="15" customHeight="1">
      <c r="A99" s="1653" t="s">
        <v>3251</v>
      </c>
      <c r="B99" s="1716" t="e">
        <f ca="1">'Frame Dimensions'!$F$120</f>
        <v>#REF!</v>
      </c>
      <c r="C99" s="1654" t="s">
        <v>136</v>
      </c>
      <c r="D99" s="1701" t="s">
        <v>3246</v>
      </c>
      <c r="G99" s="413"/>
      <c r="H99" s="413"/>
      <c r="I99" s="413"/>
      <c r="J99" s="413"/>
      <c r="K99" s="451"/>
      <c r="L99" s="413"/>
      <c r="M99" s="413"/>
      <c r="N99" s="413"/>
      <c r="O99" s="413"/>
      <c r="P99" s="413"/>
      <c r="Q99" s="413"/>
      <c r="R99" s="448"/>
      <c r="S99" s="3035"/>
      <c r="T99" s="3030"/>
      <c r="U99" s="3036"/>
      <c r="V99" s="3024"/>
      <c r="W99" s="3036"/>
      <c r="X99" s="3024"/>
      <c r="Y99" s="3036"/>
      <c r="Z99" s="3037"/>
    </row>
    <row r="100" spans="1:26" ht="15" customHeight="1">
      <c r="A100" s="1653" t="s">
        <v>3252</v>
      </c>
      <c r="B100" s="1716" t="e">
        <f ca="1">SFBase_l_L</f>
        <v>#REF!</v>
      </c>
      <c r="C100" s="1654" t="s">
        <v>136</v>
      </c>
      <c r="D100" s="1701" t="s">
        <v>3245</v>
      </c>
      <c r="G100" s="413"/>
      <c r="H100" s="413"/>
      <c r="I100" s="413"/>
      <c r="J100" s="413"/>
      <c r="K100" s="451"/>
      <c r="L100" s="413"/>
      <c r="M100" s="413"/>
      <c r="N100" s="413"/>
      <c r="O100" s="413"/>
      <c r="P100" s="413"/>
      <c r="Q100" s="413"/>
      <c r="R100" s="448"/>
      <c r="S100" s="3035"/>
      <c r="T100" s="3030"/>
      <c r="U100" s="3036"/>
      <c r="V100" s="3024"/>
      <c r="W100" s="3036"/>
      <c r="X100" s="3024"/>
      <c r="Y100" s="3036"/>
      <c r="Z100" s="3037"/>
    </row>
    <row r="101" spans="1:26" ht="15" customHeight="1">
      <c r="A101" s="1653" t="s">
        <v>3253</v>
      </c>
      <c r="B101" s="1716" t="e">
        <f ca="1">'Frame Dimensions'!$G$124</f>
        <v>#REF!</v>
      </c>
      <c r="C101" s="1654" t="s">
        <v>136</v>
      </c>
      <c r="D101" s="1701" t="s">
        <v>3247</v>
      </c>
      <c r="G101" s="413"/>
      <c r="H101" s="413"/>
      <c r="I101" s="413"/>
      <c r="J101" s="413"/>
      <c r="K101" s="451"/>
      <c r="L101" s="413"/>
      <c r="M101" s="413"/>
      <c r="N101" s="413"/>
      <c r="O101" s="413"/>
      <c r="P101" s="413"/>
      <c r="Q101" s="413"/>
      <c r="R101" s="448"/>
      <c r="S101" s="3035"/>
      <c r="T101" s="3030"/>
      <c r="U101" s="3036"/>
      <c r="V101" s="3024"/>
      <c r="W101" s="3036"/>
      <c r="X101" s="3024"/>
      <c r="Y101" s="3036"/>
      <c r="Z101" s="3037"/>
    </row>
    <row r="102" spans="1:26" ht="15" customHeight="1">
      <c r="A102" s="1653" t="s">
        <v>3472</v>
      </c>
      <c r="B102" s="1716" t="e">
        <f ca="1">SFBase_He_R</f>
        <v>#REF!</v>
      </c>
      <c r="C102" s="1654" t="s">
        <v>136</v>
      </c>
      <c r="D102" s="1701" t="s">
        <v>3473</v>
      </c>
      <c r="G102" s="413"/>
      <c r="H102" s="413"/>
      <c r="I102" s="413"/>
      <c r="J102" s="413"/>
      <c r="K102" s="451"/>
      <c r="L102" s="413"/>
      <c r="M102" s="413"/>
      <c r="N102" s="413"/>
      <c r="O102" s="413"/>
      <c r="P102" s="413"/>
      <c r="Q102" s="413"/>
      <c r="R102" s="448"/>
      <c r="S102" s="3035"/>
      <c r="T102" s="3030"/>
      <c r="U102" s="3036"/>
      <c r="V102" s="3024"/>
      <c r="W102" s="3036"/>
      <c r="X102" s="3024"/>
      <c r="Y102" s="3036"/>
      <c r="Z102" s="3037"/>
    </row>
    <row r="103" spans="1:26" ht="15" customHeight="1">
      <c r="A103" s="1653" t="s">
        <v>3255</v>
      </c>
      <c r="B103" s="1716" t="e">
        <f ca="1">'Frame Dimensions'!$F$124</f>
        <v>#REF!</v>
      </c>
      <c r="C103" s="1654" t="s">
        <v>136</v>
      </c>
      <c r="D103" s="1701" t="s">
        <v>3246</v>
      </c>
      <c r="G103" s="413"/>
      <c r="H103" s="413"/>
      <c r="I103" s="413"/>
      <c r="J103" s="413"/>
      <c r="K103" s="451"/>
      <c r="L103" s="413"/>
      <c r="M103" s="413"/>
      <c r="N103" s="413"/>
      <c r="O103" s="413"/>
      <c r="P103" s="413"/>
      <c r="Q103" s="413"/>
      <c r="R103" s="448"/>
      <c r="S103" s="3035"/>
      <c r="T103" s="3030"/>
      <c r="U103" s="3036"/>
      <c r="V103" s="3024"/>
      <c r="W103" s="3036"/>
      <c r="X103" s="3024"/>
      <c r="Y103" s="3036"/>
      <c r="Z103" s="3037"/>
    </row>
    <row r="104" spans="1:26" ht="15" customHeight="1" thickBot="1">
      <c r="A104" s="1653" t="s">
        <v>3254</v>
      </c>
      <c r="B104" s="1655" t="e">
        <f ca="1">SFBase_l_R</f>
        <v>#REF!</v>
      </c>
      <c r="C104" s="1654" t="s">
        <v>136</v>
      </c>
      <c r="D104" s="1701" t="s">
        <v>3245</v>
      </c>
      <c r="G104" s="413"/>
      <c r="H104" s="413"/>
      <c r="I104" s="413"/>
      <c r="J104" s="413"/>
      <c r="K104" s="451"/>
      <c r="L104" s="413"/>
      <c r="M104" s="413"/>
      <c r="N104" s="413"/>
      <c r="O104" s="413"/>
      <c r="P104" s="413"/>
      <c r="Q104" s="413"/>
      <c r="R104" s="448"/>
      <c r="S104" s="3035"/>
      <c r="T104" s="3030"/>
      <c r="U104" s="3036"/>
      <c r="V104" s="3024"/>
      <c r="W104" s="3036"/>
      <c r="X104" s="3024"/>
      <c r="Y104" s="3036"/>
      <c r="Z104" s="3037"/>
    </row>
    <row r="105" spans="1:26" ht="15" customHeight="1" thickBot="1">
      <c r="A105" s="2248" t="s">
        <v>3463</v>
      </c>
      <c r="B105" s="1416">
        <v>0</v>
      </c>
      <c r="C105" s="1415" t="s">
        <v>1114</v>
      </c>
      <c r="D105" s="2259" t="str">
        <f>'Frame Dimensions'!$C$98</f>
        <v>P5</v>
      </c>
      <c r="E105" s="1781"/>
      <c r="F105" s="1781"/>
      <c r="G105" s="1781"/>
      <c r="H105" s="1781"/>
      <c r="I105" s="1781"/>
      <c r="J105" s="1781"/>
      <c r="K105" s="2308"/>
      <c r="L105" s="1781"/>
      <c r="M105" s="1781"/>
      <c r="N105" s="1781"/>
      <c r="O105" s="1781"/>
      <c r="P105" s="1781"/>
      <c r="Q105" s="1781"/>
      <c r="R105" s="2309"/>
      <c r="S105" s="3032"/>
      <c r="T105" s="3027"/>
      <c r="U105" s="3033"/>
      <c r="V105" s="3028"/>
      <c r="W105" s="3033"/>
      <c r="X105" s="3028"/>
      <c r="Y105" s="3033"/>
      <c r="Z105" s="3034"/>
    </row>
    <row r="106" spans="1:26" ht="15" customHeight="1">
      <c r="A106" s="429" t="s">
        <v>3447</v>
      </c>
      <c r="B106" s="1719">
        <f>'Frame Dimensions'!$G$98</f>
        <v>5</v>
      </c>
      <c r="C106" s="428" t="s">
        <v>136</v>
      </c>
      <c r="D106" s="1114" t="s">
        <v>3448</v>
      </c>
      <c r="G106" s="413"/>
      <c r="H106" s="413"/>
      <c r="I106" s="413"/>
      <c r="J106" s="413"/>
      <c r="K106" s="451"/>
      <c r="L106" s="413"/>
      <c r="M106" s="413"/>
      <c r="N106" s="413"/>
      <c r="O106" s="413"/>
      <c r="P106" s="413"/>
      <c r="Q106" s="413"/>
      <c r="R106" s="448"/>
      <c r="S106" s="3035"/>
      <c r="T106" s="3030"/>
      <c r="U106" s="3036"/>
      <c r="V106" s="3024"/>
      <c r="W106" s="3036"/>
      <c r="X106" s="3024"/>
      <c r="Y106" s="3036"/>
      <c r="Z106" s="1679"/>
    </row>
    <row r="107" spans="1:26" ht="15" customHeight="1">
      <c r="A107" s="429" t="s">
        <v>3465</v>
      </c>
      <c r="B107" s="1719" t="e">
        <f ca="1">'Frame Dimensions'!$E$98</f>
        <v>#REF!</v>
      </c>
      <c r="C107" s="428" t="s">
        <v>136</v>
      </c>
      <c r="D107" s="1114" t="s">
        <v>3352</v>
      </c>
      <c r="G107" s="413"/>
      <c r="H107" s="413"/>
      <c r="I107" s="413"/>
      <c r="J107" s="413"/>
      <c r="K107" s="451"/>
      <c r="L107" s="413"/>
      <c r="M107" s="413"/>
      <c r="N107" s="413"/>
      <c r="O107" s="413"/>
      <c r="P107" s="413"/>
      <c r="Q107" s="413"/>
      <c r="R107" s="448"/>
      <c r="S107" s="3035"/>
      <c r="T107" s="3030"/>
      <c r="U107" s="3036"/>
      <c r="V107" s="3024"/>
      <c r="W107" s="3036"/>
      <c r="X107" s="3024"/>
      <c r="Y107" s="3036"/>
      <c r="Z107" s="1679"/>
    </row>
    <row r="108" spans="1:26" ht="15" customHeight="1">
      <c r="A108" s="429" t="s">
        <v>3466</v>
      </c>
      <c r="B108" s="1719" t="e">
        <f ca="1">'Frame Dimensions'!$N$98</f>
        <v>#REF!</v>
      </c>
      <c r="C108" s="428" t="s">
        <v>136</v>
      </c>
      <c r="D108" s="1114" t="s">
        <v>3442</v>
      </c>
      <c r="G108" s="413"/>
      <c r="H108" s="413"/>
      <c r="I108" s="413"/>
      <c r="J108" s="413"/>
      <c r="K108" s="451"/>
      <c r="L108" s="413"/>
      <c r="M108" s="413"/>
      <c r="N108" s="413"/>
      <c r="O108" s="413"/>
      <c r="P108" s="413"/>
      <c r="Q108" s="413"/>
      <c r="R108" s="448"/>
      <c r="S108" s="3036"/>
      <c r="T108" s="3030"/>
      <c r="U108" s="3036"/>
      <c r="V108" s="3024"/>
      <c r="W108" s="3036"/>
      <c r="X108" s="3024"/>
      <c r="Y108" s="3036"/>
      <c r="Z108" s="1679"/>
    </row>
    <row r="109" spans="1:26" ht="15" customHeight="1">
      <c r="A109" s="429" t="s">
        <v>3467</v>
      </c>
      <c r="B109" s="1719" t="e">
        <f ca="1">'Frame Dimensions'!$M$98-'Frame Dimensions'!$J$98</f>
        <v>#REF!</v>
      </c>
      <c r="C109" s="428" t="s">
        <v>136</v>
      </c>
      <c r="D109" s="1114" t="s">
        <v>3369</v>
      </c>
      <c r="G109" s="413"/>
      <c r="H109" s="413"/>
      <c r="I109" s="413"/>
      <c r="J109" s="413"/>
      <c r="K109" s="451"/>
      <c r="L109" s="413"/>
      <c r="M109" s="413"/>
      <c r="N109" s="413"/>
      <c r="O109" s="413"/>
      <c r="P109" s="413"/>
      <c r="Q109" s="413"/>
      <c r="R109" s="448"/>
      <c r="S109" s="3035"/>
      <c r="T109" s="3030"/>
      <c r="U109" s="3036"/>
      <c r="V109" s="3024"/>
      <c r="W109" s="3036"/>
      <c r="X109" s="3024"/>
      <c r="Y109" s="3036"/>
      <c r="Z109" s="1679"/>
    </row>
    <row r="110" spans="1:26" ht="15" customHeight="1">
      <c r="A110" s="429" t="s">
        <v>3468</v>
      </c>
      <c r="B110" s="1719" t="e">
        <f ca="1">'Frame Dimensions'!$E$99</f>
        <v>#REF!</v>
      </c>
      <c r="C110" s="428" t="s">
        <v>136</v>
      </c>
      <c r="D110" s="1114" t="s">
        <v>3352</v>
      </c>
      <c r="E110" s="435"/>
      <c r="F110" s="435"/>
      <c r="G110" s="435"/>
      <c r="H110" s="435"/>
      <c r="I110" s="435"/>
      <c r="J110" s="451"/>
      <c r="K110" s="451"/>
      <c r="L110" s="413"/>
      <c r="M110" s="413"/>
      <c r="N110" s="413"/>
      <c r="O110" s="413"/>
      <c r="P110" s="413"/>
      <c r="Q110" s="413"/>
      <c r="R110" s="448"/>
      <c r="S110" s="3035"/>
      <c r="T110" s="3030"/>
      <c r="U110" s="3036"/>
      <c r="V110" s="3024"/>
      <c r="W110" s="3036"/>
      <c r="X110" s="3024"/>
      <c r="Y110" s="3036"/>
      <c r="Z110" s="1679"/>
    </row>
    <row r="111" spans="1:26" ht="15" customHeight="1">
      <c r="A111" s="429" t="s">
        <v>3469</v>
      </c>
      <c r="B111" s="1720" t="e">
        <f ca="1">'Frame Dimensions'!$N$99</f>
        <v>#REF!</v>
      </c>
      <c r="C111" s="428" t="s">
        <v>136</v>
      </c>
      <c r="D111" s="1114" t="s">
        <v>3442</v>
      </c>
      <c r="G111" s="413"/>
      <c r="H111" s="413"/>
      <c r="I111" s="413"/>
      <c r="J111" s="413"/>
      <c r="K111" s="451"/>
      <c r="L111" s="413"/>
      <c r="M111" s="413"/>
      <c r="N111" s="413"/>
      <c r="O111" s="413"/>
      <c r="P111" s="413"/>
      <c r="Q111" s="413"/>
      <c r="R111" s="448"/>
      <c r="S111" s="3036"/>
      <c r="T111" s="3030"/>
      <c r="U111" s="3036"/>
      <c r="V111" s="3024"/>
      <c r="W111" s="3036"/>
      <c r="X111" s="3024"/>
      <c r="Y111" s="3036"/>
      <c r="Z111" s="1679"/>
    </row>
    <row r="112" spans="1:26" ht="15" customHeight="1" thickBot="1">
      <c r="A112" s="429" t="s">
        <v>3470</v>
      </c>
      <c r="B112" s="1719" t="e">
        <f ca="1">'Frame Dimensions'!$M$99-'Frame Dimensions'!$J$99</f>
        <v>#REF!</v>
      </c>
      <c r="C112" s="428" t="s">
        <v>136</v>
      </c>
      <c r="D112" s="1114" t="s">
        <v>3369</v>
      </c>
      <c r="G112" s="413"/>
      <c r="H112" s="413"/>
      <c r="I112" s="413"/>
      <c r="J112" s="413"/>
      <c r="K112" s="413"/>
      <c r="L112" s="413"/>
      <c r="M112" s="413"/>
      <c r="N112" s="413"/>
      <c r="O112" s="413"/>
      <c r="P112" s="413"/>
      <c r="Q112" s="413"/>
      <c r="R112" s="448"/>
      <c r="S112" s="3035"/>
      <c r="T112" s="3030"/>
      <c r="U112" s="3036"/>
      <c r="V112" s="3024"/>
      <c r="W112" s="3036"/>
      <c r="X112" s="3024"/>
      <c r="Y112" s="3036"/>
      <c r="Z112" s="1679"/>
    </row>
    <row r="113" spans="1:26" ht="15" customHeight="1" thickBot="1">
      <c r="A113" s="2248" t="s">
        <v>3444</v>
      </c>
      <c r="B113" s="1416">
        <v>0</v>
      </c>
      <c r="C113" s="1415" t="s">
        <v>1114</v>
      </c>
      <c r="D113" s="2259" t="e">
        <f ca="1">'Frame Dimensions'!$C$130</f>
        <v>#REF!</v>
      </c>
      <c r="E113" s="1781"/>
      <c r="F113" s="1781"/>
      <c r="G113" s="1781"/>
      <c r="H113" s="1781"/>
      <c r="I113" s="1781"/>
      <c r="J113" s="1781"/>
      <c r="K113" s="2308"/>
      <c r="L113" s="1781"/>
      <c r="M113" s="1781"/>
      <c r="N113" s="1781"/>
      <c r="O113" s="1781"/>
      <c r="P113" s="1781"/>
      <c r="Q113" s="1781"/>
      <c r="R113" s="2309"/>
      <c r="S113" s="3032"/>
      <c r="T113" s="3027"/>
      <c r="U113" s="3033"/>
      <c r="V113" s="3028"/>
      <c r="W113" s="3033"/>
      <c r="X113" s="3028"/>
      <c r="Y113" s="3033"/>
      <c r="Z113" s="3034"/>
    </row>
    <row r="114" spans="1:26" ht="15" customHeight="1">
      <c r="A114" s="1653" t="s">
        <v>3240</v>
      </c>
      <c r="B114" s="1716" t="e">
        <f ca="1">'Frame Dimensions'!$G$128</f>
        <v>#REF!</v>
      </c>
      <c r="C114" s="1654" t="s">
        <v>136</v>
      </c>
      <c r="D114" s="1701" t="s">
        <v>3264</v>
      </c>
      <c r="G114" s="413"/>
      <c r="H114" s="413"/>
      <c r="I114" s="413"/>
      <c r="J114" s="413"/>
      <c r="K114" s="451"/>
      <c r="L114" s="413"/>
      <c r="M114" s="413"/>
      <c r="N114" s="413"/>
      <c r="O114" s="413"/>
      <c r="P114" s="413"/>
      <c r="Q114" s="413"/>
      <c r="R114" s="448"/>
      <c r="S114" s="3035"/>
      <c r="T114" s="3030"/>
      <c r="U114" s="3036"/>
      <c r="V114" s="3024"/>
      <c r="W114" s="3036"/>
      <c r="X114" s="3024"/>
      <c r="Y114" s="3036"/>
      <c r="Z114" s="3037"/>
    </row>
    <row r="115" spans="1:26" ht="15" customHeight="1">
      <c r="A115" s="1653" t="s">
        <v>3248</v>
      </c>
      <c r="B115" s="1655" t="e">
        <f ca="1">'Frame Dimensions'!$M$128-'Frame Dimensions'!$J$128</f>
        <v>#REF!</v>
      </c>
      <c r="C115" s="1654" t="s">
        <v>136</v>
      </c>
      <c r="D115" s="1701" t="s">
        <v>3256</v>
      </c>
      <c r="G115" s="413"/>
      <c r="H115" s="413"/>
      <c r="I115" s="413"/>
      <c r="J115" s="413"/>
      <c r="K115" s="451"/>
      <c r="L115" s="413"/>
      <c r="M115" s="413"/>
      <c r="N115" s="413"/>
      <c r="O115" s="413"/>
      <c r="P115" s="413"/>
      <c r="Q115" s="413"/>
      <c r="R115" s="448"/>
      <c r="S115" s="3035"/>
      <c r="T115" s="3030"/>
      <c r="U115" s="3036"/>
      <c r="V115" s="3024"/>
      <c r="W115" s="3036"/>
      <c r="X115" s="3024"/>
      <c r="Y115" s="3036"/>
      <c r="Z115" s="3037"/>
    </row>
    <row r="116" spans="1:26" ht="15" customHeight="1">
      <c r="A116" s="1653" t="s">
        <v>3346</v>
      </c>
      <c r="B116" s="1655" t="e">
        <f ca="1">SFMM_He</f>
        <v>#REF!</v>
      </c>
      <c r="C116" s="1654" t="s">
        <v>136</v>
      </c>
      <c r="D116" s="1114" t="s">
        <v>3263</v>
      </c>
      <c r="G116" s="413"/>
      <c r="H116" s="413"/>
      <c r="I116" s="413"/>
      <c r="J116" s="413"/>
      <c r="K116" s="451"/>
      <c r="L116" s="413"/>
      <c r="M116" s="413"/>
      <c r="N116" s="413"/>
      <c r="O116" s="413"/>
      <c r="P116" s="413"/>
      <c r="Q116" s="413"/>
      <c r="R116" s="448"/>
      <c r="S116" s="3035"/>
      <c r="T116" s="3030"/>
      <c r="U116" s="3036"/>
      <c r="V116" s="3024"/>
      <c r="W116" s="3036"/>
      <c r="X116" s="3024"/>
      <c r="Y116" s="3036"/>
      <c r="Z116" s="3037"/>
    </row>
    <row r="117" spans="1:26" ht="15" customHeight="1" thickBot="1">
      <c r="A117" s="1653" t="s">
        <v>3354</v>
      </c>
      <c r="B117" s="1655" t="e">
        <f ca="1">'Frame Dimensions'!$K$128</f>
        <v>#REF!</v>
      </c>
      <c r="C117" s="1654" t="s">
        <v>136</v>
      </c>
      <c r="D117" s="1114" t="s">
        <v>3357</v>
      </c>
      <c r="E117" s="445"/>
      <c r="F117" s="445"/>
      <c r="G117" s="445"/>
      <c r="H117" s="445"/>
      <c r="I117" s="445"/>
      <c r="J117" s="413"/>
      <c r="K117" s="413"/>
      <c r="L117" s="413"/>
      <c r="M117" s="413"/>
      <c r="N117" s="413"/>
      <c r="O117" s="413"/>
      <c r="P117" s="413"/>
      <c r="Q117" s="413"/>
      <c r="R117" s="448"/>
      <c r="S117" s="3035"/>
      <c r="T117" s="3030"/>
      <c r="U117" s="3036"/>
      <c r="V117" s="3024"/>
      <c r="W117" s="3036"/>
      <c r="X117" s="3024"/>
      <c r="Y117" s="3036"/>
      <c r="Z117" s="1679"/>
    </row>
    <row r="118" spans="1:26" ht="15" customHeight="1" thickBot="1">
      <c r="A118" s="2248" t="s">
        <v>3445</v>
      </c>
      <c r="B118" s="1416">
        <v>0</v>
      </c>
      <c r="C118" s="1415" t="s">
        <v>1114</v>
      </c>
      <c r="D118" s="2259">
        <f>'Frame Dimensions'!$C$134</f>
        <v>0</v>
      </c>
      <c r="E118" s="1781"/>
      <c r="F118" s="1781"/>
      <c r="G118" s="1781"/>
      <c r="H118" s="1781"/>
      <c r="I118" s="1781"/>
      <c r="J118" s="1781"/>
      <c r="K118" s="2308"/>
      <c r="L118" s="1781"/>
      <c r="M118" s="1781"/>
      <c r="N118" s="1781"/>
      <c r="O118" s="1781"/>
      <c r="P118" s="1781"/>
      <c r="Q118" s="1781"/>
      <c r="R118" s="2309"/>
      <c r="S118" s="3032"/>
      <c r="T118" s="3027"/>
      <c r="U118" s="3033"/>
      <c r="V118" s="3028"/>
      <c r="W118" s="3033"/>
      <c r="X118" s="3028"/>
      <c r="Y118" s="3033"/>
      <c r="Z118" s="3034"/>
    </row>
    <row r="119" spans="1:26" ht="15" customHeight="1">
      <c r="A119" s="1653" t="s">
        <v>3273</v>
      </c>
      <c r="B119" s="1655">
        <f>'Frame Dimensions'!$G$132</f>
        <v>0</v>
      </c>
      <c r="C119" s="1654" t="s">
        <v>136</v>
      </c>
      <c r="D119" s="1701" t="s">
        <v>3275</v>
      </c>
      <c r="E119" s="445"/>
      <c r="F119" s="445"/>
      <c r="G119" s="445"/>
      <c r="H119" s="445"/>
      <c r="I119" s="445"/>
      <c r="J119" s="413"/>
      <c r="K119" s="413"/>
      <c r="L119" s="413"/>
      <c r="M119" s="413"/>
      <c r="N119" s="413"/>
      <c r="O119" s="413"/>
      <c r="P119" s="413"/>
      <c r="Q119" s="413"/>
      <c r="R119" s="448"/>
      <c r="S119" s="3035"/>
      <c r="T119" s="3030"/>
      <c r="U119" s="3036"/>
      <c r="V119" s="3024"/>
      <c r="W119" s="3036"/>
      <c r="X119" s="3024"/>
      <c r="Y119" s="3036"/>
      <c r="Z119" s="1679"/>
    </row>
    <row r="120" spans="1:26" ht="15" customHeight="1">
      <c r="A120" s="1037" t="s">
        <v>3274</v>
      </c>
      <c r="B120" s="1733">
        <f>'Frame Dimensions'!$M$132-'Frame Dimensions'!$J$132</f>
        <v>0</v>
      </c>
      <c r="C120" s="1417" t="s">
        <v>136</v>
      </c>
      <c r="D120" s="1701" t="s">
        <v>3276</v>
      </c>
      <c r="E120" s="445"/>
      <c r="F120" s="445"/>
      <c r="G120" s="445"/>
      <c r="H120" s="445"/>
      <c r="I120" s="445"/>
      <c r="J120" s="413"/>
      <c r="K120" s="413"/>
      <c r="L120" s="413"/>
      <c r="M120" s="413"/>
      <c r="N120" s="413"/>
      <c r="O120" s="413"/>
      <c r="P120" s="413"/>
      <c r="Q120" s="413"/>
      <c r="R120" s="448"/>
      <c r="S120" s="3035"/>
      <c r="T120" s="3030"/>
      <c r="U120" s="3036"/>
      <c r="V120" s="3024"/>
      <c r="W120" s="3036"/>
      <c r="X120" s="3024"/>
      <c r="Y120" s="3036"/>
      <c r="Z120" s="1679"/>
    </row>
    <row r="121" spans="1:26" ht="15" customHeight="1">
      <c r="A121" s="1037" t="s">
        <v>3347</v>
      </c>
      <c r="B121" s="1733">
        <f>SFBB_He</f>
        <v>0</v>
      </c>
      <c r="C121" s="1417" t="s">
        <v>136</v>
      </c>
      <c r="D121" s="1114" t="s">
        <v>3277</v>
      </c>
      <c r="E121" s="445"/>
      <c r="F121" s="445"/>
      <c r="G121" s="445"/>
      <c r="H121" s="445"/>
      <c r="I121" s="445"/>
      <c r="J121" s="413"/>
      <c r="K121" s="413"/>
      <c r="L121" s="413"/>
      <c r="M121" s="413"/>
      <c r="N121" s="413"/>
      <c r="O121" s="413"/>
      <c r="P121" s="413"/>
      <c r="Q121" s="413"/>
      <c r="R121" s="448"/>
      <c r="S121" s="3035"/>
      <c r="T121" s="3030"/>
      <c r="U121" s="3036"/>
      <c r="V121" s="3024"/>
      <c r="W121" s="3036"/>
      <c r="X121" s="3024"/>
      <c r="Y121" s="3036"/>
      <c r="Z121" s="1679"/>
    </row>
    <row r="122" spans="1:26" ht="15" customHeight="1" thickBot="1">
      <c r="A122" s="1037" t="s">
        <v>3365</v>
      </c>
      <c r="B122" s="1733">
        <f>'Frame Dimensions'!$K$132</f>
        <v>0</v>
      </c>
      <c r="C122" s="1417" t="s">
        <v>136</v>
      </c>
      <c r="D122" s="1114" t="s">
        <v>3366</v>
      </c>
      <c r="G122" s="413"/>
      <c r="H122" s="413"/>
      <c r="I122" s="413"/>
      <c r="J122" s="413"/>
      <c r="K122" s="451"/>
      <c r="L122" s="413"/>
      <c r="M122" s="413"/>
      <c r="N122" s="413"/>
      <c r="O122" s="413"/>
      <c r="P122" s="413"/>
      <c r="Q122" s="413"/>
      <c r="R122" s="448"/>
      <c r="S122" s="3035"/>
      <c r="T122" s="3030"/>
      <c r="U122" s="3036"/>
      <c r="V122" s="3024"/>
      <c r="W122" s="3036"/>
      <c r="X122" s="3024"/>
      <c r="Y122" s="3036"/>
      <c r="Z122" s="3037"/>
    </row>
    <row r="123" spans="1:26" ht="15" customHeight="1" thickBot="1">
      <c r="A123" s="2248" t="s">
        <v>3446</v>
      </c>
      <c r="B123" s="1416">
        <v>0</v>
      </c>
      <c r="C123" s="1415" t="s">
        <v>1114</v>
      </c>
      <c r="D123" s="2259" t="e">
        <f ca="1">'Frame Dimensions'!$C$115</f>
        <v>#REF!</v>
      </c>
      <c r="E123" s="1781"/>
      <c r="F123" s="1781"/>
      <c r="G123" s="1781"/>
      <c r="H123" s="1781"/>
      <c r="I123" s="1781"/>
      <c r="J123" s="1781"/>
      <c r="K123" s="2308"/>
      <c r="L123" s="1781"/>
      <c r="M123" s="1781"/>
      <c r="N123" s="1781"/>
      <c r="O123" s="1781"/>
      <c r="P123" s="1781"/>
      <c r="Q123" s="1781"/>
      <c r="R123" s="2309"/>
      <c r="S123" s="3032"/>
      <c r="T123" s="3027"/>
      <c r="U123" s="3033"/>
      <c r="V123" s="3028"/>
      <c r="W123" s="3033"/>
      <c r="X123" s="3028"/>
      <c r="Y123" s="3033"/>
      <c r="Z123" s="3034"/>
    </row>
    <row r="124" spans="1:26" ht="15" customHeight="1">
      <c r="A124" s="1653" t="s">
        <v>3241</v>
      </c>
      <c r="B124" s="1716" t="e">
        <f ca="1">'Frame Dimensions'!$G$115</f>
        <v>#REF!</v>
      </c>
      <c r="C124" s="1654" t="s">
        <v>136</v>
      </c>
      <c r="D124" s="1701" t="s">
        <v>3416</v>
      </c>
      <c r="G124" s="413"/>
      <c r="H124" s="413"/>
      <c r="I124" s="413"/>
      <c r="J124" s="413"/>
      <c r="K124" s="451"/>
      <c r="L124" s="413"/>
      <c r="M124" s="413"/>
      <c r="N124" s="413"/>
      <c r="O124" s="413"/>
      <c r="P124" s="413"/>
      <c r="Q124" s="413"/>
      <c r="R124" s="448"/>
      <c r="S124" s="3035"/>
      <c r="T124" s="3030"/>
      <c r="U124" s="3036"/>
      <c r="V124" s="3024"/>
      <c r="W124" s="3036"/>
      <c r="X124" s="3024"/>
      <c r="Y124" s="3036"/>
      <c r="Z124" s="3037"/>
    </row>
    <row r="125" spans="1:26" ht="15" customHeight="1">
      <c r="A125" s="1653" t="s">
        <v>3243</v>
      </c>
      <c r="B125" s="1655" t="e">
        <f ca="1">'Frame Dimensions'!$J$117-'Frame Dimensions'!$J$115</f>
        <v>#REF!</v>
      </c>
      <c r="C125" s="1654" t="s">
        <v>136</v>
      </c>
      <c r="D125" s="1701" t="s">
        <v>3249</v>
      </c>
      <c r="G125" s="413"/>
      <c r="H125" s="413"/>
      <c r="I125" s="413"/>
      <c r="J125" s="413"/>
      <c r="K125" s="451"/>
      <c r="L125" s="413"/>
      <c r="M125" s="413"/>
      <c r="N125" s="413"/>
      <c r="O125" s="413"/>
      <c r="P125" s="413"/>
      <c r="Q125" s="413"/>
      <c r="R125" s="448"/>
      <c r="S125" s="3036"/>
      <c r="T125" s="3030"/>
      <c r="U125" s="3036"/>
      <c r="V125" s="3024"/>
      <c r="W125" s="3036"/>
      <c r="X125" s="3024"/>
      <c r="Y125" s="3036"/>
      <c r="Z125" s="3037"/>
    </row>
    <row r="126" spans="1:26" ht="15" customHeight="1">
      <c r="A126" s="1653" t="s">
        <v>3242</v>
      </c>
      <c r="B126" s="1655" t="e">
        <f ca="1">SFX_w</f>
        <v>#REF!</v>
      </c>
      <c r="C126" s="1654" t="s">
        <v>136</v>
      </c>
      <c r="D126" s="1114" t="s">
        <v>3358</v>
      </c>
      <c r="G126" s="413"/>
      <c r="H126" s="413"/>
      <c r="I126" s="413"/>
      <c r="J126" s="413"/>
      <c r="K126" s="451"/>
      <c r="L126" s="413"/>
      <c r="M126" s="413"/>
      <c r="N126" s="413"/>
      <c r="O126" s="413"/>
      <c r="P126" s="413"/>
      <c r="Q126" s="413"/>
      <c r="R126" s="448"/>
      <c r="S126" s="3035"/>
      <c r="T126" s="3030"/>
      <c r="U126" s="3036"/>
      <c r="V126" s="3024"/>
      <c r="W126" s="3036"/>
      <c r="X126" s="3024"/>
      <c r="Y126" s="3036"/>
      <c r="Z126" s="1679"/>
    </row>
    <row r="127" spans="1:26" ht="15" customHeight="1">
      <c r="A127" s="1653" t="s">
        <v>3421</v>
      </c>
      <c r="B127" s="1655" t="e">
        <f ca="1">'Frame Dimensions'!$O$115-'Frame Dimensions'!$L$115</f>
        <v>#REF!</v>
      </c>
      <c r="C127" s="1654" t="s">
        <v>136</v>
      </c>
      <c r="D127" s="1114" t="s">
        <v>3420</v>
      </c>
      <c r="G127" s="413"/>
      <c r="H127" s="413"/>
      <c r="I127" s="413"/>
      <c r="J127" s="413"/>
      <c r="K127" s="451"/>
      <c r="L127" s="413"/>
      <c r="M127" s="413"/>
      <c r="N127" s="413"/>
      <c r="O127" s="413"/>
      <c r="P127" s="413"/>
      <c r="Q127" s="413"/>
      <c r="R127" s="448"/>
      <c r="S127" s="3035"/>
      <c r="T127" s="3030"/>
      <c r="U127" s="3036"/>
      <c r="V127" s="3024"/>
      <c r="W127" s="3036"/>
      <c r="X127" s="3024"/>
      <c r="Y127" s="3036"/>
      <c r="Z127" s="1679"/>
    </row>
    <row r="128" spans="1:26" ht="15" customHeight="1">
      <c r="A128" s="1653" t="s">
        <v>3367</v>
      </c>
      <c r="B128" s="1655" t="e">
        <f ca="1">SFX_He</f>
        <v>#REF!</v>
      </c>
      <c r="C128" s="1654" t="s">
        <v>136</v>
      </c>
      <c r="D128" s="1114" t="s">
        <v>3368</v>
      </c>
      <c r="G128" s="413"/>
      <c r="H128" s="413"/>
      <c r="I128" s="413"/>
      <c r="J128" s="413"/>
      <c r="K128" s="451"/>
      <c r="L128" s="413"/>
      <c r="M128" s="413"/>
      <c r="N128" s="413"/>
      <c r="O128" s="413"/>
      <c r="P128" s="413"/>
      <c r="Q128" s="413"/>
      <c r="R128" s="448"/>
      <c r="S128" s="3035"/>
      <c r="T128" s="3030"/>
      <c r="U128" s="3036"/>
      <c r="V128" s="3024"/>
      <c r="W128" s="3036"/>
      <c r="X128" s="3024"/>
      <c r="Y128" s="3036"/>
      <c r="Z128" s="3037"/>
    </row>
    <row r="129" spans="1:26" ht="15" customHeight="1" thickBot="1">
      <c r="A129" s="1653" t="s">
        <v>3351</v>
      </c>
      <c r="B129" s="1655" t="e">
        <f ca="1">'Frame Dimensions'!$K$115</f>
        <v>#REF!</v>
      </c>
      <c r="C129" s="1654" t="s">
        <v>136</v>
      </c>
      <c r="D129" s="1701" t="s">
        <v>3353</v>
      </c>
      <c r="G129" s="413"/>
      <c r="H129" s="413"/>
      <c r="I129" s="413"/>
      <c r="J129" s="413"/>
      <c r="K129" s="451"/>
      <c r="L129" s="413"/>
      <c r="M129" s="413"/>
      <c r="N129" s="413"/>
      <c r="O129" s="413"/>
      <c r="P129" s="413"/>
      <c r="Q129" s="413"/>
      <c r="R129" s="448"/>
      <c r="S129" s="3035"/>
      <c r="T129" s="3030"/>
      <c r="U129" s="3036"/>
      <c r="V129" s="3024"/>
      <c r="W129" s="3036"/>
      <c r="X129" s="3024"/>
      <c r="Y129" s="3036"/>
      <c r="Z129" s="3037"/>
    </row>
    <row r="130" spans="1:26" ht="15" customHeight="1" thickBot="1">
      <c r="A130" s="2248" t="s">
        <v>3474</v>
      </c>
      <c r="B130" s="1416">
        <v>0</v>
      </c>
      <c r="C130" s="1415" t="s">
        <v>1114</v>
      </c>
      <c r="D130" s="2259" t="e">
        <f ca="1">'Frame Dimensions'!$C$90</f>
        <v>#REF!</v>
      </c>
      <c r="E130" s="1781"/>
      <c r="F130" s="1781"/>
      <c r="G130" s="1781"/>
      <c r="H130" s="1781"/>
      <c r="I130" s="1781"/>
      <c r="J130" s="1781"/>
      <c r="K130" s="1781"/>
      <c r="L130" s="1781"/>
      <c r="M130" s="1781"/>
      <c r="N130" s="1781"/>
      <c r="O130" s="1781"/>
      <c r="P130" s="1781"/>
      <c r="Q130" s="1781"/>
      <c r="R130" s="2309"/>
      <c r="S130" s="3032"/>
      <c r="T130" s="3027"/>
      <c r="U130" s="3033"/>
      <c r="V130" s="3028"/>
      <c r="W130" s="3033"/>
      <c r="X130" s="3028"/>
      <c r="Y130" s="3033"/>
      <c r="Z130" s="3043"/>
    </row>
    <row r="131" spans="1:26" ht="15" customHeight="1">
      <c r="A131" s="429" t="s">
        <v>1229</v>
      </c>
      <c r="B131" s="1720" t="e">
        <f ca="1">'Frame Dimensions'!$G$90</f>
        <v>#REF!</v>
      </c>
      <c r="C131" s="428" t="s">
        <v>136</v>
      </c>
      <c r="D131" s="1114" t="s">
        <v>1219</v>
      </c>
      <c r="E131" s="3648"/>
      <c r="F131" s="3648"/>
      <c r="G131" s="3648"/>
      <c r="H131" s="3648"/>
      <c r="I131" s="3648"/>
      <c r="J131" s="3648"/>
      <c r="K131" s="3648"/>
      <c r="L131" s="3648"/>
      <c r="M131" s="3648"/>
      <c r="N131" s="3648"/>
      <c r="O131" s="3648"/>
      <c r="P131" s="3648"/>
      <c r="Q131" s="3648"/>
      <c r="R131" s="3649"/>
      <c r="S131" s="3035"/>
      <c r="T131" s="3030"/>
      <c r="U131" s="3036"/>
      <c r="V131" s="3024"/>
      <c r="W131" s="3036"/>
      <c r="X131" s="3024"/>
      <c r="Y131" s="3036"/>
      <c r="Z131" s="1679"/>
    </row>
    <row r="132" spans="1:26" ht="15" customHeight="1">
      <c r="A132" s="429" t="s">
        <v>3522</v>
      </c>
      <c r="B132" s="1720" t="e">
        <f ca="1">VHFL_He</f>
        <v>#REF!</v>
      </c>
      <c r="C132" s="428" t="s">
        <v>136</v>
      </c>
      <c r="D132" s="1114" t="s">
        <v>1144</v>
      </c>
      <c r="E132" s="3648"/>
      <c r="F132" s="3648"/>
      <c r="G132" s="3648"/>
      <c r="H132" s="3648"/>
      <c r="I132" s="3648"/>
      <c r="J132" s="3648"/>
      <c r="K132" s="3648"/>
      <c r="L132" s="3648"/>
      <c r="M132" s="3648"/>
      <c r="N132" s="3648"/>
      <c r="O132" s="3648"/>
      <c r="P132" s="3648"/>
      <c r="Q132" s="3648"/>
      <c r="R132" s="3649"/>
      <c r="S132" s="3035"/>
      <c r="T132" s="3030"/>
      <c r="U132" s="3036"/>
      <c r="V132" s="3024"/>
      <c r="W132" s="3036"/>
      <c r="X132" s="3024"/>
      <c r="Y132" s="3036"/>
      <c r="Z132" s="1679"/>
    </row>
    <row r="133" spans="1:26" ht="15" customHeight="1">
      <c r="A133" s="429" t="s">
        <v>3523</v>
      </c>
      <c r="B133" s="1720" t="e">
        <f ca="1">'Frame Dimensions'!$L$90+'Frame Dimensions'!$G$90</f>
        <v>#REF!</v>
      </c>
      <c r="C133" s="428" t="s">
        <v>136</v>
      </c>
      <c r="D133" s="1114" t="s">
        <v>3440</v>
      </c>
      <c r="E133" s="3648"/>
      <c r="F133" s="3648"/>
      <c r="G133" s="3648"/>
      <c r="H133" s="3648"/>
      <c r="I133" s="3648"/>
      <c r="J133" s="3648"/>
      <c r="K133" s="3648"/>
      <c r="L133" s="3648"/>
      <c r="M133" s="3648"/>
      <c r="N133" s="3648"/>
      <c r="O133" s="3648"/>
      <c r="P133" s="3648"/>
      <c r="Q133" s="3648"/>
      <c r="R133" s="3649"/>
      <c r="S133" s="3035"/>
      <c r="T133" s="3030"/>
      <c r="U133" s="3036"/>
      <c r="V133" s="3024"/>
      <c r="W133" s="3036"/>
      <c r="X133" s="3024"/>
      <c r="Y133" s="3036"/>
      <c r="Z133" s="1679"/>
    </row>
    <row r="134" spans="1:26" ht="15" customHeight="1">
      <c r="A134" s="429" t="s">
        <v>3524</v>
      </c>
      <c r="B134" s="1720" t="e">
        <f ca="1">'Frame Dimensions'!$K$92</f>
        <v>#REF!</v>
      </c>
      <c r="C134" s="428" t="s">
        <v>136</v>
      </c>
      <c r="D134" s="1114" t="s">
        <v>3434</v>
      </c>
      <c r="E134" s="3648"/>
      <c r="F134" s="3648"/>
      <c r="G134" s="3648"/>
      <c r="H134" s="3648"/>
      <c r="I134" s="3648"/>
      <c r="J134" s="3648"/>
      <c r="K134" s="3648"/>
      <c r="L134" s="3648"/>
      <c r="M134" s="3648"/>
      <c r="N134" s="3648"/>
      <c r="O134" s="3648"/>
      <c r="P134" s="3648"/>
      <c r="Q134" s="3648"/>
      <c r="R134" s="3649"/>
      <c r="S134" s="3035"/>
      <c r="T134" s="3030"/>
      <c r="U134" s="3036"/>
      <c r="V134" s="3024"/>
      <c r="W134" s="3036"/>
      <c r="X134" s="3024"/>
      <c r="Y134" s="3036"/>
      <c r="Z134" s="1679"/>
    </row>
    <row r="135" spans="1:26" ht="15" customHeight="1">
      <c r="A135" s="429" t="s">
        <v>3525</v>
      </c>
      <c r="B135" s="1720" t="e">
        <f ca="1">'Frame Dimensions'!$K$91</f>
        <v>#REF!</v>
      </c>
      <c r="C135" s="428" t="s">
        <v>136</v>
      </c>
      <c r="D135" s="1114" t="s">
        <v>3435</v>
      </c>
      <c r="E135" s="3648"/>
      <c r="F135" s="3648"/>
      <c r="G135" s="3648"/>
      <c r="H135" s="3648"/>
      <c r="I135" s="3648"/>
      <c r="J135" s="3648"/>
      <c r="K135" s="3648"/>
      <c r="L135" s="3648"/>
      <c r="M135" s="3648"/>
      <c r="N135" s="3648"/>
      <c r="O135" s="3648"/>
      <c r="P135" s="3648"/>
      <c r="Q135" s="3648"/>
      <c r="R135" s="3649"/>
      <c r="S135" s="3035"/>
      <c r="T135" s="3030"/>
      <c r="U135" s="3036"/>
      <c r="V135" s="3024"/>
      <c r="W135" s="3036"/>
      <c r="X135" s="3024"/>
      <c r="Y135" s="3036"/>
      <c r="Z135" s="1679"/>
    </row>
    <row r="136" spans="1:26" ht="15" customHeight="1">
      <c r="A136" s="429" t="s">
        <v>3526</v>
      </c>
      <c r="B136" s="1720" t="e">
        <f ca="1">'Frame Dimensions'!$J$92</f>
        <v>#REF!</v>
      </c>
      <c r="C136" s="428" t="s">
        <v>136</v>
      </c>
      <c r="D136" s="1114" t="s">
        <v>3436</v>
      </c>
      <c r="E136" s="3648"/>
      <c r="F136" s="3648"/>
      <c r="G136" s="3648"/>
      <c r="H136" s="3648"/>
      <c r="I136" s="3648"/>
      <c r="J136" s="3648"/>
      <c r="K136" s="3648"/>
      <c r="L136" s="3648"/>
      <c r="M136" s="3648"/>
      <c r="N136" s="3648"/>
      <c r="O136" s="3648"/>
      <c r="P136" s="3648"/>
      <c r="Q136" s="3648"/>
      <c r="R136" s="3649"/>
      <c r="S136" s="3035"/>
      <c r="T136" s="3030"/>
      <c r="U136" s="3036"/>
      <c r="V136" s="3024"/>
      <c r="W136" s="3036"/>
      <c r="X136" s="3024"/>
      <c r="Y136" s="3036"/>
      <c r="Z136" s="1679"/>
    </row>
    <row r="137" spans="1:26" ht="15" customHeight="1">
      <c r="A137" s="429" t="s">
        <v>3527</v>
      </c>
      <c r="B137" s="1720" t="e">
        <f ca="1">VHFR_He</f>
        <v>#REF!</v>
      </c>
      <c r="C137" s="428" t="s">
        <v>136</v>
      </c>
      <c r="D137" s="1114" t="s">
        <v>1145</v>
      </c>
      <c r="E137" s="3648"/>
      <c r="F137" s="3648"/>
      <c r="G137" s="3648"/>
      <c r="H137" s="3648"/>
      <c r="I137" s="3648"/>
      <c r="J137" s="3648"/>
      <c r="K137" s="3648"/>
      <c r="L137" s="3648"/>
      <c r="M137" s="3648"/>
      <c r="N137" s="3648"/>
      <c r="O137" s="3648"/>
      <c r="P137" s="3648"/>
      <c r="Q137" s="3648"/>
      <c r="R137" s="3649"/>
      <c r="S137" s="3035"/>
      <c r="T137" s="3030"/>
      <c r="U137" s="3036"/>
      <c r="V137" s="3024"/>
      <c r="W137" s="3036"/>
      <c r="X137" s="3024"/>
      <c r="Y137" s="3036"/>
      <c r="Z137" s="1679"/>
    </row>
    <row r="138" spans="1:26" ht="15" customHeight="1">
      <c r="A138" s="429" t="s">
        <v>3528</v>
      </c>
      <c r="B138" s="1720" t="e">
        <f ca="1">'Frame Dimensions'!$L$93-'Frame Dimensions'!$G$93</f>
        <v>#REF!</v>
      </c>
      <c r="C138" s="428" t="s">
        <v>136</v>
      </c>
      <c r="D138" s="1114" t="s">
        <v>3441</v>
      </c>
      <c r="E138" s="3648"/>
      <c r="F138" s="3648"/>
      <c r="G138" s="3648"/>
      <c r="H138" s="3648"/>
      <c r="I138" s="3648"/>
      <c r="J138" s="3648"/>
      <c r="K138" s="3648"/>
      <c r="L138" s="3648"/>
      <c r="M138" s="3648"/>
      <c r="N138" s="3648"/>
      <c r="O138" s="3648"/>
      <c r="P138" s="3648"/>
      <c r="Q138" s="3648"/>
      <c r="R138" s="3649"/>
      <c r="S138" s="3035"/>
      <c r="T138" s="3030"/>
      <c r="U138" s="3036"/>
      <c r="V138" s="3024"/>
      <c r="W138" s="3036"/>
      <c r="X138" s="3024"/>
      <c r="Y138" s="3036"/>
      <c r="Z138" s="1679"/>
    </row>
    <row r="139" spans="1:26" ht="15" customHeight="1">
      <c r="A139" s="429" t="s">
        <v>3529</v>
      </c>
      <c r="B139" s="1720" t="e">
        <f ca="1">'Frame Dimensions'!$K$95</f>
        <v>#REF!</v>
      </c>
      <c r="C139" s="428" t="s">
        <v>136</v>
      </c>
      <c r="D139" s="1114" t="s">
        <v>3439</v>
      </c>
      <c r="E139" s="3648"/>
      <c r="F139" s="3648"/>
      <c r="G139" s="3648"/>
      <c r="H139" s="3648"/>
      <c r="I139" s="3648"/>
      <c r="J139" s="3648"/>
      <c r="K139" s="3648"/>
      <c r="L139" s="3648"/>
      <c r="M139" s="3648"/>
      <c r="N139" s="3648"/>
      <c r="O139" s="3648"/>
      <c r="P139" s="3648"/>
      <c r="Q139" s="3648"/>
      <c r="R139" s="3649"/>
      <c r="S139" s="3035"/>
      <c r="T139" s="3030"/>
      <c r="U139" s="3036"/>
      <c r="V139" s="3024"/>
      <c r="W139" s="3036"/>
      <c r="X139" s="3024"/>
      <c r="Y139" s="3036"/>
      <c r="Z139" s="1679"/>
    </row>
    <row r="140" spans="1:26" ht="15" customHeight="1">
      <c r="A140" s="429" t="s">
        <v>3530</v>
      </c>
      <c r="B140" s="1720" t="e">
        <f ca="1">'Frame Dimensions'!$K$94</f>
        <v>#REF!</v>
      </c>
      <c r="C140" s="428" t="s">
        <v>136</v>
      </c>
      <c r="D140" s="1114" t="s">
        <v>3437</v>
      </c>
      <c r="E140" s="3648"/>
      <c r="F140" s="3648"/>
      <c r="G140" s="3648"/>
      <c r="H140" s="3648"/>
      <c r="I140" s="3648"/>
      <c r="J140" s="3648"/>
      <c r="K140" s="3648"/>
      <c r="L140" s="3648"/>
      <c r="M140" s="3648"/>
      <c r="N140" s="3648"/>
      <c r="O140" s="3648"/>
      <c r="P140" s="3648"/>
      <c r="Q140" s="3648"/>
      <c r="R140" s="3649"/>
      <c r="S140" s="3035"/>
      <c r="T140" s="3030"/>
      <c r="U140" s="3036"/>
      <c r="V140" s="3024"/>
      <c r="W140" s="3036"/>
      <c r="X140" s="3024"/>
      <c r="Y140" s="3036"/>
      <c r="Z140" s="1679"/>
    </row>
    <row r="141" spans="1:26" ht="15" customHeight="1" thickBot="1">
      <c r="A141" s="429" t="s">
        <v>3531</v>
      </c>
      <c r="B141" s="1720" t="e">
        <f ca="1">'Frame Dimensions'!$J$95</f>
        <v>#REF!</v>
      </c>
      <c r="C141" s="428" t="s">
        <v>136</v>
      </c>
      <c r="D141" s="1114" t="s">
        <v>3438</v>
      </c>
      <c r="E141" s="3648"/>
      <c r="F141" s="3648"/>
      <c r="G141" s="3648"/>
      <c r="H141" s="3648"/>
      <c r="I141" s="3648"/>
      <c r="J141" s="3648"/>
      <c r="K141" s="3648"/>
      <c r="L141" s="3648"/>
      <c r="M141" s="3648"/>
      <c r="N141" s="3648"/>
      <c r="O141" s="3648"/>
      <c r="P141" s="3648"/>
      <c r="Q141" s="3648"/>
      <c r="R141" s="3649"/>
      <c r="S141" s="3035"/>
      <c r="T141" s="3030"/>
      <c r="U141" s="3036"/>
      <c r="V141" s="3024"/>
      <c r="W141" s="3036"/>
      <c r="X141" s="3024"/>
      <c r="Y141" s="3036"/>
      <c r="Z141" s="1679"/>
    </row>
    <row r="142" spans="1:26" ht="15" customHeight="1" thickBot="1">
      <c r="A142" s="2248" t="s">
        <v>4266</v>
      </c>
      <c r="B142" s="1416">
        <v>0</v>
      </c>
      <c r="C142" s="1415" t="s">
        <v>1114</v>
      </c>
      <c r="D142" s="1741" t="e">
        <f ca="1">H_STD_Re</f>
        <v>#REF!</v>
      </c>
      <c r="E142" s="1781"/>
      <c r="F142" s="1781"/>
      <c r="G142" s="1781"/>
      <c r="H142" s="1781"/>
      <c r="I142" s="1781"/>
      <c r="J142" s="2308"/>
      <c r="K142" s="2308"/>
      <c r="L142" s="1781"/>
      <c r="M142" s="1781"/>
      <c r="N142" s="1781"/>
      <c r="O142" s="1781"/>
      <c r="P142" s="1781"/>
      <c r="Q142" s="1781"/>
      <c r="R142" s="2309"/>
      <c r="S142" s="3032"/>
      <c r="T142" s="3027"/>
      <c r="U142" s="3033"/>
      <c r="V142" s="3028"/>
      <c r="W142" s="3033"/>
      <c r="X142" s="3028"/>
      <c r="Y142" s="3033"/>
      <c r="Z142" s="3043"/>
    </row>
    <row r="143" spans="1:26" s="1941" customFormat="1" ht="15" customHeight="1">
      <c r="A143" s="429" t="s">
        <v>4267</v>
      </c>
      <c r="B143" s="1719" t="e">
        <f ca="1">House!$S$7</f>
        <v>#REF!</v>
      </c>
      <c r="C143" s="428" t="s">
        <v>136</v>
      </c>
      <c r="D143" s="1703"/>
      <c r="E143" s="413"/>
      <c r="F143" s="413"/>
      <c r="G143" s="413"/>
      <c r="H143" s="413"/>
      <c r="I143" s="413"/>
      <c r="J143" s="451"/>
      <c r="K143" s="451"/>
      <c r="L143" s="413"/>
      <c r="M143" s="413"/>
      <c r="N143" s="413"/>
      <c r="O143" s="413"/>
      <c r="P143" s="413"/>
      <c r="Q143" s="413"/>
      <c r="R143" s="448"/>
      <c r="S143" s="3035"/>
      <c r="T143" s="3030"/>
      <c r="U143" s="3036"/>
      <c r="V143" s="3024"/>
      <c r="W143" s="3036"/>
      <c r="X143" s="3024"/>
      <c r="Y143" s="3036"/>
      <c r="Z143" s="1679"/>
    </row>
    <row r="144" spans="1:26" ht="15" customHeight="1">
      <c r="A144" s="429" t="s">
        <v>4268</v>
      </c>
      <c r="B144" s="1720" t="e">
        <f ca="1">House!$T$7</f>
        <v>#REF!</v>
      </c>
      <c r="C144" s="428" t="s">
        <v>136</v>
      </c>
      <c r="D144" s="1703"/>
      <c r="G144" s="413"/>
      <c r="H144" s="413"/>
      <c r="I144" s="413"/>
      <c r="J144" s="413"/>
      <c r="K144" s="451"/>
      <c r="L144" s="413"/>
      <c r="M144" s="413"/>
      <c r="N144" s="413"/>
      <c r="O144" s="413"/>
      <c r="P144" s="413"/>
      <c r="Q144" s="413"/>
      <c r="R144" s="448"/>
      <c r="S144" s="3035"/>
      <c r="T144" s="3030"/>
      <c r="U144" s="3036"/>
      <c r="V144" s="3024"/>
      <c r="W144" s="3036"/>
      <c r="X144" s="3024"/>
      <c r="Y144" s="3036"/>
      <c r="Z144" s="1679"/>
    </row>
    <row r="145" spans="1:26" ht="15" customHeight="1" thickBot="1">
      <c r="A145" s="427" t="s">
        <v>1030</v>
      </c>
      <c r="B145" s="1734" t="e">
        <f ca="1">HFHi_He</f>
        <v>#REF!</v>
      </c>
      <c r="C145" s="426" t="s">
        <v>136</v>
      </c>
      <c r="D145" s="1113" t="s">
        <v>1220</v>
      </c>
      <c r="E145" s="435"/>
      <c r="F145" s="435"/>
      <c r="G145" s="435"/>
      <c r="H145" s="435"/>
      <c r="I145" s="435"/>
      <c r="J145" s="413"/>
      <c r="K145" s="413"/>
      <c r="L145" s="413"/>
      <c r="M145" s="413"/>
      <c r="N145" s="413"/>
      <c r="O145" s="413"/>
      <c r="P145" s="413"/>
      <c r="Q145" s="413"/>
      <c r="R145" s="448"/>
      <c r="S145" s="3035"/>
      <c r="T145" s="3030"/>
      <c r="U145" s="3036"/>
      <c r="V145" s="3024"/>
      <c r="W145" s="3036"/>
      <c r="X145" s="3024"/>
      <c r="Y145" s="3036"/>
      <c r="Z145" s="1679"/>
    </row>
    <row r="146" spans="1:26" ht="15" customHeight="1" thickBot="1">
      <c r="A146" s="2257" t="s">
        <v>1235</v>
      </c>
      <c r="B146" s="1418">
        <v>0</v>
      </c>
      <c r="C146" s="1419" t="s">
        <v>1114</v>
      </c>
      <c r="D146" s="2256" t="e">
        <f ca="1">Motor_Name</f>
        <v>#REF!</v>
      </c>
      <c r="E146" s="1781"/>
      <c r="F146" s="1781"/>
      <c r="G146" s="1781"/>
      <c r="H146" s="1781"/>
      <c r="I146" s="1781"/>
      <c r="J146" s="1781"/>
      <c r="K146" s="2313"/>
      <c r="L146" s="2311"/>
      <c r="M146" s="2311"/>
      <c r="N146" s="2311"/>
      <c r="O146" s="2311"/>
      <c r="P146" s="2311"/>
      <c r="Q146" s="2311"/>
      <c r="R146" s="2314"/>
      <c r="S146" s="3032"/>
      <c r="T146" s="3027"/>
      <c r="U146" s="3033"/>
      <c r="V146" s="3028"/>
      <c r="W146" s="3033"/>
      <c r="X146" s="3028"/>
      <c r="Y146" s="3033"/>
      <c r="Z146" s="3043"/>
    </row>
    <row r="147" spans="1:26" ht="15" customHeight="1">
      <c r="A147" s="425" t="s">
        <v>1265</v>
      </c>
      <c r="B147" s="1722" t="e">
        <f ca="1">MA</f>
        <v>#REF!</v>
      </c>
      <c r="C147" s="424" t="s">
        <v>136</v>
      </c>
      <c r="D147" s="1114" t="s">
        <v>1266</v>
      </c>
      <c r="G147" s="413"/>
      <c r="H147" s="413"/>
      <c r="I147" s="413"/>
      <c r="J147" s="435"/>
      <c r="K147" s="413"/>
      <c r="L147" s="451"/>
      <c r="M147" s="451"/>
      <c r="N147" s="451"/>
      <c r="O147" s="451"/>
      <c r="P147" s="451"/>
      <c r="Q147" s="451"/>
      <c r="R147" s="452"/>
      <c r="S147" s="1940"/>
      <c r="Z147" s="1679"/>
    </row>
    <row r="148" spans="1:26" ht="15" customHeight="1">
      <c r="A148" s="425" t="s">
        <v>1146</v>
      </c>
      <c r="B148" s="1722" t="e">
        <f ca="1">MB</f>
        <v>#REF!</v>
      </c>
      <c r="C148" s="424" t="s">
        <v>136</v>
      </c>
      <c r="D148" s="1114" t="s">
        <v>1267</v>
      </c>
      <c r="G148" s="413"/>
      <c r="H148" s="413"/>
      <c r="I148" s="413"/>
      <c r="J148" s="413"/>
      <c r="K148" s="413"/>
      <c r="L148" s="413"/>
      <c r="M148" s="413"/>
      <c r="N148" s="413"/>
      <c r="O148" s="413"/>
      <c r="P148" s="413"/>
      <c r="Q148" s="413"/>
      <c r="R148" s="437"/>
      <c r="S148" s="1940"/>
      <c r="Z148" s="1679"/>
    </row>
    <row r="149" spans="1:26" ht="15" customHeight="1">
      <c r="A149" s="425" t="s">
        <v>1147</v>
      </c>
      <c r="B149" s="1722" t="e">
        <f ca="1">MC</f>
        <v>#REF!</v>
      </c>
      <c r="C149" s="424" t="s">
        <v>136</v>
      </c>
      <c r="D149" s="1114" t="s">
        <v>1148</v>
      </c>
      <c r="G149" s="413"/>
      <c r="H149" s="413"/>
      <c r="I149" s="413"/>
      <c r="J149" s="413"/>
      <c r="K149" s="413"/>
      <c r="L149" s="413"/>
      <c r="M149" s="413"/>
      <c r="N149" s="413"/>
      <c r="O149" s="413"/>
      <c r="P149" s="413"/>
      <c r="Q149" s="413"/>
      <c r="R149" s="437"/>
      <c r="S149" s="1940"/>
      <c r="Z149" s="1679"/>
    </row>
    <row r="150" spans="1:26" ht="15" customHeight="1">
      <c r="A150" s="425" t="s">
        <v>1180</v>
      </c>
      <c r="B150" s="1722" t="e">
        <f ca="1">SD</f>
        <v>#REF!</v>
      </c>
      <c r="C150" s="424" t="s">
        <v>136</v>
      </c>
      <c r="D150" s="1114" t="s">
        <v>1149</v>
      </c>
      <c r="G150" s="413"/>
      <c r="H150" s="413"/>
      <c r="I150" s="413"/>
      <c r="J150" s="413"/>
      <c r="K150" s="413"/>
      <c r="L150" s="413"/>
      <c r="M150" s="413"/>
      <c r="N150" s="413"/>
      <c r="O150" s="413"/>
      <c r="P150" s="413"/>
      <c r="Q150" s="413"/>
      <c r="R150" s="437"/>
      <c r="S150" s="1940"/>
      <c r="Z150" s="1679"/>
    </row>
    <row r="151" spans="1:26" ht="15" customHeight="1">
      <c r="A151" s="425" t="s">
        <v>1181</v>
      </c>
      <c r="B151" s="1722" t="e">
        <f ca="1">SE</f>
        <v>#REF!</v>
      </c>
      <c r="C151" s="424" t="s">
        <v>136</v>
      </c>
      <c r="D151" s="1114" t="s">
        <v>1150</v>
      </c>
      <c r="G151" s="413"/>
      <c r="H151" s="413"/>
      <c r="I151" s="413"/>
      <c r="J151" s="413"/>
      <c r="K151" s="413"/>
      <c r="L151" s="413"/>
      <c r="M151" s="413"/>
      <c r="N151" s="413"/>
      <c r="O151" s="413"/>
      <c r="P151" s="413"/>
      <c r="Q151" s="413"/>
      <c r="R151" s="437"/>
      <c r="S151" s="1940"/>
      <c r="Z151" s="1679"/>
    </row>
    <row r="152" spans="1:26" ht="15" customHeight="1">
      <c r="A152" s="944" t="s">
        <v>2779</v>
      </c>
      <c r="B152" s="1721" t="e">
        <f ca="1">SF</f>
        <v>#REF!</v>
      </c>
      <c r="C152" s="424" t="s">
        <v>136</v>
      </c>
      <c r="D152" s="1114" t="s">
        <v>2782</v>
      </c>
      <c r="G152" s="413"/>
      <c r="H152" s="413"/>
      <c r="I152" s="413"/>
      <c r="J152" s="413"/>
      <c r="K152" s="413"/>
      <c r="L152" s="413"/>
      <c r="M152" s="413"/>
      <c r="N152" s="413"/>
      <c r="O152" s="413"/>
      <c r="P152" s="413"/>
      <c r="Q152" s="413"/>
      <c r="R152" s="437"/>
      <c r="S152" s="1940"/>
      <c r="Z152" s="1679"/>
    </row>
    <row r="153" spans="1:26" ht="15" customHeight="1">
      <c r="A153" s="944" t="s">
        <v>2780</v>
      </c>
      <c r="B153" s="1721" t="e">
        <f ca="1">SG</f>
        <v>#REF!</v>
      </c>
      <c r="C153" s="424" t="s">
        <v>136</v>
      </c>
      <c r="D153" s="1114" t="s">
        <v>2783</v>
      </c>
      <c r="G153" s="413"/>
      <c r="H153" s="413"/>
      <c r="I153" s="413"/>
      <c r="J153" s="413"/>
      <c r="K153" s="413"/>
      <c r="L153" s="413"/>
      <c r="M153" s="413"/>
      <c r="N153" s="413"/>
      <c r="O153" s="413"/>
      <c r="P153" s="413"/>
      <c r="Q153" s="413"/>
      <c r="R153" s="437"/>
      <c r="S153" s="1940"/>
      <c r="Z153" s="1679"/>
    </row>
    <row r="154" spans="1:26" ht="15" customHeight="1">
      <c r="A154" s="944" t="s">
        <v>2781</v>
      </c>
      <c r="B154" s="1721" t="e">
        <f ca="1">SFb</f>
        <v>#REF!</v>
      </c>
      <c r="C154" s="424" t="s">
        <v>136</v>
      </c>
      <c r="D154" s="1114" t="s">
        <v>2784</v>
      </c>
      <c r="G154" s="413"/>
      <c r="H154" s="413"/>
      <c r="I154" s="413"/>
      <c r="J154" s="413"/>
      <c r="K154" s="413"/>
      <c r="L154" s="413"/>
      <c r="M154" s="413"/>
      <c r="N154" s="413"/>
      <c r="O154" s="413"/>
      <c r="P154" s="413"/>
      <c r="Q154" s="413"/>
      <c r="R154" s="437"/>
      <c r="S154" s="1940"/>
      <c r="Z154" s="1679"/>
    </row>
    <row r="155" spans="1:26" ht="15" customHeight="1">
      <c r="A155" s="425" t="s">
        <v>1151</v>
      </c>
      <c r="B155" s="1722" t="e">
        <f ca="1">MK</f>
        <v>#REF!</v>
      </c>
      <c r="C155" s="424" t="s">
        <v>136</v>
      </c>
      <c r="D155" s="1114" t="s">
        <v>1152</v>
      </c>
      <c r="G155" s="413"/>
      <c r="H155" s="413"/>
      <c r="I155" s="413"/>
      <c r="J155" s="413"/>
      <c r="K155" s="413"/>
      <c r="L155" s="413"/>
      <c r="M155" s="413"/>
      <c r="N155" s="413"/>
      <c r="O155" s="413"/>
      <c r="P155" s="413"/>
      <c r="Q155" s="413"/>
      <c r="R155" s="437"/>
      <c r="S155" s="1940"/>
      <c r="Z155" s="1679"/>
    </row>
    <row r="156" spans="1:26" ht="15" customHeight="1">
      <c r="A156" s="425" t="s">
        <v>1153</v>
      </c>
      <c r="B156" s="1722" t="e">
        <f ca="1">MH</f>
        <v>#REF!</v>
      </c>
      <c r="C156" s="424" t="s">
        <v>136</v>
      </c>
      <c r="D156" s="1114" t="s">
        <v>1154</v>
      </c>
      <c r="G156" s="413"/>
      <c r="H156" s="413"/>
      <c r="I156" s="413"/>
      <c r="J156" s="413"/>
      <c r="K156" s="413"/>
      <c r="L156" s="413"/>
      <c r="M156" s="413"/>
      <c r="N156" s="413"/>
      <c r="O156" s="413"/>
      <c r="P156" s="413"/>
      <c r="Q156" s="413"/>
      <c r="R156" s="437"/>
      <c r="S156" s="1940"/>
      <c r="Z156" s="1679"/>
    </row>
    <row r="157" spans="1:26" ht="15" customHeight="1">
      <c r="A157" s="425" t="s">
        <v>1155</v>
      </c>
      <c r="B157" s="1722" t="e">
        <f ca="1">ML</f>
        <v>#REF!</v>
      </c>
      <c r="C157" s="424" t="s">
        <v>136</v>
      </c>
      <c r="D157" s="1114" t="s">
        <v>1156</v>
      </c>
      <c r="F157" s="689"/>
      <c r="G157" s="689"/>
      <c r="H157" s="689"/>
      <c r="I157" s="689"/>
      <c r="J157" s="689"/>
      <c r="K157" s="413"/>
      <c r="L157" s="413"/>
      <c r="M157" s="413"/>
      <c r="N157" s="413"/>
      <c r="O157" s="413"/>
      <c r="P157" s="413"/>
      <c r="Q157" s="413"/>
      <c r="R157" s="437"/>
      <c r="S157" s="1940"/>
      <c r="Z157" s="1679"/>
    </row>
    <row r="158" spans="1:26" ht="15" customHeight="1">
      <c r="A158" s="944" t="s">
        <v>2279</v>
      </c>
      <c r="B158" s="1721" t="e">
        <f ca="1">MAB</f>
        <v>#REF!</v>
      </c>
      <c r="C158" s="424" t="s">
        <v>136</v>
      </c>
      <c r="D158" s="1114" t="s">
        <v>2280</v>
      </c>
      <c r="F158" s="689"/>
      <c r="G158" s="689"/>
      <c r="H158" s="689"/>
      <c r="I158" s="689"/>
      <c r="J158" s="689"/>
      <c r="K158" s="413"/>
      <c r="L158" s="413"/>
      <c r="M158" s="413"/>
      <c r="N158" s="413"/>
      <c r="O158" s="413"/>
      <c r="P158" s="413"/>
      <c r="Q158" s="413"/>
      <c r="R158" s="437"/>
      <c r="S158" s="1940"/>
      <c r="Z158" s="1679"/>
    </row>
    <row r="159" spans="1:26" ht="15" customHeight="1" thickBot="1">
      <c r="A159" s="425" t="s">
        <v>1157</v>
      </c>
      <c r="B159" s="1722" t="e">
        <f ca="1">MAC</f>
        <v>#REF!</v>
      </c>
      <c r="C159" s="424" t="s">
        <v>136</v>
      </c>
      <c r="D159" s="1114" t="s">
        <v>1296</v>
      </c>
      <c r="F159" s="689"/>
      <c r="G159" s="689"/>
      <c r="H159" s="689"/>
      <c r="I159" s="689"/>
      <c r="J159" s="689"/>
      <c r="K159" s="413"/>
      <c r="L159" s="413"/>
      <c r="M159" s="413"/>
      <c r="N159" s="413"/>
      <c r="O159" s="413"/>
      <c r="P159" s="413"/>
      <c r="Q159" s="413"/>
      <c r="R159" s="437"/>
      <c r="S159" s="1940"/>
      <c r="Z159" s="1679"/>
    </row>
    <row r="160" spans="1:26" ht="15" customHeight="1" thickBot="1">
      <c r="A160" s="2257" t="s">
        <v>1510</v>
      </c>
      <c r="B160" s="1357" t="e">
        <f ca="1">Definition!$E$46</f>
        <v>#REF!</v>
      </c>
      <c r="C160" s="1358" t="s">
        <v>1114</v>
      </c>
      <c r="D160" s="2256" t="e">
        <f ca="1">Definition!$C$46</f>
        <v>#REF!</v>
      </c>
      <c r="E160" s="1781"/>
      <c r="F160" s="1781"/>
      <c r="G160" s="1781"/>
      <c r="H160" s="1781"/>
      <c r="I160" s="2308"/>
      <c r="J160" s="1781"/>
      <c r="K160" s="1781"/>
      <c r="L160" s="1781"/>
      <c r="M160" s="1781"/>
      <c r="N160" s="1781"/>
      <c r="O160" s="1781"/>
      <c r="P160" s="1781"/>
      <c r="Q160" s="1781"/>
      <c r="R160" s="1782"/>
      <c r="S160" s="3044"/>
      <c r="T160" s="3045"/>
      <c r="U160" s="3046"/>
      <c r="V160" s="3047"/>
      <c r="W160" s="3046"/>
      <c r="X160" s="3047"/>
      <c r="Y160" s="3046"/>
      <c r="Z160" s="3043"/>
    </row>
    <row r="161" spans="1:26" ht="15" customHeight="1">
      <c r="A161" s="1158" t="s">
        <v>2547</v>
      </c>
      <c r="B161" s="1722" t="e">
        <f ca="1">Definition!$C$48</f>
        <v>#REF!</v>
      </c>
      <c r="C161" s="424" t="s">
        <v>1114</v>
      </c>
      <c r="D161" s="1160" t="s">
        <v>2549</v>
      </c>
      <c r="G161" s="413"/>
      <c r="J161" s="413"/>
      <c r="N161" s="413"/>
      <c r="O161" s="413"/>
      <c r="P161" s="413"/>
      <c r="Q161" s="413"/>
      <c r="R161" s="437"/>
      <c r="S161" s="1940"/>
      <c r="Z161" s="1679"/>
    </row>
    <row r="162" spans="1:26" ht="15" customHeight="1" thickBot="1">
      <c r="A162" s="1159" t="s">
        <v>2548</v>
      </c>
      <c r="B162" s="1722" t="e">
        <f ca="1">Definition!$C$49</f>
        <v>#REF!</v>
      </c>
      <c r="C162" s="424" t="s">
        <v>1114</v>
      </c>
      <c r="D162" s="1161" t="s">
        <v>2550</v>
      </c>
      <c r="G162" s="451"/>
      <c r="J162" s="413"/>
      <c r="N162" s="413"/>
      <c r="O162" s="413"/>
      <c r="P162" s="413"/>
      <c r="Q162" s="413"/>
      <c r="R162" s="437"/>
      <c r="S162" s="1940"/>
      <c r="Z162" s="1679"/>
    </row>
    <row r="163" spans="1:26" ht="15" customHeight="1" thickBot="1">
      <c r="A163" s="3428" t="s">
        <v>4735</v>
      </c>
      <c r="B163" s="1722" t="e">
        <f ca="1">vb!H3</f>
        <v>#REF!</v>
      </c>
      <c r="C163" s="424" t="s">
        <v>4745</v>
      </c>
      <c r="D163" s="1161" t="e">
        <f ca="1">vb!G3</f>
        <v>#REF!</v>
      </c>
      <c r="G163" s="451"/>
      <c r="H163" s="451"/>
      <c r="I163" s="413"/>
      <c r="J163" s="413"/>
      <c r="N163" s="413"/>
      <c r="O163" s="413"/>
      <c r="P163" s="413"/>
      <c r="Q163" s="413"/>
      <c r="R163" s="437"/>
      <c r="S163" s="1940"/>
      <c r="Z163" s="1679"/>
    </row>
    <row r="164" spans="1:26" ht="15" customHeight="1" thickBot="1">
      <c r="A164" s="3428" t="s">
        <v>4736</v>
      </c>
      <c r="B164" s="1722" t="e">
        <f ca="1">vb!H4</f>
        <v>#REF!</v>
      </c>
      <c r="C164" s="424" t="s">
        <v>4745</v>
      </c>
      <c r="D164" s="1161" t="e">
        <f ca="1">vb!G4</f>
        <v>#REF!</v>
      </c>
      <c r="G164" s="451"/>
      <c r="H164" s="451"/>
      <c r="I164" s="413"/>
      <c r="J164" s="413"/>
      <c r="N164" s="413"/>
      <c r="O164" s="413"/>
      <c r="P164" s="413"/>
      <c r="Q164" s="413"/>
      <c r="R164" s="437"/>
      <c r="S164" s="1940"/>
      <c r="Z164" s="1679"/>
    </row>
    <row r="165" spans="1:26" ht="15" customHeight="1" thickBot="1">
      <c r="A165" s="2257" t="s">
        <v>1247</v>
      </c>
      <c r="B165" s="3344">
        <v>0</v>
      </c>
      <c r="C165" s="3345" t="s">
        <v>1114</v>
      </c>
      <c r="D165" s="2258" t="str">
        <f>B_Type&amp;Bearing_name</f>
        <v>No Bearing0</v>
      </c>
      <c r="E165" s="1781"/>
      <c r="F165" s="1781"/>
      <c r="G165" s="1781"/>
      <c r="H165" s="1781"/>
      <c r="I165" s="1781"/>
      <c r="J165" s="2311"/>
      <c r="N165" s="2311"/>
      <c r="O165" s="2311"/>
      <c r="P165" s="2311"/>
      <c r="Q165" s="2311"/>
      <c r="R165" s="2312"/>
      <c r="S165" s="3044"/>
      <c r="T165" s="3045"/>
      <c r="U165" s="3046"/>
      <c r="V165" s="3047"/>
      <c r="W165" s="3046"/>
      <c r="X165" s="3047"/>
      <c r="Y165" s="3046"/>
      <c r="Z165" s="3043"/>
    </row>
    <row r="166" spans="1:26" ht="15" customHeight="1">
      <c r="A166" s="425" t="s">
        <v>1417</v>
      </c>
      <c r="B166" s="1722">
        <f>BHW</f>
        <v>0</v>
      </c>
      <c r="C166" s="424" t="s">
        <v>136</v>
      </c>
      <c r="D166" s="1114" t="s">
        <v>1414</v>
      </c>
      <c r="G166" s="413"/>
      <c r="H166" s="413"/>
      <c r="I166" s="413"/>
      <c r="J166" s="413"/>
      <c r="N166" s="413"/>
      <c r="O166" s="413"/>
      <c r="P166" s="413"/>
      <c r="Q166" s="413"/>
      <c r="R166" s="437"/>
      <c r="S166" s="1940"/>
      <c r="Z166" s="1679"/>
    </row>
    <row r="167" spans="1:26" ht="15" customHeight="1">
      <c r="A167" s="425" t="s">
        <v>1416</v>
      </c>
      <c r="B167" s="1722">
        <f>B_da</f>
        <v>0</v>
      </c>
      <c r="C167" s="424" t="s">
        <v>136</v>
      </c>
      <c r="D167" s="1114" t="s">
        <v>1415</v>
      </c>
      <c r="G167" s="413"/>
      <c r="H167" s="413"/>
      <c r="I167" s="413"/>
      <c r="J167" s="413"/>
      <c r="N167" s="413"/>
      <c r="O167" s="413"/>
      <c r="P167" s="413"/>
      <c r="Q167" s="413"/>
      <c r="R167" s="437"/>
      <c r="S167" s="1940"/>
      <c r="Z167" s="1679"/>
    </row>
    <row r="168" spans="1:26" ht="15" customHeight="1">
      <c r="A168" s="425" t="s">
        <v>1418</v>
      </c>
      <c r="B168" s="1722">
        <f>B_N1</f>
        <v>0</v>
      </c>
      <c r="C168" s="424" t="s">
        <v>136</v>
      </c>
      <c r="D168" s="1114" t="s">
        <v>1419</v>
      </c>
      <c r="G168" s="413"/>
      <c r="H168" s="413"/>
      <c r="I168" s="413"/>
      <c r="J168" s="413"/>
      <c r="N168" s="413"/>
      <c r="O168" s="413"/>
      <c r="P168" s="413"/>
      <c r="Q168" s="413"/>
      <c r="R168" s="437"/>
      <c r="S168" s="1940"/>
      <c r="Z168" s="1679"/>
    </row>
    <row r="169" spans="1:26" ht="15" customHeight="1">
      <c r="A169" s="425" t="s">
        <v>1420</v>
      </c>
      <c r="B169" s="1722">
        <f>B_H1</f>
        <v>0</v>
      </c>
      <c r="C169" s="424" t="s">
        <v>136</v>
      </c>
      <c r="D169" s="1114" t="s">
        <v>1421</v>
      </c>
      <c r="G169" s="413"/>
      <c r="H169" s="413"/>
      <c r="I169" s="413"/>
      <c r="J169" s="413"/>
      <c r="N169" s="413"/>
      <c r="O169" s="413"/>
      <c r="P169" s="413"/>
      <c r="Q169" s="413"/>
      <c r="R169" s="437"/>
      <c r="S169" s="1940"/>
      <c r="Z169" s="1679"/>
    </row>
    <row r="170" spans="1:26" ht="15" customHeight="1">
      <c r="A170" s="425" t="s">
        <v>1422</v>
      </c>
      <c r="B170" s="1722">
        <f>B_L</f>
        <v>0</v>
      </c>
      <c r="C170" s="424" t="s">
        <v>136</v>
      </c>
      <c r="D170" s="1114" t="s">
        <v>1423</v>
      </c>
      <c r="G170" s="413"/>
      <c r="H170" s="413"/>
      <c r="I170" s="413"/>
      <c r="J170" s="413"/>
      <c r="N170" s="413"/>
      <c r="O170" s="413"/>
      <c r="P170" s="413"/>
      <c r="Q170" s="413"/>
      <c r="R170" s="437"/>
      <c r="S170" s="1940"/>
      <c r="Z170" s="1679"/>
    </row>
    <row r="171" spans="1:26" ht="15" customHeight="1">
      <c r="A171" s="425" t="s">
        <v>1424</v>
      </c>
      <c r="B171" s="1722">
        <f>B_J</f>
        <v>0</v>
      </c>
      <c r="C171" s="424" t="s">
        <v>136</v>
      </c>
      <c r="D171" s="1114" t="s">
        <v>1425</v>
      </c>
      <c r="G171" s="413"/>
      <c r="H171" s="413"/>
      <c r="I171" s="413"/>
      <c r="J171" s="413"/>
      <c r="N171" s="413"/>
      <c r="O171" s="413"/>
      <c r="P171" s="413"/>
      <c r="Q171" s="413"/>
      <c r="R171" s="437"/>
      <c r="S171" s="1940"/>
      <c r="Z171" s="1679"/>
    </row>
    <row r="172" spans="1:26" ht="15" customHeight="1">
      <c r="A172" s="425" t="s">
        <v>1762</v>
      </c>
      <c r="B172" s="1722">
        <f>B_H2</f>
        <v>0</v>
      </c>
      <c r="C172" s="424" t="s">
        <v>136</v>
      </c>
      <c r="D172" s="1114" t="s">
        <v>1494</v>
      </c>
      <c r="E172" s="435"/>
      <c r="F172" s="435"/>
      <c r="G172" s="435"/>
      <c r="H172" s="435"/>
      <c r="I172" s="435"/>
      <c r="J172" s="413"/>
      <c r="N172" s="413"/>
      <c r="O172" s="413"/>
      <c r="P172" s="413"/>
      <c r="Q172" s="413"/>
      <c r="R172" s="437"/>
      <c r="S172" s="1940"/>
      <c r="Z172" s="1679"/>
    </row>
    <row r="173" spans="1:26" ht="15" customHeight="1">
      <c r="A173" s="425" t="s">
        <v>1490</v>
      </c>
      <c r="B173" s="1722">
        <f>B_H</f>
        <v>0</v>
      </c>
      <c r="C173" s="424" t="s">
        <v>136</v>
      </c>
      <c r="D173" s="1114" t="s">
        <v>1495</v>
      </c>
      <c r="G173" s="413"/>
      <c r="H173" s="413"/>
      <c r="I173" s="451"/>
      <c r="J173" s="413"/>
      <c r="N173" s="413"/>
      <c r="O173" s="413"/>
      <c r="P173" s="413"/>
      <c r="Q173" s="413"/>
      <c r="R173" s="437"/>
      <c r="S173" s="1940"/>
      <c r="Z173" s="1679"/>
    </row>
    <row r="174" spans="1:26" ht="15" customHeight="1">
      <c r="A174" s="425" t="s">
        <v>1491</v>
      </c>
      <c r="B174" s="1722">
        <f>B_A</f>
        <v>0</v>
      </c>
      <c r="C174" s="424" t="s">
        <v>136</v>
      </c>
      <c r="D174" s="1114" t="s">
        <v>1496</v>
      </c>
      <c r="G174" s="413"/>
      <c r="H174" s="413"/>
      <c r="I174" s="413"/>
      <c r="J174" s="413"/>
      <c r="N174" s="413"/>
      <c r="O174" s="413"/>
      <c r="P174" s="413"/>
      <c r="Q174" s="413"/>
      <c r="R174" s="437"/>
      <c r="S174" s="1940"/>
      <c r="Z174" s="1679"/>
    </row>
    <row r="175" spans="1:26" ht="15" customHeight="1" thickBot="1">
      <c r="A175" s="425" t="s">
        <v>1492</v>
      </c>
      <c r="B175" s="1722">
        <f>B_Mass</f>
        <v>0</v>
      </c>
      <c r="C175" s="424" t="s">
        <v>131</v>
      </c>
      <c r="D175" s="1114" t="s">
        <v>1497</v>
      </c>
      <c r="G175" s="451"/>
      <c r="H175" s="451"/>
      <c r="I175" s="413"/>
      <c r="J175" s="413"/>
      <c r="K175" s="413"/>
      <c r="L175" s="413"/>
      <c r="M175" s="413"/>
      <c r="N175" s="413"/>
      <c r="O175" s="413"/>
      <c r="P175" s="413"/>
      <c r="Q175" s="413"/>
      <c r="R175" s="437"/>
      <c r="S175" s="1940"/>
      <c r="Z175" s="1679"/>
    </row>
    <row r="176" spans="1:26" ht="15" customHeight="1" thickBot="1">
      <c r="A176" s="2257" t="s">
        <v>1248</v>
      </c>
      <c r="B176" s="1357">
        <f>Definition!$D$51</f>
        <v>0</v>
      </c>
      <c r="C176" s="1358" t="s">
        <v>1114</v>
      </c>
      <c r="D176" s="2256">
        <f>Coupling_name</f>
        <v>0</v>
      </c>
      <c r="E176" s="1781"/>
      <c r="F176" s="1781"/>
      <c r="G176" s="1781"/>
      <c r="H176" s="1781"/>
      <c r="I176" s="1781"/>
      <c r="J176" s="2311"/>
      <c r="K176" s="2311"/>
      <c r="L176" s="2311"/>
      <c r="M176" s="2311"/>
      <c r="N176" s="2311"/>
      <c r="O176" s="2311"/>
      <c r="P176" s="2311"/>
      <c r="Q176" s="2311"/>
      <c r="R176" s="2312"/>
      <c r="S176" s="3044"/>
      <c r="T176" s="3045"/>
      <c r="U176" s="3046"/>
      <c r="V176" s="3047"/>
      <c r="W176" s="3046"/>
      <c r="X176" s="3047"/>
      <c r="Y176" s="3046"/>
      <c r="Z176" s="3043"/>
    </row>
    <row r="177" spans="1:26" ht="15" customHeight="1">
      <c r="A177" s="425" t="s">
        <v>2747</v>
      </c>
      <c r="B177" s="1722">
        <f>IF(DRIVE_Type&lt;&gt;"Coupling",0,INDEX(Coupling_Selection,$B$176,8))</f>
        <v>0</v>
      </c>
      <c r="C177" s="424" t="s">
        <v>136</v>
      </c>
      <c r="D177" s="1114" t="s">
        <v>2748</v>
      </c>
      <c r="G177" s="413"/>
      <c r="H177" s="413"/>
      <c r="I177" s="413"/>
      <c r="J177" s="435"/>
      <c r="K177" s="435"/>
      <c r="L177" s="435"/>
      <c r="M177" s="435"/>
      <c r="N177" s="435"/>
      <c r="O177" s="435"/>
      <c r="P177" s="435"/>
      <c r="Q177" s="435"/>
      <c r="R177" s="436"/>
      <c r="S177" s="1940"/>
      <c r="Z177" s="1679"/>
    </row>
    <row r="178" spans="1:26" ht="15" customHeight="1">
      <c r="A178" s="425" t="s">
        <v>2746</v>
      </c>
      <c r="B178" s="1722">
        <f>IF(DRIVE_Type&lt;&gt;"Coupling",0,INDEX(Coupling_Selection,$B$176,7))</f>
        <v>0</v>
      </c>
      <c r="C178" s="424" t="s">
        <v>136</v>
      </c>
      <c r="D178" s="1114" t="s">
        <v>2749</v>
      </c>
      <c r="G178" s="413"/>
      <c r="H178" s="413"/>
      <c r="I178" s="413"/>
      <c r="J178" s="435"/>
      <c r="K178" s="435"/>
      <c r="L178" s="435"/>
      <c r="M178" s="435"/>
      <c r="N178" s="435"/>
      <c r="O178" s="435"/>
      <c r="P178" s="435"/>
      <c r="Q178" s="435"/>
      <c r="R178" s="436"/>
      <c r="S178" s="1940"/>
      <c r="Z178" s="1679"/>
    </row>
    <row r="179" spans="1:26" ht="15" customHeight="1">
      <c r="A179" s="425" t="s">
        <v>2755</v>
      </c>
      <c r="B179" s="1722">
        <f>IF(DRIVE_Type&lt;&gt;"Coupling",0,INDEX(Coupling_Selection,$B$176,5))</f>
        <v>0</v>
      </c>
      <c r="C179" s="424" t="s">
        <v>136</v>
      </c>
      <c r="D179" s="1704" t="s">
        <v>2756</v>
      </c>
      <c r="G179" s="413"/>
      <c r="H179" s="413"/>
      <c r="I179" s="451"/>
      <c r="J179" s="413"/>
      <c r="K179" s="413"/>
      <c r="L179" s="413"/>
      <c r="M179" s="413"/>
      <c r="N179" s="413"/>
      <c r="O179" s="413"/>
      <c r="P179" s="413"/>
      <c r="Q179" s="413"/>
      <c r="R179" s="437"/>
      <c r="S179" s="1940"/>
      <c r="Z179" s="1679"/>
    </row>
    <row r="180" spans="1:26" ht="15" customHeight="1">
      <c r="A180" s="425" t="s">
        <v>1769</v>
      </c>
      <c r="B180" s="1722">
        <f>DCRa5</f>
        <v>0</v>
      </c>
      <c r="C180" s="424" t="s">
        <v>136</v>
      </c>
      <c r="D180" s="1704" t="s">
        <v>2553</v>
      </c>
      <c r="G180" s="451"/>
      <c r="H180" s="451"/>
      <c r="I180" s="413"/>
      <c r="J180" s="413"/>
      <c r="K180" s="413"/>
      <c r="L180" s="413"/>
      <c r="M180" s="413"/>
      <c r="N180" s="413"/>
      <c r="O180" s="413"/>
      <c r="P180" s="413"/>
      <c r="Q180" s="413"/>
      <c r="R180" s="437"/>
      <c r="S180" s="1940"/>
      <c r="Z180" s="1679"/>
    </row>
    <row r="181" spans="1:26" ht="15" customHeight="1" thickBot="1">
      <c r="A181" s="425" t="s">
        <v>2516</v>
      </c>
      <c r="B181" s="1722">
        <f>C_Gap</f>
        <v>0</v>
      </c>
      <c r="C181" s="424" t="s">
        <v>136</v>
      </c>
      <c r="D181" s="1705" t="s">
        <v>2518</v>
      </c>
      <c r="G181" s="413"/>
      <c r="J181" s="435"/>
      <c r="K181" s="435"/>
      <c r="L181" s="435"/>
      <c r="M181" s="435"/>
      <c r="N181" s="435"/>
      <c r="O181" s="435"/>
      <c r="P181" s="435"/>
      <c r="Q181" s="435"/>
      <c r="R181" s="436"/>
      <c r="S181" s="1940"/>
      <c r="Z181" s="1679"/>
    </row>
    <row r="182" spans="1:26" ht="15" customHeight="1" thickBot="1">
      <c r="A182" s="2257" t="s">
        <v>2184</v>
      </c>
      <c r="B182" s="1418">
        <v>0</v>
      </c>
      <c r="C182" s="1419" t="s">
        <v>1114</v>
      </c>
      <c r="D182" s="2256">
        <f>Axle_Hub_Type</f>
        <v>0</v>
      </c>
      <c r="E182" s="1781"/>
      <c r="F182" s="1781"/>
      <c r="G182" s="1781"/>
      <c r="H182" s="1781"/>
      <c r="I182" s="1781"/>
      <c r="J182" s="1781"/>
      <c r="K182" s="1781"/>
      <c r="L182" s="1781"/>
      <c r="M182" s="1781"/>
      <c r="N182" s="1781"/>
      <c r="O182" s="1781"/>
      <c r="P182" s="1781"/>
      <c r="Q182" s="1781"/>
      <c r="R182" s="1782"/>
      <c r="S182" s="3044"/>
      <c r="T182" s="3045"/>
      <c r="U182" s="3046"/>
      <c r="V182" s="3047"/>
      <c r="W182" s="3046"/>
      <c r="X182" s="3047"/>
      <c r="Y182" s="3046"/>
      <c r="Z182" s="3043"/>
    </row>
    <row r="183" spans="1:26" ht="15" customHeight="1">
      <c r="A183" s="425" t="s">
        <v>2186</v>
      </c>
      <c r="B183" s="1722" t="e">
        <f ca="1">ShaftD</f>
        <v>#REF!</v>
      </c>
      <c r="C183" s="424" t="s">
        <v>136</v>
      </c>
      <c r="D183" s="1706" t="s">
        <v>2193</v>
      </c>
      <c r="G183" s="413"/>
      <c r="H183" s="413"/>
      <c r="I183" s="413"/>
      <c r="J183" s="413"/>
      <c r="K183" s="451"/>
      <c r="L183" s="413"/>
      <c r="M183" s="413"/>
      <c r="N183" s="413"/>
      <c r="O183" s="413"/>
      <c r="P183" s="413"/>
      <c r="Q183" s="413"/>
      <c r="R183" s="448"/>
      <c r="S183" s="1940"/>
      <c r="Z183" s="1679"/>
    </row>
    <row r="184" spans="1:26" ht="15" customHeight="1" thickBot="1">
      <c r="A184" s="425" t="s">
        <v>2185</v>
      </c>
      <c r="B184" s="1722" t="e">
        <f ca="1">ShaftL</f>
        <v>#REF!</v>
      </c>
      <c r="C184" s="424" t="s">
        <v>136</v>
      </c>
      <c r="D184" s="1704" t="s">
        <v>2194</v>
      </c>
      <c r="E184" s="450"/>
      <c r="G184" s="413"/>
      <c r="H184" s="692"/>
      <c r="I184" s="413"/>
      <c r="J184" s="413"/>
      <c r="K184" s="413"/>
      <c r="L184" s="413"/>
      <c r="M184" s="413"/>
      <c r="N184" s="413"/>
      <c r="O184" s="413"/>
      <c r="P184" s="413"/>
      <c r="Q184" s="413"/>
      <c r="R184" s="437"/>
      <c r="S184" s="1940"/>
      <c r="Z184" s="1679"/>
    </row>
    <row r="185" spans="1:26" ht="15" customHeight="1" thickBot="1">
      <c r="A185" s="2254" t="s">
        <v>1234</v>
      </c>
      <c r="B185" s="3346">
        <v>0</v>
      </c>
      <c r="C185" s="3347" t="s">
        <v>1114</v>
      </c>
      <c r="D185" s="2255" t="str">
        <f>Fan_orientation&amp;H_rotation</f>
        <v>RD135</v>
      </c>
      <c r="E185" s="2311"/>
      <c r="F185" s="2311"/>
      <c r="G185" s="2311"/>
      <c r="H185" s="2311"/>
      <c r="I185" s="2311"/>
      <c r="J185" s="1781"/>
      <c r="K185" s="1781"/>
      <c r="L185" s="1781"/>
      <c r="M185" s="1781"/>
      <c r="N185" s="1781"/>
      <c r="O185" s="1781"/>
      <c r="P185" s="1781"/>
      <c r="Q185" s="1781"/>
      <c r="R185" s="1782"/>
      <c r="S185" s="3044"/>
      <c r="T185" s="3045"/>
      <c r="U185" s="3046"/>
      <c r="V185" s="3047"/>
      <c r="W185" s="3046"/>
      <c r="X185" s="3047"/>
      <c r="Y185" s="3046"/>
      <c r="Z185" s="3043"/>
    </row>
    <row r="186" spans="1:26" ht="15" customHeight="1">
      <c r="A186" s="421" t="s">
        <v>1185</v>
      </c>
      <c r="B186" s="1736">
        <f>RADIANS(H_rotation)</f>
        <v>2.3561944901923448</v>
      </c>
      <c r="C186" s="420" t="s">
        <v>1137</v>
      </c>
      <c r="D186" s="1114" t="s">
        <v>1171</v>
      </c>
      <c r="E186" s="450"/>
      <c r="G186" s="413"/>
      <c r="H186" s="413"/>
      <c r="I186" s="413"/>
      <c r="J186" s="413"/>
      <c r="K186" s="413"/>
      <c r="L186" s="413"/>
      <c r="M186" s="413"/>
      <c r="N186" s="413"/>
      <c r="O186" s="413"/>
      <c r="P186" s="413"/>
      <c r="Q186" s="413"/>
      <c r="R186" s="437"/>
      <c r="S186" s="1940"/>
      <c r="Z186" s="1679"/>
    </row>
    <row r="187" spans="1:26" ht="15" customHeight="1">
      <c r="A187" s="421" t="s">
        <v>1268</v>
      </c>
      <c r="B187" s="1726">
        <f>IF(Fan_orientation="LG",1,2)</f>
        <v>2</v>
      </c>
      <c r="C187" s="420" t="s">
        <v>1114</v>
      </c>
      <c r="D187" s="1114" t="s">
        <v>1254</v>
      </c>
      <c r="F187" s="690"/>
      <c r="G187" s="413"/>
      <c r="H187" s="3368"/>
      <c r="I187" s="413"/>
      <c r="R187" s="436"/>
      <c r="S187" s="1940"/>
      <c r="Z187" s="1679"/>
    </row>
    <row r="188" spans="1:26" ht="15" customHeight="1">
      <c r="A188" s="423" t="s">
        <v>1182</v>
      </c>
      <c r="B188" s="1735">
        <f>House_P_T</f>
        <v>5</v>
      </c>
      <c r="C188" s="422" t="s">
        <v>136</v>
      </c>
      <c r="D188" s="1114" t="s">
        <v>1166</v>
      </c>
      <c r="E188" s="450"/>
      <c r="G188" s="413"/>
      <c r="H188" s="3368"/>
      <c r="I188" s="413"/>
      <c r="R188" s="437"/>
      <c r="S188" s="1940"/>
      <c r="Z188" s="1679"/>
    </row>
    <row r="189" spans="1:26" ht="15" customHeight="1">
      <c r="A189" s="3379" t="s">
        <v>4653</v>
      </c>
      <c r="B189" s="2141">
        <f>r0</f>
        <v>0.95050964215147715</v>
      </c>
      <c r="C189" s="422" t="s">
        <v>1135</v>
      </c>
      <c r="D189" s="1114" t="s">
        <v>1159</v>
      </c>
      <c r="F189" s="690"/>
      <c r="G189" s="413"/>
      <c r="H189" s="3368"/>
      <c r="I189" s="413"/>
      <c r="R189" s="436"/>
      <c r="S189" s="1940"/>
      <c r="Z189" s="1679"/>
    </row>
    <row r="190" spans="1:26" ht="15" customHeight="1">
      <c r="A190" s="423" t="s">
        <v>1160</v>
      </c>
      <c r="B190" s="2141">
        <f>K_House</f>
        <v>7.9312948555555277E-2</v>
      </c>
      <c r="C190" s="422" t="s">
        <v>1114</v>
      </c>
      <c r="D190" s="1114" t="s">
        <v>1161</v>
      </c>
      <c r="E190" s="450"/>
      <c r="G190" s="413"/>
      <c r="H190" s="3368"/>
      <c r="I190" s="413"/>
      <c r="R190" s="437"/>
      <c r="S190" s="1940"/>
      <c r="Z190" s="1679"/>
    </row>
    <row r="191" spans="1:26" ht="15" customHeight="1">
      <c r="A191" s="423" t="s">
        <v>1162</v>
      </c>
      <c r="B191" s="1736">
        <f>H_alfastart+Tongue_delta</f>
        <v>1.1344640137963142</v>
      </c>
      <c r="C191" s="422" t="s">
        <v>1114</v>
      </c>
      <c r="D191" s="1114" t="s">
        <v>1163</v>
      </c>
      <c r="E191" s="450"/>
      <c r="G191" s="413"/>
      <c r="H191" s="3368"/>
      <c r="I191" s="413"/>
      <c r="R191" s="437"/>
      <c r="S191" s="1940"/>
      <c r="Z191" s="1679"/>
    </row>
    <row r="192" spans="1:26" ht="15" customHeight="1">
      <c r="A192" s="423" t="s">
        <v>1164</v>
      </c>
      <c r="B192" s="1736">
        <f>H_alfaend</f>
        <v>6.2831853071795862</v>
      </c>
      <c r="C192" s="422" t="s">
        <v>1114</v>
      </c>
      <c r="D192" s="1114" t="s">
        <v>1165</v>
      </c>
      <c r="E192" s="450"/>
      <c r="F192" s="450"/>
      <c r="G192" s="413"/>
      <c r="H192" s="691"/>
      <c r="I192" s="413"/>
      <c r="R192" s="437"/>
      <c r="S192" s="1940"/>
      <c r="Z192" s="1679"/>
    </row>
    <row r="193" spans="1:26" ht="15" customHeight="1">
      <c r="A193" s="421" t="s">
        <v>1298</v>
      </c>
      <c r="B193" s="1726">
        <f>Funnel_height</f>
        <v>1076.6210889730671</v>
      </c>
      <c r="C193" s="420" t="s">
        <v>136</v>
      </c>
      <c r="D193" s="1114" t="s">
        <v>1299</v>
      </c>
      <c r="E193" s="450"/>
      <c r="G193" s="413"/>
      <c r="H193" s="692"/>
      <c r="I193" s="413"/>
      <c r="R193" s="437"/>
      <c r="S193" s="1940"/>
      <c r="Z193" s="1679"/>
    </row>
    <row r="194" spans="1:26" ht="15" customHeight="1">
      <c r="A194" s="946" t="s">
        <v>2410</v>
      </c>
      <c r="B194" s="1723">
        <f>H_CurveL</f>
        <v>7.8194841986523471</v>
      </c>
      <c r="C194" s="420" t="s">
        <v>136</v>
      </c>
      <c r="D194" s="1114" t="s">
        <v>2411</v>
      </c>
      <c r="E194" s="450"/>
      <c r="G194" s="413"/>
      <c r="H194" s="692"/>
      <c r="I194" s="413"/>
      <c r="R194" s="437"/>
      <c r="S194" s="1940"/>
      <c r="Z194" s="1679"/>
    </row>
    <row r="195" spans="1:26" ht="15" customHeight="1">
      <c r="A195" s="421" t="s">
        <v>1167</v>
      </c>
      <c r="B195" s="1726">
        <f>House_C_ins</f>
        <v>1125</v>
      </c>
      <c r="C195" s="420" t="s">
        <v>136</v>
      </c>
      <c r="D195" s="1114" t="s">
        <v>1168</v>
      </c>
      <c r="E195" s="450"/>
      <c r="G195" s="413"/>
      <c r="H195" s="692"/>
      <c r="I195" s="413"/>
      <c r="R195" s="437"/>
      <c r="S195" s="3035"/>
      <c r="T195" s="3030"/>
      <c r="U195" s="3036"/>
      <c r="V195" s="3024"/>
      <c r="W195" s="3036"/>
      <c r="X195" s="3024"/>
      <c r="Y195" s="3036"/>
      <c r="Z195" s="1679"/>
    </row>
    <row r="196" spans="1:26" ht="15" customHeight="1">
      <c r="A196" s="421" t="s">
        <v>1169</v>
      </c>
      <c r="B196" s="1726">
        <f>House_B_ins</f>
        <v>630</v>
      </c>
      <c r="C196" s="420" t="s">
        <v>136</v>
      </c>
      <c r="D196" s="1114" t="s">
        <v>1170</v>
      </c>
      <c r="E196" s="450"/>
      <c r="G196" s="413"/>
      <c r="H196" s="692"/>
      <c r="I196" s="413"/>
      <c r="R196" s="436"/>
      <c r="S196" s="1940"/>
      <c r="Z196" s="1679"/>
    </row>
    <row r="197" spans="1:26" ht="15" customHeight="1">
      <c r="A197" s="421" t="s">
        <v>1457</v>
      </c>
      <c r="B197" s="1726" t="e">
        <f ca="1">FPHole_D</f>
        <v>#REF!</v>
      </c>
      <c r="C197" s="420" t="s">
        <v>136</v>
      </c>
      <c r="D197" s="1115" t="s">
        <v>1458</v>
      </c>
      <c r="E197" s="450"/>
      <c r="G197" s="413"/>
      <c r="H197" s="692"/>
      <c r="I197" s="413"/>
      <c r="N197" s="435"/>
      <c r="O197" s="435"/>
      <c r="P197" s="435"/>
      <c r="Q197" s="435"/>
      <c r="R197" s="436"/>
      <c r="S197" s="1940"/>
      <c r="Z197" s="1679"/>
    </row>
    <row r="198" spans="1:26" ht="15" customHeight="1">
      <c r="A198" s="421" t="s">
        <v>4116</v>
      </c>
      <c r="B198" s="1726" t="e">
        <f ca="1">BPHole_D</f>
        <v>#REF!</v>
      </c>
      <c r="C198" s="420" t="s">
        <v>136</v>
      </c>
      <c r="D198" s="1115" t="s">
        <v>4117</v>
      </c>
      <c r="E198" s="450"/>
      <c r="G198" s="413"/>
      <c r="H198" s="692"/>
      <c r="I198" s="413"/>
      <c r="J198" s="413"/>
      <c r="K198" s="435"/>
      <c r="L198" s="435"/>
      <c r="M198" s="435"/>
      <c r="N198" s="435"/>
      <c r="O198" s="435"/>
      <c r="P198" s="435"/>
      <c r="Q198" s="435"/>
      <c r="R198" s="436"/>
      <c r="S198" s="1940"/>
      <c r="Z198" s="1679"/>
    </row>
    <row r="199" spans="1:26" ht="15" customHeight="1">
      <c r="A199" s="421" t="s">
        <v>1232</v>
      </c>
      <c r="B199" s="1726" t="e">
        <f ca="1">IF(B197&lt;=650,8,IF(B197&gt;=1600,12,10))</f>
        <v>#REF!</v>
      </c>
      <c r="C199" s="420" t="s">
        <v>136</v>
      </c>
      <c r="D199" s="1115" t="s">
        <v>1231</v>
      </c>
      <c r="G199" s="413"/>
      <c r="H199" s="693"/>
      <c r="I199" s="413"/>
      <c r="J199" s="413"/>
      <c r="K199" s="416"/>
      <c r="L199" s="413"/>
      <c r="M199" s="450"/>
      <c r="N199" s="413"/>
      <c r="O199" s="413"/>
      <c r="P199" s="413"/>
      <c r="Q199" s="413"/>
      <c r="R199" s="437"/>
      <c r="S199" s="1940"/>
      <c r="Z199" s="1679"/>
    </row>
    <row r="200" spans="1:26" ht="15" customHeight="1">
      <c r="A200" s="421" t="s">
        <v>1455</v>
      </c>
      <c r="B200" s="1726" t="e">
        <f ca="1">Hub_C_eD+5</f>
        <v>#REF!</v>
      </c>
      <c r="C200" s="420" t="s">
        <v>136</v>
      </c>
      <c r="D200" s="1115" t="s">
        <v>1456</v>
      </c>
      <c r="G200" s="413"/>
      <c r="H200" s="693"/>
      <c r="I200" s="413"/>
      <c r="J200" s="413"/>
      <c r="K200" s="416"/>
      <c r="L200" s="413"/>
      <c r="M200" s="450"/>
      <c r="N200" s="413"/>
      <c r="O200" s="413"/>
      <c r="P200" s="413"/>
      <c r="Q200" s="413"/>
      <c r="R200" s="437"/>
      <c r="S200" s="1940"/>
      <c r="Z200" s="1679"/>
    </row>
    <row r="201" spans="1:26" ht="15" customHeight="1">
      <c r="A201" s="421" t="s">
        <v>21</v>
      </c>
      <c r="B201" s="1726">
        <f>INS</f>
        <v>0</v>
      </c>
      <c r="C201" s="420" t="s">
        <v>136</v>
      </c>
      <c r="D201" s="1115" t="s">
        <v>2554</v>
      </c>
      <c r="G201" s="413"/>
      <c r="H201" s="693"/>
      <c r="I201" s="413"/>
      <c r="J201" s="413"/>
      <c r="K201" s="416"/>
      <c r="L201" s="413"/>
      <c r="M201" s="450"/>
      <c r="N201" s="413"/>
      <c r="O201" s="413"/>
      <c r="P201" s="413"/>
      <c r="Q201" s="413"/>
      <c r="R201" s="437"/>
      <c r="S201" s="1940"/>
      <c r="Z201" s="1679"/>
    </row>
    <row r="202" spans="1:26" ht="15" customHeight="1">
      <c r="A202" s="421" t="s">
        <v>2393</v>
      </c>
      <c r="B202" s="1726">
        <f>drainx</f>
        <v>41.669481622770547</v>
      </c>
      <c r="C202" s="420" t="s">
        <v>136</v>
      </c>
      <c r="D202" s="1115" t="s">
        <v>3370</v>
      </c>
      <c r="G202" s="413"/>
      <c r="H202" s="693"/>
      <c r="I202" s="413"/>
      <c r="J202" s="413"/>
      <c r="K202" s="416"/>
      <c r="L202" s="413"/>
      <c r="M202" s="450"/>
      <c r="N202" s="413"/>
      <c r="O202" s="413"/>
      <c r="P202" s="413"/>
      <c r="Q202" s="413"/>
      <c r="R202" s="437"/>
      <c r="S202" s="1940"/>
      <c r="Z202" s="1679"/>
    </row>
    <row r="203" spans="1:26" ht="15" customHeight="1">
      <c r="A203" s="421" t="s">
        <v>2394</v>
      </c>
      <c r="B203" s="1726">
        <f>drainy</f>
        <v>115.64676679210334</v>
      </c>
      <c r="C203" s="420" t="s">
        <v>136</v>
      </c>
      <c r="D203" s="1115" t="s">
        <v>3371</v>
      </c>
      <c r="G203" s="413"/>
      <c r="H203" s="693"/>
      <c r="I203" s="413"/>
      <c r="J203" s="413"/>
      <c r="K203" s="416"/>
      <c r="L203" s="413"/>
      <c r="M203" s="450"/>
      <c r="N203" s="413"/>
      <c r="O203" s="413"/>
      <c r="P203" s="413"/>
      <c r="Q203" s="413"/>
      <c r="R203" s="437"/>
      <c r="S203" s="1940"/>
      <c r="Z203" s="1679"/>
    </row>
    <row r="204" spans="1:26" ht="15" customHeight="1">
      <c r="A204" s="1662" t="s">
        <v>3342</v>
      </c>
      <c r="B204" s="1727">
        <f>Weld_space</f>
        <v>0.01</v>
      </c>
      <c r="C204" s="1663" t="s">
        <v>1135</v>
      </c>
      <c r="D204" s="1664" t="s">
        <v>3343</v>
      </c>
      <c r="G204" s="413"/>
      <c r="H204" s="693"/>
      <c r="I204" s="413"/>
      <c r="J204" s="413"/>
      <c r="K204" s="416"/>
      <c r="L204" s="413"/>
      <c r="M204" s="413"/>
      <c r="N204" s="413"/>
      <c r="O204" s="413"/>
      <c r="P204" s="413"/>
      <c r="Q204" s="413"/>
      <c r="R204" s="437"/>
      <c r="S204" s="1940"/>
      <c r="Z204" s="1679"/>
    </row>
    <row r="205" spans="1:26" ht="15" customHeight="1">
      <c r="A205" s="945" t="s">
        <v>3344</v>
      </c>
      <c r="B205" s="1724">
        <f>r0</f>
        <v>0.95050964215147715</v>
      </c>
      <c r="C205" s="422" t="s">
        <v>1135</v>
      </c>
      <c r="D205" s="1114" t="s">
        <v>3334</v>
      </c>
      <c r="G205" s="413"/>
      <c r="H205" s="693"/>
      <c r="I205" s="413"/>
      <c r="J205" s="413"/>
      <c r="K205" s="407"/>
      <c r="L205" s="413"/>
      <c r="M205" s="413"/>
      <c r="N205" s="413"/>
      <c r="O205" s="413"/>
      <c r="P205" s="413"/>
      <c r="Q205" s="413"/>
      <c r="R205" s="437"/>
      <c r="S205" s="1940"/>
      <c r="Z205" s="1679"/>
    </row>
    <row r="206" spans="1:26" ht="15" customHeight="1">
      <c r="A206" s="945" t="s">
        <v>3331</v>
      </c>
      <c r="B206" s="1724">
        <f>K_House</f>
        <v>7.9312948555555277E-2</v>
      </c>
      <c r="C206" s="422" t="s">
        <v>1114</v>
      </c>
      <c r="D206" s="1114" t="s">
        <v>3337</v>
      </c>
      <c r="G206" s="413"/>
      <c r="H206" s="693"/>
      <c r="I206" s="413"/>
      <c r="J206" s="413"/>
      <c r="K206" s="416"/>
      <c r="L206" s="413"/>
      <c r="M206" s="450"/>
      <c r="N206" s="413"/>
      <c r="O206" s="413"/>
      <c r="P206" s="413"/>
      <c r="Q206" s="413"/>
      <c r="R206" s="437"/>
      <c r="S206" s="1940"/>
      <c r="Z206" s="1679"/>
    </row>
    <row r="207" spans="1:26" ht="15" customHeight="1">
      <c r="A207" s="945" t="s">
        <v>3332</v>
      </c>
      <c r="B207" s="1725">
        <f>HouseFB_SA</f>
        <v>1.1995124415011651</v>
      </c>
      <c r="C207" s="422" t="s">
        <v>1114</v>
      </c>
      <c r="D207" s="1114" t="s">
        <v>3335</v>
      </c>
      <c r="F207" s="694"/>
      <c r="G207" s="694"/>
      <c r="H207" s="694"/>
      <c r="I207" s="694"/>
      <c r="J207" s="694"/>
      <c r="K207" s="694"/>
      <c r="L207" s="694"/>
      <c r="M207" s="694"/>
      <c r="N207" s="694"/>
      <c r="O207" s="694"/>
      <c r="P207" s="694"/>
      <c r="Q207" s="413"/>
      <c r="R207" s="437"/>
      <c r="S207" s="1940"/>
      <c r="Z207" s="1679"/>
    </row>
    <row r="208" spans="1:26" ht="15" customHeight="1">
      <c r="A208" s="945" t="s">
        <v>3333</v>
      </c>
      <c r="B208" s="1725">
        <f>H_alfaend</f>
        <v>6.2831853071795862</v>
      </c>
      <c r="C208" s="422" t="s">
        <v>1114</v>
      </c>
      <c r="D208" s="1114" t="s">
        <v>3336</v>
      </c>
      <c r="F208" s="694"/>
      <c r="G208" s="694"/>
      <c r="H208" s="694"/>
      <c r="I208" s="694"/>
      <c r="J208" s="694"/>
      <c r="K208" s="694"/>
      <c r="L208" s="694"/>
      <c r="M208" s="694"/>
      <c r="N208" s="694"/>
      <c r="O208" s="694"/>
      <c r="P208" s="694"/>
      <c r="Q208" s="413"/>
      <c r="R208" s="437"/>
      <c r="S208" s="1940"/>
      <c r="Z208" s="1679"/>
    </row>
    <row r="209" spans="1:26" s="1122" customFormat="1" ht="15" customHeight="1" thickBot="1">
      <c r="A209" s="945" t="s">
        <v>3339</v>
      </c>
      <c r="B209" s="1723">
        <f>HouseFB_C</f>
        <v>1145</v>
      </c>
      <c r="C209" s="422" t="s">
        <v>136</v>
      </c>
      <c r="D209" s="1114" t="s">
        <v>3341</v>
      </c>
      <c r="E209" s="458"/>
      <c r="F209" s="694"/>
      <c r="G209" s="694"/>
      <c r="H209" s="694"/>
      <c r="I209" s="694"/>
      <c r="J209" s="694"/>
      <c r="K209" s="694"/>
      <c r="L209" s="694"/>
      <c r="M209" s="694"/>
      <c r="N209" s="694"/>
      <c r="O209" s="694"/>
      <c r="P209" s="694"/>
      <c r="Q209" s="413"/>
      <c r="R209" s="437"/>
      <c r="S209" s="1940"/>
      <c r="T209" s="1689"/>
      <c r="U209" s="1678"/>
      <c r="V209" s="1690"/>
      <c r="W209" s="1678"/>
      <c r="X209" s="1690"/>
      <c r="Y209" s="1678"/>
      <c r="Z209" s="1679"/>
    </row>
    <row r="210" spans="1:26" s="1122" customFormat="1" ht="15" customHeight="1" thickBot="1">
      <c r="A210" s="2251" t="s">
        <v>1434</v>
      </c>
      <c r="B210" s="3352">
        <v>0</v>
      </c>
      <c r="C210" s="3353" t="s">
        <v>136</v>
      </c>
      <c r="D210" s="2246" t="str">
        <f>SP_Type</f>
        <v>P7</v>
      </c>
      <c r="E210" s="2319"/>
      <c r="F210" s="2310"/>
      <c r="G210" s="2310"/>
      <c r="H210" s="2310"/>
      <c r="I210" s="2310"/>
      <c r="J210" s="2310"/>
      <c r="K210" s="2310"/>
      <c r="L210" s="2310"/>
      <c r="M210" s="2310"/>
      <c r="N210" s="2310"/>
      <c r="O210" s="2310"/>
      <c r="P210" s="2310"/>
      <c r="Q210" s="1781"/>
      <c r="R210" s="1782"/>
      <c r="S210" s="3044"/>
      <c r="T210" s="3045"/>
      <c r="U210" s="3046"/>
      <c r="V210" s="3047"/>
      <c r="W210" s="3046"/>
      <c r="X210" s="3047"/>
      <c r="Y210" s="3046"/>
      <c r="Z210" s="3043"/>
    </row>
    <row r="211" spans="1:26" s="1122" customFormat="1" ht="15" customHeight="1">
      <c r="A211" s="1038" t="s">
        <v>1394</v>
      </c>
      <c r="B211" s="1737">
        <f>SP_T</f>
        <v>7</v>
      </c>
      <c r="C211" s="419" t="s">
        <v>136</v>
      </c>
      <c r="D211" s="1117" t="s">
        <v>1435</v>
      </c>
      <c r="E211" s="458"/>
      <c r="F211" s="694"/>
      <c r="G211" s="694"/>
      <c r="H211" s="694"/>
      <c r="I211" s="694"/>
      <c r="J211" s="694"/>
      <c r="K211" s="694"/>
      <c r="L211" s="694"/>
      <c r="M211" s="694"/>
      <c r="N211" s="694"/>
      <c r="O211" s="694"/>
      <c r="P211" s="694"/>
      <c r="Q211" s="413"/>
      <c r="R211" s="437"/>
      <c r="S211" s="1940"/>
      <c r="T211" s="1689"/>
      <c r="U211" s="1678"/>
      <c r="V211" s="1690"/>
      <c r="W211" s="1678"/>
      <c r="X211" s="1690"/>
      <c r="Y211" s="1678"/>
      <c r="Z211" s="1679"/>
    </row>
    <row r="212" spans="1:26" s="1122" customFormat="1" ht="15" customHeight="1">
      <c r="A212" s="1038" t="s">
        <v>1393</v>
      </c>
      <c r="B212" s="1737" t="e">
        <f ca="1">SP_iD</f>
        <v>#REF!</v>
      </c>
      <c r="C212" s="419" t="s">
        <v>136</v>
      </c>
      <c r="D212" s="1117" t="s">
        <v>1436</v>
      </c>
      <c r="E212" s="458"/>
      <c r="F212" s="694"/>
      <c r="G212" s="694"/>
      <c r="H212" s="694"/>
      <c r="I212" s="694"/>
      <c r="J212" s="695"/>
      <c r="K212" s="695"/>
      <c r="L212" s="694"/>
      <c r="M212" s="696"/>
      <c r="N212" s="694"/>
      <c r="O212" s="694"/>
      <c r="P212" s="694"/>
      <c r="Q212" s="413"/>
      <c r="R212" s="437"/>
      <c r="S212" s="1940"/>
      <c r="T212" s="1689"/>
      <c r="U212" s="1678"/>
      <c r="V212" s="1690"/>
      <c r="W212" s="1678"/>
      <c r="X212" s="1690"/>
      <c r="Y212" s="1678"/>
      <c r="Z212" s="1679"/>
    </row>
    <row r="213" spans="1:26" s="1122" customFormat="1" ht="15" customHeight="1" thickBot="1">
      <c r="A213" s="1038" t="s">
        <v>1391</v>
      </c>
      <c r="B213" s="1737" t="e">
        <f ca="1">SP_oD</f>
        <v>#REF!</v>
      </c>
      <c r="C213" s="419" t="s">
        <v>136</v>
      </c>
      <c r="D213" s="1118" t="s">
        <v>1437</v>
      </c>
      <c r="E213" s="458"/>
      <c r="F213" s="696"/>
      <c r="G213" s="694"/>
      <c r="H213" s="694"/>
      <c r="I213" s="694"/>
      <c r="J213" s="694"/>
      <c r="K213" s="694"/>
      <c r="L213" s="694"/>
      <c r="M213" s="694"/>
      <c r="N213" s="694"/>
      <c r="O213" s="694"/>
      <c r="P213" s="694"/>
      <c r="Q213" s="413"/>
      <c r="R213" s="437"/>
      <c r="S213" s="1940"/>
      <c r="T213" s="1689"/>
      <c r="U213" s="1678"/>
      <c r="V213" s="1690"/>
      <c r="W213" s="1678"/>
      <c r="X213" s="1690"/>
      <c r="Y213" s="1678"/>
      <c r="Z213" s="1679"/>
    </row>
    <row r="214" spans="1:26" ht="15" customHeight="1" thickBot="1">
      <c r="A214" s="2253" t="s">
        <v>1233</v>
      </c>
      <c r="B214" s="3348">
        <v>0</v>
      </c>
      <c r="C214" s="3349" t="s">
        <v>1114</v>
      </c>
      <c r="D214" s="2252" t="e">
        <f ca="1">Inlet_Type</f>
        <v>#REF!</v>
      </c>
      <c r="E214" s="2319"/>
      <c r="F214" s="2310"/>
      <c r="G214" s="2310"/>
      <c r="H214" s="2310"/>
      <c r="I214" s="2310"/>
      <c r="J214" s="2310"/>
      <c r="K214" s="2310"/>
      <c r="L214" s="2310"/>
      <c r="M214" s="2310"/>
      <c r="N214" s="2310"/>
      <c r="O214" s="2310"/>
      <c r="P214" s="2310"/>
      <c r="Q214" s="1781"/>
      <c r="R214" s="1782"/>
      <c r="S214" s="3044"/>
      <c r="T214" s="3045"/>
      <c r="U214" s="3046"/>
      <c r="V214" s="3047"/>
      <c r="W214" s="3046"/>
      <c r="X214" s="3047"/>
      <c r="Y214" s="3046"/>
      <c r="Z214" s="3043"/>
    </row>
    <row r="215" spans="1:26" ht="15" customHeight="1">
      <c r="A215" s="1715" t="s">
        <v>3433</v>
      </c>
      <c r="B215" s="1714">
        <f>Inlet_P_T</f>
        <v>4</v>
      </c>
      <c r="C215" s="1713" t="s">
        <v>136</v>
      </c>
      <c r="D215" s="1712" t="s">
        <v>3432</v>
      </c>
      <c r="E215" s="458"/>
      <c r="F215" s="694"/>
      <c r="G215" s="694"/>
      <c r="H215" s="694"/>
      <c r="I215" s="694"/>
      <c r="J215" s="694"/>
      <c r="K215" s="694"/>
      <c r="L215" s="694"/>
      <c r="M215" s="694"/>
      <c r="N215" s="694"/>
      <c r="O215" s="694"/>
      <c r="P215" s="694"/>
      <c r="Q215" s="413"/>
      <c r="R215" s="437"/>
      <c r="S215" s="1940"/>
      <c r="Z215" s="1679"/>
    </row>
    <row r="216" spans="1:26" ht="15" customHeight="1">
      <c r="A216" s="418" t="s">
        <v>1829</v>
      </c>
      <c r="B216" s="1729">
        <f>InlQ_H</f>
        <v>17.320508075688775</v>
      </c>
      <c r="C216" s="417" t="s">
        <v>136</v>
      </c>
      <c r="D216" s="1115" t="s">
        <v>1832</v>
      </c>
      <c r="E216" s="458"/>
      <c r="F216" s="694"/>
      <c r="G216" s="694"/>
      <c r="H216" s="694"/>
      <c r="I216" s="694"/>
      <c r="J216" s="694"/>
      <c r="K216" s="694"/>
      <c r="L216" s="694"/>
      <c r="M216" s="694"/>
      <c r="N216" s="694"/>
      <c r="O216" s="694"/>
      <c r="P216" s="694"/>
      <c r="Q216" s="413"/>
      <c r="R216" s="437"/>
      <c r="S216" s="1940"/>
      <c r="Z216" s="1679"/>
    </row>
    <row r="217" spans="1:26" ht="15" customHeight="1">
      <c r="A217" s="418" t="s">
        <v>1830</v>
      </c>
      <c r="B217" s="1729">
        <f>InlQ_D</f>
        <v>694</v>
      </c>
      <c r="C217" s="417" t="s">
        <v>136</v>
      </c>
      <c r="D217" s="1115" t="s">
        <v>1833</v>
      </c>
      <c r="E217" s="458"/>
      <c r="F217" s="694"/>
      <c r="G217" s="694"/>
      <c r="H217" s="694"/>
      <c r="I217" s="694"/>
      <c r="J217" s="694"/>
      <c r="K217" s="694"/>
      <c r="L217" s="694"/>
      <c r="M217" s="694"/>
      <c r="N217" s="694"/>
      <c r="O217" s="694"/>
      <c r="P217" s="694"/>
      <c r="Q217" s="413"/>
      <c r="R217" s="437"/>
      <c r="S217" s="1940"/>
      <c r="Z217" s="1679"/>
    </row>
    <row r="218" spans="1:26" ht="15" customHeight="1">
      <c r="A218" s="947" t="s">
        <v>1230</v>
      </c>
      <c r="B218" s="1729" t="e">
        <f ca="1">int_cyl1</f>
        <v>#REF!</v>
      </c>
      <c r="C218" s="417" t="s">
        <v>136</v>
      </c>
      <c r="D218" s="1115" t="s">
        <v>1448</v>
      </c>
      <c r="E218" s="458"/>
      <c r="F218" s="694"/>
      <c r="G218" s="694"/>
      <c r="H218" s="694"/>
      <c r="I218" s="694"/>
      <c r="J218" s="694"/>
      <c r="K218" s="694"/>
      <c r="L218" s="694"/>
      <c r="M218" s="694"/>
      <c r="N218" s="694"/>
      <c r="O218" s="694"/>
      <c r="P218" s="694"/>
      <c r="Q218" s="413"/>
      <c r="R218" s="437"/>
      <c r="S218" s="1940"/>
      <c r="Z218" s="1679"/>
    </row>
    <row r="219" spans="1:26" ht="15" customHeight="1">
      <c r="A219" s="947" t="s">
        <v>1831</v>
      </c>
      <c r="B219" s="1729">
        <f>InlP_D</f>
        <v>674</v>
      </c>
      <c r="C219" s="417" t="s">
        <v>136</v>
      </c>
      <c r="D219" s="1115" t="s">
        <v>1834</v>
      </c>
      <c r="E219" s="458"/>
      <c r="F219" s="694"/>
      <c r="G219" s="694"/>
      <c r="H219" s="694"/>
      <c r="I219" s="694"/>
      <c r="J219" s="694"/>
      <c r="K219" s="694"/>
      <c r="L219" s="694"/>
      <c r="M219" s="694"/>
      <c r="N219" s="694"/>
      <c r="O219" s="694"/>
      <c r="P219" s="694"/>
      <c r="Q219" s="413"/>
      <c r="R219" s="437"/>
      <c r="S219" s="1940"/>
      <c r="Z219" s="1679"/>
    </row>
    <row r="220" spans="1:26" ht="15" customHeight="1">
      <c r="A220" s="947" t="s">
        <v>1174</v>
      </c>
      <c r="B220" s="1729" t="e">
        <f ca="1">int_Inl_H</f>
        <v>#REF!</v>
      </c>
      <c r="C220" s="417" t="s">
        <v>136</v>
      </c>
      <c r="D220" s="1119" t="s">
        <v>1449</v>
      </c>
      <c r="E220" s="458"/>
      <c r="F220" s="694"/>
      <c r="G220" s="696"/>
      <c r="H220" s="695"/>
      <c r="I220" s="694"/>
      <c r="J220" s="694"/>
      <c r="K220" s="694"/>
      <c r="L220" s="694"/>
      <c r="M220" s="694"/>
      <c r="N220" s="694"/>
      <c r="O220" s="694"/>
      <c r="P220" s="694"/>
      <c r="Q220" s="413"/>
      <c r="R220" s="437"/>
      <c r="S220" s="1940"/>
      <c r="Z220" s="1679"/>
    </row>
    <row r="221" spans="1:26" ht="15" customHeight="1">
      <c r="A221" s="947" t="s">
        <v>1433</v>
      </c>
      <c r="B221" s="1729" t="e">
        <f ca="1">int_Inl_D</f>
        <v>#REF!</v>
      </c>
      <c r="C221" s="417" t="s">
        <v>136</v>
      </c>
      <c r="D221" s="1119" t="s">
        <v>3858</v>
      </c>
      <c r="E221" s="458"/>
      <c r="F221" s="694"/>
      <c r="G221" s="694"/>
      <c r="H221" s="694"/>
      <c r="I221" s="694"/>
      <c r="J221" s="694"/>
      <c r="K221" s="694"/>
      <c r="L221" s="694"/>
      <c r="M221" s="694"/>
      <c r="N221" s="694"/>
      <c r="O221" s="694"/>
      <c r="P221" s="694"/>
      <c r="Q221" s="413"/>
      <c r="R221" s="437"/>
      <c r="S221" s="1940"/>
      <c r="Z221" s="1679"/>
    </row>
    <row r="222" spans="1:26" ht="15" customHeight="1">
      <c r="A222" s="947" t="s">
        <v>1172</v>
      </c>
      <c r="B222" s="1729" t="e">
        <f ca="1">int_cyl2</f>
        <v>#REF!</v>
      </c>
      <c r="C222" s="417" t="s">
        <v>136</v>
      </c>
      <c r="D222" s="1119" t="s">
        <v>1450</v>
      </c>
      <c r="E222" s="458"/>
      <c r="F222" s="694"/>
      <c r="G222" s="694"/>
      <c r="H222" s="694"/>
      <c r="I222" s="694"/>
      <c r="J222" s="694"/>
      <c r="K222" s="694"/>
      <c r="L222" s="694"/>
      <c r="M222" s="694"/>
      <c r="N222" s="694"/>
      <c r="O222" s="694"/>
      <c r="P222" s="694"/>
      <c r="Q222" s="413"/>
      <c r="R222" s="437"/>
      <c r="S222" s="1940"/>
      <c r="Z222" s="1679"/>
    </row>
    <row r="223" spans="1:26" ht="15" customHeight="1">
      <c r="A223" s="947" t="s">
        <v>1173</v>
      </c>
      <c r="B223" s="1729" t="e">
        <f ca="1">ext_cyl1</f>
        <v>#REF!</v>
      </c>
      <c r="C223" s="417" t="s">
        <v>136</v>
      </c>
      <c r="D223" s="1119" t="s">
        <v>1451</v>
      </c>
      <c r="E223" s="458"/>
      <c r="F223" s="695"/>
      <c r="G223" s="694"/>
      <c r="H223" s="694"/>
      <c r="I223" s="695"/>
      <c r="J223" s="694"/>
      <c r="K223" s="694"/>
      <c r="L223" s="694"/>
      <c r="M223" s="694"/>
      <c r="N223" s="694"/>
      <c r="O223" s="694"/>
      <c r="P223" s="694"/>
      <c r="Q223" s="413"/>
      <c r="R223" s="437"/>
      <c r="S223" s="1940"/>
      <c r="Z223" s="1679"/>
    </row>
    <row r="224" spans="1:26" ht="15" customHeight="1">
      <c r="A224" s="3455" t="s">
        <v>4780</v>
      </c>
      <c r="B224" s="1729" t="e">
        <f ca="1">ext_inl_H</f>
        <v>#REF!</v>
      </c>
      <c r="C224" s="417" t="s">
        <v>136</v>
      </c>
      <c r="D224" s="1119" t="s">
        <v>1452</v>
      </c>
      <c r="E224" s="458"/>
      <c r="F224" s="694"/>
      <c r="G224" s="694"/>
      <c r="H224" s="694"/>
      <c r="I224" s="694"/>
      <c r="J224" s="694"/>
      <c r="K224" s="694"/>
      <c r="L224" s="694"/>
      <c r="M224" s="694"/>
      <c r="N224" s="694"/>
      <c r="O224" s="694"/>
      <c r="P224" s="694"/>
      <c r="Q224" s="413"/>
      <c r="R224" s="437"/>
      <c r="S224" s="1940"/>
      <c r="Z224" s="1679"/>
    </row>
    <row r="225" spans="1:26" ht="15" customHeight="1">
      <c r="A225" s="947" t="s">
        <v>1432</v>
      </c>
      <c r="B225" s="1729">
        <f>ext_cyl2</f>
        <v>1</v>
      </c>
      <c r="C225" s="417" t="s">
        <v>136</v>
      </c>
      <c r="D225" s="1119" t="s">
        <v>1453</v>
      </c>
      <c r="E225" s="458"/>
      <c r="F225" s="694"/>
      <c r="G225" s="694"/>
      <c r="H225" s="694"/>
      <c r="I225" s="694"/>
      <c r="J225" s="694"/>
      <c r="K225" s="694"/>
      <c r="L225" s="694"/>
      <c r="M225" s="694"/>
      <c r="N225" s="694"/>
      <c r="O225" s="694"/>
      <c r="P225" s="694"/>
      <c r="Q225" s="413"/>
      <c r="R225" s="437"/>
      <c r="S225" s="1940"/>
      <c r="Z225" s="1679"/>
    </row>
    <row r="226" spans="1:26" ht="15" customHeight="1">
      <c r="A226" s="947" t="s">
        <v>1473</v>
      </c>
      <c r="B226" s="1729" t="e">
        <f ca="1">ext_inl_D</f>
        <v>#REF!</v>
      </c>
      <c r="C226" s="417" t="s">
        <v>136</v>
      </c>
      <c r="D226" s="1119" t="s">
        <v>3859</v>
      </c>
      <c r="E226" s="458"/>
      <c r="F226" s="694"/>
      <c r="G226" s="694"/>
      <c r="H226" s="694"/>
      <c r="I226" s="694"/>
      <c r="J226" s="694"/>
      <c r="K226" s="694"/>
      <c r="L226" s="694"/>
      <c r="M226" s="694"/>
      <c r="N226" s="694"/>
      <c r="O226" s="694"/>
      <c r="P226" s="694"/>
      <c r="Q226" s="413"/>
      <c r="R226" s="437"/>
      <c r="S226" s="1940"/>
      <c r="Z226" s="1679"/>
    </row>
    <row r="227" spans="1:26" ht="15" customHeight="1">
      <c r="A227" s="947" t="s">
        <v>3425</v>
      </c>
      <c r="B227" s="1729" t="e">
        <f ca="1">'Inlet Cone'!$D$45</f>
        <v>#REF!</v>
      </c>
      <c r="C227" s="417" t="s">
        <v>136</v>
      </c>
      <c r="D227" s="1119" t="s">
        <v>3430</v>
      </c>
      <c r="E227" s="458"/>
      <c r="F227" s="694"/>
      <c r="G227" s="694"/>
      <c r="H227" s="694"/>
      <c r="I227" s="694"/>
      <c r="J227" s="694"/>
      <c r="K227" s="694"/>
      <c r="L227" s="694"/>
      <c r="M227" s="694"/>
      <c r="N227" s="694"/>
      <c r="O227" s="694"/>
      <c r="P227" s="694"/>
      <c r="Q227" s="413"/>
      <c r="R227" s="437"/>
      <c r="S227" s="1940"/>
      <c r="Z227" s="1679"/>
    </row>
    <row r="228" spans="1:26" ht="15" customHeight="1">
      <c r="A228" s="947" t="s">
        <v>3426</v>
      </c>
      <c r="B228" s="1729" t="e">
        <f ca="1">'Inlet Cone'!$C$45</f>
        <v>#REF!</v>
      </c>
      <c r="C228" s="417" t="s">
        <v>136</v>
      </c>
      <c r="D228" s="1119" t="s">
        <v>3429</v>
      </c>
      <c r="E228" s="458"/>
      <c r="F228" s="694"/>
      <c r="G228" s="694"/>
      <c r="H228" s="694"/>
      <c r="I228" s="694"/>
      <c r="J228" s="694"/>
      <c r="K228" s="694"/>
      <c r="L228" s="694"/>
      <c r="M228" s="694"/>
      <c r="N228" s="694"/>
      <c r="O228" s="694"/>
      <c r="P228" s="694"/>
      <c r="Q228" s="413"/>
      <c r="R228" s="437"/>
      <c r="S228" s="1940"/>
      <c r="Z228" s="1679"/>
    </row>
    <row r="229" spans="1:26" ht="15" customHeight="1">
      <c r="A229" s="947" t="s">
        <v>3427</v>
      </c>
      <c r="B229" s="1729">
        <f>'Inlet Cone'!$B$45</f>
        <v>0</v>
      </c>
      <c r="C229" s="417" t="s">
        <v>136</v>
      </c>
      <c r="D229" s="1119" t="s">
        <v>3431</v>
      </c>
      <c r="E229" s="458"/>
      <c r="F229" s="694"/>
      <c r="G229" s="694"/>
      <c r="H229" s="694"/>
      <c r="I229" s="694"/>
      <c r="J229" s="694"/>
      <c r="K229" s="694"/>
      <c r="L229" s="694"/>
      <c r="M229" s="694"/>
      <c r="N229" s="694"/>
      <c r="O229" s="694"/>
      <c r="P229" s="694"/>
      <c r="Q229" s="413"/>
      <c r="R229" s="437"/>
      <c r="S229" s="1940"/>
      <c r="Z229" s="1679"/>
    </row>
    <row r="230" spans="1:26" ht="15" customHeight="1" thickBot="1">
      <c r="A230" s="3414" t="s">
        <v>3428</v>
      </c>
      <c r="B230" s="3415" t="e">
        <f ca="1">CEILING('Inlet Cone'!$E$45,5)</f>
        <v>#REF!</v>
      </c>
      <c r="C230" s="3416" t="s">
        <v>136</v>
      </c>
      <c r="D230" s="3417" t="s">
        <v>4638</v>
      </c>
      <c r="E230" s="458"/>
      <c r="F230" s="694"/>
      <c r="G230" s="694"/>
      <c r="H230" s="694"/>
      <c r="I230" s="694"/>
      <c r="J230" s="694"/>
      <c r="K230" s="694"/>
      <c r="L230" s="694"/>
      <c r="M230" s="694"/>
      <c r="N230" s="694"/>
      <c r="O230" s="694"/>
      <c r="P230" s="694"/>
      <c r="Q230" s="413"/>
      <c r="R230" s="437"/>
      <c r="S230" s="1940"/>
      <c r="Z230" s="1679"/>
    </row>
    <row r="231" spans="1:26" ht="15" customHeight="1">
      <c r="A231" s="3418" t="s">
        <v>4724</v>
      </c>
      <c r="B231" s="3413" t="e">
        <f ca="1">inlet!D5</f>
        <v>#REF!</v>
      </c>
      <c r="C231" s="417" t="s">
        <v>136</v>
      </c>
      <c r="D231" s="3365"/>
      <c r="E231" s="458"/>
      <c r="F231" s="694"/>
      <c r="G231" s="694"/>
      <c r="H231" s="694"/>
      <c r="I231" s="694"/>
      <c r="J231" s="694"/>
      <c r="K231" s="694"/>
      <c r="L231" s="694"/>
      <c r="M231" s="694"/>
      <c r="N231" s="694"/>
      <c r="O231" s="694"/>
      <c r="P231" s="694"/>
      <c r="Q231" s="413"/>
      <c r="R231" s="437"/>
      <c r="S231" s="1940"/>
      <c r="Z231" s="1679"/>
    </row>
    <row r="232" spans="1:26" ht="15" customHeight="1">
      <c r="A232" s="3418" t="s">
        <v>4725</v>
      </c>
      <c r="B232" s="3413">
        <f>inlet!D6</f>
        <v>659.35898384862242</v>
      </c>
      <c r="C232" s="417" t="s">
        <v>136</v>
      </c>
      <c r="D232" s="3419" t="s">
        <v>4732</v>
      </c>
      <c r="E232" s="458"/>
      <c r="F232" s="694"/>
      <c r="G232" s="694"/>
      <c r="H232" s="694"/>
      <c r="I232" s="694"/>
      <c r="J232" s="694"/>
      <c r="K232" s="694"/>
      <c r="L232" s="694"/>
      <c r="M232" s="694"/>
      <c r="N232" s="694"/>
      <c r="O232" s="694"/>
      <c r="P232" s="694"/>
      <c r="Q232" s="413"/>
      <c r="R232" s="437"/>
      <c r="S232" s="1940"/>
      <c r="Z232" s="1679"/>
    </row>
    <row r="233" spans="1:26" ht="15" customHeight="1">
      <c r="A233" s="3418" t="s">
        <v>4726</v>
      </c>
      <c r="B233" s="3413">
        <f>inlet!D7</f>
        <v>694</v>
      </c>
      <c r="C233" s="417" t="s">
        <v>136</v>
      </c>
      <c r="D233" s="3365"/>
      <c r="E233" s="458"/>
      <c r="F233" s="694"/>
      <c r="G233" s="694"/>
      <c r="H233" s="694"/>
      <c r="I233" s="694"/>
      <c r="J233" s="694"/>
      <c r="K233" s="694"/>
      <c r="L233" s="694"/>
      <c r="M233" s="694"/>
      <c r="N233" s="694"/>
      <c r="O233" s="694"/>
      <c r="P233" s="694"/>
      <c r="Q233" s="413"/>
      <c r="R233" s="437"/>
      <c r="S233" s="1940"/>
      <c r="Z233" s="1679"/>
    </row>
    <row r="234" spans="1:26" ht="15" customHeight="1">
      <c r="A234" s="3418" t="s">
        <v>4727</v>
      </c>
      <c r="B234" s="3413" t="e">
        <f ca="1">inlet!D8</f>
        <v>#REF!</v>
      </c>
      <c r="C234" s="417" t="s">
        <v>136</v>
      </c>
      <c r="D234" s="3365"/>
      <c r="E234" s="458"/>
      <c r="F234" s="694"/>
      <c r="G234" s="694"/>
      <c r="H234" s="694"/>
      <c r="I234" s="694"/>
      <c r="J234" s="694"/>
      <c r="K234" s="694"/>
      <c r="L234" s="694"/>
      <c r="M234" s="694"/>
      <c r="N234" s="694"/>
      <c r="O234" s="694"/>
      <c r="P234" s="694"/>
      <c r="Q234" s="413"/>
      <c r="R234" s="437"/>
      <c r="S234" s="1940"/>
      <c r="Z234" s="1679"/>
    </row>
    <row r="235" spans="1:26" ht="15" customHeight="1">
      <c r="A235" s="3418" t="s">
        <v>4728</v>
      </c>
      <c r="B235" s="3413" t="e">
        <f ca="1">inlet!D9</f>
        <v>#REF!</v>
      </c>
      <c r="C235" s="417" t="s">
        <v>136</v>
      </c>
      <c r="D235" s="3365"/>
      <c r="E235" s="458"/>
      <c r="F235" s="694"/>
      <c r="G235" s="694"/>
      <c r="H235" s="694"/>
      <c r="I235" s="694"/>
      <c r="J235" s="694"/>
      <c r="K235" s="694"/>
      <c r="L235" s="694"/>
      <c r="M235" s="694"/>
      <c r="N235" s="694"/>
      <c r="O235" s="694"/>
      <c r="P235" s="694"/>
      <c r="Q235" s="413"/>
      <c r="R235" s="437"/>
      <c r="S235" s="1940"/>
      <c r="Z235" s="1679"/>
    </row>
    <row r="236" spans="1:26" ht="15" customHeight="1">
      <c r="A236" s="3418" t="s">
        <v>4729</v>
      </c>
      <c r="B236" s="3413" t="e">
        <f ca="1">inlet!D10</f>
        <v>#REF!</v>
      </c>
      <c r="C236" s="417" t="s">
        <v>136</v>
      </c>
      <c r="D236" s="3365"/>
      <c r="E236" s="458"/>
      <c r="F236" s="694"/>
      <c r="G236" s="694"/>
      <c r="H236" s="694"/>
      <c r="I236" s="694"/>
      <c r="J236" s="694"/>
      <c r="K236" s="694"/>
      <c r="L236" s="694"/>
      <c r="M236" s="694"/>
      <c r="N236" s="694"/>
      <c r="O236" s="694"/>
      <c r="P236" s="694"/>
      <c r="Q236" s="413"/>
      <c r="R236" s="437"/>
      <c r="S236" s="1940"/>
      <c r="Z236" s="1679"/>
    </row>
    <row r="237" spans="1:26" ht="15" customHeight="1">
      <c r="A237" s="3418" t="s">
        <v>4730</v>
      </c>
      <c r="B237" s="3413">
        <f>inlet!D11</f>
        <v>75</v>
      </c>
      <c r="C237" s="417" t="s">
        <v>136</v>
      </c>
      <c r="D237" s="3365"/>
      <c r="E237" s="458"/>
      <c r="F237" s="694"/>
      <c r="G237" s="694"/>
      <c r="H237" s="694"/>
      <c r="I237" s="694"/>
      <c r="J237" s="694"/>
      <c r="K237" s="694"/>
      <c r="L237" s="694"/>
      <c r="M237" s="694"/>
      <c r="N237" s="694"/>
      <c r="O237" s="694"/>
      <c r="P237" s="694"/>
      <c r="Q237" s="413"/>
      <c r="R237" s="437"/>
      <c r="S237" s="1940"/>
      <c r="Z237" s="1679"/>
    </row>
    <row r="238" spans="1:26" ht="15" customHeight="1">
      <c r="A238" s="3451" t="s">
        <v>4731</v>
      </c>
      <c r="B238" s="3452">
        <f>inlet!D12</f>
        <v>30</v>
      </c>
      <c r="C238" s="3453" t="s">
        <v>136</v>
      </c>
      <c r="D238" s="3454"/>
      <c r="E238" s="458"/>
      <c r="F238" s="694"/>
      <c r="G238" s="694"/>
      <c r="H238" s="694"/>
      <c r="I238" s="694"/>
      <c r="J238" s="694"/>
      <c r="K238" s="694"/>
      <c r="L238" s="694"/>
      <c r="M238" s="694"/>
      <c r="N238" s="694"/>
      <c r="O238" s="694"/>
      <c r="P238" s="694"/>
      <c r="Q238" s="413"/>
      <c r="R238" s="437"/>
      <c r="S238" s="1940"/>
      <c r="Z238" s="1679"/>
    </row>
    <row r="239" spans="1:26" ht="15" customHeight="1">
      <c r="A239" s="3418" t="s">
        <v>4775</v>
      </c>
      <c r="B239" s="3413" t="e">
        <f ca="1">inlet!D37</f>
        <v>#REF!</v>
      </c>
      <c r="C239" s="417"/>
      <c r="D239" s="3365"/>
      <c r="E239" s="458"/>
      <c r="F239" s="694"/>
      <c r="G239" s="694"/>
      <c r="H239" s="694"/>
      <c r="I239" s="694"/>
      <c r="J239" s="694"/>
      <c r="K239" s="694"/>
      <c r="L239" s="694"/>
      <c r="M239" s="694"/>
      <c r="N239" s="694"/>
      <c r="O239" s="694"/>
      <c r="P239" s="694"/>
      <c r="Q239" s="413"/>
      <c r="R239" s="437"/>
      <c r="S239" s="1940"/>
      <c r="Z239" s="1679"/>
    </row>
    <row r="240" spans="1:26" ht="15" customHeight="1">
      <c r="A240" s="3418" t="s">
        <v>4776</v>
      </c>
      <c r="B240" s="3413" t="e">
        <f ca="1">inlet!D38</f>
        <v>#REF!</v>
      </c>
      <c r="C240" s="417"/>
      <c r="D240" s="3419" t="s">
        <v>4732</v>
      </c>
      <c r="E240" s="458"/>
      <c r="F240" s="694"/>
      <c r="G240" s="694"/>
      <c r="H240" s="694"/>
      <c r="I240" s="694"/>
      <c r="J240" s="694"/>
      <c r="K240" s="694"/>
      <c r="L240" s="694"/>
      <c r="M240" s="694"/>
      <c r="N240" s="694"/>
      <c r="O240" s="694"/>
      <c r="P240" s="694"/>
      <c r="Q240" s="413"/>
      <c r="R240" s="437"/>
      <c r="S240" s="1940"/>
      <c r="Z240" s="1679"/>
    </row>
    <row r="241" spans="1:26" ht="15" customHeight="1" thickBot="1">
      <c r="A241" s="3418" t="s">
        <v>4778</v>
      </c>
      <c r="B241" s="3413">
        <f>inlet!D41</f>
        <v>690</v>
      </c>
      <c r="C241" s="417"/>
      <c r="D241" s="3365"/>
      <c r="E241" s="458"/>
      <c r="F241" s="694"/>
      <c r="G241" s="694"/>
      <c r="H241" s="694"/>
      <c r="I241" s="694"/>
      <c r="J241" s="694"/>
      <c r="K241" s="694"/>
      <c r="L241" s="694"/>
      <c r="M241" s="694"/>
      <c r="N241" s="694"/>
      <c r="O241" s="694"/>
      <c r="P241" s="694"/>
      <c r="Q241" s="413"/>
      <c r="R241" s="437"/>
      <c r="S241" s="1940"/>
      <c r="Z241" s="1679"/>
    </row>
    <row r="242" spans="1:26" ht="15" customHeight="1" thickBot="1">
      <c r="A242" s="2247" t="s">
        <v>3571</v>
      </c>
      <c r="B242" s="3354">
        <v>0</v>
      </c>
      <c r="C242" s="3353" t="s">
        <v>1114</v>
      </c>
      <c r="D242" s="2249" t="e">
        <f ca="1">H_STD_Re</f>
        <v>#REF!</v>
      </c>
      <c r="E242" s="1781"/>
      <c r="F242" s="1781"/>
      <c r="G242" s="1781"/>
      <c r="H242" s="1781"/>
      <c r="I242" s="1781"/>
      <c r="J242" s="1781"/>
      <c r="K242" s="1781"/>
      <c r="L242" s="1781"/>
      <c r="M242" s="1781"/>
      <c r="N242" s="1781"/>
      <c r="O242" s="1781"/>
      <c r="P242" s="1781"/>
      <c r="Q242" s="1781"/>
      <c r="R242" s="1782"/>
      <c r="S242" s="3044"/>
      <c r="T242" s="3045"/>
      <c r="U242" s="3046"/>
      <c r="V242" s="3047"/>
      <c r="W242" s="3046"/>
      <c r="X242" s="3047"/>
      <c r="Y242" s="3046"/>
      <c r="Z242" s="3043"/>
    </row>
    <row r="243" spans="1:26" ht="15" customHeight="1">
      <c r="A243" s="3252" t="s">
        <v>4206</v>
      </c>
      <c r="B243" s="3325" t="e">
        <f ca="1">VLOOKUP($D242,Iron_dim,3,FALSE)</f>
        <v>#REF!</v>
      </c>
      <c r="C243" s="3255" t="s">
        <v>136</v>
      </c>
      <c r="D243" s="3257"/>
      <c r="E243" s="1122"/>
      <c r="F243" s="1122"/>
      <c r="G243" s="1122"/>
      <c r="H243" s="1122"/>
      <c r="I243" s="1122"/>
      <c r="J243" s="1122"/>
      <c r="K243" s="1122"/>
      <c r="L243" s="1122"/>
      <c r="M243" s="1122"/>
      <c r="N243" s="1122"/>
      <c r="O243" s="1122"/>
      <c r="P243" s="1122"/>
      <c r="Q243" s="1122"/>
      <c r="R243" s="3254"/>
      <c r="S243" s="1940"/>
      <c r="Z243" s="1679"/>
    </row>
    <row r="244" spans="1:26" ht="15" customHeight="1">
      <c r="A244" s="3253" t="s">
        <v>4205</v>
      </c>
      <c r="B244" s="3326" t="e">
        <f ca="1">VLOOKUP($D242,Iron_dim,4,FALSE)</f>
        <v>#REF!</v>
      </c>
      <c r="C244" s="3256" t="s">
        <v>136</v>
      </c>
      <c r="D244" s="3258"/>
      <c r="E244" s="1122"/>
      <c r="F244" s="1122"/>
      <c r="G244" s="1122"/>
      <c r="H244" s="1122"/>
      <c r="I244" s="1122"/>
      <c r="J244" s="1122"/>
      <c r="K244" s="1122"/>
      <c r="L244" s="1122"/>
      <c r="M244" s="1122"/>
      <c r="N244" s="1122"/>
      <c r="O244" s="1122"/>
      <c r="P244" s="1122"/>
      <c r="Q244" s="1122"/>
      <c r="R244" s="3254"/>
      <c r="S244" s="1940"/>
      <c r="Z244" s="1679"/>
    </row>
    <row r="245" spans="1:26" s="1942" customFormat="1" ht="15" customHeight="1">
      <c r="A245" s="1040" t="s">
        <v>3843</v>
      </c>
      <c r="B245" s="1728">
        <f ca="1">No_SidePlate_reinf</f>
        <v>0</v>
      </c>
      <c r="C245" s="1420" t="s">
        <v>1114</v>
      </c>
      <c r="D245" s="1120" t="s">
        <v>3843</v>
      </c>
      <c r="E245" s="1122"/>
      <c r="F245" s="1122"/>
      <c r="G245" s="1122"/>
      <c r="H245" s="1122"/>
      <c r="I245" s="1122"/>
      <c r="J245" s="1122"/>
      <c r="K245" s="1122"/>
      <c r="L245" s="1122"/>
      <c r="M245" s="1122"/>
      <c r="N245" s="1122"/>
      <c r="O245" s="1122"/>
      <c r="P245" s="1122"/>
      <c r="Q245" s="1122"/>
      <c r="R245" s="3254"/>
      <c r="S245" s="1940"/>
      <c r="T245" s="1689"/>
      <c r="U245" s="1678"/>
      <c r="V245" s="1690"/>
      <c r="W245" s="1678"/>
      <c r="X245" s="1690"/>
      <c r="Y245" s="1678"/>
      <c r="Z245" s="1679"/>
    </row>
    <row r="246" spans="1:26" ht="15" customHeight="1" thickBot="1">
      <c r="A246" s="3249" t="s">
        <v>3844</v>
      </c>
      <c r="B246" s="3250" t="e">
        <f ca="1">SidePlate_reinf_dist</f>
        <v>#REF!</v>
      </c>
      <c r="C246" s="3251" t="s">
        <v>136</v>
      </c>
      <c r="D246" s="1130" t="s">
        <v>3844</v>
      </c>
      <c r="E246" s="1122"/>
      <c r="F246" s="1122"/>
      <c r="G246" s="1122"/>
      <c r="H246" s="1122"/>
      <c r="I246" s="1122"/>
      <c r="J246" s="1122"/>
      <c r="K246" s="1122"/>
      <c r="L246" s="1122"/>
      <c r="M246" s="1122"/>
      <c r="N246" s="1122"/>
      <c r="O246" s="1122"/>
      <c r="P246" s="1122"/>
      <c r="Q246" s="1122"/>
      <c r="R246" s="3254"/>
      <c r="S246" s="1940"/>
      <c r="Z246" s="1679"/>
    </row>
    <row r="247" spans="1:26" ht="15" customHeight="1" thickBot="1">
      <c r="A247" s="2250" t="s">
        <v>3582</v>
      </c>
      <c r="B247" s="3355">
        <v>0</v>
      </c>
      <c r="C247" s="3356" t="s">
        <v>1114</v>
      </c>
      <c r="D247" s="2249" t="e">
        <f ca="1">H_STD_Re</f>
        <v>#REF!</v>
      </c>
      <c r="E247" s="1781"/>
      <c r="F247" s="1781"/>
      <c r="G247" s="1781"/>
      <c r="H247" s="1781"/>
      <c r="I247" s="1781"/>
      <c r="J247" s="1781"/>
      <c r="K247" s="1781"/>
      <c r="L247" s="1781"/>
      <c r="M247" s="1781"/>
      <c r="N247" s="1781"/>
      <c r="O247" s="1781"/>
      <c r="P247" s="1781"/>
      <c r="Q247" s="1781"/>
      <c r="R247" s="1782"/>
      <c r="S247" s="3089"/>
      <c r="T247" s="3048"/>
      <c r="U247" s="3049"/>
      <c r="V247" s="3050"/>
      <c r="W247" s="3051"/>
      <c r="X247" s="3051"/>
      <c r="Y247" s="3051"/>
      <c r="Z247" s="3052"/>
    </row>
    <row r="248" spans="1:26" ht="15" customHeight="1">
      <c r="A248" s="3252" t="s">
        <v>4203</v>
      </c>
      <c r="B248" s="3325" t="e">
        <f ca="1">VLOOKUP($D247,Iron_dim,3,FALSE)</f>
        <v>#REF!</v>
      </c>
      <c r="C248" s="3255" t="s">
        <v>136</v>
      </c>
      <c r="D248" s="3257"/>
      <c r="E248" s="1122"/>
      <c r="F248" s="1122"/>
      <c r="G248" s="1122"/>
      <c r="H248" s="1122"/>
      <c r="I248" s="1122"/>
      <c r="J248" s="1122"/>
      <c r="K248" s="1122"/>
      <c r="L248" s="1122"/>
      <c r="M248" s="1122"/>
      <c r="N248" s="1122"/>
      <c r="O248" s="1122"/>
      <c r="P248" s="1122"/>
      <c r="Q248" s="1122"/>
      <c r="R248" s="3254"/>
      <c r="S248" s="1940"/>
      <c r="Z248" s="1679"/>
    </row>
    <row r="249" spans="1:26" ht="15" customHeight="1">
      <c r="A249" s="3253" t="s">
        <v>4204</v>
      </c>
      <c r="B249" s="3326" t="e">
        <f ca="1">VLOOKUP($D247,Iron_dim,4,FALSE)</f>
        <v>#REF!</v>
      </c>
      <c r="C249" s="3256" t="s">
        <v>136</v>
      </c>
      <c r="D249" s="3258"/>
      <c r="E249" s="1122"/>
      <c r="F249" s="1122"/>
      <c r="G249" s="1122"/>
      <c r="H249" s="1122"/>
      <c r="I249" s="1122"/>
      <c r="J249" s="1122"/>
      <c r="K249" s="1122"/>
      <c r="L249" s="1122"/>
      <c r="M249" s="1122"/>
      <c r="N249" s="1122"/>
      <c r="O249" s="1122"/>
      <c r="P249" s="1122"/>
      <c r="Q249" s="1122"/>
      <c r="R249" s="3254"/>
      <c r="S249" s="1940"/>
      <c r="Z249" s="1679"/>
    </row>
    <row r="250" spans="1:26" ht="15" customHeight="1">
      <c r="A250" s="1111" t="s">
        <v>3583</v>
      </c>
      <c r="B250" s="1737" t="e">
        <f ca="1">'House reinf, Inlet Side'!$B$81</f>
        <v>#REF!</v>
      </c>
      <c r="C250" s="415" t="s">
        <v>136</v>
      </c>
      <c r="D250" s="1120" t="s">
        <v>3584</v>
      </c>
      <c r="G250" s="413"/>
      <c r="H250" s="413"/>
      <c r="I250" s="413"/>
      <c r="J250" s="413"/>
      <c r="K250" s="413"/>
      <c r="L250" s="413"/>
      <c r="M250" s="413"/>
      <c r="N250" s="413"/>
      <c r="O250" s="413"/>
      <c r="P250" s="413"/>
      <c r="Q250" s="413"/>
      <c r="R250" s="437"/>
      <c r="S250" s="1438"/>
      <c r="T250" s="1439"/>
      <c r="U250" s="1431"/>
      <c r="V250" s="1440"/>
      <c r="W250" s="1943"/>
      <c r="X250" s="1440"/>
      <c r="Y250" s="1432"/>
      <c r="Z250" s="1691"/>
    </row>
    <row r="251" spans="1:26" ht="15" customHeight="1">
      <c r="A251" s="1111" t="s">
        <v>3585</v>
      </c>
      <c r="B251" s="1737" t="e">
        <f ca="1">'House reinf, Inlet Side'!$C$81</f>
        <v>#REF!</v>
      </c>
      <c r="C251" s="415" t="s">
        <v>136</v>
      </c>
      <c r="D251" s="1120" t="s">
        <v>3586</v>
      </c>
      <c r="G251" s="413"/>
      <c r="H251" s="413"/>
      <c r="I251" s="413"/>
      <c r="J251" s="413"/>
      <c r="K251" s="413"/>
      <c r="L251" s="413"/>
      <c r="M251" s="413"/>
      <c r="N251" s="413"/>
      <c r="O251" s="413"/>
      <c r="P251" s="413"/>
      <c r="Q251" s="413"/>
      <c r="R251" s="437"/>
      <c r="S251" s="1438"/>
      <c r="T251" s="1439"/>
      <c r="U251" s="1431"/>
      <c r="V251" s="1440"/>
      <c r="W251" s="1943"/>
      <c r="X251" s="1440"/>
      <c r="Y251" s="1432"/>
      <c r="Z251" s="1691"/>
    </row>
    <row r="252" spans="1:26" ht="15" customHeight="1">
      <c r="A252" s="1111" t="s">
        <v>3587</v>
      </c>
      <c r="B252" s="1737" t="e">
        <f ca="1">'House reinf, Inlet Side'!$D$81</f>
        <v>#REF!</v>
      </c>
      <c r="C252" s="415" t="s">
        <v>136</v>
      </c>
      <c r="D252" s="1120" t="s">
        <v>3588</v>
      </c>
      <c r="G252" s="413"/>
      <c r="H252" s="413"/>
      <c r="I252" s="413"/>
      <c r="J252" s="413"/>
      <c r="K252" s="413"/>
      <c r="L252" s="413"/>
      <c r="M252" s="413"/>
      <c r="N252" s="413"/>
      <c r="O252" s="413"/>
      <c r="P252" s="413"/>
      <c r="Q252" s="413"/>
      <c r="R252" s="437"/>
      <c r="S252" s="1438"/>
      <c r="T252" s="1439"/>
      <c r="U252" s="1431"/>
      <c r="V252" s="1440"/>
      <c r="W252" s="1943"/>
      <c r="X252" s="1440"/>
      <c r="Y252" s="1432"/>
      <c r="Z252" s="1691"/>
    </row>
    <row r="253" spans="1:26" ht="15" customHeight="1">
      <c r="A253" s="1111" t="s">
        <v>3589</v>
      </c>
      <c r="B253" s="1737" t="e">
        <f ca="1">'House reinf, Inlet Side'!$E$81</f>
        <v>#REF!</v>
      </c>
      <c r="C253" s="415" t="s">
        <v>136</v>
      </c>
      <c r="D253" s="1120" t="s">
        <v>3590</v>
      </c>
      <c r="G253" s="413"/>
      <c r="H253" s="413"/>
      <c r="I253" s="413"/>
      <c r="J253" s="413"/>
      <c r="K253" s="413"/>
      <c r="L253" s="413"/>
      <c r="M253" s="413"/>
      <c r="N253" s="413"/>
      <c r="O253" s="413"/>
      <c r="P253" s="413"/>
      <c r="Q253" s="413"/>
      <c r="R253" s="437"/>
      <c r="S253" s="1438"/>
      <c r="T253" s="1439"/>
      <c r="U253" s="1431"/>
      <c r="V253" s="1440"/>
      <c r="W253" s="1943"/>
      <c r="X253" s="1440"/>
      <c r="Y253" s="1432"/>
      <c r="Z253" s="1691"/>
    </row>
    <row r="254" spans="1:26" ht="15" customHeight="1">
      <c r="A254" s="1111" t="s">
        <v>3591</v>
      </c>
      <c r="B254" s="1737" t="e">
        <f ca="1">'House reinf, Inlet Side'!$F$81</f>
        <v>#REF!</v>
      </c>
      <c r="C254" s="415" t="s">
        <v>136</v>
      </c>
      <c r="D254" s="1120" t="s">
        <v>3592</v>
      </c>
      <c r="G254" s="413"/>
      <c r="H254" s="413"/>
      <c r="I254" s="413"/>
      <c r="J254" s="413"/>
      <c r="K254" s="413"/>
      <c r="L254" s="413"/>
      <c r="M254" s="413"/>
      <c r="N254" s="413"/>
      <c r="O254" s="413"/>
      <c r="P254" s="413"/>
      <c r="Q254" s="413"/>
      <c r="R254" s="437"/>
      <c r="S254" s="1438"/>
      <c r="T254" s="1439"/>
      <c r="U254" s="1431"/>
      <c r="V254" s="1440"/>
      <c r="W254" s="1943"/>
      <c r="X254" s="1440"/>
      <c r="Y254" s="1432"/>
      <c r="Z254" s="1691"/>
    </row>
    <row r="255" spans="1:26" ht="15" customHeight="1">
      <c r="A255" s="1111" t="s">
        <v>3593</v>
      </c>
      <c r="B255" s="1737" t="e">
        <f ca="1">'House reinf, Inlet Side'!$G$81</f>
        <v>#REF!</v>
      </c>
      <c r="C255" s="415" t="s">
        <v>136</v>
      </c>
      <c r="D255" s="1120" t="s">
        <v>3594</v>
      </c>
      <c r="G255" s="413"/>
      <c r="H255" s="413"/>
      <c r="I255" s="413"/>
      <c r="J255" s="413"/>
      <c r="K255" s="413"/>
      <c r="L255" s="413"/>
      <c r="M255" s="413"/>
      <c r="N255" s="413"/>
      <c r="O255" s="413"/>
      <c r="P255" s="413"/>
      <c r="Q255" s="413"/>
      <c r="R255" s="437"/>
      <c r="S255" s="1438"/>
      <c r="T255" s="1439"/>
      <c r="U255" s="1431"/>
      <c r="V255" s="1440"/>
      <c r="W255" s="1943"/>
      <c r="X255" s="1440"/>
      <c r="Y255" s="1432"/>
      <c r="Z255" s="1691"/>
    </row>
    <row r="256" spans="1:26" ht="15" customHeight="1">
      <c r="A256" s="1111" t="s">
        <v>3595</v>
      </c>
      <c r="B256" s="1737" t="e">
        <f ca="1">'House reinf, Inlet Side'!$H$81</f>
        <v>#REF!</v>
      </c>
      <c r="C256" s="415" t="s">
        <v>136</v>
      </c>
      <c r="D256" s="1120" t="s">
        <v>3596</v>
      </c>
      <c r="G256" s="413"/>
      <c r="H256" s="413"/>
      <c r="I256" s="413"/>
      <c r="J256" s="413"/>
      <c r="K256" s="413"/>
      <c r="L256" s="413"/>
      <c r="M256" s="413"/>
      <c r="N256" s="413"/>
      <c r="O256" s="413"/>
      <c r="P256" s="413"/>
      <c r="Q256" s="413"/>
      <c r="R256" s="437"/>
      <c r="S256" s="1438"/>
      <c r="T256" s="1439"/>
      <c r="U256" s="1431"/>
      <c r="V256" s="1440"/>
      <c r="W256" s="1943"/>
      <c r="X256" s="1440"/>
      <c r="Y256" s="1432"/>
      <c r="Z256" s="1691"/>
    </row>
    <row r="257" spans="1:26" ht="15" customHeight="1">
      <c r="A257" s="1111" t="s">
        <v>3597</v>
      </c>
      <c r="B257" s="1737" t="e">
        <f ca="1">'House reinf, Inlet Side'!$I$81</f>
        <v>#REF!</v>
      </c>
      <c r="C257" s="415" t="s">
        <v>136</v>
      </c>
      <c r="D257" s="1120" t="s">
        <v>3598</v>
      </c>
      <c r="G257" s="413"/>
      <c r="H257" s="413"/>
      <c r="I257" s="413"/>
      <c r="J257" s="413"/>
      <c r="K257" s="413"/>
      <c r="L257" s="413"/>
      <c r="M257" s="413"/>
      <c r="N257" s="413"/>
      <c r="O257" s="413"/>
      <c r="P257" s="413"/>
      <c r="Q257" s="413"/>
      <c r="R257" s="437"/>
      <c r="S257" s="1438"/>
      <c r="T257" s="1439"/>
      <c r="U257" s="1431"/>
      <c r="V257" s="1440"/>
      <c r="W257" s="1943"/>
      <c r="X257" s="1440"/>
      <c r="Y257" s="1432"/>
      <c r="Z257" s="1691"/>
    </row>
    <row r="258" spans="1:26" ht="15" customHeight="1">
      <c r="A258" s="1111" t="s">
        <v>3599</v>
      </c>
      <c r="B258" s="1737" t="e">
        <f ca="1">'House reinf, Inlet Side'!$J$81</f>
        <v>#REF!</v>
      </c>
      <c r="C258" s="415" t="s">
        <v>136</v>
      </c>
      <c r="D258" s="1120" t="s">
        <v>3600</v>
      </c>
      <c r="G258" s="413"/>
      <c r="H258" s="413"/>
      <c r="I258" s="413"/>
      <c r="J258" s="413"/>
      <c r="K258" s="413"/>
      <c r="L258" s="413"/>
      <c r="M258" s="413"/>
      <c r="N258" s="413"/>
      <c r="O258" s="413"/>
      <c r="P258" s="413"/>
      <c r="Q258" s="413"/>
      <c r="R258" s="437"/>
      <c r="S258" s="1438"/>
      <c r="T258" s="1439"/>
      <c r="U258" s="1431"/>
      <c r="V258" s="1440"/>
      <c r="W258" s="1943"/>
      <c r="X258" s="1440"/>
      <c r="Y258" s="1432"/>
      <c r="Z258" s="1691"/>
    </row>
    <row r="259" spans="1:26" ht="15" customHeight="1">
      <c r="A259" s="1111" t="s">
        <v>3601</v>
      </c>
      <c r="B259" s="1737" t="e">
        <f ca="1">'House reinf, Inlet Side'!$K$81</f>
        <v>#REF!</v>
      </c>
      <c r="C259" s="415" t="s">
        <v>136</v>
      </c>
      <c r="D259" s="1120" t="s">
        <v>3602</v>
      </c>
      <c r="G259" s="413"/>
      <c r="H259" s="413"/>
      <c r="I259" s="413"/>
      <c r="J259" s="413"/>
      <c r="K259" s="413"/>
      <c r="L259" s="413"/>
      <c r="M259" s="413"/>
      <c r="N259" s="413"/>
      <c r="O259" s="413"/>
      <c r="P259" s="413"/>
      <c r="Q259" s="413"/>
      <c r="R259" s="437"/>
      <c r="S259" s="1438"/>
      <c r="T259" s="1439"/>
      <c r="U259" s="1431"/>
      <c r="V259" s="1440"/>
      <c r="W259" s="1943"/>
      <c r="X259" s="1440"/>
      <c r="Y259" s="1432"/>
      <c r="Z259" s="1691"/>
    </row>
    <row r="260" spans="1:26" ht="15" customHeight="1">
      <c r="A260" s="1111" t="s">
        <v>3603</v>
      </c>
      <c r="B260" s="1737" t="e">
        <f ca="1">'House reinf, Inlet Side'!$L$81</f>
        <v>#REF!</v>
      </c>
      <c r="C260" s="415" t="s">
        <v>136</v>
      </c>
      <c r="D260" s="1120" t="s">
        <v>3604</v>
      </c>
      <c r="G260" s="413"/>
      <c r="H260" s="413"/>
      <c r="I260" s="413"/>
      <c r="J260" s="413"/>
      <c r="K260" s="413"/>
      <c r="L260" s="413"/>
      <c r="M260" s="413"/>
      <c r="N260" s="413"/>
      <c r="O260" s="413"/>
      <c r="P260" s="413"/>
      <c r="Q260" s="413"/>
      <c r="R260" s="437"/>
      <c r="S260" s="1438"/>
      <c r="T260" s="1439"/>
      <c r="U260" s="1431"/>
      <c r="V260" s="1440"/>
      <c r="W260" s="1943"/>
      <c r="X260" s="1440"/>
      <c r="Y260" s="1432"/>
      <c r="Z260" s="1691"/>
    </row>
    <row r="261" spans="1:26" ht="15" customHeight="1">
      <c r="A261" s="1111" t="s">
        <v>3605</v>
      </c>
      <c r="B261" s="1737" t="e">
        <f ca="1">'House reinf, Inlet Side'!$M$81</f>
        <v>#REF!</v>
      </c>
      <c r="C261" s="415" t="s">
        <v>136</v>
      </c>
      <c r="D261" s="1120" t="s">
        <v>3606</v>
      </c>
      <c r="G261" s="413"/>
      <c r="H261" s="413"/>
      <c r="I261" s="413"/>
      <c r="J261" s="413"/>
      <c r="K261" s="413"/>
      <c r="L261" s="413"/>
      <c r="M261" s="413"/>
      <c r="N261" s="413"/>
      <c r="O261" s="413"/>
      <c r="P261" s="413"/>
      <c r="Q261" s="413"/>
      <c r="R261" s="437"/>
      <c r="S261" s="1438"/>
      <c r="T261" s="1439"/>
      <c r="U261" s="1431"/>
      <c r="V261" s="1440"/>
      <c r="W261" s="1943"/>
      <c r="X261" s="1440"/>
      <c r="Y261" s="1432"/>
      <c r="Z261" s="1691"/>
    </row>
    <row r="262" spans="1:26" ht="15" customHeight="1">
      <c r="A262" s="1111" t="s">
        <v>3607</v>
      </c>
      <c r="B262" s="1737" t="e">
        <f ca="1">'House reinf, Inlet Side'!$N$81</f>
        <v>#REF!</v>
      </c>
      <c r="C262" s="415" t="s">
        <v>136</v>
      </c>
      <c r="D262" s="1120" t="s">
        <v>3608</v>
      </c>
      <c r="G262" s="413"/>
      <c r="H262" s="413"/>
      <c r="I262" s="413"/>
      <c r="J262" s="413"/>
      <c r="K262" s="413"/>
      <c r="L262" s="413"/>
      <c r="M262" s="413"/>
      <c r="N262" s="413"/>
      <c r="O262" s="413"/>
      <c r="P262" s="413"/>
      <c r="Q262" s="413"/>
      <c r="R262" s="437"/>
      <c r="S262" s="1438"/>
      <c r="T262" s="1439"/>
      <c r="U262" s="1431"/>
      <c r="V262" s="1440"/>
      <c r="W262" s="1943"/>
      <c r="X262" s="1440"/>
      <c r="Y262" s="1432"/>
      <c r="Z262" s="1691"/>
    </row>
    <row r="263" spans="1:26" ht="15" customHeight="1">
      <c r="A263" s="1111" t="s">
        <v>3609</v>
      </c>
      <c r="B263" s="1737" t="e">
        <f ca="1">'House reinf, Inlet Side'!$O$81</f>
        <v>#REF!</v>
      </c>
      <c r="C263" s="415" t="s">
        <v>136</v>
      </c>
      <c r="D263" s="1120" t="s">
        <v>3610</v>
      </c>
      <c r="G263" s="413"/>
      <c r="H263" s="413"/>
      <c r="I263" s="413"/>
      <c r="J263" s="413"/>
      <c r="K263" s="413"/>
      <c r="L263" s="413"/>
      <c r="M263" s="413"/>
      <c r="N263" s="413"/>
      <c r="O263" s="413"/>
      <c r="P263" s="413"/>
      <c r="Q263" s="413"/>
      <c r="R263" s="437"/>
      <c r="S263" s="1438"/>
      <c r="T263" s="1439"/>
      <c r="U263" s="1431"/>
      <c r="V263" s="1440"/>
      <c r="W263" s="1943"/>
      <c r="X263" s="1440"/>
      <c r="Y263" s="1432"/>
      <c r="Z263" s="1691"/>
    </row>
    <row r="264" spans="1:26" s="1942" customFormat="1" ht="15" customHeight="1">
      <c r="A264" s="1111" t="s">
        <v>3611</v>
      </c>
      <c r="B264" s="1737" t="e">
        <f ca="1">'House reinf, Inlet Side'!$P$81</f>
        <v>#REF!</v>
      </c>
      <c r="C264" s="415" t="s">
        <v>136</v>
      </c>
      <c r="D264" s="1120" t="s">
        <v>3612</v>
      </c>
      <c r="E264" s="413"/>
      <c r="F264" s="413"/>
      <c r="G264" s="413"/>
      <c r="H264" s="413"/>
      <c r="I264" s="413"/>
      <c r="J264" s="413"/>
      <c r="K264" s="413"/>
      <c r="L264" s="413"/>
      <c r="M264" s="413"/>
      <c r="N264" s="413"/>
      <c r="O264" s="413"/>
      <c r="P264" s="413"/>
      <c r="Q264" s="413"/>
      <c r="R264" s="437"/>
      <c r="S264" s="1438"/>
      <c r="T264" s="1439"/>
      <c r="U264" s="1431"/>
      <c r="V264" s="1440"/>
      <c r="W264" s="1943"/>
      <c r="X264" s="1440"/>
      <c r="Y264" s="1432"/>
      <c r="Z264" s="1691"/>
    </row>
    <row r="265" spans="1:26" ht="15" customHeight="1">
      <c r="A265" s="1111" t="s">
        <v>3613</v>
      </c>
      <c r="B265" s="1737" t="e">
        <f ca="1">'House reinf, Inlet Side'!$Q$81</f>
        <v>#REF!</v>
      </c>
      <c r="C265" s="415" t="s">
        <v>136</v>
      </c>
      <c r="D265" s="1120" t="s">
        <v>3614</v>
      </c>
      <c r="G265" s="413"/>
      <c r="H265" s="413"/>
      <c r="I265" s="413"/>
      <c r="J265" s="413"/>
      <c r="K265" s="413"/>
      <c r="L265" s="413"/>
      <c r="M265" s="413"/>
      <c r="N265" s="413"/>
      <c r="O265" s="413"/>
      <c r="P265" s="413"/>
      <c r="Q265" s="413"/>
      <c r="R265" s="437"/>
      <c r="S265" s="1438"/>
      <c r="T265" s="1439"/>
      <c r="U265" s="1431"/>
      <c r="V265" s="1440"/>
      <c r="W265" s="1943"/>
      <c r="X265" s="1440"/>
      <c r="Y265" s="1432"/>
      <c r="Z265" s="1691"/>
    </row>
    <row r="266" spans="1:26" ht="15" customHeight="1">
      <c r="A266" s="1111" t="s">
        <v>3615</v>
      </c>
      <c r="B266" s="1737" t="e">
        <f ca="1">'House reinf, Inlet Side'!$R$81</f>
        <v>#REF!</v>
      </c>
      <c r="C266" s="415" t="s">
        <v>136</v>
      </c>
      <c r="D266" s="1120" t="s">
        <v>3616</v>
      </c>
      <c r="G266" s="413"/>
      <c r="H266" s="413"/>
      <c r="I266" s="413"/>
      <c r="J266" s="413"/>
      <c r="K266" s="413"/>
      <c r="L266" s="413"/>
      <c r="M266" s="413"/>
      <c r="N266" s="413"/>
      <c r="O266" s="413"/>
      <c r="P266" s="413"/>
      <c r="Q266" s="413"/>
      <c r="R266" s="437"/>
      <c r="S266" s="1438"/>
      <c r="T266" s="1439"/>
      <c r="U266" s="1431"/>
      <c r="V266" s="1440"/>
      <c r="W266" s="1943"/>
      <c r="X266" s="1440"/>
      <c r="Y266" s="1432"/>
      <c r="Z266" s="1691"/>
    </row>
    <row r="267" spans="1:26" ht="15" customHeight="1">
      <c r="A267" s="1111" t="s">
        <v>3617</v>
      </c>
      <c r="B267" s="1737" t="e">
        <f ca="1">'House reinf, Inlet Side'!$S$81</f>
        <v>#REF!</v>
      </c>
      <c r="C267" s="415" t="s">
        <v>136</v>
      </c>
      <c r="D267" s="1120" t="s">
        <v>3618</v>
      </c>
      <c r="G267" s="413"/>
      <c r="H267" s="413"/>
      <c r="I267" s="413"/>
      <c r="J267" s="413"/>
      <c r="K267" s="413"/>
      <c r="L267" s="413"/>
      <c r="M267" s="413"/>
      <c r="N267" s="413"/>
      <c r="O267" s="413"/>
      <c r="P267" s="413"/>
      <c r="Q267" s="413"/>
      <c r="R267" s="437"/>
      <c r="S267" s="1438"/>
      <c r="T267" s="1439"/>
      <c r="U267" s="1431"/>
      <c r="V267" s="1440"/>
      <c r="W267" s="1943"/>
      <c r="X267" s="1440"/>
      <c r="Y267" s="1432"/>
      <c r="Z267" s="1691"/>
    </row>
    <row r="268" spans="1:26" ht="15" customHeight="1">
      <c r="A268" s="1111" t="s">
        <v>3619</v>
      </c>
      <c r="B268" s="1737" t="e">
        <f ca="1">'House reinf, Inlet Side'!$T$81</f>
        <v>#REF!</v>
      </c>
      <c r="C268" s="415" t="s">
        <v>136</v>
      </c>
      <c r="D268" s="1120" t="s">
        <v>3620</v>
      </c>
      <c r="G268" s="413"/>
      <c r="H268" s="413"/>
      <c r="I268" s="413"/>
      <c r="J268" s="413"/>
      <c r="K268" s="413"/>
      <c r="L268" s="413"/>
      <c r="M268" s="413"/>
      <c r="N268" s="413"/>
      <c r="O268" s="413"/>
      <c r="P268" s="413"/>
      <c r="Q268" s="413"/>
      <c r="R268" s="437"/>
      <c r="S268" s="1438"/>
      <c r="T268" s="1439"/>
      <c r="U268" s="1431"/>
      <c r="V268" s="1440"/>
      <c r="W268" s="1943"/>
      <c r="X268" s="1440"/>
      <c r="Y268" s="1432"/>
      <c r="Z268" s="1691"/>
    </row>
    <row r="269" spans="1:26" ht="15" customHeight="1">
      <c r="A269" s="1111" t="s">
        <v>3621</v>
      </c>
      <c r="B269" s="1737" t="e">
        <f ca="1">'House reinf, Inlet Side'!$U$81</f>
        <v>#REF!</v>
      </c>
      <c r="C269" s="415" t="s">
        <v>136</v>
      </c>
      <c r="D269" s="1120" t="s">
        <v>3622</v>
      </c>
      <c r="G269" s="413"/>
      <c r="H269" s="413"/>
      <c r="I269" s="413"/>
      <c r="J269" s="413"/>
      <c r="K269" s="413"/>
      <c r="L269" s="413"/>
      <c r="M269" s="413"/>
      <c r="N269" s="413"/>
      <c r="O269" s="413"/>
      <c r="P269" s="413"/>
      <c r="Q269" s="413"/>
      <c r="R269" s="437"/>
      <c r="S269" s="1438"/>
      <c r="T269" s="1439"/>
      <c r="U269" s="1431"/>
      <c r="V269" s="1440"/>
      <c r="W269" s="1943"/>
      <c r="X269" s="1440"/>
      <c r="Y269" s="1432"/>
      <c r="Z269" s="1691"/>
    </row>
    <row r="270" spans="1:26" ht="15" customHeight="1">
      <c r="A270" s="1111" t="s">
        <v>3623</v>
      </c>
      <c r="B270" s="1737" t="e">
        <f ca="1">'House reinf, Inlet Side'!$V$81</f>
        <v>#REF!</v>
      </c>
      <c r="C270" s="415" t="s">
        <v>136</v>
      </c>
      <c r="D270" s="1120" t="s">
        <v>3624</v>
      </c>
      <c r="G270" s="413"/>
      <c r="H270" s="413"/>
      <c r="I270" s="413"/>
      <c r="J270" s="413"/>
      <c r="K270" s="413"/>
      <c r="L270" s="413"/>
      <c r="M270" s="413"/>
      <c r="N270" s="413"/>
      <c r="O270" s="413"/>
      <c r="P270" s="413"/>
      <c r="Q270" s="413"/>
      <c r="R270" s="437"/>
      <c r="S270" s="1438"/>
      <c r="T270" s="1439"/>
      <c r="U270" s="1431"/>
      <c r="V270" s="1440"/>
      <c r="W270" s="1943"/>
      <c r="X270" s="1440"/>
      <c r="Y270" s="1432"/>
      <c r="Z270" s="1691"/>
    </row>
    <row r="271" spans="1:26" ht="15" customHeight="1">
      <c r="A271" s="1111" t="s">
        <v>3625</v>
      </c>
      <c r="B271" s="1737" t="e">
        <f ca="1">'House reinf, Inlet Side'!$W$81</f>
        <v>#REF!</v>
      </c>
      <c r="C271" s="415" t="s">
        <v>136</v>
      </c>
      <c r="D271" s="1120" t="s">
        <v>3626</v>
      </c>
      <c r="G271" s="413"/>
      <c r="H271" s="413"/>
      <c r="I271" s="413"/>
      <c r="J271" s="413"/>
      <c r="K271" s="413"/>
      <c r="L271" s="413"/>
      <c r="M271" s="413"/>
      <c r="N271" s="413"/>
      <c r="O271" s="413"/>
      <c r="P271" s="413"/>
      <c r="Q271" s="413"/>
      <c r="R271" s="437"/>
      <c r="S271" s="1438"/>
      <c r="T271" s="1439"/>
      <c r="U271" s="1431"/>
      <c r="V271" s="1440"/>
      <c r="W271" s="1943"/>
      <c r="X271" s="1440"/>
      <c r="Y271" s="1432"/>
      <c r="Z271" s="1691"/>
    </row>
    <row r="272" spans="1:26" ht="15" customHeight="1">
      <c r="A272" s="1111" t="s">
        <v>3627</v>
      </c>
      <c r="B272" s="1737" t="e">
        <f ca="1">'House reinf, Inlet Side'!$X$81</f>
        <v>#REF!</v>
      </c>
      <c r="C272" s="415" t="s">
        <v>136</v>
      </c>
      <c r="D272" s="1120" t="s">
        <v>3628</v>
      </c>
      <c r="G272" s="413"/>
      <c r="H272" s="413"/>
      <c r="I272" s="413"/>
      <c r="J272" s="413"/>
      <c r="K272" s="413"/>
      <c r="L272" s="413"/>
      <c r="M272" s="413"/>
      <c r="N272" s="413"/>
      <c r="O272" s="413"/>
      <c r="P272" s="413"/>
      <c r="Q272" s="413"/>
      <c r="R272" s="437"/>
      <c r="S272" s="1438"/>
      <c r="T272" s="1439"/>
      <c r="U272" s="1431"/>
      <c r="V272" s="1440"/>
      <c r="W272" s="1943"/>
      <c r="X272" s="1440"/>
      <c r="Y272" s="1432"/>
      <c r="Z272" s="1691"/>
    </row>
    <row r="273" spans="1:26" ht="15" customHeight="1">
      <c r="A273" s="1111" t="s">
        <v>3629</v>
      </c>
      <c r="B273" s="1737" t="e">
        <f ca="1">'House reinf, Inlet Side'!$Y$81</f>
        <v>#REF!</v>
      </c>
      <c r="C273" s="415" t="s">
        <v>136</v>
      </c>
      <c r="D273" s="1120" t="s">
        <v>3630</v>
      </c>
      <c r="G273" s="413"/>
      <c r="H273" s="413"/>
      <c r="I273" s="413"/>
      <c r="J273" s="413"/>
      <c r="K273" s="413"/>
      <c r="L273" s="413"/>
      <c r="M273" s="413"/>
      <c r="N273" s="413"/>
      <c r="O273" s="413"/>
      <c r="P273" s="413"/>
      <c r="Q273" s="413"/>
      <c r="R273" s="437"/>
      <c r="S273" s="1438"/>
      <c r="T273" s="1439"/>
      <c r="U273" s="1431"/>
      <c r="V273" s="1440"/>
      <c r="W273" s="1943"/>
      <c r="X273" s="1440"/>
      <c r="Y273" s="1432"/>
      <c r="Z273" s="1691"/>
    </row>
    <row r="274" spans="1:26" ht="15" customHeight="1">
      <c r="A274" s="1111" t="s">
        <v>3631</v>
      </c>
      <c r="B274" s="1737" t="e">
        <f ca="1">'House reinf, Inlet Side'!$Z$81</f>
        <v>#REF!</v>
      </c>
      <c r="C274" s="415" t="s">
        <v>136</v>
      </c>
      <c r="D274" s="1120" t="s">
        <v>3632</v>
      </c>
      <c r="G274" s="413"/>
      <c r="H274" s="413"/>
      <c r="I274" s="413"/>
      <c r="J274" s="413"/>
      <c r="K274" s="413"/>
      <c r="L274" s="413"/>
      <c r="M274" s="413"/>
      <c r="N274" s="413"/>
      <c r="O274" s="413"/>
      <c r="P274" s="413"/>
      <c r="Q274" s="413"/>
      <c r="R274" s="437"/>
      <c r="S274" s="1438"/>
      <c r="T274" s="1439"/>
      <c r="U274" s="1431"/>
      <c r="V274" s="1440"/>
      <c r="W274" s="1943"/>
      <c r="X274" s="1440"/>
      <c r="Y274" s="1432"/>
      <c r="Z274" s="1691"/>
    </row>
    <row r="275" spans="1:26" ht="15" customHeight="1">
      <c r="A275" s="1111" t="s">
        <v>3633</v>
      </c>
      <c r="B275" s="1737" t="e">
        <f ca="1">'House reinf, Inlet Side'!$AA$81</f>
        <v>#REF!</v>
      </c>
      <c r="C275" s="415" t="s">
        <v>136</v>
      </c>
      <c r="D275" s="1120" t="s">
        <v>3634</v>
      </c>
      <c r="G275" s="413"/>
      <c r="H275" s="413"/>
      <c r="I275" s="413"/>
      <c r="J275" s="413"/>
      <c r="K275" s="413"/>
      <c r="L275" s="413"/>
      <c r="M275" s="413"/>
      <c r="N275" s="413"/>
      <c r="O275" s="413"/>
      <c r="P275" s="413"/>
      <c r="Q275" s="1123"/>
      <c r="R275" s="1124"/>
      <c r="S275" s="1438"/>
      <c r="T275" s="1439"/>
      <c r="U275" s="1431"/>
      <c r="V275" s="1440"/>
      <c r="W275" s="1943"/>
      <c r="X275" s="1440"/>
      <c r="Y275" s="1432"/>
      <c r="Z275" s="1691"/>
    </row>
    <row r="276" spans="1:26" ht="15" customHeight="1">
      <c r="A276" s="1111" t="s">
        <v>3635</v>
      </c>
      <c r="B276" s="1737" t="e">
        <f ca="1">'House reinf, Inlet Side'!$AB$81</f>
        <v>#REF!</v>
      </c>
      <c r="C276" s="415" t="s">
        <v>136</v>
      </c>
      <c r="D276" s="1120" t="s">
        <v>3636</v>
      </c>
      <c r="G276" s="413"/>
      <c r="H276" s="413"/>
      <c r="I276" s="413"/>
      <c r="J276" s="413"/>
      <c r="K276" s="413"/>
      <c r="L276" s="413"/>
      <c r="M276" s="413"/>
      <c r="N276" s="413"/>
      <c r="O276" s="413"/>
      <c r="P276" s="413"/>
      <c r="Q276" s="1123"/>
      <c r="R276" s="1124"/>
      <c r="S276" s="1438"/>
      <c r="T276" s="1439"/>
      <c r="U276" s="1431"/>
      <c r="V276" s="1440"/>
      <c r="W276" s="1943"/>
      <c r="X276" s="1440"/>
      <c r="Y276" s="1432"/>
      <c r="Z276" s="1691"/>
    </row>
    <row r="277" spans="1:26" s="1942" customFormat="1" ht="15" customHeight="1">
      <c r="A277" s="1111" t="s">
        <v>4049</v>
      </c>
      <c r="B277" s="1737" t="e">
        <f ca="1">'House reinf, Inlet Side'!$AC$81</f>
        <v>#REF!</v>
      </c>
      <c r="C277" s="415" t="s">
        <v>136</v>
      </c>
      <c r="D277" s="1120" t="s">
        <v>2771</v>
      </c>
      <c r="E277" s="413"/>
      <c r="F277" s="413"/>
      <c r="G277" s="413"/>
      <c r="H277" s="413"/>
      <c r="I277" s="413"/>
      <c r="J277" s="413"/>
      <c r="K277" s="413"/>
      <c r="L277" s="413"/>
      <c r="M277" s="413"/>
      <c r="N277" s="413"/>
      <c r="O277" s="413"/>
      <c r="P277" s="413"/>
      <c r="Q277" s="413"/>
      <c r="R277" s="437"/>
      <c r="S277" s="1438"/>
      <c r="T277" s="1439"/>
      <c r="U277" s="1431"/>
      <c r="V277" s="1440"/>
      <c r="W277" s="1943"/>
      <c r="X277" s="1441"/>
      <c r="Y277" s="1432"/>
      <c r="Z277" s="1691"/>
    </row>
    <row r="278" spans="1:26" s="1942" customFormat="1" ht="15" customHeight="1">
      <c r="A278" s="1111" t="s">
        <v>4050</v>
      </c>
      <c r="B278" s="1737" t="e">
        <f ca="1">'House reinf, Inlet Side'!$AD$81</f>
        <v>#REF!</v>
      </c>
      <c r="C278" s="415" t="s">
        <v>136</v>
      </c>
      <c r="D278" s="1120" t="s">
        <v>3574</v>
      </c>
      <c r="E278" s="413"/>
      <c r="F278" s="413"/>
      <c r="G278" s="413"/>
      <c r="H278" s="413"/>
      <c r="I278" s="413"/>
      <c r="J278" s="413"/>
      <c r="K278" s="413"/>
      <c r="L278" s="413"/>
      <c r="M278" s="413"/>
      <c r="N278" s="413"/>
      <c r="O278" s="413"/>
      <c r="P278" s="413"/>
      <c r="Q278" s="413"/>
      <c r="R278" s="437"/>
      <c r="S278" s="1438"/>
      <c r="T278" s="1439"/>
      <c r="U278" s="1431"/>
      <c r="V278" s="1440"/>
      <c r="W278" s="1943"/>
      <c r="X278" s="1441"/>
      <c r="Y278" s="1432"/>
      <c r="Z278" s="1691"/>
    </row>
    <row r="279" spans="1:26" s="1942" customFormat="1" ht="15" customHeight="1">
      <c r="A279" s="1111" t="s">
        <v>4051</v>
      </c>
      <c r="B279" s="1737" t="e">
        <f ca="1">'House reinf, Inlet Side'!$AE$81</f>
        <v>#REF!</v>
      </c>
      <c r="C279" s="415" t="s">
        <v>136</v>
      </c>
      <c r="D279" s="1120" t="s">
        <v>3573</v>
      </c>
      <c r="E279" s="413"/>
      <c r="F279" s="413"/>
      <c r="G279" s="413"/>
      <c r="H279" s="413"/>
      <c r="I279" s="413"/>
      <c r="J279" s="413"/>
      <c r="K279" s="413"/>
      <c r="L279" s="413"/>
      <c r="M279" s="413"/>
      <c r="N279" s="413"/>
      <c r="O279" s="413"/>
      <c r="P279" s="413"/>
      <c r="Q279" s="413"/>
      <c r="R279" s="437"/>
      <c r="S279" s="1438"/>
      <c r="T279" s="1439"/>
      <c r="U279" s="1431"/>
      <c r="V279" s="1440"/>
      <c r="W279" s="1943"/>
      <c r="X279" s="1441"/>
      <c r="Y279" s="1432"/>
      <c r="Z279" s="1691"/>
    </row>
    <row r="280" spans="1:26" s="1942" customFormat="1" ht="15" customHeight="1">
      <c r="A280" s="1111" t="s">
        <v>4052</v>
      </c>
      <c r="B280" s="1737" t="e">
        <f ca="1">'House reinf, Inlet Side'!$AF$81</f>
        <v>#REF!</v>
      </c>
      <c r="C280" s="415" t="s">
        <v>136</v>
      </c>
      <c r="D280" s="1120" t="s">
        <v>3841</v>
      </c>
      <c r="E280" s="413"/>
      <c r="F280" s="413"/>
      <c r="G280" s="413"/>
      <c r="H280" s="413"/>
      <c r="I280" s="413"/>
      <c r="J280" s="413"/>
      <c r="K280" s="413"/>
      <c r="L280" s="413"/>
      <c r="M280" s="413"/>
      <c r="N280" s="413"/>
      <c r="O280" s="413"/>
      <c r="P280" s="413"/>
      <c r="Q280" s="413"/>
      <c r="R280" s="437"/>
      <c r="S280" s="1438"/>
      <c r="T280" s="1439"/>
      <c r="U280" s="1431"/>
      <c r="V280" s="1440"/>
      <c r="W280" s="1943"/>
      <c r="X280" s="1441"/>
      <c r="Y280" s="1432"/>
      <c r="Z280" s="1691"/>
    </row>
    <row r="281" spans="1:26" s="1942" customFormat="1" ht="15" customHeight="1">
      <c r="A281" s="1111" t="s">
        <v>4053</v>
      </c>
      <c r="B281" s="1737" t="e">
        <f ca="1">'House reinf, Inlet Side'!$AG$81</f>
        <v>#REF!</v>
      </c>
      <c r="C281" s="415" t="s">
        <v>136</v>
      </c>
      <c r="D281" s="1120" t="s">
        <v>2602</v>
      </c>
      <c r="E281" s="413"/>
      <c r="F281" s="413"/>
      <c r="G281" s="413"/>
      <c r="H281" s="413"/>
      <c r="I281" s="413"/>
      <c r="J281" s="413"/>
      <c r="K281" s="413"/>
      <c r="L281" s="413"/>
      <c r="M281" s="413"/>
      <c r="N281" s="413"/>
      <c r="O281" s="413"/>
      <c r="P281" s="413"/>
      <c r="Q281" s="1123"/>
      <c r="R281" s="1124"/>
      <c r="S281" s="1438"/>
      <c r="T281" s="1439"/>
      <c r="U281" s="1431"/>
      <c r="V281" s="1440"/>
      <c r="W281" s="1943"/>
      <c r="X281" s="1441"/>
      <c r="Y281" s="1432"/>
      <c r="Z281" s="1691"/>
    </row>
    <row r="282" spans="1:26" s="1942" customFormat="1" ht="15" customHeight="1">
      <c r="A282" s="1111" t="s">
        <v>4054</v>
      </c>
      <c r="B282" s="1737" t="e">
        <f ca="1">'House reinf, Inlet Side'!$AH$81</f>
        <v>#REF!</v>
      </c>
      <c r="C282" s="415" t="s">
        <v>136</v>
      </c>
      <c r="D282" s="1120" t="s">
        <v>2603</v>
      </c>
      <c r="E282" s="413"/>
      <c r="F282" s="413"/>
      <c r="G282" s="413"/>
      <c r="H282" s="413"/>
      <c r="I282" s="413"/>
      <c r="J282" s="413"/>
      <c r="K282" s="413"/>
      <c r="L282" s="413"/>
      <c r="M282" s="413"/>
      <c r="N282" s="413"/>
      <c r="O282" s="413"/>
      <c r="P282" s="413"/>
      <c r="Q282" s="1123"/>
      <c r="R282" s="1124"/>
      <c r="S282" s="1438"/>
      <c r="T282" s="1439"/>
      <c r="U282" s="1431"/>
      <c r="V282" s="1440"/>
      <c r="W282" s="1943"/>
      <c r="X282" s="1441"/>
      <c r="Y282" s="1432"/>
      <c r="Z282" s="1691"/>
    </row>
    <row r="283" spans="1:26" s="1942" customFormat="1" ht="15" customHeight="1">
      <c r="A283" s="1111" t="s">
        <v>4055</v>
      </c>
      <c r="B283" s="1737" t="e">
        <f ca="1">'House reinf, Inlet Side'!$AI$81</f>
        <v>#REF!</v>
      </c>
      <c r="C283" s="415" t="s">
        <v>136</v>
      </c>
      <c r="D283" s="1120" t="s">
        <v>2604</v>
      </c>
      <c r="E283" s="413"/>
      <c r="F283" s="413"/>
      <c r="G283" s="413"/>
      <c r="H283" s="413"/>
      <c r="I283" s="413"/>
      <c r="J283" s="413"/>
      <c r="K283" s="413"/>
      <c r="L283" s="413"/>
      <c r="M283" s="413"/>
      <c r="N283" s="413"/>
      <c r="O283" s="413"/>
      <c r="P283" s="413"/>
      <c r="Q283" s="1123"/>
      <c r="R283" s="1124"/>
      <c r="S283" s="1438"/>
      <c r="T283" s="1439"/>
      <c r="U283" s="1431"/>
      <c r="V283" s="1440"/>
      <c r="W283" s="1943"/>
      <c r="X283" s="1441"/>
      <c r="Y283" s="1432"/>
      <c r="Z283" s="1691"/>
    </row>
    <row r="284" spans="1:26" s="1942" customFormat="1" ht="15" customHeight="1" thickBot="1">
      <c r="A284" s="1112" t="s">
        <v>4056</v>
      </c>
      <c r="B284" s="3099" t="e">
        <f ca="1">'House reinf, Inlet Side'!$AJ$81</f>
        <v>#REF!</v>
      </c>
      <c r="C284" s="414" t="s">
        <v>136</v>
      </c>
      <c r="D284" s="1130" t="s">
        <v>2615</v>
      </c>
      <c r="E284" s="413"/>
      <c r="F284" s="413"/>
      <c r="G284" s="413"/>
      <c r="H284" s="413"/>
      <c r="I284" s="413"/>
      <c r="J284" s="413"/>
      <c r="K284" s="413"/>
      <c r="L284" s="413"/>
      <c r="M284" s="413"/>
      <c r="N284" s="413"/>
      <c r="O284" s="413"/>
      <c r="P284" s="413"/>
      <c r="Q284" s="1123"/>
      <c r="R284" s="1124"/>
      <c r="S284" s="3090"/>
      <c r="T284" s="3091"/>
      <c r="U284" s="3053"/>
      <c r="V284" s="3054"/>
      <c r="W284" s="3055"/>
      <c r="X284" s="3056"/>
      <c r="Y284" s="3057"/>
      <c r="Z284" s="3058"/>
    </row>
    <row r="285" spans="1:26" ht="15" customHeight="1">
      <c r="A285" s="1125" t="s">
        <v>3637</v>
      </c>
      <c r="B285" s="3100" t="e">
        <f ca="1">'House reinf, Inlet Side'!$B$80</f>
        <v>#REF!</v>
      </c>
      <c r="C285" s="1126" t="s">
        <v>1137</v>
      </c>
      <c r="D285" s="1120" t="str">
        <f t="shared" ref="D285:D311" si="0">D250</f>
        <v>ISeRad1</v>
      </c>
      <c r="E285" s="1783"/>
      <c r="F285" s="1783"/>
      <c r="G285" s="1783"/>
      <c r="H285" s="1783"/>
      <c r="I285" s="1783"/>
      <c r="J285" s="1783"/>
      <c r="K285" s="1783"/>
      <c r="L285" s="1783"/>
      <c r="M285" s="1783"/>
      <c r="N285" s="1783"/>
      <c r="O285" s="1783"/>
      <c r="P285" s="1783"/>
      <c r="Q285" s="1785"/>
      <c r="R285" s="1786"/>
      <c r="S285" s="1437"/>
      <c r="T285" s="1433"/>
      <c r="U285" s="1434"/>
      <c r="V285" s="1435"/>
      <c r="W285" s="1436"/>
      <c r="X285" s="1436"/>
      <c r="Y285" s="1436"/>
      <c r="Z285" s="1676"/>
    </row>
    <row r="286" spans="1:26" ht="15" customHeight="1">
      <c r="A286" s="1111" t="s">
        <v>3638</v>
      </c>
      <c r="B286" s="3101" t="e">
        <f ca="1">'House reinf, Inlet Side'!$C$80</f>
        <v>#REF!</v>
      </c>
      <c r="C286" s="415" t="s">
        <v>1137</v>
      </c>
      <c r="D286" s="1120" t="str">
        <f t="shared" si="0"/>
        <v>ISeRad2</v>
      </c>
      <c r="G286" s="413"/>
      <c r="H286" s="413"/>
      <c r="I286" s="413"/>
      <c r="J286" s="413"/>
      <c r="K286" s="413"/>
      <c r="L286" s="413"/>
      <c r="M286" s="413"/>
      <c r="N286" s="413"/>
      <c r="O286" s="413"/>
      <c r="P286" s="413"/>
      <c r="Q286" s="1123"/>
      <c r="R286" s="1124"/>
      <c r="S286" s="1438"/>
      <c r="T286" s="1439"/>
      <c r="U286" s="1431"/>
      <c r="V286" s="1440"/>
      <c r="W286" s="1943"/>
      <c r="X286" s="1441"/>
      <c r="Y286" s="1432"/>
      <c r="Z286" s="1691"/>
    </row>
    <row r="287" spans="1:26" ht="15" customHeight="1">
      <c r="A287" s="1111" t="s">
        <v>3639</v>
      </c>
      <c r="B287" s="3101" t="e">
        <f ca="1">'House reinf, Inlet Side'!$D$80</f>
        <v>#REF!</v>
      </c>
      <c r="C287" s="415" t="s">
        <v>1137</v>
      </c>
      <c r="D287" s="1120" t="str">
        <f t="shared" si="0"/>
        <v>ISeRad3</v>
      </c>
      <c r="G287" s="413"/>
      <c r="H287" s="413"/>
      <c r="I287" s="413"/>
      <c r="J287" s="413"/>
      <c r="K287" s="413"/>
      <c r="L287" s="413"/>
      <c r="M287" s="413"/>
      <c r="N287" s="413"/>
      <c r="O287" s="413"/>
      <c r="P287" s="413"/>
      <c r="Q287" s="1123"/>
      <c r="R287" s="1124"/>
      <c r="S287" s="1438"/>
      <c r="T287" s="1439"/>
      <c r="U287" s="1431"/>
      <c r="V287" s="1440"/>
      <c r="W287" s="1943"/>
      <c r="X287" s="1441"/>
      <c r="Y287" s="1432"/>
      <c r="Z287" s="1691"/>
    </row>
    <row r="288" spans="1:26" ht="15" customHeight="1">
      <c r="A288" s="1111" t="s">
        <v>3640</v>
      </c>
      <c r="B288" s="3101" t="e">
        <f ca="1">'House reinf, Inlet Side'!$E$80</f>
        <v>#REF!</v>
      </c>
      <c r="C288" s="415" t="s">
        <v>1137</v>
      </c>
      <c r="D288" s="1120" t="str">
        <f t="shared" si="0"/>
        <v>ISeRad4</v>
      </c>
      <c r="G288" s="413"/>
      <c r="H288" s="413"/>
      <c r="I288" s="413"/>
      <c r="J288" s="413"/>
      <c r="K288" s="413"/>
      <c r="L288" s="413"/>
      <c r="M288" s="413"/>
      <c r="N288" s="413"/>
      <c r="O288" s="413"/>
      <c r="P288" s="413"/>
      <c r="Q288" s="1123"/>
      <c r="R288" s="1124"/>
      <c r="S288" s="1438"/>
      <c r="T288" s="1439"/>
      <c r="U288" s="1431"/>
      <c r="V288" s="1440"/>
      <c r="W288" s="1943"/>
      <c r="X288" s="1441"/>
      <c r="Y288" s="1432"/>
      <c r="Z288" s="1691"/>
    </row>
    <row r="289" spans="1:26" ht="15" customHeight="1">
      <c r="A289" s="1111" t="s">
        <v>3641</v>
      </c>
      <c r="B289" s="3101" t="e">
        <f ca="1">'House reinf, Inlet Side'!$F$80</f>
        <v>#REF!</v>
      </c>
      <c r="C289" s="415" t="s">
        <v>1137</v>
      </c>
      <c r="D289" s="1120" t="str">
        <f t="shared" si="0"/>
        <v>ISeRad5</v>
      </c>
      <c r="G289" s="413"/>
      <c r="H289" s="413"/>
      <c r="I289" s="413"/>
      <c r="J289" s="413"/>
      <c r="K289" s="413"/>
      <c r="L289" s="413"/>
      <c r="M289" s="413"/>
      <c r="N289" s="413"/>
      <c r="O289" s="413"/>
      <c r="P289" s="413"/>
      <c r="Q289" s="1123"/>
      <c r="R289" s="1124"/>
      <c r="S289" s="1438"/>
      <c r="T289" s="1439"/>
      <c r="U289" s="1431"/>
      <c r="V289" s="1440"/>
      <c r="W289" s="1943"/>
      <c r="X289" s="1441"/>
      <c r="Y289" s="1432"/>
      <c r="Z289" s="1691"/>
    </row>
    <row r="290" spans="1:26" ht="15" customHeight="1">
      <c r="A290" s="1111" t="s">
        <v>3642</v>
      </c>
      <c r="B290" s="3101" t="e">
        <f ca="1">'House reinf, Inlet Side'!$G$80</f>
        <v>#REF!</v>
      </c>
      <c r="C290" s="415" t="s">
        <v>1137</v>
      </c>
      <c r="D290" s="1120" t="str">
        <f t="shared" si="0"/>
        <v>ISeRad6</v>
      </c>
      <c r="G290" s="413"/>
      <c r="H290" s="413"/>
      <c r="I290" s="413"/>
      <c r="J290" s="413"/>
      <c r="K290" s="413"/>
      <c r="L290" s="413"/>
      <c r="M290" s="413"/>
      <c r="N290" s="413"/>
      <c r="O290" s="413"/>
      <c r="P290" s="413"/>
      <c r="Q290" s="1123"/>
      <c r="R290" s="1124"/>
      <c r="S290" s="1438"/>
      <c r="T290" s="1439"/>
      <c r="U290" s="1431"/>
      <c r="V290" s="1440"/>
      <c r="W290" s="1943"/>
      <c r="X290" s="1441"/>
      <c r="Y290" s="1432"/>
      <c r="Z290" s="1691"/>
    </row>
    <row r="291" spans="1:26" ht="15" customHeight="1">
      <c r="A291" s="1111" t="s">
        <v>3643</v>
      </c>
      <c r="B291" s="3101" t="e">
        <f ca="1">'House reinf, Inlet Side'!$H$80</f>
        <v>#REF!</v>
      </c>
      <c r="C291" s="415" t="s">
        <v>1137</v>
      </c>
      <c r="D291" s="1120" t="str">
        <f t="shared" si="0"/>
        <v>ISeRad7</v>
      </c>
      <c r="G291" s="413"/>
      <c r="H291" s="413"/>
      <c r="I291" s="413"/>
      <c r="J291" s="413"/>
      <c r="K291" s="413"/>
      <c r="L291" s="413"/>
      <c r="M291" s="413"/>
      <c r="N291" s="413"/>
      <c r="O291" s="413"/>
      <c r="P291" s="413"/>
      <c r="Q291" s="1123"/>
      <c r="R291" s="1124"/>
      <c r="S291" s="1438"/>
      <c r="T291" s="1439"/>
      <c r="U291" s="1431"/>
      <c r="V291" s="1440"/>
      <c r="W291" s="1943"/>
      <c r="X291" s="1441"/>
      <c r="Y291" s="1432"/>
      <c r="Z291" s="1691"/>
    </row>
    <row r="292" spans="1:26" ht="15" customHeight="1">
      <c r="A292" s="1111" t="s">
        <v>3644</v>
      </c>
      <c r="B292" s="3101" t="e">
        <f ca="1">'House reinf, Inlet Side'!$I$80</f>
        <v>#REF!</v>
      </c>
      <c r="C292" s="415" t="s">
        <v>1137</v>
      </c>
      <c r="D292" s="1120" t="str">
        <f t="shared" si="0"/>
        <v>ISeRad8</v>
      </c>
      <c r="G292" s="413"/>
      <c r="H292" s="413"/>
      <c r="I292" s="413"/>
      <c r="J292" s="413"/>
      <c r="K292" s="413"/>
      <c r="L292" s="413"/>
      <c r="M292" s="413"/>
      <c r="N292" s="413"/>
      <c r="O292" s="413"/>
      <c r="P292" s="413"/>
      <c r="Q292" s="1123"/>
      <c r="R292" s="1124"/>
      <c r="S292" s="1438"/>
      <c r="T292" s="1439"/>
      <c r="U292" s="1431"/>
      <c r="V292" s="1440"/>
      <c r="W292" s="1943"/>
      <c r="X292" s="1441"/>
      <c r="Y292" s="1432"/>
      <c r="Z292" s="1691"/>
    </row>
    <row r="293" spans="1:26" ht="15" customHeight="1">
      <c r="A293" s="1111" t="s">
        <v>3645</v>
      </c>
      <c r="B293" s="3101" t="e">
        <f ca="1">'House reinf, Inlet Side'!$J$80</f>
        <v>#REF!</v>
      </c>
      <c r="C293" s="415" t="s">
        <v>1137</v>
      </c>
      <c r="D293" s="1120" t="str">
        <f t="shared" si="0"/>
        <v>ISeRad9</v>
      </c>
      <c r="G293" s="413"/>
      <c r="H293" s="413"/>
      <c r="I293" s="413"/>
      <c r="J293" s="413"/>
      <c r="K293" s="413"/>
      <c r="L293" s="413"/>
      <c r="M293" s="413"/>
      <c r="N293" s="413"/>
      <c r="O293" s="413"/>
      <c r="P293" s="413"/>
      <c r="Q293" s="1123"/>
      <c r="R293" s="1124"/>
      <c r="S293" s="1438"/>
      <c r="T293" s="1439"/>
      <c r="U293" s="1431"/>
      <c r="V293" s="1440"/>
      <c r="W293" s="1943"/>
      <c r="X293" s="1441"/>
      <c r="Y293" s="1432"/>
      <c r="Z293" s="1691"/>
    </row>
    <row r="294" spans="1:26" ht="15" customHeight="1">
      <c r="A294" s="1111" t="s">
        <v>3646</v>
      </c>
      <c r="B294" s="3101" t="e">
        <f ca="1">'House reinf, Inlet Side'!$K$80</f>
        <v>#REF!</v>
      </c>
      <c r="C294" s="415" t="s">
        <v>1137</v>
      </c>
      <c r="D294" s="1120" t="str">
        <f t="shared" si="0"/>
        <v>ISeRad10</v>
      </c>
      <c r="G294" s="413"/>
      <c r="H294" s="413"/>
      <c r="I294" s="413"/>
      <c r="J294" s="413"/>
      <c r="K294" s="413"/>
      <c r="L294" s="413"/>
      <c r="M294" s="413"/>
      <c r="N294" s="413"/>
      <c r="O294" s="413"/>
      <c r="P294" s="413"/>
      <c r="Q294" s="1123"/>
      <c r="R294" s="1124"/>
      <c r="S294" s="1438"/>
      <c r="T294" s="1439"/>
      <c r="U294" s="1431"/>
      <c r="V294" s="1440"/>
      <c r="W294" s="1943"/>
      <c r="X294" s="1441"/>
      <c r="Y294" s="1432"/>
      <c r="Z294" s="1691"/>
    </row>
    <row r="295" spans="1:26" ht="15" customHeight="1">
      <c r="A295" s="1111" t="s">
        <v>3647</v>
      </c>
      <c r="B295" s="3101" t="e">
        <f ca="1">'House reinf, Inlet Side'!$L$80</f>
        <v>#REF!</v>
      </c>
      <c r="C295" s="415" t="s">
        <v>1137</v>
      </c>
      <c r="D295" s="1120" t="str">
        <f t="shared" si="0"/>
        <v>ISeRad11</v>
      </c>
      <c r="G295" s="413"/>
      <c r="H295" s="413"/>
      <c r="I295" s="413"/>
      <c r="J295" s="413"/>
      <c r="K295" s="413"/>
      <c r="L295" s="413"/>
      <c r="M295" s="413"/>
      <c r="N295" s="413"/>
      <c r="O295" s="413"/>
      <c r="P295" s="413"/>
      <c r="Q295" s="1123"/>
      <c r="R295" s="1124"/>
      <c r="S295" s="1438"/>
      <c r="T295" s="1439"/>
      <c r="U295" s="1431"/>
      <c r="V295" s="1440"/>
      <c r="W295" s="1943"/>
      <c r="X295" s="1441"/>
      <c r="Y295" s="1432"/>
      <c r="Z295" s="1691"/>
    </row>
    <row r="296" spans="1:26" ht="15" customHeight="1">
      <c r="A296" s="1111" t="s">
        <v>3648</v>
      </c>
      <c r="B296" s="3101" t="e">
        <f ca="1">'House reinf, Inlet Side'!$M$80</f>
        <v>#REF!</v>
      </c>
      <c r="C296" s="415" t="s">
        <v>1137</v>
      </c>
      <c r="D296" s="1120" t="str">
        <f t="shared" si="0"/>
        <v>ISeRad12</v>
      </c>
      <c r="G296" s="413"/>
      <c r="H296" s="413"/>
      <c r="I296" s="413"/>
      <c r="J296" s="413"/>
      <c r="K296" s="413"/>
      <c r="L296" s="413"/>
      <c r="M296" s="413"/>
      <c r="N296" s="413"/>
      <c r="O296" s="413"/>
      <c r="P296" s="413"/>
      <c r="Q296" s="1123"/>
      <c r="R296" s="1124"/>
      <c r="S296" s="1438"/>
      <c r="T296" s="1439"/>
      <c r="U296" s="1431"/>
      <c r="V296" s="1440"/>
      <c r="W296" s="1943"/>
      <c r="X296" s="1441"/>
      <c r="Y296" s="1432"/>
      <c r="Z296" s="1691"/>
    </row>
    <row r="297" spans="1:26" ht="15" customHeight="1">
      <c r="A297" s="1111" t="s">
        <v>3649</v>
      </c>
      <c r="B297" s="3101" t="e">
        <f ca="1">'House reinf, Inlet Side'!$N$80</f>
        <v>#REF!</v>
      </c>
      <c r="C297" s="415" t="s">
        <v>1137</v>
      </c>
      <c r="D297" s="1120" t="str">
        <f t="shared" si="0"/>
        <v>ISeRad13</v>
      </c>
      <c r="G297" s="413"/>
      <c r="H297" s="413"/>
      <c r="I297" s="413"/>
      <c r="J297" s="413"/>
      <c r="K297" s="413"/>
      <c r="L297" s="413"/>
      <c r="M297" s="413"/>
      <c r="N297" s="413"/>
      <c r="O297" s="413"/>
      <c r="P297" s="413"/>
      <c r="Q297" s="1123"/>
      <c r="R297" s="1124"/>
      <c r="S297" s="1438"/>
      <c r="T297" s="1439"/>
      <c r="U297" s="1431"/>
      <c r="V297" s="1440"/>
      <c r="W297" s="1943"/>
      <c r="X297" s="1441"/>
      <c r="Y297" s="1432"/>
      <c r="Z297" s="1691"/>
    </row>
    <row r="298" spans="1:26" ht="15" customHeight="1">
      <c r="A298" s="1111" t="s">
        <v>3650</v>
      </c>
      <c r="B298" s="3101" t="e">
        <f ca="1">'House reinf, Inlet Side'!$O$80</f>
        <v>#REF!</v>
      </c>
      <c r="C298" s="415" t="s">
        <v>1137</v>
      </c>
      <c r="D298" s="1120" t="str">
        <f t="shared" si="0"/>
        <v>ISeRad14</v>
      </c>
      <c r="G298" s="413"/>
      <c r="H298" s="413"/>
      <c r="I298" s="413"/>
      <c r="J298" s="413"/>
      <c r="K298" s="413"/>
      <c r="L298" s="413"/>
      <c r="M298" s="413"/>
      <c r="N298" s="413"/>
      <c r="O298" s="413"/>
      <c r="P298" s="413"/>
      <c r="Q298" s="1123"/>
      <c r="R298" s="1124"/>
      <c r="S298" s="1438"/>
      <c r="T298" s="1439"/>
      <c r="U298" s="1431"/>
      <c r="V298" s="1440"/>
      <c r="W298" s="1943"/>
      <c r="X298" s="1441"/>
      <c r="Y298" s="1432"/>
      <c r="Z298" s="1691"/>
    </row>
    <row r="299" spans="1:26" ht="15" customHeight="1">
      <c r="A299" s="1111" t="s">
        <v>3651</v>
      </c>
      <c r="B299" s="3101" t="e">
        <f ca="1">'House reinf, Inlet Side'!$P$80</f>
        <v>#REF!</v>
      </c>
      <c r="C299" s="415" t="s">
        <v>1137</v>
      </c>
      <c r="D299" s="1120" t="str">
        <f t="shared" si="0"/>
        <v>ISeRad15</v>
      </c>
      <c r="G299" s="413"/>
      <c r="H299" s="413"/>
      <c r="I299" s="413"/>
      <c r="J299" s="413"/>
      <c r="K299" s="413"/>
      <c r="L299" s="413"/>
      <c r="M299" s="413"/>
      <c r="N299" s="413"/>
      <c r="O299" s="413"/>
      <c r="P299" s="413"/>
      <c r="Q299" s="1123"/>
      <c r="R299" s="1124"/>
      <c r="S299" s="1438"/>
      <c r="T299" s="1439"/>
      <c r="U299" s="1431"/>
      <c r="V299" s="1440"/>
      <c r="W299" s="1943"/>
      <c r="X299" s="1441"/>
      <c r="Y299" s="1432"/>
      <c r="Z299" s="1691"/>
    </row>
    <row r="300" spans="1:26" s="1942" customFormat="1" ht="15" customHeight="1">
      <c r="A300" s="1111" t="s">
        <v>3652</v>
      </c>
      <c r="B300" s="3101" t="e">
        <f ca="1">'House reinf, Inlet Side'!$Q$80</f>
        <v>#REF!</v>
      </c>
      <c r="C300" s="415" t="s">
        <v>1137</v>
      </c>
      <c r="D300" s="1120" t="str">
        <f t="shared" si="0"/>
        <v>ISeRad16</v>
      </c>
      <c r="E300" s="413"/>
      <c r="F300" s="413"/>
      <c r="G300" s="413"/>
      <c r="H300" s="413"/>
      <c r="I300" s="413"/>
      <c r="J300" s="413"/>
      <c r="K300" s="413"/>
      <c r="L300" s="413"/>
      <c r="M300" s="413"/>
      <c r="N300" s="413"/>
      <c r="O300" s="413"/>
      <c r="P300" s="413"/>
      <c r="Q300" s="1123"/>
      <c r="R300" s="1124"/>
      <c r="S300" s="1438"/>
      <c r="T300" s="1439"/>
      <c r="U300" s="1431"/>
      <c r="V300" s="1440"/>
      <c r="W300" s="1943"/>
      <c r="X300" s="1441"/>
      <c r="Y300" s="1432"/>
      <c r="Z300" s="1691"/>
    </row>
    <row r="301" spans="1:26" s="1942" customFormat="1" ht="15" customHeight="1">
      <c r="A301" s="1111" t="s">
        <v>3653</v>
      </c>
      <c r="B301" s="3101" t="e">
        <f ca="1">'House reinf, Inlet Side'!$R$80</f>
        <v>#REF!</v>
      </c>
      <c r="C301" s="415" t="s">
        <v>1137</v>
      </c>
      <c r="D301" s="1120" t="str">
        <f t="shared" si="0"/>
        <v>ISeRad17</v>
      </c>
      <c r="E301" s="413"/>
      <c r="F301" s="413"/>
      <c r="G301" s="413"/>
      <c r="H301" s="413"/>
      <c r="I301" s="413"/>
      <c r="J301" s="413"/>
      <c r="K301" s="413"/>
      <c r="L301" s="413"/>
      <c r="M301" s="413"/>
      <c r="N301" s="413"/>
      <c r="O301" s="413"/>
      <c r="P301" s="413"/>
      <c r="Q301" s="1123"/>
      <c r="R301" s="1124"/>
      <c r="S301" s="1438"/>
      <c r="T301" s="1439"/>
      <c r="U301" s="1431"/>
      <c r="V301" s="1440"/>
      <c r="W301" s="1943"/>
      <c r="X301" s="1441"/>
      <c r="Y301" s="1432"/>
      <c r="Z301" s="1691"/>
    </row>
    <row r="302" spans="1:26" s="1942" customFormat="1" ht="15" customHeight="1">
      <c r="A302" s="1111" t="s">
        <v>3654</v>
      </c>
      <c r="B302" s="3101" t="e">
        <f ca="1">'House reinf, Inlet Side'!$S$80</f>
        <v>#REF!</v>
      </c>
      <c r="C302" s="415" t="s">
        <v>1137</v>
      </c>
      <c r="D302" s="1120" t="str">
        <f t="shared" si="0"/>
        <v>ISeRad18</v>
      </c>
      <c r="E302" s="413"/>
      <c r="F302" s="413"/>
      <c r="G302" s="413"/>
      <c r="H302" s="413"/>
      <c r="I302" s="413"/>
      <c r="J302" s="413"/>
      <c r="K302" s="413"/>
      <c r="L302" s="413"/>
      <c r="M302" s="413"/>
      <c r="N302" s="413"/>
      <c r="O302" s="413"/>
      <c r="P302" s="413"/>
      <c r="Q302" s="1123"/>
      <c r="R302" s="1124"/>
      <c r="S302" s="1438"/>
      <c r="T302" s="1439"/>
      <c r="U302" s="1431"/>
      <c r="V302" s="1440"/>
      <c r="W302" s="1943"/>
      <c r="X302" s="1441"/>
      <c r="Y302" s="1432"/>
      <c r="Z302" s="1691"/>
    </row>
    <row r="303" spans="1:26" s="1942" customFormat="1" ht="15" customHeight="1">
      <c r="A303" s="1111" t="s">
        <v>3655</v>
      </c>
      <c r="B303" s="3101" t="e">
        <f ca="1">'House reinf, Inlet Side'!$T$80</f>
        <v>#REF!</v>
      </c>
      <c r="C303" s="415" t="s">
        <v>1137</v>
      </c>
      <c r="D303" s="1120" t="str">
        <f t="shared" si="0"/>
        <v>ISeRad19</v>
      </c>
      <c r="E303" s="413"/>
      <c r="F303" s="413"/>
      <c r="G303" s="413"/>
      <c r="H303" s="413"/>
      <c r="I303" s="413"/>
      <c r="J303" s="413"/>
      <c r="K303" s="413"/>
      <c r="L303" s="413"/>
      <c r="M303" s="413"/>
      <c r="N303" s="413"/>
      <c r="O303" s="413"/>
      <c r="P303" s="413"/>
      <c r="Q303" s="1123"/>
      <c r="R303" s="1124"/>
      <c r="S303" s="1438"/>
      <c r="T303" s="1439"/>
      <c r="U303" s="1431"/>
      <c r="V303" s="1440"/>
      <c r="W303" s="1943"/>
      <c r="X303" s="1441"/>
      <c r="Y303" s="1432"/>
      <c r="Z303" s="1691"/>
    </row>
    <row r="304" spans="1:26" s="1942" customFormat="1" ht="15" customHeight="1">
      <c r="A304" s="1111" t="s">
        <v>3656</v>
      </c>
      <c r="B304" s="3101" t="e">
        <f ca="1">'House reinf, Inlet Side'!$U$80</f>
        <v>#REF!</v>
      </c>
      <c r="C304" s="415" t="s">
        <v>1137</v>
      </c>
      <c r="D304" s="1120" t="str">
        <f t="shared" si="0"/>
        <v>ISeRad20</v>
      </c>
      <c r="E304" s="413"/>
      <c r="F304" s="413"/>
      <c r="G304" s="413"/>
      <c r="H304" s="413"/>
      <c r="I304" s="413"/>
      <c r="J304" s="413"/>
      <c r="K304" s="413"/>
      <c r="L304" s="413"/>
      <c r="M304" s="413"/>
      <c r="N304" s="413"/>
      <c r="O304" s="413"/>
      <c r="P304" s="413"/>
      <c r="Q304" s="1123"/>
      <c r="R304" s="1124"/>
      <c r="S304" s="1438"/>
      <c r="T304" s="1439"/>
      <c r="U304" s="1431"/>
      <c r="V304" s="1440"/>
      <c r="W304" s="1943"/>
      <c r="X304" s="1441"/>
      <c r="Y304" s="1432"/>
      <c r="Z304" s="1691"/>
    </row>
    <row r="305" spans="1:26" s="1942" customFormat="1" ht="15" customHeight="1">
      <c r="A305" s="1111" t="s">
        <v>3657</v>
      </c>
      <c r="B305" s="3101" t="e">
        <f ca="1">'House reinf, Inlet Side'!$V$80</f>
        <v>#REF!</v>
      </c>
      <c r="C305" s="415" t="s">
        <v>1137</v>
      </c>
      <c r="D305" s="1120" t="str">
        <f t="shared" si="0"/>
        <v>ISeRad21</v>
      </c>
      <c r="E305" s="413"/>
      <c r="F305" s="413"/>
      <c r="G305" s="413"/>
      <c r="H305" s="413"/>
      <c r="I305" s="413"/>
      <c r="J305" s="413"/>
      <c r="K305" s="413"/>
      <c r="L305" s="413"/>
      <c r="M305" s="413"/>
      <c r="N305" s="413"/>
      <c r="O305" s="413"/>
      <c r="P305" s="413"/>
      <c r="Q305" s="1123"/>
      <c r="R305" s="1124"/>
      <c r="S305" s="1438"/>
      <c r="T305" s="1439"/>
      <c r="U305" s="1431"/>
      <c r="V305" s="1440"/>
      <c r="W305" s="1943"/>
      <c r="X305" s="1441"/>
      <c r="Y305" s="1432"/>
      <c r="Z305" s="1691"/>
    </row>
    <row r="306" spans="1:26" s="1942" customFormat="1" ht="15" customHeight="1">
      <c r="A306" s="1111" t="s">
        <v>3658</v>
      </c>
      <c r="B306" s="3101" t="e">
        <f ca="1">'House reinf, Inlet Side'!$W$80</f>
        <v>#REF!</v>
      </c>
      <c r="C306" s="415" t="s">
        <v>1137</v>
      </c>
      <c r="D306" s="1120" t="str">
        <f t="shared" si="0"/>
        <v>ISeRad22</v>
      </c>
      <c r="E306" s="413"/>
      <c r="F306" s="413"/>
      <c r="G306" s="413"/>
      <c r="H306" s="413"/>
      <c r="I306" s="413"/>
      <c r="J306" s="413"/>
      <c r="K306" s="413"/>
      <c r="L306" s="413"/>
      <c r="M306" s="413"/>
      <c r="N306" s="413"/>
      <c r="O306" s="413"/>
      <c r="P306" s="413"/>
      <c r="Q306" s="1123"/>
      <c r="R306" s="1124"/>
      <c r="S306" s="1438"/>
      <c r="T306" s="1439"/>
      <c r="U306" s="1431"/>
      <c r="V306" s="1440"/>
      <c r="W306" s="1943"/>
      <c r="X306" s="1441"/>
      <c r="Y306" s="1432"/>
      <c r="Z306" s="1691"/>
    </row>
    <row r="307" spans="1:26" s="1942" customFormat="1" ht="15" customHeight="1">
      <c r="A307" s="1111" t="s">
        <v>3659</v>
      </c>
      <c r="B307" s="3101" t="e">
        <f ca="1">'House reinf, Inlet Side'!$X$80</f>
        <v>#REF!</v>
      </c>
      <c r="C307" s="415" t="s">
        <v>1137</v>
      </c>
      <c r="D307" s="1120" t="str">
        <f t="shared" si="0"/>
        <v>ISeRad23</v>
      </c>
      <c r="E307" s="413"/>
      <c r="F307" s="413"/>
      <c r="G307" s="413"/>
      <c r="H307" s="413"/>
      <c r="I307" s="413"/>
      <c r="J307" s="413"/>
      <c r="K307" s="413"/>
      <c r="L307" s="413"/>
      <c r="M307" s="413"/>
      <c r="N307" s="413"/>
      <c r="O307" s="413"/>
      <c r="P307" s="413"/>
      <c r="Q307" s="1123"/>
      <c r="R307" s="1124"/>
      <c r="S307" s="1438"/>
      <c r="T307" s="1439"/>
      <c r="U307" s="1431"/>
      <c r="V307" s="1440"/>
      <c r="W307" s="1943"/>
      <c r="X307" s="1441"/>
      <c r="Y307" s="1432"/>
      <c r="Z307" s="1691"/>
    </row>
    <row r="308" spans="1:26" s="1942" customFormat="1" ht="15" customHeight="1">
      <c r="A308" s="1111" t="s">
        <v>3660</v>
      </c>
      <c r="B308" s="3101" t="e">
        <f ca="1">'House reinf, Inlet Side'!$Y$80</f>
        <v>#REF!</v>
      </c>
      <c r="C308" s="415" t="s">
        <v>1137</v>
      </c>
      <c r="D308" s="1120" t="str">
        <f t="shared" si="0"/>
        <v>ISeRad24</v>
      </c>
      <c r="E308" s="413"/>
      <c r="F308" s="413"/>
      <c r="G308" s="413"/>
      <c r="H308" s="413"/>
      <c r="I308" s="413"/>
      <c r="J308" s="413"/>
      <c r="K308" s="413"/>
      <c r="L308" s="413"/>
      <c r="M308" s="413"/>
      <c r="N308" s="413"/>
      <c r="O308" s="413"/>
      <c r="P308" s="413"/>
      <c r="Q308" s="1123"/>
      <c r="R308" s="1124"/>
      <c r="S308" s="1438"/>
      <c r="T308" s="1439"/>
      <c r="U308" s="1431"/>
      <c r="V308" s="1440"/>
      <c r="W308" s="1943"/>
      <c r="X308" s="1441"/>
      <c r="Y308" s="1432"/>
      <c r="Z308" s="1691"/>
    </row>
    <row r="309" spans="1:26" s="1942" customFormat="1" ht="15" customHeight="1">
      <c r="A309" s="1111" t="s">
        <v>3661</v>
      </c>
      <c r="B309" s="3101" t="e">
        <f ca="1">'House reinf, Inlet Side'!$Z$80</f>
        <v>#REF!</v>
      </c>
      <c r="C309" s="415" t="s">
        <v>1137</v>
      </c>
      <c r="D309" s="1120" t="str">
        <f t="shared" si="0"/>
        <v>ISeRad25</v>
      </c>
      <c r="E309" s="413"/>
      <c r="F309" s="413"/>
      <c r="G309" s="413"/>
      <c r="H309" s="413"/>
      <c r="I309" s="413"/>
      <c r="J309" s="413"/>
      <c r="K309" s="413"/>
      <c r="L309" s="413"/>
      <c r="M309" s="413"/>
      <c r="N309" s="413"/>
      <c r="O309" s="413"/>
      <c r="P309" s="413"/>
      <c r="Q309" s="1123"/>
      <c r="R309" s="1124"/>
      <c r="S309" s="1438"/>
      <c r="T309" s="1439"/>
      <c r="U309" s="1431"/>
      <c r="V309" s="1440"/>
      <c r="W309" s="1943"/>
      <c r="X309" s="1441"/>
      <c r="Y309" s="1432"/>
      <c r="Z309" s="1691"/>
    </row>
    <row r="310" spans="1:26" s="1942" customFormat="1" ht="15" customHeight="1">
      <c r="A310" s="1111" t="s">
        <v>3662</v>
      </c>
      <c r="B310" s="3101" t="e">
        <f ca="1">'House reinf, Inlet Side'!$AA$80</f>
        <v>#REF!</v>
      </c>
      <c r="C310" s="415" t="s">
        <v>1137</v>
      </c>
      <c r="D310" s="1120" t="str">
        <f t="shared" si="0"/>
        <v>ISeRad26</v>
      </c>
      <c r="E310" s="413"/>
      <c r="F310" s="413"/>
      <c r="G310" s="413"/>
      <c r="H310" s="413"/>
      <c r="I310" s="413"/>
      <c r="J310" s="413"/>
      <c r="K310" s="413"/>
      <c r="L310" s="413"/>
      <c r="M310" s="413"/>
      <c r="N310" s="413"/>
      <c r="O310" s="413"/>
      <c r="P310" s="413"/>
      <c r="Q310" s="1123"/>
      <c r="R310" s="1124"/>
      <c r="S310" s="1438"/>
      <c r="T310" s="1439"/>
      <c r="U310" s="1431"/>
      <c r="V310" s="1440"/>
      <c r="W310" s="1943"/>
      <c r="X310" s="1441"/>
      <c r="Y310" s="1432"/>
      <c r="Z310" s="1691"/>
    </row>
    <row r="311" spans="1:26" s="1942" customFormat="1" ht="15" customHeight="1">
      <c r="A311" s="1111" t="s">
        <v>3663</v>
      </c>
      <c r="B311" s="3101" t="e">
        <f ca="1">'House reinf, Inlet Side'!$AB$80</f>
        <v>#REF!</v>
      </c>
      <c r="C311" s="415" t="s">
        <v>1137</v>
      </c>
      <c r="D311" s="1120" t="str">
        <f t="shared" si="0"/>
        <v>ISeRad27</v>
      </c>
      <c r="E311" s="413"/>
      <c r="F311" s="413"/>
      <c r="G311" s="413"/>
      <c r="H311" s="413"/>
      <c r="I311" s="413"/>
      <c r="J311" s="413"/>
      <c r="K311" s="413"/>
      <c r="L311" s="413"/>
      <c r="M311" s="413"/>
      <c r="N311" s="413"/>
      <c r="O311" s="413"/>
      <c r="P311" s="413"/>
      <c r="Q311" s="1123"/>
      <c r="R311" s="1124"/>
      <c r="S311" s="1438"/>
      <c r="T311" s="1439"/>
      <c r="U311" s="1431"/>
      <c r="V311" s="1440"/>
      <c r="W311" s="1943"/>
      <c r="X311" s="1441"/>
      <c r="Y311" s="1432"/>
      <c r="Z311" s="1691"/>
    </row>
    <row r="312" spans="1:26" s="1131" customFormat="1" ht="15" customHeight="1">
      <c r="A312" s="1111" t="s">
        <v>4057</v>
      </c>
      <c r="B312" s="3101" t="e">
        <f ca="1">'House reinf, Inlet Side'!$AC$80</f>
        <v>#REF!</v>
      </c>
      <c r="C312" s="415" t="s">
        <v>1137</v>
      </c>
      <c r="D312" s="1120" t="s">
        <v>2771</v>
      </c>
      <c r="E312" s="413"/>
      <c r="F312" s="413"/>
      <c r="G312" s="413"/>
      <c r="H312" s="413"/>
      <c r="I312" s="413"/>
      <c r="J312" s="413"/>
      <c r="K312" s="413"/>
      <c r="L312" s="413"/>
      <c r="M312" s="413"/>
      <c r="N312" s="413"/>
      <c r="O312" s="413"/>
      <c r="P312" s="413"/>
      <c r="Q312" s="1123"/>
      <c r="R312" s="1124"/>
      <c r="S312" s="1438"/>
      <c r="T312" s="1439"/>
      <c r="U312" s="1431"/>
      <c r="V312" s="1440"/>
      <c r="W312" s="1943"/>
      <c r="X312" s="1441"/>
      <c r="Y312" s="1432"/>
      <c r="Z312" s="1691"/>
    </row>
    <row r="313" spans="1:26" s="1942" customFormat="1" ht="15" customHeight="1">
      <c r="A313" s="1111" t="s">
        <v>4058</v>
      </c>
      <c r="B313" s="3101" t="e">
        <f ca="1">'House reinf, Inlet Side'!$AD$80</f>
        <v>#REF!</v>
      </c>
      <c r="C313" s="415" t="s">
        <v>1137</v>
      </c>
      <c r="D313" s="1120" t="s">
        <v>3574</v>
      </c>
      <c r="E313" s="413"/>
      <c r="F313" s="413"/>
      <c r="G313" s="413"/>
      <c r="H313" s="413"/>
      <c r="I313" s="413"/>
      <c r="J313" s="413"/>
      <c r="K313" s="413"/>
      <c r="L313" s="413"/>
      <c r="M313" s="413"/>
      <c r="N313" s="413"/>
      <c r="O313" s="413"/>
      <c r="P313" s="413"/>
      <c r="Q313" s="1123"/>
      <c r="R313" s="1124"/>
      <c r="S313" s="1438"/>
      <c r="T313" s="1439"/>
      <c r="U313" s="1431"/>
      <c r="V313" s="1440"/>
      <c r="W313" s="1943"/>
      <c r="X313" s="1441"/>
      <c r="Y313" s="1432"/>
      <c r="Z313" s="1691"/>
    </row>
    <row r="314" spans="1:26" s="1942" customFormat="1" ht="15" customHeight="1">
      <c r="A314" s="1111" t="s">
        <v>4059</v>
      </c>
      <c r="B314" s="3101" t="e">
        <f ca="1">'House reinf, Inlet Side'!$AE$80</f>
        <v>#REF!</v>
      </c>
      <c r="C314" s="415" t="s">
        <v>1137</v>
      </c>
      <c r="D314" s="1120" t="s">
        <v>3573</v>
      </c>
      <c r="E314" s="413"/>
      <c r="F314" s="413"/>
      <c r="G314" s="413"/>
      <c r="H314" s="413"/>
      <c r="I314" s="413"/>
      <c r="J314" s="413"/>
      <c r="K314" s="413"/>
      <c r="L314" s="413"/>
      <c r="M314" s="413"/>
      <c r="N314" s="413"/>
      <c r="O314" s="413"/>
      <c r="P314" s="413"/>
      <c r="Q314" s="1123"/>
      <c r="R314" s="1124"/>
      <c r="S314" s="1438"/>
      <c r="T314" s="1439"/>
      <c r="U314" s="1431"/>
      <c r="V314" s="1440"/>
      <c r="W314" s="1943"/>
      <c r="X314" s="1441"/>
      <c r="Y314" s="1432"/>
      <c r="Z314" s="1691"/>
    </row>
    <row r="315" spans="1:26" s="1942" customFormat="1" ht="15" customHeight="1">
      <c r="A315" s="1111" t="s">
        <v>4060</v>
      </c>
      <c r="B315" s="3101" t="e">
        <f ca="1">'House reinf, Inlet Side'!$AF$80</f>
        <v>#REF!</v>
      </c>
      <c r="C315" s="415" t="s">
        <v>1137</v>
      </c>
      <c r="D315" s="1120" t="s">
        <v>3841</v>
      </c>
      <c r="E315" s="413"/>
      <c r="F315" s="413"/>
      <c r="G315" s="413"/>
      <c r="H315" s="413"/>
      <c r="I315" s="413"/>
      <c r="J315" s="413"/>
      <c r="K315" s="413"/>
      <c r="L315" s="413"/>
      <c r="M315" s="413"/>
      <c r="N315" s="413"/>
      <c r="O315" s="413"/>
      <c r="P315" s="413"/>
      <c r="Q315" s="1123"/>
      <c r="R315" s="1124"/>
      <c r="S315" s="1438"/>
      <c r="T315" s="1439"/>
      <c r="U315" s="1431"/>
      <c r="V315" s="1440"/>
      <c r="W315" s="1943"/>
      <c r="X315" s="1441"/>
      <c r="Y315" s="1432"/>
      <c r="Z315" s="1691"/>
    </row>
    <row r="316" spans="1:26" s="1942" customFormat="1" ht="15" customHeight="1">
      <c r="A316" s="1111" t="s">
        <v>4061</v>
      </c>
      <c r="B316" s="3101" t="e">
        <f ca="1">'House reinf, Inlet Side'!$AG$80</f>
        <v>#REF!</v>
      </c>
      <c r="C316" s="415" t="s">
        <v>1137</v>
      </c>
      <c r="D316" s="1120" t="s">
        <v>2602</v>
      </c>
      <c r="E316" s="413"/>
      <c r="F316" s="413"/>
      <c r="G316" s="413"/>
      <c r="H316" s="413"/>
      <c r="I316" s="413"/>
      <c r="J316" s="413"/>
      <c r="K316" s="413"/>
      <c r="L316" s="413"/>
      <c r="M316" s="413"/>
      <c r="N316" s="413"/>
      <c r="O316" s="413"/>
      <c r="P316" s="413"/>
      <c r="Q316" s="1123"/>
      <c r="R316" s="1124"/>
      <c r="S316" s="1438"/>
      <c r="T316" s="1439"/>
      <c r="U316" s="1431"/>
      <c r="V316" s="1440"/>
      <c r="W316" s="1943"/>
      <c r="X316" s="1441"/>
      <c r="Y316" s="1432"/>
      <c r="Z316" s="1691"/>
    </row>
    <row r="317" spans="1:26" s="1942" customFormat="1" ht="15" customHeight="1">
      <c r="A317" s="1111" t="s">
        <v>4062</v>
      </c>
      <c r="B317" s="3101" t="e">
        <f ca="1">'House reinf, Inlet Side'!$AH$80</f>
        <v>#REF!</v>
      </c>
      <c r="C317" s="415" t="s">
        <v>1137</v>
      </c>
      <c r="D317" s="1120" t="s">
        <v>2603</v>
      </c>
      <c r="E317" s="413"/>
      <c r="F317" s="413"/>
      <c r="G317" s="413"/>
      <c r="H317" s="413"/>
      <c r="I317" s="413"/>
      <c r="J317" s="413"/>
      <c r="K317" s="413"/>
      <c r="L317" s="413"/>
      <c r="M317" s="413"/>
      <c r="N317" s="413"/>
      <c r="O317" s="413"/>
      <c r="P317" s="413"/>
      <c r="Q317" s="1123"/>
      <c r="R317" s="1124"/>
      <c r="S317" s="1438"/>
      <c r="T317" s="1439"/>
      <c r="U317" s="1431"/>
      <c r="V317" s="1440"/>
      <c r="W317" s="1943"/>
      <c r="X317" s="1441"/>
      <c r="Y317" s="1432"/>
      <c r="Z317" s="1691"/>
    </row>
    <row r="318" spans="1:26" s="1942" customFormat="1" ht="15" customHeight="1">
      <c r="A318" s="1111" t="s">
        <v>4063</v>
      </c>
      <c r="B318" s="3101" t="e">
        <f ca="1">'House reinf, Inlet Side'!$AI$80</f>
        <v>#REF!</v>
      </c>
      <c r="C318" s="415" t="s">
        <v>1137</v>
      </c>
      <c r="D318" s="1120" t="s">
        <v>2604</v>
      </c>
      <c r="E318" s="413"/>
      <c r="F318" s="413"/>
      <c r="G318" s="413"/>
      <c r="H318" s="413"/>
      <c r="I318" s="413"/>
      <c r="J318" s="413"/>
      <c r="K318" s="413"/>
      <c r="L318" s="413"/>
      <c r="M318" s="413"/>
      <c r="N318" s="413"/>
      <c r="O318" s="413"/>
      <c r="P318" s="413"/>
      <c r="Q318" s="1123"/>
      <c r="R318" s="1124"/>
      <c r="S318" s="1438"/>
      <c r="T318" s="1439"/>
      <c r="U318" s="1431"/>
      <c r="V318" s="1440"/>
      <c r="W318" s="1943"/>
      <c r="X318" s="1441"/>
      <c r="Y318" s="1432"/>
      <c r="Z318" s="1691"/>
    </row>
    <row r="319" spans="1:26" s="1942" customFormat="1" ht="15" customHeight="1" thickBot="1">
      <c r="A319" s="1112" t="s">
        <v>4064</v>
      </c>
      <c r="B319" s="3102" t="e">
        <f ca="1">'House reinf, Inlet Side'!$AJ$80</f>
        <v>#REF!</v>
      </c>
      <c r="C319" s="414" t="s">
        <v>1137</v>
      </c>
      <c r="D319" s="1130" t="s">
        <v>2615</v>
      </c>
      <c r="E319" s="413"/>
      <c r="F319" s="413"/>
      <c r="G319" s="413"/>
      <c r="H319" s="413"/>
      <c r="I319" s="413"/>
      <c r="J319" s="413"/>
      <c r="K319" s="413"/>
      <c r="L319" s="413"/>
      <c r="M319" s="413"/>
      <c r="N319" s="413"/>
      <c r="O319" s="413"/>
      <c r="P319" s="413"/>
      <c r="Q319" s="1123"/>
      <c r="R319" s="1124"/>
      <c r="S319" s="1438"/>
      <c r="T319" s="1439"/>
      <c r="U319" s="1431"/>
      <c r="V319" s="1440"/>
      <c r="W319" s="1943"/>
      <c r="X319" s="1441"/>
      <c r="Y319" s="1432"/>
      <c r="Z319" s="1691"/>
    </row>
    <row r="320" spans="1:26" s="1942" customFormat="1" ht="15" customHeight="1">
      <c r="A320" s="1125" t="s">
        <v>3664</v>
      </c>
      <c r="B320" s="3098" t="e">
        <f ca="1">'House reinf, Inlet Side'!$B$82</f>
        <v>#REF!</v>
      </c>
      <c r="C320" s="1126" t="s">
        <v>136</v>
      </c>
      <c r="D320" s="1129" t="str">
        <f t="shared" ref="D320:D346" si="1">D250</f>
        <v>ISeRad1</v>
      </c>
      <c r="E320" s="1783"/>
      <c r="F320" s="1783"/>
      <c r="G320" s="1783"/>
      <c r="H320" s="1783"/>
      <c r="I320" s="1783"/>
      <c r="J320" s="1783"/>
      <c r="K320" s="1783"/>
      <c r="L320" s="1783"/>
      <c r="M320" s="1783"/>
      <c r="N320" s="1783"/>
      <c r="O320" s="1783"/>
      <c r="P320" s="1783"/>
      <c r="Q320" s="1785"/>
      <c r="R320" s="1784"/>
      <c r="S320" s="3059"/>
      <c r="T320" s="3060"/>
      <c r="U320" s="3061"/>
      <c r="V320" s="3062"/>
      <c r="W320" s="3061"/>
      <c r="X320" s="3062"/>
      <c r="Y320" s="3061"/>
      <c r="Z320" s="3063"/>
    </row>
    <row r="321" spans="1:26" s="1942" customFormat="1" ht="15" customHeight="1">
      <c r="A321" s="1111" t="s">
        <v>3665</v>
      </c>
      <c r="B321" s="1737" t="e">
        <f ca="1">'House reinf, Inlet Side'!$C$82</f>
        <v>#REF!</v>
      </c>
      <c r="C321" s="415" t="s">
        <v>136</v>
      </c>
      <c r="D321" s="1120" t="str">
        <f t="shared" si="1"/>
        <v>ISeRad2</v>
      </c>
      <c r="E321" s="413"/>
      <c r="F321" s="413"/>
      <c r="G321" s="413"/>
      <c r="H321" s="413"/>
      <c r="I321" s="413"/>
      <c r="J321" s="413"/>
      <c r="K321" s="413"/>
      <c r="L321" s="413"/>
      <c r="M321" s="413"/>
      <c r="N321" s="413"/>
      <c r="O321" s="413"/>
      <c r="P321" s="413"/>
      <c r="Q321" s="413"/>
      <c r="R321" s="437"/>
      <c r="S321" s="3064"/>
      <c r="T321" s="3065"/>
      <c r="U321" s="3066"/>
      <c r="V321" s="3067"/>
      <c r="W321" s="3066"/>
      <c r="X321" s="3067"/>
      <c r="Y321" s="3066"/>
      <c r="Z321" s="3068"/>
    </row>
    <row r="322" spans="1:26" s="1942" customFormat="1" ht="15" customHeight="1">
      <c r="A322" s="1111" t="s">
        <v>3666</v>
      </c>
      <c r="B322" s="1737" t="e">
        <f ca="1">'House reinf, Inlet Side'!$D$82</f>
        <v>#REF!</v>
      </c>
      <c r="C322" s="415" t="s">
        <v>136</v>
      </c>
      <c r="D322" s="1120" t="str">
        <f t="shared" si="1"/>
        <v>ISeRad3</v>
      </c>
      <c r="E322" s="413"/>
      <c r="F322" s="413"/>
      <c r="G322" s="413"/>
      <c r="H322" s="413"/>
      <c r="I322" s="413"/>
      <c r="J322" s="413"/>
      <c r="K322" s="413"/>
      <c r="L322" s="413"/>
      <c r="M322" s="413"/>
      <c r="N322" s="413"/>
      <c r="O322" s="413"/>
      <c r="P322" s="413"/>
      <c r="Q322" s="413"/>
      <c r="R322" s="437"/>
      <c r="S322" s="3064"/>
      <c r="T322" s="3065"/>
      <c r="U322" s="3066"/>
      <c r="V322" s="3067"/>
      <c r="W322" s="3066"/>
      <c r="X322" s="3067"/>
      <c r="Y322" s="3066"/>
      <c r="Z322" s="3068"/>
    </row>
    <row r="323" spans="1:26" s="1942" customFormat="1" ht="15" customHeight="1">
      <c r="A323" s="1111" t="s">
        <v>3667</v>
      </c>
      <c r="B323" s="1737" t="e">
        <f ca="1">'House reinf, Inlet Side'!$E$82</f>
        <v>#REF!</v>
      </c>
      <c r="C323" s="415" t="s">
        <v>136</v>
      </c>
      <c r="D323" s="1120" t="str">
        <f t="shared" si="1"/>
        <v>ISeRad4</v>
      </c>
      <c r="E323" s="413"/>
      <c r="F323" s="413"/>
      <c r="G323" s="413"/>
      <c r="H323" s="413"/>
      <c r="I323" s="413"/>
      <c r="J323" s="413"/>
      <c r="K323" s="413"/>
      <c r="L323" s="413"/>
      <c r="M323" s="413"/>
      <c r="N323" s="413"/>
      <c r="O323" s="413"/>
      <c r="P323" s="413"/>
      <c r="Q323" s="413"/>
      <c r="R323" s="437"/>
      <c r="S323" s="3064"/>
      <c r="T323" s="3065"/>
      <c r="U323" s="3066"/>
      <c r="V323" s="3067"/>
      <c r="W323" s="3066"/>
      <c r="X323" s="3067"/>
      <c r="Y323" s="3066"/>
      <c r="Z323" s="3068"/>
    </row>
    <row r="324" spans="1:26" s="1942" customFormat="1" ht="15" customHeight="1">
      <c r="A324" s="1111" t="s">
        <v>3668</v>
      </c>
      <c r="B324" s="1737" t="e">
        <f ca="1">'House reinf, Inlet Side'!$F$82</f>
        <v>#REF!</v>
      </c>
      <c r="C324" s="415" t="s">
        <v>136</v>
      </c>
      <c r="D324" s="1120" t="str">
        <f t="shared" si="1"/>
        <v>ISeRad5</v>
      </c>
      <c r="E324" s="413"/>
      <c r="F324" s="413"/>
      <c r="G324" s="413"/>
      <c r="H324" s="413"/>
      <c r="I324" s="413"/>
      <c r="J324" s="413"/>
      <c r="K324" s="413"/>
      <c r="L324" s="413"/>
      <c r="M324" s="413"/>
      <c r="N324" s="413"/>
      <c r="O324" s="413"/>
      <c r="P324" s="413"/>
      <c r="Q324" s="413"/>
      <c r="R324" s="437"/>
      <c r="S324" s="3064"/>
      <c r="T324" s="3065"/>
      <c r="U324" s="3066"/>
      <c r="V324" s="3067"/>
      <c r="W324" s="3066"/>
      <c r="X324" s="3067"/>
      <c r="Y324" s="3066"/>
      <c r="Z324" s="3068"/>
    </row>
    <row r="325" spans="1:26" s="1942" customFormat="1" ht="15" customHeight="1">
      <c r="A325" s="1111" t="s">
        <v>3669</v>
      </c>
      <c r="B325" s="1737" t="e">
        <f ca="1">'House reinf, Inlet Side'!$G$82</f>
        <v>#REF!</v>
      </c>
      <c r="C325" s="415" t="s">
        <v>136</v>
      </c>
      <c r="D325" s="1120" t="str">
        <f t="shared" si="1"/>
        <v>ISeRad6</v>
      </c>
      <c r="E325" s="413"/>
      <c r="F325" s="413"/>
      <c r="G325" s="413"/>
      <c r="H325" s="413"/>
      <c r="I325" s="413"/>
      <c r="J325" s="413"/>
      <c r="K325" s="413"/>
      <c r="L325" s="413"/>
      <c r="M325" s="413"/>
      <c r="N325" s="413"/>
      <c r="O325" s="413"/>
      <c r="P325" s="413"/>
      <c r="Q325" s="413"/>
      <c r="R325" s="437"/>
      <c r="S325" s="3064"/>
      <c r="T325" s="3065"/>
      <c r="U325" s="3066"/>
      <c r="V325" s="3067"/>
      <c r="W325" s="3066"/>
      <c r="X325" s="3067"/>
      <c r="Y325" s="3066"/>
      <c r="Z325" s="3068"/>
    </row>
    <row r="326" spans="1:26" s="1942" customFormat="1" ht="15" customHeight="1">
      <c r="A326" s="1111" t="s">
        <v>3670</v>
      </c>
      <c r="B326" s="1737" t="e">
        <f ca="1">'House reinf, Inlet Side'!$H$82</f>
        <v>#REF!</v>
      </c>
      <c r="C326" s="415" t="s">
        <v>136</v>
      </c>
      <c r="D326" s="1120" t="str">
        <f t="shared" si="1"/>
        <v>ISeRad7</v>
      </c>
      <c r="E326" s="413"/>
      <c r="F326" s="413"/>
      <c r="G326" s="413"/>
      <c r="H326" s="413"/>
      <c r="I326" s="413"/>
      <c r="J326" s="413"/>
      <c r="K326" s="413"/>
      <c r="L326" s="413"/>
      <c r="M326" s="413"/>
      <c r="N326" s="413"/>
      <c r="O326" s="413"/>
      <c r="P326" s="413"/>
      <c r="Q326" s="413"/>
      <c r="R326" s="437"/>
      <c r="S326" s="3064"/>
      <c r="T326" s="3065"/>
      <c r="U326" s="3066"/>
      <c r="V326" s="3067"/>
      <c r="W326" s="3066"/>
      <c r="X326" s="3067"/>
      <c r="Y326" s="3066"/>
      <c r="Z326" s="3068"/>
    </row>
    <row r="327" spans="1:26" s="1942" customFormat="1" ht="15" customHeight="1">
      <c r="A327" s="1111" t="s">
        <v>3671</v>
      </c>
      <c r="B327" s="1737" t="e">
        <f ca="1">'House reinf, Inlet Side'!$I$82</f>
        <v>#REF!</v>
      </c>
      <c r="C327" s="415" t="s">
        <v>136</v>
      </c>
      <c r="D327" s="1120" t="str">
        <f t="shared" si="1"/>
        <v>ISeRad8</v>
      </c>
      <c r="E327" s="413"/>
      <c r="F327" s="413"/>
      <c r="G327" s="413"/>
      <c r="H327" s="413"/>
      <c r="I327" s="413"/>
      <c r="J327" s="413"/>
      <c r="K327" s="413"/>
      <c r="L327" s="413"/>
      <c r="M327" s="413"/>
      <c r="N327" s="413"/>
      <c r="O327" s="413"/>
      <c r="P327" s="413"/>
      <c r="Q327" s="413"/>
      <c r="R327" s="437"/>
      <c r="S327" s="3064"/>
      <c r="T327" s="3065"/>
      <c r="U327" s="3066"/>
      <c r="V327" s="3067"/>
      <c r="W327" s="3066"/>
      <c r="X327" s="3067"/>
      <c r="Y327" s="3066"/>
      <c r="Z327" s="3068"/>
    </row>
    <row r="328" spans="1:26" s="1942" customFormat="1" ht="15" customHeight="1">
      <c r="A328" s="1111" t="s">
        <v>3672</v>
      </c>
      <c r="B328" s="1737" t="e">
        <f ca="1">'House reinf, Inlet Side'!$J$82</f>
        <v>#REF!</v>
      </c>
      <c r="C328" s="415" t="s">
        <v>136</v>
      </c>
      <c r="D328" s="1120" t="str">
        <f t="shared" si="1"/>
        <v>ISeRad9</v>
      </c>
      <c r="E328" s="413"/>
      <c r="F328" s="413"/>
      <c r="G328" s="413"/>
      <c r="H328" s="413"/>
      <c r="I328" s="413"/>
      <c r="J328" s="413"/>
      <c r="K328" s="413"/>
      <c r="L328" s="413"/>
      <c r="M328" s="413"/>
      <c r="N328" s="413"/>
      <c r="O328" s="413"/>
      <c r="P328" s="413"/>
      <c r="Q328" s="413"/>
      <c r="R328" s="437"/>
      <c r="S328" s="3064"/>
      <c r="T328" s="3065"/>
      <c r="U328" s="3066"/>
      <c r="V328" s="3067"/>
      <c r="W328" s="3066"/>
      <c r="X328" s="3067"/>
      <c r="Y328" s="3066"/>
      <c r="Z328" s="3068"/>
    </row>
    <row r="329" spans="1:26" s="1942" customFormat="1" ht="15" customHeight="1">
      <c r="A329" s="1111" t="s">
        <v>3673</v>
      </c>
      <c r="B329" s="1737" t="e">
        <f ca="1">'House reinf, Inlet Side'!$K$82</f>
        <v>#REF!</v>
      </c>
      <c r="C329" s="415" t="s">
        <v>136</v>
      </c>
      <c r="D329" s="1120" t="str">
        <f t="shared" si="1"/>
        <v>ISeRad10</v>
      </c>
      <c r="E329" s="413"/>
      <c r="F329" s="413"/>
      <c r="G329" s="413"/>
      <c r="H329" s="413"/>
      <c r="I329" s="413"/>
      <c r="J329" s="413"/>
      <c r="K329" s="413"/>
      <c r="L329" s="413"/>
      <c r="M329" s="413"/>
      <c r="N329" s="413"/>
      <c r="O329" s="413"/>
      <c r="P329" s="413"/>
      <c r="Q329" s="413"/>
      <c r="R329" s="437"/>
      <c r="S329" s="3064"/>
      <c r="T329" s="3065"/>
      <c r="U329" s="3066"/>
      <c r="V329" s="3067"/>
      <c r="W329" s="3066"/>
      <c r="X329" s="3067"/>
      <c r="Y329" s="3066"/>
      <c r="Z329" s="3068"/>
    </row>
    <row r="330" spans="1:26" s="1942" customFormat="1" ht="15" customHeight="1">
      <c r="A330" s="1111" t="s">
        <v>3674</v>
      </c>
      <c r="B330" s="1737" t="e">
        <f ca="1">'House reinf, Inlet Side'!$L$82</f>
        <v>#REF!</v>
      </c>
      <c r="C330" s="415" t="s">
        <v>136</v>
      </c>
      <c r="D330" s="1120" t="str">
        <f t="shared" si="1"/>
        <v>ISeRad11</v>
      </c>
      <c r="E330" s="413"/>
      <c r="F330" s="413"/>
      <c r="G330" s="413"/>
      <c r="H330" s="413"/>
      <c r="I330" s="413"/>
      <c r="J330" s="413"/>
      <c r="K330" s="413"/>
      <c r="L330" s="413"/>
      <c r="M330" s="413"/>
      <c r="N330" s="413"/>
      <c r="O330" s="413"/>
      <c r="P330" s="413"/>
      <c r="Q330" s="413"/>
      <c r="R330" s="437"/>
      <c r="S330" s="3064"/>
      <c r="T330" s="3065"/>
      <c r="U330" s="3066"/>
      <c r="V330" s="3067"/>
      <c r="W330" s="3066"/>
      <c r="X330" s="3067"/>
      <c r="Y330" s="3066"/>
      <c r="Z330" s="3068"/>
    </row>
    <row r="331" spans="1:26" s="1942" customFormat="1" ht="15" customHeight="1">
      <c r="A331" s="1111" t="s">
        <v>3675</v>
      </c>
      <c r="B331" s="1737" t="e">
        <f ca="1">'House reinf, Inlet Side'!$M$82</f>
        <v>#REF!</v>
      </c>
      <c r="C331" s="415" t="s">
        <v>136</v>
      </c>
      <c r="D331" s="1120" t="str">
        <f t="shared" si="1"/>
        <v>ISeRad12</v>
      </c>
      <c r="E331" s="413"/>
      <c r="F331" s="413"/>
      <c r="G331" s="413"/>
      <c r="H331" s="413"/>
      <c r="I331" s="413"/>
      <c r="J331" s="413"/>
      <c r="K331" s="413"/>
      <c r="L331" s="413"/>
      <c r="M331" s="413"/>
      <c r="N331" s="413"/>
      <c r="O331" s="413"/>
      <c r="P331" s="413"/>
      <c r="Q331" s="413"/>
      <c r="R331" s="437"/>
      <c r="S331" s="3064"/>
      <c r="T331" s="3065"/>
      <c r="U331" s="3066"/>
      <c r="V331" s="3067"/>
      <c r="W331" s="3066"/>
      <c r="X331" s="3067"/>
      <c r="Y331" s="3066"/>
      <c r="Z331" s="3068"/>
    </row>
    <row r="332" spans="1:26" s="1942" customFormat="1" ht="15" customHeight="1">
      <c r="A332" s="1111" t="s">
        <v>3676</v>
      </c>
      <c r="B332" s="1737" t="e">
        <f ca="1">'House reinf, Inlet Side'!$N$82</f>
        <v>#REF!</v>
      </c>
      <c r="C332" s="415" t="s">
        <v>136</v>
      </c>
      <c r="D332" s="1120" t="str">
        <f t="shared" si="1"/>
        <v>ISeRad13</v>
      </c>
      <c r="E332" s="413"/>
      <c r="F332" s="413"/>
      <c r="G332" s="413"/>
      <c r="H332" s="413"/>
      <c r="I332" s="413"/>
      <c r="J332" s="413"/>
      <c r="K332" s="413"/>
      <c r="L332" s="413"/>
      <c r="M332" s="413"/>
      <c r="N332" s="413"/>
      <c r="O332" s="413"/>
      <c r="P332" s="413"/>
      <c r="Q332" s="413"/>
      <c r="R332" s="437"/>
      <c r="S332" s="3064"/>
      <c r="T332" s="3065"/>
      <c r="U332" s="3066"/>
      <c r="V332" s="3067"/>
      <c r="W332" s="3066"/>
      <c r="X332" s="3067"/>
      <c r="Y332" s="3066"/>
      <c r="Z332" s="3068"/>
    </row>
    <row r="333" spans="1:26" s="1942" customFormat="1" ht="15" customHeight="1">
      <c r="A333" s="1111" t="s">
        <v>3677</v>
      </c>
      <c r="B333" s="1737" t="e">
        <f ca="1">'House reinf, Inlet Side'!$O$82</f>
        <v>#REF!</v>
      </c>
      <c r="C333" s="415" t="s">
        <v>136</v>
      </c>
      <c r="D333" s="1120" t="str">
        <f t="shared" si="1"/>
        <v>ISeRad14</v>
      </c>
      <c r="E333" s="413"/>
      <c r="F333" s="413"/>
      <c r="G333" s="413"/>
      <c r="H333" s="413"/>
      <c r="I333" s="413"/>
      <c r="J333" s="413"/>
      <c r="K333" s="413"/>
      <c r="L333" s="413"/>
      <c r="M333" s="413"/>
      <c r="N333" s="413"/>
      <c r="O333" s="413"/>
      <c r="P333" s="413"/>
      <c r="Q333" s="413"/>
      <c r="R333" s="437"/>
      <c r="S333" s="3064"/>
      <c r="T333" s="3065"/>
      <c r="U333" s="3066"/>
      <c r="V333" s="3067"/>
      <c r="W333" s="3066"/>
      <c r="X333" s="3067"/>
      <c r="Y333" s="3066"/>
      <c r="Z333" s="3068"/>
    </row>
    <row r="334" spans="1:26" s="1942" customFormat="1" ht="15" customHeight="1">
      <c r="A334" s="1111" t="s">
        <v>3678</v>
      </c>
      <c r="B334" s="1737" t="e">
        <f ca="1">'House reinf, Inlet Side'!$P$82</f>
        <v>#REF!</v>
      </c>
      <c r="C334" s="415" t="s">
        <v>136</v>
      </c>
      <c r="D334" s="1120" t="str">
        <f t="shared" si="1"/>
        <v>ISeRad15</v>
      </c>
      <c r="E334" s="413"/>
      <c r="F334" s="413"/>
      <c r="G334" s="413"/>
      <c r="H334" s="413"/>
      <c r="I334" s="413"/>
      <c r="J334" s="413"/>
      <c r="K334" s="413"/>
      <c r="L334" s="413"/>
      <c r="M334" s="413"/>
      <c r="N334" s="413"/>
      <c r="O334" s="413"/>
      <c r="P334" s="413"/>
      <c r="Q334" s="413"/>
      <c r="R334" s="437"/>
      <c r="S334" s="3064"/>
      <c r="T334" s="3065"/>
      <c r="U334" s="3066"/>
      <c r="V334" s="3067"/>
      <c r="W334" s="3066"/>
      <c r="X334" s="3067"/>
      <c r="Y334" s="3066"/>
      <c r="Z334" s="3068"/>
    </row>
    <row r="335" spans="1:26" s="1942" customFormat="1" ht="15" customHeight="1">
      <c r="A335" s="1111" t="s">
        <v>3679</v>
      </c>
      <c r="B335" s="1737" t="e">
        <f ca="1">'House reinf, Inlet Side'!$Q$82</f>
        <v>#REF!</v>
      </c>
      <c r="C335" s="415" t="s">
        <v>136</v>
      </c>
      <c r="D335" s="1120" t="str">
        <f t="shared" si="1"/>
        <v>ISeRad16</v>
      </c>
      <c r="E335" s="413"/>
      <c r="F335" s="413"/>
      <c r="G335" s="413"/>
      <c r="H335" s="413"/>
      <c r="I335" s="413"/>
      <c r="J335" s="413"/>
      <c r="K335" s="413"/>
      <c r="L335" s="413"/>
      <c r="M335" s="413"/>
      <c r="N335" s="413"/>
      <c r="O335" s="413"/>
      <c r="P335" s="413"/>
      <c r="Q335" s="413"/>
      <c r="R335" s="437"/>
      <c r="S335" s="3064"/>
      <c r="T335" s="3065"/>
      <c r="U335" s="3066"/>
      <c r="V335" s="3067"/>
      <c r="W335" s="3066"/>
      <c r="X335" s="3067"/>
      <c r="Y335" s="3066"/>
      <c r="Z335" s="3068"/>
    </row>
    <row r="336" spans="1:26" s="1942" customFormat="1" ht="15" customHeight="1">
      <c r="A336" s="1111" t="s">
        <v>3680</v>
      </c>
      <c r="B336" s="1737" t="e">
        <f ca="1">'House reinf, Inlet Side'!$R$82</f>
        <v>#REF!</v>
      </c>
      <c r="C336" s="415" t="s">
        <v>136</v>
      </c>
      <c r="D336" s="1120" t="str">
        <f t="shared" si="1"/>
        <v>ISeRad17</v>
      </c>
      <c r="E336" s="413"/>
      <c r="F336" s="413"/>
      <c r="G336" s="413"/>
      <c r="H336" s="413"/>
      <c r="I336" s="413"/>
      <c r="J336" s="413"/>
      <c r="K336" s="413"/>
      <c r="L336" s="413"/>
      <c r="M336" s="413"/>
      <c r="N336" s="413"/>
      <c r="O336" s="413"/>
      <c r="P336" s="413"/>
      <c r="Q336" s="413"/>
      <c r="R336" s="437"/>
      <c r="S336" s="3064"/>
      <c r="T336" s="3065"/>
      <c r="U336" s="3066"/>
      <c r="V336" s="3067"/>
      <c r="W336" s="3066"/>
      <c r="X336" s="3067"/>
      <c r="Y336" s="3066"/>
      <c r="Z336" s="3068"/>
    </row>
    <row r="337" spans="1:26" s="1942" customFormat="1" ht="15" customHeight="1">
      <c r="A337" s="1111" t="s">
        <v>3681</v>
      </c>
      <c r="B337" s="1737" t="e">
        <f ca="1">'House reinf, Inlet Side'!$S$82</f>
        <v>#REF!</v>
      </c>
      <c r="C337" s="415" t="s">
        <v>136</v>
      </c>
      <c r="D337" s="1120" t="str">
        <f t="shared" si="1"/>
        <v>ISeRad18</v>
      </c>
      <c r="E337" s="413"/>
      <c r="F337" s="413"/>
      <c r="G337" s="413"/>
      <c r="H337" s="413"/>
      <c r="I337" s="413"/>
      <c r="J337" s="413"/>
      <c r="K337" s="413"/>
      <c r="L337" s="413"/>
      <c r="M337" s="413"/>
      <c r="N337" s="413"/>
      <c r="O337" s="413"/>
      <c r="P337" s="413"/>
      <c r="Q337" s="413"/>
      <c r="R337" s="437"/>
      <c r="S337" s="3064"/>
      <c r="T337" s="3065"/>
      <c r="U337" s="3066"/>
      <c r="V337" s="3067"/>
      <c r="W337" s="3066"/>
      <c r="X337" s="3067"/>
      <c r="Y337" s="3066"/>
      <c r="Z337" s="3068"/>
    </row>
    <row r="338" spans="1:26" s="1942" customFormat="1" ht="15" customHeight="1">
      <c r="A338" s="1111" t="s">
        <v>3682</v>
      </c>
      <c r="B338" s="1737" t="e">
        <f ca="1">'House reinf, Inlet Side'!$T$82</f>
        <v>#REF!</v>
      </c>
      <c r="C338" s="415" t="s">
        <v>136</v>
      </c>
      <c r="D338" s="1120" t="str">
        <f t="shared" si="1"/>
        <v>ISeRad19</v>
      </c>
      <c r="E338" s="413"/>
      <c r="F338" s="413"/>
      <c r="G338" s="413"/>
      <c r="H338" s="413"/>
      <c r="I338" s="413"/>
      <c r="J338" s="413"/>
      <c r="K338" s="413"/>
      <c r="L338" s="413"/>
      <c r="M338" s="413"/>
      <c r="N338" s="413"/>
      <c r="O338" s="413"/>
      <c r="P338" s="413"/>
      <c r="Q338" s="413"/>
      <c r="R338" s="437"/>
      <c r="S338" s="3064"/>
      <c r="T338" s="3065"/>
      <c r="U338" s="3066"/>
      <c r="V338" s="3067"/>
      <c r="W338" s="3066"/>
      <c r="X338" s="3067"/>
      <c r="Y338" s="3066"/>
      <c r="Z338" s="3068"/>
    </row>
    <row r="339" spans="1:26" s="1942" customFormat="1" ht="15" customHeight="1">
      <c r="A339" s="1111" t="s">
        <v>3683</v>
      </c>
      <c r="B339" s="1737" t="e">
        <f ca="1">'House reinf, Inlet Side'!$U$82</f>
        <v>#REF!</v>
      </c>
      <c r="C339" s="415" t="s">
        <v>136</v>
      </c>
      <c r="D339" s="1120" t="str">
        <f t="shared" si="1"/>
        <v>ISeRad20</v>
      </c>
      <c r="E339" s="413"/>
      <c r="F339" s="413"/>
      <c r="G339" s="413"/>
      <c r="H339" s="413"/>
      <c r="I339" s="413"/>
      <c r="J339" s="413"/>
      <c r="K339" s="413"/>
      <c r="L339" s="413"/>
      <c r="M339" s="413"/>
      <c r="N339" s="413"/>
      <c r="O339" s="413"/>
      <c r="P339" s="413"/>
      <c r="Q339" s="413"/>
      <c r="R339" s="437"/>
      <c r="S339" s="3064"/>
      <c r="T339" s="3065"/>
      <c r="U339" s="3066"/>
      <c r="V339" s="3067"/>
      <c r="W339" s="3066"/>
      <c r="X339" s="3067"/>
      <c r="Y339" s="3066"/>
      <c r="Z339" s="3068"/>
    </row>
    <row r="340" spans="1:26" s="1942" customFormat="1" ht="15" customHeight="1">
      <c r="A340" s="1111" t="s">
        <v>3684</v>
      </c>
      <c r="B340" s="1737" t="e">
        <f ca="1">'House reinf, Inlet Side'!$V$82</f>
        <v>#REF!</v>
      </c>
      <c r="C340" s="415" t="s">
        <v>136</v>
      </c>
      <c r="D340" s="1120" t="str">
        <f t="shared" si="1"/>
        <v>ISeRad21</v>
      </c>
      <c r="E340" s="413"/>
      <c r="F340" s="413"/>
      <c r="G340" s="413"/>
      <c r="H340" s="413"/>
      <c r="I340" s="413"/>
      <c r="J340" s="413"/>
      <c r="K340" s="413"/>
      <c r="L340" s="413"/>
      <c r="M340" s="413"/>
      <c r="N340" s="413"/>
      <c r="O340" s="413"/>
      <c r="P340" s="413"/>
      <c r="Q340" s="413"/>
      <c r="R340" s="437"/>
      <c r="S340" s="3064"/>
      <c r="T340" s="3065"/>
      <c r="U340" s="3066"/>
      <c r="V340" s="3067"/>
      <c r="W340" s="3066"/>
      <c r="X340" s="3067"/>
      <c r="Y340" s="3066"/>
      <c r="Z340" s="3068"/>
    </row>
    <row r="341" spans="1:26" s="1942" customFormat="1" ht="15" customHeight="1">
      <c r="A341" s="1111" t="s">
        <v>3685</v>
      </c>
      <c r="B341" s="1737" t="e">
        <f ca="1">'House reinf, Inlet Side'!$W$82</f>
        <v>#REF!</v>
      </c>
      <c r="C341" s="415" t="s">
        <v>136</v>
      </c>
      <c r="D341" s="1120" t="str">
        <f t="shared" si="1"/>
        <v>ISeRad22</v>
      </c>
      <c r="E341" s="413"/>
      <c r="F341" s="413"/>
      <c r="G341" s="413"/>
      <c r="H341" s="413"/>
      <c r="I341" s="413"/>
      <c r="J341" s="413"/>
      <c r="K341" s="413"/>
      <c r="L341" s="413"/>
      <c r="M341" s="413"/>
      <c r="N341" s="413"/>
      <c r="O341" s="413"/>
      <c r="P341" s="413"/>
      <c r="Q341" s="413"/>
      <c r="R341" s="437"/>
      <c r="S341" s="3064"/>
      <c r="T341" s="3065"/>
      <c r="U341" s="3066"/>
      <c r="V341" s="3067"/>
      <c r="W341" s="3066"/>
      <c r="X341" s="3067"/>
      <c r="Y341" s="3066"/>
      <c r="Z341" s="3068"/>
    </row>
    <row r="342" spans="1:26" s="1942" customFormat="1" ht="15" customHeight="1">
      <c r="A342" s="1111" t="s">
        <v>3686</v>
      </c>
      <c r="B342" s="1737" t="e">
        <f ca="1">'House reinf, Inlet Side'!$X$82</f>
        <v>#REF!</v>
      </c>
      <c r="C342" s="415" t="s">
        <v>136</v>
      </c>
      <c r="D342" s="1120" t="str">
        <f t="shared" si="1"/>
        <v>ISeRad23</v>
      </c>
      <c r="E342" s="413"/>
      <c r="F342" s="413"/>
      <c r="G342" s="413"/>
      <c r="H342" s="413"/>
      <c r="I342" s="413"/>
      <c r="J342" s="413"/>
      <c r="K342" s="413"/>
      <c r="L342" s="413"/>
      <c r="M342" s="413"/>
      <c r="N342" s="413"/>
      <c r="O342" s="413"/>
      <c r="P342" s="413"/>
      <c r="Q342" s="413"/>
      <c r="R342" s="437"/>
      <c r="S342" s="3064"/>
      <c r="T342" s="3065"/>
      <c r="U342" s="3066"/>
      <c r="V342" s="3067"/>
      <c r="W342" s="3066"/>
      <c r="X342" s="3067"/>
      <c r="Y342" s="3066"/>
      <c r="Z342" s="3068"/>
    </row>
    <row r="343" spans="1:26" s="1942" customFormat="1" ht="15" customHeight="1">
      <c r="A343" s="1111" t="s">
        <v>3687</v>
      </c>
      <c r="B343" s="1737" t="e">
        <f ca="1">'House reinf, Inlet Side'!$Y$82</f>
        <v>#REF!</v>
      </c>
      <c r="C343" s="415" t="s">
        <v>136</v>
      </c>
      <c r="D343" s="1120" t="str">
        <f t="shared" si="1"/>
        <v>ISeRad24</v>
      </c>
      <c r="E343" s="413"/>
      <c r="F343" s="413"/>
      <c r="G343" s="413"/>
      <c r="H343" s="413"/>
      <c r="I343" s="413"/>
      <c r="J343" s="413"/>
      <c r="K343" s="413"/>
      <c r="L343" s="413"/>
      <c r="M343" s="413"/>
      <c r="N343" s="413"/>
      <c r="O343" s="413"/>
      <c r="P343" s="413"/>
      <c r="Q343" s="413"/>
      <c r="R343" s="437"/>
      <c r="S343" s="3064"/>
      <c r="T343" s="3065"/>
      <c r="U343" s="3066"/>
      <c r="V343" s="3067"/>
      <c r="W343" s="3066"/>
      <c r="X343" s="3067"/>
      <c r="Y343" s="3066"/>
      <c r="Z343" s="3068"/>
    </row>
    <row r="344" spans="1:26" s="1942" customFormat="1" ht="15" customHeight="1">
      <c r="A344" s="1111" t="s">
        <v>3688</v>
      </c>
      <c r="B344" s="1737" t="e">
        <f ca="1">'House reinf, Inlet Side'!$Z$82</f>
        <v>#REF!</v>
      </c>
      <c r="C344" s="415" t="s">
        <v>136</v>
      </c>
      <c r="D344" s="1120" t="str">
        <f t="shared" si="1"/>
        <v>ISeRad25</v>
      </c>
      <c r="E344" s="413"/>
      <c r="F344" s="413"/>
      <c r="G344" s="413"/>
      <c r="H344" s="413"/>
      <c r="I344" s="413"/>
      <c r="J344" s="413"/>
      <c r="K344" s="413"/>
      <c r="L344" s="413"/>
      <c r="M344" s="413"/>
      <c r="N344" s="413"/>
      <c r="O344" s="413"/>
      <c r="P344" s="413"/>
      <c r="Q344" s="413"/>
      <c r="R344" s="437"/>
      <c r="S344" s="3064"/>
      <c r="T344" s="3065"/>
      <c r="U344" s="3066"/>
      <c r="V344" s="3067"/>
      <c r="W344" s="3066"/>
      <c r="X344" s="3067"/>
      <c r="Y344" s="3066"/>
      <c r="Z344" s="3068"/>
    </row>
    <row r="345" spans="1:26" s="1942" customFormat="1" ht="15" customHeight="1">
      <c r="A345" s="1111" t="s">
        <v>3689</v>
      </c>
      <c r="B345" s="1737" t="e">
        <f ca="1">'House reinf, Inlet Side'!$AA$82</f>
        <v>#REF!</v>
      </c>
      <c r="C345" s="415" t="s">
        <v>136</v>
      </c>
      <c r="D345" s="1120" t="str">
        <f t="shared" si="1"/>
        <v>ISeRad26</v>
      </c>
      <c r="E345" s="413"/>
      <c r="F345" s="413"/>
      <c r="G345" s="413"/>
      <c r="H345" s="413"/>
      <c r="I345" s="413"/>
      <c r="J345" s="413"/>
      <c r="K345" s="413"/>
      <c r="L345" s="413"/>
      <c r="M345" s="413"/>
      <c r="N345" s="413"/>
      <c r="O345" s="413"/>
      <c r="P345" s="413"/>
      <c r="Q345" s="413"/>
      <c r="R345" s="437"/>
      <c r="S345" s="3064"/>
      <c r="T345" s="3065"/>
      <c r="U345" s="3066"/>
      <c r="V345" s="3067"/>
      <c r="W345" s="3066"/>
      <c r="X345" s="3067"/>
      <c r="Y345" s="3066"/>
      <c r="Z345" s="3068"/>
    </row>
    <row r="346" spans="1:26" s="1942" customFormat="1" ht="15" customHeight="1">
      <c r="A346" s="1111" t="s">
        <v>3690</v>
      </c>
      <c r="B346" s="1737" t="e">
        <f ca="1">'House reinf, Inlet Side'!$AB$82</f>
        <v>#REF!</v>
      </c>
      <c r="C346" s="415" t="s">
        <v>136</v>
      </c>
      <c r="D346" s="1120" t="str">
        <f t="shared" si="1"/>
        <v>ISeRad27</v>
      </c>
      <c r="E346" s="413"/>
      <c r="F346" s="413"/>
      <c r="G346" s="413"/>
      <c r="H346" s="413"/>
      <c r="I346" s="413"/>
      <c r="J346" s="413"/>
      <c r="K346" s="413"/>
      <c r="L346" s="413"/>
      <c r="M346" s="413"/>
      <c r="N346" s="413"/>
      <c r="O346" s="413"/>
      <c r="P346" s="413"/>
      <c r="Q346" s="413"/>
      <c r="R346" s="437"/>
      <c r="S346" s="3064"/>
      <c r="T346" s="3065"/>
      <c r="U346" s="3066"/>
      <c r="V346" s="3067"/>
      <c r="W346" s="3066"/>
      <c r="X346" s="3067"/>
      <c r="Y346" s="3066"/>
      <c r="Z346" s="3068"/>
    </row>
    <row r="347" spans="1:26" s="1942" customFormat="1" ht="15" customHeight="1">
      <c r="A347" s="1111" t="s">
        <v>4065</v>
      </c>
      <c r="B347" s="1737" t="e">
        <f ca="1">'House reinf, Inlet Side'!$AC$82</f>
        <v>#REF!</v>
      </c>
      <c r="C347" s="415" t="s">
        <v>136</v>
      </c>
      <c r="D347" s="1120" t="s">
        <v>2771</v>
      </c>
      <c r="E347" s="413"/>
      <c r="F347" s="413"/>
      <c r="G347" s="413"/>
      <c r="H347" s="413"/>
      <c r="I347" s="413"/>
      <c r="J347" s="413"/>
      <c r="K347" s="413"/>
      <c r="L347" s="413"/>
      <c r="M347" s="413"/>
      <c r="N347" s="413"/>
      <c r="O347" s="413"/>
      <c r="P347" s="413"/>
      <c r="Q347" s="413"/>
      <c r="R347" s="437"/>
      <c r="S347" s="3064"/>
      <c r="T347" s="3065"/>
      <c r="U347" s="3066"/>
      <c r="V347" s="3067"/>
      <c r="W347" s="3066"/>
      <c r="X347" s="3067"/>
      <c r="Y347" s="3066"/>
      <c r="Z347" s="3068"/>
    </row>
    <row r="348" spans="1:26" s="1942" customFormat="1" ht="15" customHeight="1">
      <c r="A348" s="1111" t="s">
        <v>4066</v>
      </c>
      <c r="B348" s="1737" t="e">
        <f ca="1">'House reinf, Inlet Side'!$AD$82</f>
        <v>#REF!</v>
      </c>
      <c r="C348" s="415" t="s">
        <v>136</v>
      </c>
      <c r="D348" s="1120" t="s">
        <v>3574</v>
      </c>
      <c r="E348" s="413"/>
      <c r="F348" s="413"/>
      <c r="G348" s="413"/>
      <c r="H348" s="413"/>
      <c r="I348" s="413"/>
      <c r="J348" s="413"/>
      <c r="K348" s="413"/>
      <c r="L348" s="413"/>
      <c r="M348" s="413"/>
      <c r="N348" s="413"/>
      <c r="O348" s="413"/>
      <c r="P348" s="413"/>
      <c r="Q348" s="413"/>
      <c r="R348" s="437"/>
      <c r="S348" s="3064"/>
      <c r="T348" s="3065"/>
      <c r="U348" s="3066"/>
      <c r="V348" s="3067"/>
      <c r="W348" s="3066"/>
      <c r="X348" s="3067"/>
      <c r="Y348" s="3066"/>
      <c r="Z348" s="3068"/>
    </row>
    <row r="349" spans="1:26" s="1942" customFormat="1" ht="15" customHeight="1">
      <c r="A349" s="1111" t="s">
        <v>4067</v>
      </c>
      <c r="B349" s="1737" t="e">
        <f ca="1">'House reinf, Inlet Side'!$AE$82</f>
        <v>#REF!</v>
      </c>
      <c r="C349" s="415" t="s">
        <v>136</v>
      </c>
      <c r="D349" s="1120" t="s">
        <v>3573</v>
      </c>
      <c r="E349" s="413"/>
      <c r="F349" s="413"/>
      <c r="G349" s="413"/>
      <c r="H349" s="413"/>
      <c r="I349" s="413"/>
      <c r="J349" s="413"/>
      <c r="K349" s="413"/>
      <c r="L349" s="413"/>
      <c r="M349" s="413"/>
      <c r="N349" s="413"/>
      <c r="O349" s="413"/>
      <c r="P349" s="413"/>
      <c r="Q349" s="413"/>
      <c r="R349" s="437"/>
      <c r="S349" s="3064"/>
      <c r="T349" s="3065"/>
      <c r="U349" s="3066"/>
      <c r="V349" s="3067"/>
      <c r="W349" s="3066"/>
      <c r="X349" s="3067"/>
      <c r="Y349" s="3066"/>
      <c r="Z349" s="3068"/>
    </row>
    <row r="350" spans="1:26" s="1942" customFormat="1" ht="15" customHeight="1">
      <c r="A350" s="1111" t="s">
        <v>4068</v>
      </c>
      <c r="B350" s="1737" t="e">
        <f ca="1">'House reinf, Inlet Side'!$AF$82</f>
        <v>#REF!</v>
      </c>
      <c r="C350" s="415" t="s">
        <v>136</v>
      </c>
      <c r="D350" s="1120" t="s">
        <v>3841</v>
      </c>
      <c r="E350" s="413"/>
      <c r="F350" s="413"/>
      <c r="G350" s="413"/>
      <c r="H350" s="413"/>
      <c r="I350" s="413"/>
      <c r="J350" s="413"/>
      <c r="K350" s="413"/>
      <c r="L350" s="413"/>
      <c r="M350" s="413"/>
      <c r="N350" s="413"/>
      <c r="O350" s="413"/>
      <c r="P350" s="413"/>
      <c r="Q350" s="413"/>
      <c r="R350" s="437"/>
      <c r="S350" s="3064"/>
      <c r="T350" s="3065"/>
      <c r="U350" s="3066"/>
      <c r="V350" s="3067"/>
      <c r="W350" s="3066"/>
      <c r="X350" s="3067"/>
      <c r="Y350" s="3066"/>
      <c r="Z350" s="3068"/>
    </row>
    <row r="351" spans="1:26" s="1942" customFormat="1" ht="15" customHeight="1">
      <c r="A351" s="1111" t="s">
        <v>4069</v>
      </c>
      <c r="B351" s="1737" t="e">
        <f ca="1">'House reinf, Inlet Side'!$AG$82</f>
        <v>#REF!</v>
      </c>
      <c r="C351" s="415" t="s">
        <v>136</v>
      </c>
      <c r="D351" s="1120" t="s">
        <v>2602</v>
      </c>
      <c r="E351" s="413"/>
      <c r="F351" s="413"/>
      <c r="G351" s="413"/>
      <c r="H351" s="413"/>
      <c r="I351" s="413"/>
      <c r="J351" s="413"/>
      <c r="K351" s="413"/>
      <c r="L351" s="413"/>
      <c r="M351" s="413"/>
      <c r="N351" s="413"/>
      <c r="O351" s="413"/>
      <c r="P351" s="413"/>
      <c r="Q351" s="413"/>
      <c r="R351" s="437"/>
      <c r="S351" s="3064"/>
      <c r="T351" s="3065"/>
      <c r="U351" s="3066"/>
      <c r="V351" s="3067"/>
      <c r="W351" s="3066"/>
      <c r="X351" s="3067"/>
      <c r="Y351" s="3066"/>
      <c r="Z351" s="3068"/>
    </row>
    <row r="352" spans="1:26" s="1942" customFormat="1" ht="15" customHeight="1">
      <c r="A352" s="1111" t="s">
        <v>4070</v>
      </c>
      <c r="B352" s="1737" t="e">
        <f ca="1">'House reinf, Inlet Side'!$AH$82</f>
        <v>#REF!</v>
      </c>
      <c r="C352" s="415" t="s">
        <v>136</v>
      </c>
      <c r="D352" s="1120" t="s">
        <v>2603</v>
      </c>
      <c r="E352" s="413"/>
      <c r="F352" s="413"/>
      <c r="G352" s="413"/>
      <c r="H352" s="413"/>
      <c r="I352" s="413"/>
      <c r="J352" s="413"/>
      <c r="K352" s="413"/>
      <c r="L352" s="413"/>
      <c r="M352" s="413"/>
      <c r="N352" s="413"/>
      <c r="O352" s="413"/>
      <c r="P352" s="413"/>
      <c r="Q352" s="413"/>
      <c r="R352" s="437"/>
      <c r="S352" s="3064"/>
      <c r="T352" s="3065"/>
      <c r="U352" s="3066"/>
      <c r="V352" s="3067"/>
      <c r="W352" s="3066"/>
      <c r="X352" s="3067"/>
      <c r="Y352" s="3066"/>
      <c r="Z352" s="3068"/>
    </row>
    <row r="353" spans="1:26" s="1942" customFormat="1" ht="15" customHeight="1">
      <c r="A353" s="1111" t="s">
        <v>4071</v>
      </c>
      <c r="B353" s="1737" t="e">
        <f ca="1">'House reinf, Inlet Side'!$AI$82</f>
        <v>#REF!</v>
      </c>
      <c r="C353" s="415" t="s">
        <v>136</v>
      </c>
      <c r="D353" s="1120" t="s">
        <v>2604</v>
      </c>
      <c r="E353" s="413"/>
      <c r="F353" s="413"/>
      <c r="G353" s="413"/>
      <c r="H353" s="413"/>
      <c r="I353" s="413"/>
      <c r="J353" s="413"/>
      <c r="K353" s="413"/>
      <c r="L353" s="413"/>
      <c r="M353" s="413"/>
      <c r="N353" s="413"/>
      <c r="O353" s="413"/>
      <c r="P353" s="413"/>
      <c r="Q353" s="413"/>
      <c r="R353" s="437"/>
      <c r="S353" s="3064"/>
      <c r="T353" s="3065"/>
      <c r="U353" s="3066"/>
      <c r="V353" s="3067"/>
      <c r="W353" s="3066"/>
      <c r="X353" s="3067"/>
      <c r="Y353" s="3066"/>
      <c r="Z353" s="3068"/>
    </row>
    <row r="354" spans="1:26" s="1942" customFormat="1" ht="15" customHeight="1" thickBot="1">
      <c r="A354" s="1112" t="s">
        <v>4072</v>
      </c>
      <c r="B354" s="3099" t="e">
        <f ca="1">'House reinf, Inlet Side'!$AJ$82</f>
        <v>#REF!</v>
      </c>
      <c r="C354" s="414" t="s">
        <v>136</v>
      </c>
      <c r="D354" s="1130" t="s">
        <v>2615</v>
      </c>
      <c r="E354" s="1041"/>
      <c r="F354" s="1041"/>
      <c r="G354" s="1041"/>
      <c r="H354" s="1041"/>
      <c r="I354" s="1041"/>
      <c r="J354" s="1041"/>
      <c r="K354" s="1041"/>
      <c r="L354" s="1041"/>
      <c r="M354" s="1041"/>
      <c r="N354" s="1041"/>
      <c r="O354" s="1041"/>
      <c r="P354" s="1041"/>
      <c r="Q354" s="1041"/>
      <c r="R354" s="1042"/>
      <c r="S354" s="3069"/>
      <c r="T354" s="3070"/>
      <c r="U354" s="3071"/>
      <c r="V354" s="3072"/>
      <c r="W354" s="3071"/>
      <c r="X354" s="3072"/>
      <c r="Y354" s="3071"/>
      <c r="Z354" s="3073"/>
    </row>
    <row r="355" spans="1:26" s="1942" customFormat="1" ht="15" customHeight="1" thickBot="1">
      <c r="A355" s="2473" t="s">
        <v>4212</v>
      </c>
      <c r="B355" s="3357">
        <v>0</v>
      </c>
      <c r="C355" s="3358" t="s">
        <v>1114</v>
      </c>
      <c r="D355" s="3323" t="e">
        <f ca="1">'House reinf, Inlet Side'!$Y$71</f>
        <v>#REF!</v>
      </c>
      <c r="E355" s="3642" t="str">
        <f>"L &amp; R (Left &amp; Right); u &amp; l (up &amp; lo) are DRIVE VIEW at zero rotation"</f>
        <v>L &amp; R (Left &amp; Right); u &amp; l (up &amp; lo) are DRIVE VIEW at zero rotation</v>
      </c>
      <c r="F355" s="3642"/>
      <c r="G355" s="3642"/>
      <c r="H355" s="3642"/>
      <c r="I355" s="3642"/>
      <c r="J355" s="3642"/>
      <c r="K355" s="3642"/>
      <c r="L355" s="3642"/>
      <c r="M355" s="3642"/>
      <c r="N355" s="3642"/>
      <c r="O355" s="3642"/>
      <c r="P355" s="3642"/>
      <c r="Q355" s="3642"/>
      <c r="R355" s="3643"/>
      <c r="S355" s="3069"/>
      <c r="T355" s="3070"/>
      <c r="U355" s="3071"/>
      <c r="V355" s="3072"/>
      <c r="W355" s="3071"/>
      <c r="X355" s="3072"/>
      <c r="Y355" s="3071"/>
      <c r="Z355" s="3073"/>
    </row>
    <row r="356" spans="1:26" ht="15" customHeight="1">
      <c r="A356" s="3252" t="s">
        <v>4195</v>
      </c>
      <c r="B356" s="3325" t="e">
        <f ca="1">VLOOKUP($D355,Iron_dim,3,FALSE)</f>
        <v>#REF!</v>
      </c>
      <c r="C356" s="3255" t="s">
        <v>136</v>
      </c>
      <c r="D356" s="3257"/>
      <c r="E356" s="3644"/>
      <c r="F356" s="3644"/>
      <c r="G356" s="3644"/>
      <c r="H356" s="3644"/>
      <c r="I356" s="3644"/>
      <c r="J356" s="3644"/>
      <c r="K356" s="3644"/>
      <c r="L356" s="3644"/>
      <c r="M356" s="3644"/>
      <c r="N356" s="3644"/>
      <c r="O356" s="3644"/>
      <c r="P356" s="3644"/>
      <c r="Q356" s="3644"/>
      <c r="R356" s="3645"/>
      <c r="S356" s="3081"/>
      <c r="T356" s="3082"/>
      <c r="U356" s="3083"/>
      <c r="V356" s="1436"/>
      <c r="W356" s="3083"/>
      <c r="X356" s="1436"/>
      <c r="Y356" s="3083"/>
      <c r="Z356" s="3261"/>
    </row>
    <row r="357" spans="1:26" ht="15" customHeight="1">
      <c r="A357" s="3253" t="s">
        <v>4196</v>
      </c>
      <c r="B357" s="3326" t="e">
        <f ca="1">VLOOKUP($D355,Iron_dim,4,FALSE)</f>
        <v>#REF!</v>
      </c>
      <c r="C357" s="3256" t="s">
        <v>136</v>
      </c>
      <c r="D357" s="3258"/>
      <c r="E357" s="3644"/>
      <c r="F357" s="3644"/>
      <c r="G357" s="3644"/>
      <c r="H357" s="3644"/>
      <c r="I357" s="3644"/>
      <c r="J357" s="3644"/>
      <c r="K357" s="3644"/>
      <c r="L357" s="3644"/>
      <c r="M357" s="3644"/>
      <c r="N357" s="3644"/>
      <c r="O357" s="3644"/>
      <c r="P357" s="3644"/>
      <c r="Q357" s="3644"/>
      <c r="R357" s="3645"/>
      <c r="S357" s="1940"/>
      <c r="Z357" s="1679"/>
    </row>
    <row r="358" spans="1:26" s="1942" customFormat="1" ht="15" customHeight="1">
      <c r="A358" s="1111" t="s">
        <v>3813</v>
      </c>
      <c r="B358" s="1737" t="e">
        <f ca="1">ABS('House reinf, Inlet Side'!$Y$72)</f>
        <v>#REF!</v>
      </c>
      <c r="C358" s="415" t="s">
        <v>136</v>
      </c>
      <c r="D358" s="1120" t="s">
        <v>3803</v>
      </c>
      <c r="E358" s="3644"/>
      <c r="F358" s="3644"/>
      <c r="G358" s="3644"/>
      <c r="H358" s="3644"/>
      <c r="I358" s="3644"/>
      <c r="J358" s="3644"/>
      <c r="K358" s="3644"/>
      <c r="L358" s="3644"/>
      <c r="M358" s="3644"/>
      <c r="N358" s="3644"/>
      <c r="O358" s="3644"/>
      <c r="P358" s="3644"/>
      <c r="Q358" s="3644"/>
      <c r="R358" s="3645"/>
      <c r="S358" s="3064"/>
      <c r="T358" s="3065"/>
      <c r="U358" s="3066"/>
      <c r="V358" s="3067"/>
      <c r="W358" s="3066"/>
      <c r="X358" s="3067"/>
      <c r="Y358" s="3066"/>
      <c r="Z358" s="3068"/>
    </row>
    <row r="359" spans="1:26" s="1942" customFormat="1" ht="15" customHeight="1">
      <c r="A359" s="1111" t="s">
        <v>3814</v>
      </c>
      <c r="B359" s="1737" t="e">
        <f ca="1">ABS('House reinf, Inlet Side'!$Y$75)</f>
        <v>#REF!</v>
      </c>
      <c r="C359" s="415" t="s">
        <v>136</v>
      </c>
      <c r="D359" s="1120" t="s">
        <v>3804</v>
      </c>
      <c r="E359" s="3644"/>
      <c r="F359" s="3644"/>
      <c r="G359" s="3644"/>
      <c r="H359" s="3644"/>
      <c r="I359" s="3644"/>
      <c r="J359" s="3644"/>
      <c r="K359" s="3644"/>
      <c r="L359" s="3644"/>
      <c r="M359" s="3644"/>
      <c r="N359" s="3644"/>
      <c r="O359" s="3644"/>
      <c r="P359" s="3644"/>
      <c r="Q359" s="3644"/>
      <c r="R359" s="3645"/>
      <c r="S359" s="3064"/>
      <c r="T359" s="3065"/>
      <c r="U359" s="3066"/>
      <c r="V359" s="3067"/>
      <c r="W359" s="3066"/>
      <c r="X359" s="3067"/>
      <c r="Y359" s="3066"/>
      <c r="Z359" s="3068"/>
    </row>
    <row r="360" spans="1:26" s="1942" customFormat="1" ht="15" customHeight="1" thickBot="1">
      <c r="A360" s="1111" t="s">
        <v>3821</v>
      </c>
      <c r="B360" s="1737" t="e">
        <f ca="1">ABS('House reinf, Inlet Side'!$Y$73)</f>
        <v>#REF!</v>
      </c>
      <c r="C360" s="415" t="s">
        <v>136</v>
      </c>
      <c r="D360" s="1120" t="s">
        <v>3805</v>
      </c>
      <c r="E360" s="3644"/>
      <c r="F360" s="3644"/>
      <c r="G360" s="3644"/>
      <c r="H360" s="3644"/>
      <c r="I360" s="3644"/>
      <c r="J360" s="3644"/>
      <c r="K360" s="3644"/>
      <c r="L360" s="3644"/>
      <c r="M360" s="3644"/>
      <c r="N360" s="3644"/>
      <c r="O360" s="3644"/>
      <c r="P360" s="3644"/>
      <c r="Q360" s="3644"/>
      <c r="R360" s="3645"/>
      <c r="S360" s="3064"/>
      <c r="T360" s="3065"/>
      <c r="U360" s="3066"/>
      <c r="V360" s="3067"/>
      <c r="W360" s="3066"/>
      <c r="X360" s="3067"/>
      <c r="Y360" s="3066"/>
      <c r="Z360" s="3068"/>
    </row>
    <row r="361" spans="1:26" s="1942" customFormat="1" ht="15" customHeight="1" thickBot="1">
      <c r="A361" s="2251" t="s">
        <v>4213</v>
      </c>
      <c r="B361" s="3359">
        <v>0</v>
      </c>
      <c r="C361" s="3360" t="s">
        <v>1114</v>
      </c>
      <c r="D361" s="3324" t="e">
        <f ca="1">'House reinf, Inlet Side'!$AA$71</f>
        <v>#REF!</v>
      </c>
      <c r="E361" s="3644"/>
      <c r="F361" s="3644"/>
      <c r="G361" s="3644"/>
      <c r="H361" s="3644"/>
      <c r="I361" s="3644"/>
      <c r="J361" s="3644"/>
      <c r="K361" s="3644"/>
      <c r="L361" s="3644"/>
      <c r="M361" s="3644"/>
      <c r="N361" s="3644"/>
      <c r="O361" s="3644"/>
      <c r="P361" s="3644"/>
      <c r="Q361" s="3644"/>
      <c r="R361" s="3645"/>
      <c r="S361" s="3064"/>
      <c r="T361" s="3065"/>
      <c r="U361" s="3066"/>
      <c r="V361" s="3067"/>
      <c r="W361" s="3066"/>
      <c r="X361" s="3067"/>
      <c r="Y361" s="3066"/>
      <c r="Z361" s="3068"/>
    </row>
    <row r="362" spans="1:26" ht="15" customHeight="1">
      <c r="A362" s="3252" t="s">
        <v>4197</v>
      </c>
      <c r="B362" s="3325" t="e">
        <f ca="1">VLOOKUP($D361,Iron_dim,3,FALSE)</f>
        <v>#REF!</v>
      </c>
      <c r="C362" s="3255" t="s">
        <v>136</v>
      </c>
      <c r="D362" s="3257"/>
      <c r="E362" s="3644"/>
      <c r="F362" s="3644"/>
      <c r="G362" s="3644"/>
      <c r="H362" s="3644"/>
      <c r="I362" s="3644"/>
      <c r="J362" s="3644"/>
      <c r="K362" s="3644"/>
      <c r="L362" s="3644"/>
      <c r="M362" s="3644"/>
      <c r="N362" s="3644"/>
      <c r="O362" s="3644"/>
      <c r="P362" s="3644"/>
      <c r="Q362" s="3644"/>
      <c r="R362" s="3645"/>
      <c r="S362" s="3081"/>
      <c r="T362" s="3082"/>
      <c r="U362" s="3083"/>
      <c r="V362" s="1436"/>
      <c r="W362" s="3083"/>
      <c r="X362" s="1436"/>
      <c r="Y362" s="3083"/>
      <c r="Z362" s="3261"/>
    </row>
    <row r="363" spans="1:26" ht="15" customHeight="1">
      <c r="A363" s="3253" t="s">
        <v>4198</v>
      </c>
      <c r="B363" s="3326" t="e">
        <f ca="1">VLOOKUP($D361,Iron_dim,4,FALSE)</f>
        <v>#REF!</v>
      </c>
      <c r="C363" s="3256" t="s">
        <v>136</v>
      </c>
      <c r="D363" s="3258"/>
      <c r="E363" s="3644"/>
      <c r="F363" s="3644"/>
      <c r="G363" s="3644"/>
      <c r="H363" s="3644"/>
      <c r="I363" s="3644"/>
      <c r="J363" s="3644"/>
      <c r="K363" s="3644"/>
      <c r="L363" s="3644"/>
      <c r="M363" s="3644"/>
      <c r="N363" s="3644"/>
      <c r="O363" s="3644"/>
      <c r="P363" s="3644"/>
      <c r="Q363" s="3644"/>
      <c r="R363" s="3645"/>
      <c r="S363" s="1940"/>
      <c r="Z363" s="1679"/>
    </row>
    <row r="364" spans="1:26" s="1942" customFormat="1" ht="15" customHeight="1">
      <c r="A364" s="1111" t="s">
        <v>3815</v>
      </c>
      <c r="B364" s="1737" t="e">
        <f ca="1">ABS('House reinf, Inlet Side'!$AA$72)</f>
        <v>#REF!</v>
      </c>
      <c r="C364" s="415" t="s">
        <v>136</v>
      </c>
      <c r="D364" s="1120" t="s">
        <v>3806</v>
      </c>
      <c r="E364" s="3644"/>
      <c r="F364" s="3644"/>
      <c r="G364" s="3644"/>
      <c r="H364" s="3644"/>
      <c r="I364" s="3644"/>
      <c r="J364" s="3644"/>
      <c r="K364" s="3644"/>
      <c r="L364" s="3644"/>
      <c r="M364" s="3644"/>
      <c r="N364" s="3644"/>
      <c r="O364" s="3644"/>
      <c r="P364" s="3644"/>
      <c r="Q364" s="3644"/>
      <c r="R364" s="3645"/>
      <c r="S364" s="3064"/>
      <c r="T364" s="3065"/>
      <c r="U364" s="3066"/>
      <c r="V364" s="3067"/>
      <c r="W364" s="3066"/>
      <c r="X364" s="3067"/>
      <c r="Y364" s="3066"/>
      <c r="Z364" s="3068"/>
    </row>
    <row r="365" spans="1:26" s="1942" customFormat="1" ht="15" customHeight="1">
      <c r="A365" s="1111" t="s">
        <v>3816</v>
      </c>
      <c r="B365" s="1737" t="e">
        <f ca="1">ABS('House reinf, Inlet Side'!$AA$75)</f>
        <v>#REF!</v>
      </c>
      <c r="C365" s="415" t="s">
        <v>136</v>
      </c>
      <c r="D365" s="1120" t="s">
        <v>3807</v>
      </c>
      <c r="E365" s="3644"/>
      <c r="F365" s="3644"/>
      <c r="G365" s="3644"/>
      <c r="H365" s="3644"/>
      <c r="I365" s="3644"/>
      <c r="J365" s="3644"/>
      <c r="K365" s="3644"/>
      <c r="L365" s="3644"/>
      <c r="M365" s="3644"/>
      <c r="N365" s="3644"/>
      <c r="O365" s="3644"/>
      <c r="P365" s="3644"/>
      <c r="Q365" s="3644"/>
      <c r="R365" s="3645"/>
      <c r="S365" s="3064"/>
      <c r="T365" s="3065"/>
      <c r="U365" s="3066"/>
      <c r="V365" s="3067"/>
      <c r="W365" s="3066"/>
      <c r="X365" s="3067"/>
      <c r="Y365" s="3066"/>
      <c r="Z365" s="3068"/>
    </row>
    <row r="366" spans="1:26" s="1942" customFormat="1" ht="15" customHeight="1" thickBot="1">
      <c r="A366" s="1111" t="s">
        <v>3822</v>
      </c>
      <c r="B366" s="1737" t="e">
        <f ca="1">ABS('House reinf, Inlet Side'!$AA$73)</f>
        <v>#REF!</v>
      </c>
      <c r="C366" s="415" t="s">
        <v>136</v>
      </c>
      <c r="D366" s="1120" t="s">
        <v>3808</v>
      </c>
      <c r="E366" s="3644"/>
      <c r="F366" s="3644"/>
      <c r="G366" s="3644"/>
      <c r="H366" s="3644"/>
      <c r="I366" s="3644"/>
      <c r="J366" s="3644"/>
      <c r="K366" s="3644"/>
      <c r="L366" s="3644"/>
      <c r="M366" s="3644"/>
      <c r="N366" s="3644"/>
      <c r="O366" s="3644"/>
      <c r="P366" s="3644"/>
      <c r="Q366" s="3644"/>
      <c r="R366" s="3645"/>
      <c r="S366" s="3064"/>
      <c r="T366" s="3065"/>
      <c r="U366" s="3066"/>
      <c r="V366" s="3067"/>
      <c r="W366" s="3066"/>
      <c r="X366" s="3067"/>
      <c r="Y366" s="3066"/>
      <c r="Z366" s="3068"/>
    </row>
    <row r="367" spans="1:26" s="1942" customFormat="1" ht="15" customHeight="1" thickBot="1">
      <c r="A367" s="2251" t="s">
        <v>4214</v>
      </c>
      <c r="B367" s="3359">
        <v>0</v>
      </c>
      <c r="C367" s="3360" t="s">
        <v>1114</v>
      </c>
      <c r="D367" s="3324" t="e">
        <f ca="1">'House reinf, Inlet Side'!$AC$71</f>
        <v>#REF!</v>
      </c>
      <c r="E367" s="3644"/>
      <c r="F367" s="3644"/>
      <c r="G367" s="3644"/>
      <c r="H367" s="3644"/>
      <c r="I367" s="3644"/>
      <c r="J367" s="3644"/>
      <c r="K367" s="3644"/>
      <c r="L367" s="3644"/>
      <c r="M367" s="3644"/>
      <c r="N367" s="3644"/>
      <c r="O367" s="3644"/>
      <c r="P367" s="3644"/>
      <c r="Q367" s="3644"/>
      <c r="R367" s="3645"/>
      <c r="S367" s="3064"/>
      <c r="T367" s="3065"/>
      <c r="U367" s="3066"/>
      <c r="V367" s="3067"/>
      <c r="W367" s="3066"/>
      <c r="X367" s="3067"/>
      <c r="Y367" s="3066"/>
      <c r="Z367" s="3068"/>
    </row>
    <row r="368" spans="1:26" ht="15" customHeight="1">
      <c r="A368" s="3252" t="s">
        <v>4199</v>
      </c>
      <c r="B368" s="3325" t="e">
        <f ca="1">VLOOKUP($D367,Iron_dim,3,FALSE)</f>
        <v>#REF!</v>
      </c>
      <c r="C368" s="3255" t="s">
        <v>136</v>
      </c>
      <c r="D368" s="3257"/>
      <c r="E368" s="3644"/>
      <c r="F368" s="3644"/>
      <c r="G368" s="3644"/>
      <c r="H368" s="3644"/>
      <c r="I368" s="3644"/>
      <c r="J368" s="3644"/>
      <c r="K368" s="3644"/>
      <c r="L368" s="3644"/>
      <c r="M368" s="3644"/>
      <c r="N368" s="3644"/>
      <c r="O368" s="3644"/>
      <c r="P368" s="3644"/>
      <c r="Q368" s="3644"/>
      <c r="R368" s="3645"/>
      <c r="S368" s="3081"/>
      <c r="T368" s="3082"/>
      <c r="U368" s="3083"/>
      <c r="V368" s="1436"/>
      <c r="W368" s="3083"/>
      <c r="X368" s="1436"/>
      <c r="Y368" s="3083"/>
      <c r="Z368" s="3261"/>
    </row>
    <row r="369" spans="1:26" ht="15" customHeight="1">
      <c r="A369" s="3253" t="s">
        <v>4200</v>
      </c>
      <c r="B369" s="3326" t="e">
        <f ca="1">VLOOKUP($D367,Iron_dim,4,FALSE)</f>
        <v>#REF!</v>
      </c>
      <c r="C369" s="3256" t="s">
        <v>136</v>
      </c>
      <c r="D369" s="3258"/>
      <c r="E369" s="3644"/>
      <c r="F369" s="3644"/>
      <c r="G369" s="3644"/>
      <c r="H369" s="3644"/>
      <c r="I369" s="3644"/>
      <c r="J369" s="3644"/>
      <c r="K369" s="3644"/>
      <c r="L369" s="3644"/>
      <c r="M369" s="3644"/>
      <c r="N369" s="3644"/>
      <c r="O369" s="3644"/>
      <c r="P369" s="3644"/>
      <c r="Q369" s="3644"/>
      <c r="R369" s="3645"/>
      <c r="S369" s="1940"/>
      <c r="Z369" s="1679"/>
    </row>
    <row r="370" spans="1:26" s="1942" customFormat="1" ht="15" customHeight="1">
      <c r="A370" s="1111" t="s">
        <v>3817</v>
      </c>
      <c r="B370" s="1737" t="e">
        <f ca="1">ABS('House reinf, Inlet Side'!$AC$72)</f>
        <v>#REF!</v>
      </c>
      <c r="C370" s="415" t="s">
        <v>136</v>
      </c>
      <c r="D370" s="1120" t="s">
        <v>3809</v>
      </c>
      <c r="E370" s="3644"/>
      <c r="F370" s="3644"/>
      <c r="G370" s="3644"/>
      <c r="H370" s="3644"/>
      <c r="I370" s="3644"/>
      <c r="J370" s="3644"/>
      <c r="K370" s="3644"/>
      <c r="L370" s="3644"/>
      <c r="M370" s="3644"/>
      <c r="N370" s="3644"/>
      <c r="O370" s="3644"/>
      <c r="P370" s="3644"/>
      <c r="Q370" s="3644"/>
      <c r="R370" s="3645"/>
      <c r="S370" s="3064"/>
      <c r="T370" s="3065"/>
      <c r="U370" s="3066"/>
      <c r="V370" s="3067"/>
      <c r="W370" s="3066"/>
      <c r="X370" s="3067"/>
      <c r="Y370" s="3066"/>
      <c r="Z370" s="3068"/>
    </row>
    <row r="371" spans="1:26" s="1942" customFormat="1" ht="15" customHeight="1">
      <c r="A371" s="1111" t="s">
        <v>3818</v>
      </c>
      <c r="B371" s="1737" t="e">
        <f ca="1">ABS('House reinf, Inlet Side'!$AC$75)</f>
        <v>#REF!</v>
      </c>
      <c r="C371" s="415" t="s">
        <v>136</v>
      </c>
      <c r="D371" s="1120" t="s">
        <v>3810</v>
      </c>
      <c r="E371" s="3644"/>
      <c r="F371" s="3644"/>
      <c r="G371" s="3644"/>
      <c r="H371" s="3644"/>
      <c r="I371" s="3644"/>
      <c r="J371" s="3644"/>
      <c r="K371" s="3644"/>
      <c r="L371" s="3644"/>
      <c r="M371" s="3644"/>
      <c r="N371" s="3644"/>
      <c r="O371" s="3644"/>
      <c r="P371" s="3644"/>
      <c r="Q371" s="3644"/>
      <c r="R371" s="3645"/>
      <c r="S371" s="3064"/>
      <c r="T371" s="3065"/>
      <c r="U371" s="3066"/>
      <c r="V371" s="3067"/>
      <c r="W371" s="3066"/>
      <c r="X371" s="3067"/>
      <c r="Y371" s="3066"/>
      <c r="Z371" s="3068"/>
    </row>
    <row r="372" spans="1:26" s="1942" customFormat="1" ht="15" customHeight="1" thickBot="1">
      <c r="A372" s="1111" t="s">
        <v>4377</v>
      </c>
      <c r="B372" s="1737" t="e">
        <f ca="1">ABS('House reinf, Inlet Side'!$AC$73)</f>
        <v>#REF!</v>
      </c>
      <c r="C372" s="415" t="s">
        <v>136</v>
      </c>
      <c r="D372" s="1120" t="s">
        <v>4378</v>
      </c>
      <c r="E372" s="3644"/>
      <c r="F372" s="3644"/>
      <c r="G372" s="3644"/>
      <c r="H372" s="3644"/>
      <c r="I372" s="3644"/>
      <c r="J372" s="3644"/>
      <c r="K372" s="3644"/>
      <c r="L372" s="3644"/>
      <c r="M372" s="3644"/>
      <c r="N372" s="3644"/>
      <c r="O372" s="3644"/>
      <c r="P372" s="3644"/>
      <c r="Q372" s="3644"/>
      <c r="R372" s="3645"/>
      <c r="S372" s="3064"/>
      <c r="T372" s="3065"/>
      <c r="U372" s="3066"/>
      <c r="V372" s="3067"/>
      <c r="W372" s="3066"/>
      <c r="X372" s="3067"/>
      <c r="Y372" s="3066"/>
      <c r="Z372" s="3068"/>
    </row>
    <row r="373" spans="1:26" s="1942" customFormat="1" ht="15" customHeight="1" thickBot="1">
      <c r="A373" s="2251" t="s">
        <v>4215</v>
      </c>
      <c r="B373" s="3359">
        <v>0</v>
      </c>
      <c r="C373" s="3360" t="s">
        <v>1114</v>
      </c>
      <c r="D373" s="3324" t="e">
        <f ca="1">'House reinf, Inlet Side'!$AE$71</f>
        <v>#REF!</v>
      </c>
      <c r="E373" s="3644"/>
      <c r="F373" s="3644"/>
      <c r="G373" s="3644"/>
      <c r="H373" s="3644"/>
      <c r="I373" s="3644"/>
      <c r="J373" s="3644"/>
      <c r="K373" s="3644"/>
      <c r="L373" s="3644"/>
      <c r="M373" s="3644"/>
      <c r="N373" s="3644"/>
      <c r="O373" s="3644"/>
      <c r="P373" s="3644"/>
      <c r="Q373" s="3644"/>
      <c r="R373" s="3645"/>
      <c r="S373" s="3064"/>
      <c r="T373" s="3065"/>
      <c r="U373" s="3066"/>
      <c r="V373" s="3067"/>
      <c r="W373" s="3066"/>
      <c r="X373" s="3067"/>
      <c r="Y373" s="3066"/>
      <c r="Z373" s="3068"/>
    </row>
    <row r="374" spans="1:26" ht="15" customHeight="1">
      <c r="A374" s="3252" t="s">
        <v>4201</v>
      </c>
      <c r="B374" s="3325" t="e">
        <f ca="1">VLOOKUP($D373,Iron_dim,3,FALSE)</f>
        <v>#REF!</v>
      </c>
      <c r="C374" s="3255" t="s">
        <v>136</v>
      </c>
      <c r="D374" s="3257"/>
      <c r="E374" s="3644"/>
      <c r="F374" s="3644"/>
      <c r="G374" s="3644"/>
      <c r="H374" s="3644"/>
      <c r="I374" s="3644"/>
      <c r="J374" s="3644"/>
      <c r="K374" s="3644"/>
      <c r="L374" s="3644"/>
      <c r="M374" s="3644"/>
      <c r="N374" s="3644"/>
      <c r="O374" s="3644"/>
      <c r="P374" s="3644"/>
      <c r="Q374" s="3644"/>
      <c r="R374" s="3645"/>
      <c r="S374" s="3081"/>
      <c r="T374" s="3082"/>
      <c r="U374" s="3083"/>
      <c r="V374" s="1436"/>
      <c r="W374" s="3083"/>
      <c r="X374" s="1436"/>
      <c r="Y374" s="3083"/>
      <c r="Z374" s="3261"/>
    </row>
    <row r="375" spans="1:26" ht="15" customHeight="1">
      <c r="A375" s="3253" t="s">
        <v>4202</v>
      </c>
      <c r="B375" s="3326" t="e">
        <f ca="1">VLOOKUP($D373,Iron_dim,4,FALSE)</f>
        <v>#REF!</v>
      </c>
      <c r="C375" s="3256" t="s">
        <v>136</v>
      </c>
      <c r="D375" s="3258"/>
      <c r="E375" s="3644"/>
      <c r="F375" s="3644"/>
      <c r="G375" s="3644"/>
      <c r="H375" s="3644"/>
      <c r="I375" s="3644"/>
      <c r="J375" s="3644"/>
      <c r="K375" s="3644"/>
      <c r="L375" s="3644"/>
      <c r="M375" s="3644"/>
      <c r="N375" s="3644"/>
      <c r="O375" s="3644"/>
      <c r="P375" s="3644"/>
      <c r="Q375" s="3644"/>
      <c r="R375" s="3645"/>
      <c r="S375" s="1940"/>
      <c r="Z375" s="1679"/>
    </row>
    <row r="376" spans="1:26" s="1942" customFormat="1" ht="15" customHeight="1">
      <c r="A376" s="1111" t="s">
        <v>3819</v>
      </c>
      <c r="B376" s="1737" t="e">
        <f ca="1">ABS('House reinf, Inlet Side'!$AE$72)</f>
        <v>#REF!</v>
      </c>
      <c r="C376" s="415" t="s">
        <v>136</v>
      </c>
      <c r="D376" s="1120" t="s">
        <v>3811</v>
      </c>
      <c r="E376" s="3644"/>
      <c r="F376" s="3644"/>
      <c r="G376" s="3644"/>
      <c r="H376" s="3644"/>
      <c r="I376" s="3644"/>
      <c r="J376" s="3644"/>
      <c r="K376" s="3644"/>
      <c r="L376" s="3644"/>
      <c r="M376" s="3644"/>
      <c r="N376" s="3644"/>
      <c r="O376" s="3644"/>
      <c r="P376" s="3644"/>
      <c r="Q376" s="3644"/>
      <c r="R376" s="3645"/>
      <c r="S376" s="3064"/>
      <c r="T376" s="3065"/>
      <c r="U376" s="3066"/>
      <c r="V376" s="3067"/>
      <c r="W376" s="3066"/>
      <c r="X376" s="3067"/>
      <c r="Y376" s="3066"/>
      <c r="Z376" s="3068"/>
    </row>
    <row r="377" spans="1:26" s="1942" customFormat="1" ht="15" customHeight="1">
      <c r="A377" s="1111" t="s">
        <v>3820</v>
      </c>
      <c r="B377" s="1737" t="e">
        <f ca="1">ABS('House reinf, Inlet Side'!$AE$75)</f>
        <v>#REF!</v>
      </c>
      <c r="C377" s="415" t="s">
        <v>136</v>
      </c>
      <c r="D377" s="1120" t="s">
        <v>3812</v>
      </c>
      <c r="E377" s="3644"/>
      <c r="F377" s="3644"/>
      <c r="G377" s="3644"/>
      <c r="H377" s="3644"/>
      <c r="I377" s="3644"/>
      <c r="J377" s="3644"/>
      <c r="K377" s="3644"/>
      <c r="L377" s="3644"/>
      <c r="M377" s="3644"/>
      <c r="N377" s="3644"/>
      <c r="O377" s="3644"/>
      <c r="P377" s="3644"/>
      <c r="Q377" s="3644"/>
      <c r="R377" s="3645"/>
      <c r="S377" s="3064"/>
      <c r="T377" s="3065"/>
      <c r="U377" s="3066"/>
      <c r="V377" s="3067"/>
      <c r="W377" s="3066"/>
      <c r="X377" s="3067"/>
      <c r="Y377" s="3066"/>
      <c r="Z377" s="3068"/>
    </row>
    <row r="378" spans="1:26" s="1942" customFormat="1" ht="15" customHeight="1" thickBot="1">
      <c r="A378" s="1111" t="s">
        <v>4379</v>
      </c>
      <c r="B378" s="1737" t="e">
        <f ca="1">ABS('House reinf, Inlet Side'!$AE$73)</f>
        <v>#REF!</v>
      </c>
      <c r="C378" s="415" t="s">
        <v>136</v>
      </c>
      <c r="D378" s="1120" t="s">
        <v>4380</v>
      </c>
      <c r="E378" s="3644"/>
      <c r="F378" s="3644"/>
      <c r="G378" s="3644"/>
      <c r="H378" s="3644"/>
      <c r="I378" s="3644"/>
      <c r="J378" s="3644"/>
      <c r="K378" s="3644"/>
      <c r="L378" s="3644"/>
      <c r="M378" s="3644"/>
      <c r="N378" s="3644"/>
      <c r="O378" s="3644"/>
      <c r="P378" s="3644"/>
      <c r="Q378" s="3644"/>
      <c r="R378" s="3645"/>
      <c r="S378" s="3064"/>
      <c r="T378" s="3065"/>
      <c r="U378" s="3066"/>
      <c r="V378" s="3067"/>
      <c r="W378" s="3066"/>
      <c r="X378" s="3067"/>
      <c r="Y378" s="3066"/>
      <c r="Z378" s="3068"/>
    </row>
    <row r="379" spans="1:26" s="1942" customFormat="1" ht="15" customHeight="1" thickBot="1">
      <c r="A379" s="2251" t="s">
        <v>4216</v>
      </c>
      <c r="B379" s="3359">
        <v>0</v>
      </c>
      <c r="C379" s="3360" t="s">
        <v>1114</v>
      </c>
      <c r="D379" s="3324" t="e">
        <f ca="1">'House reinf, Inlet Side'!$AG$71</f>
        <v>#REF!</v>
      </c>
      <c r="E379" s="3644"/>
      <c r="F379" s="3644"/>
      <c r="G379" s="3644"/>
      <c r="H379" s="3644"/>
      <c r="I379" s="3644"/>
      <c r="J379" s="3644"/>
      <c r="K379" s="3644"/>
      <c r="L379" s="3644"/>
      <c r="M379" s="3644"/>
      <c r="N379" s="3644"/>
      <c r="O379" s="3644"/>
      <c r="P379" s="3644"/>
      <c r="Q379" s="3644"/>
      <c r="R379" s="3645"/>
      <c r="S379" s="3064"/>
      <c r="T379" s="3065"/>
      <c r="U379" s="3066"/>
      <c r="V379" s="3067"/>
      <c r="W379" s="3066"/>
      <c r="X379" s="3067"/>
      <c r="Y379" s="3066"/>
      <c r="Z379" s="3068"/>
    </row>
    <row r="380" spans="1:26" ht="15" customHeight="1">
      <c r="A380" s="3252" t="s">
        <v>4271</v>
      </c>
      <c r="B380" s="3325" t="e">
        <f ca="1">VLOOKUP($D379,Iron_dim,3,FALSE)</f>
        <v>#REF!</v>
      </c>
      <c r="C380" s="3255" t="s">
        <v>136</v>
      </c>
      <c r="D380" s="3257"/>
      <c r="E380" s="3644"/>
      <c r="F380" s="3644"/>
      <c r="G380" s="3644"/>
      <c r="H380" s="3644"/>
      <c r="I380" s="3644"/>
      <c r="J380" s="3644"/>
      <c r="K380" s="3644"/>
      <c r="L380" s="3644"/>
      <c r="M380" s="3644"/>
      <c r="N380" s="3644"/>
      <c r="O380" s="3644"/>
      <c r="P380" s="3644"/>
      <c r="Q380" s="3644"/>
      <c r="R380" s="3645"/>
      <c r="S380" s="3081"/>
      <c r="T380" s="3082"/>
      <c r="U380" s="3083"/>
      <c r="V380" s="1436"/>
      <c r="W380" s="3083"/>
      <c r="X380" s="1436"/>
      <c r="Y380" s="3083"/>
      <c r="Z380" s="3261"/>
    </row>
    <row r="381" spans="1:26" ht="15" customHeight="1">
      <c r="A381" s="3253" t="s">
        <v>4272</v>
      </c>
      <c r="B381" s="3326" t="e">
        <f ca="1">VLOOKUP($D379,Iron_dim,4,FALSE)</f>
        <v>#REF!</v>
      </c>
      <c r="C381" s="3256" t="s">
        <v>136</v>
      </c>
      <c r="D381" s="3258"/>
      <c r="E381" s="3644"/>
      <c r="F381" s="3644"/>
      <c r="G381" s="3644"/>
      <c r="H381" s="3644"/>
      <c r="I381" s="3644"/>
      <c r="J381" s="3644"/>
      <c r="K381" s="3644"/>
      <c r="L381" s="3644"/>
      <c r="M381" s="3644"/>
      <c r="N381" s="3644"/>
      <c r="O381" s="3644"/>
      <c r="P381" s="3644"/>
      <c r="Q381" s="3644"/>
      <c r="R381" s="3645"/>
      <c r="S381" s="1940"/>
      <c r="Z381" s="1679"/>
    </row>
    <row r="382" spans="1:26" s="1131" customFormat="1" ht="15" customHeight="1">
      <c r="A382" s="1111" t="s">
        <v>4104</v>
      </c>
      <c r="B382" s="1737" t="e">
        <f ca="1">ABS('House reinf, Inlet Side'!$AG$72)</f>
        <v>#REF!</v>
      </c>
      <c r="C382" s="415" t="s">
        <v>136</v>
      </c>
      <c r="D382" s="1120" t="s">
        <v>4104</v>
      </c>
      <c r="E382" s="3644"/>
      <c r="F382" s="3644"/>
      <c r="G382" s="3644"/>
      <c r="H382" s="3644"/>
      <c r="I382" s="3644"/>
      <c r="J382" s="3644"/>
      <c r="K382" s="3644"/>
      <c r="L382" s="3644"/>
      <c r="M382" s="3644"/>
      <c r="N382" s="3644"/>
      <c r="O382" s="3644"/>
      <c r="P382" s="3644"/>
      <c r="Q382" s="3644"/>
      <c r="R382" s="3645"/>
      <c r="S382" s="3064"/>
      <c r="T382" s="3065"/>
      <c r="U382" s="3066"/>
      <c r="V382" s="3067"/>
      <c r="W382" s="3066"/>
      <c r="X382" s="3067"/>
      <c r="Y382" s="3066"/>
      <c r="Z382" s="3068"/>
    </row>
    <row r="383" spans="1:26" s="1942" customFormat="1" ht="15" customHeight="1">
      <c r="A383" s="1111" t="s">
        <v>4112</v>
      </c>
      <c r="B383" s="1737" t="e">
        <f ca="1">ABS('House reinf, Inlet Side'!$AG$75)</f>
        <v>#REF!</v>
      </c>
      <c r="C383" s="415" t="s">
        <v>136</v>
      </c>
      <c r="D383" s="1120" t="s">
        <v>4112</v>
      </c>
      <c r="E383" s="3644"/>
      <c r="F383" s="3644"/>
      <c r="G383" s="3644"/>
      <c r="H383" s="3644"/>
      <c r="I383" s="3644"/>
      <c r="J383" s="3644"/>
      <c r="K383" s="3644"/>
      <c r="L383" s="3644"/>
      <c r="M383" s="3644"/>
      <c r="N383" s="3644"/>
      <c r="O383" s="3644"/>
      <c r="P383" s="3644"/>
      <c r="Q383" s="3644"/>
      <c r="R383" s="3645"/>
      <c r="S383" s="3064"/>
      <c r="T383" s="3065"/>
      <c r="U383" s="3066"/>
      <c r="V383" s="3067"/>
      <c r="W383" s="3066"/>
      <c r="X383" s="3067"/>
      <c r="Y383" s="3066"/>
      <c r="Z383" s="3068"/>
    </row>
    <row r="384" spans="1:26" s="1942" customFormat="1" ht="15" customHeight="1" thickBot="1">
      <c r="A384" s="1111" t="s">
        <v>4108</v>
      </c>
      <c r="B384" s="1737" t="e">
        <f ca="1">ABS('House reinf, Inlet Side'!$AG$73)</f>
        <v>#REF!</v>
      </c>
      <c r="C384" s="415" t="s">
        <v>136</v>
      </c>
      <c r="D384" s="1120" t="s">
        <v>4108</v>
      </c>
      <c r="E384" s="3644"/>
      <c r="F384" s="3644"/>
      <c r="G384" s="3644"/>
      <c r="H384" s="3644"/>
      <c r="I384" s="3644"/>
      <c r="J384" s="3644"/>
      <c r="K384" s="3644"/>
      <c r="L384" s="3644"/>
      <c r="M384" s="3644"/>
      <c r="N384" s="3644"/>
      <c r="O384" s="3644"/>
      <c r="P384" s="3644"/>
      <c r="Q384" s="3644"/>
      <c r="R384" s="3645"/>
      <c r="S384" s="3064"/>
      <c r="T384" s="3065"/>
      <c r="U384" s="3066"/>
      <c r="V384" s="3067"/>
      <c r="W384" s="3066"/>
      <c r="X384" s="3067"/>
      <c r="Y384" s="3066"/>
      <c r="Z384" s="3068"/>
    </row>
    <row r="385" spans="1:26" s="1942" customFormat="1" ht="15" customHeight="1" thickBot="1">
      <c r="A385" s="2251" t="s">
        <v>4279</v>
      </c>
      <c r="B385" s="3359">
        <v>0</v>
      </c>
      <c r="C385" s="3360" t="s">
        <v>1114</v>
      </c>
      <c r="D385" s="3324" t="e">
        <f ca="1">'House reinf, Inlet Side'!$AH$71</f>
        <v>#REF!</v>
      </c>
      <c r="E385" s="3644"/>
      <c r="F385" s="3644"/>
      <c r="G385" s="3644"/>
      <c r="H385" s="3644"/>
      <c r="I385" s="3644"/>
      <c r="J385" s="3644"/>
      <c r="K385" s="3644"/>
      <c r="L385" s="3644"/>
      <c r="M385" s="3644"/>
      <c r="N385" s="3644"/>
      <c r="O385" s="3644"/>
      <c r="P385" s="3644"/>
      <c r="Q385" s="3644"/>
      <c r="R385" s="3645"/>
      <c r="S385" s="3064"/>
      <c r="T385" s="3065"/>
      <c r="U385" s="3066"/>
      <c r="V385" s="3067"/>
      <c r="W385" s="3066"/>
      <c r="X385" s="3067"/>
      <c r="Y385" s="3066"/>
      <c r="Z385" s="3068"/>
    </row>
    <row r="386" spans="1:26" ht="15" customHeight="1">
      <c r="A386" s="3252" t="s">
        <v>4273</v>
      </c>
      <c r="B386" s="3325" t="e">
        <f ca="1">VLOOKUP($D385,Iron_dim,3,FALSE)</f>
        <v>#REF!</v>
      </c>
      <c r="C386" s="3255" t="s">
        <v>136</v>
      </c>
      <c r="D386" s="3257"/>
      <c r="E386" s="3644"/>
      <c r="F386" s="3644"/>
      <c r="G386" s="3644"/>
      <c r="H386" s="3644"/>
      <c r="I386" s="3644"/>
      <c r="J386" s="3644"/>
      <c r="K386" s="3644"/>
      <c r="L386" s="3644"/>
      <c r="M386" s="3644"/>
      <c r="N386" s="3644"/>
      <c r="O386" s="3644"/>
      <c r="P386" s="3644"/>
      <c r="Q386" s="3644"/>
      <c r="R386" s="3645"/>
      <c r="S386" s="3081"/>
      <c r="T386" s="3082"/>
      <c r="U386" s="3083"/>
      <c r="V386" s="1436"/>
      <c r="W386" s="3083"/>
      <c r="X386" s="1436"/>
      <c r="Y386" s="3083"/>
      <c r="Z386" s="3261"/>
    </row>
    <row r="387" spans="1:26" ht="15" customHeight="1">
      <c r="A387" s="3253" t="s">
        <v>4274</v>
      </c>
      <c r="B387" s="3326" t="e">
        <f ca="1">VLOOKUP($D385,Iron_dim,4,FALSE)</f>
        <v>#REF!</v>
      </c>
      <c r="C387" s="3256" t="s">
        <v>136</v>
      </c>
      <c r="D387" s="3258"/>
      <c r="E387" s="3644"/>
      <c r="F387" s="3644"/>
      <c r="G387" s="3644"/>
      <c r="H387" s="3644"/>
      <c r="I387" s="3644"/>
      <c r="J387" s="3644"/>
      <c r="K387" s="3644"/>
      <c r="L387" s="3644"/>
      <c r="M387" s="3644"/>
      <c r="N387" s="3644"/>
      <c r="O387" s="3644"/>
      <c r="P387" s="3644"/>
      <c r="Q387" s="3644"/>
      <c r="R387" s="3645"/>
      <c r="S387" s="1940"/>
      <c r="Z387" s="1679"/>
    </row>
    <row r="388" spans="1:26" s="1942" customFormat="1" ht="15" customHeight="1">
      <c r="A388" s="1111" t="s">
        <v>4105</v>
      </c>
      <c r="B388" s="1737" t="e">
        <f ca="1">ABS('House reinf, Inlet Side'!$AH$72)</f>
        <v>#REF!</v>
      </c>
      <c r="C388" s="415" t="s">
        <v>136</v>
      </c>
      <c r="D388" s="1120" t="s">
        <v>4105</v>
      </c>
      <c r="E388" s="3644"/>
      <c r="F388" s="3644"/>
      <c r="G388" s="3644"/>
      <c r="H388" s="3644"/>
      <c r="I388" s="3644"/>
      <c r="J388" s="3644"/>
      <c r="K388" s="3644"/>
      <c r="L388" s="3644"/>
      <c r="M388" s="3644"/>
      <c r="N388" s="3644"/>
      <c r="O388" s="3644"/>
      <c r="P388" s="3644"/>
      <c r="Q388" s="3644"/>
      <c r="R388" s="3645"/>
      <c r="S388" s="3064"/>
      <c r="T388" s="3065"/>
      <c r="U388" s="3066"/>
      <c r="V388" s="3067"/>
      <c r="W388" s="3066"/>
      <c r="X388" s="3067"/>
      <c r="Y388" s="3066"/>
      <c r="Z388" s="3068"/>
    </row>
    <row r="389" spans="1:26" s="1942" customFormat="1" ht="15" customHeight="1">
      <c r="A389" s="1111" t="s">
        <v>4113</v>
      </c>
      <c r="B389" s="1737" t="e">
        <f ca="1">IF(Small_F,ABS('House reinf, Drive Side'!$AH$75),ABS('House reinf, Inlet Side'!$AH$75))</f>
        <v>#REF!</v>
      </c>
      <c r="C389" s="415" t="s">
        <v>136</v>
      </c>
      <c r="D389" s="1120" t="s">
        <v>4113</v>
      </c>
      <c r="E389" s="3644"/>
      <c r="F389" s="3644"/>
      <c r="G389" s="3644"/>
      <c r="H389" s="3644"/>
      <c r="I389" s="3644"/>
      <c r="J389" s="3644"/>
      <c r="K389" s="3644"/>
      <c r="L389" s="3644"/>
      <c r="M389" s="3644"/>
      <c r="N389" s="3644"/>
      <c r="O389" s="3644"/>
      <c r="P389" s="3644"/>
      <c r="Q389" s="3644"/>
      <c r="R389" s="3645"/>
      <c r="S389" s="3064"/>
      <c r="T389" s="3065"/>
      <c r="U389" s="3066"/>
      <c r="V389" s="3067"/>
      <c r="W389" s="3066"/>
      <c r="X389" s="3067"/>
      <c r="Y389" s="3066"/>
      <c r="Z389" s="3068"/>
    </row>
    <row r="390" spans="1:26" s="1942" customFormat="1" ht="15" customHeight="1" thickBot="1">
      <c r="A390" s="1111" t="s">
        <v>4109</v>
      </c>
      <c r="B390" s="1737" t="e">
        <f ca="1">ABS('House reinf, Inlet Side'!$AH$73)</f>
        <v>#REF!</v>
      </c>
      <c r="C390" s="415" t="s">
        <v>136</v>
      </c>
      <c r="D390" s="1120" t="s">
        <v>4109</v>
      </c>
      <c r="E390" s="3644"/>
      <c r="F390" s="3644"/>
      <c r="G390" s="3644"/>
      <c r="H390" s="3644"/>
      <c r="I390" s="3644"/>
      <c r="J390" s="3644"/>
      <c r="K390" s="3644"/>
      <c r="L390" s="3644"/>
      <c r="M390" s="3644"/>
      <c r="N390" s="3644"/>
      <c r="O390" s="3644"/>
      <c r="P390" s="3644"/>
      <c r="Q390" s="3644"/>
      <c r="R390" s="3645"/>
      <c r="S390" s="3064"/>
      <c r="T390" s="3065"/>
      <c r="U390" s="3066"/>
      <c r="V390" s="3067"/>
      <c r="W390" s="3066"/>
      <c r="X390" s="3067"/>
      <c r="Y390" s="3066"/>
      <c r="Z390" s="3068"/>
    </row>
    <row r="391" spans="1:26" s="1942" customFormat="1" ht="15" customHeight="1" thickBot="1">
      <c r="A391" s="2251" t="s">
        <v>4281</v>
      </c>
      <c r="B391" s="3359">
        <v>0</v>
      </c>
      <c r="C391" s="3360" t="s">
        <v>1114</v>
      </c>
      <c r="D391" s="3324" t="e">
        <f ca="1">'House reinf, Inlet Side'!$AI$71</f>
        <v>#REF!</v>
      </c>
      <c r="E391" s="3644"/>
      <c r="F391" s="3644"/>
      <c r="G391" s="3644"/>
      <c r="H391" s="3644"/>
      <c r="I391" s="3644"/>
      <c r="J391" s="3644"/>
      <c r="K391" s="3644"/>
      <c r="L391" s="3644"/>
      <c r="M391" s="3644"/>
      <c r="N391" s="3644"/>
      <c r="O391" s="3644"/>
      <c r="P391" s="3644"/>
      <c r="Q391" s="3644"/>
      <c r="R391" s="3645"/>
      <c r="S391" s="3064"/>
      <c r="T391" s="3065"/>
      <c r="U391" s="3066"/>
      <c r="V391" s="3067"/>
      <c r="W391" s="3066"/>
      <c r="X391" s="3067"/>
      <c r="Y391" s="3066"/>
      <c r="Z391" s="3068"/>
    </row>
    <row r="392" spans="1:26" ht="15" customHeight="1">
      <c r="A392" s="3252" t="s">
        <v>4275</v>
      </c>
      <c r="B392" s="3325" t="e">
        <f ca="1">VLOOKUP($D391,Iron_dim,3,FALSE)</f>
        <v>#REF!</v>
      </c>
      <c r="C392" s="3255" t="s">
        <v>136</v>
      </c>
      <c r="D392" s="3257"/>
      <c r="E392" s="3644"/>
      <c r="F392" s="3644"/>
      <c r="G392" s="3644"/>
      <c r="H392" s="3644"/>
      <c r="I392" s="3644"/>
      <c r="J392" s="3644"/>
      <c r="K392" s="3644"/>
      <c r="L392" s="3644"/>
      <c r="M392" s="3644"/>
      <c r="N392" s="3644"/>
      <c r="O392" s="3644"/>
      <c r="P392" s="3644"/>
      <c r="Q392" s="3644"/>
      <c r="R392" s="3645"/>
      <c r="S392" s="3081"/>
      <c r="T392" s="3082"/>
      <c r="U392" s="3083"/>
      <c r="V392" s="1436"/>
      <c r="W392" s="3083"/>
      <c r="X392" s="1436"/>
      <c r="Y392" s="3083"/>
      <c r="Z392" s="3261"/>
    </row>
    <row r="393" spans="1:26" ht="15" customHeight="1">
      <c r="A393" s="3253" t="s">
        <v>4276</v>
      </c>
      <c r="B393" s="3326" t="e">
        <f ca="1">VLOOKUP($D391,Iron_dim,4,FALSE)</f>
        <v>#REF!</v>
      </c>
      <c r="C393" s="3256" t="s">
        <v>136</v>
      </c>
      <c r="D393" s="3258"/>
      <c r="E393" s="3644"/>
      <c r="F393" s="3644"/>
      <c r="G393" s="3644"/>
      <c r="H393" s="3644"/>
      <c r="I393" s="3644"/>
      <c r="J393" s="3644"/>
      <c r="K393" s="3644"/>
      <c r="L393" s="3644"/>
      <c r="M393" s="3644"/>
      <c r="N393" s="3644"/>
      <c r="O393" s="3644"/>
      <c r="P393" s="3644"/>
      <c r="Q393" s="3644"/>
      <c r="R393" s="3645"/>
      <c r="S393" s="1940"/>
      <c r="Z393" s="1679"/>
    </row>
    <row r="394" spans="1:26" s="1131" customFormat="1" ht="15" customHeight="1">
      <c r="A394" s="1111" t="s">
        <v>4106</v>
      </c>
      <c r="B394" s="1737" t="e">
        <f ca="1">ABS('House reinf, Inlet Side'!$AI$72)</f>
        <v>#REF!</v>
      </c>
      <c r="C394" s="415" t="s">
        <v>136</v>
      </c>
      <c r="D394" s="1120" t="s">
        <v>4106</v>
      </c>
      <c r="E394" s="3644"/>
      <c r="F394" s="3644"/>
      <c r="G394" s="3644"/>
      <c r="H394" s="3644"/>
      <c r="I394" s="3644"/>
      <c r="J394" s="3644"/>
      <c r="K394" s="3644"/>
      <c r="L394" s="3644"/>
      <c r="M394" s="3644"/>
      <c r="N394" s="3644"/>
      <c r="O394" s="3644"/>
      <c r="P394" s="3644"/>
      <c r="Q394" s="3644"/>
      <c r="R394" s="3645"/>
      <c r="S394" s="3064"/>
      <c r="T394" s="3065"/>
      <c r="U394" s="3066"/>
      <c r="V394" s="3067"/>
      <c r="W394" s="3066"/>
      <c r="X394" s="3067"/>
      <c r="Y394" s="3066"/>
      <c r="Z394" s="3068"/>
    </row>
    <row r="395" spans="1:26" s="1131" customFormat="1" ht="15" customHeight="1">
      <c r="A395" s="1111" t="s">
        <v>4114</v>
      </c>
      <c r="B395" s="1737" t="e">
        <f ca="1">ABS('House reinf, Inlet Side'!$AI$75)</f>
        <v>#REF!</v>
      </c>
      <c r="C395" s="415" t="s">
        <v>136</v>
      </c>
      <c r="D395" s="1120" t="s">
        <v>4114</v>
      </c>
      <c r="E395" s="3644"/>
      <c r="F395" s="3644"/>
      <c r="G395" s="3644"/>
      <c r="H395" s="3644"/>
      <c r="I395" s="3644"/>
      <c r="J395" s="3644"/>
      <c r="K395" s="3644"/>
      <c r="L395" s="3644"/>
      <c r="M395" s="3644"/>
      <c r="N395" s="3644"/>
      <c r="O395" s="3644"/>
      <c r="P395" s="3644"/>
      <c r="Q395" s="3644"/>
      <c r="R395" s="3645"/>
      <c r="S395" s="3064"/>
      <c r="T395" s="3065"/>
      <c r="U395" s="3066"/>
      <c r="V395" s="3067"/>
      <c r="W395" s="3066"/>
      <c r="X395" s="3067"/>
      <c r="Y395" s="3066"/>
      <c r="Z395" s="3068"/>
    </row>
    <row r="396" spans="1:26" s="1131" customFormat="1" ht="15" customHeight="1" thickBot="1">
      <c r="A396" s="1111" t="s">
        <v>4110</v>
      </c>
      <c r="B396" s="1737" t="e">
        <f ca="1">ABS('House reinf, Inlet Side'!$AI$73)</f>
        <v>#REF!</v>
      </c>
      <c r="C396" s="415" t="s">
        <v>136</v>
      </c>
      <c r="D396" s="1120" t="s">
        <v>4110</v>
      </c>
      <c r="E396" s="3644"/>
      <c r="F396" s="3644"/>
      <c r="G396" s="3644"/>
      <c r="H396" s="3644"/>
      <c r="I396" s="3644"/>
      <c r="J396" s="3644"/>
      <c r="K396" s="3644"/>
      <c r="L396" s="3644"/>
      <c r="M396" s="3644"/>
      <c r="N396" s="3644"/>
      <c r="O396" s="3644"/>
      <c r="P396" s="3644"/>
      <c r="Q396" s="3644"/>
      <c r="R396" s="3645"/>
      <c r="S396" s="3064"/>
      <c r="T396" s="3065"/>
      <c r="U396" s="3066"/>
      <c r="V396" s="3067"/>
      <c r="W396" s="3066"/>
      <c r="X396" s="3067"/>
      <c r="Y396" s="3066"/>
      <c r="Z396" s="3068"/>
    </row>
    <row r="397" spans="1:26" s="1942" customFormat="1" ht="15" customHeight="1" thickBot="1">
      <c r="A397" s="2251" t="s">
        <v>4280</v>
      </c>
      <c r="B397" s="3359">
        <v>0</v>
      </c>
      <c r="C397" s="3360" t="s">
        <v>1114</v>
      </c>
      <c r="D397" s="3324" t="e">
        <f ca="1">'House reinf, Inlet Side'!$AJ$71</f>
        <v>#REF!</v>
      </c>
      <c r="E397" s="3644"/>
      <c r="F397" s="3644"/>
      <c r="G397" s="3644"/>
      <c r="H397" s="3644"/>
      <c r="I397" s="3644"/>
      <c r="J397" s="3644"/>
      <c r="K397" s="3644"/>
      <c r="L397" s="3644"/>
      <c r="M397" s="3644"/>
      <c r="N397" s="3644"/>
      <c r="O397" s="3644"/>
      <c r="P397" s="3644"/>
      <c r="Q397" s="3644"/>
      <c r="R397" s="3645"/>
      <c r="S397" s="3064"/>
      <c r="T397" s="3065"/>
      <c r="U397" s="3066"/>
      <c r="V397" s="3067"/>
      <c r="W397" s="3066"/>
      <c r="X397" s="3067"/>
      <c r="Y397" s="3066"/>
      <c r="Z397" s="3068"/>
    </row>
    <row r="398" spans="1:26" ht="15" customHeight="1">
      <c r="A398" s="3252" t="s">
        <v>4277</v>
      </c>
      <c r="B398" s="3325" t="e">
        <f ca="1">VLOOKUP($D397,Iron_dim,3,FALSE)</f>
        <v>#REF!</v>
      </c>
      <c r="C398" s="3255" t="s">
        <v>136</v>
      </c>
      <c r="D398" s="3257"/>
      <c r="E398" s="3644"/>
      <c r="F398" s="3644"/>
      <c r="G398" s="3644"/>
      <c r="H398" s="3644"/>
      <c r="I398" s="3644"/>
      <c r="J398" s="3644"/>
      <c r="K398" s="3644"/>
      <c r="L398" s="3644"/>
      <c r="M398" s="3644"/>
      <c r="N398" s="3644"/>
      <c r="O398" s="3644"/>
      <c r="P398" s="3644"/>
      <c r="Q398" s="3644"/>
      <c r="R398" s="3645"/>
      <c r="S398" s="3081"/>
      <c r="T398" s="3082"/>
      <c r="U398" s="3083"/>
      <c r="V398" s="1436"/>
      <c r="W398" s="3083"/>
      <c r="X398" s="1436"/>
      <c r="Y398" s="3083"/>
      <c r="Z398" s="3261"/>
    </row>
    <row r="399" spans="1:26" ht="15" customHeight="1">
      <c r="A399" s="3253" t="s">
        <v>4278</v>
      </c>
      <c r="B399" s="3326" t="e">
        <f ca="1">VLOOKUP($D397,Iron_dim,4,FALSE)</f>
        <v>#REF!</v>
      </c>
      <c r="C399" s="3256" t="s">
        <v>136</v>
      </c>
      <c r="D399" s="3258"/>
      <c r="E399" s="3644"/>
      <c r="F399" s="3644"/>
      <c r="G399" s="3644"/>
      <c r="H399" s="3644"/>
      <c r="I399" s="3644"/>
      <c r="J399" s="3644"/>
      <c r="K399" s="3644"/>
      <c r="L399" s="3644"/>
      <c r="M399" s="3644"/>
      <c r="N399" s="3644"/>
      <c r="O399" s="3644"/>
      <c r="P399" s="3644"/>
      <c r="Q399" s="3644"/>
      <c r="R399" s="3645"/>
      <c r="S399" s="1940"/>
      <c r="Z399" s="1679"/>
    </row>
    <row r="400" spans="1:26" s="1131" customFormat="1" ht="15" customHeight="1">
      <c r="A400" s="1111" t="s">
        <v>4107</v>
      </c>
      <c r="B400" s="1737" t="e">
        <f ca="1">ABS('House reinf, Inlet Side'!$AJ$72)</f>
        <v>#REF!</v>
      </c>
      <c r="C400" s="415" t="s">
        <v>136</v>
      </c>
      <c r="D400" s="1120" t="s">
        <v>4107</v>
      </c>
      <c r="E400" s="3644"/>
      <c r="F400" s="3644"/>
      <c r="G400" s="3644"/>
      <c r="H400" s="3644"/>
      <c r="I400" s="3644"/>
      <c r="J400" s="3644"/>
      <c r="K400" s="3644"/>
      <c r="L400" s="3644"/>
      <c r="M400" s="3644"/>
      <c r="N400" s="3644"/>
      <c r="O400" s="3644"/>
      <c r="P400" s="3644"/>
      <c r="Q400" s="3644"/>
      <c r="R400" s="3645"/>
      <c r="S400" s="3064"/>
      <c r="T400" s="3065"/>
      <c r="U400" s="3066"/>
      <c r="V400" s="3067"/>
      <c r="W400" s="3066"/>
      <c r="X400" s="3067"/>
      <c r="Y400" s="3066"/>
      <c r="Z400" s="3068"/>
    </row>
    <row r="401" spans="1:26" s="1131" customFormat="1" ht="15" customHeight="1">
      <c r="A401" s="1111" t="s">
        <v>4115</v>
      </c>
      <c r="B401" s="1737" t="e">
        <f ca="1">ABS('House reinf, Inlet Side'!$AJ$75)</f>
        <v>#REF!</v>
      </c>
      <c r="C401" s="415" t="s">
        <v>136</v>
      </c>
      <c r="D401" s="1120" t="s">
        <v>4115</v>
      </c>
      <c r="E401" s="3644"/>
      <c r="F401" s="3644"/>
      <c r="G401" s="3644"/>
      <c r="H401" s="3644"/>
      <c r="I401" s="3644"/>
      <c r="J401" s="3644"/>
      <c r="K401" s="3644"/>
      <c r="L401" s="3644"/>
      <c r="M401" s="3644"/>
      <c r="N401" s="3644"/>
      <c r="O401" s="3644"/>
      <c r="P401" s="3644"/>
      <c r="Q401" s="3644"/>
      <c r="R401" s="3645"/>
      <c r="S401" s="3064"/>
      <c r="T401" s="3065"/>
      <c r="U401" s="3066"/>
      <c r="V401" s="3067"/>
      <c r="W401" s="3066"/>
      <c r="X401" s="3067"/>
      <c r="Y401" s="3066"/>
      <c r="Z401" s="3068"/>
    </row>
    <row r="402" spans="1:26" s="1131" customFormat="1" ht="15" customHeight="1" thickBot="1">
      <c r="A402" s="1111" t="s">
        <v>4111</v>
      </c>
      <c r="B402" s="1737" t="e">
        <f ca="1">IF(Small_F,ABS('House reinf, Drive Side'!$AJ$73),ABS('House reinf, Inlet Side'!$AJ$73))</f>
        <v>#REF!</v>
      </c>
      <c r="C402" s="415" t="s">
        <v>136</v>
      </c>
      <c r="D402" s="1120" t="s">
        <v>4111</v>
      </c>
      <c r="E402" s="3646"/>
      <c r="F402" s="3646"/>
      <c r="G402" s="3646"/>
      <c r="H402" s="3646"/>
      <c r="I402" s="3646"/>
      <c r="J402" s="3646"/>
      <c r="K402" s="3646"/>
      <c r="L402" s="3646"/>
      <c r="M402" s="3646"/>
      <c r="N402" s="3646"/>
      <c r="O402" s="3646"/>
      <c r="P402" s="3646"/>
      <c r="Q402" s="3646"/>
      <c r="R402" s="3647"/>
      <c r="S402" s="3069"/>
      <c r="T402" s="3070"/>
      <c r="U402" s="3071"/>
      <c r="V402" s="3072"/>
      <c r="W402" s="3071"/>
      <c r="X402" s="3072"/>
      <c r="Y402" s="3071"/>
      <c r="Z402" s="3073"/>
    </row>
    <row r="403" spans="1:26" s="1942" customFormat="1" ht="15" customHeight="1" thickBot="1">
      <c r="A403" s="2251" t="s">
        <v>4217</v>
      </c>
      <c r="B403" s="3361">
        <v>0</v>
      </c>
      <c r="C403" s="3360" t="s">
        <v>136</v>
      </c>
      <c r="D403" s="2246" t="e">
        <f ca="1">H_STD_Re</f>
        <v>#REF!</v>
      </c>
      <c r="E403" s="1781"/>
      <c r="F403" s="1781"/>
      <c r="G403" s="1781"/>
      <c r="H403" s="1781"/>
      <c r="I403" s="1781"/>
      <c r="J403" s="1781"/>
      <c r="K403" s="1781"/>
      <c r="L403" s="1781"/>
      <c r="M403" s="1781"/>
      <c r="N403" s="1781"/>
      <c r="O403" s="1781"/>
      <c r="P403" s="1781"/>
      <c r="Q403" s="1781"/>
      <c r="R403" s="1782"/>
      <c r="S403" s="3089"/>
      <c r="T403" s="3048"/>
      <c r="U403" s="3049"/>
      <c r="V403" s="3050"/>
      <c r="W403" s="3079"/>
      <c r="X403" s="3051"/>
      <c r="Y403" s="3079"/>
      <c r="Z403" s="3080"/>
    </row>
    <row r="404" spans="1:26" s="1942" customFormat="1" ht="15" customHeight="1">
      <c r="A404" s="3252" t="s">
        <v>4269</v>
      </c>
      <c r="B404" s="3325" t="e">
        <f ca="1">House!$S$7</f>
        <v>#REF!</v>
      </c>
      <c r="C404" s="415" t="s">
        <v>136</v>
      </c>
      <c r="D404" s="1120"/>
      <c r="E404" s="413"/>
      <c r="F404" s="413"/>
      <c r="G404" s="413"/>
      <c r="H404" s="413"/>
      <c r="I404" s="413"/>
      <c r="J404" s="413"/>
      <c r="K404" s="413"/>
      <c r="L404" s="413"/>
      <c r="M404" s="413"/>
      <c r="N404" s="413"/>
      <c r="O404" s="413"/>
      <c r="P404" s="413"/>
      <c r="Q404" s="413"/>
      <c r="R404" s="437"/>
      <c r="S404" s="1438"/>
      <c r="T404" s="1439"/>
      <c r="U404" s="1431"/>
      <c r="V404" s="1440"/>
      <c r="W404" s="1943"/>
      <c r="X404" s="1441"/>
      <c r="Y404" s="1432"/>
      <c r="Z404" s="1691"/>
    </row>
    <row r="405" spans="1:26" s="1942" customFormat="1" ht="15" customHeight="1">
      <c r="A405" s="3253" t="s">
        <v>4270</v>
      </c>
      <c r="B405" s="3326" t="e">
        <f ca="1">House!$T$7</f>
        <v>#REF!</v>
      </c>
      <c r="C405" s="415" t="s">
        <v>136</v>
      </c>
      <c r="D405" s="1120"/>
      <c r="E405" s="413"/>
      <c r="F405" s="413"/>
      <c r="G405" s="413"/>
      <c r="H405" s="413"/>
      <c r="I405" s="413"/>
      <c r="J405" s="413"/>
      <c r="K405" s="413"/>
      <c r="L405" s="413"/>
      <c r="M405" s="413"/>
      <c r="N405" s="413"/>
      <c r="O405" s="413"/>
      <c r="P405" s="413"/>
      <c r="Q405" s="413"/>
      <c r="R405" s="437"/>
      <c r="S405" s="1438"/>
      <c r="T405" s="1439"/>
      <c r="U405" s="1431"/>
      <c r="V405" s="1440"/>
      <c r="W405" s="1943"/>
      <c r="X405" s="1441"/>
      <c r="Y405" s="1432"/>
      <c r="Z405" s="1691"/>
    </row>
    <row r="406" spans="1:26" s="1942" customFormat="1" ht="15" customHeight="1">
      <c r="A406" s="1111" t="s">
        <v>3691</v>
      </c>
      <c r="B406" s="1737" t="e">
        <f ca="1">'House reinf, Drive Side'!$B$81</f>
        <v>#REF!</v>
      </c>
      <c r="C406" s="415" t="s">
        <v>136</v>
      </c>
      <c r="D406" s="1120" t="s">
        <v>3692</v>
      </c>
      <c r="E406" s="413"/>
      <c r="F406" s="413"/>
      <c r="G406" s="413"/>
      <c r="H406" s="413"/>
      <c r="I406" s="413"/>
      <c r="J406" s="413"/>
      <c r="K406" s="413"/>
      <c r="L406" s="413"/>
      <c r="M406" s="413"/>
      <c r="N406" s="413"/>
      <c r="O406" s="413"/>
      <c r="P406" s="413"/>
      <c r="Q406" s="413"/>
      <c r="R406" s="437"/>
      <c r="S406" s="1438"/>
      <c r="T406" s="1439"/>
      <c r="U406" s="1431"/>
      <c r="V406" s="1440"/>
      <c r="W406" s="1943"/>
      <c r="X406" s="1441"/>
      <c r="Y406" s="1432"/>
      <c r="Z406" s="1691"/>
    </row>
    <row r="407" spans="1:26" s="1942" customFormat="1" ht="15" customHeight="1">
      <c r="A407" s="1111" t="s">
        <v>3693</v>
      </c>
      <c r="B407" s="1737" t="e">
        <f ca="1">'House reinf, Drive Side'!$C$81</f>
        <v>#REF!</v>
      </c>
      <c r="C407" s="415" t="s">
        <v>136</v>
      </c>
      <c r="D407" s="1120" t="s">
        <v>3694</v>
      </c>
      <c r="E407" s="413"/>
      <c r="F407" s="413"/>
      <c r="G407" s="413"/>
      <c r="H407" s="413"/>
      <c r="I407" s="413"/>
      <c r="J407" s="413"/>
      <c r="K407" s="413"/>
      <c r="L407" s="413"/>
      <c r="M407" s="413"/>
      <c r="N407" s="413"/>
      <c r="O407" s="413"/>
      <c r="P407" s="413"/>
      <c r="Q407" s="413"/>
      <c r="R407" s="437"/>
      <c r="S407" s="1438"/>
      <c r="T407" s="1439"/>
      <c r="U407" s="1431"/>
      <c r="V407" s="1440"/>
      <c r="W407" s="1943"/>
      <c r="X407" s="1441"/>
      <c r="Y407" s="1432"/>
      <c r="Z407" s="1691"/>
    </row>
    <row r="408" spans="1:26" s="1942" customFormat="1" ht="15" customHeight="1">
      <c r="A408" s="1111" t="s">
        <v>3695</v>
      </c>
      <c r="B408" s="1737" t="e">
        <f ca="1">'House reinf, Drive Side'!$D$81</f>
        <v>#REF!</v>
      </c>
      <c r="C408" s="415" t="s">
        <v>136</v>
      </c>
      <c r="D408" s="1120" t="s">
        <v>3696</v>
      </c>
      <c r="E408" s="413"/>
      <c r="F408" s="413"/>
      <c r="G408" s="413"/>
      <c r="H408" s="413"/>
      <c r="I408" s="413"/>
      <c r="J408" s="413"/>
      <c r="K408" s="413"/>
      <c r="L408" s="413"/>
      <c r="M408" s="413"/>
      <c r="N408" s="413"/>
      <c r="O408" s="413"/>
      <c r="P408" s="413"/>
      <c r="Q408" s="413"/>
      <c r="R408" s="437"/>
      <c r="S408" s="1438"/>
      <c r="T408" s="1439"/>
      <c r="U408" s="1431"/>
      <c r="V408" s="1440"/>
      <c r="W408" s="1943"/>
      <c r="X408" s="1441"/>
      <c r="Y408" s="1432"/>
      <c r="Z408" s="1691"/>
    </row>
    <row r="409" spans="1:26" s="1942" customFormat="1" ht="15" customHeight="1">
      <c r="A409" s="1111" t="s">
        <v>3697</v>
      </c>
      <c r="B409" s="1737" t="e">
        <f ca="1">'House reinf, Drive Side'!$E$81</f>
        <v>#REF!</v>
      </c>
      <c r="C409" s="415" t="s">
        <v>136</v>
      </c>
      <c r="D409" s="1120" t="s">
        <v>3698</v>
      </c>
      <c r="E409" s="413"/>
      <c r="F409" s="413"/>
      <c r="G409" s="413"/>
      <c r="H409" s="413"/>
      <c r="I409" s="413"/>
      <c r="J409" s="413"/>
      <c r="K409" s="413"/>
      <c r="L409" s="413"/>
      <c r="M409" s="413"/>
      <c r="N409" s="413"/>
      <c r="O409" s="413"/>
      <c r="P409" s="413"/>
      <c r="Q409" s="413"/>
      <c r="R409" s="437"/>
      <c r="S409" s="1438"/>
      <c r="T409" s="1439"/>
      <c r="U409" s="1431"/>
      <c r="V409" s="1440"/>
      <c r="W409" s="1943"/>
      <c r="X409" s="1441"/>
      <c r="Y409" s="1432"/>
      <c r="Z409" s="1691"/>
    </row>
    <row r="410" spans="1:26" s="1942" customFormat="1" ht="15" customHeight="1">
      <c r="A410" s="1111" t="s">
        <v>3699</v>
      </c>
      <c r="B410" s="1737" t="e">
        <f ca="1">'House reinf, Drive Side'!$F$81</f>
        <v>#REF!</v>
      </c>
      <c r="C410" s="415" t="s">
        <v>136</v>
      </c>
      <c r="D410" s="1120" t="s">
        <v>3700</v>
      </c>
      <c r="E410" s="413"/>
      <c r="F410" s="413"/>
      <c r="G410" s="413"/>
      <c r="H410" s="413"/>
      <c r="I410" s="413"/>
      <c r="J410" s="413"/>
      <c r="K410" s="413"/>
      <c r="L410" s="413"/>
      <c r="M410" s="413"/>
      <c r="N410" s="413"/>
      <c r="O410" s="413"/>
      <c r="P410" s="413"/>
      <c r="Q410" s="413"/>
      <c r="R410" s="437"/>
      <c r="S410" s="1438"/>
      <c r="T410" s="1439"/>
      <c r="U410" s="1431"/>
      <c r="V410" s="1440"/>
      <c r="W410" s="1943"/>
      <c r="X410" s="1441"/>
      <c r="Y410" s="1432"/>
      <c r="Z410" s="1691"/>
    </row>
    <row r="411" spans="1:26" s="1942" customFormat="1" ht="15" customHeight="1">
      <c r="A411" s="1111" t="s">
        <v>3701</v>
      </c>
      <c r="B411" s="1737" t="e">
        <f ca="1">'House reinf, Drive Side'!$G$81</f>
        <v>#REF!</v>
      </c>
      <c r="C411" s="415" t="s">
        <v>136</v>
      </c>
      <c r="D411" s="1120" t="s">
        <v>3702</v>
      </c>
      <c r="E411" s="413"/>
      <c r="F411" s="413"/>
      <c r="G411" s="413"/>
      <c r="H411" s="413"/>
      <c r="I411" s="413"/>
      <c r="J411" s="413"/>
      <c r="K411" s="413"/>
      <c r="L411" s="413"/>
      <c r="M411" s="413"/>
      <c r="N411" s="413"/>
      <c r="O411" s="413"/>
      <c r="P411" s="413"/>
      <c r="Q411" s="413"/>
      <c r="R411" s="437"/>
      <c r="S411" s="1438"/>
      <c r="T411" s="1439"/>
      <c r="U411" s="1431"/>
      <c r="V411" s="1440"/>
      <c r="W411" s="1943"/>
      <c r="X411" s="1441"/>
      <c r="Y411" s="1432"/>
      <c r="Z411" s="1691"/>
    </row>
    <row r="412" spans="1:26" s="1942" customFormat="1" ht="15" customHeight="1">
      <c r="A412" s="1111" t="s">
        <v>3703</v>
      </c>
      <c r="B412" s="1737" t="e">
        <f ca="1">'House reinf, Drive Side'!$H$81</f>
        <v>#REF!</v>
      </c>
      <c r="C412" s="415" t="s">
        <v>136</v>
      </c>
      <c r="D412" s="1120" t="s">
        <v>3704</v>
      </c>
      <c r="E412" s="413"/>
      <c r="F412" s="413"/>
      <c r="G412" s="413"/>
      <c r="H412" s="413"/>
      <c r="I412" s="413"/>
      <c r="J412" s="413"/>
      <c r="K412" s="413"/>
      <c r="L412" s="413"/>
      <c r="M412" s="413"/>
      <c r="N412" s="413"/>
      <c r="O412" s="413"/>
      <c r="P412" s="413"/>
      <c r="Q412" s="413"/>
      <c r="R412" s="437"/>
      <c r="S412" s="1438"/>
      <c r="T412" s="1439"/>
      <c r="U412" s="1431"/>
      <c r="V412" s="1440"/>
      <c r="W412" s="1943"/>
      <c r="X412" s="1441"/>
      <c r="Y412" s="1432"/>
      <c r="Z412" s="1691"/>
    </row>
    <row r="413" spans="1:26" s="1942" customFormat="1" ht="15" customHeight="1">
      <c r="A413" s="1111" t="s">
        <v>3705</v>
      </c>
      <c r="B413" s="1737" t="e">
        <f ca="1">'House reinf, Drive Side'!$I$81</f>
        <v>#REF!</v>
      </c>
      <c r="C413" s="415" t="s">
        <v>136</v>
      </c>
      <c r="D413" s="1120" t="s">
        <v>3706</v>
      </c>
      <c r="E413" s="413"/>
      <c r="F413" s="413"/>
      <c r="G413" s="413"/>
      <c r="H413" s="413"/>
      <c r="I413" s="413"/>
      <c r="J413" s="413"/>
      <c r="K413" s="413"/>
      <c r="L413" s="413"/>
      <c r="M413" s="413"/>
      <c r="N413" s="413"/>
      <c r="O413" s="413"/>
      <c r="P413" s="413"/>
      <c r="Q413" s="413"/>
      <c r="R413" s="437"/>
      <c r="S413" s="1438"/>
      <c r="T413" s="1439"/>
      <c r="U413" s="1431"/>
      <c r="V413" s="1440"/>
      <c r="W413" s="1943"/>
      <c r="X413" s="1441"/>
      <c r="Y413" s="1432"/>
      <c r="Z413" s="1691"/>
    </row>
    <row r="414" spans="1:26" s="1942" customFormat="1" ht="15" customHeight="1">
      <c r="A414" s="1111" t="s">
        <v>3707</v>
      </c>
      <c r="B414" s="1737" t="e">
        <f ca="1">'House reinf, Drive Side'!$J$81</f>
        <v>#REF!</v>
      </c>
      <c r="C414" s="415" t="s">
        <v>136</v>
      </c>
      <c r="D414" s="1120" t="s">
        <v>3708</v>
      </c>
      <c r="E414" s="413"/>
      <c r="F414" s="413"/>
      <c r="G414" s="413"/>
      <c r="H414" s="413"/>
      <c r="I414" s="413"/>
      <c r="J414" s="413"/>
      <c r="K414" s="413"/>
      <c r="L414" s="413"/>
      <c r="M414" s="413"/>
      <c r="N414" s="413"/>
      <c r="O414" s="413"/>
      <c r="P414" s="413"/>
      <c r="Q414" s="413"/>
      <c r="R414" s="437"/>
      <c r="S414" s="1438"/>
      <c r="T414" s="1439"/>
      <c r="U414" s="1431"/>
      <c r="V414" s="1440"/>
      <c r="W414" s="1943"/>
      <c r="X414" s="1441"/>
      <c r="Y414" s="1432"/>
      <c r="Z414" s="1691"/>
    </row>
    <row r="415" spans="1:26" s="1942" customFormat="1" ht="15" customHeight="1">
      <c r="A415" s="1111" t="s">
        <v>3709</v>
      </c>
      <c r="B415" s="1737" t="e">
        <f ca="1">'House reinf, Drive Side'!$K$81</f>
        <v>#REF!</v>
      </c>
      <c r="C415" s="415" t="s">
        <v>136</v>
      </c>
      <c r="D415" s="1120" t="s">
        <v>3710</v>
      </c>
      <c r="E415" s="413"/>
      <c r="F415" s="413"/>
      <c r="G415" s="413"/>
      <c r="H415" s="413"/>
      <c r="I415" s="413"/>
      <c r="J415" s="413"/>
      <c r="K415" s="413"/>
      <c r="L415" s="413"/>
      <c r="M415" s="413"/>
      <c r="N415" s="413"/>
      <c r="O415" s="413"/>
      <c r="P415" s="413"/>
      <c r="Q415" s="413"/>
      <c r="R415" s="437"/>
      <c r="S415" s="1438"/>
      <c r="T415" s="1439"/>
      <c r="U415" s="1431"/>
      <c r="V415" s="1440"/>
      <c r="W415" s="1943"/>
      <c r="X415" s="1441"/>
      <c r="Y415" s="1432"/>
      <c r="Z415" s="1691"/>
    </row>
    <row r="416" spans="1:26" s="1942" customFormat="1" ht="15" customHeight="1">
      <c r="A416" s="1111" t="s">
        <v>3711</v>
      </c>
      <c r="B416" s="1737" t="e">
        <f ca="1">'House reinf, Drive Side'!$L$81</f>
        <v>#REF!</v>
      </c>
      <c r="C416" s="415" t="s">
        <v>136</v>
      </c>
      <c r="D416" s="1120" t="s">
        <v>3712</v>
      </c>
      <c r="E416" s="413"/>
      <c r="F416" s="413"/>
      <c r="G416" s="413"/>
      <c r="H416" s="413"/>
      <c r="I416" s="413"/>
      <c r="J416" s="413"/>
      <c r="K416" s="413"/>
      <c r="L416" s="413"/>
      <c r="M416" s="413"/>
      <c r="N416" s="413"/>
      <c r="O416" s="413"/>
      <c r="P416" s="413"/>
      <c r="Q416" s="413"/>
      <c r="R416" s="437"/>
      <c r="S416" s="1438"/>
      <c r="T416" s="1439"/>
      <c r="U416" s="1431"/>
      <c r="V416" s="1440"/>
      <c r="W416" s="1943"/>
      <c r="X416" s="1441"/>
      <c r="Y416" s="1432"/>
      <c r="Z416" s="1691"/>
    </row>
    <row r="417" spans="1:26" s="1942" customFormat="1" ht="15" customHeight="1">
      <c r="A417" s="1111" t="s">
        <v>3713</v>
      </c>
      <c r="B417" s="1737" t="e">
        <f ca="1">'House reinf, Drive Side'!$M$81</f>
        <v>#REF!</v>
      </c>
      <c r="C417" s="415" t="s">
        <v>136</v>
      </c>
      <c r="D417" s="1120" t="s">
        <v>3714</v>
      </c>
      <c r="E417" s="413"/>
      <c r="F417" s="413"/>
      <c r="G417" s="413"/>
      <c r="H417" s="413"/>
      <c r="I417" s="413"/>
      <c r="J417" s="413"/>
      <c r="K417" s="413"/>
      <c r="L417" s="413"/>
      <c r="M417" s="413"/>
      <c r="N417" s="413"/>
      <c r="O417" s="413"/>
      <c r="P417" s="413"/>
      <c r="Q417" s="413"/>
      <c r="R417" s="437"/>
      <c r="S417" s="1438"/>
      <c r="T417" s="1439"/>
      <c r="U417" s="1431"/>
      <c r="V417" s="1440"/>
      <c r="W417" s="1943"/>
      <c r="X417" s="1441"/>
      <c r="Y417" s="1432"/>
      <c r="Z417" s="1691"/>
    </row>
    <row r="418" spans="1:26" s="1942" customFormat="1" ht="15" customHeight="1">
      <c r="A418" s="1111" t="s">
        <v>3715</v>
      </c>
      <c r="B418" s="1737" t="e">
        <f ca="1">'House reinf, Drive Side'!$N$81</f>
        <v>#REF!</v>
      </c>
      <c r="C418" s="415" t="s">
        <v>136</v>
      </c>
      <c r="D418" s="1120" t="s">
        <v>3716</v>
      </c>
      <c r="E418" s="413"/>
      <c r="F418" s="413"/>
      <c r="G418" s="413"/>
      <c r="H418" s="413"/>
      <c r="I418" s="413"/>
      <c r="J418" s="413"/>
      <c r="K418" s="413"/>
      <c r="L418" s="413"/>
      <c r="M418" s="413"/>
      <c r="N418" s="413"/>
      <c r="O418" s="413"/>
      <c r="P418" s="413"/>
      <c r="Q418" s="413"/>
      <c r="R418" s="437"/>
      <c r="S418" s="1438"/>
      <c r="T418" s="1439"/>
      <c r="U418" s="1431"/>
      <c r="V418" s="1440"/>
      <c r="W418" s="1943"/>
      <c r="X418" s="1441"/>
      <c r="Y418" s="1432"/>
      <c r="Z418" s="1691"/>
    </row>
    <row r="419" spans="1:26" s="1942" customFormat="1" ht="15" customHeight="1">
      <c r="A419" s="1111" t="s">
        <v>3717</v>
      </c>
      <c r="B419" s="1737" t="e">
        <f ca="1">'House reinf, Drive Side'!$O$81</f>
        <v>#REF!</v>
      </c>
      <c r="C419" s="415" t="s">
        <v>136</v>
      </c>
      <c r="D419" s="1120" t="s">
        <v>3718</v>
      </c>
      <c r="E419" s="413"/>
      <c r="F419" s="413"/>
      <c r="G419" s="413"/>
      <c r="H419" s="413"/>
      <c r="I419" s="413"/>
      <c r="J419" s="413"/>
      <c r="K419" s="413"/>
      <c r="L419" s="413"/>
      <c r="M419" s="413"/>
      <c r="N419" s="413"/>
      <c r="O419" s="413"/>
      <c r="P419" s="413"/>
      <c r="Q419" s="413"/>
      <c r="R419" s="437"/>
      <c r="S419" s="1438"/>
      <c r="T419" s="1439"/>
      <c r="U419" s="1431"/>
      <c r="V419" s="1440"/>
      <c r="W419" s="1943"/>
      <c r="X419" s="1441"/>
      <c r="Y419" s="1432"/>
      <c r="Z419" s="1691"/>
    </row>
    <row r="420" spans="1:26" s="1942" customFormat="1" ht="15" customHeight="1">
      <c r="A420" s="1111" t="s">
        <v>3719</v>
      </c>
      <c r="B420" s="1737" t="e">
        <f ca="1">'House reinf, Drive Side'!$P$81</f>
        <v>#REF!</v>
      </c>
      <c r="C420" s="415" t="s">
        <v>136</v>
      </c>
      <c r="D420" s="1120" t="s">
        <v>3720</v>
      </c>
      <c r="E420" s="413"/>
      <c r="F420" s="413"/>
      <c r="G420" s="413"/>
      <c r="H420" s="413"/>
      <c r="I420" s="413"/>
      <c r="J420" s="413"/>
      <c r="K420" s="413"/>
      <c r="L420" s="413"/>
      <c r="M420" s="413"/>
      <c r="N420" s="413"/>
      <c r="O420" s="413"/>
      <c r="P420" s="413"/>
      <c r="Q420" s="413"/>
      <c r="R420" s="437"/>
      <c r="S420" s="1438"/>
      <c r="T420" s="1439"/>
      <c r="U420" s="1431"/>
      <c r="V420" s="1440"/>
      <c r="W420" s="1943"/>
      <c r="X420" s="1441"/>
      <c r="Y420" s="1432"/>
      <c r="Z420" s="1691"/>
    </row>
    <row r="421" spans="1:26" s="1942" customFormat="1" ht="15" customHeight="1">
      <c r="A421" s="1111" t="s">
        <v>3721</v>
      </c>
      <c r="B421" s="1737" t="e">
        <f ca="1">'House reinf, Drive Side'!$Q$81</f>
        <v>#REF!</v>
      </c>
      <c r="C421" s="415" t="s">
        <v>136</v>
      </c>
      <c r="D421" s="1120" t="s">
        <v>3722</v>
      </c>
      <c r="E421" s="413"/>
      <c r="F421" s="413"/>
      <c r="G421" s="413"/>
      <c r="H421" s="413"/>
      <c r="I421" s="413"/>
      <c r="J421" s="413"/>
      <c r="K421" s="413"/>
      <c r="L421" s="413"/>
      <c r="M421" s="413"/>
      <c r="N421" s="413"/>
      <c r="O421" s="413"/>
      <c r="P421" s="413"/>
      <c r="Q421" s="413"/>
      <c r="R421" s="437"/>
      <c r="S421" s="1438"/>
      <c r="T421" s="1439"/>
      <c r="U421" s="1431"/>
      <c r="V421" s="1440"/>
      <c r="W421" s="1943"/>
      <c r="X421" s="1441"/>
      <c r="Y421" s="1432"/>
      <c r="Z421" s="1691"/>
    </row>
    <row r="422" spans="1:26" s="1942" customFormat="1" ht="15" customHeight="1">
      <c r="A422" s="1111" t="s">
        <v>3723</v>
      </c>
      <c r="B422" s="1737" t="e">
        <f ca="1">'House reinf, Drive Side'!$R$81</f>
        <v>#REF!</v>
      </c>
      <c r="C422" s="415" t="s">
        <v>136</v>
      </c>
      <c r="D422" s="1120" t="s">
        <v>3724</v>
      </c>
      <c r="E422" s="413"/>
      <c r="F422" s="413"/>
      <c r="G422" s="413"/>
      <c r="H422" s="413"/>
      <c r="I422" s="413"/>
      <c r="J422" s="413"/>
      <c r="K422" s="413"/>
      <c r="L422" s="413"/>
      <c r="M422" s="413"/>
      <c r="N422" s="413"/>
      <c r="O422" s="413"/>
      <c r="P422" s="413"/>
      <c r="Q422" s="413"/>
      <c r="R422" s="437"/>
      <c r="S422" s="1438"/>
      <c r="T422" s="1439"/>
      <c r="U422" s="1431"/>
      <c r="V422" s="1440"/>
      <c r="W422" s="1943"/>
      <c r="X422" s="1441"/>
      <c r="Y422" s="1432"/>
      <c r="Z422" s="1691"/>
    </row>
    <row r="423" spans="1:26" s="1942" customFormat="1" ht="15" customHeight="1">
      <c r="A423" s="1111" t="s">
        <v>3725</v>
      </c>
      <c r="B423" s="1737" t="e">
        <f ca="1">'House reinf, Drive Side'!$S$81</f>
        <v>#REF!</v>
      </c>
      <c r="C423" s="415" t="s">
        <v>136</v>
      </c>
      <c r="D423" s="1120" t="s">
        <v>3726</v>
      </c>
      <c r="E423" s="413"/>
      <c r="F423" s="413"/>
      <c r="G423" s="413"/>
      <c r="H423" s="413"/>
      <c r="I423" s="413"/>
      <c r="J423" s="413"/>
      <c r="K423" s="413"/>
      <c r="L423" s="413"/>
      <c r="M423" s="413"/>
      <c r="N423" s="413"/>
      <c r="O423" s="413"/>
      <c r="P423" s="413"/>
      <c r="Q423" s="413"/>
      <c r="R423" s="437"/>
      <c r="S423" s="1438"/>
      <c r="T423" s="1439"/>
      <c r="U423" s="1431"/>
      <c r="V423" s="1440"/>
      <c r="W423" s="1943"/>
      <c r="X423" s="1441"/>
      <c r="Y423" s="1432"/>
      <c r="Z423" s="1691"/>
    </row>
    <row r="424" spans="1:26" s="1942" customFormat="1" ht="15" customHeight="1">
      <c r="A424" s="1111" t="s">
        <v>3727</v>
      </c>
      <c r="B424" s="1737" t="e">
        <f ca="1">'House reinf, Drive Side'!$T$81</f>
        <v>#REF!</v>
      </c>
      <c r="C424" s="415" t="s">
        <v>136</v>
      </c>
      <c r="D424" s="1120" t="s">
        <v>3728</v>
      </c>
      <c r="E424" s="413"/>
      <c r="F424" s="413"/>
      <c r="G424" s="413"/>
      <c r="H424" s="413"/>
      <c r="I424" s="413"/>
      <c r="J424" s="413"/>
      <c r="K424" s="413"/>
      <c r="L424" s="413"/>
      <c r="M424" s="413"/>
      <c r="N424" s="413"/>
      <c r="O424" s="413"/>
      <c r="P424" s="413"/>
      <c r="Q424" s="413"/>
      <c r="R424" s="437"/>
      <c r="S424" s="1438"/>
      <c r="T424" s="1439"/>
      <c r="U424" s="1431"/>
      <c r="V424" s="1440"/>
      <c r="W424" s="1943"/>
      <c r="X424" s="1441"/>
      <c r="Y424" s="1432"/>
      <c r="Z424" s="1691"/>
    </row>
    <row r="425" spans="1:26" s="1942" customFormat="1" ht="15" customHeight="1">
      <c r="A425" s="1111" t="s">
        <v>3729</v>
      </c>
      <c r="B425" s="1737" t="e">
        <f ca="1">'House reinf, Drive Side'!$U$81</f>
        <v>#REF!</v>
      </c>
      <c r="C425" s="415" t="s">
        <v>136</v>
      </c>
      <c r="D425" s="1120" t="s">
        <v>3730</v>
      </c>
      <c r="E425" s="413"/>
      <c r="F425" s="413"/>
      <c r="G425" s="413"/>
      <c r="H425" s="413"/>
      <c r="I425" s="413"/>
      <c r="J425" s="413"/>
      <c r="K425" s="413"/>
      <c r="L425" s="413"/>
      <c r="M425" s="413"/>
      <c r="N425" s="413"/>
      <c r="O425" s="413"/>
      <c r="P425" s="413"/>
      <c r="Q425" s="413"/>
      <c r="R425" s="437"/>
      <c r="S425" s="1438"/>
      <c r="T425" s="1439"/>
      <c r="U425" s="1431"/>
      <c r="V425" s="1440"/>
      <c r="W425" s="1943"/>
      <c r="X425" s="1441"/>
      <c r="Y425" s="1432"/>
      <c r="Z425" s="1691"/>
    </row>
    <row r="426" spans="1:26" s="1942" customFormat="1" ht="15" customHeight="1">
      <c r="A426" s="1111" t="s">
        <v>3731</v>
      </c>
      <c r="B426" s="1737" t="e">
        <f ca="1">'House reinf, Drive Side'!$V$81</f>
        <v>#REF!</v>
      </c>
      <c r="C426" s="415" t="s">
        <v>136</v>
      </c>
      <c r="D426" s="1120" t="s">
        <v>3732</v>
      </c>
      <c r="E426" s="413"/>
      <c r="F426" s="413"/>
      <c r="G426" s="413"/>
      <c r="H426" s="413"/>
      <c r="I426" s="413"/>
      <c r="J426" s="413"/>
      <c r="K426" s="413"/>
      <c r="L426" s="413"/>
      <c r="M426" s="413"/>
      <c r="N426" s="413"/>
      <c r="O426" s="413"/>
      <c r="P426" s="413"/>
      <c r="Q426" s="413"/>
      <c r="R426" s="437"/>
      <c r="S426" s="1438"/>
      <c r="T426" s="1439"/>
      <c r="U426" s="1431"/>
      <c r="V426" s="1440"/>
      <c r="W426" s="1943"/>
      <c r="X426" s="1441"/>
      <c r="Y426" s="1432"/>
      <c r="Z426" s="1691"/>
    </row>
    <row r="427" spans="1:26" s="1942" customFormat="1" ht="15" customHeight="1">
      <c r="A427" s="1111" t="s">
        <v>3733</v>
      </c>
      <c r="B427" s="1737" t="e">
        <f ca="1">'House reinf, Drive Side'!$W$81</f>
        <v>#REF!</v>
      </c>
      <c r="C427" s="415" t="s">
        <v>136</v>
      </c>
      <c r="D427" s="1120" t="s">
        <v>3734</v>
      </c>
      <c r="E427" s="413"/>
      <c r="F427" s="413"/>
      <c r="G427" s="413"/>
      <c r="H427" s="413"/>
      <c r="I427" s="413"/>
      <c r="J427" s="413"/>
      <c r="K427" s="413"/>
      <c r="L427" s="413"/>
      <c r="M427" s="413"/>
      <c r="N427" s="413"/>
      <c r="O427" s="413"/>
      <c r="P427" s="413"/>
      <c r="Q427" s="413"/>
      <c r="R427" s="437"/>
      <c r="S427" s="1438"/>
      <c r="T427" s="1439"/>
      <c r="U427" s="1431"/>
      <c r="V427" s="1440"/>
      <c r="W427" s="1943"/>
      <c r="X427" s="1441"/>
      <c r="Y427" s="1432"/>
      <c r="Z427" s="1691"/>
    </row>
    <row r="428" spans="1:26" s="1942" customFormat="1" ht="15" customHeight="1">
      <c r="A428" s="1111" t="s">
        <v>3735</v>
      </c>
      <c r="B428" s="1737" t="e">
        <f ca="1">'House reinf, Drive Side'!$X$81</f>
        <v>#REF!</v>
      </c>
      <c r="C428" s="415" t="s">
        <v>136</v>
      </c>
      <c r="D428" s="1120" t="s">
        <v>3736</v>
      </c>
      <c r="E428" s="413"/>
      <c r="F428" s="413"/>
      <c r="G428" s="413"/>
      <c r="H428" s="413"/>
      <c r="I428" s="413"/>
      <c r="J428" s="413"/>
      <c r="K428" s="413"/>
      <c r="L428" s="413"/>
      <c r="M428" s="413"/>
      <c r="N428" s="413"/>
      <c r="O428" s="413"/>
      <c r="P428" s="413"/>
      <c r="Q428" s="413"/>
      <c r="R428" s="437"/>
      <c r="S428" s="1438"/>
      <c r="T428" s="1439"/>
      <c r="U428" s="1431"/>
      <c r="V428" s="1440"/>
      <c r="W428" s="1943"/>
      <c r="X428" s="1441"/>
      <c r="Y428" s="1432"/>
      <c r="Z428" s="1691"/>
    </row>
    <row r="429" spans="1:26" s="1942" customFormat="1" ht="15" customHeight="1">
      <c r="A429" s="1111" t="s">
        <v>3737</v>
      </c>
      <c r="B429" s="1737" t="e">
        <f ca="1">'House reinf, Drive Side'!$Y$81</f>
        <v>#REF!</v>
      </c>
      <c r="C429" s="415" t="s">
        <v>136</v>
      </c>
      <c r="D429" s="1120" t="s">
        <v>3738</v>
      </c>
      <c r="E429" s="413"/>
      <c r="F429" s="413"/>
      <c r="G429" s="413"/>
      <c r="H429" s="413"/>
      <c r="I429" s="413"/>
      <c r="J429" s="413"/>
      <c r="K429" s="413"/>
      <c r="L429" s="413"/>
      <c r="M429" s="413"/>
      <c r="N429" s="413"/>
      <c r="O429" s="413"/>
      <c r="P429" s="413"/>
      <c r="Q429" s="413"/>
      <c r="R429" s="437"/>
      <c r="S429" s="1438"/>
      <c r="T429" s="1439"/>
      <c r="U429" s="1431"/>
      <c r="V429" s="1440"/>
      <c r="W429" s="1943"/>
      <c r="X429" s="1441"/>
      <c r="Y429" s="1432"/>
      <c r="Z429" s="1691"/>
    </row>
    <row r="430" spans="1:26" s="1942" customFormat="1" ht="15" customHeight="1">
      <c r="A430" s="1111" t="s">
        <v>3739</v>
      </c>
      <c r="B430" s="1737" t="e">
        <f ca="1">'House reinf, Drive Side'!$Z$81</f>
        <v>#REF!</v>
      </c>
      <c r="C430" s="415" t="s">
        <v>136</v>
      </c>
      <c r="D430" s="1120" t="s">
        <v>3740</v>
      </c>
      <c r="E430" s="413"/>
      <c r="F430" s="413"/>
      <c r="G430" s="413"/>
      <c r="H430" s="413"/>
      <c r="I430" s="413"/>
      <c r="J430" s="413"/>
      <c r="K430" s="413"/>
      <c r="L430" s="413"/>
      <c r="M430" s="413"/>
      <c r="N430" s="413"/>
      <c r="O430" s="413"/>
      <c r="P430" s="413"/>
      <c r="Q430" s="413"/>
      <c r="R430" s="437"/>
      <c r="S430" s="1438"/>
      <c r="T430" s="1439"/>
      <c r="U430" s="1431"/>
      <c r="V430" s="1440"/>
      <c r="W430" s="1943"/>
      <c r="X430" s="1441"/>
      <c r="Y430" s="1432"/>
      <c r="Z430" s="1691"/>
    </row>
    <row r="431" spans="1:26" s="1942" customFormat="1" ht="15" customHeight="1">
      <c r="A431" s="1111" t="s">
        <v>3741</v>
      </c>
      <c r="B431" s="1737" t="e">
        <f ca="1">'House reinf, Drive Side'!$AA$81</f>
        <v>#REF!</v>
      </c>
      <c r="C431" s="415" t="s">
        <v>136</v>
      </c>
      <c r="D431" s="1120" t="s">
        <v>3742</v>
      </c>
      <c r="E431" s="413"/>
      <c r="F431" s="413"/>
      <c r="G431" s="413"/>
      <c r="H431" s="413"/>
      <c r="I431" s="413"/>
      <c r="J431" s="413"/>
      <c r="K431" s="413"/>
      <c r="L431" s="413"/>
      <c r="M431" s="413"/>
      <c r="N431" s="413"/>
      <c r="O431" s="413"/>
      <c r="P431" s="413"/>
      <c r="Q431" s="413"/>
      <c r="R431" s="437"/>
      <c r="S431" s="1438"/>
      <c r="T431" s="1439"/>
      <c r="U431" s="1431"/>
      <c r="V431" s="1440"/>
      <c r="W431" s="1943"/>
      <c r="X431" s="1441"/>
      <c r="Y431" s="1432"/>
      <c r="Z431" s="1691"/>
    </row>
    <row r="432" spans="1:26" s="1942" customFormat="1" ht="15" customHeight="1">
      <c r="A432" s="1111" t="s">
        <v>3743</v>
      </c>
      <c r="B432" s="1737" t="e">
        <f ca="1">'House reinf, Drive Side'!$AB$81</f>
        <v>#REF!</v>
      </c>
      <c r="C432" s="415" t="s">
        <v>136</v>
      </c>
      <c r="D432" s="1120" t="s">
        <v>3744</v>
      </c>
      <c r="E432" s="413"/>
      <c r="F432" s="413"/>
      <c r="G432" s="413"/>
      <c r="H432" s="413"/>
      <c r="I432" s="413"/>
      <c r="J432" s="413"/>
      <c r="K432" s="413"/>
      <c r="L432" s="413"/>
      <c r="M432" s="413"/>
      <c r="N432" s="413"/>
      <c r="O432" s="413"/>
      <c r="P432" s="413"/>
      <c r="Q432" s="413"/>
      <c r="R432" s="437"/>
      <c r="S432" s="1438"/>
      <c r="T432" s="1439"/>
      <c r="U432" s="1431"/>
      <c r="V432" s="1440"/>
      <c r="W432" s="1943"/>
      <c r="X432" s="1441"/>
      <c r="Y432" s="1432"/>
      <c r="Z432" s="1691"/>
    </row>
    <row r="433" spans="1:26" s="1942" customFormat="1" ht="15" customHeight="1">
      <c r="A433" s="1111" t="s">
        <v>3576</v>
      </c>
      <c r="B433" s="1737" t="e">
        <f ca="1">'House reinf, Drive Side'!$AC$81</f>
        <v>#REF!</v>
      </c>
      <c r="C433" s="415" t="s">
        <v>136</v>
      </c>
      <c r="D433" s="1120" t="s">
        <v>2771</v>
      </c>
      <c r="E433" s="413"/>
      <c r="F433" s="413"/>
      <c r="G433" s="413"/>
      <c r="H433" s="413"/>
      <c r="I433" s="413"/>
      <c r="J433" s="413"/>
      <c r="K433" s="413"/>
      <c r="L433" s="413"/>
      <c r="M433" s="413"/>
      <c r="N433" s="413"/>
      <c r="O433" s="413"/>
      <c r="P433" s="413"/>
      <c r="Q433" s="413"/>
      <c r="R433" s="437"/>
      <c r="S433" s="1438"/>
      <c r="T433" s="1439"/>
      <c r="U433" s="1431"/>
      <c r="V433" s="1440"/>
      <c r="W433" s="1943"/>
      <c r="X433" s="1441"/>
      <c r="Y433" s="1432"/>
      <c r="Z433" s="1691"/>
    </row>
    <row r="434" spans="1:26" s="1942" customFormat="1" ht="15" customHeight="1">
      <c r="A434" s="1111" t="s">
        <v>3577</v>
      </c>
      <c r="B434" s="1737" t="e">
        <f ca="1">'House reinf, Drive Side'!$AD$81</f>
        <v>#REF!</v>
      </c>
      <c r="C434" s="415" t="s">
        <v>136</v>
      </c>
      <c r="D434" s="1120" t="s">
        <v>3574</v>
      </c>
      <c r="E434" s="413"/>
      <c r="F434" s="413"/>
      <c r="G434" s="413"/>
      <c r="H434" s="413"/>
      <c r="I434" s="413"/>
      <c r="J434" s="413"/>
      <c r="K434" s="413"/>
      <c r="L434" s="413"/>
      <c r="M434" s="413"/>
      <c r="N434" s="413"/>
      <c r="O434" s="413"/>
      <c r="P434" s="413"/>
      <c r="Q434" s="413"/>
      <c r="R434" s="437"/>
      <c r="S434" s="1438"/>
      <c r="T434" s="1439"/>
      <c r="U434" s="1431"/>
      <c r="V434" s="1440"/>
      <c r="W434" s="1943"/>
      <c r="X434" s="1441"/>
      <c r="Y434" s="1432"/>
      <c r="Z434" s="1691"/>
    </row>
    <row r="435" spans="1:26" s="1942" customFormat="1" ht="15" customHeight="1">
      <c r="A435" s="1111" t="s">
        <v>3823</v>
      </c>
      <c r="B435" s="1737" t="e">
        <f ca="1">'House reinf, Drive Side'!$AE$81</f>
        <v>#REF!</v>
      </c>
      <c r="C435" s="415" t="s">
        <v>136</v>
      </c>
      <c r="D435" s="1120" t="s">
        <v>3573</v>
      </c>
      <c r="E435" s="413"/>
      <c r="F435" s="413"/>
      <c r="G435" s="413"/>
      <c r="H435" s="413"/>
      <c r="I435" s="413"/>
      <c r="J435" s="413"/>
      <c r="K435" s="413"/>
      <c r="L435" s="413"/>
      <c r="M435" s="413"/>
      <c r="N435" s="413"/>
      <c r="O435" s="413"/>
      <c r="P435" s="413"/>
      <c r="Q435" s="413"/>
      <c r="R435" s="437"/>
      <c r="S435" s="1438"/>
      <c r="T435" s="1439"/>
      <c r="U435" s="1431"/>
      <c r="V435" s="1440"/>
      <c r="W435" s="1943"/>
      <c r="X435" s="1441"/>
      <c r="Y435" s="1432"/>
      <c r="Z435" s="1691"/>
    </row>
    <row r="436" spans="1:26" s="1942" customFormat="1" ht="15" customHeight="1">
      <c r="A436" s="1111" t="s">
        <v>3824</v>
      </c>
      <c r="B436" s="1737" t="e">
        <f ca="1">'House reinf, Drive Side'!$AF$81</f>
        <v>#REF!</v>
      </c>
      <c r="C436" s="415" t="s">
        <v>136</v>
      </c>
      <c r="D436" s="1120" t="s">
        <v>3841</v>
      </c>
      <c r="E436" s="413"/>
      <c r="F436" s="413"/>
      <c r="G436" s="413"/>
      <c r="H436" s="413"/>
      <c r="I436" s="413"/>
      <c r="J436" s="413"/>
      <c r="K436" s="413"/>
      <c r="L436" s="413"/>
      <c r="M436" s="413"/>
      <c r="N436" s="413"/>
      <c r="O436" s="413"/>
      <c r="P436" s="413"/>
      <c r="Q436" s="413"/>
      <c r="R436" s="437"/>
      <c r="S436" s="1438"/>
      <c r="T436" s="1439"/>
      <c r="U436" s="1431"/>
      <c r="V436" s="1440"/>
      <c r="W436" s="1943"/>
      <c r="X436" s="1441"/>
      <c r="Y436" s="1432"/>
      <c r="Z436" s="1691"/>
    </row>
    <row r="437" spans="1:26" s="1942" customFormat="1" ht="15" customHeight="1">
      <c r="A437" s="1111" t="s">
        <v>3825</v>
      </c>
      <c r="B437" s="1737" t="e">
        <f ca="1">'House reinf, Drive Side'!$AG$81</f>
        <v>#REF!</v>
      </c>
      <c r="C437" s="415" t="s">
        <v>136</v>
      </c>
      <c r="D437" s="1120" t="s">
        <v>2602</v>
      </c>
      <c r="E437" s="413"/>
      <c r="F437" s="413"/>
      <c r="G437" s="413"/>
      <c r="H437" s="413"/>
      <c r="I437" s="413"/>
      <c r="J437" s="413"/>
      <c r="K437" s="413"/>
      <c r="L437" s="413"/>
      <c r="M437" s="413"/>
      <c r="N437" s="413"/>
      <c r="O437" s="413"/>
      <c r="P437" s="413"/>
      <c r="Q437" s="1123"/>
      <c r="R437" s="1124"/>
      <c r="S437" s="1438"/>
      <c r="T437" s="1439"/>
      <c r="U437" s="1431"/>
      <c r="V437" s="1440"/>
      <c r="W437" s="1943"/>
      <c r="X437" s="1441"/>
      <c r="Y437" s="1432"/>
      <c r="Z437" s="1691"/>
    </row>
    <row r="438" spans="1:26" s="1942" customFormat="1" ht="15" customHeight="1">
      <c r="A438" s="1111" t="s">
        <v>3826</v>
      </c>
      <c r="B438" s="1737" t="e">
        <f ca="1">'House reinf, Drive Side'!$AH$81</f>
        <v>#REF!</v>
      </c>
      <c r="C438" s="415" t="s">
        <v>136</v>
      </c>
      <c r="D438" s="1120" t="s">
        <v>2603</v>
      </c>
      <c r="E438" s="413"/>
      <c r="F438" s="413"/>
      <c r="G438" s="413"/>
      <c r="H438" s="413"/>
      <c r="I438" s="413"/>
      <c r="J438" s="413"/>
      <c r="K438" s="413"/>
      <c r="L438" s="413"/>
      <c r="M438" s="413"/>
      <c r="N438" s="413"/>
      <c r="O438" s="413"/>
      <c r="P438" s="413"/>
      <c r="Q438" s="1123"/>
      <c r="R438" s="1124"/>
      <c r="S438" s="1438"/>
      <c r="T438" s="1439"/>
      <c r="U438" s="1431"/>
      <c r="V438" s="1440"/>
      <c r="W438" s="1943"/>
      <c r="X438" s="1441"/>
      <c r="Y438" s="1432"/>
      <c r="Z438" s="1691"/>
    </row>
    <row r="439" spans="1:26" s="1942" customFormat="1" ht="15" customHeight="1">
      <c r="A439" s="1111" t="s">
        <v>3827</v>
      </c>
      <c r="B439" s="1737" t="e">
        <f ca="1">'House reinf, Drive Side'!$AI$81</f>
        <v>#REF!</v>
      </c>
      <c r="C439" s="415" t="s">
        <v>136</v>
      </c>
      <c r="D439" s="1120" t="s">
        <v>2604</v>
      </c>
      <c r="E439" s="413"/>
      <c r="F439" s="413"/>
      <c r="G439" s="413"/>
      <c r="H439" s="413"/>
      <c r="I439" s="413"/>
      <c r="J439" s="413"/>
      <c r="K439" s="413"/>
      <c r="L439" s="413"/>
      <c r="M439" s="413"/>
      <c r="N439" s="413"/>
      <c r="O439" s="413"/>
      <c r="P439" s="413"/>
      <c r="Q439" s="1123"/>
      <c r="R439" s="1124"/>
      <c r="S439" s="1438"/>
      <c r="T439" s="1439"/>
      <c r="U439" s="1431"/>
      <c r="V439" s="1440"/>
      <c r="W439" s="1943"/>
      <c r="X439" s="1441"/>
      <c r="Y439" s="1432"/>
      <c r="Z439" s="1691"/>
    </row>
    <row r="440" spans="1:26" s="1942" customFormat="1" ht="15" customHeight="1" thickBot="1">
      <c r="A440" s="1112" t="s">
        <v>3828</v>
      </c>
      <c r="B440" s="3099" t="e">
        <f ca="1">'House reinf, Drive Side'!$AJ$81</f>
        <v>#REF!</v>
      </c>
      <c r="C440" s="414" t="s">
        <v>136</v>
      </c>
      <c r="D440" s="1130" t="s">
        <v>2615</v>
      </c>
      <c r="E440" s="413"/>
      <c r="F440" s="413"/>
      <c r="G440" s="413"/>
      <c r="H440" s="413"/>
      <c r="I440" s="413"/>
      <c r="J440" s="413"/>
      <c r="K440" s="413"/>
      <c r="L440" s="413"/>
      <c r="M440" s="413"/>
      <c r="N440" s="413"/>
      <c r="O440" s="413"/>
      <c r="P440" s="413"/>
      <c r="Q440" s="1123"/>
      <c r="R440" s="1124"/>
      <c r="S440" s="1438"/>
      <c r="T440" s="1439"/>
      <c r="U440" s="1431"/>
      <c r="V440" s="3054"/>
      <c r="W440" s="3055"/>
      <c r="X440" s="3056"/>
      <c r="Y440" s="3057"/>
      <c r="Z440" s="3058"/>
    </row>
    <row r="441" spans="1:26" s="1942" customFormat="1" ht="15" customHeight="1">
      <c r="A441" s="1111" t="s">
        <v>3745</v>
      </c>
      <c r="B441" s="3101" t="e">
        <f ca="1">'House reinf, Drive Side'!$B$80</f>
        <v>#REF!</v>
      </c>
      <c r="C441" s="415" t="s">
        <v>1137</v>
      </c>
      <c r="D441" s="1120" t="str">
        <f t="shared" ref="D441:D467" si="2">D406</f>
        <v>DSRad1</v>
      </c>
      <c r="E441" s="1783"/>
      <c r="F441" s="1783"/>
      <c r="G441" s="1783"/>
      <c r="H441" s="1783"/>
      <c r="I441" s="1783"/>
      <c r="J441" s="1783"/>
      <c r="K441" s="1783"/>
      <c r="L441" s="1783"/>
      <c r="M441" s="1783"/>
      <c r="N441" s="1783"/>
      <c r="O441" s="1783"/>
      <c r="P441" s="1783"/>
      <c r="Q441" s="1783"/>
      <c r="R441" s="1784"/>
      <c r="S441" s="3081"/>
      <c r="T441" s="3082"/>
      <c r="U441" s="3083"/>
      <c r="V441" s="1690"/>
      <c r="W441" s="1678"/>
      <c r="X441" s="1690"/>
      <c r="Y441" s="1678"/>
      <c r="Z441" s="1679"/>
    </row>
    <row r="442" spans="1:26" s="1942" customFormat="1" ht="15" customHeight="1">
      <c r="A442" s="1111" t="s">
        <v>3746</v>
      </c>
      <c r="B442" s="3101" t="e">
        <f ca="1">'House reinf, Drive Side'!$C$80</f>
        <v>#REF!</v>
      </c>
      <c r="C442" s="415" t="s">
        <v>1137</v>
      </c>
      <c r="D442" s="1120" t="str">
        <f t="shared" si="2"/>
        <v>DSRad2</v>
      </c>
      <c r="E442" s="413"/>
      <c r="F442" s="413"/>
      <c r="G442" s="413"/>
      <c r="H442" s="413"/>
      <c r="I442" s="413"/>
      <c r="J442" s="413"/>
      <c r="K442" s="413"/>
      <c r="L442" s="413"/>
      <c r="M442" s="413"/>
      <c r="N442" s="413"/>
      <c r="O442" s="413"/>
      <c r="P442" s="413"/>
      <c r="Q442" s="413"/>
      <c r="R442" s="437"/>
      <c r="S442" s="1940"/>
      <c r="T442" s="1689"/>
      <c r="U442" s="1678"/>
      <c r="V442" s="1690"/>
      <c r="W442" s="1678"/>
      <c r="X442" s="1690"/>
      <c r="Y442" s="1678"/>
      <c r="Z442" s="1679"/>
    </row>
    <row r="443" spans="1:26" s="1942" customFormat="1" ht="15" customHeight="1">
      <c r="A443" s="1111" t="s">
        <v>3747</v>
      </c>
      <c r="B443" s="3101" t="e">
        <f ca="1">'House reinf, Drive Side'!$D$80</f>
        <v>#REF!</v>
      </c>
      <c r="C443" s="415" t="s">
        <v>1137</v>
      </c>
      <c r="D443" s="1120" t="str">
        <f t="shared" si="2"/>
        <v>DSRad3</v>
      </c>
      <c r="E443" s="413"/>
      <c r="F443" s="413"/>
      <c r="G443" s="413"/>
      <c r="H443" s="413"/>
      <c r="I443" s="413"/>
      <c r="J443" s="413"/>
      <c r="K443" s="413"/>
      <c r="L443" s="413"/>
      <c r="M443" s="413"/>
      <c r="N443" s="413"/>
      <c r="O443" s="413"/>
      <c r="P443" s="413"/>
      <c r="Q443" s="413"/>
      <c r="R443" s="437"/>
      <c r="S443" s="1940"/>
      <c r="T443" s="1689"/>
      <c r="U443" s="1678"/>
      <c r="V443" s="1690"/>
      <c r="W443" s="1678"/>
      <c r="X443" s="1690"/>
      <c r="Y443" s="1678"/>
      <c r="Z443" s="1679"/>
    </row>
    <row r="444" spans="1:26" s="1942" customFormat="1" ht="15" customHeight="1">
      <c r="A444" s="1111" t="s">
        <v>3748</v>
      </c>
      <c r="B444" s="3101" t="e">
        <f ca="1">'House reinf, Drive Side'!$E$80</f>
        <v>#REF!</v>
      </c>
      <c r="C444" s="415" t="s">
        <v>1137</v>
      </c>
      <c r="D444" s="1120" t="str">
        <f t="shared" si="2"/>
        <v>DSRad4</v>
      </c>
      <c r="E444" s="413"/>
      <c r="F444" s="413"/>
      <c r="G444" s="413"/>
      <c r="H444" s="413"/>
      <c r="I444" s="413"/>
      <c r="J444" s="413"/>
      <c r="K444" s="413"/>
      <c r="L444" s="413"/>
      <c r="M444" s="413"/>
      <c r="N444" s="413"/>
      <c r="O444" s="413"/>
      <c r="P444" s="413"/>
      <c r="Q444" s="413"/>
      <c r="R444" s="437"/>
      <c r="S444" s="1940"/>
      <c r="T444" s="1689"/>
      <c r="U444" s="1678"/>
      <c r="V444" s="1690"/>
      <c r="W444" s="1678"/>
      <c r="X444" s="1690"/>
      <c r="Y444" s="1678"/>
      <c r="Z444" s="1679"/>
    </row>
    <row r="445" spans="1:26" s="1942" customFormat="1" ht="15" customHeight="1">
      <c r="A445" s="1111" t="s">
        <v>3749</v>
      </c>
      <c r="B445" s="3101" t="e">
        <f ca="1">'House reinf, Drive Side'!$F$80</f>
        <v>#REF!</v>
      </c>
      <c r="C445" s="415" t="s">
        <v>1137</v>
      </c>
      <c r="D445" s="1120" t="str">
        <f t="shared" si="2"/>
        <v>DSRad5</v>
      </c>
      <c r="E445" s="413"/>
      <c r="F445" s="413"/>
      <c r="G445" s="413"/>
      <c r="H445" s="413"/>
      <c r="I445" s="413"/>
      <c r="J445" s="413"/>
      <c r="K445" s="413"/>
      <c r="L445" s="413"/>
      <c r="M445" s="413"/>
      <c r="N445" s="413"/>
      <c r="O445" s="413"/>
      <c r="P445" s="413"/>
      <c r="Q445" s="413"/>
      <c r="R445" s="437"/>
      <c r="S445" s="1940"/>
      <c r="T445" s="1689"/>
      <c r="U445" s="1678"/>
      <c r="V445" s="1690"/>
      <c r="W445" s="1678"/>
      <c r="X445" s="1690"/>
      <c r="Y445" s="1678"/>
      <c r="Z445" s="1679"/>
    </row>
    <row r="446" spans="1:26" s="1942" customFormat="1" ht="15" customHeight="1">
      <c r="A446" s="1111" t="s">
        <v>3750</v>
      </c>
      <c r="B446" s="3101" t="e">
        <f ca="1">'House reinf, Drive Side'!$G$80</f>
        <v>#REF!</v>
      </c>
      <c r="C446" s="415" t="s">
        <v>1137</v>
      </c>
      <c r="D446" s="1120" t="str">
        <f t="shared" si="2"/>
        <v>DSRad6</v>
      </c>
      <c r="E446" s="413"/>
      <c r="F446" s="413"/>
      <c r="G446" s="413"/>
      <c r="H446" s="413"/>
      <c r="I446" s="413"/>
      <c r="J446" s="413"/>
      <c r="K446" s="413"/>
      <c r="L446" s="413"/>
      <c r="M446" s="413"/>
      <c r="N446" s="413"/>
      <c r="O446" s="413"/>
      <c r="P446" s="413"/>
      <c r="Q446" s="413"/>
      <c r="R446" s="437"/>
      <c r="S446" s="1940"/>
      <c r="T446" s="1689"/>
      <c r="U446" s="1678"/>
      <c r="V446" s="1690"/>
      <c r="W446" s="1678"/>
      <c r="X446" s="1690"/>
      <c r="Y446" s="1678"/>
      <c r="Z446" s="1679"/>
    </row>
    <row r="447" spans="1:26" s="1942" customFormat="1" ht="15" customHeight="1">
      <c r="A447" s="1111" t="s">
        <v>3751</v>
      </c>
      <c r="B447" s="3101" t="e">
        <f ca="1">'House reinf, Drive Side'!$H$80</f>
        <v>#REF!</v>
      </c>
      <c r="C447" s="415" t="s">
        <v>1137</v>
      </c>
      <c r="D447" s="1120" t="str">
        <f t="shared" si="2"/>
        <v>DSRad7</v>
      </c>
      <c r="E447" s="413"/>
      <c r="F447" s="413"/>
      <c r="G447" s="413"/>
      <c r="H447" s="413"/>
      <c r="I447" s="413"/>
      <c r="J447" s="413"/>
      <c r="K447" s="413"/>
      <c r="L447" s="413"/>
      <c r="M447" s="413"/>
      <c r="N447" s="413"/>
      <c r="O447" s="413"/>
      <c r="P447" s="413"/>
      <c r="Q447" s="413"/>
      <c r="R447" s="437"/>
      <c r="S447" s="1940"/>
      <c r="T447" s="1689"/>
      <c r="U447" s="1678"/>
      <c r="V447" s="1690"/>
      <c r="W447" s="1678"/>
      <c r="X447" s="1690"/>
      <c r="Y447" s="1678"/>
      <c r="Z447" s="1679"/>
    </row>
    <row r="448" spans="1:26" s="1942" customFormat="1" ht="15" customHeight="1">
      <c r="A448" s="1111" t="s">
        <v>3752</v>
      </c>
      <c r="B448" s="3101" t="e">
        <f ca="1">'House reinf, Drive Side'!$I$80</f>
        <v>#REF!</v>
      </c>
      <c r="C448" s="415" t="s">
        <v>1137</v>
      </c>
      <c r="D448" s="1120" t="str">
        <f t="shared" si="2"/>
        <v>DSRad8</v>
      </c>
      <c r="E448" s="413"/>
      <c r="F448" s="413"/>
      <c r="G448" s="413"/>
      <c r="H448" s="413"/>
      <c r="I448" s="413"/>
      <c r="J448" s="413"/>
      <c r="K448" s="413"/>
      <c r="L448" s="413"/>
      <c r="M448" s="413"/>
      <c r="N448" s="413"/>
      <c r="O448" s="413"/>
      <c r="P448" s="413"/>
      <c r="Q448" s="413"/>
      <c r="R448" s="437"/>
      <c r="S448" s="1940"/>
      <c r="T448" s="1689"/>
      <c r="U448" s="1678"/>
      <c r="V448" s="1690"/>
      <c r="W448" s="1678"/>
      <c r="X448" s="1690"/>
      <c r="Y448" s="1678"/>
      <c r="Z448" s="1679"/>
    </row>
    <row r="449" spans="1:26" s="1942" customFormat="1" ht="15" customHeight="1">
      <c r="A449" s="1111" t="s">
        <v>3753</v>
      </c>
      <c r="B449" s="3101" t="e">
        <f ca="1">'House reinf, Drive Side'!$J$80</f>
        <v>#REF!</v>
      </c>
      <c r="C449" s="415" t="s">
        <v>1137</v>
      </c>
      <c r="D449" s="1120" t="str">
        <f t="shared" si="2"/>
        <v>DSRad9</v>
      </c>
      <c r="E449" s="413"/>
      <c r="F449" s="413"/>
      <c r="G449" s="413"/>
      <c r="H449" s="413"/>
      <c r="I449" s="413"/>
      <c r="J449" s="413"/>
      <c r="K449" s="413"/>
      <c r="L449" s="413"/>
      <c r="M449" s="413"/>
      <c r="N449" s="413"/>
      <c r="O449" s="413"/>
      <c r="P449" s="413"/>
      <c r="Q449" s="413"/>
      <c r="R449" s="437"/>
      <c r="S449" s="1940"/>
      <c r="T449" s="1689"/>
      <c r="U449" s="1678"/>
      <c r="V449" s="1690"/>
      <c r="W449" s="1678"/>
      <c r="X449" s="1690"/>
      <c r="Y449" s="1678"/>
      <c r="Z449" s="1679"/>
    </row>
    <row r="450" spans="1:26" s="1942" customFormat="1" ht="15" customHeight="1">
      <c r="A450" s="1111" t="s">
        <v>3754</v>
      </c>
      <c r="B450" s="3101" t="e">
        <f ca="1">'House reinf, Drive Side'!$K$80</f>
        <v>#REF!</v>
      </c>
      <c r="C450" s="415" t="s">
        <v>1137</v>
      </c>
      <c r="D450" s="1120" t="str">
        <f t="shared" si="2"/>
        <v>DSRad10</v>
      </c>
      <c r="E450" s="413"/>
      <c r="F450" s="413"/>
      <c r="G450" s="413"/>
      <c r="H450" s="413"/>
      <c r="I450" s="413"/>
      <c r="J450" s="413"/>
      <c r="K450" s="413"/>
      <c r="L450" s="413"/>
      <c r="M450" s="413"/>
      <c r="N450" s="413"/>
      <c r="O450" s="413"/>
      <c r="P450" s="413"/>
      <c r="Q450" s="413"/>
      <c r="R450" s="437"/>
      <c r="S450" s="1940"/>
      <c r="T450" s="1689"/>
      <c r="U450" s="1678"/>
      <c r="V450" s="1690"/>
      <c r="W450" s="1678"/>
      <c r="X450" s="1690"/>
      <c r="Y450" s="1678"/>
      <c r="Z450" s="1679"/>
    </row>
    <row r="451" spans="1:26" s="1942" customFormat="1" ht="15" customHeight="1">
      <c r="A451" s="1111" t="s">
        <v>3755</v>
      </c>
      <c r="B451" s="3101" t="e">
        <f ca="1">'House reinf, Drive Side'!$L$80</f>
        <v>#REF!</v>
      </c>
      <c r="C451" s="415" t="s">
        <v>1137</v>
      </c>
      <c r="D451" s="1120" t="str">
        <f t="shared" si="2"/>
        <v>DSRad11</v>
      </c>
      <c r="E451" s="413"/>
      <c r="F451" s="413"/>
      <c r="G451" s="413"/>
      <c r="H451" s="413"/>
      <c r="I451" s="413"/>
      <c r="J451" s="413"/>
      <c r="K451" s="413"/>
      <c r="L451" s="413"/>
      <c r="M451" s="413"/>
      <c r="N451" s="413"/>
      <c r="O451" s="413"/>
      <c r="P451" s="413"/>
      <c r="Q451" s="413"/>
      <c r="R451" s="437"/>
      <c r="S451" s="1940"/>
      <c r="T451" s="1689"/>
      <c r="U451" s="1678"/>
      <c r="V451" s="1690"/>
      <c r="W451" s="1678"/>
      <c r="X451" s="1690"/>
      <c r="Y451" s="1678"/>
      <c r="Z451" s="1679"/>
    </row>
    <row r="452" spans="1:26" s="1942" customFormat="1" ht="15" customHeight="1">
      <c r="A452" s="1111" t="s">
        <v>3756</v>
      </c>
      <c r="B452" s="3101" t="e">
        <f ca="1">'House reinf, Drive Side'!$M$80</f>
        <v>#REF!</v>
      </c>
      <c r="C452" s="415" t="s">
        <v>1137</v>
      </c>
      <c r="D452" s="1120" t="str">
        <f t="shared" si="2"/>
        <v>DSRad12</v>
      </c>
      <c r="E452" s="413"/>
      <c r="F452" s="413"/>
      <c r="G452" s="413"/>
      <c r="H452" s="413"/>
      <c r="I452" s="413"/>
      <c r="J452" s="413"/>
      <c r="K452" s="413"/>
      <c r="L452" s="413"/>
      <c r="M452" s="413"/>
      <c r="N452" s="413"/>
      <c r="O452" s="413"/>
      <c r="P452" s="413"/>
      <c r="Q452" s="413"/>
      <c r="R452" s="437"/>
      <c r="S452" s="1940"/>
      <c r="T452" s="1689"/>
      <c r="U452" s="1678"/>
      <c r="V452" s="1690"/>
      <c r="W452" s="1678"/>
      <c r="X452" s="1690"/>
      <c r="Y452" s="1678"/>
      <c r="Z452" s="1679"/>
    </row>
    <row r="453" spans="1:26" s="1942" customFormat="1" ht="15" customHeight="1">
      <c r="A453" s="1111" t="s">
        <v>3757</v>
      </c>
      <c r="B453" s="3101" t="e">
        <f ca="1">'House reinf, Drive Side'!$N$80</f>
        <v>#REF!</v>
      </c>
      <c r="C453" s="415" t="s">
        <v>1137</v>
      </c>
      <c r="D453" s="1120" t="str">
        <f t="shared" si="2"/>
        <v>DSRad13</v>
      </c>
      <c r="E453" s="413"/>
      <c r="F453" s="413"/>
      <c r="G453" s="413"/>
      <c r="H453" s="413"/>
      <c r="I453" s="413"/>
      <c r="J453" s="413"/>
      <c r="K453" s="413"/>
      <c r="L453" s="413"/>
      <c r="M453" s="413"/>
      <c r="N453" s="413"/>
      <c r="O453" s="413"/>
      <c r="P453" s="413"/>
      <c r="Q453" s="413"/>
      <c r="R453" s="437"/>
      <c r="S453" s="1940"/>
      <c r="T453" s="1689"/>
      <c r="U453" s="1678"/>
      <c r="V453" s="1690"/>
      <c r="W453" s="1678"/>
      <c r="X453" s="1690"/>
      <c r="Y453" s="1678"/>
      <c r="Z453" s="1679"/>
    </row>
    <row r="454" spans="1:26" s="1942" customFormat="1" ht="15" customHeight="1">
      <c r="A454" s="1111" t="s">
        <v>3758</v>
      </c>
      <c r="B454" s="3101" t="e">
        <f ca="1">'House reinf, Drive Side'!$O$80</f>
        <v>#REF!</v>
      </c>
      <c r="C454" s="415" t="s">
        <v>1137</v>
      </c>
      <c r="D454" s="1120" t="str">
        <f t="shared" si="2"/>
        <v>DSRad14</v>
      </c>
      <c r="E454" s="413"/>
      <c r="F454" s="413"/>
      <c r="G454" s="413"/>
      <c r="H454" s="413"/>
      <c r="I454" s="413"/>
      <c r="J454" s="413"/>
      <c r="K454" s="413"/>
      <c r="L454" s="413"/>
      <c r="M454" s="413"/>
      <c r="N454" s="413"/>
      <c r="O454" s="413"/>
      <c r="P454" s="413"/>
      <c r="Q454" s="413"/>
      <c r="R454" s="437"/>
      <c r="S454" s="1940"/>
      <c r="T454" s="1689"/>
      <c r="U454" s="1678"/>
      <c r="V454" s="1690"/>
      <c r="W454" s="1678"/>
      <c r="X454" s="1690"/>
      <c r="Y454" s="1678"/>
      <c r="Z454" s="1679"/>
    </row>
    <row r="455" spans="1:26" s="1942" customFormat="1" ht="15" customHeight="1">
      <c r="A455" s="1111" t="s">
        <v>3759</v>
      </c>
      <c r="B455" s="3101" t="e">
        <f ca="1">'House reinf, Drive Side'!$P$80</f>
        <v>#REF!</v>
      </c>
      <c r="C455" s="415" t="s">
        <v>1137</v>
      </c>
      <c r="D455" s="1120" t="str">
        <f t="shared" si="2"/>
        <v>DSRad15</v>
      </c>
      <c r="E455" s="413"/>
      <c r="F455" s="413"/>
      <c r="G455" s="413"/>
      <c r="H455" s="413"/>
      <c r="I455" s="413"/>
      <c r="J455" s="413"/>
      <c r="K455" s="413"/>
      <c r="L455" s="413"/>
      <c r="M455" s="413"/>
      <c r="N455" s="413"/>
      <c r="O455" s="413"/>
      <c r="P455" s="413"/>
      <c r="Q455" s="413"/>
      <c r="R455" s="437"/>
      <c r="S455" s="1940"/>
      <c r="T455" s="1689"/>
      <c r="U455" s="1678"/>
      <c r="V455" s="1690"/>
      <c r="W455" s="1678"/>
      <c r="X455" s="1690"/>
      <c r="Y455" s="1678"/>
      <c r="Z455" s="1679"/>
    </row>
    <row r="456" spans="1:26" s="1942" customFormat="1" ht="15" customHeight="1">
      <c r="A456" s="1111" t="s">
        <v>3760</v>
      </c>
      <c r="B456" s="3101" t="e">
        <f ca="1">'House reinf, Drive Side'!$Q$80</f>
        <v>#REF!</v>
      </c>
      <c r="C456" s="415" t="s">
        <v>1137</v>
      </c>
      <c r="D456" s="1120" t="str">
        <f t="shared" si="2"/>
        <v>DSRad16</v>
      </c>
      <c r="E456" s="413"/>
      <c r="F456" s="413"/>
      <c r="G456" s="413"/>
      <c r="H456" s="413"/>
      <c r="I456" s="413"/>
      <c r="J456" s="413"/>
      <c r="K456" s="413"/>
      <c r="L456" s="413"/>
      <c r="M456" s="413"/>
      <c r="N456" s="413"/>
      <c r="O456" s="413"/>
      <c r="P456" s="413"/>
      <c r="Q456" s="413"/>
      <c r="R456" s="437"/>
      <c r="S456" s="1940"/>
      <c r="T456" s="1689"/>
      <c r="U456" s="1678"/>
      <c r="V456" s="1690"/>
      <c r="W456" s="1678"/>
      <c r="X456" s="1690"/>
      <c r="Y456" s="1678"/>
      <c r="Z456" s="1679"/>
    </row>
    <row r="457" spans="1:26" s="1942" customFormat="1" ht="15" customHeight="1">
      <c r="A457" s="1111" t="s">
        <v>3761</v>
      </c>
      <c r="B457" s="3101" t="e">
        <f ca="1">'House reinf, Drive Side'!$R$80</f>
        <v>#REF!</v>
      </c>
      <c r="C457" s="415" t="s">
        <v>1137</v>
      </c>
      <c r="D457" s="1120" t="str">
        <f t="shared" si="2"/>
        <v>DSRad17</v>
      </c>
      <c r="E457" s="413"/>
      <c r="F457" s="413"/>
      <c r="G457" s="413"/>
      <c r="H457" s="413"/>
      <c r="I457" s="413"/>
      <c r="J457" s="413"/>
      <c r="K457" s="413"/>
      <c r="L457" s="413"/>
      <c r="M457" s="413"/>
      <c r="N457" s="413"/>
      <c r="O457" s="413"/>
      <c r="P457" s="413"/>
      <c r="Q457" s="413"/>
      <c r="R457" s="437"/>
      <c r="S457" s="1940"/>
      <c r="T457" s="1689"/>
      <c r="U457" s="1678"/>
      <c r="V457" s="1690"/>
      <c r="W457" s="1678"/>
      <c r="X457" s="1690"/>
      <c r="Y457" s="1678"/>
      <c r="Z457" s="1679"/>
    </row>
    <row r="458" spans="1:26" s="1942" customFormat="1" ht="15" customHeight="1">
      <c r="A458" s="1111" t="s">
        <v>3762</v>
      </c>
      <c r="B458" s="3101" t="e">
        <f ca="1">'House reinf, Drive Side'!$S$80</f>
        <v>#REF!</v>
      </c>
      <c r="C458" s="415" t="s">
        <v>1137</v>
      </c>
      <c r="D458" s="1120" t="str">
        <f t="shared" si="2"/>
        <v>DSRad18</v>
      </c>
      <c r="E458" s="413"/>
      <c r="F458" s="413"/>
      <c r="G458" s="413"/>
      <c r="H458" s="413"/>
      <c r="I458" s="413"/>
      <c r="J458" s="413"/>
      <c r="K458" s="413"/>
      <c r="L458" s="413"/>
      <c r="M458" s="413"/>
      <c r="N458" s="413"/>
      <c r="O458" s="413"/>
      <c r="P458" s="413"/>
      <c r="Q458" s="413"/>
      <c r="R458" s="437"/>
      <c r="S458" s="1940"/>
      <c r="T458" s="1689"/>
      <c r="U458" s="1678"/>
      <c r="V458" s="1690"/>
      <c r="W458" s="1678"/>
      <c r="X458" s="1690"/>
      <c r="Y458" s="1678"/>
      <c r="Z458" s="1679"/>
    </row>
    <row r="459" spans="1:26" s="1942" customFormat="1" ht="15" customHeight="1">
      <c r="A459" s="1111" t="s">
        <v>3763</v>
      </c>
      <c r="B459" s="3101" t="e">
        <f ca="1">'House reinf, Drive Side'!$T$80</f>
        <v>#REF!</v>
      </c>
      <c r="C459" s="415" t="s">
        <v>1137</v>
      </c>
      <c r="D459" s="1120" t="str">
        <f t="shared" si="2"/>
        <v>DSRad19</v>
      </c>
      <c r="E459" s="413"/>
      <c r="F459" s="413"/>
      <c r="G459" s="413"/>
      <c r="H459" s="413"/>
      <c r="I459" s="413"/>
      <c r="J459" s="413"/>
      <c r="K459" s="413"/>
      <c r="L459" s="413"/>
      <c r="M459" s="413"/>
      <c r="N459" s="413"/>
      <c r="O459" s="413"/>
      <c r="P459" s="413"/>
      <c r="Q459" s="413"/>
      <c r="R459" s="437"/>
      <c r="S459" s="1940"/>
      <c r="T459" s="1689"/>
      <c r="U459" s="1678"/>
      <c r="V459" s="1690"/>
      <c r="W459" s="1678"/>
      <c r="X459" s="1690"/>
      <c r="Y459" s="1678"/>
      <c r="Z459" s="1679"/>
    </row>
    <row r="460" spans="1:26" s="1942" customFormat="1" ht="15" customHeight="1">
      <c r="A460" s="1111" t="s">
        <v>3764</v>
      </c>
      <c r="B460" s="3101" t="e">
        <f ca="1">'House reinf, Drive Side'!$U$80</f>
        <v>#REF!</v>
      </c>
      <c r="C460" s="415" t="s">
        <v>1137</v>
      </c>
      <c r="D460" s="1120" t="str">
        <f t="shared" si="2"/>
        <v>DSRad20</v>
      </c>
      <c r="E460" s="413"/>
      <c r="F460" s="413"/>
      <c r="G460" s="413"/>
      <c r="H460" s="413"/>
      <c r="I460" s="413"/>
      <c r="J460" s="413"/>
      <c r="K460" s="413"/>
      <c r="L460" s="413"/>
      <c r="M460" s="413"/>
      <c r="N460" s="413"/>
      <c r="O460" s="413"/>
      <c r="P460" s="413"/>
      <c r="Q460" s="413"/>
      <c r="R460" s="437"/>
      <c r="S460" s="1940"/>
      <c r="T460" s="1689"/>
      <c r="U460" s="1678"/>
      <c r="V460" s="1690"/>
      <c r="W460" s="1678"/>
      <c r="X460" s="1690"/>
      <c r="Y460" s="1678"/>
      <c r="Z460" s="1679"/>
    </row>
    <row r="461" spans="1:26" s="1942" customFormat="1" ht="15" customHeight="1">
      <c r="A461" s="1111" t="s">
        <v>3765</v>
      </c>
      <c r="B461" s="3101" t="e">
        <f ca="1">'House reinf, Drive Side'!$V$80</f>
        <v>#REF!</v>
      </c>
      <c r="C461" s="415" t="s">
        <v>1137</v>
      </c>
      <c r="D461" s="1120" t="str">
        <f t="shared" si="2"/>
        <v>DSRad21</v>
      </c>
      <c r="E461" s="413"/>
      <c r="F461" s="413"/>
      <c r="G461" s="413"/>
      <c r="H461" s="413"/>
      <c r="I461" s="413"/>
      <c r="J461" s="413"/>
      <c r="K461" s="413"/>
      <c r="L461" s="413"/>
      <c r="M461" s="413"/>
      <c r="N461" s="413"/>
      <c r="O461" s="413"/>
      <c r="P461" s="413"/>
      <c r="Q461" s="413"/>
      <c r="R461" s="437"/>
      <c r="S461" s="1940"/>
      <c r="T461" s="1689"/>
      <c r="U461" s="1678"/>
      <c r="V461" s="1690"/>
      <c r="W461" s="1678"/>
      <c r="X461" s="1690"/>
      <c r="Y461" s="1678"/>
      <c r="Z461" s="1679"/>
    </row>
    <row r="462" spans="1:26" s="1942" customFormat="1" ht="15" customHeight="1">
      <c r="A462" s="1111" t="s">
        <v>3766</v>
      </c>
      <c r="B462" s="3101" t="e">
        <f ca="1">'House reinf, Drive Side'!$W$80</f>
        <v>#REF!</v>
      </c>
      <c r="C462" s="415" t="s">
        <v>1137</v>
      </c>
      <c r="D462" s="1120" t="str">
        <f t="shared" si="2"/>
        <v>DSRad22</v>
      </c>
      <c r="E462" s="413"/>
      <c r="F462" s="413"/>
      <c r="G462" s="413"/>
      <c r="H462" s="413"/>
      <c r="I462" s="413"/>
      <c r="J462" s="413"/>
      <c r="K462" s="413"/>
      <c r="L462" s="413"/>
      <c r="M462" s="413"/>
      <c r="N462" s="413"/>
      <c r="O462" s="413"/>
      <c r="P462" s="413"/>
      <c r="Q462" s="413"/>
      <c r="R462" s="437"/>
      <c r="S462" s="1940"/>
      <c r="T462" s="1689"/>
      <c r="U462" s="1678"/>
      <c r="V462" s="1690"/>
      <c r="W462" s="1678"/>
      <c r="X462" s="1690"/>
      <c r="Y462" s="1678"/>
      <c r="Z462" s="1679"/>
    </row>
    <row r="463" spans="1:26" s="1942" customFormat="1" ht="15" customHeight="1">
      <c r="A463" s="1111" t="s">
        <v>3767</v>
      </c>
      <c r="B463" s="3101" t="e">
        <f ca="1">'House reinf, Drive Side'!$X$80</f>
        <v>#REF!</v>
      </c>
      <c r="C463" s="415" t="s">
        <v>1137</v>
      </c>
      <c r="D463" s="1120" t="str">
        <f t="shared" si="2"/>
        <v>DSRad23</v>
      </c>
      <c r="E463" s="413"/>
      <c r="F463" s="413"/>
      <c r="G463" s="413"/>
      <c r="H463" s="413"/>
      <c r="I463" s="413"/>
      <c r="J463" s="413"/>
      <c r="K463" s="413"/>
      <c r="L463" s="413"/>
      <c r="M463" s="413"/>
      <c r="N463" s="413"/>
      <c r="O463" s="413"/>
      <c r="P463" s="413"/>
      <c r="Q463" s="413"/>
      <c r="R463" s="437"/>
      <c r="S463" s="1940"/>
      <c r="T463" s="1689"/>
      <c r="U463" s="1678"/>
      <c r="V463" s="1690"/>
      <c r="W463" s="1678"/>
      <c r="X463" s="1690"/>
      <c r="Y463" s="1678"/>
      <c r="Z463" s="1679"/>
    </row>
    <row r="464" spans="1:26" s="1942" customFormat="1" ht="15" customHeight="1">
      <c r="A464" s="1111" t="s">
        <v>3768</v>
      </c>
      <c r="B464" s="3101" t="e">
        <f ca="1">'House reinf, Drive Side'!$Y$80</f>
        <v>#REF!</v>
      </c>
      <c r="C464" s="415" t="s">
        <v>1137</v>
      </c>
      <c r="D464" s="1120" t="str">
        <f t="shared" si="2"/>
        <v>DSRad24</v>
      </c>
      <c r="E464" s="413"/>
      <c r="F464" s="413"/>
      <c r="G464" s="413"/>
      <c r="H464" s="413"/>
      <c r="I464" s="413"/>
      <c r="J464" s="413"/>
      <c r="K464" s="413"/>
      <c r="L464" s="413"/>
      <c r="M464" s="413"/>
      <c r="N464" s="413"/>
      <c r="O464" s="413"/>
      <c r="P464" s="413"/>
      <c r="Q464" s="413"/>
      <c r="R464" s="437"/>
      <c r="S464" s="1940"/>
      <c r="T464" s="1689"/>
      <c r="U464" s="1678"/>
      <c r="V464" s="1690"/>
      <c r="W464" s="1678"/>
      <c r="X464" s="1690"/>
      <c r="Y464" s="1678"/>
      <c r="Z464" s="1679"/>
    </row>
    <row r="465" spans="1:27" s="1942" customFormat="1" ht="15" customHeight="1">
      <c r="A465" s="1111" t="s">
        <v>3769</v>
      </c>
      <c r="B465" s="3101" t="e">
        <f ca="1">'House reinf, Drive Side'!$Z$80</f>
        <v>#REF!</v>
      </c>
      <c r="C465" s="415" t="s">
        <v>1137</v>
      </c>
      <c r="D465" s="1120" t="str">
        <f t="shared" si="2"/>
        <v>DSRad25</v>
      </c>
      <c r="E465" s="413"/>
      <c r="F465" s="413"/>
      <c r="G465" s="413"/>
      <c r="H465" s="413"/>
      <c r="I465" s="413"/>
      <c r="J465" s="413"/>
      <c r="K465" s="413"/>
      <c r="L465" s="413"/>
      <c r="M465" s="413"/>
      <c r="N465" s="413"/>
      <c r="O465" s="413"/>
      <c r="P465" s="413"/>
      <c r="Q465" s="413"/>
      <c r="R465" s="437"/>
      <c r="S465" s="1940"/>
      <c r="T465" s="1689"/>
      <c r="U465" s="1678"/>
      <c r="V465" s="1690"/>
      <c r="W465" s="1678"/>
      <c r="X465" s="1690"/>
      <c r="Y465" s="1678"/>
      <c r="Z465" s="1679"/>
    </row>
    <row r="466" spans="1:27" s="1942" customFormat="1" ht="15" customHeight="1">
      <c r="A466" s="1111" t="s">
        <v>3770</v>
      </c>
      <c r="B466" s="3101" t="e">
        <f ca="1">'House reinf, Drive Side'!$AA$80</f>
        <v>#REF!</v>
      </c>
      <c r="C466" s="415" t="s">
        <v>1137</v>
      </c>
      <c r="D466" s="1120" t="str">
        <f t="shared" si="2"/>
        <v>DSRad26</v>
      </c>
      <c r="E466" s="413"/>
      <c r="F466" s="413"/>
      <c r="G466" s="413"/>
      <c r="H466" s="413"/>
      <c r="I466" s="413"/>
      <c r="J466" s="413"/>
      <c r="K466" s="413"/>
      <c r="L466" s="413"/>
      <c r="M466" s="413"/>
      <c r="N466" s="413"/>
      <c r="O466" s="413"/>
      <c r="P466" s="413"/>
      <c r="Q466" s="413"/>
      <c r="R466" s="437"/>
      <c r="S466" s="1940"/>
      <c r="T466" s="1689"/>
      <c r="U466" s="1678"/>
      <c r="V466" s="1690"/>
      <c r="W466" s="1678"/>
      <c r="X466" s="1690"/>
      <c r="Y466" s="1678"/>
      <c r="Z466" s="1679"/>
    </row>
    <row r="467" spans="1:27" s="1942" customFormat="1" ht="15" customHeight="1">
      <c r="A467" s="1111" t="s">
        <v>3771</v>
      </c>
      <c r="B467" s="3101" t="e">
        <f ca="1">'House reinf, Drive Side'!$AB$80</f>
        <v>#REF!</v>
      </c>
      <c r="C467" s="415" t="s">
        <v>1137</v>
      </c>
      <c r="D467" s="1120" t="str">
        <f t="shared" si="2"/>
        <v>DSRad27</v>
      </c>
      <c r="E467" s="413"/>
      <c r="F467" s="413"/>
      <c r="G467" s="413"/>
      <c r="H467" s="413"/>
      <c r="I467" s="413"/>
      <c r="J467" s="413"/>
      <c r="K467" s="413"/>
      <c r="L467" s="413"/>
      <c r="M467" s="413"/>
      <c r="N467" s="413"/>
      <c r="O467" s="413"/>
      <c r="P467" s="413"/>
      <c r="Q467" s="413"/>
      <c r="R467" s="437"/>
      <c r="S467" s="1940"/>
      <c r="T467" s="1689"/>
      <c r="U467" s="1678"/>
      <c r="V467" s="1690"/>
      <c r="W467" s="1678"/>
      <c r="X467" s="1690"/>
      <c r="Y467" s="1678"/>
      <c r="Z467" s="1679"/>
    </row>
    <row r="468" spans="1:27" s="1942" customFormat="1" ht="15" customHeight="1">
      <c r="A468" s="1111" t="s">
        <v>3578</v>
      </c>
      <c r="B468" s="3101" t="e">
        <f ca="1">'House reinf, Drive Side'!$AC$80</f>
        <v>#REF!</v>
      </c>
      <c r="C468" s="415" t="s">
        <v>1137</v>
      </c>
      <c r="D468" s="1120" t="s">
        <v>2771</v>
      </c>
      <c r="E468" s="413"/>
      <c r="F468" s="413"/>
      <c r="G468" s="413"/>
      <c r="H468" s="413"/>
      <c r="I468" s="413"/>
      <c r="J468" s="413"/>
      <c r="K468" s="413"/>
      <c r="L468" s="413"/>
      <c r="M468" s="413"/>
      <c r="N468" s="413"/>
      <c r="O468" s="413"/>
      <c r="P468" s="413"/>
      <c r="Q468" s="413"/>
      <c r="R468" s="437"/>
      <c r="S468" s="1940"/>
      <c r="T468" s="1689"/>
      <c r="U468" s="1678"/>
      <c r="V468" s="1690"/>
      <c r="W468" s="1678"/>
      <c r="X468" s="1690"/>
      <c r="Y468" s="1678"/>
      <c r="Z468" s="1679"/>
    </row>
    <row r="469" spans="1:27" s="1942" customFormat="1" ht="15" customHeight="1">
      <c r="A469" s="1111" t="s">
        <v>3579</v>
      </c>
      <c r="B469" s="3101" t="e">
        <f ca="1">'House reinf, Drive Side'!$AD$80</f>
        <v>#REF!</v>
      </c>
      <c r="C469" s="415" t="s">
        <v>1137</v>
      </c>
      <c r="D469" s="1120" t="s">
        <v>3574</v>
      </c>
      <c r="E469" s="413"/>
      <c r="F469" s="413"/>
      <c r="G469" s="413"/>
      <c r="H469" s="413"/>
      <c r="I469" s="413"/>
      <c r="J469" s="413"/>
      <c r="K469" s="413"/>
      <c r="L469" s="413"/>
      <c r="M469" s="413"/>
      <c r="N469" s="413"/>
      <c r="O469" s="413"/>
      <c r="P469" s="413"/>
      <c r="Q469" s="413"/>
      <c r="R469" s="437"/>
      <c r="S469" s="1940"/>
      <c r="T469" s="1689"/>
      <c r="U469" s="1678"/>
      <c r="V469" s="1690"/>
      <c r="W469" s="1678"/>
      <c r="X469" s="1690"/>
      <c r="Y469" s="1678"/>
      <c r="Z469" s="1679"/>
    </row>
    <row r="470" spans="1:27" s="1942" customFormat="1" ht="15" customHeight="1">
      <c r="A470" s="1111" t="s">
        <v>3829</v>
      </c>
      <c r="B470" s="3101" t="e">
        <f ca="1">'House reinf, Drive Side'!$AE$80</f>
        <v>#REF!</v>
      </c>
      <c r="C470" s="415" t="s">
        <v>1137</v>
      </c>
      <c r="D470" s="1120" t="s">
        <v>3573</v>
      </c>
      <c r="E470" s="413"/>
      <c r="F470" s="413"/>
      <c r="G470" s="413"/>
      <c r="H470" s="413"/>
      <c r="I470" s="413"/>
      <c r="J470" s="413"/>
      <c r="K470" s="413"/>
      <c r="L470" s="413"/>
      <c r="M470" s="413"/>
      <c r="N470" s="413"/>
      <c r="O470" s="413"/>
      <c r="P470" s="413"/>
      <c r="Q470" s="413"/>
      <c r="R470" s="437"/>
      <c r="S470" s="1940"/>
      <c r="T470" s="1689"/>
      <c r="U470" s="1678"/>
      <c r="V470" s="1690"/>
      <c r="W470" s="1678"/>
      <c r="X470" s="1690"/>
      <c r="Y470" s="1678"/>
      <c r="Z470" s="1679"/>
    </row>
    <row r="471" spans="1:27" s="1942" customFormat="1" ht="15" customHeight="1">
      <c r="A471" s="1111" t="s">
        <v>3830</v>
      </c>
      <c r="B471" s="3101" t="e">
        <f ca="1">'House reinf, Drive Side'!$AF$80</f>
        <v>#REF!</v>
      </c>
      <c r="C471" s="415" t="s">
        <v>1137</v>
      </c>
      <c r="D471" s="1120" t="s">
        <v>3841</v>
      </c>
      <c r="E471" s="413"/>
      <c r="F471" s="413"/>
      <c r="G471" s="413"/>
      <c r="H471" s="413"/>
      <c r="I471" s="413"/>
      <c r="J471" s="413"/>
      <c r="K471" s="413"/>
      <c r="L471" s="413"/>
      <c r="M471" s="413"/>
      <c r="N471" s="413"/>
      <c r="O471" s="413"/>
      <c r="P471" s="413"/>
      <c r="Q471" s="413"/>
      <c r="R471" s="437"/>
      <c r="S471" s="1940"/>
      <c r="T471" s="1689"/>
      <c r="U471" s="1678"/>
      <c r="V471" s="1690"/>
      <c r="W471" s="1678"/>
      <c r="X471" s="1690"/>
      <c r="Y471" s="1678"/>
      <c r="Z471" s="1679"/>
    </row>
    <row r="472" spans="1:27" s="1942" customFormat="1" ht="15" customHeight="1">
      <c r="A472" s="1111" t="s">
        <v>3831</v>
      </c>
      <c r="B472" s="3101" t="e">
        <f ca="1">'House reinf, Drive Side'!$AG$80</f>
        <v>#REF!</v>
      </c>
      <c r="C472" s="415" t="s">
        <v>1137</v>
      </c>
      <c r="D472" s="1120" t="s">
        <v>2602</v>
      </c>
      <c r="E472" s="413"/>
      <c r="F472" s="413"/>
      <c r="G472" s="413"/>
      <c r="H472" s="413"/>
      <c r="I472" s="413"/>
      <c r="J472" s="413"/>
      <c r="K472" s="413"/>
      <c r="L472" s="413"/>
      <c r="M472" s="413"/>
      <c r="N472" s="413"/>
      <c r="O472" s="413"/>
      <c r="P472" s="413"/>
      <c r="Q472" s="413"/>
      <c r="R472" s="437"/>
      <c r="S472" s="1940"/>
      <c r="T472" s="1689"/>
      <c r="U472" s="1678"/>
      <c r="V472" s="1690"/>
      <c r="W472" s="1678"/>
      <c r="X472" s="1690"/>
      <c r="Y472" s="1678"/>
      <c r="Z472" s="1679"/>
    </row>
    <row r="473" spans="1:27" s="1942" customFormat="1" ht="15" customHeight="1">
      <c r="A473" s="1111" t="s">
        <v>3832</v>
      </c>
      <c r="B473" s="3101" t="e">
        <f ca="1">'House reinf, Drive Side'!$AH$80</f>
        <v>#REF!</v>
      </c>
      <c r="C473" s="415" t="s">
        <v>1137</v>
      </c>
      <c r="D473" s="1120" t="s">
        <v>2603</v>
      </c>
      <c r="E473" s="413"/>
      <c r="F473" s="413"/>
      <c r="G473" s="413"/>
      <c r="H473" s="413"/>
      <c r="I473" s="413"/>
      <c r="J473" s="413"/>
      <c r="K473" s="413"/>
      <c r="L473" s="413"/>
      <c r="M473" s="413"/>
      <c r="N473" s="413"/>
      <c r="O473" s="413"/>
      <c r="P473" s="413"/>
      <c r="Q473" s="413"/>
      <c r="R473" s="437"/>
      <c r="S473" s="1940"/>
      <c r="T473" s="1689"/>
      <c r="U473" s="1678"/>
      <c r="V473" s="1690"/>
      <c r="W473" s="1678"/>
      <c r="X473" s="1690"/>
      <c r="Y473" s="1678"/>
      <c r="Z473" s="1679"/>
    </row>
    <row r="474" spans="1:27" s="1942" customFormat="1" ht="15" customHeight="1">
      <c r="A474" s="1111" t="s">
        <v>3833</v>
      </c>
      <c r="B474" s="3101" t="e">
        <f ca="1">'House reinf, Drive Side'!$AI$80</f>
        <v>#REF!</v>
      </c>
      <c r="C474" s="415" t="s">
        <v>1137</v>
      </c>
      <c r="D474" s="1120" t="s">
        <v>2604</v>
      </c>
      <c r="E474" s="413"/>
      <c r="F474" s="413"/>
      <c r="G474" s="413"/>
      <c r="H474" s="413"/>
      <c r="I474" s="413"/>
      <c r="J474" s="413"/>
      <c r="K474" s="413"/>
      <c r="L474" s="413"/>
      <c r="M474" s="413"/>
      <c r="N474" s="413"/>
      <c r="O474" s="413"/>
      <c r="P474" s="413"/>
      <c r="Q474" s="413"/>
      <c r="R474" s="437"/>
      <c r="S474" s="1940"/>
      <c r="T474" s="1689"/>
      <c r="U474" s="1678"/>
      <c r="V474" s="1690"/>
      <c r="W474" s="1678"/>
      <c r="X474" s="1690"/>
      <c r="Y474" s="1678"/>
      <c r="Z474" s="1679"/>
    </row>
    <row r="475" spans="1:27" s="1942" customFormat="1" ht="15" customHeight="1" thickBot="1">
      <c r="A475" s="1112" t="s">
        <v>3834</v>
      </c>
      <c r="B475" s="3102" t="e">
        <f ca="1">'House reinf, Drive Side'!$AJ$80</f>
        <v>#REF!</v>
      </c>
      <c r="C475" s="414" t="s">
        <v>1137</v>
      </c>
      <c r="D475" s="1130" t="s">
        <v>2615</v>
      </c>
      <c r="E475" s="413"/>
      <c r="F475" s="413"/>
      <c r="G475" s="413"/>
      <c r="H475" s="413"/>
      <c r="I475" s="413"/>
      <c r="J475" s="413"/>
      <c r="K475" s="413"/>
      <c r="L475" s="413"/>
      <c r="M475" s="413"/>
      <c r="N475" s="413"/>
      <c r="O475" s="413"/>
      <c r="P475" s="413"/>
      <c r="Q475" s="413"/>
      <c r="R475" s="437"/>
      <c r="S475" s="1940"/>
      <c r="T475" s="1689"/>
      <c r="U475" s="3084"/>
      <c r="V475" s="3085"/>
      <c r="W475" s="3084"/>
      <c r="X475" s="3085"/>
      <c r="Y475" s="3084"/>
      <c r="Z475" s="3086"/>
    </row>
    <row r="476" spans="1:27" ht="15" customHeight="1">
      <c r="A476" s="1040" t="s">
        <v>3772</v>
      </c>
      <c r="B476" s="1728" t="e">
        <f ca="1">'House reinf, Drive Side'!$B$82</f>
        <v>#REF!</v>
      </c>
      <c r="C476" s="1420" t="s">
        <v>136</v>
      </c>
      <c r="D476" s="1120" t="str">
        <f t="shared" ref="D476:D502" si="3">D406</f>
        <v>DSRad1</v>
      </c>
      <c r="E476" s="1783"/>
      <c r="F476" s="1783"/>
      <c r="G476" s="1783"/>
      <c r="H476" s="1783"/>
      <c r="I476" s="1783"/>
      <c r="J476" s="1783"/>
      <c r="K476" s="1783"/>
      <c r="L476" s="1783"/>
      <c r="M476" s="1783"/>
      <c r="N476" s="1783"/>
      <c r="O476" s="1783"/>
      <c r="P476" s="1783"/>
      <c r="Q476" s="1783"/>
      <c r="R476" s="1784"/>
      <c r="S476" s="3081"/>
      <c r="T476" s="3082"/>
      <c r="Z476" s="1679"/>
      <c r="AA476" s="1942"/>
    </row>
    <row r="477" spans="1:27" ht="15" customHeight="1">
      <c r="A477" s="1040" t="s">
        <v>3773</v>
      </c>
      <c r="B477" s="1728" t="e">
        <f ca="1">'House reinf, Drive Side'!$C$82</f>
        <v>#REF!</v>
      </c>
      <c r="C477" s="1420" t="s">
        <v>136</v>
      </c>
      <c r="D477" s="1120" t="str">
        <f t="shared" si="3"/>
        <v>DSRad2</v>
      </c>
      <c r="G477" s="413"/>
      <c r="H477" s="413"/>
      <c r="I477" s="413"/>
      <c r="J477" s="413"/>
      <c r="K477" s="413"/>
      <c r="L477" s="413"/>
      <c r="M477" s="413"/>
      <c r="N477" s="413"/>
      <c r="O477" s="413"/>
      <c r="P477" s="413"/>
      <c r="Q477" s="413"/>
      <c r="R477" s="437"/>
      <c r="S477" s="1940"/>
      <c r="Z477" s="1679"/>
    </row>
    <row r="478" spans="1:27" ht="15" customHeight="1">
      <c r="A478" s="1040" t="s">
        <v>3774</v>
      </c>
      <c r="B478" s="1728" t="e">
        <f ca="1">'House reinf, Drive Side'!$D$82</f>
        <v>#REF!</v>
      </c>
      <c r="C478" s="1420" t="s">
        <v>136</v>
      </c>
      <c r="D478" s="1120" t="str">
        <f t="shared" si="3"/>
        <v>DSRad3</v>
      </c>
      <c r="G478" s="413"/>
      <c r="H478" s="413"/>
      <c r="I478" s="413"/>
      <c r="J478" s="413"/>
      <c r="K478" s="413"/>
      <c r="L478" s="413"/>
      <c r="M478" s="413"/>
      <c r="N478" s="413"/>
      <c r="O478" s="413"/>
      <c r="P478" s="413"/>
      <c r="Q478" s="413"/>
      <c r="R478" s="437"/>
      <c r="S478" s="1940"/>
      <c r="Z478" s="1679"/>
    </row>
    <row r="479" spans="1:27" ht="15" customHeight="1">
      <c r="A479" s="1040" t="s">
        <v>3775</v>
      </c>
      <c r="B479" s="1728" t="e">
        <f ca="1">'House reinf, Drive Side'!$E$82</f>
        <v>#REF!</v>
      </c>
      <c r="C479" s="1420" t="s">
        <v>136</v>
      </c>
      <c r="D479" s="1120" t="str">
        <f t="shared" si="3"/>
        <v>DSRad4</v>
      </c>
      <c r="G479" s="413"/>
      <c r="H479" s="413"/>
      <c r="I479" s="413"/>
      <c r="J479" s="413"/>
      <c r="K479" s="413"/>
      <c r="L479" s="413"/>
      <c r="M479" s="413"/>
      <c r="N479" s="413"/>
      <c r="O479" s="413"/>
      <c r="P479" s="413"/>
      <c r="Q479" s="413"/>
      <c r="R479" s="437"/>
      <c r="S479" s="1940"/>
      <c r="Z479" s="1679"/>
    </row>
    <row r="480" spans="1:27" ht="15" customHeight="1">
      <c r="A480" s="1040" t="s">
        <v>3776</v>
      </c>
      <c r="B480" s="1728" t="e">
        <f ca="1">'House reinf, Drive Side'!$F$82</f>
        <v>#REF!</v>
      </c>
      <c r="C480" s="1420" t="s">
        <v>136</v>
      </c>
      <c r="D480" s="1120" t="str">
        <f t="shared" si="3"/>
        <v>DSRad5</v>
      </c>
      <c r="G480" s="413"/>
      <c r="H480" s="413"/>
      <c r="I480" s="413"/>
      <c r="J480" s="413"/>
      <c r="K480" s="413"/>
      <c r="L480" s="413"/>
      <c r="M480" s="413"/>
      <c r="N480" s="413"/>
      <c r="O480" s="413"/>
      <c r="P480" s="413"/>
      <c r="Q480" s="413"/>
      <c r="R480" s="437"/>
      <c r="S480" s="1940"/>
      <c r="Z480" s="1679"/>
    </row>
    <row r="481" spans="1:26" ht="15" customHeight="1">
      <c r="A481" s="1040" t="s">
        <v>3777</v>
      </c>
      <c r="B481" s="1728" t="e">
        <f ca="1">'House reinf, Drive Side'!$G$82</f>
        <v>#REF!</v>
      </c>
      <c r="C481" s="1420" t="s">
        <v>136</v>
      </c>
      <c r="D481" s="1120" t="str">
        <f t="shared" si="3"/>
        <v>DSRad6</v>
      </c>
      <c r="G481" s="413"/>
      <c r="H481" s="413"/>
      <c r="I481" s="413"/>
      <c r="J481" s="413"/>
      <c r="K481" s="413"/>
      <c r="L481" s="413"/>
      <c r="M481" s="413"/>
      <c r="N481" s="413"/>
      <c r="O481" s="413"/>
      <c r="P481" s="413"/>
      <c r="Q481" s="413"/>
      <c r="R481" s="437"/>
      <c r="S481" s="1940"/>
      <c r="Z481" s="1679"/>
    </row>
    <row r="482" spans="1:26" ht="15" customHeight="1">
      <c r="A482" s="1040" t="s">
        <v>3778</v>
      </c>
      <c r="B482" s="1728" t="e">
        <f ca="1">'House reinf, Drive Side'!$H$82</f>
        <v>#REF!</v>
      </c>
      <c r="C482" s="1420" t="s">
        <v>136</v>
      </c>
      <c r="D482" s="1120" t="str">
        <f t="shared" si="3"/>
        <v>DSRad7</v>
      </c>
      <c r="G482" s="413"/>
      <c r="H482" s="413"/>
      <c r="I482" s="413"/>
      <c r="J482" s="413"/>
      <c r="K482" s="413"/>
      <c r="L482" s="413"/>
      <c r="M482" s="413"/>
      <c r="N482" s="413"/>
      <c r="O482" s="413"/>
      <c r="P482" s="413"/>
      <c r="Q482" s="413"/>
      <c r="R482" s="437"/>
      <c r="S482" s="1940"/>
      <c r="Z482" s="1679"/>
    </row>
    <row r="483" spans="1:26" ht="15" customHeight="1">
      <c r="A483" s="1040" t="s">
        <v>3779</v>
      </c>
      <c r="B483" s="1728" t="e">
        <f ca="1">'House reinf, Drive Side'!$I$82</f>
        <v>#REF!</v>
      </c>
      <c r="C483" s="1420" t="s">
        <v>136</v>
      </c>
      <c r="D483" s="1120" t="str">
        <f t="shared" si="3"/>
        <v>DSRad8</v>
      </c>
      <c r="G483" s="413"/>
      <c r="H483" s="413"/>
      <c r="I483" s="413"/>
      <c r="J483" s="413"/>
      <c r="K483" s="413"/>
      <c r="L483" s="413"/>
      <c r="M483" s="413"/>
      <c r="N483" s="413"/>
      <c r="O483" s="413"/>
      <c r="P483" s="413"/>
      <c r="Q483" s="413"/>
      <c r="R483" s="437"/>
      <c r="S483" s="1940"/>
      <c r="Z483" s="1679"/>
    </row>
    <row r="484" spans="1:26" ht="15" customHeight="1">
      <c r="A484" s="1040" t="s">
        <v>3780</v>
      </c>
      <c r="B484" s="1728" t="e">
        <f ca="1">'House reinf, Drive Side'!$J$82</f>
        <v>#REF!</v>
      </c>
      <c r="C484" s="1420" t="s">
        <v>136</v>
      </c>
      <c r="D484" s="1120" t="str">
        <f t="shared" si="3"/>
        <v>DSRad9</v>
      </c>
      <c r="G484" s="413"/>
      <c r="H484" s="413"/>
      <c r="I484" s="413"/>
      <c r="J484" s="413"/>
      <c r="K484" s="413"/>
      <c r="L484" s="413"/>
      <c r="M484" s="413"/>
      <c r="N484" s="413"/>
      <c r="O484" s="413"/>
      <c r="P484" s="413"/>
      <c r="Q484" s="413"/>
      <c r="R484" s="437"/>
      <c r="S484" s="1940"/>
      <c r="Z484" s="1679"/>
    </row>
    <row r="485" spans="1:26" ht="15" customHeight="1">
      <c r="A485" s="1040" t="s">
        <v>3781</v>
      </c>
      <c r="B485" s="1728" t="e">
        <f ca="1">'House reinf, Drive Side'!$K$82</f>
        <v>#REF!</v>
      </c>
      <c r="C485" s="1420" t="s">
        <v>136</v>
      </c>
      <c r="D485" s="1120" t="str">
        <f t="shared" si="3"/>
        <v>DSRad10</v>
      </c>
      <c r="G485" s="413"/>
      <c r="H485" s="413"/>
      <c r="I485" s="413"/>
      <c r="J485" s="413"/>
      <c r="K485" s="413"/>
      <c r="L485" s="413"/>
      <c r="M485" s="413"/>
      <c r="N485" s="413"/>
      <c r="O485" s="413"/>
      <c r="P485" s="413"/>
      <c r="Q485" s="413"/>
      <c r="R485" s="437"/>
      <c r="S485" s="1940"/>
      <c r="Z485" s="1679"/>
    </row>
    <row r="486" spans="1:26" ht="15" customHeight="1">
      <c r="A486" s="1040" t="s">
        <v>3782</v>
      </c>
      <c r="B486" s="1728" t="e">
        <f ca="1">'House reinf, Drive Side'!$L$82</f>
        <v>#REF!</v>
      </c>
      <c r="C486" s="1420" t="s">
        <v>136</v>
      </c>
      <c r="D486" s="1120" t="str">
        <f t="shared" si="3"/>
        <v>DSRad11</v>
      </c>
      <c r="G486" s="413"/>
      <c r="H486" s="413"/>
      <c r="I486" s="413"/>
      <c r="J486" s="413"/>
      <c r="K486" s="413"/>
      <c r="L486" s="413"/>
      <c r="M486" s="413"/>
      <c r="N486" s="413"/>
      <c r="O486" s="413"/>
      <c r="P486" s="413"/>
      <c r="Q486" s="413"/>
      <c r="R486" s="437"/>
      <c r="S486" s="1940"/>
      <c r="Z486" s="1679"/>
    </row>
    <row r="487" spans="1:26" ht="15" customHeight="1">
      <c r="A487" s="1040" t="s">
        <v>3783</v>
      </c>
      <c r="B487" s="1728" t="e">
        <f ca="1">'House reinf, Drive Side'!$M$82</f>
        <v>#REF!</v>
      </c>
      <c r="C487" s="1420" t="s">
        <v>136</v>
      </c>
      <c r="D487" s="1120" t="str">
        <f t="shared" si="3"/>
        <v>DSRad12</v>
      </c>
      <c r="G487" s="413"/>
      <c r="H487" s="413"/>
      <c r="I487" s="413"/>
      <c r="J487" s="413"/>
      <c r="K487" s="413"/>
      <c r="L487" s="413"/>
      <c r="M487" s="413"/>
      <c r="N487" s="413"/>
      <c r="O487" s="413"/>
      <c r="P487" s="413"/>
      <c r="Q487" s="413"/>
      <c r="R487" s="437"/>
      <c r="S487" s="1940"/>
      <c r="Z487" s="1679"/>
    </row>
    <row r="488" spans="1:26" ht="15" customHeight="1">
      <c r="A488" s="1040" t="s">
        <v>3784</v>
      </c>
      <c r="B488" s="1728" t="e">
        <f ca="1">'House reinf, Drive Side'!$N$82</f>
        <v>#REF!</v>
      </c>
      <c r="C488" s="1420" t="s">
        <v>136</v>
      </c>
      <c r="D488" s="1120" t="str">
        <f t="shared" si="3"/>
        <v>DSRad13</v>
      </c>
      <c r="G488" s="413"/>
      <c r="H488" s="413"/>
      <c r="I488" s="413"/>
      <c r="J488" s="413"/>
      <c r="K488" s="413"/>
      <c r="L488" s="413"/>
      <c r="M488" s="413"/>
      <c r="N488" s="413"/>
      <c r="O488" s="413"/>
      <c r="P488" s="413"/>
      <c r="Q488" s="413"/>
      <c r="R488" s="437"/>
      <c r="S488" s="1940"/>
      <c r="Z488" s="1679"/>
    </row>
    <row r="489" spans="1:26" ht="15" customHeight="1">
      <c r="A489" s="1040" t="s">
        <v>3785</v>
      </c>
      <c r="B489" s="1728" t="e">
        <f ca="1">'House reinf, Drive Side'!$O$82</f>
        <v>#REF!</v>
      </c>
      <c r="C489" s="1420" t="s">
        <v>136</v>
      </c>
      <c r="D489" s="1120" t="str">
        <f t="shared" si="3"/>
        <v>DSRad14</v>
      </c>
      <c r="G489" s="413"/>
      <c r="H489" s="413"/>
      <c r="I489" s="413"/>
      <c r="J489" s="413"/>
      <c r="K489" s="413"/>
      <c r="L489" s="413"/>
      <c r="M489" s="413"/>
      <c r="N489" s="413"/>
      <c r="O489" s="413"/>
      <c r="P489" s="413"/>
      <c r="Q489" s="413"/>
      <c r="R489" s="437"/>
      <c r="S489" s="1940"/>
      <c r="Z489" s="1679"/>
    </row>
    <row r="490" spans="1:26" ht="15" customHeight="1">
      <c r="A490" s="1040" t="s">
        <v>3786</v>
      </c>
      <c r="B490" s="1728" t="e">
        <f ca="1">'House reinf, Drive Side'!$P$82</f>
        <v>#REF!</v>
      </c>
      <c r="C490" s="1420" t="s">
        <v>136</v>
      </c>
      <c r="D490" s="1120" t="str">
        <f t="shared" si="3"/>
        <v>DSRad15</v>
      </c>
      <c r="G490" s="413"/>
      <c r="H490" s="413"/>
      <c r="I490" s="413"/>
      <c r="J490" s="413"/>
      <c r="K490" s="413"/>
      <c r="L490" s="413"/>
      <c r="M490" s="413"/>
      <c r="N490" s="413"/>
      <c r="O490" s="413"/>
      <c r="P490" s="413"/>
      <c r="Q490" s="413"/>
      <c r="R490" s="437"/>
      <c r="S490" s="1940"/>
      <c r="Z490" s="1679"/>
    </row>
    <row r="491" spans="1:26" ht="15" customHeight="1">
      <c r="A491" s="1040" t="s">
        <v>3787</v>
      </c>
      <c r="B491" s="1728" t="e">
        <f ca="1">'House reinf, Drive Side'!$Q$82</f>
        <v>#REF!</v>
      </c>
      <c r="C491" s="1420" t="s">
        <v>136</v>
      </c>
      <c r="D491" s="1120" t="str">
        <f t="shared" si="3"/>
        <v>DSRad16</v>
      </c>
      <c r="G491" s="413"/>
      <c r="H491" s="413"/>
      <c r="I491" s="413"/>
      <c r="J491" s="413"/>
      <c r="K491" s="413"/>
      <c r="L491" s="413"/>
      <c r="M491" s="413"/>
      <c r="N491" s="413"/>
      <c r="O491" s="413"/>
      <c r="P491" s="413"/>
      <c r="Q491" s="413"/>
      <c r="R491" s="437"/>
      <c r="S491" s="1940"/>
      <c r="Z491" s="1679"/>
    </row>
    <row r="492" spans="1:26" ht="15" customHeight="1">
      <c r="A492" s="1040" t="s">
        <v>3788</v>
      </c>
      <c r="B492" s="1728" t="e">
        <f ca="1">'House reinf, Drive Side'!$R$82</f>
        <v>#REF!</v>
      </c>
      <c r="C492" s="1420" t="s">
        <v>136</v>
      </c>
      <c r="D492" s="1120" t="str">
        <f t="shared" si="3"/>
        <v>DSRad17</v>
      </c>
      <c r="G492" s="413"/>
      <c r="H492" s="413"/>
      <c r="I492" s="413"/>
      <c r="J492" s="413"/>
      <c r="K492" s="413"/>
      <c r="L492" s="413"/>
      <c r="M492" s="413"/>
      <c r="N492" s="413"/>
      <c r="O492" s="413"/>
      <c r="P492" s="413"/>
      <c r="Q492" s="413"/>
      <c r="R492" s="437"/>
      <c r="S492" s="1940"/>
      <c r="Z492" s="1679"/>
    </row>
    <row r="493" spans="1:26" ht="15" customHeight="1">
      <c r="A493" s="1040" t="s">
        <v>3789</v>
      </c>
      <c r="B493" s="1728" t="e">
        <f ca="1">'House reinf, Drive Side'!$S$82</f>
        <v>#REF!</v>
      </c>
      <c r="C493" s="1420" t="s">
        <v>136</v>
      </c>
      <c r="D493" s="1120" t="str">
        <f t="shared" si="3"/>
        <v>DSRad18</v>
      </c>
      <c r="G493" s="413"/>
      <c r="H493" s="413"/>
      <c r="I493" s="413"/>
      <c r="J493" s="413"/>
      <c r="K493" s="413"/>
      <c r="L493" s="413"/>
      <c r="M493" s="413"/>
      <c r="N493" s="413"/>
      <c r="O493" s="413"/>
      <c r="P493" s="413"/>
      <c r="Q493" s="413"/>
      <c r="R493" s="437"/>
      <c r="S493" s="1940"/>
      <c r="Z493" s="1679"/>
    </row>
    <row r="494" spans="1:26" ht="15" customHeight="1">
      <c r="A494" s="1040" t="s">
        <v>3790</v>
      </c>
      <c r="B494" s="1728" t="e">
        <f ca="1">'House reinf, Drive Side'!$T$82</f>
        <v>#REF!</v>
      </c>
      <c r="C494" s="1420" t="s">
        <v>136</v>
      </c>
      <c r="D494" s="1120" t="str">
        <f t="shared" si="3"/>
        <v>DSRad19</v>
      </c>
      <c r="G494" s="413"/>
      <c r="H494" s="413"/>
      <c r="I494" s="413"/>
      <c r="J494" s="413"/>
      <c r="K494" s="413"/>
      <c r="L494" s="413"/>
      <c r="M494" s="413"/>
      <c r="N494" s="413"/>
      <c r="O494" s="413"/>
      <c r="P494" s="413"/>
      <c r="Q494" s="413"/>
      <c r="R494" s="437"/>
      <c r="S494" s="1940"/>
      <c r="Z494" s="1679"/>
    </row>
    <row r="495" spans="1:26" ht="15" customHeight="1">
      <c r="A495" s="1040" t="s">
        <v>3791</v>
      </c>
      <c r="B495" s="1728" t="e">
        <f ca="1">'House reinf, Drive Side'!$U$82</f>
        <v>#REF!</v>
      </c>
      <c r="C495" s="1420" t="s">
        <v>136</v>
      </c>
      <c r="D495" s="1120" t="str">
        <f t="shared" si="3"/>
        <v>DSRad20</v>
      </c>
      <c r="G495" s="413"/>
      <c r="H495" s="413"/>
      <c r="I495" s="413"/>
      <c r="J495" s="413"/>
      <c r="K495" s="413"/>
      <c r="L495" s="413"/>
      <c r="M495" s="413"/>
      <c r="N495" s="413"/>
      <c r="O495" s="413"/>
      <c r="P495" s="413"/>
      <c r="Q495" s="413"/>
      <c r="R495" s="437"/>
      <c r="S495" s="1940"/>
      <c r="Z495" s="1679"/>
    </row>
    <row r="496" spans="1:26" ht="15" customHeight="1">
      <c r="A496" s="1040" t="s">
        <v>3792</v>
      </c>
      <c r="B496" s="1728" t="e">
        <f ca="1">'House reinf, Drive Side'!$V$82</f>
        <v>#REF!</v>
      </c>
      <c r="C496" s="1420" t="s">
        <v>136</v>
      </c>
      <c r="D496" s="1120" t="str">
        <f t="shared" si="3"/>
        <v>DSRad21</v>
      </c>
      <c r="G496" s="413"/>
      <c r="H496" s="413"/>
      <c r="I496" s="413"/>
      <c r="J496" s="413"/>
      <c r="K496" s="413"/>
      <c r="L496" s="413"/>
      <c r="M496" s="413"/>
      <c r="N496" s="413"/>
      <c r="O496" s="413"/>
      <c r="P496" s="413"/>
      <c r="Q496" s="413"/>
      <c r="R496" s="437"/>
      <c r="S496" s="1940"/>
      <c r="Z496" s="1679"/>
    </row>
    <row r="497" spans="1:26" ht="15" customHeight="1">
      <c r="A497" s="1040" t="s">
        <v>3793</v>
      </c>
      <c r="B497" s="1728" t="e">
        <f ca="1">'House reinf, Drive Side'!$W$82</f>
        <v>#REF!</v>
      </c>
      <c r="C497" s="1420" t="s">
        <v>136</v>
      </c>
      <c r="D497" s="1120" t="str">
        <f t="shared" si="3"/>
        <v>DSRad22</v>
      </c>
      <c r="G497" s="413"/>
      <c r="H497" s="413"/>
      <c r="I497" s="413"/>
      <c r="J497" s="413"/>
      <c r="K497" s="413"/>
      <c r="L497" s="413"/>
      <c r="M497" s="413"/>
      <c r="N497" s="413"/>
      <c r="O497" s="413"/>
      <c r="P497" s="413"/>
      <c r="Q497" s="413"/>
      <c r="R497" s="437"/>
      <c r="S497" s="1940"/>
      <c r="Z497" s="1679"/>
    </row>
    <row r="498" spans="1:26" ht="15" customHeight="1">
      <c r="A498" s="1040" t="s">
        <v>3794</v>
      </c>
      <c r="B498" s="1728" t="e">
        <f ca="1">'House reinf, Drive Side'!$X$82</f>
        <v>#REF!</v>
      </c>
      <c r="C498" s="1420" t="s">
        <v>136</v>
      </c>
      <c r="D498" s="1120" t="str">
        <f t="shared" si="3"/>
        <v>DSRad23</v>
      </c>
      <c r="G498" s="413"/>
      <c r="H498" s="413"/>
      <c r="I498" s="413"/>
      <c r="J498" s="413"/>
      <c r="K498" s="413"/>
      <c r="L498" s="413"/>
      <c r="M498" s="413"/>
      <c r="N498" s="413"/>
      <c r="O498" s="413"/>
      <c r="P498" s="413"/>
      <c r="Q498" s="413"/>
      <c r="R498" s="437"/>
      <c r="S498" s="1940"/>
      <c r="Z498" s="1679"/>
    </row>
    <row r="499" spans="1:26" ht="15" customHeight="1">
      <c r="A499" s="1040" t="s">
        <v>3795</v>
      </c>
      <c r="B499" s="1728" t="e">
        <f ca="1">'House reinf, Drive Side'!$Y$82</f>
        <v>#REF!</v>
      </c>
      <c r="C499" s="1420" t="s">
        <v>136</v>
      </c>
      <c r="D499" s="1120" t="str">
        <f t="shared" si="3"/>
        <v>DSRad24</v>
      </c>
      <c r="G499" s="413"/>
      <c r="H499" s="413"/>
      <c r="I499" s="413"/>
      <c r="J499" s="413"/>
      <c r="K499" s="413"/>
      <c r="L499" s="413"/>
      <c r="M499" s="413"/>
      <c r="N499" s="413"/>
      <c r="O499" s="413"/>
      <c r="P499" s="413"/>
      <c r="Q499" s="413"/>
      <c r="R499" s="437"/>
      <c r="S499" s="1940"/>
      <c r="Z499" s="1679"/>
    </row>
    <row r="500" spans="1:26" ht="15" customHeight="1">
      <c r="A500" s="1040" t="s">
        <v>3796</v>
      </c>
      <c r="B500" s="1728" t="e">
        <f ca="1">'House reinf, Drive Side'!$Z$82</f>
        <v>#REF!</v>
      </c>
      <c r="C500" s="1420" t="s">
        <v>136</v>
      </c>
      <c r="D500" s="1120" t="str">
        <f t="shared" si="3"/>
        <v>DSRad25</v>
      </c>
      <c r="G500" s="413"/>
      <c r="H500" s="413"/>
      <c r="I500" s="413"/>
      <c r="J500" s="413"/>
      <c r="K500" s="413"/>
      <c r="L500" s="413"/>
      <c r="M500" s="413"/>
      <c r="N500" s="413"/>
      <c r="O500" s="413"/>
      <c r="P500" s="413"/>
      <c r="Q500" s="413"/>
      <c r="R500" s="437"/>
      <c r="S500" s="1940"/>
      <c r="Z500" s="1679"/>
    </row>
    <row r="501" spans="1:26" ht="15" customHeight="1">
      <c r="A501" s="1040" t="s">
        <v>3797</v>
      </c>
      <c r="B501" s="1728" t="e">
        <f ca="1">'House reinf, Drive Side'!$AA$82</f>
        <v>#REF!</v>
      </c>
      <c r="C501" s="1420" t="s">
        <v>136</v>
      </c>
      <c r="D501" s="1120" t="str">
        <f t="shared" si="3"/>
        <v>DSRad26</v>
      </c>
      <c r="G501" s="413"/>
      <c r="H501" s="413"/>
      <c r="I501" s="413"/>
      <c r="J501" s="413"/>
      <c r="K501" s="413"/>
      <c r="L501" s="413"/>
      <c r="M501" s="413"/>
      <c r="N501" s="413"/>
      <c r="O501" s="413"/>
      <c r="P501" s="413"/>
      <c r="Q501" s="413"/>
      <c r="R501" s="437"/>
      <c r="S501" s="1940"/>
      <c r="Z501" s="1679"/>
    </row>
    <row r="502" spans="1:26" ht="15" customHeight="1">
      <c r="A502" s="1040" t="s">
        <v>3798</v>
      </c>
      <c r="B502" s="1728" t="e">
        <f ca="1">'House reinf, Drive Side'!$AB$82</f>
        <v>#REF!</v>
      </c>
      <c r="C502" s="1420" t="s">
        <v>136</v>
      </c>
      <c r="D502" s="1120" t="str">
        <f t="shared" si="3"/>
        <v>DSRad27</v>
      </c>
      <c r="G502" s="413"/>
      <c r="H502" s="413"/>
      <c r="I502" s="413"/>
      <c r="J502" s="413"/>
      <c r="K502" s="413"/>
      <c r="L502" s="413"/>
      <c r="M502" s="413"/>
      <c r="N502" s="413"/>
      <c r="O502" s="413"/>
      <c r="P502" s="413"/>
      <c r="Q502" s="413"/>
      <c r="R502" s="437"/>
      <c r="S502" s="1940"/>
      <c r="Z502" s="1679"/>
    </row>
    <row r="503" spans="1:26" ht="15" customHeight="1">
      <c r="A503" s="1111" t="s">
        <v>3580</v>
      </c>
      <c r="B503" s="1737" t="e">
        <f ca="1">'House reinf, Drive Side'!$AC$82</f>
        <v>#REF!</v>
      </c>
      <c r="C503" s="415" t="s">
        <v>136</v>
      </c>
      <c r="D503" s="1120" t="s">
        <v>2771</v>
      </c>
      <c r="G503" s="413"/>
      <c r="H503" s="413"/>
      <c r="I503" s="413"/>
      <c r="J503" s="413"/>
      <c r="K503" s="413"/>
      <c r="L503" s="413"/>
      <c r="M503" s="413"/>
      <c r="N503" s="413"/>
      <c r="O503" s="413"/>
      <c r="P503" s="413"/>
      <c r="Q503" s="413"/>
      <c r="R503" s="437"/>
      <c r="S503" s="1940"/>
      <c r="Z503" s="1679"/>
    </row>
    <row r="504" spans="1:26" ht="15" customHeight="1">
      <c r="A504" s="1111" t="s">
        <v>3581</v>
      </c>
      <c r="B504" s="1737" t="e">
        <f ca="1">'House reinf, Drive Side'!$AD$82</f>
        <v>#REF!</v>
      </c>
      <c r="C504" s="415" t="s">
        <v>136</v>
      </c>
      <c r="D504" s="1120" t="s">
        <v>3574</v>
      </c>
      <c r="G504" s="413"/>
      <c r="H504" s="413"/>
      <c r="I504" s="413"/>
      <c r="J504" s="413"/>
      <c r="K504" s="413"/>
      <c r="L504" s="413"/>
      <c r="M504" s="413"/>
      <c r="N504" s="413"/>
      <c r="O504" s="413"/>
      <c r="P504" s="413"/>
      <c r="Q504" s="413"/>
      <c r="R504" s="437"/>
      <c r="S504" s="1940"/>
      <c r="Z504" s="1679"/>
    </row>
    <row r="505" spans="1:26" ht="15" customHeight="1">
      <c r="A505" s="1111" t="s">
        <v>3835</v>
      </c>
      <c r="B505" s="1737" t="e">
        <f ca="1">'House reinf, Drive Side'!$AE$82</f>
        <v>#REF!</v>
      </c>
      <c r="C505" s="415" t="s">
        <v>136</v>
      </c>
      <c r="D505" s="1120" t="s">
        <v>3573</v>
      </c>
      <c r="G505" s="413"/>
      <c r="H505" s="413"/>
      <c r="I505" s="413"/>
      <c r="J505" s="413"/>
      <c r="K505" s="413"/>
      <c r="L505" s="413"/>
      <c r="M505" s="413"/>
      <c r="N505" s="413"/>
      <c r="O505" s="413"/>
      <c r="P505" s="413"/>
      <c r="Q505" s="413"/>
      <c r="R505" s="437"/>
      <c r="S505" s="1940"/>
      <c r="Z505" s="1679"/>
    </row>
    <row r="506" spans="1:26" ht="15" customHeight="1">
      <c r="A506" s="1111" t="s">
        <v>3836</v>
      </c>
      <c r="B506" s="1737" t="e">
        <f ca="1">'House reinf, Drive Side'!$AF$82</f>
        <v>#REF!</v>
      </c>
      <c r="C506" s="415" t="s">
        <v>136</v>
      </c>
      <c r="D506" s="1120" t="s">
        <v>3841</v>
      </c>
      <c r="G506" s="413"/>
      <c r="H506" s="413"/>
      <c r="I506" s="413"/>
      <c r="J506" s="413"/>
      <c r="K506" s="413"/>
      <c r="L506" s="413"/>
      <c r="M506" s="413"/>
      <c r="N506" s="413"/>
      <c r="O506" s="413"/>
      <c r="P506" s="413"/>
      <c r="Q506" s="413"/>
      <c r="R506" s="437"/>
      <c r="S506" s="1940"/>
      <c r="Z506" s="1679"/>
    </row>
    <row r="507" spans="1:26" ht="15" customHeight="1">
      <c r="A507" s="1111" t="s">
        <v>3837</v>
      </c>
      <c r="B507" s="1737" t="e">
        <f ca="1">'House reinf, Drive Side'!$AG$82</f>
        <v>#REF!</v>
      </c>
      <c r="C507" s="415" t="s">
        <v>136</v>
      </c>
      <c r="D507" s="1120" t="s">
        <v>2602</v>
      </c>
      <c r="G507" s="413"/>
      <c r="H507" s="413"/>
      <c r="I507" s="413"/>
      <c r="J507" s="413"/>
      <c r="K507" s="413"/>
      <c r="L507" s="413"/>
      <c r="M507" s="413"/>
      <c r="N507" s="413"/>
      <c r="O507" s="413"/>
      <c r="P507" s="413"/>
      <c r="Q507" s="413"/>
      <c r="R507" s="437"/>
      <c r="S507" s="1940"/>
      <c r="Z507" s="1679"/>
    </row>
    <row r="508" spans="1:26" ht="15" customHeight="1">
      <c r="A508" s="1111" t="s">
        <v>3838</v>
      </c>
      <c r="B508" s="1737" t="e">
        <f ca="1">'House reinf, Drive Side'!$AH$82</f>
        <v>#REF!</v>
      </c>
      <c r="C508" s="415" t="s">
        <v>136</v>
      </c>
      <c r="D508" s="1120" t="s">
        <v>2603</v>
      </c>
      <c r="G508" s="413"/>
      <c r="H508" s="413"/>
      <c r="I508" s="413"/>
      <c r="J508" s="413"/>
      <c r="K508" s="413"/>
      <c r="L508" s="413"/>
      <c r="M508" s="413"/>
      <c r="N508" s="413"/>
      <c r="O508" s="413"/>
      <c r="P508" s="413"/>
      <c r="Q508" s="413"/>
      <c r="R508" s="437"/>
      <c r="S508" s="1940"/>
      <c r="Z508" s="1679"/>
    </row>
    <row r="509" spans="1:26" ht="15" customHeight="1">
      <c r="A509" s="1111" t="s">
        <v>3839</v>
      </c>
      <c r="B509" s="1737" t="e">
        <f ca="1">'House reinf, Drive Side'!$AI$82</f>
        <v>#REF!</v>
      </c>
      <c r="C509" s="415" t="s">
        <v>136</v>
      </c>
      <c r="D509" s="1120" t="s">
        <v>2604</v>
      </c>
      <c r="G509" s="413"/>
      <c r="H509" s="413"/>
      <c r="I509" s="413"/>
      <c r="J509" s="413"/>
      <c r="K509" s="413"/>
      <c r="L509" s="413"/>
      <c r="M509" s="413"/>
      <c r="N509" s="413"/>
      <c r="O509" s="413"/>
      <c r="P509" s="413"/>
      <c r="Q509" s="413"/>
      <c r="R509" s="437"/>
      <c r="S509" s="1940"/>
      <c r="Z509" s="1679"/>
    </row>
    <row r="510" spans="1:26" ht="15" customHeight="1" thickBot="1">
      <c r="A510" s="1112" t="s">
        <v>3840</v>
      </c>
      <c r="B510" s="3099" t="e">
        <f ca="1">'House reinf, Drive Side'!$AJ$82</f>
        <v>#REF!</v>
      </c>
      <c r="C510" s="414" t="s">
        <v>136</v>
      </c>
      <c r="D510" s="1130" t="s">
        <v>2615</v>
      </c>
      <c r="G510" s="413"/>
      <c r="H510" s="413"/>
      <c r="I510" s="413"/>
      <c r="J510" s="413"/>
      <c r="K510" s="413"/>
      <c r="L510" s="413"/>
      <c r="M510" s="413"/>
      <c r="N510" s="413"/>
      <c r="O510" s="413"/>
      <c r="P510" s="413"/>
      <c r="Q510" s="413"/>
      <c r="R510" s="437"/>
      <c r="S510" s="1940"/>
      <c r="Z510" s="1679"/>
    </row>
    <row r="511" spans="1:26" s="1942" customFormat="1" ht="15" customHeight="1" thickBot="1">
      <c r="A511" s="2473" t="s">
        <v>4218</v>
      </c>
      <c r="B511" s="3359">
        <v>0</v>
      </c>
      <c r="C511" s="3360" t="s">
        <v>1114</v>
      </c>
      <c r="D511" s="3323" t="e">
        <f ca="1">'House reinf, Drive Side'!$Y$71</f>
        <v>#REF!</v>
      </c>
      <c r="E511" s="3642" t="str">
        <f>"L &amp; R (Left &amp; Right); u &amp; l (up &amp; lo) are DRIVE VIEW at zero rotation"</f>
        <v>L &amp; R (Left &amp; Right); u &amp; l (up &amp; lo) are DRIVE VIEW at zero rotation</v>
      </c>
      <c r="F511" s="3642"/>
      <c r="G511" s="3642"/>
      <c r="H511" s="3642"/>
      <c r="I511" s="3642"/>
      <c r="J511" s="3642"/>
      <c r="K511" s="3642"/>
      <c r="L511" s="3642"/>
      <c r="M511" s="3642"/>
      <c r="N511" s="3642"/>
      <c r="O511" s="3642"/>
      <c r="P511" s="3642"/>
      <c r="Q511" s="3642"/>
      <c r="R511" s="3643"/>
      <c r="S511" s="3074"/>
      <c r="T511" s="3075"/>
      <c r="U511" s="3076"/>
      <c r="V511" s="3077"/>
      <c r="W511" s="3076"/>
      <c r="X511" s="3077"/>
      <c r="Y511" s="3076"/>
      <c r="Z511" s="3078"/>
    </row>
    <row r="512" spans="1:26" ht="15" customHeight="1">
      <c r="A512" s="3252" t="s">
        <v>4219</v>
      </c>
      <c r="B512" s="3259" t="e">
        <f ca="1">VLOOKUP($D511,Iron_dim,3,FALSE)</f>
        <v>#REF!</v>
      </c>
      <c r="C512" s="3255" t="s">
        <v>136</v>
      </c>
      <c r="D512" s="3257"/>
      <c r="E512" s="3644"/>
      <c r="F512" s="3644"/>
      <c r="G512" s="3644"/>
      <c r="H512" s="3644"/>
      <c r="I512" s="3644"/>
      <c r="J512" s="3644"/>
      <c r="K512" s="3644"/>
      <c r="L512" s="3644"/>
      <c r="M512" s="3644"/>
      <c r="N512" s="3644"/>
      <c r="O512" s="3644"/>
      <c r="P512" s="3644"/>
      <c r="Q512" s="3644"/>
      <c r="R512" s="3645"/>
      <c r="S512" s="3081"/>
      <c r="T512" s="3082"/>
      <c r="U512" s="3083"/>
      <c r="V512" s="1436"/>
      <c r="W512" s="3083"/>
      <c r="X512" s="1436"/>
      <c r="Y512" s="3083"/>
      <c r="Z512" s="3261"/>
    </row>
    <row r="513" spans="1:26" ht="15" customHeight="1">
      <c r="A513" s="3253" t="s">
        <v>4220</v>
      </c>
      <c r="B513" s="3260" t="e">
        <f ca="1">VLOOKUP($D511,Iron_dim,4,FALSE)</f>
        <v>#REF!</v>
      </c>
      <c r="C513" s="3256" t="s">
        <v>136</v>
      </c>
      <c r="D513" s="3258"/>
      <c r="E513" s="3644"/>
      <c r="F513" s="3644"/>
      <c r="G513" s="3644"/>
      <c r="H513" s="3644"/>
      <c r="I513" s="3644"/>
      <c r="J513" s="3644"/>
      <c r="K513" s="3644"/>
      <c r="L513" s="3644"/>
      <c r="M513" s="3644"/>
      <c r="N513" s="3644"/>
      <c r="O513" s="3644"/>
      <c r="P513" s="3644"/>
      <c r="Q513" s="3644"/>
      <c r="R513" s="3645"/>
      <c r="S513" s="1940"/>
      <c r="Z513" s="1679"/>
    </row>
    <row r="514" spans="1:26" s="1942" customFormat="1" ht="15" customHeight="1">
      <c r="A514" s="1111" t="s">
        <v>4221</v>
      </c>
      <c r="B514" s="1737" t="e">
        <f ca="1">ABS('House reinf, Drive Side'!$Y$72)</f>
        <v>#REF!</v>
      </c>
      <c r="C514" s="415" t="s">
        <v>136</v>
      </c>
      <c r="D514" s="1120" t="s">
        <v>4222</v>
      </c>
      <c r="E514" s="3644"/>
      <c r="F514" s="3644"/>
      <c r="G514" s="3644"/>
      <c r="H514" s="3644"/>
      <c r="I514" s="3644"/>
      <c r="J514" s="3644"/>
      <c r="K514" s="3644"/>
      <c r="L514" s="3644"/>
      <c r="M514" s="3644"/>
      <c r="N514" s="3644"/>
      <c r="O514" s="3644"/>
      <c r="P514" s="3644"/>
      <c r="Q514" s="3644"/>
      <c r="R514" s="3645"/>
      <c r="S514" s="3064"/>
      <c r="T514" s="3065"/>
      <c r="U514" s="3066"/>
      <c r="V514" s="3067"/>
      <c r="W514" s="3066"/>
      <c r="X514" s="3067"/>
      <c r="Y514" s="3066"/>
      <c r="Z514" s="3068"/>
    </row>
    <row r="515" spans="1:26" s="1942" customFormat="1" ht="15" customHeight="1">
      <c r="A515" s="1111" t="s">
        <v>4223</v>
      </c>
      <c r="B515" s="1737" t="e">
        <f ca="1">ABS('House reinf, Drive Side'!$Y$75)</f>
        <v>#REF!</v>
      </c>
      <c r="C515" s="415" t="s">
        <v>136</v>
      </c>
      <c r="D515" s="1120" t="s">
        <v>4224</v>
      </c>
      <c r="E515" s="3644"/>
      <c r="F515" s="3644"/>
      <c r="G515" s="3644"/>
      <c r="H515" s="3644"/>
      <c r="I515" s="3644"/>
      <c r="J515" s="3644"/>
      <c r="K515" s="3644"/>
      <c r="L515" s="3644"/>
      <c r="M515" s="3644"/>
      <c r="N515" s="3644"/>
      <c r="O515" s="3644"/>
      <c r="P515" s="3644"/>
      <c r="Q515" s="3644"/>
      <c r="R515" s="3645"/>
      <c r="S515" s="3064"/>
      <c r="T515" s="3065"/>
      <c r="U515" s="3066"/>
      <c r="V515" s="3067"/>
      <c r="W515" s="3066"/>
      <c r="X515" s="3067"/>
      <c r="Y515" s="3066"/>
      <c r="Z515" s="3068"/>
    </row>
    <row r="516" spans="1:26" s="1942" customFormat="1" ht="15" customHeight="1" thickBot="1">
      <c r="A516" s="1111" t="s">
        <v>4225</v>
      </c>
      <c r="B516" s="1737" t="e">
        <f ca="1">ABS('House reinf, Drive Side'!$Y$73)</f>
        <v>#REF!</v>
      </c>
      <c r="C516" s="415" t="s">
        <v>136</v>
      </c>
      <c r="D516" s="1120" t="s">
        <v>4226</v>
      </c>
      <c r="E516" s="3644"/>
      <c r="F516" s="3644"/>
      <c r="G516" s="3644"/>
      <c r="H516" s="3644"/>
      <c r="I516" s="3644"/>
      <c r="J516" s="3644"/>
      <c r="K516" s="3644"/>
      <c r="L516" s="3644"/>
      <c r="M516" s="3644"/>
      <c r="N516" s="3644"/>
      <c r="O516" s="3644"/>
      <c r="P516" s="3644"/>
      <c r="Q516" s="3644"/>
      <c r="R516" s="3645"/>
      <c r="S516" s="3064"/>
      <c r="T516" s="3065"/>
      <c r="U516" s="3066"/>
      <c r="V516" s="3067"/>
      <c r="W516" s="3066"/>
      <c r="X516" s="3067"/>
      <c r="Y516" s="3066"/>
      <c r="Z516" s="3068"/>
    </row>
    <row r="517" spans="1:26" s="1942" customFormat="1" ht="15" customHeight="1" thickBot="1">
      <c r="A517" s="2251" t="s">
        <v>4227</v>
      </c>
      <c r="B517" s="3359">
        <v>0</v>
      </c>
      <c r="C517" s="3360" t="s">
        <v>1114</v>
      </c>
      <c r="D517" s="3324" t="e">
        <f ca="1">'House reinf, Drive Side'!$AA$71</f>
        <v>#REF!</v>
      </c>
      <c r="E517" s="3644"/>
      <c r="F517" s="3644"/>
      <c r="G517" s="3644"/>
      <c r="H517" s="3644"/>
      <c r="I517" s="3644"/>
      <c r="J517" s="3644"/>
      <c r="K517" s="3644"/>
      <c r="L517" s="3644"/>
      <c r="M517" s="3644"/>
      <c r="N517" s="3644"/>
      <c r="O517" s="3644"/>
      <c r="P517" s="3644"/>
      <c r="Q517" s="3644"/>
      <c r="R517" s="3645"/>
      <c r="S517" s="3064"/>
      <c r="T517" s="3065"/>
      <c r="U517" s="3066"/>
      <c r="V517" s="3067"/>
      <c r="W517" s="3066"/>
      <c r="X517" s="3067"/>
      <c r="Y517" s="3066"/>
      <c r="Z517" s="3068"/>
    </row>
    <row r="518" spans="1:26" ht="15" customHeight="1">
      <c r="A518" s="3252" t="s">
        <v>4228</v>
      </c>
      <c r="B518" s="3259" t="e">
        <f ca="1">VLOOKUP($D517,Iron_dim,3,FALSE)</f>
        <v>#REF!</v>
      </c>
      <c r="C518" s="3255" t="s">
        <v>136</v>
      </c>
      <c r="D518" s="3257"/>
      <c r="E518" s="3644"/>
      <c r="F518" s="3644"/>
      <c r="G518" s="3644"/>
      <c r="H518" s="3644"/>
      <c r="I518" s="3644"/>
      <c r="J518" s="3644"/>
      <c r="K518" s="3644"/>
      <c r="L518" s="3644"/>
      <c r="M518" s="3644"/>
      <c r="N518" s="3644"/>
      <c r="O518" s="3644"/>
      <c r="P518" s="3644"/>
      <c r="Q518" s="3644"/>
      <c r="R518" s="3645"/>
      <c r="S518" s="3081"/>
      <c r="T518" s="3082"/>
      <c r="U518" s="3083"/>
      <c r="V518" s="1436"/>
      <c r="W518" s="3083"/>
      <c r="X518" s="1436"/>
      <c r="Y518" s="3083"/>
      <c r="Z518" s="3261"/>
    </row>
    <row r="519" spans="1:26" ht="15" customHeight="1">
      <c r="A519" s="3253" t="s">
        <v>4229</v>
      </c>
      <c r="B519" s="3260" t="e">
        <f ca="1">VLOOKUP($D517,Iron_dim,4,FALSE)</f>
        <v>#REF!</v>
      </c>
      <c r="C519" s="3256" t="s">
        <v>136</v>
      </c>
      <c r="D519" s="3258"/>
      <c r="E519" s="3644"/>
      <c r="F519" s="3644"/>
      <c r="G519" s="3644"/>
      <c r="H519" s="3644"/>
      <c r="I519" s="3644"/>
      <c r="J519" s="3644"/>
      <c r="K519" s="3644"/>
      <c r="L519" s="3644"/>
      <c r="M519" s="3644"/>
      <c r="N519" s="3644"/>
      <c r="O519" s="3644"/>
      <c r="P519" s="3644"/>
      <c r="Q519" s="3644"/>
      <c r="R519" s="3645"/>
      <c r="S519" s="1940"/>
      <c r="Z519" s="1679"/>
    </row>
    <row r="520" spans="1:26" s="1942" customFormat="1" ht="15" customHeight="1">
      <c r="A520" s="1111" t="s">
        <v>4230</v>
      </c>
      <c r="B520" s="1737" t="e">
        <f ca="1">ABS('House reinf, Drive Side'!$AA$72)</f>
        <v>#REF!</v>
      </c>
      <c r="C520" s="415" t="s">
        <v>136</v>
      </c>
      <c r="D520" s="1120" t="s">
        <v>4231</v>
      </c>
      <c r="E520" s="3644"/>
      <c r="F520" s="3644"/>
      <c r="G520" s="3644"/>
      <c r="H520" s="3644"/>
      <c r="I520" s="3644"/>
      <c r="J520" s="3644"/>
      <c r="K520" s="3644"/>
      <c r="L520" s="3644"/>
      <c r="M520" s="3644"/>
      <c r="N520" s="3644"/>
      <c r="O520" s="3644"/>
      <c r="P520" s="3644"/>
      <c r="Q520" s="3644"/>
      <c r="R520" s="3645"/>
      <c r="S520" s="3064"/>
      <c r="T520" s="3065"/>
      <c r="U520" s="3066"/>
      <c r="V520" s="3067"/>
      <c r="W520" s="3066"/>
      <c r="X520" s="3067"/>
      <c r="Y520" s="3066"/>
      <c r="Z520" s="3068"/>
    </row>
    <row r="521" spans="1:26" s="1942" customFormat="1" ht="15" customHeight="1">
      <c r="A521" s="1111" t="s">
        <v>4232</v>
      </c>
      <c r="B521" s="1737" t="e">
        <f ca="1">ABS('House reinf, Drive Side'!$AA$75)</f>
        <v>#REF!</v>
      </c>
      <c r="C521" s="415" t="s">
        <v>136</v>
      </c>
      <c r="D521" s="1120" t="s">
        <v>4233</v>
      </c>
      <c r="E521" s="3644"/>
      <c r="F521" s="3644"/>
      <c r="G521" s="3644"/>
      <c r="H521" s="3644"/>
      <c r="I521" s="3644"/>
      <c r="J521" s="3644"/>
      <c r="K521" s="3644"/>
      <c r="L521" s="3644"/>
      <c r="M521" s="3644"/>
      <c r="N521" s="3644"/>
      <c r="O521" s="3644"/>
      <c r="P521" s="3644"/>
      <c r="Q521" s="3644"/>
      <c r="R521" s="3645"/>
      <c r="S521" s="3064"/>
      <c r="T521" s="3065"/>
      <c r="U521" s="3066"/>
      <c r="V521" s="3067"/>
      <c r="W521" s="3066"/>
      <c r="X521" s="3067"/>
      <c r="Y521" s="3066"/>
      <c r="Z521" s="3068"/>
    </row>
    <row r="522" spans="1:26" s="1942" customFormat="1" ht="15" customHeight="1" thickBot="1">
      <c r="A522" s="1111" t="s">
        <v>4234</v>
      </c>
      <c r="B522" s="1737" t="e">
        <f ca="1">ABS('House reinf, Drive Side'!$AA$73)</f>
        <v>#REF!</v>
      </c>
      <c r="C522" s="415" t="s">
        <v>136</v>
      </c>
      <c r="D522" s="1120" t="s">
        <v>4235</v>
      </c>
      <c r="E522" s="3644"/>
      <c r="F522" s="3644"/>
      <c r="G522" s="3644"/>
      <c r="H522" s="3644"/>
      <c r="I522" s="3644"/>
      <c r="J522" s="3644"/>
      <c r="K522" s="3644"/>
      <c r="L522" s="3644"/>
      <c r="M522" s="3644"/>
      <c r="N522" s="3644"/>
      <c r="O522" s="3644"/>
      <c r="P522" s="3644"/>
      <c r="Q522" s="3644"/>
      <c r="R522" s="3645"/>
      <c r="S522" s="3064"/>
      <c r="T522" s="3065"/>
      <c r="U522" s="3066"/>
      <c r="V522" s="3067"/>
      <c r="W522" s="3066"/>
      <c r="X522" s="3067"/>
      <c r="Y522" s="3066"/>
      <c r="Z522" s="3068"/>
    </row>
    <row r="523" spans="1:26" s="1942" customFormat="1" ht="15" customHeight="1" thickBot="1">
      <c r="A523" s="2251" t="s">
        <v>4236</v>
      </c>
      <c r="B523" s="3359">
        <v>0</v>
      </c>
      <c r="C523" s="3360" t="s">
        <v>1114</v>
      </c>
      <c r="D523" s="3324" t="e">
        <f ca="1">'House reinf, Drive Side'!$AC$71</f>
        <v>#REF!</v>
      </c>
      <c r="E523" s="3644"/>
      <c r="F523" s="3644"/>
      <c r="G523" s="3644"/>
      <c r="H523" s="3644"/>
      <c r="I523" s="3644"/>
      <c r="J523" s="3644"/>
      <c r="K523" s="3644"/>
      <c r="L523" s="3644"/>
      <c r="M523" s="3644"/>
      <c r="N523" s="3644"/>
      <c r="O523" s="3644"/>
      <c r="P523" s="3644"/>
      <c r="Q523" s="3644"/>
      <c r="R523" s="3645"/>
      <c r="S523" s="3064"/>
      <c r="T523" s="3065"/>
      <c r="U523" s="3066"/>
      <c r="V523" s="3067"/>
      <c r="W523" s="3066"/>
      <c r="X523" s="3067"/>
      <c r="Y523" s="3066"/>
      <c r="Z523" s="3068"/>
    </row>
    <row r="524" spans="1:26" ht="15" customHeight="1">
      <c r="A524" s="3252" t="s">
        <v>4237</v>
      </c>
      <c r="B524" s="3259" t="e">
        <f ca="1">VLOOKUP($D523,Iron_dim,3,FALSE)</f>
        <v>#REF!</v>
      </c>
      <c r="C524" s="3255" t="s">
        <v>136</v>
      </c>
      <c r="D524" s="3257"/>
      <c r="E524" s="3644"/>
      <c r="F524" s="3644"/>
      <c r="G524" s="3644"/>
      <c r="H524" s="3644"/>
      <c r="I524" s="3644"/>
      <c r="J524" s="3644"/>
      <c r="K524" s="3644"/>
      <c r="L524" s="3644"/>
      <c r="M524" s="3644"/>
      <c r="N524" s="3644"/>
      <c r="O524" s="3644"/>
      <c r="P524" s="3644"/>
      <c r="Q524" s="3644"/>
      <c r="R524" s="3645"/>
      <c r="S524" s="3081"/>
      <c r="T524" s="3082"/>
      <c r="U524" s="3083"/>
      <c r="V524" s="1436"/>
      <c r="W524" s="3083"/>
      <c r="X524" s="1436"/>
      <c r="Y524" s="3083"/>
      <c r="Z524" s="3261"/>
    </row>
    <row r="525" spans="1:26" ht="15" customHeight="1">
      <c r="A525" s="3253" t="s">
        <v>4238</v>
      </c>
      <c r="B525" s="3260" t="e">
        <f ca="1">VLOOKUP($D523,Iron_dim,4,FALSE)</f>
        <v>#REF!</v>
      </c>
      <c r="C525" s="3256" t="s">
        <v>136</v>
      </c>
      <c r="D525" s="3258"/>
      <c r="E525" s="3644"/>
      <c r="F525" s="3644"/>
      <c r="G525" s="3644"/>
      <c r="H525" s="3644"/>
      <c r="I525" s="3644"/>
      <c r="J525" s="3644"/>
      <c r="K525" s="3644"/>
      <c r="L525" s="3644"/>
      <c r="M525" s="3644"/>
      <c r="N525" s="3644"/>
      <c r="O525" s="3644"/>
      <c r="P525" s="3644"/>
      <c r="Q525" s="3644"/>
      <c r="R525" s="3645"/>
      <c r="S525" s="1940"/>
      <c r="Z525" s="1679"/>
    </row>
    <row r="526" spans="1:26" s="1942" customFormat="1" ht="15" customHeight="1">
      <c r="A526" s="1111" t="s">
        <v>4239</v>
      </c>
      <c r="B526" s="1737" t="e">
        <f ca="1">ABS('House reinf, Drive Side'!$AC$72)</f>
        <v>#REF!</v>
      </c>
      <c r="C526" s="415" t="s">
        <v>136</v>
      </c>
      <c r="D526" s="1120" t="s">
        <v>4240</v>
      </c>
      <c r="E526" s="3644"/>
      <c r="F526" s="3644"/>
      <c r="G526" s="3644"/>
      <c r="H526" s="3644"/>
      <c r="I526" s="3644"/>
      <c r="J526" s="3644"/>
      <c r="K526" s="3644"/>
      <c r="L526" s="3644"/>
      <c r="M526" s="3644"/>
      <c r="N526" s="3644"/>
      <c r="O526" s="3644"/>
      <c r="P526" s="3644"/>
      <c r="Q526" s="3644"/>
      <c r="R526" s="3645"/>
      <c r="S526" s="3064"/>
      <c r="T526" s="3065"/>
      <c r="U526" s="3066"/>
      <c r="V526" s="3067"/>
      <c r="W526" s="3066"/>
      <c r="X526" s="3067"/>
      <c r="Y526" s="3066"/>
      <c r="Z526" s="3068"/>
    </row>
    <row r="527" spans="1:26" s="1942" customFormat="1" ht="15" customHeight="1">
      <c r="A527" s="1111" t="s">
        <v>4241</v>
      </c>
      <c r="B527" s="1737" t="e">
        <f ca="1">ABS('House reinf, Drive Side'!$AC$75)</f>
        <v>#REF!</v>
      </c>
      <c r="C527" s="415" t="s">
        <v>136</v>
      </c>
      <c r="D527" s="1120" t="s">
        <v>4242</v>
      </c>
      <c r="E527" s="3644"/>
      <c r="F527" s="3644"/>
      <c r="G527" s="3644"/>
      <c r="H527" s="3644"/>
      <c r="I527" s="3644"/>
      <c r="J527" s="3644"/>
      <c r="K527" s="3644"/>
      <c r="L527" s="3644"/>
      <c r="M527" s="3644"/>
      <c r="N527" s="3644"/>
      <c r="O527" s="3644"/>
      <c r="P527" s="3644"/>
      <c r="Q527" s="3644"/>
      <c r="R527" s="3645"/>
      <c r="S527" s="3064"/>
      <c r="T527" s="3065"/>
      <c r="U527" s="3066"/>
      <c r="V527" s="3067"/>
      <c r="W527" s="3066"/>
      <c r="X527" s="3067"/>
      <c r="Y527" s="3066"/>
      <c r="Z527" s="3068"/>
    </row>
    <row r="528" spans="1:26" s="1942" customFormat="1" ht="15" customHeight="1" thickBot="1">
      <c r="A528" s="1111" t="s">
        <v>4243</v>
      </c>
      <c r="B528" s="1737" t="e">
        <f ca="1">ABS('House reinf, Drive Side'!$AC$73)</f>
        <v>#REF!</v>
      </c>
      <c r="C528" s="415" t="s">
        <v>136</v>
      </c>
      <c r="D528" s="1120" t="s">
        <v>4381</v>
      </c>
      <c r="E528" s="3644"/>
      <c r="F528" s="3644"/>
      <c r="G528" s="3644"/>
      <c r="H528" s="3644"/>
      <c r="I528" s="3644"/>
      <c r="J528" s="3644"/>
      <c r="K528" s="3644"/>
      <c r="L528" s="3644"/>
      <c r="M528" s="3644"/>
      <c r="N528" s="3644"/>
      <c r="O528" s="3644"/>
      <c r="P528" s="3644"/>
      <c r="Q528" s="3644"/>
      <c r="R528" s="3645"/>
      <c r="S528" s="3064"/>
      <c r="T528" s="3065"/>
      <c r="U528" s="3066"/>
      <c r="V528" s="3067"/>
      <c r="W528" s="3066"/>
      <c r="X528" s="3067"/>
      <c r="Y528" s="3066"/>
      <c r="Z528" s="3068"/>
    </row>
    <row r="529" spans="1:26" s="1942" customFormat="1" ht="15" customHeight="1" thickBot="1">
      <c r="A529" s="2251" t="s">
        <v>4244</v>
      </c>
      <c r="B529" s="3359">
        <v>0</v>
      </c>
      <c r="C529" s="3360" t="s">
        <v>1114</v>
      </c>
      <c r="D529" s="3324" t="e">
        <f ca="1">'House reinf, Drive Side'!$AE$71</f>
        <v>#REF!</v>
      </c>
      <c r="E529" s="3644"/>
      <c r="F529" s="3644"/>
      <c r="G529" s="3644"/>
      <c r="H529" s="3644"/>
      <c r="I529" s="3644"/>
      <c r="J529" s="3644"/>
      <c r="K529" s="3644"/>
      <c r="L529" s="3644"/>
      <c r="M529" s="3644"/>
      <c r="N529" s="3644"/>
      <c r="O529" s="3644"/>
      <c r="P529" s="3644"/>
      <c r="Q529" s="3644"/>
      <c r="R529" s="3645"/>
      <c r="S529" s="3064"/>
      <c r="T529" s="3065"/>
      <c r="U529" s="3066"/>
      <c r="V529" s="3067"/>
      <c r="W529" s="3066"/>
      <c r="X529" s="3067"/>
      <c r="Y529" s="3066"/>
      <c r="Z529" s="3068"/>
    </row>
    <row r="530" spans="1:26" ht="15" customHeight="1">
      <c r="A530" s="3252" t="s">
        <v>4245</v>
      </c>
      <c r="B530" s="3259" t="e">
        <f ca="1">VLOOKUP($D529,Iron_dim,3,FALSE)</f>
        <v>#REF!</v>
      </c>
      <c r="C530" s="3255" t="s">
        <v>136</v>
      </c>
      <c r="D530" s="3257"/>
      <c r="E530" s="3644"/>
      <c r="F530" s="3644"/>
      <c r="G530" s="3644"/>
      <c r="H530" s="3644"/>
      <c r="I530" s="3644"/>
      <c r="J530" s="3644"/>
      <c r="K530" s="3644"/>
      <c r="L530" s="3644"/>
      <c r="M530" s="3644"/>
      <c r="N530" s="3644"/>
      <c r="O530" s="3644"/>
      <c r="P530" s="3644"/>
      <c r="Q530" s="3644"/>
      <c r="R530" s="3645"/>
      <c r="S530" s="3081"/>
      <c r="T530" s="3082"/>
      <c r="U530" s="3083"/>
      <c r="V530" s="1436"/>
      <c r="W530" s="3083"/>
      <c r="X530" s="1436"/>
      <c r="Y530" s="3083"/>
      <c r="Z530" s="3261"/>
    </row>
    <row r="531" spans="1:26" ht="15" customHeight="1">
      <c r="A531" s="3253" t="s">
        <v>4246</v>
      </c>
      <c r="B531" s="3260" t="e">
        <f ca="1">VLOOKUP($D529,Iron_dim,4,FALSE)</f>
        <v>#REF!</v>
      </c>
      <c r="C531" s="3256" t="s">
        <v>136</v>
      </c>
      <c r="D531" s="3258"/>
      <c r="E531" s="3644"/>
      <c r="F531" s="3644"/>
      <c r="G531" s="3644"/>
      <c r="H531" s="3644"/>
      <c r="I531" s="3644"/>
      <c r="J531" s="3644"/>
      <c r="K531" s="3644"/>
      <c r="L531" s="3644"/>
      <c r="M531" s="3644"/>
      <c r="N531" s="3644"/>
      <c r="O531" s="3644"/>
      <c r="P531" s="3644"/>
      <c r="Q531" s="3644"/>
      <c r="R531" s="3645"/>
      <c r="S531" s="1940"/>
      <c r="Z531" s="1679"/>
    </row>
    <row r="532" spans="1:26" s="1942" customFormat="1" ht="15" customHeight="1">
      <c r="A532" s="1111" t="s">
        <v>4247</v>
      </c>
      <c r="B532" s="1737" t="e">
        <f ca="1">ABS('House reinf, Drive Side'!$AE$72)</f>
        <v>#REF!</v>
      </c>
      <c r="C532" s="415" t="s">
        <v>136</v>
      </c>
      <c r="D532" s="1120" t="s">
        <v>4248</v>
      </c>
      <c r="E532" s="3644"/>
      <c r="F532" s="3644"/>
      <c r="G532" s="3644"/>
      <c r="H532" s="3644"/>
      <c r="I532" s="3644"/>
      <c r="J532" s="3644"/>
      <c r="K532" s="3644"/>
      <c r="L532" s="3644"/>
      <c r="M532" s="3644"/>
      <c r="N532" s="3644"/>
      <c r="O532" s="3644"/>
      <c r="P532" s="3644"/>
      <c r="Q532" s="3644"/>
      <c r="R532" s="3645"/>
      <c r="S532" s="3064"/>
      <c r="T532" s="3065"/>
      <c r="U532" s="3066"/>
      <c r="V532" s="3067"/>
      <c r="W532" s="3066"/>
      <c r="X532" s="3067"/>
      <c r="Y532" s="3066"/>
      <c r="Z532" s="3068"/>
    </row>
    <row r="533" spans="1:26" s="1942" customFormat="1" ht="15" customHeight="1">
      <c r="A533" s="1111" t="s">
        <v>4249</v>
      </c>
      <c r="B533" s="1737" t="e">
        <f ca="1">ABS('House reinf, Drive Side'!$AE$75)</f>
        <v>#REF!</v>
      </c>
      <c r="C533" s="415" t="s">
        <v>136</v>
      </c>
      <c r="D533" s="1120" t="s">
        <v>4250</v>
      </c>
      <c r="E533" s="3644"/>
      <c r="F533" s="3644"/>
      <c r="G533" s="3644"/>
      <c r="H533" s="3644"/>
      <c r="I533" s="3644"/>
      <c r="J533" s="3644"/>
      <c r="K533" s="3644"/>
      <c r="L533" s="3644"/>
      <c r="M533" s="3644"/>
      <c r="N533" s="3644"/>
      <c r="O533" s="3644"/>
      <c r="P533" s="3644"/>
      <c r="Q533" s="3644"/>
      <c r="R533" s="3645"/>
      <c r="S533" s="3064"/>
      <c r="T533" s="3065"/>
      <c r="U533" s="3066"/>
      <c r="V533" s="3067"/>
      <c r="W533" s="3066"/>
      <c r="X533" s="3067"/>
      <c r="Y533" s="3066"/>
      <c r="Z533" s="3068"/>
    </row>
    <row r="534" spans="1:26" s="1942" customFormat="1" ht="15" customHeight="1" thickBot="1">
      <c r="A534" s="1111" t="s">
        <v>4251</v>
      </c>
      <c r="B534" s="1737" t="e">
        <f ca="1">ABS('House reinf, Drive Side'!$AE$73)</f>
        <v>#REF!</v>
      </c>
      <c r="C534" s="415" t="s">
        <v>136</v>
      </c>
      <c r="D534" s="1120" t="s">
        <v>4382</v>
      </c>
      <c r="E534" s="3644"/>
      <c r="F534" s="3644"/>
      <c r="G534" s="3644"/>
      <c r="H534" s="3644"/>
      <c r="I534" s="3644"/>
      <c r="J534" s="3644"/>
      <c r="K534" s="3644"/>
      <c r="L534" s="3644"/>
      <c r="M534" s="3644"/>
      <c r="N534" s="3644"/>
      <c r="O534" s="3644"/>
      <c r="P534" s="3644"/>
      <c r="Q534" s="3644"/>
      <c r="R534" s="3645"/>
      <c r="S534" s="3064"/>
      <c r="T534" s="3065"/>
      <c r="U534" s="3066"/>
      <c r="V534" s="3067"/>
      <c r="W534" s="3066"/>
      <c r="X534" s="3067"/>
      <c r="Y534" s="3066"/>
      <c r="Z534" s="3068"/>
    </row>
    <row r="535" spans="1:26" s="1942" customFormat="1" ht="15" customHeight="1" thickBot="1">
      <c r="A535" s="2251" t="s">
        <v>4252</v>
      </c>
      <c r="B535" s="3359">
        <v>0</v>
      </c>
      <c r="C535" s="3360" t="s">
        <v>1114</v>
      </c>
      <c r="D535" s="3324" t="e">
        <f ca="1">'House reinf, Drive Side'!$AG$71</f>
        <v>#REF!</v>
      </c>
      <c r="E535" s="3644"/>
      <c r="F535" s="3644"/>
      <c r="G535" s="3644"/>
      <c r="H535" s="3644"/>
      <c r="I535" s="3644"/>
      <c r="J535" s="3644"/>
      <c r="K535" s="3644"/>
      <c r="L535" s="3644"/>
      <c r="M535" s="3644"/>
      <c r="N535" s="3644"/>
      <c r="O535" s="3644"/>
      <c r="P535" s="3644"/>
      <c r="Q535" s="3644"/>
      <c r="R535" s="3645"/>
      <c r="S535" s="3064"/>
      <c r="T535" s="3065"/>
      <c r="U535" s="3066"/>
      <c r="V535" s="3067"/>
      <c r="W535" s="3066"/>
      <c r="X535" s="3067"/>
      <c r="Y535" s="3066"/>
      <c r="Z535" s="3068"/>
    </row>
    <row r="536" spans="1:26" ht="15" customHeight="1">
      <c r="A536" s="3252" t="s">
        <v>4386</v>
      </c>
      <c r="B536" s="3259" t="e">
        <f ca="1">VLOOKUP($D535,Iron_dim,3,FALSE)</f>
        <v>#REF!</v>
      </c>
      <c r="C536" s="3255" t="s">
        <v>136</v>
      </c>
      <c r="D536" s="3257"/>
      <c r="E536" s="3644"/>
      <c r="F536" s="3644"/>
      <c r="G536" s="3644"/>
      <c r="H536" s="3644"/>
      <c r="I536" s="3644"/>
      <c r="J536" s="3644"/>
      <c r="K536" s="3644"/>
      <c r="L536" s="3644"/>
      <c r="M536" s="3644"/>
      <c r="N536" s="3644"/>
      <c r="O536" s="3644"/>
      <c r="P536" s="3644"/>
      <c r="Q536" s="3644"/>
      <c r="R536" s="3645"/>
      <c r="S536" s="3081"/>
      <c r="T536" s="3082"/>
      <c r="U536" s="3083"/>
      <c r="V536" s="1436"/>
      <c r="W536" s="3083"/>
      <c r="X536" s="1436"/>
      <c r="Y536" s="3083"/>
      <c r="Z536" s="3261"/>
    </row>
    <row r="537" spans="1:26" ht="15" customHeight="1">
      <c r="A537" s="3253" t="s">
        <v>4387</v>
      </c>
      <c r="B537" s="3260" t="e">
        <f ca="1">VLOOKUP($D535,Iron_dim,4,FALSE)</f>
        <v>#REF!</v>
      </c>
      <c r="C537" s="3256" t="s">
        <v>136</v>
      </c>
      <c r="D537" s="3258"/>
      <c r="E537" s="3644"/>
      <c r="F537" s="3644"/>
      <c r="G537" s="3644"/>
      <c r="H537" s="3644"/>
      <c r="I537" s="3644"/>
      <c r="J537" s="3644"/>
      <c r="K537" s="3644"/>
      <c r="L537" s="3644"/>
      <c r="M537" s="3644"/>
      <c r="N537" s="3644"/>
      <c r="O537" s="3644"/>
      <c r="P537" s="3644"/>
      <c r="Q537" s="3644"/>
      <c r="R537" s="3645"/>
      <c r="S537" s="1940"/>
      <c r="Z537" s="1679"/>
    </row>
    <row r="538" spans="1:26" s="1131" customFormat="1" ht="15" customHeight="1">
      <c r="A538" s="1111" t="s">
        <v>4253</v>
      </c>
      <c r="B538" s="1737" t="e">
        <f ca="1">ABS('House reinf, Drive Side'!$AG$72)</f>
        <v>#REF!</v>
      </c>
      <c r="C538" s="415" t="s">
        <v>136</v>
      </c>
      <c r="D538" s="1120" t="s">
        <v>4253</v>
      </c>
      <c r="E538" s="3644"/>
      <c r="F538" s="3644"/>
      <c r="G538" s="3644"/>
      <c r="H538" s="3644"/>
      <c r="I538" s="3644"/>
      <c r="J538" s="3644"/>
      <c r="K538" s="3644"/>
      <c r="L538" s="3644"/>
      <c r="M538" s="3644"/>
      <c r="N538" s="3644"/>
      <c r="O538" s="3644"/>
      <c r="P538" s="3644"/>
      <c r="Q538" s="3644"/>
      <c r="R538" s="3645"/>
      <c r="S538" s="3064"/>
      <c r="T538" s="3065"/>
      <c r="U538" s="3066"/>
      <c r="V538" s="3067"/>
      <c r="W538" s="3066"/>
      <c r="X538" s="3067"/>
      <c r="Y538" s="3066"/>
      <c r="Z538" s="3068"/>
    </row>
    <row r="539" spans="1:26" s="1942" customFormat="1" ht="15" customHeight="1">
      <c r="A539" s="1111" t="s">
        <v>4254</v>
      </c>
      <c r="B539" s="1737" t="e">
        <f ca="1">ABS('House reinf, Drive Side'!$AG$75)</f>
        <v>#REF!</v>
      </c>
      <c r="C539" s="415" t="s">
        <v>136</v>
      </c>
      <c r="D539" s="1120" t="s">
        <v>4254</v>
      </c>
      <c r="E539" s="3644"/>
      <c r="F539" s="3644"/>
      <c r="G539" s="3644"/>
      <c r="H539" s="3644"/>
      <c r="I539" s="3644"/>
      <c r="J539" s="3644"/>
      <c r="K539" s="3644"/>
      <c r="L539" s="3644"/>
      <c r="M539" s="3644"/>
      <c r="N539" s="3644"/>
      <c r="O539" s="3644"/>
      <c r="P539" s="3644"/>
      <c r="Q539" s="3644"/>
      <c r="R539" s="3645"/>
      <c r="S539" s="3064"/>
      <c r="T539" s="3065"/>
      <c r="U539" s="3066"/>
      <c r="V539" s="3067"/>
      <c r="W539" s="3066"/>
      <c r="X539" s="3067"/>
      <c r="Y539" s="3066"/>
      <c r="Z539" s="3068"/>
    </row>
    <row r="540" spans="1:26" s="1942" customFormat="1" ht="15" customHeight="1" thickBot="1">
      <c r="A540" s="1111" t="s">
        <v>4255</v>
      </c>
      <c r="B540" s="1737" t="e">
        <f ca="1">ABS('House reinf, Drive Side'!$AG$73)</f>
        <v>#REF!</v>
      </c>
      <c r="C540" s="415" t="s">
        <v>136</v>
      </c>
      <c r="D540" s="1120" t="s">
        <v>4255</v>
      </c>
      <c r="E540" s="3644"/>
      <c r="F540" s="3644"/>
      <c r="G540" s="3644"/>
      <c r="H540" s="3644"/>
      <c r="I540" s="3644"/>
      <c r="J540" s="3644"/>
      <c r="K540" s="3644"/>
      <c r="L540" s="3644"/>
      <c r="M540" s="3644"/>
      <c r="N540" s="3644"/>
      <c r="O540" s="3644"/>
      <c r="P540" s="3644"/>
      <c r="Q540" s="3644"/>
      <c r="R540" s="3645"/>
      <c r="S540" s="3064"/>
      <c r="T540" s="3065"/>
      <c r="U540" s="3066"/>
      <c r="V540" s="3067"/>
      <c r="W540" s="3066"/>
      <c r="X540" s="3067"/>
      <c r="Y540" s="3066"/>
      <c r="Z540" s="3068"/>
    </row>
    <row r="541" spans="1:26" s="1942" customFormat="1" ht="15" customHeight="1" thickBot="1">
      <c r="A541" s="2251" t="s">
        <v>4383</v>
      </c>
      <c r="B541" s="3359">
        <v>0</v>
      </c>
      <c r="C541" s="3360" t="s">
        <v>1114</v>
      </c>
      <c r="D541" s="3324" t="e">
        <f ca="1">'House reinf, Drive Side'!$AH$71</f>
        <v>#REF!</v>
      </c>
      <c r="E541" s="3644"/>
      <c r="F541" s="3644"/>
      <c r="G541" s="3644"/>
      <c r="H541" s="3644"/>
      <c r="I541" s="3644"/>
      <c r="J541" s="3644"/>
      <c r="K541" s="3644"/>
      <c r="L541" s="3644"/>
      <c r="M541" s="3644"/>
      <c r="N541" s="3644"/>
      <c r="O541" s="3644"/>
      <c r="P541" s="3644"/>
      <c r="Q541" s="3644"/>
      <c r="R541" s="3645"/>
      <c r="S541" s="3064"/>
      <c r="T541" s="3065"/>
      <c r="U541" s="3066"/>
      <c r="V541" s="3067"/>
      <c r="W541" s="3066"/>
      <c r="X541" s="3067"/>
      <c r="Y541" s="3066"/>
      <c r="Z541" s="3068"/>
    </row>
    <row r="542" spans="1:26" ht="15" customHeight="1">
      <c r="A542" s="3252" t="s">
        <v>4388</v>
      </c>
      <c r="B542" s="3259" t="e">
        <f ca="1">VLOOKUP($D541,Iron_dim,3,FALSE)</f>
        <v>#REF!</v>
      </c>
      <c r="C542" s="3255" t="s">
        <v>136</v>
      </c>
      <c r="D542" s="3257"/>
      <c r="E542" s="3644"/>
      <c r="F542" s="3644"/>
      <c r="G542" s="3644"/>
      <c r="H542" s="3644"/>
      <c r="I542" s="3644"/>
      <c r="J542" s="3644"/>
      <c r="K542" s="3644"/>
      <c r="L542" s="3644"/>
      <c r="M542" s="3644"/>
      <c r="N542" s="3644"/>
      <c r="O542" s="3644"/>
      <c r="P542" s="3644"/>
      <c r="Q542" s="3644"/>
      <c r="R542" s="3645"/>
      <c r="S542" s="3081"/>
      <c r="T542" s="3082"/>
      <c r="U542" s="3083"/>
      <c r="V542" s="1436"/>
      <c r="W542" s="3083"/>
      <c r="X542" s="1436"/>
      <c r="Y542" s="3083"/>
      <c r="Z542" s="3261"/>
    </row>
    <row r="543" spans="1:26" ht="15" customHeight="1">
      <c r="A543" s="3253" t="s">
        <v>4389</v>
      </c>
      <c r="B543" s="3260" t="e">
        <f ca="1">VLOOKUP($D541,Iron_dim,4,FALSE)</f>
        <v>#REF!</v>
      </c>
      <c r="C543" s="3256" t="s">
        <v>136</v>
      </c>
      <c r="D543" s="3258"/>
      <c r="E543" s="3644"/>
      <c r="F543" s="3644"/>
      <c r="G543" s="3644"/>
      <c r="H543" s="3644"/>
      <c r="I543" s="3644"/>
      <c r="J543" s="3644"/>
      <c r="K543" s="3644"/>
      <c r="L543" s="3644"/>
      <c r="M543" s="3644"/>
      <c r="N543" s="3644"/>
      <c r="O543" s="3644"/>
      <c r="P543" s="3644"/>
      <c r="Q543" s="3644"/>
      <c r="R543" s="3645"/>
      <c r="S543" s="1940"/>
      <c r="Z543" s="1679"/>
    </row>
    <row r="544" spans="1:26" s="1942" customFormat="1" ht="15" customHeight="1">
      <c r="A544" s="1111" t="s">
        <v>4256</v>
      </c>
      <c r="B544" s="1737" t="e">
        <f ca="1">ABS('House reinf, Drive Side'!$AH$72)</f>
        <v>#REF!</v>
      </c>
      <c r="C544" s="415" t="s">
        <v>136</v>
      </c>
      <c r="D544" s="1120" t="s">
        <v>4256</v>
      </c>
      <c r="E544" s="3644"/>
      <c r="F544" s="3644"/>
      <c r="G544" s="3644"/>
      <c r="H544" s="3644"/>
      <c r="I544" s="3644"/>
      <c r="J544" s="3644"/>
      <c r="K544" s="3644"/>
      <c r="L544" s="3644"/>
      <c r="M544" s="3644"/>
      <c r="N544" s="3644"/>
      <c r="O544" s="3644"/>
      <c r="P544" s="3644"/>
      <c r="Q544" s="3644"/>
      <c r="R544" s="3645"/>
      <c r="S544" s="3064"/>
      <c r="T544" s="3065"/>
      <c r="U544" s="3066"/>
      <c r="V544" s="3067"/>
      <c r="W544" s="3066"/>
      <c r="X544" s="3067"/>
      <c r="Y544" s="3066"/>
      <c r="Z544" s="3068"/>
    </row>
    <row r="545" spans="1:27" s="1942" customFormat="1" ht="15" customHeight="1">
      <c r="A545" s="1111" t="s">
        <v>4257</v>
      </c>
      <c r="B545" s="1737" t="e">
        <f ca="1">IF(Small_F,ABS('House reinf, Drive Side'!$AH$75),ABS('House reinf, Drive Side'!$AH$75))</f>
        <v>#REF!</v>
      </c>
      <c r="C545" s="415" t="s">
        <v>136</v>
      </c>
      <c r="D545" s="1120" t="s">
        <v>4257</v>
      </c>
      <c r="E545" s="3644"/>
      <c r="F545" s="3644"/>
      <c r="G545" s="3644"/>
      <c r="H545" s="3644"/>
      <c r="I545" s="3644"/>
      <c r="J545" s="3644"/>
      <c r="K545" s="3644"/>
      <c r="L545" s="3644"/>
      <c r="M545" s="3644"/>
      <c r="N545" s="3644"/>
      <c r="O545" s="3644"/>
      <c r="P545" s="3644"/>
      <c r="Q545" s="3644"/>
      <c r="R545" s="3645"/>
      <c r="S545" s="3064"/>
      <c r="T545" s="3065"/>
      <c r="U545" s="3066"/>
      <c r="V545" s="3067"/>
      <c r="W545" s="3066"/>
      <c r="X545" s="3067"/>
      <c r="Y545" s="3066"/>
      <c r="Z545" s="3068"/>
    </row>
    <row r="546" spans="1:27" s="1942" customFormat="1" ht="15" customHeight="1" thickBot="1">
      <c r="A546" s="1111" t="s">
        <v>4258</v>
      </c>
      <c r="B546" s="1737" t="e">
        <f ca="1">ABS('House reinf, Drive Side'!$AH$73)</f>
        <v>#REF!</v>
      </c>
      <c r="C546" s="415" t="s">
        <v>136</v>
      </c>
      <c r="D546" s="1120" t="s">
        <v>4258</v>
      </c>
      <c r="E546" s="3644"/>
      <c r="F546" s="3644"/>
      <c r="G546" s="3644"/>
      <c r="H546" s="3644"/>
      <c r="I546" s="3644"/>
      <c r="J546" s="3644"/>
      <c r="K546" s="3644"/>
      <c r="L546" s="3644"/>
      <c r="M546" s="3644"/>
      <c r="N546" s="3644"/>
      <c r="O546" s="3644"/>
      <c r="P546" s="3644"/>
      <c r="Q546" s="3644"/>
      <c r="R546" s="3645"/>
      <c r="S546" s="3064"/>
      <c r="T546" s="3065"/>
      <c r="U546" s="3066"/>
      <c r="V546" s="3067"/>
      <c r="W546" s="3066"/>
      <c r="X546" s="3067"/>
      <c r="Y546" s="3066"/>
      <c r="Z546" s="3068"/>
    </row>
    <row r="547" spans="1:27" s="1942" customFormat="1" ht="15" customHeight="1" thickBot="1">
      <c r="A547" s="2251" t="s">
        <v>4384</v>
      </c>
      <c r="B547" s="3359">
        <v>0</v>
      </c>
      <c r="C547" s="3360" t="s">
        <v>1114</v>
      </c>
      <c r="D547" s="3324" t="e">
        <f ca="1">'House reinf, Drive Side'!$AI$71</f>
        <v>#REF!</v>
      </c>
      <c r="E547" s="3644"/>
      <c r="F547" s="3644"/>
      <c r="G547" s="3644"/>
      <c r="H547" s="3644"/>
      <c r="I547" s="3644"/>
      <c r="J547" s="3644"/>
      <c r="K547" s="3644"/>
      <c r="L547" s="3644"/>
      <c r="M547" s="3644"/>
      <c r="N547" s="3644"/>
      <c r="O547" s="3644"/>
      <c r="P547" s="3644"/>
      <c r="Q547" s="3644"/>
      <c r="R547" s="3645"/>
      <c r="S547" s="3064"/>
      <c r="T547" s="3065"/>
      <c r="U547" s="3066"/>
      <c r="V547" s="3067"/>
      <c r="W547" s="3066"/>
      <c r="X547" s="3067"/>
      <c r="Y547" s="3066"/>
      <c r="Z547" s="3068"/>
    </row>
    <row r="548" spans="1:27" ht="15" customHeight="1">
      <c r="A548" s="3252" t="s">
        <v>4390</v>
      </c>
      <c r="B548" s="3259" t="e">
        <f ca="1">VLOOKUP($D547,Iron_dim,3,FALSE)</f>
        <v>#REF!</v>
      </c>
      <c r="C548" s="3255" t="s">
        <v>136</v>
      </c>
      <c r="D548" s="3257"/>
      <c r="E548" s="3644"/>
      <c r="F548" s="3644"/>
      <c r="G548" s="3644"/>
      <c r="H548" s="3644"/>
      <c r="I548" s="3644"/>
      <c r="J548" s="3644"/>
      <c r="K548" s="3644"/>
      <c r="L548" s="3644"/>
      <c r="M548" s="3644"/>
      <c r="N548" s="3644"/>
      <c r="O548" s="3644"/>
      <c r="P548" s="3644"/>
      <c r="Q548" s="3644"/>
      <c r="R548" s="3645"/>
      <c r="S548" s="3081"/>
      <c r="T548" s="3082"/>
      <c r="U548" s="3083"/>
      <c r="V548" s="1436"/>
      <c r="W548" s="3083"/>
      <c r="X548" s="1436"/>
      <c r="Y548" s="3083"/>
      <c r="Z548" s="3261"/>
    </row>
    <row r="549" spans="1:27" ht="15" customHeight="1">
      <c r="A549" s="3253" t="s">
        <v>4391</v>
      </c>
      <c r="B549" s="3260" t="e">
        <f ca="1">VLOOKUP($D547,Iron_dim,4,FALSE)</f>
        <v>#REF!</v>
      </c>
      <c r="C549" s="3256" t="s">
        <v>136</v>
      </c>
      <c r="D549" s="3258"/>
      <c r="E549" s="3644"/>
      <c r="F549" s="3644"/>
      <c r="G549" s="3644"/>
      <c r="H549" s="3644"/>
      <c r="I549" s="3644"/>
      <c r="J549" s="3644"/>
      <c r="K549" s="3644"/>
      <c r="L549" s="3644"/>
      <c r="M549" s="3644"/>
      <c r="N549" s="3644"/>
      <c r="O549" s="3644"/>
      <c r="P549" s="3644"/>
      <c r="Q549" s="3644"/>
      <c r="R549" s="3645"/>
      <c r="S549" s="1940"/>
      <c r="Z549" s="1679"/>
    </row>
    <row r="550" spans="1:27" s="1131" customFormat="1" ht="15" customHeight="1">
      <c r="A550" s="1111" t="s">
        <v>4259</v>
      </c>
      <c r="B550" s="1737" t="e">
        <f ca="1">ABS('House reinf, Drive Side'!$AI$72)</f>
        <v>#REF!</v>
      </c>
      <c r="C550" s="415" t="s">
        <v>136</v>
      </c>
      <c r="D550" s="1120" t="s">
        <v>4259</v>
      </c>
      <c r="E550" s="3644"/>
      <c r="F550" s="3644"/>
      <c r="G550" s="3644"/>
      <c r="H550" s="3644"/>
      <c r="I550" s="3644"/>
      <c r="J550" s="3644"/>
      <c r="K550" s="3644"/>
      <c r="L550" s="3644"/>
      <c r="M550" s="3644"/>
      <c r="N550" s="3644"/>
      <c r="O550" s="3644"/>
      <c r="P550" s="3644"/>
      <c r="Q550" s="3644"/>
      <c r="R550" s="3645"/>
      <c r="S550" s="3064"/>
      <c r="T550" s="3065"/>
      <c r="U550" s="3066"/>
      <c r="V550" s="3067"/>
      <c r="W550" s="3066"/>
      <c r="X550" s="3067"/>
      <c r="Y550" s="3066"/>
      <c r="Z550" s="3068"/>
    </row>
    <row r="551" spans="1:27" s="1131" customFormat="1" ht="15" customHeight="1">
      <c r="A551" s="1111" t="s">
        <v>4260</v>
      </c>
      <c r="B551" s="1737" t="e">
        <f ca="1">ABS('House reinf, Drive Side'!$AI$75)</f>
        <v>#REF!</v>
      </c>
      <c r="C551" s="415" t="s">
        <v>136</v>
      </c>
      <c r="D551" s="1120" t="s">
        <v>4260</v>
      </c>
      <c r="E551" s="3644"/>
      <c r="F551" s="3644"/>
      <c r="G551" s="3644"/>
      <c r="H551" s="3644"/>
      <c r="I551" s="3644"/>
      <c r="J551" s="3644"/>
      <c r="K551" s="3644"/>
      <c r="L551" s="3644"/>
      <c r="M551" s="3644"/>
      <c r="N551" s="3644"/>
      <c r="O551" s="3644"/>
      <c r="P551" s="3644"/>
      <c r="Q551" s="3644"/>
      <c r="R551" s="3645"/>
      <c r="S551" s="3064"/>
      <c r="T551" s="3065"/>
      <c r="U551" s="3066"/>
      <c r="V551" s="3067"/>
      <c r="W551" s="3066"/>
      <c r="X551" s="3067"/>
      <c r="Y551" s="3066"/>
      <c r="Z551" s="3068"/>
    </row>
    <row r="552" spans="1:27" s="1131" customFormat="1" ht="15" customHeight="1" thickBot="1">
      <c r="A552" s="1111" t="s">
        <v>4261</v>
      </c>
      <c r="B552" s="1737" t="e">
        <f ca="1">ABS('House reinf, Drive Side'!$AI$73)</f>
        <v>#REF!</v>
      </c>
      <c r="C552" s="415" t="s">
        <v>136</v>
      </c>
      <c r="D552" s="1120" t="s">
        <v>4261</v>
      </c>
      <c r="E552" s="3644"/>
      <c r="F552" s="3644"/>
      <c r="G552" s="3644"/>
      <c r="H552" s="3644"/>
      <c r="I552" s="3644"/>
      <c r="J552" s="3644"/>
      <c r="K552" s="3644"/>
      <c r="L552" s="3644"/>
      <c r="M552" s="3644"/>
      <c r="N552" s="3644"/>
      <c r="O552" s="3644"/>
      <c r="P552" s="3644"/>
      <c r="Q552" s="3644"/>
      <c r="R552" s="3645"/>
      <c r="S552" s="3064"/>
      <c r="T552" s="3065"/>
      <c r="U552" s="3066"/>
      <c r="V552" s="3067"/>
      <c r="W552" s="3066"/>
      <c r="X552" s="3067"/>
      <c r="Y552" s="3066"/>
      <c r="Z552" s="3068"/>
    </row>
    <row r="553" spans="1:27" s="1942" customFormat="1" ht="15" customHeight="1" thickBot="1">
      <c r="A553" s="2251" t="s">
        <v>4385</v>
      </c>
      <c r="B553" s="3359">
        <v>0</v>
      </c>
      <c r="C553" s="3360" t="s">
        <v>1114</v>
      </c>
      <c r="D553" s="3324" t="e">
        <f ca="1">'House reinf, Drive Side'!$AJ$71</f>
        <v>#REF!</v>
      </c>
      <c r="E553" s="3644"/>
      <c r="F553" s="3644"/>
      <c r="G553" s="3644"/>
      <c r="H553" s="3644"/>
      <c r="I553" s="3644"/>
      <c r="J553" s="3644"/>
      <c r="K553" s="3644"/>
      <c r="L553" s="3644"/>
      <c r="M553" s="3644"/>
      <c r="N553" s="3644"/>
      <c r="O553" s="3644"/>
      <c r="P553" s="3644"/>
      <c r="Q553" s="3644"/>
      <c r="R553" s="3645"/>
      <c r="S553" s="3064"/>
      <c r="T553" s="3065"/>
      <c r="U553" s="3066"/>
      <c r="V553" s="3067"/>
      <c r="W553" s="3066"/>
      <c r="X553" s="3067"/>
      <c r="Y553" s="3066"/>
      <c r="Z553" s="3068"/>
    </row>
    <row r="554" spans="1:27" ht="15" customHeight="1">
      <c r="A554" s="3252" t="s">
        <v>4392</v>
      </c>
      <c r="B554" s="3259" t="e">
        <f ca="1">VLOOKUP($D553,Iron_dim,3,FALSE)</f>
        <v>#REF!</v>
      </c>
      <c r="C554" s="3255" t="s">
        <v>136</v>
      </c>
      <c r="D554" s="3257"/>
      <c r="E554" s="3644"/>
      <c r="F554" s="3644"/>
      <c r="G554" s="3644"/>
      <c r="H554" s="3644"/>
      <c r="I554" s="3644"/>
      <c r="J554" s="3644"/>
      <c r="K554" s="3644"/>
      <c r="L554" s="3644"/>
      <c r="M554" s="3644"/>
      <c r="N554" s="3644"/>
      <c r="O554" s="3644"/>
      <c r="P554" s="3644"/>
      <c r="Q554" s="3644"/>
      <c r="R554" s="3645"/>
      <c r="S554" s="3081"/>
      <c r="T554" s="3082"/>
      <c r="U554" s="3083"/>
      <c r="V554" s="1436"/>
      <c r="W554" s="3083"/>
      <c r="X554" s="1436"/>
      <c r="Y554" s="3083"/>
      <c r="Z554" s="3261"/>
    </row>
    <row r="555" spans="1:27" ht="15" customHeight="1">
      <c r="A555" s="3253" t="s">
        <v>4393</v>
      </c>
      <c r="B555" s="3260" t="e">
        <f ca="1">VLOOKUP($D553,Iron_dim,4,FALSE)</f>
        <v>#REF!</v>
      </c>
      <c r="C555" s="3256" t="s">
        <v>136</v>
      </c>
      <c r="D555" s="3258"/>
      <c r="E555" s="3644"/>
      <c r="F555" s="3644"/>
      <c r="G555" s="3644"/>
      <c r="H555" s="3644"/>
      <c r="I555" s="3644"/>
      <c r="J555" s="3644"/>
      <c r="K555" s="3644"/>
      <c r="L555" s="3644"/>
      <c r="M555" s="3644"/>
      <c r="N555" s="3644"/>
      <c r="O555" s="3644"/>
      <c r="P555" s="3644"/>
      <c r="Q555" s="3644"/>
      <c r="R555" s="3645"/>
      <c r="S555" s="1940"/>
      <c r="Z555" s="1679"/>
    </row>
    <row r="556" spans="1:27" s="1131" customFormat="1" ht="15" customHeight="1">
      <c r="A556" s="1111" t="s">
        <v>4262</v>
      </c>
      <c r="B556" s="1737" t="e">
        <f ca="1">ABS('House reinf, Drive Side'!$AJ$72)</f>
        <v>#REF!</v>
      </c>
      <c r="C556" s="415" t="s">
        <v>136</v>
      </c>
      <c r="D556" s="1120" t="s">
        <v>4262</v>
      </c>
      <c r="E556" s="3644"/>
      <c r="F556" s="3644"/>
      <c r="G556" s="3644"/>
      <c r="H556" s="3644"/>
      <c r="I556" s="3644"/>
      <c r="J556" s="3644"/>
      <c r="K556" s="3644"/>
      <c r="L556" s="3644"/>
      <c r="M556" s="3644"/>
      <c r="N556" s="3644"/>
      <c r="O556" s="3644"/>
      <c r="P556" s="3644"/>
      <c r="Q556" s="3644"/>
      <c r="R556" s="3645"/>
      <c r="S556" s="3064"/>
      <c r="T556" s="3065"/>
      <c r="U556" s="3066"/>
      <c r="V556" s="3067"/>
      <c r="W556" s="3066"/>
      <c r="X556" s="3067"/>
      <c r="Y556" s="3066"/>
      <c r="Z556" s="3068"/>
    </row>
    <row r="557" spans="1:27" s="1131" customFormat="1" ht="15" customHeight="1">
      <c r="A557" s="1111" t="s">
        <v>4263</v>
      </c>
      <c r="B557" s="1737" t="e">
        <f ca="1">ABS('House reinf, Drive Side'!$AJ$75)</f>
        <v>#REF!</v>
      </c>
      <c r="C557" s="415" t="s">
        <v>136</v>
      </c>
      <c r="D557" s="1120" t="s">
        <v>4263</v>
      </c>
      <c r="E557" s="3644"/>
      <c r="F557" s="3644"/>
      <c r="G557" s="3644"/>
      <c r="H557" s="3644"/>
      <c r="I557" s="3644"/>
      <c r="J557" s="3644"/>
      <c r="K557" s="3644"/>
      <c r="L557" s="3644"/>
      <c r="M557" s="3644"/>
      <c r="N557" s="3644"/>
      <c r="O557" s="3644"/>
      <c r="P557" s="3644"/>
      <c r="Q557" s="3644"/>
      <c r="R557" s="3645"/>
      <c r="S557" s="3064"/>
      <c r="T557" s="3065"/>
      <c r="U557" s="3066"/>
      <c r="V557" s="3067"/>
      <c r="W557" s="3066"/>
      <c r="X557" s="3067"/>
      <c r="Y557" s="3066"/>
      <c r="Z557" s="3068"/>
    </row>
    <row r="558" spans="1:27" s="1131" customFormat="1" ht="15" customHeight="1" thickBot="1">
      <c r="A558" s="1111" t="s">
        <v>4264</v>
      </c>
      <c r="B558" s="1737" t="e">
        <f ca="1">IF(Small_F,ABS('House reinf, Drive Side'!$AJ$73),ABS('House reinf, Drive Side'!$AJ$73))</f>
        <v>#REF!</v>
      </c>
      <c r="C558" s="415" t="s">
        <v>136</v>
      </c>
      <c r="D558" s="1120" t="s">
        <v>4264</v>
      </c>
      <c r="E558" s="3646"/>
      <c r="F558" s="3646"/>
      <c r="G558" s="3646"/>
      <c r="H558" s="3646"/>
      <c r="I558" s="3646"/>
      <c r="J558" s="3646"/>
      <c r="K558" s="3646"/>
      <c r="L558" s="3646"/>
      <c r="M558" s="3646"/>
      <c r="N558" s="3646"/>
      <c r="O558" s="3646"/>
      <c r="P558" s="3646"/>
      <c r="Q558" s="3646"/>
      <c r="R558" s="3647"/>
      <c r="S558" s="3069"/>
      <c r="T558" s="3070"/>
      <c r="U558" s="3071"/>
      <c r="V558" s="3072"/>
      <c r="W558" s="3071"/>
      <c r="X558" s="3072"/>
      <c r="Y558" s="3071"/>
      <c r="Z558" s="3073"/>
    </row>
    <row r="559" spans="1:27" s="1942" customFormat="1" ht="15" customHeight="1" thickBot="1">
      <c r="A559" s="2251" t="s">
        <v>4354</v>
      </c>
      <c r="B559" s="3359">
        <v>0</v>
      </c>
      <c r="C559" s="3360" t="s">
        <v>1114</v>
      </c>
      <c r="D559" s="3324" t="e">
        <f ca="1">IF(Small_F,'House reinf, Drive Side'!$E$59,'House reinf, Inlet Side'!$E$59)</f>
        <v>#REF!</v>
      </c>
      <c r="E559" s="1781"/>
      <c r="F559" s="1781"/>
      <c r="G559" s="1781"/>
      <c r="H559" s="1781"/>
      <c r="I559" s="1781"/>
      <c r="J559" s="1781"/>
      <c r="K559" s="1781"/>
      <c r="L559" s="1781"/>
      <c r="M559" s="1781"/>
      <c r="N559" s="1781"/>
      <c r="O559" s="1781"/>
      <c r="P559" s="1781"/>
      <c r="Q559" s="1781"/>
      <c r="R559" s="1782"/>
      <c r="S559" s="3089"/>
      <c r="T559" s="3048"/>
      <c r="U559" s="3049"/>
      <c r="V559" s="3050"/>
      <c r="W559" s="3051"/>
      <c r="X559" s="3051"/>
      <c r="Y559" s="3051"/>
      <c r="Z559" s="3052"/>
    </row>
    <row r="560" spans="1:27" ht="15" customHeight="1">
      <c r="A560" s="3339" t="s">
        <v>4355</v>
      </c>
      <c r="B560" s="3325" t="e">
        <f ca="1">VLOOKUP($D559,Iron_dim,3,FALSE)</f>
        <v>#REF!</v>
      </c>
      <c r="C560" s="415" t="s">
        <v>136</v>
      </c>
      <c r="D560" s="1120" t="s">
        <v>4356</v>
      </c>
      <c r="G560" s="413"/>
      <c r="H560" s="413"/>
      <c r="I560" s="413"/>
      <c r="J560" s="413"/>
      <c r="K560" s="413"/>
      <c r="L560" s="413"/>
      <c r="M560" s="413"/>
      <c r="N560" s="413"/>
      <c r="O560" s="413"/>
      <c r="P560" s="413"/>
      <c r="Q560" s="413"/>
      <c r="R560" s="437"/>
      <c r="S560" s="1438"/>
      <c r="T560" s="1439"/>
      <c r="U560" s="1431"/>
      <c r="V560" s="1440"/>
      <c r="W560" s="1943"/>
      <c r="X560" s="1440"/>
      <c r="Y560" s="1432"/>
      <c r="Z560" s="1691"/>
      <c r="AA560" s="1941"/>
    </row>
    <row r="561" spans="1:27" ht="15" customHeight="1">
      <c r="A561" s="3340" t="s">
        <v>4357</v>
      </c>
      <c r="B561" s="3326" t="e">
        <f ca="1">VLOOKUP($D559,Iron_dim,4,FALSE)</f>
        <v>#REF!</v>
      </c>
      <c r="C561" s="415" t="s">
        <v>136</v>
      </c>
      <c r="D561" s="1120" t="s">
        <v>4358</v>
      </c>
      <c r="G561" s="413"/>
      <c r="H561" s="413"/>
      <c r="I561" s="413"/>
      <c r="J561" s="413"/>
      <c r="K561" s="413"/>
      <c r="L561" s="413"/>
      <c r="M561" s="413"/>
      <c r="N561" s="413"/>
      <c r="O561" s="413"/>
      <c r="P561" s="413"/>
      <c r="Q561" s="413"/>
      <c r="R561" s="437"/>
      <c r="S561" s="1438"/>
      <c r="T561" s="1439"/>
      <c r="U561" s="1431"/>
      <c r="V561" s="1440"/>
      <c r="W561" s="1943"/>
      <c r="X561" s="1440"/>
      <c r="Y561" s="1432"/>
      <c r="Z561" s="1691"/>
      <c r="AA561" s="1941"/>
    </row>
    <row r="562" spans="1:27" ht="15" customHeight="1">
      <c r="A562" s="1111" t="s">
        <v>4359</v>
      </c>
      <c r="B562" s="1737" t="e">
        <f ca="1">IF(Small_F,IF('House reinf, Drive Side'!$B$60=0,0,int_reinf_oR),IF('House reinf, Inlet Side'!$B$60=0,0,int_reinf_oR))</f>
        <v>#REF!</v>
      </c>
      <c r="C562" s="415" t="s">
        <v>136</v>
      </c>
      <c r="D562" s="1120" t="s">
        <v>4359</v>
      </c>
      <c r="G562" s="413"/>
      <c r="H562" s="413"/>
      <c r="I562" s="413"/>
      <c r="J562" s="413"/>
      <c r="K562" s="413"/>
      <c r="L562" s="413"/>
      <c r="M562" s="413"/>
      <c r="N562" s="413"/>
      <c r="O562" s="413"/>
      <c r="P562" s="413"/>
      <c r="Q562" s="413"/>
      <c r="R562" s="437"/>
      <c r="S562" s="1438"/>
      <c r="T562" s="1439"/>
      <c r="U562" s="1431"/>
      <c r="V562" s="1440"/>
      <c r="W562" s="1943"/>
      <c r="X562" s="1440"/>
      <c r="Y562" s="1432"/>
      <c r="Z562" s="1691"/>
      <c r="AA562" s="1941"/>
    </row>
    <row r="563" spans="1:27" ht="15" customHeight="1">
      <c r="A563" s="1111" t="s">
        <v>4356</v>
      </c>
      <c r="B563" s="1737" t="e">
        <f ca="1">IF(Small_F,IF('House reinf, Drive Side'!$C$60=0,0,int_reinf_oR),IF('House reinf, Inlet Side'!$C$60=0,0,int_reinf_oR))</f>
        <v>#REF!</v>
      </c>
      <c r="C563" s="415" t="s">
        <v>136</v>
      </c>
      <c r="D563" s="1120" t="s">
        <v>4356</v>
      </c>
      <c r="G563" s="413"/>
      <c r="H563" s="413"/>
      <c r="I563" s="413"/>
      <c r="J563" s="413"/>
      <c r="K563" s="413"/>
      <c r="L563" s="413"/>
      <c r="M563" s="413"/>
      <c r="N563" s="413"/>
      <c r="O563" s="413"/>
      <c r="P563" s="413"/>
      <c r="Q563" s="413"/>
      <c r="R563" s="437"/>
      <c r="S563" s="1438"/>
      <c r="T563" s="1439"/>
      <c r="U563" s="1431"/>
      <c r="V563" s="1440"/>
      <c r="W563" s="1943"/>
      <c r="X563" s="1440"/>
      <c r="Y563" s="1432"/>
      <c r="Z563" s="1691"/>
      <c r="AA563" s="1941"/>
    </row>
    <row r="564" spans="1:27" ht="15" customHeight="1">
      <c r="A564" s="1111" t="s">
        <v>4358</v>
      </c>
      <c r="B564" s="1737" t="e">
        <f ca="1">IF(Small_F,IF('House reinf, Drive Side'!$D$60=0,0,int_reinf_oR),IF('House reinf, Inlet Side'!$D$60=0,0,int_reinf_oR))</f>
        <v>#REF!</v>
      </c>
      <c r="C564" s="415" t="s">
        <v>136</v>
      </c>
      <c r="D564" s="1120" t="s">
        <v>4358</v>
      </c>
      <c r="G564" s="413"/>
      <c r="H564" s="413"/>
      <c r="I564" s="413"/>
      <c r="J564" s="413"/>
      <c r="K564" s="413"/>
      <c r="L564" s="413"/>
      <c r="M564" s="413"/>
      <c r="N564" s="413"/>
      <c r="O564" s="413"/>
      <c r="P564" s="413"/>
      <c r="Q564" s="413"/>
      <c r="R564" s="437"/>
      <c r="S564" s="1438"/>
      <c r="T564" s="1439"/>
      <c r="U564" s="1431"/>
      <c r="V564" s="1440"/>
      <c r="W564" s="1943"/>
      <c r="X564" s="1440"/>
      <c r="Y564" s="1432"/>
      <c r="Z564" s="1691"/>
      <c r="AA564" s="1941"/>
    </row>
    <row r="565" spans="1:27" ht="15" customHeight="1" thickBot="1">
      <c r="A565" s="1112" t="s">
        <v>4360</v>
      </c>
      <c r="B565" s="3099" t="e">
        <f ca="1">IF(Small_F,IF('House reinf, Drive Side'!$E$60=0,0,int_reinf_oR),IF('House reinf, Inlet Side'!$E$60=0,0,int_reinf_oR))</f>
        <v>#REF!</v>
      </c>
      <c r="C565" s="414" t="s">
        <v>136</v>
      </c>
      <c r="D565" s="1130" t="s">
        <v>4360</v>
      </c>
      <c r="E565" s="1041"/>
      <c r="F565" s="1041"/>
      <c r="G565" s="1041"/>
      <c r="H565" s="1041"/>
      <c r="I565" s="1041"/>
      <c r="J565" s="1041"/>
      <c r="K565" s="1041"/>
      <c r="L565" s="1041"/>
      <c r="M565" s="1041"/>
      <c r="N565" s="1041"/>
      <c r="O565" s="1041"/>
      <c r="P565" s="1041"/>
      <c r="Q565" s="1041"/>
      <c r="R565" s="1042"/>
      <c r="S565" s="1438"/>
      <c r="T565" s="1439"/>
      <c r="U565" s="1431"/>
      <c r="V565" s="1440"/>
      <c r="W565" s="1943"/>
      <c r="X565" s="1440"/>
      <c r="Y565" s="1432"/>
      <c r="Z565" s="1691"/>
      <c r="AA565" s="1941"/>
    </row>
    <row r="566" spans="1:27" ht="15" customHeight="1">
      <c r="A566" s="1111" t="s">
        <v>4361</v>
      </c>
      <c r="B566" s="3101" t="e">
        <f ca="1">IF(Small_F,('House reinf, Drive Side'!$B$61),('House reinf, Inlet Side'!$B$61))</f>
        <v>#REF!</v>
      </c>
      <c r="C566" s="415" t="s">
        <v>136</v>
      </c>
      <c r="D566" s="1120" t="s">
        <v>4362</v>
      </c>
      <c r="G566" s="413"/>
      <c r="H566" s="413"/>
      <c r="I566" s="413"/>
      <c r="J566" s="413"/>
      <c r="K566" s="413"/>
      <c r="L566" s="413"/>
      <c r="M566" s="413"/>
      <c r="N566" s="413"/>
      <c r="O566" s="413"/>
      <c r="P566" s="413"/>
      <c r="Q566" s="413"/>
      <c r="R566" s="437"/>
      <c r="S566" s="1438"/>
      <c r="T566" s="1439"/>
      <c r="U566" s="1431"/>
      <c r="V566" s="1440"/>
      <c r="W566" s="1943"/>
      <c r="X566" s="1440"/>
      <c r="Y566" s="1432"/>
      <c r="Z566" s="1691"/>
      <c r="AA566" s="1941"/>
    </row>
    <row r="567" spans="1:27" ht="15" customHeight="1">
      <c r="A567" s="1111" t="s">
        <v>4363</v>
      </c>
      <c r="B567" s="3101" t="e">
        <f ca="1">IF(Small_F,('House reinf, Drive Side'!$C$61),('House reinf, Inlet Side'!$C$61))</f>
        <v>#REF!</v>
      </c>
      <c r="C567" s="415" t="s">
        <v>136</v>
      </c>
      <c r="D567" s="1120" t="s">
        <v>4364</v>
      </c>
      <c r="G567" s="413"/>
      <c r="H567" s="413"/>
      <c r="I567" s="413"/>
      <c r="J567" s="413"/>
      <c r="K567" s="413"/>
      <c r="L567" s="413"/>
      <c r="M567" s="413"/>
      <c r="N567" s="413"/>
      <c r="O567" s="413"/>
      <c r="P567" s="413"/>
      <c r="Q567" s="413"/>
      <c r="R567" s="437"/>
      <c r="S567" s="1438"/>
      <c r="T567" s="1439"/>
      <c r="U567" s="1431"/>
      <c r="V567" s="1440"/>
      <c r="W567" s="1943"/>
      <c r="X567" s="1440"/>
      <c r="Y567" s="1432"/>
      <c r="Z567" s="1691"/>
      <c r="AA567" s="1941"/>
    </row>
    <row r="568" spans="1:27" ht="15" customHeight="1">
      <c r="A568" s="1111" t="s">
        <v>4365</v>
      </c>
      <c r="B568" s="3101" t="e">
        <f ca="1">IF(Small_F,('House reinf, Drive Side'!$D$61),('House reinf, Inlet Side'!$D$61))</f>
        <v>#REF!</v>
      </c>
      <c r="C568" s="415" t="s">
        <v>136</v>
      </c>
      <c r="D568" s="1120" t="s">
        <v>4366</v>
      </c>
      <c r="G568" s="413"/>
      <c r="H568" s="413"/>
      <c r="I568" s="413"/>
      <c r="J568" s="413"/>
      <c r="K568" s="413"/>
      <c r="L568" s="413"/>
      <c r="M568" s="413"/>
      <c r="N568" s="413"/>
      <c r="O568" s="413"/>
      <c r="P568" s="413"/>
      <c r="Q568" s="413"/>
      <c r="R568" s="437"/>
      <c r="S568" s="1438"/>
      <c r="T568" s="1439"/>
      <c r="U568" s="1431"/>
      <c r="V568" s="1440"/>
      <c r="W568" s="1943"/>
      <c r="X568" s="1440"/>
      <c r="Y568" s="1432"/>
      <c r="Z568" s="1691"/>
      <c r="AA568" s="1941"/>
    </row>
    <row r="569" spans="1:27" ht="15" customHeight="1" thickBot="1">
      <c r="A569" s="1112" t="s">
        <v>4367</v>
      </c>
      <c r="B569" s="3102" t="e">
        <f ca="1">IF(Small_F,('House reinf, Drive Side'!$E$61),('House reinf, Inlet Side'!$E$61))</f>
        <v>#REF!</v>
      </c>
      <c r="C569" s="414" t="s">
        <v>136</v>
      </c>
      <c r="D569" s="1130" t="s">
        <v>4368</v>
      </c>
      <c r="E569" s="1041"/>
      <c r="F569" s="1041"/>
      <c r="G569" s="1041"/>
      <c r="H569" s="1041"/>
      <c r="I569" s="1041"/>
      <c r="J569" s="1041"/>
      <c r="K569" s="1041"/>
      <c r="L569" s="1041"/>
      <c r="M569" s="1041"/>
      <c r="N569" s="1041"/>
      <c r="O569" s="1041"/>
      <c r="P569" s="1041"/>
      <c r="Q569" s="1041"/>
      <c r="R569" s="1042"/>
      <c r="S569" s="1438"/>
      <c r="T569" s="1439"/>
      <c r="U569" s="1431"/>
      <c r="V569" s="1440"/>
      <c r="W569" s="1943"/>
      <c r="X569" s="1440"/>
      <c r="Y569" s="1432"/>
      <c r="Z569" s="1691"/>
      <c r="AA569" s="1941"/>
    </row>
    <row r="570" spans="1:27" ht="15" customHeight="1">
      <c r="A570" s="1111" t="s">
        <v>4369</v>
      </c>
      <c r="B570" s="1737" t="e">
        <f ca="1">IF(Small_F,('House reinf, Drive Side'!$B$62),('House reinf, Inlet Side'!$B$62))</f>
        <v>#REF!</v>
      </c>
      <c r="C570" s="415" t="s">
        <v>136</v>
      </c>
      <c r="D570" s="1120" t="s">
        <v>4370</v>
      </c>
      <c r="G570" s="413"/>
      <c r="H570" s="413"/>
      <c r="I570" s="413"/>
      <c r="J570" s="413"/>
      <c r="K570" s="413"/>
      <c r="L570" s="413"/>
      <c r="M570" s="413"/>
      <c r="N570" s="413"/>
      <c r="O570" s="413"/>
      <c r="P570" s="413"/>
      <c r="Q570" s="413"/>
      <c r="R570" s="437"/>
      <c r="S570" s="1438"/>
      <c r="T570" s="1439"/>
      <c r="U570" s="1431"/>
      <c r="V570" s="1440"/>
      <c r="W570" s="1943"/>
      <c r="X570" s="1440"/>
      <c r="Y570" s="1432"/>
      <c r="Z570" s="1691"/>
      <c r="AA570" s="1941"/>
    </row>
    <row r="571" spans="1:27" ht="15" customHeight="1">
      <c r="A571" s="1111" t="s">
        <v>4371</v>
      </c>
      <c r="B571" s="1737" t="e">
        <f ca="1">IF(Small_F,('House reinf, Drive Side'!$C$62),('House reinf, Inlet Side'!$C$62))</f>
        <v>#REF!</v>
      </c>
      <c r="C571" s="415" t="s">
        <v>136</v>
      </c>
      <c r="D571" s="1120" t="s">
        <v>4372</v>
      </c>
      <c r="G571" s="413"/>
      <c r="H571" s="413"/>
      <c r="I571" s="413"/>
      <c r="J571" s="413"/>
      <c r="K571" s="413"/>
      <c r="L571" s="413"/>
      <c r="M571" s="413"/>
      <c r="N571" s="413"/>
      <c r="O571" s="413"/>
      <c r="P571" s="413"/>
      <c r="Q571" s="413"/>
      <c r="R571" s="437"/>
      <c r="S571" s="1438"/>
      <c r="T571" s="1439"/>
      <c r="U571" s="1431"/>
      <c r="V571" s="1440"/>
      <c r="W571" s="1943"/>
      <c r="X571" s="1440"/>
      <c r="Y571" s="1432"/>
      <c r="Z571" s="1691"/>
      <c r="AA571" s="1941"/>
    </row>
    <row r="572" spans="1:27" ht="15" customHeight="1">
      <c r="A572" s="1111" t="s">
        <v>4373</v>
      </c>
      <c r="B572" s="1737" t="e">
        <f ca="1">IF(Small_F,('House reinf, Drive Side'!$D$62),('House reinf, Inlet Side'!$D$62))</f>
        <v>#REF!</v>
      </c>
      <c r="C572" s="415" t="s">
        <v>136</v>
      </c>
      <c r="D572" s="1120" t="s">
        <v>4374</v>
      </c>
      <c r="G572" s="413"/>
      <c r="H572" s="413"/>
      <c r="I572" s="413"/>
      <c r="J572" s="413"/>
      <c r="K572" s="413"/>
      <c r="L572" s="413"/>
      <c r="M572" s="413"/>
      <c r="N572" s="413"/>
      <c r="O572" s="413"/>
      <c r="P572" s="413"/>
      <c r="Q572" s="413"/>
      <c r="R572" s="437"/>
      <c r="S572" s="1438"/>
      <c r="T572" s="1439"/>
      <c r="U572" s="1431"/>
      <c r="V572" s="1440"/>
      <c r="W572" s="1943"/>
      <c r="X572" s="1440"/>
      <c r="Y572" s="1432"/>
      <c r="Z572" s="1691"/>
      <c r="AA572" s="1941"/>
    </row>
    <row r="573" spans="1:27" ht="15" customHeight="1" thickBot="1">
      <c r="A573" s="1111" t="s">
        <v>4375</v>
      </c>
      <c r="B573" s="1737" t="e">
        <f ca="1">IF(Small_F,('House reinf, Drive Side'!$E$62),('House reinf, Inlet Side'!$E$62))</f>
        <v>#REF!</v>
      </c>
      <c r="C573" s="415" t="s">
        <v>136</v>
      </c>
      <c r="D573" s="1120" t="s">
        <v>4376</v>
      </c>
      <c r="G573" s="413"/>
      <c r="H573" s="413"/>
      <c r="I573" s="413"/>
      <c r="J573" s="413"/>
      <c r="K573" s="413"/>
      <c r="L573" s="413"/>
      <c r="M573" s="413"/>
      <c r="N573" s="413"/>
      <c r="O573" s="413"/>
      <c r="P573" s="413"/>
      <c r="Q573" s="413"/>
      <c r="R573" s="437"/>
      <c r="S573" s="1438"/>
      <c r="T573" s="1439"/>
      <c r="U573" s="1431"/>
      <c r="V573" s="1440"/>
      <c r="W573" s="1943"/>
      <c r="X573" s="1440"/>
      <c r="Y573" s="1432"/>
      <c r="Z573" s="1691"/>
      <c r="AA573" s="1941"/>
    </row>
    <row r="574" spans="1:27" s="1942" customFormat="1" ht="15" customHeight="1" thickBot="1">
      <c r="A574" s="2251" t="s">
        <v>4330</v>
      </c>
      <c r="B574" s="3359">
        <v>0</v>
      </c>
      <c r="C574" s="3360" t="s">
        <v>1114</v>
      </c>
      <c r="D574" s="3324" t="e">
        <f ca="1">IF(Small_F,'House reinf, Drive Side'!$AC$52,'House reinf, Inlet Side'!$AC$52)</f>
        <v>#REF!</v>
      </c>
      <c r="E574" s="3642" t="str">
        <f>"L &amp; R (Left &amp; Right); u &amp; l (up &amp; lo) are DRIVE VIEW at zero rotation"</f>
        <v>L &amp; R (Left &amp; Right); u &amp; l (up &amp; lo) are DRIVE VIEW at zero rotation</v>
      </c>
      <c r="F574" s="3642"/>
      <c r="G574" s="3642"/>
      <c r="H574" s="3642"/>
      <c r="I574" s="3642"/>
      <c r="J574" s="3642"/>
      <c r="K574" s="3642"/>
      <c r="L574" s="3642"/>
      <c r="M574" s="3642"/>
      <c r="N574" s="3642"/>
      <c r="O574" s="3642"/>
      <c r="P574" s="3642"/>
      <c r="Q574" s="3642"/>
      <c r="R574" s="3643"/>
      <c r="S574" s="3074"/>
      <c r="T574" s="3075"/>
      <c r="U574" s="3076"/>
      <c r="V574" s="3077"/>
      <c r="W574" s="3076"/>
      <c r="X574" s="3077"/>
      <c r="Y574" s="3076"/>
      <c r="Z574" s="3078"/>
    </row>
    <row r="575" spans="1:27" ht="15" customHeight="1">
      <c r="A575" s="3252" t="s">
        <v>4332</v>
      </c>
      <c r="B575" s="3325" t="e">
        <f ca="1">VLOOKUP($D574,Iron_dim,3,FALSE)</f>
        <v>#REF!</v>
      </c>
      <c r="C575" s="3255" t="s">
        <v>136</v>
      </c>
      <c r="D575" s="3257"/>
      <c r="E575" s="3644"/>
      <c r="F575" s="3644"/>
      <c r="G575" s="3644"/>
      <c r="H575" s="3644"/>
      <c r="I575" s="3644"/>
      <c r="J575" s="3644"/>
      <c r="K575" s="3644"/>
      <c r="L575" s="3644"/>
      <c r="M575" s="3644"/>
      <c r="N575" s="3644"/>
      <c r="O575" s="3644"/>
      <c r="P575" s="3644"/>
      <c r="Q575" s="3644"/>
      <c r="R575" s="3645"/>
      <c r="S575" s="3081"/>
      <c r="T575" s="3082"/>
      <c r="U575" s="3083"/>
      <c r="V575" s="1436"/>
      <c r="W575" s="3083"/>
      <c r="X575" s="1436"/>
      <c r="Y575" s="3083"/>
      <c r="Z575" s="3261"/>
    </row>
    <row r="576" spans="1:27" ht="15" customHeight="1">
      <c r="A576" s="3253" t="s">
        <v>4333</v>
      </c>
      <c r="B576" s="3326" t="e">
        <f ca="1">VLOOKUP($D574,Iron_dim,4,FALSE)</f>
        <v>#REF!</v>
      </c>
      <c r="C576" s="3256" t="s">
        <v>136</v>
      </c>
      <c r="D576" s="3258"/>
      <c r="E576" s="3644"/>
      <c r="F576" s="3644"/>
      <c r="G576" s="3644"/>
      <c r="H576" s="3644"/>
      <c r="I576" s="3644"/>
      <c r="J576" s="3644"/>
      <c r="K576" s="3644"/>
      <c r="L576" s="3644"/>
      <c r="M576" s="3644"/>
      <c r="N576" s="3644"/>
      <c r="O576" s="3644"/>
      <c r="P576" s="3644"/>
      <c r="Q576" s="3644"/>
      <c r="R576" s="3645"/>
      <c r="S576" s="1940"/>
      <c r="Z576" s="1679"/>
    </row>
    <row r="577" spans="1:26" s="1942" customFormat="1" ht="15" customHeight="1">
      <c r="A577" s="1111" t="s">
        <v>4306</v>
      </c>
      <c r="B577" s="1737" t="e">
        <f ca="1">IF(Small_F,ABS('House reinf, Drive Side'!$AC$53),ABS('House reinf, Inlet Side'!$AC$53))</f>
        <v>#REF!</v>
      </c>
      <c r="C577" s="415" t="s">
        <v>136</v>
      </c>
      <c r="D577" s="1120" t="s">
        <v>4282</v>
      </c>
      <c r="E577" s="3644"/>
      <c r="F577" s="3644"/>
      <c r="G577" s="3644"/>
      <c r="H577" s="3644"/>
      <c r="I577" s="3644"/>
      <c r="J577" s="3644"/>
      <c r="K577" s="3644"/>
      <c r="L577" s="3644"/>
      <c r="M577" s="3644"/>
      <c r="N577" s="3644"/>
      <c r="O577" s="3644"/>
      <c r="P577" s="3644"/>
      <c r="Q577" s="3644"/>
      <c r="R577" s="3645"/>
      <c r="S577" s="3064"/>
      <c r="T577" s="3065"/>
      <c r="U577" s="3066"/>
      <c r="V577" s="3067"/>
      <c r="W577" s="3066"/>
      <c r="X577" s="3067"/>
      <c r="Y577" s="3066"/>
      <c r="Z577" s="3068"/>
    </row>
    <row r="578" spans="1:26" s="1942" customFormat="1" ht="15" customHeight="1">
      <c r="A578" s="1111" t="s">
        <v>4307</v>
      </c>
      <c r="B578" s="1737" t="e">
        <f ca="1">IF(Small_F,ABS('House reinf, Drive Side'!$AC$56),ABS('House reinf, Inlet Side'!$AC$56))</f>
        <v>#REF!</v>
      </c>
      <c r="C578" s="415" t="s">
        <v>136</v>
      </c>
      <c r="D578" s="1120" t="s">
        <v>4283</v>
      </c>
      <c r="E578" s="3644"/>
      <c r="F578" s="3644"/>
      <c r="G578" s="3644"/>
      <c r="H578" s="3644"/>
      <c r="I578" s="3644"/>
      <c r="J578" s="3644"/>
      <c r="K578" s="3644"/>
      <c r="L578" s="3644"/>
      <c r="M578" s="3644"/>
      <c r="N578" s="3644"/>
      <c r="O578" s="3644"/>
      <c r="P578" s="3644"/>
      <c r="Q578" s="3644"/>
      <c r="R578" s="3645"/>
      <c r="S578" s="3064"/>
      <c r="T578" s="3065"/>
      <c r="U578" s="3066"/>
      <c r="V578" s="3067"/>
      <c r="W578" s="3066"/>
      <c r="X578" s="3067"/>
      <c r="Y578" s="3066"/>
      <c r="Z578" s="3068"/>
    </row>
    <row r="579" spans="1:26" s="1942" customFormat="1" ht="15" customHeight="1" thickBot="1">
      <c r="A579" s="1111" t="s">
        <v>4308</v>
      </c>
      <c r="B579" s="1737" t="e">
        <f ca="1">IF(Small_F,ABS('House reinf, Drive Side'!$AC$54),ABS('House reinf, Inlet Side'!$AC$54))</f>
        <v>#REF!</v>
      </c>
      <c r="C579" s="415" t="s">
        <v>136</v>
      </c>
      <c r="D579" s="1120" t="s">
        <v>4284</v>
      </c>
      <c r="E579" s="3644"/>
      <c r="F579" s="3644"/>
      <c r="G579" s="3644"/>
      <c r="H579" s="3644"/>
      <c r="I579" s="3644"/>
      <c r="J579" s="3644"/>
      <c r="K579" s="3644"/>
      <c r="L579" s="3644"/>
      <c r="M579" s="3644"/>
      <c r="N579" s="3644"/>
      <c r="O579" s="3644"/>
      <c r="P579" s="3644"/>
      <c r="Q579" s="3644"/>
      <c r="R579" s="3645"/>
      <c r="S579" s="3064"/>
      <c r="T579" s="3065"/>
      <c r="U579" s="3066"/>
      <c r="V579" s="3067"/>
      <c r="W579" s="3066"/>
      <c r="X579" s="3067"/>
      <c r="Y579" s="3066"/>
      <c r="Z579" s="3068"/>
    </row>
    <row r="580" spans="1:26" s="1942" customFormat="1" ht="15" customHeight="1" thickBot="1">
      <c r="A580" s="2251" t="s">
        <v>4331</v>
      </c>
      <c r="B580" s="3359">
        <v>0</v>
      </c>
      <c r="C580" s="3360" t="s">
        <v>1114</v>
      </c>
      <c r="D580" s="3324" t="e">
        <f ca="1">IF(Small_F,'House reinf, Drive Side'!$AD$52,'House reinf, Inlet Side'!$AD$52)</f>
        <v>#REF!</v>
      </c>
      <c r="E580" s="3644"/>
      <c r="F580" s="3644"/>
      <c r="G580" s="3644"/>
      <c r="H580" s="3644"/>
      <c r="I580" s="3644"/>
      <c r="J580" s="3644"/>
      <c r="K580" s="3644"/>
      <c r="L580" s="3644"/>
      <c r="M580" s="3644"/>
      <c r="N580" s="3644"/>
      <c r="O580" s="3644"/>
      <c r="P580" s="3644"/>
      <c r="Q580" s="3644"/>
      <c r="R580" s="3645"/>
      <c r="S580" s="3064"/>
      <c r="T580" s="3065"/>
      <c r="U580" s="3066"/>
      <c r="V580" s="3067"/>
      <c r="W580" s="3066"/>
      <c r="X580" s="3067"/>
      <c r="Y580" s="3066"/>
      <c r="Z580" s="3068"/>
    </row>
    <row r="581" spans="1:26" ht="15" customHeight="1">
      <c r="A581" s="3252" t="s">
        <v>4334</v>
      </c>
      <c r="B581" s="3325" t="e">
        <f ca="1">VLOOKUP($D580,Iron_dim,3,FALSE)</f>
        <v>#REF!</v>
      </c>
      <c r="C581" s="3255" t="s">
        <v>136</v>
      </c>
      <c r="D581" s="3257"/>
      <c r="E581" s="3644"/>
      <c r="F581" s="3644"/>
      <c r="G581" s="3644"/>
      <c r="H581" s="3644"/>
      <c r="I581" s="3644"/>
      <c r="J581" s="3644"/>
      <c r="K581" s="3644"/>
      <c r="L581" s="3644"/>
      <c r="M581" s="3644"/>
      <c r="N581" s="3644"/>
      <c r="O581" s="3644"/>
      <c r="P581" s="3644"/>
      <c r="Q581" s="3644"/>
      <c r="R581" s="3645"/>
      <c r="S581" s="3081"/>
      <c r="T581" s="3082"/>
      <c r="U581" s="3083"/>
      <c r="V581" s="1436"/>
      <c r="W581" s="3083"/>
      <c r="X581" s="1436"/>
      <c r="Y581" s="3083"/>
      <c r="Z581" s="3261"/>
    </row>
    <row r="582" spans="1:26" ht="15" customHeight="1">
      <c r="A582" s="3253" t="s">
        <v>4335</v>
      </c>
      <c r="B582" s="3326" t="e">
        <f ca="1">VLOOKUP($D580,Iron_dim,4,FALSE)</f>
        <v>#REF!</v>
      </c>
      <c r="C582" s="3256" t="s">
        <v>136</v>
      </c>
      <c r="D582" s="3258"/>
      <c r="E582" s="3644"/>
      <c r="F582" s="3644"/>
      <c r="G582" s="3644"/>
      <c r="H582" s="3644"/>
      <c r="I582" s="3644"/>
      <c r="J582" s="3644"/>
      <c r="K582" s="3644"/>
      <c r="L582" s="3644"/>
      <c r="M582" s="3644"/>
      <c r="N582" s="3644"/>
      <c r="O582" s="3644"/>
      <c r="P582" s="3644"/>
      <c r="Q582" s="3644"/>
      <c r="R582" s="3645"/>
      <c r="S582" s="1940"/>
      <c r="Z582" s="1679"/>
    </row>
    <row r="583" spans="1:26" s="1942" customFormat="1" ht="15" customHeight="1">
      <c r="A583" s="1111" t="s">
        <v>4309</v>
      </c>
      <c r="B583" s="1737" t="e">
        <f ca="1">IF(Small_F,ABS('House reinf, Drive Side'!$AD$53),ABS('House reinf, Inlet Side'!$AD$53))</f>
        <v>#REF!</v>
      </c>
      <c r="C583" s="415" t="s">
        <v>136</v>
      </c>
      <c r="D583" s="1120" t="s">
        <v>4285</v>
      </c>
      <c r="E583" s="3644"/>
      <c r="F583" s="3644"/>
      <c r="G583" s="3644"/>
      <c r="H583" s="3644"/>
      <c r="I583" s="3644"/>
      <c r="J583" s="3644"/>
      <c r="K583" s="3644"/>
      <c r="L583" s="3644"/>
      <c r="M583" s="3644"/>
      <c r="N583" s="3644"/>
      <c r="O583" s="3644"/>
      <c r="P583" s="3644"/>
      <c r="Q583" s="3644"/>
      <c r="R583" s="3645"/>
      <c r="S583" s="3064"/>
      <c r="T583" s="3065"/>
      <c r="U583" s="3066"/>
      <c r="V583" s="3067"/>
      <c r="W583" s="3066"/>
      <c r="X583" s="3067"/>
      <c r="Y583" s="3066"/>
      <c r="Z583" s="3068"/>
    </row>
    <row r="584" spans="1:26" s="1942" customFormat="1" ht="15" customHeight="1">
      <c r="A584" s="1111" t="s">
        <v>4310</v>
      </c>
      <c r="B584" s="1737" t="e">
        <f ca="1">IF(Small_F,ABS('House reinf, Drive Side'!$AD$56),ABS('House reinf, Inlet Side'!$AD$56))</f>
        <v>#REF!</v>
      </c>
      <c r="C584" s="415" t="s">
        <v>136</v>
      </c>
      <c r="D584" s="1120" t="s">
        <v>4286</v>
      </c>
      <c r="E584" s="3644"/>
      <c r="F584" s="3644"/>
      <c r="G584" s="3644"/>
      <c r="H584" s="3644"/>
      <c r="I584" s="3644"/>
      <c r="J584" s="3644"/>
      <c r="K584" s="3644"/>
      <c r="L584" s="3644"/>
      <c r="M584" s="3644"/>
      <c r="N584" s="3644"/>
      <c r="O584" s="3644"/>
      <c r="P584" s="3644"/>
      <c r="Q584" s="3644"/>
      <c r="R584" s="3645"/>
      <c r="S584" s="3064"/>
      <c r="T584" s="3065"/>
      <c r="U584" s="3066"/>
      <c r="V584" s="3067"/>
      <c r="W584" s="3066"/>
      <c r="X584" s="3067"/>
      <c r="Y584" s="3066"/>
      <c r="Z584" s="3068"/>
    </row>
    <row r="585" spans="1:26" s="1942" customFormat="1" ht="15" customHeight="1" thickBot="1">
      <c r="A585" s="1111" t="s">
        <v>4311</v>
      </c>
      <c r="B585" s="1737" t="e">
        <f ca="1">IF(Small_F,ABS('House reinf, Drive Side'!$AD$54),ABS('House reinf, Inlet Side'!$AD$54))</f>
        <v>#REF!</v>
      </c>
      <c r="C585" s="415" t="s">
        <v>136</v>
      </c>
      <c r="D585" s="1120" t="s">
        <v>4287</v>
      </c>
      <c r="E585" s="3644"/>
      <c r="F585" s="3644"/>
      <c r="G585" s="3644"/>
      <c r="H585" s="3644"/>
      <c r="I585" s="3644"/>
      <c r="J585" s="3644"/>
      <c r="K585" s="3644"/>
      <c r="L585" s="3644"/>
      <c r="M585" s="3644"/>
      <c r="N585" s="3644"/>
      <c r="O585" s="3644"/>
      <c r="P585" s="3644"/>
      <c r="Q585" s="3644"/>
      <c r="R585" s="3645"/>
      <c r="S585" s="3064"/>
      <c r="T585" s="3065"/>
      <c r="U585" s="3066"/>
      <c r="V585" s="3067"/>
      <c r="W585" s="3066"/>
      <c r="X585" s="3067"/>
      <c r="Y585" s="3066"/>
      <c r="Z585" s="3068"/>
    </row>
    <row r="586" spans="1:26" s="1942" customFormat="1" ht="15" customHeight="1" thickBot="1">
      <c r="A586" s="2251" t="s">
        <v>4336</v>
      </c>
      <c r="B586" s="3359">
        <v>0</v>
      </c>
      <c r="C586" s="3360" t="s">
        <v>1114</v>
      </c>
      <c r="D586" s="3324" t="e">
        <f ca="1">IF(Small_F,'House reinf, Drive Side'!$AE$52,'House reinf, Inlet Side'!$AE$52)</f>
        <v>#REF!</v>
      </c>
      <c r="E586" s="3644"/>
      <c r="F586" s="3644"/>
      <c r="G586" s="3644"/>
      <c r="H586" s="3644"/>
      <c r="I586" s="3644"/>
      <c r="J586" s="3644"/>
      <c r="K586" s="3644"/>
      <c r="L586" s="3644"/>
      <c r="M586" s="3644"/>
      <c r="N586" s="3644"/>
      <c r="O586" s="3644"/>
      <c r="P586" s="3644"/>
      <c r="Q586" s="3644"/>
      <c r="R586" s="3645"/>
      <c r="S586" s="3064"/>
      <c r="T586" s="3065"/>
      <c r="U586" s="3066"/>
      <c r="V586" s="3067"/>
      <c r="W586" s="3066"/>
      <c r="X586" s="3067"/>
      <c r="Y586" s="3066"/>
      <c r="Z586" s="3068"/>
    </row>
    <row r="587" spans="1:26" ht="15" customHeight="1">
      <c r="A587" s="3252" t="s">
        <v>4337</v>
      </c>
      <c r="B587" s="3325" t="e">
        <f ca="1">VLOOKUP($D586,Iron_dim,3,FALSE)</f>
        <v>#REF!</v>
      </c>
      <c r="C587" s="3255" t="s">
        <v>136</v>
      </c>
      <c r="D587" s="3257"/>
      <c r="E587" s="3644"/>
      <c r="F587" s="3644"/>
      <c r="G587" s="3644"/>
      <c r="H587" s="3644"/>
      <c r="I587" s="3644"/>
      <c r="J587" s="3644"/>
      <c r="K587" s="3644"/>
      <c r="L587" s="3644"/>
      <c r="M587" s="3644"/>
      <c r="N587" s="3644"/>
      <c r="O587" s="3644"/>
      <c r="P587" s="3644"/>
      <c r="Q587" s="3644"/>
      <c r="R587" s="3645"/>
      <c r="S587" s="3081"/>
      <c r="T587" s="3082"/>
      <c r="U587" s="3083"/>
      <c r="V587" s="1436"/>
      <c r="W587" s="3083"/>
      <c r="X587" s="1436"/>
      <c r="Y587" s="3083"/>
      <c r="Z587" s="3261"/>
    </row>
    <row r="588" spans="1:26" ht="15" customHeight="1">
      <c r="A588" s="3253" t="s">
        <v>4338</v>
      </c>
      <c r="B588" s="3326" t="e">
        <f ca="1">VLOOKUP($D586,Iron_dim,4,FALSE)</f>
        <v>#REF!</v>
      </c>
      <c r="C588" s="3256" t="s">
        <v>136</v>
      </c>
      <c r="D588" s="3258"/>
      <c r="E588" s="3644"/>
      <c r="F588" s="3644"/>
      <c r="G588" s="3644"/>
      <c r="H588" s="3644"/>
      <c r="I588" s="3644"/>
      <c r="J588" s="3644"/>
      <c r="K588" s="3644"/>
      <c r="L588" s="3644"/>
      <c r="M588" s="3644"/>
      <c r="N588" s="3644"/>
      <c r="O588" s="3644"/>
      <c r="P588" s="3644"/>
      <c r="Q588" s="3644"/>
      <c r="R588" s="3645"/>
      <c r="S588" s="1940"/>
      <c r="Z588" s="1679"/>
    </row>
    <row r="589" spans="1:26" s="1942" customFormat="1" ht="15" customHeight="1">
      <c r="A589" s="1111" t="s">
        <v>4312</v>
      </c>
      <c r="B589" s="1737" t="e">
        <f ca="1">IF(Small_F,ABS('House reinf, Drive Side'!$AE$53),ABS('House reinf, Inlet Side'!$AE$53))</f>
        <v>#REF!</v>
      </c>
      <c r="C589" s="415" t="s">
        <v>136</v>
      </c>
      <c r="D589" s="1120" t="s">
        <v>4288</v>
      </c>
      <c r="E589" s="3644"/>
      <c r="F589" s="3644"/>
      <c r="G589" s="3644"/>
      <c r="H589" s="3644"/>
      <c r="I589" s="3644"/>
      <c r="J589" s="3644"/>
      <c r="K589" s="3644"/>
      <c r="L589" s="3644"/>
      <c r="M589" s="3644"/>
      <c r="N589" s="3644"/>
      <c r="O589" s="3644"/>
      <c r="P589" s="3644"/>
      <c r="Q589" s="3644"/>
      <c r="R589" s="3645"/>
      <c r="S589" s="3064"/>
      <c r="T589" s="3065"/>
      <c r="U589" s="3066"/>
      <c r="V589" s="3067"/>
      <c r="W589" s="3066"/>
      <c r="X589" s="3067"/>
      <c r="Y589" s="3066"/>
      <c r="Z589" s="3068"/>
    </row>
    <row r="590" spans="1:26" s="1942" customFormat="1" ht="15" customHeight="1">
      <c r="A590" s="1111" t="s">
        <v>4313</v>
      </c>
      <c r="B590" s="1737" t="e">
        <f ca="1">IF(Small_F,ABS('House reinf, Drive Side'!$AE$56),ABS('House reinf, Inlet Side'!$AE$56))</f>
        <v>#REF!</v>
      </c>
      <c r="C590" s="415" t="s">
        <v>136</v>
      </c>
      <c r="D590" s="1120" t="s">
        <v>4289</v>
      </c>
      <c r="E590" s="3644"/>
      <c r="F590" s="3644"/>
      <c r="G590" s="3644"/>
      <c r="H590" s="3644"/>
      <c r="I590" s="3644"/>
      <c r="J590" s="3644"/>
      <c r="K590" s="3644"/>
      <c r="L590" s="3644"/>
      <c r="M590" s="3644"/>
      <c r="N590" s="3644"/>
      <c r="O590" s="3644"/>
      <c r="P590" s="3644"/>
      <c r="Q590" s="3644"/>
      <c r="R590" s="3645"/>
      <c r="S590" s="3064"/>
      <c r="T590" s="3065"/>
      <c r="U590" s="3066"/>
      <c r="V590" s="3067"/>
      <c r="W590" s="3066"/>
      <c r="X590" s="3067"/>
      <c r="Y590" s="3066"/>
      <c r="Z590" s="3068"/>
    </row>
    <row r="591" spans="1:26" s="1942" customFormat="1" ht="15" customHeight="1" thickBot="1">
      <c r="A591" s="1111" t="s">
        <v>4314</v>
      </c>
      <c r="B591" s="1737" t="e">
        <f ca="1">IF(Small_F,ABS('House reinf, Drive Side'!$AE$54),ABS('House reinf, Inlet Side'!$AE$54))</f>
        <v>#REF!</v>
      </c>
      <c r="C591" s="415" t="s">
        <v>136</v>
      </c>
      <c r="D591" s="1120" t="s">
        <v>4290</v>
      </c>
      <c r="E591" s="3644"/>
      <c r="F591" s="3644"/>
      <c r="G591" s="3644"/>
      <c r="H591" s="3644"/>
      <c r="I591" s="3644"/>
      <c r="J591" s="3644"/>
      <c r="K591" s="3644"/>
      <c r="L591" s="3644"/>
      <c r="M591" s="3644"/>
      <c r="N591" s="3644"/>
      <c r="O591" s="3644"/>
      <c r="P591" s="3644"/>
      <c r="Q591" s="3644"/>
      <c r="R591" s="3645"/>
      <c r="S591" s="3064"/>
      <c r="T591" s="3065"/>
      <c r="U591" s="3066"/>
      <c r="V591" s="3067"/>
      <c r="W591" s="3066"/>
      <c r="X591" s="3067"/>
      <c r="Y591" s="3066"/>
      <c r="Z591" s="3068"/>
    </row>
    <row r="592" spans="1:26" s="1942" customFormat="1" ht="15" customHeight="1" thickBot="1">
      <c r="A592" s="2251" t="s">
        <v>4339</v>
      </c>
      <c r="B592" s="3359">
        <v>0</v>
      </c>
      <c r="C592" s="3360" t="s">
        <v>1114</v>
      </c>
      <c r="D592" s="3324" t="e">
        <f ca="1">IF(Small_F,'House reinf, Drive Side'!$AF$52,'House reinf, Inlet Side'!$AF$52)</f>
        <v>#REF!</v>
      </c>
      <c r="E592" s="3644"/>
      <c r="F592" s="3644"/>
      <c r="G592" s="3644"/>
      <c r="H592" s="3644"/>
      <c r="I592" s="3644"/>
      <c r="J592" s="3644"/>
      <c r="K592" s="3644"/>
      <c r="L592" s="3644"/>
      <c r="M592" s="3644"/>
      <c r="N592" s="3644"/>
      <c r="O592" s="3644"/>
      <c r="P592" s="3644"/>
      <c r="Q592" s="3644"/>
      <c r="R592" s="3645"/>
      <c r="S592" s="3064"/>
      <c r="T592" s="3065"/>
      <c r="U592" s="3066"/>
      <c r="V592" s="3067"/>
      <c r="W592" s="3066"/>
      <c r="X592" s="3067"/>
      <c r="Y592" s="3066"/>
      <c r="Z592" s="3068"/>
    </row>
    <row r="593" spans="1:26" ht="15" customHeight="1">
      <c r="A593" s="3252" t="s">
        <v>4340</v>
      </c>
      <c r="B593" s="3325" t="e">
        <f ca="1">VLOOKUP($D592,Iron_dim,3,FALSE)</f>
        <v>#REF!</v>
      </c>
      <c r="C593" s="3255" t="s">
        <v>136</v>
      </c>
      <c r="D593" s="3257"/>
      <c r="E593" s="3644"/>
      <c r="F593" s="3644"/>
      <c r="G593" s="3644"/>
      <c r="H593" s="3644"/>
      <c r="I593" s="3644"/>
      <c r="J593" s="3644"/>
      <c r="K593" s="3644"/>
      <c r="L593" s="3644"/>
      <c r="M593" s="3644"/>
      <c r="N593" s="3644"/>
      <c r="O593" s="3644"/>
      <c r="P593" s="3644"/>
      <c r="Q593" s="3644"/>
      <c r="R593" s="3645"/>
      <c r="S593" s="3081"/>
      <c r="T593" s="3082"/>
      <c r="U593" s="3083"/>
      <c r="V593" s="1436"/>
      <c r="W593" s="3083"/>
      <c r="X593" s="1436"/>
      <c r="Y593" s="3083"/>
      <c r="Z593" s="3261"/>
    </row>
    <row r="594" spans="1:26" ht="15" customHeight="1">
      <c r="A594" s="3253" t="s">
        <v>4341</v>
      </c>
      <c r="B594" s="3326" t="e">
        <f ca="1">VLOOKUP($D592,Iron_dim,4,FALSE)</f>
        <v>#REF!</v>
      </c>
      <c r="C594" s="3256" t="s">
        <v>136</v>
      </c>
      <c r="D594" s="3258"/>
      <c r="E594" s="3644"/>
      <c r="F594" s="3644"/>
      <c r="G594" s="3644"/>
      <c r="H594" s="3644"/>
      <c r="I594" s="3644"/>
      <c r="J594" s="3644"/>
      <c r="K594" s="3644"/>
      <c r="L594" s="3644"/>
      <c r="M594" s="3644"/>
      <c r="N594" s="3644"/>
      <c r="O594" s="3644"/>
      <c r="P594" s="3644"/>
      <c r="Q594" s="3644"/>
      <c r="R594" s="3645"/>
      <c r="S594" s="1940"/>
      <c r="Z594" s="1679"/>
    </row>
    <row r="595" spans="1:26" s="1942" customFormat="1" ht="15" customHeight="1">
      <c r="A595" s="1111" t="s">
        <v>4315</v>
      </c>
      <c r="B595" s="1737" t="e">
        <f ca="1">IF(Small_F,ABS('House reinf, Drive Side'!$AF$53),ABS('House reinf, Inlet Side'!$AF$53))</f>
        <v>#REF!</v>
      </c>
      <c r="C595" s="415" t="s">
        <v>136</v>
      </c>
      <c r="D595" s="1120" t="s">
        <v>4291</v>
      </c>
      <c r="E595" s="3644"/>
      <c r="F595" s="3644"/>
      <c r="G595" s="3644"/>
      <c r="H595" s="3644"/>
      <c r="I595" s="3644"/>
      <c r="J595" s="3644"/>
      <c r="K595" s="3644"/>
      <c r="L595" s="3644"/>
      <c r="M595" s="3644"/>
      <c r="N595" s="3644"/>
      <c r="O595" s="3644"/>
      <c r="P595" s="3644"/>
      <c r="Q595" s="3644"/>
      <c r="R595" s="3645"/>
      <c r="S595" s="3064"/>
      <c r="T595" s="3065"/>
      <c r="U595" s="3066"/>
      <c r="V595" s="3067"/>
      <c r="W595" s="3066"/>
      <c r="X595" s="3067"/>
      <c r="Y595" s="3066"/>
      <c r="Z595" s="3068"/>
    </row>
    <row r="596" spans="1:26" s="1942" customFormat="1" ht="15" customHeight="1">
      <c r="A596" s="1111" t="s">
        <v>4316</v>
      </c>
      <c r="B596" s="1737" t="e">
        <f ca="1">IF(Small_F,ABS('House reinf, Drive Side'!$AF$56),ABS('House reinf, Inlet Side'!$AF$56))</f>
        <v>#REF!</v>
      </c>
      <c r="C596" s="415" t="s">
        <v>136</v>
      </c>
      <c r="D596" s="1120" t="s">
        <v>4292</v>
      </c>
      <c r="E596" s="3644"/>
      <c r="F596" s="3644"/>
      <c r="G596" s="3644"/>
      <c r="H596" s="3644"/>
      <c r="I596" s="3644"/>
      <c r="J596" s="3644"/>
      <c r="K596" s="3644"/>
      <c r="L596" s="3644"/>
      <c r="M596" s="3644"/>
      <c r="N596" s="3644"/>
      <c r="O596" s="3644"/>
      <c r="P596" s="3644"/>
      <c r="Q596" s="3644"/>
      <c r="R596" s="3645"/>
      <c r="S596" s="3064"/>
      <c r="T596" s="3065"/>
      <c r="U596" s="3066"/>
      <c r="V596" s="3067"/>
      <c r="W596" s="3066"/>
      <c r="X596" s="3067"/>
      <c r="Y596" s="3066"/>
      <c r="Z596" s="3068"/>
    </row>
    <row r="597" spans="1:26" s="1942" customFormat="1" ht="15" customHeight="1" thickBot="1">
      <c r="A597" s="1111" t="s">
        <v>4317</v>
      </c>
      <c r="B597" s="1737" t="e">
        <f ca="1">IF(Small_F,ABS('House reinf, Drive Side'!$AF$54),ABS('House reinf, Inlet Side'!$AF$54))</f>
        <v>#REF!</v>
      </c>
      <c r="C597" s="415" t="s">
        <v>136</v>
      </c>
      <c r="D597" s="1120" t="s">
        <v>4293</v>
      </c>
      <c r="E597" s="3644"/>
      <c r="F597" s="3644"/>
      <c r="G597" s="3644"/>
      <c r="H597" s="3644"/>
      <c r="I597" s="3644"/>
      <c r="J597" s="3644"/>
      <c r="K597" s="3644"/>
      <c r="L597" s="3644"/>
      <c r="M597" s="3644"/>
      <c r="N597" s="3644"/>
      <c r="O597" s="3644"/>
      <c r="P597" s="3644"/>
      <c r="Q597" s="3644"/>
      <c r="R597" s="3645"/>
      <c r="S597" s="3064"/>
      <c r="T597" s="3065"/>
      <c r="U597" s="3066"/>
      <c r="V597" s="3067"/>
      <c r="W597" s="3066"/>
      <c r="X597" s="3067"/>
      <c r="Y597" s="3066"/>
      <c r="Z597" s="3068"/>
    </row>
    <row r="598" spans="1:26" s="1942" customFormat="1" ht="15" customHeight="1" thickBot="1">
      <c r="A598" s="2251" t="s">
        <v>4342</v>
      </c>
      <c r="B598" s="3359">
        <v>0</v>
      </c>
      <c r="C598" s="3360" t="s">
        <v>1114</v>
      </c>
      <c r="D598" s="3324" t="e">
        <f ca="1">IF(Small_F,'House reinf, Drive Side'!$AG$52,'House reinf, Inlet Side'!$AG$52)</f>
        <v>#REF!</v>
      </c>
      <c r="E598" s="3644"/>
      <c r="F598" s="3644"/>
      <c r="G598" s="3644"/>
      <c r="H598" s="3644"/>
      <c r="I598" s="3644"/>
      <c r="J598" s="3644"/>
      <c r="K598" s="3644"/>
      <c r="L598" s="3644"/>
      <c r="M598" s="3644"/>
      <c r="N598" s="3644"/>
      <c r="O598" s="3644"/>
      <c r="P598" s="3644"/>
      <c r="Q598" s="3644"/>
      <c r="R598" s="3645"/>
      <c r="S598" s="3064"/>
      <c r="T598" s="3065"/>
      <c r="U598" s="3066"/>
      <c r="V598" s="3067"/>
      <c r="W598" s="3066"/>
      <c r="X598" s="3067"/>
      <c r="Y598" s="3066"/>
      <c r="Z598" s="3068"/>
    </row>
    <row r="599" spans="1:26" ht="15" customHeight="1">
      <c r="A599" s="3252" t="s">
        <v>4343</v>
      </c>
      <c r="B599" s="3325" t="e">
        <f ca="1">VLOOKUP($D598,Iron_dim,3,FALSE)</f>
        <v>#REF!</v>
      </c>
      <c r="C599" s="3255" t="s">
        <v>136</v>
      </c>
      <c r="D599" s="3257"/>
      <c r="E599" s="3644"/>
      <c r="F599" s="3644"/>
      <c r="G599" s="3644"/>
      <c r="H599" s="3644"/>
      <c r="I599" s="3644"/>
      <c r="J599" s="3644"/>
      <c r="K599" s="3644"/>
      <c r="L599" s="3644"/>
      <c r="M599" s="3644"/>
      <c r="N599" s="3644"/>
      <c r="O599" s="3644"/>
      <c r="P599" s="3644"/>
      <c r="Q599" s="3644"/>
      <c r="R599" s="3645"/>
      <c r="S599" s="3081"/>
      <c r="T599" s="3082"/>
      <c r="U599" s="3083"/>
      <c r="V599" s="1436"/>
      <c r="W599" s="3083"/>
      <c r="X599" s="1436"/>
      <c r="Y599" s="3083"/>
      <c r="Z599" s="3261"/>
    </row>
    <row r="600" spans="1:26" ht="15" customHeight="1">
      <c r="A600" s="3253" t="s">
        <v>4344</v>
      </c>
      <c r="B600" s="3326" t="e">
        <f ca="1">VLOOKUP($D598,Iron_dim,4,FALSE)</f>
        <v>#REF!</v>
      </c>
      <c r="C600" s="3256" t="s">
        <v>136</v>
      </c>
      <c r="D600" s="3258"/>
      <c r="E600" s="3644"/>
      <c r="F600" s="3644"/>
      <c r="G600" s="3644"/>
      <c r="H600" s="3644"/>
      <c r="I600" s="3644"/>
      <c r="J600" s="3644"/>
      <c r="K600" s="3644"/>
      <c r="L600" s="3644"/>
      <c r="M600" s="3644"/>
      <c r="N600" s="3644"/>
      <c r="O600" s="3644"/>
      <c r="P600" s="3644"/>
      <c r="Q600" s="3644"/>
      <c r="R600" s="3645"/>
      <c r="S600" s="1940"/>
      <c r="Z600" s="1679"/>
    </row>
    <row r="601" spans="1:26" s="1942" customFormat="1" ht="15" customHeight="1">
      <c r="A601" s="1111" t="s">
        <v>4318</v>
      </c>
      <c r="B601" s="1737" t="e">
        <f ca="1">IF(Small_F,ABS('House reinf, Drive Side'!$AG$53),ABS('House reinf, Inlet Side'!$AG$53))</f>
        <v>#REF!</v>
      </c>
      <c r="C601" s="415" t="s">
        <v>136</v>
      </c>
      <c r="D601" s="1120" t="s">
        <v>4294</v>
      </c>
      <c r="E601" s="3644"/>
      <c r="F601" s="3644"/>
      <c r="G601" s="3644"/>
      <c r="H601" s="3644"/>
      <c r="I601" s="3644"/>
      <c r="J601" s="3644"/>
      <c r="K601" s="3644"/>
      <c r="L601" s="3644"/>
      <c r="M601" s="3644"/>
      <c r="N601" s="3644"/>
      <c r="O601" s="3644"/>
      <c r="P601" s="3644"/>
      <c r="Q601" s="3644"/>
      <c r="R601" s="3645"/>
      <c r="S601" s="3064"/>
      <c r="T601" s="3065"/>
      <c r="U601" s="3066"/>
      <c r="V601" s="3067"/>
      <c r="W601" s="3066"/>
      <c r="X601" s="3067"/>
      <c r="Y601" s="3066"/>
      <c r="Z601" s="3068"/>
    </row>
    <row r="602" spans="1:26" s="1942" customFormat="1" ht="15" customHeight="1">
      <c r="A602" s="1111" t="s">
        <v>4319</v>
      </c>
      <c r="B602" s="1737" t="e">
        <f ca="1">IF(Small_F,ABS('House reinf, Drive Side'!$AG$56),ABS('House reinf, Inlet Side'!$AG$56))</f>
        <v>#REF!</v>
      </c>
      <c r="C602" s="415" t="s">
        <v>136</v>
      </c>
      <c r="D602" s="1120" t="s">
        <v>4295</v>
      </c>
      <c r="E602" s="3644"/>
      <c r="F602" s="3644"/>
      <c r="G602" s="3644"/>
      <c r="H602" s="3644"/>
      <c r="I602" s="3644"/>
      <c r="J602" s="3644"/>
      <c r="K602" s="3644"/>
      <c r="L602" s="3644"/>
      <c r="M602" s="3644"/>
      <c r="N602" s="3644"/>
      <c r="O602" s="3644"/>
      <c r="P602" s="3644"/>
      <c r="Q602" s="3644"/>
      <c r="R602" s="3645"/>
      <c r="S602" s="3064"/>
      <c r="T602" s="3065"/>
      <c r="U602" s="3066"/>
      <c r="V602" s="3067"/>
      <c r="W602" s="3066"/>
      <c r="X602" s="3067"/>
      <c r="Y602" s="3066"/>
      <c r="Z602" s="3068"/>
    </row>
    <row r="603" spans="1:26" s="1942" customFormat="1" ht="15" customHeight="1" thickBot="1">
      <c r="A603" s="1111" t="s">
        <v>4320</v>
      </c>
      <c r="B603" s="1737" t="e">
        <f ca="1">IF(Small_F,ABS('House reinf, Drive Side'!$AG$54),ABS('House reinf, Inlet Side'!$AG$54))</f>
        <v>#REF!</v>
      </c>
      <c r="C603" s="415" t="s">
        <v>136</v>
      </c>
      <c r="D603" s="1120" t="s">
        <v>4296</v>
      </c>
      <c r="E603" s="3644"/>
      <c r="F603" s="3644"/>
      <c r="G603" s="3644"/>
      <c r="H603" s="3644"/>
      <c r="I603" s="3644"/>
      <c r="J603" s="3644"/>
      <c r="K603" s="3644"/>
      <c r="L603" s="3644"/>
      <c r="M603" s="3644"/>
      <c r="N603" s="3644"/>
      <c r="O603" s="3644"/>
      <c r="P603" s="3644"/>
      <c r="Q603" s="3644"/>
      <c r="R603" s="3645"/>
      <c r="S603" s="3064"/>
      <c r="T603" s="3065"/>
      <c r="U603" s="3066"/>
      <c r="V603" s="3067"/>
      <c r="W603" s="3066"/>
      <c r="X603" s="3067"/>
      <c r="Y603" s="3066"/>
      <c r="Z603" s="3068"/>
    </row>
    <row r="604" spans="1:26" s="1942" customFormat="1" ht="15" customHeight="1" thickBot="1">
      <c r="A604" s="2251" t="s">
        <v>4345</v>
      </c>
      <c r="B604" s="3359">
        <v>0</v>
      </c>
      <c r="C604" s="3360" t="s">
        <v>1114</v>
      </c>
      <c r="D604" s="3324" t="e">
        <f ca="1">IF(Small_F,'House reinf, Drive Side'!$AH$52,'House reinf, Inlet Side'!$AH$52)</f>
        <v>#REF!</v>
      </c>
      <c r="E604" s="3644"/>
      <c r="F604" s="3644"/>
      <c r="G604" s="3644"/>
      <c r="H604" s="3644"/>
      <c r="I604" s="3644"/>
      <c r="J604" s="3644"/>
      <c r="K604" s="3644"/>
      <c r="L604" s="3644"/>
      <c r="M604" s="3644"/>
      <c r="N604" s="3644"/>
      <c r="O604" s="3644"/>
      <c r="P604" s="3644"/>
      <c r="Q604" s="3644"/>
      <c r="R604" s="3645"/>
      <c r="S604" s="3064"/>
      <c r="T604" s="3065"/>
      <c r="U604" s="3066"/>
      <c r="V604" s="3067"/>
      <c r="W604" s="3066"/>
      <c r="X604" s="3067"/>
      <c r="Y604" s="3066"/>
      <c r="Z604" s="3068"/>
    </row>
    <row r="605" spans="1:26" ht="15" customHeight="1">
      <c r="A605" s="3252" t="s">
        <v>4346</v>
      </c>
      <c r="B605" s="3325" t="e">
        <f ca="1">VLOOKUP($D604,Iron_dim,3,FALSE)</f>
        <v>#REF!</v>
      </c>
      <c r="C605" s="3255" t="s">
        <v>136</v>
      </c>
      <c r="D605" s="3257"/>
      <c r="E605" s="3644"/>
      <c r="F605" s="3644"/>
      <c r="G605" s="3644"/>
      <c r="H605" s="3644"/>
      <c r="I605" s="3644"/>
      <c r="J605" s="3644"/>
      <c r="K605" s="3644"/>
      <c r="L605" s="3644"/>
      <c r="M605" s="3644"/>
      <c r="N605" s="3644"/>
      <c r="O605" s="3644"/>
      <c r="P605" s="3644"/>
      <c r="Q605" s="3644"/>
      <c r="R605" s="3645"/>
      <c r="S605" s="3081"/>
      <c r="T605" s="3082"/>
      <c r="U605" s="3083"/>
      <c r="V605" s="1436"/>
      <c r="W605" s="3083"/>
      <c r="X605" s="1436"/>
      <c r="Y605" s="3083"/>
      <c r="Z605" s="3261"/>
    </row>
    <row r="606" spans="1:26" ht="15" customHeight="1">
      <c r="A606" s="3253" t="s">
        <v>4347</v>
      </c>
      <c r="B606" s="3326" t="e">
        <f ca="1">VLOOKUP($D604,Iron_dim,4,FALSE)</f>
        <v>#REF!</v>
      </c>
      <c r="C606" s="3256" t="s">
        <v>136</v>
      </c>
      <c r="D606" s="3258"/>
      <c r="E606" s="3644"/>
      <c r="F606" s="3644"/>
      <c r="G606" s="3644"/>
      <c r="H606" s="3644"/>
      <c r="I606" s="3644"/>
      <c r="J606" s="3644"/>
      <c r="K606" s="3644"/>
      <c r="L606" s="3644"/>
      <c r="M606" s="3644"/>
      <c r="N606" s="3644"/>
      <c r="O606" s="3644"/>
      <c r="P606" s="3644"/>
      <c r="Q606" s="3644"/>
      <c r="R606" s="3645"/>
      <c r="S606" s="1940"/>
      <c r="Z606" s="1679"/>
    </row>
    <row r="607" spans="1:26" s="1942" customFormat="1" ht="15" customHeight="1">
      <c r="A607" s="1111" t="s">
        <v>4321</v>
      </c>
      <c r="B607" s="1737" t="e">
        <f ca="1">IF(Small_F,ABS('House reinf, Drive Side'!$AH$53),ABS('House reinf, Inlet Side'!$AH$53))</f>
        <v>#REF!</v>
      </c>
      <c r="C607" s="415" t="s">
        <v>136</v>
      </c>
      <c r="D607" s="1120" t="s">
        <v>4297</v>
      </c>
      <c r="E607" s="3644"/>
      <c r="F607" s="3644"/>
      <c r="G607" s="3644"/>
      <c r="H607" s="3644"/>
      <c r="I607" s="3644"/>
      <c r="J607" s="3644"/>
      <c r="K607" s="3644"/>
      <c r="L607" s="3644"/>
      <c r="M607" s="3644"/>
      <c r="N607" s="3644"/>
      <c r="O607" s="3644"/>
      <c r="P607" s="3644"/>
      <c r="Q607" s="3644"/>
      <c r="R607" s="3645"/>
      <c r="S607" s="3064"/>
      <c r="T607" s="3065"/>
      <c r="U607" s="3066"/>
      <c r="V607" s="3067"/>
      <c r="W607" s="3066"/>
      <c r="X607" s="3067"/>
      <c r="Y607" s="3066"/>
      <c r="Z607" s="3068"/>
    </row>
    <row r="608" spans="1:26" s="1131" customFormat="1" ht="15" customHeight="1">
      <c r="A608" s="1111" t="s">
        <v>4322</v>
      </c>
      <c r="B608" s="1737" t="e">
        <f ca="1">IF(Small_F,ABS('House reinf, Drive Side'!$AH$56),ABS('House reinf, Inlet Side'!$AH$56))</f>
        <v>#REF!</v>
      </c>
      <c r="C608" s="415" t="s">
        <v>136</v>
      </c>
      <c r="D608" s="1120" t="s">
        <v>4298</v>
      </c>
      <c r="E608" s="3644"/>
      <c r="F608" s="3644"/>
      <c r="G608" s="3644"/>
      <c r="H608" s="3644"/>
      <c r="I608" s="3644"/>
      <c r="J608" s="3644"/>
      <c r="K608" s="3644"/>
      <c r="L608" s="3644"/>
      <c r="M608" s="3644"/>
      <c r="N608" s="3644"/>
      <c r="O608" s="3644"/>
      <c r="P608" s="3644"/>
      <c r="Q608" s="3644"/>
      <c r="R608" s="3645"/>
      <c r="S608" s="3064"/>
      <c r="T608" s="3065"/>
      <c r="U608" s="3066"/>
      <c r="V608" s="3067"/>
      <c r="W608" s="3066"/>
      <c r="X608" s="3067"/>
      <c r="Y608" s="3066"/>
      <c r="Z608" s="3068"/>
    </row>
    <row r="609" spans="1:26" s="1942" customFormat="1" ht="15" customHeight="1" thickBot="1">
      <c r="A609" s="1111" t="s">
        <v>4323</v>
      </c>
      <c r="B609" s="1737" t="e">
        <f ca="1">IF(Small_F,ABS('House reinf, Drive Side'!$AH$54),ABS('House reinf, Inlet Side'!$AH$54))</f>
        <v>#REF!</v>
      </c>
      <c r="C609" s="415" t="s">
        <v>136</v>
      </c>
      <c r="D609" s="1120" t="s">
        <v>4299</v>
      </c>
      <c r="E609" s="3644"/>
      <c r="F609" s="3644"/>
      <c r="G609" s="3644"/>
      <c r="H609" s="3644"/>
      <c r="I609" s="3644"/>
      <c r="J609" s="3644"/>
      <c r="K609" s="3644"/>
      <c r="L609" s="3644"/>
      <c r="M609" s="3644"/>
      <c r="N609" s="3644"/>
      <c r="O609" s="3644"/>
      <c r="P609" s="3644"/>
      <c r="Q609" s="3644"/>
      <c r="R609" s="3645"/>
      <c r="S609" s="3064"/>
      <c r="T609" s="3065"/>
      <c r="U609" s="3066"/>
      <c r="V609" s="3067"/>
      <c r="W609" s="3066"/>
      <c r="X609" s="3067"/>
      <c r="Y609" s="3066"/>
      <c r="Z609" s="3068"/>
    </row>
    <row r="610" spans="1:26" s="1942" customFormat="1" ht="15" customHeight="1" thickBot="1">
      <c r="A610" s="2251" t="s">
        <v>4348</v>
      </c>
      <c r="B610" s="3359">
        <v>0</v>
      </c>
      <c r="C610" s="3360" t="s">
        <v>1114</v>
      </c>
      <c r="D610" s="3324" t="e">
        <f ca="1">IF(Small_F,'House reinf, Drive Side'!$AI$52,'House reinf, Inlet Side'!$AI$52)</f>
        <v>#REF!</v>
      </c>
      <c r="E610" s="3644"/>
      <c r="F610" s="3644"/>
      <c r="G610" s="3644"/>
      <c r="H610" s="3644"/>
      <c r="I610" s="3644"/>
      <c r="J610" s="3644"/>
      <c r="K610" s="3644"/>
      <c r="L610" s="3644"/>
      <c r="M610" s="3644"/>
      <c r="N610" s="3644"/>
      <c r="O610" s="3644"/>
      <c r="P610" s="3644"/>
      <c r="Q610" s="3644"/>
      <c r="R610" s="3645"/>
      <c r="S610" s="3064"/>
      <c r="T610" s="3065"/>
      <c r="U610" s="3066"/>
      <c r="V610" s="3067"/>
      <c r="W610" s="3066"/>
      <c r="X610" s="3067"/>
      <c r="Y610" s="3066"/>
      <c r="Z610" s="3068"/>
    </row>
    <row r="611" spans="1:26" ht="15" customHeight="1">
      <c r="A611" s="3252" t="s">
        <v>4349</v>
      </c>
      <c r="B611" s="3325" t="e">
        <f ca="1">VLOOKUP($D610,Iron_dim,3,FALSE)</f>
        <v>#REF!</v>
      </c>
      <c r="C611" s="3255" t="s">
        <v>136</v>
      </c>
      <c r="D611" s="3257"/>
      <c r="E611" s="3644"/>
      <c r="F611" s="3644"/>
      <c r="G611" s="3644"/>
      <c r="H611" s="3644"/>
      <c r="I611" s="3644"/>
      <c r="J611" s="3644"/>
      <c r="K611" s="3644"/>
      <c r="L611" s="3644"/>
      <c r="M611" s="3644"/>
      <c r="N611" s="3644"/>
      <c r="O611" s="3644"/>
      <c r="P611" s="3644"/>
      <c r="Q611" s="3644"/>
      <c r="R611" s="3645"/>
      <c r="S611" s="3081"/>
      <c r="T611" s="3082"/>
      <c r="U611" s="3083"/>
      <c r="V611" s="1436"/>
      <c r="W611" s="3083"/>
      <c r="X611" s="1436"/>
      <c r="Y611" s="3083"/>
      <c r="Z611" s="3261"/>
    </row>
    <row r="612" spans="1:26" ht="15" customHeight="1">
      <c r="A612" s="3253" t="s">
        <v>4350</v>
      </c>
      <c r="B612" s="3326" t="e">
        <f ca="1">VLOOKUP($D610,Iron_dim,4,FALSE)</f>
        <v>#REF!</v>
      </c>
      <c r="C612" s="3256" t="s">
        <v>136</v>
      </c>
      <c r="D612" s="3258"/>
      <c r="E612" s="3644"/>
      <c r="F612" s="3644"/>
      <c r="G612" s="3644"/>
      <c r="H612" s="3644"/>
      <c r="I612" s="3644"/>
      <c r="J612" s="3644"/>
      <c r="K612" s="3644"/>
      <c r="L612" s="3644"/>
      <c r="M612" s="3644"/>
      <c r="N612" s="3644"/>
      <c r="O612" s="3644"/>
      <c r="P612" s="3644"/>
      <c r="Q612" s="3644"/>
      <c r="R612" s="3645"/>
      <c r="S612" s="1940"/>
      <c r="Z612" s="1679"/>
    </row>
    <row r="613" spans="1:26" s="1942" customFormat="1" ht="15" customHeight="1">
      <c r="A613" s="1111" t="s">
        <v>4324</v>
      </c>
      <c r="B613" s="1737" t="e">
        <f ca="1">IF(Small_F,ABS('House reinf, Drive Side'!$AI$53),ABS('House reinf, Inlet Side'!$AI$53))</f>
        <v>#REF!</v>
      </c>
      <c r="C613" s="415" t="s">
        <v>136</v>
      </c>
      <c r="D613" s="1120" t="s">
        <v>4300</v>
      </c>
      <c r="E613" s="3644"/>
      <c r="F613" s="3644"/>
      <c r="G613" s="3644"/>
      <c r="H613" s="3644"/>
      <c r="I613" s="3644"/>
      <c r="J613" s="3644"/>
      <c r="K613" s="3644"/>
      <c r="L613" s="3644"/>
      <c r="M613" s="3644"/>
      <c r="N613" s="3644"/>
      <c r="O613" s="3644"/>
      <c r="P613" s="3644"/>
      <c r="Q613" s="3644"/>
      <c r="R613" s="3645"/>
      <c r="S613" s="3064"/>
      <c r="T613" s="3065"/>
      <c r="U613" s="3066"/>
      <c r="V613" s="3067"/>
      <c r="W613" s="3066"/>
      <c r="X613" s="3067"/>
      <c r="Y613" s="3066"/>
      <c r="Z613" s="3068"/>
    </row>
    <row r="614" spans="1:26" s="1942" customFormat="1" ht="15" customHeight="1">
      <c r="A614" s="1111" t="s">
        <v>4325</v>
      </c>
      <c r="B614" s="1737" t="e">
        <f ca="1">IF(Small_F,ABS('House reinf, Drive Side'!$AI$56),ABS('House reinf, Inlet Side'!$AI$56))</f>
        <v>#REF!</v>
      </c>
      <c r="C614" s="415" t="s">
        <v>136</v>
      </c>
      <c r="D614" s="1120" t="s">
        <v>4301</v>
      </c>
      <c r="E614" s="3644"/>
      <c r="F614" s="3644"/>
      <c r="G614" s="3644"/>
      <c r="H614" s="3644"/>
      <c r="I614" s="3644"/>
      <c r="J614" s="3644"/>
      <c r="K614" s="3644"/>
      <c r="L614" s="3644"/>
      <c r="M614" s="3644"/>
      <c r="N614" s="3644"/>
      <c r="O614" s="3644"/>
      <c r="P614" s="3644"/>
      <c r="Q614" s="3644"/>
      <c r="R614" s="3645"/>
      <c r="S614" s="3064"/>
      <c r="T614" s="3065"/>
      <c r="U614" s="3066"/>
      <c r="V614" s="3067"/>
      <c r="W614" s="3066"/>
      <c r="X614" s="3067"/>
      <c r="Y614" s="3066"/>
      <c r="Z614" s="3068"/>
    </row>
    <row r="615" spans="1:26" s="1942" customFormat="1" ht="15" customHeight="1" thickBot="1">
      <c r="A615" s="1111" t="s">
        <v>4326</v>
      </c>
      <c r="B615" s="1737" t="e">
        <f ca="1">IF(Small_F,ABS('House reinf, Drive Side'!$AI$54),ABS('House reinf, Inlet Side'!$AI$54))</f>
        <v>#REF!</v>
      </c>
      <c r="C615" s="415" t="s">
        <v>136</v>
      </c>
      <c r="D615" s="1120" t="s">
        <v>4302</v>
      </c>
      <c r="E615" s="3644"/>
      <c r="F615" s="3644"/>
      <c r="G615" s="3644"/>
      <c r="H615" s="3644"/>
      <c r="I615" s="3644"/>
      <c r="J615" s="3644"/>
      <c r="K615" s="3644"/>
      <c r="L615" s="3644"/>
      <c r="M615" s="3644"/>
      <c r="N615" s="3644"/>
      <c r="O615" s="3644"/>
      <c r="P615" s="3644"/>
      <c r="Q615" s="3644"/>
      <c r="R615" s="3645"/>
      <c r="S615" s="3064"/>
      <c r="T615" s="3065"/>
      <c r="U615" s="3066"/>
      <c r="V615" s="3067"/>
      <c r="W615" s="3066"/>
      <c r="X615" s="3067"/>
      <c r="Y615" s="3066"/>
      <c r="Z615" s="3068"/>
    </row>
    <row r="616" spans="1:26" s="1942" customFormat="1" ht="15" customHeight="1" thickBot="1">
      <c r="A616" s="2251" t="s">
        <v>4351</v>
      </c>
      <c r="B616" s="3359">
        <v>0</v>
      </c>
      <c r="C616" s="3360" t="s">
        <v>1114</v>
      </c>
      <c r="D616" s="3324" t="e">
        <f ca="1">IF(Small_F,'House reinf, Drive Side'!$AJ$52,'House reinf, Inlet Side'!$AJ$52)</f>
        <v>#REF!</v>
      </c>
      <c r="E616" s="3644"/>
      <c r="F616" s="3644"/>
      <c r="G616" s="3644"/>
      <c r="H616" s="3644"/>
      <c r="I616" s="3644"/>
      <c r="J616" s="3644"/>
      <c r="K616" s="3644"/>
      <c r="L616" s="3644"/>
      <c r="M616" s="3644"/>
      <c r="N616" s="3644"/>
      <c r="O616" s="3644"/>
      <c r="P616" s="3644"/>
      <c r="Q616" s="3644"/>
      <c r="R616" s="3645"/>
      <c r="S616" s="3064"/>
      <c r="T616" s="3065"/>
      <c r="U616" s="3066"/>
      <c r="V616" s="3067"/>
      <c r="W616" s="3066"/>
      <c r="X616" s="3067"/>
      <c r="Y616" s="3066"/>
      <c r="Z616" s="3068"/>
    </row>
    <row r="617" spans="1:26" ht="15" customHeight="1">
      <c r="A617" s="3252" t="s">
        <v>4352</v>
      </c>
      <c r="B617" s="3325" t="e">
        <f ca="1">VLOOKUP($D616,Iron_dim,3,FALSE)</f>
        <v>#REF!</v>
      </c>
      <c r="C617" s="3255" t="s">
        <v>136</v>
      </c>
      <c r="D617" s="3257"/>
      <c r="E617" s="3644"/>
      <c r="F617" s="3644"/>
      <c r="G617" s="3644"/>
      <c r="H617" s="3644"/>
      <c r="I617" s="3644"/>
      <c r="J617" s="3644"/>
      <c r="K617" s="3644"/>
      <c r="L617" s="3644"/>
      <c r="M617" s="3644"/>
      <c r="N617" s="3644"/>
      <c r="O617" s="3644"/>
      <c r="P617" s="3644"/>
      <c r="Q617" s="3644"/>
      <c r="R617" s="3645"/>
      <c r="S617" s="3081"/>
      <c r="T617" s="3082"/>
      <c r="U617" s="3083"/>
      <c r="V617" s="1436"/>
      <c r="W617" s="3083"/>
      <c r="X617" s="1436"/>
      <c r="Y617" s="3083"/>
      <c r="Z617" s="3261"/>
    </row>
    <row r="618" spans="1:26" ht="15" customHeight="1">
      <c r="A618" s="3253" t="s">
        <v>4353</v>
      </c>
      <c r="B618" s="3326" t="e">
        <f ca="1">VLOOKUP($D616,Iron_dim,4,FALSE)</f>
        <v>#REF!</v>
      </c>
      <c r="C618" s="3256" t="s">
        <v>136</v>
      </c>
      <c r="D618" s="3258"/>
      <c r="E618" s="3644"/>
      <c r="F618" s="3644"/>
      <c r="G618" s="3644"/>
      <c r="H618" s="3644"/>
      <c r="I618" s="3644"/>
      <c r="J618" s="3644"/>
      <c r="K618" s="3644"/>
      <c r="L618" s="3644"/>
      <c r="M618" s="3644"/>
      <c r="N618" s="3644"/>
      <c r="O618" s="3644"/>
      <c r="P618" s="3644"/>
      <c r="Q618" s="3644"/>
      <c r="R618" s="3645"/>
      <c r="S618" s="1940"/>
      <c r="Z618" s="1679"/>
    </row>
    <row r="619" spans="1:26" s="1942" customFormat="1" ht="15" customHeight="1">
      <c r="A619" s="1111" t="s">
        <v>4327</v>
      </c>
      <c r="B619" s="1737" t="e">
        <f ca="1">IF(Small_F,ABS('House reinf, Drive Side'!$AJ$53),ABS('House reinf, Inlet Side'!$AJ$53))</f>
        <v>#REF!</v>
      </c>
      <c r="C619" s="415" t="s">
        <v>136</v>
      </c>
      <c r="D619" s="1120" t="s">
        <v>4303</v>
      </c>
      <c r="E619" s="3644"/>
      <c r="F619" s="3644"/>
      <c r="G619" s="3644"/>
      <c r="H619" s="3644"/>
      <c r="I619" s="3644"/>
      <c r="J619" s="3644"/>
      <c r="K619" s="3644"/>
      <c r="L619" s="3644"/>
      <c r="M619" s="3644"/>
      <c r="N619" s="3644"/>
      <c r="O619" s="3644"/>
      <c r="P619" s="3644"/>
      <c r="Q619" s="3644"/>
      <c r="R619" s="3645"/>
      <c r="S619" s="3064"/>
      <c r="T619" s="3065"/>
      <c r="U619" s="3066"/>
      <c r="V619" s="3067"/>
      <c r="W619" s="3066"/>
      <c r="X619" s="3067"/>
      <c r="Y619" s="3066"/>
      <c r="Z619" s="3068"/>
    </row>
    <row r="620" spans="1:26" s="1942" customFormat="1" ht="15" customHeight="1">
      <c r="A620" s="1111" t="s">
        <v>4328</v>
      </c>
      <c r="B620" s="1737" t="e">
        <f ca="1">IF(Small_F,ABS('House reinf, Drive Side'!$AJ$56),ABS('House reinf, Inlet Side'!$AJ$56))</f>
        <v>#REF!</v>
      </c>
      <c r="C620" s="415" t="s">
        <v>136</v>
      </c>
      <c r="D620" s="1120" t="s">
        <v>4304</v>
      </c>
      <c r="E620" s="3644"/>
      <c r="F620" s="3644"/>
      <c r="G620" s="3644"/>
      <c r="H620" s="3644"/>
      <c r="I620" s="3644"/>
      <c r="J620" s="3644"/>
      <c r="K620" s="3644"/>
      <c r="L620" s="3644"/>
      <c r="M620" s="3644"/>
      <c r="N620" s="3644"/>
      <c r="O620" s="3644"/>
      <c r="P620" s="3644"/>
      <c r="Q620" s="3644"/>
      <c r="R620" s="3645"/>
      <c r="S620" s="3064"/>
      <c r="T620" s="3065"/>
      <c r="U620" s="3066"/>
      <c r="V620" s="3067"/>
      <c r="W620" s="3066"/>
      <c r="X620" s="3067"/>
      <c r="Y620" s="3066"/>
      <c r="Z620" s="3068"/>
    </row>
    <row r="621" spans="1:26" s="1942" customFormat="1" ht="15" customHeight="1" thickBot="1">
      <c r="A621" s="1111" t="s">
        <v>4329</v>
      </c>
      <c r="B621" s="1737" t="e">
        <f ca="1">IF(Small_F,ABS('House reinf, Drive Side'!$AJ$54),ABS('House reinf, Inlet Side'!$AJ$54))</f>
        <v>#REF!</v>
      </c>
      <c r="C621" s="415" t="s">
        <v>136</v>
      </c>
      <c r="D621" s="1120" t="s">
        <v>4305</v>
      </c>
      <c r="E621" s="3646"/>
      <c r="F621" s="3646"/>
      <c r="G621" s="3646"/>
      <c r="H621" s="3646"/>
      <c r="I621" s="3646"/>
      <c r="J621" s="3646"/>
      <c r="K621" s="3646"/>
      <c r="L621" s="3646"/>
      <c r="M621" s="3646"/>
      <c r="N621" s="3646"/>
      <c r="O621" s="3646"/>
      <c r="P621" s="3646"/>
      <c r="Q621" s="3646"/>
      <c r="R621" s="3647"/>
      <c r="S621" s="3064"/>
      <c r="T621" s="3065"/>
      <c r="U621" s="3066"/>
      <c r="V621" s="3067"/>
      <c r="W621" s="3066"/>
      <c r="X621" s="3067"/>
      <c r="Y621" s="3066"/>
      <c r="Z621" s="3068"/>
    </row>
    <row r="622" spans="1:26" s="1122" customFormat="1" ht="15" customHeight="1" thickBot="1">
      <c r="A622" s="2247" t="s">
        <v>3899</v>
      </c>
      <c r="B622" s="3359">
        <v>0</v>
      </c>
      <c r="C622" s="3360" t="s">
        <v>1114</v>
      </c>
      <c r="D622" s="2246" t="str">
        <f>Fan_Type&amp;Impeller_type&amp;",  "&amp;DRIVE_Type</f>
        <v>XOE 273-90REG,  Direct</v>
      </c>
      <c r="E622" s="1781"/>
      <c r="F622" s="1781"/>
      <c r="G622" s="1781"/>
      <c r="H622" s="1781"/>
      <c r="I622" s="1781"/>
      <c r="J622" s="1781"/>
      <c r="K622" s="1781"/>
      <c r="L622" s="1781"/>
      <c r="M622" s="1781"/>
      <c r="N622" s="1781"/>
      <c r="O622" s="1781"/>
      <c r="P622" s="1781"/>
      <c r="Q622" s="1781"/>
      <c r="R622" s="1782"/>
      <c r="S622" s="3044"/>
      <c r="T622" s="3045"/>
      <c r="U622" s="3046"/>
      <c r="V622" s="3047"/>
      <c r="W622" s="3046"/>
      <c r="X622" s="3047"/>
      <c r="Y622" s="3046"/>
      <c r="Z622" s="3043"/>
    </row>
    <row r="623" spans="1:26" ht="15" customHeight="1">
      <c r="A623" s="1040" t="s">
        <v>3900</v>
      </c>
      <c r="B623" s="1728" t="str">
        <f>Fan_Type</f>
        <v>XOE 273-90</v>
      </c>
      <c r="C623" s="1420"/>
      <c r="D623" s="1120"/>
      <c r="G623" s="413"/>
      <c r="H623" s="413"/>
      <c r="I623" s="413"/>
      <c r="J623" s="413"/>
      <c r="K623" s="413"/>
      <c r="L623" s="413"/>
      <c r="M623" s="413"/>
      <c r="N623" s="413"/>
      <c r="O623" s="413"/>
      <c r="P623" s="413"/>
      <c r="Q623" s="413"/>
      <c r="R623" s="437"/>
      <c r="S623" s="1940"/>
      <c r="Z623" s="1679"/>
    </row>
    <row r="624" spans="1:26" ht="15" customHeight="1">
      <c r="A624" s="1040" t="s">
        <v>3915</v>
      </c>
      <c r="B624" s="1728" t="str">
        <f>House_mat</f>
        <v>Steel</v>
      </c>
      <c r="C624" s="1420"/>
      <c r="D624" s="1120"/>
      <c r="G624" s="413"/>
      <c r="H624" s="413"/>
      <c r="I624" s="413"/>
      <c r="J624" s="413"/>
      <c r="K624" s="413"/>
      <c r="L624" s="413"/>
      <c r="M624" s="413"/>
      <c r="N624" s="413"/>
      <c r="O624" s="413"/>
      <c r="P624" s="413"/>
      <c r="Q624" s="413"/>
      <c r="R624" s="437"/>
      <c r="S624" s="1940"/>
      <c r="Z624" s="1679"/>
    </row>
    <row r="625" spans="1:31" ht="15" customHeight="1">
      <c r="A625" s="1040" t="s">
        <v>3916</v>
      </c>
      <c r="B625" s="1728" t="str">
        <f>Frame_mat</f>
        <v>Steel</v>
      </c>
      <c r="C625" s="1420"/>
      <c r="D625" s="1120"/>
      <c r="G625" s="413"/>
      <c r="H625" s="413"/>
      <c r="I625" s="413"/>
      <c r="J625" s="413"/>
      <c r="K625" s="413"/>
      <c r="L625" s="413"/>
      <c r="M625" s="413"/>
      <c r="N625" s="413"/>
      <c r="O625" s="413"/>
      <c r="P625" s="413"/>
      <c r="Q625" s="413"/>
      <c r="R625" s="437"/>
      <c r="S625" s="1940"/>
      <c r="Z625" s="1679"/>
    </row>
    <row r="626" spans="1:31" ht="15" customHeight="1">
      <c r="A626" s="1040" t="s">
        <v>3917</v>
      </c>
      <c r="B626" s="1728" t="str">
        <f>Impeller_mat</f>
        <v>Steel</v>
      </c>
      <c r="C626" s="1420"/>
      <c r="D626" s="1120"/>
      <c r="G626" s="413"/>
      <c r="H626" s="413"/>
      <c r="I626" s="413"/>
      <c r="J626" s="413"/>
      <c r="K626" s="413"/>
      <c r="L626" s="413"/>
      <c r="M626" s="413"/>
      <c r="N626" s="413"/>
      <c r="O626" s="413"/>
      <c r="P626" s="413"/>
      <c r="Q626" s="413"/>
      <c r="R626" s="437"/>
      <c r="S626" s="1940"/>
      <c r="Z626" s="1679"/>
    </row>
    <row r="627" spans="1:31" ht="15" customHeight="1">
      <c r="A627" s="1040" t="s">
        <v>3911</v>
      </c>
      <c r="B627" s="1728" t="str">
        <f>Blade_Ring_mat</f>
        <v>DOMEX</v>
      </c>
      <c r="C627" s="1420"/>
      <c r="D627" s="1120"/>
      <c r="G627" s="413"/>
      <c r="H627" s="413"/>
      <c r="I627" s="413"/>
      <c r="J627" s="413"/>
      <c r="K627" s="413"/>
      <c r="L627" s="413"/>
      <c r="M627" s="413"/>
      <c r="N627" s="413"/>
      <c r="O627" s="413"/>
      <c r="P627" s="413"/>
      <c r="Q627" s="413"/>
      <c r="R627" s="437"/>
      <c r="S627" s="1940"/>
      <c r="Z627" s="1679"/>
    </row>
    <row r="628" spans="1:31" ht="15" customHeight="1">
      <c r="A628" s="1040" t="s">
        <v>3901</v>
      </c>
      <c r="B628" s="1728" t="str">
        <f>Impeller_type</f>
        <v>REG</v>
      </c>
      <c r="C628" s="1420"/>
      <c r="D628" s="1120"/>
      <c r="G628" s="413"/>
      <c r="H628" s="413"/>
      <c r="I628" s="413"/>
      <c r="J628" s="413"/>
      <c r="K628" s="413"/>
      <c r="L628" s="413"/>
      <c r="M628" s="413"/>
      <c r="N628" s="413"/>
      <c r="O628" s="413"/>
      <c r="P628" s="413"/>
      <c r="Q628" s="413"/>
      <c r="R628" s="437"/>
      <c r="S628" s="1940"/>
      <c r="Z628" s="1679"/>
    </row>
    <row r="629" spans="1:31" ht="15" customHeight="1">
      <c r="A629" s="1040" t="s">
        <v>3902</v>
      </c>
      <c r="B629" s="1728" t="str">
        <f>DRIVE_Type</f>
        <v>Direct</v>
      </c>
      <c r="C629" s="1420"/>
      <c r="D629" s="1120"/>
      <c r="G629" s="413"/>
      <c r="H629" s="413"/>
      <c r="I629" s="413"/>
      <c r="J629" s="413"/>
      <c r="K629" s="413"/>
      <c r="L629" s="413"/>
      <c r="M629" s="413"/>
      <c r="N629" s="413"/>
      <c r="O629" s="413"/>
      <c r="P629" s="413"/>
      <c r="Q629" s="413"/>
      <c r="R629" s="437"/>
      <c r="S629" s="1940"/>
      <c r="Z629" s="1679"/>
    </row>
    <row r="630" spans="1:31" ht="15" customHeight="1">
      <c r="A630" s="1040" t="s">
        <v>18</v>
      </c>
      <c r="B630" s="1728">
        <f>Pt</f>
        <v>937.68485466598679</v>
      </c>
      <c r="C630" s="1420" t="s">
        <v>190</v>
      </c>
      <c r="D630" s="1120"/>
      <c r="G630" s="413"/>
      <c r="H630" s="413"/>
      <c r="I630" s="413"/>
      <c r="J630" s="413"/>
      <c r="K630" s="413"/>
      <c r="L630" s="413"/>
      <c r="M630" s="413"/>
      <c r="N630" s="413"/>
      <c r="O630" s="413"/>
      <c r="P630" s="413"/>
      <c r="Q630" s="413"/>
      <c r="R630" s="437"/>
      <c r="S630" s="1940"/>
      <c r="Z630" s="1679"/>
    </row>
    <row r="631" spans="1:31" ht="15" customHeight="1">
      <c r="A631" s="1040" t="s">
        <v>1814</v>
      </c>
      <c r="B631" s="1728">
        <f>Q</f>
        <v>76898</v>
      </c>
      <c r="C631" s="1420" t="s">
        <v>3866</v>
      </c>
      <c r="D631" s="1120"/>
      <c r="G631" s="413"/>
      <c r="H631" s="413"/>
      <c r="I631" s="413"/>
      <c r="J631" s="413"/>
      <c r="K631" s="413"/>
      <c r="L631" s="413"/>
      <c r="M631" s="413"/>
      <c r="N631" s="413"/>
      <c r="O631" s="413"/>
      <c r="P631" s="413"/>
      <c r="Q631" s="413"/>
      <c r="R631" s="437"/>
      <c r="S631" s="1940"/>
      <c r="Z631" s="1679"/>
    </row>
    <row r="632" spans="1:31" ht="15" customHeight="1">
      <c r="A632" s="1040" t="s">
        <v>3867</v>
      </c>
      <c r="B632" s="1728">
        <f>Temp</f>
        <v>50</v>
      </c>
      <c r="C632" s="1420" t="s">
        <v>2</v>
      </c>
      <c r="D632" s="1120"/>
      <c r="G632" s="413"/>
      <c r="H632" s="413"/>
      <c r="I632" s="413"/>
      <c r="J632" s="413"/>
      <c r="K632" s="413"/>
      <c r="L632" s="413"/>
      <c r="M632" s="413"/>
      <c r="N632" s="413"/>
      <c r="O632" s="413"/>
      <c r="P632" s="413"/>
      <c r="Q632" s="413"/>
      <c r="R632" s="437"/>
      <c r="S632" s="1940"/>
      <c r="Z632" s="1679"/>
    </row>
    <row r="633" spans="1:31" ht="15" customHeight="1">
      <c r="A633" s="1040" t="s">
        <v>186</v>
      </c>
      <c r="B633" s="1728">
        <f>RPM</f>
        <v>2950</v>
      </c>
      <c r="C633" s="1420" t="s">
        <v>134</v>
      </c>
      <c r="D633" s="1120"/>
      <c r="G633" s="413"/>
      <c r="H633" s="413"/>
      <c r="I633" s="413"/>
      <c r="J633" s="413"/>
      <c r="K633" s="413"/>
      <c r="L633" s="413"/>
      <c r="M633" s="413"/>
      <c r="N633" s="413"/>
      <c r="O633" s="413"/>
      <c r="P633" s="413"/>
      <c r="Q633" s="413"/>
      <c r="R633" s="437"/>
      <c r="S633" s="1940"/>
      <c r="Z633" s="1679"/>
    </row>
    <row r="634" spans="1:31" ht="15" customHeight="1" thickBot="1">
      <c r="A634" s="1040" t="s">
        <v>3910</v>
      </c>
      <c r="B634" s="2306">
        <f>rho_medium</f>
        <v>1.093</v>
      </c>
      <c r="C634" s="1420" t="s">
        <v>1800</v>
      </c>
      <c r="D634" s="1043"/>
      <c r="G634" s="413"/>
      <c r="H634" s="413"/>
      <c r="I634" s="413"/>
      <c r="J634" s="413"/>
      <c r="K634" s="413"/>
      <c r="L634" s="413"/>
      <c r="M634" s="413"/>
      <c r="N634" s="413"/>
      <c r="O634" s="413"/>
      <c r="P634" s="413"/>
      <c r="Q634" s="413"/>
      <c r="R634" s="437"/>
      <c r="S634" s="1940"/>
      <c r="Z634" s="1679"/>
    </row>
    <row r="635" spans="1:31" ht="15" customHeight="1" thickBot="1">
      <c r="A635" s="2247" t="s">
        <v>2407</v>
      </c>
      <c r="B635" s="3359">
        <v>0</v>
      </c>
      <c r="C635" s="3360" t="s">
        <v>1114</v>
      </c>
      <c r="D635" s="2246" t="str">
        <f>Impeller_type</f>
        <v>REG</v>
      </c>
      <c r="E635" s="1781"/>
      <c r="F635" s="1781"/>
      <c r="G635" s="1781"/>
      <c r="H635" s="1781"/>
      <c r="I635" s="1781"/>
      <c r="J635" s="1781"/>
      <c r="K635" s="1781"/>
      <c r="L635" s="1781"/>
      <c r="M635" s="1781"/>
      <c r="N635" s="1781"/>
      <c r="O635" s="1781"/>
      <c r="P635" s="1781"/>
      <c r="Q635" s="1781"/>
      <c r="R635" s="1782"/>
      <c r="S635" s="3044"/>
      <c r="T635" s="3045"/>
      <c r="U635" s="3046"/>
      <c r="V635" s="3047"/>
      <c r="W635" s="3046"/>
      <c r="X635" s="3047"/>
      <c r="Y635" s="3046"/>
      <c r="Z635" s="3043"/>
      <c r="AA635" s="1122"/>
      <c r="AB635" s="1122"/>
      <c r="AC635" s="1122"/>
      <c r="AD635" s="1122"/>
      <c r="AE635" s="1122"/>
    </row>
    <row r="636" spans="1:31" ht="15" customHeight="1">
      <c r="A636" s="1040" t="s">
        <v>1512</v>
      </c>
      <c r="B636" s="1728" t="str">
        <f>FP_tool</f>
        <v>b72</v>
      </c>
      <c r="C636" s="1420"/>
      <c r="D636" s="1120"/>
      <c r="G636" s="413"/>
      <c r="H636" s="413"/>
      <c r="I636" s="413"/>
      <c r="J636" s="413"/>
      <c r="K636" s="413"/>
      <c r="L636" s="413"/>
      <c r="M636" s="413"/>
      <c r="N636" s="413"/>
      <c r="O636" s="413"/>
      <c r="P636" s="413"/>
      <c r="Q636" s="413"/>
      <c r="R636" s="437"/>
      <c r="S636" s="1940"/>
      <c r="Z636" s="1679"/>
      <c r="AA636" s="1122"/>
      <c r="AB636" s="1122"/>
      <c r="AC636" s="1122"/>
      <c r="AD636" s="1122"/>
      <c r="AE636" s="1122"/>
    </row>
    <row r="637" spans="1:31" ht="15" customHeight="1">
      <c r="A637" s="1040" t="s">
        <v>1240</v>
      </c>
      <c r="B637" s="2306">
        <f>A_imp</f>
        <v>0.34986698905933239</v>
      </c>
      <c r="C637" s="1420"/>
      <c r="D637" s="1120"/>
      <c r="G637" s="413"/>
      <c r="H637" s="413"/>
      <c r="I637" s="413"/>
      <c r="J637" s="413"/>
      <c r="K637" s="413"/>
      <c r="L637" s="413"/>
      <c r="M637" s="413"/>
      <c r="N637" s="413"/>
      <c r="O637" s="413"/>
      <c r="P637" s="413"/>
      <c r="Q637" s="413"/>
      <c r="R637" s="437"/>
      <c r="S637" s="1940"/>
      <c r="Z637" s="1679"/>
    </row>
    <row r="638" spans="1:31" ht="15" customHeight="1">
      <c r="A638" s="1040" t="s">
        <v>1241</v>
      </c>
      <c r="B638" s="2306">
        <f>C_imp</f>
        <v>0.7265425280053609</v>
      </c>
      <c r="C638" s="1420"/>
      <c r="D638" s="1120"/>
      <c r="G638" s="413"/>
      <c r="H638" s="413"/>
      <c r="I638" s="413"/>
      <c r="J638" s="413"/>
      <c r="K638" s="413"/>
      <c r="L638" s="413"/>
      <c r="M638" s="413"/>
      <c r="N638" s="413"/>
      <c r="O638" s="413"/>
      <c r="P638" s="413"/>
      <c r="Q638" s="413"/>
      <c r="R638" s="437"/>
      <c r="S638" s="1940"/>
      <c r="Z638" s="1679"/>
    </row>
    <row r="639" spans="1:31" ht="15" customHeight="1">
      <c r="A639" s="1040" t="s">
        <v>1242</v>
      </c>
      <c r="B639" s="2306">
        <f>I_alfastart</f>
        <v>-0.21310856071109702</v>
      </c>
      <c r="C639" s="1420" t="s">
        <v>1137</v>
      </c>
      <c r="D639" s="1120"/>
      <c r="G639" s="413"/>
      <c r="H639" s="413"/>
      <c r="I639" s="413"/>
      <c r="J639" s="413"/>
      <c r="K639" s="413"/>
      <c r="L639" s="413"/>
      <c r="M639" s="413"/>
      <c r="N639" s="413"/>
      <c r="O639" s="413"/>
      <c r="P639" s="413"/>
      <c r="Q639" s="413"/>
      <c r="R639" s="437"/>
      <c r="S639" s="1940"/>
      <c r="Z639" s="1679"/>
    </row>
    <row r="640" spans="1:31" ht="15" customHeight="1">
      <c r="A640" s="1040" t="s">
        <v>1243</v>
      </c>
      <c r="B640" s="2306">
        <f>I_alfaend</f>
        <v>0.90549989586878465</v>
      </c>
      <c r="C640" s="1420" t="s">
        <v>1137</v>
      </c>
      <c r="D640" s="1120"/>
      <c r="G640" s="413"/>
      <c r="H640" s="413"/>
      <c r="I640" s="413"/>
      <c r="J640" s="413"/>
      <c r="K640" s="413"/>
      <c r="L640" s="413"/>
      <c r="M640" s="413"/>
      <c r="N640" s="413"/>
      <c r="O640" s="413"/>
      <c r="P640" s="413"/>
      <c r="Q640" s="413"/>
      <c r="R640" s="437"/>
      <c r="S640" s="1940"/>
      <c r="Z640" s="1679"/>
    </row>
    <row r="641" spans="1:26" ht="15" customHeight="1">
      <c r="A641" s="1040" t="s">
        <v>3911</v>
      </c>
      <c r="B641" s="1728" t="str">
        <f>Blade_Ring_mat</f>
        <v>DOMEX</v>
      </c>
      <c r="C641" s="1420"/>
      <c r="D641" s="1120"/>
      <c r="G641" s="413"/>
      <c r="H641" s="413"/>
      <c r="I641" s="413"/>
      <c r="J641" s="413"/>
      <c r="K641" s="413"/>
      <c r="L641" s="413"/>
      <c r="M641" s="413"/>
      <c r="N641" s="413"/>
      <c r="O641" s="413"/>
      <c r="P641" s="413"/>
      <c r="Q641" s="413"/>
      <c r="R641" s="437"/>
      <c r="S641" s="1940"/>
      <c r="Z641" s="1679"/>
    </row>
    <row r="642" spans="1:26" ht="15" customHeight="1">
      <c r="A642" s="1040" t="s">
        <v>2164</v>
      </c>
      <c r="B642" s="1728">
        <f>d_1</f>
        <v>721</v>
      </c>
      <c r="C642" s="1420" t="s">
        <v>136</v>
      </c>
      <c r="D642" s="1120"/>
      <c r="G642" s="413"/>
      <c r="H642" s="413"/>
      <c r="I642" s="413"/>
      <c r="J642" s="413"/>
      <c r="K642" s="413"/>
      <c r="L642" s="413"/>
      <c r="M642" s="413"/>
      <c r="N642" s="413"/>
      <c r="O642" s="413"/>
      <c r="P642" s="413"/>
      <c r="Q642" s="413"/>
      <c r="R642" s="437"/>
      <c r="S642" s="1940"/>
      <c r="Z642" s="1679"/>
    </row>
    <row r="643" spans="1:26" ht="15" customHeight="1">
      <c r="A643" s="1040" t="s">
        <v>1797</v>
      </c>
      <c r="B643" s="1728">
        <f>d_2</f>
        <v>1600</v>
      </c>
      <c r="C643" s="1420" t="s">
        <v>136</v>
      </c>
      <c r="D643" s="1043"/>
      <c r="G643" s="413"/>
      <c r="H643" s="413"/>
      <c r="I643" s="413"/>
      <c r="J643" s="413"/>
      <c r="K643" s="413"/>
      <c r="L643" s="413"/>
      <c r="M643" s="413"/>
      <c r="N643" s="413"/>
      <c r="O643" s="413"/>
      <c r="P643" s="413"/>
      <c r="Q643" s="413"/>
      <c r="R643" s="437"/>
      <c r="S643" s="1940"/>
      <c r="Z643" s="1679"/>
    </row>
    <row r="644" spans="1:26" ht="15" customHeight="1">
      <c r="A644" s="1040" t="s">
        <v>1132</v>
      </c>
      <c r="B644" s="1728">
        <f>d_in</f>
        <v>700</v>
      </c>
      <c r="C644" s="1420" t="s">
        <v>136</v>
      </c>
      <c r="D644" s="1120"/>
      <c r="G644" s="413"/>
      <c r="H644" s="413"/>
      <c r="I644" s="413"/>
      <c r="J644" s="413"/>
      <c r="K644" s="413"/>
      <c r="L644" s="413"/>
      <c r="M644" s="413"/>
      <c r="N644" s="413"/>
      <c r="O644" s="413"/>
      <c r="P644" s="413"/>
      <c r="Q644" s="413"/>
      <c r="R644" s="437"/>
      <c r="S644" s="1940"/>
      <c r="Z644" s="1679"/>
    </row>
    <row r="645" spans="1:26" ht="15" customHeight="1">
      <c r="A645" s="1040" t="s">
        <v>2165</v>
      </c>
      <c r="B645" s="1728">
        <f>d_5</f>
        <v>630</v>
      </c>
      <c r="C645" s="1420" t="s">
        <v>136</v>
      </c>
      <c r="D645" s="1120"/>
      <c r="G645" s="413"/>
      <c r="H645" s="413"/>
      <c r="I645" s="413"/>
      <c r="J645" s="413"/>
      <c r="K645" s="413"/>
      <c r="L645" s="413"/>
      <c r="M645" s="413"/>
      <c r="N645" s="413"/>
      <c r="O645" s="413"/>
      <c r="P645" s="413"/>
      <c r="Q645" s="413"/>
      <c r="R645" s="437"/>
      <c r="S645" s="1940"/>
      <c r="Z645" s="1679"/>
    </row>
    <row r="646" spans="1:26" ht="15" customHeight="1">
      <c r="A646" s="1040" t="s">
        <v>1428</v>
      </c>
      <c r="B646" s="1728">
        <f>b_in</f>
        <v>365</v>
      </c>
      <c r="C646" s="1420" t="s">
        <v>136</v>
      </c>
      <c r="D646" s="1120"/>
      <c r="G646" s="413"/>
      <c r="H646" s="413"/>
      <c r="I646" s="413"/>
      <c r="J646" s="413"/>
      <c r="K646" s="413"/>
      <c r="L646" s="413"/>
      <c r="M646" s="413"/>
      <c r="N646" s="413"/>
      <c r="O646" s="413"/>
      <c r="P646" s="413"/>
      <c r="Q646" s="413"/>
      <c r="R646" s="437"/>
      <c r="S646" s="1940"/>
      <c r="Z646" s="1679"/>
    </row>
    <row r="647" spans="1:26" ht="15" customHeight="1">
      <c r="A647" s="1040" t="s">
        <v>1429</v>
      </c>
      <c r="B647" s="1728">
        <f>b_1_bladeFP</f>
        <v>253</v>
      </c>
      <c r="C647" s="1420" t="s">
        <v>136</v>
      </c>
      <c r="D647" s="1120"/>
      <c r="G647" s="413"/>
      <c r="H647" s="413"/>
      <c r="I647" s="413"/>
      <c r="J647" s="413"/>
      <c r="K647" s="413"/>
      <c r="L647" s="413"/>
      <c r="M647" s="413"/>
      <c r="N647" s="413"/>
      <c r="O647" s="413"/>
      <c r="P647" s="413"/>
      <c r="Q647" s="413"/>
      <c r="R647" s="437"/>
      <c r="S647" s="1940"/>
      <c r="Z647" s="1679"/>
    </row>
    <row r="648" spans="1:26" ht="15" customHeight="1">
      <c r="A648" s="1040" t="s">
        <v>2166</v>
      </c>
      <c r="B648" s="1728">
        <f>b_2</f>
        <v>185</v>
      </c>
      <c r="C648" s="1420" t="s">
        <v>136</v>
      </c>
      <c r="D648" s="1120"/>
      <c r="G648" s="413"/>
      <c r="H648" s="413"/>
      <c r="I648" s="413"/>
      <c r="J648" s="413"/>
      <c r="K648" s="413"/>
      <c r="L648" s="413"/>
      <c r="M648" s="413"/>
      <c r="N648" s="413"/>
      <c r="O648" s="413"/>
      <c r="P648" s="413"/>
      <c r="Q648" s="413"/>
      <c r="R648" s="437"/>
      <c r="S648" s="1940"/>
      <c r="Z648" s="1679"/>
    </row>
    <row r="649" spans="1:26" ht="15" customHeight="1">
      <c r="A649" s="1040" t="s">
        <v>1067</v>
      </c>
      <c r="B649" s="1728">
        <f>beta1</f>
        <v>36</v>
      </c>
      <c r="C649" s="1420" t="s">
        <v>1137</v>
      </c>
      <c r="D649" s="1120"/>
      <c r="G649" s="413"/>
      <c r="H649" s="413"/>
      <c r="I649" s="413"/>
      <c r="J649" s="413"/>
      <c r="K649" s="413"/>
      <c r="L649" s="413"/>
      <c r="M649" s="413"/>
      <c r="N649" s="413"/>
      <c r="O649" s="413"/>
      <c r="P649" s="413"/>
      <c r="Q649" s="413"/>
      <c r="R649" s="437"/>
      <c r="S649" s="1940"/>
      <c r="Z649" s="1679"/>
    </row>
    <row r="650" spans="1:26" ht="15" customHeight="1">
      <c r="A650" s="1040" t="s">
        <v>1068</v>
      </c>
      <c r="B650" s="1728">
        <f>beta2</f>
        <v>49.7</v>
      </c>
      <c r="C650" s="1420" t="s">
        <v>1137</v>
      </c>
      <c r="D650" s="1120"/>
      <c r="G650" s="413"/>
      <c r="H650" s="413"/>
      <c r="I650" s="413"/>
      <c r="J650" s="413"/>
      <c r="K650" s="413"/>
      <c r="L650" s="413"/>
      <c r="M650" s="413"/>
      <c r="N650" s="413"/>
      <c r="O650" s="413"/>
      <c r="P650" s="413"/>
      <c r="Q650" s="413"/>
      <c r="R650" s="437"/>
      <c r="S650" s="1940"/>
      <c r="Z650" s="1679"/>
    </row>
    <row r="651" spans="1:26" ht="15" customHeight="1">
      <c r="A651" s="1040" t="s">
        <v>3870</v>
      </c>
      <c r="B651" s="1728">
        <f>no_blades</f>
        <v>12</v>
      </c>
      <c r="C651" s="1420"/>
      <c r="D651" s="1120"/>
      <c r="G651" s="413"/>
      <c r="H651" s="413"/>
      <c r="I651" s="413"/>
      <c r="J651" s="413"/>
      <c r="K651" s="413"/>
      <c r="L651" s="413"/>
      <c r="M651" s="413"/>
      <c r="N651" s="413"/>
      <c r="O651" s="413"/>
      <c r="P651" s="413"/>
      <c r="Q651" s="413"/>
      <c r="R651" s="437"/>
      <c r="S651" s="1940"/>
      <c r="Z651" s="1679"/>
    </row>
    <row r="652" spans="1:26" ht="15" customHeight="1">
      <c r="A652" s="1040" t="s">
        <v>3903</v>
      </c>
      <c r="B652" s="1737">
        <f>min_Blade_T</f>
        <v>5</v>
      </c>
      <c r="C652" s="1420" t="s">
        <v>136</v>
      </c>
      <c r="D652" s="1043"/>
      <c r="G652" s="413"/>
      <c r="H652" s="413"/>
      <c r="I652" s="413"/>
      <c r="J652" s="413"/>
      <c r="K652" s="413"/>
      <c r="L652" s="413"/>
      <c r="M652" s="413"/>
      <c r="N652" s="413"/>
      <c r="O652" s="413"/>
      <c r="P652" s="413"/>
      <c r="Q652" s="413"/>
      <c r="R652" s="437"/>
      <c r="S652" s="1940"/>
      <c r="Z652" s="1679"/>
    </row>
    <row r="653" spans="1:26" ht="15" customHeight="1">
      <c r="A653" s="2307" t="s">
        <v>3904</v>
      </c>
      <c r="B653" s="1737">
        <f>no_int_Rings</f>
        <v>0</v>
      </c>
      <c r="C653" s="1420"/>
      <c r="D653" s="1120"/>
      <c r="G653" s="413"/>
      <c r="H653" s="413"/>
      <c r="I653" s="413"/>
      <c r="J653" s="413"/>
      <c r="K653" s="413"/>
      <c r="L653" s="413"/>
      <c r="M653" s="413"/>
      <c r="N653" s="413"/>
      <c r="O653" s="413"/>
      <c r="P653" s="413"/>
      <c r="Q653" s="413"/>
      <c r="R653" s="437"/>
      <c r="S653" s="1940"/>
      <c r="Z653" s="1679"/>
    </row>
    <row r="654" spans="1:26" ht="15" customHeight="1">
      <c r="A654" s="2307" t="s">
        <v>3905</v>
      </c>
      <c r="B654" s="1737">
        <f>int_Ring_T_ax</f>
        <v>0</v>
      </c>
      <c r="C654" s="1420" t="s">
        <v>136</v>
      </c>
      <c r="D654" s="1120"/>
      <c r="G654" s="413"/>
      <c r="H654" s="413"/>
      <c r="I654" s="413"/>
      <c r="J654" s="413"/>
      <c r="K654" s="413"/>
      <c r="L654" s="413"/>
      <c r="M654" s="413"/>
      <c r="N654" s="413"/>
      <c r="O654" s="413"/>
      <c r="P654" s="413"/>
      <c r="Q654" s="413"/>
      <c r="R654" s="437"/>
      <c r="S654" s="1940"/>
      <c r="Z654" s="1679"/>
    </row>
    <row r="655" spans="1:26" ht="15" customHeight="1">
      <c r="A655" s="2307" t="s">
        <v>3909</v>
      </c>
      <c r="B655" s="1737">
        <f>ext_Ring_D_rad</f>
        <v>0</v>
      </c>
      <c r="C655" s="1420" t="s">
        <v>136</v>
      </c>
      <c r="D655" s="1120"/>
      <c r="G655" s="413"/>
      <c r="H655" s="413"/>
      <c r="I655" s="413"/>
      <c r="J655" s="413"/>
      <c r="K655" s="413"/>
      <c r="L655" s="413"/>
      <c r="M655" s="413"/>
      <c r="N655" s="413"/>
      <c r="O655" s="413"/>
      <c r="P655" s="413"/>
      <c r="Q655" s="413"/>
      <c r="R655" s="437"/>
      <c r="S655" s="1940"/>
      <c r="Z655" s="1679"/>
    </row>
    <row r="656" spans="1:26" ht="15" customHeight="1">
      <c r="A656" s="2307" t="s">
        <v>3907</v>
      </c>
      <c r="B656" s="1737">
        <f>no_ext_Rings</f>
        <v>0</v>
      </c>
      <c r="C656" s="1420"/>
      <c r="D656" s="1120"/>
      <c r="G656" s="413"/>
      <c r="H656" s="413"/>
      <c r="I656" s="413"/>
      <c r="J656" s="413"/>
      <c r="K656" s="413"/>
      <c r="L656" s="413"/>
      <c r="M656" s="413"/>
      <c r="N656" s="413"/>
      <c r="O656" s="413"/>
      <c r="P656" s="413"/>
      <c r="Q656" s="413"/>
      <c r="R656" s="437"/>
      <c r="S656" s="1940"/>
      <c r="Z656" s="1679"/>
    </row>
    <row r="657" spans="1:26" ht="15" customHeight="1">
      <c r="A657" s="2307" t="s">
        <v>3908</v>
      </c>
      <c r="B657" s="1737">
        <f>ext_Ring_T_ax</f>
        <v>0</v>
      </c>
      <c r="C657" s="1420" t="s">
        <v>136</v>
      </c>
      <c r="D657" s="1120"/>
      <c r="G657" s="413"/>
      <c r="H657" s="413"/>
      <c r="I657" s="413"/>
      <c r="J657" s="413"/>
      <c r="K657" s="413"/>
      <c r="L657" s="413"/>
      <c r="M657" s="413"/>
      <c r="N657" s="413"/>
      <c r="O657" s="413"/>
      <c r="P657" s="413"/>
      <c r="Q657" s="413"/>
      <c r="R657" s="437"/>
      <c r="S657" s="1940"/>
      <c r="Z657" s="1679"/>
    </row>
    <row r="658" spans="1:26" ht="15" customHeight="1">
      <c r="A658" s="2307" t="s">
        <v>3909</v>
      </c>
      <c r="B658" s="1737">
        <f>ext_Ring_D_rad</f>
        <v>0</v>
      </c>
      <c r="C658" s="1420" t="s">
        <v>136</v>
      </c>
      <c r="D658" s="1120"/>
      <c r="G658" s="413"/>
      <c r="H658" s="413"/>
      <c r="I658" s="413"/>
      <c r="J658" s="413"/>
      <c r="K658" s="413"/>
      <c r="L658" s="413"/>
      <c r="M658" s="413"/>
      <c r="N658" s="413"/>
      <c r="O658" s="413"/>
      <c r="P658" s="413"/>
      <c r="Q658" s="413"/>
      <c r="R658" s="437"/>
      <c r="S658" s="1940"/>
      <c r="Z658" s="1679"/>
    </row>
    <row r="659" spans="1:26" ht="15" customHeight="1">
      <c r="A659" s="2307" t="s">
        <v>2168</v>
      </c>
      <c r="B659" s="1737">
        <f>Front_P_T</f>
        <v>6</v>
      </c>
      <c r="C659" s="1420" t="s">
        <v>136</v>
      </c>
      <c r="D659" s="1120"/>
      <c r="G659" s="413"/>
      <c r="H659" s="413"/>
      <c r="I659" s="413"/>
      <c r="J659" s="413"/>
      <c r="K659" s="413"/>
      <c r="L659" s="413"/>
      <c r="M659" s="413"/>
      <c r="N659" s="413"/>
      <c r="O659" s="413"/>
      <c r="P659" s="413"/>
      <c r="Q659" s="413"/>
      <c r="R659" s="437"/>
      <c r="S659" s="1940"/>
      <c r="Z659" s="1679"/>
    </row>
    <row r="660" spans="1:26" ht="15" customHeight="1">
      <c r="A660" s="2307" t="s">
        <v>2181</v>
      </c>
      <c r="B660" s="1737">
        <f>WF_P</f>
        <v>76.573964736761013</v>
      </c>
      <c r="C660" s="1420" t="s">
        <v>131</v>
      </c>
      <c r="D660" s="1120"/>
      <c r="G660" s="413"/>
      <c r="H660" s="413"/>
      <c r="I660" s="413"/>
      <c r="J660" s="413"/>
      <c r="K660" s="413"/>
      <c r="L660" s="413"/>
      <c r="M660" s="413"/>
      <c r="N660" s="413"/>
      <c r="O660" s="413"/>
      <c r="P660" s="413"/>
      <c r="Q660" s="413"/>
      <c r="R660" s="437"/>
      <c r="S660" s="1940"/>
      <c r="Z660" s="1679"/>
    </row>
    <row r="661" spans="1:26" ht="15" customHeight="1">
      <c r="A661" s="2307" t="s">
        <v>2169</v>
      </c>
      <c r="B661" s="1737">
        <f>Back_P_T</f>
        <v>6</v>
      </c>
      <c r="C661" s="1420" t="s">
        <v>136</v>
      </c>
      <c r="D661" s="1120"/>
      <c r="G661" s="413"/>
      <c r="H661" s="413"/>
      <c r="I661" s="413"/>
      <c r="J661" s="413"/>
      <c r="K661" s="413"/>
      <c r="L661" s="413"/>
      <c r="M661" s="413"/>
      <c r="N661" s="413"/>
      <c r="O661" s="413"/>
      <c r="P661" s="413"/>
      <c r="Q661" s="413"/>
      <c r="R661" s="437"/>
      <c r="S661" s="1940"/>
      <c r="Z661" s="1679"/>
    </row>
    <row r="662" spans="1:26" ht="15" customHeight="1">
      <c r="A662" s="2307" t="s">
        <v>2182</v>
      </c>
      <c r="B662" s="1737">
        <f>WB_P</f>
        <v>49.125683587934731</v>
      </c>
      <c r="C662" s="1420" t="s">
        <v>131</v>
      </c>
      <c r="D662" s="1043"/>
      <c r="G662" s="413"/>
      <c r="H662" s="413"/>
      <c r="I662" s="413"/>
      <c r="J662" s="413"/>
      <c r="K662" s="413"/>
      <c r="L662" s="413"/>
      <c r="M662" s="413"/>
      <c r="N662" s="413"/>
      <c r="O662" s="413"/>
      <c r="P662" s="413"/>
      <c r="Q662" s="413"/>
      <c r="R662" s="437"/>
      <c r="S662" s="1940"/>
      <c r="Z662" s="1679"/>
    </row>
    <row r="663" spans="1:26" ht="15" customHeight="1">
      <c r="A663" s="2307" t="s">
        <v>2180</v>
      </c>
      <c r="B663" s="1737">
        <f>Hub_P_T</f>
        <v>20</v>
      </c>
      <c r="C663" s="1420" t="s">
        <v>136</v>
      </c>
      <c r="D663" s="1120"/>
      <c r="G663" s="413"/>
      <c r="H663" s="413"/>
      <c r="I663" s="413"/>
      <c r="J663" s="413"/>
      <c r="K663" s="413"/>
      <c r="L663" s="413"/>
      <c r="M663" s="413"/>
      <c r="N663" s="413"/>
      <c r="O663" s="413"/>
      <c r="P663" s="413"/>
      <c r="Q663" s="413"/>
      <c r="R663" s="437"/>
      <c r="S663" s="1940"/>
      <c r="Z663" s="1679"/>
    </row>
    <row r="664" spans="1:26" ht="15" customHeight="1">
      <c r="A664" s="2307" t="s">
        <v>2408</v>
      </c>
      <c r="B664" s="1737">
        <f>Hub_P_D</f>
        <v>1109.9553078519668</v>
      </c>
      <c r="C664" s="1420" t="s">
        <v>136</v>
      </c>
      <c r="D664" s="1120"/>
      <c r="G664" s="413"/>
      <c r="H664" s="413"/>
      <c r="I664" s="413"/>
      <c r="J664" s="413"/>
      <c r="K664" s="413"/>
      <c r="L664" s="413"/>
      <c r="M664" s="413"/>
      <c r="N664" s="413"/>
      <c r="O664" s="413"/>
      <c r="P664" s="413"/>
      <c r="Q664" s="413"/>
      <c r="R664" s="437"/>
      <c r="S664" s="1940"/>
      <c r="Z664" s="1679"/>
    </row>
    <row r="665" spans="1:26" ht="15" customHeight="1">
      <c r="A665" s="2307" t="s">
        <v>2183</v>
      </c>
      <c r="B665" s="1737">
        <f>WHub_P</f>
        <v>151.91495120625333</v>
      </c>
      <c r="C665" s="1420" t="s">
        <v>131</v>
      </c>
      <c r="D665" s="1120"/>
      <c r="G665" s="413"/>
      <c r="H665" s="413"/>
      <c r="I665" s="413"/>
      <c r="J665" s="413"/>
      <c r="K665" s="413"/>
      <c r="L665" s="413"/>
      <c r="M665" s="413"/>
      <c r="N665" s="413"/>
      <c r="O665" s="413"/>
      <c r="P665" s="413"/>
      <c r="Q665" s="413"/>
      <c r="R665" s="437"/>
      <c r="S665" s="1940"/>
      <c r="Z665" s="1679"/>
    </row>
    <row r="666" spans="1:26" ht="15" customHeight="1">
      <c r="A666" s="2307" t="s">
        <v>3912</v>
      </c>
      <c r="B666" s="1737">
        <f>Cone_D</f>
        <v>420</v>
      </c>
      <c r="C666" s="1420" t="s">
        <v>136</v>
      </c>
      <c r="D666" s="1120"/>
      <c r="G666" s="413"/>
      <c r="H666" s="413"/>
      <c r="I666" s="413"/>
      <c r="J666" s="413"/>
      <c r="K666" s="413"/>
      <c r="L666" s="413"/>
      <c r="M666" s="413"/>
      <c r="N666" s="413"/>
      <c r="O666" s="413"/>
      <c r="P666" s="413"/>
      <c r="Q666" s="413"/>
      <c r="R666" s="437"/>
      <c r="S666" s="1940"/>
      <c r="Z666" s="1679"/>
    </row>
    <row r="667" spans="1:26" ht="15" customHeight="1">
      <c r="A667" s="2307" t="s">
        <v>3914</v>
      </c>
      <c r="B667" s="1737">
        <f>Cone_H</f>
        <v>56.269330410535765</v>
      </c>
      <c r="C667" s="1420" t="s">
        <v>136</v>
      </c>
      <c r="D667" s="1120"/>
      <c r="G667" s="413"/>
      <c r="H667" s="413"/>
      <c r="I667" s="413"/>
      <c r="J667" s="413"/>
      <c r="K667" s="413"/>
      <c r="L667" s="413"/>
      <c r="M667" s="413"/>
      <c r="N667" s="413"/>
      <c r="O667" s="413"/>
      <c r="P667" s="413"/>
      <c r="Q667" s="413"/>
      <c r="R667" s="437"/>
      <c r="S667" s="1940"/>
      <c r="Z667" s="1679"/>
    </row>
    <row r="668" spans="1:26" ht="15" customHeight="1">
      <c r="A668" s="2307" t="s">
        <v>3913</v>
      </c>
      <c r="B668" s="1737">
        <f>Cone_T</f>
        <v>6</v>
      </c>
      <c r="C668" s="1420" t="s">
        <v>136</v>
      </c>
      <c r="D668" s="1120"/>
      <c r="G668" s="413"/>
      <c r="H668" s="413"/>
      <c r="I668" s="413"/>
      <c r="J668" s="413"/>
      <c r="K668" s="413"/>
      <c r="L668" s="413"/>
      <c r="M668" s="413"/>
      <c r="N668" s="413"/>
      <c r="O668" s="413"/>
      <c r="P668" s="413"/>
      <c r="Q668" s="413"/>
      <c r="R668" s="437"/>
      <c r="S668" s="1940"/>
      <c r="Z668" s="1679"/>
    </row>
    <row r="669" spans="1:26" ht="15" customHeight="1" thickBot="1">
      <c r="A669" s="1040" t="s">
        <v>2409</v>
      </c>
      <c r="B669" s="1728" t="e">
        <f ca="1">DIHo</f>
        <v>#REF!</v>
      </c>
      <c r="C669" s="1420" t="s">
        <v>136</v>
      </c>
      <c r="D669" s="1120" t="s">
        <v>111</v>
      </c>
      <c r="G669" s="413"/>
      <c r="H669" s="413"/>
      <c r="I669" s="413"/>
      <c r="J669" s="413"/>
      <c r="K669" s="413"/>
      <c r="L669" s="413"/>
      <c r="M669" s="413"/>
      <c r="N669" s="413"/>
      <c r="O669" s="413"/>
      <c r="P669" s="413"/>
      <c r="Q669" s="413"/>
      <c r="R669" s="437"/>
      <c r="S669" s="1940"/>
      <c r="Z669" s="1679"/>
    </row>
    <row r="670" spans="1:26" ht="15" customHeight="1" thickBot="1">
      <c r="A670" s="2247" t="s">
        <v>2398</v>
      </c>
      <c r="B670" s="3359">
        <v>0</v>
      </c>
      <c r="C670" s="3360" t="s">
        <v>1114</v>
      </c>
      <c r="D670" s="1116"/>
      <c r="E670" s="1781"/>
      <c r="F670" s="1781"/>
      <c r="G670" s="1781"/>
      <c r="H670" s="1781"/>
      <c r="I670" s="1781"/>
      <c r="J670" s="1781"/>
      <c r="K670" s="1781"/>
      <c r="L670" s="1781"/>
      <c r="M670" s="1781"/>
      <c r="N670" s="1781"/>
      <c r="O670" s="1781"/>
      <c r="P670" s="1781"/>
      <c r="Q670" s="1781"/>
      <c r="R670" s="1782"/>
      <c r="S670" s="3044"/>
      <c r="T670" s="3045"/>
      <c r="U670" s="3046"/>
      <c r="V670" s="3047"/>
      <c r="W670" s="3046"/>
      <c r="X670" s="3047"/>
      <c r="Y670" s="3046"/>
      <c r="Z670" s="3043"/>
    </row>
    <row r="671" spans="1:26" ht="15" customHeight="1">
      <c r="A671" s="1040" t="s">
        <v>2514</v>
      </c>
      <c r="B671" s="1728" t="e">
        <f ca="1">ShaftD</f>
        <v>#REF!</v>
      </c>
      <c r="C671" s="1420" t="s">
        <v>136</v>
      </c>
      <c r="D671" s="1043" t="s">
        <v>2515</v>
      </c>
      <c r="G671" s="413"/>
      <c r="H671" s="413"/>
      <c r="I671" s="413"/>
      <c r="J671" s="413"/>
      <c r="K671" s="413"/>
      <c r="L671" s="413"/>
      <c r="M671" s="413"/>
      <c r="N671" s="413"/>
      <c r="O671" s="413"/>
      <c r="P671" s="413"/>
      <c r="Q671" s="413"/>
      <c r="R671" s="437"/>
      <c r="S671" s="1940"/>
      <c r="Z671" s="1679"/>
    </row>
    <row r="672" spans="1:26" ht="15" customHeight="1">
      <c r="A672" s="1040" t="s">
        <v>2402</v>
      </c>
      <c r="B672" s="1728" t="e">
        <f ca="1">hub_out_d2</f>
        <v>#REF!</v>
      </c>
      <c r="C672" s="1420" t="s">
        <v>136</v>
      </c>
      <c r="D672" s="1120" t="s">
        <v>2403</v>
      </c>
      <c r="G672" s="413"/>
      <c r="H672" s="413"/>
      <c r="I672" s="413"/>
      <c r="J672" s="413"/>
      <c r="K672" s="413"/>
      <c r="L672" s="413"/>
      <c r="M672" s="413"/>
      <c r="N672" s="413"/>
      <c r="O672" s="413"/>
      <c r="P672" s="413"/>
      <c r="Q672" s="413"/>
      <c r="R672" s="437"/>
      <c r="S672" s="1940"/>
      <c r="Z672" s="1679"/>
    </row>
    <row r="673" spans="1:26" ht="15" customHeight="1">
      <c r="A673" s="1040" t="s">
        <v>2399</v>
      </c>
      <c r="B673" s="1728">
        <f>Hub_C_iHe</f>
        <v>66.269330410535758</v>
      </c>
      <c r="C673" s="1420" t="s">
        <v>136</v>
      </c>
      <c r="D673" s="1120" t="s">
        <v>2404</v>
      </c>
      <c r="G673" s="413"/>
      <c r="H673" s="413"/>
      <c r="I673" s="413"/>
      <c r="J673" s="413"/>
      <c r="K673" s="413"/>
      <c r="L673" s="413"/>
      <c r="M673" s="413"/>
      <c r="N673" s="413"/>
      <c r="O673" s="413"/>
      <c r="P673" s="413"/>
      <c r="Q673" s="413"/>
      <c r="R673" s="437"/>
      <c r="S673" s="1940"/>
      <c r="Z673" s="1679"/>
    </row>
    <row r="674" spans="1:26" ht="15" customHeight="1">
      <c r="A674" s="1040" t="s">
        <v>2400</v>
      </c>
      <c r="B674" s="1728" t="e">
        <f ca="1">hub_out_d2</f>
        <v>#REF!</v>
      </c>
      <c r="C674" s="1420" t="s">
        <v>136</v>
      </c>
      <c r="D674" s="1120" t="s">
        <v>2405</v>
      </c>
      <c r="G674" s="413"/>
      <c r="H674" s="413"/>
      <c r="I674" s="413"/>
      <c r="J674" s="413"/>
      <c r="K674" s="413"/>
      <c r="L674" s="413"/>
      <c r="M674" s="413"/>
      <c r="N674" s="413"/>
      <c r="O674" s="413"/>
      <c r="P674" s="413"/>
      <c r="Q674" s="413"/>
      <c r="R674" s="437"/>
      <c r="S674" s="1940"/>
      <c r="Z674" s="1679"/>
    </row>
    <row r="675" spans="1:26" ht="15" customHeight="1">
      <c r="A675" s="1040" t="s">
        <v>2401</v>
      </c>
      <c r="B675" s="1728" t="e">
        <f ca="1">Hub_C_tL</f>
        <v>#REF!</v>
      </c>
      <c r="C675" s="1420" t="s">
        <v>136</v>
      </c>
      <c r="D675" s="1120" t="s">
        <v>2406</v>
      </c>
      <c r="G675" s="413"/>
      <c r="H675" s="413"/>
      <c r="I675" s="413"/>
      <c r="J675" s="413"/>
      <c r="K675" s="413"/>
      <c r="L675" s="413"/>
      <c r="M675" s="413"/>
      <c r="N675" s="413"/>
      <c r="O675" s="413"/>
      <c r="P675" s="413"/>
      <c r="Q675" s="413"/>
      <c r="R675" s="437"/>
      <c r="S675" s="1940"/>
      <c r="Z675" s="1679"/>
    </row>
    <row r="676" spans="1:26" ht="15" customHeight="1">
      <c r="A676" s="1040" t="s">
        <v>2785</v>
      </c>
      <c r="B676" s="1728" t="e">
        <f ca="1">HubKey_b</f>
        <v>#REF!</v>
      </c>
      <c r="C676" s="1036" t="s">
        <v>136</v>
      </c>
      <c r="D676" s="1120"/>
      <c r="G676" s="413"/>
      <c r="H676" s="413"/>
      <c r="I676" s="413"/>
      <c r="J676" s="413"/>
      <c r="K676" s="413"/>
      <c r="L676" s="413"/>
      <c r="M676" s="413"/>
      <c r="N676" s="413"/>
      <c r="O676" s="413"/>
      <c r="P676" s="413"/>
      <c r="Q676" s="413"/>
      <c r="R676" s="437"/>
      <c r="S676" s="1940"/>
      <c r="Z676" s="1679"/>
    </row>
    <row r="677" spans="1:26" ht="15" customHeight="1">
      <c r="A677" s="1040" t="s">
        <v>2786</v>
      </c>
      <c r="B677" s="1728" t="e">
        <f ca="1">HubKey_h</f>
        <v>#REF!</v>
      </c>
      <c r="C677" s="1036" t="s">
        <v>136</v>
      </c>
      <c r="D677" s="1120"/>
      <c r="G677" s="413"/>
      <c r="H677" s="413"/>
      <c r="I677" s="413"/>
      <c r="J677" s="413"/>
      <c r="K677" s="413"/>
      <c r="L677" s="413"/>
      <c r="M677" s="413"/>
      <c r="N677" s="413"/>
      <c r="O677" s="413"/>
      <c r="P677" s="413"/>
      <c r="Q677" s="413"/>
      <c r="R677" s="437"/>
      <c r="S677" s="1940"/>
      <c r="Z677" s="1679"/>
    </row>
    <row r="678" spans="1:26" ht="15" customHeight="1">
      <c r="A678" s="1040" t="s">
        <v>2787</v>
      </c>
      <c r="B678" s="1728" t="e">
        <f ca="1">HubKey_t</f>
        <v>#REF!</v>
      </c>
      <c r="C678" s="1036" t="s">
        <v>136</v>
      </c>
      <c r="D678" s="1120"/>
      <c r="G678" s="413"/>
      <c r="H678" s="413"/>
      <c r="I678" s="413"/>
      <c r="J678" s="413"/>
      <c r="K678" s="413"/>
      <c r="L678" s="413"/>
      <c r="M678" s="413"/>
      <c r="N678" s="413"/>
      <c r="O678" s="413"/>
      <c r="P678" s="413"/>
      <c r="Q678" s="413"/>
      <c r="R678" s="437"/>
      <c r="S678" s="1940"/>
      <c r="Z678" s="1679"/>
    </row>
    <row r="679" spans="1:26" ht="15" customHeight="1">
      <c r="A679" s="1040" t="s">
        <v>4706</v>
      </c>
      <c r="B679" s="1728" t="e">
        <f ca="1">D_HUB_Cone!B19</f>
        <v>#REF!</v>
      </c>
      <c r="C679" s="1036" t="s">
        <v>136</v>
      </c>
      <c r="D679" s="1120"/>
      <c r="G679" s="413"/>
      <c r="H679" s="413"/>
      <c r="I679" s="413"/>
      <c r="J679" s="413"/>
      <c r="K679" s="413"/>
      <c r="L679" s="413"/>
      <c r="M679" s="413"/>
      <c r="N679" s="413"/>
      <c r="O679" s="413"/>
      <c r="P679" s="413"/>
      <c r="Q679" s="413"/>
      <c r="R679" s="437"/>
      <c r="S679" s="1940"/>
      <c r="Z679" s="1679"/>
    </row>
    <row r="680" spans="1:26" ht="15" customHeight="1">
      <c r="A680" s="1040" t="s">
        <v>4707</v>
      </c>
      <c r="B680" s="1728" t="e">
        <f ca="1">IF(Drive_Frame=1.1,Small_hub_l1,IF(Drive_Frame=1,D_HUB_Cone!B17,c_hub_L1))</f>
        <v>#REF!</v>
      </c>
      <c r="C680" s="1036" t="s">
        <v>136</v>
      </c>
      <c r="D680" s="1120"/>
      <c r="G680" s="413"/>
      <c r="H680" s="413"/>
      <c r="I680" s="413"/>
      <c r="J680" s="413"/>
      <c r="K680" s="413"/>
      <c r="L680" s="413"/>
      <c r="M680" s="413"/>
      <c r="N680" s="413"/>
      <c r="O680" s="413"/>
      <c r="P680" s="413"/>
      <c r="Q680" s="413"/>
      <c r="R680" s="437"/>
      <c r="S680" s="1940"/>
      <c r="Z680" s="1679"/>
    </row>
    <row r="681" spans="1:26" ht="15" customHeight="1" thickBot="1">
      <c r="A681" s="3249" t="s">
        <v>4708</v>
      </c>
      <c r="B681" s="1728">
        <f>D_HUB_Cone!B10</f>
        <v>580</v>
      </c>
      <c r="C681" s="1036" t="s">
        <v>136</v>
      </c>
      <c r="D681" s="1120"/>
      <c r="G681" s="413"/>
      <c r="H681" s="413"/>
      <c r="I681" s="413"/>
      <c r="J681" s="413"/>
      <c r="K681" s="413"/>
      <c r="L681" s="413"/>
      <c r="M681" s="413"/>
      <c r="N681" s="413"/>
      <c r="O681" s="413"/>
      <c r="P681" s="413"/>
      <c r="Q681" s="413"/>
      <c r="R681" s="437"/>
      <c r="S681" s="1940"/>
      <c r="Z681" s="1679"/>
    </row>
    <row r="682" spans="1:26" ht="15" customHeight="1" thickBot="1">
      <c r="A682" s="825" t="s">
        <v>1840</v>
      </c>
      <c r="B682" s="3350">
        <v>0</v>
      </c>
      <c r="C682" s="3351" t="s">
        <v>1114</v>
      </c>
      <c r="D682" s="1121"/>
      <c r="E682" s="1781"/>
      <c r="F682" s="1781"/>
      <c r="G682" s="1781"/>
      <c r="H682" s="1781"/>
      <c r="I682" s="1781"/>
      <c r="J682" s="1781"/>
      <c r="K682" s="1781"/>
      <c r="L682" s="1781"/>
      <c r="M682" s="1781"/>
      <c r="N682" s="1781"/>
      <c r="O682" s="1781"/>
      <c r="P682" s="1781"/>
      <c r="Q682" s="1781"/>
      <c r="R682" s="1782"/>
      <c r="S682" s="3044"/>
      <c r="T682" s="3045"/>
      <c r="U682" s="3046"/>
      <c r="V682" s="3047"/>
      <c r="W682" s="3046"/>
      <c r="X682" s="3047"/>
      <c r="Y682" s="3046"/>
      <c r="Z682" s="3043"/>
    </row>
    <row r="683" spans="1:26" ht="15" customHeight="1">
      <c r="A683" s="826" t="s">
        <v>1158</v>
      </c>
      <c r="B683" s="1738" t="e">
        <f ca="1">Mweight</f>
        <v>#REF!</v>
      </c>
      <c r="C683" s="827" t="s">
        <v>131</v>
      </c>
      <c r="D683" s="1120" t="s">
        <v>1839</v>
      </c>
      <c r="G683" s="413"/>
      <c r="H683" s="413"/>
      <c r="I683" s="413"/>
      <c r="J683" s="413"/>
      <c r="K683" s="413"/>
      <c r="L683" s="413"/>
      <c r="M683" s="413"/>
      <c r="N683" s="413"/>
      <c r="O683" s="413"/>
      <c r="P683" s="413"/>
      <c r="Q683" s="413"/>
      <c r="R683" s="437"/>
      <c r="S683" s="1940"/>
      <c r="Z683" s="1679"/>
    </row>
    <row r="684" spans="1:26" ht="15" customHeight="1">
      <c r="A684" s="826" t="s">
        <v>1836</v>
      </c>
      <c r="B684" s="1738">
        <f>Impeller_W</f>
        <v>373.52098482947673</v>
      </c>
      <c r="C684" s="827" t="s">
        <v>131</v>
      </c>
      <c r="D684" s="1707" t="s">
        <v>1838</v>
      </c>
      <c r="G684" s="413"/>
      <c r="H684" s="413"/>
      <c r="I684" s="413"/>
      <c r="J684" s="413"/>
      <c r="K684" s="413"/>
      <c r="L684" s="413"/>
      <c r="M684" s="413"/>
      <c r="N684" s="413"/>
      <c r="O684" s="413"/>
      <c r="P684" s="413"/>
      <c r="Q684" s="413"/>
      <c r="R684" s="437"/>
      <c r="S684" s="1940"/>
      <c r="Z684" s="1679"/>
    </row>
    <row r="685" spans="1:26" ht="15" customHeight="1">
      <c r="A685" s="826" t="s">
        <v>1837</v>
      </c>
      <c r="B685" s="1738">
        <f>ICOM</f>
        <v>84.359573999729562</v>
      </c>
      <c r="C685" s="827" t="s">
        <v>136</v>
      </c>
      <c r="D685" s="1707" t="s">
        <v>42</v>
      </c>
      <c r="G685" s="413"/>
      <c r="H685" s="413"/>
      <c r="I685" s="413"/>
      <c r="J685" s="413"/>
      <c r="K685" s="413"/>
      <c r="L685" s="413"/>
      <c r="M685" s="413"/>
      <c r="N685" s="413"/>
      <c r="O685" s="413"/>
      <c r="P685" s="413"/>
      <c r="Q685" s="413"/>
      <c r="R685" s="437"/>
      <c r="S685" s="1940"/>
      <c r="Z685" s="1679"/>
    </row>
    <row r="686" spans="1:26" ht="15" customHeight="1">
      <c r="A686" s="826" t="s">
        <v>3544</v>
      </c>
      <c r="B686" s="1738">
        <f>Imoi_3</f>
        <v>103.06600630720121</v>
      </c>
      <c r="C686" s="827" t="s">
        <v>3475</v>
      </c>
      <c r="D686" s="1707" t="s">
        <v>3546</v>
      </c>
      <c r="G686" s="413"/>
      <c r="H686" s="413"/>
      <c r="I686" s="413"/>
      <c r="J686" s="413"/>
      <c r="K686" s="413"/>
      <c r="L686" s="413"/>
      <c r="M686" s="413"/>
      <c r="N686" s="413"/>
      <c r="O686" s="413"/>
      <c r="P686" s="413"/>
      <c r="Q686" s="413"/>
      <c r="R686" s="437"/>
      <c r="S686" s="1940"/>
      <c r="Z686" s="1679"/>
    </row>
    <row r="687" spans="1:26" ht="15" customHeight="1" thickBot="1">
      <c r="A687" s="828" t="s">
        <v>3545</v>
      </c>
      <c r="B687" s="1739">
        <f>Imoi_1</f>
        <v>59.780790277077244</v>
      </c>
      <c r="C687" s="829" t="s">
        <v>3475</v>
      </c>
      <c r="D687" s="1708" t="s">
        <v>3547</v>
      </c>
      <c r="E687" s="1041"/>
      <c r="F687" s="1041"/>
      <c r="G687" s="1041"/>
      <c r="H687" s="1041"/>
      <c r="I687" s="1041"/>
      <c r="J687" s="1041"/>
      <c r="K687" s="1041"/>
      <c r="L687" s="1041"/>
      <c r="M687" s="1041"/>
      <c r="N687" s="1041"/>
      <c r="O687" s="1041"/>
      <c r="P687" s="1041"/>
      <c r="Q687" s="1041"/>
      <c r="R687" s="1042"/>
      <c r="S687" s="3087"/>
      <c r="T687" s="3088"/>
      <c r="U687" s="3084"/>
      <c r="V687" s="3085"/>
      <c r="W687" s="3084"/>
      <c r="X687" s="3085"/>
      <c r="Y687" s="3084"/>
      <c r="Z687" s="3086"/>
    </row>
    <row r="688" spans="1:26" ht="15" customHeight="1">
      <c r="A688" s="1039" t="s">
        <v>4779</v>
      </c>
      <c r="B688" s="1740">
        <f>IF(F5="XOE",1,2)</f>
        <v>1</v>
      </c>
      <c r="C688" s="412" t="s">
        <v>4745</v>
      </c>
      <c r="D688" s="1709"/>
    </row>
    <row r="689" spans="1:16" ht="15" customHeight="1">
      <c r="A689" s="1039" t="s">
        <v>4829</v>
      </c>
      <c r="B689" s="1740" t="e">
        <f ca="1">vb!H5</f>
        <v>#REF!</v>
      </c>
      <c r="C689" s="412" t="s">
        <v>4831</v>
      </c>
      <c r="D689" s="1709"/>
    </row>
    <row r="690" spans="1:16" ht="15" customHeight="1">
      <c r="A690" s="408"/>
      <c r="B690" s="3103"/>
      <c r="C690" s="1137"/>
      <c r="D690" s="1707"/>
      <c r="I690" s="413"/>
      <c r="J690" s="413"/>
      <c r="K690" s="413"/>
      <c r="L690" s="413"/>
      <c r="M690" s="413"/>
      <c r="N690" s="413"/>
      <c r="O690" s="413"/>
      <c r="P690" s="413"/>
    </row>
    <row r="691" spans="1:16" ht="15" customHeight="1">
      <c r="A691" s="408"/>
      <c r="B691" s="3103"/>
      <c r="C691" s="1137"/>
      <c r="D691" s="1707"/>
      <c r="I691" s="413"/>
      <c r="J691" s="413"/>
      <c r="K691" s="413"/>
      <c r="L691" s="413"/>
      <c r="M691" s="413"/>
      <c r="N691" s="413"/>
      <c r="O691" s="413"/>
      <c r="P691" s="413"/>
    </row>
    <row r="692" spans="1:16" ht="15" customHeight="1">
      <c r="A692" s="408"/>
      <c r="B692" s="3103"/>
      <c r="C692" s="1137"/>
      <c r="D692" s="1707"/>
      <c r="I692" s="413"/>
      <c r="J692" s="413"/>
      <c r="K692" s="413"/>
      <c r="L692" s="413"/>
      <c r="M692" s="413"/>
      <c r="N692" s="413"/>
      <c r="O692" s="413"/>
      <c r="P692" s="413"/>
    </row>
    <row r="693" spans="1:16" ht="15" customHeight="1">
      <c r="A693" s="408"/>
      <c r="B693" s="3103"/>
      <c r="C693" s="1137"/>
      <c r="D693" s="1707"/>
      <c r="I693" s="413"/>
      <c r="J693" s="413"/>
      <c r="K693" s="413"/>
      <c r="L693" s="413"/>
      <c r="M693" s="413"/>
      <c r="N693" s="413"/>
      <c r="O693" s="413"/>
      <c r="P693" s="413"/>
    </row>
    <row r="694" spans="1:16" ht="15" customHeight="1">
      <c r="A694" s="408"/>
      <c r="B694" s="3103"/>
      <c r="C694" s="1137"/>
      <c r="D694" s="1707"/>
      <c r="I694" s="413"/>
      <c r="J694" s="413"/>
      <c r="K694" s="413"/>
      <c r="L694" s="413"/>
      <c r="M694" s="413"/>
      <c r="N694" s="413"/>
      <c r="O694" s="413"/>
      <c r="P694" s="413"/>
    </row>
    <row r="695" spans="1:16" ht="15" customHeight="1">
      <c r="A695" s="408"/>
      <c r="B695" s="3103"/>
      <c r="C695" s="1137"/>
      <c r="D695" s="1707"/>
      <c r="I695" s="413"/>
      <c r="J695" s="413"/>
      <c r="K695" s="413"/>
      <c r="L695" s="413"/>
      <c r="M695" s="413"/>
      <c r="N695" s="413"/>
      <c r="O695" s="413"/>
      <c r="P695" s="413"/>
    </row>
    <row r="696" spans="1:16" ht="15" customHeight="1">
      <c r="A696" s="408"/>
      <c r="B696" s="3103"/>
      <c r="C696" s="1137"/>
      <c r="D696" s="1707"/>
      <c r="I696" s="413"/>
      <c r="J696" s="413"/>
      <c r="K696" s="413"/>
      <c r="L696" s="413"/>
      <c r="M696" s="413"/>
      <c r="N696" s="413"/>
      <c r="O696" s="413"/>
      <c r="P696" s="413"/>
    </row>
    <row r="697" spans="1:16" ht="15" customHeight="1">
      <c r="A697" s="408"/>
      <c r="B697" s="3103"/>
      <c r="C697" s="1137"/>
      <c r="D697" s="1707"/>
      <c r="I697" s="413"/>
      <c r="J697" s="413"/>
      <c r="K697" s="413"/>
      <c r="L697" s="413"/>
      <c r="M697" s="413"/>
      <c r="N697" s="413"/>
      <c r="O697" s="413"/>
      <c r="P697" s="413"/>
    </row>
    <row r="698" spans="1:16" ht="15" customHeight="1">
      <c r="A698" s="408"/>
      <c r="B698" s="3103"/>
      <c r="C698" s="1137"/>
      <c r="D698" s="1707"/>
      <c r="I698" s="413"/>
      <c r="J698" s="413"/>
      <c r="K698" s="413"/>
      <c r="L698" s="413"/>
      <c r="M698" s="413"/>
      <c r="N698" s="413"/>
      <c r="O698" s="413"/>
      <c r="P698" s="413"/>
    </row>
    <row r="699" spans="1:16" ht="15" customHeight="1">
      <c r="A699" s="408"/>
      <c r="B699" s="3103"/>
      <c r="C699" s="1137"/>
      <c r="D699" s="1707"/>
      <c r="I699" s="413"/>
      <c r="J699" s="413"/>
      <c r="K699" s="413"/>
      <c r="L699" s="413"/>
      <c r="M699" s="413"/>
      <c r="N699" s="413"/>
      <c r="O699" s="413"/>
      <c r="P699" s="413"/>
    </row>
    <row r="700" spans="1:16" ht="15" customHeight="1">
      <c r="A700" s="408"/>
      <c r="B700" s="3103"/>
      <c r="C700" s="1137"/>
      <c r="D700" s="1707"/>
      <c r="I700" s="413"/>
      <c r="J700" s="413"/>
      <c r="K700" s="413"/>
      <c r="L700" s="413"/>
      <c r="M700" s="413"/>
      <c r="N700" s="413"/>
      <c r="O700" s="413"/>
      <c r="P700" s="413"/>
    </row>
    <row r="701" spans="1:16" ht="15" customHeight="1">
      <c r="A701" s="408"/>
      <c r="B701" s="3103"/>
      <c r="C701" s="1137"/>
      <c r="D701" s="1707"/>
      <c r="I701" s="413"/>
      <c r="J701" s="413"/>
      <c r="K701" s="413"/>
      <c r="L701" s="413"/>
      <c r="M701" s="413"/>
      <c r="N701" s="413"/>
      <c r="O701" s="413"/>
      <c r="P701" s="413"/>
    </row>
    <row r="702" spans="1:16" ht="15" customHeight="1">
      <c r="A702" s="408"/>
      <c r="B702" s="3103"/>
      <c r="C702" s="1137"/>
      <c r="D702" s="1707"/>
      <c r="I702" s="413"/>
      <c r="J702" s="413"/>
      <c r="K702" s="413"/>
      <c r="L702" s="413"/>
      <c r="M702" s="413"/>
      <c r="N702" s="413"/>
      <c r="O702" s="413"/>
      <c r="P702" s="413"/>
    </row>
    <row r="703" spans="1:16" ht="15" customHeight="1">
      <c r="A703" s="408"/>
      <c r="B703" s="3103"/>
      <c r="C703" s="1137"/>
      <c r="D703" s="1707"/>
      <c r="I703" s="413"/>
      <c r="J703" s="413"/>
      <c r="K703" s="413"/>
      <c r="L703" s="413"/>
      <c r="M703" s="413"/>
      <c r="N703" s="413"/>
      <c r="O703" s="413"/>
      <c r="P703" s="413"/>
    </row>
    <row r="704" spans="1:16" ht="15" customHeight="1">
      <c r="A704" s="408"/>
      <c r="B704" s="3103"/>
      <c r="C704" s="1137"/>
      <c r="D704" s="1707"/>
      <c r="I704" s="413"/>
      <c r="J704" s="413"/>
      <c r="K704" s="413"/>
      <c r="L704" s="413"/>
      <c r="M704" s="413"/>
      <c r="N704" s="413"/>
      <c r="O704" s="413"/>
      <c r="P704" s="413"/>
    </row>
    <row r="705" spans="1:16" ht="15" customHeight="1">
      <c r="A705" s="408"/>
      <c r="B705" s="3103"/>
      <c r="C705" s="1137"/>
      <c r="D705" s="1707"/>
      <c r="I705" s="413"/>
      <c r="J705" s="413"/>
      <c r="K705" s="413"/>
      <c r="L705" s="413"/>
      <c r="M705" s="413"/>
      <c r="N705" s="413"/>
      <c r="O705" s="413"/>
      <c r="P705" s="413"/>
    </row>
    <row r="706" spans="1:16" ht="15" customHeight="1">
      <c r="A706" s="408"/>
      <c r="B706" s="3103"/>
      <c r="C706" s="1137"/>
      <c r="D706" s="1707"/>
      <c r="I706" s="413"/>
      <c r="J706" s="413"/>
      <c r="K706" s="413"/>
      <c r="L706" s="413"/>
      <c r="M706" s="413"/>
      <c r="N706" s="413"/>
      <c r="O706" s="413"/>
      <c r="P706" s="413"/>
    </row>
    <row r="707" spans="1:16" ht="15" customHeight="1">
      <c r="A707" s="408"/>
      <c r="B707" s="3103"/>
      <c r="C707" s="1137"/>
      <c r="D707" s="1707"/>
      <c r="I707" s="413"/>
      <c r="J707" s="413"/>
      <c r="K707" s="413"/>
      <c r="L707" s="413"/>
      <c r="M707" s="413"/>
      <c r="N707" s="413"/>
      <c r="O707" s="413"/>
      <c r="P707" s="413"/>
    </row>
    <row r="708" spans="1:16" ht="15" customHeight="1">
      <c r="A708" s="408"/>
      <c r="B708" s="3103"/>
      <c r="C708" s="1137"/>
      <c r="D708" s="1707"/>
      <c r="I708" s="413"/>
      <c r="J708" s="413"/>
      <c r="K708" s="413"/>
      <c r="L708" s="413"/>
      <c r="M708" s="413"/>
      <c r="N708" s="413"/>
      <c r="O708" s="413"/>
      <c r="P708" s="413"/>
    </row>
    <row r="709" spans="1:16" ht="15" customHeight="1">
      <c r="A709" s="408"/>
      <c r="B709" s="3103"/>
      <c r="C709" s="1137"/>
      <c r="D709" s="1707"/>
      <c r="I709" s="413"/>
      <c r="J709" s="413"/>
      <c r="K709" s="413"/>
      <c r="L709" s="413"/>
      <c r="M709" s="413"/>
      <c r="N709" s="413"/>
      <c r="O709" s="413"/>
      <c r="P709" s="413"/>
    </row>
    <row r="710" spans="1:16" ht="15" customHeight="1">
      <c r="A710" s="408"/>
      <c r="B710" s="3103"/>
      <c r="C710" s="1137"/>
      <c r="D710" s="1707"/>
      <c r="I710" s="413"/>
      <c r="J710" s="413"/>
      <c r="K710" s="413"/>
      <c r="L710" s="413"/>
      <c r="M710" s="413"/>
      <c r="N710" s="413"/>
      <c r="O710" s="413"/>
      <c r="P710" s="413"/>
    </row>
    <row r="711" spans="1:16" ht="15" customHeight="1">
      <c r="A711" s="408"/>
      <c r="B711" s="3103"/>
      <c r="C711" s="1137"/>
      <c r="D711" s="1707"/>
      <c r="I711" s="413"/>
      <c r="J711" s="413"/>
      <c r="K711" s="413"/>
      <c r="L711" s="413"/>
      <c r="M711" s="413"/>
      <c r="N711" s="413"/>
      <c r="O711" s="413"/>
      <c r="P711" s="413"/>
    </row>
    <row r="712" spans="1:16" ht="15" customHeight="1">
      <c r="A712" s="408"/>
      <c r="B712" s="3103"/>
      <c r="C712" s="1137"/>
      <c r="D712" s="1707"/>
      <c r="I712" s="413"/>
      <c r="J712" s="413"/>
      <c r="K712" s="413"/>
      <c r="L712" s="413"/>
      <c r="M712" s="413"/>
      <c r="N712" s="413"/>
      <c r="O712" s="413"/>
      <c r="P712" s="413"/>
    </row>
    <row r="713" spans="1:16" ht="15" customHeight="1">
      <c r="A713" s="408"/>
      <c r="B713" s="3103"/>
      <c r="C713" s="1137"/>
      <c r="D713" s="1707"/>
      <c r="I713" s="413"/>
      <c r="J713" s="413"/>
      <c r="K713" s="413"/>
      <c r="L713" s="413"/>
      <c r="M713" s="413"/>
      <c r="N713" s="413"/>
      <c r="O713" s="413"/>
      <c r="P713" s="413"/>
    </row>
    <row r="714" spans="1:16" ht="15" customHeight="1">
      <c r="A714" s="408"/>
      <c r="B714" s="3103"/>
      <c r="C714" s="1137"/>
      <c r="D714" s="1707"/>
      <c r="I714" s="413"/>
      <c r="J714" s="413"/>
      <c r="K714" s="413"/>
      <c r="L714" s="413"/>
      <c r="M714" s="413"/>
      <c r="N714" s="413"/>
      <c r="O714" s="413"/>
      <c r="P714" s="413"/>
    </row>
    <row r="715" spans="1:16" ht="15" customHeight="1">
      <c r="A715" s="408"/>
      <c r="B715" s="3103"/>
      <c r="C715" s="1137"/>
      <c r="D715" s="1707"/>
      <c r="I715" s="413"/>
      <c r="J715" s="413"/>
      <c r="K715" s="413"/>
      <c r="L715" s="413"/>
      <c r="M715" s="413"/>
      <c r="N715" s="413"/>
      <c r="O715" s="413"/>
      <c r="P715" s="413"/>
    </row>
    <row r="716" spans="1:16" ht="15" customHeight="1">
      <c r="A716" s="408"/>
      <c r="B716" s="3103"/>
      <c r="C716" s="1137"/>
      <c r="D716" s="1707"/>
      <c r="I716" s="413"/>
      <c r="J716" s="413"/>
      <c r="K716" s="413"/>
      <c r="L716" s="413"/>
      <c r="M716" s="413"/>
      <c r="N716" s="413"/>
      <c r="O716" s="413"/>
      <c r="P716" s="413"/>
    </row>
    <row r="717" spans="1:16" ht="15" customHeight="1">
      <c r="A717" s="408"/>
      <c r="B717" s="3103"/>
      <c r="C717" s="1137"/>
      <c r="D717" s="1707"/>
      <c r="I717" s="413"/>
      <c r="J717" s="413"/>
      <c r="K717" s="413"/>
      <c r="L717" s="413"/>
      <c r="M717" s="413"/>
      <c r="N717" s="413"/>
      <c r="O717" s="413"/>
      <c r="P717" s="413"/>
    </row>
    <row r="718" spans="1:16" ht="15" customHeight="1">
      <c r="A718" s="408"/>
      <c r="B718" s="3103"/>
      <c r="C718" s="1137"/>
      <c r="D718" s="1707"/>
      <c r="I718" s="413"/>
      <c r="J718" s="413"/>
      <c r="K718" s="413"/>
      <c r="L718" s="413"/>
      <c r="M718" s="413"/>
      <c r="N718" s="413"/>
      <c r="O718" s="413"/>
      <c r="P718" s="413"/>
    </row>
    <row r="719" spans="1:16" ht="15" customHeight="1">
      <c r="A719" s="408"/>
      <c r="B719" s="3103"/>
      <c r="C719" s="1137"/>
      <c r="D719" s="1707"/>
      <c r="I719" s="413"/>
      <c r="J719" s="413"/>
      <c r="K719" s="413"/>
      <c r="L719" s="413"/>
      <c r="M719" s="413"/>
      <c r="N719" s="413"/>
      <c r="O719" s="413"/>
      <c r="P719" s="413"/>
    </row>
    <row r="720" spans="1:16" ht="15" customHeight="1">
      <c r="A720" s="408"/>
      <c r="B720" s="3103"/>
      <c r="C720" s="1137"/>
      <c r="D720" s="1707"/>
      <c r="I720" s="413"/>
      <c r="J720" s="413"/>
      <c r="K720" s="413"/>
      <c r="L720" s="413"/>
      <c r="M720" s="413"/>
      <c r="N720" s="413"/>
      <c r="O720" s="413"/>
      <c r="P720" s="413"/>
    </row>
    <row r="721" spans="1:16" ht="15" customHeight="1">
      <c r="A721" s="408"/>
      <c r="B721" s="3103"/>
      <c r="C721" s="1137"/>
      <c r="D721" s="1707"/>
      <c r="I721" s="413"/>
      <c r="J721" s="413"/>
      <c r="K721" s="413"/>
      <c r="L721" s="413"/>
      <c r="M721" s="413"/>
      <c r="N721" s="413"/>
      <c r="O721" s="413"/>
      <c r="P721" s="413"/>
    </row>
    <row r="722" spans="1:16" ht="15" customHeight="1">
      <c r="A722" s="408"/>
      <c r="B722" s="3103"/>
      <c r="C722" s="1137"/>
      <c r="D722" s="1707"/>
      <c r="I722" s="413"/>
      <c r="J722" s="413"/>
      <c r="K722" s="413"/>
      <c r="L722" s="413"/>
      <c r="M722" s="413"/>
      <c r="N722" s="413"/>
      <c r="O722" s="413"/>
      <c r="P722" s="413"/>
    </row>
    <row r="723" spans="1:16" ht="15" customHeight="1">
      <c r="A723" s="408"/>
      <c r="B723" s="3103"/>
      <c r="C723" s="1137"/>
      <c r="D723" s="1707"/>
      <c r="I723" s="413"/>
      <c r="J723" s="413"/>
      <c r="K723" s="413"/>
      <c r="L723" s="413"/>
      <c r="M723" s="413"/>
      <c r="N723" s="413"/>
      <c r="O723" s="413"/>
      <c r="P723" s="413"/>
    </row>
    <row r="724" spans="1:16" ht="15" customHeight="1">
      <c r="A724" s="408"/>
      <c r="B724" s="3103"/>
      <c r="C724" s="1137"/>
      <c r="D724" s="1707"/>
      <c r="I724" s="413"/>
      <c r="J724" s="413"/>
      <c r="K724" s="413"/>
      <c r="L724" s="413"/>
      <c r="M724" s="413"/>
      <c r="N724" s="413"/>
      <c r="O724" s="413"/>
      <c r="P724" s="413"/>
    </row>
    <row r="725" spans="1:16" ht="15" customHeight="1">
      <c r="A725" s="408"/>
      <c r="B725" s="3103"/>
      <c r="C725" s="1137"/>
      <c r="D725" s="1707"/>
      <c r="I725" s="413"/>
      <c r="J725" s="413"/>
      <c r="K725" s="413"/>
      <c r="L725" s="413"/>
      <c r="M725" s="413"/>
      <c r="N725" s="413"/>
      <c r="O725" s="413"/>
      <c r="P725" s="413"/>
    </row>
    <row r="726" spans="1:16" ht="15" customHeight="1">
      <c r="A726" s="408"/>
      <c r="B726" s="3103"/>
      <c r="C726" s="1137"/>
      <c r="D726" s="1707"/>
      <c r="I726" s="413"/>
      <c r="J726" s="413"/>
      <c r="K726" s="413"/>
      <c r="L726" s="413"/>
      <c r="M726" s="413"/>
      <c r="N726" s="413"/>
      <c r="O726" s="413"/>
      <c r="P726" s="413"/>
    </row>
    <row r="727" spans="1:16" ht="15" customHeight="1">
      <c r="A727" s="408"/>
      <c r="B727" s="3103"/>
      <c r="C727" s="1137"/>
      <c r="D727" s="1707"/>
      <c r="I727" s="413"/>
      <c r="J727" s="413"/>
      <c r="K727" s="413"/>
      <c r="L727" s="413"/>
      <c r="M727" s="413"/>
      <c r="N727" s="413"/>
      <c r="O727" s="413"/>
      <c r="P727" s="413"/>
    </row>
    <row r="728" spans="1:16" ht="15" customHeight="1">
      <c r="A728" s="408"/>
      <c r="B728" s="3103"/>
      <c r="C728" s="1137"/>
      <c r="D728" s="1707"/>
      <c r="I728" s="413"/>
      <c r="J728" s="413"/>
      <c r="K728" s="413"/>
      <c r="L728" s="413"/>
      <c r="M728" s="413"/>
      <c r="N728" s="413"/>
      <c r="O728" s="413"/>
      <c r="P728" s="413"/>
    </row>
    <row r="729" spans="1:16" ht="15" customHeight="1">
      <c r="A729" s="408"/>
      <c r="B729" s="3103"/>
      <c r="C729" s="1137"/>
      <c r="D729" s="1707"/>
      <c r="I729" s="413"/>
      <c r="J729" s="413"/>
      <c r="K729" s="413"/>
      <c r="L729" s="413"/>
      <c r="M729" s="413"/>
      <c r="N729" s="413"/>
      <c r="O729" s="413"/>
      <c r="P729" s="413"/>
    </row>
    <row r="730" spans="1:16" ht="15" customHeight="1">
      <c r="A730" s="408"/>
      <c r="B730" s="3103"/>
      <c r="C730" s="1137"/>
      <c r="D730" s="1707"/>
      <c r="I730" s="413"/>
      <c r="J730" s="413"/>
      <c r="K730" s="413"/>
      <c r="L730" s="413"/>
      <c r="M730" s="413"/>
      <c r="N730" s="413"/>
      <c r="O730" s="413"/>
      <c r="P730" s="413"/>
    </row>
    <row r="731" spans="1:16" ht="15" customHeight="1">
      <c r="A731" s="408"/>
      <c r="B731" s="3103"/>
      <c r="C731" s="1137"/>
      <c r="D731" s="1707"/>
      <c r="I731" s="413"/>
      <c r="J731" s="413"/>
      <c r="K731" s="413"/>
      <c r="L731" s="413"/>
      <c r="M731" s="413"/>
      <c r="N731" s="413"/>
      <c r="O731" s="413"/>
      <c r="P731" s="413"/>
    </row>
    <row r="732" spans="1:16" ht="15" customHeight="1">
      <c r="A732" s="408"/>
      <c r="B732" s="3103"/>
      <c r="C732" s="1137"/>
      <c r="D732" s="1707"/>
      <c r="I732" s="413"/>
      <c r="J732" s="413"/>
      <c r="K732" s="413"/>
      <c r="L732" s="413"/>
      <c r="M732" s="413"/>
      <c r="N732" s="413"/>
      <c r="O732" s="413"/>
      <c r="P732" s="413"/>
    </row>
    <row r="733" spans="1:16" ht="15" customHeight="1">
      <c r="A733" s="408"/>
      <c r="B733" s="3103"/>
      <c r="C733" s="1137"/>
      <c r="D733" s="1707"/>
      <c r="I733" s="413"/>
      <c r="J733" s="413"/>
      <c r="K733" s="413"/>
      <c r="L733" s="413"/>
      <c r="M733" s="413"/>
      <c r="N733" s="413"/>
      <c r="O733" s="413"/>
      <c r="P733" s="413"/>
    </row>
    <row r="734" spans="1:16" ht="15" customHeight="1">
      <c r="A734" s="408"/>
      <c r="B734" s="3103"/>
      <c r="C734" s="1137"/>
      <c r="D734" s="1707"/>
      <c r="I734" s="413"/>
      <c r="J734" s="413"/>
      <c r="K734" s="413"/>
      <c r="L734" s="413"/>
      <c r="M734" s="413"/>
      <c r="N734" s="413"/>
      <c r="O734" s="413"/>
      <c r="P734" s="413"/>
    </row>
    <row r="735" spans="1:16" ht="15" customHeight="1">
      <c r="A735" s="408"/>
      <c r="B735" s="3103"/>
      <c r="C735" s="1137"/>
      <c r="D735" s="1707"/>
      <c r="I735" s="413"/>
      <c r="J735" s="413"/>
      <c r="K735" s="413"/>
      <c r="L735" s="413"/>
      <c r="M735" s="413"/>
      <c r="N735" s="413"/>
      <c r="O735" s="413"/>
      <c r="P735" s="413"/>
    </row>
    <row r="736" spans="1:16" ht="15" customHeight="1">
      <c r="A736" s="408"/>
      <c r="B736" s="3103"/>
      <c r="C736" s="1137"/>
      <c r="D736" s="1707"/>
      <c r="I736" s="413"/>
      <c r="J736" s="413"/>
      <c r="K736" s="413"/>
      <c r="L736" s="413"/>
      <c r="M736" s="413"/>
      <c r="N736" s="413"/>
      <c r="O736" s="413"/>
      <c r="P736" s="413"/>
    </row>
    <row r="737" spans="1:16" ht="15" customHeight="1">
      <c r="A737" s="408"/>
      <c r="B737" s="3103"/>
      <c r="C737" s="1137"/>
      <c r="D737" s="1707"/>
      <c r="I737" s="413"/>
      <c r="J737" s="413"/>
      <c r="K737" s="413"/>
      <c r="L737" s="413"/>
      <c r="M737" s="413"/>
      <c r="N737" s="413"/>
      <c r="O737" s="413"/>
      <c r="P737" s="413"/>
    </row>
    <row r="738" spans="1:16" ht="15" customHeight="1">
      <c r="A738" s="408"/>
      <c r="B738" s="3103"/>
      <c r="C738" s="1137"/>
      <c r="D738" s="1707"/>
      <c r="I738" s="413"/>
      <c r="J738" s="413"/>
      <c r="K738" s="413"/>
      <c r="L738" s="413"/>
      <c r="M738" s="413"/>
      <c r="N738" s="413"/>
      <c r="O738" s="413"/>
      <c r="P738" s="413"/>
    </row>
    <row r="739" spans="1:16" ht="15" customHeight="1">
      <c r="A739" s="408"/>
      <c r="B739" s="3103"/>
      <c r="C739" s="1137"/>
      <c r="D739" s="1707"/>
      <c r="I739" s="413"/>
      <c r="J739" s="413"/>
      <c r="K739" s="413"/>
      <c r="L739" s="413"/>
      <c r="M739" s="413"/>
      <c r="N739" s="413"/>
      <c r="O739" s="413"/>
      <c r="P739" s="413"/>
    </row>
    <row r="740" spans="1:16" ht="15" customHeight="1">
      <c r="A740" s="408"/>
      <c r="B740" s="3103"/>
      <c r="C740" s="1137"/>
      <c r="D740" s="1707"/>
      <c r="I740" s="413"/>
      <c r="J740" s="413"/>
      <c r="K740" s="413"/>
      <c r="L740" s="413"/>
      <c r="M740" s="413"/>
      <c r="N740" s="413"/>
      <c r="O740" s="413"/>
      <c r="P740" s="413"/>
    </row>
    <row r="741" spans="1:16" ht="15" customHeight="1">
      <c r="A741" s="408"/>
      <c r="B741" s="3103"/>
      <c r="C741" s="1137"/>
      <c r="D741" s="1707"/>
      <c r="I741" s="413"/>
      <c r="J741" s="413"/>
      <c r="K741" s="413"/>
      <c r="L741" s="413"/>
      <c r="M741" s="413"/>
      <c r="N741" s="413"/>
      <c r="O741" s="413"/>
      <c r="P741" s="413"/>
    </row>
    <row r="742" spans="1:16" ht="15" customHeight="1">
      <c r="A742" s="408"/>
      <c r="B742" s="3103"/>
      <c r="C742" s="1137"/>
      <c r="D742" s="1707"/>
      <c r="I742" s="413"/>
      <c r="J742" s="413"/>
      <c r="K742" s="413"/>
      <c r="L742" s="413"/>
      <c r="M742" s="413"/>
      <c r="N742" s="413"/>
      <c r="O742" s="413"/>
      <c r="P742" s="413"/>
    </row>
    <row r="743" spans="1:16" ht="15" customHeight="1">
      <c r="A743" s="408"/>
      <c r="B743" s="3103"/>
      <c r="C743" s="1137"/>
      <c r="D743" s="1707"/>
      <c r="I743" s="413"/>
      <c r="J743" s="413"/>
      <c r="K743" s="413"/>
      <c r="L743" s="413"/>
      <c r="M743" s="413"/>
      <c r="N743" s="413"/>
      <c r="O743" s="413"/>
      <c r="P743" s="413"/>
    </row>
    <row r="744" spans="1:16" ht="15" customHeight="1">
      <c r="A744" s="408"/>
      <c r="B744" s="3103"/>
      <c r="C744" s="1137"/>
      <c r="D744" s="1707"/>
      <c r="I744" s="413"/>
      <c r="J744" s="413"/>
      <c r="K744" s="413"/>
      <c r="L744" s="413"/>
      <c r="M744" s="413"/>
      <c r="N744" s="413"/>
      <c r="O744" s="413"/>
      <c r="P744" s="413"/>
    </row>
    <row r="745" spans="1:16" ht="15" customHeight="1">
      <c r="A745" s="408"/>
      <c r="B745" s="3103"/>
      <c r="C745" s="1137"/>
      <c r="D745" s="1707"/>
      <c r="I745" s="413"/>
      <c r="J745" s="413"/>
      <c r="K745" s="413"/>
      <c r="L745" s="413"/>
      <c r="M745" s="413"/>
      <c r="N745" s="413"/>
      <c r="O745" s="413"/>
      <c r="P745" s="413"/>
    </row>
    <row r="746" spans="1:16" ht="15" customHeight="1">
      <c r="A746" s="408"/>
      <c r="B746" s="3103"/>
      <c r="C746" s="1137"/>
      <c r="D746" s="1707"/>
      <c r="I746" s="413"/>
      <c r="J746" s="413"/>
      <c r="K746" s="413"/>
      <c r="L746" s="413"/>
      <c r="M746" s="413"/>
      <c r="N746" s="413"/>
      <c r="O746" s="413"/>
      <c r="P746" s="413"/>
    </row>
    <row r="747" spans="1:16" ht="15" customHeight="1">
      <c r="C747" s="411"/>
    </row>
    <row r="748" spans="1:16" ht="15" customHeight="1">
      <c r="C748" s="411"/>
    </row>
    <row r="749" spans="1:16" ht="15" customHeight="1">
      <c r="C749" s="411"/>
    </row>
    <row r="750" spans="1:16" ht="15" customHeight="1">
      <c r="C750" s="411"/>
    </row>
    <row r="751" spans="1:16" ht="15" customHeight="1">
      <c r="C751" s="411"/>
    </row>
    <row r="752" spans="1:16" ht="15" customHeight="1">
      <c r="C752" s="411"/>
    </row>
    <row r="753" spans="3:3" ht="15" customHeight="1">
      <c r="C753" s="411"/>
    </row>
    <row r="754" spans="3:3" ht="15" customHeight="1">
      <c r="C754" s="411"/>
    </row>
    <row r="755" spans="3:3" ht="15" customHeight="1">
      <c r="C755" s="411"/>
    </row>
    <row r="756" spans="3:3" ht="15" customHeight="1">
      <c r="C756" s="411"/>
    </row>
    <row r="757" spans="3:3" ht="15" customHeight="1">
      <c r="C757" s="411"/>
    </row>
    <row r="758" spans="3:3" ht="15" customHeight="1">
      <c r="C758" s="411"/>
    </row>
    <row r="759" spans="3:3" ht="15" customHeight="1">
      <c r="C759" s="411"/>
    </row>
    <row r="760" spans="3:3" ht="15" customHeight="1">
      <c r="C760" s="411"/>
    </row>
    <row r="761" spans="3:3" ht="15" customHeight="1">
      <c r="C761" s="411"/>
    </row>
    <row r="762" spans="3:3" ht="15" customHeight="1">
      <c r="C762" s="411"/>
    </row>
    <row r="763" spans="3:3" ht="15" customHeight="1">
      <c r="C763" s="411"/>
    </row>
    <row r="764" spans="3:3" ht="15" customHeight="1">
      <c r="C764" s="411"/>
    </row>
    <row r="765" spans="3:3" ht="15" customHeight="1">
      <c r="C765" s="411"/>
    </row>
    <row r="766" spans="3:3" ht="15" customHeight="1">
      <c r="C766" s="411"/>
    </row>
    <row r="767" spans="3:3" ht="15" customHeight="1">
      <c r="C767" s="411"/>
    </row>
    <row r="768" spans="3:3" ht="15" customHeight="1">
      <c r="C768" s="411"/>
    </row>
    <row r="769" spans="3:3" ht="15" customHeight="1">
      <c r="C769" s="411"/>
    </row>
    <row r="770" spans="3:3" ht="15" customHeight="1">
      <c r="C770" s="411"/>
    </row>
    <row r="771" spans="3:3" ht="15" customHeight="1">
      <c r="C771" s="411"/>
    </row>
    <row r="772" spans="3:3" ht="15" customHeight="1">
      <c r="C772" s="411"/>
    </row>
    <row r="773" spans="3:3" ht="15" customHeight="1">
      <c r="C773" s="411"/>
    </row>
    <row r="774" spans="3:3" ht="15" customHeight="1">
      <c r="C774" s="411"/>
    </row>
    <row r="775" spans="3:3" ht="15" customHeight="1">
      <c r="C775" s="411"/>
    </row>
    <row r="776" spans="3:3" ht="15" customHeight="1">
      <c r="C776" s="411"/>
    </row>
    <row r="777" spans="3:3" ht="15" customHeight="1">
      <c r="C777" s="411"/>
    </row>
    <row r="778" spans="3:3" ht="15" customHeight="1">
      <c r="C778" s="411"/>
    </row>
    <row r="779" spans="3:3" ht="15" customHeight="1">
      <c r="C779" s="411"/>
    </row>
    <row r="780" spans="3:3" ht="15" customHeight="1">
      <c r="C780" s="411"/>
    </row>
    <row r="781" spans="3:3" ht="15" customHeight="1">
      <c r="C781" s="411"/>
    </row>
    <row r="782" spans="3:3" ht="15" customHeight="1">
      <c r="C782" s="411"/>
    </row>
    <row r="783" spans="3:3" ht="15" customHeight="1">
      <c r="C783" s="411"/>
    </row>
    <row r="784" spans="3:3" ht="15" customHeight="1">
      <c r="C784" s="411"/>
    </row>
    <row r="785" spans="3:3" ht="15" customHeight="1">
      <c r="C785" s="411"/>
    </row>
    <row r="786" spans="3:3" ht="15" customHeight="1">
      <c r="C786" s="411"/>
    </row>
    <row r="787" spans="3:3" ht="15" customHeight="1">
      <c r="C787" s="411"/>
    </row>
    <row r="788" spans="3:3" ht="15" customHeight="1">
      <c r="C788" s="411"/>
    </row>
    <row r="789" spans="3:3" ht="15" customHeight="1">
      <c r="C789" s="411"/>
    </row>
    <row r="790" spans="3:3" ht="15" customHeight="1">
      <c r="C790" s="411"/>
    </row>
    <row r="791" spans="3:3" ht="15" customHeight="1">
      <c r="C791" s="411"/>
    </row>
    <row r="792" spans="3:3" ht="15" customHeight="1">
      <c r="C792" s="411"/>
    </row>
    <row r="793" spans="3:3" ht="15" customHeight="1">
      <c r="C793" s="411"/>
    </row>
    <row r="794" spans="3:3" ht="15" customHeight="1">
      <c r="C794" s="411"/>
    </row>
    <row r="795" spans="3:3" ht="15" customHeight="1">
      <c r="C795" s="411"/>
    </row>
    <row r="796" spans="3:3" ht="15" customHeight="1">
      <c r="C796" s="411"/>
    </row>
    <row r="797" spans="3:3" ht="15" customHeight="1">
      <c r="C797" s="411"/>
    </row>
    <row r="798" spans="3:3" ht="15" customHeight="1">
      <c r="C798" s="411"/>
    </row>
    <row r="799" spans="3:3" ht="15" customHeight="1">
      <c r="C799" s="411"/>
    </row>
    <row r="800" spans="3:3" ht="15" customHeight="1">
      <c r="C800" s="411"/>
    </row>
    <row r="801" spans="3:3" ht="15" customHeight="1">
      <c r="C801" s="411"/>
    </row>
    <row r="802" spans="3:3" ht="15" customHeight="1">
      <c r="C802" s="411"/>
    </row>
    <row r="803" spans="3:3" ht="15" customHeight="1">
      <c r="C803" s="411"/>
    </row>
    <row r="804" spans="3:3" ht="15" customHeight="1">
      <c r="C804" s="411"/>
    </row>
    <row r="805" spans="3:3" ht="15" customHeight="1">
      <c r="C805" s="411"/>
    </row>
    <row r="806" spans="3:3" ht="15" customHeight="1">
      <c r="C806" s="411"/>
    </row>
    <row r="807" spans="3:3" ht="15" customHeight="1">
      <c r="C807" s="411"/>
    </row>
    <row r="808" spans="3:3" ht="15" customHeight="1">
      <c r="C808" s="411"/>
    </row>
    <row r="809" spans="3:3" ht="15" customHeight="1">
      <c r="C809" s="411"/>
    </row>
    <row r="810" spans="3:3" ht="15" customHeight="1">
      <c r="C810" s="411"/>
    </row>
    <row r="811" spans="3:3" ht="15" customHeight="1">
      <c r="C811" s="411"/>
    </row>
    <row r="812" spans="3:3" ht="15" customHeight="1">
      <c r="C812" s="411"/>
    </row>
    <row r="813" spans="3:3" ht="15" customHeight="1">
      <c r="C813" s="411"/>
    </row>
    <row r="814" spans="3:3" ht="15" customHeight="1">
      <c r="C814" s="411"/>
    </row>
    <row r="815" spans="3:3" ht="15" customHeight="1">
      <c r="C815" s="411"/>
    </row>
    <row r="816" spans="3:3" ht="15" customHeight="1">
      <c r="C816" s="411"/>
    </row>
    <row r="817" spans="3:3" ht="15" customHeight="1">
      <c r="C817" s="411"/>
    </row>
    <row r="818" spans="3:3" ht="15" customHeight="1">
      <c r="C818" s="411"/>
    </row>
    <row r="819" spans="3:3" ht="15" customHeight="1">
      <c r="C819" s="411"/>
    </row>
    <row r="820" spans="3:3" ht="15" customHeight="1">
      <c r="C820" s="411"/>
    </row>
    <row r="821" spans="3:3" ht="15" customHeight="1">
      <c r="C821" s="411"/>
    </row>
    <row r="822" spans="3:3" ht="15" customHeight="1">
      <c r="C822" s="411"/>
    </row>
    <row r="823" spans="3:3" ht="15" customHeight="1">
      <c r="C823" s="411"/>
    </row>
    <row r="824" spans="3:3" ht="15" customHeight="1">
      <c r="C824" s="411"/>
    </row>
    <row r="825" spans="3:3" ht="15" customHeight="1">
      <c r="C825" s="411"/>
    </row>
    <row r="826" spans="3:3" ht="15" customHeight="1">
      <c r="C826" s="411"/>
    </row>
    <row r="827" spans="3:3" ht="15" customHeight="1">
      <c r="C827" s="411"/>
    </row>
    <row r="828" spans="3:3" ht="15" customHeight="1">
      <c r="C828" s="411"/>
    </row>
    <row r="829" spans="3:3" ht="15" customHeight="1">
      <c r="C829" s="411"/>
    </row>
    <row r="830" spans="3:3" ht="15" customHeight="1">
      <c r="C830" s="411"/>
    </row>
    <row r="831" spans="3:3" ht="15" customHeight="1">
      <c r="C831" s="411"/>
    </row>
    <row r="832" spans="3:3" ht="15" customHeight="1">
      <c r="C832" s="411"/>
    </row>
    <row r="833" spans="3:3" ht="15" customHeight="1">
      <c r="C833" s="411"/>
    </row>
    <row r="834" spans="3:3" ht="15" customHeight="1">
      <c r="C834" s="411"/>
    </row>
    <row r="835" spans="3:3" ht="15" customHeight="1">
      <c r="C835" s="411"/>
    </row>
    <row r="836" spans="3:3" ht="15" customHeight="1">
      <c r="C836" s="411"/>
    </row>
    <row r="837" spans="3:3" ht="15" customHeight="1">
      <c r="C837" s="411"/>
    </row>
    <row r="838" spans="3:3" ht="15" customHeight="1">
      <c r="C838" s="411"/>
    </row>
    <row r="839" spans="3:3" ht="15" customHeight="1">
      <c r="C839" s="411"/>
    </row>
    <row r="840" spans="3:3" ht="15" customHeight="1">
      <c r="C840" s="411"/>
    </row>
    <row r="841" spans="3:3" ht="15" customHeight="1">
      <c r="C841" s="411"/>
    </row>
    <row r="842" spans="3:3" ht="15" customHeight="1">
      <c r="C842" s="411"/>
    </row>
    <row r="843" spans="3:3" ht="15" customHeight="1">
      <c r="C843" s="411"/>
    </row>
    <row r="844" spans="3:3" ht="15" customHeight="1">
      <c r="C844" s="411"/>
    </row>
    <row r="845" spans="3:3" ht="15" customHeight="1">
      <c r="C845" s="411"/>
    </row>
    <row r="846" spans="3:3" ht="15" customHeight="1">
      <c r="C846" s="411"/>
    </row>
    <row r="847" spans="3:3" ht="15" customHeight="1">
      <c r="C847" s="411"/>
    </row>
    <row r="848" spans="3:3" ht="15" customHeight="1">
      <c r="C848" s="411"/>
    </row>
    <row r="849" spans="3:3" ht="15" customHeight="1">
      <c r="C849" s="411"/>
    </row>
    <row r="850" spans="3:3" ht="15" customHeight="1">
      <c r="C850" s="411"/>
    </row>
    <row r="851" spans="3:3" ht="15" customHeight="1">
      <c r="C851" s="411"/>
    </row>
    <row r="852" spans="3:3" ht="15" customHeight="1">
      <c r="C852" s="411"/>
    </row>
    <row r="853" spans="3:3" ht="15" customHeight="1">
      <c r="C853" s="411"/>
    </row>
    <row r="854" spans="3:3" ht="15" customHeight="1">
      <c r="C854" s="411"/>
    </row>
    <row r="855" spans="3:3" ht="15" customHeight="1">
      <c r="C855" s="411"/>
    </row>
    <row r="856" spans="3:3" ht="15" customHeight="1">
      <c r="C856" s="411"/>
    </row>
    <row r="857" spans="3:3" ht="15" customHeight="1">
      <c r="C857" s="411"/>
    </row>
    <row r="858" spans="3:3" ht="15" customHeight="1">
      <c r="C858" s="411"/>
    </row>
    <row r="859" spans="3:3" ht="15" customHeight="1">
      <c r="C859" s="411"/>
    </row>
    <row r="860" spans="3:3" ht="15" customHeight="1">
      <c r="C860" s="411"/>
    </row>
    <row r="861" spans="3:3" ht="15" customHeight="1">
      <c r="C861" s="411"/>
    </row>
    <row r="862" spans="3:3" ht="15" customHeight="1">
      <c r="C862" s="411"/>
    </row>
    <row r="863" spans="3:3" ht="15" customHeight="1">
      <c r="C863" s="411"/>
    </row>
    <row r="864" spans="3:3" ht="15" customHeight="1">
      <c r="C864" s="411"/>
    </row>
    <row r="865" spans="3:3" ht="15" customHeight="1">
      <c r="C865" s="411"/>
    </row>
    <row r="866" spans="3:3" ht="15" customHeight="1">
      <c r="C866" s="411"/>
    </row>
    <row r="867" spans="3:3" ht="15" customHeight="1">
      <c r="C867" s="411"/>
    </row>
    <row r="868" spans="3:3" ht="15" customHeight="1">
      <c r="C868" s="411"/>
    </row>
    <row r="869" spans="3:3" ht="15" customHeight="1">
      <c r="C869" s="411"/>
    </row>
    <row r="870" spans="3:3" ht="15" customHeight="1">
      <c r="C870" s="411"/>
    </row>
    <row r="871" spans="3:3" ht="15" customHeight="1">
      <c r="C871" s="411"/>
    </row>
    <row r="872" spans="3:3" ht="15" customHeight="1">
      <c r="C872" s="411"/>
    </row>
    <row r="873" spans="3:3" ht="15" customHeight="1">
      <c r="C873" s="411"/>
    </row>
    <row r="874" spans="3:3" ht="15" customHeight="1">
      <c r="C874" s="411"/>
    </row>
    <row r="875" spans="3:3" ht="15" customHeight="1">
      <c r="C875" s="411"/>
    </row>
    <row r="876" spans="3:3" ht="15" customHeight="1">
      <c r="C876" s="411"/>
    </row>
    <row r="877" spans="3:3" ht="15" customHeight="1">
      <c r="C877" s="411"/>
    </row>
    <row r="878" spans="3:3" ht="15" customHeight="1">
      <c r="C878" s="411"/>
    </row>
    <row r="879" spans="3:3" ht="15" customHeight="1">
      <c r="C879" s="411"/>
    </row>
    <row r="880" spans="3:3" ht="15" customHeight="1">
      <c r="C880" s="411"/>
    </row>
    <row r="881" spans="3:3" ht="15" customHeight="1">
      <c r="C881" s="411"/>
    </row>
    <row r="882" spans="3:3" ht="15" customHeight="1">
      <c r="C882" s="411"/>
    </row>
    <row r="883" spans="3:3" ht="15" customHeight="1">
      <c r="C883" s="411"/>
    </row>
    <row r="884" spans="3:3" ht="15" customHeight="1">
      <c r="C884" s="411"/>
    </row>
    <row r="885" spans="3:3" ht="15" customHeight="1">
      <c r="C885" s="411"/>
    </row>
    <row r="886" spans="3:3" ht="15" customHeight="1">
      <c r="C886" s="411"/>
    </row>
    <row r="887" spans="3:3" ht="15" customHeight="1">
      <c r="C887" s="411"/>
    </row>
    <row r="888" spans="3:3" ht="15" customHeight="1">
      <c r="C888" s="411"/>
    </row>
    <row r="889" spans="3:3" ht="15" customHeight="1">
      <c r="C889" s="411"/>
    </row>
    <row r="890" spans="3:3" ht="15" customHeight="1">
      <c r="C890" s="411"/>
    </row>
    <row r="891" spans="3:3" ht="15" customHeight="1">
      <c r="C891" s="411"/>
    </row>
    <row r="892" spans="3:3" ht="15" customHeight="1">
      <c r="C892" s="411"/>
    </row>
    <row r="893" spans="3:3" ht="15" customHeight="1">
      <c r="C893" s="411"/>
    </row>
    <row r="894" spans="3:3" ht="15" customHeight="1">
      <c r="C894" s="411"/>
    </row>
    <row r="895" spans="3:3" ht="15" customHeight="1">
      <c r="C895" s="411"/>
    </row>
    <row r="896" spans="3:3" ht="15" customHeight="1">
      <c r="C896" s="411"/>
    </row>
    <row r="897" spans="3:3" ht="15" customHeight="1">
      <c r="C897" s="411"/>
    </row>
    <row r="898" spans="3:3" ht="15" customHeight="1">
      <c r="C898" s="411"/>
    </row>
    <row r="899" spans="3:3" ht="15" customHeight="1">
      <c r="C899" s="411"/>
    </row>
  </sheetData>
  <mergeCells count="10">
    <mergeCell ref="E511:R558"/>
    <mergeCell ref="E574:R621"/>
    <mergeCell ref="E355:R402"/>
    <mergeCell ref="G1:R1"/>
    <mergeCell ref="E131:R141"/>
    <mergeCell ref="F2:O2"/>
    <mergeCell ref="Q2:R2"/>
    <mergeCell ref="Q3:R4"/>
    <mergeCell ref="O3:P4"/>
    <mergeCell ref="J5:K5"/>
  </mergeCells>
  <phoneticPr fontId="170" type="noConversion"/>
  <dataValidations count="2">
    <dataValidation type="decimal" operator="greaterThanOrEqual" showInputMessage="1" showErrorMessage="1" sqref="B688:B689 B747:B1048576">
      <formula1>0</formula1>
    </dataValidation>
    <dataValidation type="decimal" errorStyle="warning" operator="greaterThanOrEqual" showErrorMessage="1" errorTitle="Cell Empty!" error="Cells cannot have none numerical values (such as P9) or be empty!_x000a__x000a_Please enter a positive number." sqref="D60 D85 B682:B687 B1:B210 B216:B241">
      <formula1>0</formula1>
    </dataValidation>
  </dataValidations>
  <pageMargins left="0.70866141732283472" right="0.70866141732283472" top="0.74803149606299213" bottom="0.74803149606299213" header="0.31496062992125984" footer="0.31496062992125984"/>
  <pageSetup paperSize="9" scale="10" orientation="landscape" r:id="rId1"/>
  <headerFooter>
    <oddHeader>&amp;L&amp;F / &amp;A&amp;R&amp;D</oddHeader>
    <oddFooter>&amp;L&amp;12CONFIDENTIAL&amp;C&amp;12BERGJET&amp;Rpage &amp;P / &amp;N</oddFooter>
  </headerFooter>
  <drawing r:id="rId2"/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>
    <tabColor theme="7" tint="0.79998168889431442"/>
  </sheetPr>
  <dimension ref="A1:AY47"/>
  <sheetViews>
    <sheetView topLeftCell="A4" zoomScaleNormal="100" zoomScaleSheetLayoutView="100" zoomScalePageLayoutView="70" workbookViewId="0">
      <selection activeCell="B17" sqref="B17:D17"/>
    </sheetView>
  </sheetViews>
  <sheetFormatPr defaultColWidth="2.7109375" defaultRowHeight="12" customHeight="1"/>
  <cols>
    <col min="1" max="1" width="2.7109375" style="3382"/>
    <col min="2" max="2" width="3" style="3382" bestFit="1" customWidth="1"/>
    <col min="3" max="23" width="2.7109375" style="3382"/>
    <col min="24" max="24" width="4.85546875" style="3382" customWidth="1"/>
    <col min="25" max="16384" width="2.7109375" style="3382"/>
  </cols>
  <sheetData>
    <row r="1" spans="1:51" ht="12" customHeight="1">
      <c r="A1" s="3761" t="s">
        <v>4655</v>
      </c>
      <c r="B1" s="3762"/>
      <c r="C1" s="3762"/>
      <c r="D1" s="3762"/>
      <c r="E1" s="3762"/>
      <c r="F1" s="3762"/>
      <c r="G1" s="3762"/>
      <c r="H1" s="3762"/>
      <c r="I1" s="3762"/>
      <c r="J1" s="3762"/>
      <c r="K1" s="3762"/>
      <c r="L1" s="3762"/>
      <c r="M1" s="3762"/>
      <c r="N1" s="3762"/>
      <c r="O1" s="3762"/>
      <c r="P1" s="3762"/>
      <c r="Q1" s="3762"/>
      <c r="R1" s="3762"/>
      <c r="S1" s="3762"/>
      <c r="T1" s="3762"/>
      <c r="U1" s="3762"/>
      <c r="V1" s="3762"/>
      <c r="W1" s="3762"/>
      <c r="X1" s="3762"/>
      <c r="Y1" s="3762"/>
      <c r="Z1" s="3762"/>
      <c r="AA1" s="3762"/>
      <c r="AB1" s="3762"/>
      <c r="AC1" s="3762"/>
      <c r="AD1" s="3762"/>
      <c r="AE1" s="3762"/>
      <c r="AF1" s="3762"/>
      <c r="AG1" s="3762"/>
      <c r="AH1" s="3762"/>
      <c r="AI1" s="3762"/>
      <c r="AJ1" s="3762"/>
      <c r="AK1" s="3762"/>
      <c r="AL1" s="3762"/>
      <c r="AM1" s="3762"/>
      <c r="AN1" s="3762"/>
      <c r="AO1" s="3762"/>
      <c r="AP1" s="3762"/>
      <c r="AQ1" s="3762"/>
      <c r="AR1" s="3762"/>
      <c r="AS1" s="3762"/>
      <c r="AT1" s="3762"/>
      <c r="AU1" s="3762"/>
      <c r="AV1" s="3762"/>
      <c r="AW1" s="3762"/>
      <c r="AX1" s="3762"/>
      <c r="AY1" s="3763"/>
    </row>
    <row r="2" spans="1:51" ht="12" customHeight="1" thickBot="1">
      <c r="A2" s="3764"/>
      <c r="B2" s="3765"/>
      <c r="C2" s="3765"/>
      <c r="D2" s="3765"/>
      <c r="E2" s="3765"/>
      <c r="F2" s="3765"/>
      <c r="G2" s="3765"/>
      <c r="H2" s="3765"/>
      <c r="I2" s="3765"/>
      <c r="J2" s="3765"/>
      <c r="K2" s="3765"/>
      <c r="L2" s="3765"/>
      <c r="M2" s="3765"/>
      <c r="N2" s="3765"/>
      <c r="O2" s="3765"/>
      <c r="P2" s="3765"/>
      <c r="Q2" s="3765"/>
      <c r="R2" s="3765"/>
      <c r="S2" s="3765"/>
      <c r="T2" s="3765"/>
      <c r="U2" s="3765"/>
      <c r="V2" s="3765"/>
      <c r="W2" s="3765"/>
      <c r="X2" s="3765"/>
      <c r="Y2" s="3765"/>
      <c r="Z2" s="3765"/>
      <c r="AA2" s="3765"/>
      <c r="AB2" s="3765"/>
      <c r="AC2" s="3765"/>
      <c r="AD2" s="3765"/>
      <c r="AE2" s="3765"/>
      <c r="AF2" s="3765"/>
      <c r="AG2" s="3765"/>
      <c r="AH2" s="3765"/>
      <c r="AI2" s="3765"/>
      <c r="AJ2" s="3765"/>
      <c r="AK2" s="3765"/>
      <c r="AL2" s="3765"/>
      <c r="AM2" s="3765"/>
      <c r="AN2" s="3765"/>
      <c r="AO2" s="3765"/>
      <c r="AP2" s="3765"/>
      <c r="AQ2" s="3765"/>
      <c r="AR2" s="3765"/>
      <c r="AS2" s="3765"/>
      <c r="AT2" s="3765"/>
      <c r="AU2" s="3765"/>
      <c r="AV2" s="3765"/>
      <c r="AW2" s="3765"/>
      <c r="AX2" s="3765"/>
      <c r="AY2" s="3766"/>
    </row>
    <row r="3" spans="1:51" ht="12" customHeight="1" thickBot="1">
      <c r="A3" s="3702" t="s">
        <v>4656</v>
      </c>
      <c r="B3" s="3703"/>
      <c r="C3" s="3767"/>
      <c r="D3" s="3769" t="s">
        <v>4657</v>
      </c>
      <c r="E3" s="3770"/>
      <c r="F3" s="3771"/>
      <c r="G3" s="3495"/>
      <c r="H3" s="3384"/>
      <c r="I3" s="3384"/>
      <c r="J3" s="3384"/>
      <c r="K3" s="3384"/>
      <c r="L3" s="3384"/>
      <c r="M3" s="3384"/>
      <c r="N3" s="3740" t="s">
        <v>4658</v>
      </c>
      <c r="O3" s="3741"/>
      <c r="P3" s="3746"/>
      <c r="Q3" s="3775">
        <f>Cone_H</f>
        <v>56.269330410535765</v>
      </c>
      <c r="R3" s="3776"/>
      <c r="S3" s="3776"/>
      <c r="T3" s="3777"/>
      <c r="U3" s="3495"/>
      <c r="V3" s="3495"/>
      <c r="W3" s="3495"/>
      <c r="X3" s="3495"/>
      <c r="Y3" s="3495"/>
      <c r="Z3" s="3495"/>
      <c r="AA3" s="3385"/>
      <c r="AB3" s="3385"/>
      <c r="AC3" s="3385"/>
      <c r="AD3" s="3496"/>
      <c r="AE3" s="3495"/>
      <c r="AF3" s="3495"/>
      <c r="AG3" s="3495"/>
      <c r="AH3" s="3495"/>
      <c r="AI3" s="3495"/>
      <c r="AJ3" s="3495"/>
      <c r="AK3" s="3495"/>
      <c r="AL3" s="3495"/>
      <c r="AM3" s="3495"/>
      <c r="AN3" s="3495"/>
      <c r="AO3" s="3495"/>
      <c r="AP3" s="3495"/>
      <c r="AQ3" s="3495"/>
      <c r="AR3" s="3495"/>
      <c r="AS3" s="3495"/>
      <c r="AT3" s="3495"/>
      <c r="AU3" s="3495"/>
      <c r="AV3" s="3495"/>
      <c r="AW3" s="3495"/>
      <c r="AX3" s="3495"/>
      <c r="AY3" s="3500"/>
    </row>
    <row r="4" spans="1:51" ht="12" customHeight="1" thickBot="1">
      <c r="A4" s="3708"/>
      <c r="B4" s="3709"/>
      <c r="C4" s="3768"/>
      <c r="D4" s="3772"/>
      <c r="E4" s="3773"/>
      <c r="F4" s="3774"/>
      <c r="I4" s="3388"/>
      <c r="J4" s="3388"/>
      <c r="K4" s="3388"/>
      <c r="L4" s="3389"/>
      <c r="M4" s="3389"/>
      <c r="N4" s="3740" t="s">
        <v>4659</v>
      </c>
      <c r="O4" s="3741"/>
      <c r="P4" s="3746"/>
      <c r="Q4" s="3775">
        <f>Cone_D</f>
        <v>420</v>
      </c>
      <c r="R4" s="3776"/>
      <c r="S4" s="3776"/>
      <c r="T4" s="3777"/>
      <c r="AA4" s="3389"/>
      <c r="AB4" s="3389"/>
      <c r="AC4" s="3389"/>
      <c r="AD4" s="3390"/>
      <c r="AY4" s="3502"/>
    </row>
    <row r="5" spans="1:51" ht="12" customHeight="1" thickBot="1">
      <c r="A5" s="3740" t="s">
        <v>4660</v>
      </c>
      <c r="B5" s="3741"/>
      <c r="C5" s="3742"/>
      <c r="D5" s="3743" t="s">
        <v>4697</v>
      </c>
      <c r="E5" s="3744"/>
      <c r="F5" s="3745"/>
      <c r="I5" s="3388"/>
      <c r="J5" s="3388"/>
      <c r="K5" s="3388"/>
      <c r="L5" s="3389"/>
      <c r="M5" s="3389"/>
      <c r="N5" s="3740" t="s">
        <v>4661</v>
      </c>
      <c r="O5" s="3741"/>
      <c r="P5" s="3746"/>
      <c r="Q5" s="3755">
        <f>Cone_T</f>
        <v>6</v>
      </c>
      <c r="R5" s="3756"/>
      <c r="S5" s="3756"/>
      <c r="T5" s="3757"/>
      <c r="AA5" s="3389"/>
      <c r="AB5" s="3389"/>
      <c r="AC5" s="3389"/>
      <c r="AD5" s="3389"/>
      <c r="AE5" s="3389"/>
      <c r="AF5" s="3389"/>
      <c r="AY5" s="3502"/>
    </row>
    <row r="6" spans="1:51" ht="12" customHeight="1" thickBot="1">
      <c r="A6" s="3501"/>
      <c r="G6" s="3758" t="s">
        <v>4662</v>
      </c>
      <c r="H6" s="3759"/>
      <c r="I6" s="3759"/>
      <c r="J6" s="3759"/>
      <c r="K6" s="3760"/>
      <c r="Q6" s="3758" t="s">
        <v>4663</v>
      </c>
      <c r="R6" s="3759"/>
      <c r="S6" s="3759"/>
      <c r="T6" s="3759"/>
      <c r="U6" s="3759"/>
      <c r="V6" s="3759"/>
      <c r="W6" s="3759"/>
      <c r="X6" s="3760"/>
      <c r="AB6" s="3388"/>
      <c r="AC6" s="3388"/>
      <c r="AD6" s="3388"/>
      <c r="AE6" s="3389"/>
      <c r="AF6" s="3389"/>
      <c r="AY6" s="3502"/>
    </row>
    <row r="7" spans="1:51" ht="12" customHeight="1" thickBot="1">
      <c r="A7" s="3499" t="s">
        <v>4664</v>
      </c>
      <c r="B7" s="3747" t="e">
        <f ca="1">SD</f>
        <v>#REF!</v>
      </c>
      <c r="C7" s="3748"/>
      <c r="D7" s="3749"/>
      <c r="E7" s="3750" t="s">
        <v>136</v>
      </c>
      <c r="F7" s="3751"/>
      <c r="G7" s="3752" t="e">
        <f ca="1">VLOOKUP(SD,HUB_data!A3:H15,8,0)</f>
        <v>#REF!</v>
      </c>
      <c r="H7" s="3753"/>
      <c r="I7" s="3753"/>
      <c r="J7" s="3753"/>
      <c r="K7" s="3754"/>
      <c r="AB7" s="3388"/>
      <c r="AC7" s="3388"/>
      <c r="AD7" s="3388"/>
      <c r="AE7" s="3389"/>
      <c r="AF7" s="3389"/>
      <c r="AY7" s="3502"/>
    </row>
    <row r="8" spans="1:51" ht="12" customHeight="1">
      <c r="A8" s="3497" t="s">
        <v>4665</v>
      </c>
      <c r="B8" s="3725" t="e">
        <f ca="1">VLOOKUP(SD,HUB_data!A3:G15,3,0)</f>
        <v>#REF!</v>
      </c>
      <c r="C8" s="3726"/>
      <c r="D8" s="3727"/>
      <c r="E8" s="3723" t="s">
        <v>136</v>
      </c>
      <c r="F8" s="3724"/>
      <c r="AB8" s="3388"/>
      <c r="AC8" s="3388"/>
      <c r="AD8" s="3388"/>
      <c r="AE8" s="3389"/>
      <c r="AF8" s="3389"/>
      <c r="AY8" s="3502"/>
    </row>
    <row r="9" spans="1:51" ht="12" customHeight="1">
      <c r="A9" s="3497" t="s">
        <v>4666</v>
      </c>
      <c r="B9" s="3725" t="e">
        <f ca="1">VLOOKUP(SD,HUB_data!A3:G15,2,0)</f>
        <v>#REF!</v>
      </c>
      <c r="C9" s="3726"/>
      <c r="D9" s="3727"/>
      <c r="E9" s="3723" t="s">
        <v>136</v>
      </c>
      <c r="F9" s="3724"/>
      <c r="AB9" s="3388"/>
      <c r="AC9" s="3388"/>
      <c r="AD9" s="3388"/>
      <c r="AE9" s="3389"/>
      <c r="AF9" s="3389"/>
      <c r="AY9" s="3502"/>
    </row>
    <row r="10" spans="1:51" ht="12" customHeight="1">
      <c r="A10" s="3497" t="s">
        <v>4667</v>
      </c>
      <c r="B10" s="3725">
        <f>d_5-15-35</f>
        <v>580</v>
      </c>
      <c r="C10" s="3726"/>
      <c r="D10" s="3727"/>
      <c r="E10" s="3723" t="s">
        <v>136</v>
      </c>
      <c r="F10" s="3724"/>
      <c r="AB10" s="3388"/>
      <c r="AC10" s="3388"/>
      <c r="AD10" s="3388"/>
      <c r="AE10" s="3389"/>
      <c r="AF10" s="3389"/>
      <c r="AY10" s="3502"/>
    </row>
    <row r="11" spans="1:51" ht="12" customHeight="1" thickBot="1">
      <c r="A11" s="3497" t="s">
        <v>4668</v>
      </c>
      <c r="B11" s="3725">
        <f>CEILING(Hub_P_D,50)</f>
        <v>1150</v>
      </c>
      <c r="C11" s="3726"/>
      <c r="D11" s="3727"/>
      <c r="E11" s="3723" t="s">
        <v>136</v>
      </c>
      <c r="F11" s="3724"/>
      <c r="AB11" s="3388"/>
      <c r="AC11" s="3388"/>
      <c r="AD11" s="3388"/>
      <c r="AE11" s="3389"/>
      <c r="AF11" s="3389"/>
      <c r="AY11" s="3502"/>
    </row>
    <row r="12" spans="1:51" ht="12" customHeight="1">
      <c r="A12" s="3497"/>
      <c r="B12" s="3737"/>
      <c r="C12" s="3738"/>
      <c r="D12" s="3739"/>
      <c r="E12" s="3723"/>
      <c r="F12" s="3724"/>
      <c r="K12" s="3702"/>
      <c r="L12" s="3703"/>
      <c r="M12" s="3703"/>
      <c r="N12" s="3703"/>
      <c r="O12" s="3703"/>
      <c r="P12" s="3703"/>
      <c r="Q12" s="3703"/>
      <c r="R12" s="3703"/>
      <c r="S12" s="3703"/>
      <c r="T12" s="3703"/>
      <c r="U12" s="3703"/>
      <c r="V12" s="3703"/>
      <c r="W12" s="3703"/>
      <c r="X12" s="3703"/>
      <c r="Y12" s="3703"/>
      <c r="Z12" s="3703"/>
      <c r="AA12" s="3703"/>
      <c r="AB12" s="3703"/>
      <c r="AC12" s="3703"/>
      <c r="AD12" s="3703"/>
      <c r="AE12" s="3703"/>
      <c r="AF12" s="3703"/>
      <c r="AG12" s="3703"/>
      <c r="AH12" s="3703"/>
      <c r="AI12" s="3703"/>
      <c r="AJ12" s="3703"/>
      <c r="AK12" s="3703"/>
      <c r="AL12" s="3703"/>
      <c r="AM12" s="3703"/>
      <c r="AN12" s="3703"/>
      <c r="AO12" s="3703"/>
      <c r="AP12" s="3703"/>
      <c r="AQ12" s="3703"/>
      <c r="AR12" s="3703"/>
      <c r="AS12" s="3703"/>
      <c r="AT12" s="3703"/>
      <c r="AU12" s="3703"/>
      <c r="AV12" s="3703"/>
      <c r="AW12" s="3703"/>
      <c r="AX12" s="3703"/>
      <c r="AY12" s="3704"/>
    </row>
    <row r="13" spans="1:51" ht="12" customHeight="1">
      <c r="A13" s="3497" t="s">
        <v>4669</v>
      </c>
      <c r="B13" s="3711" t="e">
        <f ca="1">VLOOKUP(SD,HUB_data!A3:G15,5,0)</f>
        <v>#REF!</v>
      </c>
      <c r="C13" s="3712"/>
      <c r="D13" s="3713"/>
      <c r="E13" s="3714" t="s">
        <v>136</v>
      </c>
      <c r="F13" s="3715"/>
      <c r="K13" s="3705"/>
      <c r="L13" s="3706"/>
      <c r="M13" s="3706"/>
      <c r="N13" s="3706"/>
      <c r="O13" s="3706"/>
      <c r="P13" s="3706"/>
      <c r="Q13" s="3706"/>
      <c r="R13" s="3706"/>
      <c r="S13" s="3706"/>
      <c r="T13" s="3706"/>
      <c r="U13" s="3706"/>
      <c r="V13" s="3706"/>
      <c r="W13" s="3706"/>
      <c r="X13" s="3706"/>
      <c r="Y13" s="3706"/>
      <c r="Z13" s="3706"/>
      <c r="AA13" s="3706"/>
      <c r="AB13" s="3706"/>
      <c r="AC13" s="3706"/>
      <c r="AD13" s="3706"/>
      <c r="AE13" s="3706"/>
      <c r="AF13" s="3706"/>
      <c r="AG13" s="3706"/>
      <c r="AH13" s="3706"/>
      <c r="AI13" s="3706"/>
      <c r="AJ13" s="3706"/>
      <c r="AK13" s="3706"/>
      <c r="AL13" s="3706"/>
      <c r="AM13" s="3706"/>
      <c r="AN13" s="3706"/>
      <c r="AO13" s="3706"/>
      <c r="AP13" s="3706"/>
      <c r="AQ13" s="3706"/>
      <c r="AR13" s="3706"/>
      <c r="AS13" s="3706"/>
      <c r="AT13" s="3706"/>
      <c r="AU13" s="3706"/>
      <c r="AV13" s="3706"/>
      <c r="AW13" s="3706"/>
      <c r="AX13" s="3706"/>
      <c r="AY13" s="3707"/>
    </row>
    <row r="14" spans="1:51" ht="12" customHeight="1">
      <c r="A14" s="3395" t="s">
        <v>4670</v>
      </c>
      <c r="B14" s="3405" t="s">
        <v>4671</v>
      </c>
      <c r="C14" s="3716" t="e">
        <f ca="1">VLOOKUP(SD,HUB_data!A3:G15,6,0)</f>
        <v>#REF!</v>
      </c>
      <c r="D14" s="3717"/>
      <c r="E14" s="3714"/>
      <c r="F14" s="3715"/>
      <c r="K14" s="3705"/>
      <c r="L14" s="3706"/>
      <c r="M14" s="3706"/>
      <c r="N14" s="3706"/>
      <c r="O14" s="3706"/>
      <c r="P14" s="3706"/>
      <c r="Q14" s="3706"/>
      <c r="R14" s="3706"/>
      <c r="S14" s="3706"/>
      <c r="T14" s="3706"/>
      <c r="U14" s="3706"/>
      <c r="V14" s="3706"/>
      <c r="W14" s="3706"/>
      <c r="X14" s="3706"/>
      <c r="Y14" s="3706"/>
      <c r="Z14" s="3706"/>
      <c r="AA14" s="3706"/>
      <c r="AB14" s="3706"/>
      <c r="AC14" s="3706"/>
      <c r="AD14" s="3706"/>
      <c r="AE14" s="3706"/>
      <c r="AF14" s="3706"/>
      <c r="AG14" s="3706"/>
      <c r="AH14" s="3706"/>
      <c r="AI14" s="3706"/>
      <c r="AJ14" s="3706"/>
      <c r="AK14" s="3706"/>
      <c r="AL14" s="3706"/>
      <c r="AM14" s="3706"/>
      <c r="AN14" s="3706"/>
      <c r="AO14" s="3706"/>
      <c r="AP14" s="3706"/>
      <c r="AQ14" s="3706"/>
      <c r="AR14" s="3706"/>
      <c r="AS14" s="3706"/>
      <c r="AT14" s="3706"/>
      <c r="AU14" s="3706"/>
      <c r="AV14" s="3706"/>
      <c r="AW14" s="3706"/>
      <c r="AX14" s="3706"/>
      <c r="AY14" s="3707"/>
    </row>
    <row r="15" spans="1:51" ht="12" customHeight="1">
      <c r="A15" s="3497" t="s">
        <v>4672</v>
      </c>
      <c r="B15" s="3718">
        <f>Hub_P_T</f>
        <v>20</v>
      </c>
      <c r="C15" s="3719"/>
      <c r="D15" s="3720"/>
      <c r="E15" s="3721" t="s">
        <v>136</v>
      </c>
      <c r="F15" s="3722"/>
      <c r="K15" s="3705"/>
      <c r="L15" s="3706"/>
      <c r="M15" s="3706"/>
      <c r="N15" s="3706"/>
      <c r="O15" s="3706"/>
      <c r="P15" s="3706"/>
      <c r="Q15" s="3706"/>
      <c r="R15" s="3706"/>
      <c r="S15" s="3706"/>
      <c r="T15" s="3706"/>
      <c r="U15" s="3706"/>
      <c r="V15" s="3706"/>
      <c r="W15" s="3706"/>
      <c r="X15" s="3706"/>
      <c r="Y15" s="3706"/>
      <c r="Z15" s="3706"/>
      <c r="AA15" s="3706"/>
      <c r="AB15" s="3706"/>
      <c r="AC15" s="3706"/>
      <c r="AD15" s="3706"/>
      <c r="AE15" s="3706"/>
      <c r="AF15" s="3706"/>
      <c r="AG15" s="3706"/>
      <c r="AH15" s="3706"/>
      <c r="AI15" s="3706"/>
      <c r="AJ15" s="3706"/>
      <c r="AK15" s="3706"/>
      <c r="AL15" s="3706"/>
      <c r="AM15" s="3706"/>
      <c r="AN15" s="3706"/>
      <c r="AO15" s="3706"/>
      <c r="AP15" s="3706"/>
      <c r="AQ15" s="3706"/>
      <c r="AR15" s="3706"/>
      <c r="AS15" s="3706"/>
      <c r="AT15" s="3706"/>
      <c r="AU15" s="3706"/>
      <c r="AV15" s="3706"/>
      <c r="AW15" s="3706"/>
      <c r="AX15" s="3706"/>
      <c r="AY15" s="3707"/>
    </row>
    <row r="16" spans="1:51" ht="12" customHeight="1">
      <c r="A16" s="3497" t="s">
        <v>4673</v>
      </c>
      <c r="B16" s="3725">
        <f>Hub_P_T-1.5</f>
        <v>18.5</v>
      </c>
      <c r="C16" s="3726"/>
      <c r="D16" s="3727"/>
      <c r="E16" s="3723" t="s">
        <v>136</v>
      </c>
      <c r="F16" s="3724"/>
      <c r="K16" s="3705"/>
      <c r="L16" s="3706"/>
      <c r="M16" s="3706"/>
      <c r="N16" s="3706"/>
      <c r="O16" s="3706"/>
      <c r="P16" s="3706"/>
      <c r="Q16" s="3706"/>
      <c r="R16" s="3706"/>
      <c r="S16" s="3706"/>
      <c r="T16" s="3706"/>
      <c r="U16" s="3706"/>
      <c r="V16" s="3706"/>
      <c r="W16" s="3706"/>
      <c r="X16" s="3706"/>
      <c r="Y16" s="3706"/>
      <c r="Z16" s="3706"/>
      <c r="AA16" s="3706"/>
      <c r="AB16" s="3706"/>
      <c r="AC16" s="3706"/>
      <c r="AD16" s="3706"/>
      <c r="AE16" s="3706"/>
      <c r="AF16" s="3706"/>
      <c r="AG16" s="3706"/>
      <c r="AH16" s="3706"/>
      <c r="AI16" s="3706"/>
      <c r="AJ16" s="3706"/>
      <c r="AK16" s="3706"/>
      <c r="AL16" s="3706"/>
      <c r="AM16" s="3706"/>
      <c r="AN16" s="3706"/>
      <c r="AO16" s="3706"/>
      <c r="AP16" s="3706"/>
      <c r="AQ16" s="3706"/>
      <c r="AR16" s="3706"/>
      <c r="AS16" s="3706"/>
      <c r="AT16" s="3706"/>
      <c r="AU16" s="3706"/>
      <c r="AV16" s="3706"/>
      <c r="AW16" s="3706"/>
      <c r="AX16" s="3706"/>
      <c r="AY16" s="3707"/>
    </row>
    <row r="17" spans="1:51" ht="12" customHeight="1">
      <c r="A17" s="3497" t="s">
        <v>4674</v>
      </c>
      <c r="B17" s="3725" t="e">
        <f ca="1">M_S_Frame_Total_Length-MC*0.5-MB-MC+DIHo+House_P_T</f>
        <v>#REF!</v>
      </c>
      <c r="C17" s="3726"/>
      <c r="D17" s="3727"/>
      <c r="E17" s="3723" t="s">
        <v>136</v>
      </c>
      <c r="F17" s="3724"/>
      <c r="K17" s="3705"/>
      <c r="L17" s="3706"/>
      <c r="M17" s="3706"/>
      <c r="N17" s="3706"/>
      <c r="O17" s="3706"/>
      <c r="P17" s="3706"/>
      <c r="Q17" s="3706"/>
      <c r="R17" s="3706"/>
      <c r="S17" s="3706"/>
      <c r="T17" s="3706"/>
      <c r="U17" s="3706"/>
      <c r="V17" s="3706"/>
      <c r="W17" s="3706"/>
      <c r="X17" s="3706"/>
      <c r="Y17" s="3706"/>
      <c r="Z17" s="3706"/>
      <c r="AA17" s="3706"/>
      <c r="AB17" s="3706"/>
      <c r="AC17" s="3706"/>
      <c r="AD17" s="3706"/>
      <c r="AE17" s="3706"/>
      <c r="AF17" s="3706"/>
      <c r="AG17" s="3706"/>
      <c r="AH17" s="3706"/>
      <c r="AI17" s="3706"/>
      <c r="AJ17" s="3706"/>
      <c r="AK17" s="3706"/>
      <c r="AL17" s="3706"/>
      <c r="AM17" s="3706"/>
      <c r="AN17" s="3706"/>
      <c r="AO17" s="3706"/>
      <c r="AP17" s="3706"/>
      <c r="AQ17" s="3706"/>
      <c r="AR17" s="3706"/>
      <c r="AS17" s="3706"/>
      <c r="AT17" s="3706"/>
      <c r="AU17" s="3706"/>
      <c r="AV17" s="3706"/>
      <c r="AW17" s="3706"/>
      <c r="AX17" s="3706"/>
      <c r="AY17" s="3707"/>
    </row>
    <row r="18" spans="1:51" ht="12" customHeight="1" thickBot="1">
      <c r="A18" s="3497" t="s">
        <v>3348</v>
      </c>
      <c r="B18" s="3725" t="e">
        <f ca="1">Hub_C_tL</f>
        <v>#REF!</v>
      </c>
      <c r="C18" s="3726"/>
      <c r="D18" s="3727"/>
      <c r="E18" s="3723" t="s">
        <v>136</v>
      </c>
      <c r="F18" s="3724"/>
      <c r="K18" s="3705"/>
      <c r="L18" s="3706"/>
      <c r="M18" s="3706"/>
      <c r="N18" s="3706"/>
      <c r="O18" s="3706"/>
      <c r="P18" s="3706"/>
      <c r="Q18" s="3706"/>
      <c r="R18" s="3706"/>
      <c r="S18" s="3706"/>
      <c r="T18" s="3706"/>
      <c r="U18" s="3706"/>
      <c r="V18" s="3706"/>
      <c r="W18" s="3706"/>
      <c r="X18" s="3706"/>
      <c r="Y18" s="3706"/>
      <c r="Z18" s="3706"/>
      <c r="AA18" s="3706"/>
      <c r="AB18" s="3706"/>
      <c r="AC18" s="3706"/>
      <c r="AD18" s="3706"/>
      <c r="AE18" s="3706"/>
      <c r="AF18" s="3706"/>
      <c r="AG18" s="3706"/>
      <c r="AH18" s="3706"/>
      <c r="AI18" s="3706"/>
      <c r="AJ18" s="3706"/>
      <c r="AK18" s="3706"/>
      <c r="AL18" s="3706"/>
      <c r="AM18" s="3706"/>
      <c r="AN18" s="3706"/>
      <c r="AO18" s="3706"/>
      <c r="AP18" s="3706"/>
      <c r="AQ18" s="3706"/>
      <c r="AR18" s="3706"/>
      <c r="AS18" s="3706"/>
      <c r="AT18" s="3706"/>
      <c r="AU18" s="3706"/>
      <c r="AV18" s="3706"/>
      <c r="AW18" s="3706"/>
      <c r="AX18" s="3706"/>
      <c r="AY18" s="3707"/>
    </row>
    <row r="19" spans="1:51" ht="12" customHeight="1" thickBot="1">
      <c r="A19" s="3497" t="s">
        <v>4675</v>
      </c>
      <c r="B19" s="3725" t="e">
        <f ca="1">VLOOKUP(SD,HUB_data!A3:G15,4,0)</f>
        <v>#REF!</v>
      </c>
      <c r="C19" s="3726"/>
      <c r="D19" s="3727"/>
      <c r="E19" s="3723" t="s">
        <v>136</v>
      </c>
      <c r="F19" s="3728"/>
      <c r="G19" s="3729" t="s">
        <v>4676</v>
      </c>
      <c r="H19" s="3730"/>
      <c r="I19" s="3730"/>
      <c r="J19" s="3731"/>
      <c r="K19" s="3705"/>
      <c r="L19" s="3706"/>
      <c r="M19" s="3706"/>
      <c r="N19" s="3706"/>
      <c r="O19" s="3706"/>
      <c r="P19" s="3706"/>
      <c r="Q19" s="3706"/>
      <c r="R19" s="3706"/>
      <c r="S19" s="3706"/>
      <c r="T19" s="3706"/>
      <c r="U19" s="3706"/>
      <c r="V19" s="3706"/>
      <c r="W19" s="3706"/>
      <c r="X19" s="3706"/>
      <c r="Y19" s="3706"/>
      <c r="Z19" s="3706"/>
      <c r="AA19" s="3706"/>
      <c r="AB19" s="3706"/>
      <c r="AC19" s="3706"/>
      <c r="AD19" s="3706"/>
      <c r="AE19" s="3706"/>
      <c r="AF19" s="3706"/>
      <c r="AG19" s="3706"/>
      <c r="AH19" s="3706"/>
      <c r="AI19" s="3706"/>
      <c r="AJ19" s="3706"/>
      <c r="AK19" s="3706"/>
      <c r="AL19" s="3706"/>
      <c r="AM19" s="3706"/>
      <c r="AN19" s="3706"/>
      <c r="AO19" s="3706"/>
      <c r="AP19" s="3706"/>
      <c r="AQ19" s="3706"/>
      <c r="AR19" s="3706"/>
      <c r="AS19" s="3706"/>
      <c r="AT19" s="3706"/>
      <c r="AU19" s="3706"/>
      <c r="AV19" s="3706"/>
      <c r="AW19" s="3706"/>
      <c r="AX19" s="3706"/>
      <c r="AY19" s="3707"/>
    </row>
    <row r="20" spans="1:51" ht="12" customHeight="1" thickBot="1">
      <c r="A20" s="3498" t="s">
        <v>4677</v>
      </c>
      <c r="B20" s="3732" t="e">
        <f ca="1">VLOOKUP(SD,HUB_data!A3:G15,7,0)</f>
        <v>#REF!</v>
      </c>
      <c r="C20" s="3733"/>
      <c r="D20" s="3734"/>
      <c r="E20" s="3735" t="s">
        <v>136</v>
      </c>
      <c r="F20" s="3736"/>
      <c r="G20" s="3406" t="s">
        <v>4678</v>
      </c>
      <c r="H20" s="3407">
        <v>9</v>
      </c>
      <c r="K20" s="3705"/>
      <c r="L20" s="3706"/>
      <c r="M20" s="3706"/>
      <c r="N20" s="3706"/>
      <c r="O20" s="3706"/>
      <c r="P20" s="3706"/>
      <c r="Q20" s="3706"/>
      <c r="R20" s="3706"/>
      <c r="S20" s="3706"/>
      <c r="T20" s="3706"/>
      <c r="U20" s="3706"/>
      <c r="V20" s="3706"/>
      <c r="W20" s="3706"/>
      <c r="X20" s="3706"/>
      <c r="Y20" s="3706"/>
      <c r="Z20" s="3706"/>
      <c r="AA20" s="3706"/>
      <c r="AB20" s="3706"/>
      <c r="AC20" s="3706"/>
      <c r="AD20" s="3706"/>
      <c r="AE20" s="3706"/>
      <c r="AF20" s="3706"/>
      <c r="AG20" s="3706"/>
      <c r="AH20" s="3706"/>
      <c r="AI20" s="3706"/>
      <c r="AJ20" s="3706"/>
      <c r="AK20" s="3706"/>
      <c r="AL20" s="3706"/>
      <c r="AM20" s="3706"/>
      <c r="AN20" s="3706"/>
      <c r="AO20" s="3706"/>
      <c r="AP20" s="3706"/>
      <c r="AQ20" s="3706"/>
      <c r="AR20" s="3706"/>
      <c r="AS20" s="3706"/>
      <c r="AT20" s="3706"/>
      <c r="AU20" s="3706"/>
      <c r="AV20" s="3706"/>
      <c r="AW20" s="3706"/>
      <c r="AX20" s="3706"/>
      <c r="AY20" s="3707"/>
    </row>
    <row r="21" spans="1:51" ht="12" customHeight="1">
      <c r="A21" s="3501"/>
      <c r="K21" s="3705"/>
      <c r="L21" s="3706"/>
      <c r="M21" s="3706"/>
      <c r="N21" s="3706"/>
      <c r="O21" s="3706"/>
      <c r="P21" s="3706"/>
      <c r="Q21" s="3706"/>
      <c r="R21" s="3706"/>
      <c r="S21" s="3706"/>
      <c r="T21" s="3706"/>
      <c r="U21" s="3706"/>
      <c r="V21" s="3706"/>
      <c r="W21" s="3706"/>
      <c r="X21" s="3706"/>
      <c r="Y21" s="3706"/>
      <c r="Z21" s="3706"/>
      <c r="AA21" s="3706"/>
      <c r="AB21" s="3706"/>
      <c r="AC21" s="3706"/>
      <c r="AD21" s="3706"/>
      <c r="AE21" s="3706"/>
      <c r="AF21" s="3706"/>
      <c r="AG21" s="3706"/>
      <c r="AH21" s="3706"/>
      <c r="AI21" s="3706"/>
      <c r="AJ21" s="3706"/>
      <c r="AK21" s="3706"/>
      <c r="AL21" s="3706"/>
      <c r="AM21" s="3706"/>
      <c r="AN21" s="3706"/>
      <c r="AO21" s="3706"/>
      <c r="AP21" s="3706"/>
      <c r="AQ21" s="3706"/>
      <c r="AR21" s="3706"/>
      <c r="AS21" s="3706"/>
      <c r="AT21" s="3706"/>
      <c r="AU21" s="3706"/>
      <c r="AV21" s="3706"/>
      <c r="AW21" s="3706"/>
      <c r="AX21" s="3706"/>
      <c r="AY21" s="3707"/>
    </row>
    <row r="22" spans="1:51" ht="12" customHeight="1">
      <c r="A22" s="3501"/>
      <c r="K22" s="3705"/>
      <c r="L22" s="3706"/>
      <c r="M22" s="3706"/>
      <c r="N22" s="3706"/>
      <c r="O22" s="3706"/>
      <c r="P22" s="3706"/>
      <c r="Q22" s="3706"/>
      <c r="R22" s="3706"/>
      <c r="S22" s="3706"/>
      <c r="T22" s="3706"/>
      <c r="U22" s="3706"/>
      <c r="V22" s="3706"/>
      <c r="W22" s="3706"/>
      <c r="X22" s="3706"/>
      <c r="Y22" s="3706"/>
      <c r="Z22" s="3706"/>
      <c r="AA22" s="3706"/>
      <c r="AB22" s="3706"/>
      <c r="AC22" s="3706"/>
      <c r="AD22" s="3706"/>
      <c r="AE22" s="3706"/>
      <c r="AF22" s="3706"/>
      <c r="AG22" s="3706"/>
      <c r="AH22" s="3706"/>
      <c r="AI22" s="3706"/>
      <c r="AJ22" s="3706"/>
      <c r="AK22" s="3706"/>
      <c r="AL22" s="3706"/>
      <c r="AM22" s="3706"/>
      <c r="AN22" s="3706"/>
      <c r="AO22" s="3706"/>
      <c r="AP22" s="3706"/>
      <c r="AQ22" s="3706"/>
      <c r="AR22" s="3706"/>
      <c r="AS22" s="3706"/>
      <c r="AT22" s="3706"/>
      <c r="AU22" s="3706"/>
      <c r="AV22" s="3706"/>
      <c r="AW22" s="3706"/>
      <c r="AX22" s="3706"/>
      <c r="AY22" s="3707"/>
    </row>
    <row r="23" spans="1:51" ht="12" customHeight="1">
      <c r="A23" s="3501"/>
      <c r="K23" s="3705"/>
      <c r="L23" s="3706"/>
      <c r="M23" s="3706"/>
      <c r="N23" s="3706"/>
      <c r="O23" s="3706"/>
      <c r="P23" s="3706"/>
      <c r="Q23" s="3706"/>
      <c r="R23" s="3706"/>
      <c r="S23" s="3706"/>
      <c r="T23" s="3706"/>
      <c r="U23" s="3706"/>
      <c r="V23" s="3706"/>
      <c r="W23" s="3706"/>
      <c r="X23" s="3706"/>
      <c r="Y23" s="3706"/>
      <c r="Z23" s="3706"/>
      <c r="AA23" s="3706"/>
      <c r="AB23" s="3706"/>
      <c r="AC23" s="3706"/>
      <c r="AD23" s="3706"/>
      <c r="AE23" s="3706"/>
      <c r="AF23" s="3706"/>
      <c r="AG23" s="3706"/>
      <c r="AH23" s="3706"/>
      <c r="AI23" s="3706"/>
      <c r="AJ23" s="3706"/>
      <c r="AK23" s="3706"/>
      <c r="AL23" s="3706"/>
      <c r="AM23" s="3706"/>
      <c r="AN23" s="3706"/>
      <c r="AO23" s="3706"/>
      <c r="AP23" s="3706"/>
      <c r="AQ23" s="3706"/>
      <c r="AR23" s="3706"/>
      <c r="AS23" s="3706"/>
      <c r="AT23" s="3706"/>
      <c r="AU23" s="3706"/>
      <c r="AV23" s="3706"/>
      <c r="AW23" s="3706"/>
      <c r="AX23" s="3706"/>
      <c r="AY23" s="3707"/>
    </row>
    <row r="24" spans="1:51" ht="12" customHeight="1">
      <c r="A24" s="3501"/>
      <c r="K24" s="3705"/>
      <c r="L24" s="3706"/>
      <c r="M24" s="3706"/>
      <c r="N24" s="3706"/>
      <c r="O24" s="3706"/>
      <c r="P24" s="3706"/>
      <c r="Q24" s="3706"/>
      <c r="R24" s="3706"/>
      <c r="S24" s="3706"/>
      <c r="T24" s="3706"/>
      <c r="U24" s="3706"/>
      <c r="V24" s="3706"/>
      <c r="W24" s="3706"/>
      <c r="X24" s="3706"/>
      <c r="Y24" s="3706"/>
      <c r="Z24" s="3706"/>
      <c r="AA24" s="3706"/>
      <c r="AB24" s="3706"/>
      <c r="AC24" s="3706"/>
      <c r="AD24" s="3706"/>
      <c r="AE24" s="3706"/>
      <c r="AF24" s="3706"/>
      <c r="AG24" s="3706"/>
      <c r="AH24" s="3706"/>
      <c r="AI24" s="3706"/>
      <c r="AJ24" s="3706"/>
      <c r="AK24" s="3706"/>
      <c r="AL24" s="3706"/>
      <c r="AM24" s="3706"/>
      <c r="AN24" s="3706"/>
      <c r="AO24" s="3706"/>
      <c r="AP24" s="3706"/>
      <c r="AQ24" s="3706"/>
      <c r="AR24" s="3706"/>
      <c r="AS24" s="3706"/>
      <c r="AT24" s="3706"/>
      <c r="AU24" s="3706"/>
      <c r="AV24" s="3706"/>
      <c r="AW24" s="3706"/>
      <c r="AX24" s="3706"/>
      <c r="AY24" s="3707"/>
    </row>
    <row r="25" spans="1:51" ht="12" customHeight="1">
      <c r="A25" s="3501"/>
      <c r="K25" s="3705"/>
      <c r="L25" s="3706"/>
      <c r="M25" s="3706"/>
      <c r="N25" s="3706"/>
      <c r="O25" s="3706"/>
      <c r="P25" s="3706"/>
      <c r="Q25" s="3706"/>
      <c r="R25" s="3706"/>
      <c r="S25" s="3706"/>
      <c r="T25" s="3706"/>
      <c r="U25" s="3706"/>
      <c r="V25" s="3706"/>
      <c r="W25" s="3706"/>
      <c r="X25" s="3706"/>
      <c r="Y25" s="3706"/>
      <c r="Z25" s="3706"/>
      <c r="AA25" s="3706"/>
      <c r="AB25" s="3706"/>
      <c r="AC25" s="3706"/>
      <c r="AD25" s="3706"/>
      <c r="AE25" s="3706"/>
      <c r="AF25" s="3706"/>
      <c r="AG25" s="3706"/>
      <c r="AH25" s="3706"/>
      <c r="AI25" s="3706"/>
      <c r="AJ25" s="3706"/>
      <c r="AK25" s="3706"/>
      <c r="AL25" s="3706"/>
      <c r="AM25" s="3706"/>
      <c r="AN25" s="3706"/>
      <c r="AO25" s="3706"/>
      <c r="AP25" s="3706"/>
      <c r="AQ25" s="3706"/>
      <c r="AR25" s="3706"/>
      <c r="AS25" s="3706"/>
      <c r="AT25" s="3706"/>
      <c r="AU25" s="3706"/>
      <c r="AV25" s="3706"/>
      <c r="AW25" s="3706"/>
      <c r="AX25" s="3706"/>
      <c r="AY25" s="3707"/>
    </row>
    <row r="26" spans="1:51" ht="12" customHeight="1">
      <c r="A26" s="3501"/>
      <c r="K26" s="3705"/>
      <c r="L26" s="3706"/>
      <c r="M26" s="3706"/>
      <c r="N26" s="3706"/>
      <c r="O26" s="3706"/>
      <c r="P26" s="3706"/>
      <c r="Q26" s="3706"/>
      <c r="R26" s="3706"/>
      <c r="S26" s="3706"/>
      <c r="T26" s="3706"/>
      <c r="U26" s="3706"/>
      <c r="V26" s="3706"/>
      <c r="W26" s="3706"/>
      <c r="X26" s="3706"/>
      <c r="Y26" s="3706"/>
      <c r="Z26" s="3706"/>
      <c r="AA26" s="3706"/>
      <c r="AB26" s="3706"/>
      <c r="AC26" s="3706"/>
      <c r="AD26" s="3706"/>
      <c r="AE26" s="3706"/>
      <c r="AF26" s="3706"/>
      <c r="AG26" s="3706"/>
      <c r="AH26" s="3706"/>
      <c r="AI26" s="3706"/>
      <c r="AJ26" s="3706"/>
      <c r="AK26" s="3706"/>
      <c r="AL26" s="3706"/>
      <c r="AM26" s="3706"/>
      <c r="AN26" s="3706"/>
      <c r="AO26" s="3706"/>
      <c r="AP26" s="3706"/>
      <c r="AQ26" s="3706"/>
      <c r="AR26" s="3706"/>
      <c r="AS26" s="3706"/>
      <c r="AT26" s="3706"/>
      <c r="AU26" s="3706"/>
      <c r="AV26" s="3706"/>
      <c r="AW26" s="3706"/>
      <c r="AX26" s="3706"/>
      <c r="AY26" s="3707"/>
    </row>
    <row r="27" spans="1:51" ht="12" customHeight="1">
      <c r="A27" s="3501"/>
      <c r="K27" s="3705"/>
      <c r="L27" s="3706"/>
      <c r="M27" s="3706"/>
      <c r="N27" s="3706"/>
      <c r="O27" s="3706"/>
      <c r="P27" s="3706"/>
      <c r="Q27" s="3706"/>
      <c r="R27" s="3706"/>
      <c r="S27" s="3706"/>
      <c r="T27" s="3706"/>
      <c r="U27" s="3706"/>
      <c r="V27" s="3706"/>
      <c r="W27" s="3706"/>
      <c r="X27" s="3706"/>
      <c r="Y27" s="3706"/>
      <c r="Z27" s="3706"/>
      <c r="AA27" s="3706"/>
      <c r="AB27" s="3706"/>
      <c r="AC27" s="3706"/>
      <c r="AD27" s="3706"/>
      <c r="AE27" s="3706"/>
      <c r="AF27" s="3706"/>
      <c r="AG27" s="3706"/>
      <c r="AH27" s="3706"/>
      <c r="AI27" s="3706"/>
      <c r="AJ27" s="3706"/>
      <c r="AK27" s="3706"/>
      <c r="AL27" s="3706"/>
      <c r="AM27" s="3706"/>
      <c r="AN27" s="3706"/>
      <c r="AO27" s="3706"/>
      <c r="AP27" s="3706"/>
      <c r="AQ27" s="3706"/>
      <c r="AR27" s="3706"/>
      <c r="AS27" s="3706"/>
      <c r="AT27" s="3706"/>
      <c r="AU27" s="3706"/>
      <c r="AV27" s="3706"/>
      <c r="AW27" s="3706"/>
      <c r="AX27" s="3706"/>
      <c r="AY27" s="3707"/>
    </row>
    <row r="28" spans="1:51" ht="12" customHeight="1">
      <c r="A28" s="3501"/>
      <c r="K28" s="3705"/>
      <c r="L28" s="3706"/>
      <c r="M28" s="3706"/>
      <c r="N28" s="3706"/>
      <c r="O28" s="3706"/>
      <c r="P28" s="3706"/>
      <c r="Q28" s="3706"/>
      <c r="R28" s="3706"/>
      <c r="S28" s="3706"/>
      <c r="T28" s="3706"/>
      <c r="U28" s="3706"/>
      <c r="V28" s="3706"/>
      <c r="W28" s="3706"/>
      <c r="X28" s="3706"/>
      <c r="Y28" s="3706"/>
      <c r="Z28" s="3706"/>
      <c r="AA28" s="3706"/>
      <c r="AB28" s="3706"/>
      <c r="AC28" s="3706"/>
      <c r="AD28" s="3706"/>
      <c r="AE28" s="3706"/>
      <c r="AF28" s="3706"/>
      <c r="AG28" s="3706"/>
      <c r="AH28" s="3706"/>
      <c r="AI28" s="3706"/>
      <c r="AJ28" s="3706"/>
      <c r="AK28" s="3706"/>
      <c r="AL28" s="3706"/>
      <c r="AM28" s="3706"/>
      <c r="AN28" s="3706"/>
      <c r="AO28" s="3706"/>
      <c r="AP28" s="3706"/>
      <c r="AQ28" s="3706"/>
      <c r="AR28" s="3706"/>
      <c r="AS28" s="3706"/>
      <c r="AT28" s="3706"/>
      <c r="AU28" s="3706"/>
      <c r="AV28" s="3706"/>
      <c r="AW28" s="3706"/>
      <c r="AX28" s="3706"/>
      <c r="AY28" s="3707"/>
    </row>
    <row r="29" spans="1:51" ht="12" customHeight="1" thickBot="1">
      <c r="A29" s="3501"/>
      <c r="K29" s="3705"/>
      <c r="L29" s="3706"/>
      <c r="M29" s="3706"/>
      <c r="N29" s="3706"/>
      <c r="O29" s="3706"/>
      <c r="P29" s="3706"/>
      <c r="Q29" s="3706"/>
      <c r="R29" s="3706"/>
      <c r="S29" s="3706"/>
      <c r="T29" s="3706"/>
      <c r="U29" s="3706"/>
      <c r="V29" s="3706"/>
      <c r="W29" s="3706"/>
      <c r="X29" s="3706"/>
      <c r="Y29" s="3706"/>
      <c r="Z29" s="3706"/>
      <c r="AA29" s="3706"/>
      <c r="AB29" s="3706"/>
      <c r="AC29" s="3706"/>
      <c r="AD29" s="3706"/>
      <c r="AE29" s="3706"/>
      <c r="AF29" s="3706"/>
      <c r="AG29" s="3706"/>
      <c r="AH29" s="3706"/>
      <c r="AI29" s="3706"/>
      <c r="AJ29" s="3706"/>
      <c r="AK29" s="3706"/>
      <c r="AL29" s="3706"/>
      <c r="AM29" s="3706"/>
      <c r="AN29" s="3706"/>
      <c r="AO29" s="3706"/>
      <c r="AP29" s="3706"/>
      <c r="AQ29" s="3706"/>
      <c r="AR29" s="3706"/>
      <c r="AS29" s="3706"/>
      <c r="AT29" s="3706"/>
      <c r="AU29" s="3706"/>
      <c r="AV29" s="3706"/>
      <c r="AW29" s="3706"/>
      <c r="AX29" s="3706"/>
      <c r="AY29" s="3707"/>
    </row>
    <row r="30" spans="1:51" ht="12" customHeight="1">
      <c r="A30" s="3663" t="s">
        <v>4679</v>
      </c>
      <c r="B30" s="3664"/>
      <c r="C30" s="3664"/>
      <c r="D30" s="3664"/>
      <c r="E30" s="3664"/>
      <c r="F30" s="3664"/>
      <c r="G30" s="3664"/>
      <c r="H30" s="3664"/>
      <c r="I30" s="3664"/>
      <c r="J30" s="3664"/>
      <c r="K30" s="3705"/>
      <c r="L30" s="3706"/>
      <c r="M30" s="3706"/>
      <c r="N30" s="3706"/>
      <c r="O30" s="3706"/>
      <c r="P30" s="3706"/>
      <c r="Q30" s="3706"/>
      <c r="R30" s="3706"/>
      <c r="S30" s="3706"/>
      <c r="T30" s="3706"/>
      <c r="U30" s="3706"/>
      <c r="V30" s="3706"/>
      <c r="W30" s="3706"/>
      <c r="X30" s="3706"/>
      <c r="Y30" s="3706"/>
      <c r="Z30" s="3706"/>
      <c r="AA30" s="3706"/>
      <c r="AB30" s="3706"/>
      <c r="AC30" s="3706"/>
      <c r="AD30" s="3706"/>
      <c r="AE30" s="3706"/>
      <c r="AF30" s="3706"/>
      <c r="AG30" s="3706"/>
      <c r="AH30" s="3706"/>
      <c r="AI30" s="3706"/>
      <c r="AJ30" s="3706"/>
      <c r="AK30" s="3706"/>
      <c r="AL30" s="3706"/>
      <c r="AM30" s="3706"/>
      <c r="AN30" s="3706"/>
      <c r="AO30" s="3706"/>
      <c r="AP30" s="3706"/>
      <c r="AQ30" s="3706"/>
      <c r="AR30" s="3706"/>
      <c r="AS30" s="3706"/>
      <c r="AT30" s="3706"/>
      <c r="AU30" s="3706"/>
      <c r="AV30" s="3706"/>
      <c r="AW30" s="3706"/>
      <c r="AX30" s="3706"/>
      <c r="AY30" s="3707"/>
    </row>
    <row r="31" spans="1:51" ht="12" customHeight="1">
      <c r="A31" s="3687">
        <v>1</v>
      </c>
      <c r="B31" s="3688" t="s">
        <v>4680</v>
      </c>
      <c r="C31" s="3688"/>
      <c r="D31" s="3688"/>
      <c r="E31" s="3688"/>
      <c r="F31" s="3688"/>
      <c r="G31" s="3688"/>
      <c r="H31" s="3688"/>
      <c r="I31" s="3688"/>
      <c r="J31" s="3689"/>
      <c r="K31" s="3705"/>
      <c r="L31" s="3706"/>
      <c r="M31" s="3706"/>
      <c r="N31" s="3706"/>
      <c r="O31" s="3706"/>
      <c r="P31" s="3706"/>
      <c r="Q31" s="3706"/>
      <c r="R31" s="3706"/>
      <c r="S31" s="3706"/>
      <c r="T31" s="3706"/>
      <c r="U31" s="3706"/>
      <c r="V31" s="3706"/>
      <c r="W31" s="3706"/>
      <c r="X31" s="3706"/>
      <c r="Y31" s="3706"/>
      <c r="Z31" s="3706"/>
      <c r="AA31" s="3706"/>
      <c r="AB31" s="3706"/>
      <c r="AC31" s="3706"/>
      <c r="AD31" s="3706"/>
      <c r="AE31" s="3706"/>
      <c r="AF31" s="3706"/>
      <c r="AG31" s="3706"/>
      <c r="AH31" s="3706"/>
      <c r="AI31" s="3706"/>
      <c r="AJ31" s="3706"/>
      <c r="AK31" s="3706"/>
      <c r="AL31" s="3706"/>
      <c r="AM31" s="3706"/>
      <c r="AN31" s="3706"/>
      <c r="AO31" s="3706"/>
      <c r="AP31" s="3706"/>
      <c r="AQ31" s="3706"/>
      <c r="AR31" s="3706"/>
      <c r="AS31" s="3706"/>
      <c r="AT31" s="3706"/>
      <c r="AU31" s="3706"/>
      <c r="AV31" s="3706"/>
      <c r="AW31" s="3706"/>
      <c r="AX31" s="3706"/>
      <c r="AY31" s="3707"/>
    </row>
    <row r="32" spans="1:51" ht="12" customHeight="1">
      <c r="A32" s="3687"/>
      <c r="B32" s="3688"/>
      <c r="C32" s="3688"/>
      <c r="D32" s="3688"/>
      <c r="E32" s="3688"/>
      <c r="F32" s="3688"/>
      <c r="G32" s="3688"/>
      <c r="H32" s="3688"/>
      <c r="I32" s="3688"/>
      <c r="J32" s="3689"/>
      <c r="K32" s="3705"/>
      <c r="L32" s="3706"/>
      <c r="M32" s="3706"/>
      <c r="N32" s="3706"/>
      <c r="O32" s="3706"/>
      <c r="P32" s="3706"/>
      <c r="Q32" s="3706"/>
      <c r="R32" s="3706"/>
      <c r="S32" s="3706"/>
      <c r="T32" s="3706"/>
      <c r="U32" s="3706"/>
      <c r="V32" s="3706"/>
      <c r="W32" s="3706"/>
      <c r="X32" s="3706"/>
      <c r="Y32" s="3706"/>
      <c r="Z32" s="3706"/>
      <c r="AA32" s="3706"/>
      <c r="AB32" s="3706"/>
      <c r="AC32" s="3706"/>
      <c r="AD32" s="3706"/>
      <c r="AE32" s="3706"/>
      <c r="AF32" s="3706"/>
      <c r="AG32" s="3706"/>
      <c r="AH32" s="3706"/>
      <c r="AI32" s="3706"/>
      <c r="AJ32" s="3706"/>
      <c r="AK32" s="3706"/>
      <c r="AL32" s="3706"/>
      <c r="AM32" s="3706"/>
      <c r="AN32" s="3706"/>
      <c r="AO32" s="3706"/>
      <c r="AP32" s="3706"/>
      <c r="AQ32" s="3706"/>
      <c r="AR32" s="3706"/>
      <c r="AS32" s="3706"/>
      <c r="AT32" s="3706"/>
      <c r="AU32" s="3706"/>
      <c r="AV32" s="3706"/>
      <c r="AW32" s="3706"/>
      <c r="AX32" s="3706"/>
      <c r="AY32" s="3707"/>
    </row>
    <row r="33" spans="1:51" ht="12" customHeight="1">
      <c r="A33" s="3687"/>
      <c r="B33" s="3688"/>
      <c r="C33" s="3688"/>
      <c r="D33" s="3688"/>
      <c r="E33" s="3688"/>
      <c r="F33" s="3688"/>
      <c r="G33" s="3688"/>
      <c r="H33" s="3688"/>
      <c r="I33" s="3688"/>
      <c r="J33" s="3689"/>
      <c r="K33" s="3705"/>
      <c r="L33" s="3706"/>
      <c r="M33" s="3706"/>
      <c r="N33" s="3706"/>
      <c r="O33" s="3706"/>
      <c r="P33" s="3706"/>
      <c r="Q33" s="3706"/>
      <c r="R33" s="3706"/>
      <c r="S33" s="3706"/>
      <c r="T33" s="3706"/>
      <c r="U33" s="3706"/>
      <c r="V33" s="3706"/>
      <c r="W33" s="3706"/>
      <c r="X33" s="3706"/>
      <c r="Y33" s="3706"/>
      <c r="Z33" s="3706"/>
      <c r="AA33" s="3706"/>
      <c r="AB33" s="3706"/>
      <c r="AC33" s="3706"/>
      <c r="AD33" s="3706"/>
      <c r="AE33" s="3706"/>
      <c r="AF33" s="3706"/>
      <c r="AG33" s="3706"/>
      <c r="AH33" s="3706"/>
      <c r="AI33" s="3706"/>
      <c r="AJ33" s="3706"/>
      <c r="AK33" s="3706"/>
      <c r="AL33" s="3706"/>
      <c r="AM33" s="3706"/>
      <c r="AN33" s="3706"/>
      <c r="AO33" s="3706"/>
      <c r="AP33" s="3706"/>
      <c r="AQ33" s="3706"/>
      <c r="AR33" s="3706"/>
      <c r="AS33" s="3706"/>
      <c r="AT33" s="3706"/>
      <c r="AU33" s="3706"/>
      <c r="AV33" s="3706"/>
      <c r="AW33" s="3706"/>
      <c r="AX33" s="3706"/>
      <c r="AY33" s="3707"/>
    </row>
    <row r="34" spans="1:51" ht="12" customHeight="1">
      <c r="A34" s="3687"/>
      <c r="B34" s="3688"/>
      <c r="C34" s="3688"/>
      <c r="D34" s="3688"/>
      <c r="E34" s="3688"/>
      <c r="F34" s="3688"/>
      <c r="G34" s="3688"/>
      <c r="H34" s="3688"/>
      <c r="I34" s="3688"/>
      <c r="J34" s="3689"/>
      <c r="K34" s="3705"/>
      <c r="L34" s="3706"/>
      <c r="M34" s="3706"/>
      <c r="N34" s="3706"/>
      <c r="O34" s="3706"/>
      <c r="P34" s="3706"/>
      <c r="Q34" s="3706"/>
      <c r="R34" s="3706"/>
      <c r="S34" s="3706"/>
      <c r="T34" s="3706"/>
      <c r="U34" s="3706"/>
      <c r="V34" s="3706"/>
      <c r="W34" s="3706"/>
      <c r="X34" s="3706"/>
      <c r="Y34" s="3706"/>
      <c r="Z34" s="3706"/>
      <c r="AA34" s="3706"/>
      <c r="AB34" s="3706"/>
      <c r="AC34" s="3706"/>
      <c r="AD34" s="3706"/>
      <c r="AE34" s="3706"/>
      <c r="AF34" s="3706"/>
      <c r="AG34" s="3706"/>
      <c r="AH34" s="3706"/>
      <c r="AI34" s="3706"/>
      <c r="AJ34" s="3706"/>
      <c r="AK34" s="3706"/>
      <c r="AL34" s="3706"/>
      <c r="AM34" s="3706"/>
      <c r="AN34" s="3706"/>
      <c r="AO34" s="3706"/>
      <c r="AP34" s="3706"/>
      <c r="AQ34" s="3706"/>
      <c r="AR34" s="3706"/>
      <c r="AS34" s="3706"/>
      <c r="AT34" s="3706"/>
      <c r="AU34" s="3706"/>
      <c r="AV34" s="3706"/>
      <c r="AW34" s="3706"/>
      <c r="AX34" s="3706"/>
      <c r="AY34" s="3707"/>
    </row>
    <row r="35" spans="1:51" ht="12" customHeight="1">
      <c r="A35" s="3687"/>
      <c r="B35" s="3688"/>
      <c r="C35" s="3688"/>
      <c r="D35" s="3688"/>
      <c r="E35" s="3688"/>
      <c r="F35" s="3688"/>
      <c r="G35" s="3688"/>
      <c r="H35" s="3688"/>
      <c r="I35" s="3688"/>
      <c r="J35" s="3689"/>
      <c r="K35" s="3705"/>
      <c r="L35" s="3706"/>
      <c r="M35" s="3706"/>
      <c r="N35" s="3706"/>
      <c r="O35" s="3706"/>
      <c r="P35" s="3706"/>
      <c r="Q35" s="3706"/>
      <c r="R35" s="3706"/>
      <c r="S35" s="3706"/>
      <c r="T35" s="3706"/>
      <c r="U35" s="3706"/>
      <c r="V35" s="3706"/>
      <c r="W35" s="3706"/>
      <c r="X35" s="3706"/>
      <c r="Y35" s="3706"/>
      <c r="Z35" s="3706"/>
      <c r="AA35" s="3706"/>
      <c r="AB35" s="3706"/>
      <c r="AC35" s="3706"/>
      <c r="AD35" s="3706"/>
      <c r="AE35" s="3706"/>
      <c r="AF35" s="3706"/>
      <c r="AG35" s="3706"/>
      <c r="AH35" s="3706"/>
      <c r="AI35" s="3706"/>
      <c r="AJ35" s="3706"/>
      <c r="AK35" s="3706"/>
      <c r="AL35" s="3706"/>
      <c r="AM35" s="3706"/>
      <c r="AN35" s="3706"/>
      <c r="AO35" s="3706"/>
      <c r="AP35" s="3706"/>
      <c r="AQ35" s="3706"/>
      <c r="AR35" s="3706"/>
      <c r="AS35" s="3706"/>
      <c r="AT35" s="3706"/>
      <c r="AU35" s="3706"/>
      <c r="AV35" s="3706"/>
      <c r="AW35" s="3706"/>
      <c r="AX35" s="3706"/>
      <c r="AY35" s="3707"/>
    </row>
    <row r="36" spans="1:51" ht="12" customHeight="1">
      <c r="A36" s="3687">
        <v>2</v>
      </c>
      <c r="B36" s="3688" t="s">
        <v>4681</v>
      </c>
      <c r="C36" s="3688"/>
      <c r="D36" s="3688"/>
      <c r="E36" s="3688"/>
      <c r="F36" s="3688"/>
      <c r="G36" s="3688"/>
      <c r="H36" s="3688"/>
      <c r="I36" s="3688"/>
      <c r="J36" s="3689"/>
      <c r="K36" s="3705"/>
      <c r="L36" s="3706"/>
      <c r="M36" s="3706"/>
      <c r="N36" s="3706"/>
      <c r="O36" s="3706"/>
      <c r="P36" s="3706"/>
      <c r="Q36" s="3706"/>
      <c r="R36" s="3706"/>
      <c r="S36" s="3706"/>
      <c r="T36" s="3706"/>
      <c r="U36" s="3706"/>
      <c r="V36" s="3706"/>
      <c r="W36" s="3706"/>
      <c r="X36" s="3706"/>
      <c r="Y36" s="3706"/>
      <c r="Z36" s="3706"/>
      <c r="AA36" s="3706"/>
      <c r="AB36" s="3706"/>
      <c r="AC36" s="3706"/>
      <c r="AD36" s="3706"/>
      <c r="AE36" s="3706"/>
      <c r="AF36" s="3706"/>
      <c r="AG36" s="3706"/>
      <c r="AH36" s="3706"/>
      <c r="AI36" s="3706"/>
      <c r="AJ36" s="3706"/>
      <c r="AK36" s="3706"/>
      <c r="AL36" s="3706"/>
      <c r="AM36" s="3706"/>
      <c r="AN36" s="3706"/>
      <c r="AO36" s="3706"/>
      <c r="AP36" s="3706"/>
      <c r="AQ36" s="3706"/>
      <c r="AR36" s="3706"/>
      <c r="AS36" s="3706"/>
      <c r="AT36" s="3706"/>
      <c r="AU36" s="3706"/>
      <c r="AV36" s="3706"/>
      <c r="AW36" s="3706"/>
      <c r="AX36" s="3706"/>
      <c r="AY36" s="3707"/>
    </row>
    <row r="37" spans="1:51" ht="12" customHeight="1">
      <c r="A37" s="3687"/>
      <c r="B37" s="3688"/>
      <c r="C37" s="3688"/>
      <c r="D37" s="3688"/>
      <c r="E37" s="3688"/>
      <c r="F37" s="3688"/>
      <c r="G37" s="3688"/>
      <c r="H37" s="3688"/>
      <c r="I37" s="3688"/>
      <c r="J37" s="3689"/>
      <c r="K37" s="3705"/>
      <c r="L37" s="3706"/>
      <c r="M37" s="3706"/>
      <c r="N37" s="3706"/>
      <c r="O37" s="3706"/>
      <c r="P37" s="3706"/>
      <c r="Q37" s="3706"/>
      <c r="R37" s="3706"/>
      <c r="S37" s="3706"/>
      <c r="T37" s="3706"/>
      <c r="U37" s="3706"/>
      <c r="V37" s="3706"/>
      <c r="W37" s="3706"/>
      <c r="X37" s="3706"/>
      <c r="Y37" s="3706"/>
      <c r="Z37" s="3706"/>
      <c r="AA37" s="3706"/>
      <c r="AB37" s="3706"/>
      <c r="AC37" s="3706"/>
      <c r="AD37" s="3706"/>
      <c r="AE37" s="3706"/>
      <c r="AF37" s="3706"/>
      <c r="AG37" s="3706"/>
      <c r="AH37" s="3706"/>
      <c r="AI37" s="3706"/>
      <c r="AJ37" s="3706"/>
      <c r="AK37" s="3706"/>
      <c r="AL37" s="3706"/>
      <c r="AM37" s="3706"/>
      <c r="AN37" s="3706"/>
      <c r="AO37" s="3706"/>
      <c r="AP37" s="3706"/>
      <c r="AQ37" s="3706"/>
      <c r="AR37" s="3706"/>
      <c r="AS37" s="3706"/>
      <c r="AT37" s="3706"/>
      <c r="AU37" s="3706"/>
      <c r="AV37" s="3706"/>
      <c r="AW37" s="3706"/>
      <c r="AX37" s="3706"/>
      <c r="AY37" s="3707"/>
    </row>
    <row r="38" spans="1:51" ht="12" customHeight="1">
      <c r="A38" s="3687"/>
      <c r="B38" s="3688"/>
      <c r="C38" s="3688"/>
      <c r="D38" s="3688"/>
      <c r="E38" s="3688"/>
      <c r="F38" s="3688"/>
      <c r="G38" s="3688"/>
      <c r="H38" s="3688"/>
      <c r="I38" s="3688"/>
      <c r="J38" s="3689"/>
      <c r="K38" s="3705"/>
      <c r="L38" s="3706"/>
      <c r="M38" s="3706"/>
      <c r="N38" s="3706"/>
      <c r="O38" s="3706"/>
      <c r="P38" s="3706"/>
      <c r="Q38" s="3706"/>
      <c r="R38" s="3706"/>
      <c r="S38" s="3706"/>
      <c r="T38" s="3706"/>
      <c r="U38" s="3706"/>
      <c r="V38" s="3706"/>
      <c r="W38" s="3706"/>
      <c r="X38" s="3706"/>
      <c r="Y38" s="3706"/>
      <c r="Z38" s="3706"/>
      <c r="AA38" s="3706"/>
      <c r="AB38" s="3706"/>
      <c r="AC38" s="3706"/>
      <c r="AD38" s="3706"/>
      <c r="AE38" s="3706"/>
      <c r="AF38" s="3706"/>
      <c r="AG38" s="3706"/>
      <c r="AH38" s="3706"/>
      <c r="AI38" s="3706"/>
      <c r="AJ38" s="3706"/>
      <c r="AK38" s="3706"/>
      <c r="AL38" s="3706"/>
      <c r="AM38" s="3706"/>
      <c r="AN38" s="3706"/>
      <c r="AO38" s="3706"/>
      <c r="AP38" s="3706"/>
      <c r="AQ38" s="3706"/>
      <c r="AR38" s="3706"/>
      <c r="AS38" s="3706"/>
      <c r="AT38" s="3706"/>
      <c r="AU38" s="3706"/>
      <c r="AV38" s="3706"/>
      <c r="AW38" s="3706"/>
      <c r="AX38" s="3706"/>
      <c r="AY38" s="3707"/>
    </row>
    <row r="39" spans="1:51" ht="12" customHeight="1">
      <c r="A39" s="3687"/>
      <c r="B39" s="3688"/>
      <c r="C39" s="3688"/>
      <c r="D39" s="3688"/>
      <c r="E39" s="3688"/>
      <c r="F39" s="3688"/>
      <c r="G39" s="3688"/>
      <c r="H39" s="3688"/>
      <c r="I39" s="3688"/>
      <c r="J39" s="3689"/>
      <c r="K39" s="3705"/>
      <c r="L39" s="3706"/>
      <c r="M39" s="3706"/>
      <c r="N39" s="3706"/>
      <c r="O39" s="3706"/>
      <c r="P39" s="3706"/>
      <c r="Q39" s="3706"/>
      <c r="R39" s="3706"/>
      <c r="S39" s="3706"/>
      <c r="T39" s="3706"/>
      <c r="U39" s="3706"/>
      <c r="V39" s="3706"/>
      <c r="W39" s="3706"/>
      <c r="X39" s="3706"/>
      <c r="Y39" s="3706"/>
      <c r="Z39" s="3706"/>
      <c r="AA39" s="3706"/>
      <c r="AB39" s="3706"/>
      <c r="AC39" s="3706"/>
      <c r="AD39" s="3706"/>
      <c r="AE39" s="3706"/>
      <c r="AF39" s="3706"/>
      <c r="AG39" s="3706"/>
      <c r="AH39" s="3706"/>
      <c r="AI39" s="3706"/>
      <c r="AJ39" s="3706"/>
      <c r="AK39" s="3706"/>
      <c r="AL39" s="3706"/>
      <c r="AM39" s="3706"/>
      <c r="AN39" s="3706"/>
      <c r="AO39" s="3706"/>
      <c r="AP39" s="3706"/>
      <c r="AQ39" s="3706"/>
      <c r="AR39" s="3706"/>
      <c r="AS39" s="3706"/>
      <c r="AT39" s="3706"/>
      <c r="AU39" s="3706"/>
      <c r="AV39" s="3706"/>
      <c r="AW39" s="3706"/>
      <c r="AX39" s="3706"/>
      <c r="AY39" s="3707"/>
    </row>
    <row r="40" spans="1:51" ht="12" customHeight="1">
      <c r="A40" s="3687"/>
      <c r="B40" s="3688"/>
      <c r="C40" s="3688"/>
      <c r="D40" s="3688"/>
      <c r="E40" s="3688"/>
      <c r="F40" s="3688"/>
      <c r="G40" s="3688"/>
      <c r="H40" s="3688"/>
      <c r="I40" s="3688"/>
      <c r="J40" s="3689"/>
      <c r="K40" s="3705"/>
      <c r="L40" s="3706"/>
      <c r="M40" s="3706"/>
      <c r="N40" s="3706"/>
      <c r="O40" s="3706"/>
      <c r="P40" s="3706"/>
      <c r="Q40" s="3706"/>
      <c r="R40" s="3706"/>
      <c r="S40" s="3706"/>
      <c r="T40" s="3706"/>
      <c r="U40" s="3706"/>
      <c r="V40" s="3706"/>
      <c r="W40" s="3706"/>
      <c r="X40" s="3706"/>
      <c r="Y40" s="3706"/>
      <c r="Z40" s="3706"/>
      <c r="AA40" s="3706"/>
      <c r="AB40" s="3706"/>
      <c r="AC40" s="3706"/>
      <c r="AD40" s="3706"/>
      <c r="AE40" s="3706"/>
      <c r="AF40" s="3706"/>
      <c r="AG40" s="3706"/>
      <c r="AH40" s="3706"/>
      <c r="AI40" s="3706"/>
      <c r="AJ40" s="3706"/>
      <c r="AK40" s="3706"/>
      <c r="AL40" s="3706"/>
      <c r="AM40" s="3706"/>
      <c r="AN40" s="3706"/>
      <c r="AO40" s="3706"/>
      <c r="AP40" s="3706"/>
      <c r="AQ40" s="3706"/>
      <c r="AR40" s="3706"/>
      <c r="AS40" s="3706"/>
      <c r="AT40" s="3706"/>
      <c r="AU40" s="3706"/>
      <c r="AV40" s="3706"/>
      <c r="AW40" s="3706"/>
      <c r="AX40" s="3706"/>
      <c r="AY40" s="3707"/>
    </row>
    <row r="41" spans="1:51" ht="12" customHeight="1">
      <c r="A41" s="3687">
        <v>3</v>
      </c>
      <c r="B41" s="3688" t="s">
        <v>4682</v>
      </c>
      <c r="C41" s="3688"/>
      <c r="D41" s="3688"/>
      <c r="E41" s="3688"/>
      <c r="F41" s="3688"/>
      <c r="G41" s="3688"/>
      <c r="H41" s="3688"/>
      <c r="I41" s="3688"/>
      <c r="J41" s="3689"/>
      <c r="K41" s="3705"/>
      <c r="L41" s="3706"/>
      <c r="M41" s="3706"/>
      <c r="N41" s="3706"/>
      <c r="O41" s="3706"/>
      <c r="P41" s="3706"/>
      <c r="Q41" s="3706"/>
      <c r="R41" s="3706"/>
      <c r="S41" s="3706"/>
      <c r="T41" s="3706"/>
      <c r="U41" s="3706"/>
      <c r="V41" s="3706"/>
      <c r="W41" s="3706"/>
      <c r="X41" s="3706"/>
      <c r="Y41" s="3706"/>
      <c r="Z41" s="3706"/>
      <c r="AA41" s="3706"/>
      <c r="AB41" s="3706"/>
      <c r="AC41" s="3706"/>
      <c r="AD41" s="3706"/>
      <c r="AE41" s="3706"/>
      <c r="AF41" s="3706"/>
      <c r="AG41" s="3706"/>
      <c r="AH41" s="3706"/>
      <c r="AI41" s="3706"/>
      <c r="AJ41" s="3706"/>
      <c r="AK41" s="3706"/>
      <c r="AL41" s="3706"/>
      <c r="AM41" s="3706"/>
      <c r="AN41" s="3706"/>
      <c r="AO41" s="3706"/>
      <c r="AP41" s="3706"/>
      <c r="AQ41" s="3706"/>
      <c r="AR41" s="3706"/>
      <c r="AS41" s="3706"/>
      <c r="AT41" s="3706"/>
      <c r="AU41" s="3706"/>
      <c r="AV41" s="3706"/>
      <c r="AW41" s="3706"/>
      <c r="AX41" s="3706"/>
      <c r="AY41" s="3707"/>
    </row>
    <row r="42" spans="1:51" ht="12" customHeight="1">
      <c r="A42" s="3687"/>
      <c r="B42" s="3688"/>
      <c r="C42" s="3688"/>
      <c r="D42" s="3688"/>
      <c r="E42" s="3688"/>
      <c r="F42" s="3688"/>
      <c r="G42" s="3688"/>
      <c r="H42" s="3688"/>
      <c r="I42" s="3688"/>
      <c r="J42" s="3689"/>
      <c r="K42" s="3705"/>
      <c r="L42" s="3706"/>
      <c r="M42" s="3706"/>
      <c r="N42" s="3706"/>
      <c r="O42" s="3706"/>
      <c r="P42" s="3706"/>
      <c r="Q42" s="3706"/>
      <c r="R42" s="3706"/>
      <c r="S42" s="3706"/>
      <c r="T42" s="3706"/>
      <c r="U42" s="3706"/>
      <c r="V42" s="3706"/>
      <c r="W42" s="3706"/>
      <c r="X42" s="3706"/>
      <c r="Y42" s="3706"/>
      <c r="Z42" s="3706"/>
      <c r="AA42" s="3706"/>
      <c r="AB42" s="3706"/>
      <c r="AC42" s="3706"/>
      <c r="AD42" s="3706"/>
      <c r="AE42" s="3706"/>
      <c r="AF42" s="3706"/>
      <c r="AG42" s="3706"/>
      <c r="AH42" s="3706"/>
      <c r="AI42" s="3706"/>
      <c r="AJ42" s="3706"/>
      <c r="AK42" s="3706"/>
      <c r="AL42" s="3706"/>
      <c r="AM42" s="3706"/>
      <c r="AN42" s="3706"/>
      <c r="AO42" s="3706"/>
      <c r="AP42" s="3706"/>
      <c r="AQ42" s="3706"/>
      <c r="AR42" s="3706"/>
      <c r="AS42" s="3706"/>
      <c r="AT42" s="3706"/>
      <c r="AU42" s="3706"/>
      <c r="AV42" s="3706"/>
      <c r="AW42" s="3706"/>
      <c r="AX42" s="3706"/>
      <c r="AY42" s="3707"/>
    </row>
    <row r="43" spans="1:51" ht="12" customHeight="1">
      <c r="A43" s="3687"/>
      <c r="B43" s="3688"/>
      <c r="C43" s="3688"/>
      <c r="D43" s="3688"/>
      <c r="E43" s="3688"/>
      <c r="F43" s="3688"/>
      <c r="G43" s="3688"/>
      <c r="H43" s="3688"/>
      <c r="I43" s="3688"/>
      <c r="J43" s="3689"/>
      <c r="K43" s="3705"/>
      <c r="L43" s="3706"/>
      <c r="M43" s="3706"/>
      <c r="N43" s="3706"/>
      <c r="O43" s="3706"/>
      <c r="P43" s="3706"/>
      <c r="Q43" s="3706"/>
      <c r="R43" s="3706"/>
      <c r="S43" s="3706"/>
      <c r="T43" s="3706"/>
      <c r="U43" s="3706"/>
      <c r="V43" s="3706"/>
      <c r="W43" s="3706"/>
      <c r="X43" s="3706"/>
      <c r="Y43" s="3706"/>
      <c r="Z43" s="3706"/>
      <c r="AA43" s="3706"/>
      <c r="AB43" s="3706"/>
      <c r="AC43" s="3706"/>
      <c r="AD43" s="3706"/>
      <c r="AE43" s="3706"/>
      <c r="AF43" s="3706"/>
      <c r="AG43" s="3706"/>
      <c r="AH43" s="3706"/>
      <c r="AI43" s="3706"/>
      <c r="AJ43" s="3706"/>
      <c r="AK43" s="3706"/>
      <c r="AL43" s="3706"/>
      <c r="AM43" s="3706"/>
      <c r="AN43" s="3706"/>
      <c r="AO43" s="3706"/>
      <c r="AP43" s="3706"/>
      <c r="AQ43" s="3706"/>
      <c r="AR43" s="3706"/>
      <c r="AS43" s="3706"/>
      <c r="AT43" s="3706"/>
      <c r="AU43" s="3706"/>
      <c r="AV43" s="3706"/>
      <c r="AW43" s="3706"/>
      <c r="AX43" s="3706"/>
      <c r="AY43" s="3707"/>
    </row>
    <row r="44" spans="1:51" ht="12" customHeight="1">
      <c r="A44" s="3687"/>
      <c r="B44" s="3688"/>
      <c r="C44" s="3688"/>
      <c r="D44" s="3688"/>
      <c r="E44" s="3688"/>
      <c r="F44" s="3688"/>
      <c r="G44" s="3688"/>
      <c r="H44" s="3688"/>
      <c r="I44" s="3688"/>
      <c r="J44" s="3689"/>
      <c r="K44" s="3705"/>
      <c r="L44" s="3706"/>
      <c r="M44" s="3706"/>
      <c r="N44" s="3706"/>
      <c r="O44" s="3706"/>
      <c r="P44" s="3706"/>
      <c r="Q44" s="3706"/>
      <c r="R44" s="3706"/>
      <c r="S44" s="3706"/>
      <c r="T44" s="3706"/>
      <c r="U44" s="3706"/>
      <c r="V44" s="3706"/>
      <c r="W44" s="3706"/>
      <c r="X44" s="3706"/>
      <c r="Y44" s="3706"/>
      <c r="Z44" s="3706"/>
      <c r="AA44" s="3706"/>
      <c r="AB44" s="3706"/>
      <c r="AC44" s="3706"/>
      <c r="AD44" s="3706"/>
      <c r="AE44" s="3706"/>
      <c r="AF44" s="3706"/>
      <c r="AG44" s="3706"/>
      <c r="AH44" s="3706"/>
      <c r="AI44" s="3706"/>
      <c r="AJ44" s="3706"/>
      <c r="AK44" s="3706"/>
      <c r="AL44" s="3706"/>
      <c r="AM44" s="3706"/>
      <c r="AN44" s="3706"/>
      <c r="AO44" s="3706"/>
      <c r="AP44" s="3706"/>
      <c r="AQ44" s="3706"/>
      <c r="AR44" s="3706"/>
      <c r="AS44" s="3706"/>
      <c r="AT44" s="3706"/>
      <c r="AU44" s="3706"/>
      <c r="AV44" s="3706"/>
      <c r="AW44" s="3706"/>
      <c r="AX44" s="3706"/>
      <c r="AY44" s="3707"/>
    </row>
    <row r="45" spans="1:51" ht="12" customHeight="1" thickBot="1">
      <c r="A45" s="3681"/>
      <c r="B45" s="3690"/>
      <c r="C45" s="3690"/>
      <c r="D45" s="3690"/>
      <c r="E45" s="3690"/>
      <c r="F45" s="3690"/>
      <c r="G45" s="3690"/>
      <c r="H45" s="3690"/>
      <c r="I45" s="3690"/>
      <c r="J45" s="3691"/>
      <c r="K45" s="3708"/>
      <c r="L45" s="3709"/>
      <c r="M45" s="3709"/>
      <c r="N45" s="3709"/>
      <c r="O45" s="3709"/>
      <c r="P45" s="3709"/>
      <c r="Q45" s="3709"/>
      <c r="R45" s="3709"/>
      <c r="S45" s="3709"/>
      <c r="T45" s="3709"/>
      <c r="U45" s="3709"/>
      <c r="V45" s="3709"/>
      <c r="W45" s="3709"/>
      <c r="X45" s="3709"/>
      <c r="Y45" s="3709"/>
      <c r="Z45" s="3709"/>
      <c r="AA45" s="3709"/>
      <c r="AB45" s="3709"/>
      <c r="AC45" s="3709"/>
      <c r="AD45" s="3709"/>
      <c r="AE45" s="3709"/>
      <c r="AF45" s="3709"/>
      <c r="AG45" s="3709"/>
      <c r="AH45" s="3709"/>
      <c r="AI45" s="3709"/>
      <c r="AJ45" s="3709"/>
      <c r="AK45" s="3709"/>
      <c r="AL45" s="3709"/>
      <c r="AM45" s="3709"/>
      <c r="AN45" s="3709"/>
      <c r="AO45" s="3709"/>
      <c r="AP45" s="3709"/>
      <c r="AQ45" s="3709"/>
      <c r="AR45" s="3709"/>
      <c r="AS45" s="3709"/>
      <c r="AT45" s="3709"/>
      <c r="AU45" s="3709"/>
      <c r="AV45" s="3709"/>
      <c r="AW45" s="3709"/>
      <c r="AX45" s="3709"/>
      <c r="AY45" s="3710"/>
    </row>
    <row r="46" spans="1:51" ht="12" customHeight="1">
      <c r="A46" s="3692" t="s">
        <v>4683</v>
      </c>
      <c r="B46" s="3693"/>
      <c r="C46" s="3696"/>
      <c r="D46" s="3696"/>
      <c r="E46" s="3696"/>
      <c r="F46" s="3696"/>
      <c r="G46" s="3696"/>
      <c r="H46" s="3696"/>
      <c r="I46" s="3696"/>
      <c r="J46" s="3696"/>
      <c r="K46" s="3697"/>
      <c r="L46" s="3699" t="s">
        <v>4684</v>
      </c>
      <c r="M46" s="3700"/>
      <c r="N46" s="3701"/>
      <c r="O46" s="3701"/>
      <c r="P46" s="3660"/>
      <c r="Q46" s="3661"/>
      <c r="R46" s="3662"/>
      <c r="S46" s="3663" t="s">
        <v>4685</v>
      </c>
      <c r="T46" s="3664"/>
      <c r="U46" s="3664"/>
      <c r="V46" s="3664"/>
      <c r="W46" s="3664"/>
      <c r="X46" s="3664"/>
      <c r="Y46" s="3664"/>
      <c r="Z46" s="3664"/>
      <c r="AA46" s="3664"/>
      <c r="AB46" s="3664"/>
      <c r="AC46" s="3667"/>
      <c r="AD46" s="3669"/>
      <c r="AE46" s="3670"/>
      <c r="AF46" s="3670"/>
      <c r="AG46" s="3670"/>
      <c r="AH46" s="3670"/>
      <c r="AI46" s="3670"/>
      <c r="AJ46" s="3670"/>
      <c r="AK46" s="3670"/>
      <c r="AL46" s="3670"/>
      <c r="AM46" s="3670"/>
      <c r="AN46" s="3671"/>
      <c r="AO46" s="3675"/>
      <c r="AP46" s="3676"/>
      <c r="AQ46" s="3676"/>
      <c r="AR46" s="3676"/>
      <c r="AS46" s="3676"/>
      <c r="AT46" s="3676"/>
      <c r="AU46" s="3676"/>
      <c r="AV46" s="3676"/>
      <c r="AW46" s="3676"/>
      <c r="AX46" s="3676"/>
      <c r="AY46" s="3677"/>
    </row>
    <row r="47" spans="1:51" ht="12" customHeight="1" thickBot="1">
      <c r="A47" s="3694"/>
      <c r="B47" s="3695"/>
      <c r="C47" s="3682"/>
      <c r="D47" s="3682"/>
      <c r="E47" s="3682"/>
      <c r="F47" s="3682"/>
      <c r="G47" s="3682"/>
      <c r="H47" s="3682"/>
      <c r="I47" s="3682"/>
      <c r="J47" s="3682"/>
      <c r="K47" s="3698"/>
      <c r="L47" s="3681" t="s">
        <v>4686</v>
      </c>
      <c r="M47" s="3682"/>
      <c r="N47" s="3683"/>
      <c r="O47" s="3683"/>
      <c r="P47" s="3684"/>
      <c r="Q47" s="3685"/>
      <c r="R47" s="3686"/>
      <c r="S47" s="3665"/>
      <c r="T47" s="3666"/>
      <c r="U47" s="3666"/>
      <c r="V47" s="3666"/>
      <c r="W47" s="3666"/>
      <c r="X47" s="3666"/>
      <c r="Y47" s="3666"/>
      <c r="Z47" s="3666"/>
      <c r="AA47" s="3666"/>
      <c r="AB47" s="3666"/>
      <c r="AC47" s="3668"/>
      <c r="AD47" s="3672"/>
      <c r="AE47" s="3673"/>
      <c r="AF47" s="3673"/>
      <c r="AG47" s="3673"/>
      <c r="AH47" s="3673"/>
      <c r="AI47" s="3673"/>
      <c r="AJ47" s="3673"/>
      <c r="AK47" s="3673"/>
      <c r="AL47" s="3673"/>
      <c r="AM47" s="3673"/>
      <c r="AN47" s="3674"/>
      <c r="AO47" s="3678"/>
      <c r="AP47" s="3679"/>
      <c r="AQ47" s="3679"/>
      <c r="AR47" s="3679"/>
      <c r="AS47" s="3679"/>
      <c r="AT47" s="3679"/>
      <c r="AU47" s="3679"/>
      <c r="AV47" s="3679"/>
      <c r="AW47" s="3679"/>
      <c r="AX47" s="3679"/>
      <c r="AY47" s="3680"/>
    </row>
  </sheetData>
  <sheetProtection formatCells="0"/>
  <mergeCells count="63">
    <mergeCell ref="Q5:T5"/>
    <mergeCell ref="G6:K6"/>
    <mergeCell ref="Q6:X6"/>
    <mergeCell ref="A1:AY2"/>
    <mergeCell ref="A3:C4"/>
    <mergeCell ref="D3:F4"/>
    <mergeCell ref="N3:P3"/>
    <mergeCell ref="Q3:T3"/>
    <mergeCell ref="N4:P4"/>
    <mergeCell ref="Q4:T4"/>
    <mergeCell ref="B9:D9"/>
    <mergeCell ref="E9:F9"/>
    <mergeCell ref="A5:C5"/>
    <mergeCell ref="D5:F5"/>
    <mergeCell ref="N5:P5"/>
    <mergeCell ref="B7:D7"/>
    <mergeCell ref="E7:F7"/>
    <mergeCell ref="G7:K7"/>
    <mergeCell ref="B8:D8"/>
    <mergeCell ref="E8:F8"/>
    <mergeCell ref="B16:D16"/>
    <mergeCell ref="E16:F16"/>
    <mergeCell ref="B17:D17"/>
    <mergeCell ref="B10:D10"/>
    <mergeCell ref="E10:F10"/>
    <mergeCell ref="B11:D11"/>
    <mergeCell ref="E11:F11"/>
    <mergeCell ref="B12:D12"/>
    <mergeCell ref="E12:F12"/>
    <mergeCell ref="A36:A40"/>
    <mergeCell ref="B36:J40"/>
    <mergeCell ref="E17:F17"/>
    <mergeCell ref="B18:D18"/>
    <mergeCell ref="E18:F18"/>
    <mergeCell ref="B19:D19"/>
    <mergeCell ref="E19:F19"/>
    <mergeCell ref="G19:J19"/>
    <mergeCell ref="B20:D20"/>
    <mergeCell ref="E20:F20"/>
    <mergeCell ref="A30:J30"/>
    <mergeCell ref="A31:A35"/>
    <mergeCell ref="B31:J35"/>
    <mergeCell ref="L47:M47"/>
    <mergeCell ref="N47:O47"/>
    <mergeCell ref="P47:R47"/>
    <mergeCell ref="A41:A45"/>
    <mergeCell ref="B41:J45"/>
    <mergeCell ref="A46:B47"/>
    <mergeCell ref="C46:K47"/>
    <mergeCell ref="L46:M46"/>
    <mergeCell ref="N46:O46"/>
    <mergeCell ref="K12:AY45"/>
    <mergeCell ref="B13:D13"/>
    <mergeCell ref="E13:F13"/>
    <mergeCell ref="C14:D14"/>
    <mergeCell ref="E14:F14"/>
    <mergeCell ref="B15:D15"/>
    <mergeCell ref="E15:F15"/>
    <mergeCell ref="P46:R46"/>
    <mergeCell ref="S46:T47"/>
    <mergeCell ref="U46:AC47"/>
    <mergeCell ref="AD46:AN47"/>
    <mergeCell ref="AO46:AY47"/>
  </mergeCells>
  <phoneticPr fontId="170" type="noConversion"/>
  <pageMargins left="0" right="0" top="0" bottom="0" header="0" footer="0"/>
  <pageSetup paperSize="9" orientation="landscape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>
    <tabColor theme="7" tint="0.79998168889431442"/>
  </sheetPr>
  <dimension ref="A1:AY47"/>
  <sheetViews>
    <sheetView topLeftCell="A10" zoomScaleNormal="100" zoomScaleSheetLayoutView="100" zoomScalePageLayoutView="70" workbookViewId="0">
      <selection activeCell="B17" sqref="B17:D17"/>
    </sheetView>
  </sheetViews>
  <sheetFormatPr defaultColWidth="2.7109375" defaultRowHeight="12" customHeight="1"/>
  <cols>
    <col min="1" max="1" width="2.7109375" style="3382"/>
    <col min="2" max="2" width="3" style="3382" bestFit="1" customWidth="1"/>
    <col min="3" max="23" width="2.7109375" style="3382"/>
    <col min="24" max="24" width="4.85546875" style="3382" customWidth="1"/>
    <col min="25" max="16384" width="2.7109375" style="3382"/>
  </cols>
  <sheetData>
    <row r="1" spans="1:51" ht="12" customHeight="1">
      <c r="A1" s="3761" t="s">
        <v>4655</v>
      </c>
      <c r="B1" s="3762"/>
      <c r="C1" s="3762"/>
      <c r="D1" s="3762"/>
      <c r="E1" s="3762"/>
      <c r="F1" s="3762"/>
      <c r="G1" s="3762"/>
      <c r="H1" s="3762"/>
      <c r="I1" s="3762"/>
      <c r="J1" s="3762"/>
      <c r="K1" s="3762"/>
      <c r="L1" s="3762"/>
      <c r="M1" s="3762"/>
      <c r="N1" s="3762"/>
      <c r="O1" s="3762"/>
      <c r="P1" s="3762"/>
      <c r="Q1" s="3762"/>
      <c r="R1" s="3762"/>
      <c r="S1" s="3762"/>
      <c r="T1" s="3762"/>
      <c r="U1" s="3762"/>
      <c r="V1" s="3762"/>
      <c r="W1" s="3762"/>
      <c r="X1" s="3762"/>
      <c r="Y1" s="3762"/>
      <c r="Z1" s="3762"/>
      <c r="AA1" s="3762"/>
      <c r="AB1" s="3762"/>
      <c r="AC1" s="3762"/>
      <c r="AD1" s="3762"/>
      <c r="AE1" s="3762"/>
      <c r="AF1" s="3762"/>
      <c r="AG1" s="3762"/>
      <c r="AH1" s="3762"/>
      <c r="AI1" s="3762"/>
      <c r="AJ1" s="3762"/>
      <c r="AK1" s="3762"/>
      <c r="AL1" s="3762"/>
      <c r="AM1" s="3762"/>
      <c r="AN1" s="3762"/>
      <c r="AO1" s="3762"/>
      <c r="AP1" s="3762"/>
      <c r="AQ1" s="3762"/>
      <c r="AR1" s="3762"/>
      <c r="AS1" s="3762"/>
      <c r="AT1" s="3762"/>
      <c r="AU1" s="3762"/>
      <c r="AV1" s="3762"/>
      <c r="AW1" s="3762"/>
      <c r="AX1" s="3762"/>
      <c r="AY1" s="3763"/>
    </row>
    <row r="2" spans="1:51" ht="12" customHeight="1" thickBot="1">
      <c r="A2" s="3764"/>
      <c r="B2" s="3765"/>
      <c r="C2" s="3765"/>
      <c r="D2" s="3765"/>
      <c r="E2" s="3765"/>
      <c r="F2" s="3765"/>
      <c r="G2" s="3765"/>
      <c r="H2" s="3765"/>
      <c r="I2" s="3765"/>
      <c r="J2" s="3765"/>
      <c r="K2" s="3765"/>
      <c r="L2" s="3765"/>
      <c r="M2" s="3765"/>
      <c r="N2" s="3765"/>
      <c r="O2" s="3765"/>
      <c r="P2" s="3765"/>
      <c r="Q2" s="3765"/>
      <c r="R2" s="3765"/>
      <c r="S2" s="3765"/>
      <c r="T2" s="3765"/>
      <c r="U2" s="3765"/>
      <c r="V2" s="3765"/>
      <c r="W2" s="3765"/>
      <c r="X2" s="3765"/>
      <c r="Y2" s="3765"/>
      <c r="Z2" s="3765"/>
      <c r="AA2" s="3765"/>
      <c r="AB2" s="3765"/>
      <c r="AC2" s="3765"/>
      <c r="AD2" s="3765"/>
      <c r="AE2" s="3765"/>
      <c r="AF2" s="3765"/>
      <c r="AG2" s="3765"/>
      <c r="AH2" s="3765"/>
      <c r="AI2" s="3765"/>
      <c r="AJ2" s="3765"/>
      <c r="AK2" s="3765"/>
      <c r="AL2" s="3765"/>
      <c r="AM2" s="3765"/>
      <c r="AN2" s="3765"/>
      <c r="AO2" s="3765"/>
      <c r="AP2" s="3765"/>
      <c r="AQ2" s="3765"/>
      <c r="AR2" s="3765"/>
      <c r="AS2" s="3765"/>
      <c r="AT2" s="3765"/>
      <c r="AU2" s="3765"/>
      <c r="AV2" s="3765"/>
      <c r="AW2" s="3765"/>
      <c r="AX2" s="3765"/>
      <c r="AY2" s="3766"/>
    </row>
    <row r="3" spans="1:51" ht="12" customHeight="1" thickBot="1">
      <c r="A3" s="3702" t="s">
        <v>4656</v>
      </c>
      <c r="B3" s="3703"/>
      <c r="C3" s="3767"/>
      <c r="D3" s="3769" t="s">
        <v>4657</v>
      </c>
      <c r="E3" s="3770"/>
      <c r="F3" s="3771"/>
      <c r="G3" s="3507"/>
      <c r="H3" s="3384"/>
      <c r="I3" s="3384"/>
      <c r="J3" s="3384"/>
      <c r="K3" s="3384"/>
      <c r="L3" s="3384"/>
      <c r="M3" s="3384"/>
      <c r="N3" s="3740" t="s">
        <v>4658</v>
      </c>
      <c r="O3" s="3741"/>
      <c r="P3" s="3746"/>
      <c r="Q3" s="3775">
        <f>Cone_H</f>
        <v>56.269330410535765</v>
      </c>
      <c r="R3" s="3776"/>
      <c r="S3" s="3776"/>
      <c r="T3" s="3777"/>
      <c r="U3" s="3507"/>
      <c r="V3" s="3507"/>
      <c r="W3" s="3507"/>
      <c r="X3" s="3507"/>
      <c r="Y3" s="3507"/>
      <c r="Z3" s="3507"/>
      <c r="AA3" s="3385"/>
      <c r="AB3" s="3385"/>
      <c r="AC3" s="3385"/>
      <c r="AD3" s="3511"/>
      <c r="AE3" s="3507"/>
      <c r="AF3" s="3507"/>
      <c r="AG3" s="3507"/>
      <c r="AH3" s="3507"/>
      <c r="AI3" s="3507"/>
      <c r="AJ3" s="3507"/>
      <c r="AK3" s="3507"/>
      <c r="AL3" s="3507"/>
      <c r="AM3" s="3507"/>
      <c r="AN3" s="3507"/>
      <c r="AO3" s="3507"/>
      <c r="AP3" s="3507"/>
      <c r="AQ3" s="3507"/>
      <c r="AR3" s="3507"/>
      <c r="AS3" s="3507"/>
      <c r="AT3" s="3507"/>
      <c r="AU3" s="3507"/>
      <c r="AV3" s="3507"/>
      <c r="AW3" s="3507"/>
      <c r="AX3" s="3507"/>
      <c r="AY3" s="3508"/>
    </row>
    <row r="4" spans="1:51" ht="12" customHeight="1" thickBot="1">
      <c r="A4" s="3708"/>
      <c r="B4" s="3709"/>
      <c r="C4" s="3768"/>
      <c r="D4" s="3772"/>
      <c r="E4" s="3773"/>
      <c r="F4" s="3774"/>
      <c r="I4" s="3388"/>
      <c r="J4" s="3388"/>
      <c r="K4" s="3388"/>
      <c r="L4" s="3389"/>
      <c r="M4" s="3389"/>
      <c r="N4" s="3740" t="s">
        <v>4659</v>
      </c>
      <c r="O4" s="3741"/>
      <c r="P4" s="3746"/>
      <c r="Q4" s="3775">
        <f>Cone_D</f>
        <v>420</v>
      </c>
      <c r="R4" s="3776"/>
      <c r="S4" s="3776"/>
      <c r="T4" s="3777"/>
      <c r="AA4" s="3389"/>
      <c r="AB4" s="3389"/>
      <c r="AC4" s="3389"/>
      <c r="AD4" s="3390"/>
      <c r="AY4" s="3510"/>
    </row>
    <row r="5" spans="1:51" ht="12" customHeight="1" thickBot="1">
      <c r="A5" s="3740" t="s">
        <v>4660</v>
      </c>
      <c r="B5" s="3741"/>
      <c r="C5" s="3742"/>
      <c r="D5" s="3743" t="s">
        <v>4697</v>
      </c>
      <c r="E5" s="3744"/>
      <c r="F5" s="3745"/>
      <c r="I5" s="3388"/>
      <c r="J5" s="3388"/>
      <c r="K5" s="3388"/>
      <c r="L5" s="3389"/>
      <c r="M5" s="3389"/>
      <c r="N5" s="3740" t="s">
        <v>4661</v>
      </c>
      <c r="O5" s="3741"/>
      <c r="P5" s="3746"/>
      <c r="Q5" s="3755">
        <f>Cone_T</f>
        <v>6</v>
      </c>
      <c r="R5" s="3756"/>
      <c r="S5" s="3756"/>
      <c r="T5" s="3757"/>
      <c r="AA5" s="3389"/>
      <c r="AB5" s="3389"/>
      <c r="AC5" s="3389"/>
      <c r="AD5" s="3389"/>
      <c r="AE5" s="3389"/>
      <c r="AF5" s="3389"/>
      <c r="AY5" s="3510"/>
    </row>
    <row r="6" spans="1:51" ht="12" customHeight="1" thickBot="1">
      <c r="A6" s="3509"/>
      <c r="G6" s="3758" t="s">
        <v>4662</v>
      </c>
      <c r="H6" s="3759"/>
      <c r="I6" s="3759"/>
      <c r="J6" s="3759"/>
      <c r="K6" s="3760"/>
      <c r="Q6" s="3758" t="s">
        <v>4663</v>
      </c>
      <c r="R6" s="3759"/>
      <c r="S6" s="3759"/>
      <c r="T6" s="3759"/>
      <c r="U6" s="3759"/>
      <c r="V6" s="3759"/>
      <c r="W6" s="3759"/>
      <c r="X6" s="3760"/>
      <c r="AB6" s="3388"/>
      <c r="AC6" s="3388"/>
      <c r="AD6" s="3388"/>
      <c r="AE6" s="3389"/>
      <c r="AF6" s="3389"/>
      <c r="AY6" s="3510"/>
    </row>
    <row r="7" spans="1:51" ht="12" customHeight="1" thickBot="1">
      <c r="A7" s="3506" t="s">
        <v>4664</v>
      </c>
      <c r="B7" s="3747" t="e">
        <f ca="1">SD</f>
        <v>#REF!</v>
      </c>
      <c r="C7" s="3748"/>
      <c r="D7" s="3749"/>
      <c r="E7" s="3750" t="s">
        <v>136</v>
      </c>
      <c r="F7" s="3751"/>
      <c r="G7" s="3752" t="e">
        <f ca="1">VLOOKUP(SD,HUB_data!A3:H15,8,0)</f>
        <v>#REF!</v>
      </c>
      <c r="H7" s="3753"/>
      <c r="I7" s="3753"/>
      <c r="J7" s="3753"/>
      <c r="K7" s="3754"/>
      <c r="AB7" s="3388"/>
      <c r="AC7" s="3388"/>
      <c r="AD7" s="3388"/>
      <c r="AE7" s="3389"/>
      <c r="AF7" s="3389"/>
      <c r="AY7" s="3510"/>
    </row>
    <row r="8" spans="1:51" ht="12" customHeight="1">
      <c r="A8" s="3505" t="s">
        <v>4665</v>
      </c>
      <c r="B8" s="3725" t="e">
        <f ca="1">VLOOKUP(SD,HUB_data!A3:G15,3,0)</f>
        <v>#REF!</v>
      </c>
      <c r="C8" s="3726"/>
      <c r="D8" s="3727"/>
      <c r="E8" s="3723" t="s">
        <v>136</v>
      </c>
      <c r="F8" s="3724"/>
      <c r="AB8" s="3388"/>
      <c r="AC8" s="3388"/>
      <c r="AD8" s="3388"/>
      <c r="AE8" s="3389"/>
      <c r="AF8" s="3389"/>
      <c r="AY8" s="3510"/>
    </row>
    <row r="9" spans="1:51" ht="12" customHeight="1">
      <c r="A9" s="3505" t="s">
        <v>4666</v>
      </c>
      <c r="B9" s="3725" t="e">
        <f ca="1">VLOOKUP(SD,HUB_data!A3:G15,2,0)</f>
        <v>#REF!</v>
      </c>
      <c r="C9" s="3726"/>
      <c r="D9" s="3727"/>
      <c r="E9" s="3723" t="s">
        <v>136</v>
      </c>
      <c r="F9" s="3724"/>
      <c r="AB9" s="3388"/>
      <c r="AC9" s="3388"/>
      <c r="AD9" s="3388"/>
      <c r="AE9" s="3389"/>
      <c r="AF9" s="3389"/>
      <c r="AY9" s="3510"/>
    </row>
    <row r="10" spans="1:51" ht="12" customHeight="1">
      <c r="A10" s="3505" t="s">
        <v>4667</v>
      </c>
      <c r="B10" s="3725">
        <f>d_5-15-35</f>
        <v>580</v>
      </c>
      <c r="C10" s="3726"/>
      <c r="D10" s="3727"/>
      <c r="E10" s="3723" t="s">
        <v>136</v>
      </c>
      <c r="F10" s="3724"/>
      <c r="AB10" s="3388"/>
      <c r="AC10" s="3388"/>
      <c r="AD10" s="3388"/>
      <c r="AE10" s="3389"/>
      <c r="AF10" s="3389"/>
      <c r="AY10" s="3510"/>
    </row>
    <row r="11" spans="1:51" ht="12" customHeight="1" thickBot="1">
      <c r="A11" s="3505" t="s">
        <v>4668</v>
      </c>
      <c r="B11" s="3725">
        <f>CEILING(Hub_P_D,50)</f>
        <v>1150</v>
      </c>
      <c r="C11" s="3726"/>
      <c r="D11" s="3727"/>
      <c r="E11" s="3723" t="s">
        <v>136</v>
      </c>
      <c r="F11" s="3724"/>
      <c r="AB11" s="3388"/>
      <c r="AC11" s="3388"/>
      <c r="AD11" s="3388"/>
      <c r="AE11" s="3389"/>
      <c r="AF11" s="3389"/>
      <c r="AY11" s="3510"/>
    </row>
    <row r="12" spans="1:51" ht="12" customHeight="1">
      <c r="A12" s="3505"/>
      <c r="B12" s="3737"/>
      <c r="C12" s="3738"/>
      <c r="D12" s="3739"/>
      <c r="E12" s="3723"/>
      <c r="F12" s="3724"/>
      <c r="K12" s="3702"/>
      <c r="L12" s="3703"/>
      <c r="M12" s="3703"/>
      <c r="N12" s="3703"/>
      <c r="O12" s="3703"/>
      <c r="P12" s="3703"/>
      <c r="Q12" s="3703"/>
      <c r="R12" s="3703"/>
      <c r="S12" s="3703"/>
      <c r="T12" s="3703"/>
      <c r="U12" s="3703"/>
      <c r="V12" s="3703"/>
      <c r="W12" s="3703"/>
      <c r="X12" s="3703"/>
      <c r="Y12" s="3703"/>
      <c r="Z12" s="3703"/>
      <c r="AA12" s="3703"/>
      <c r="AB12" s="3703"/>
      <c r="AC12" s="3703"/>
      <c r="AD12" s="3703"/>
      <c r="AE12" s="3703"/>
      <c r="AF12" s="3703"/>
      <c r="AG12" s="3703"/>
      <c r="AH12" s="3703"/>
      <c r="AI12" s="3703"/>
      <c r="AJ12" s="3703"/>
      <c r="AK12" s="3703"/>
      <c r="AL12" s="3703"/>
      <c r="AM12" s="3703"/>
      <c r="AN12" s="3703"/>
      <c r="AO12" s="3703"/>
      <c r="AP12" s="3703"/>
      <c r="AQ12" s="3703"/>
      <c r="AR12" s="3703"/>
      <c r="AS12" s="3703"/>
      <c r="AT12" s="3703"/>
      <c r="AU12" s="3703"/>
      <c r="AV12" s="3703"/>
      <c r="AW12" s="3703"/>
      <c r="AX12" s="3703"/>
      <c r="AY12" s="3704"/>
    </row>
    <row r="13" spans="1:51" ht="12" customHeight="1">
      <c r="A13" s="3505" t="s">
        <v>4669</v>
      </c>
      <c r="B13" s="3711" t="e">
        <f ca="1">VLOOKUP(SD,HUB_data!A3:G15,5,0)</f>
        <v>#REF!</v>
      </c>
      <c r="C13" s="3712"/>
      <c r="D13" s="3713"/>
      <c r="E13" s="3714" t="s">
        <v>136</v>
      </c>
      <c r="F13" s="3715"/>
      <c r="K13" s="3705"/>
      <c r="L13" s="3706"/>
      <c r="M13" s="3706"/>
      <c r="N13" s="3706"/>
      <c r="O13" s="3706"/>
      <c r="P13" s="3706"/>
      <c r="Q13" s="3706"/>
      <c r="R13" s="3706"/>
      <c r="S13" s="3706"/>
      <c r="T13" s="3706"/>
      <c r="U13" s="3706"/>
      <c r="V13" s="3706"/>
      <c r="W13" s="3706"/>
      <c r="X13" s="3706"/>
      <c r="Y13" s="3706"/>
      <c r="Z13" s="3706"/>
      <c r="AA13" s="3706"/>
      <c r="AB13" s="3706"/>
      <c r="AC13" s="3706"/>
      <c r="AD13" s="3706"/>
      <c r="AE13" s="3706"/>
      <c r="AF13" s="3706"/>
      <c r="AG13" s="3706"/>
      <c r="AH13" s="3706"/>
      <c r="AI13" s="3706"/>
      <c r="AJ13" s="3706"/>
      <c r="AK13" s="3706"/>
      <c r="AL13" s="3706"/>
      <c r="AM13" s="3706"/>
      <c r="AN13" s="3706"/>
      <c r="AO13" s="3706"/>
      <c r="AP13" s="3706"/>
      <c r="AQ13" s="3706"/>
      <c r="AR13" s="3706"/>
      <c r="AS13" s="3706"/>
      <c r="AT13" s="3706"/>
      <c r="AU13" s="3706"/>
      <c r="AV13" s="3706"/>
      <c r="AW13" s="3706"/>
      <c r="AX13" s="3706"/>
      <c r="AY13" s="3707"/>
    </row>
    <row r="14" spans="1:51" ht="12" customHeight="1">
      <c r="A14" s="3395" t="s">
        <v>4670</v>
      </c>
      <c r="B14" s="3405" t="s">
        <v>4671</v>
      </c>
      <c r="C14" s="3716" t="e">
        <f ca="1">VLOOKUP(SD,HUB_data!A3:G15,6,0)</f>
        <v>#REF!</v>
      </c>
      <c r="D14" s="3717"/>
      <c r="E14" s="3714"/>
      <c r="F14" s="3715"/>
      <c r="K14" s="3705"/>
      <c r="L14" s="3706"/>
      <c r="M14" s="3706"/>
      <c r="N14" s="3706"/>
      <c r="O14" s="3706"/>
      <c r="P14" s="3706"/>
      <c r="Q14" s="3706"/>
      <c r="R14" s="3706"/>
      <c r="S14" s="3706"/>
      <c r="T14" s="3706"/>
      <c r="U14" s="3706"/>
      <c r="V14" s="3706"/>
      <c r="W14" s="3706"/>
      <c r="X14" s="3706"/>
      <c r="Y14" s="3706"/>
      <c r="Z14" s="3706"/>
      <c r="AA14" s="3706"/>
      <c r="AB14" s="3706"/>
      <c r="AC14" s="3706"/>
      <c r="AD14" s="3706"/>
      <c r="AE14" s="3706"/>
      <c r="AF14" s="3706"/>
      <c r="AG14" s="3706"/>
      <c r="AH14" s="3706"/>
      <c r="AI14" s="3706"/>
      <c r="AJ14" s="3706"/>
      <c r="AK14" s="3706"/>
      <c r="AL14" s="3706"/>
      <c r="AM14" s="3706"/>
      <c r="AN14" s="3706"/>
      <c r="AO14" s="3706"/>
      <c r="AP14" s="3706"/>
      <c r="AQ14" s="3706"/>
      <c r="AR14" s="3706"/>
      <c r="AS14" s="3706"/>
      <c r="AT14" s="3706"/>
      <c r="AU14" s="3706"/>
      <c r="AV14" s="3706"/>
      <c r="AW14" s="3706"/>
      <c r="AX14" s="3706"/>
      <c r="AY14" s="3707"/>
    </row>
    <row r="15" spans="1:51" ht="12" customHeight="1">
      <c r="A15" s="3505" t="s">
        <v>4672</v>
      </c>
      <c r="B15" s="3718">
        <f>Hub_P_T</f>
        <v>20</v>
      </c>
      <c r="C15" s="3719"/>
      <c r="D15" s="3720"/>
      <c r="E15" s="3721" t="s">
        <v>136</v>
      </c>
      <c r="F15" s="3722"/>
      <c r="K15" s="3705"/>
      <c r="L15" s="3706"/>
      <c r="M15" s="3706"/>
      <c r="N15" s="3706"/>
      <c r="O15" s="3706"/>
      <c r="P15" s="3706"/>
      <c r="Q15" s="3706"/>
      <c r="R15" s="3706"/>
      <c r="S15" s="3706"/>
      <c r="T15" s="3706"/>
      <c r="U15" s="3706"/>
      <c r="V15" s="3706"/>
      <c r="W15" s="3706"/>
      <c r="X15" s="3706"/>
      <c r="Y15" s="3706"/>
      <c r="Z15" s="3706"/>
      <c r="AA15" s="3706"/>
      <c r="AB15" s="3706"/>
      <c r="AC15" s="3706"/>
      <c r="AD15" s="3706"/>
      <c r="AE15" s="3706"/>
      <c r="AF15" s="3706"/>
      <c r="AG15" s="3706"/>
      <c r="AH15" s="3706"/>
      <c r="AI15" s="3706"/>
      <c r="AJ15" s="3706"/>
      <c r="AK15" s="3706"/>
      <c r="AL15" s="3706"/>
      <c r="AM15" s="3706"/>
      <c r="AN15" s="3706"/>
      <c r="AO15" s="3706"/>
      <c r="AP15" s="3706"/>
      <c r="AQ15" s="3706"/>
      <c r="AR15" s="3706"/>
      <c r="AS15" s="3706"/>
      <c r="AT15" s="3706"/>
      <c r="AU15" s="3706"/>
      <c r="AV15" s="3706"/>
      <c r="AW15" s="3706"/>
      <c r="AX15" s="3706"/>
      <c r="AY15" s="3707"/>
    </row>
    <row r="16" spans="1:51" ht="12" customHeight="1">
      <c r="A16" s="3505" t="s">
        <v>4673</v>
      </c>
      <c r="B16" s="3725">
        <f>Hub_P_T-1.5</f>
        <v>18.5</v>
      </c>
      <c r="C16" s="3726"/>
      <c r="D16" s="3727"/>
      <c r="E16" s="3723" t="s">
        <v>136</v>
      </c>
      <c r="F16" s="3724"/>
      <c r="K16" s="3705"/>
      <c r="L16" s="3706"/>
      <c r="M16" s="3706"/>
      <c r="N16" s="3706"/>
      <c r="O16" s="3706"/>
      <c r="P16" s="3706"/>
      <c r="Q16" s="3706"/>
      <c r="R16" s="3706"/>
      <c r="S16" s="3706"/>
      <c r="T16" s="3706"/>
      <c r="U16" s="3706"/>
      <c r="V16" s="3706"/>
      <c r="W16" s="3706"/>
      <c r="X16" s="3706"/>
      <c r="Y16" s="3706"/>
      <c r="Z16" s="3706"/>
      <c r="AA16" s="3706"/>
      <c r="AB16" s="3706"/>
      <c r="AC16" s="3706"/>
      <c r="AD16" s="3706"/>
      <c r="AE16" s="3706"/>
      <c r="AF16" s="3706"/>
      <c r="AG16" s="3706"/>
      <c r="AH16" s="3706"/>
      <c r="AI16" s="3706"/>
      <c r="AJ16" s="3706"/>
      <c r="AK16" s="3706"/>
      <c r="AL16" s="3706"/>
      <c r="AM16" s="3706"/>
      <c r="AN16" s="3706"/>
      <c r="AO16" s="3706"/>
      <c r="AP16" s="3706"/>
      <c r="AQ16" s="3706"/>
      <c r="AR16" s="3706"/>
      <c r="AS16" s="3706"/>
      <c r="AT16" s="3706"/>
      <c r="AU16" s="3706"/>
      <c r="AV16" s="3706"/>
      <c r="AW16" s="3706"/>
      <c r="AX16" s="3706"/>
      <c r="AY16" s="3707"/>
    </row>
    <row r="17" spans="1:51" ht="12" customHeight="1">
      <c r="A17" s="3505" t="s">
        <v>4674</v>
      </c>
      <c r="B17" s="3725" t="e">
        <f ca="1">CEILING(DIHo+House_P_T+25,5)</f>
        <v>#REF!</v>
      </c>
      <c r="C17" s="3726"/>
      <c r="D17" s="3727"/>
      <c r="E17" s="3723" t="s">
        <v>136</v>
      </c>
      <c r="F17" s="3724"/>
      <c r="K17" s="3705"/>
      <c r="L17" s="3706"/>
      <c r="M17" s="3706"/>
      <c r="N17" s="3706"/>
      <c r="O17" s="3706"/>
      <c r="P17" s="3706"/>
      <c r="Q17" s="3706"/>
      <c r="R17" s="3706"/>
      <c r="S17" s="3706"/>
      <c r="T17" s="3706"/>
      <c r="U17" s="3706"/>
      <c r="V17" s="3706"/>
      <c r="W17" s="3706"/>
      <c r="X17" s="3706"/>
      <c r="Y17" s="3706"/>
      <c r="Z17" s="3706"/>
      <c r="AA17" s="3706"/>
      <c r="AB17" s="3706"/>
      <c r="AC17" s="3706"/>
      <c r="AD17" s="3706"/>
      <c r="AE17" s="3706"/>
      <c r="AF17" s="3706"/>
      <c r="AG17" s="3706"/>
      <c r="AH17" s="3706"/>
      <c r="AI17" s="3706"/>
      <c r="AJ17" s="3706"/>
      <c r="AK17" s="3706"/>
      <c r="AL17" s="3706"/>
      <c r="AM17" s="3706"/>
      <c r="AN17" s="3706"/>
      <c r="AO17" s="3706"/>
      <c r="AP17" s="3706"/>
      <c r="AQ17" s="3706"/>
      <c r="AR17" s="3706"/>
      <c r="AS17" s="3706"/>
      <c r="AT17" s="3706"/>
      <c r="AU17" s="3706"/>
      <c r="AV17" s="3706"/>
      <c r="AW17" s="3706"/>
      <c r="AX17" s="3706"/>
      <c r="AY17" s="3707"/>
    </row>
    <row r="18" spans="1:51" ht="12" customHeight="1" thickBot="1">
      <c r="A18" s="3505" t="s">
        <v>3348</v>
      </c>
      <c r="B18" s="3725" t="e">
        <f ca="1">Hub_C_tL</f>
        <v>#REF!</v>
      </c>
      <c r="C18" s="3726"/>
      <c r="D18" s="3727"/>
      <c r="E18" s="3723" t="s">
        <v>136</v>
      </c>
      <c r="F18" s="3724"/>
      <c r="K18" s="3705"/>
      <c r="L18" s="3706"/>
      <c r="M18" s="3706"/>
      <c r="N18" s="3706"/>
      <c r="O18" s="3706"/>
      <c r="P18" s="3706"/>
      <c r="Q18" s="3706"/>
      <c r="R18" s="3706"/>
      <c r="S18" s="3706"/>
      <c r="T18" s="3706"/>
      <c r="U18" s="3706"/>
      <c r="V18" s="3706"/>
      <c r="W18" s="3706"/>
      <c r="X18" s="3706"/>
      <c r="Y18" s="3706"/>
      <c r="Z18" s="3706"/>
      <c r="AA18" s="3706"/>
      <c r="AB18" s="3706"/>
      <c r="AC18" s="3706"/>
      <c r="AD18" s="3706"/>
      <c r="AE18" s="3706"/>
      <c r="AF18" s="3706"/>
      <c r="AG18" s="3706"/>
      <c r="AH18" s="3706"/>
      <c r="AI18" s="3706"/>
      <c r="AJ18" s="3706"/>
      <c r="AK18" s="3706"/>
      <c r="AL18" s="3706"/>
      <c r="AM18" s="3706"/>
      <c r="AN18" s="3706"/>
      <c r="AO18" s="3706"/>
      <c r="AP18" s="3706"/>
      <c r="AQ18" s="3706"/>
      <c r="AR18" s="3706"/>
      <c r="AS18" s="3706"/>
      <c r="AT18" s="3706"/>
      <c r="AU18" s="3706"/>
      <c r="AV18" s="3706"/>
      <c r="AW18" s="3706"/>
      <c r="AX18" s="3706"/>
      <c r="AY18" s="3707"/>
    </row>
    <row r="19" spans="1:51" ht="12" customHeight="1" thickBot="1">
      <c r="A19" s="3505" t="s">
        <v>4675</v>
      </c>
      <c r="B19" s="3725" t="e">
        <f ca="1">VLOOKUP(SD,HUB_data!A3:G15,4,0)</f>
        <v>#REF!</v>
      </c>
      <c r="C19" s="3726"/>
      <c r="D19" s="3727"/>
      <c r="E19" s="3723" t="s">
        <v>136</v>
      </c>
      <c r="F19" s="3728"/>
      <c r="G19" s="3729" t="s">
        <v>4676</v>
      </c>
      <c r="H19" s="3730"/>
      <c r="I19" s="3730"/>
      <c r="J19" s="3731"/>
      <c r="K19" s="3705"/>
      <c r="L19" s="3706"/>
      <c r="M19" s="3706"/>
      <c r="N19" s="3706"/>
      <c r="O19" s="3706"/>
      <c r="P19" s="3706"/>
      <c r="Q19" s="3706"/>
      <c r="R19" s="3706"/>
      <c r="S19" s="3706"/>
      <c r="T19" s="3706"/>
      <c r="U19" s="3706"/>
      <c r="V19" s="3706"/>
      <c r="W19" s="3706"/>
      <c r="X19" s="3706"/>
      <c r="Y19" s="3706"/>
      <c r="Z19" s="3706"/>
      <c r="AA19" s="3706"/>
      <c r="AB19" s="3706"/>
      <c r="AC19" s="3706"/>
      <c r="AD19" s="3706"/>
      <c r="AE19" s="3706"/>
      <c r="AF19" s="3706"/>
      <c r="AG19" s="3706"/>
      <c r="AH19" s="3706"/>
      <c r="AI19" s="3706"/>
      <c r="AJ19" s="3706"/>
      <c r="AK19" s="3706"/>
      <c r="AL19" s="3706"/>
      <c r="AM19" s="3706"/>
      <c r="AN19" s="3706"/>
      <c r="AO19" s="3706"/>
      <c r="AP19" s="3706"/>
      <c r="AQ19" s="3706"/>
      <c r="AR19" s="3706"/>
      <c r="AS19" s="3706"/>
      <c r="AT19" s="3706"/>
      <c r="AU19" s="3706"/>
      <c r="AV19" s="3706"/>
      <c r="AW19" s="3706"/>
      <c r="AX19" s="3706"/>
      <c r="AY19" s="3707"/>
    </row>
    <row r="20" spans="1:51" ht="12" customHeight="1" thickBot="1">
      <c r="A20" s="3504" t="s">
        <v>4677</v>
      </c>
      <c r="B20" s="3732" t="e">
        <f ca="1">VLOOKUP(SD,HUB_data!A3:G15,7,0)</f>
        <v>#REF!</v>
      </c>
      <c r="C20" s="3733"/>
      <c r="D20" s="3734"/>
      <c r="E20" s="3735" t="s">
        <v>136</v>
      </c>
      <c r="F20" s="3736"/>
      <c r="G20" s="3406" t="s">
        <v>4678</v>
      </c>
      <c r="H20" s="3407">
        <v>9</v>
      </c>
      <c r="K20" s="3705"/>
      <c r="L20" s="3706"/>
      <c r="M20" s="3706"/>
      <c r="N20" s="3706"/>
      <c r="O20" s="3706"/>
      <c r="P20" s="3706"/>
      <c r="Q20" s="3706"/>
      <c r="R20" s="3706"/>
      <c r="S20" s="3706"/>
      <c r="T20" s="3706"/>
      <c r="U20" s="3706"/>
      <c r="V20" s="3706"/>
      <c r="W20" s="3706"/>
      <c r="X20" s="3706"/>
      <c r="Y20" s="3706"/>
      <c r="Z20" s="3706"/>
      <c r="AA20" s="3706"/>
      <c r="AB20" s="3706"/>
      <c r="AC20" s="3706"/>
      <c r="AD20" s="3706"/>
      <c r="AE20" s="3706"/>
      <c r="AF20" s="3706"/>
      <c r="AG20" s="3706"/>
      <c r="AH20" s="3706"/>
      <c r="AI20" s="3706"/>
      <c r="AJ20" s="3706"/>
      <c r="AK20" s="3706"/>
      <c r="AL20" s="3706"/>
      <c r="AM20" s="3706"/>
      <c r="AN20" s="3706"/>
      <c r="AO20" s="3706"/>
      <c r="AP20" s="3706"/>
      <c r="AQ20" s="3706"/>
      <c r="AR20" s="3706"/>
      <c r="AS20" s="3706"/>
      <c r="AT20" s="3706"/>
      <c r="AU20" s="3706"/>
      <c r="AV20" s="3706"/>
      <c r="AW20" s="3706"/>
      <c r="AX20" s="3706"/>
      <c r="AY20" s="3707"/>
    </row>
    <row r="21" spans="1:51" ht="12" customHeight="1">
      <c r="A21" s="3509"/>
      <c r="K21" s="3705"/>
      <c r="L21" s="3706"/>
      <c r="M21" s="3706"/>
      <c r="N21" s="3706"/>
      <c r="O21" s="3706"/>
      <c r="P21" s="3706"/>
      <c r="Q21" s="3706"/>
      <c r="R21" s="3706"/>
      <c r="S21" s="3706"/>
      <c r="T21" s="3706"/>
      <c r="U21" s="3706"/>
      <c r="V21" s="3706"/>
      <c r="W21" s="3706"/>
      <c r="X21" s="3706"/>
      <c r="Y21" s="3706"/>
      <c r="Z21" s="3706"/>
      <c r="AA21" s="3706"/>
      <c r="AB21" s="3706"/>
      <c r="AC21" s="3706"/>
      <c r="AD21" s="3706"/>
      <c r="AE21" s="3706"/>
      <c r="AF21" s="3706"/>
      <c r="AG21" s="3706"/>
      <c r="AH21" s="3706"/>
      <c r="AI21" s="3706"/>
      <c r="AJ21" s="3706"/>
      <c r="AK21" s="3706"/>
      <c r="AL21" s="3706"/>
      <c r="AM21" s="3706"/>
      <c r="AN21" s="3706"/>
      <c r="AO21" s="3706"/>
      <c r="AP21" s="3706"/>
      <c r="AQ21" s="3706"/>
      <c r="AR21" s="3706"/>
      <c r="AS21" s="3706"/>
      <c r="AT21" s="3706"/>
      <c r="AU21" s="3706"/>
      <c r="AV21" s="3706"/>
      <c r="AW21" s="3706"/>
      <c r="AX21" s="3706"/>
      <c r="AY21" s="3707"/>
    </row>
    <row r="22" spans="1:51" ht="12" customHeight="1">
      <c r="A22" s="3509"/>
      <c r="K22" s="3705"/>
      <c r="L22" s="3706"/>
      <c r="M22" s="3706"/>
      <c r="N22" s="3706"/>
      <c r="O22" s="3706"/>
      <c r="P22" s="3706"/>
      <c r="Q22" s="3706"/>
      <c r="R22" s="3706"/>
      <c r="S22" s="3706"/>
      <c r="T22" s="3706"/>
      <c r="U22" s="3706"/>
      <c r="V22" s="3706"/>
      <c r="W22" s="3706"/>
      <c r="X22" s="3706"/>
      <c r="Y22" s="3706"/>
      <c r="Z22" s="3706"/>
      <c r="AA22" s="3706"/>
      <c r="AB22" s="3706"/>
      <c r="AC22" s="3706"/>
      <c r="AD22" s="3706"/>
      <c r="AE22" s="3706"/>
      <c r="AF22" s="3706"/>
      <c r="AG22" s="3706"/>
      <c r="AH22" s="3706"/>
      <c r="AI22" s="3706"/>
      <c r="AJ22" s="3706"/>
      <c r="AK22" s="3706"/>
      <c r="AL22" s="3706"/>
      <c r="AM22" s="3706"/>
      <c r="AN22" s="3706"/>
      <c r="AO22" s="3706"/>
      <c r="AP22" s="3706"/>
      <c r="AQ22" s="3706"/>
      <c r="AR22" s="3706"/>
      <c r="AS22" s="3706"/>
      <c r="AT22" s="3706"/>
      <c r="AU22" s="3706"/>
      <c r="AV22" s="3706"/>
      <c r="AW22" s="3706"/>
      <c r="AX22" s="3706"/>
      <c r="AY22" s="3707"/>
    </row>
    <row r="23" spans="1:51" ht="12" customHeight="1">
      <c r="A23" s="3509"/>
      <c r="K23" s="3705"/>
      <c r="L23" s="3706"/>
      <c r="M23" s="3706"/>
      <c r="N23" s="3706"/>
      <c r="O23" s="3706"/>
      <c r="P23" s="3706"/>
      <c r="Q23" s="3706"/>
      <c r="R23" s="3706"/>
      <c r="S23" s="3706"/>
      <c r="T23" s="3706"/>
      <c r="U23" s="3706"/>
      <c r="V23" s="3706"/>
      <c r="W23" s="3706"/>
      <c r="X23" s="3706"/>
      <c r="Y23" s="3706"/>
      <c r="Z23" s="3706"/>
      <c r="AA23" s="3706"/>
      <c r="AB23" s="3706"/>
      <c r="AC23" s="3706"/>
      <c r="AD23" s="3706"/>
      <c r="AE23" s="3706"/>
      <c r="AF23" s="3706"/>
      <c r="AG23" s="3706"/>
      <c r="AH23" s="3706"/>
      <c r="AI23" s="3706"/>
      <c r="AJ23" s="3706"/>
      <c r="AK23" s="3706"/>
      <c r="AL23" s="3706"/>
      <c r="AM23" s="3706"/>
      <c r="AN23" s="3706"/>
      <c r="AO23" s="3706"/>
      <c r="AP23" s="3706"/>
      <c r="AQ23" s="3706"/>
      <c r="AR23" s="3706"/>
      <c r="AS23" s="3706"/>
      <c r="AT23" s="3706"/>
      <c r="AU23" s="3706"/>
      <c r="AV23" s="3706"/>
      <c r="AW23" s="3706"/>
      <c r="AX23" s="3706"/>
      <c r="AY23" s="3707"/>
    </row>
    <row r="24" spans="1:51" ht="12" customHeight="1">
      <c r="A24" s="3509"/>
      <c r="K24" s="3705"/>
      <c r="L24" s="3706"/>
      <c r="M24" s="3706"/>
      <c r="N24" s="3706"/>
      <c r="O24" s="3706"/>
      <c r="P24" s="3706"/>
      <c r="Q24" s="3706"/>
      <c r="R24" s="3706"/>
      <c r="S24" s="3706"/>
      <c r="T24" s="3706"/>
      <c r="U24" s="3706"/>
      <c r="V24" s="3706"/>
      <c r="W24" s="3706"/>
      <c r="X24" s="3706"/>
      <c r="Y24" s="3706"/>
      <c r="Z24" s="3706"/>
      <c r="AA24" s="3706"/>
      <c r="AB24" s="3706"/>
      <c r="AC24" s="3706"/>
      <c r="AD24" s="3706"/>
      <c r="AE24" s="3706"/>
      <c r="AF24" s="3706"/>
      <c r="AG24" s="3706"/>
      <c r="AH24" s="3706"/>
      <c r="AI24" s="3706"/>
      <c r="AJ24" s="3706"/>
      <c r="AK24" s="3706"/>
      <c r="AL24" s="3706"/>
      <c r="AM24" s="3706"/>
      <c r="AN24" s="3706"/>
      <c r="AO24" s="3706"/>
      <c r="AP24" s="3706"/>
      <c r="AQ24" s="3706"/>
      <c r="AR24" s="3706"/>
      <c r="AS24" s="3706"/>
      <c r="AT24" s="3706"/>
      <c r="AU24" s="3706"/>
      <c r="AV24" s="3706"/>
      <c r="AW24" s="3706"/>
      <c r="AX24" s="3706"/>
      <c r="AY24" s="3707"/>
    </row>
    <row r="25" spans="1:51" ht="12" customHeight="1">
      <c r="A25" s="3509"/>
      <c r="K25" s="3705"/>
      <c r="L25" s="3706"/>
      <c r="M25" s="3706"/>
      <c r="N25" s="3706"/>
      <c r="O25" s="3706"/>
      <c r="P25" s="3706"/>
      <c r="Q25" s="3706"/>
      <c r="R25" s="3706"/>
      <c r="S25" s="3706"/>
      <c r="T25" s="3706"/>
      <c r="U25" s="3706"/>
      <c r="V25" s="3706"/>
      <c r="W25" s="3706"/>
      <c r="X25" s="3706"/>
      <c r="Y25" s="3706"/>
      <c r="Z25" s="3706"/>
      <c r="AA25" s="3706"/>
      <c r="AB25" s="3706"/>
      <c r="AC25" s="3706"/>
      <c r="AD25" s="3706"/>
      <c r="AE25" s="3706"/>
      <c r="AF25" s="3706"/>
      <c r="AG25" s="3706"/>
      <c r="AH25" s="3706"/>
      <c r="AI25" s="3706"/>
      <c r="AJ25" s="3706"/>
      <c r="AK25" s="3706"/>
      <c r="AL25" s="3706"/>
      <c r="AM25" s="3706"/>
      <c r="AN25" s="3706"/>
      <c r="AO25" s="3706"/>
      <c r="AP25" s="3706"/>
      <c r="AQ25" s="3706"/>
      <c r="AR25" s="3706"/>
      <c r="AS25" s="3706"/>
      <c r="AT25" s="3706"/>
      <c r="AU25" s="3706"/>
      <c r="AV25" s="3706"/>
      <c r="AW25" s="3706"/>
      <c r="AX25" s="3706"/>
      <c r="AY25" s="3707"/>
    </row>
    <row r="26" spans="1:51" ht="12" customHeight="1">
      <c r="A26" s="3509"/>
      <c r="K26" s="3705"/>
      <c r="L26" s="3706"/>
      <c r="M26" s="3706"/>
      <c r="N26" s="3706"/>
      <c r="O26" s="3706"/>
      <c r="P26" s="3706"/>
      <c r="Q26" s="3706"/>
      <c r="R26" s="3706"/>
      <c r="S26" s="3706"/>
      <c r="T26" s="3706"/>
      <c r="U26" s="3706"/>
      <c r="V26" s="3706"/>
      <c r="W26" s="3706"/>
      <c r="X26" s="3706"/>
      <c r="Y26" s="3706"/>
      <c r="Z26" s="3706"/>
      <c r="AA26" s="3706"/>
      <c r="AB26" s="3706"/>
      <c r="AC26" s="3706"/>
      <c r="AD26" s="3706"/>
      <c r="AE26" s="3706"/>
      <c r="AF26" s="3706"/>
      <c r="AG26" s="3706"/>
      <c r="AH26" s="3706"/>
      <c r="AI26" s="3706"/>
      <c r="AJ26" s="3706"/>
      <c r="AK26" s="3706"/>
      <c r="AL26" s="3706"/>
      <c r="AM26" s="3706"/>
      <c r="AN26" s="3706"/>
      <c r="AO26" s="3706"/>
      <c r="AP26" s="3706"/>
      <c r="AQ26" s="3706"/>
      <c r="AR26" s="3706"/>
      <c r="AS26" s="3706"/>
      <c r="AT26" s="3706"/>
      <c r="AU26" s="3706"/>
      <c r="AV26" s="3706"/>
      <c r="AW26" s="3706"/>
      <c r="AX26" s="3706"/>
      <c r="AY26" s="3707"/>
    </row>
    <row r="27" spans="1:51" ht="12" customHeight="1">
      <c r="A27" s="3509"/>
      <c r="K27" s="3705"/>
      <c r="L27" s="3706"/>
      <c r="M27" s="3706"/>
      <c r="N27" s="3706"/>
      <c r="O27" s="3706"/>
      <c r="P27" s="3706"/>
      <c r="Q27" s="3706"/>
      <c r="R27" s="3706"/>
      <c r="S27" s="3706"/>
      <c r="T27" s="3706"/>
      <c r="U27" s="3706"/>
      <c r="V27" s="3706"/>
      <c r="W27" s="3706"/>
      <c r="X27" s="3706"/>
      <c r="Y27" s="3706"/>
      <c r="Z27" s="3706"/>
      <c r="AA27" s="3706"/>
      <c r="AB27" s="3706"/>
      <c r="AC27" s="3706"/>
      <c r="AD27" s="3706"/>
      <c r="AE27" s="3706"/>
      <c r="AF27" s="3706"/>
      <c r="AG27" s="3706"/>
      <c r="AH27" s="3706"/>
      <c r="AI27" s="3706"/>
      <c r="AJ27" s="3706"/>
      <c r="AK27" s="3706"/>
      <c r="AL27" s="3706"/>
      <c r="AM27" s="3706"/>
      <c r="AN27" s="3706"/>
      <c r="AO27" s="3706"/>
      <c r="AP27" s="3706"/>
      <c r="AQ27" s="3706"/>
      <c r="AR27" s="3706"/>
      <c r="AS27" s="3706"/>
      <c r="AT27" s="3706"/>
      <c r="AU27" s="3706"/>
      <c r="AV27" s="3706"/>
      <c r="AW27" s="3706"/>
      <c r="AX27" s="3706"/>
      <c r="AY27" s="3707"/>
    </row>
    <row r="28" spans="1:51" ht="12" customHeight="1">
      <c r="A28" s="3509"/>
      <c r="K28" s="3705"/>
      <c r="L28" s="3706"/>
      <c r="M28" s="3706"/>
      <c r="N28" s="3706"/>
      <c r="O28" s="3706"/>
      <c r="P28" s="3706"/>
      <c r="Q28" s="3706"/>
      <c r="R28" s="3706"/>
      <c r="S28" s="3706"/>
      <c r="T28" s="3706"/>
      <c r="U28" s="3706"/>
      <c r="V28" s="3706"/>
      <c r="W28" s="3706"/>
      <c r="X28" s="3706"/>
      <c r="Y28" s="3706"/>
      <c r="Z28" s="3706"/>
      <c r="AA28" s="3706"/>
      <c r="AB28" s="3706"/>
      <c r="AC28" s="3706"/>
      <c r="AD28" s="3706"/>
      <c r="AE28" s="3706"/>
      <c r="AF28" s="3706"/>
      <c r="AG28" s="3706"/>
      <c r="AH28" s="3706"/>
      <c r="AI28" s="3706"/>
      <c r="AJ28" s="3706"/>
      <c r="AK28" s="3706"/>
      <c r="AL28" s="3706"/>
      <c r="AM28" s="3706"/>
      <c r="AN28" s="3706"/>
      <c r="AO28" s="3706"/>
      <c r="AP28" s="3706"/>
      <c r="AQ28" s="3706"/>
      <c r="AR28" s="3706"/>
      <c r="AS28" s="3706"/>
      <c r="AT28" s="3706"/>
      <c r="AU28" s="3706"/>
      <c r="AV28" s="3706"/>
      <c r="AW28" s="3706"/>
      <c r="AX28" s="3706"/>
      <c r="AY28" s="3707"/>
    </row>
    <row r="29" spans="1:51" ht="12" customHeight="1" thickBot="1">
      <c r="A29" s="3509"/>
      <c r="K29" s="3705"/>
      <c r="L29" s="3706"/>
      <c r="M29" s="3706"/>
      <c r="N29" s="3706"/>
      <c r="O29" s="3706"/>
      <c r="P29" s="3706"/>
      <c r="Q29" s="3706"/>
      <c r="R29" s="3706"/>
      <c r="S29" s="3706"/>
      <c r="T29" s="3706"/>
      <c r="U29" s="3706"/>
      <c r="V29" s="3706"/>
      <c r="W29" s="3706"/>
      <c r="X29" s="3706"/>
      <c r="Y29" s="3706"/>
      <c r="Z29" s="3706"/>
      <c r="AA29" s="3706"/>
      <c r="AB29" s="3706"/>
      <c r="AC29" s="3706"/>
      <c r="AD29" s="3706"/>
      <c r="AE29" s="3706"/>
      <c r="AF29" s="3706"/>
      <c r="AG29" s="3706"/>
      <c r="AH29" s="3706"/>
      <c r="AI29" s="3706"/>
      <c r="AJ29" s="3706"/>
      <c r="AK29" s="3706"/>
      <c r="AL29" s="3706"/>
      <c r="AM29" s="3706"/>
      <c r="AN29" s="3706"/>
      <c r="AO29" s="3706"/>
      <c r="AP29" s="3706"/>
      <c r="AQ29" s="3706"/>
      <c r="AR29" s="3706"/>
      <c r="AS29" s="3706"/>
      <c r="AT29" s="3706"/>
      <c r="AU29" s="3706"/>
      <c r="AV29" s="3706"/>
      <c r="AW29" s="3706"/>
      <c r="AX29" s="3706"/>
      <c r="AY29" s="3707"/>
    </row>
    <row r="30" spans="1:51" ht="12" customHeight="1">
      <c r="A30" s="3663" t="s">
        <v>4679</v>
      </c>
      <c r="B30" s="3664"/>
      <c r="C30" s="3664"/>
      <c r="D30" s="3664"/>
      <c r="E30" s="3664"/>
      <c r="F30" s="3664"/>
      <c r="G30" s="3664"/>
      <c r="H30" s="3664"/>
      <c r="I30" s="3664"/>
      <c r="J30" s="3664"/>
      <c r="K30" s="3705"/>
      <c r="L30" s="3706"/>
      <c r="M30" s="3706"/>
      <c r="N30" s="3706"/>
      <c r="O30" s="3706"/>
      <c r="P30" s="3706"/>
      <c r="Q30" s="3706"/>
      <c r="R30" s="3706"/>
      <c r="S30" s="3706"/>
      <c r="T30" s="3706"/>
      <c r="U30" s="3706"/>
      <c r="V30" s="3706"/>
      <c r="W30" s="3706"/>
      <c r="X30" s="3706"/>
      <c r="Y30" s="3706"/>
      <c r="Z30" s="3706"/>
      <c r="AA30" s="3706"/>
      <c r="AB30" s="3706"/>
      <c r="AC30" s="3706"/>
      <c r="AD30" s="3706"/>
      <c r="AE30" s="3706"/>
      <c r="AF30" s="3706"/>
      <c r="AG30" s="3706"/>
      <c r="AH30" s="3706"/>
      <c r="AI30" s="3706"/>
      <c r="AJ30" s="3706"/>
      <c r="AK30" s="3706"/>
      <c r="AL30" s="3706"/>
      <c r="AM30" s="3706"/>
      <c r="AN30" s="3706"/>
      <c r="AO30" s="3706"/>
      <c r="AP30" s="3706"/>
      <c r="AQ30" s="3706"/>
      <c r="AR30" s="3706"/>
      <c r="AS30" s="3706"/>
      <c r="AT30" s="3706"/>
      <c r="AU30" s="3706"/>
      <c r="AV30" s="3706"/>
      <c r="AW30" s="3706"/>
      <c r="AX30" s="3706"/>
      <c r="AY30" s="3707"/>
    </row>
    <row r="31" spans="1:51" ht="12" customHeight="1">
      <c r="A31" s="3687">
        <v>1</v>
      </c>
      <c r="B31" s="3688" t="s">
        <v>4680</v>
      </c>
      <c r="C31" s="3688"/>
      <c r="D31" s="3688"/>
      <c r="E31" s="3688"/>
      <c r="F31" s="3688"/>
      <c r="G31" s="3688"/>
      <c r="H31" s="3688"/>
      <c r="I31" s="3688"/>
      <c r="J31" s="3689"/>
      <c r="K31" s="3705"/>
      <c r="L31" s="3706"/>
      <c r="M31" s="3706"/>
      <c r="N31" s="3706"/>
      <c r="O31" s="3706"/>
      <c r="P31" s="3706"/>
      <c r="Q31" s="3706"/>
      <c r="R31" s="3706"/>
      <c r="S31" s="3706"/>
      <c r="T31" s="3706"/>
      <c r="U31" s="3706"/>
      <c r="V31" s="3706"/>
      <c r="W31" s="3706"/>
      <c r="X31" s="3706"/>
      <c r="Y31" s="3706"/>
      <c r="Z31" s="3706"/>
      <c r="AA31" s="3706"/>
      <c r="AB31" s="3706"/>
      <c r="AC31" s="3706"/>
      <c r="AD31" s="3706"/>
      <c r="AE31" s="3706"/>
      <c r="AF31" s="3706"/>
      <c r="AG31" s="3706"/>
      <c r="AH31" s="3706"/>
      <c r="AI31" s="3706"/>
      <c r="AJ31" s="3706"/>
      <c r="AK31" s="3706"/>
      <c r="AL31" s="3706"/>
      <c r="AM31" s="3706"/>
      <c r="AN31" s="3706"/>
      <c r="AO31" s="3706"/>
      <c r="AP31" s="3706"/>
      <c r="AQ31" s="3706"/>
      <c r="AR31" s="3706"/>
      <c r="AS31" s="3706"/>
      <c r="AT31" s="3706"/>
      <c r="AU31" s="3706"/>
      <c r="AV31" s="3706"/>
      <c r="AW31" s="3706"/>
      <c r="AX31" s="3706"/>
      <c r="AY31" s="3707"/>
    </row>
    <row r="32" spans="1:51" ht="12" customHeight="1">
      <c r="A32" s="3687"/>
      <c r="B32" s="3688"/>
      <c r="C32" s="3688"/>
      <c r="D32" s="3688"/>
      <c r="E32" s="3688"/>
      <c r="F32" s="3688"/>
      <c r="G32" s="3688"/>
      <c r="H32" s="3688"/>
      <c r="I32" s="3688"/>
      <c r="J32" s="3689"/>
      <c r="K32" s="3705"/>
      <c r="L32" s="3706"/>
      <c r="M32" s="3706"/>
      <c r="N32" s="3706"/>
      <c r="O32" s="3706"/>
      <c r="P32" s="3706"/>
      <c r="Q32" s="3706"/>
      <c r="R32" s="3706"/>
      <c r="S32" s="3706"/>
      <c r="T32" s="3706"/>
      <c r="U32" s="3706"/>
      <c r="V32" s="3706"/>
      <c r="W32" s="3706"/>
      <c r="X32" s="3706"/>
      <c r="Y32" s="3706"/>
      <c r="Z32" s="3706"/>
      <c r="AA32" s="3706"/>
      <c r="AB32" s="3706"/>
      <c r="AC32" s="3706"/>
      <c r="AD32" s="3706"/>
      <c r="AE32" s="3706"/>
      <c r="AF32" s="3706"/>
      <c r="AG32" s="3706"/>
      <c r="AH32" s="3706"/>
      <c r="AI32" s="3706"/>
      <c r="AJ32" s="3706"/>
      <c r="AK32" s="3706"/>
      <c r="AL32" s="3706"/>
      <c r="AM32" s="3706"/>
      <c r="AN32" s="3706"/>
      <c r="AO32" s="3706"/>
      <c r="AP32" s="3706"/>
      <c r="AQ32" s="3706"/>
      <c r="AR32" s="3706"/>
      <c r="AS32" s="3706"/>
      <c r="AT32" s="3706"/>
      <c r="AU32" s="3706"/>
      <c r="AV32" s="3706"/>
      <c r="AW32" s="3706"/>
      <c r="AX32" s="3706"/>
      <c r="AY32" s="3707"/>
    </row>
    <row r="33" spans="1:51" ht="12" customHeight="1">
      <c r="A33" s="3687"/>
      <c r="B33" s="3688"/>
      <c r="C33" s="3688"/>
      <c r="D33" s="3688"/>
      <c r="E33" s="3688"/>
      <c r="F33" s="3688"/>
      <c r="G33" s="3688"/>
      <c r="H33" s="3688"/>
      <c r="I33" s="3688"/>
      <c r="J33" s="3689"/>
      <c r="K33" s="3705"/>
      <c r="L33" s="3706"/>
      <c r="M33" s="3706"/>
      <c r="N33" s="3706"/>
      <c r="O33" s="3706"/>
      <c r="P33" s="3706"/>
      <c r="Q33" s="3706"/>
      <c r="R33" s="3706"/>
      <c r="S33" s="3706"/>
      <c r="T33" s="3706"/>
      <c r="U33" s="3706"/>
      <c r="V33" s="3706"/>
      <c r="W33" s="3706"/>
      <c r="X33" s="3706"/>
      <c r="Y33" s="3706"/>
      <c r="Z33" s="3706"/>
      <c r="AA33" s="3706"/>
      <c r="AB33" s="3706"/>
      <c r="AC33" s="3706"/>
      <c r="AD33" s="3706"/>
      <c r="AE33" s="3706"/>
      <c r="AF33" s="3706"/>
      <c r="AG33" s="3706"/>
      <c r="AH33" s="3706"/>
      <c r="AI33" s="3706"/>
      <c r="AJ33" s="3706"/>
      <c r="AK33" s="3706"/>
      <c r="AL33" s="3706"/>
      <c r="AM33" s="3706"/>
      <c r="AN33" s="3706"/>
      <c r="AO33" s="3706"/>
      <c r="AP33" s="3706"/>
      <c r="AQ33" s="3706"/>
      <c r="AR33" s="3706"/>
      <c r="AS33" s="3706"/>
      <c r="AT33" s="3706"/>
      <c r="AU33" s="3706"/>
      <c r="AV33" s="3706"/>
      <c r="AW33" s="3706"/>
      <c r="AX33" s="3706"/>
      <c r="AY33" s="3707"/>
    </row>
    <row r="34" spans="1:51" ht="12" customHeight="1">
      <c r="A34" s="3687"/>
      <c r="B34" s="3688"/>
      <c r="C34" s="3688"/>
      <c r="D34" s="3688"/>
      <c r="E34" s="3688"/>
      <c r="F34" s="3688"/>
      <c r="G34" s="3688"/>
      <c r="H34" s="3688"/>
      <c r="I34" s="3688"/>
      <c r="J34" s="3689"/>
      <c r="K34" s="3705"/>
      <c r="L34" s="3706"/>
      <c r="M34" s="3706"/>
      <c r="N34" s="3706"/>
      <c r="O34" s="3706"/>
      <c r="P34" s="3706"/>
      <c r="Q34" s="3706"/>
      <c r="R34" s="3706"/>
      <c r="S34" s="3706"/>
      <c r="T34" s="3706"/>
      <c r="U34" s="3706"/>
      <c r="V34" s="3706"/>
      <c r="W34" s="3706"/>
      <c r="X34" s="3706"/>
      <c r="Y34" s="3706"/>
      <c r="Z34" s="3706"/>
      <c r="AA34" s="3706"/>
      <c r="AB34" s="3706"/>
      <c r="AC34" s="3706"/>
      <c r="AD34" s="3706"/>
      <c r="AE34" s="3706"/>
      <c r="AF34" s="3706"/>
      <c r="AG34" s="3706"/>
      <c r="AH34" s="3706"/>
      <c r="AI34" s="3706"/>
      <c r="AJ34" s="3706"/>
      <c r="AK34" s="3706"/>
      <c r="AL34" s="3706"/>
      <c r="AM34" s="3706"/>
      <c r="AN34" s="3706"/>
      <c r="AO34" s="3706"/>
      <c r="AP34" s="3706"/>
      <c r="AQ34" s="3706"/>
      <c r="AR34" s="3706"/>
      <c r="AS34" s="3706"/>
      <c r="AT34" s="3706"/>
      <c r="AU34" s="3706"/>
      <c r="AV34" s="3706"/>
      <c r="AW34" s="3706"/>
      <c r="AX34" s="3706"/>
      <c r="AY34" s="3707"/>
    </row>
    <row r="35" spans="1:51" ht="12" customHeight="1">
      <c r="A35" s="3687"/>
      <c r="B35" s="3688"/>
      <c r="C35" s="3688"/>
      <c r="D35" s="3688"/>
      <c r="E35" s="3688"/>
      <c r="F35" s="3688"/>
      <c r="G35" s="3688"/>
      <c r="H35" s="3688"/>
      <c r="I35" s="3688"/>
      <c r="J35" s="3689"/>
      <c r="K35" s="3705"/>
      <c r="L35" s="3706"/>
      <c r="M35" s="3706"/>
      <c r="N35" s="3706"/>
      <c r="O35" s="3706"/>
      <c r="P35" s="3706"/>
      <c r="Q35" s="3706"/>
      <c r="R35" s="3706"/>
      <c r="S35" s="3706"/>
      <c r="T35" s="3706"/>
      <c r="U35" s="3706"/>
      <c r="V35" s="3706"/>
      <c r="W35" s="3706"/>
      <c r="X35" s="3706"/>
      <c r="Y35" s="3706"/>
      <c r="Z35" s="3706"/>
      <c r="AA35" s="3706"/>
      <c r="AB35" s="3706"/>
      <c r="AC35" s="3706"/>
      <c r="AD35" s="3706"/>
      <c r="AE35" s="3706"/>
      <c r="AF35" s="3706"/>
      <c r="AG35" s="3706"/>
      <c r="AH35" s="3706"/>
      <c r="AI35" s="3706"/>
      <c r="AJ35" s="3706"/>
      <c r="AK35" s="3706"/>
      <c r="AL35" s="3706"/>
      <c r="AM35" s="3706"/>
      <c r="AN35" s="3706"/>
      <c r="AO35" s="3706"/>
      <c r="AP35" s="3706"/>
      <c r="AQ35" s="3706"/>
      <c r="AR35" s="3706"/>
      <c r="AS35" s="3706"/>
      <c r="AT35" s="3706"/>
      <c r="AU35" s="3706"/>
      <c r="AV35" s="3706"/>
      <c r="AW35" s="3706"/>
      <c r="AX35" s="3706"/>
      <c r="AY35" s="3707"/>
    </row>
    <row r="36" spans="1:51" ht="12" customHeight="1">
      <c r="A36" s="3687">
        <v>2</v>
      </c>
      <c r="B36" s="3688" t="s">
        <v>4681</v>
      </c>
      <c r="C36" s="3688"/>
      <c r="D36" s="3688"/>
      <c r="E36" s="3688"/>
      <c r="F36" s="3688"/>
      <c r="G36" s="3688"/>
      <c r="H36" s="3688"/>
      <c r="I36" s="3688"/>
      <c r="J36" s="3689"/>
      <c r="K36" s="3705"/>
      <c r="L36" s="3706"/>
      <c r="M36" s="3706"/>
      <c r="N36" s="3706"/>
      <c r="O36" s="3706"/>
      <c r="P36" s="3706"/>
      <c r="Q36" s="3706"/>
      <c r="R36" s="3706"/>
      <c r="S36" s="3706"/>
      <c r="T36" s="3706"/>
      <c r="U36" s="3706"/>
      <c r="V36" s="3706"/>
      <c r="W36" s="3706"/>
      <c r="X36" s="3706"/>
      <c r="Y36" s="3706"/>
      <c r="Z36" s="3706"/>
      <c r="AA36" s="3706"/>
      <c r="AB36" s="3706"/>
      <c r="AC36" s="3706"/>
      <c r="AD36" s="3706"/>
      <c r="AE36" s="3706"/>
      <c r="AF36" s="3706"/>
      <c r="AG36" s="3706"/>
      <c r="AH36" s="3706"/>
      <c r="AI36" s="3706"/>
      <c r="AJ36" s="3706"/>
      <c r="AK36" s="3706"/>
      <c r="AL36" s="3706"/>
      <c r="AM36" s="3706"/>
      <c r="AN36" s="3706"/>
      <c r="AO36" s="3706"/>
      <c r="AP36" s="3706"/>
      <c r="AQ36" s="3706"/>
      <c r="AR36" s="3706"/>
      <c r="AS36" s="3706"/>
      <c r="AT36" s="3706"/>
      <c r="AU36" s="3706"/>
      <c r="AV36" s="3706"/>
      <c r="AW36" s="3706"/>
      <c r="AX36" s="3706"/>
      <c r="AY36" s="3707"/>
    </row>
    <row r="37" spans="1:51" ht="12" customHeight="1">
      <c r="A37" s="3687"/>
      <c r="B37" s="3688"/>
      <c r="C37" s="3688"/>
      <c r="D37" s="3688"/>
      <c r="E37" s="3688"/>
      <c r="F37" s="3688"/>
      <c r="G37" s="3688"/>
      <c r="H37" s="3688"/>
      <c r="I37" s="3688"/>
      <c r="J37" s="3689"/>
      <c r="K37" s="3705"/>
      <c r="L37" s="3706"/>
      <c r="M37" s="3706"/>
      <c r="N37" s="3706"/>
      <c r="O37" s="3706"/>
      <c r="P37" s="3706"/>
      <c r="Q37" s="3706"/>
      <c r="R37" s="3706"/>
      <c r="S37" s="3706"/>
      <c r="T37" s="3706"/>
      <c r="U37" s="3706"/>
      <c r="V37" s="3706"/>
      <c r="W37" s="3706"/>
      <c r="X37" s="3706"/>
      <c r="Y37" s="3706"/>
      <c r="Z37" s="3706"/>
      <c r="AA37" s="3706"/>
      <c r="AB37" s="3706"/>
      <c r="AC37" s="3706"/>
      <c r="AD37" s="3706"/>
      <c r="AE37" s="3706"/>
      <c r="AF37" s="3706"/>
      <c r="AG37" s="3706"/>
      <c r="AH37" s="3706"/>
      <c r="AI37" s="3706"/>
      <c r="AJ37" s="3706"/>
      <c r="AK37" s="3706"/>
      <c r="AL37" s="3706"/>
      <c r="AM37" s="3706"/>
      <c r="AN37" s="3706"/>
      <c r="AO37" s="3706"/>
      <c r="AP37" s="3706"/>
      <c r="AQ37" s="3706"/>
      <c r="AR37" s="3706"/>
      <c r="AS37" s="3706"/>
      <c r="AT37" s="3706"/>
      <c r="AU37" s="3706"/>
      <c r="AV37" s="3706"/>
      <c r="AW37" s="3706"/>
      <c r="AX37" s="3706"/>
      <c r="AY37" s="3707"/>
    </row>
    <row r="38" spans="1:51" ht="12" customHeight="1">
      <c r="A38" s="3687"/>
      <c r="B38" s="3688"/>
      <c r="C38" s="3688"/>
      <c r="D38" s="3688"/>
      <c r="E38" s="3688"/>
      <c r="F38" s="3688"/>
      <c r="G38" s="3688"/>
      <c r="H38" s="3688"/>
      <c r="I38" s="3688"/>
      <c r="J38" s="3689"/>
      <c r="K38" s="3705"/>
      <c r="L38" s="3706"/>
      <c r="M38" s="3706"/>
      <c r="N38" s="3706"/>
      <c r="O38" s="3706"/>
      <c r="P38" s="3706"/>
      <c r="Q38" s="3706"/>
      <c r="R38" s="3706"/>
      <c r="S38" s="3706"/>
      <c r="T38" s="3706"/>
      <c r="U38" s="3706"/>
      <c r="V38" s="3706"/>
      <c r="W38" s="3706"/>
      <c r="X38" s="3706"/>
      <c r="Y38" s="3706"/>
      <c r="Z38" s="3706"/>
      <c r="AA38" s="3706"/>
      <c r="AB38" s="3706"/>
      <c r="AC38" s="3706"/>
      <c r="AD38" s="3706"/>
      <c r="AE38" s="3706"/>
      <c r="AF38" s="3706"/>
      <c r="AG38" s="3706"/>
      <c r="AH38" s="3706"/>
      <c r="AI38" s="3706"/>
      <c r="AJ38" s="3706"/>
      <c r="AK38" s="3706"/>
      <c r="AL38" s="3706"/>
      <c r="AM38" s="3706"/>
      <c r="AN38" s="3706"/>
      <c r="AO38" s="3706"/>
      <c r="AP38" s="3706"/>
      <c r="AQ38" s="3706"/>
      <c r="AR38" s="3706"/>
      <c r="AS38" s="3706"/>
      <c r="AT38" s="3706"/>
      <c r="AU38" s="3706"/>
      <c r="AV38" s="3706"/>
      <c r="AW38" s="3706"/>
      <c r="AX38" s="3706"/>
      <c r="AY38" s="3707"/>
    </row>
    <row r="39" spans="1:51" ht="12" customHeight="1">
      <c r="A39" s="3687"/>
      <c r="B39" s="3688"/>
      <c r="C39" s="3688"/>
      <c r="D39" s="3688"/>
      <c r="E39" s="3688"/>
      <c r="F39" s="3688"/>
      <c r="G39" s="3688"/>
      <c r="H39" s="3688"/>
      <c r="I39" s="3688"/>
      <c r="J39" s="3689"/>
      <c r="K39" s="3705"/>
      <c r="L39" s="3706"/>
      <c r="M39" s="3706"/>
      <c r="N39" s="3706"/>
      <c r="O39" s="3706"/>
      <c r="P39" s="3706"/>
      <c r="Q39" s="3706"/>
      <c r="R39" s="3706"/>
      <c r="S39" s="3706"/>
      <c r="T39" s="3706"/>
      <c r="U39" s="3706"/>
      <c r="V39" s="3706"/>
      <c r="W39" s="3706"/>
      <c r="X39" s="3706"/>
      <c r="Y39" s="3706"/>
      <c r="Z39" s="3706"/>
      <c r="AA39" s="3706"/>
      <c r="AB39" s="3706"/>
      <c r="AC39" s="3706"/>
      <c r="AD39" s="3706"/>
      <c r="AE39" s="3706"/>
      <c r="AF39" s="3706"/>
      <c r="AG39" s="3706"/>
      <c r="AH39" s="3706"/>
      <c r="AI39" s="3706"/>
      <c r="AJ39" s="3706"/>
      <c r="AK39" s="3706"/>
      <c r="AL39" s="3706"/>
      <c r="AM39" s="3706"/>
      <c r="AN39" s="3706"/>
      <c r="AO39" s="3706"/>
      <c r="AP39" s="3706"/>
      <c r="AQ39" s="3706"/>
      <c r="AR39" s="3706"/>
      <c r="AS39" s="3706"/>
      <c r="AT39" s="3706"/>
      <c r="AU39" s="3706"/>
      <c r="AV39" s="3706"/>
      <c r="AW39" s="3706"/>
      <c r="AX39" s="3706"/>
      <c r="AY39" s="3707"/>
    </row>
    <row r="40" spans="1:51" ht="12" customHeight="1">
      <c r="A40" s="3687"/>
      <c r="B40" s="3688"/>
      <c r="C40" s="3688"/>
      <c r="D40" s="3688"/>
      <c r="E40" s="3688"/>
      <c r="F40" s="3688"/>
      <c r="G40" s="3688"/>
      <c r="H40" s="3688"/>
      <c r="I40" s="3688"/>
      <c r="J40" s="3689"/>
      <c r="K40" s="3705"/>
      <c r="L40" s="3706"/>
      <c r="M40" s="3706"/>
      <c r="N40" s="3706"/>
      <c r="O40" s="3706"/>
      <c r="P40" s="3706"/>
      <c r="Q40" s="3706"/>
      <c r="R40" s="3706"/>
      <c r="S40" s="3706"/>
      <c r="T40" s="3706"/>
      <c r="U40" s="3706"/>
      <c r="V40" s="3706"/>
      <c r="W40" s="3706"/>
      <c r="X40" s="3706"/>
      <c r="Y40" s="3706"/>
      <c r="Z40" s="3706"/>
      <c r="AA40" s="3706"/>
      <c r="AB40" s="3706"/>
      <c r="AC40" s="3706"/>
      <c r="AD40" s="3706"/>
      <c r="AE40" s="3706"/>
      <c r="AF40" s="3706"/>
      <c r="AG40" s="3706"/>
      <c r="AH40" s="3706"/>
      <c r="AI40" s="3706"/>
      <c r="AJ40" s="3706"/>
      <c r="AK40" s="3706"/>
      <c r="AL40" s="3706"/>
      <c r="AM40" s="3706"/>
      <c r="AN40" s="3706"/>
      <c r="AO40" s="3706"/>
      <c r="AP40" s="3706"/>
      <c r="AQ40" s="3706"/>
      <c r="AR40" s="3706"/>
      <c r="AS40" s="3706"/>
      <c r="AT40" s="3706"/>
      <c r="AU40" s="3706"/>
      <c r="AV40" s="3706"/>
      <c r="AW40" s="3706"/>
      <c r="AX40" s="3706"/>
      <c r="AY40" s="3707"/>
    </row>
    <row r="41" spans="1:51" ht="12" customHeight="1">
      <c r="A41" s="3687">
        <v>3</v>
      </c>
      <c r="B41" s="3688" t="s">
        <v>4682</v>
      </c>
      <c r="C41" s="3688"/>
      <c r="D41" s="3688"/>
      <c r="E41" s="3688"/>
      <c r="F41" s="3688"/>
      <c r="G41" s="3688"/>
      <c r="H41" s="3688"/>
      <c r="I41" s="3688"/>
      <c r="J41" s="3689"/>
      <c r="K41" s="3705"/>
      <c r="L41" s="3706"/>
      <c r="M41" s="3706"/>
      <c r="N41" s="3706"/>
      <c r="O41" s="3706"/>
      <c r="P41" s="3706"/>
      <c r="Q41" s="3706"/>
      <c r="R41" s="3706"/>
      <c r="S41" s="3706"/>
      <c r="T41" s="3706"/>
      <c r="U41" s="3706"/>
      <c r="V41" s="3706"/>
      <c r="W41" s="3706"/>
      <c r="X41" s="3706"/>
      <c r="Y41" s="3706"/>
      <c r="Z41" s="3706"/>
      <c r="AA41" s="3706"/>
      <c r="AB41" s="3706"/>
      <c r="AC41" s="3706"/>
      <c r="AD41" s="3706"/>
      <c r="AE41" s="3706"/>
      <c r="AF41" s="3706"/>
      <c r="AG41" s="3706"/>
      <c r="AH41" s="3706"/>
      <c r="AI41" s="3706"/>
      <c r="AJ41" s="3706"/>
      <c r="AK41" s="3706"/>
      <c r="AL41" s="3706"/>
      <c r="AM41" s="3706"/>
      <c r="AN41" s="3706"/>
      <c r="AO41" s="3706"/>
      <c r="AP41" s="3706"/>
      <c r="AQ41" s="3706"/>
      <c r="AR41" s="3706"/>
      <c r="AS41" s="3706"/>
      <c r="AT41" s="3706"/>
      <c r="AU41" s="3706"/>
      <c r="AV41" s="3706"/>
      <c r="AW41" s="3706"/>
      <c r="AX41" s="3706"/>
      <c r="AY41" s="3707"/>
    </row>
    <row r="42" spans="1:51" ht="12" customHeight="1">
      <c r="A42" s="3687"/>
      <c r="B42" s="3688"/>
      <c r="C42" s="3688"/>
      <c r="D42" s="3688"/>
      <c r="E42" s="3688"/>
      <c r="F42" s="3688"/>
      <c r="G42" s="3688"/>
      <c r="H42" s="3688"/>
      <c r="I42" s="3688"/>
      <c r="J42" s="3689"/>
      <c r="K42" s="3705"/>
      <c r="L42" s="3706"/>
      <c r="M42" s="3706"/>
      <c r="N42" s="3706"/>
      <c r="O42" s="3706"/>
      <c r="P42" s="3706"/>
      <c r="Q42" s="3706"/>
      <c r="R42" s="3706"/>
      <c r="S42" s="3706"/>
      <c r="T42" s="3706"/>
      <c r="U42" s="3706"/>
      <c r="V42" s="3706"/>
      <c r="W42" s="3706"/>
      <c r="X42" s="3706"/>
      <c r="Y42" s="3706"/>
      <c r="Z42" s="3706"/>
      <c r="AA42" s="3706"/>
      <c r="AB42" s="3706"/>
      <c r="AC42" s="3706"/>
      <c r="AD42" s="3706"/>
      <c r="AE42" s="3706"/>
      <c r="AF42" s="3706"/>
      <c r="AG42" s="3706"/>
      <c r="AH42" s="3706"/>
      <c r="AI42" s="3706"/>
      <c r="AJ42" s="3706"/>
      <c r="AK42" s="3706"/>
      <c r="AL42" s="3706"/>
      <c r="AM42" s="3706"/>
      <c r="AN42" s="3706"/>
      <c r="AO42" s="3706"/>
      <c r="AP42" s="3706"/>
      <c r="AQ42" s="3706"/>
      <c r="AR42" s="3706"/>
      <c r="AS42" s="3706"/>
      <c r="AT42" s="3706"/>
      <c r="AU42" s="3706"/>
      <c r="AV42" s="3706"/>
      <c r="AW42" s="3706"/>
      <c r="AX42" s="3706"/>
      <c r="AY42" s="3707"/>
    </row>
    <row r="43" spans="1:51" ht="12" customHeight="1">
      <c r="A43" s="3687"/>
      <c r="B43" s="3688"/>
      <c r="C43" s="3688"/>
      <c r="D43" s="3688"/>
      <c r="E43" s="3688"/>
      <c r="F43" s="3688"/>
      <c r="G43" s="3688"/>
      <c r="H43" s="3688"/>
      <c r="I43" s="3688"/>
      <c r="J43" s="3689"/>
      <c r="K43" s="3705"/>
      <c r="L43" s="3706"/>
      <c r="M43" s="3706"/>
      <c r="N43" s="3706"/>
      <c r="O43" s="3706"/>
      <c r="P43" s="3706"/>
      <c r="Q43" s="3706"/>
      <c r="R43" s="3706"/>
      <c r="S43" s="3706"/>
      <c r="T43" s="3706"/>
      <c r="U43" s="3706"/>
      <c r="V43" s="3706"/>
      <c r="W43" s="3706"/>
      <c r="X43" s="3706"/>
      <c r="Y43" s="3706"/>
      <c r="Z43" s="3706"/>
      <c r="AA43" s="3706"/>
      <c r="AB43" s="3706"/>
      <c r="AC43" s="3706"/>
      <c r="AD43" s="3706"/>
      <c r="AE43" s="3706"/>
      <c r="AF43" s="3706"/>
      <c r="AG43" s="3706"/>
      <c r="AH43" s="3706"/>
      <c r="AI43" s="3706"/>
      <c r="AJ43" s="3706"/>
      <c r="AK43" s="3706"/>
      <c r="AL43" s="3706"/>
      <c r="AM43" s="3706"/>
      <c r="AN43" s="3706"/>
      <c r="AO43" s="3706"/>
      <c r="AP43" s="3706"/>
      <c r="AQ43" s="3706"/>
      <c r="AR43" s="3706"/>
      <c r="AS43" s="3706"/>
      <c r="AT43" s="3706"/>
      <c r="AU43" s="3706"/>
      <c r="AV43" s="3706"/>
      <c r="AW43" s="3706"/>
      <c r="AX43" s="3706"/>
      <c r="AY43" s="3707"/>
    </row>
    <row r="44" spans="1:51" ht="12" customHeight="1">
      <c r="A44" s="3687"/>
      <c r="B44" s="3688"/>
      <c r="C44" s="3688"/>
      <c r="D44" s="3688"/>
      <c r="E44" s="3688"/>
      <c r="F44" s="3688"/>
      <c r="G44" s="3688"/>
      <c r="H44" s="3688"/>
      <c r="I44" s="3688"/>
      <c r="J44" s="3689"/>
      <c r="K44" s="3705"/>
      <c r="L44" s="3706"/>
      <c r="M44" s="3706"/>
      <c r="N44" s="3706"/>
      <c r="O44" s="3706"/>
      <c r="P44" s="3706"/>
      <c r="Q44" s="3706"/>
      <c r="R44" s="3706"/>
      <c r="S44" s="3706"/>
      <c r="T44" s="3706"/>
      <c r="U44" s="3706"/>
      <c r="V44" s="3706"/>
      <c r="W44" s="3706"/>
      <c r="X44" s="3706"/>
      <c r="Y44" s="3706"/>
      <c r="Z44" s="3706"/>
      <c r="AA44" s="3706"/>
      <c r="AB44" s="3706"/>
      <c r="AC44" s="3706"/>
      <c r="AD44" s="3706"/>
      <c r="AE44" s="3706"/>
      <c r="AF44" s="3706"/>
      <c r="AG44" s="3706"/>
      <c r="AH44" s="3706"/>
      <c r="AI44" s="3706"/>
      <c r="AJ44" s="3706"/>
      <c r="AK44" s="3706"/>
      <c r="AL44" s="3706"/>
      <c r="AM44" s="3706"/>
      <c r="AN44" s="3706"/>
      <c r="AO44" s="3706"/>
      <c r="AP44" s="3706"/>
      <c r="AQ44" s="3706"/>
      <c r="AR44" s="3706"/>
      <c r="AS44" s="3706"/>
      <c r="AT44" s="3706"/>
      <c r="AU44" s="3706"/>
      <c r="AV44" s="3706"/>
      <c r="AW44" s="3706"/>
      <c r="AX44" s="3706"/>
      <c r="AY44" s="3707"/>
    </row>
    <row r="45" spans="1:51" ht="12" customHeight="1" thickBot="1">
      <c r="A45" s="3681"/>
      <c r="B45" s="3690"/>
      <c r="C45" s="3690"/>
      <c r="D45" s="3690"/>
      <c r="E45" s="3690"/>
      <c r="F45" s="3690"/>
      <c r="G45" s="3690"/>
      <c r="H45" s="3690"/>
      <c r="I45" s="3690"/>
      <c r="J45" s="3691"/>
      <c r="K45" s="3708"/>
      <c r="L45" s="3709"/>
      <c r="M45" s="3709"/>
      <c r="N45" s="3709"/>
      <c r="O45" s="3709"/>
      <c r="P45" s="3709"/>
      <c r="Q45" s="3709"/>
      <c r="R45" s="3709"/>
      <c r="S45" s="3709"/>
      <c r="T45" s="3709"/>
      <c r="U45" s="3709"/>
      <c r="V45" s="3709"/>
      <c r="W45" s="3709"/>
      <c r="X45" s="3709"/>
      <c r="Y45" s="3709"/>
      <c r="Z45" s="3709"/>
      <c r="AA45" s="3709"/>
      <c r="AB45" s="3709"/>
      <c r="AC45" s="3709"/>
      <c r="AD45" s="3709"/>
      <c r="AE45" s="3709"/>
      <c r="AF45" s="3709"/>
      <c r="AG45" s="3709"/>
      <c r="AH45" s="3709"/>
      <c r="AI45" s="3709"/>
      <c r="AJ45" s="3709"/>
      <c r="AK45" s="3709"/>
      <c r="AL45" s="3709"/>
      <c r="AM45" s="3709"/>
      <c r="AN45" s="3709"/>
      <c r="AO45" s="3709"/>
      <c r="AP45" s="3709"/>
      <c r="AQ45" s="3709"/>
      <c r="AR45" s="3709"/>
      <c r="AS45" s="3709"/>
      <c r="AT45" s="3709"/>
      <c r="AU45" s="3709"/>
      <c r="AV45" s="3709"/>
      <c r="AW45" s="3709"/>
      <c r="AX45" s="3709"/>
      <c r="AY45" s="3710"/>
    </row>
    <row r="46" spans="1:51" ht="12" customHeight="1">
      <c r="A46" s="3692" t="s">
        <v>4683</v>
      </c>
      <c r="B46" s="3693"/>
      <c r="C46" s="3696"/>
      <c r="D46" s="3696"/>
      <c r="E46" s="3696"/>
      <c r="F46" s="3696"/>
      <c r="G46" s="3696"/>
      <c r="H46" s="3696"/>
      <c r="I46" s="3696"/>
      <c r="J46" s="3696"/>
      <c r="K46" s="3697"/>
      <c r="L46" s="3699" t="s">
        <v>4684</v>
      </c>
      <c r="M46" s="3700"/>
      <c r="N46" s="3701"/>
      <c r="O46" s="3701"/>
      <c r="P46" s="3660"/>
      <c r="Q46" s="3661"/>
      <c r="R46" s="3662"/>
      <c r="S46" s="3663" t="s">
        <v>4685</v>
      </c>
      <c r="T46" s="3664"/>
      <c r="U46" s="3664"/>
      <c r="V46" s="3664"/>
      <c r="W46" s="3664"/>
      <c r="X46" s="3664"/>
      <c r="Y46" s="3664"/>
      <c r="Z46" s="3664"/>
      <c r="AA46" s="3664"/>
      <c r="AB46" s="3664"/>
      <c r="AC46" s="3667"/>
      <c r="AD46" s="3669"/>
      <c r="AE46" s="3670"/>
      <c r="AF46" s="3670"/>
      <c r="AG46" s="3670"/>
      <c r="AH46" s="3670"/>
      <c r="AI46" s="3670"/>
      <c r="AJ46" s="3670"/>
      <c r="AK46" s="3670"/>
      <c r="AL46" s="3670"/>
      <c r="AM46" s="3670"/>
      <c r="AN46" s="3671"/>
      <c r="AO46" s="3675"/>
      <c r="AP46" s="3676"/>
      <c r="AQ46" s="3676"/>
      <c r="AR46" s="3676"/>
      <c r="AS46" s="3676"/>
      <c r="AT46" s="3676"/>
      <c r="AU46" s="3676"/>
      <c r="AV46" s="3676"/>
      <c r="AW46" s="3676"/>
      <c r="AX46" s="3676"/>
      <c r="AY46" s="3677"/>
    </row>
    <row r="47" spans="1:51" ht="12" customHeight="1" thickBot="1">
      <c r="A47" s="3694"/>
      <c r="B47" s="3695"/>
      <c r="C47" s="3682"/>
      <c r="D47" s="3682"/>
      <c r="E47" s="3682"/>
      <c r="F47" s="3682"/>
      <c r="G47" s="3682"/>
      <c r="H47" s="3682"/>
      <c r="I47" s="3682"/>
      <c r="J47" s="3682"/>
      <c r="K47" s="3698"/>
      <c r="L47" s="3681" t="s">
        <v>4686</v>
      </c>
      <c r="M47" s="3682"/>
      <c r="N47" s="3683"/>
      <c r="O47" s="3683"/>
      <c r="P47" s="3684"/>
      <c r="Q47" s="3685"/>
      <c r="R47" s="3686"/>
      <c r="S47" s="3665"/>
      <c r="T47" s="3666"/>
      <c r="U47" s="3666"/>
      <c r="V47" s="3666"/>
      <c r="W47" s="3666"/>
      <c r="X47" s="3666"/>
      <c r="Y47" s="3666"/>
      <c r="Z47" s="3666"/>
      <c r="AA47" s="3666"/>
      <c r="AB47" s="3666"/>
      <c r="AC47" s="3668"/>
      <c r="AD47" s="3672"/>
      <c r="AE47" s="3673"/>
      <c r="AF47" s="3673"/>
      <c r="AG47" s="3673"/>
      <c r="AH47" s="3673"/>
      <c r="AI47" s="3673"/>
      <c r="AJ47" s="3673"/>
      <c r="AK47" s="3673"/>
      <c r="AL47" s="3673"/>
      <c r="AM47" s="3673"/>
      <c r="AN47" s="3674"/>
      <c r="AO47" s="3678"/>
      <c r="AP47" s="3679"/>
      <c r="AQ47" s="3679"/>
      <c r="AR47" s="3679"/>
      <c r="AS47" s="3679"/>
      <c r="AT47" s="3679"/>
      <c r="AU47" s="3679"/>
      <c r="AV47" s="3679"/>
      <c r="AW47" s="3679"/>
      <c r="AX47" s="3679"/>
      <c r="AY47" s="3680"/>
    </row>
  </sheetData>
  <sheetProtection formatCells="0"/>
  <mergeCells count="63">
    <mergeCell ref="Q5:T5"/>
    <mergeCell ref="G6:K6"/>
    <mergeCell ref="Q6:X6"/>
    <mergeCell ref="A1:AY2"/>
    <mergeCell ref="A3:C4"/>
    <mergeCell ref="D3:F4"/>
    <mergeCell ref="N3:P3"/>
    <mergeCell ref="Q3:T3"/>
    <mergeCell ref="N4:P4"/>
    <mergeCell ref="Q4:T4"/>
    <mergeCell ref="B9:D9"/>
    <mergeCell ref="E9:F9"/>
    <mergeCell ref="A5:C5"/>
    <mergeCell ref="D5:F5"/>
    <mergeCell ref="N5:P5"/>
    <mergeCell ref="B7:D7"/>
    <mergeCell ref="E7:F7"/>
    <mergeCell ref="G7:K7"/>
    <mergeCell ref="B8:D8"/>
    <mergeCell ref="E8:F8"/>
    <mergeCell ref="B16:D16"/>
    <mergeCell ref="E16:F16"/>
    <mergeCell ref="B17:D17"/>
    <mergeCell ref="B10:D10"/>
    <mergeCell ref="E10:F10"/>
    <mergeCell ref="B11:D11"/>
    <mergeCell ref="E11:F11"/>
    <mergeCell ref="B12:D12"/>
    <mergeCell ref="E12:F12"/>
    <mergeCell ref="A36:A40"/>
    <mergeCell ref="B36:J40"/>
    <mergeCell ref="E17:F17"/>
    <mergeCell ref="B18:D18"/>
    <mergeCell ref="E18:F18"/>
    <mergeCell ref="B19:D19"/>
    <mergeCell ref="E19:F19"/>
    <mergeCell ref="G19:J19"/>
    <mergeCell ref="B20:D20"/>
    <mergeCell ref="E20:F20"/>
    <mergeCell ref="A30:J30"/>
    <mergeCell ref="A31:A35"/>
    <mergeCell ref="B31:J35"/>
    <mergeCell ref="L47:M47"/>
    <mergeCell ref="N47:O47"/>
    <mergeCell ref="P47:R47"/>
    <mergeCell ref="A41:A45"/>
    <mergeCell ref="B41:J45"/>
    <mergeCell ref="A46:B47"/>
    <mergeCell ref="C46:K47"/>
    <mergeCell ref="L46:M46"/>
    <mergeCell ref="N46:O46"/>
    <mergeCell ref="K12:AY45"/>
    <mergeCell ref="B13:D13"/>
    <mergeCell ref="E13:F13"/>
    <mergeCell ref="C14:D14"/>
    <mergeCell ref="E14:F14"/>
    <mergeCell ref="B15:D15"/>
    <mergeCell ref="E15:F15"/>
    <mergeCell ref="P46:R46"/>
    <mergeCell ref="S46:T47"/>
    <mergeCell ref="U46:AC47"/>
    <mergeCell ref="AD46:AN47"/>
    <mergeCell ref="AO46:AY47"/>
  </mergeCells>
  <phoneticPr fontId="170" type="noConversion"/>
  <pageMargins left="0" right="0" top="0" bottom="0" header="0" footer="0"/>
  <pageSetup paperSize="9" orientation="landscape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>
    <tabColor theme="7" tint="0.79998168889431442"/>
  </sheetPr>
  <dimension ref="A1:AY47"/>
  <sheetViews>
    <sheetView topLeftCell="A10" zoomScaleNormal="100" zoomScaleSheetLayoutView="100" zoomScalePageLayoutView="70" workbookViewId="0">
      <selection activeCell="B17" sqref="B17:D17"/>
    </sheetView>
  </sheetViews>
  <sheetFormatPr defaultColWidth="2.7109375" defaultRowHeight="12" customHeight="1"/>
  <cols>
    <col min="1" max="1" width="2.7109375" style="3382"/>
    <col min="2" max="2" width="3" style="3382" bestFit="1" customWidth="1"/>
    <col min="3" max="23" width="2.7109375" style="3382"/>
    <col min="24" max="24" width="4.85546875" style="3382" customWidth="1"/>
    <col min="25" max="16384" width="2.7109375" style="3382"/>
  </cols>
  <sheetData>
    <row r="1" spans="1:51" ht="12" customHeight="1">
      <c r="A1" s="3761" t="s">
        <v>4655</v>
      </c>
      <c r="B1" s="3762"/>
      <c r="C1" s="3762"/>
      <c r="D1" s="3762"/>
      <c r="E1" s="3762"/>
      <c r="F1" s="3762"/>
      <c r="G1" s="3762"/>
      <c r="H1" s="3762"/>
      <c r="I1" s="3762"/>
      <c r="J1" s="3762"/>
      <c r="K1" s="3762"/>
      <c r="L1" s="3762"/>
      <c r="M1" s="3762"/>
      <c r="N1" s="3762"/>
      <c r="O1" s="3762"/>
      <c r="P1" s="3762"/>
      <c r="Q1" s="3762"/>
      <c r="R1" s="3762"/>
      <c r="S1" s="3762"/>
      <c r="T1" s="3762"/>
      <c r="U1" s="3762"/>
      <c r="V1" s="3762"/>
      <c r="W1" s="3762"/>
      <c r="X1" s="3762"/>
      <c r="Y1" s="3762"/>
      <c r="Z1" s="3762"/>
      <c r="AA1" s="3762"/>
      <c r="AB1" s="3762"/>
      <c r="AC1" s="3762"/>
      <c r="AD1" s="3762"/>
      <c r="AE1" s="3762"/>
      <c r="AF1" s="3762"/>
      <c r="AG1" s="3762"/>
      <c r="AH1" s="3762"/>
      <c r="AI1" s="3762"/>
      <c r="AJ1" s="3762"/>
      <c r="AK1" s="3762"/>
      <c r="AL1" s="3762"/>
      <c r="AM1" s="3762"/>
      <c r="AN1" s="3762"/>
      <c r="AO1" s="3762"/>
      <c r="AP1" s="3762"/>
      <c r="AQ1" s="3762"/>
      <c r="AR1" s="3762"/>
      <c r="AS1" s="3762"/>
      <c r="AT1" s="3762"/>
      <c r="AU1" s="3762"/>
      <c r="AV1" s="3762"/>
      <c r="AW1" s="3762"/>
      <c r="AX1" s="3762"/>
      <c r="AY1" s="3763"/>
    </row>
    <row r="2" spans="1:51" ht="12" customHeight="1" thickBot="1">
      <c r="A2" s="3764"/>
      <c r="B2" s="3765"/>
      <c r="C2" s="3765"/>
      <c r="D2" s="3765"/>
      <c r="E2" s="3765"/>
      <c r="F2" s="3765"/>
      <c r="G2" s="3765"/>
      <c r="H2" s="3765"/>
      <c r="I2" s="3765"/>
      <c r="J2" s="3765"/>
      <c r="K2" s="3765"/>
      <c r="L2" s="3765"/>
      <c r="M2" s="3765"/>
      <c r="N2" s="3765"/>
      <c r="O2" s="3765"/>
      <c r="P2" s="3765"/>
      <c r="Q2" s="3765"/>
      <c r="R2" s="3765"/>
      <c r="S2" s="3765"/>
      <c r="T2" s="3765"/>
      <c r="U2" s="3765"/>
      <c r="V2" s="3765"/>
      <c r="W2" s="3765"/>
      <c r="X2" s="3765"/>
      <c r="Y2" s="3765"/>
      <c r="Z2" s="3765"/>
      <c r="AA2" s="3765"/>
      <c r="AB2" s="3765"/>
      <c r="AC2" s="3765"/>
      <c r="AD2" s="3765"/>
      <c r="AE2" s="3765"/>
      <c r="AF2" s="3765"/>
      <c r="AG2" s="3765"/>
      <c r="AH2" s="3765"/>
      <c r="AI2" s="3765"/>
      <c r="AJ2" s="3765"/>
      <c r="AK2" s="3765"/>
      <c r="AL2" s="3765"/>
      <c r="AM2" s="3765"/>
      <c r="AN2" s="3765"/>
      <c r="AO2" s="3765"/>
      <c r="AP2" s="3765"/>
      <c r="AQ2" s="3765"/>
      <c r="AR2" s="3765"/>
      <c r="AS2" s="3765"/>
      <c r="AT2" s="3765"/>
      <c r="AU2" s="3765"/>
      <c r="AV2" s="3765"/>
      <c r="AW2" s="3765"/>
      <c r="AX2" s="3765"/>
      <c r="AY2" s="3766"/>
    </row>
    <row r="3" spans="1:51" ht="12" customHeight="1" thickBot="1">
      <c r="A3" s="3702" t="s">
        <v>4656</v>
      </c>
      <c r="B3" s="3703"/>
      <c r="C3" s="3767"/>
      <c r="D3" s="3769" t="s">
        <v>4657</v>
      </c>
      <c r="E3" s="3770"/>
      <c r="F3" s="3771"/>
      <c r="G3" s="3383"/>
      <c r="H3" s="3384"/>
      <c r="I3" s="3384"/>
      <c r="J3" s="3384"/>
      <c r="K3" s="3384"/>
      <c r="L3" s="3384"/>
      <c r="M3" s="3384"/>
      <c r="N3" s="3740" t="s">
        <v>4658</v>
      </c>
      <c r="O3" s="3741"/>
      <c r="P3" s="3746"/>
      <c r="Q3" s="3775">
        <f>Cone_H</f>
        <v>56.269330410535765</v>
      </c>
      <c r="R3" s="3776"/>
      <c r="S3" s="3776"/>
      <c r="T3" s="3777"/>
      <c r="U3" s="3383"/>
      <c r="V3" s="3383"/>
      <c r="W3" s="3383"/>
      <c r="X3" s="3383"/>
      <c r="Y3" s="3383"/>
      <c r="Z3" s="3383"/>
      <c r="AA3" s="3385"/>
      <c r="AB3" s="3385"/>
      <c r="AC3" s="3385"/>
      <c r="AD3" s="3386"/>
      <c r="AE3" s="3383"/>
      <c r="AF3" s="3383"/>
      <c r="AG3" s="3383"/>
      <c r="AH3" s="3383"/>
      <c r="AI3" s="3383"/>
      <c r="AJ3" s="3383"/>
      <c r="AK3" s="3383"/>
      <c r="AL3" s="3383"/>
      <c r="AM3" s="3383"/>
      <c r="AN3" s="3383"/>
      <c r="AO3" s="3383"/>
      <c r="AP3" s="3383"/>
      <c r="AQ3" s="3383"/>
      <c r="AR3" s="3383"/>
      <c r="AS3" s="3383"/>
      <c r="AT3" s="3383"/>
      <c r="AU3" s="3383"/>
      <c r="AV3" s="3383"/>
      <c r="AW3" s="3383"/>
      <c r="AX3" s="3383"/>
      <c r="AY3" s="3387"/>
    </row>
    <row r="4" spans="1:51" ht="12" customHeight="1" thickBot="1">
      <c r="A4" s="3708"/>
      <c r="B4" s="3709"/>
      <c r="C4" s="3768"/>
      <c r="D4" s="3772"/>
      <c r="E4" s="3773"/>
      <c r="F4" s="3774"/>
      <c r="I4" s="3388"/>
      <c r="J4" s="3388"/>
      <c r="K4" s="3388"/>
      <c r="L4" s="3389"/>
      <c r="M4" s="3389"/>
      <c r="N4" s="3740" t="s">
        <v>4659</v>
      </c>
      <c r="O4" s="3741"/>
      <c r="P4" s="3746"/>
      <c r="Q4" s="3775">
        <f>Cone_D</f>
        <v>420</v>
      </c>
      <c r="R4" s="3776"/>
      <c r="S4" s="3776"/>
      <c r="T4" s="3777"/>
      <c r="AA4" s="3389"/>
      <c r="AB4" s="3389"/>
      <c r="AC4" s="3389"/>
      <c r="AD4" s="3390"/>
      <c r="AY4" s="3391"/>
    </row>
    <row r="5" spans="1:51" ht="12" customHeight="1" thickBot="1">
      <c r="A5" s="3740" t="s">
        <v>4660</v>
      </c>
      <c r="B5" s="3741"/>
      <c r="C5" s="3742"/>
      <c r="D5" s="3743" t="s">
        <v>4697</v>
      </c>
      <c r="E5" s="3744"/>
      <c r="F5" s="3745"/>
      <c r="I5" s="3388"/>
      <c r="J5" s="3388"/>
      <c r="K5" s="3388"/>
      <c r="L5" s="3389"/>
      <c r="M5" s="3389"/>
      <c r="N5" s="3740" t="s">
        <v>4661</v>
      </c>
      <c r="O5" s="3741"/>
      <c r="P5" s="3746"/>
      <c r="Q5" s="3755">
        <f>Cone_T</f>
        <v>6</v>
      </c>
      <c r="R5" s="3756"/>
      <c r="S5" s="3756"/>
      <c r="T5" s="3757"/>
      <c r="AA5" s="3389"/>
      <c r="AB5" s="3389"/>
      <c r="AC5" s="3389"/>
      <c r="AD5" s="3389"/>
      <c r="AE5" s="3389"/>
      <c r="AF5" s="3389"/>
      <c r="AY5" s="3391"/>
    </row>
    <row r="6" spans="1:51" ht="12" customHeight="1" thickBot="1">
      <c r="A6" s="3392"/>
      <c r="G6" s="3758" t="s">
        <v>4662</v>
      </c>
      <c r="H6" s="3759"/>
      <c r="I6" s="3759"/>
      <c r="J6" s="3759"/>
      <c r="K6" s="3760"/>
      <c r="Q6" s="3758" t="s">
        <v>4663</v>
      </c>
      <c r="R6" s="3759"/>
      <c r="S6" s="3759"/>
      <c r="T6" s="3759"/>
      <c r="U6" s="3759"/>
      <c r="V6" s="3759"/>
      <c r="W6" s="3759"/>
      <c r="X6" s="3760"/>
      <c r="AB6" s="3388"/>
      <c r="AC6" s="3388"/>
      <c r="AD6" s="3388"/>
      <c r="AE6" s="3389"/>
      <c r="AF6" s="3389"/>
      <c r="AY6" s="3391"/>
    </row>
    <row r="7" spans="1:51" ht="12" customHeight="1" thickBot="1">
      <c r="A7" s="3393" t="s">
        <v>4664</v>
      </c>
      <c r="B7" s="3747" t="e">
        <f ca="1">SD</f>
        <v>#REF!</v>
      </c>
      <c r="C7" s="3748"/>
      <c r="D7" s="3749"/>
      <c r="E7" s="3750" t="s">
        <v>136</v>
      </c>
      <c r="F7" s="3751"/>
      <c r="G7" s="3752" t="e">
        <f ca="1">VLOOKUP(SD,HUB_data!A3:H15,8,0)</f>
        <v>#REF!</v>
      </c>
      <c r="H7" s="3753"/>
      <c r="I7" s="3753"/>
      <c r="J7" s="3753"/>
      <c r="K7" s="3754"/>
      <c r="AB7" s="3388"/>
      <c r="AC7" s="3388"/>
      <c r="AD7" s="3388"/>
      <c r="AE7" s="3389"/>
      <c r="AF7" s="3389"/>
      <c r="AY7" s="3391"/>
    </row>
    <row r="8" spans="1:51" ht="12" customHeight="1">
      <c r="A8" s="3394" t="s">
        <v>4665</v>
      </c>
      <c r="B8" s="3725" t="e">
        <f ca="1">VLOOKUP(SD,HUB_data!A3:G15,3,0)</f>
        <v>#REF!</v>
      </c>
      <c r="C8" s="3726"/>
      <c r="D8" s="3727"/>
      <c r="E8" s="3723" t="s">
        <v>136</v>
      </c>
      <c r="F8" s="3724"/>
      <c r="AB8" s="3388"/>
      <c r="AC8" s="3388"/>
      <c r="AD8" s="3388"/>
      <c r="AE8" s="3389"/>
      <c r="AF8" s="3389"/>
      <c r="AY8" s="3391"/>
    </row>
    <row r="9" spans="1:51" ht="12" customHeight="1">
      <c r="A9" s="3394" t="s">
        <v>4666</v>
      </c>
      <c r="B9" s="3725" t="e">
        <f ca="1">VLOOKUP(SD,HUB_data!A3:G15,2,0)</f>
        <v>#REF!</v>
      </c>
      <c r="C9" s="3726"/>
      <c r="D9" s="3727"/>
      <c r="E9" s="3723" t="s">
        <v>136</v>
      </c>
      <c r="F9" s="3724"/>
      <c r="AB9" s="3388"/>
      <c r="AC9" s="3388"/>
      <c r="AD9" s="3388"/>
      <c r="AE9" s="3389"/>
      <c r="AF9" s="3389"/>
      <c r="AY9" s="3391"/>
    </row>
    <row r="10" spans="1:51" ht="12" customHeight="1">
      <c r="A10" s="3394" t="s">
        <v>4667</v>
      </c>
      <c r="B10" s="3725">
        <f>d_5-15-35</f>
        <v>580</v>
      </c>
      <c r="C10" s="3726"/>
      <c r="D10" s="3727"/>
      <c r="E10" s="3723" t="s">
        <v>136</v>
      </c>
      <c r="F10" s="3724"/>
      <c r="AB10" s="3388"/>
      <c r="AC10" s="3388"/>
      <c r="AD10" s="3388"/>
      <c r="AE10" s="3389"/>
      <c r="AF10" s="3389"/>
      <c r="AY10" s="3391"/>
    </row>
    <row r="11" spans="1:51" ht="12" customHeight="1" thickBot="1">
      <c r="A11" s="3394" t="s">
        <v>4668</v>
      </c>
      <c r="B11" s="3725">
        <f>CEILING(Hub_P_D,50)</f>
        <v>1150</v>
      </c>
      <c r="C11" s="3726"/>
      <c r="D11" s="3727"/>
      <c r="E11" s="3723" t="s">
        <v>136</v>
      </c>
      <c r="F11" s="3724"/>
      <c r="AB11" s="3388"/>
      <c r="AC11" s="3388"/>
      <c r="AD11" s="3388"/>
      <c r="AE11" s="3389"/>
      <c r="AF11" s="3389"/>
      <c r="AY11" s="3391"/>
    </row>
    <row r="12" spans="1:51" ht="12" customHeight="1">
      <c r="A12" s="3394"/>
      <c r="B12" s="3737"/>
      <c r="C12" s="3738"/>
      <c r="D12" s="3739"/>
      <c r="E12" s="3723"/>
      <c r="F12" s="3724"/>
      <c r="K12" s="3702"/>
      <c r="L12" s="3703"/>
      <c r="M12" s="3703"/>
      <c r="N12" s="3703"/>
      <c r="O12" s="3703"/>
      <c r="P12" s="3703"/>
      <c r="Q12" s="3703"/>
      <c r="R12" s="3703"/>
      <c r="S12" s="3703"/>
      <c r="T12" s="3703"/>
      <c r="U12" s="3703"/>
      <c r="V12" s="3703"/>
      <c r="W12" s="3703"/>
      <c r="X12" s="3703"/>
      <c r="Y12" s="3703"/>
      <c r="Z12" s="3703"/>
      <c r="AA12" s="3703"/>
      <c r="AB12" s="3703"/>
      <c r="AC12" s="3703"/>
      <c r="AD12" s="3703"/>
      <c r="AE12" s="3703"/>
      <c r="AF12" s="3703"/>
      <c r="AG12" s="3703"/>
      <c r="AH12" s="3703"/>
      <c r="AI12" s="3703"/>
      <c r="AJ12" s="3703"/>
      <c r="AK12" s="3703"/>
      <c r="AL12" s="3703"/>
      <c r="AM12" s="3703"/>
      <c r="AN12" s="3703"/>
      <c r="AO12" s="3703"/>
      <c r="AP12" s="3703"/>
      <c r="AQ12" s="3703"/>
      <c r="AR12" s="3703"/>
      <c r="AS12" s="3703"/>
      <c r="AT12" s="3703"/>
      <c r="AU12" s="3703"/>
      <c r="AV12" s="3703"/>
      <c r="AW12" s="3703"/>
      <c r="AX12" s="3703"/>
      <c r="AY12" s="3704"/>
    </row>
    <row r="13" spans="1:51" ht="12" customHeight="1">
      <c r="A13" s="3394" t="s">
        <v>4669</v>
      </c>
      <c r="B13" s="3711" t="e">
        <f ca="1">VLOOKUP(SD,HUB_data!A3:G15,5,0)</f>
        <v>#REF!</v>
      </c>
      <c r="C13" s="3712"/>
      <c r="D13" s="3713"/>
      <c r="E13" s="3714" t="s">
        <v>136</v>
      </c>
      <c r="F13" s="3715"/>
      <c r="K13" s="3705"/>
      <c r="L13" s="3706"/>
      <c r="M13" s="3706"/>
      <c r="N13" s="3706"/>
      <c r="O13" s="3706"/>
      <c r="P13" s="3706"/>
      <c r="Q13" s="3706"/>
      <c r="R13" s="3706"/>
      <c r="S13" s="3706"/>
      <c r="T13" s="3706"/>
      <c r="U13" s="3706"/>
      <c r="V13" s="3706"/>
      <c r="W13" s="3706"/>
      <c r="X13" s="3706"/>
      <c r="Y13" s="3706"/>
      <c r="Z13" s="3706"/>
      <c r="AA13" s="3706"/>
      <c r="AB13" s="3706"/>
      <c r="AC13" s="3706"/>
      <c r="AD13" s="3706"/>
      <c r="AE13" s="3706"/>
      <c r="AF13" s="3706"/>
      <c r="AG13" s="3706"/>
      <c r="AH13" s="3706"/>
      <c r="AI13" s="3706"/>
      <c r="AJ13" s="3706"/>
      <c r="AK13" s="3706"/>
      <c r="AL13" s="3706"/>
      <c r="AM13" s="3706"/>
      <c r="AN13" s="3706"/>
      <c r="AO13" s="3706"/>
      <c r="AP13" s="3706"/>
      <c r="AQ13" s="3706"/>
      <c r="AR13" s="3706"/>
      <c r="AS13" s="3706"/>
      <c r="AT13" s="3706"/>
      <c r="AU13" s="3706"/>
      <c r="AV13" s="3706"/>
      <c r="AW13" s="3706"/>
      <c r="AX13" s="3706"/>
      <c r="AY13" s="3707"/>
    </row>
    <row r="14" spans="1:51" ht="12" customHeight="1">
      <c r="A14" s="3395" t="s">
        <v>4670</v>
      </c>
      <c r="B14" s="3405" t="s">
        <v>4671</v>
      </c>
      <c r="C14" s="3716" t="e">
        <f ca="1">VLOOKUP(SD,HUB_data!A3:G15,6,0)</f>
        <v>#REF!</v>
      </c>
      <c r="D14" s="3717"/>
      <c r="E14" s="3714"/>
      <c r="F14" s="3715"/>
      <c r="K14" s="3705"/>
      <c r="L14" s="3706"/>
      <c r="M14" s="3706"/>
      <c r="N14" s="3706"/>
      <c r="O14" s="3706"/>
      <c r="P14" s="3706"/>
      <c r="Q14" s="3706"/>
      <c r="R14" s="3706"/>
      <c r="S14" s="3706"/>
      <c r="T14" s="3706"/>
      <c r="U14" s="3706"/>
      <c r="V14" s="3706"/>
      <c r="W14" s="3706"/>
      <c r="X14" s="3706"/>
      <c r="Y14" s="3706"/>
      <c r="Z14" s="3706"/>
      <c r="AA14" s="3706"/>
      <c r="AB14" s="3706"/>
      <c r="AC14" s="3706"/>
      <c r="AD14" s="3706"/>
      <c r="AE14" s="3706"/>
      <c r="AF14" s="3706"/>
      <c r="AG14" s="3706"/>
      <c r="AH14" s="3706"/>
      <c r="AI14" s="3706"/>
      <c r="AJ14" s="3706"/>
      <c r="AK14" s="3706"/>
      <c r="AL14" s="3706"/>
      <c r="AM14" s="3706"/>
      <c r="AN14" s="3706"/>
      <c r="AO14" s="3706"/>
      <c r="AP14" s="3706"/>
      <c r="AQ14" s="3706"/>
      <c r="AR14" s="3706"/>
      <c r="AS14" s="3706"/>
      <c r="AT14" s="3706"/>
      <c r="AU14" s="3706"/>
      <c r="AV14" s="3706"/>
      <c r="AW14" s="3706"/>
      <c r="AX14" s="3706"/>
      <c r="AY14" s="3707"/>
    </row>
    <row r="15" spans="1:51" ht="12" customHeight="1">
      <c r="A15" s="3394" t="s">
        <v>4672</v>
      </c>
      <c r="B15" s="3718">
        <f>Hub_P_T</f>
        <v>20</v>
      </c>
      <c r="C15" s="3719"/>
      <c r="D15" s="3720"/>
      <c r="E15" s="3721" t="s">
        <v>136</v>
      </c>
      <c r="F15" s="3722"/>
      <c r="K15" s="3705"/>
      <c r="L15" s="3706"/>
      <c r="M15" s="3706"/>
      <c r="N15" s="3706"/>
      <c r="O15" s="3706"/>
      <c r="P15" s="3706"/>
      <c r="Q15" s="3706"/>
      <c r="R15" s="3706"/>
      <c r="S15" s="3706"/>
      <c r="T15" s="3706"/>
      <c r="U15" s="3706"/>
      <c r="V15" s="3706"/>
      <c r="W15" s="3706"/>
      <c r="X15" s="3706"/>
      <c r="Y15" s="3706"/>
      <c r="Z15" s="3706"/>
      <c r="AA15" s="3706"/>
      <c r="AB15" s="3706"/>
      <c r="AC15" s="3706"/>
      <c r="AD15" s="3706"/>
      <c r="AE15" s="3706"/>
      <c r="AF15" s="3706"/>
      <c r="AG15" s="3706"/>
      <c r="AH15" s="3706"/>
      <c r="AI15" s="3706"/>
      <c r="AJ15" s="3706"/>
      <c r="AK15" s="3706"/>
      <c r="AL15" s="3706"/>
      <c r="AM15" s="3706"/>
      <c r="AN15" s="3706"/>
      <c r="AO15" s="3706"/>
      <c r="AP15" s="3706"/>
      <c r="AQ15" s="3706"/>
      <c r="AR15" s="3706"/>
      <c r="AS15" s="3706"/>
      <c r="AT15" s="3706"/>
      <c r="AU15" s="3706"/>
      <c r="AV15" s="3706"/>
      <c r="AW15" s="3706"/>
      <c r="AX15" s="3706"/>
      <c r="AY15" s="3707"/>
    </row>
    <row r="16" spans="1:51" ht="12" customHeight="1">
      <c r="A16" s="3394" t="s">
        <v>4673</v>
      </c>
      <c r="B16" s="3725">
        <f>Hub_P_T-1.5</f>
        <v>18.5</v>
      </c>
      <c r="C16" s="3726"/>
      <c r="D16" s="3727"/>
      <c r="E16" s="3723" t="s">
        <v>136</v>
      </c>
      <c r="F16" s="3724"/>
      <c r="K16" s="3705"/>
      <c r="L16" s="3706"/>
      <c r="M16" s="3706"/>
      <c r="N16" s="3706"/>
      <c r="O16" s="3706"/>
      <c r="P16" s="3706"/>
      <c r="Q16" s="3706"/>
      <c r="R16" s="3706"/>
      <c r="S16" s="3706"/>
      <c r="T16" s="3706"/>
      <c r="U16" s="3706"/>
      <c r="V16" s="3706"/>
      <c r="W16" s="3706"/>
      <c r="X16" s="3706"/>
      <c r="Y16" s="3706"/>
      <c r="Z16" s="3706"/>
      <c r="AA16" s="3706"/>
      <c r="AB16" s="3706"/>
      <c r="AC16" s="3706"/>
      <c r="AD16" s="3706"/>
      <c r="AE16" s="3706"/>
      <c r="AF16" s="3706"/>
      <c r="AG16" s="3706"/>
      <c r="AH16" s="3706"/>
      <c r="AI16" s="3706"/>
      <c r="AJ16" s="3706"/>
      <c r="AK16" s="3706"/>
      <c r="AL16" s="3706"/>
      <c r="AM16" s="3706"/>
      <c r="AN16" s="3706"/>
      <c r="AO16" s="3706"/>
      <c r="AP16" s="3706"/>
      <c r="AQ16" s="3706"/>
      <c r="AR16" s="3706"/>
      <c r="AS16" s="3706"/>
      <c r="AT16" s="3706"/>
      <c r="AU16" s="3706"/>
      <c r="AV16" s="3706"/>
      <c r="AW16" s="3706"/>
      <c r="AX16" s="3706"/>
      <c r="AY16" s="3707"/>
    </row>
    <row r="17" spans="1:51" ht="12" customHeight="1">
      <c r="A17" s="3394" t="s">
        <v>4674</v>
      </c>
      <c r="B17" s="3725" t="e">
        <f ca="1">(SFX_l+MFrameUh/2)-MC+DIHo+House_P_T</f>
        <v>#REF!</v>
      </c>
      <c r="C17" s="3726"/>
      <c r="D17" s="3727"/>
      <c r="E17" s="3723" t="s">
        <v>136</v>
      </c>
      <c r="F17" s="3724"/>
      <c r="K17" s="3705"/>
      <c r="L17" s="3706"/>
      <c r="M17" s="3706"/>
      <c r="N17" s="3706"/>
      <c r="O17" s="3706"/>
      <c r="P17" s="3706"/>
      <c r="Q17" s="3706"/>
      <c r="R17" s="3706"/>
      <c r="S17" s="3706"/>
      <c r="T17" s="3706"/>
      <c r="U17" s="3706"/>
      <c r="V17" s="3706"/>
      <c r="W17" s="3706"/>
      <c r="X17" s="3706"/>
      <c r="Y17" s="3706"/>
      <c r="Z17" s="3706"/>
      <c r="AA17" s="3706"/>
      <c r="AB17" s="3706"/>
      <c r="AC17" s="3706"/>
      <c r="AD17" s="3706"/>
      <c r="AE17" s="3706"/>
      <c r="AF17" s="3706"/>
      <c r="AG17" s="3706"/>
      <c r="AH17" s="3706"/>
      <c r="AI17" s="3706"/>
      <c r="AJ17" s="3706"/>
      <c r="AK17" s="3706"/>
      <c r="AL17" s="3706"/>
      <c r="AM17" s="3706"/>
      <c r="AN17" s="3706"/>
      <c r="AO17" s="3706"/>
      <c r="AP17" s="3706"/>
      <c r="AQ17" s="3706"/>
      <c r="AR17" s="3706"/>
      <c r="AS17" s="3706"/>
      <c r="AT17" s="3706"/>
      <c r="AU17" s="3706"/>
      <c r="AV17" s="3706"/>
      <c r="AW17" s="3706"/>
      <c r="AX17" s="3706"/>
      <c r="AY17" s="3707"/>
    </row>
    <row r="18" spans="1:51" ht="12" customHeight="1" thickBot="1">
      <c r="A18" s="3394" t="s">
        <v>3348</v>
      </c>
      <c r="B18" s="3725" t="e">
        <f ca="1">Hub_C_tL</f>
        <v>#REF!</v>
      </c>
      <c r="C18" s="3726"/>
      <c r="D18" s="3727"/>
      <c r="E18" s="3723" t="s">
        <v>136</v>
      </c>
      <c r="F18" s="3724"/>
      <c r="K18" s="3705"/>
      <c r="L18" s="3706"/>
      <c r="M18" s="3706"/>
      <c r="N18" s="3706"/>
      <c r="O18" s="3706"/>
      <c r="P18" s="3706"/>
      <c r="Q18" s="3706"/>
      <c r="R18" s="3706"/>
      <c r="S18" s="3706"/>
      <c r="T18" s="3706"/>
      <c r="U18" s="3706"/>
      <c r="V18" s="3706"/>
      <c r="W18" s="3706"/>
      <c r="X18" s="3706"/>
      <c r="Y18" s="3706"/>
      <c r="Z18" s="3706"/>
      <c r="AA18" s="3706"/>
      <c r="AB18" s="3706"/>
      <c r="AC18" s="3706"/>
      <c r="AD18" s="3706"/>
      <c r="AE18" s="3706"/>
      <c r="AF18" s="3706"/>
      <c r="AG18" s="3706"/>
      <c r="AH18" s="3706"/>
      <c r="AI18" s="3706"/>
      <c r="AJ18" s="3706"/>
      <c r="AK18" s="3706"/>
      <c r="AL18" s="3706"/>
      <c r="AM18" s="3706"/>
      <c r="AN18" s="3706"/>
      <c r="AO18" s="3706"/>
      <c r="AP18" s="3706"/>
      <c r="AQ18" s="3706"/>
      <c r="AR18" s="3706"/>
      <c r="AS18" s="3706"/>
      <c r="AT18" s="3706"/>
      <c r="AU18" s="3706"/>
      <c r="AV18" s="3706"/>
      <c r="AW18" s="3706"/>
      <c r="AX18" s="3706"/>
      <c r="AY18" s="3707"/>
    </row>
    <row r="19" spans="1:51" ht="12" customHeight="1" thickBot="1">
      <c r="A19" s="3394" t="s">
        <v>4675</v>
      </c>
      <c r="B19" s="3725" t="e">
        <f ca="1">VLOOKUP(SD,HUB_data!A3:G15,4,0)</f>
        <v>#REF!</v>
      </c>
      <c r="C19" s="3726"/>
      <c r="D19" s="3727"/>
      <c r="E19" s="3723" t="s">
        <v>136</v>
      </c>
      <c r="F19" s="3728"/>
      <c r="G19" s="3729" t="s">
        <v>4676</v>
      </c>
      <c r="H19" s="3730"/>
      <c r="I19" s="3730"/>
      <c r="J19" s="3731"/>
      <c r="K19" s="3705"/>
      <c r="L19" s="3706"/>
      <c r="M19" s="3706"/>
      <c r="N19" s="3706"/>
      <c r="O19" s="3706"/>
      <c r="P19" s="3706"/>
      <c r="Q19" s="3706"/>
      <c r="R19" s="3706"/>
      <c r="S19" s="3706"/>
      <c r="T19" s="3706"/>
      <c r="U19" s="3706"/>
      <c r="V19" s="3706"/>
      <c r="W19" s="3706"/>
      <c r="X19" s="3706"/>
      <c r="Y19" s="3706"/>
      <c r="Z19" s="3706"/>
      <c r="AA19" s="3706"/>
      <c r="AB19" s="3706"/>
      <c r="AC19" s="3706"/>
      <c r="AD19" s="3706"/>
      <c r="AE19" s="3706"/>
      <c r="AF19" s="3706"/>
      <c r="AG19" s="3706"/>
      <c r="AH19" s="3706"/>
      <c r="AI19" s="3706"/>
      <c r="AJ19" s="3706"/>
      <c r="AK19" s="3706"/>
      <c r="AL19" s="3706"/>
      <c r="AM19" s="3706"/>
      <c r="AN19" s="3706"/>
      <c r="AO19" s="3706"/>
      <c r="AP19" s="3706"/>
      <c r="AQ19" s="3706"/>
      <c r="AR19" s="3706"/>
      <c r="AS19" s="3706"/>
      <c r="AT19" s="3706"/>
      <c r="AU19" s="3706"/>
      <c r="AV19" s="3706"/>
      <c r="AW19" s="3706"/>
      <c r="AX19" s="3706"/>
      <c r="AY19" s="3707"/>
    </row>
    <row r="20" spans="1:51" ht="12" customHeight="1" thickBot="1">
      <c r="A20" s="3396" t="s">
        <v>4677</v>
      </c>
      <c r="B20" s="3732" t="e">
        <f ca="1">VLOOKUP(SD,HUB_data!A3:G15,7,0)</f>
        <v>#REF!</v>
      </c>
      <c r="C20" s="3733"/>
      <c r="D20" s="3734"/>
      <c r="E20" s="3735" t="s">
        <v>136</v>
      </c>
      <c r="F20" s="3736"/>
      <c r="G20" s="3406" t="s">
        <v>4678</v>
      </c>
      <c r="H20" s="3407">
        <v>9</v>
      </c>
      <c r="K20" s="3705"/>
      <c r="L20" s="3706"/>
      <c r="M20" s="3706"/>
      <c r="N20" s="3706"/>
      <c r="O20" s="3706"/>
      <c r="P20" s="3706"/>
      <c r="Q20" s="3706"/>
      <c r="R20" s="3706"/>
      <c r="S20" s="3706"/>
      <c r="T20" s="3706"/>
      <c r="U20" s="3706"/>
      <c r="V20" s="3706"/>
      <c r="W20" s="3706"/>
      <c r="X20" s="3706"/>
      <c r="Y20" s="3706"/>
      <c r="Z20" s="3706"/>
      <c r="AA20" s="3706"/>
      <c r="AB20" s="3706"/>
      <c r="AC20" s="3706"/>
      <c r="AD20" s="3706"/>
      <c r="AE20" s="3706"/>
      <c r="AF20" s="3706"/>
      <c r="AG20" s="3706"/>
      <c r="AH20" s="3706"/>
      <c r="AI20" s="3706"/>
      <c r="AJ20" s="3706"/>
      <c r="AK20" s="3706"/>
      <c r="AL20" s="3706"/>
      <c r="AM20" s="3706"/>
      <c r="AN20" s="3706"/>
      <c r="AO20" s="3706"/>
      <c r="AP20" s="3706"/>
      <c r="AQ20" s="3706"/>
      <c r="AR20" s="3706"/>
      <c r="AS20" s="3706"/>
      <c r="AT20" s="3706"/>
      <c r="AU20" s="3706"/>
      <c r="AV20" s="3706"/>
      <c r="AW20" s="3706"/>
      <c r="AX20" s="3706"/>
      <c r="AY20" s="3707"/>
    </row>
    <row r="21" spans="1:51" ht="12" customHeight="1">
      <c r="A21" s="3392"/>
      <c r="K21" s="3705"/>
      <c r="L21" s="3706"/>
      <c r="M21" s="3706"/>
      <c r="N21" s="3706"/>
      <c r="O21" s="3706"/>
      <c r="P21" s="3706"/>
      <c r="Q21" s="3706"/>
      <c r="R21" s="3706"/>
      <c r="S21" s="3706"/>
      <c r="T21" s="3706"/>
      <c r="U21" s="3706"/>
      <c r="V21" s="3706"/>
      <c r="W21" s="3706"/>
      <c r="X21" s="3706"/>
      <c r="Y21" s="3706"/>
      <c r="Z21" s="3706"/>
      <c r="AA21" s="3706"/>
      <c r="AB21" s="3706"/>
      <c r="AC21" s="3706"/>
      <c r="AD21" s="3706"/>
      <c r="AE21" s="3706"/>
      <c r="AF21" s="3706"/>
      <c r="AG21" s="3706"/>
      <c r="AH21" s="3706"/>
      <c r="AI21" s="3706"/>
      <c r="AJ21" s="3706"/>
      <c r="AK21" s="3706"/>
      <c r="AL21" s="3706"/>
      <c r="AM21" s="3706"/>
      <c r="AN21" s="3706"/>
      <c r="AO21" s="3706"/>
      <c r="AP21" s="3706"/>
      <c r="AQ21" s="3706"/>
      <c r="AR21" s="3706"/>
      <c r="AS21" s="3706"/>
      <c r="AT21" s="3706"/>
      <c r="AU21" s="3706"/>
      <c r="AV21" s="3706"/>
      <c r="AW21" s="3706"/>
      <c r="AX21" s="3706"/>
      <c r="AY21" s="3707"/>
    </row>
    <row r="22" spans="1:51" ht="12" customHeight="1">
      <c r="A22" s="3392"/>
      <c r="K22" s="3705"/>
      <c r="L22" s="3706"/>
      <c r="M22" s="3706"/>
      <c r="N22" s="3706"/>
      <c r="O22" s="3706"/>
      <c r="P22" s="3706"/>
      <c r="Q22" s="3706"/>
      <c r="R22" s="3706"/>
      <c r="S22" s="3706"/>
      <c r="T22" s="3706"/>
      <c r="U22" s="3706"/>
      <c r="V22" s="3706"/>
      <c r="W22" s="3706"/>
      <c r="X22" s="3706"/>
      <c r="Y22" s="3706"/>
      <c r="Z22" s="3706"/>
      <c r="AA22" s="3706"/>
      <c r="AB22" s="3706"/>
      <c r="AC22" s="3706"/>
      <c r="AD22" s="3706"/>
      <c r="AE22" s="3706"/>
      <c r="AF22" s="3706"/>
      <c r="AG22" s="3706"/>
      <c r="AH22" s="3706"/>
      <c r="AI22" s="3706"/>
      <c r="AJ22" s="3706"/>
      <c r="AK22" s="3706"/>
      <c r="AL22" s="3706"/>
      <c r="AM22" s="3706"/>
      <c r="AN22" s="3706"/>
      <c r="AO22" s="3706"/>
      <c r="AP22" s="3706"/>
      <c r="AQ22" s="3706"/>
      <c r="AR22" s="3706"/>
      <c r="AS22" s="3706"/>
      <c r="AT22" s="3706"/>
      <c r="AU22" s="3706"/>
      <c r="AV22" s="3706"/>
      <c r="AW22" s="3706"/>
      <c r="AX22" s="3706"/>
      <c r="AY22" s="3707"/>
    </row>
    <row r="23" spans="1:51" ht="12" customHeight="1">
      <c r="A23" s="3392"/>
      <c r="K23" s="3705"/>
      <c r="L23" s="3706"/>
      <c r="M23" s="3706"/>
      <c r="N23" s="3706"/>
      <c r="O23" s="3706"/>
      <c r="P23" s="3706"/>
      <c r="Q23" s="3706"/>
      <c r="R23" s="3706"/>
      <c r="S23" s="3706"/>
      <c r="T23" s="3706"/>
      <c r="U23" s="3706"/>
      <c r="V23" s="3706"/>
      <c r="W23" s="3706"/>
      <c r="X23" s="3706"/>
      <c r="Y23" s="3706"/>
      <c r="Z23" s="3706"/>
      <c r="AA23" s="3706"/>
      <c r="AB23" s="3706"/>
      <c r="AC23" s="3706"/>
      <c r="AD23" s="3706"/>
      <c r="AE23" s="3706"/>
      <c r="AF23" s="3706"/>
      <c r="AG23" s="3706"/>
      <c r="AH23" s="3706"/>
      <c r="AI23" s="3706"/>
      <c r="AJ23" s="3706"/>
      <c r="AK23" s="3706"/>
      <c r="AL23" s="3706"/>
      <c r="AM23" s="3706"/>
      <c r="AN23" s="3706"/>
      <c r="AO23" s="3706"/>
      <c r="AP23" s="3706"/>
      <c r="AQ23" s="3706"/>
      <c r="AR23" s="3706"/>
      <c r="AS23" s="3706"/>
      <c r="AT23" s="3706"/>
      <c r="AU23" s="3706"/>
      <c r="AV23" s="3706"/>
      <c r="AW23" s="3706"/>
      <c r="AX23" s="3706"/>
      <c r="AY23" s="3707"/>
    </row>
    <row r="24" spans="1:51" ht="12" customHeight="1">
      <c r="A24" s="3392"/>
      <c r="K24" s="3705"/>
      <c r="L24" s="3706"/>
      <c r="M24" s="3706"/>
      <c r="N24" s="3706"/>
      <c r="O24" s="3706"/>
      <c r="P24" s="3706"/>
      <c r="Q24" s="3706"/>
      <c r="R24" s="3706"/>
      <c r="S24" s="3706"/>
      <c r="T24" s="3706"/>
      <c r="U24" s="3706"/>
      <c r="V24" s="3706"/>
      <c r="W24" s="3706"/>
      <c r="X24" s="3706"/>
      <c r="Y24" s="3706"/>
      <c r="Z24" s="3706"/>
      <c r="AA24" s="3706"/>
      <c r="AB24" s="3706"/>
      <c r="AC24" s="3706"/>
      <c r="AD24" s="3706"/>
      <c r="AE24" s="3706"/>
      <c r="AF24" s="3706"/>
      <c r="AG24" s="3706"/>
      <c r="AH24" s="3706"/>
      <c r="AI24" s="3706"/>
      <c r="AJ24" s="3706"/>
      <c r="AK24" s="3706"/>
      <c r="AL24" s="3706"/>
      <c r="AM24" s="3706"/>
      <c r="AN24" s="3706"/>
      <c r="AO24" s="3706"/>
      <c r="AP24" s="3706"/>
      <c r="AQ24" s="3706"/>
      <c r="AR24" s="3706"/>
      <c r="AS24" s="3706"/>
      <c r="AT24" s="3706"/>
      <c r="AU24" s="3706"/>
      <c r="AV24" s="3706"/>
      <c r="AW24" s="3706"/>
      <c r="AX24" s="3706"/>
      <c r="AY24" s="3707"/>
    </row>
    <row r="25" spans="1:51" ht="12" customHeight="1">
      <c r="A25" s="3392"/>
      <c r="K25" s="3705"/>
      <c r="L25" s="3706"/>
      <c r="M25" s="3706"/>
      <c r="N25" s="3706"/>
      <c r="O25" s="3706"/>
      <c r="P25" s="3706"/>
      <c r="Q25" s="3706"/>
      <c r="R25" s="3706"/>
      <c r="S25" s="3706"/>
      <c r="T25" s="3706"/>
      <c r="U25" s="3706"/>
      <c r="V25" s="3706"/>
      <c r="W25" s="3706"/>
      <c r="X25" s="3706"/>
      <c r="Y25" s="3706"/>
      <c r="Z25" s="3706"/>
      <c r="AA25" s="3706"/>
      <c r="AB25" s="3706"/>
      <c r="AC25" s="3706"/>
      <c r="AD25" s="3706"/>
      <c r="AE25" s="3706"/>
      <c r="AF25" s="3706"/>
      <c r="AG25" s="3706"/>
      <c r="AH25" s="3706"/>
      <c r="AI25" s="3706"/>
      <c r="AJ25" s="3706"/>
      <c r="AK25" s="3706"/>
      <c r="AL25" s="3706"/>
      <c r="AM25" s="3706"/>
      <c r="AN25" s="3706"/>
      <c r="AO25" s="3706"/>
      <c r="AP25" s="3706"/>
      <c r="AQ25" s="3706"/>
      <c r="AR25" s="3706"/>
      <c r="AS25" s="3706"/>
      <c r="AT25" s="3706"/>
      <c r="AU25" s="3706"/>
      <c r="AV25" s="3706"/>
      <c r="AW25" s="3706"/>
      <c r="AX25" s="3706"/>
      <c r="AY25" s="3707"/>
    </row>
    <row r="26" spans="1:51" ht="12" customHeight="1">
      <c r="A26" s="3392"/>
      <c r="K26" s="3705"/>
      <c r="L26" s="3706"/>
      <c r="M26" s="3706"/>
      <c r="N26" s="3706"/>
      <c r="O26" s="3706"/>
      <c r="P26" s="3706"/>
      <c r="Q26" s="3706"/>
      <c r="R26" s="3706"/>
      <c r="S26" s="3706"/>
      <c r="T26" s="3706"/>
      <c r="U26" s="3706"/>
      <c r="V26" s="3706"/>
      <c r="W26" s="3706"/>
      <c r="X26" s="3706"/>
      <c r="Y26" s="3706"/>
      <c r="Z26" s="3706"/>
      <c r="AA26" s="3706"/>
      <c r="AB26" s="3706"/>
      <c r="AC26" s="3706"/>
      <c r="AD26" s="3706"/>
      <c r="AE26" s="3706"/>
      <c r="AF26" s="3706"/>
      <c r="AG26" s="3706"/>
      <c r="AH26" s="3706"/>
      <c r="AI26" s="3706"/>
      <c r="AJ26" s="3706"/>
      <c r="AK26" s="3706"/>
      <c r="AL26" s="3706"/>
      <c r="AM26" s="3706"/>
      <c r="AN26" s="3706"/>
      <c r="AO26" s="3706"/>
      <c r="AP26" s="3706"/>
      <c r="AQ26" s="3706"/>
      <c r="AR26" s="3706"/>
      <c r="AS26" s="3706"/>
      <c r="AT26" s="3706"/>
      <c r="AU26" s="3706"/>
      <c r="AV26" s="3706"/>
      <c r="AW26" s="3706"/>
      <c r="AX26" s="3706"/>
      <c r="AY26" s="3707"/>
    </row>
    <row r="27" spans="1:51" ht="12" customHeight="1">
      <c r="A27" s="3392"/>
      <c r="K27" s="3705"/>
      <c r="L27" s="3706"/>
      <c r="M27" s="3706"/>
      <c r="N27" s="3706"/>
      <c r="O27" s="3706"/>
      <c r="P27" s="3706"/>
      <c r="Q27" s="3706"/>
      <c r="R27" s="3706"/>
      <c r="S27" s="3706"/>
      <c r="T27" s="3706"/>
      <c r="U27" s="3706"/>
      <c r="V27" s="3706"/>
      <c r="W27" s="3706"/>
      <c r="X27" s="3706"/>
      <c r="Y27" s="3706"/>
      <c r="Z27" s="3706"/>
      <c r="AA27" s="3706"/>
      <c r="AB27" s="3706"/>
      <c r="AC27" s="3706"/>
      <c r="AD27" s="3706"/>
      <c r="AE27" s="3706"/>
      <c r="AF27" s="3706"/>
      <c r="AG27" s="3706"/>
      <c r="AH27" s="3706"/>
      <c r="AI27" s="3706"/>
      <c r="AJ27" s="3706"/>
      <c r="AK27" s="3706"/>
      <c r="AL27" s="3706"/>
      <c r="AM27" s="3706"/>
      <c r="AN27" s="3706"/>
      <c r="AO27" s="3706"/>
      <c r="AP27" s="3706"/>
      <c r="AQ27" s="3706"/>
      <c r="AR27" s="3706"/>
      <c r="AS27" s="3706"/>
      <c r="AT27" s="3706"/>
      <c r="AU27" s="3706"/>
      <c r="AV27" s="3706"/>
      <c r="AW27" s="3706"/>
      <c r="AX27" s="3706"/>
      <c r="AY27" s="3707"/>
    </row>
    <row r="28" spans="1:51" ht="12" customHeight="1">
      <c r="A28" s="3392"/>
      <c r="K28" s="3705"/>
      <c r="L28" s="3706"/>
      <c r="M28" s="3706"/>
      <c r="N28" s="3706"/>
      <c r="O28" s="3706"/>
      <c r="P28" s="3706"/>
      <c r="Q28" s="3706"/>
      <c r="R28" s="3706"/>
      <c r="S28" s="3706"/>
      <c r="T28" s="3706"/>
      <c r="U28" s="3706"/>
      <c r="V28" s="3706"/>
      <c r="W28" s="3706"/>
      <c r="X28" s="3706"/>
      <c r="Y28" s="3706"/>
      <c r="Z28" s="3706"/>
      <c r="AA28" s="3706"/>
      <c r="AB28" s="3706"/>
      <c r="AC28" s="3706"/>
      <c r="AD28" s="3706"/>
      <c r="AE28" s="3706"/>
      <c r="AF28" s="3706"/>
      <c r="AG28" s="3706"/>
      <c r="AH28" s="3706"/>
      <c r="AI28" s="3706"/>
      <c r="AJ28" s="3706"/>
      <c r="AK28" s="3706"/>
      <c r="AL28" s="3706"/>
      <c r="AM28" s="3706"/>
      <c r="AN28" s="3706"/>
      <c r="AO28" s="3706"/>
      <c r="AP28" s="3706"/>
      <c r="AQ28" s="3706"/>
      <c r="AR28" s="3706"/>
      <c r="AS28" s="3706"/>
      <c r="AT28" s="3706"/>
      <c r="AU28" s="3706"/>
      <c r="AV28" s="3706"/>
      <c r="AW28" s="3706"/>
      <c r="AX28" s="3706"/>
      <c r="AY28" s="3707"/>
    </row>
    <row r="29" spans="1:51" ht="12" customHeight="1" thickBot="1">
      <c r="A29" s="3392"/>
      <c r="K29" s="3705"/>
      <c r="L29" s="3706"/>
      <c r="M29" s="3706"/>
      <c r="N29" s="3706"/>
      <c r="O29" s="3706"/>
      <c r="P29" s="3706"/>
      <c r="Q29" s="3706"/>
      <c r="R29" s="3706"/>
      <c r="S29" s="3706"/>
      <c r="T29" s="3706"/>
      <c r="U29" s="3706"/>
      <c r="V29" s="3706"/>
      <c r="W29" s="3706"/>
      <c r="X29" s="3706"/>
      <c r="Y29" s="3706"/>
      <c r="Z29" s="3706"/>
      <c r="AA29" s="3706"/>
      <c r="AB29" s="3706"/>
      <c r="AC29" s="3706"/>
      <c r="AD29" s="3706"/>
      <c r="AE29" s="3706"/>
      <c r="AF29" s="3706"/>
      <c r="AG29" s="3706"/>
      <c r="AH29" s="3706"/>
      <c r="AI29" s="3706"/>
      <c r="AJ29" s="3706"/>
      <c r="AK29" s="3706"/>
      <c r="AL29" s="3706"/>
      <c r="AM29" s="3706"/>
      <c r="AN29" s="3706"/>
      <c r="AO29" s="3706"/>
      <c r="AP29" s="3706"/>
      <c r="AQ29" s="3706"/>
      <c r="AR29" s="3706"/>
      <c r="AS29" s="3706"/>
      <c r="AT29" s="3706"/>
      <c r="AU29" s="3706"/>
      <c r="AV29" s="3706"/>
      <c r="AW29" s="3706"/>
      <c r="AX29" s="3706"/>
      <c r="AY29" s="3707"/>
    </row>
    <row r="30" spans="1:51" ht="12" customHeight="1">
      <c r="A30" s="3663" t="s">
        <v>4679</v>
      </c>
      <c r="B30" s="3664"/>
      <c r="C30" s="3664"/>
      <c r="D30" s="3664"/>
      <c r="E30" s="3664"/>
      <c r="F30" s="3664"/>
      <c r="G30" s="3664"/>
      <c r="H30" s="3664"/>
      <c r="I30" s="3664"/>
      <c r="J30" s="3664"/>
      <c r="K30" s="3705"/>
      <c r="L30" s="3706"/>
      <c r="M30" s="3706"/>
      <c r="N30" s="3706"/>
      <c r="O30" s="3706"/>
      <c r="P30" s="3706"/>
      <c r="Q30" s="3706"/>
      <c r="R30" s="3706"/>
      <c r="S30" s="3706"/>
      <c r="T30" s="3706"/>
      <c r="U30" s="3706"/>
      <c r="V30" s="3706"/>
      <c r="W30" s="3706"/>
      <c r="X30" s="3706"/>
      <c r="Y30" s="3706"/>
      <c r="Z30" s="3706"/>
      <c r="AA30" s="3706"/>
      <c r="AB30" s="3706"/>
      <c r="AC30" s="3706"/>
      <c r="AD30" s="3706"/>
      <c r="AE30" s="3706"/>
      <c r="AF30" s="3706"/>
      <c r="AG30" s="3706"/>
      <c r="AH30" s="3706"/>
      <c r="AI30" s="3706"/>
      <c r="AJ30" s="3706"/>
      <c r="AK30" s="3706"/>
      <c r="AL30" s="3706"/>
      <c r="AM30" s="3706"/>
      <c r="AN30" s="3706"/>
      <c r="AO30" s="3706"/>
      <c r="AP30" s="3706"/>
      <c r="AQ30" s="3706"/>
      <c r="AR30" s="3706"/>
      <c r="AS30" s="3706"/>
      <c r="AT30" s="3706"/>
      <c r="AU30" s="3706"/>
      <c r="AV30" s="3706"/>
      <c r="AW30" s="3706"/>
      <c r="AX30" s="3706"/>
      <c r="AY30" s="3707"/>
    </row>
    <row r="31" spans="1:51" ht="12" customHeight="1">
      <c r="A31" s="3687">
        <v>1</v>
      </c>
      <c r="B31" s="3688" t="s">
        <v>4680</v>
      </c>
      <c r="C31" s="3688"/>
      <c r="D31" s="3688"/>
      <c r="E31" s="3688"/>
      <c r="F31" s="3688"/>
      <c r="G31" s="3688"/>
      <c r="H31" s="3688"/>
      <c r="I31" s="3688"/>
      <c r="J31" s="3689"/>
      <c r="K31" s="3705"/>
      <c r="L31" s="3706"/>
      <c r="M31" s="3706"/>
      <c r="N31" s="3706"/>
      <c r="O31" s="3706"/>
      <c r="P31" s="3706"/>
      <c r="Q31" s="3706"/>
      <c r="R31" s="3706"/>
      <c r="S31" s="3706"/>
      <c r="T31" s="3706"/>
      <c r="U31" s="3706"/>
      <c r="V31" s="3706"/>
      <c r="W31" s="3706"/>
      <c r="X31" s="3706"/>
      <c r="Y31" s="3706"/>
      <c r="Z31" s="3706"/>
      <c r="AA31" s="3706"/>
      <c r="AB31" s="3706"/>
      <c r="AC31" s="3706"/>
      <c r="AD31" s="3706"/>
      <c r="AE31" s="3706"/>
      <c r="AF31" s="3706"/>
      <c r="AG31" s="3706"/>
      <c r="AH31" s="3706"/>
      <c r="AI31" s="3706"/>
      <c r="AJ31" s="3706"/>
      <c r="AK31" s="3706"/>
      <c r="AL31" s="3706"/>
      <c r="AM31" s="3706"/>
      <c r="AN31" s="3706"/>
      <c r="AO31" s="3706"/>
      <c r="AP31" s="3706"/>
      <c r="AQ31" s="3706"/>
      <c r="AR31" s="3706"/>
      <c r="AS31" s="3706"/>
      <c r="AT31" s="3706"/>
      <c r="AU31" s="3706"/>
      <c r="AV31" s="3706"/>
      <c r="AW31" s="3706"/>
      <c r="AX31" s="3706"/>
      <c r="AY31" s="3707"/>
    </row>
    <row r="32" spans="1:51" ht="12" customHeight="1">
      <c r="A32" s="3687"/>
      <c r="B32" s="3688"/>
      <c r="C32" s="3688"/>
      <c r="D32" s="3688"/>
      <c r="E32" s="3688"/>
      <c r="F32" s="3688"/>
      <c r="G32" s="3688"/>
      <c r="H32" s="3688"/>
      <c r="I32" s="3688"/>
      <c r="J32" s="3689"/>
      <c r="K32" s="3705"/>
      <c r="L32" s="3706"/>
      <c r="M32" s="3706"/>
      <c r="N32" s="3706"/>
      <c r="O32" s="3706"/>
      <c r="P32" s="3706"/>
      <c r="Q32" s="3706"/>
      <c r="R32" s="3706"/>
      <c r="S32" s="3706"/>
      <c r="T32" s="3706"/>
      <c r="U32" s="3706"/>
      <c r="V32" s="3706"/>
      <c r="W32" s="3706"/>
      <c r="X32" s="3706"/>
      <c r="Y32" s="3706"/>
      <c r="Z32" s="3706"/>
      <c r="AA32" s="3706"/>
      <c r="AB32" s="3706"/>
      <c r="AC32" s="3706"/>
      <c r="AD32" s="3706"/>
      <c r="AE32" s="3706"/>
      <c r="AF32" s="3706"/>
      <c r="AG32" s="3706"/>
      <c r="AH32" s="3706"/>
      <c r="AI32" s="3706"/>
      <c r="AJ32" s="3706"/>
      <c r="AK32" s="3706"/>
      <c r="AL32" s="3706"/>
      <c r="AM32" s="3706"/>
      <c r="AN32" s="3706"/>
      <c r="AO32" s="3706"/>
      <c r="AP32" s="3706"/>
      <c r="AQ32" s="3706"/>
      <c r="AR32" s="3706"/>
      <c r="AS32" s="3706"/>
      <c r="AT32" s="3706"/>
      <c r="AU32" s="3706"/>
      <c r="AV32" s="3706"/>
      <c r="AW32" s="3706"/>
      <c r="AX32" s="3706"/>
      <c r="AY32" s="3707"/>
    </row>
    <row r="33" spans="1:51" ht="12" customHeight="1">
      <c r="A33" s="3687"/>
      <c r="B33" s="3688"/>
      <c r="C33" s="3688"/>
      <c r="D33" s="3688"/>
      <c r="E33" s="3688"/>
      <c r="F33" s="3688"/>
      <c r="G33" s="3688"/>
      <c r="H33" s="3688"/>
      <c r="I33" s="3688"/>
      <c r="J33" s="3689"/>
      <c r="K33" s="3705"/>
      <c r="L33" s="3706"/>
      <c r="M33" s="3706"/>
      <c r="N33" s="3706"/>
      <c r="O33" s="3706"/>
      <c r="P33" s="3706"/>
      <c r="Q33" s="3706"/>
      <c r="R33" s="3706"/>
      <c r="S33" s="3706"/>
      <c r="T33" s="3706"/>
      <c r="U33" s="3706"/>
      <c r="V33" s="3706"/>
      <c r="W33" s="3706"/>
      <c r="X33" s="3706"/>
      <c r="Y33" s="3706"/>
      <c r="Z33" s="3706"/>
      <c r="AA33" s="3706"/>
      <c r="AB33" s="3706"/>
      <c r="AC33" s="3706"/>
      <c r="AD33" s="3706"/>
      <c r="AE33" s="3706"/>
      <c r="AF33" s="3706"/>
      <c r="AG33" s="3706"/>
      <c r="AH33" s="3706"/>
      <c r="AI33" s="3706"/>
      <c r="AJ33" s="3706"/>
      <c r="AK33" s="3706"/>
      <c r="AL33" s="3706"/>
      <c r="AM33" s="3706"/>
      <c r="AN33" s="3706"/>
      <c r="AO33" s="3706"/>
      <c r="AP33" s="3706"/>
      <c r="AQ33" s="3706"/>
      <c r="AR33" s="3706"/>
      <c r="AS33" s="3706"/>
      <c r="AT33" s="3706"/>
      <c r="AU33" s="3706"/>
      <c r="AV33" s="3706"/>
      <c r="AW33" s="3706"/>
      <c r="AX33" s="3706"/>
      <c r="AY33" s="3707"/>
    </row>
    <row r="34" spans="1:51" ht="12" customHeight="1">
      <c r="A34" s="3687"/>
      <c r="B34" s="3688"/>
      <c r="C34" s="3688"/>
      <c r="D34" s="3688"/>
      <c r="E34" s="3688"/>
      <c r="F34" s="3688"/>
      <c r="G34" s="3688"/>
      <c r="H34" s="3688"/>
      <c r="I34" s="3688"/>
      <c r="J34" s="3689"/>
      <c r="K34" s="3705"/>
      <c r="L34" s="3706"/>
      <c r="M34" s="3706"/>
      <c r="N34" s="3706"/>
      <c r="O34" s="3706"/>
      <c r="P34" s="3706"/>
      <c r="Q34" s="3706"/>
      <c r="R34" s="3706"/>
      <c r="S34" s="3706"/>
      <c r="T34" s="3706"/>
      <c r="U34" s="3706"/>
      <c r="V34" s="3706"/>
      <c r="W34" s="3706"/>
      <c r="X34" s="3706"/>
      <c r="Y34" s="3706"/>
      <c r="Z34" s="3706"/>
      <c r="AA34" s="3706"/>
      <c r="AB34" s="3706"/>
      <c r="AC34" s="3706"/>
      <c r="AD34" s="3706"/>
      <c r="AE34" s="3706"/>
      <c r="AF34" s="3706"/>
      <c r="AG34" s="3706"/>
      <c r="AH34" s="3706"/>
      <c r="AI34" s="3706"/>
      <c r="AJ34" s="3706"/>
      <c r="AK34" s="3706"/>
      <c r="AL34" s="3706"/>
      <c r="AM34" s="3706"/>
      <c r="AN34" s="3706"/>
      <c r="AO34" s="3706"/>
      <c r="AP34" s="3706"/>
      <c r="AQ34" s="3706"/>
      <c r="AR34" s="3706"/>
      <c r="AS34" s="3706"/>
      <c r="AT34" s="3706"/>
      <c r="AU34" s="3706"/>
      <c r="AV34" s="3706"/>
      <c r="AW34" s="3706"/>
      <c r="AX34" s="3706"/>
      <c r="AY34" s="3707"/>
    </row>
    <row r="35" spans="1:51" ht="12" customHeight="1">
      <c r="A35" s="3687"/>
      <c r="B35" s="3688"/>
      <c r="C35" s="3688"/>
      <c r="D35" s="3688"/>
      <c r="E35" s="3688"/>
      <c r="F35" s="3688"/>
      <c r="G35" s="3688"/>
      <c r="H35" s="3688"/>
      <c r="I35" s="3688"/>
      <c r="J35" s="3689"/>
      <c r="K35" s="3705"/>
      <c r="L35" s="3706"/>
      <c r="M35" s="3706"/>
      <c r="N35" s="3706"/>
      <c r="O35" s="3706"/>
      <c r="P35" s="3706"/>
      <c r="Q35" s="3706"/>
      <c r="R35" s="3706"/>
      <c r="S35" s="3706"/>
      <c r="T35" s="3706"/>
      <c r="U35" s="3706"/>
      <c r="V35" s="3706"/>
      <c r="W35" s="3706"/>
      <c r="X35" s="3706"/>
      <c r="Y35" s="3706"/>
      <c r="Z35" s="3706"/>
      <c r="AA35" s="3706"/>
      <c r="AB35" s="3706"/>
      <c r="AC35" s="3706"/>
      <c r="AD35" s="3706"/>
      <c r="AE35" s="3706"/>
      <c r="AF35" s="3706"/>
      <c r="AG35" s="3706"/>
      <c r="AH35" s="3706"/>
      <c r="AI35" s="3706"/>
      <c r="AJ35" s="3706"/>
      <c r="AK35" s="3706"/>
      <c r="AL35" s="3706"/>
      <c r="AM35" s="3706"/>
      <c r="AN35" s="3706"/>
      <c r="AO35" s="3706"/>
      <c r="AP35" s="3706"/>
      <c r="AQ35" s="3706"/>
      <c r="AR35" s="3706"/>
      <c r="AS35" s="3706"/>
      <c r="AT35" s="3706"/>
      <c r="AU35" s="3706"/>
      <c r="AV35" s="3706"/>
      <c r="AW35" s="3706"/>
      <c r="AX35" s="3706"/>
      <c r="AY35" s="3707"/>
    </row>
    <row r="36" spans="1:51" ht="12" customHeight="1">
      <c r="A36" s="3687">
        <v>2</v>
      </c>
      <c r="B36" s="3688" t="s">
        <v>4681</v>
      </c>
      <c r="C36" s="3688"/>
      <c r="D36" s="3688"/>
      <c r="E36" s="3688"/>
      <c r="F36" s="3688"/>
      <c r="G36" s="3688"/>
      <c r="H36" s="3688"/>
      <c r="I36" s="3688"/>
      <c r="J36" s="3689"/>
      <c r="K36" s="3705"/>
      <c r="L36" s="3706"/>
      <c r="M36" s="3706"/>
      <c r="N36" s="3706"/>
      <c r="O36" s="3706"/>
      <c r="P36" s="3706"/>
      <c r="Q36" s="3706"/>
      <c r="R36" s="3706"/>
      <c r="S36" s="3706"/>
      <c r="T36" s="3706"/>
      <c r="U36" s="3706"/>
      <c r="V36" s="3706"/>
      <c r="W36" s="3706"/>
      <c r="X36" s="3706"/>
      <c r="Y36" s="3706"/>
      <c r="Z36" s="3706"/>
      <c r="AA36" s="3706"/>
      <c r="AB36" s="3706"/>
      <c r="AC36" s="3706"/>
      <c r="AD36" s="3706"/>
      <c r="AE36" s="3706"/>
      <c r="AF36" s="3706"/>
      <c r="AG36" s="3706"/>
      <c r="AH36" s="3706"/>
      <c r="AI36" s="3706"/>
      <c r="AJ36" s="3706"/>
      <c r="AK36" s="3706"/>
      <c r="AL36" s="3706"/>
      <c r="AM36" s="3706"/>
      <c r="AN36" s="3706"/>
      <c r="AO36" s="3706"/>
      <c r="AP36" s="3706"/>
      <c r="AQ36" s="3706"/>
      <c r="AR36" s="3706"/>
      <c r="AS36" s="3706"/>
      <c r="AT36" s="3706"/>
      <c r="AU36" s="3706"/>
      <c r="AV36" s="3706"/>
      <c r="AW36" s="3706"/>
      <c r="AX36" s="3706"/>
      <c r="AY36" s="3707"/>
    </row>
    <row r="37" spans="1:51" ht="12" customHeight="1">
      <c r="A37" s="3687"/>
      <c r="B37" s="3688"/>
      <c r="C37" s="3688"/>
      <c r="D37" s="3688"/>
      <c r="E37" s="3688"/>
      <c r="F37" s="3688"/>
      <c r="G37" s="3688"/>
      <c r="H37" s="3688"/>
      <c r="I37" s="3688"/>
      <c r="J37" s="3689"/>
      <c r="K37" s="3705"/>
      <c r="L37" s="3706"/>
      <c r="M37" s="3706"/>
      <c r="N37" s="3706"/>
      <c r="O37" s="3706"/>
      <c r="P37" s="3706"/>
      <c r="Q37" s="3706"/>
      <c r="R37" s="3706"/>
      <c r="S37" s="3706"/>
      <c r="T37" s="3706"/>
      <c r="U37" s="3706"/>
      <c r="V37" s="3706"/>
      <c r="W37" s="3706"/>
      <c r="X37" s="3706"/>
      <c r="Y37" s="3706"/>
      <c r="Z37" s="3706"/>
      <c r="AA37" s="3706"/>
      <c r="AB37" s="3706"/>
      <c r="AC37" s="3706"/>
      <c r="AD37" s="3706"/>
      <c r="AE37" s="3706"/>
      <c r="AF37" s="3706"/>
      <c r="AG37" s="3706"/>
      <c r="AH37" s="3706"/>
      <c r="AI37" s="3706"/>
      <c r="AJ37" s="3706"/>
      <c r="AK37" s="3706"/>
      <c r="AL37" s="3706"/>
      <c r="AM37" s="3706"/>
      <c r="AN37" s="3706"/>
      <c r="AO37" s="3706"/>
      <c r="AP37" s="3706"/>
      <c r="AQ37" s="3706"/>
      <c r="AR37" s="3706"/>
      <c r="AS37" s="3706"/>
      <c r="AT37" s="3706"/>
      <c r="AU37" s="3706"/>
      <c r="AV37" s="3706"/>
      <c r="AW37" s="3706"/>
      <c r="AX37" s="3706"/>
      <c r="AY37" s="3707"/>
    </row>
    <row r="38" spans="1:51" ht="12" customHeight="1">
      <c r="A38" s="3687"/>
      <c r="B38" s="3688"/>
      <c r="C38" s="3688"/>
      <c r="D38" s="3688"/>
      <c r="E38" s="3688"/>
      <c r="F38" s="3688"/>
      <c r="G38" s="3688"/>
      <c r="H38" s="3688"/>
      <c r="I38" s="3688"/>
      <c r="J38" s="3689"/>
      <c r="K38" s="3705"/>
      <c r="L38" s="3706"/>
      <c r="M38" s="3706"/>
      <c r="N38" s="3706"/>
      <c r="O38" s="3706"/>
      <c r="P38" s="3706"/>
      <c r="Q38" s="3706"/>
      <c r="R38" s="3706"/>
      <c r="S38" s="3706"/>
      <c r="T38" s="3706"/>
      <c r="U38" s="3706"/>
      <c r="V38" s="3706"/>
      <c r="W38" s="3706"/>
      <c r="X38" s="3706"/>
      <c r="Y38" s="3706"/>
      <c r="Z38" s="3706"/>
      <c r="AA38" s="3706"/>
      <c r="AB38" s="3706"/>
      <c r="AC38" s="3706"/>
      <c r="AD38" s="3706"/>
      <c r="AE38" s="3706"/>
      <c r="AF38" s="3706"/>
      <c r="AG38" s="3706"/>
      <c r="AH38" s="3706"/>
      <c r="AI38" s="3706"/>
      <c r="AJ38" s="3706"/>
      <c r="AK38" s="3706"/>
      <c r="AL38" s="3706"/>
      <c r="AM38" s="3706"/>
      <c r="AN38" s="3706"/>
      <c r="AO38" s="3706"/>
      <c r="AP38" s="3706"/>
      <c r="AQ38" s="3706"/>
      <c r="AR38" s="3706"/>
      <c r="AS38" s="3706"/>
      <c r="AT38" s="3706"/>
      <c r="AU38" s="3706"/>
      <c r="AV38" s="3706"/>
      <c r="AW38" s="3706"/>
      <c r="AX38" s="3706"/>
      <c r="AY38" s="3707"/>
    </row>
    <row r="39" spans="1:51" ht="12" customHeight="1">
      <c r="A39" s="3687"/>
      <c r="B39" s="3688"/>
      <c r="C39" s="3688"/>
      <c r="D39" s="3688"/>
      <c r="E39" s="3688"/>
      <c r="F39" s="3688"/>
      <c r="G39" s="3688"/>
      <c r="H39" s="3688"/>
      <c r="I39" s="3688"/>
      <c r="J39" s="3689"/>
      <c r="K39" s="3705"/>
      <c r="L39" s="3706"/>
      <c r="M39" s="3706"/>
      <c r="N39" s="3706"/>
      <c r="O39" s="3706"/>
      <c r="P39" s="3706"/>
      <c r="Q39" s="3706"/>
      <c r="R39" s="3706"/>
      <c r="S39" s="3706"/>
      <c r="T39" s="3706"/>
      <c r="U39" s="3706"/>
      <c r="V39" s="3706"/>
      <c r="W39" s="3706"/>
      <c r="X39" s="3706"/>
      <c r="Y39" s="3706"/>
      <c r="Z39" s="3706"/>
      <c r="AA39" s="3706"/>
      <c r="AB39" s="3706"/>
      <c r="AC39" s="3706"/>
      <c r="AD39" s="3706"/>
      <c r="AE39" s="3706"/>
      <c r="AF39" s="3706"/>
      <c r="AG39" s="3706"/>
      <c r="AH39" s="3706"/>
      <c r="AI39" s="3706"/>
      <c r="AJ39" s="3706"/>
      <c r="AK39" s="3706"/>
      <c r="AL39" s="3706"/>
      <c r="AM39" s="3706"/>
      <c r="AN39" s="3706"/>
      <c r="AO39" s="3706"/>
      <c r="AP39" s="3706"/>
      <c r="AQ39" s="3706"/>
      <c r="AR39" s="3706"/>
      <c r="AS39" s="3706"/>
      <c r="AT39" s="3706"/>
      <c r="AU39" s="3706"/>
      <c r="AV39" s="3706"/>
      <c r="AW39" s="3706"/>
      <c r="AX39" s="3706"/>
      <c r="AY39" s="3707"/>
    </row>
    <row r="40" spans="1:51" ht="12" customHeight="1">
      <c r="A40" s="3687"/>
      <c r="B40" s="3688"/>
      <c r="C40" s="3688"/>
      <c r="D40" s="3688"/>
      <c r="E40" s="3688"/>
      <c r="F40" s="3688"/>
      <c r="G40" s="3688"/>
      <c r="H40" s="3688"/>
      <c r="I40" s="3688"/>
      <c r="J40" s="3689"/>
      <c r="K40" s="3705"/>
      <c r="L40" s="3706"/>
      <c r="M40" s="3706"/>
      <c r="N40" s="3706"/>
      <c r="O40" s="3706"/>
      <c r="P40" s="3706"/>
      <c r="Q40" s="3706"/>
      <c r="R40" s="3706"/>
      <c r="S40" s="3706"/>
      <c r="T40" s="3706"/>
      <c r="U40" s="3706"/>
      <c r="V40" s="3706"/>
      <c r="W40" s="3706"/>
      <c r="X40" s="3706"/>
      <c r="Y40" s="3706"/>
      <c r="Z40" s="3706"/>
      <c r="AA40" s="3706"/>
      <c r="AB40" s="3706"/>
      <c r="AC40" s="3706"/>
      <c r="AD40" s="3706"/>
      <c r="AE40" s="3706"/>
      <c r="AF40" s="3706"/>
      <c r="AG40" s="3706"/>
      <c r="AH40" s="3706"/>
      <c r="AI40" s="3706"/>
      <c r="AJ40" s="3706"/>
      <c r="AK40" s="3706"/>
      <c r="AL40" s="3706"/>
      <c r="AM40" s="3706"/>
      <c r="AN40" s="3706"/>
      <c r="AO40" s="3706"/>
      <c r="AP40" s="3706"/>
      <c r="AQ40" s="3706"/>
      <c r="AR40" s="3706"/>
      <c r="AS40" s="3706"/>
      <c r="AT40" s="3706"/>
      <c r="AU40" s="3706"/>
      <c r="AV40" s="3706"/>
      <c r="AW40" s="3706"/>
      <c r="AX40" s="3706"/>
      <c r="AY40" s="3707"/>
    </row>
    <row r="41" spans="1:51" ht="12" customHeight="1">
      <c r="A41" s="3687">
        <v>3</v>
      </c>
      <c r="B41" s="3688" t="s">
        <v>4682</v>
      </c>
      <c r="C41" s="3688"/>
      <c r="D41" s="3688"/>
      <c r="E41" s="3688"/>
      <c r="F41" s="3688"/>
      <c r="G41" s="3688"/>
      <c r="H41" s="3688"/>
      <c r="I41" s="3688"/>
      <c r="J41" s="3689"/>
      <c r="K41" s="3705"/>
      <c r="L41" s="3706"/>
      <c r="M41" s="3706"/>
      <c r="N41" s="3706"/>
      <c r="O41" s="3706"/>
      <c r="P41" s="3706"/>
      <c r="Q41" s="3706"/>
      <c r="R41" s="3706"/>
      <c r="S41" s="3706"/>
      <c r="T41" s="3706"/>
      <c r="U41" s="3706"/>
      <c r="V41" s="3706"/>
      <c r="W41" s="3706"/>
      <c r="X41" s="3706"/>
      <c r="Y41" s="3706"/>
      <c r="Z41" s="3706"/>
      <c r="AA41" s="3706"/>
      <c r="AB41" s="3706"/>
      <c r="AC41" s="3706"/>
      <c r="AD41" s="3706"/>
      <c r="AE41" s="3706"/>
      <c r="AF41" s="3706"/>
      <c r="AG41" s="3706"/>
      <c r="AH41" s="3706"/>
      <c r="AI41" s="3706"/>
      <c r="AJ41" s="3706"/>
      <c r="AK41" s="3706"/>
      <c r="AL41" s="3706"/>
      <c r="AM41" s="3706"/>
      <c r="AN41" s="3706"/>
      <c r="AO41" s="3706"/>
      <c r="AP41" s="3706"/>
      <c r="AQ41" s="3706"/>
      <c r="AR41" s="3706"/>
      <c r="AS41" s="3706"/>
      <c r="AT41" s="3706"/>
      <c r="AU41" s="3706"/>
      <c r="AV41" s="3706"/>
      <c r="AW41" s="3706"/>
      <c r="AX41" s="3706"/>
      <c r="AY41" s="3707"/>
    </row>
    <row r="42" spans="1:51" ht="12" customHeight="1">
      <c r="A42" s="3687"/>
      <c r="B42" s="3688"/>
      <c r="C42" s="3688"/>
      <c r="D42" s="3688"/>
      <c r="E42" s="3688"/>
      <c r="F42" s="3688"/>
      <c r="G42" s="3688"/>
      <c r="H42" s="3688"/>
      <c r="I42" s="3688"/>
      <c r="J42" s="3689"/>
      <c r="K42" s="3705"/>
      <c r="L42" s="3706"/>
      <c r="M42" s="3706"/>
      <c r="N42" s="3706"/>
      <c r="O42" s="3706"/>
      <c r="P42" s="3706"/>
      <c r="Q42" s="3706"/>
      <c r="R42" s="3706"/>
      <c r="S42" s="3706"/>
      <c r="T42" s="3706"/>
      <c r="U42" s="3706"/>
      <c r="V42" s="3706"/>
      <c r="W42" s="3706"/>
      <c r="X42" s="3706"/>
      <c r="Y42" s="3706"/>
      <c r="Z42" s="3706"/>
      <c r="AA42" s="3706"/>
      <c r="AB42" s="3706"/>
      <c r="AC42" s="3706"/>
      <c r="AD42" s="3706"/>
      <c r="AE42" s="3706"/>
      <c r="AF42" s="3706"/>
      <c r="AG42" s="3706"/>
      <c r="AH42" s="3706"/>
      <c r="AI42" s="3706"/>
      <c r="AJ42" s="3706"/>
      <c r="AK42" s="3706"/>
      <c r="AL42" s="3706"/>
      <c r="AM42" s="3706"/>
      <c r="AN42" s="3706"/>
      <c r="AO42" s="3706"/>
      <c r="AP42" s="3706"/>
      <c r="AQ42" s="3706"/>
      <c r="AR42" s="3706"/>
      <c r="AS42" s="3706"/>
      <c r="AT42" s="3706"/>
      <c r="AU42" s="3706"/>
      <c r="AV42" s="3706"/>
      <c r="AW42" s="3706"/>
      <c r="AX42" s="3706"/>
      <c r="AY42" s="3707"/>
    </row>
    <row r="43" spans="1:51" ht="12" customHeight="1">
      <c r="A43" s="3687"/>
      <c r="B43" s="3688"/>
      <c r="C43" s="3688"/>
      <c r="D43" s="3688"/>
      <c r="E43" s="3688"/>
      <c r="F43" s="3688"/>
      <c r="G43" s="3688"/>
      <c r="H43" s="3688"/>
      <c r="I43" s="3688"/>
      <c r="J43" s="3689"/>
      <c r="K43" s="3705"/>
      <c r="L43" s="3706"/>
      <c r="M43" s="3706"/>
      <c r="N43" s="3706"/>
      <c r="O43" s="3706"/>
      <c r="P43" s="3706"/>
      <c r="Q43" s="3706"/>
      <c r="R43" s="3706"/>
      <c r="S43" s="3706"/>
      <c r="T43" s="3706"/>
      <c r="U43" s="3706"/>
      <c r="V43" s="3706"/>
      <c r="W43" s="3706"/>
      <c r="X43" s="3706"/>
      <c r="Y43" s="3706"/>
      <c r="Z43" s="3706"/>
      <c r="AA43" s="3706"/>
      <c r="AB43" s="3706"/>
      <c r="AC43" s="3706"/>
      <c r="AD43" s="3706"/>
      <c r="AE43" s="3706"/>
      <c r="AF43" s="3706"/>
      <c r="AG43" s="3706"/>
      <c r="AH43" s="3706"/>
      <c r="AI43" s="3706"/>
      <c r="AJ43" s="3706"/>
      <c r="AK43" s="3706"/>
      <c r="AL43" s="3706"/>
      <c r="AM43" s="3706"/>
      <c r="AN43" s="3706"/>
      <c r="AO43" s="3706"/>
      <c r="AP43" s="3706"/>
      <c r="AQ43" s="3706"/>
      <c r="AR43" s="3706"/>
      <c r="AS43" s="3706"/>
      <c r="AT43" s="3706"/>
      <c r="AU43" s="3706"/>
      <c r="AV43" s="3706"/>
      <c r="AW43" s="3706"/>
      <c r="AX43" s="3706"/>
      <c r="AY43" s="3707"/>
    </row>
    <row r="44" spans="1:51" ht="12" customHeight="1">
      <c r="A44" s="3687"/>
      <c r="B44" s="3688"/>
      <c r="C44" s="3688"/>
      <c r="D44" s="3688"/>
      <c r="E44" s="3688"/>
      <c r="F44" s="3688"/>
      <c r="G44" s="3688"/>
      <c r="H44" s="3688"/>
      <c r="I44" s="3688"/>
      <c r="J44" s="3689"/>
      <c r="K44" s="3705"/>
      <c r="L44" s="3706"/>
      <c r="M44" s="3706"/>
      <c r="N44" s="3706"/>
      <c r="O44" s="3706"/>
      <c r="P44" s="3706"/>
      <c r="Q44" s="3706"/>
      <c r="R44" s="3706"/>
      <c r="S44" s="3706"/>
      <c r="T44" s="3706"/>
      <c r="U44" s="3706"/>
      <c r="V44" s="3706"/>
      <c r="W44" s="3706"/>
      <c r="X44" s="3706"/>
      <c r="Y44" s="3706"/>
      <c r="Z44" s="3706"/>
      <c r="AA44" s="3706"/>
      <c r="AB44" s="3706"/>
      <c r="AC44" s="3706"/>
      <c r="AD44" s="3706"/>
      <c r="AE44" s="3706"/>
      <c r="AF44" s="3706"/>
      <c r="AG44" s="3706"/>
      <c r="AH44" s="3706"/>
      <c r="AI44" s="3706"/>
      <c r="AJ44" s="3706"/>
      <c r="AK44" s="3706"/>
      <c r="AL44" s="3706"/>
      <c r="AM44" s="3706"/>
      <c r="AN44" s="3706"/>
      <c r="AO44" s="3706"/>
      <c r="AP44" s="3706"/>
      <c r="AQ44" s="3706"/>
      <c r="AR44" s="3706"/>
      <c r="AS44" s="3706"/>
      <c r="AT44" s="3706"/>
      <c r="AU44" s="3706"/>
      <c r="AV44" s="3706"/>
      <c r="AW44" s="3706"/>
      <c r="AX44" s="3706"/>
      <c r="AY44" s="3707"/>
    </row>
    <row r="45" spans="1:51" ht="12" customHeight="1" thickBot="1">
      <c r="A45" s="3681"/>
      <c r="B45" s="3690"/>
      <c r="C45" s="3690"/>
      <c r="D45" s="3690"/>
      <c r="E45" s="3690"/>
      <c r="F45" s="3690"/>
      <c r="G45" s="3690"/>
      <c r="H45" s="3690"/>
      <c r="I45" s="3690"/>
      <c r="J45" s="3691"/>
      <c r="K45" s="3708"/>
      <c r="L45" s="3709"/>
      <c r="M45" s="3709"/>
      <c r="N45" s="3709"/>
      <c r="O45" s="3709"/>
      <c r="P45" s="3709"/>
      <c r="Q45" s="3709"/>
      <c r="R45" s="3709"/>
      <c r="S45" s="3709"/>
      <c r="T45" s="3709"/>
      <c r="U45" s="3709"/>
      <c r="V45" s="3709"/>
      <c r="W45" s="3709"/>
      <c r="X45" s="3709"/>
      <c r="Y45" s="3709"/>
      <c r="Z45" s="3709"/>
      <c r="AA45" s="3709"/>
      <c r="AB45" s="3709"/>
      <c r="AC45" s="3709"/>
      <c r="AD45" s="3709"/>
      <c r="AE45" s="3709"/>
      <c r="AF45" s="3709"/>
      <c r="AG45" s="3709"/>
      <c r="AH45" s="3709"/>
      <c r="AI45" s="3709"/>
      <c r="AJ45" s="3709"/>
      <c r="AK45" s="3709"/>
      <c r="AL45" s="3709"/>
      <c r="AM45" s="3709"/>
      <c r="AN45" s="3709"/>
      <c r="AO45" s="3709"/>
      <c r="AP45" s="3709"/>
      <c r="AQ45" s="3709"/>
      <c r="AR45" s="3709"/>
      <c r="AS45" s="3709"/>
      <c r="AT45" s="3709"/>
      <c r="AU45" s="3709"/>
      <c r="AV45" s="3709"/>
      <c r="AW45" s="3709"/>
      <c r="AX45" s="3709"/>
      <c r="AY45" s="3710"/>
    </row>
    <row r="46" spans="1:51" ht="12" customHeight="1">
      <c r="A46" s="3692" t="s">
        <v>4683</v>
      </c>
      <c r="B46" s="3693"/>
      <c r="C46" s="3696"/>
      <c r="D46" s="3696"/>
      <c r="E46" s="3696"/>
      <c r="F46" s="3696"/>
      <c r="G46" s="3696"/>
      <c r="H46" s="3696"/>
      <c r="I46" s="3696"/>
      <c r="J46" s="3696"/>
      <c r="K46" s="3697"/>
      <c r="L46" s="3699" t="s">
        <v>4684</v>
      </c>
      <c r="M46" s="3700"/>
      <c r="N46" s="3701"/>
      <c r="O46" s="3701"/>
      <c r="P46" s="3660"/>
      <c r="Q46" s="3661"/>
      <c r="R46" s="3662"/>
      <c r="S46" s="3663" t="s">
        <v>4685</v>
      </c>
      <c r="T46" s="3664"/>
      <c r="U46" s="3664"/>
      <c r="V46" s="3664"/>
      <c r="W46" s="3664"/>
      <c r="X46" s="3664"/>
      <c r="Y46" s="3664"/>
      <c r="Z46" s="3664"/>
      <c r="AA46" s="3664"/>
      <c r="AB46" s="3664"/>
      <c r="AC46" s="3667"/>
      <c r="AD46" s="3669"/>
      <c r="AE46" s="3670"/>
      <c r="AF46" s="3670"/>
      <c r="AG46" s="3670"/>
      <c r="AH46" s="3670"/>
      <c r="AI46" s="3670"/>
      <c r="AJ46" s="3670"/>
      <c r="AK46" s="3670"/>
      <c r="AL46" s="3670"/>
      <c r="AM46" s="3670"/>
      <c r="AN46" s="3671"/>
      <c r="AO46" s="3675"/>
      <c r="AP46" s="3676"/>
      <c r="AQ46" s="3676"/>
      <c r="AR46" s="3676"/>
      <c r="AS46" s="3676"/>
      <c r="AT46" s="3676"/>
      <c r="AU46" s="3676"/>
      <c r="AV46" s="3676"/>
      <c r="AW46" s="3676"/>
      <c r="AX46" s="3676"/>
      <c r="AY46" s="3677"/>
    </row>
    <row r="47" spans="1:51" ht="12" customHeight="1" thickBot="1">
      <c r="A47" s="3694"/>
      <c r="B47" s="3695"/>
      <c r="C47" s="3682"/>
      <c r="D47" s="3682"/>
      <c r="E47" s="3682"/>
      <c r="F47" s="3682"/>
      <c r="G47" s="3682"/>
      <c r="H47" s="3682"/>
      <c r="I47" s="3682"/>
      <c r="J47" s="3682"/>
      <c r="K47" s="3698"/>
      <c r="L47" s="3681" t="s">
        <v>4686</v>
      </c>
      <c r="M47" s="3682"/>
      <c r="N47" s="3683"/>
      <c r="O47" s="3683"/>
      <c r="P47" s="3684"/>
      <c r="Q47" s="3685"/>
      <c r="R47" s="3686"/>
      <c r="S47" s="3665"/>
      <c r="T47" s="3666"/>
      <c r="U47" s="3666"/>
      <c r="V47" s="3666"/>
      <c r="W47" s="3666"/>
      <c r="X47" s="3666"/>
      <c r="Y47" s="3666"/>
      <c r="Z47" s="3666"/>
      <c r="AA47" s="3666"/>
      <c r="AB47" s="3666"/>
      <c r="AC47" s="3668"/>
      <c r="AD47" s="3672"/>
      <c r="AE47" s="3673"/>
      <c r="AF47" s="3673"/>
      <c r="AG47" s="3673"/>
      <c r="AH47" s="3673"/>
      <c r="AI47" s="3673"/>
      <c r="AJ47" s="3673"/>
      <c r="AK47" s="3673"/>
      <c r="AL47" s="3673"/>
      <c r="AM47" s="3673"/>
      <c r="AN47" s="3674"/>
      <c r="AO47" s="3678"/>
      <c r="AP47" s="3679"/>
      <c r="AQ47" s="3679"/>
      <c r="AR47" s="3679"/>
      <c r="AS47" s="3679"/>
      <c r="AT47" s="3679"/>
      <c r="AU47" s="3679"/>
      <c r="AV47" s="3679"/>
      <c r="AW47" s="3679"/>
      <c r="AX47" s="3679"/>
      <c r="AY47" s="3680"/>
    </row>
  </sheetData>
  <sheetProtection formatCells="0"/>
  <mergeCells count="63">
    <mergeCell ref="K12:AY45"/>
    <mergeCell ref="G19:J19"/>
    <mergeCell ref="U46:AC47"/>
    <mergeCell ref="AD46:AN47"/>
    <mergeCell ref="AO46:AY47"/>
    <mergeCell ref="L47:M47"/>
    <mergeCell ref="N47:O47"/>
    <mergeCell ref="P47:R47"/>
    <mergeCell ref="S46:T47"/>
    <mergeCell ref="A46:B47"/>
    <mergeCell ref="C46:K47"/>
    <mergeCell ref="L46:M46"/>
    <mergeCell ref="N46:O46"/>
    <mergeCell ref="P46:R46"/>
    <mergeCell ref="A31:A35"/>
    <mergeCell ref="B31:J35"/>
    <mergeCell ref="A36:A40"/>
    <mergeCell ref="B36:J40"/>
    <mergeCell ref="A41:A45"/>
    <mergeCell ref="B41:J45"/>
    <mergeCell ref="B19:D19"/>
    <mergeCell ref="E19:F19"/>
    <mergeCell ref="B20:D20"/>
    <mergeCell ref="E20:F20"/>
    <mergeCell ref="A30:J30"/>
    <mergeCell ref="B16:D16"/>
    <mergeCell ref="E16:F16"/>
    <mergeCell ref="B17:D17"/>
    <mergeCell ref="E17:F17"/>
    <mergeCell ref="B18:D18"/>
    <mergeCell ref="E18:F18"/>
    <mergeCell ref="B13:D13"/>
    <mergeCell ref="E13:F13"/>
    <mergeCell ref="C14:D14"/>
    <mergeCell ref="E14:F14"/>
    <mergeCell ref="B15:D15"/>
    <mergeCell ref="E15:F15"/>
    <mergeCell ref="B10:D10"/>
    <mergeCell ref="E10:F10"/>
    <mergeCell ref="B11:D11"/>
    <mergeCell ref="E11:F11"/>
    <mergeCell ref="B12:D12"/>
    <mergeCell ref="E12:F12"/>
    <mergeCell ref="B9:D9"/>
    <mergeCell ref="E9:F9"/>
    <mergeCell ref="A5:C5"/>
    <mergeCell ref="D5:F5"/>
    <mergeCell ref="N5:P5"/>
    <mergeCell ref="B7:D7"/>
    <mergeCell ref="E7:F7"/>
    <mergeCell ref="G7:K7"/>
    <mergeCell ref="B8:D8"/>
    <mergeCell ref="E8:F8"/>
    <mergeCell ref="Q5:T5"/>
    <mergeCell ref="G6:K6"/>
    <mergeCell ref="Q6:X6"/>
    <mergeCell ref="A1:AY2"/>
    <mergeCell ref="A3:C4"/>
    <mergeCell ref="D3:F4"/>
    <mergeCell ref="N3:P3"/>
    <mergeCell ref="Q3:T3"/>
    <mergeCell ref="N4:P4"/>
    <mergeCell ref="Q4:T4"/>
  </mergeCells>
  <phoneticPr fontId="170" type="noConversion"/>
  <pageMargins left="0" right="0" top="0" bottom="0" header="0" footer="0"/>
  <pageSetup paperSize="9" orientation="landscape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Q283"/>
  <sheetViews>
    <sheetView zoomScale="50" zoomScaleNormal="50" workbookViewId="0">
      <pane xSplit="1" ySplit="1" topLeftCell="B52" activePane="bottomRight" state="frozen"/>
      <selection activeCell="C6" sqref="C6:G6"/>
      <selection pane="topRight" activeCell="C6" sqref="C6:G6"/>
      <selection pane="bottomLeft" activeCell="C6" sqref="C6:G6"/>
      <selection pane="bottomRight" activeCell="D78" sqref="D78:I78"/>
    </sheetView>
  </sheetViews>
  <sheetFormatPr defaultColWidth="9.140625" defaultRowHeight="20.100000000000001" customHeight="1"/>
  <cols>
    <col min="1" max="1" width="34.7109375" style="2580" customWidth="1"/>
    <col min="2" max="12" width="20.7109375" style="13" customWidth="1"/>
    <col min="13" max="14" width="28.7109375" style="13" customWidth="1"/>
    <col min="15" max="34" width="14.7109375" style="13" customWidth="1"/>
    <col min="35" max="16384" width="9.140625" style="13"/>
  </cols>
  <sheetData>
    <row r="1" spans="1:17" ht="20.100000000000001" customHeight="1">
      <c r="A1" s="2582" t="s">
        <v>2580</v>
      </c>
      <c r="B1" s="266" t="s">
        <v>341</v>
      </c>
      <c r="C1" s="267"/>
      <c r="D1" s="278" t="s">
        <v>1088</v>
      </c>
      <c r="E1" s="277" t="b">
        <f>IF(D1="Normal",TRUE,FALSE)</f>
        <v>0</v>
      </c>
      <c r="M1" s="3778" t="s">
        <v>1737</v>
      </c>
      <c r="N1" s="3779"/>
    </row>
    <row r="2" spans="1:17" ht="20.100000000000001" customHeight="1">
      <c r="A2" s="2582"/>
      <c r="B2" s="1324" t="s">
        <v>2647</v>
      </c>
      <c r="C2" s="1324"/>
      <c r="D2" s="18"/>
      <c r="E2" s="454">
        <f>MIN('Axle &amp; Accessories Specs'!C73:CQ73)</f>
        <v>60</v>
      </c>
      <c r="F2" s="13" t="s">
        <v>136</v>
      </c>
      <c r="M2" s="3780" t="b">
        <f>IF(N3&lt;&gt;0,TRUE,FALSE)</f>
        <v>0</v>
      </c>
      <c r="N2" s="3781"/>
    </row>
    <row r="3" spans="1:17" ht="20.100000000000001" customHeight="1">
      <c r="B3" s="13" t="s">
        <v>1775</v>
      </c>
      <c r="C3" s="25"/>
      <c r="D3" s="260"/>
      <c r="E3" s="454">
        <f>MIN('Axle &amp; Accessories Specs'!C75:CQ75)</f>
        <v>60</v>
      </c>
      <c r="F3" s="13" t="s">
        <v>136</v>
      </c>
      <c r="M3" s="726" t="s">
        <v>52</v>
      </c>
      <c r="N3" s="733">
        <v>0</v>
      </c>
    </row>
    <row r="4" spans="1:17" ht="20.100000000000001" customHeight="1" thickBot="1">
      <c r="B4" s="13" t="s">
        <v>1774</v>
      </c>
      <c r="C4" s="25"/>
      <c r="D4" s="260"/>
      <c r="E4" s="454">
        <f>MIN('Axle &amp; Accessories Specs'!C77:CQ77)</f>
        <v>15</v>
      </c>
      <c r="F4" s="13" t="s">
        <v>136</v>
      </c>
      <c r="M4" s="727" t="s">
        <v>309</v>
      </c>
      <c r="N4" s="734">
        <v>0</v>
      </c>
    </row>
    <row r="5" spans="1:17" ht="20.100000000000001" customHeight="1" thickBot="1">
      <c r="B5" s="13" t="s">
        <v>1766</v>
      </c>
      <c r="E5" s="784">
        <f>MIN('Axle &amp; Accessories Specs'!C78:CQ78)</f>
        <v>197</v>
      </c>
      <c r="F5" s="13" t="s">
        <v>136</v>
      </c>
      <c r="M5" s="728" t="s">
        <v>70</v>
      </c>
      <c r="N5" s="724"/>
    </row>
    <row r="6" spans="1:17" ht="20.100000000000001" customHeight="1" thickBot="1">
      <c r="A6" s="2583" t="s">
        <v>36</v>
      </c>
      <c r="B6" s="785"/>
      <c r="C6" s="785"/>
      <c r="D6" s="785"/>
      <c r="E6" s="785"/>
      <c r="F6" s="785"/>
      <c r="G6" s="785"/>
      <c r="H6" s="785"/>
      <c r="I6" s="785"/>
      <c r="J6" s="786"/>
      <c r="M6" s="106" t="s">
        <v>1410</v>
      </c>
      <c r="N6" s="732">
        <v>0</v>
      </c>
      <c r="P6" s="25"/>
    </row>
    <row r="7" spans="1:17" ht="20.100000000000001" customHeight="1">
      <c r="A7" s="2576"/>
      <c r="B7" s="247"/>
      <c r="C7" s="247"/>
      <c r="D7" s="2521"/>
      <c r="E7" s="247"/>
      <c r="F7" s="2612"/>
      <c r="G7" s="247"/>
      <c r="H7" s="247"/>
      <c r="I7" s="247"/>
      <c r="J7" s="783"/>
      <c r="M7" s="106" t="s">
        <v>1407</v>
      </c>
      <c r="N7" s="732">
        <v>0</v>
      </c>
    </row>
    <row r="8" spans="1:17" ht="20.100000000000001" customHeight="1">
      <c r="A8" s="2577" t="s">
        <v>1753</v>
      </c>
      <c r="B8" s="17"/>
      <c r="C8" s="17"/>
      <c r="D8" s="2526" t="e">
        <f ca="1">IF(REQ_FrameX&lt;&gt;0,REQ_FrameX,MAX(VLOOKUP(HF_V,Iron_dim,3,FALSE),VLOOKUP(H_STD_Re,Iron_dim,3,FALSE)+5,(VLOOKUP(Seal_Cooling_Selection,SealThickness,MATCH($D$20,Seal_Axle_Diameter,0)-2,FALSE))+VLOOKUP(HF_V,Iron_dim,4,FALSE)+5))</f>
        <v>#REF!</v>
      </c>
      <c r="E8" s="17" t="s">
        <v>136</v>
      </c>
      <c r="F8" s="2586" t="s">
        <v>1763</v>
      </c>
      <c r="G8" s="17" t="e">
        <f ca="1">VLOOKUP(BF_Ra,Iron_dim,2,FALSE)</f>
        <v>#REF!</v>
      </c>
      <c r="H8" s="17" t="s">
        <v>136</v>
      </c>
      <c r="I8" s="17"/>
      <c r="J8" s="276"/>
      <c r="M8" s="106" t="s">
        <v>1411</v>
      </c>
      <c r="N8" s="732">
        <v>0</v>
      </c>
    </row>
    <row r="9" spans="1:17" ht="20.100000000000001" customHeight="1">
      <c r="A9" s="2577" t="s">
        <v>1741</v>
      </c>
      <c r="B9" s="17"/>
      <c r="C9" s="17"/>
      <c r="D9" s="2526" t="s">
        <v>1035</v>
      </c>
      <c r="E9" s="17"/>
      <c r="F9" s="2586" t="s">
        <v>1764</v>
      </c>
      <c r="G9" s="17" t="e">
        <f ca="1">VLOOKUP(BF_Ra,Iron_dim,4,FALSE)+VLOOKUP(BF_Ra,Iron_dim,6,FALSE)</f>
        <v>#REF!</v>
      </c>
      <c r="H9" s="17" t="s">
        <v>136</v>
      </c>
      <c r="I9" s="20" t="s">
        <v>105</v>
      </c>
      <c r="J9" s="44" t="e">
        <f ca="1">INDEX(DBeBe_multiplier,MATCH(G16,MOM_ratio,1)+1,MATCH(G17,OMOM_ratio,1)+1)</f>
        <v>#REF!</v>
      </c>
      <c r="M9" s="106" t="s">
        <v>1412</v>
      </c>
      <c r="N9" s="732">
        <v>0</v>
      </c>
    </row>
    <row r="10" spans="1:17" ht="20.100000000000001" customHeight="1">
      <c r="A10" s="2577" t="s">
        <v>1747</v>
      </c>
      <c r="B10" s="17"/>
      <c r="C10" s="17"/>
      <c r="D10" s="2526" t="e">
        <f ca="1">MAX(HoleD_mult*MIN_REG_N1+$G$9,MIN_REG_BHW/2+MIN_REG_N1/2)</f>
        <v>#REF!</v>
      </c>
      <c r="E10" s="17" t="s">
        <v>136</v>
      </c>
      <c r="F10" s="2586"/>
      <c r="G10" s="17"/>
      <c r="H10" s="17"/>
      <c r="I10" s="17"/>
      <c r="J10" s="19"/>
      <c r="M10" s="106" t="s">
        <v>1408</v>
      </c>
      <c r="N10" s="732">
        <v>0</v>
      </c>
      <c r="P10" s="25"/>
    </row>
    <row r="11" spans="1:17" ht="20.100000000000001" customHeight="1">
      <c r="A11" s="2578" t="s">
        <v>1746</v>
      </c>
      <c r="B11" s="47"/>
      <c r="C11" s="17"/>
      <c r="D11" s="2526" t="s">
        <v>1035</v>
      </c>
      <c r="E11" s="17"/>
      <c r="F11" s="2586"/>
      <c r="G11" s="17"/>
      <c r="H11" s="17"/>
      <c r="I11" s="17"/>
      <c r="J11" s="19"/>
      <c r="M11" s="106" t="s">
        <v>1409</v>
      </c>
      <c r="N11" s="732">
        <v>0</v>
      </c>
    </row>
    <row r="12" spans="1:17" ht="20.100000000000001" customHeight="1" thickBot="1">
      <c r="A12" s="2577" t="s">
        <v>1745</v>
      </c>
      <c r="B12" s="20"/>
      <c r="C12" s="17"/>
      <c r="D12" s="2526" t="s">
        <v>1035</v>
      </c>
      <c r="E12" s="17"/>
      <c r="F12" s="2586"/>
      <c r="G12" s="17"/>
      <c r="H12" s="17"/>
      <c r="I12" s="17"/>
      <c r="J12" s="19"/>
      <c r="M12" s="106" t="s">
        <v>38</v>
      </c>
      <c r="N12" s="737">
        <v>0</v>
      </c>
    </row>
    <row r="13" spans="1:17" ht="20.100000000000001" customHeight="1">
      <c r="A13" s="2577" t="s">
        <v>41</v>
      </c>
      <c r="B13" s="20" t="s">
        <v>1271</v>
      </c>
      <c r="C13" s="17"/>
      <c r="D13" s="2598">
        <f>MIN_REG_DBB</f>
        <v>197</v>
      </c>
      <c r="E13" s="17" t="s">
        <v>136</v>
      </c>
      <c r="F13" s="2586"/>
      <c r="G13" s="17"/>
      <c r="H13" s="17"/>
      <c r="I13" s="17"/>
      <c r="J13" s="19"/>
      <c r="M13" s="729" t="s">
        <v>66</v>
      </c>
      <c r="N13" s="736"/>
    </row>
    <row r="14" spans="1:17" ht="20.100000000000001" customHeight="1">
      <c r="A14" s="2577" t="s">
        <v>1743</v>
      </c>
      <c r="B14" s="20" t="s">
        <v>1270</v>
      </c>
      <c r="C14" s="17"/>
      <c r="D14" s="2599" t="e">
        <f ca="1">D8+D10+G14</f>
        <v>#REF!</v>
      </c>
      <c r="E14" s="17" t="s">
        <v>136</v>
      </c>
      <c r="F14" s="2619" t="s">
        <v>1850</v>
      </c>
      <c r="G14" s="166">
        <f>IF('Select Drive &amp; Motor'!$C$40&lt;&gt;0,'Select Drive &amp; Motor'!$C$40,House_P_T+VLOOKUP(Seal_Cooling_Selection,SealThickness,MATCH(D20,Seal_Axle_Diameter,0)-1,FALSE)+VLOOKUP(Seal_Cooling_Selection,SealThickness,MATCH(D20,Seal_Axle_Diameter,0),FALSE))</f>
        <v>17</v>
      </c>
      <c r="H14" s="166" t="s">
        <v>136</v>
      </c>
      <c r="I14" s="17"/>
      <c r="J14" s="19"/>
      <c r="L14" s="25"/>
      <c r="M14" s="730" t="s">
        <v>336</v>
      </c>
      <c r="N14" s="735">
        <v>0</v>
      </c>
      <c r="O14" s="25"/>
      <c r="P14" s="25"/>
      <c r="Q14" s="25"/>
    </row>
    <row r="15" spans="1:17" ht="20.100000000000001" customHeight="1">
      <c r="A15" s="2577"/>
      <c r="B15" s="17"/>
      <c r="C15" s="17"/>
      <c r="D15" s="2526"/>
      <c r="E15" s="17"/>
      <c r="F15" s="2517"/>
      <c r="I15" s="17"/>
      <c r="J15" s="19"/>
      <c r="L15" s="25"/>
      <c r="M15" s="730" t="s">
        <v>334</v>
      </c>
      <c r="N15" s="735">
        <v>0</v>
      </c>
      <c r="O15" s="25"/>
      <c r="P15" s="25"/>
      <c r="Q15" s="25"/>
    </row>
    <row r="16" spans="1:17" ht="20.100000000000001" customHeight="1">
      <c r="A16" s="2579" t="s">
        <v>67</v>
      </c>
      <c r="B16" s="17"/>
      <c r="C16" s="17"/>
      <c r="D16" s="2526" t="e">
        <f ca="1">g*Impeller_W*(ICOM+D14)</f>
        <v>#REF!</v>
      </c>
      <c r="E16" s="17" t="s">
        <v>189</v>
      </c>
      <c r="F16" s="2586" t="s">
        <v>65</v>
      </c>
      <c r="G16" s="20" t="e">
        <f ca="1">D16/MMOM</f>
        <v>#REF!</v>
      </c>
      <c r="H16" s="17"/>
      <c r="I16" s="17"/>
      <c r="J16" s="19"/>
      <c r="M16" s="730" t="s">
        <v>337</v>
      </c>
      <c r="N16" s="735">
        <v>0</v>
      </c>
    </row>
    <row r="17" spans="1:17" ht="20.100000000000001" customHeight="1">
      <c r="A17" s="2579" t="s">
        <v>68</v>
      </c>
      <c r="B17" s="17"/>
      <c r="C17" s="17"/>
      <c r="D17" s="2526" t="e">
        <f ca="1">g*WF_P*(b_in+ICOM+D14)</f>
        <v>#REF!</v>
      </c>
      <c r="E17" s="17" t="s">
        <v>189</v>
      </c>
      <c r="F17" s="2586" t="s">
        <v>64</v>
      </c>
      <c r="G17" s="20" t="e">
        <f ca="1">D17/D16</f>
        <v>#REF!</v>
      </c>
      <c r="H17" s="17"/>
      <c r="J17" s="19"/>
      <c r="M17" s="730" t="s">
        <v>335</v>
      </c>
      <c r="N17" s="735">
        <v>0</v>
      </c>
    </row>
    <row r="18" spans="1:17" ht="20.100000000000001" customHeight="1">
      <c r="A18" s="2577" t="s">
        <v>39</v>
      </c>
      <c r="B18" s="20" t="s">
        <v>3542</v>
      </c>
      <c r="C18" s="2004" t="e">
        <f ca="1">PI()/64*E_Nmm2*10^6/(1/3*D13/1000+1/2*(D14/1000+ICOM/1000))</f>
        <v>#REF!</v>
      </c>
      <c r="D18" s="2526" t="e">
        <f ca="1">IF(Forced_REG_B,N$6,IF(REQ_Axle_Diam&lt;&gt;0,REQ_Axle_Diam,ROUNDUP(MAX((32/PI()*SQRT(D16^2+3/4*TMO0^2)/AYS)^(1/3),1000*SQRT(Fan_Max_rpm*2*PI()/60*SQRT((Impeller_W*(ICOM/1000+D14/1000)^2+Imoi_1)/C18)),1000*($J$18*(Fan_Max_rpm*2*PI()/60)^2*Impeller_W*(D14/1000+ICOM/1000)^2*((D14/1000+ICOM/1000)+D13/1000)/(3*PI()/64*E_Nmm2*10^6))^0.25),0)))</f>
        <v>#REF!</v>
      </c>
      <c r="E18" s="17" t="s">
        <v>136</v>
      </c>
      <c r="F18" s="2586" t="s">
        <v>304</v>
      </c>
      <c r="G18" s="240" t="e">
        <f ca="1">10^3*Impeller_W*g*(D14/1000+ICOM/1000)^2*((D14/1000+ICOM/1000)+D13/1000)/(3*E_Nmm2*10^6*PI()/64*(D18/1000)^4)</f>
        <v>#REF!</v>
      </c>
      <c r="H18" s="20" t="s">
        <v>223</v>
      </c>
      <c r="I18" s="239" t="e">
        <f ca="1">3*PI()/64*E_Nmm2*10^6*(D18/1000)^4/((Fan_Max_rpm*2*PI()/60)^2*Impeller_W*(D14/1000+ICOM/1000)^2*((D14/1000+ICOM/1000)+D13/1000))</f>
        <v>#REF!</v>
      </c>
      <c r="J18" s="250">
        <f>Force_R_limit</f>
        <v>2</v>
      </c>
      <c r="M18" s="730" t="s">
        <v>1</v>
      </c>
      <c r="N18" s="735">
        <v>0</v>
      </c>
    </row>
    <row r="19" spans="1:17" ht="20.100000000000001" customHeight="1">
      <c r="A19" s="2577" t="s">
        <v>103</v>
      </c>
      <c r="B19" s="20" t="s">
        <v>100</v>
      </c>
      <c r="C19" s="17"/>
      <c r="D19" s="2598" t="e">
        <f ca="1">IF(Forced_REG_B,N$6,INDEX(Possible_Axle_Diameter,1,IF(ISERROR(MATCH(D18,Possible_Axle_Diameter,0)),1,0)+MATCH(D18,Possible_Axle_Diameter,1)))</f>
        <v>#REF!</v>
      </c>
      <c r="E19" s="17" t="s">
        <v>136</v>
      </c>
      <c r="F19" s="2586" t="s">
        <v>2653</v>
      </c>
      <c r="G19" s="788">
        <f>IF(Forced_REG_B,$N$3,INDEX(Possible_REG_Bearings,$C$20+1,COLUMN(C$1)))</f>
        <v>0</v>
      </c>
      <c r="H19" s="791">
        <f>INDEX(Possible_REG_Bearings,$C$20+1,COLUMN(D$1))</f>
        <v>0</v>
      </c>
      <c r="I19" s="39">
        <f>INDEX(Possible_REG_Bearings,$C$20+1,COLUMN(E$1))</f>
        <v>0</v>
      </c>
      <c r="J19" s="792">
        <f>INDEX(Possible_REG_Bearings,$C$20+1,COLUMN(F$1))</f>
        <v>0</v>
      </c>
      <c r="L19" s="28"/>
      <c r="M19" s="730" t="s">
        <v>54</v>
      </c>
      <c r="N19" s="735">
        <v>0</v>
      </c>
    </row>
    <row r="20" spans="1:17" ht="20.100000000000001" customHeight="1">
      <c r="A20" s="2577" t="s">
        <v>40</v>
      </c>
      <c r="B20" s="20" t="s">
        <v>101</v>
      </c>
      <c r="C20" s="17">
        <f>MATCH(D20,'Axle &amp; Accessories Specs'!$A$151:$A$254,0)</f>
        <v>9</v>
      </c>
      <c r="D20" s="2600">
        <v>40</v>
      </c>
      <c r="E20" s="17" t="s">
        <v>136</v>
      </c>
      <c r="F20" s="2586" t="s">
        <v>2666</v>
      </c>
      <c r="G20" s="1347">
        <f>IF(G$19=0,0,IF(Forced_REG_B,0,INDEX(Possible_REG_Bearings,$C$20,COLUMN(C$1))))</f>
        <v>0</v>
      </c>
      <c r="H20" s="793">
        <f>IF(H$19=0,0,INDEX(Possible_REG_Bearings,$C$20,COLUMN(D$1)))</f>
        <v>0</v>
      </c>
      <c r="I20" s="35">
        <f>IF(I$19=0,0,INDEX(Possible_REG_Bearings,$C$20,COLUMN(E$1)))</f>
        <v>0</v>
      </c>
      <c r="J20" s="709">
        <f>IF(J$19=0,0,INDEX(Possible_REG_Bearings,$C$20,COLUMN(F$1)))</f>
        <v>0</v>
      </c>
      <c r="M20" s="106" t="s">
        <v>2</v>
      </c>
      <c r="N20" s="737">
        <v>0</v>
      </c>
      <c r="Q20" s="25"/>
    </row>
    <row r="21" spans="1:17" ht="20.100000000000001" customHeight="1">
      <c r="D21" s="2538"/>
      <c r="F21" s="2609" t="s">
        <v>1778</v>
      </c>
      <c r="G21" s="796">
        <f>IF(Forced_REG_B,$N$27,INDEX(Possible_REG_Bearings,$C$20+2,COLUMN(C$1)))</f>
        <v>0</v>
      </c>
      <c r="H21" s="793">
        <f>INDEX(Possible_REG_Bearings,$C$20+2,COLUMN(D$1))</f>
        <v>0</v>
      </c>
      <c r="I21" s="35">
        <f>INDEX(Possible_REG_Bearings,$C$20+2,COLUMN(E$1))</f>
        <v>0</v>
      </c>
      <c r="J21" s="709">
        <f>INDEX(Possible_REG_Bearings,$C$20+2,COLUMN(F$1))</f>
        <v>0</v>
      </c>
      <c r="M21" s="106" t="s">
        <v>226</v>
      </c>
      <c r="N21" s="737">
        <v>0</v>
      </c>
    </row>
    <row r="22" spans="1:17" s="25" customFormat="1" ht="20.100000000000001" customHeight="1">
      <c r="A22" s="2578"/>
      <c r="B22" s="46"/>
      <c r="C22" s="47"/>
      <c r="D22" s="2601"/>
      <c r="E22" s="47"/>
      <c r="F22" s="2609"/>
      <c r="G22" s="1325"/>
      <c r="H22" s="1326"/>
      <c r="I22" s="46"/>
      <c r="J22" s="1327"/>
      <c r="K22" s="13"/>
      <c r="L22" s="13"/>
      <c r="M22" s="730" t="s">
        <v>13</v>
      </c>
      <c r="N22" s="735">
        <v>0</v>
      </c>
      <c r="O22" s="13"/>
      <c r="P22" s="13"/>
      <c r="Q22" s="13"/>
    </row>
    <row r="23" spans="1:17" s="25" customFormat="1" ht="20.100000000000001" customHeight="1">
      <c r="A23" s="2577" t="s">
        <v>4082</v>
      </c>
      <c r="B23" s="20" t="s">
        <v>3541</v>
      </c>
      <c r="C23" s="3139" t="e">
        <f ca="1">PI()/64*E_Nmm2*10^6*(D20/1000)^4/(1/3*D13/1000+1/2*(D14/1000+ICOM/1000))</f>
        <v>#REF!</v>
      </c>
      <c r="D23" s="2598" t="e">
        <f ca="1">60/(2*PI())*SQRT(C23/(Impeller_W*(ICOM/1000+D14/1000)^2+Imoi_1))</f>
        <v>#REF!</v>
      </c>
      <c r="E23" s="17" t="s">
        <v>186</v>
      </c>
      <c r="F23" s="2609"/>
      <c r="G23" s="789"/>
      <c r="H23" s="794"/>
      <c r="I23" s="17"/>
      <c r="J23" s="19"/>
      <c r="L23" s="13"/>
      <c r="M23" s="106" t="s">
        <v>5</v>
      </c>
      <c r="N23" s="738">
        <f>IF(FAXA/FRA&lt;=N18,N14*FRA+N16*FAXA,N15*FRA+N17*FAXA)</f>
        <v>0</v>
      </c>
      <c r="O23" s="13"/>
      <c r="P23" s="13"/>
      <c r="Q23" s="13"/>
    </row>
    <row r="24" spans="1:17" ht="20.100000000000001" customHeight="1" thickBot="1">
      <c r="A24" s="3140"/>
      <c r="B24" s="23"/>
      <c r="C24" s="23"/>
      <c r="D24" s="23"/>
      <c r="E24" s="23"/>
      <c r="F24" s="2610"/>
      <c r="G24" s="790"/>
      <c r="H24" s="795"/>
      <c r="I24" s="23"/>
      <c r="J24" s="24"/>
      <c r="K24" s="25"/>
      <c r="M24" s="106" t="s">
        <v>6</v>
      </c>
      <c r="N24" s="738" t="e">
        <f>10^6*(N20/N23)^N22/(60*Fan_Max_rpm)</f>
        <v>#DIV/0!</v>
      </c>
    </row>
    <row r="25" spans="1:17" ht="20.100000000000001" customHeight="1" thickBot="1">
      <c r="A25" s="2584" t="s">
        <v>1776</v>
      </c>
      <c r="B25" s="782"/>
      <c r="C25" s="782"/>
      <c r="D25" s="782"/>
      <c r="E25" s="782"/>
      <c r="F25" s="782"/>
      <c r="G25" s="782"/>
      <c r="H25" s="782"/>
      <c r="I25" s="782"/>
      <c r="J25" s="787"/>
      <c r="M25" s="106" t="s">
        <v>7</v>
      </c>
      <c r="N25" s="738">
        <f>IF(FAXB/FRB&lt;=N18,N14*FRB+N16*FAXB,N15*FRB+N17*FAXB)</f>
        <v>0</v>
      </c>
    </row>
    <row r="26" spans="1:17" ht="20.100000000000001" customHeight="1">
      <c r="A26" s="2585"/>
      <c r="B26" s="2521"/>
      <c r="C26" s="2522" t="s">
        <v>290</v>
      </c>
      <c r="D26" s="2523">
        <v>42570.572534908315</v>
      </c>
      <c r="E26" s="2522"/>
      <c r="F26" s="2524"/>
      <c r="G26" s="2524"/>
      <c r="H26" s="2524"/>
      <c r="I26" s="2524"/>
      <c r="J26" s="2525"/>
      <c r="M26" s="106" t="s">
        <v>8</v>
      </c>
      <c r="N26" s="738" t="e">
        <f>10^6*(N20/N25)^N22/(60*Fan_Max_rpm)</f>
        <v>#DIV/0!</v>
      </c>
    </row>
    <row r="27" spans="1:17" ht="20.100000000000001" customHeight="1" thickBot="1">
      <c r="A27" s="2577" t="s">
        <v>1748</v>
      </c>
      <c r="B27" s="2526"/>
      <c r="C27" s="2526"/>
      <c r="D27" s="2526" t="e">
        <f ca="1">IF($D$26=0,9999,IF(REQ_FrameX&lt;&gt;0,REQ_FrameX,MAX(VLOOKUP(HF_V,Iron_dim,3,FALSE),VLOOKUP(H_STD_Re,Iron_dim,3,FALSE)+5,(VLOOKUP(Seal_Cooling_Selection,SealThickness,MATCH($D$37,Seal_Axle_Diameter,0)-2,FALSE))+VLOOKUP(HF_V,Iron_dim,4,FALSE)+5)))</f>
        <v>#REF!</v>
      </c>
      <c r="E27" s="2527" t="s">
        <v>136</v>
      </c>
      <c r="F27" s="2526" t="s">
        <v>1765</v>
      </c>
      <c r="G27" s="2528" t="e">
        <f ca="1">VLOOKUP(BF_Ra,Iron_dim,2,FALSE)</f>
        <v>#REF!</v>
      </c>
      <c r="H27" s="2528" t="s">
        <v>136</v>
      </c>
      <c r="I27" s="2526"/>
      <c r="J27" s="2529"/>
      <c r="M27" s="731" t="s">
        <v>339</v>
      </c>
      <c r="N27" s="739">
        <f>IF(ISERROR(MIN(N24,N26)),0,IF(AND(AD&lt;=N6,N21&gt;Fan_Max_rpm,N24&gt;=min_life,N24&lt;max_life,N26&gt;=min_life,N26&lt;max_life),MIN(N24,N26),0))</f>
        <v>0</v>
      </c>
    </row>
    <row r="28" spans="1:17" ht="20.100000000000001" customHeight="1">
      <c r="A28" s="2577" t="s">
        <v>1744</v>
      </c>
      <c r="B28" s="2528"/>
      <c r="C28" s="2528"/>
      <c r="D28" s="2528">
        <f>IF($D$26=0,9999,IF(Forced_REG_B,N12,ROUNDUP($J$28*VLOOKUP($A28,REG_B_Specs,MATCH($D$37,REG_Axle_Diameter,0),FALSE)/5,0)*5))</f>
        <v>245</v>
      </c>
      <c r="E28" s="2528" t="s">
        <v>136</v>
      </c>
      <c r="F28" s="2526" t="s">
        <v>1764</v>
      </c>
      <c r="G28" s="2528" t="e">
        <f ca="1">VLOOKUP(BF_Ra,Iron_dim,4,FALSE)+VLOOKUP(BF_Ra,Iron_dim,6,FALSE)</f>
        <v>#REF!</v>
      </c>
      <c r="H28" s="2528" t="s">
        <v>136</v>
      </c>
      <c r="I28" s="2526" t="s">
        <v>1742</v>
      </c>
      <c r="J28" s="2530">
        <v>1</v>
      </c>
      <c r="L28" s="25"/>
      <c r="M28" s="25"/>
      <c r="N28" s="25"/>
      <c r="O28" s="25"/>
      <c r="P28" s="25"/>
      <c r="Q28" s="25"/>
    </row>
    <row r="29" spans="1:17" ht="20.100000000000001" customHeight="1">
      <c r="A29" s="2577" t="s">
        <v>1747</v>
      </c>
      <c r="B29" s="2528"/>
      <c r="C29" s="2528"/>
      <c r="D29" s="2528" t="e">
        <f ca="1">IF($G$43=0,$G$27/2,MAX(HoleD_mult*$G$47+$G$28,$G$48/2+$G$47/2))</f>
        <v>#REF!</v>
      </c>
      <c r="E29" s="2528" t="s">
        <v>136</v>
      </c>
      <c r="F29" s="2526"/>
      <c r="G29" s="2528"/>
      <c r="H29" s="2528"/>
      <c r="I29" s="2526" t="s">
        <v>106</v>
      </c>
      <c r="J29" s="2537" t="e">
        <f ca="1">INDEX(DBeBe_multiplier,MATCH(J34,MOM_ratio,1)+1,MATCH(J35,OMOM_ratio,1)+1)</f>
        <v>#REF!</v>
      </c>
      <c r="L29" s="25"/>
      <c r="M29" s="25"/>
      <c r="N29" s="20"/>
      <c r="O29" s="20"/>
      <c r="P29" s="20"/>
      <c r="Q29" s="20"/>
    </row>
    <row r="30" spans="1:17" ht="20.100000000000001" customHeight="1">
      <c r="A30" s="2578" t="s">
        <v>1746</v>
      </c>
      <c r="B30" s="2531"/>
      <c r="C30" s="2528"/>
      <c r="D30" s="2531" t="e">
        <f ca="1">IF($D$26=0,9999,IF(Small_F,"na",IF(D28-2*(G27-D29)&gt;$G$30,D28-2*(G27-D29),$G$30)))</f>
        <v>#REF!</v>
      </c>
      <c r="E30" s="2528" t="s">
        <v>136</v>
      </c>
      <c r="F30" s="2526" t="s">
        <v>2519</v>
      </c>
      <c r="G30" s="2528" t="e">
        <f ca="1">MIN(150,VLOOKUP(BF_Ra,Iron_dim,2,FALSE))</f>
        <v>#REF!</v>
      </c>
      <c r="H30" s="2531" t="s">
        <v>136</v>
      </c>
      <c r="I30" s="2528"/>
      <c r="J30" s="2529"/>
      <c r="N30" s="493"/>
      <c r="O30" s="493"/>
      <c r="P30" s="493"/>
      <c r="Q30" s="17"/>
    </row>
    <row r="31" spans="1:17" ht="20.100000000000001" customHeight="1">
      <c r="A31" s="2577" t="s">
        <v>1745</v>
      </c>
      <c r="B31" s="2526"/>
      <c r="C31" s="2528"/>
      <c r="D31" s="2528" t="e">
        <f ca="1">IF(Small_F,D29,IF(D28-2*(G27-D29)&gt;$G$30,D29,IF(D28-(G27-D29)-D29&lt;$G$30,G27-D29,G27-(D28-($G$30+(G27-D29))))))</f>
        <v>#REF!</v>
      </c>
      <c r="E31" s="2528" t="s">
        <v>136</v>
      </c>
      <c r="F31" s="2526"/>
      <c r="G31" s="2531"/>
      <c r="H31" s="2531"/>
      <c r="I31" s="2528"/>
      <c r="J31" s="2529"/>
      <c r="N31" s="17"/>
      <c r="O31" s="17"/>
      <c r="P31" s="725"/>
      <c r="Q31" s="17"/>
    </row>
    <row r="32" spans="1:17" ht="20.100000000000001" customHeight="1">
      <c r="A32" s="2577" t="s">
        <v>41</v>
      </c>
      <c r="B32" s="2526" t="s">
        <v>1269</v>
      </c>
      <c r="C32" s="2528"/>
      <c r="D32" s="2532" t="e">
        <f ca="1">IF($D$26=0,9999,IF(Small_F,D28,(G27-D29)+D30+(G27-D31)))</f>
        <v>#REF!</v>
      </c>
      <c r="E32" s="2528" t="s">
        <v>136</v>
      </c>
      <c r="F32" s="2536"/>
      <c r="G32" s="2531"/>
      <c r="H32" s="2531"/>
      <c r="I32" s="2528"/>
      <c r="J32" s="2529"/>
      <c r="N32" s="17"/>
      <c r="O32" s="17"/>
      <c r="P32" s="17"/>
      <c r="Q32" s="17"/>
    </row>
    <row r="33" spans="1:17" ht="20.100000000000001" customHeight="1">
      <c r="A33" s="2577" t="s">
        <v>1743</v>
      </c>
      <c r="B33" s="2526" t="s">
        <v>1272</v>
      </c>
      <c r="C33" s="2528"/>
      <c r="D33" s="2533" t="e">
        <f ca="1">IF($D$26=0,9999,D27+D29+G33)</f>
        <v>#REF!</v>
      </c>
      <c r="E33" s="2528" t="s">
        <v>136</v>
      </c>
      <c r="F33" s="2534" t="s">
        <v>1850</v>
      </c>
      <c r="G33" s="2535">
        <f>IF('Select Drive &amp; Motor'!$C$40&lt;&gt;0,'Select Drive &amp; Motor'!$C$40,House_P_T+VLOOKUP(Seal_Cooling_Selection,SealThickness,MATCH($D$37,Seal_Axle_Diameter,0)-1,FALSE)+VLOOKUP(Seal_Cooling_Selection,SealThickness,MATCH($D$37,Seal_Axle_Diameter,0),FALSE))</f>
        <v>17</v>
      </c>
      <c r="H33" s="2535" t="s">
        <v>136</v>
      </c>
      <c r="I33" s="2528"/>
      <c r="J33" s="2529"/>
      <c r="P33" s="25"/>
    </row>
    <row r="34" spans="1:17" ht="20.100000000000001" customHeight="1">
      <c r="F34" s="2586" t="s">
        <v>67</v>
      </c>
      <c r="G34" s="2526" t="e">
        <f ca="1">g*Impeller_W*(ICOM+D33)</f>
        <v>#REF!</v>
      </c>
      <c r="H34" s="2527" t="s">
        <v>189</v>
      </c>
      <c r="I34" s="2526" t="s">
        <v>65</v>
      </c>
      <c r="J34" s="2546" t="e">
        <f ca="1">G34/MMOM</f>
        <v>#REF!</v>
      </c>
    </row>
    <row r="35" spans="1:17" ht="20.100000000000001" customHeight="1">
      <c r="A35" s="2577" t="s">
        <v>39</v>
      </c>
      <c r="B35" s="2526" t="s">
        <v>4153</v>
      </c>
      <c r="C35" s="3135" t="e">
        <f ca="1">PI()/64*E_Nmm2*10^6/(1/3*$D$32/1000+1/2*($D$33/1000+ICOM/1000))</f>
        <v>#REF!</v>
      </c>
      <c r="D35" s="2528" t="e">
        <f ca="1">IF(Forced_REG_B,N$6,IF(REQ_Axle_Diam&lt;&gt;0,REQ_Axle_Diam,ROUNDUP(MAX((32/PI()*SQRT($G$34^2+3/4*TMO0^2)/AYS)^(1/3),1000*SQRT(RPM*2*PI()/60*SQRT((Impeller_W*(ICOM/1000+$D$33/1000)^2+Imoi_1)/$C$35)),1000*($J$36*(RPM*2*PI()/60)^2*Impeller_W*($D$33/1000+ICOM/1000)^2*(($D$33/1000+ICOM/1000)+$D$32/1000)/(3*PI()/64*E_Nmm2*10^6))^0.25),0)))</f>
        <v>#REF!</v>
      </c>
      <c r="E35" s="2528" t="s">
        <v>136</v>
      </c>
      <c r="F35" s="2586" t="s">
        <v>68</v>
      </c>
      <c r="G35" s="2526" t="e">
        <f ca="1">g*WF_P*(b_in+ICOM+D33)</f>
        <v>#REF!</v>
      </c>
      <c r="H35" s="2527" t="s">
        <v>189</v>
      </c>
      <c r="I35" s="2526" t="s">
        <v>64</v>
      </c>
      <c r="J35" s="2546" t="e">
        <f ca="1">G35/G34</f>
        <v>#REF!</v>
      </c>
    </row>
    <row r="36" spans="1:17" s="25" customFormat="1" ht="20.100000000000001" customHeight="1">
      <c r="A36" s="2577" t="s">
        <v>103</v>
      </c>
      <c r="B36" s="2526" t="s">
        <v>99</v>
      </c>
      <c r="C36" s="2528" t="e">
        <f ca="1">IF(ISERROR(MATCH($D$35,Possible_Axle_Diameter,0)),1,0)+MATCH($D$35,Possible_Axle_Diameter,1)</f>
        <v>#REF!</v>
      </c>
      <c r="D36" s="2532" t="e">
        <f ca="1">IF($D$26=0,9999,IF(Forced_REG_B,N$6,IF($D$35&gt;MAX(Possible_Axle_Diameter),MAX(Possible_Axle_Diameter),INDEX(Possible_Axle_Diameter,1,$C$36))))</f>
        <v>#REF!</v>
      </c>
      <c r="E36" s="2528" t="s">
        <v>136</v>
      </c>
      <c r="F36" s="2526" t="s">
        <v>304</v>
      </c>
      <c r="G36" s="2518" t="e">
        <f ca="1">10^3*Impeller_W*g*(D33/1000+ICOM/1000)^2*((D33/1000+ICOM/1000)+D32/1000)/(3*E_Nmm2*10^6*PI()/64*(D35/1000)^4)</f>
        <v>#REF!</v>
      </c>
      <c r="H36" s="2516" t="s">
        <v>223</v>
      </c>
      <c r="I36" s="2518" t="e">
        <f ca="1">3*PI()/64*E_Nmm2*10^6*(D35/1000)^4/((Fan_Max_rpm*2*PI()/60)^2*Impeller_W*(D33/1000+ICOM/1000)^2*((D33/1000+ICOM/1000)+D32/1000))</f>
        <v>#REF!</v>
      </c>
      <c r="J36" s="2519">
        <f>Force_R_limit</f>
        <v>2</v>
      </c>
      <c r="K36" s="13"/>
      <c r="L36" s="13"/>
      <c r="M36" s="13"/>
      <c r="N36" s="13"/>
      <c r="O36" s="13"/>
      <c r="P36" s="13"/>
      <c r="Q36" s="13"/>
    </row>
    <row r="37" spans="1:17" s="25" customFormat="1" ht="20.100000000000001" customHeight="1">
      <c r="A37" s="2577" t="s">
        <v>40</v>
      </c>
      <c r="B37" s="2526" t="s">
        <v>102</v>
      </c>
      <c r="C37" s="46"/>
      <c r="D37" s="2543">
        <v>45</v>
      </c>
      <c r="E37" s="2528" t="s">
        <v>136</v>
      </c>
      <c r="J37" s="45"/>
      <c r="K37" s="13"/>
      <c r="L37" s="13"/>
      <c r="M37" s="13"/>
      <c r="N37" s="13"/>
      <c r="O37" s="13"/>
      <c r="P37" s="13"/>
      <c r="Q37" s="13"/>
    </row>
    <row r="38" spans="1:17" s="25" customFormat="1" ht="20.100000000000001" customHeight="1">
      <c r="A38" s="2578"/>
      <c r="B38" s="2586" t="s">
        <v>4084</v>
      </c>
      <c r="C38" s="2516">
        <f>PI()/4*($D$37/1000)^2*steel_density</f>
        <v>12.484885554906686</v>
      </c>
      <c r="D38" s="2586" t="s">
        <v>357</v>
      </c>
      <c r="E38" s="20"/>
      <c r="J38" s="2519"/>
      <c r="K38" s="13"/>
      <c r="L38" s="13"/>
      <c r="M38" s="13"/>
      <c r="N38" s="13"/>
      <c r="O38" s="13"/>
      <c r="P38" s="13"/>
      <c r="Q38" s="13"/>
    </row>
    <row r="39" spans="1:17" s="2515" customFormat="1" ht="20.100000000000001" customHeight="1">
      <c r="A39" s="2577"/>
      <c r="B39" s="2536" t="s">
        <v>4073</v>
      </c>
      <c r="C39" s="2516" t="e">
        <f ca="1">$C$38*$D$33/1000</f>
        <v>#REF!</v>
      </c>
      <c r="D39" s="2516" t="s">
        <v>4074</v>
      </c>
      <c r="E39" s="2516" t="e">
        <f ca="1">$C$38*$D$32/1000</f>
        <v>#REF!</v>
      </c>
      <c r="J39" s="2520"/>
      <c r="K39" s="2514"/>
      <c r="M39" s="2514"/>
      <c r="N39" s="2514"/>
      <c r="O39" s="2514"/>
      <c r="P39" s="2514"/>
      <c r="Q39" s="2514"/>
    </row>
    <row r="40" spans="1:17" s="25" customFormat="1" ht="20.100000000000001" customHeight="1">
      <c r="A40" s="2577"/>
      <c r="B40" s="2536" t="s">
        <v>4079</v>
      </c>
      <c r="C40" s="2526" t="e">
        <f ca="1">($D$33+ICOM)-($C$39+$E$39/2)*(($D$33+$D$32/2)/2-ICOM)/$E$40</f>
        <v>#REF!</v>
      </c>
      <c r="D40" s="2536" t="s">
        <v>4163</v>
      </c>
      <c r="E40" s="2526" t="e">
        <f ca="1">Impeller_W+$C$39+$E$39/2</f>
        <v>#REF!</v>
      </c>
      <c r="J40" s="2519"/>
      <c r="K40" s="13"/>
      <c r="M40" s="13"/>
      <c r="N40" s="13"/>
      <c r="O40" s="13"/>
      <c r="P40" s="13"/>
      <c r="Q40" s="13"/>
    </row>
    <row r="41" spans="1:17" s="25" customFormat="1" ht="20.100000000000001" customHeight="1">
      <c r="A41" s="2577"/>
      <c r="B41" s="2536" t="s">
        <v>4075</v>
      </c>
      <c r="C41" s="3145" t="e">
        <f ca="1">1/8*$C$39*(($D$37/2000)^2+1/3*($D$33/1000)^2)+1/8*1/2*$E$39*(($D$37/2000)^2+1/3*(1/2*$D$32/1000)^2)+($C$39+$E$39/2)*(1/2*$D$32/1000/2-$D$33/1000/2)^2</f>
        <v>#REF!</v>
      </c>
      <c r="D41" s="2516" t="s">
        <v>4076</v>
      </c>
      <c r="E41" s="3146" t="e">
        <f ca="1">($C$39+$E$39)/2*($D$37/2/1000)^2</f>
        <v>#REF!</v>
      </c>
      <c r="J41" s="3136"/>
      <c r="K41" s="13"/>
      <c r="M41" s="13"/>
      <c r="N41" s="13"/>
      <c r="O41" s="13"/>
      <c r="P41" s="13"/>
      <c r="Q41" s="13"/>
    </row>
    <row r="42" spans="1:17" s="25" customFormat="1" ht="20.100000000000001" customHeight="1">
      <c r="A42" s="2577"/>
      <c r="B42" s="2526" t="s">
        <v>4077</v>
      </c>
      <c r="C42" s="3135" t="e">
        <f ca="1">Imoi_1+$C$41+$E$40*($C$40/1000)^2</f>
        <v>#REF!</v>
      </c>
      <c r="D42" s="2516" t="s">
        <v>4078</v>
      </c>
      <c r="E42" s="3151" t="e">
        <f ca="1">Imoi_3+$E$41</f>
        <v>#REF!</v>
      </c>
      <c r="F42" s="2517" t="s">
        <v>4081</v>
      </c>
      <c r="G42" s="2558">
        <f>MATCH($D$37,'Axle &amp; Accessories Specs'!$A$151:$A$254,0)</f>
        <v>12</v>
      </c>
      <c r="H42" s="2559"/>
      <c r="I42" s="2559"/>
      <c r="J42" s="2560"/>
      <c r="K42" s="13"/>
      <c r="M42" s="13"/>
      <c r="N42" s="13"/>
      <c r="O42" s="13"/>
      <c r="P42" s="13"/>
      <c r="Q42" s="13"/>
    </row>
    <row r="43" spans="1:17" s="25" customFormat="1" ht="20.100000000000001" customHeight="1">
      <c r="A43" s="2579"/>
      <c r="B43" s="2538" t="s">
        <v>4161</v>
      </c>
      <c r="C43" s="3150" t="e">
        <f ca="1">$E$40*$C$40/1000*($D$33+ICOM)/1000/2+Imoi_1+$C$41</f>
        <v>#REF!</v>
      </c>
      <c r="D43" s="2538" t="s">
        <v>4162</v>
      </c>
      <c r="E43" s="2855" t="e">
        <f ca="1">$E$40*(($D$33+ICOM)/1000/2)^2+Imoi_1+$C$41</f>
        <v>#REF!</v>
      </c>
      <c r="F43" s="2526" t="s">
        <v>2653</v>
      </c>
      <c r="G43" s="2539">
        <f>IF(Forced_REG_B,$N$3,INDEX(Possible_REG_Bearings,$G$42+1,COLUMN(C$1)))</f>
        <v>0</v>
      </c>
      <c r="H43" s="2540">
        <f>INDEX(Possible_REG_Bearings,$G$42+1,COLUMN(D$1))</f>
        <v>0</v>
      </c>
      <c r="I43" s="2541">
        <f>INDEX(Possible_REG_Bearings,$G$42+1,COLUMN(E$1))</f>
        <v>0</v>
      </c>
      <c r="J43" s="2542">
        <f>INDEX(Possible_REG_Bearings,$G$42+1,COLUMN(F$1))</f>
        <v>0</v>
      </c>
      <c r="K43" s="13"/>
      <c r="L43" s="13"/>
      <c r="M43" s="13"/>
      <c r="N43" s="13"/>
    </row>
    <row r="44" spans="1:17" ht="20.100000000000001" customHeight="1">
      <c r="A44" s="2579"/>
      <c r="B44" s="2536" t="s">
        <v>4164</v>
      </c>
      <c r="C44" s="3135" t="e">
        <f ca="1">PI()/64*E_Nmm2*10^6*($D$37/1000)^4/(1/3*$D$32/1000+1/2*($D$33/1000+ICOM/1000))</f>
        <v>#REF!</v>
      </c>
      <c r="D44" s="2536" t="s">
        <v>4165</v>
      </c>
      <c r="E44" s="3135" t="e">
        <f ca="1">PI()/64*E_Nmm2*10^6*($D$37/1000)^4/(1/3*D$32/1000+($D$33/1000+ICOM/1000))</f>
        <v>#REF!</v>
      </c>
      <c r="F44" s="2526" t="s">
        <v>2666</v>
      </c>
      <c r="G44" s="2544">
        <f>IF(G$43=0,0,IF(Forced_REG_B,0,INDEX(Possible_REG_Bearings,$G$42,COLUMN(C$1))))</f>
        <v>0</v>
      </c>
      <c r="H44" s="2545">
        <f>IF(H$43=0,0,INDEX(Possible_REG_Bearings,$G$42,COLUMN(D$1)))</f>
        <v>0</v>
      </c>
      <c r="I44" s="2526">
        <f>IF(I$43=0,0,INDEX(Possible_REG_Bearings,$G$42,COLUMN(E$1)))</f>
        <v>0</v>
      </c>
      <c r="J44" s="2546">
        <f>IF(J$43=0,0,INDEX(Possible_REG_Bearings,$G$42,COLUMN(F$1)))</f>
        <v>0</v>
      </c>
    </row>
    <row r="45" spans="1:17" ht="20.100000000000001" customHeight="1">
      <c r="A45" s="2579"/>
      <c r="B45" s="25" t="s">
        <v>4166</v>
      </c>
      <c r="C45" s="2586" t="e">
        <f ca="1">SQRT(1-4*$C$44*$E$44*($C$42*$E$43-$C$43^2)/($E$44*$C$42+$C$44*$E$43)^2)</f>
        <v>#REF!</v>
      </c>
      <c r="D45" s="2526" t="s">
        <v>4167</v>
      </c>
      <c r="E45" s="2526" t="e">
        <f ca="1">SQRT(1/2*($E$44*$C$42+$C$44*$E$43)/($C$42*$E$43-$C$43^2))</f>
        <v>#REF!</v>
      </c>
      <c r="F45" s="2536" t="s">
        <v>1777</v>
      </c>
      <c r="G45" s="2547">
        <f>IF(G$43=0,0,IF(Forced_REG_B,$N$27,INDEX(Possible_REG_Bearings,$G$42+2,COLUMN(C$1))))</f>
        <v>0</v>
      </c>
      <c r="H45" s="2545">
        <f>IF(H$43=0,0,INDEX(Possible_REG_Bearings,$G$42+2,COLUMN(D$1)))</f>
        <v>0</v>
      </c>
      <c r="I45" s="2526">
        <f>IF(I$43=0,0,INDEX(Possible_REG_Bearings,$G$42+2,COLUMN(E$1)))</f>
        <v>0</v>
      </c>
      <c r="J45" s="2546">
        <f>IF(J$43=0,0,INDEX(Possible_REG_Bearings,$G$42+2,COLUMN(F$1)))</f>
        <v>0</v>
      </c>
      <c r="L45" s="2855"/>
    </row>
    <row r="46" spans="1:17" ht="20.100000000000001" customHeight="1">
      <c r="A46" s="2577" t="s">
        <v>4082</v>
      </c>
      <c r="B46" s="2528" t="e">
        <f ca="1">MIN($E$45*SQRT(1-$C$45),$E$45*SQRT(1+$C$45))</f>
        <v>#REF!</v>
      </c>
      <c r="C46" s="17" t="e">
        <f ca="1">$B46/(2*PI())</f>
        <v>#REF!</v>
      </c>
      <c r="D46" s="2532" t="e">
        <f ca="1">IF($D$26=0,0,60*$C46)</f>
        <v>#REF!</v>
      </c>
      <c r="E46" s="2528" t="s">
        <v>186</v>
      </c>
      <c r="F46" s="2536" t="s">
        <v>2648</v>
      </c>
      <c r="G46" s="2549">
        <f>IF(Forced_REG_B,$N$7,IF(G$43=0,MIN_REG_H1,VLOOKUP($F46,REG_B_Specs,G$44,FALSE)))</f>
        <v>60</v>
      </c>
      <c r="H46" s="2545">
        <f t="shared" ref="H46:J46" si="0">IF(H$43=0,0,VLOOKUP($F46,REG_B_Specs,H$44,FALSE))</f>
        <v>0</v>
      </c>
      <c r="I46" s="2536">
        <f t="shared" si="0"/>
        <v>0</v>
      </c>
      <c r="J46" s="2550">
        <f t="shared" si="0"/>
        <v>0</v>
      </c>
      <c r="K46" s="25"/>
      <c r="L46" s="25"/>
      <c r="M46" s="2536"/>
      <c r="N46" s="2548"/>
    </row>
    <row r="47" spans="1:17" ht="20.100000000000001" customHeight="1">
      <c r="A47" s="2579"/>
      <c r="C47" s="2526" t="s">
        <v>4168</v>
      </c>
      <c r="D47" s="3145" t="e">
        <f ca="1">$B$46^2*$C$42</f>
        <v>#REF!</v>
      </c>
      <c r="E47" s="2531"/>
      <c r="F47" s="2536" t="s">
        <v>2649</v>
      </c>
      <c r="G47" s="2551">
        <f>IF(Forced_REG_B,$N$11,IF(G$43=0,MIN_REG_N1,VLOOKUP($F47,REG_B_Specs,G$44,FALSE)))</f>
        <v>15</v>
      </c>
      <c r="H47" s="2552">
        <f t="shared" ref="H47:J48" si="1">IF(H$43=0,0,VLOOKUP($F47,REG_B_Specs,MATCH(H$43,REG_Bearing_Type,0),FALSE))</f>
        <v>0</v>
      </c>
      <c r="I47" s="2528">
        <f t="shared" si="1"/>
        <v>0</v>
      </c>
      <c r="J47" s="2529">
        <f t="shared" si="1"/>
        <v>0</v>
      </c>
      <c r="K47" s="25"/>
      <c r="L47" s="1794"/>
      <c r="M47" s="1794"/>
      <c r="N47" s="25"/>
    </row>
    <row r="48" spans="1:17" ht="20.100000000000001" customHeight="1" thickBot="1">
      <c r="A48" s="3137" t="s">
        <v>4080</v>
      </c>
      <c r="B48" s="2554" t="e">
        <f ca="1">IF($D$26=0,0,$B$46*SQRT(1+$E$42^2*(RPM*2*PI()/60)^2/(4*$D$47*$C$42)))</f>
        <v>#REF!</v>
      </c>
      <c r="C48" s="23" t="e">
        <f ca="1">$B48/(2*PI())</f>
        <v>#REF!</v>
      </c>
      <c r="D48" s="2602" t="e">
        <f ca="1">IF($D$26=0,0,60*$C48)</f>
        <v>#REF!</v>
      </c>
      <c r="E48" s="3138" t="s">
        <v>186</v>
      </c>
      <c r="F48" s="2553" t="s">
        <v>1412</v>
      </c>
      <c r="G48" s="2555">
        <f>IF(Forced_REG_B,$N$9,IF(G$43=0,MIN_REG_BHW,VLOOKUP($F48,REG_B_Specs,G$44,FALSE)))</f>
        <v>60</v>
      </c>
      <c r="H48" s="2556">
        <f t="shared" si="1"/>
        <v>0</v>
      </c>
      <c r="I48" s="2554">
        <f t="shared" si="1"/>
        <v>0</v>
      </c>
      <c r="J48" s="2557">
        <f t="shared" si="1"/>
        <v>0</v>
      </c>
    </row>
    <row r="49" spans="1:17" ht="20.100000000000001" customHeight="1" thickBot="1">
      <c r="A49" s="2584" t="s">
        <v>74</v>
      </c>
      <c r="B49" s="782"/>
      <c r="C49" s="782"/>
      <c r="D49" s="782"/>
      <c r="E49" s="782"/>
      <c r="F49" s="782"/>
      <c r="G49" s="782"/>
      <c r="H49" s="782"/>
      <c r="I49" s="782"/>
      <c r="J49" s="787"/>
      <c r="L49" s="25"/>
      <c r="M49" s="25"/>
    </row>
    <row r="50" spans="1:17" ht="20.100000000000001" customHeight="1">
      <c r="A50" s="2587" t="s">
        <v>116</v>
      </c>
      <c r="B50" s="15"/>
      <c r="C50" s="15"/>
      <c r="D50" s="15"/>
      <c r="E50" s="268"/>
      <c r="F50" s="268"/>
      <c r="G50" s="269"/>
      <c r="H50" s="270"/>
      <c r="I50" s="14"/>
      <c r="J50" s="34"/>
      <c r="L50" s="25"/>
      <c r="M50" s="25"/>
    </row>
    <row r="51" spans="1:17" ht="20.100000000000001" customHeight="1">
      <c r="A51" s="2588" t="s">
        <v>341</v>
      </c>
      <c r="B51" s="274"/>
      <c r="C51" s="275"/>
      <c r="D51" s="273" t="str">
        <f>$D$1</f>
        <v>Minimum</v>
      </c>
      <c r="E51" s="271"/>
      <c r="F51" s="271"/>
      <c r="G51" s="271"/>
      <c r="H51" s="271"/>
      <c r="I51" s="271"/>
      <c r="J51" s="42"/>
      <c r="L51" s="25"/>
      <c r="M51" s="25"/>
    </row>
    <row r="52" spans="1:17" ht="20.100000000000001" customHeight="1">
      <c r="A52" s="2577" t="s">
        <v>0</v>
      </c>
      <c r="B52" s="35"/>
      <c r="C52" s="17"/>
      <c r="D52" s="1348">
        <f>G$43</f>
        <v>0</v>
      </c>
      <c r="E52" s="1351">
        <f>H$43</f>
        <v>0</v>
      </c>
      <c r="F52" s="41">
        <f t="shared" ref="F52:G52" si="2">I$43</f>
        <v>0</v>
      </c>
      <c r="G52" s="41">
        <f t="shared" si="2"/>
        <v>0</v>
      </c>
      <c r="H52" s="2005"/>
      <c r="I52" s="40"/>
      <c r="J52" s="42"/>
    </row>
    <row r="53" spans="1:17" s="25" customFormat="1" ht="20.100000000000001" customHeight="1">
      <c r="A53" s="2577" t="s">
        <v>309</v>
      </c>
      <c r="B53" s="35"/>
      <c r="C53" s="17"/>
      <c r="D53" s="1349">
        <f>IF(D$52=0,0,IF(Forced_REG_B,N4,IF(D$52=0,0,VLOOKUP($A53,REG_B_Specs,G$44,FALSE))))</f>
        <v>0</v>
      </c>
      <c r="E53" s="1326">
        <f>IF(E$52=0,0,VLOOKUP($A53,REG_B_Specs,H$44,FALSE))</f>
        <v>0</v>
      </c>
      <c r="F53" s="20">
        <f>IF(F$52=0,0,VLOOKUP($A53,REG_B_Specs,I$44,FALSE))</f>
        <v>0</v>
      </c>
      <c r="G53" s="20">
        <f>IF(G$52=0,0,VLOOKUP($A53,REG_B_Specs,J$44,FALSE))</f>
        <v>0</v>
      </c>
      <c r="H53" s="794"/>
      <c r="I53" s="17"/>
      <c r="J53" s="19"/>
      <c r="K53" s="13"/>
      <c r="L53" s="13"/>
      <c r="M53" s="13"/>
      <c r="N53" s="13"/>
      <c r="O53" s="13"/>
      <c r="P53" s="13"/>
      <c r="Q53" s="13"/>
    </row>
    <row r="54" spans="1:17" s="25" customFormat="1" ht="20.100000000000001" customHeight="1">
      <c r="A54" s="2577" t="s">
        <v>48</v>
      </c>
      <c r="B54" s="35"/>
      <c r="C54" s="17"/>
      <c r="D54" s="1349">
        <f>IF(D$52=0,0,G$45)</f>
        <v>0</v>
      </c>
      <c r="E54" s="1326">
        <f>H$45</f>
        <v>0</v>
      </c>
      <c r="F54" s="20">
        <f t="shared" ref="F54:G54" si="3">I$45</f>
        <v>0</v>
      </c>
      <c r="G54" s="20">
        <f t="shared" si="3"/>
        <v>0</v>
      </c>
      <c r="H54" s="794" t="s">
        <v>225</v>
      </c>
      <c r="I54" s="17"/>
      <c r="J54" s="19"/>
      <c r="L54" s="13"/>
      <c r="M54" s="13"/>
      <c r="N54" s="13"/>
      <c r="O54" s="13"/>
      <c r="P54" s="13"/>
      <c r="Q54" s="13"/>
    </row>
    <row r="55" spans="1:17" s="25" customFormat="1" ht="20.100000000000001" customHeight="1">
      <c r="A55" s="2577" t="s">
        <v>226</v>
      </c>
      <c r="B55" s="35"/>
      <c r="C55" s="17"/>
      <c r="D55" s="1349">
        <f>IF(D$52=0,0,IF(Forced_REG_B,N21,VLOOKUP($A55,REG_B_Specs,G$44,FALSE)))</f>
        <v>0</v>
      </c>
      <c r="E55" s="1326">
        <f>IF(E$52=0,0,VLOOKUP($A55,REG_B_Specs,H$44,FALSE))</f>
        <v>0</v>
      </c>
      <c r="F55" s="20">
        <f>IF(F$52=0,0,VLOOKUP($A55,REG_B_Specs,I$44,FALSE))</f>
        <v>0</v>
      </c>
      <c r="G55" s="20">
        <f>IF(G$52=0,0,VLOOKUP($A55,REG_B_Specs,J$44,FALSE))</f>
        <v>0</v>
      </c>
      <c r="H55" s="794" t="s">
        <v>227</v>
      </c>
      <c r="I55" s="17"/>
      <c r="J55" s="19"/>
      <c r="K55" s="20"/>
      <c r="L55" s="13"/>
      <c r="M55" s="13"/>
      <c r="N55" s="13"/>
      <c r="O55" s="13"/>
      <c r="P55" s="13"/>
      <c r="Q55" s="13"/>
    </row>
    <row r="56" spans="1:17" s="25" customFormat="1" ht="20.100000000000001" customHeight="1">
      <c r="A56" s="2517" t="s">
        <v>1767</v>
      </c>
      <c r="B56" s="13"/>
      <c r="C56" s="13"/>
      <c r="D56" s="1350">
        <f>IF(D$52=0,0,G47)</f>
        <v>0</v>
      </c>
      <c r="E56" s="1354">
        <f>IF(E$52=0,0,H$47)</f>
        <v>0</v>
      </c>
      <c r="F56" s="1355">
        <f t="shared" ref="F56:G56" si="4">IF(F$52=0,0,I$47)</f>
        <v>0</v>
      </c>
      <c r="G56" s="1355">
        <f t="shared" si="4"/>
        <v>0</v>
      </c>
      <c r="H56" s="794" t="s">
        <v>136</v>
      </c>
      <c r="I56" s="17"/>
      <c r="J56" s="19"/>
      <c r="K56" s="20"/>
      <c r="L56" s="13"/>
      <c r="M56" s="13"/>
      <c r="N56" s="13"/>
      <c r="O56" s="13"/>
      <c r="P56" s="13"/>
      <c r="Q56" s="13"/>
    </row>
    <row r="57" spans="1:17" s="25" customFormat="1" ht="20.100000000000001" customHeight="1">
      <c r="A57" s="2586" t="s">
        <v>1748</v>
      </c>
      <c r="B57" s="35" t="s">
        <v>1749</v>
      </c>
      <c r="C57" s="20"/>
      <c r="D57" s="17">
        <f>IF($D$52=0,0,$D$27)</f>
        <v>0</v>
      </c>
      <c r="E57" s="17" t="s">
        <v>136</v>
      </c>
      <c r="F57" s="36"/>
      <c r="G57" s="36"/>
      <c r="I57" s="13"/>
      <c r="J57" s="19"/>
      <c r="K57" s="20"/>
      <c r="L57" s="13"/>
      <c r="M57" s="13"/>
      <c r="N57" s="13"/>
      <c r="O57" s="13"/>
      <c r="P57" s="13"/>
      <c r="Q57" s="13"/>
    </row>
    <row r="58" spans="1:17" s="25" customFormat="1" ht="20.100000000000001" customHeight="1">
      <c r="A58" s="2586" t="s">
        <v>1754</v>
      </c>
      <c r="B58" s="17" t="s">
        <v>1750</v>
      </c>
      <c r="C58" s="17"/>
      <c r="D58" s="36">
        <f>IF($D$52=0,0,$D$29)</f>
        <v>0</v>
      </c>
      <c r="E58" s="17" t="s">
        <v>136</v>
      </c>
      <c r="F58" s="17"/>
      <c r="G58" s="36"/>
      <c r="J58" s="19"/>
      <c r="K58" s="20"/>
      <c r="L58" s="13"/>
      <c r="M58" s="13"/>
      <c r="N58" s="13"/>
      <c r="O58" s="13"/>
      <c r="P58" s="13"/>
      <c r="Q58" s="13"/>
    </row>
    <row r="59" spans="1:17" s="25" customFormat="1" ht="20.100000000000001" customHeight="1">
      <c r="A59" s="2586" t="s">
        <v>1755</v>
      </c>
      <c r="B59" s="17" t="s">
        <v>1751</v>
      </c>
      <c r="C59" s="17"/>
      <c r="D59" s="36">
        <f>IF($D$52=0,0,$D$30)</f>
        <v>0</v>
      </c>
      <c r="E59" s="17" t="s">
        <v>136</v>
      </c>
      <c r="F59" s="17"/>
      <c r="G59" s="36"/>
      <c r="J59" s="19"/>
      <c r="K59" s="20"/>
      <c r="L59" s="13"/>
      <c r="M59" s="13"/>
      <c r="N59" s="13"/>
      <c r="O59" s="13"/>
      <c r="P59" s="13"/>
      <c r="Q59" s="13"/>
    </row>
    <row r="60" spans="1:17" ht="20.100000000000001" customHeight="1">
      <c r="A60" s="2586" t="s">
        <v>1756</v>
      </c>
      <c r="B60" s="17" t="s">
        <v>1752</v>
      </c>
      <c r="C60" s="17"/>
      <c r="D60" s="36">
        <f>IF($D$52=0,0,$D$31)</f>
        <v>0</v>
      </c>
      <c r="E60" s="17" t="s">
        <v>136</v>
      </c>
      <c r="F60" s="17"/>
      <c r="G60" s="36"/>
      <c r="H60" s="25"/>
      <c r="I60" s="25"/>
      <c r="J60" s="19"/>
      <c r="K60" s="20"/>
      <c r="O60" s="17"/>
      <c r="P60" s="17"/>
    </row>
    <row r="61" spans="1:17" ht="20.100000000000001" customHeight="1">
      <c r="A61" s="2577" t="s">
        <v>41</v>
      </c>
      <c r="B61" s="17" t="s">
        <v>1280</v>
      </c>
      <c r="C61" s="17"/>
      <c r="D61" s="36">
        <f>IF($D$52=0,0,$D$32)</f>
        <v>0</v>
      </c>
      <c r="E61" s="17" t="s">
        <v>136</v>
      </c>
      <c r="F61" s="17"/>
      <c r="G61" s="17"/>
      <c r="H61" s="25"/>
      <c r="I61" s="17"/>
      <c r="J61" s="19"/>
      <c r="K61" s="20"/>
      <c r="O61" s="17"/>
      <c r="P61" s="17"/>
    </row>
    <row r="62" spans="1:17" ht="20.100000000000001" customHeight="1">
      <c r="A62" s="2577" t="s">
        <v>1273</v>
      </c>
      <c r="B62" s="17" t="s">
        <v>1278</v>
      </c>
      <c r="C62" s="17"/>
      <c r="D62" s="36">
        <f>IF($D$52=0,0,$D$33)</f>
        <v>0</v>
      </c>
      <c r="E62" s="17" t="s">
        <v>136</v>
      </c>
      <c r="F62" s="36"/>
      <c r="G62" s="17"/>
      <c r="H62" s="25"/>
      <c r="I62" s="25"/>
      <c r="J62" s="19"/>
      <c r="K62" s="20"/>
      <c r="O62" s="17"/>
      <c r="P62" s="17"/>
    </row>
    <row r="63" spans="1:17" ht="20.100000000000001" customHeight="1">
      <c r="A63" s="2586" t="s">
        <v>1274</v>
      </c>
      <c r="B63" s="17" t="s">
        <v>1279</v>
      </c>
      <c r="C63" s="20"/>
      <c r="D63" s="20">
        <f>$D$57+$D$58</f>
        <v>0</v>
      </c>
      <c r="E63" s="17" t="s">
        <v>136</v>
      </c>
      <c r="F63" s="36"/>
      <c r="G63" s="17"/>
      <c r="H63" s="25"/>
      <c r="I63" s="17"/>
      <c r="J63" s="19"/>
      <c r="K63" s="20"/>
      <c r="N63" s="17"/>
      <c r="O63" s="17"/>
      <c r="P63" s="17"/>
    </row>
    <row r="64" spans="1:17" ht="20.100000000000001" customHeight="1">
      <c r="A64" s="2577" t="s">
        <v>71</v>
      </c>
      <c r="B64" s="35"/>
      <c r="C64" s="17"/>
      <c r="D64" s="20">
        <f>IF($D$52=0,0,$D$57+$D$58+$D$60+$D$61)</f>
        <v>0</v>
      </c>
      <c r="E64" s="17" t="s">
        <v>136</v>
      </c>
      <c r="F64" s="20"/>
      <c r="G64" s="20"/>
      <c r="I64" s="17"/>
      <c r="J64" s="19"/>
      <c r="K64" s="17"/>
      <c r="L64" s="17"/>
      <c r="M64" s="17"/>
      <c r="N64" s="17"/>
      <c r="O64" s="17"/>
      <c r="P64" s="17"/>
    </row>
    <row r="65" spans="1:16" ht="20.100000000000001" customHeight="1">
      <c r="A65" s="2589"/>
      <c r="B65" s="41" t="s">
        <v>2670</v>
      </c>
      <c r="C65" s="41" t="s">
        <v>4154</v>
      </c>
      <c r="D65" s="41"/>
      <c r="E65" s="41"/>
      <c r="F65" s="41"/>
      <c r="G65" s="41" t="s">
        <v>2670</v>
      </c>
      <c r="H65" s="41" t="s">
        <v>4154</v>
      </c>
      <c r="I65" s="41"/>
      <c r="J65" s="3141"/>
      <c r="K65" s="17"/>
      <c r="L65" s="17"/>
      <c r="M65" s="17"/>
      <c r="N65" s="17"/>
      <c r="O65" s="17"/>
      <c r="P65" s="17"/>
    </row>
    <row r="66" spans="1:16" ht="20.100000000000001" customHeight="1">
      <c r="A66" s="2577" t="s">
        <v>4082</v>
      </c>
      <c r="B66" s="20" t="e">
        <f ca="1">B46</f>
        <v>#REF!</v>
      </c>
      <c r="C66" s="17" t="e">
        <f ca="1">C46</f>
        <v>#REF!</v>
      </c>
      <c r="D66" s="17" t="e">
        <f ca="1">D46</f>
        <v>#REF!</v>
      </c>
      <c r="E66" s="17" t="s">
        <v>186</v>
      </c>
      <c r="F66" s="17" t="s">
        <v>4083</v>
      </c>
      <c r="G66" s="13" t="e">
        <f ca="1">B48</f>
        <v>#REF!</v>
      </c>
      <c r="H66" s="13" t="e">
        <f ca="1">C48</f>
        <v>#REF!</v>
      </c>
      <c r="I66" s="13" t="e">
        <f ca="1">D48</f>
        <v>#REF!</v>
      </c>
      <c r="J66" s="19" t="s">
        <v>186</v>
      </c>
      <c r="K66" s="17"/>
      <c r="L66" s="17"/>
      <c r="M66" s="17"/>
      <c r="N66" s="17"/>
      <c r="O66" s="17"/>
    </row>
    <row r="67" spans="1:16" ht="20.100000000000001" customHeight="1" thickBot="1">
      <c r="A67" s="2517"/>
      <c r="F67" s="17"/>
      <c r="G67" s="23"/>
      <c r="H67" s="22"/>
      <c r="I67" s="23"/>
      <c r="J67" s="24"/>
      <c r="K67" s="17"/>
      <c r="L67" s="17"/>
      <c r="M67" s="17"/>
      <c r="N67" s="17"/>
    </row>
    <row r="68" spans="1:16" ht="20.100000000000001" customHeight="1">
      <c r="A68" s="2590" t="s">
        <v>1141</v>
      </c>
      <c r="B68" s="112"/>
      <c r="C68" s="112"/>
      <c r="D68" s="112"/>
      <c r="E68" s="113"/>
      <c r="F68" s="112"/>
      <c r="G68" s="112"/>
      <c r="H68" s="112"/>
      <c r="I68" s="112"/>
      <c r="J68" s="114"/>
      <c r="L68" s="17"/>
      <c r="M68" s="3782" t="s">
        <v>2581</v>
      </c>
      <c r="N68" s="3783"/>
    </row>
    <row r="69" spans="1:16" ht="20.100000000000001" customHeight="1">
      <c r="A69" s="2577" t="s">
        <v>288</v>
      </c>
      <c r="D69" s="20">
        <f>IF($N69&lt;&gt;0,$N69,IF($D52=0,0,INDEX(Coupling_Selection,MATCH("OK",Coupling_OK,0),2)))</f>
        <v>0</v>
      </c>
      <c r="E69" s="20"/>
      <c r="F69" s="20" t="s">
        <v>2650</v>
      </c>
      <c r="G69" s="20">
        <f>IF($D52=0,0,INDEX(Coupling_Selection,MATCH("OK",Coupling_OK,0),1))</f>
        <v>0</v>
      </c>
      <c r="H69" s="20"/>
      <c r="I69" s="20"/>
      <c r="J69" s="45"/>
      <c r="L69" s="17"/>
      <c r="M69" s="1190" t="s">
        <v>288</v>
      </c>
      <c r="N69" s="1191">
        <v>0</v>
      </c>
    </row>
    <row r="70" spans="1:16" ht="20.100000000000001" customHeight="1">
      <c r="A70" s="2577" t="s">
        <v>123</v>
      </c>
      <c r="D70" s="20">
        <f>IF($N70&lt;&gt;0,$N70,IF($D52=0,0,INDEX(Coupling_Selection,$G$69,3)))</f>
        <v>0</v>
      </c>
      <c r="E70" s="35" t="s">
        <v>232</v>
      </c>
      <c r="F70" s="20"/>
      <c r="G70" s="20"/>
      <c r="H70" s="20"/>
      <c r="I70" s="20"/>
      <c r="J70" s="45"/>
      <c r="L70" s="17"/>
      <c r="M70" s="1190" t="s">
        <v>123</v>
      </c>
      <c r="N70" s="1191">
        <v>0</v>
      </c>
    </row>
    <row r="71" spans="1:16" ht="20.100000000000001" customHeight="1">
      <c r="A71" s="2577" t="s">
        <v>122</v>
      </c>
      <c r="D71" s="20">
        <f>IF($N71&lt;&gt;0,$N71,IF($D52=0,0,INDEX(Coupling_Selection,$G$69,4)))</f>
        <v>0</v>
      </c>
      <c r="E71" s="35" t="s">
        <v>134</v>
      </c>
      <c r="F71" s="20"/>
      <c r="G71" s="20"/>
      <c r="H71" s="20"/>
      <c r="I71" s="20"/>
      <c r="J71" s="45"/>
      <c r="M71" s="1190" t="s">
        <v>122</v>
      </c>
      <c r="N71" s="1191">
        <v>0</v>
      </c>
    </row>
    <row r="72" spans="1:16" ht="20.100000000000001" customHeight="1">
      <c r="A72" s="2577" t="s">
        <v>121</v>
      </c>
      <c r="D72" s="20">
        <f>IF($N72&lt;&gt;0,$N72,IF($D52=0,0,INDEX(Coupling_Selection,$G$69,5)))</f>
        <v>0</v>
      </c>
      <c r="E72" s="35" t="s">
        <v>136</v>
      </c>
      <c r="F72" s="20"/>
      <c r="G72" s="20"/>
      <c r="H72" s="20"/>
      <c r="I72" s="20"/>
      <c r="J72" s="45"/>
      <c r="K72" s="17"/>
      <c r="M72" s="1190" t="s">
        <v>121</v>
      </c>
      <c r="N72" s="1191">
        <v>0</v>
      </c>
      <c r="P72" s="17"/>
    </row>
    <row r="73" spans="1:16" ht="20.100000000000001" customHeight="1">
      <c r="A73" s="2577" t="s">
        <v>1275</v>
      </c>
      <c r="B73" s="35"/>
      <c r="C73" s="17"/>
      <c r="D73" s="37">
        <f>IF($D52=0,0,$D$74+$D$60)</f>
        <v>0</v>
      </c>
      <c r="E73" s="17" t="s">
        <v>136</v>
      </c>
      <c r="H73" s="20"/>
      <c r="I73" s="20"/>
      <c r="J73" s="45"/>
      <c r="K73" s="17"/>
      <c r="M73" s="1413"/>
      <c r="N73" s="1414"/>
      <c r="O73" s="17"/>
      <c r="P73" s="17"/>
    </row>
    <row r="74" spans="1:16" ht="20.100000000000001" customHeight="1">
      <c r="A74" s="2577" t="s">
        <v>1757</v>
      </c>
      <c r="B74" s="35"/>
      <c r="C74" s="17"/>
      <c r="D74" s="36">
        <f>IF($N74&lt;&gt;0,$N74,IF($D52=0,0,IF(ISERROR($D$69),$D$58,ROUNDUP(INDEX(Coupling_Selection,$G$69,11)/5,0)*5)+MAX(0,(IF(ISERROR(VLOOKUP($D$52,REG_B_constr_data,$G$74,FALSE)),0,VLOOKUP($D$52,REG_B_constr_data,$G$74,FALSE)/2-$D$60)))))</f>
        <v>0</v>
      </c>
      <c r="E74" s="17" t="s">
        <v>136</v>
      </c>
      <c r="F74" s="20" t="s">
        <v>2650</v>
      </c>
      <c r="G74" s="20">
        <f>MATCH("A",'Bearing Data'!$A$2:$M$2,0)</f>
        <v>12</v>
      </c>
      <c r="H74" s="20"/>
      <c r="I74" s="20"/>
      <c r="J74" s="45"/>
      <c r="K74" s="17"/>
      <c r="M74" s="38" t="s">
        <v>1757</v>
      </c>
      <c r="N74" s="1399">
        <v>0</v>
      </c>
      <c r="O74" s="17"/>
      <c r="P74" s="17"/>
    </row>
    <row r="75" spans="1:16" ht="20.100000000000001" customHeight="1" thickBot="1">
      <c r="A75" s="2577" t="s">
        <v>2517</v>
      </c>
      <c r="B75" s="35"/>
      <c r="C75" s="17"/>
      <c r="D75" s="20">
        <f>IF($N75&lt;&gt;0,$N75,IF($D52=0,0,INDEX(Coupling_Selection,$G$69,9)))</f>
        <v>0</v>
      </c>
      <c r="E75" s="17" t="s">
        <v>136</v>
      </c>
      <c r="F75" s="20"/>
      <c r="H75" s="20"/>
      <c r="I75" s="20"/>
      <c r="J75" s="45"/>
      <c r="K75" s="17"/>
      <c r="M75" s="1192" t="s">
        <v>2517</v>
      </c>
      <c r="N75" s="1193">
        <v>0</v>
      </c>
      <c r="O75" s="17"/>
      <c r="P75" s="17"/>
    </row>
    <row r="76" spans="1:16" ht="20.100000000000001" customHeight="1" thickBot="1">
      <c r="A76" s="2581"/>
      <c r="B76" s="22"/>
      <c r="C76" s="22"/>
      <c r="D76" s="22"/>
      <c r="E76" s="22"/>
      <c r="F76" s="22"/>
      <c r="G76" s="22"/>
      <c r="H76" s="22"/>
      <c r="I76" s="22"/>
      <c r="J76" s="111"/>
      <c r="K76" s="17"/>
      <c r="O76" s="17"/>
      <c r="P76" s="17"/>
    </row>
    <row r="77" spans="1:16" ht="20.100000000000001" customHeight="1">
      <c r="A77" s="2590" t="s">
        <v>1848</v>
      </c>
      <c r="B77" s="33"/>
      <c r="C77" s="29"/>
      <c r="D77" s="33"/>
      <c r="E77" s="29"/>
      <c r="F77" s="29"/>
      <c r="G77" s="29"/>
      <c r="H77" s="29"/>
      <c r="I77" s="29"/>
      <c r="J77" s="838"/>
      <c r="K77" s="17"/>
    </row>
    <row r="78" spans="1:16" ht="20.100000000000001" customHeight="1">
      <c r="A78" s="2577" t="s">
        <v>50</v>
      </c>
      <c r="B78" s="35" t="s">
        <v>43</v>
      </c>
      <c r="C78" s="17"/>
      <c r="D78" s="20">
        <f>$D$37</f>
        <v>45</v>
      </c>
      <c r="E78" s="17" t="s">
        <v>136</v>
      </c>
      <c r="F78" s="20" t="s">
        <v>304</v>
      </c>
      <c r="G78" s="848">
        <f>IF(D78=0,0,10^3*Impeller_W*g*(D62/1000+ICOM/1000)^2*((D62/1000+ICOM/1000)+D61/1000)/(3*E_Nmm2*10^6*PI()/64*(D78/1000)^4))</f>
        <v>1.7341785570957006E-2</v>
      </c>
      <c r="H78" s="40" t="s">
        <v>224</v>
      </c>
      <c r="I78" s="849">
        <f>IF(D78=0,0,3*PI()/64*E_Nmm2*10^6*(D78/1000)^4/((Fan_Max_rpm*2*PI()/60)^2*Impeller_W*(D62/1000+ICOM/1000)^2*((D62/1000+ICOM/1000)+D61/1000)))</f>
        <v>5.7298416239474461</v>
      </c>
      <c r="J78" s="19"/>
      <c r="K78" s="17"/>
      <c r="L78" s="17"/>
      <c r="M78" s="17"/>
      <c r="N78" s="17"/>
    </row>
    <row r="79" spans="1:16" ht="20.100000000000001" customHeight="1">
      <c r="A79" s="2591" t="s">
        <v>49</v>
      </c>
      <c r="B79" s="35"/>
      <c r="C79" s="17"/>
      <c r="D79" s="20"/>
      <c r="E79" s="17"/>
      <c r="F79" s="20"/>
      <c r="G79" s="240"/>
      <c r="H79" s="17"/>
      <c r="I79" s="239"/>
      <c r="J79" s="19"/>
      <c r="K79" s="17"/>
      <c r="L79" s="17"/>
      <c r="M79" s="17"/>
      <c r="N79" s="17"/>
    </row>
    <row r="80" spans="1:16" ht="20.100000000000001" customHeight="1">
      <c r="A80" s="2591" t="s">
        <v>2754</v>
      </c>
      <c r="B80" s="35"/>
      <c r="C80" s="17"/>
      <c r="D80" s="20"/>
      <c r="E80" s="17"/>
      <c r="F80" s="20"/>
      <c r="G80" s="240"/>
      <c r="H80" s="17"/>
      <c r="I80" s="239"/>
      <c r="J80" s="19"/>
      <c r="K80" s="17"/>
      <c r="L80" s="17"/>
      <c r="M80" s="17"/>
      <c r="N80" s="17"/>
    </row>
    <row r="81" spans="1:12" ht="20.100000000000001" customHeight="1">
      <c r="A81" s="2592"/>
      <c r="B81" s="35"/>
      <c r="C81" s="17"/>
      <c r="D81" s="20"/>
      <c r="E81" s="17"/>
      <c r="F81" s="20"/>
      <c r="G81" s="240"/>
      <c r="H81" s="17"/>
      <c r="I81" s="239"/>
      <c r="J81" s="19"/>
      <c r="K81" s="17"/>
      <c r="L81" s="17"/>
    </row>
    <row r="82" spans="1:12" ht="20.100000000000001" customHeight="1">
      <c r="A82" s="2591"/>
      <c r="B82" s="35"/>
      <c r="C82" s="17"/>
      <c r="D82" s="20"/>
      <c r="E82" s="17"/>
      <c r="F82" s="20"/>
      <c r="G82" s="240"/>
      <c r="H82" s="17"/>
      <c r="I82" s="239"/>
      <c r="J82" s="19"/>
      <c r="K82" s="17"/>
      <c r="L82" s="17"/>
    </row>
    <row r="83" spans="1:12" ht="20.100000000000001" customHeight="1">
      <c r="A83" s="2592"/>
      <c r="B83" s="35"/>
      <c r="C83" s="17"/>
      <c r="D83" s="20"/>
      <c r="E83" s="17"/>
      <c r="F83" s="20"/>
      <c r="G83" s="240"/>
      <c r="H83" s="17"/>
      <c r="I83" s="239"/>
      <c r="J83" s="19"/>
      <c r="K83" s="17"/>
      <c r="L83" s="17"/>
    </row>
    <row r="84" spans="1:12" ht="20.100000000000001" customHeight="1">
      <c r="A84" s="2592"/>
      <c r="B84" s="35"/>
      <c r="C84" s="17"/>
      <c r="D84" s="20"/>
      <c r="E84" s="17"/>
      <c r="F84" s="20"/>
      <c r="G84" s="240"/>
      <c r="H84" s="17"/>
      <c r="I84" s="239"/>
      <c r="J84" s="19"/>
      <c r="K84" s="17"/>
      <c r="L84" s="17"/>
    </row>
    <row r="85" spans="1:12" ht="20.100000000000001" customHeight="1">
      <c r="A85" s="2591" t="s">
        <v>2750</v>
      </c>
      <c r="B85" s="35"/>
      <c r="C85" s="17"/>
      <c r="D85" s="20"/>
      <c r="E85" s="17"/>
      <c r="F85" s="20"/>
      <c r="G85" s="240"/>
      <c r="H85" s="17"/>
      <c r="I85" s="239"/>
      <c r="J85" s="19"/>
      <c r="K85" s="17"/>
      <c r="L85" s="17"/>
    </row>
    <row r="86" spans="1:12" ht="20.100000000000001" customHeight="1">
      <c r="A86" s="2592"/>
      <c r="B86" s="35"/>
      <c r="C86" s="17"/>
      <c r="D86" s="20"/>
      <c r="E86" s="17"/>
      <c r="F86" s="20"/>
      <c r="G86" s="240"/>
      <c r="H86" s="17"/>
      <c r="I86" s="239"/>
      <c r="J86" s="19"/>
      <c r="K86" s="17"/>
      <c r="L86" s="17"/>
    </row>
    <row r="87" spans="1:12" ht="20.100000000000001" customHeight="1">
      <c r="A87" s="2592"/>
      <c r="B87" s="35"/>
      <c r="C87" s="17"/>
      <c r="D87" s="20"/>
      <c r="E87" s="17"/>
      <c r="F87" s="20"/>
      <c r="G87" s="240"/>
      <c r="H87" s="17"/>
      <c r="I87" s="239"/>
      <c r="J87" s="19"/>
      <c r="K87" s="17"/>
      <c r="L87" s="17"/>
    </row>
    <row r="88" spans="1:12" ht="20.100000000000001" customHeight="1">
      <c r="A88" s="2592"/>
      <c r="B88" s="35"/>
      <c r="C88" s="17"/>
      <c r="D88" s="20"/>
      <c r="E88" s="17"/>
      <c r="F88" s="20"/>
      <c r="G88" s="240"/>
      <c r="H88" s="17"/>
      <c r="I88" s="239"/>
      <c r="J88" s="19"/>
      <c r="K88" s="17"/>
      <c r="L88" s="17"/>
    </row>
    <row r="89" spans="1:12" ht="20.100000000000001" customHeight="1">
      <c r="A89" s="2593" t="s">
        <v>1850</v>
      </c>
      <c r="B89" s="35"/>
      <c r="C89" s="17"/>
      <c r="D89" s="20"/>
      <c r="E89" s="17"/>
      <c r="F89" s="20"/>
      <c r="G89" s="240"/>
      <c r="H89" s="17"/>
      <c r="I89" s="239"/>
      <c r="J89" s="19"/>
    </row>
    <row r="90" spans="1:12" ht="20.100000000000001" customHeight="1" thickBot="1">
      <c r="A90" s="2581"/>
      <c r="B90" s="22"/>
      <c r="C90" s="23"/>
      <c r="D90" s="22"/>
      <c r="E90" s="43"/>
      <c r="F90" s="23"/>
      <c r="G90" s="23"/>
      <c r="H90" s="23"/>
      <c r="I90" s="23"/>
      <c r="J90" s="24"/>
    </row>
    <row r="91" spans="1:12" ht="20.100000000000001" customHeight="1">
      <c r="A91" s="2594"/>
      <c r="B91" s="17"/>
      <c r="C91" s="17"/>
      <c r="D91" s="17"/>
      <c r="E91" s="17"/>
      <c r="F91" s="17"/>
      <c r="G91" s="17"/>
      <c r="H91" s="17"/>
      <c r="I91" s="17"/>
      <c r="J91" s="17"/>
    </row>
    <row r="92" spans="1:12" ht="20.100000000000001" customHeight="1">
      <c r="A92" s="2594"/>
      <c r="B92" s="17"/>
      <c r="C92" s="17"/>
      <c r="D92" s="17"/>
      <c r="E92" s="17"/>
      <c r="F92" s="17"/>
      <c r="G92" s="17"/>
      <c r="H92" s="17"/>
      <c r="I92" s="17"/>
      <c r="J92" s="17"/>
    </row>
    <row r="93" spans="1:12" ht="20.100000000000001" customHeight="1">
      <c r="A93" s="2586"/>
      <c r="B93" s="20"/>
      <c r="C93" s="17"/>
      <c r="D93" s="17"/>
      <c r="E93" s="17"/>
      <c r="F93" s="17"/>
      <c r="G93" s="20"/>
      <c r="H93" s="17"/>
      <c r="I93" s="17"/>
      <c r="J93" s="17"/>
    </row>
    <row r="94" spans="1:12" ht="20.100000000000001" customHeight="1">
      <c r="A94" s="2586"/>
      <c r="B94" s="20"/>
      <c r="C94" s="17"/>
      <c r="D94" s="17"/>
      <c r="E94" s="17"/>
      <c r="F94" s="17"/>
      <c r="G94" s="20"/>
      <c r="H94" s="17"/>
      <c r="I94" s="17"/>
      <c r="J94" s="17"/>
    </row>
    <row r="95" spans="1:12" ht="20.100000000000001" customHeight="1">
      <c r="A95" s="2586"/>
      <c r="B95" s="20"/>
      <c r="C95" s="17"/>
      <c r="D95" s="17"/>
      <c r="E95" s="17"/>
      <c r="F95" s="17"/>
      <c r="G95" s="17"/>
      <c r="H95" s="17"/>
      <c r="I95" s="17"/>
      <c r="J95" s="17"/>
    </row>
    <row r="96" spans="1:12" ht="20.100000000000001" customHeight="1">
      <c r="A96" s="2586"/>
      <c r="B96" s="20"/>
      <c r="C96" s="17"/>
      <c r="D96" s="17"/>
      <c r="E96" s="17"/>
      <c r="F96" s="17"/>
      <c r="G96" s="17"/>
      <c r="H96" s="17"/>
      <c r="I96" s="17"/>
      <c r="J96" s="17"/>
    </row>
    <row r="97" spans="1:10" ht="20.100000000000001" customHeight="1">
      <c r="A97" s="2594"/>
      <c r="B97" s="17"/>
      <c r="C97" s="17"/>
      <c r="D97" s="17"/>
      <c r="E97" s="17"/>
      <c r="F97" s="17"/>
      <c r="G97" s="17"/>
      <c r="H97" s="17"/>
      <c r="I97" s="17"/>
      <c r="J97" s="17"/>
    </row>
    <row r="98" spans="1:10" ht="20.100000000000001" customHeight="1">
      <c r="A98" s="2594"/>
      <c r="B98" s="17"/>
      <c r="C98" s="17"/>
      <c r="D98" s="17"/>
      <c r="E98" s="17"/>
      <c r="F98" s="17"/>
      <c r="G98" s="17"/>
      <c r="H98" s="17"/>
      <c r="I98" s="17"/>
      <c r="J98" s="17"/>
    </row>
    <row r="99" spans="1:10" ht="20.100000000000001" customHeight="1">
      <c r="A99" s="2586"/>
      <c r="B99" s="20"/>
      <c r="C99" s="17"/>
      <c r="D99" s="17"/>
      <c r="E99" s="18"/>
      <c r="F99" s="17"/>
      <c r="G99" s="17"/>
      <c r="H99" s="17"/>
      <c r="I99" s="17"/>
      <c r="J99" s="17"/>
    </row>
    <row r="100" spans="1:10" ht="20.100000000000001" customHeight="1">
      <c r="A100" s="2586"/>
      <c r="B100" s="20"/>
      <c r="C100" s="17"/>
      <c r="D100" s="17"/>
      <c r="E100" s="18"/>
      <c r="F100" s="17"/>
      <c r="G100" s="17"/>
      <c r="H100" s="17"/>
      <c r="I100" s="17"/>
      <c r="J100" s="17"/>
    </row>
    <row r="101" spans="1:10" ht="20.100000000000001" customHeight="1">
      <c r="A101" s="2586"/>
      <c r="B101" s="20"/>
      <c r="C101" s="17"/>
      <c r="D101" s="17"/>
      <c r="E101" s="18"/>
      <c r="F101" s="17"/>
      <c r="G101" s="17"/>
      <c r="H101" s="17"/>
      <c r="I101" s="17"/>
      <c r="J101" s="17"/>
    </row>
    <row r="102" spans="1:10" ht="20.100000000000001" customHeight="1">
      <c r="A102" s="2586"/>
      <c r="B102" s="20"/>
      <c r="C102" s="17"/>
      <c r="D102" s="17"/>
      <c r="E102" s="17"/>
      <c r="F102" s="17"/>
      <c r="G102" s="17"/>
      <c r="H102" s="17"/>
      <c r="I102" s="17"/>
      <c r="J102" s="17"/>
    </row>
    <row r="103" spans="1:10" ht="20.100000000000001" customHeight="1">
      <c r="A103" s="2586"/>
      <c r="B103" s="20"/>
      <c r="C103" s="20"/>
      <c r="D103" s="20"/>
      <c r="E103" s="18"/>
      <c r="F103" s="17"/>
      <c r="G103" s="17"/>
      <c r="H103" s="17"/>
      <c r="I103" s="17"/>
      <c r="J103" s="17"/>
    </row>
    <row r="104" spans="1:10" ht="20.100000000000001" customHeight="1">
      <c r="A104" s="2586"/>
      <c r="B104" s="20"/>
      <c r="C104" s="20"/>
      <c r="D104" s="20"/>
      <c r="E104" s="17"/>
      <c r="F104" s="17"/>
      <c r="G104" s="17"/>
      <c r="H104" s="17"/>
      <c r="I104" s="17"/>
      <c r="J104" s="17"/>
    </row>
    <row r="105" spans="1:10" ht="20.100000000000001" customHeight="1">
      <c r="A105" s="2586"/>
      <c r="B105" s="20"/>
      <c r="C105" s="17"/>
      <c r="D105" s="17"/>
      <c r="E105" s="18"/>
      <c r="F105" s="17"/>
      <c r="G105" s="17"/>
      <c r="H105" s="17"/>
      <c r="I105" s="17"/>
      <c r="J105" s="17"/>
    </row>
    <row r="106" spans="1:10" ht="20.100000000000001" customHeight="1">
      <c r="A106" s="2586"/>
      <c r="B106" s="20"/>
      <c r="C106" s="17"/>
      <c r="D106" s="17"/>
      <c r="E106" s="17"/>
      <c r="F106" s="17"/>
      <c r="G106" s="17"/>
      <c r="H106" s="17"/>
      <c r="I106" s="17"/>
      <c r="J106" s="17"/>
    </row>
    <row r="107" spans="1:10" ht="20.100000000000001" customHeight="1">
      <c r="A107" s="2586"/>
      <c r="B107" s="20"/>
      <c r="C107" s="17"/>
      <c r="D107" s="17"/>
      <c r="E107" s="17"/>
      <c r="F107" s="17"/>
      <c r="G107" s="17"/>
      <c r="H107" s="17"/>
      <c r="I107" s="17"/>
      <c r="J107" s="17"/>
    </row>
    <row r="108" spans="1:10" ht="20.100000000000001" customHeight="1">
      <c r="A108" s="2594"/>
      <c r="B108" s="17"/>
      <c r="C108" s="17"/>
      <c r="D108" s="17"/>
      <c r="E108" s="17"/>
      <c r="F108" s="17"/>
      <c r="G108" s="17"/>
      <c r="H108" s="17"/>
      <c r="I108" s="17"/>
      <c r="J108" s="17"/>
    </row>
    <row r="109" spans="1:10" ht="20.100000000000001" customHeight="1">
      <c r="A109" s="2594"/>
      <c r="B109" s="17"/>
      <c r="C109" s="17"/>
      <c r="D109" s="17"/>
      <c r="E109" s="17"/>
      <c r="F109" s="17"/>
      <c r="G109" s="17"/>
      <c r="H109" s="17"/>
      <c r="I109" s="17"/>
      <c r="J109" s="17"/>
    </row>
    <row r="110" spans="1:10" ht="20.100000000000001" customHeight="1">
      <c r="A110" s="2586"/>
      <c r="B110" s="20"/>
      <c r="C110" s="17"/>
      <c r="D110" s="17"/>
      <c r="E110" s="17"/>
      <c r="F110" s="17"/>
      <c r="G110" s="20"/>
      <c r="H110" s="17"/>
      <c r="I110" s="17"/>
      <c r="J110" s="17"/>
    </row>
    <row r="111" spans="1:10" ht="20.100000000000001" customHeight="1">
      <c r="A111" s="2586"/>
      <c r="B111" s="20"/>
      <c r="C111" s="17"/>
      <c r="D111" s="17"/>
      <c r="E111" s="17"/>
      <c r="F111" s="17"/>
      <c r="G111" s="20"/>
      <c r="H111" s="17"/>
      <c r="I111" s="17"/>
      <c r="J111" s="17"/>
    </row>
    <row r="112" spans="1:10" ht="20.100000000000001" customHeight="1">
      <c r="A112" s="2586"/>
      <c r="B112" s="20"/>
      <c r="C112" s="17"/>
      <c r="D112" s="17"/>
      <c r="E112" s="17"/>
      <c r="F112" s="17"/>
      <c r="G112" s="17"/>
      <c r="H112" s="17"/>
      <c r="I112" s="17"/>
      <c r="J112" s="17"/>
    </row>
    <row r="113" spans="1:15" ht="20.100000000000001" customHeight="1">
      <c r="A113" s="2586"/>
      <c r="B113" s="20"/>
      <c r="C113" s="17"/>
      <c r="D113" s="17"/>
      <c r="E113" s="17"/>
      <c r="F113" s="17"/>
      <c r="G113" s="17"/>
      <c r="H113" s="17"/>
      <c r="I113" s="17"/>
      <c r="J113" s="17"/>
    </row>
    <row r="114" spans="1:15" ht="20.100000000000001" customHeight="1">
      <c r="A114" s="2594"/>
      <c r="B114" s="17"/>
      <c r="C114" s="17"/>
      <c r="D114" s="17"/>
      <c r="E114" s="17"/>
      <c r="F114" s="17"/>
      <c r="G114" s="17"/>
      <c r="H114" s="17"/>
      <c r="I114" s="17"/>
      <c r="J114" s="17"/>
    </row>
    <row r="115" spans="1:15" ht="20.100000000000001" customHeight="1">
      <c r="A115" s="2594"/>
      <c r="B115" s="17"/>
      <c r="C115" s="17"/>
      <c r="D115" s="17"/>
      <c r="E115" s="17"/>
      <c r="F115" s="17"/>
      <c r="G115" s="17"/>
      <c r="H115" s="17"/>
      <c r="I115" s="17"/>
      <c r="J115" s="17"/>
      <c r="O115" s="17"/>
    </row>
    <row r="116" spans="1:15" ht="20.100000000000001" customHeight="1">
      <c r="A116" s="2586"/>
      <c r="B116" s="20"/>
      <c r="C116" s="17"/>
      <c r="D116" s="17"/>
      <c r="E116" s="18"/>
      <c r="F116" s="17"/>
      <c r="G116" s="17"/>
      <c r="H116" s="17"/>
      <c r="I116" s="17"/>
      <c r="J116" s="17"/>
      <c r="O116" s="17"/>
    </row>
    <row r="117" spans="1:15" ht="20.100000000000001" customHeight="1">
      <c r="A117" s="2586"/>
      <c r="B117" s="20"/>
      <c r="C117" s="17"/>
      <c r="D117" s="17"/>
      <c r="E117" s="18"/>
      <c r="F117" s="17"/>
      <c r="G117" s="17"/>
      <c r="H117" s="17"/>
      <c r="I117" s="17"/>
      <c r="J117" s="17"/>
      <c r="O117" s="17"/>
    </row>
    <row r="118" spans="1:15" ht="20.100000000000001" customHeight="1">
      <c r="A118" s="2586"/>
      <c r="B118" s="20"/>
      <c r="C118" s="17"/>
      <c r="D118" s="17"/>
      <c r="E118" s="18"/>
      <c r="F118" s="17"/>
      <c r="G118" s="17"/>
      <c r="H118" s="17"/>
      <c r="I118" s="17"/>
      <c r="J118" s="17"/>
      <c r="O118" s="17"/>
    </row>
    <row r="119" spans="1:15" ht="20.100000000000001" customHeight="1">
      <c r="A119" s="2586"/>
      <c r="B119" s="20"/>
      <c r="C119" s="17"/>
      <c r="D119" s="17"/>
      <c r="E119" s="17"/>
      <c r="F119" s="17"/>
      <c r="G119" s="17"/>
      <c r="H119" s="17"/>
      <c r="I119" s="17"/>
      <c r="J119" s="17"/>
      <c r="O119" s="17"/>
    </row>
    <row r="120" spans="1:15" ht="20.100000000000001" customHeight="1">
      <c r="A120" s="2586"/>
      <c r="B120" s="20"/>
      <c r="C120" s="20"/>
      <c r="D120" s="20"/>
      <c r="E120" s="18"/>
      <c r="F120" s="17"/>
      <c r="G120" s="17"/>
      <c r="H120" s="17"/>
      <c r="I120" s="17"/>
      <c r="J120" s="17"/>
      <c r="O120" s="17"/>
    </row>
    <row r="121" spans="1:15" ht="20.100000000000001" customHeight="1">
      <c r="A121" s="2586"/>
      <c r="B121" s="20"/>
      <c r="C121" s="20"/>
      <c r="D121" s="20"/>
      <c r="E121" s="17"/>
      <c r="F121" s="17"/>
      <c r="G121" s="17"/>
      <c r="H121" s="17"/>
      <c r="I121" s="17"/>
      <c r="J121" s="17"/>
    </row>
    <row r="122" spans="1:15" ht="20.100000000000001" customHeight="1">
      <c r="A122" s="2586"/>
      <c r="B122" s="20"/>
      <c r="C122" s="17"/>
      <c r="D122" s="17"/>
      <c r="E122" s="18"/>
      <c r="F122" s="17"/>
      <c r="G122" s="17"/>
      <c r="H122" s="17"/>
      <c r="I122" s="17"/>
      <c r="J122" s="17"/>
      <c r="M122" s="17"/>
      <c r="N122" s="17"/>
    </row>
    <row r="123" spans="1:15" ht="20.100000000000001" customHeight="1">
      <c r="A123" s="2586"/>
      <c r="B123" s="20"/>
      <c r="C123" s="17"/>
      <c r="D123" s="17"/>
      <c r="E123" s="17"/>
      <c r="F123" s="17"/>
      <c r="G123" s="17"/>
      <c r="H123" s="17"/>
      <c r="I123" s="17"/>
      <c r="J123" s="17"/>
    </row>
    <row r="124" spans="1:15" ht="20.100000000000001" customHeight="1">
      <c r="A124" s="2586"/>
      <c r="B124" s="20"/>
      <c r="C124" s="17"/>
      <c r="D124" s="17"/>
      <c r="E124" s="17"/>
      <c r="F124" s="17"/>
      <c r="G124" s="17"/>
      <c r="H124" s="17"/>
      <c r="I124" s="17"/>
      <c r="J124" s="17"/>
    </row>
    <row r="125" spans="1:15" ht="20.100000000000001" customHeight="1">
      <c r="A125" s="2594"/>
      <c r="B125" s="17"/>
      <c r="C125" s="17"/>
      <c r="D125" s="17"/>
      <c r="E125" s="17"/>
      <c r="F125" s="17"/>
      <c r="G125" s="17"/>
      <c r="H125" s="17"/>
      <c r="I125" s="17"/>
      <c r="J125" s="17"/>
      <c r="K125" s="17"/>
    </row>
    <row r="126" spans="1:15" ht="20.100000000000001" customHeight="1">
      <c r="A126" s="2594"/>
      <c r="B126" s="17"/>
      <c r="C126" s="17"/>
      <c r="D126" s="17"/>
      <c r="E126" s="17"/>
      <c r="F126" s="17"/>
      <c r="G126" s="17"/>
      <c r="H126" s="17"/>
      <c r="I126" s="17"/>
      <c r="J126" s="17"/>
      <c r="L126" s="17"/>
    </row>
    <row r="127" spans="1:15" ht="20.100000000000001" customHeight="1">
      <c r="A127" s="2586"/>
      <c r="B127" s="20"/>
      <c r="C127" s="17"/>
      <c r="D127" s="17"/>
      <c r="E127" s="17"/>
      <c r="F127" s="17"/>
      <c r="G127" s="20"/>
      <c r="H127" s="17"/>
      <c r="I127" s="17"/>
      <c r="J127" s="17"/>
    </row>
    <row r="128" spans="1:15" ht="20.100000000000001" customHeight="1">
      <c r="A128" s="2586"/>
      <c r="B128" s="20"/>
      <c r="C128" s="17"/>
      <c r="D128" s="17"/>
      <c r="E128" s="17"/>
      <c r="F128" s="17"/>
      <c r="G128" s="20"/>
      <c r="H128" s="17"/>
      <c r="I128" s="17"/>
      <c r="J128" s="17"/>
    </row>
    <row r="129" spans="1:10" ht="20.100000000000001" customHeight="1">
      <c r="A129" s="2586"/>
      <c r="B129" s="20"/>
      <c r="C129" s="17"/>
      <c r="D129" s="17"/>
      <c r="E129" s="17"/>
      <c r="F129" s="17"/>
      <c r="G129" s="17"/>
      <c r="H129" s="17"/>
      <c r="I129" s="17"/>
      <c r="J129" s="17"/>
    </row>
    <row r="130" spans="1:10" ht="20.100000000000001" customHeight="1">
      <c r="A130" s="2586"/>
      <c r="B130" s="20"/>
      <c r="C130" s="17"/>
      <c r="D130" s="17"/>
      <c r="E130" s="17"/>
      <c r="F130" s="17"/>
      <c r="G130" s="17"/>
      <c r="H130" s="17"/>
      <c r="I130" s="17"/>
      <c r="J130" s="17"/>
    </row>
    <row r="131" spans="1:10" ht="20.100000000000001" customHeight="1">
      <c r="A131" s="2594"/>
      <c r="B131" s="17"/>
      <c r="C131" s="17"/>
      <c r="D131" s="17"/>
      <c r="E131" s="17"/>
      <c r="F131" s="17"/>
      <c r="G131" s="17"/>
      <c r="H131" s="17"/>
      <c r="I131" s="17"/>
      <c r="J131" s="17"/>
    </row>
    <row r="132" spans="1:10" ht="20.100000000000001" customHeight="1">
      <c r="A132" s="2594"/>
      <c r="B132" s="17"/>
      <c r="C132" s="17"/>
      <c r="D132" s="17"/>
      <c r="E132" s="17"/>
      <c r="F132" s="17"/>
      <c r="G132" s="17"/>
      <c r="H132" s="17"/>
      <c r="I132" s="17"/>
      <c r="J132" s="17"/>
    </row>
    <row r="133" spans="1:10" ht="20.100000000000001" customHeight="1">
      <c r="A133" s="2586"/>
      <c r="B133" s="20"/>
      <c r="C133" s="17"/>
      <c r="D133" s="17"/>
      <c r="E133" s="18"/>
      <c r="F133" s="17"/>
      <c r="G133" s="17"/>
      <c r="H133" s="17"/>
      <c r="I133" s="17"/>
      <c r="J133" s="17"/>
    </row>
    <row r="134" spans="1:10" ht="20.100000000000001" customHeight="1">
      <c r="A134" s="2586"/>
      <c r="B134" s="20"/>
      <c r="C134" s="17"/>
      <c r="D134" s="17"/>
      <c r="E134" s="18"/>
      <c r="F134" s="17"/>
      <c r="G134" s="17"/>
      <c r="H134" s="17"/>
      <c r="I134" s="17"/>
      <c r="J134" s="17"/>
    </row>
    <row r="135" spans="1:10" ht="20.100000000000001" customHeight="1">
      <c r="A135" s="2586"/>
      <c r="B135" s="20"/>
      <c r="C135" s="17"/>
      <c r="D135" s="17"/>
      <c r="E135" s="18"/>
      <c r="F135" s="17"/>
      <c r="G135" s="17"/>
      <c r="H135" s="17"/>
      <c r="I135" s="17"/>
      <c r="J135" s="17"/>
    </row>
    <row r="136" spans="1:10" ht="20.100000000000001" customHeight="1">
      <c r="A136" s="2586"/>
      <c r="B136" s="20"/>
      <c r="C136" s="17"/>
      <c r="D136" s="17"/>
      <c r="E136" s="17"/>
      <c r="F136" s="17"/>
      <c r="G136" s="17"/>
      <c r="H136" s="17"/>
      <c r="I136" s="17"/>
      <c r="J136" s="17"/>
    </row>
    <row r="137" spans="1:10" ht="20.100000000000001" customHeight="1">
      <c r="A137" s="2586"/>
      <c r="B137" s="20"/>
      <c r="C137" s="20"/>
      <c r="D137" s="20"/>
      <c r="E137" s="18"/>
      <c r="F137" s="17"/>
      <c r="G137" s="17"/>
      <c r="H137" s="17"/>
      <c r="I137" s="17"/>
      <c r="J137" s="17"/>
    </row>
    <row r="138" spans="1:10" ht="20.100000000000001" customHeight="1">
      <c r="A138" s="2586"/>
      <c r="B138" s="20"/>
      <c r="C138" s="20"/>
      <c r="D138" s="20"/>
      <c r="E138" s="17"/>
      <c r="F138" s="17"/>
      <c r="G138" s="17"/>
      <c r="H138" s="17"/>
      <c r="I138" s="17"/>
      <c r="J138" s="17"/>
    </row>
    <row r="139" spans="1:10" ht="20.100000000000001" customHeight="1">
      <c r="A139" s="2586"/>
      <c r="B139" s="20"/>
      <c r="C139" s="17"/>
      <c r="D139" s="17"/>
      <c r="E139" s="18"/>
      <c r="F139" s="17"/>
      <c r="G139" s="17"/>
      <c r="H139" s="17"/>
      <c r="I139" s="17"/>
      <c r="J139" s="17"/>
    </row>
    <row r="140" spans="1:10" ht="20.100000000000001" customHeight="1">
      <c r="A140" s="2586"/>
      <c r="B140" s="20"/>
      <c r="C140" s="17"/>
      <c r="D140" s="17"/>
      <c r="E140" s="17"/>
      <c r="F140" s="17"/>
      <c r="G140" s="17"/>
      <c r="H140" s="17"/>
      <c r="I140" s="17"/>
      <c r="J140" s="17"/>
    </row>
    <row r="141" spans="1:10" ht="20.100000000000001" customHeight="1">
      <c r="A141" s="2586"/>
      <c r="B141" s="20"/>
      <c r="C141" s="17"/>
      <c r="D141" s="17"/>
      <c r="E141" s="17"/>
      <c r="F141" s="17"/>
      <c r="G141" s="17"/>
      <c r="H141" s="17"/>
      <c r="I141" s="17"/>
      <c r="J141" s="17"/>
    </row>
    <row r="142" spans="1:10" ht="20.100000000000001" customHeight="1">
      <c r="A142" s="2594"/>
      <c r="B142" s="17"/>
      <c r="C142" s="17"/>
      <c r="D142" s="17"/>
      <c r="E142" s="17"/>
      <c r="F142" s="17"/>
      <c r="G142" s="17"/>
      <c r="H142" s="17"/>
      <c r="I142" s="17"/>
      <c r="J142" s="17"/>
    </row>
    <row r="143" spans="1:10" ht="20.100000000000001" customHeight="1">
      <c r="A143" s="2594"/>
      <c r="B143" s="17"/>
      <c r="C143" s="17"/>
      <c r="D143" s="17"/>
      <c r="E143" s="17"/>
      <c r="F143" s="17"/>
      <c r="G143" s="17"/>
      <c r="H143" s="17"/>
      <c r="I143" s="17"/>
      <c r="J143" s="17"/>
    </row>
    <row r="144" spans="1:10" ht="20.100000000000001" customHeight="1">
      <c r="A144" s="2586"/>
      <c r="B144" s="20"/>
      <c r="C144" s="17"/>
      <c r="D144" s="17"/>
      <c r="E144" s="17"/>
      <c r="F144" s="17"/>
      <c r="G144" s="20"/>
      <c r="H144" s="17"/>
      <c r="I144" s="17"/>
      <c r="J144" s="17"/>
    </row>
    <row r="145" spans="1:10" ht="20.100000000000001" customHeight="1">
      <c r="A145" s="2586"/>
      <c r="B145" s="20"/>
      <c r="C145" s="17"/>
      <c r="D145" s="17"/>
      <c r="E145" s="17"/>
      <c r="F145" s="17"/>
      <c r="G145" s="20"/>
      <c r="H145" s="17"/>
      <c r="I145" s="17"/>
      <c r="J145" s="17"/>
    </row>
    <row r="146" spans="1:10" ht="20.100000000000001" customHeight="1">
      <c r="A146" s="2586"/>
      <c r="B146" s="20"/>
      <c r="C146" s="17"/>
      <c r="D146" s="17"/>
      <c r="E146" s="17"/>
      <c r="F146" s="17"/>
      <c r="G146" s="17"/>
      <c r="H146" s="17"/>
      <c r="I146" s="17"/>
      <c r="J146" s="17"/>
    </row>
    <row r="147" spans="1:10" ht="20.100000000000001" customHeight="1">
      <c r="A147" s="2586"/>
      <c r="B147" s="20"/>
      <c r="C147" s="17"/>
      <c r="D147" s="17"/>
      <c r="E147" s="17"/>
      <c r="F147" s="17"/>
      <c r="G147" s="17"/>
      <c r="H147" s="17"/>
      <c r="I147" s="17"/>
      <c r="J147" s="17"/>
    </row>
    <row r="148" spans="1:10" ht="20.100000000000001" customHeight="1">
      <c r="A148" s="2594"/>
      <c r="B148" s="17"/>
      <c r="C148" s="17"/>
      <c r="D148" s="17"/>
      <c r="E148" s="17"/>
      <c r="F148" s="17"/>
      <c r="G148" s="17"/>
      <c r="H148" s="17"/>
      <c r="I148" s="17"/>
      <c r="J148" s="17"/>
    </row>
    <row r="149" spans="1:10" ht="20.100000000000001" customHeight="1">
      <c r="A149" s="2594"/>
      <c r="B149" s="17"/>
      <c r="C149" s="17"/>
      <c r="D149" s="17"/>
      <c r="E149" s="17"/>
      <c r="F149" s="17"/>
      <c r="G149" s="17"/>
      <c r="H149" s="17"/>
      <c r="I149" s="17"/>
      <c r="J149" s="17"/>
    </row>
    <row r="150" spans="1:10" ht="20.100000000000001" customHeight="1">
      <c r="A150" s="2594"/>
      <c r="B150" s="17"/>
      <c r="C150" s="17"/>
      <c r="D150" s="17"/>
      <c r="E150" s="17"/>
      <c r="F150" s="17"/>
      <c r="G150" s="17"/>
      <c r="H150" s="17"/>
      <c r="I150" s="17"/>
      <c r="J150" s="17"/>
    </row>
    <row r="151" spans="1:10" ht="20.100000000000001" customHeight="1">
      <c r="A151" s="2594"/>
      <c r="B151" s="17"/>
      <c r="C151" s="17"/>
      <c r="D151" s="17"/>
      <c r="E151" s="17"/>
      <c r="F151" s="17"/>
      <c r="G151" s="17"/>
      <c r="H151" s="17"/>
      <c r="I151" s="17"/>
      <c r="J151" s="17"/>
    </row>
    <row r="152" spans="1:10" ht="20.100000000000001" customHeight="1">
      <c r="A152" s="2594"/>
      <c r="B152" s="17"/>
      <c r="C152" s="17"/>
      <c r="D152" s="17"/>
      <c r="E152" s="17"/>
      <c r="F152" s="17"/>
      <c r="G152" s="17"/>
      <c r="H152" s="17"/>
      <c r="I152" s="17"/>
      <c r="J152" s="17"/>
    </row>
    <row r="153" spans="1:10" ht="20.100000000000001" customHeight="1">
      <c r="A153" s="2594"/>
      <c r="B153" s="17"/>
      <c r="C153" s="17"/>
      <c r="D153" s="17"/>
      <c r="E153" s="17"/>
      <c r="F153" s="17"/>
      <c r="G153" s="17"/>
      <c r="H153" s="17"/>
      <c r="I153" s="17"/>
      <c r="J153" s="17"/>
    </row>
    <row r="154" spans="1:10" ht="20.100000000000001" customHeight="1">
      <c r="A154" s="2594"/>
      <c r="B154" s="17"/>
      <c r="C154" s="17"/>
      <c r="D154" s="17"/>
      <c r="E154" s="17"/>
      <c r="F154" s="17"/>
      <c r="G154" s="17"/>
      <c r="H154" s="17"/>
      <c r="I154" s="17"/>
      <c r="J154" s="17"/>
    </row>
    <row r="155" spans="1:10" ht="20.100000000000001" customHeight="1">
      <c r="A155" s="2594"/>
      <c r="B155" s="17"/>
      <c r="C155" s="17"/>
      <c r="D155" s="17"/>
      <c r="E155" s="17"/>
      <c r="F155" s="17"/>
      <c r="G155" s="17"/>
      <c r="H155" s="17"/>
      <c r="I155" s="17"/>
      <c r="J155" s="17"/>
    </row>
    <row r="156" spans="1:10" ht="20.100000000000001" customHeight="1">
      <c r="A156" s="2594"/>
      <c r="B156" s="17"/>
      <c r="C156" s="17"/>
      <c r="D156" s="17"/>
      <c r="E156" s="17"/>
      <c r="F156" s="17"/>
      <c r="G156" s="17"/>
      <c r="H156" s="17"/>
      <c r="I156" s="17"/>
      <c r="J156" s="17"/>
    </row>
    <row r="157" spans="1:10" ht="20.100000000000001" customHeight="1">
      <c r="A157" s="2594"/>
      <c r="B157" s="17"/>
      <c r="C157" s="17"/>
      <c r="D157" s="17"/>
      <c r="E157" s="17"/>
      <c r="F157" s="17"/>
      <c r="G157" s="17"/>
      <c r="H157" s="17"/>
      <c r="I157" s="17"/>
      <c r="J157" s="17"/>
    </row>
    <row r="158" spans="1:10" ht="20.100000000000001" customHeight="1">
      <c r="A158" s="2594"/>
      <c r="B158" s="17"/>
      <c r="C158" s="17"/>
      <c r="D158" s="17"/>
      <c r="E158" s="17"/>
      <c r="F158" s="17"/>
      <c r="G158" s="17"/>
      <c r="H158" s="17"/>
      <c r="I158" s="17"/>
      <c r="J158" s="17"/>
    </row>
    <row r="159" spans="1:10" ht="20.100000000000001" customHeight="1">
      <c r="A159" s="2594"/>
      <c r="B159" s="17"/>
      <c r="C159" s="17"/>
      <c r="D159" s="17"/>
      <c r="E159" s="17"/>
      <c r="F159" s="17"/>
      <c r="G159" s="17"/>
      <c r="H159" s="17"/>
      <c r="I159" s="17"/>
      <c r="J159" s="17"/>
    </row>
    <row r="160" spans="1:10" ht="20.100000000000001" customHeight="1">
      <c r="A160" s="2594"/>
      <c r="B160" s="17"/>
      <c r="C160" s="17"/>
      <c r="D160" s="17"/>
      <c r="E160" s="17"/>
      <c r="F160" s="17"/>
      <c r="G160" s="17"/>
      <c r="H160" s="17"/>
      <c r="I160" s="17"/>
      <c r="J160" s="17"/>
    </row>
    <row r="161" spans="1:10" ht="20.100000000000001" customHeight="1">
      <c r="A161" s="2594"/>
      <c r="B161" s="17"/>
      <c r="C161" s="17"/>
      <c r="D161" s="17"/>
      <c r="E161" s="17"/>
      <c r="F161" s="17"/>
      <c r="G161" s="17"/>
      <c r="H161" s="17"/>
      <c r="I161" s="17"/>
      <c r="J161" s="17"/>
    </row>
    <row r="162" spans="1:10" ht="20.100000000000001" customHeight="1">
      <c r="A162" s="2594"/>
      <c r="B162" s="17"/>
      <c r="C162" s="17"/>
      <c r="D162" s="17"/>
      <c r="E162" s="17"/>
      <c r="F162" s="17"/>
      <c r="G162" s="17"/>
      <c r="H162" s="17"/>
      <c r="I162" s="17"/>
      <c r="J162" s="17"/>
    </row>
    <row r="163" spans="1:10" ht="20.100000000000001" customHeight="1">
      <c r="A163" s="2594"/>
      <c r="B163" s="17"/>
      <c r="C163" s="17"/>
      <c r="D163" s="17"/>
      <c r="E163" s="17"/>
      <c r="F163" s="17"/>
      <c r="G163" s="17"/>
      <c r="H163" s="17"/>
      <c r="I163" s="17"/>
      <c r="J163" s="17"/>
    </row>
    <row r="164" spans="1:10" ht="20.100000000000001" customHeight="1">
      <c r="A164" s="2594"/>
      <c r="B164" s="17"/>
      <c r="C164" s="17"/>
      <c r="D164" s="17"/>
      <c r="E164" s="17"/>
      <c r="F164" s="17"/>
      <c r="G164" s="17"/>
      <c r="H164" s="17"/>
      <c r="I164" s="17"/>
      <c r="J164" s="17"/>
    </row>
    <row r="165" spans="1:10" ht="20.100000000000001" customHeight="1">
      <c r="A165" s="2594"/>
      <c r="B165" s="17"/>
      <c r="C165" s="17"/>
      <c r="D165" s="17"/>
      <c r="E165" s="17"/>
      <c r="F165" s="17"/>
      <c r="G165" s="17"/>
      <c r="H165" s="17"/>
      <c r="I165" s="17"/>
      <c r="J165" s="17"/>
    </row>
    <row r="166" spans="1:10" ht="20.100000000000001" customHeight="1">
      <c r="A166" s="2594"/>
      <c r="B166" s="17"/>
      <c r="C166" s="17"/>
      <c r="D166" s="17"/>
      <c r="E166" s="17"/>
      <c r="F166" s="17"/>
      <c r="G166" s="17"/>
      <c r="H166" s="17"/>
      <c r="I166" s="17"/>
      <c r="J166" s="17"/>
    </row>
    <row r="167" spans="1:10" ht="20.100000000000001" customHeight="1">
      <c r="A167" s="2594"/>
      <c r="B167" s="17"/>
      <c r="C167" s="17"/>
      <c r="D167" s="17"/>
      <c r="E167" s="17"/>
      <c r="F167" s="17"/>
      <c r="G167" s="17"/>
      <c r="H167" s="17"/>
      <c r="I167" s="17"/>
      <c r="J167" s="17"/>
    </row>
    <row r="168" spans="1:10" ht="20.100000000000001" customHeight="1">
      <c r="A168" s="2594"/>
      <c r="B168" s="17"/>
      <c r="C168" s="17"/>
      <c r="D168" s="17"/>
      <c r="E168" s="17"/>
      <c r="F168" s="17"/>
      <c r="G168" s="17"/>
      <c r="H168" s="17"/>
      <c r="I168" s="17"/>
      <c r="J168" s="17"/>
    </row>
    <row r="169" spans="1:10" ht="20.100000000000001" customHeight="1">
      <c r="A169" s="2594"/>
      <c r="B169" s="17"/>
      <c r="C169" s="17"/>
      <c r="D169" s="17"/>
      <c r="E169" s="17"/>
      <c r="F169" s="17"/>
      <c r="G169" s="17"/>
      <c r="H169" s="17"/>
      <c r="I169" s="17"/>
      <c r="J169" s="17"/>
    </row>
    <row r="170" spans="1:10" ht="20.100000000000001" customHeight="1">
      <c r="A170" s="2594"/>
      <c r="B170" s="17"/>
      <c r="C170" s="17"/>
      <c r="D170" s="17"/>
      <c r="E170" s="17"/>
      <c r="F170" s="17"/>
      <c r="G170" s="17"/>
      <c r="H170" s="17"/>
      <c r="I170" s="17"/>
      <c r="J170" s="17"/>
    </row>
    <row r="171" spans="1:10" ht="20.100000000000001" customHeight="1">
      <c r="A171" s="2594"/>
      <c r="B171" s="17"/>
      <c r="C171" s="17"/>
      <c r="D171" s="17"/>
      <c r="E171" s="17"/>
      <c r="F171" s="17"/>
      <c r="G171" s="17"/>
      <c r="H171" s="17"/>
      <c r="I171" s="17"/>
      <c r="J171" s="17"/>
    </row>
    <row r="172" spans="1:10" ht="20.100000000000001" customHeight="1">
      <c r="A172" s="2594"/>
      <c r="B172" s="17"/>
      <c r="C172" s="17"/>
      <c r="D172" s="17"/>
      <c r="E172" s="17"/>
      <c r="F172" s="17"/>
      <c r="G172" s="17"/>
      <c r="H172" s="17"/>
      <c r="I172" s="17"/>
      <c r="J172" s="17"/>
    </row>
    <row r="173" spans="1:10" ht="20.100000000000001" customHeight="1">
      <c r="A173" s="2594"/>
      <c r="B173" s="17"/>
      <c r="C173" s="17"/>
      <c r="D173" s="17"/>
      <c r="E173" s="17"/>
      <c r="F173" s="17"/>
      <c r="G173" s="17"/>
      <c r="H173" s="17"/>
      <c r="I173" s="17"/>
      <c r="J173" s="17"/>
    </row>
    <row r="174" spans="1:10" ht="20.100000000000001" customHeight="1">
      <c r="A174" s="2594"/>
      <c r="B174" s="17"/>
      <c r="C174" s="17"/>
      <c r="D174" s="17"/>
      <c r="E174" s="17"/>
      <c r="F174" s="17"/>
      <c r="G174" s="17"/>
      <c r="H174" s="17"/>
      <c r="I174" s="17"/>
      <c r="J174" s="17"/>
    </row>
    <row r="175" spans="1:10" ht="20.100000000000001" customHeight="1">
      <c r="A175" s="2594"/>
      <c r="B175" s="17"/>
      <c r="C175" s="17"/>
      <c r="D175" s="17"/>
      <c r="E175" s="17"/>
      <c r="F175" s="17"/>
      <c r="G175" s="17"/>
      <c r="H175" s="17"/>
      <c r="I175" s="17"/>
      <c r="J175" s="17"/>
    </row>
    <row r="176" spans="1:10" ht="20.100000000000001" customHeight="1">
      <c r="A176" s="2594"/>
      <c r="B176" s="17"/>
      <c r="C176" s="17"/>
      <c r="D176" s="17"/>
      <c r="E176" s="17"/>
      <c r="F176" s="17"/>
      <c r="G176" s="17"/>
      <c r="H176" s="17"/>
      <c r="I176" s="17"/>
      <c r="J176" s="17"/>
    </row>
    <row r="177" spans="1:10" ht="20.100000000000001" customHeight="1">
      <c r="A177" s="2594"/>
      <c r="B177" s="17"/>
      <c r="C177" s="17"/>
      <c r="D177" s="17"/>
      <c r="E177" s="17"/>
      <c r="F177" s="17"/>
      <c r="G177" s="17"/>
      <c r="H177" s="17"/>
      <c r="I177" s="17"/>
      <c r="J177" s="17"/>
    </row>
    <row r="178" spans="1:10" ht="20.100000000000001" customHeight="1">
      <c r="A178" s="2594"/>
      <c r="B178" s="17"/>
      <c r="C178" s="17"/>
      <c r="D178" s="17"/>
      <c r="E178" s="17"/>
      <c r="F178" s="17"/>
      <c r="G178" s="17"/>
      <c r="H178" s="17"/>
      <c r="I178" s="17"/>
      <c r="J178" s="17"/>
    </row>
    <row r="179" spans="1:10" ht="20.100000000000001" customHeight="1">
      <c r="A179" s="2594"/>
      <c r="B179" s="17"/>
      <c r="C179" s="17"/>
      <c r="D179" s="17"/>
      <c r="E179" s="17"/>
      <c r="F179" s="17"/>
      <c r="G179" s="17"/>
      <c r="H179" s="17"/>
      <c r="I179" s="17"/>
      <c r="J179" s="17"/>
    </row>
    <row r="180" spans="1:10" ht="20.100000000000001" customHeight="1">
      <c r="A180" s="2594"/>
      <c r="B180" s="17"/>
      <c r="C180" s="17"/>
      <c r="D180" s="17"/>
      <c r="E180" s="17"/>
      <c r="F180" s="17"/>
      <c r="G180" s="17"/>
      <c r="H180" s="17"/>
      <c r="I180" s="17"/>
      <c r="J180" s="17"/>
    </row>
    <row r="181" spans="1:10" ht="20.100000000000001" customHeight="1">
      <c r="A181" s="2594"/>
      <c r="B181" s="17"/>
      <c r="C181" s="17"/>
      <c r="D181" s="17"/>
      <c r="E181" s="17"/>
      <c r="F181" s="17"/>
      <c r="G181" s="17"/>
      <c r="H181" s="17"/>
      <c r="I181" s="17"/>
      <c r="J181" s="17"/>
    </row>
    <row r="182" spans="1:10" ht="20.100000000000001" customHeight="1">
      <c r="A182" s="2594"/>
      <c r="B182" s="17"/>
      <c r="C182" s="17"/>
      <c r="D182" s="17"/>
      <c r="E182" s="17"/>
      <c r="F182" s="17"/>
      <c r="G182" s="17"/>
      <c r="H182" s="17"/>
      <c r="I182" s="17"/>
      <c r="J182" s="17"/>
    </row>
    <row r="183" spans="1:10" ht="20.100000000000001" customHeight="1">
      <c r="A183" s="2594"/>
      <c r="B183" s="17"/>
      <c r="C183" s="17"/>
      <c r="D183" s="17"/>
      <c r="E183" s="17"/>
      <c r="F183" s="17"/>
      <c r="G183" s="17"/>
      <c r="H183" s="17"/>
      <c r="I183" s="17"/>
      <c r="J183" s="17"/>
    </row>
    <row r="184" spans="1:10" ht="20.100000000000001" customHeight="1">
      <c r="A184" s="2594"/>
      <c r="B184" s="17"/>
      <c r="C184" s="17"/>
      <c r="D184" s="17"/>
      <c r="E184" s="17"/>
      <c r="F184" s="17"/>
      <c r="G184" s="17"/>
      <c r="H184" s="17"/>
      <c r="I184" s="17"/>
      <c r="J184" s="17"/>
    </row>
    <row r="185" spans="1:10" ht="20.100000000000001" customHeight="1">
      <c r="A185" s="2594"/>
      <c r="B185" s="17"/>
      <c r="C185" s="17"/>
      <c r="D185" s="17"/>
      <c r="E185" s="17"/>
      <c r="F185" s="17"/>
      <c r="G185" s="17"/>
      <c r="H185" s="17"/>
      <c r="I185" s="17"/>
      <c r="J185" s="17"/>
    </row>
    <row r="186" spans="1:10" ht="20.100000000000001" customHeight="1">
      <c r="A186" s="2594"/>
      <c r="B186" s="17"/>
      <c r="C186" s="17"/>
      <c r="D186" s="17"/>
      <c r="E186" s="17"/>
      <c r="F186" s="17"/>
      <c r="G186" s="17"/>
      <c r="H186" s="17"/>
      <c r="I186" s="17"/>
      <c r="J186" s="17"/>
    </row>
    <row r="187" spans="1:10" ht="20.100000000000001" customHeight="1">
      <c r="A187" s="2594"/>
      <c r="B187" s="17"/>
      <c r="C187" s="17"/>
      <c r="D187" s="17"/>
      <c r="E187" s="17"/>
      <c r="F187" s="17"/>
      <c r="G187" s="17"/>
      <c r="H187" s="17"/>
      <c r="I187" s="17"/>
      <c r="J187" s="17"/>
    </row>
    <row r="188" spans="1:10" ht="20.100000000000001" customHeight="1">
      <c r="A188" s="2594"/>
      <c r="B188" s="17"/>
      <c r="C188" s="17"/>
      <c r="D188" s="17"/>
      <c r="E188" s="17"/>
      <c r="F188" s="17"/>
      <c r="G188" s="17"/>
      <c r="H188" s="17"/>
      <c r="I188" s="17"/>
      <c r="J188" s="17"/>
    </row>
    <row r="189" spans="1:10" ht="20.100000000000001" customHeight="1">
      <c r="A189" s="2594"/>
      <c r="B189" s="17"/>
      <c r="C189" s="17"/>
      <c r="D189" s="17"/>
      <c r="E189" s="17"/>
      <c r="F189" s="17"/>
      <c r="G189" s="17"/>
      <c r="H189" s="17"/>
      <c r="I189" s="17"/>
      <c r="J189" s="17"/>
    </row>
    <row r="190" spans="1:10" ht="20.100000000000001" customHeight="1">
      <c r="A190" s="2594"/>
      <c r="B190" s="17"/>
      <c r="C190" s="17"/>
      <c r="D190" s="17"/>
      <c r="E190" s="17"/>
      <c r="F190" s="17"/>
      <c r="G190" s="17"/>
      <c r="H190" s="17"/>
      <c r="I190" s="17"/>
      <c r="J190" s="17"/>
    </row>
    <row r="191" spans="1:10" ht="20.100000000000001" customHeight="1">
      <c r="A191" s="2594"/>
      <c r="B191" s="17"/>
      <c r="C191" s="17"/>
      <c r="D191" s="17"/>
      <c r="E191" s="17"/>
      <c r="F191" s="17"/>
      <c r="G191" s="17"/>
      <c r="H191" s="17"/>
      <c r="I191" s="17"/>
      <c r="J191" s="17"/>
    </row>
    <row r="192" spans="1:10" ht="20.100000000000001" customHeight="1">
      <c r="A192" s="2594"/>
      <c r="B192" s="17"/>
      <c r="C192" s="17"/>
      <c r="D192" s="17"/>
      <c r="E192" s="17"/>
      <c r="F192" s="17"/>
      <c r="G192" s="17"/>
      <c r="H192" s="17"/>
      <c r="I192" s="17"/>
      <c r="J192" s="17"/>
    </row>
    <row r="193" spans="1:10" ht="20.100000000000001" customHeight="1">
      <c r="A193" s="2594"/>
      <c r="B193" s="17"/>
      <c r="C193" s="17"/>
      <c r="D193" s="17"/>
      <c r="E193" s="17"/>
      <c r="F193" s="17"/>
      <c r="G193" s="17"/>
      <c r="H193" s="17"/>
      <c r="I193" s="17"/>
      <c r="J193" s="17"/>
    </row>
    <row r="194" spans="1:10" ht="20.100000000000001" customHeight="1">
      <c r="A194" s="2594"/>
      <c r="B194" s="17"/>
      <c r="C194" s="17"/>
      <c r="D194" s="17"/>
      <c r="E194" s="17"/>
      <c r="F194" s="17"/>
      <c r="G194" s="17"/>
      <c r="H194" s="17"/>
      <c r="I194" s="17"/>
      <c r="J194" s="17"/>
    </row>
    <row r="195" spans="1:10" ht="20.100000000000001" customHeight="1">
      <c r="A195" s="2594"/>
      <c r="B195" s="17"/>
      <c r="C195" s="17"/>
      <c r="D195" s="17"/>
      <c r="E195" s="17"/>
      <c r="F195" s="17"/>
      <c r="G195" s="17"/>
      <c r="H195" s="17"/>
      <c r="I195" s="17"/>
      <c r="J195" s="17"/>
    </row>
    <row r="196" spans="1:10" ht="20.100000000000001" customHeight="1">
      <c r="A196" s="2594"/>
      <c r="B196" s="17"/>
      <c r="C196" s="17"/>
      <c r="D196" s="17"/>
      <c r="E196" s="17"/>
      <c r="F196" s="17"/>
      <c r="G196" s="17"/>
      <c r="H196" s="17"/>
      <c r="I196" s="17"/>
      <c r="J196" s="17"/>
    </row>
    <row r="197" spans="1:10" ht="20.100000000000001" customHeight="1">
      <c r="A197" s="2594"/>
      <c r="B197" s="17"/>
      <c r="C197" s="17"/>
      <c r="D197" s="17"/>
      <c r="E197" s="17"/>
      <c r="F197" s="17"/>
      <c r="G197" s="17"/>
      <c r="H197" s="17"/>
      <c r="I197" s="17"/>
      <c r="J197" s="17"/>
    </row>
    <row r="198" spans="1:10" ht="20.100000000000001" customHeight="1">
      <c r="A198" s="2594"/>
      <c r="B198" s="17"/>
      <c r="C198" s="17"/>
      <c r="D198" s="17"/>
      <c r="E198" s="17"/>
      <c r="F198" s="17"/>
      <c r="G198" s="17"/>
      <c r="H198" s="17"/>
      <c r="I198" s="17"/>
      <c r="J198" s="17"/>
    </row>
    <row r="199" spans="1:10" ht="20.100000000000001" customHeight="1">
      <c r="A199" s="2594"/>
      <c r="B199" s="17"/>
      <c r="C199" s="17"/>
      <c r="D199" s="17"/>
      <c r="E199" s="17"/>
      <c r="F199" s="17"/>
      <c r="G199" s="17"/>
      <c r="H199" s="17"/>
      <c r="I199" s="17"/>
      <c r="J199" s="17"/>
    </row>
    <row r="200" spans="1:10" ht="20.100000000000001" customHeight="1">
      <c r="A200" s="2594"/>
      <c r="B200" s="17"/>
      <c r="C200" s="17"/>
      <c r="D200" s="17"/>
      <c r="E200" s="17"/>
      <c r="F200" s="17"/>
      <c r="G200" s="17"/>
      <c r="H200" s="17"/>
      <c r="I200" s="17"/>
      <c r="J200" s="17"/>
    </row>
    <row r="201" spans="1:10" ht="20.100000000000001" customHeight="1">
      <c r="A201" s="2594"/>
      <c r="B201" s="17"/>
      <c r="C201" s="17"/>
      <c r="D201" s="17"/>
      <c r="E201" s="17"/>
      <c r="F201" s="17"/>
      <c r="G201" s="17"/>
      <c r="H201" s="17"/>
      <c r="I201" s="17"/>
      <c r="J201" s="17"/>
    </row>
    <row r="202" spans="1:10" ht="20.100000000000001" customHeight="1">
      <c r="A202" s="2594"/>
      <c r="B202" s="17"/>
      <c r="C202" s="17"/>
      <c r="D202" s="17"/>
      <c r="E202" s="17"/>
      <c r="F202" s="17"/>
      <c r="G202" s="17"/>
      <c r="H202" s="17"/>
      <c r="I202" s="17"/>
      <c r="J202" s="17"/>
    </row>
    <row r="203" spans="1:10" ht="20.100000000000001" customHeight="1">
      <c r="A203" s="2594"/>
      <c r="B203" s="17"/>
      <c r="C203" s="17"/>
      <c r="D203" s="17"/>
      <c r="E203" s="17"/>
      <c r="F203" s="17"/>
      <c r="G203" s="17"/>
      <c r="H203" s="17"/>
      <c r="I203" s="17"/>
      <c r="J203" s="17"/>
    </row>
    <row r="204" spans="1:10" ht="20.100000000000001" customHeight="1">
      <c r="A204" s="2594"/>
      <c r="B204" s="17"/>
      <c r="C204" s="17"/>
      <c r="D204" s="17"/>
      <c r="E204" s="17"/>
      <c r="F204" s="17"/>
      <c r="G204" s="17"/>
      <c r="H204" s="17"/>
      <c r="I204" s="17"/>
      <c r="J204" s="17"/>
    </row>
    <row r="205" spans="1:10" ht="20.100000000000001" customHeight="1">
      <c r="A205" s="2594"/>
      <c r="B205" s="17"/>
      <c r="C205" s="17"/>
      <c r="D205" s="17"/>
      <c r="E205" s="17"/>
      <c r="F205" s="17"/>
      <c r="G205" s="17"/>
      <c r="H205" s="17"/>
      <c r="I205" s="17"/>
      <c r="J205" s="17"/>
    </row>
    <row r="206" spans="1:10" ht="20.100000000000001" customHeight="1">
      <c r="A206" s="2594"/>
      <c r="B206" s="17"/>
      <c r="C206" s="17"/>
      <c r="D206" s="17"/>
      <c r="E206" s="17"/>
      <c r="F206" s="17"/>
      <c r="G206" s="17"/>
      <c r="H206" s="17"/>
      <c r="I206" s="17"/>
      <c r="J206" s="17"/>
    </row>
    <row r="207" spans="1:10" ht="20.100000000000001" customHeight="1">
      <c r="A207" s="2594"/>
      <c r="B207" s="17"/>
      <c r="C207" s="17"/>
      <c r="D207" s="17"/>
      <c r="E207" s="17"/>
      <c r="F207" s="17"/>
      <c r="G207" s="17"/>
      <c r="H207" s="17"/>
      <c r="I207" s="17"/>
      <c r="J207" s="17"/>
    </row>
    <row r="208" spans="1:10" ht="20.100000000000001" customHeight="1">
      <c r="A208" s="2594"/>
      <c r="B208" s="17"/>
      <c r="C208" s="17"/>
      <c r="D208" s="17"/>
      <c r="E208" s="17"/>
      <c r="F208" s="17"/>
      <c r="G208" s="17"/>
      <c r="H208" s="17"/>
      <c r="I208" s="17"/>
      <c r="J208" s="17"/>
    </row>
    <row r="209" spans="1:10" ht="20.100000000000001" customHeight="1">
      <c r="A209" s="2594"/>
      <c r="B209" s="17"/>
      <c r="C209" s="17"/>
      <c r="D209" s="17"/>
      <c r="E209" s="17"/>
      <c r="F209" s="17"/>
      <c r="G209" s="17"/>
      <c r="H209" s="17"/>
      <c r="I209" s="17"/>
      <c r="J209" s="17"/>
    </row>
    <row r="210" spans="1:10" ht="20.100000000000001" customHeight="1">
      <c r="A210" s="2594"/>
      <c r="B210" s="17"/>
      <c r="C210" s="17"/>
      <c r="D210" s="17"/>
      <c r="E210" s="17"/>
      <c r="F210" s="17"/>
      <c r="G210" s="17"/>
      <c r="H210" s="17"/>
      <c r="I210" s="17"/>
      <c r="J210" s="17"/>
    </row>
    <row r="211" spans="1:10" ht="20.100000000000001" customHeight="1">
      <c r="A211" s="2594"/>
      <c r="B211" s="17"/>
      <c r="C211" s="17"/>
      <c r="D211" s="17"/>
      <c r="E211" s="17"/>
      <c r="F211" s="17"/>
      <c r="G211" s="17"/>
      <c r="H211" s="17"/>
      <c r="I211" s="17"/>
      <c r="J211" s="17"/>
    </row>
    <row r="212" spans="1:10" ht="20.100000000000001" customHeight="1">
      <c r="A212" s="2594"/>
      <c r="B212" s="17"/>
      <c r="C212" s="17"/>
      <c r="D212" s="17"/>
      <c r="E212" s="17"/>
      <c r="F212" s="17"/>
      <c r="G212" s="17"/>
      <c r="H212" s="17"/>
      <c r="I212" s="17"/>
      <c r="J212" s="17"/>
    </row>
    <row r="213" spans="1:10" ht="20.100000000000001" customHeight="1">
      <c r="A213" s="2594"/>
      <c r="B213" s="17"/>
      <c r="C213" s="17"/>
      <c r="D213" s="17"/>
      <c r="E213" s="17"/>
      <c r="F213" s="17"/>
      <c r="G213" s="17"/>
      <c r="H213" s="17"/>
      <c r="I213" s="17"/>
      <c r="J213" s="17"/>
    </row>
    <row r="214" spans="1:10" ht="20.100000000000001" customHeight="1">
      <c r="A214" s="2594"/>
      <c r="B214" s="17"/>
      <c r="C214" s="17"/>
      <c r="D214" s="17"/>
      <c r="E214" s="17"/>
      <c r="F214" s="17"/>
      <c r="G214" s="17"/>
      <c r="H214" s="17"/>
      <c r="I214" s="17"/>
      <c r="J214" s="17"/>
    </row>
    <row r="215" spans="1:10" ht="20.100000000000001" customHeight="1">
      <c r="A215" s="2594"/>
      <c r="B215" s="17"/>
      <c r="C215" s="17"/>
      <c r="D215" s="17"/>
      <c r="E215" s="17"/>
      <c r="F215" s="17"/>
      <c r="G215" s="17"/>
      <c r="H215" s="17"/>
      <c r="I215" s="17"/>
      <c r="J215" s="17"/>
    </row>
    <row r="216" spans="1:10" ht="20.100000000000001" customHeight="1">
      <c r="A216" s="2594"/>
      <c r="B216" s="17"/>
      <c r="C216" s="17"/>
      <c r="D216" s="17"/>
      <c r="E216" s="17"/>
      <c r="F216" s="17"/>
      <c r="G216" s="17"/>
      <c r="H216" s="17"/>
      <c r="I216" s="17"/>
      <c r="J216" s="17"/>
    </row>
    <row r="217" spans="1:10" ht="20.100000000000001" customHeight="1">
      <c r="A217" s="2594"/>
      <c r="B217" s="17"/>
      <c r="C217" s="17"/>
      <c r="D217" s="17"/>
      <c r="E217" s="17"/>
      <c r="F217" s="17"/>
      <c r="G217" s="17"/>
      <c r="H217" s="17"/>
      <c r="I217" s="17"/>
      <c r="J217" s="17"/>
    </row>
    <row r="218" spans="1:10" ht="20.100000000000001" customHeight="1">
      <c r="A218" s="2594"/>
      <c r="B218" s="17"/>
      <c r="C218" s="17"/>
      <c r="D218" s="17"/>
      <c r="E218" s="17"/>
      <c r="F218" s="17"/>
      <c r="G218" s="17"/>
      <c r="H218" s="17"/>
      <c r="I218" s="17"/>
      <c r="J218" s="17"/>
    </row>
    <row r="219" spans="1:10" ht="20.100000000000001" customHeight="1">
      <c r="A219" s="2594"/>
      <c r="B219" s="17"/>
      <c r="C219" s="17"/>
      <c r="D219" s="17"/>
      <c r="E219" s="17"/>
      <c r="F219" s="17"/>
      <c r="G219" s="17"/>
      <c r="H219" s="17"/>
      <c r="I219" s="17"/>
      <c r="J219" s="17"/>
    </row>
    <row r="220" spans="1:10" ht="20.100000000000001" customHeight="1">
      <c r="A220" s="2594"/>
      <c r="B220" s="17"/>
      <c r="C220" s="17"/>
      <c r="D220" s="17"/>
      <c r="E220" s="17"/>
      <c r="F220" s="17"/>
      <c r="G220" s="17"/>
      <c r="H220" s="17"/>
      <c r="I220" s="17"/>
      <c r="J220" s="17"/>
    </row>
    <row r="221" spans="1:10" ht="20.100000000000001" customHeight="1">
      <c r="A221" s="2594"/>
      <c r="B221" s="17"/>
      <c r="C221" s="17"/>
      <c r="D221" s="17"/>
      <c r="E221" s="17"/>
      <c r="F221" s="17"/>
      <c r="G221" s="17"/>
      <c r="H221" s="17"/>
      <c r="I221" s="17"/>
      <c r="J221" s="17"/>
    </row>
    <row r="222" spans="1:10" ht="20.100000000000001" customHeight="1">
      <c r="A222" s="2594"/>
      <c r="B222" s="17"/>
      <c r="C222" s="17"/>
      <c r="D222" s="17"/>
      <c r="E222" s="17"/>
      <c r="F222" s="17"/>
      <c r="G222" s="17"/>
      <c r="H222" s="17"/>
      <c r="I222" s="17"/>
      <c r="J222" s="17"/>
    </row>
    <row r="223" spans="1:10" ht="20.100000000000001" customHeight="1">
      <c r="A223" s="2594"/>
      <c r="B223" s="17"/>
      <c r="C223" s="17"/>
      <c r="D223" s="17"/>
      <c r="E223" s="17"/>
      <c r="F223" s="17"/>
      <c r="G223" s="17"/>
      <c r="H223" s="17"/>
      <c r="I223" s="17"/>
      <c r="J223" s="17"/>
    </row>
    <row r="224" spans="1:10" ht="20.100000000000001" customHeight="1">
      <c r="A224" s="2594"/>
      <c r="B224" s="17"/>
      <c r="C224" s="17"/>
      <c r="D224" s="17"/>
      <c r="E224" s="17"/>
      <c r="F224" s="17"/>
      <c r="G224" s="17"/>
      <c r="H224" s="17"/>
      <c r="I224" s="17"/>
      <c r="J224" s="17"/>
    </row>
    <row r="225" spans="1:10" ht="20.100000000000001" customHeight="1">
      <c r="A225" s="2594"/>
      <c r="B225" s="17"/>
      <c r="C225" s="17"/>
      <c r="D225" s="17"/>
      <c r="E225" s="17"/>
      <c r="F225" s="17"/>
      <c r="G225" s="17"/>
      <c r="H225" s="17"/>
      <c r="I225" s="17"/>
      <c r="J225" s="17"/>
    </row>
    <row r="226" spans="1:10" ht="20.100000000000001" customHeight="1">
      <c r="A226" s="2594"/>
      <c r="B226" s="17"/>
      <c r="C226" s="17"/>
      <c r="D226" s="17"/>
      <c r="E226" s="17"/>
      <c r="F226" s="17"/>
      <c r="G226" s="17"/>
      <c r="H226" s="17"/>
      <c r="I226" s="17"/>
      <c r="J226" s="17"/>
    </row>
    <row r="227" spans="1:10" ht="20.100000000000001" customHeight="1">
      <c r="A227" s="2594"/>
      <c r="B227" s="17"/>
      <c r="C227" s="17"/>
      <c r="D227" s="17"/>
      <c r="E227" s="17"/>
      <c r="F227" s="17"/>
      <c r="G227" s="17"/>
      <c r="H227" s="17"/>
      <c r="I227" s="17"/>
      <c r="J227" s="17"/>
    </row>
    <row r="228" spans="1:10" ht="20.100000000000001" customHeight="1">
      <c r="A228" s="2594"/>
      <c r="B228" s="17"/>
      <c r="C228" s="17"/>
      <c r="D228" s="17"/>
      <c r="E228" s="17"/>
      <c r="F228" s="17"/>
      <c r="G228" s="17"/>
      <c r="H228" s="17"/>
      <c r="I228" s="17"/>
      <c r="J228" s="17"/>
    </row>
    <row r="229" spans="1:10" ht="20.100000000000001" customHeight="1">
      <c r="A229" s="2594"/>
      <c r="B229" s="17"/>
      <c r="C229" s="17"/>
      <c r="D229" s="17"/>
      <c r="E229" s="17"/>
      <c r="F229" s="17"/>
      <c r="G229" s="17"/>
      <c r="H229" s="17"/>
      <c r="I229" s="17"/>
      <c r="J229" s="17"/>
    </row>
    <row r="230" spans="1:10" ht="20.100000000000001" customHeight="1">
      <c r="A230" s="2594"/>
      <c r="B230" s="17"/>
      <c r="C230" s="17"/>
      <c r="D230" s="17"/>
      <c r="E230" s="17"/>
      <c r="F230" s="17"/>
      <c r="G230" s="17"/>
      <c r="H230" s="17"/>
      <c r="I230" s="17"/>
      <c r="J230" s="17"/>
    </row>
    <row r="231" spans="1:10" ht="20.100000000000001" customHeight="1">
      <c r="A231" s="2594"/>
      <c r="B231" s="17"/>
      <c r="C231" s="17"/>
      <c r="D231" s="17"/>
      <c r="E231" s="17"/>
      <c r="F231" s="17"/>
      <c r="G231" s="17"/>
      <c r="H231" s="17"/>
      <c r="I231" s="17"/>
      <c r="J231" s="17"/>
    </row>
    <row r="232" spans="1:10" ht="20.100000000000001" customHeight="1">
      <c r="A232" s="2594"/>
      <c r="B232" s="17"/>
      <c r="C232" s="17"/>
      <c r="D232" s="17"/>
      <c r="E232" s="17"/>
      <c r="F232" s="17"/>
      <c r="G232" s="17"/>
      <c r="H232" s="17"/>
      <c r="I232" s="17"/>
      <c r="J232" s="17"/>
    </row>
    <row r="233" spans="1:10" ht="20.100000000000001" customHeight="1">
      <c r="A233" s="2594"/>
      <c r="B233" s="17"/>
      <c r="C233" s="17"/>
      <c r="D233" s="17"/>
      <c r="E233" s="17"/>
      <c r="F233" s="17"/>
      <c r="G233" s="17"/>
      <c r="H233" s="17"/>
      <c r="I233" s="17"/>
      <c r="J233" s="17"/>
    </row>
    <row r="234" spans="1:10" ht="20.100000000000001" customHeight="1">
      <c r="A234" s="2594"/>
      <c r="B234" s="17"/>
      <c r="C234" s="17"/>
      <c r="D234" s="17"/>
      <c r="E234" s="17"/>
      <c r="F234" s="17"/>
      <c r="G234" s="17"/>
      <c r="H234" s="17"/>
      <c r="I234" s="17"/>
      <c r="J234" s="17"/>
    </row>
    <row r="235" spans="1:10" ht="20.100000000000001" customHeight="1">
      <c r="A235" s="2594"/>
      <c r="B235" s="17"/>
      <c r="C235" s="17"/>
      <c r="D235" s="17"/>
      <c r="E235" s="17"/>
      <c r="F235" s="17"/>
      <c r="G235" s="17"/>
      <c r="H235" s="17"/>
      <c r="I235" s="17"/>
      <c r="J235" s="17"/>
    </row>
    <row r="236" spans="1:10" ht="20.100000000000001" customHeight="1">
      <c r="A236" s="2594"/>
      <c r="B236" s="17"/>
      <c r="C236" s="17"/>
      <c r="D236" s="17"/>
      <c r="E236" s="17"/>
      <c r="F236" s="17"/>
      <c r="G236" s="17"/>
      <c r="H236" s="17"/>
      <c r="I236" s="17"/>
      <c r="J236" s="17"/>
    </row>
    <row r="237" spans="1:10" ht="20.100000000000001" customHeight="1">
      <c r="A237" s="2594"/>
      <c r="B237" s="17"/>
      <c r="C237" s="17"/>
      <c r="D237" s="17"/>
      <c r="E237" s="17"/>
      <c r="F237" s="17"/>
      <c r="G237" s="17"/>
      <c r="H237" s="17"/>
      <c r="I237" s="17"/>
      <c r="J237" s="17"/>
    </row>
    <row r="238" spans="1:10" ht="20.100000000000001" customHeight="1">
      <c r="A238" s="2594"/>
      <c r="B238" s="17"/>
      <c r="C238" s="17"/>
      <c r="D238" s="17"/>
      <c r="E238" s="17"/>
      <c r="F238" s="17"/>
      <c r="G238" s="17"/>
      <c r="H238" s="17"/>
      <c r="I238" s="17"/>
      <c r="J238" s="17"/>
    </row>
    <row r="239" spans="1:10" ht="20.100000000000001" customHeight="1">
      <c r="A239" s="2594"/>
      <c r="B239" s="17"/>
      <c r="C239" s="17"/>
      <c r="D239" s="17"/>
      <c r="E239" s="17"/>
      <c r="F239" s="17"/>
      <c r="G239" s="17"/>
      <c r="H239" s="17"/>
      <c r="I239" s="17"/>
      <c r="J239" s="17"/>
    </row>
    <row r="240" spans="1:10" ht="20.100000000000001" customHeight="1">
      <c r="A240" s="2594"/>
      <c r="B240" s="17"/>
      <c r="C240" s="17"/>
      <c r="D240" s="17"/>
      <c r="E240" s="17"/>
      <c r="F240" s="17"/>
      <c r="G240" s="17"/>
      <c r="H240" s="17"/>
      <c r="I240" s="17"/>
      <c r="J240" s="17"/>
    </row>
    <row r="241" spans="1:10" ht="20.100000000000001" customHeight="1">
      <c r="A241" s="2594"/>
      <c r="B241" s="17"/>
      <c r="C241" s="17"/>
      <c r="D241" s="17"/>
      <c r="E241" s="17"/>
      <c r="F241" s="17"/>
      <c r="G241" s="17"/>
      <c r="H241" s="17"/>
      <c r="I241" s="17"/>
      <c r="J241" s="17"/>
    </row>
    <row r="242" spans="1:10" ht="20.100000000000001" customHeight="1">
      <c r="A242" s="2594"/>
      <c r="B242" s="17"/>
      <c r="C242" s="17"/>
      <c r="D242" s="17"/>
      <c r="E242" s="17"/>
      <c r="F242" s="17"/>
      <c r="G242" s="17"/>
      <c r="H242" s="17"/>
      <c r="I242" s="17"/>
      <c r="J242" s="17"/>
    </row>
    <row r="243" spans="1:10" ht="20.100000000000001" customHeight="1">
      <c r="A243" s="2594"/>
      <c r="B243" s="17"/>
      <c r="C243" s="17"/>
      <c r="D243" s="17"/>
      <c r="E243" s="17"/>
      <c r="F243" s="17"/>
      <c r="G243" s="17"/>
      <c r="H243" s="17"/>
      <c r="I243" s="17"/>
      <c r="J243" s="17"/>
    </row>
    <row r="244" spans="1:10" ht="20.100000000000001" customHeight="1">
      <c r="A244" s="2594"/>
      <c r="B244" s="17"/>
      <c r="C244" s="17"/>
      <c r="D244" s="17"/>
      <c r="E244" s="17"/>
      <c r="F244" s="17"/>
      <c r="G244" s="17"/>
      <c r="H244" s="17"/>
      <c r="I244" s="17"/>
      <c r="J244" s="17"/>
    </row>
    <row r="245" spans="1:10" ht="20.100000000000001" customHeight="1">
      <c r="A245" s="2594"/>
      <c r="B245" s="17"/>
      <c r="C245" s="17"/>
      <c r="D245" s="17"/>
      <c r="E245" s="17"/>
      <c r="F245" s="17"/>
      <c r="G245" s="17"/>
      <c r="H245" s="17"/>
      <c r="I245" s="17"/>
      <c r="J245" s="17"/>
    </row>
    <row r="246" spans="1:10" ht="20.100000000000001" customHeight="1">
      <c r="A246" s="2594"/>
      <c r="B246" s="17"/>
      <c r="C246" s="17"/>
      <c r="D246" s="17"/>
      <c r="E246" s="17"/>
      <c r="F246" s="17"/>
      <c r="G246" s="17"/>
      <c r="H246" s="17"/>
      <c r="I246" s="17"/>
      <c r="J246" s="17"/>
    </row>
    <row r="247" spans="1:10" ht="20.100000000000001" customHeight="1">
      <c r="A247" s="2594"/>
      <c r="B247" s="17"/>
      <c r="C247" s="17"/>
      <c r="D247" s="17"/>
      <c r="E247" s="17"/>
      <c r="F247" s="17"/>
      <c r="G247" s="17"/>
      <c r="H247" s="17"/>
      <c r="I247" s="17"/>
      <c r="J247" s="17"/>
    </row>
    <row r="248" spans="1:10" ht="20.100000000000001" customHeight="1">
      <c r="A248" s="2594"/>
      <c r="B248" s="17"/>
      <c r="C248" s="17"/>
      <c r="D248" s="17"/>
      <c r="E248" s="17"/>
      <c r="F248" s="17"/>
      <c r="G248" s="17"/>
      <c r="H248" s="17"/>
      <c r="I248" s="17"/>
      <c r="J248" s="17"/>
    </row>
    <row r="249" spans="1:10" ht="20.100000000000001" customHeight="1">
      <c r="A249" s="2594"/>
      <c r="B249" s="17"/>
      <c r="C249" s="17"/>
      <c r="D249" s="17"/>
      <c r="E249" s="17"/>
      <c r="F249" s="17"/>
      <c r="G249" s="17"/>
      <c r="H249" s="17"/>
      <c r="I249" s="17"/>
      <c r="J249" s="17"/>
    </row>
    <row r="250" spans="1:10" ht="20.100000000000001" customHeight="1">
      <c r="A250" s="2594"/>
      <c r="B250" s="17"/>
      <c r="C250" s="17"/>
      <c r="D250" s="17"/>
      <c r="E250" s="17"/>
      <c r="F250" s="17"/>
      <c r="G250" s="17"/>
      <c r="H250" s="17"/>
      <c r="I250" s="17"/>
      <c r="J250" s="17"/>
    </row>
    <row r="251" spans="1:10" ht="20.100000000000001" customHeight="1">
      <c r="A251" s="2594"/>
      <c r="B251" s="17"/>
      <c r="C251" s="17"/>
      <c r="D251" s="17"/>
      <c r="E251" s="17"/>
      <c r="F251" s="17"/>
      <c r="G251" s="17"/>
      <c r="H251" s="17"/>
      <c r="I251" s="17"/>
      <c r="J251" s="17"/>
    </row>
    <row r="252" spans="1:10" ht="20.100000000000001" customHeight="1">
      <c r="A252" s="2594"/>
      <c r="B252" s="17"/>
      <c r="C252" s="17"/>
      <c r="D252" s="17"/>
      <c r="E252" s="17"/>
      <c r="F252" s="17"/>
      <c r="G252" s="17"/>
      <c r="H252" s="17"/>
      <c r="I252" s="17"/>
      <c r="J252" s="17"/>
    </row>
    <row r="253" spans="1:10" ht="20.100000000000001" customHeight="1">
      <c r="A253" s="2594"/>
      <c r="B253" s="17"/>
      <c r="C253" s="17"/>
      <c r="D253" s="17"/>
      <c r="E253" s="17"/>
      <c r="F253" s="17"/>
      <c r="G253" s="17"/>
      <c r="H253" s="17"/>
      <c r="I253" s="17"/>
      <c r="J253" s="17"/>
    </row>
    <row r="254" spans="1:10" ht="20.100000000000001" customHeight="1">
      <c r="A254" s="2594"/>
      <c r="B254" s="17"/>
      <c r="C254" s="17"/>
      <c r="D254" s="17"/>
      <c r="E254" s="17"/>
      <c r="F254" s="17"/>
      <c r="G254" s="17"/>
      <c r="H254" s="17"/>
      <c r="I254" s="17"/>
      <c r="J254" s="17"/>
    </row>
    <row r="255" spans="1:10" ht="20.100000000000001" customHeight="1">
      <c r="A255" s="2594"/>
      <c r="B255" s="17"/>
      <c r="C255" s="17"/>
      <c r="D255" s="17"/>
      <c r="E255" s="17"/>
      <c r="F255" s="17"/>
      <c r="G255" s="17"/>
      <c r="H255" s="17"/>
      <c r="I255" s="17"/>
      <c r="J255" s="17"/>
    </row>
    <row r="256" spans="1:10" ht="20.100000000000001" customHeight="1">
      <c r="A256" s="2594"/>
      <c r="B256" s="17"/>
      <c r="C256" s="17"/>
      <c r="D256" s="17"/>
      <c r="E256" s="17"/>
      <c r="F256" s="17"/>
      <c r="G256" s="17"/>
      <c r="H256" s="17"/>
      <c r="I256" s="17"/>
      <c r="J256" s="17"/>
    </row>
    <row r="257" spans="1:10" ht="20.100000000000001" customHeight="1">
      <c r="A257" s="2594"/>
      <c r="B257" s="17"/>
      <c r="C257" s="17"/>
      <c r="D257" s="17"/>
      <c r="E257" s="17"/>
      <c r="F257" s="17"/>
      <c r="G257" s="17"/>
      <c r="H257" s="17"/>
      <c r="I257" s="17"/>
      <c r="J257" s="17"/>
    </row>
    <row r="258" spans="1:10" ht="20.100000000000001" customHeight="1">
      <c r="A258" s="2594"/>
      <c r="B258" s="17"/>
      <c r="C258" s="17"/>
      <c r="D258" s="17"/>
      <c r="E258" s="17"/>
      <c r="F258" s="17"/>
      <c r="G258" s="17"/>
      <c r="H258" s="17"/>
      <c r="I258" s="17"/>
      <c r="J258" s="17"/>
    </row>
    <row r="259" spans="1:10" ht="20.100000000000001" customHeight="1">
      <c r="A259" s="2594"/>
      <c r="B259" s="17"/>
      <c r="C259" s="17"/>
      <c r="D259" s="17"/>
      <c r="E259" s="17"/>
      <c r="F259" s="17"/>
      <c r="G259" s="17"/>
      <c r="H259" s="17"/>
      <c r="I259" s="17"/>
      <c r="J259" s="17"/>
    </row>
    <row r="260" spans="1:10" ht="20.100000000000001" customHeight="1">
      <c r="A260" s="2594"/>
      <c r="B260" s="17"/>
      <c r="C260" s="17"/>
      <c r="D260" s="17"/>
      <c r="E260" s="17"/>
      <c r="F260" s="17"/>
      <c r="G260" s="17"/>
      <c r="H260" s="17"/>
      <c r="I260" s="17"/>
      <c r="J260" s="17"/>
    </row>
    <row r="261" spans="1:10" ht="20.100000000000001" customHeight="1">
      <c r="A261" s="2594"/>
      <c r="B261" s="17"/>
      <c r="C261" s="17"/>
      <c r="D261" s="17"/>
      <c r="E261" s="17"/>
      <c r="F261" s="17"/>
      <c r="G261" s="17"/>
      <c r="H261" s="17"/>
      <c r="I261" s="17"/>
      <c r="J261" s="17"/>
    </row>
    <row r="262" spans="1:10" ht="20.100000000000001" customHeight="1">
      <c r="A262" s="2594"/>
      <c r="B262" s="17"/>
      <c r="C262" s="17"/>
      <c r="D262" s="17"/>
      <c r="E262" s="17"/>
      <c r="F262" s="17"/>
      <c r="G262" s="17"/>
      <c r="H262" s="17"/>
      <c r="I262" s="17"/>
      <c r="J262" s="17"/>
    </row>
    <row r="263" spans="1:10" ht="20.100000000000001" customHeight="1">
      <c r="A263" s="2594"/>
      <c r="B263" s="17"/>
      <c r="C263" s="17"/>
      <c r="D263" s="17"/>
      <c r="E263" s="17"/>
      <c r="F263" s="17"/>
      <c r="G263" s="17"/>
      <c r="H263" s="17"/>
      <c r="I263" s="17"/>
      <c r="J263" s="17"/>
    </row>
    <row r="264" spans="1:10" ht="20.100000000000001" customHeight="1">
      <c r="A264" s="2594"/>
      <c r="B264" s="17"/>
      <c r="C264" s="17"/>
      <c r="D264" s="17"/>
      <c r="E264" s="17"/>
      <c r="F264" s="17"/>
      <c r="G264" s="17"/>
      <c r="H264" s="17"/>
      <c r="I264" s="17"/>
      <c r="J264" s="17"/>
    </row>
    <row r="265" spans="1:10" ht="20.100000000000001" customHeight="1">
      <c r="A265" s="2594"/>
      <c r="B265" s="17"/>
      <c r="C265" s="17"/>
      <c r="D265" s="17"/>
      <c r="E265" s="17"/>
      <c r="F265" s="17"/>
      <c r="G265" s="17"/>
      <c r="H265" s="17"/>
      <c r="I265" s="17"/>
      <c r="J265" s="17"/>
    </row>
    <row r="266" spans="1:10" ht="20.100000000000001" customHeight="1">
      <c r="A266" s="2594"/>
      <c r="B266" s="17"/>
      <c r="C266" s="17"/>
      <c r="D266" s="17"/>
      <c r="E266" s="17"/>
      <c r="F266" s="17"/>
      <c r="G266" s="17"/>
      <c r="H266" s="17"/>
      <c r="I266" s="17"/>
      <c r="J266" s="17"/>
    </row>
    <row r="267" spans="1:10" ht="20.100000000000001" customHeight="1">
      <c r="A267" s="2594"/>
      <c r="B267" s="17"/>
      <c r="C267" s="17"/>
      <c r="D267" s="17"/>
      <c r="E267" s="17"/>
      <c r="F267" s="17"/>
      <c r="G267" s="17"/>
      <c r="H267" s="17"/>
      <c r="I267" s="17"/>
      <c r="J267" s="17"/>
    </row>
    <row r="268" spans="1:10" ht="20.100000000000001" customHeight="1">
      <c r="A268" s="2594"/>
      <c r="B268" s="17"/>
      <c r="C268" s="17"/>
      <c r="D268" s="17"/>
      <c r="E268" s="17"/>
      <c r="F268" s="17"/>
      <c r="G268" s="17"/>
      <c r="H268" s="17"/>
      <c r="I268" s="17"/>
      <c r="J268" s="17"/>
    </row>
    <row r="269" spans="1:10" ht="20.100000000000001" customHeight="1">
      <c r="A269" s="2594"/>
      <c r="B269" s="17"/>
      <c r="C269" s="17"/>
      <c r="D269" s="17"/>
      <c r="E269" s="17"/>
      <c r="F269" s="17"/>
      <c r="G269" s="17"/>
      <c r="H269" s="17"/>
      <c r="I269" s="17"/>
      <c r="J269" s="17"/>
    </row>
    <row r="270" spans="1:10" ht="20.100000000000001" customHeight="1">
      <c r="A270" s="2594"/>
      <c r="B270" s="17"/>
      <c r="C270" s="17"/>
      <c r="D270" s="17"/>
      <c r="E270" s="17"/>
      <c r="F270" s="17"/>
      <c r="G270" s="17"/>
      <c r="H270" s="17"/>
      <c r="I270" s="17"/>
      <c r="J270" s="17"/>
    </row>
    <row r="271" spans="1:10" ht="20.100000000000001" customHeight="1">
      <c r="A271" s="2594"/>
      <c r="B271" s="17"/>
      <c r="C271" s="17"/>
      <c r="D271" s="17"/>
      <c r="E271" s="17"/>
      <c r="F271" s="17"/>
      <c r="G271" s="17"/>
      <c r="H271" s="17"/>
      <c r="I271" s="17"/>
      <c r="J271" s="17"/>
    </row>
    <row r="272" spans="1:10" ht="20.100000000000001" customHeight="1">
      <c r="A272" s="2594"/>
      <c r="B272" s="17"/>
      <c r="C272" s="17"/>
      <c r="D272" s="17"/>
      <c r="E272" s="17"/>
      <c r="F272" s="17"/>
      <c r="G272" s="17"/>
      <c r="H272" s="17"/>
      <c r="I272" s="17"/>
      <c r="J272" s="17"/>
    </row>
    <row r="273" spans="1:10" ht="20.100000000000001" customHeight="1">
      <c r="A273" s="2594"/>
      <c r="B273" s="17"/>
      <c r="C273" s="17"/>
      <c r="D273" s="17"/>
      <c r="E273" s="17"/>
      <c r="F273" s="17"/>
      <c r="G273" s="17"/>
      <c r="H273" s="17"/>
      <c r="I273" s="17"/>
      <c r="J273" s="17"/>
    </row>
    <row r="274" spans="1:10" ht="20.100000000000001" customHeight="1">
      <c r="A274" s="2594"/>
      <c r="B274" s="17"/>
      <c r="C274" s="17"/>
      <c r="D274" s="17"/>
      <c r="E274" s="17"/>
      <c r="F274" s="17"/>
      <c r="G274" s="17"/>
      <c r="H274" s="17"/>
      <c r="I274" s="17"/>
      <c r="J274" s="17"/>
    </row>
    <row r="275" spans="1:10" ht="20.100000000000001" customHeight="1">
      <c r="A275" s="2594"/>
      <c r="B275" s="17"/>
      <c r="C275" s="17"/>
      <c r="D275" s="17"/>
      <c r="E275" s="17"/>
      <c r="F275" s="17"/>
      <c r="G275" s="17"/>
      <c r="H275" s="17"/>
      <c r="I275" s="17"/>
      <c r="J275" s="17"/>
    </row>
    <row r="276" spans="1:10" ht="20.100000000000001" customHeight="1">
      <c r="A276" s="2594"/>
      <c r="B276" s="17"/>
      <c r="C276" s="17"/>
      <c r="D276" s="17"/>
      <c r="E276" s="17"/>
      <c r="F276" s="17"/>
      <c r="G276" s="17"/>
      <c r="H276" s="17"/>
      <c r="I276" s="17"/>
      <c r="J276" s="17"/>
    </row>
    <row r="277" spans="1:10" ht="20.100000000000001" customHeight="1">
      <c r="A277" s="2594"/>
      <c r="B277" s="17"/>
      <c r="C277" s="17"/>
      <c r="D277" s="17"/>
      <c r="E277" s="17"/>
      <c r="F277" s="17"/>
      <c r="G277" s="17"/>
      <c r="H277" s="17"/>
      <c r="I277" s="17"/>
      <c r="J277" s="17"/>
    </row>
    <row r="278" spans="1:10" ht="20.100000000000001" customHeight="1">
      <c r="A278" s="2594"/>
      <c r="B278" s="17"/>
      <c r="C278" s="17"/>
      <c r="D278" s="17"/>
      <c r="E278" s="17"/>
      <c r="F278" s="17"/>
      <c r="G278" s="17"/>
      <c r="H278" s="17"/>
      <c r="I278" s="17"/>
      <c r="J278" s="17"/>
    </row>
    <row r="279" spans="1:10" ht="20.100000000000001" customHeight="1">
      <c r="A279" s="2594"/>
      <c r="B279" s="17"/>
      <c r="C279" s="17"/>
      <c r="D279" s="17"/>
      <c r="E279" s="17"/>
      <c r="F279" s="17"/>
      <c r="G279" s="17"/>
      <c r="H279" s="17"/>
      <c r="I279" s="17"/>
      <c r="J279" s="17"/>
    </row>
    <row r="280" spans="1:10" ht="20.100000000000001" customHeight="1">
      <c r="A280" s="2594"/>
      <c r="B280" s="17"/>
      <c r="C280" s="17"/>
      <c r="D280" s="17"/>
      <c r="E280" s="17"/>
      <c r="F280" s="17"/>
      <c r="G280" s="17"/>
      <c r="H280" s="17"/>
      <c r="I280" s="17"/>
      <c r="J280" s="17"/>
    </row>
    <row r="281" spans="1:10" ht="20.100000000000001" customHeight="1">
      <c r="A281" s="2594"/>
      <c r="B281" s="17"/>
      <c r="C281" s="17"/>
      <c r="D281" s="17"/>
      <c r="E281" s="17"/>
      <c r="F281" s="17"/>
      <c r="G281" s="17"/>
      <c r="H281" s="17"/>
      <c r="I281" s="17"/>
      <c r="J281" s="17"/>
    </row>
    <row r="282" spans="1:10" ht="20.100000000000001" customHeight="1">
      <c r="G282" s="17"/>
      <c r="H282" s="17"/>
      <c r="I282" s="17"/>
      <c r="J282" s="17"/>
    </row>
    <row r="283" spans="1:10" ht="20.100000000000001" customHeight="1">
      <c r="G283" s="17"/>
      <c r="H283" s="17"/>
      <c r="I283" s="17"/>
      <c r="J283" s="17"/>
    </row>
  </sheetData>
  <mergeCells count="3">
    <mergeCell ref="M1:N1"/>
    <mergeCell ref="M2:N2"/>
    <mergeCell ref="M68:N68"/>
  </mergeCells>
  <phoneticPr fontId="170" type="noConversion"/>
  <pageMargins left="0.70866141732283472" right="0.70866141732283472" top="0.74803149606299213" bottom="0.74803149606299213" header="0.31496062992125984" footer="0.31496062992125984"/>
  <pageSetup paperSize="9" scale="29" orientation="landscape" r:id="rId1"/>
  <headerFooter>
    <oddHeader>&amp;L&amp;F / &amp;A&amp;R&amp;D</oddHeader>
    <oddFooter>&amp;L&amp;12CONFIDENTIAL&amp;C&amp;12BARKER JET&amp;Rpage &amp;P / &amp;N</oddFooter>
  </headerFooter>
  <drawing r:id="rId2"/>
  <legacyDrawing r:id="rId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pageSetUpPr fitToPage="1"/>
  </sheetPr>
  <dimension ref="A1:S90"/>
  <sheetViews>
    <sheetView zoomScale="70" zoomScaleNormal="70" workbookViewId="0">
      <pane xSplit="1" ySplit="1" topLeftCell="B54" activePane="bottomRight" state="frozen"/>
      <selection activeCell="C6" sqref="C6:G6"/>
      <selection pane="topRight" activeCell="C6" sqref="C6:G6"/>
      <selection pane="bottomLeft" activeCell="C6" sqref="C6:G6"/>
      <selection pane="bottomRight" activeCell="D78" sqref="D78:I78"/>
    </sheetView>
  </sheetViews>
  <sheetFormatPr defaultColWidth="9.140625" defaultRowHeight="20.100000000000001" customHeight="1"/>
  <cols>
    <col min="1" max="1" width="34.7109375" style="2580" customWidth="1"/>
    <col min="2" max="2" width="20.7109375" style="2580" customWidth="1"/>
    <col min="3" max="12" width="20.7109375" style="13" customWidth="1"/>
    <col min="13" max="14" width="28.7109375" style="13" customWidth="1"/>
    <col min="15" max="36" width="14.7109375" style="13" customWidth="1"/>
    <col min="37" max="16384" width="9.140625" style="13"/>
  </cols>
  <sheetData>
    <row r="1" spans="1:19" ht="20.100000000000001" customHeight="1">
      <c r="A1" s="2582" t="s">
        <v>56</v>
      </c>
      <c r="B1" s="2603" t="s">
        <v>342</v>
      </c>
      <c r="C1" s="267"/>
      <c r="D1" s="278" t="s">
        <v>1088</v>
      </c>
      <c r="E1" s="277" t="b">
        <f>IF(D1="Normal",TRUE,FALSE)</f>
        <v>0</v>
      </c>
      <c r="M1" s="3778" t="s">
        <v>1737</v>
      </c>
      <c r="N1" s="3779"/>
    </row>
    <row r="2" spans="1:19" ht="20.100000000000001" customHeight="1">
      <c r="A2" s="2582"/>
      <c r="B2" s="2604" t="s">
        <v>2651</v>
      </c>
      <c r="C2" s="1324"/>
      <c r="D2" s="18"/>
      <c r="E2" s="454">
        <f>MIN('Axle &amp; Accessories Specs'!C73:CQ73)</f>
        <v>60</v>
      </c>
      <c r="F2" s="13" t="s">
        <v>136</v>
      </c>
      <c r="M2" s="3780" t="b">
        <f>IF(N3&lt;&gt;0,TRUE,FALSE)</f>
        <v>0</v>
      </c>
      <c r="N2" s="3781"/>
    </row>
    <row r="3" spans="1:19" ht="20.100000000000001" customHeight="1">
      <c r="A3" s="2582"/>
      <c r="B3" s="2580" t="s">
        <v>1779</v>
      </c>
      <c r="C3" s="25"/>
      <c r="D3" s="260"/>
      <c r="E3" s="454">
        <f>MIN('Axle &amp; Accessories Specs'!C104:AC104)</f>
        <v>45</v>
      </c>
      <c r="F3" s="13" t="s">
        <v>136</v>
      </c>
      <c r="M3" s="726" t="s">
        <v>52</v>
      </c>
      <c r="N3" s="733">
        <v>0</v>
      </c>
    </row>
    <row r="4" spans="1:19" ht="20.100000000000001" customHeight="1" thickBot="1">
      <c r="B4" s="2580" t="s">
        <v>1780</v>
      </c>
      <c r="C4" s="25"/>
      <c r="D4" s="260"/>
      <c r="E4" s="454">
        <f>MIN('Axle &amp; Accessories Specs'!C106:AC106)</f>
        <v>14</v>
      </c>
      <c r="F4" s="13" t="s">
        <v>136</v>
      </c>
      <c r="M4" s="727" t="s">
        <v>309</v>
      </c>
      <c r="N4" s="734">
        <v>0</v>
      </c>
    </row>
    <row r="5" spans="1:19" ht="20.100000000000001" customHeight="1" thickBot="1">
      <c r="B5" s="2580" t="s">
        <v>1413</v>
      </c>
      <c r="E5" s="784">
        <f>MIN('Axle &amp; Accessories Specs'!C107:AC107)</f>
        <v>197</v>
      </c>
      <c r="F5" s="13" t="s">
        <v>136</v>
      </c>
      <c r="M5" s="728" t="s">
        <v>70</v>
      </c>
      <c r="N5" s="724"/>
    </row>
    <row r="6" spans="1:19" ht="20.100000000000001" customHeight="1" thickBot="1">
      <c r="A6" s="2583" t="s">
        <v>36</v>
      </c>
      <c r="B6" s="2605"/>
      <c r="C6" s="785"/>
      <c r="D6" s="785"/>
      <c r="E6" s="785"/>
      <c r="F6" s="785"/>
      <c r="G6" s="785"/>
      <c r="H6" s="785"/>
      <c r="I6" s="785"/>
      <c r="J6" s="786"/>
      <c r="M6" s="106" t="s">
        <v>1410</v>
      </c>
      <c r="N6" s="732">
        <v>0</v>
      </c>
      <c r="R6" s="25"/>
    </row>
    <row r="7" spans="1:19" ht="20.100000000000001" customHeight="1">
      <c r="A7" s="2576"/>
      <c r="B7" s="2606"/>
      <c r="C7" s="247"/>
      <c r="D7" s="247"/>
      <c r="E7" s="247"/>
      <c r="F7" s="2612"/>
      <c r="G7" s="247"/>
      <c r="H7" s="247"/>
      <c r="I7" s="247"/>
      <c r="J7" s="783"/>
      <c r="M7" s="106" t="s">
        <v>1407</v>
      </c>
      <c r="N7" s="732">
        <v>0</v>
      </c>
    </row>
    <row r="8" spans="1:19" ht="20.100000000000001" customHeight="1">
      <c r="A8" s="2577" t="s">
        <v>1753</v>
      </c>
      <c r="B8" s="2607" t="s">
        <v>104</v>
      </c>
      <c r="C8" s="17"/>
      <c r="D8" s="2526" t="e">
        <f ca="1">IF(REQ_FrameX&lt;&gt;0,REQ_FrameX,MAX(VLOOKUP(HF_V,Iron_dim,3,FALSE),VLOOKUP(H_STD_Re,Iron_dim,3,FALSE)+5,(VLOOKUP(Seal_Cooling_Selection,SealThickness,MATCH($D$20,Seal_Axle_Diameter,0)-2,FALSE))+VLOOKUP(HF_V,Iron_dim,4,FALSE)+5))</f>
        <v>#REF!</v>
      </c>
      <c r="E8" s="17" t="s">
        <v>136</v>
      </c>
      <c r="F8" s="2586" t="s">
        <v>1763</v>
      </c>
      <c r="G8" s="17" t="e">
        <f ca="1">VLOOKUP(BF_Ra,Iron_dim,2,FALSE)</f>
        <v>#REF!</v>
      </c>
      <c r="H8" s="17" t="s">
        <v>136</v>
      </c>
      <c r="I8" s="17"/>
      <c r="J8" s="276"/>
      <c r="M8" s="106" t="s">
        <v>1411</v>
      </c>
      <c r="N8" s="732">
        <v>0</v>
      </c>
    </row>
    <row r="9" spans="1:19" ht="20.100000000000001" customHeight="1">
      <c r="A9" s="2577" t="s">
        <v>1741</v>
      </c>
      <c r="B9" s="2594"/>
      <c r="C9" s="17"/>
      <c r="D9" s="2526" t="s">
        <v>1035</v>
      </c>
      <c r="E9" s="17"/>
      <c r="F9" s="2586" t="s">
        <v>1764</v>
      </c>
      <c r="G9" s="17" t="e">
        <f ca="1">VLOOKUP(BF_Ra,Iron_dim,4,FALSE)+VLOOKUP(BF_Ra,Iron_dim,6,FALSE)</f>
        <v>#REF!</v>
      </c>
      <c r="H9" s="17" t="s">
        <v>136</v>
      </c>
      <c r="I9" s="17"/>
      <c r="J9" s="19"/>
      <c r="M9" s="106" t="s">
        <v>1412</v>
      </c>
      <c r="N9" s="732">
        <v>0</v>
      </c>
    </row>
    <row r="10" spans="1:19" ht="20.100000000000001" customHeight="1">
      <c r="A10" s="2577" t="s">
        <v>1747</v>
      </c>
      <c r="B10" s="2594"/>
      <c r="C10" s="17"/>
      <c r="D10" s="2526" t="e">
        <f ca="1">MAX(HoleD_mult*MIN_PDN_N1+$G$9,MIN_PDN_BHW/2+MIN_PDN_N1/2)</f>
        <v>#REF!</v>
      </c>
      <c r="E10" s="17" t="s">
        <v>136</v>
      </c>
      <c r="F10" s="2586"/>
      <c r="G10" s="17"/>
      <c r="H10" s="17"/>
      <c r="I10" s="17"/>
      <c r="J10" s="19"/>
      <c r="M10" s="106" t="s">
        <v>1408</v>
      </c>
      <c r="N10" s="732">
        <v>0</v>
      </c>
      <c r="O10" s="25"/>
      <c r="R10" s="25"/>
    </row>
    <row r="11" spans="1:19" ht="20.100000000000001" customHeight="1">
      <c r="A11" s="2578" t="s">
        <v>1746</v>
      </c>
      <c r="B11" s="2608"/>
      <c r="C11" s="17"/>
      <c r="D11" s="2526" t="s">
        <v>1035</v>
      </c>
      <c r="E11" s="17"/>
      <c r="F11" s="2586"/>
      <c r="G11" s="17"/>
      <c r="H11" s="17"/>
      <c r="I11" s="17"/>
      <c r="J11" s="19"/>
      <c r="M11" s="106" t="s">
        <v>1409</v>
      </c>
      <c r="N11" s="732">
        <v>0</v>
      </c>
    </row>
    <row r="12" spans="1:19" ht="20.100000000000001" customHeight="1" thickBot="1">
      <c r="A12" s="2577" t="s">
        <v>1745</v>
      </c>
      <c r="B12" s="2586"/>
      <c r="C12" s="17"/>
      <c r="D12" s="2526" t="s">
        <v>1035</v>
      </c>
      <c r="E12" s="17"/>
      <c r="F12" s="2586"/>
      <c r="G12" s="17"/>
      <c r="H12" s="17"/>
      <c r="I12" s="17"/>
      <c r="J12" s="19"/>
      <c r="M12" s="106" t="s">
        <v>38</v>
      </c>
      <c r="N12" s="737">
        <v>0</v>
      </c>
    </row>
    <row r="13" spans="1:19" ht="20.100000000000001" customHeight="1">
      <c r="A13" s="2577" t="s">
        <v>41</v>
      </c>
      <c r="B13" s="2586" t="s">
        <v>1271</v>
      </c>
      <c r="C13" s="17"/>
      <c r="D13" s="2598">
        <f>MIN_PDN_DBB</f>
        <v>197</v>
      </c>
      <c r="E13" s="17" t="s">
        <v>136</v>
      </c>
      <c r="F13" s="2586"/>
      <c r="G13" s="17"/>
      <c r="H13" s="17"/>
      <c r="I13" s="17"/>
      <c r="J13" s="19"/>
      <c r="M13" s="729" t="s">
        <v>66</v>
      </c>
      <c r="N13" s="736"/>
    </row>
    <row r="14" spans="1:19" ht="20.100000000000001" customHeight="1">
      <c r="A14" s="2577" t="s">
        <v>1743</v>
      </c>
      <c r="B14" s="2586" t="s">
        <v>1270</v>
      </c>
      <c r="C14" s="17"/>
      <c r="D14" s="2599" t="e">
        <f ca="1">D8+D10+G14</f>
        <v>#REF!</v>
      </c>
      <c r="E14" s="17" t="s">
        <v>136</v>
      </c>
      <c r="F14" s="2619" t="s">
        <v>1851</v>
      </c>
      <c r="G14" s="166">
        <f>IF('Select Drive &amp; Motor'!$C$40&lt;&gt;0,'Select Drive &amp; Motor'!$C$40,House_P_T+VLOOKUP(Seal_Cooling_Selection,SealThickness,MATCH(D20,Seal_Axle_Diameter,0)-1,FALSE)+VLOOKUP(Seal_Cooling_Selection,SealThickness,MATCH(D20,Seal_Axle_Diameter,0),FALSE))</f>
        <v>17</v>
      </c>
      <c r="H14" s="166" t="s">
        <v>136</v>
      </c>
      <c r="I14" s="17"/>
      <c r="J14" s="19"/>
      <c r="L14" s="25"/>
      <c r="M14" s="730" t="s">
        <v>336</v>
      </c>
      <c r="N14" s="735">
        <v>0</v>
      </c>
      <c r="O14" s="25"/>
      <c r="P14" s="25"/>
      <c r="Q14" s="25"/>
      <c r="R14" s="25"/>
      <c r="S14" s="25"/>
    </row>
    <row r="15" spans="1:19" ht="20.100000000000001" customHeight="1">
      <c r="A15" s="2577"/>
      <c r="B15" s="2594"/>
      <c r="C15" s="17"/>
      <c r="D15" s="2526"/>
      <c r="E15" s="17"/>
      <c r="F15" s="2586"/>
      <c r="G15" s="17"/>
      <c r="H15" s="17"/>
      <c r="I15" s="17"/>
      <c r="J15" s="19"/>
      <c r="L15" s="25"/>
      <c r="M15" s="730" t="s">
        <v>334</v>
      </c>
      <c r="N15" s="735">
        <v>0</v>
      </c>
      <c r="O15" s="25"/>
      <c r="P15" s="25"/>
      <c r="Q15" s="25"/>
      <c r="R15" s="25"/>
      <c r="S15" s="25"/>
    </row>
    <row r="16" spans="1:19" ht="20.100000000000001" customHeight="1">
      <c r="A16" s="2579" t="s">
        <v>67</v>
      </c>
      <c r="B16" s="2594"/>
      <c r="C16" s="17"/>
      <c r="D16" s="2526" t="e">
        <f ca="1">g*Impeller_W*(ICOM+D14)</f>
        <v>#REF!</v>
      </c>
      <c r="E16" s="17" t="s">
        <v>189</v>
      </c>
      <c r="F16" s="2586" t="s">
        <v>65</v>
      </c>
      <c r="G16" s="20" t="e">
        <f ca="1">D16/MMOM</f>
        <v>#REF!</v>
      </c>
      <c r="H16" s="17"/>
      <c r="I16" s="17"/>
      <c r="J16" s="19"/>
      <c r="M16" s="730" t="s">
        <v>337</v>
      </c>
      <c r="N16" s="735">
        <v>0</v>
      </c>
    </row>
    <row r="17" spans="1:19" ht="20.100000000000001" customHeight="1">
      <c r="A17" s="2579" t="s">
        <v>68</v>
      </c>
      <c r="B17" s="2594"/>
      <c r="C17" s="17"/>
      <c r="D17" s="2526" t="e">
        <f ca="1">g*WF_P*(b_in+ICOM+D14)</f>
        <v>#REF!</v>
      </c>
      <c r="E17" s="17" t="s">
        <v>189</v>
      </c>
      <c r="F17" s="2586" t="s">
        <v>64</v>
      </c>
      <c r="G17" s="20" t="e">
        <f ca="1">D17/D16</f>
        <v>#REF!</v>
      </c>
      <c r="H17" s="17"/>
      <c r="I17" s="20" t="s">
        <v>105</v>
      </c>
      <c r="J17" s="44" t="e">
        <f ca="1">INDEX(DBeBe_multiplier,MATCH(G16,MOM_ratio,1)+1,MATCH(G17,OMOM_ratio,1)+1)</f>
        <v>#REF!</v>
      </c>
      <c r="M17" s="730" t="s">
        <v>335</v>
      </c>
      <c r="N17" s="735">
        <v>0</v>
      </c>
    </row>
    <row r="18" spans="1:19" ht="20.100000000000001" customHeight="1">
      <c r="A18" s="2577" t="s">
        <v>39</v>
      </c>
      <c r="B18" s="2586" t="s">
        <v>3542</v>
      </c>
      <c r="C18" s="2004" t="e">
        <f ca="1">PI()/64*E_Nmm2*10^6/(1/3*D13/1000+1/2*(D14/1000+ICOM/1000))</f>
        <v>#REF!</v>
      </c>
      <c r="D18" s="2526" t="e">
        <f ca="1">IF(Forced_PDN_B,N$6,IF(REQ_Axle_Diam&lt;&gt;0,REQ_Axle_Diam,ROUNDUP(MAX((32/PI()*SQRT(D16^2+3/4*TMO0^2)/AYS)^(1/3),1000*SQRT(Fan_Max_rpm*2*PI()/60*SQRT((Impeller_W*(ICOM/1000+D14/1000)^2+Imoi_1)/C18)),1000*($J$18*(Fan_Max_rpm*2*PI()/60)^2*Impeller_W*(D14/1000+ICOM/1000)^2*((D14/1000+ICOM/1000)+D13/1000)/(3*PI()/64*E_Nmm2*10^6))^0.25),0)))</f>
        <v>#REF!</v>
      </c>
      <c r="E18" s="17" t="s">
        <v>136</v>
      </c>
      <c r="F18" s="2586" t="s">
        <v>304</v>
      </c>
      <c r="G18" s="240" t="e">
        <f ca="1">10^3*Impeller_W*g*(D14/1000+ICOM/1000)^2*((D14/1000+ICOM/1000)+D13/1000)/(3*E_Nmm2*10^6*PI()/64*(D18/1000)^4)</f>
        <v>#REF!</v>
      </c>
      <c r="H18" s="20" t="s">
        <v>223</v>
      </c>
      <c r="I18" s="239" t="e">
        <f ca="1">3*PI()/64*E_Nmm2*10^6*(D18/1000)^4/((Fan_Max_rpm*2*PI()/60)^2*Impeller_W*(D14/1000+ICOM/1000)^2*((D14/1000+ICOM/1000)+D13/1000))</f>
        <v>#REF!</v>
      </c>
      <c r="J18" s="250">
        <f>Force_R_limit</f>
        <v>2</v>
      </c>
      <c r="M18" s="730" t="s">
        <v>1</v>
      </c>
      <c r="N18" s="735">
        <v>0</v>
      </c>
      <c r="P18" s="25"/>
    </row>
    <row r="19" spans="1:19" ht="20.100000000000001" customHeight="1">
      <c r="A19" s="2577" t="s">
        <v>103</v>
      </c>
      <c r="B19" s="2586" t="s">
        <v>100</v>
      </c>
      <c r="C19" s="17"/>
      <c r="D19" s="2598" t="e">
        <f ca="1">IF(Forced_PDN_B,N6,INDEX(Possible_Axle_Diameter,1,IF(ISERROR(MATCH(D18,Possible_Axle_Diameter,0)),1,0)+MATCH(D18,Possible_Axle_Diameter,1)))</f>
        <v>#REF!</v>
      </c>
      <c r="E19" s="17" t="s">
        <v>136</v>
      </c>
      <c r="F19" s="2586" t="s">
        <v>2653</v>
      </c>
      <c r="G19" s="788">
        <f>IF(Forced_PDN_B,$N$3,INDEX(Possible_PDN_Bearings,$C$20+1,COLUMN(C$1)))</f>
        <v>0</v>
      </c>
      <c r="H19" s="791">
        <f>INDEX(Possible_PDN_Bearings,$C$20+1,COLUMN(D$1))</f>
        <v>0</v>
      </c>
      <c r="I19" s="39">
        <f>INDEX(Possible_PDN_Bearings,$C$20+1,COLUMN(E$1))</f>
        <v>0</v>
      </c>
      <c r="J19" s="792">
        <f>INDEX(Possible_PDN_Bearings,$C$20+1,COLUMN(F$1))</f>
        <v>0</v>
      </c>
      <c r="L19" s="28"/>
      <c r="M19" s="730" t="s">
        <v>54</v>
      </c>
      <c r="N19" s="735">
        <v>0</v>
      </c>
    </row>
    <row r="20" spans="1:19" ht="20.100000000000001" customHeight="1">
      <c r="A20" s="2577" t="s">
        <v>40</v>
      </c>
      <c r="B20" s="2586" t="s">
        <v>101</v>
      </c>
      <c r="C20" s="17">
        <f>MATCH(D20,'Axle &amp; Accessories Specs'!$A$151:$A$254,0)</f>
        <v>9</v>
      </c>
      <c r="D20" s="2600">
        <v>40</v>
      </c>
      <c r="E20" s="17" t="s">
        <v>136</v>
      </c>
      <c r="F20" s="2586" t="s">
        <v>2666</v>
      </c>
      <c r="G20" s="1347">
        <f>IF(G$19=0,0,IF(Forced_PDN_B,0,INDEX(Possible_PDN_Bearings,$C$20,COLUMN(C$1))))</f>
        <v>0</v>
      </c>
      <c r="H20" s="793">
        <f>IF(H$19=0,0,INDEX(Possible_PDN_Bearings,$C$20,COLUMN(D$1)))</f>
        <v>0</v>
      </c>
      <c r="I20" s="35">
        <f>IF(I$19=0,0,INDEX(Possible_PDN_Bearings,$C$20,COLUMN(E$1)))</f>
        <v>0</v>
      </c>
      <c r="J20" s="709">
        <f>IF(J$19=0,0,INDEX(Possible_PDN_Bearings,$C$20,COLUMN(F$1)))</f>
        <v>0</v>
      </c>
      <c r="M20" s="106" t="s">
        <v>2</v>
      </c>
      <c r="N20" s="737">
        <v>0</v>
      </c>
      <c r="S20" s="25"/>
    </row>
    <row r="21" spans="1:19" ht="20.100000000000001" customHeight="1">
      <c r="D21" s="2538"/>
      <c r="F21" s="2609" t="s">
        <v>1778</v>
      </c>
      <c r="G21" s="796">
        <f>IF(Forced_PDN_B,$N$27,INDEX(Possible_PDN_Bearings,$C$20+2,COLUMN(C$1)))</f>
        <v>0</v>
      </c>
      <c r="H21" s="793">
        <f>INDEX(Possible_PDN_Bearings,$C$20+2,COLUMN(D$1))</f>
        <v>0</v>
      </c>
      <c r="I21" s="35">
        <f>INDEX(Possible_PDN_Bearings,$C$20+2,COLUMN(E$1))</f>
        <v>0</v>
      </c>
      <c r="J21" s="709">
        <f>INDEX(Possible_PDN_Bearings,$C$20+2,COLUMN(F$1))</f>
        <v>0</v>
      </c>
      <c r="M21" s="106" t="s">
        <v>226</v>
      </c>
      <c r="N21" s="737">
        <v>0</v>
      </c>
    </row>
    <row r="22" spans="1:19" s="25" customFormat="1" ht="20.100000000000001" customHeight="1">
      <c r="A22" s="2578"/>
      <c r="B22" s="2609"/>
      <c r="C22" s="47"/>
      <c r="D22" s="2601"/>
      <c r="E22" s="47"/>
      <c r="F22" s="2609"/>
      <c r="G22" s="1325"/>
      <c r="H22" s="1326"/>
      <c r="I22" s="46"/>
      <c r="J22" s="1327"/>
      <c r="K22" s="13"/>
      <c r="L22" s="13"/>
      <c r="M22" s="730" t="s">
        <v>13</v>
      </c>
      <c r="N22" s="735">
        <v>0</v>
      </c>
      <c r="O22" s="13"/>
      <c r="P22" s="13"/>
      <c r="Q22" s="13"/>
      <c r="R22" s="13"/>
      <c r="S22" s="13"/>
    </row>
    <row r="23" spans="1:19" s="25" customFormat="1" ht="20.100000000000001" customHeight="1">
      <c r="A23" s="2577" t="s">
        <v>4082</v>
      </c>
      <c r="B23" s="2586" t="s">
        <v>3541</v>
      </c>
      <c r="C23" s="3139" t="e">
        <f ca="1">PI()/64*E_Nmm2*10^6*(D20/1000)^4/(1/3*D13/1000+1/2*(D14/1000+ICOM/1000))</f>
        <v>#REF!</v>
      </c>
      <c r="D23" s="2598" t="e">
        <f ca="1">60/(2*PI())*SQRT(C23/(Impeller_W*(ICOM/1000+D14/1000)^2+Imoi_1))</f>
        <v>#REF!</v>
      </c>
      <c r="E23" s="17" t="s">
        <v>186</v>
      </c>
      <c r="F23" s="2609"/>
      <c r="G23" s="789"/>
      <c r="H23" s="794"/>
      <c r="I23" s="17"/>
      <c r="J23" s="19"/>
      <c r="K23" s="13"/>
      <c r="L23" s="13"/>
      <c r="M23" s="106" t="s">
        <v>5</v>
      </c>
      <c r="N23" s="738">
        <f>IF(FAXA/FRA&lt;=N18,N14*FRA+N16*FAXA,N15*FRA+N17*FAXA)</f>
        <v>0</v>
      </c>
      <c r="O23" s="13"/>
      <c r="P23" s="13"/>
      <c r="Q23" s="13"/>
      <c r="R23" s="13"/>
      <c r="S23" s="13"/>
    </row>
    <row r="24" spans="1:19" ht="20.100000000000001" customHeight="1" thickBot="1">
      <c r="A24" s="3140"/>
      <c r="B24" s="2616"/>
      <c r="C24" s="23"/>
      <c r="D24" s="23"/>
      <c r="E24" s="23"/>
      <c r="F24" s="2610"/>
      <c r="G24" s="790"/>
      <c r="H24" s="795"/>
      <c r="I24" s="23"/>
      <c r="J24" s="24"/>
      <c r="K24" s="25"/>
      <c r="M24" s="106" t="s">
        <v>6</v>
      </c>
      <c r="N24" s="738" t="e">
        <f>10^6*(N20/N23)^N22/(60*Fan_Max_rpm)</f>
        <v>#DIV/0!</v>
      </c>
    </row>
    <row r="25" spans="1:19" ht="20.100000000000001" customHeight="1" thickBot="1">
      <c r="A25" s="2584" t="s">
        <v>73</v>
      </c>
      <c r="B25" s="2611"/>
      <c r="C25" s="782"/>
      <c r="D25" s="782"/>
      <c r="E25" s="782"/>
      <c r="F25" s="782"/>
      <c r="G25" s="782"/>
      <c r="H25" s="782"/>
      <c r="I25" s="782"/>
      <c r="J25" s="787"/>
      <c r="K25" s="25"/>
      <c r="M25" s="106" t="s">
        <v>7</v>
      </c>
      <c r="N25" s="738">
        <f>IF(FAXB/FRB&lt;=N18,N14*FRB+N16*FAXB,N15*FRB+N17*FAXB)</f>
        <v>0</v>
      </c>
    </row>
    <row r="26" spans="1:19" ht="20.100000000000001" customHeight="1">
      <c r="A26" s="2585"/>
      <c r="B26" s="2612"/>
      <c r="C26" s="2522" t="s">
        <v>290</v>
      </c>
      <c r="D26" s="2523">
        <v>1018268.0282939275</v>
      </c>
      <c r="E26" s="2522"/>
      <c r="F26" s="2524"/>
      <c r="G26" s="2524"/>
      <c r="H26" s="2524"/>
      <c r="I26" s="2524"/>
      <c r="J26" s="2525"/>
      <c r="M26" s="106" t="s">
        <v>8</v>
      </c>
      <c r="N26" s="738" t="e">
        <f>10^6*(N20/N25)^N22/(60*Fan_Max_rpm)</f>
        <v>#DIV/0!</v>
      </c>
    </row>
    <row r="27" spans="1:19" ht="20.100000000000001" customHeight="1" thickBot="1">
      <c r="A27" s="2577" t="s">
        <v>1748</v>
      </c>
      <c r="B27" s="2586"/>
      <c r="C27" s="2526"/>
      <c r="D27" s="2526" t="e">
        <f ca="1">IF($D$26=0,9999,IF(REQ_FrameX&lt;&gt;0,REQ_FrameX,MAX(VLOOKUP(HF_V,Iron_dim,3,FALSE),VLOOKUP(H_STD_Re,Iron_dim,3,FALSE)+5,(VLOOKUP(Seal_Cooling_Selection,SealThickness,MATCH($D$37,Seal_Axle_Diameter,0)-2,FALSE))+VLOOKUP(HF_V,Iron_dim,4,FALSE)+5)))</f>
        <v>#REF!</v>
      </c>
      <c r="E27" s="2527" t="s">
        <v>136</v>
      </c>
      <c r="F27" s="2526" t="s">
        <v>1765</v>
      </c>
      <c r="G27" s="2528" t="e">
        <f ca="1">MAX(G$47*HoleD_mult,VLOOKUP(BF_Ra,Iron_dim,2,FALSE))</f>
        <v>#REF!</v>
      </c>
      <c r="H27" s="2528"/>
      <c r="I27" s="2526"/>
      <c r="J27" s="2529"/>
      <c r="M27" s="731" t="s">
        <v>338</v>
      </c>
      <c r="N27" s="739">
        <f>IF(ISERROR(MIN(N24,N26)),0,IF(AND(AD&lt;=N6,N21&gt;Fan_Max_rpm,N24&gt;=min_life,N24&lt;max_life,N26&gt;=min_life,N26&lt;max_life),MIN(N24,N26),0))</f>
        <v>0</v>
      </c>
    </row>
    <row r="28" spans="1:19" ht="20.100000000000001" customHeight="1">
      <c r="A28" s="2577" t="s">
        <v>1744</v>
      </c>
      <c r="B28" s="2594"/>
      <c r="C28" s="2528"/>
      <c r="D28" s="2528">
        <f>IF($D$26=0,9999,IF(Forced_PDN_B,N12,ROUNDUP($J$28*VLOOKUP($A28,PDN_B_Specs,MATCH($D$37,PDN_Axle_Diameter,0),FALSE)/5,0)*5))</f>
        <v>245</v>
      </c>
      <c r="E28" s="2528" t="s">
        <v>136</v>
      </c>
      <c r="F28" s="2526" t="s">
        <v>1764</v>
      </c>
      <c r="G28" s="2528" t="e">
        <f ca="1">VLOOKUP(BF_Ra,Iron_dim,4,FALSE)+VLOOKUP(BF_Ra,Iron_dim,6,FALSE)</f>
        <v>#REF!</v>
      </c>
      <c r="H28" s="2528" t="s">
        <v>136</v>
      </c>
      <c r="I28" s="2526" t="s">
        <v>1742</v>
      </c>
      <c r="J28" s="2530">
        <v>1</v>
      </c>
      <c r="L28" s="25"/>
      <c r="M28" s="25"/>
      <c r="N28" s="25"/>
      <c r="O28" s="25"/>
      <c r="P28" s="25"/>
      <c r="Q28" s="25"/>
      <c r="R28" s="25"/>
      <c r="S28" s="25"/>
    </row>
    <row r="29" spans="1:19" ht="20.100000000000001" customHeight="1">
      <c r="A29" s="2577" t="s">
        <v>1747</v>
      </c>
      <c r="B29" s="2594"/>
      <c r="C29" s="2528"/>
      <c r="D29" s="2528" t="e">
        <f ca="1">IF($G$43=0,$G$27/2,MAX(HoleD_mult*$G$47+$G$28,$G$48/2+$G$47/2))</f>
        <v>#REF!</v>
      </c>
      <c r="E29" s="2528" t="s">
        <v>136</v>
      </c>
      <c r="F29" s="2526"/>
      <c r="G29" s="2528"/>
      <c r="H29" s="2528"/>
      <c r="I29" s="2526" t="s">
        <v>106</v>
      </c>
      <c r="J29" s="2537" t="e">
        <f ca="1">INDEX(DBeBe_multiplier,MATCH(J34,MOM_ratio,1)+1,MATCH(J35,OMOM_ratio,1)+1)</f>
        <v>#REF!</v>
      </c>
      <c r="L29" s="25"/>
      <c r="M29" s="25"/>
      <c r="N29" s="25"/>
      <c r="O29" s="25"/>
      <c r="P29" s="25"/>
      <c r="Q29" s="25"/>
      <c r="R29" s="25"/>
      <c r="S29" s="25"/>
    </row>
    <row r="30" spans="1:19" ht="20.100000000000001" customHeight="1">
      <c r="A30" s="2578" t="s">
        <v>1746</v>
      </c>
      <c r="B30" s="2608"/>
      <c r="C30" s="2528"/>
      <c r="D30" s="2531" t="e">
        <f ca="1">IF($D$26=0,9999,IF(Small_F,"na",IF(D28-2*(G27-D29)&gt;$G$30,D28-2*(G27-D29),$G$30)))</f>
        <v>#REF!</v>
      </c>
      <c r="E30" s="2528" t="s">
        <v>136</v>
      </c>
      <c r="F30" s="2526" t="s">
        <v>2519</v>
      </c>
      <c r="G30" s="2528" t="e">
        <f ca="1">MIN(150,VLOOKUP(BF_Ra,Iron_dim,2,FALSE))</f>
        <v>#REF!</v>
      </c>
      <c r="H30" s="2531" t="s">
        <v>136</v>
      </c>
      <c r="I30" s="2528"/>
      <c r="J30" s="2529"/>
    </row>
    <row r="31" spans="1:19" ht="20.100000000000001" customHeight="1">
      <c r="A31" s="2577" t="s">
        <v>1745</v>
      </c>
      <c r="B31" s="2586"/>
      <c r="C31" s="2528"/>
      <c r="D31" s="2528" t="e">
        <f ca="1">IF(Small_F,D29,IF(D28-2*(G27-D29)&gt;$G$30,D29,IF(D28-(G27-D29)-D29&lt;$G$30,G27-D29,G27-(D28-($G$30+(G27-D29))))))</f>
        <v>#REF!</v>
      </c>
      <c r="E31" s="2528" t="s">
        <v>136</v>
      </c>
      <c r="F31" s="2526"/>
      <c r="G31" s="2531"/>
      <c r="H31" s="2531"/>
      <c r="I31" s="2528"/>
      <c r="J31" s="2529"/>
      <c r="R31" s="25"/>
    </row>
    <row r="32" spans="1:19" ht="20.100000000000001" customHeight="1">
      <c r="A32" s="2577" t="s">
        <v>41</v>
      </c>
      <c r="B32" s="2586" t="s">
        <v>1269</v>
      </c>
      <c r="C32" s="2528"/>
      <c r="D32" s="2532" t="e">
        <f ca="1">IF($D$26=0,9999,IF(Small_F,D28,(G27-D29)+D30+(G27-D31)))</f>
        <v>#REF!</v>
      </c>
      <c r="E32" s="2528" t="s">
        <v>136</v>
      </c>
      <c r="F32" s="2536"/>
      <c r="G32" s="2531"/>
      <c r="H32" s="2531"/>
      <c r="I32" s="2528"/>
      <c r="J32" s="2529"/>
    </row>
    <row r="33" spans="1:19" ht="20.100000000000001" customHeight="1">
      <c r="A33" s="2577" t="s">
        <v>1743</v>
      </c>
      <c r="B33" s="2586" t="s">
        <v>1272</v>
      </c>
      <c r="C33" s="2528"/>
      <c r="D33" s="2533" t="e">
        <f ca="1">IF($D$26=0,9999,D27+D29+G33)</f>
        <v>#REF!</v>
      </c>
      <c r="E33" s="2528" t="s">
        <v>136</v>
      </c>
      <c r="F33" s="2534" t="s">
        <v>1851</v>
      </c>
      <c r="G33" s="2535">
        <f>IF('Select Drive &amp; Motor'!$C$40&lt;&gt;0,'Select Drive &amp; Motor'!$C$40,House_P_T+VLOOKUP(Seal_Cooling_Selection,SealThickness,MATCH(D37,Seal_Axle_Diameter,0)-1,FALSE)+VLOOKUP(Seal_Cooling_Selection,SealThickness,MATCH(D37,Seal_Axle_Diameter,0),FALSE))</f>
        <v>17</v>
      </c>
      <c r="H33" s="2535" t="s">
        <v>136</v>
      </c>
      <c r="I33" s="2528"/>
      <c r="J33" s="2529"/>
      <c r="R33" s="25"/>
    </row>
    <row r="34" spans="1:19" ht="20.100000000000001" customHeight="1">
      <c r="B34" s="13"/>
      <c r="F34" s="2594" t="s">
        <v>67</v>
      </c>
      <c r="G34" s="2528" t="e">
        <f ca="1">g*Impeller_W*(ICOM+D33)</f>
        <v>#REF!</v>
      </c>
      <c r="H34" s="2528" t="s">
        <v>189</v>
      </c>
      <c r="I34" s="2526" t="s">
        <v>65</v>
      </c>
      <c r="J34" s="2546" t="e">
        <f ca="1">G34/MMOM</f>
        <v>#REF!</v>
      </c>
    </row>
    <row r="35" spans="1:19" ht="20.100000000000001" customHeight="1">
      <c r="A35" s="2577" t="s">
        <v>39</v>
      </c>
      <c r="B35" s="2526" t="s">
        <v>4153</v>
      </c>
      <c r="C35" s="3135" t="e">
        <f ca="1">PI()/64*E_Nmm2*10^6/(1/3*$D$32/1000+1/2*($D$33/1000+ICOM/1000))</f>
        <v>#REF!</v>
      </c>
      <c r="D35" s="2528" t="e">
        <f ca="1">IF(Forced_REG_B,N$6,IF(REQ_Axle_Diam&lt;&gt;0,REQ_Axle_Diam,ROUNDUP(MAX((32/PI()*SQRT($G$34^2+3/4*TMO0^2)/AYS)^(1/3),1000*SQRT(RPM*2*PI()/60*SQRT((Impeller_W*(ICOM/1000+$D$33/1000)^2+Imoi_1)/$C$35)),1000*($J$36*(RPM*2*PI()/60)^2*Impeller_W*($D$33/1000+ICOM/1000)^2*(($D$33/1000+ICOM/1000)+$D$32/1000)/(3*PI()/64*E_Nmm2*10^6))^0.25),0)))</f>
        <v>#REF!</v>
      </c>
      <c r="E35" s="2528" t="s">
        <v>136</v>
      </c>
      <c r="F35" s="2594" t="s">
        <v>68</v>
      </c>
      <c r="G35" s="2528" t="e">
        <f ca="1">g*WF_P*(b_in+ICOM+D33)</f>
        <v>#REF!</v>
      </c>
      <c r="H35" s="2528" t="s">
        <v>189</v>
      </c>
      <c r="I35" s="2526" t="s">
        <v>64</v>
      </c>
      <c r="J35" s="2546" t="e">
        <f ca="1">G35/G34</f>
        <v>#REF!</v>
      </c>
    </row>
    <row r="36" spans="1:19" s="25" customFormat="1" ht="20.100000000000001" customHeight="1">
      <c r="A36" s="2577" t="s">
        <v>103</v>
      </c>
      <c r="B36" s="2526" t="s">
        <v>99</v>
      </c>
      <c r="C36" s="2528" t="e">
        <f ca="1">IF(ISERROR(MATCH($D$35,Possible_Axle_Diameter,0)),1,0)+MATCH($D$35,Possible_Axle_Diameter,1)</f>
        <v>#REF!</v>
      </c>
      <c r="D36" s="2532" t="e">
        <f ca="1">IF($D$26=0,9999,IF(Forced_REG_B,N$6,IF($D$35&gt;MAX(Possible_Axle_Diameter),MAX(Possible_Axle_Diameter),INDEX(Possible_Axle_Diameter,1,$C$36))))</f>
        <v>#REF!</v>
      </c>
      <c r="E36" s="2528" t="s">
        <v>136</v>
      </c>
      <c r="F36" s="2526" t="s">
        <v>304</v>
      </c>
      <c r="G36" s="2518" t="e">
        <f ca="1">10^3*Impeller_W*g*(D33/1000+ICOM/1000)^2*((D33/1000+ICOM/1000)+D32/1000)/(3*E_Nmm2*10^6*PI()/64*(D35/1000)^4)</f>
        <v>#REF!</v>
      </c>
      <c r="H36" s="2516" t="s">
        <v>223</v>
      </c>
      <c r="I36" s="2518" t="e">
        <f ca="1">3*PI()/64*E_Nmm2*10^6*(D35/1000)^4/((Fan_Max_rpm*2*PI()/60)^2*Impeller_W*(D33/1000+ICOM/1000)^2*((D33/1000+ICOM/1000)+D32/1000))</f>
        <v>#REF!</v>
      </c>
      <c r="J36" s="2519">
        <f>Force_R_limit</f>
        <v>2</v>
      </c>
      <c r="K36" s="13"/>
      <c r="L36" s="13"/>
      <c r="M36" s="13"/>
      <c r="N36" s="13"/>
      <c r="O36" s="13"/>
      <c r="P36" s="13"/>
      <c r="Q36" s="13"/>
      <c r="R36" s="13"/>
      <c r="S36" s="13"/>
    </row>
    <row r="37" spans="1:19" s="25" customFormat="1" ht="20.100000000000001" customHeight="1">
      <c r="A37" s="2577" t="s">
        <v>40</v>
      </c>
      <c r="B37" s="2526" t="s">
        <v>102</v>
      </c>
      <c r="C37" s="46"/>
      <c r="D37" s="2543">
        <v>45</v>
      </c>
      <c r="E37" s="2528" t="s">
        <v>136</v>
      </c>
      <c r="K37" s="13"/>
      <c r="L37" s="13"/>
      <c r="M37" s="13"/>
      <c r="N37" s="13"/>
      <c r="O37" s="13"/>
      <c r="P37" s="13"/>
      <c r="Q37" s="13"/>
      <c r="R37" s="13"/>
      <c r="S37" s="13"/>
    </row>
    <row r="38" spans="1:19" s="25" customFormat="1" ht="20.100000000000001" customHeight="1">
      <c r="A38" s="2578"/>
      <c r="B38" s="2586" t="s">
        <v>4084</v>
      </c>
      <c r="C38" s="2516">
        <f>PI()/4*($D$37/1000)^2*steel_density</f>
        <v>12.484885554906686</v>
      </c>
      <c r="D38" s="2586" t="s">
        <v>357</v>
      </c>
      <c r="E38" s="20"/>
      <c r="J38" s="2519"/>
      <c r="K38" s="13"/>
      <c r="L38" s="13"/>
      <c r="M38" s="13"/>
      <c r="N38" s="13"/>
      <c r="O38" s="13"/>
      <c r="P38" s="13"/>
      <c r="Q38" s="13"/>
      <c r="R38" s="13"/>
      <c r="S38" s="13"/>
    </row>
    <row r="39" spans="1:19" s="25" customFormat="1" ht="20.100000000000001" customHeight="1">
      <c r="A39" s="2577"/>
      <c r="B39" s="2536" t="s">
        <v>4073</v>
      </c>
      <c r="C39" s="2516" t="e">
        <f ca="1">$C$38*$D$33/1000</f>
        <v>#REF!</v>
      </c>
      <c r="D39" s="2516" t="s">
        <v>4074</v>
      </c>
      <c r="E39" s="2516" t="e">
        <f ca="1">$C$38*$D$32/1000</f>
        <v>#REF!</v>
      </c>
      <c r="F39" s="2515"/>
      <c r="G39" s="2515"/>
      <c r="H39" s="2515"/>
      <c r="I39" s="2515"/>
      <c r="J39" s="2520"/>
      <c r="K39" s="13"/>
      <c r="L39" s="13"/>
      <c r="M39" s="13"/>
      <c r="N39" s="13"/>
      <c r="O39" s="13"/>
      <c r="P39" s="13"/>
      <c r="Q39" s="13"/>
      <c r="R39" s="13"/>
      <c r="S39" s="13"/>
    </row>
    <row r="40" spans="1:19" s="25" customFormat="1" ht="20.100000000000001" customHeight="1">
      <c r="A40" s="2577"/>
      <c r="B40" s="2536" t="s">
        <v>4079</v>
      </c>
      <c r="C40" s="2526" t="e">
        <f ca="1">($D$33+ICOM)-($C$39+$E$39/2)*(($D$33+$D$32/2)/2-ICOM)/$E$40</f>
        <v>#REF!</v>
      </c>
      <c r="D40" s="2536" t="s">
        <v>4163</v>
      </c>
      <c r="E40" s="2526" t="e">
        <f ca="1">Impeller_W+$C$39+$E$39/2</f>
        <v>#REF!</v>
      </c>
      <c r="J40" s="2519"/>
      <c r="K40" s="13"/>
      <c r="L40" s="13"/>
      <c r="M40" s="13"/>
      <c r="N40" s="13"/>
      <c r="O40" s="13"/>
      <c r="P40" s="13"/>
      <c r="Q40" s="13"/>
      <c r="R40" s="13"/>
      <c r="S40" s="13"/>
    </row>
    <row r="41" spans="1:19" s="25" customFormat="1" ht="20.100000000000001" customHeight="1">
      <c r="A41" s="2577"/>
      <c r="B41" s="2536" t="s">
        <v>4075</v>
      </c>
      <c r="C41" s="3145" t="e">
        <f ca="1">1/8*$C$39*(($D$37/2000)^2+1/3*($D$33/1000)^2)+1/8*1/2*$E$39*(($D$37/2000)^2+1/3*(1/2*$D$32/1000)^2)+($C$39+$E$39/2)*(1/2*$D$32/1000/2-$D$33/1000/2)^2</f>
        <v>#REF!</v>
      </c>
      <c r="D41" s="2516" t="s">
        <v>4076</v>
      </c>
      <c r="E41" s="3146" t="e">
        <f ca="1">($C$39+$E$39)/2*($D$37/2/1000)^2</f>
        <v>#REF!</v>
      </c>
      <c r="J41" s="2519"/>
      <c r="K41" s="13"/>
      <c r="L41" s="13"/>
      <c r="M41" s="13"/>
      <c r="N41" s="13"/>
      <c r="O41" s="13"/>
      <c r="P41" s="13"/>
      <c r="Q41" s="13"/>
      <c r="R41" s="13"/>
      <c r="S41" s="13"/>
    </row>
    <row r="42" spans="1:19" s="25" customFormat="1" ht="20.100000000000001" customHeight="1">
      <c r="A42" s="2577"/>
      <c r="B42" s="2526" t="s">
        <v>4077</v>
      </c>
      <c r="C42" s="3135" t="e">
        <f ca="1">Imoi_1+$C$41+$E$40*($C$40/1000)^2</f>
        <v>#REF!</v>
      </c>
      <c r="D42" s="2516" t="s">
        <v>4078</v>
      </c>
      <c r="E42" s="3151" t="e">
        <f ca="1">Imoi_3+$E$41</f>
        <v>#REF!</v>
      </c>
      <c r="F42" s="2517" t="s">
        <v>4081</v>
      </c>
      <c r="G42" s="2558">
        <f>MATCH(D37,'Axle &amp; Accessories Specs'!$A$151:$A$254,0)</f>
        <v>12</v>
      </c>
      <c r="H42" s="2559"/>
      <c r="I42" s="2559"/>
      <c r="J42" s="2560"/>
      <c r="K42" s="13"/>
      <c r="L42" s="13"/>
      <c r="M42" s="13"/>
      <c r="N42" s="13"/>
      <c r="O42" s="13"/>
      <c r="P42" s="13"/>
      <c r="Q42" s="13"/>
      <c r="R42" s="13"/>
      <c r="S42" s="13"/>
    </row>
    <row r="43" spans="1:19" s="25" customFormat="1" ht="20.100000000000001" customHeight="1">
      <c r="A43" s="2579"/>
      <c r="B43" s="2538" t="s">
        <v>4161</v>
      </c>
      <c r="C43" s="3150" t="e">
        <f ca="1">$E$40*$C$40/1000*($D$33+ICOM)/1000/2+Imoi_1+$C$41</f>
        <v>#REF!</v>
      </c>
      <c r="D43" s="2538" t="s">
        <v>4162</v>
      </c>
      <c r="E43" s="2855" t="e">
        <f ca="1">$E$40*(($D$33+ICOM)/1000/2)^2+Imoi_1+$C$41</f>
        <v>#REF!</v>
      </c>
      <c r="F43" s="2526" t="s">
        <v>2653</v>
      </c>
      <c r="G43" s="2539">
        <f>IF(Forced_PDN_B,$N$3,INDEX(Possible_PDN_Bearings,$G$42+1,COLUMN(C$1)))</f>
        <v>0</v>
      </c>
      <c r="H43" s="2540">
        <f>INDEX(Possible_PDN_Bearings,$G$42+1,COLUMN(D$1))</f>
        <v>0</v>
      </c>
      <c r="I43" s="2541">
        <f>INDEX(Possible_PDN_Bearings,$G$42+1,COLUMN(E$1))</f>
        <v>0</v>
      </c>
      <c r="J43" s="2542">
        <f>INDEX(Possible_PDN_Bearings,$G$42+1,COLUMN(F$1))</f>
        <v>0</v>
      </c>
      <c r="K43" s="13"/>
      <c r="L43" s="13"/>
      <c r="M43" s="13"/>
      <c r="N43" s="13"/>
      <c r="O43" s="13"/>
      <c r="P43" s="13"/>
      <c r="Q43" s="13"/>
      <c r="R43" s="13"/>
      <c r="S43" s="13"/>
    </row>
    <row r="44" spans="1:19" ht="20.100000000000001" customHeight="1">
      <c r="A44" s="2579"/>
      <c r="B44" s="2536" t="s">
        <v>4164</v>
      </c>
      <c r="C44" s="3135" t="e">
        <f ca="1">PI()/64*E_Nmm2*10^6*($D$37/1000)^4/(1/3*$D$32/1000+1/2*($D$33/1000+ICOM/1000))</f>
        <v>#REF!</v>
      </c>
      <c r="D44" s="2536" t="s">
        <v>4165</v>
      </c>
      <c r="E44" s="3135" t="e">
        <f ca="1">PI()/64*E_Nmm2*10^6*($D$37/1000)^4/(1/3*D$32/1000+($D$33/1000+ICOM/1000))</f>
        <v>#REF!</v>
      </c>
      <c r="F44" s="2526" t="s">
        <v>2666</v>
      </c>
      <c r="G44" s="2544">
        <f>IF(G$43=0,0,IF(Forced_PDN_B,0,INDEX(Possible_PDN_Bearings,$G$42,COLUMN(C$1))))</f>
        <v>0</v>
      </c>
      <c r="H44" s="2545">
        <f>IF(H$43=0,0,INDEX(Possible_PDN_Bearings,$G$42,COLUMN(D$1)))</f>
        <v>0</v>
      </c>
      <c r="I44" s="2526">
        <f>IF(I$43=0,0,INDEX(Possible_PDN_Bearings,$G$42,COLUMN(E$1)))</f>
        <v>0</v>
      </c>
      <c r="J44" s="2546">
        <f>IF(J$43=0,0,INDEX(Possible_PDN_Bearings,$G$42,COLUMN(F$1)))</f>
        <v>0</v>
      </c>
    </row>
    <row r="45" spans="1:19" ht="20.100000000000001" customHeight="1">
      <c r="A45" s="2579"/>
      <c r="B45" s="25" t="s">
        <v>4166</v>
      </c>
      <c r="C45" s="2586" t="e">
        <f ca="1">SQRT(1-4*$C$44*$E$44*($C$42*$E$43-$C$43^2)/($E$44*$C$42+$C$44*$E$43)^2)</f>
        <v>#REF!</v>
      </c>
      <c r="D45" s="2526" t="s">
        <v>4167</v>
      </c>
      <c r="E45" s="2526" t="e">
        <f ca="1">SQRT(1/2*($E$44*$C$42+$C$44*$E$43)/($C$42*$E$43-$C$43^2))</f>
        <v>#REF!</v>
      </c>
      <c r="F45" s="2536" t="s">
        <v>1777</v>
      </c>
      <c r="G45" s="2547">
        <f>IF(G$43=0,0,IF(Forced_PDN_B,$N$27,INDEX(Possible_PDN_Bearings,$G$42+2,COLUMN(C$1))))</f>
        <v>0</v>
      </c>
      <c r="H45" s="2545">
        <f>IF(H$43=0,0,INDEX(Possible_PDN_Bearings,$G$42+2,COLUMN(D$1)))</f>
        <v>0</v>
      </c>
      <c r="I45" s="2526">
        <f>IF(I$43=0,0,INDEX(Possible_PDN_Bearings,$G$42+2,COLUMN(E$1)))</f>
        <v>0</v>
      </c>
      <c r="J45" s="2546">
        <f>IF(J$43=0,0,INDEX(Possible_PDN_Bearings,$G$42+2,COLUMN(F$1)))</f>
        <v>0</v>
      </c>
    </row>
    <row r="46" spans="1:19" ht="20.100000000000001" customHeight="1">
      <c r="A46" s="2577" t="s">
        <v>4082</v>
      </c>
      <c r="B46" s="2528" t="e">
        <f ca="1">MIN($E$45*SQRT(1-$C$45),$E$45*SQRT(1+$C$45))</f>
        <v>#REF!</v>
      </c>
      <c r="C46" s="17" t="e">
        <f ca="1">$B46/(2*PI())</f>
        <v>#REF!</v>
      </c>
      <c r="D46" s="2532" t="e">
        <f ca="1">IF($D$26=0,0,60*$C46)</f>
        <v>#REF!</v>
      </c>
      <c r="E46" s="2528" t="s">
        <v>186</v>
      </c>
      <c r="F46" s="2536" t="s">
        <v>2648</v>
      </c>
      <c r="G46" s="2549">
        <f>IF(Forced_PDN_B,$N$7,IF(G$43=0,MIN_PDN_H1,VLOOKUP($F46,PDN_B_Specs,G$44,FALSE)))</f>
        <v>60</v>
      </c>
      <c r="H46" s="2545">
        <f>IF(H$43=0,0,VLOOKUP($F46,PDN_B_Specs,H$44,FALSE))</f>
        <v>0</v>
      </c>
      <c r="I46" s="2536">
        <f>IF(I$43=0,0,VLOOKUP($F46,PDN_B_Specs,I$44,FALSE))</f>
        <v>0</v>
      </c>
      <c r="J46" s="2550">
        <f>IF(J$43=0,0,VLOOKUP($F46,PDN_B_Specs,J$44,FALSE))</f>
        <v>0</v>
      </c>
      <c r="L46" s="25"/>
      <c r="M46" s="25"/>
      <c r="N46" s="25"/>
      <c r="O46" s="25"/>
      <c r="P46" s="25"/>
      <c r="Q46" s="25"/>
      <c r="R46" s="25"/>
      <c r="S46" s="25"/>
    </row>
    <row r="47" spans="1:19" ht="20.100000000000001" customHeight="1">
      <c r="A47" s="2579"/>
      <c r="B47" s="13"/>
      <c r="C47" s="2526" t="s">
        <v>4168</v>
      </c>
      <c r="D47" s="3145" t="e">
        <f ca="1">$B$46^2*$C$42</f>
        <v>#REF!</v>
      </c>
      <c r="E47" s="2531"/>
      <c r="F47" s="2536" t="s">
        <v>2649</v>
      </c>
      <c r="G47" s="2551">
        <f>IF(Forced_PDN_B,$N$11,IF(G$43=0,MIN_PDN_N1,VLOOKUP($F47,PDN_B_Specs,G$44,FALSE)))</f>
        <v>14</v>
      </c>
      <c r="H47" s="2552">
        <f t="shared" ref="H47:J48" si="0">IF(H$43=0,0,VLOOKUP($F47,PDN_B_Specs,MATCH(H$43,PDN_Bearing_Type,0),FALSE))</f>
        <v>0</v>
      </c>
      <c r="I47" s="2528">
        <f t="shared" si="0"/>
        <v>0</v>
      </c>
      <c r="J47" s="2529">
        <f t="shared" si="0"/>
        <v>0</v>
      </c>
      <c r="M47" s="3142"/>
      <c r="N47" s="2548"/>
      <c r="O47" s="2531"/>
      <c r="P47" s="25"/>
      <c r="Q47" s="25"/>
      <c r="R47" s="25"/>
      <c r="S47" s="25"/>
    </row>
    <row r="48" spans="1:19" ht="20.100000000000001" customHeight="1" thickBot="1">
      <c r="A48" s="3137" t="s">
        <v>4080</v>
      </c>
      <c r="B48" s="2554" t="e">
        <f ca="1">IF($D$26=0,0,$B$46*SQRT(1+$E$42^2*(RPM*2*PI()/60)^2/(4*$D$47*$C$42)))</f>
        <v>#REF!</v>
      </c>
      <c r="C48" s="23" t="e">
        <f ca="1">$B48/(2*PI())</f>
        <v>#REF!</v>
      </c>
      <c r="D48" s="2602" t="e">
        <f ca="1">IF($D$26=0,0,60*$C48)</f>
        <v>#REF!</v>
      </c>
      <c r="E48" s="3138" t="s">
        <v>186</v>
      </c>
      <c r="F48" s="2553" t="s">
        <v>1412</v>
      </c>
      <c r="G48" s="2555">
        <f>IF(Forced_PDN_B,$N$9,IF(G$43=0,MIN_PDN_BHW,VLOOKUP($F48,PDN_B_Specs,G$44,FALSE)))</f>
        <v>45</v>
      </c>
      <c r="H48" s="2556">
        <f t="shared" si="0"/>
        <v>0</v>
      </c>
      <c r="I48" s="2554">
        <f t="shared" si="0"/>
        <v>0</v>
      </c>
      <c r="J48" s="2557">
        <f t="shared" si="0"/>
        <v>0</v>
      </c>
    </row>
    <row r="49" spans="1:14" ht="20.100000000000001" customHeight="1" thickBot="1">
      <c r="A49" s="2584" t="s">
        <v>74</v>
      </c>
      <c r="B49" s="2611"/>
      <c r="C49" s="782"/>
      <c r="D49" s="782"/>
      <c r="E49" s="782"/>
      <c r="F49" s="782"/>
      <c r="G49" s="782"/>
      <c r="H49" s="782"/>
      <c r="I49" s="782"/>
      <c r="J49" s="787"/>
    </row>
    <row r="50" spans="1:14" ht="20.100000000000001" customHeight="1">
      <c r="A50" s="2590" t="s">
        <v>116</v>
      </c>
      <c r="B50" s="2613"/>
      <c r="C50" s="29"/>
      <c r="D50" s="29"/>
      <c r="E50" s="30"/>
      <c r="F50" s="30"/>
      <c r="G50" s="31"/>
      <c r="H50" s="32"/>
      <c r="I50" s="33"/>
      <c r="J50" s="34"/>
    </row>
    <row r="51" spans="1:14" ht="20.100000000000001" customHeight="1">
      <c r="A51" s="2588" t="s">
        <v>341</v>
      </c>
      <c r="B51" s="2614"/>
      <c r="C51" s="275"/>
      <c r="D51" s="273" t="str">
        <f>$D$1</f>
        <v>Minimum</v>
      </c>
      <c r="E51" s="271"/>
      <c r="F51" s="271"/>
      <c r="G51" s="271"/>
      <c r="H51" s="271"/>
      <c r="I51" s="271"/>
      <c r="J51" s="272"/>
    </row>
    <row r="52" spans="1:14" ht="20.100000000000001" customHeight="1">
      <c r="A52" s="2577" t="s">
        <v>0</v>
      </c>
      <c r="B52" s="2615"/>
      <c r="C52" s="17"/>
      <c r="D52" s="1348">
        <f>G$43</f>
        <v>0</v>
      </c>
      <c r="E52" s="1351">
        <f>H$43</f>
        <v>0</v>
      </c>
      <c r="F52" s="41">
        <f t="shared" ref="F52:G52" si="1">I$43</f>
        <v>0</v>
      </c>
      <c r="G52" s="1352">
        <f t="shared" si="1"/>
        <v>0</v>
      </c>
      <c r="J52" s="42"/>
    </row>
    <row r="53" spans="1:14" ht="20.100000000000001" customHeight="1">
      <c r="A53" s="2577" t="s">
        <v>309</v>
      </c>
      <c r="B53" s="2615"/>
      <c r="C53" s="17"/>
      <c r="D53" s="1349">
        <f>IF(D$52=0,0,IF(Forced_PDN_B,N4,IF(D$52=0,0,VLOOKUP($A53,PDN_B_Specs,G$44,FALSE))))</f>
        <v>0</v>
      </c>
      <c r="E53" s="1326">
        <f>IF(E$52=0,0,VLOOKUP($A53,PDN_B_Specs,H$44,FALSE))</f>
        <v>0</v>
      </c>
      <c r="F53" s="20">
        <f>IF(F$52=0,0,VLOOKUP($A53,PDN_B_Specs,I$44,FALSE))</f>
        <v>0</v>
      </c>
      <c r="G53" s="1353">
        <f>IF(G$52=0,0,VLOOKUP($A53,PDN_B_Specs,J$44,FALSE))</f>
        <v>0</v>
      </c>
      <c r="I53" s="17"/>
      <c r="J53" s="19"/>
    </row>
    <row r="54" spans="1:14" ht="20.100000000000001" customHeight="1">
      <c r="A54" s="2577" t="s">
        <v>48</v>
      </c>
      <c r="B54" s="2615"/>
      <c r="C54" s="17"/>
      <c r="D54" s="1349">
        <f>IF(D$52=0,0,G$45)</f>
        <v>0</v>
      </c>
      <c r="E54" s="1326">
        <f>H$45</f>
        <v>0</v>
      </c>
      <c r="F54" s="20">
        <f t="shared" ref="F54:G54" si="2">I$45</f>
        <v>0</v>
      </c>
      <c r="G54" s="1353">
        <f t="shared" si="2"/>
        <v>0</v>
      </c>
      <c r="H54" s="17" t="s">
        <v>225</v>
      </c>
      <c r="I54" s="17"/>
      <c r="J54" s="19"/>
    </row>
    <row r="55" spans="1:14" s="25" customFormat="1" ht="20.100000000000001" customHeight="1">
      <c r="A55" s="2577" t="s">
        <v>226</v>
      </c>
      <c r="B55" s="2615"/>
      <c r="C55" s="17"/>
      <c r="D55" s="1349">
        <f>IF(D$52=0,0,IF(Forced_PDN_B,N21,VLOOKUP($A55,PDN_B_Specs,G$44,FALSE)))</f>
        <v>0</v>
      </c>
      <c r="E55" s="1326">
        <f>IF(E$52=0,0,VLOOKUP($A55,PDN_B_Specs,H$44,FALSE))</f>
        <v>0</v>
      </c>
      <c r="F55" s="20">
        <f>IF(F$52=0,0,VLOOKUP($A55,PDN_B_Specs,I$44,FALSE))</f>
        <v>0</v>
      </c>
      <c r="G55" s="1353">
        <f>IF(G$52=0,0,VLOOKUP($A55,PDN_B_Specs,J$44,FALSE))</f>
        <v>0</v>
      </c>
      <c r="H55" s="17" t="s">
        <v>227</v>
      </c>
      <c r="I55" s="17"/>
      <c r="J55" s="19"/>
      <c r="K55" s="13"/>
    </row>
    <row r="56" spans="1:14" s="25" customFormat="1" ht="20.100000000000001" customHeight="1">
      <c r="A56" s="2517" t="s">
        <v>1767</v>
      </c>
      <c r="B56" s="2580"/>
      <c r="C56" s="13"/>
      <c r="D56" s="1350">
        <f>IF(D$52=0,0,G$47)</f>
        <v>0</v>
      </c>
      <c r="E56" s="1354">
        <f>IF(E$52=0,0,H$47)</f>
        <v>0</v>
      </c>
      <c r="F56" s="1355">
        <f t="shared" ref="F56:G56" si="3">IF(F$52=0,0,I$47)</f>
        <v>0</v>
      </c>
      <c r="G56" s="1356">
        <f t="shared" si="3"/>
        <v>0</v>
      </c>
      <c r="H56" s="13" t="s">
        <v>136</v>
      </c>
      <c r="I56" s="17"/>
      <c r="J56" s="19"/>
      <c r="K56" s="13"/>
    </row>
    <row r="57" spans="1:14" s="25" customFormat="1" ht="20.100000000000001" customHeight="1">
      <c r="A57" s="2586" t="s">
        <v>1748</v>
      </c>
      <c r="B57" s="2615" t="s">
        <v>1758</v>
      </c>
      <c r="C57" s="20"/>
      <c r="D57" s="17">
        <f>IF($D$52=0,0,$D$27)</f>
        <v>0</v>
      </c>
      <c r="E57" s="17" t="s">
        <v>136</v>
      </c>
      <c r="F57" s="36"/>
      <c r="G57" s="36"/>
      <c r="H57" s="17"/>
      <c r="I57" s="13"/>
      <c r="J57" s="19"/>
      <c r="K57" s="13"/>
    </row>
    <row r="58" spans="1:14" s="25" customFormat="1" ht="20.100000000000001" customHeight="1">
      <c r="A58" s="2586" t="s">
        <v>1754</v>
      </c>
      <c r="B58" s="2594" t="s">
        <v>1759</v>
      </c>
      <c r="C58" s="17"/>
      <c r="D58" s="36">
        <f>IF($D$52=0,0,$D$29)</f>
        <v>0</v>
      </c>
      <c r="E58" s="17" t="s">
        <v>136</v>
      </c>
      <c r="F58" s="17"/>
      <c r="G58" s="36"/>
      <c r="H58" s="17"/>
      <c r="J58" s="19"/>
      <c r="K58" s="13"/>
    </row>
    <row r="59" spans="1:14" ht="20.100000000000001" customHeight="1">
      <c r="A59" s="2586" t="s">
        <v>1755</v>
      </c>
      <c r="B59" s="2594" t="s">
        <v>1760</v>
      </c>
      <c r="C59" s="17"/>
      <c r="D59" s="36">
        <f>IF($D$52=0,0,$D$30)</f>
        <v>0</v>
      </c>
      <c r="E59" s="17" t="s">
        <v>136</v>
      </c>
      <c r="F59" s="17"/>
      <c r="G59" s="36"/>
      <c r="H59" s="17"/>
      <c r="I59" s="25"/>
      <c r="J59" s="19"/>
      <c r="M59" s="25"/>
      <c r="N59" s="25"/>
    </row>
    <row r="60" spans="1:14" ht="20.100000000000001" customHeight="1">
      <c r="A60" s="2586" t="s">
        <v>1756</v>
      </c>
      <c r="B60" s="2594" t="s">
        <v>1761</v>
      </c>
      <c r="C60" s="17"/>
      <c r="D60" s="36">
        <f>IF($D$52=0,0,$D$31)</f>
        <v>0</v>
      </c>
      <c r="E60" s="17" t="s">
        <v>136</v>
      </c>
      <c r="F60" s="17"/>
      <c r="G60" s="36"/>
      <c r="H60" s="17"/>
      <c r="I60" s="25"/>
      <c r="J60" s="19"/>
      <c r="M60" s="25"/>
      <c r="N60" s="25"/>
    </row>
    <row r="61" spans="1:14" ht="20.100000000000001" customHeight="1">
      <c r="A61" s="2577" t="s">
        <v>41</v>
      </c>
      <c r="B61" s="2594" t="s">
        <v>1283</v>
      </c>
      <c r="C61" s="17"/>
      <c r="D61" s="36">
        <f>IF($D$52=0,0,$D$32)</f>
        <v>0</v>
      </c>
      <c r="E61" s="17" t="s">
        <v>136</v>
      </c>
      <c r="F61" s="17"/>
      <c r="G61" s="17"/>
      <c r="H61" s="17"/>
      <c r="I61" s="17"/>
      <c r="J61" s="19"/>
      <c r="M61" s="25"/>
      <c r="N61" s="25"/>
    </row>
    <row r="62" spans="1:14" ht="20.100000000000001" customHeight="1">
      <c r="A62" s="2577" t="s">
        <v>1273</v>
      </c>
      <c r="B62" s="2594" t="s">
        <v>1281</v>
      </c>
      <c r="C62" s="17"/>
      <c r="D62" s="36">
        <f>IF($D$52=0,0,$D$33)</f>
        <v>0</v>
      </c>
      <c r="E62" s="17" t="s">
        <v>136</v>
      </c>
      <c r="F62" s="36"/>
      <c r="G62" s="17"/>
      <c r="H62" s="17"/>
      <c r="I62" s="25"/>
      <c r="J62" s="19"/>
    </row>
    <row r="63" spans="1:14" ht="20.100000000000001" customHeight="1">
      <c r="A63" s="2586" t="s">
        <v>1274</v>
      </c>
      <c r="B63" s="2594" t="s">
        <v>1282</v>
      </c>
      <c r="C63" s="20"/>
      <c r="D63" s="20">
        <f>$D$57+$D$58</f>
        <v>0</v>
      </c>
      <c r="E63" s="17" t="s">
        <v>136</v>
      </c>
      <c r="F63" s="36"/>
      <c r="G63" s="17"/>
      <c r="H63" s="17"/>
      <c r="I63" s="17"/>
      <c r="J63" s="19"/>
    </row>
    <row r="64" spans="1:14" ht="20.100000000000001" customHeight="1">
      <c r="A64" s="2577" t="s">
        <v>71</v>
      </c>
      <c r="B64" s="2615"/>
      <c r="C64" s="17"/>
      <c r="D64" s="20">
        <f>IF($D$52=0,0,$D$57+$D$58+$D$60+$D$61)</f>
        <v>0</v>
      </c>
      <c r="E64" s="17" t="s">
        <v>136</v>
      </c>
      <c r="F64" s="20"/>
      <c r="G64" s="20"/>
      <c r="H64" s="17"/>
      <c r="I64" s="17"/>
      <c r="J64" s="19"/>
    </row>
    <row r="65" spans="1:14" ht="20.100000000000001" customHeight="1">
      <c r="A65" s="2595"/>
      <c r="B65" s="41" t="s">
        <v>2670</v>
      </c>
      <c r="C65" s="41" t="s">
        <v>4154</v>
      </c>
      <c r="D65" s="41"/>
      <c r="E65" s="41"/>
      <c r="F65" s="41"/>
      <c r="G65" s="41" t="s">
        <v>2670</v>
      </c>
      <c r="H65" s="41" t="s">
        <v>4154</v>
      </c>
      <c r="I65" s="41"/>
      <c r="J65" s="3141"/>
    </row>
    <row r="66" spans="1:14" ht="20.100000000000001" customHeight="1">
      <c r="A66" s="2577" t="s">
        <v>4082</v>
      </c>
      <c r="B66" s="20" t="e">
        <f ca="1">B46</f>
        <v>#REF!</v>
      </c>
      <c r="C66" s="17" t="e">
        <f ca="1">C46</f>
        <v>#REF!</v>
      </c>
      <c r="D66" s="17" t="e">
        <f ca="1">D46</f>
        <v>#REF!</v>
      </c>
      <c r="E66" s="17" t="s">
        <v>186</v>
      </c>
      <c r="F66" s="17" t="s">
        <v>4083</v>
      </c>
      <c r="G66" s="13" t="e">
        <f ca="1">B48</f>
        <v>#REF!</v>
      </c>
      <c r="H66" s="13" t="e">
        <f ca="1">C48</f>
        <v>#REF!</v>
      </c>
      <c r="I66" s="13" t="e">
        <f ca="1">D48</f>
        <v>#REF!</v>
      </c>
      <c r="J66" s="19" t="s">
        <v>186</v>
      </c>
    </row>
    <row r="67" spans="1:14" ht="20.100000000000001" customHeight="1" thickBot="1">
      <c r="A67" s="2581"/>
      <c r="B67" s="2616"/>
      <c r="C67" s="23"/>
      <c r="D67" s="23"/>
      <c r="E67" s="23"/>
      <c r="F67" s="23"/>
      <c r="G67" s="23"/>
      <c r="H67" s="22"/>
      <c r="I67" s="23"/>
      <c r="J67" s="24"/>
    </row>
    <row r="68" spans="1:14" ht="20.100000000000001" customHeight="1">
      <c r="A68" s="2590" t="s">
        <v>1141</v>
      </c>
      <c r="B68" s="2617"/>
      <c r="C68" s="112"/>
      <c r="D68" s="112"/>
      <c r="E68" s="113"/>
      <c r="F68" s="112"/>
      <c r="G68" s="112"/>
      <c r="H68" s="112"/>
      <c r="I68" s="112"/>
      <c r="J68" s="114"/>
      <c r="M68" s="3778" t="s">
        <v>2581</v>
      </c>
      <c r="N68" s="3779"/>
    </row>
    <row r="69" spans="1:14" ht="20.100000000000001" customHeight="1">
      <c r="A69" s="2577" t="s">
        <v>288</v>
      </c>
      <c r="D69" s="20">
        <f>IF($N69&lt;&gt;0,$N69,IF($D52=0,0,INDEX(Coupling_Selection,MATCH("OK",Coupling_OK,0),2)))</f>
        <v>0</v>
      </c>
      <c r="E69" s="20"/>
      <c r="F69" s="20" t="s">
        <v>2650</v>
      </c>
      <c r="G69" s="20">
        <f>IF($D52=0,0,INDEX(Coupling_Selection,MATCH("OK",Coupling_OK,0),1))</f>
        <v>0</v>
      </c>
      <c r="H69" s="20"/>
      <c r="I69" s="20"/>
      <c r="J69" s="45"/>
      <c r="M69" s="1190" t="s">
        <v>288</v>
      </c>
      <c r="N69" s="1191">
        <v>0</v>
      </c>
    </row>
    <row r="70" spans="1:14" ht="20.100000000000001" customHeight="1">
      <c r="A70" s="2577" t="s">
        <v>123</v>
      </c>
      <c r="D70" s="20">
        <f>IF($N70&lt;&gt;0,$N70,IF($D52=0,0,INDEX(Coupling_Selection,$G$69,3)))</f>
        <v>0</v>
      </c>
      <c r="E70" s="35" t="s">
        <v>232</v>
      </c>
      <c r="F70" s="20"/>
      <c r="G70" s="20"/>
      <c r="H70" s="20"/>
      <c r="I70" s="20"/>
      <c r="J70" s="45"/>
      <c r="M70" s="1190" t="s">
        <v>123</v>
      </c>
      <c r="N70" s="1191">
        <v>0</v>
      </c>
    </row>
    <row r="71" spans="1:14" ht="20.100000000000001" customHeight="1">
      <c r="A71" s="2577" t="s">
        <v>122</v>
      </c>
      <c r="D71" s="20">
        <f>IF($N71&lt;&gt;0,$N71,IF($D52=0,0,INDEX(Coupling_Selection,$G$69,4)))</f>
        <v>0</v>
      </c>
      <c r="E71" s="35" t="s">
        <v>134</v>
      </c>
      <c r="F71" s="20"/>
      <c r="G71" s="20"/>
      <c r="H71" s="20"/>
      <c r="I71" s="20"/>
      <c r="J71" s="45"/>
      <c r="K71" s="25"/>
      <c r="M71" s="1190" t="s">
        <v>122</v>
      </c>
      <c r="N71" s="1191">
        <v>0</v>
      </c>
    </row>
    <row r="72" spans="1:14" ht="20.100000000000001" customHeight="1">
      <c r="A72" s="2577" t="s">
        <v>121</v>
      </c>
      <c r="D72" s="20">
        <f>IF($N72&lt;&gt;0,$N72,IF($D52=0,0,INDEX(Coupling_Selection,$G$69,5)))</f>
        <v>0</v>
      </c>
      <c r="E72" s="35" t="s">
        <v>136</v>
      </c>
      <c r="F72" s="20"/>
      <c r="G72" s="20"/>
      <c r="H72" s="20"/>
      <c r="I72" s="20"/>
      <c r="J72" s="45"/>
      <c r="M72" s="1190" t="s">
        <v>121</v>
      </c>
      <c r="N72" s="1191">
        <v>0</v>
      </c>
    </row>
    <row r="73" spans="1:14" ht="20.100000000000001" customHeight="1">
      <c r="A73" s="2577" t="s">
        <v>1275</v>
      </c>
      <c r="B73" s="2615"/>
      <c r="C73" s="17"/>
      <c r="D73" s="37">
        <f>IF($D52=0,0,$D$74+$D$60)</f>
        <v>0</v>
      </c>
      <c r="E73" s="17" t="s">
        <v>136</v>
      </c>
      <c r="F73" s="20"/>
      <c r="G73" s="20"/>
      <c r="H73" s="20"/>
      <c r="I73" s="20"/>
      <c r="J73" s="45"/>
      <c r="M73" s="1413"/>
      <c r="N73" s="1414"/>
    </row>
    <row r="74" spans="1:14" ht="20.100000000000001" customHeight="1">
      <c r="A74" s="2577" t="s">
        <v>1757</v>
      </c>
      <c r="B74" s="2615"/>
      <c r="C74" s="17"/>
      <c r="D74" s="36">
        <f>IF($N74&lt;&gt;0,$N74,IF($D52=0,0,IF(ISERROR($D$69),$D$58,ROUNDUP(INDEX(Coupling_Selection,$G$69,11)/5,0)*5)+MAX(0,(IF(ISERROR(VLOOKUP($D$52,REG_B_constr_data,$G$74,FALSE)),0,VLOOKUP($D$52,REG_B_constr_data,$G$74,FALSE)/2-$D$60)))))</f>
        <v>0</v>
      </c>
      <c r="E74" s="17" t="s">
        <v>136</v>
      </c>
      <c r="F74" s="20" t="s">
        <v>2650</v>
      </c>
      <c r="G74" s="20">
        <f>MATCH("A",'Bearing Data'!$A$2:$M$2,0)</f>
        <v>12</v>
      </c>
      <c r="H74" s="20"/>
      <c r="I74" s="20"/>
      <c r="J74" s="45"/>
      <c r="M74" s="38" t="s">
        <v>1757</v>
      </c>
      <c r="N74" s="1399">
        <v>0</v>
      </c>
    </row>
    <row r="75" spans="1:14" ht="20.100000000000001" customHeight="1" thickBot="1">
      <c r="A75" s="2577" t="s">
        <v>2517</v>
      </c>
      <c r="B75" s="2615"/>
      <c r="C75" s="17"/>
      <c r="D75" s="20">
        <f>IF($N75&lt;&gt;0,$N75,IF($D52=0,0,INDEX(Coupling_Selection,$G$69,9)))</f>
        <v>0</v>
      </c>
      <c r="E75" s="17" t="s">
        <v>136</v>
      </c>
      <c r="F75" s="20"/>
      <c r="G75" s="20"/>
      <c r="H75" s="20"/>
      <c r="I75" s="20"/>
      <c r="J75" s="45"/>
      <c r="M75" s="1192" t="s">
        <v>2517</v>
      </c>
      <c r="N75" s="1193">
        <v>0</v>
      </c>
    </row>
    <row r="76" spans="1:14" ht="20.100000000000001" customHeight="1" thickBot="1">
      <c r="A76" s="2581"/>
      <c r="B76" s="2610"/>
      <c r="C76" s="22"/>
      <c r="D76" s="22"/>
      <c r="E76" s="22"/>
      <c r="F76" s="22"/>
      <c r="G76" s="22"/>
      <c r="H76" s="22"/>
      <c r="I76" s="22"/>
      <c r="J76" s="111"/>
    </row>
    <row r="77" spans="1:14" ht="20.100000000000001" customHeight="1">
      <c r="A77" s="2596" t="s">
        <v>115</v>
      </c>
      <c r="B77" s="2586"/>
      <c r="C77" s="17"/>
      <c r="D77" s="20"/>
      <c r="E77" s="17"/>
      <c r="F77" s="17"/>
      <c r="G77" s="17"/>
      <c r="H77" s="17"/>
      <c r="I77" s="17"/>
      <c r="J77" s="19"/>
    </row>
    <row r="78" spans="1:14" ht="20.100000000000001" customHeight="1">
      <c r="A78" s="2597" t="s">
        <v>50</v>
      </c>
      <c r="B78" s="2618" t="s">
        <v>43</v>
      </c>
      <c r="C78" s="40"/>
      <c r="D78" s="41">
        <f>$D$37</f>
        <v>45</v>
      </c>
      <c r="E78" s="40" t="s">
        <v>136</v>
      </c>
      <c r="F78" s="41" t="s">
        <v>304</v>
      </c>
      <c r="G78" s="848">
        <f>IF(D78=0,0,10^3*Impeller_W*g*(D62/1000+ICOM/1000)^2*((D62/1000+ICOM/1000)+D61/1000)/(3*E_Nmm2*10^6*PI()/64*(D78/1000)^4))</f>
        <v>1.7341785570957006E-2</v>
      </c>
      <c r="H78" s="40" t="s">
        <v>224</v>
      </c>
      <c r="I78" s="849">
        <f>IF(D78=0,0,3*PI()/64*E_Nmm2*10^6*(D78/1000)^4/((Fan_Max_rpm*2*PI()/60)^2*Impeller_W*(D62/1000+ICOM/1000)^2*((D62/1000+ICOM/1000)+D61/1000)))</f>
        <v>5.7298416239474461</v>
      </c>
      <c r="J78" s="42"/>
    </row>
    <row r="79" spans="1:14" ht="20.100000000000001" customHeight="1">
      <c r="A79" s="2577" t="s">
        <v>49</v>
      </c>
      <c r="B79" s="2615"/>
      <c r="C79" s="17"/>
      <c r="D79" s="20"/>
      <c r="E79" s="17"/>
      <c r="F79" s="17"/>
      <c r="G79" s="17"/>
      <c r="H79" s="17"/>
      <c r="I79" s="17"/>
      <c r="J79" s="19"/>
    </row>
    <row r="80" spans="1:14" ht="20.100000000000001" customHeight="1">
      <c r="A80" s="2577" t="s">
        <v>2754</v>
      </c>
      <c r="B80" s="2615"/>
      <c r="C80" s="17"/>
      <c r="D80" s="20"/>
      <c r="E80" s="17"/>
      <c r="F80" s="20"/>
      <c r="G80" s="240"/>
      <c r="H80" s="17"/>
      <c r="I80" s="239"/>
      <c r="J80" s="19"/>
    </row>
    <row r="81" spans="1:10" ht="20.100000000000001" customHeight="1">
      <c r="A81" s="2577"/>
      <c r="B81" s="2615"/>
      <c r="C81" s="17"/>
      <c r="D81" s="20"/>
      <c r="E81" s="17"/>
      <c r="F81" s="20"/>
      <c r="G81" s="240"/>
      <c r="H81" s="17"/>
      <c r="I81" s="239"/>
      <c r="J81" s="19"/>
    </row>
    <row r="82" spans="1:10" ht="20.100000000000001" customHeight="1">
      <c r="A82" s="2577"/>
      <c r="B82" s="2615"/>
      <c r="C82" s="17"/>
      <c r="D82" s="20"/>
      <c r="E82" s="17"/>
      <c r="F82" s="20"/>
      <c r="G82" s="240"/>
      <c r="H82" s="17"/>
      <c r="I82" s="239"/>
      <c r="J82" s="19"/>
    </row>
    <row r="83" spans="1:10" ht="20.100000000000001" customHeight="1">
      <c r="A83" s="2577"/>
      <c r="B83" s="2615"/>
      <c r="C83" s="17"/>
      <c r="D83" s="20"/>
      <c r="E83" s="17"/>
      <c r="F83" s="20"/>
      <c r="G83" s="240"/>
      <c r="H83" s="17"/>
      <c r="I83" s="239"/>
      <c r="J83" s="19"/>
    </row>
    <row r="84" spans="1:10" ht="20.100000000000001" customHeight="1">
      <c r="A84" s="2577"/>
      <c r="B84" s="2615"/>
      <c r="C84" s="17"/>
      <c r="D84" s="20"/>
      <c r="E84" s="17"/>
      <c r="F84" s="20"/>
      <c r="G84" s="240"/>
      <c r="H84" s="17"/>
      <c r="I84" s="239"/>
      <c r="J84" s="19"/>
    </row>
    <row r="85" spans="1:10" ht="20.100000000000001" customHeight="1">
      <c r="A85" s="2577" t="s">
        <v>2750</v>
      </c>
      <c r="B85" s="2615"/>
      <c r="C85" s="17"/>
      <c r="D85" s="20"/>
      <c r="E85" s="17"/>
      <c r="F85" s="20"/>
      <c r="G85" s="240"/>
      <c r="H85" s="17"/>
      <c r="I85" s="239"/>
      <c r="J85" s="19"/>
    </row>
    <row r="86" spans="1:10" ht="20.100000000000001" customHeight="1">
      <c r="A86" s="2577"/>
      <c r="B86" s="2615"/>
      <c r="C86" s="17"/>
      <c r="D86" s="20"/>
      <c r="E86" s="17"/>
      <c r="F86" s="20"/>
      <c r="G86" s="240"/>
      <c r="H86" s="17"/>
      <c r="I86" s="239"/>
      <c r="J86" s="19"/>
    </row>
    <row r="87" spans="1:10" ht="20.100000000000001" customHeight="1">
      <c r="A87" s="2577"/>
      <c r="B87" s="2615"/>
      <c r="C87" s="17"/>
      <c r="D87" s="20"/>
      <c r="E87" s="17"/>
      <c r="F87" s="20"/>
      <c r="G87" s="240"/>
      <c r="H87" s="17"/>
      <c r="I87" s="239"/>
      <c r="J87" s="19"/>
    </row>
    <row r="88" spans="1:10" ht="20.100000000000001" customHeight="1">
      <c r="A88" s="2577"/>
      <c r="B88" s="2615"/>
      <c r="C88" s="17"/>
      <c r="D88" s="20"/>
      <c r="E88" s="17"/>
      <c r="F88" s="20"/>
      <c r="G88" s="240"/>
      <c r="H88" s="17"/>
      <c r="I88" s="239"/>
      <c r="J88" s="19"/>
    </row>
    <row r="89" spans="1:10" ht="20.100000000000001" customHeight="1">
      <c r="A89" s="2577" t="s">
        <v>1851</v>
      </c>
      <c r="B89" s="2586"/>
      <c r="C89" s="17"/>
      <c r="D89" s="20"/>
      <c r="E89" s="17"/>
      <c r="F89" s="17"/>
      <c r="G89" s="17"/>
      <c r="H89" s="17"/>
      <c r="I89" s="17"/>
      <c r="J89" s="19"/>
    </row>
    <row r="90" spans="1:10" ht="20.100000000000001" customHeight="1" thickBot="1">
      <c r="A90" s="2581"/>
      <c r="B90" s="2610"/>
      <c r="C90" s="23"/>
      <c r="D90" s="22"/>
      <c r="E90" s="43"/>
      <c r="F90" s="23"/>
      <c r="G90" s="23"/>
      <c r="H90" s="23"/>
      <c r="I90" s="23"/>
      <c r="J90" s="24"/>
    </row>
  </sheetData>
  <mergeCells count="3">
    <mergeCell ref="M1:N1"/>
    <mergeCell ref="M2:N2"/>
    <mergeCell ref="M68:N68"/>
  </mergeCells>
  <phoneticPr fontId="170" type="noConversion"/>
  <dataValidations disablePrompts="1" count="1">
    <dataValidation type="list" allowBlank="1" showInputMessage="1" showErrorMessage="1" sqref="B8">
      <formula1>"avg., min"</formula1>
    </dataValidation>
  </dataValidations>
  <pageMargins left="0.70866141732283472" right="0.70866141732283472" top="0.74803149606299213" bottom="0.74803149606299213" header="0.31496062992125984" footer="0.31496062992125984"/>
  <pageSetup paperSize="9" scale="33" orientation="landscape" r:id="rId1"/>
  <headerFooter>
    <oddHeader>&amp;L&amp;F / &amp;A&amp;R&amp;D</oddHeader>
    <oddFooter>&amp;L&amp;12CONFIDENTIAL&amp;C&amp;12BARKER JET&amp;Rpage &amp;P / &amp;N</oddFooter>
  </headerFooter>
  <drawing r:id="rId2"/>
  <legacyDrawing r:id="rId3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pageSetUpPr fitToPage="1"/>
  </sheetPr>
  <dimension ref="A1:DJ354"/>
  <sheetViews>
    <sheetView topLeftCell="A58" zoomScale="70" zoomScaleNormal="70" workbookViewId="0">
      <pane xSplit="2" topLeftCell="C1" activePane="topRight" state="frozen"/>
      <selection activeCell="C6" sqref="C6:G6"/>
      <selection pane="topRight" activeCell="A72" sqref="A72"/>
    </sheetView>
  </sheetViews>
  <sheetFormatPr defaultColWidth="15.7109375" defaultRowHeight="15.95" customHeight="1"/>
  <cols>
    <col min="1" max="1" width="24.85546875" style="3" customWidth="1"/>
    <col min="2" max="2" width="15.7109375" style="11"/>
    <col min="3" max="16384" width="15.7109375" style="3"/>
  </cols>
  <sheetData>
    <row r="1" spans="1:35" ht="15.95" customHeight="1" thickBot="1">
      <c r="A1" s="3791" t="s">
        <v>4833</v>
      </c>
      <c r="B1" s="3791"/>
      <c r="C1" s="107"/>
      <c r="D1" s="310"/>
      <c r="E1" s="310"/>
      <c r="F1" s="310"/>
      <c r="G1" s="310"/>
      <c r="L1" s="1"/>
      <c r="M1" s="2"/>
      <c r="N1" s="2"/>
      <c r="O1" s="2"/>
      <c r="P1" s="2"/>
      <c r="Q1" s="2"/>
      <c r="R1" s="2"/>
      <c r="S1" s="2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</row>
    <row r="2" spans="1:35" ht="15.95" customHeight="1" thickBot="1">
      <c r="A2" s="2563"/>
      <c r="B2" s="1199"/>
      <c r="C2" s="1200"/>
      <c r="D2" s="3792" t="s">
        <v>2590</v>
      </c>
      <c r="E2" s="3793"/>
      <c r="F2" s="2"/>
      <c r="G2" s="57"/>
      <c r="I2" s="3" t="s">
        <v>47</v>
      </c>
      <c r="J2" s="241">
        <v>20000</v>
      </c>
      <c r="K2" s="4" t="s">
        <v>225</v>
      </c>
      <c r="L2" s="59" t="s">
        <v>82</v>
      </c>
      <c r="M2" s="60" t="s">
        <v>84</v>
      </c>
      <c r="N2" s="4"/>
      <c r="O2" s="4"/>
      <c r="P2" s="4"/>
      <c r="Q2" s="4"/>
      <c r="R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</row>
    <row r="3" spans="1:35" ht="15.95" customHeight="1">
      <c r="A3" s="2564" t="s">
        <v>1852</v>
      </c>
      <c r="B3" s="1336">
        <v>148.5</v>
      </c>
      <c r="C3" s="1201"/>
      <c r="D3" s="2"/>
      <c r="E3" s="57"/>
      <c r="F3" s="2"/>
      <c r="G3" s="57"/>
      <c r="I3" s="3" t="s">
        <v>46</v>
      </c>
      <c r="J3" s="102">
        <v>40000000000</v>
      </c>
      <c r="K3" s="4" t="s">
        <v>225</v>
      </c>
      <c r="L3" s="251" t="s">
        <v>83</v>
      </c>
      <c r="M3" s="252">
        <v>0</v>
      </c>
      <c r="N3" s="253">
        <v>0.25</v>
      </c>
      <c r="O3" s="253">
        <v>0.5</v>
      </c>
      <c r="P3" s="253">
        <v>0.75</v>
      </c>
      <c r="Q3" s="253">
        <v>1</v>
      </c>
      <c r="R3" s="254"/>
      <c r="S3" s="2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</row>
    <row r="4" spans="1:35" ht="15.95" customHeight="1">
      <c r="A4" s="2564" t="s">
        <v>255</v>
      </c>
      <c r="B4" s="1336">
        <v>371.5</v>
      </c>
      <c r="C4" s="1201"/>
      <c r="D4" s="2"/>
      <c r="E4" s="57"/>
      <c r="F4" s="2"/>
      <c r="G4" s="57"/>
      <c r="I4" s="4"/>
      <c r="J4" s="4"/>
      <c r="K4" s="4"/>
      <c r="L4" s="255">
        <v>0</v>
      </c>
      <c r="M4" s="256">
        <v>1</v>
      </c>
      <c r="N4" s="257">
        <v>1</v>
      </c>
      <c r="O4" s="257"/>
      <c r="P4" s="257">
        <v>1</v>
      </c>
      <c r="Q4" s="257">
        <v>1</v>
      </c>
      <c r="R4" s="257">
        <v>1</v>
      </c>
      <c r="S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</row>
    <row r="5" spans="1:35" ht="15.95" customHeight="1">
      <c r="A5" s="2564"/>
      <c r="B5" s="1336">
        <v>0</v>
      </c>
      <c r="C5" s="1201"/>
      <c r="D5" s="2"/>
      <c r="E5" s="57"/>
      <c r="F5" s="2"/>
      <c r="G5" s="57"/>
      <c r="I5" s="4"/>
      <c r="J5" s="4"/>
      <c r="K5" s="4"/>
      <c r="L5" s="258">
        <v>0.25</v>
      </c>
      <c r="M5" s="257">
        <v>1</v>
      </c>
      <c r="N5" s="256">
        <v>1</v>
      </c>
      <c r="O5" s="257">
        <v>1</v>
      </c>
      <c r="P5" s="257">
        <v>1</v>
      </c>
      <c r="Q5" s="257">
        <v>1</v>
      </c>
      <c r="R5" s="256">
        <v>1</v>
      </c>
      <c r="S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</row>
    <row r="6" spans="1:35" ht="15.95" customHeight="1">
      <c r="A6" s="2564" t="s">
        <v>98</v>
      </c>
      <c r="B6" s="1336">
        <v>45</v>
      </c>
      <c r="C6" s="1201">
        <f>IF(BTY_it="REG",MATCH(AD,$A$72:$DF$72,0),MATCH(AD,$A$101:$AE$101,0))</f>
        <v>5</v>
      </c>
      <c r="D6" s="4"/>
      <c r="E6" s="55"/>
      <c r="F6" s="55"/>
      <c r="G6" s="55"/>
      <c r="H6" s="56"/>
      <c r="I6" s="4"/>
      <c r="J6" s="4"/>
      <c r="K6" s="4"/>
      <c r="L6" s="258">
        <v>0.5</v>
      </c>
      <c r="M6" s="257">
        <v>1</v>
      </c>
      <c r="N6" s="257">
        <v>1</v>
      </c>
      <c r="O6" s="256">
        <v>1</v>
      </c>
      <c r="P6" s="257">
        <v>1</v>
      </c>
      <c r="Q6" s="257">
        <v>1</v>
      </c>
      <c r="R6" s="256">
        <v>1</v>
      </c>
      <c r="S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</row>
    <row r="7" spans="1:35" ht="15.95" customHeight="1">
      <c r="A7" s="2565"/>
      <c r="B7" s="1804"/>
      <c r="C7" s="1201"/>
      <c r="D7" s="4"/>
      <c r="E7" s="55"/>
      <c r="F7" s="55"/>
      <c r="G7" s="55"/>
      <c r="H7" s="56"/>
      <c r="I7" s="4"/>
      <c r="J7" s="4"/>
      <c r="K7" s="4"/>
      <c r="L7" s="258">
        <v>0.75</v>
      </c>
      <c r="M7" s="257">
        <v>1</v>
      </c>
      <c r="N7" s="257">
        <v>1</v>
      </c>
      <c r="O7" s="257">
        <v>1</v>
      </c>
      <c r="P7" s="256">
        <v>1</v>
      </c>
      <c r="Q7" s="257">
        <v>1</v>
      </c>
      <c r="R7" s="256">
        <v>1</v>
      </c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</row>
    <row r="8" spans="1:35" ht="15.95" customHeight="1">
      <c r="A8" s="2565"/>
      <c r="B8" s="2562"/>
      <c r="C8" s="1201"/>
      <c r="D8" s="4"/>
      <c r="E8" s="55"/>
      <c r="F8" s="55"/>
      <c r="G8" s="55"/>
      <c r="H8" s="56"/>
      <c r="I8" s="4"/>
      <c r="J8" s="4"/>
      <c r="K8" s="4"/>
      <c r="L8" s="258">
        <v>1</v>
      </c>
      <c r="M8" s="257">
        <v>1</v>
      </c>
      <c r="N8" s="257">
        <v>1</v>
      </c>
      <c r="O8" s="257">
        <v>1</v>
      </c>
      <c r="P8" s="257">
        <v>1</v>
      </c>
      <c r="Q8" s="256">
        <v>1</v>
      </c>
      <c r="R8" s="256">
        <v>1</v>
      </c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</row>
    <row r="9" spans="1:35" ht="15.95" customHeight="1">
      <c r="A9" s="2564"/>
      <c r="B9" s="1202"/>
      <c r="C9" s="1201"/>
      <c r="D9" s="51"/>
      <c r="E9" s="51"/>
      <c r="F9" s="51"/>
      <c r="G9" s="4"/>
      <c r="H9" s="4"/>
      <c r="I9" s="4"/>
      <c r="J9" s="4"/>
      <c r="K9" s="4"/>
      <c r="L9" s="259"/>
      <c r="M9" s="257">
        <v>1</v>
      </c>
      <c r="N9" s="256">
        <v>1</v>
      </c>
      <c r="O9" s="256">
        <v>1</v>
      </c>
      <c r="P9" s="256">
        <v>1</v>
      </c>
      <c r="Q9" s="256">
        <v>1</v>
      </c>
      <c r="R9" s="256">
        <v>1</v>
      </c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</row>
    <row r="10" spans="1:35" ht="15.95" customHeight="1" thickBot="1">
      <c r="A10" s="2566" t="s">
        <v>4</v>
      </c>
      <c r="B10" s="1789" t="s">
        <v>4833</v>
      </c>
      <c r="C10" s="1788">
        <f>IF(DRIVE_Type="Direct",1,2)</f>
        <v>1</v>
      </c>
      <c r="D10" s="51"/>
      <c r="E10" s="51" t="s">
        <v>1085</v>
      </c>
      <c r="F10" s="261">
        <v>2000</v>
      </c>
      <c r="G10" s="4" t="s">
        <v>1086</v>
      </c>
      <c r="H10" s="4" t="s">
        <v>1087</v>
      </c>
      <c r="I10" s="4">
        <f>IF(DRIVE_Type="BELT",1000*'Select Drive &amp; Motor'!$C$21*Powersafe/(2*PI()*Fan_Max_rpm/60*0.1)+F10,0)</f>
        <v>0</v>
      </c>
      <c r="J10" s="4" t="s">
        <v>1086</v>
      </c>
      <c r="K10" s="4"/>
      <c r="L10" s="51"/>
      <c r="M10" s="51"/>
      <c r="N10" s="51"/>
      <c r="O10" s="51"/>
      <c r="P10" s="51"/>
      <c r="Q10" s="51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</row>
    <row r="11" spans="1:35" ht="15.95" customHeight="1">
      <c r="A11" s="4"/>
      <c r="B11" s="4"/>
      <c r="C11" s="4"/>
      <c r="E11" s="4"/>
      <c r="F11" s="4"/>
      <c r="G11" s="4"/>
      <c r="H11" s="4"/>
      <c r="I11" s="4"/>
      <c r="J11" s="4"/>
      <c r="K11" s="4"/>
      <c r="L11" s="51"/>
      <c r="M11" s="51"/>
      <c r="N11" s="51"/>
      <c r="O11" s="51"/>
      <c r="P11" s="51"/>
      <c r="Q11" s="51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</row>
    <row r="12" spans="1:35" ht="15.95" customHeight="1">
      <c r="A12" s="3" t="s">
        <v>229</v>
      </c>
      <c r="B12" s="3">
        <f>IF(DRIVE_Type="Direct",Pt*g*PI()/4*(d_1/1000)^2,0)</f>
        <v>3754.5119202682349</v>
      </c>
      <c r="C12" s="3" t="s">
        <v>14</v>
      </c>
      <c r="D12" s="3" t="s">
        <v>231</v>
      </c>
      <c r="G12" s="12"/>
      <c r="L12" s="2"/>
      <c r="M12" s="2"/>
      <c r="N12" s="2"/>
      <c r="O12" s="55"/>
      <c r="P12" s="55"/>
      <c r="Q12" s="55"/>
      <c r="R12" s="55"/>
      <c r="S12" s="55"/>
    </row>
    <row r="13" spans="1:35" ht="15.95" customHeight="1">
      <c r="A13" s="3" t="s">
        <v>15</v>
      </c>
      <c r="B13" s="3">
        <f>Impeller_W*g*(DBeBe+DIBe+ICOM)/DBeBe+DCB/DBeBe*Belt_force</f>
        <v>5959.1973699693681</v>
      </c>
      <c r="C13" s="3" t="s">
        <v>14</v>
      </c>
      <c r="G13" s="12"/>
      <c r="L13" s="2"/>
      <c r="M13" s="2"/>
      <c r="N13" s="2"/>
      <c r="O13" s="55"/>
      <c r="P13" s="55"/>
      <c r="Q13" s="55"/>
      <c r="R13" s="55"/>
      <c r="S13" s="55"/>
    </row>
    <row r="14" spans="1:35" ht="15.95" customHeight="1">
      <c r="A14" s="3" t="s">
        <v>230</v>
      </c>
      <c r="B14" s="3">
        <f>IF(DRIVE_Type="Direct",0,Pt*g*PI()/4*(d_1/1000)^2)</f>
        <v>0</v>
      </c>
      <c r="C14" s="3" t="s">
        <v>14</v>
      </c>
      <c r="D14" s="3" t="s">
        <v>231</v>
      </c>
      <c r="G14" s="12"/>
      <c r="L14" s="2"/>
      <c r="M14" s="2"/>
      <c r="N14" s="2"/>
      <c r="O14" s="55"/>
      <c r="P14" s="55"/>
      <c r="Q14" s="55"/>
      <c r="R14" s="55"/>
      <c r="S14" s="55"/>
    </row>
    <row r="15" spans="1:35" ht="15.95" customHeight="1">
      <c r="A15" s="3" t="s">
        <v>16</v>
      </c>
      <c r="B15" s="3">
        <f>Impeller_W*g*(DIBe+ICOM)/DBeBe+(DBeBe+DCB)/DBeBe*Belt_force</f>
        <v>2296.0770717466894</v>
      </c>
      <c r="C15" s="3" t="s">
        <v>14</v>
      </c>
      <c r="G15" s="12"/>
      <c r="L15" s="2"/>
      <c r="M15" s="2"/>
      <c r="N15" s="2"/>
      <c r="O15" s="55"/>
      <c r="P15" s="55"/>
      <c r="Q15" s="55"/>
      <c r="R15" s="55"/>
      <c r="S15" s="55"/>
    </row>
    <row r="16" spans="1:35" ht="15.95" customHeight="1">
      <c r="B16" s="3"/>
      <c r="G16" s="12"/>
      <c r="L16" s="2"/>
      <c r="M16" s="2"/>
      <c r="N16" s="2"/>
      <c r="O16" s="55"/>
      <c r="P16" s="55"/>
      <c r="Q16" s="55"/>
      <c r="R16" s="49"/>
      <c r="S16" s="49"/>
    </row>
    <row r="17" spans="1:85" ht="15.95" customHeight="1">
      <c r="A17" s="4" t="s">
        <v>63</v>
      </c>
      <c r="B17" s="58">
        <v>6000000</v>
      </c>
      <c r="C17" s="4" t="s">
        <v>44</v>
      </c>
      <c r="E17" s="4"/>
      <c r="F17" s="4"/>
      <c r="G17" s="4"/>
      <c r="H17" s="4"/>
      <c r="I17" s="4"/>
      <c r="J17" s="4"/>
      <c r="K17" s="4"/>
      <c r="L17" s="2"/>
      <c r="M17" s="2"/>
      <c r="N17" s="2"/>
      <c r="O17" s="2"/>
      <c r="P17" s="2"/>
      <c r="Q17" s="2"/>
      <c r="R17" s="49"/>
      <c r="S17" s="49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</row>
    <row r="18" spans="1:85" ht="15.95" customHeight="1">
      <c r="A18" s="4"/>
      <c r="B18" s="58"/>
      <c r="C18" s="4"/>
      <c r="D18" s="4"/>
      <c r="E18" s="4"/>
      <c r="F18" s="4"/>
      <c r="G18" s="4"/>
      <c r="L18" s="2"/>
      <c r="M18" s="2"/>
      <c r="N18" s="2"/>
      <c r="O18" s="55"/>
      <c r="P18" s="55"/>
      <c r="Q18" s="55"/>
      <c r="R18" s="55"/>
      <c r="S18" s="55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</row>
    <row r="20" spans="1:85" ht="15.95" customHeight="1">
      <c r="L20" s="2"/>
      <c r="M20" s="2"/>
      <c r="N20" s="2"/>
      <c r="O20" s="2"/>
      <c r="P20" s="2"/>
      <c r="Q20" s="2"/>
      <c r="R20" s="49"/>
      <c r="S20" s="49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</row>
    <row r="21" spans="1:85" ht="15.95" customHeight="1">
      <c r="M21" s="2"/>
      <c r="N21" s="2"/>
      <c r="O21" s="2"/>
      <c r="P21" s="2"/>
      <c r="Q21" s="2"/>
      <c r="R21" s="61"/>
      <c r="S21" s="49"/>
      <c r="T21" s="49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</row>
    <row r="22" spans="1:85" ht="15.95" customHeight="1">
      <c r="A22" s="1198" t="s">
        <v>2589</v>
      </c>
      <c r="B22" s="1195"/>
      <c r="C22" s="1194"/>
      <c r="D22" s="3790"/>
      <c r="E22" s="3790"/>
      <c r="F22" s="3790"/>
      <c r="G22" s="1194"/>
      <c r="H22" s="1196"/>
      <c r="I22" s="1196"/>
      <c r="J22" s="1196"/>
      <c r="K22" s="1196"/>
      <c r="L22" s="1194"/>
      <c r="M22" s="1194"/>
      <c r="N22" s="1194"/>
      <c r="O22" s="1197"/>
      <c r="P22" s="1197"/>
      <c r="Q22" s="1197"/>
      <c r="R22" s="1197"/>
      <c r="S22" s="1197"/>
      <c r="T22" s="1194"/>
      <c r="U22" s="1194"/>
      <c r="V22" s="1194"/>
      <c r="W22" s="1194"/>
      <c r="X22" s="1194"/>
      <c r="Y22" s="1194"/>
      <c r="Z22" s="1194"/>
      <c r="AA22" s="1194"/>
      <c r="AB22" s="1194"/>
      <c r="AC22" s="1194"/>
      <c r="AD22" s="1194"/>
      <c r="AE22" s="1194"/>
      <c r="AF22" s="1194"/>
      <c r="AG22" s="1194"/>
      <c r="AH22" s="1194"/>
      <c r="AI22" s="1194"/>
      <c r="AJ22" s="1196"/>
      <c r="AK22" s="1196"/>
      <c r="AL22" s="1196"/>
      <c r="AM22" s="1196"/>
      <c r="AN22" s="1196"/>
      <c r="AO22" s="1196"/>
      <c r="AP22" s="1196"/>
      <c r="AQ22" s="1196"/>
      <c r="AR22" s="1196"/>
      <c r="AS22" s="1196"/>
      <c r="AT22" s="1196"/>
      <c r="AU22" s="1196"/>
      <c r="AV22" s="1196"/>
      <c r="AW22" s="1196"/>
      <c r="AX22" s="1196"/>
      <c r="AY22" s="1196"/>
      <c r="AZ22" s="1196"/>
      <c r="BA22" s="1196"/>
      <c r="BB22" s="1196"/>
      <c r="BC22" s="1196"/>
      <c r="BD22" s="1196"/>
      <c r="BE22" s="1196"/>
      <c r="BF22" s="1196"/>
      <c r="BG22" s="1196"/>
      <c r="BH22" s="1196"/>
      <c r="BI22" s="1196"/>
      <c r="BJ22" s="1196"/>
      <c r="BK22" s="1196"/>
      <c r="BL22" s="1196"/>
      <c r="BM22" s="1196"/>
      <c r="BN22" s="1196"/>
      <c r="BO22" s="1196"/>
      <c r="BP22" s="1196"/>
      <c r="BQ22" s="1196"/>
      <c r="BR22" s="1196"/>
      <c r="BS22" s="1196"/>
      <c r="BT22" s="1196"/>
      <c r="BU22" s="1196"/>
      <c r="BV22" s="1196"/>
      <c r="BW22" s="1196"/>
      <c r="BX22" s="1196"/>
      <c r="BY22" s="1196"/>
      <c r="BZ22" s="1196"/>
      <c r="CA22" s="1196"/>
      <c r="CB22" s="1196"/>
      <c r="CC22" s="1196"/>
      <c r="CD22" s="1196"/>
      <c r="CE22" s="1196"/>
      <c r="CF22" s="1196"/>
      <c r="CG22" s="1196"/>
    </row>
    <row r="23" spans="1:85" ht="15.95" customHeight="1" thickBot="1">
      <c r="M23" s="2"/>
      <c r="N23" s="2"/>
      <c r="O23" s="2"/>
      <c r="P23" s="2"/>
      <c r="Q23" s="2"/>
      <c r="R23" s="61"/>
      <c r="S23" s="49"/>
      <c r="T23" s="49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</row>
    <row r="24" spans="1:85" ht="15.95" customHeight="1" thickBot="1">
      <c r="A24" s="1204" t="s">
        <v>2630</v>
      </c>
      <c r="B24" s="840"/>
      <c r="C24" s="1223">
        <v>0</v>
      </c>
      <c r="D24" s="1223">
        <v>750</v>
      </c>
      <c r="E24" s="1224">
        <v>900</v>
      </c>
      <c r="F24" s="1224">
        <v>1125</v>
      </c>
      <c r="G24" s="1223">
        <v>1350</v>
      </c>
      <c r="H24" s="1224">
        <v>1500</v>
      </c>
      <c r="I24" s="1224">
        <v>1800</v>
      </c>
      <c r="J24" s="1224">
        <v>2250</v>
      </c>
      <c r="K24" s="1224">
        <v>2700</v>
      </c>
      <c r="L24" s="1224">
        <v>3000</v>
      </c>
      <c r="M24" s="1224">
        <v>3600</v>
      </c>
      <c r="N24" s="1225">
        <v>4000</v>
      </c>
      <c r="O24" s="2"/>
      <c r="P24" s="2"/>
      <c r="Q24" s="2"/>
      <c r="R24" s="2"/>
      <c r="S24" s="2"/>
      <c r="T24" s="61"/>
      <c r="U24" s="49"/>
      <c r="V24" s="49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/>
      <c r="AK24" s="4"/>
      <c r="AL24" s="4"/>
    </row>
    <row r="25" spans="1:85" ht="15.95" customHeight="1" thickBot="1">
      <c r="J25" s="4"/>
      <c r="L25" s="4"/>
      <c r="M25" s="61"/>
      <c r="N25" s="61"/>
      <c r="O25" s="61"/>
      <c r="P25" s="61"/>
      <c r="Q25" s="61"/>
      <c r="R25" s="61"/>
      <c r="S25" s="49"/>
      <c r="T25" s="49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</row>
    <row r="26" spans="1:85" ht="15.95" customHeight="1" thickBot="1">
      <c r="A26" s="1204" t="s">
        <v>2591</v>
      </c>
      <c r="B26" s="841"/>
      <c r="C26" s="841"/>
      <c r="D26" s="1205">
        <v>9</v>
      </c>
      <c r="E26" s="1205">
        <v>11</v>
      </c>
      <c r="F26" s="1205">
        <v>14</v>
      </c>
      <c r="G26" s="1205">
        <v>19</v>
      </c>
      <c r="H26" s="1205">
        <v>24</v>
      </c>
      <c r="I26" s="1206">
        <v>28</v>
      </c>
      <c r="J26" s="1205">
        <v>38</v>
      </c>
      <c r="K26" s="1205">
        <v>42</v>
      </c>
      <c r="L26" s="1205">
        <v>48</v>
      </c>
      <c r="M26" s="1205">
        <v>55</v>
      </c>
      <c r="N26" s="1205">
        <v>60</v>
      </c>
      <c r="O26" s="1205">
        <v>65</v>
      </c>
      <c r="P26" s="1205">
        <v>75</v>
      </c>
      <c r="Q26" s="1205">
        <v>85</v>
      </c>
      <c r="R26" s="1205">
        <v>80</v>
      </c>
      <c r="S26" s="1205">
        <v>95</v>
      </c>
      <c r="T26" s="1207">
        <v>120</v>
      </c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</row>
    <row r="27" spans="1:85" ht="15.95" customHeight="1"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</row>
    <row r="28" spans="1:85" ht="15.95" customHeight="1">
      <c r="A28" s="51"/>
      <c r="B28" s="51"/>
      <c r="C28" s="51"/>
      <c r="D28" s="51"/>
      <c r="E28" s="51"/>
      <c r="F28" s="51"/>
      <c r="G28" s="4"/>
      <c r="H28" s="4"/>
      <c r="I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  <c r="AH28" s="4"/>
      <c r="AI28" s="4"/>
    </row>
    <row r="29" spans="1:85" ht="15.95" customHeight="1" thickBot="1">
      <c r="A29" s="67" t="s">
        <v>114</v>
      </c>
    </row>
    <row r="30" spans="1:85" ht="15.95" customHeight="1" thickBot="1">
      <c r="A30" s="839" t="s">
        <v>59</v>
      </c>
      <c r="B30" s="840"/>
      <c r="C30" s="840">
        <f>D46</f>
        <v>10</v>
      </c>
      <c r="D30" s="840">
        <v>35</v>
      </c>
      <c r="E30" s="840">
        <v>40</v>
      </c>
      <c r="F30" s="840">
        <v>45</v>
      </c>
      <c r="G30" s="840">
        <v>50</v>
      </c>
      <c r="H30" s="840">
        <v>55</v>
      </c>
      <c r="I30" s="840">
        <v>60</v>
      </c>
      <c r="J30" s="840">
        <v>65</v>
      </c>
      <c r="K30" s="840">
        <v>70</v>
      </c>
      <c r="L30" s="840">
        <v>75</v>
      </c>
      <c r="M30" s="840">
        <v>80</v>
      </c>
      <c r="N30" s="840">
        <v>85</v>
      </c>
      <c r="O30" s="840">
        <v>90</v>
      </c>
      <c r="P30" s="840">
        <v>95</v>
      </c>
      <c r="Q30" s="840">
        <v>100</v>
      </c>
      <c r="R30" s="840">
        <v>105</v>
      </c>
      <c r="S30" s="840">
        <v>110</v>
      </c>
      <c r="T30" s="840">
        <v>115</v>
      </c>
      <c r="U30" s="840">
        <v>120</v>
      </c>
      <c r="V30" s="840">
        <v>125</v>
      </c>
      <c r="W30" s="840">
        <v>130</v>
      </c>
      <c r="X30" s="840">
        <v>135</v>
      </c>
      <c r="Y30" s="840">
        <v>140</v>
      </c>
      <c r="Z30" s="840">
        <v>145</v>
      </c>
      <c r="AA30" s="840">
        <v>150</v>
      </c>
      <c r="AB30" s="840">
        <v>155</v>
      </c>
      <c r="AC30" s="840">
        <v>160</v>
      </c>
      <c r="AD30" s="840">
        <v>170</v>
      </c>
      <c r="AE30" s="840">
        <v>180</v>
      </c>
      <c r="AF30" s="840">
        <v>190</v>
      </c>
      <c r="AG30" s="840">
        <v>200</v>
      </c>
      <c r="AH30" s="840">
        <v>210</v>
      </c>
      <c r="AI30" s="840">
        <v>220</v>
      </c>
      <c r="AJ30" s="1182">
        <v>250</v>
      </c>
      <c r="AK30" s="64"/>
      <c r="AL30" s="64"/>
      <c r="AM30" s="64"/>
      <c r="AN30" s="64"/>
      <c r="AO30" s="64"/>
      <c r="AP30" s="64"/>
      <c r="AQ30" s="64"/>
      <c r="AR30" s="64"/>
      <c r="AS30" s="64"/>
      <c r="AT30" s="64"/>
      <c r="AU30" s="64"/>
      <c r="AV30" s="64"/>
      <c r="AW30" s="64"/>
      <c r="AX30" s="64"/>
      <c r="AY30" s="64"/>
      <c r="AZ30" s="64"/>
      <c r="BA30" s="64"/>
      <c r="BB30" s="64"/>
      <c r="BC30" s="64"/>
      <c r="BD30" s="64"/>
      <c r="BE30" s="64"/>
      <c r="BF30" s="64"/>
      <c r="BG30" s="64"/>
      <c r="BH30" s="64"/>
      <c r="BI30" s="64"/>
    </row>
    <row r="31" spans="1:85" ht="15.95" customHeight="1">
      <c r="A31" s="843" t="s">
        <v>2754</v>
      </c>
      <c r="B31" s="58"/>
      <c r="C31" s="58" t="s">
        <v>2752</v>
      </c>
      <c r="D31" s="58" t="s">
        <v>2752</v>
      </c>
      <c r="E31" s="58" t="s">
        <v>2752</v>
      </c>
      <c r="F31" s="58" t="s">
        <v>2752</v>
      </c>
      <c r="G31" s="58" t="s">
        <v>2752</v>
      </c>
      <c r="H31" s="58" t="s">
        <v>2751</v>
      </c>
      <c r="I31" s="58" t="s">
        <v>2751</v>
      </c>
      <c r="J31" s="58" t="s">
        <v>2751</v>
      </c>
      <c r="K31" s="58" t="s">
        <v>2751</v>
      </c>
      <c r="L31" s="58" t="s">
        <v>2751</v>
      </c>
      <c r="M31" s="58" t="s">
        <v>2751</v>
      </c>
      <c r="N31" s="58" t="s">
        <v>2751</v>
      </c>
      <c r="O31" s="58" t="s">
        <v>2751</v>
      </c>
      <c r="P31" s="58" t="s">
        <v>2751</v>
      </c>
      <c r="Q31" s="58" t="s">
        <v>2751</v>
      </c>
      <c r="R31" s="58" t="s">
        <v>2751</v>
      </c>
      <c r="S31" s="58" t="s">
        <v>2751</v>
      </c>
      <c r="T31" s="58" t="s">
        <v>2751</v>
      </c>
      <c r="U31" s="58" t="s">
        <v>2751</v>
      </c>
      <c r="V31" s="58" t="s">
        <v>2751</v>
      </c>
      <c r="W31" s="58" t="s">
        <v>2751</v>
      </c>
      <c r="X31" s="58" t="s">
        <v>2751</v>
      </c>
      <c r="Y31" s="58" t="s">
        <v>2751</v>
      </c>
      <c r="Z31" s="58" t="s">
        <v>2751</v>
      </c>
      <c r="AA31" s="58" t="s">
        <v>2751</v>
      </c>
      <c r="AB31" s="58" t="s">
        <v>2751</v>
      </c>
      <c r="AC31" s="58" t="s">
        <v>2751</v>
      </c>
      <c r="AD31" s="58" t="s">
        <v>2751</v>
      </c>
      <c r="AE31" s="58" t="s">
        <v>2751</v>
      </c>
      <c r="AF31" s="58" t="s">
        <v>2751</v>
      </c>
      <c r="AG31" s="58" t="s">
        <v>2751</v>
      </c>
      <c r="AH31" s="58" t="s">
        <v>2751</v>
      </c>
      <c r="AI31" s="58" t="s">
        <v>2751</v>
      </c>
      <c r="AJ31" s="844" t="s">
        <v>2751</v>
      </c>
      <c r="AK31" s="4"/>
      <c r="AL31" s="4"/>
      <c r="AM31" s="4"/>
      <c r="AN31" s="4"/>
      <c r="AO31" s="4"/>
      <c r="AP31" s="4"/>
      <c r="AQ31" s="4"/>
      <c r="AR31" s="4"/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4"/>
      <c r="BD31" s="4"/>
      <c r="BE31" s="4"/>
      <c r="BF31" s="4"/>
      <c r="BG31" s="4"/>
      <c r="BH31" s="4"/>
      <c r="BI31" s="4"/>
    </row>
    <row r="32" spans="1:85" ht="15.95" customHeight="1">
      <c r="A32" s="843" t="s">
        <v>2582</v>
      </c>
      <c r="B32" s="58"/>
      <c r="C32" s="58">
        <v>10</v>
      </c>
      <c r="D32" s="58">
        <v>10</v>
      </c>
      <c r="E32" s="58">
        <v>10</v>
      </c>
      <c r="F32" s="58">
        <v>10</v>
      </c>
      <c r="G32" s="58">
        <v>10</v>
      </c>
      <c r="H32" s="58">
        <v>2</v>
      </c>
      <c r="I32" s="58">
        <v>2</v>
      </c>
      <c r="J32" s="58">
        <v>2</v>
      </c>
      <c r="K32" s="58">
        <v>2</v>
      </c>
      <c r="L32" s="58">
        <v>2</v>
      </c>
      <c r="M32" s="58">
        <v>2</v>
      </c>
      <c r="N32" s="58">
        <v>2</v>
      </c>
      <c r="O32" s="58">
        <v>2</v>
      </c>
      <c r="P32" s="58">
        <v>2</v>
      </c>
      <c r="Q32" s="58">
        <v>2</v>
      </c>
      <c r="R32" s="58">
        <v>2</v>
      </c>
      <c r="S32" s="58">
        <v>2</v>
      </c>
      <c r="T32" s="58">
        <v>2</v>
      </c>
      <c r="U32" s="58">
        <v>2</v>
      </c>
      <c r="V32" s="58">
        <v>2</v>
      </c>
      <c r="W32" s="58">
        <v>2</v>
      </c>
      <c r="X32" s="58">
        <v>2</v>
      </c>
      <c r="Y32" s="58">
        <v>2</v>
      </c>
      <c r="Z32" s="58">
        <v>2</v>
      </c>
      <c r="AA32" s="58">
        <v>2</v>
      </c>
      <c r="AB32" s="58">
        <v>2</v>
      </c>
      <c r="AC32" s="58">
        <v>2</v>
      </c>
      <c r="AD32" s="58">
        <v>2</v>
      </c>
      <c r="AE32" s="58">
        <v>2</v>
      </c>
      <c r="AF32" s="58">
        <v>2</v>
      </c>
      <c r="AG32" s="58">
        <v>2</v>
      </c>
      <c r="AH32" s="58">
        <v>2</v>
      </c>
      <c r="AI32" s="58">
        <v>2</v>
      </c>
      <c r="AJ32" s="844">
        <v>2</v>
      </c>
      <c r="AK32" s="4"/>
      <c r="AL32" s="4"/>
      <c r="AM32" s="4"/>
      <c r="AN32" s="4"/>
      <c r="AO32" s="4"/>
      <c r="AP32" s="4"/>
      <c r="AQ32" s="4"/>
      <c r="AR32" s="4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/>
      <c r="BH32" s="4"/>
      <c r="BI32" s="4"/>
    </row>
    <row r="33" spans="1:101" ht="15.95" customHeight="1">
      <c r="A33" s="843" t="s">
        <v>2587</v>
      </c>
      <c r="B33" s="58"/>
      <c r="C33" s="58"/>
      <c r="D33" s="58"/>
      <c r="E33" s="58"/>
      <c r="F33" s="58"/>
      <c r="G33" s="58"/>
      <c r="H33" s="58"/>
      <c r="I33" s="58"/>
      <c r="J33" s="58"/>
      <c r="K33" s="58"/>
      <c r="L33" s="58"/>
      <c r="M33" s="58"/>
      <c r="N33" s="58"/>
      <c r="O33" s="58"/>
      <c r="P33" s="58"/>
      <c r="Q33" s="58"/>
      <c r="R33" s="58"/>
      <c r="S33" s="58"/>
      <c r="T33" s="58"/>
      <c r="U33" s="58"/>
      <c r="V33" s="58"/>
      <c r="W33" s="58"/>
      <c r="X33" s="58"/>
      <c r="Y33" s="58"/>
      <c r="Z33" s="58"/>
      <c r="AA33" s="58"/>
      <c r="AB33" s="58"/>
      <c r="AC33" s="58"/>
      <c r="AD33" s="58"/>
      <c r="AE33" s="58"/>
      <c r="AF33" s="58"/>
      <c r="AG33" s="58"/>
      <c r="AH33" s="58"/>
      <c r="AI33" s="58"/>
      <c r="AJ33" s="844"/>
      <c r="AK33" s="4"/>
      <c r="AL33" s="4"/>
      <c r="AM33" s="4"/>
      <c r="AN33" s="4"/>
      <c r="AO33" s="4"/>
      <c r="AP33" s="4"/>
      <c r="AQ33" s="4"/>
      <c r="AR33" s="4"/>
      <c r="AS33" s="4"/>
      <c r="AT33" s="4"/>
      <c r="AU33" s="4"/>
      <c r="AV33" s="4"/>
      <c r="AW33" s="4"/>
      <c r="AX33" s="4"/>
      <c r="AY33" s="4"/>
      <c r="AZ33" s="4"/>
      <c r="BA33" s="4"/>
      <c r="BB33" s="4"/>
      <c r="BC33" s="4"/>
      <c r="BD33" s="4"/>
      <c r="BE33" s="4"/>
      <c r="BF33" s="4"/>
      <c r="BG33" s="4"/>
      <c r="BH33" s="4"/>
      <c r="BI33" s="4"/>
    </row>
    <row r="34" spans="1:101" ht="15.95" customHeight="1">
      <c r="A34" s="843" t="s">
        <v>2588</v>
      </c>
      <c r="B34" s="58"/>
      <c r="C34" s="58"/>
      <c r="D34" s="58"/>
      <c r="E34" s="58"/>
      <c r="F34" s="58"/>
      <c r="G34" s="58"/>
      <c r="H34" s="58"/>
      <c r="I34" s="58"/>
      <c r="J34" s="58"/>
      <c r="K34" s="58"/>
      <c r="L34" s="58"/>
      <c r="M34" s="58"/>
      <c r="N34" s="58"/>
      <c r="O34" s="58"/>
      <c r="P34" s="58"/>
      <c r="Q34" s="58"/>
      <c r="R34" s="58"/>
      <c r="S34" s="58"/>
      <c r="T34" s="58"/>
      <c r="U34" s="58"/>
      <c r="V34" s="58"/>
      <c r="W34" s="58"/>
      <c r="X34" s="58"/>
      <c r="Y34" s="58"/>
      <c r="Z34" s="58"/>
      <c r="AA34" s="58"/>
      <c r="AB34" s="58"/>
      <c r="AC34" s="58"/>
      <c r="AD34" s="58"/>
      <c r="AE34" s="58"/>
      <c r="AF34" s="58"/>
      <c r="AG34" s="58"/>
      <c r="AH34" s="58"/>
      <c r="AI34" s="58"/>
      <c r="AJ34" s="844"/>
      <c r="AK34" s="4"/>
      <c r="AL34" s="4"/>
      <c r="AM34" s="4"/>
      <c r="AN34" s="4"/>
      <c r="AO34" s="4"/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</row>
    <row r="35" spans="1:101" ht="15.95" customHeight="1">
      <c r="A35" s="843" t="s">
        <v>2585</v>
      </c>
      <c r="B35" s="58"/>
      <c r="C35" s="58"/>
      <c r="D35" s="58"/>
      <c r="E35" s="58"/>
      <c r="F35" s="58"/>
      <c r="G35" s="58"/>
      <c r="H35" s="58"/>
      <c r="I35" s="58"/>
      <c r="J35" s="58"/>
      <c r="K35" s="58"/>
      <c r="L35" s="58"/>
      <c r="M35" s="58"/>
      <c r="N35" s="58"/>
      <c r="O35" s="58"/>
      <c r="P35" s="58"/>
      <c r="Q35" s="58"/>
      <c r="R35" s="58"/>
      <c r="S35" s="58"/>
      <c r="T35" s="58"/>
      <c r="U35" s="58"/>
      <c r="V35" s="58"/>
      <c r="W35" s="58"/>
      <c r="X35" s="58"/>
      <c r="Y35" s="58"/>
      <c r="Z35" s="58"/>
      <c r="AA35" s="58"/>
      <c r="AB35" s="58"/>
      <c r="AC35" s="58"/>
      <c r="AD35" s="58"/>
      <c r="AE35" s="58"/>
      <c r="AF35" s="58"/>
      <c r="AG35" s="58"/>
      <c r="AH35" s="58"/>
      <c r="AI35" s="58"/>
      <c r="AJ35" s="844"/>
      <c r="AK35" s="4"/>
      <c r="AL35" s="4"/>
      <c r="AM35" s="4"/>
      <c r="AN35" s="4"/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</row>
    <row r="36" spans="1:101" ht="15.95" customHeight="1">
      <c r="A36" s="843" t="s">
        <v>2586</v>
      </c>
      <c r="B36" s="58"/>
      <c r="C36" s="58"/>
      <c r="D36" s="58"/>
      <c r="E36" s="58"/>
      <c r="F36" s="58"/>
      <c r="G36" s="58"/>
      <c r="H36" s="58"/>
      <c r="I36" s="58"/>
      <c r="J36" s="58"/>
      <c r="K36" s="58"/>
      <c r="L36" s="58"/>
      <c r="M36" s="58"/>
      <c r="N36" s="58"/>
      <c r="O36" s="58"/>
      <c r="P36" s="58"/>
      <c r="Q36" s="58"/>
      <c r="R36" s="58"/>
      <c r="S36" s="58"/>
      <c r="T36" s="58"/>
      <c r="U36" s="58"/>
      <c r="V36" s="58"/>
      <c r="W36" s="58"/>
      <c r="X36" s="58"/>
      <c r="Y36" s="58"/>
      <c r="Z36" s="58"/>
      <c r="AA36" s="58"/>
      <c r="AB36" s="58"/>
      <c r="AC36" s="58"/>
      <c r="AD36" s="58"/>
      <c r="AE36" s="58"/>
      <c r="AF36" s="58"/>
      <c r="AG36" s="58"/>
      <c r="AH36" s="58"/>
      <c r="AI36" s="58"/>
      <c r="AJ36" s="844"/>
      <c r="AK36" s="4"/>
      <c r="AL36" s="4"/>
      <c r="AM36" s="4"/>
      <c r="AN36" s="4"/>
      <c r="AO36" s="4"/>
      <c r="AP36" s="4"/>
      <c r="AQ36" s="4"/>
      <c r="AR36" s="4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</row>
    <row r="37" spans="1:101" ht="15.95" customHeight="1">
      <c r="A37" s="79" t="s">
        <v>2583</v>
      </c>
      <c r="B37" s="58"/>
      <c r="C37" s="4"/>
      <c r="D37" s="4">
        <v>28</v>
      </c>
      <c r="E37" s="4">
        <v>38</v>
      </c>
      <c r="F37" s="4">
        <v>42</v>
      </c>
      <c r="G37" s="4">
        <v>48</v>
      </c>
      <c r="H37" s="4">
        <v>55</v>
      </c>
      <c r="I37" s="4">
        <v>60</v>
      </c>
      <c r="J37" s="4">
        <v>65</v>
      </c>
      <c r="K37" s="4">
        <v>70</v>
      </c>
      <c r="L37" s="4">
        <v>75</v>
      </c>
      <c r="M37" s="4">
        <v>80</v>
      </c>
      <c r="N37" s="4">
        <v>85</v>
      </c>
      <c r="O37" s="4">
        <v>90</v>
      </c>
      <c r="P37" s="4">
        <v>95</v>
      </c>
      <c r="Q37" s="4">
        <v>100</v>
      </c>
      <c r="R37" s="4">
        <v>105</v>
      </c>
      <c r="S37" s="4">
        <v>110</v>
      </c>
      <c r="T37" s="4">
        <v>115</v>
      </c>
      <c r="U37" s="4">
        <v>120</v>
      </c>
      <c r="V37" s="4">
        <v>125</v>
      </c>
      <c r="W37" s="4">
        <v>130</v>
      </c>
      <c r="X37" s="4">
        <v>135</v>
      </c>
      <c r="Y37" s="4">
        <v>140</v>
      </c>
      <c r="Z37" s="4">
        <v>145</v>
      </c>
      <c r="AA37" s="4">
        <v>150</v>
      </c>
      <c r="AB37" s="4">
        <v>155</v>
      </c>
      <c r="AC37" s="4">
        <v>160</v>
      </c>
      <c r="AD37" s="4">
        <v>170</v>
      </c>
      <c r="AE37" s="4">
        <v>180</v>
      </c>
      <c r="AF37" s="4">
        <v>190</v>
      </c>
      <c r="AG37" s="4">
        <v>200</v>
      </c>
      <c r="AH37" s="4">
        <v>210</v>
      </c>
      <c r="AI37" s="4">
        <v>220</v>
      </c>
      <c r="AJ37" s="773">
        <v>250</v>
      </c>
    </row>
    <row r="38" spans="1:101" ht="15.95" customHeight="1">
      <c r="A38" s="79" t="s">
        <v>2753</v>
      </c>
      <c r="B38" s="58"/>
      <c r="C38" s="4"/>
      <c r="D38" s="4">
        <v>60</v>
      </c>
      <c r="E38" s="4">
        <v>80</v>
      </c>
      <c r="F38" s="4">
        <v>110</v>
      </c>
      <c r="G38" s="4">
        <v>110</v>
      </c>
      <c r="H38" s="4">
        <v>100</v>
      </c>
      <c r="I38" s="4">
        <v>100</v>
      </c>
      <c r="J38" s="4">
        <v>100</v>
      </c>
      <c r="K38" s="4">
        <v>100</v>
      </c>
      <c r="L38" s="4">
        <v>100</v>
      </c>
      <c r="M38" s="4">
        <v>110</v>
      </c>
      <c r="N38" s="4">
        <v>110</v>
      </c>
      <c r="O38" s="4">
        <v>110</v>
      </c>
      <c r="P38" s="4">
        <v>110</v>
      </c>
      <c r="Q38" s="4">
        <v>120</v>
      </c>
      <c r="R38" s="4">
        <v>120</v>
      </c>
      <c r="S38" s="4">
        <v>120</v>
      </c>
      <c r="T38" s="4">
        <v>140</v>
      </c>
      <c r="U38" s="4">
        <v>140</v>
      </c>
      <c r="V38" s="4">
        <v>140</v>
      </c>
      <c r="W38" s="4">
        <v>140</v>
      </c>
      <c r="X38" s="4">
        <v>140</v>
      </c>
      <c r="Y38" s="4">
        <v>140</v>
      </c>
      <c r="Z38" s="4">
        <v>140</v>
      </c>
      <c r="AA38" s="4">
        <v>140</v>
      </c>
      <c r="AB38" s="4">
        <v>140</v>
      </c>
      <c r="AC38" s="4">
        <v>140</v>
      </c>
      <c r="AD38" s="4">
        <v>140</v>
      </c>
      <c r="AE38" s="4">
        <v>140</v>
      </c>
      <c r="AF38" s="4">
        <v>140</v>
      </c>
      <c r="AG38" s="4">
        <v>140</v>
      </c>
      <c r="AH38" s="4">
        <v>140</v>
      </c>
      <c r="AI38" s="4">
        <v>140</v>
      </c>
      <c r="AJ38" s="773">
        <v>140</v>
      </c>
    </row>
    <row r="39" spans="1:101" ht="15.95" customHeight="1">
      <c r="A39" s="79" t="s">
        <v>117</v>
      </c>
      <c r="B39" s="4"/>
      <c r="C39" s="4"/>
      <c r="D39" s="4"/>
      <c r="E39" s="4"/>
      <c r="F39" s="4"/>
      <c r="G39" s="4"/>
      <c r="H39" s="4">
        <v>55</v>
      </c>
      <c r="I39" s="4">
        <v>60</v>
      </c>
      <c r="J39" s="4">
        <v>60</v>
      </c>
      <c r="K39" s="4">
        <v>60</v>
      </c>
      <c r="L39" s="4">
        <v>75</v>
      </c>
      <c r="M39" s="4">
        <v>75</v>
      </c>
      <c r="N39" s="4">
        <v>75</v>
      </c>
      <c r="O39" s="4">
        <v>75</v>
      </c>
      <c r="P39" s="4">
        <v>75</v>
      </c>
      <c r="Q39" s="4">
        <v>75</v>
      </c>
      <c r="R39" s="4">
        <v>75</v>
      </c>
      <c r="S39" s="4">
        <v>75</v>
      </c>
      <c r="T39" s="4">
        <v>75</v>
      </c>
      <c r="U39" s="4">
        <v>75</v>
      </c>
      <c r="V39" s="4">
        <v>75</v>
      </c>
      <c r="W39" s="4">
        <v>75</v>
      </c>
      <c r="X39" s="4">
        <v>75</v>
      </c>
      <c r="Y39" s="4">
        <v>75</v>
      </c>
      <c r="Z39" s="4">
        <v>75</v>
      </c>
      <c r="AA39" s="4">
        <v>75</v>
      </c>
      <c r="AB39" s="4">
        <v>75</v>
      </c>
      <c r="AC39" s="4">
        <v>75</v>
      </c>
      <c r="AD39" s="4">
        <v>75</v>
      </c>
      <c r="AE39" s="4">
        <v>75</v>
      </c>
      <c r="AF39" s="4">
        <v>75</v>
      </c>
      <c r="AG39" s="4">
        <v>75</v>
      </c>
      <c r="AH39" s="4">
        <v>75</v>
      </c>
      <c r="AI39" s="4">
        <v>75</v>
      </c>
      <c r="AJ39" s="773">
        <v>75</v>
      </c>
    </row>
    <row r="40" spans="1:101" ht="15.95" customHeight="1">
      <c r="A40" s="79" t="s">
        <v>2584</v>
      </c>
      <c r="B40" s="4"/>
      <c r="C40" s="4"/>
      <c r="D40" s="4">
        <v>24</v>
      </c>
      <c r="E40" s="4">
        <v>33</v>
      </c>
      <c r="F40" s="4">
        <v>37</v>
      </c>
      <c r="G40" s="4">
        <v>42.5</v>
      </c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773"/>
    </row>
    <row r="41" spans="1:101" ht="15.95" customHeight="1" thickBot="1">
      <c r="A41" s="774" t="s">
        <v>113</v>
      </c>
      <c r="B41" s="776"/>
      <c r="C41" s="776"/>
      <c r="D41" s="776">
        <v>10</v>
      </c>
      <c r="E41" s="776">
        <v>10</v>
      </c>
      <c r="F41" s="776">
        <v>10</v>
      </c>
      <c r="G41" s="776">
        <v>10</v>
      </c>
      <c r="H41" s="776">
        <v>30</v>
      </c>
      <c r="I41" s="776">
        <v>30</v>
      </c>
      <c r="J41" s="776">
        <v>30</v>
      </c>
      <c r="K41" s="776">
        <v>30</v>
      </c>
      <c r="L41" s="776">
        <v>30</v>
      </c>
      <c r="M41" s="776">
        <v>36</v>
      </c>
      <c r="N41" s="776">
        <v>36</v>
      </c>
      <c r="O41" s="776">
        <v>36</v>
      </c>
      <c r="P41" s="776">
        <v>36</v>
      </c>
      <c r="Q41" s="776">
        <v>36</v>
      </c>
      <c r="R41" s="776">
        <v>36</v>
      </c>
      <c r="S41" s="776">
        <v>36</v>
      </c>
      <c r="T41" s="776">
        <v>36</v>
      </c>
      <c r="U41" s="776">
        <v>36</v>
      </c>
      <c r="V41" s="776">
        <v>36</v>
      </c>
      <c r="W41" s="776">
        <v>36</v>
      </c>
      <c r="X41" s="776">
        <v>36</v>
      </c>
      <c r="Y41" s="776">
        <v>36</v>
      </c>
      <c r="Z41" s="776">
        <v>36</v>
      </c>
      <c r="AA41" s="776">
        <v>36</v>
      </c>
      <c r="AB41" s="776">
        <v>36</v>
      </c>
      <c r="AC41" s="776">
        <v>36</v>
      </c>
      <c r="AD41" s="776">
        <v>36</v>
      </c>
      <c r="AE41" s="776">
        <v>36</v>
      </c>
      <c r="AF41" s="776">
        <v>36</v>
      </c>
      <c r="AG41" s="776">
        <v>36</v>
      </c>
      <c r="AH41" s="776">
        <v>36</v>
      </c>
      <c r="AI41" s="776">
        <v>36</v>
      </c>
      <c r="AJ41" s="777">
        <v>36</v>
      </c>
    </row>
    <row r="42" spans="1:101" ht="15.95" customHeight="1"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</row>
    <row r="43" spans="1:101" ht="15.95" customHeight="1">
      <c r="A43" s="62"/>
      <c r="B43" s="63"/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Q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64"/>
      <c r="AF43" s="64"/>
      <c r="AG43" s="64"/>
      <c r="AH43" s="64"/>
      <c r="AI43" s="64"/>
      <c r="AJ43" s="64"/>
      <c r="AK43" s="64"/>
      <c r="AL43" s="64"/>
      <c r="AM43" s="64"/>
    </row>
    <row r="44" spans="1:101" ht="15.95" customHeight="1">
      <c r="A44" s="65">
        <v>1</v>
      </c>
      <c r="B44" s="58">
        <f>A44+1</f>
        <v>2</v>
      </c>
      <c r="C44" s="58">
        <f t="shared" ref="C44:BN44" si="0">B44+1</f>
        <v>3</v>
      </c>
      <c r="D44" s="58">
        <f t="shared" si="0"/>
        <v>4</v>
      </c>
      <c r="E44" s="58">
        <f t="shared" si="0"/>
        <v>5</v>
      </c>
      <c r="F44" s="58">
        <f t="shared" si="0"/>
        <v>6</v>
      </c>
      <c r="G44" s="58">
        <f t="shared" si="0"/>
        <v>7</v>
      </c>
      <c r="H44" s="58">
        <f t="shared" si="0"/>
        <v>8</v>
      </c>
      <c r="I44" s="58">
        <f t="shared" si="0"/>
        <v>9</v>
      </c>
      <c r="J44" s="58">
        <f t="shared" si="0"/>
        <v>10</v>
      </c>
      <c r="K44" s="58">
        <f t="shared" si="0"/>
        <v>11</v>
      </c>
      <c r="L44" s="58">
        <f t="shared" si="0"/>
        <v>12</v>
      </c>
      <c r="M44" s="58">
        <f t="shared" si="0"/>
        <v>13</v>
      </c>
      <c r="N44" s="58">
        <f t="shared" si="0"/>
        <v>14</v>
      </c>
      <c r="O44" s="58">
        <f t="shared" si="0"/>
        <v>15</v>
      </c>
      <c r="P44" s="58">
        <f t="shared" si="0"/>
        <v>16</v>
      </c>
      <c r="Q44" s="58">
        <f t="shared" si="0"/>
        <v>17</v>
      </c>
      <c r="R44" s="58">
        <f t="shared" si="0"/>
        <v>18</v>
      </c>
      <c r="S44" s="58">
        <f t="shared" si="0"/>
        <v>19</v>
      </c>
      <c r="T44" s="58">
        <f t="shared" si="0"/>
        <v>20</v>
      </c>
      <c r="U44" s="58">
        <f t="shared" si="0"/>
        <v>21</v>
      </c>
      <c r="V44" s="58">
        <f t="shared" si="0"/>
        <v>22</v>
      </c>
      <c r="W44" s="58">
        <f t="shared" si="0"/>
        <v>23</v>
      </c>
      <c r="X44" s="58">
        <f t="shared" si="0"/>
        <v>24</v>
      </c>
      <c r="Y44" s="58">
        <f t="shared" si="0"/>
        <v>25</v>
      </c>
      <c r="Z44" s="58">
        <f t="shared" si="0"/>
        <v>26</v>
      </c>
      <c r="AA44" s="58">
        <f t="shared" si="0"/>
        <v>27</v>
      </c>
      <c r="AB44" s="58">
        <f t="shared" si="0"/>
        <v>28</v>
      </c>
      <c r="AC44" s="58">
        <f t="shared" si="0"/>
        <v>29</v>
      </c>
      <c r="AD44" s="58">
        <f t="shared" si="0"/>
        <v>30</v>
      </c>
      <c r="AE44" s="58">
        <f t="shared" si="0"/>
        <v>31</v>
      </c>
      <c r="AF44" s="58">
        <f t="shared" si="0"/>
        <v>32</v>
      </c>
      <c r="AG44" s="58">
        <f t="shared" si="0"/>
        <v>33</v>
      </c>
      <c r="AH44" s="58">
        <f t="shared" si="0"/>
        <v>34</v>
      </c>
      <c r="AI44" s="58">
        <f t="shared" si="0"/>
        <v>35</v>
      </c>
      <c r="AJ44" s="58">
        <f t="shared" si="0"/>
        <v>36</v>
      </c>
      <c r="AK44" s="58">
        <f t="shared" si="0"/>
        <v>37</v>
      </c>
      <c r="AL44" s="58">
        <f t="shared" si="0"/>
        <v>38</v>
      </c>
      <c r="AM44" s="58">
        <f t="shared" si="0"/>
        <v>39</v>
      </c>
      <c r="AN44" s="58">
        <f t="shared" si="0"/>
        <v>40</v>
      </c>
      <c r="AO44" s="58">
        <f t="shared" si="0"/>
        <v>41</v>
      </c>
      <c r="AP44" s="58">
        <f t="shared" si="0"/>
        <v>42</v>
      </c>
      <c r="AQ44" s="58">
        <f t="shared" si="0"/>
        <v>43</v>
      </c>
      <c r="AR44" s="58">
        <f t="shared" si="0"/>
        <v>44</v>
      </c>
      <c r="AS44" s="58">
        <f t="shared" si="0"/>
        <v>45</v>
      </c>
      <c r="AT44" s="58">
        <f t="shared" si="0"/>
        <v>46</v>
      </c>
      <c r="AU44" s="58">
        <f t="shared" si="0"/>
        <v>47</v>
      </c>
      <c r="AV44" s="58">
        <f t="shared" si="0"/>
        <v>48</v>
      </c>
      <c r="AW44" s="58">
        <f t="shared" si="0"/>
        <v>49</v>
      </c>
      <c r="AX44" s="58">
        <f t="shared" si="0"/>
        <v>50</v>
      </c>
      <c r="AY44" s="58">
        <f t="shared" si="0"/>
        <v>51</v>
      </c>
      <c r="AZ44" s="58">
        <f t="shared" si="0"/>
        <v>52</v>
      </c>
      <c r="BA44" s="58">
        <f t="shared" si="0"/>
        <v>53</v>
      </c>
      <c r="BB44" s="58">
        <f t="shared" si="0"/>
        <v>54</v>
      </c>
      <c r="BC44" s="58">
        <f t="shared" si="0"/>
        <v>55</v>
      </c>
      <c r="BD44" s="58">
        <f t="shared" si="0"/>
        <v>56</v>
      </c>
      <c r="BE44" s="58">
        <f t="shared" si="0"/>
        <v>57</v>
      </c>
      <c r="BF44" s="58">
        <f t="shared" si="0"/>
        <v>58</v>
      </c>
      <c r="BG44" s="58">
        <f t="shared" si="0"/>
        <v>59</v>
      </c>
      <c r="BH44" s="58">
        <f t="shared" si="0"/>
        <v>60</v>
      </c>
      <c r="BI44" s="58">
        <f t="shared" si="0"/>
        <v>61</v>
      </c>
      <c r="BJ44" s="58">
        <f t="shared" si="0"/>
        <v>62</v>
      </c>
      <c r="BK44" s="58">
        <f t="shared" si="0"/>
        <v>63</v>
      </c>
      <c r="BL44" s="58">
        <f t="shared" si="0"/>
        <v>64</v>
      </c>
      <c r="BM44" s="58">
        <f t="shared" si="0"/>
        <v>65</v>
      </c>
      <c r="BN44" s="58">
        <f t="shared" si="0"/>
        <v>66</v>
      </c>
      <c r="BO44" s="58">
        <f t="shared" ref="BO44:CG44" si="1">BN44+1</f>
        <v>67</v>
      </c>
      <c r="BP44" s="58">
        <f t="shared" si="1"/>
        <v>68</v>
      </c>
      <c r="BQ44" s="58">
        <f t="shared" si="1"/>
        <v>69</v>
      </c>
      <c r="BR44" s="58">
        <f t="shared" si="1"/>
        <v>70</v>
      </c>
      <c r="BS44" s="58">
        <f t="shared" si="1"/>
        <v>71</v>
      </c>
      <c r="BT44" s="58">
        <f t="shared" si="1"/>
        <v>72</v>
      </c>
      <c r="BU44" s="58">
        <f t="shared" si="1"/>
        <v>73</v>
      </c>
      <c r="BV44" s="58">
        <f t="shared" si="1"/>
        <v>74</v>
      </c>
      <c r="BW44" s="58">
        <f t="shared" si="1"/>
        <v>75</v>
      </c>
      <c r="BX44" s="58">
        <f t="shared" si="1"/>
        <v>76</v>
      </c>
      <c r="BY44" s="58">
        <f t="shared" si="1"/>
        <v>77</v>
      </c>
      <c r="BZ44" s="58">
        <f t="shared" si="1"/>
        <v>78</v>
      </c>
      <c r="CA44" s="58">
        <f t="shared" si="1"/>
        <v>79</v>
      </c>
      <c r="CB44" s="58">
        <f t="shared" si="1"/>
        <v>80</v>
      </c>
      <c r="CC44" s="58">
        <f t="shared" si="1"/>
        <v>81</v>
      </c>
      <c r="CD44" s="58">
        <f t="shared" si="1"/>
        <v>82</v>
      </c>
      <c r="CE44" s="58">
        <f t="shared" si="1"/>
        <v>83</v>
      </c>
      <c r="CF44" s="58">
        <f t="shared" si="1"/>
        <v>84</v>
      </c>
      <c r="CG44" s="58">
        <f t="shared" si="1"/>
        <v>85</v>
      </c>
    </row>
    <row r="45" spans="1:101" ht="15.95" customHeight="1" thickBot="1">
      <c r="A45" s="66" t="s">
        <v>1842</v>
      </c>
      <c r="B45" s="58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4"/>
      <c r="AM45" s="4"/>
      <c r="AN45" s="4"/>
      <c r="AO45" s="4"/>
      <c r="AP45" s="4"/>
      <c r="AQ45" s="4"/>
      <c r="AR45" s="4"/>
      <c r="AS45" s="4"/>
      <c r="AT45" s="4"/>
      <c r="AU45" s="4"/>
    </row>
    <row r="46" spans="1:101" ht="15.95" customHeight="1" thickBot="1">
      <c r="A46" s="839" t="s">
        <v>2576</v>
      </c>
      <c r="B46" s="1011"/>
      <c r="C46" s="840"/>
      <c r="D46" s="1012">
        <v>10</v>
      </c>
      <c r="E46" s="1011"/>
      <c r="F46" s="840"/>
      <c r="G46" s="1012">
        <v>35</v>
      </c>
      <c r="H46" s="1011"/>
      <c r="I46" s="840"/>
      <c r="J46" s="1012">
        <v>40</v>
      </c>
      <c r="K46" s="1011"/>
      <c r="L46" s="840"/>
      <c r="M46" s="1012">
        <v>45</v>
      </c>
      <c r="N46" s="1011"/>
      <c r="O46" s="840"/>
      <c r="P46" s="1012">
        <v>50</v>
      </c>
      <c r="Q46" s="1011"/>
      <c r="R46" s="840"/>
      <c r="S46" s="1012">
        <v>55</v>
      </c>
      <c r="T46" s="1011"/>
      <c r="U46" s="840"/>
      <c r="V46" s="1012">
        <v>60</v>
      </c>
      <c r="W46" s="1011"/>
      <c r="X46" s="840"/>
      <c r="Y46" s="1012">
        <v>65</v>
      </c>
      <c r="Z46" s="1011"/>
      <c r="AA46" s="840"/>
      <c r="AB46" s="1012">
        <v>70</v>
      </c>
      <c r="AC46" s="1011"/>
      <c r="AD46" s="840"/>
      <c r="AE46" s="1012">
        <v>75</v>
      </c>
      <c r="AF46" s="1011"/>
      <c r="AG46" s="840"/>
      <c r="AH46" s="1012">
        <v>80</v>
      </c>
      <c r="AI46" s="1011"/>
      <c r="AJ46" s="840"/>
      <c r="AK46" s="1012">
        <v>85</v>
      </c>
      <c r="AL46" s="1011"/>
      <c r="AM46" s="840"/>
      <c r="AN46" s="1012">
        <v>90</v>
      </c>
      <c r="AO46" s="1011"/>
      <c r="AP46" s="840"/>
      <c r="AQ46" s="1012">
        <v>95</v>
      </c>
      <c r="AR46" s="1011"/>
      <c r="AS46" s="840"/>
      <c r="AT46" s="1012">
        <v>100</v>
      </c>
      <c r="AU46" s="1011"/>
      <c r="AV46" s="840"/>
      <c r="AW46" s="1012">
        <v>105</v>
      </c>
      <c r="AX46" s="1011"/>
      <c r="AY46" s="840"/>
      <c r="AZ46" s="1012">
        <v>110</v>
      </c>
      <c r="BA46" s="1011"/>
      <c r="BB46" s="840"/>
      <c r="BC46" s="1012">
        <v>115</v>
      </c>
      <c r="BD46" s="1011"/>
      <c r="BE46" s="840"/>
      <c r="BF46" s="1012">
        <v>120</v>
      </c>
      <c r="BG46" s="1011"/>
      <c r="BH46" s="840"/>
      <c r="BI46" s="1012">
        <v>125</v>
      </c>
      <c r="BJ46" s="1011"/>
      <c r="BK46" s="840"/>
      <c r="BL46" s="1012">
        <v>130</v>
      </c>
      <c r="BM46" s="1011"/>
      <c r="BN46" s="840"/>
      <c r="BO46" s="1012">
        <v>135</v>
      </c>
      <c r="BP46" s="1011"/>
      <c r="BQ46" s="840"/>
      <c r="BR46" s="1012">
        <v>140</v>
      </c>
      <c r="BS46" s="1011"/>
      <c r="BT46" s="840"/>
      <c r="BU46" s="1012">
        <v>145</v>
      </c>
      <c r="BV46" s="1011"/>
      <c r="BW46" s="840"/>
      <c r="BX46" s="1012">
        <v>150</v>
      </c>
      <c r="BY46" s="1011"/>
      <c r="BZ46" s="840"/>
      <c r="CA46" s="1012">
        <v>160</v>
      </c>
      <c r="CB46" s="1011"/>
      <c r="CC46" s="840"/>
      <c r="CD46" s="1012">
        <v>170</v>
      </c>
      <c r="CE46" s="841"/>
      <c r="CF46" s="841"/>
      <c r="CG46" s="1012">
        <v>180</v>
      </c>
      <c r="CH46" s="1824"/>
      <c r="CI46" s="841"/>
      <c r="CJ46" s="1012">
        <v>190</v>
      </c>
      <c r="CK46" s="1824"/>
      <c r="CL46" s="841"/>
      <c r="CM46" s="1012">
        <v>200</v>
      </c>
      <c r="CN46" s="1824"/>
      <c r="CO46" s="841"/>
      <c r="CP46" s="1012">
        <v>210</v>
      </c>
      <c r="CQ46" s="1824"/>
      <c r="CR46" s="841"/>
      <c r="CS46" s="1012">
        <v>220</v>
      </c>
      <c r="CT46" s="1824"/>
      <c r="CU46" s="841"/>
      <c r="CV46" s="1012">
        <v>250</v>
      </c>
      <c r="CW46" s="1824"/>
    </row>
    <row r="47" spans="1:101" s="835" customFormat="1" ht="15.95" customHeight="1">
      <c r="A47" s="842"/>
      <c r="B47" s="1013" t="s">
        <v>1846</v>
      </c>
      <c r="C47" s="107" t="s">
        <v>1845</v>
      </c>
      <c r="D47" s="1014" t="s">
        <v>1847</v>
      </c>
      <c r="E47" s="1013" t="s">
        <v>1846</v>
      </c>
      <c r="F47" s="107" t="s">
        <v>1845</v>
      </c>
      <c r="G47" s="1014" t="s">
        <v>2255</v>
      </c>
      <c r="H47" s="1013" t="s">
        <v>1846</v>
      </c>
      <c r="I47" s="107" t="s">
        <v>1845</v>
      </c>
      <c r="J47" s="1014" t="s">
        <v>1847</v>
      </c>
      <c r="K47" s="1013" t="s">
        <v>1846</v>
      </c>
      <c r="L47" s="107" t="s">
        <v>1845</v>
      </c>
      <c r="M47" s="1014" t="s">
        <v>1847</v>
      </c>
      <c r="N47" s="1013" t="s">
        <v>1846</v>
      </c>
      <c r="O47" s="107" t="s">
        <v>1845</v>
      </c>
      <c r="P47" s="1014" t="s">
        <v>1847</v>
      </c>
      <c r="Q47" s="1013" t="s">
        <v>1846</v>
      </c>
      <c r="R47" s="107" t="s">
        <v>1845</v>
      </c>
      <c r="S47" s="1014" t="s">
        <v>1847</v>
      </c>
      <c r="T47" s="1013" t="s">
        <v>1846</v>
      </c>
      <c r="U47" s="107" t="s">
        <v>1845</v>
      </c>
      <c r="V47" s="1014" t="s">
        <v>1847</v>
      </c>
      <c r="W47" s="1013" t="s">
        <v>1846</v>
      </c>
      <c r="X47" s="107" t="s">
        <v>1845</v>
      </c>
      <c r="Y47" s="1014" t="s">
        <v>1847</v>
      </c>
      <c r="Z47" s="1013" t="s">
        <v>1846</v>
      </c>
      <c r="AA47" s="107" t="s">
        <v>1845</v>
      </c>
      <c r="AB47" s="1014" t="s">
        <v>1847</v>
      </c>
      <c r="AC47" s="1013" t="s">
        <v>1846</v>
      </c>
      <c r="AD47" s="107" t="s">
        <v>1845</v>
      </c>
      <c r="AE47" s="1014" t="s">
        <v>1847</v>
      </c>
      <c r="AF47" s="1013" t="s">
        <v>1846</v>
      </c>
      <c r="AG47" s="107" t="s">
        <v>1845</v>
      </c>
      <c r="AH47" s="1014" t="s">
        <v>1847</v>
      </c>
      <c r="AI47" s="1013" t="s">
        <v>1846</v>
      </c>
      <c r="AJ47" s="107" t="s">
        <v>1845</v>
      </c>
      <c r="AK47" s="1014" t="s">
        <v>1847</v>
      </c>
      <c r="AL47" s="1013" t="s">
        <v>1846</v>
      </c>
      <c r="AM47" s="107" t="s">
        <v>1845</v>
      </c>
      <c r="AN47" s="1014" t="s">
        <v>1847</v>
      </c>
      <c r="AO47" s="1013" t="s">
        <v>1846</v>
      </c>
      <c r="AP47" s="107" t="s">
        <v>1845</v>
      </c>
      <c r="AQ47" s="1014" t="s">
        <v>1847</v>
      </c>
      <c r="AR47" s="1013" t="s">
        <v>1846</v>
      </c>
      <c r="AS47" s="107" t="s">
        <v>1845</v>
      </c>
      <c r="AT47" s="1014" t="s">
        <v>1847</v>
      </c>
      <c r="AU47" s="1013" t="s">
        <v>1846</v>
      </c>
      <c r="AV47" s="107" t="s">
        <v>1845</v>
      </c>
      <c r="AW47" s="1014" t="s">
        <v>1847</v>
      </c>
      <c r="AX47" s="1013" t="s">
        <v>1846</v>
      </c>
      <c r="AY47" s="107" t="s">
        <v>1845</v>
      </c>
      <c r="AZ47" s="1014" t="s">
        <v>1847</v>
      </c>
      <c r="BA47" s="1013" t="s">
        <v>1846</v>
      </c>
      <c r="BB47" s="107" t="s">
        <v>1845</v>
      </c>
      <c r="BC47" s="1014" t="s">
        <v>1847</v>
      </c>
      <c r="BD47" s="1013" t="s">
        <v>1846</v>
      </c>
      <c r="BE47" s="107" t="s">
        <v>1845</v>
      </c>
      <c r="BF47" s="1014" t="s">
        <v>1847</v>
      </c>
      <c r="BG47" s="1013" t="s">
        <v>1846</v>
      </c>
      <c r="BH47" s="107" t="s">
        <v>1845</v>
      </c>
      <c r="BI47" s="1014" t="s">
        <v>1847</v>
      </c>
      <c r="BJ47" s="1013" t="s">
        <v>1846</v>
      </c>
      <c r="BK47" s="107" t="s">
        <v>1845</v>
      </c>
      <c r="BL47" s="1014" t="s">
        <v>1847</v>
      </c>
      <c r="BM47" s="1013" t="s">
        <v>1846</v>
      </c>
      <c r="BN47" s="107" t="s">
        <v>1845</v>
      </c>
      <c r="BO47" s="1014" t="s">
        <v>1847</v>
      </c>
      <c r="BP47" s="1013" t="s">
        <v>1846</v>
      </c>
      <c r="BQ47" s="107" t="s">
        <v>1845</v>
      </c>
      <c r="BR47" s="1014" t="s">
        <v>1847</v>
      </c>
      <c r="BS47" s="1013" t="s">
        <v>1846</v>
      </c>
      <c r="BT47" s="107" t="s">
        <v>1845</v>
      </c>
      <c r="BU47" s="1014" t="s">
        <v>1847</v>
      </c>
      <c r="BV47" s="1013" t="s">
        <v>1846</v>
      </c>
      <c r="BW47" s="107" t="s">
        <v>1845</v>
      </c>
      <c r="BX47" s="1014" t="s">
        <v>1847</v>
      </c>
      <c r="BY47" s="1013" t="s">
        <v>1846</v>
      </c>
      <c r="BZ47" s="107" t="s">
        <v>1845</v>
      </c>
      <c r="CA47" s="1014" t="s">
        <v>1847</v>
      </c>
      <c r="CB47" s="1013" t="s">
        <v>1846</v>
      </c>
      <c r="CC47" s="107" t="s">
        <v>1845</v>
      </c>
      <c r="CD47" s="1014" t="s">
        <v>1847</v>
      </c>
      <c r="CE47" s="107" t="s">
        <v>1846</v>
      </c>
      <c r="CF47" s="107" t="s">
        <v>1845</v>
      </c>
      <c r="CG47" s="1822" t="s">
        <v>1847</v>
      </c>
      <c r="CH47" s="1823" t="s">
        <v>1846</v>
      </c>
      <c r="CI47" s="107" t="s">
        <v>1845</v>
      </c>
      <c r="CJ47" s="1822" t="s">
        <v>1847</v>
      </c>
      <c r="CK47" s="1823" t="s">
        <v>1846</v>
      </c>
      <c r="CL47" s="107" t="s">
        <v>1845</v>
      </c>
      <c r="CM47" s="1822" t="s">
        <v>1847</v>
      </c>
      <c r="CN47" s="1823" t="s">
        <v>1846</v>
      </c>
      <c r="CO47" s="107" t="s">
        <v>1845</v>
      </c>
      <c r="CP47" s="1822" t="s">
        <v>1847</v>
      </c>
      <c r="CQ47" s="1823" t="s">
        <v>1846</v>
      </c>
      <c r="CR47" s="107" t="s">
        <v>1845</v>
      </c>
      <c r="CS47" s="1822" t="s">
        <v>1847</v>
      </c>
      <c r="CT47" s="1823" t="s">
        <v>1846</v>
      </c>
      <c r="CU47" s="107" t="s">
        <v>1845</v>
      </c>
      <c r="CV47" s="1822" t="s">
        <v>1847</v>
      </c>
      <c r="CW47" s="1823"/>
    </row>
    <row r="48" spans="1:101" ht="15.95" customHeight="1">
      <c r="A48" s="843">
        <v>0</v>
      </c>
      <c r="B48" s="1015">
        <v>0</v>
      </c>
      <c r="C48" s="4">
        <v>0</v>
      </c>
      <c r="D48" s="1016">
        <v>8</v>
      </c>
      <c r="E48" s="1015">
        <v>0</v>
      </c>
      <c r="F48" s="4">
        <v>0</v>
      </c>
      <c r="G48" s="1016">
        <v>12</v>
      </c>
      <c r="H48" s="1015">
        <v>0</v>
      </c>
      <c r="I48" s="4">
        <v>0</v>
      </c>
      <c r="J48" s="1016">
        <v>12</v>
      </c>
      <c r="K48" s="1015">
        <v>0</v>
      </c>
      <c r="L48" s="4">
        <v>0</v>
      </c>
      <c r="M48" s="1016">
        <v>12</v>
      </c>
      <c r="N48" s="1015">
        <v>0</v>
      </c>
      <c r="O48" s="4">
        <v>0</v>
      </c>
      <c r="P48" s="1016">
        <v>15</v>
      </c>
      <c r="Q48" s="1015">
        <v>0</v>
      </c>
      <c r="R48" s="4">
        <v>0</v>
      </c>
      <c r="S48" s="1016">
        <v>15</v>
      </c>
      <c r="T48" s="1015">
        <v>0</v>
      </c>
      <c r="U48" s="4">
        <v>0</v>
      </c>
      <c r="V48" s="1016">
        <v>15</v>
      </c>
      <c r="W48" s="1015">
        <v>0</v>
      </c>
      <c r="X48" s="4">
        <v>0</v>
      </c>
      <c r="Y48" s="1016">
        <v>15</v>
      </c>
      <c r="Z48" s="1015">
        <v>0</v>
      </c>
      <c r="AA48" s="4">
        <v>0</v>
      </c>
      <c r="AB48" s="1016">
        <v>15</v>
      </c>
      <c r="AC48" s="1015">
        <v>0</v>
      </c>
      <c r="AD48" s="4">
        <v>0</v>
      </c>
      <c r="AE48" s="1016">
        <v>15</v>
      </c>
      <c r="AF48" s="1015">
        <v>0</v>
      </c>
      <c r="AG48" s="4">
        <v>0</v>
      </c>
      <c r="AH48" s="1016">
        <v>15</v>
      </c>
      <c r="AI48" s="1015">
        <v>0</v>
      </c>
      <c r="AJ48" s="4">
        <v>0</v>
      </c>
      <c r="AK48" s="1016">
        <v>15</v>
      </c>
      <c r="AL48" s="1015">
        <v>0</v>
      </c>
      <c r="AM48" s="4">
        <v>0</v>
      </c>
      <c r="AN48" s="1016">
        <v>15</v>
      </c>
      <c r="AO48" s="1015">
        <v>0</v>
      </c>
      <c r="AP48" s="4">
        <v>0</v>
      </c>
      <c r="AQ48" s="1016">
        <v>15</v>
      </c>
      <c r="AR48" s="1015">
        <v>0</v>
      </c>
      <c r="AS48" s="4">
        <v>0</v>
      </c>
      <c r="AT48" s="1016">
        <v>15</v>
      </c>
      <c r="AU48" s="1015">
        <v>0</v>
      </c>
      <c r="AV48" s="4">
        <v>0</v>
      </c>
      <c r="AW48" s="1016">
        <v>15</v>
      </c>
      <c r="AX48" s="1015">
        <v>0</v>
      </c>
      <c r="AY48" s="4">
        <v>0</v>
      </c>
      <c r="AZ48" s="1016">
        <v>15</v>
      </c>
      <c r="BA48" s="1015">
        <v>0</v>
      </c>
      <c r="BB48" s="4">
        <v>0</v>
      </c>
      <c r="BC48" s="1016">
        <v>15</v>
      </c>
      <c r="BD48" s="1015">
        <v>0</v>
      </c>
      <c r="BE48" s="4">
        <v>0</v>
      </c>
      <c r="BF48" s="1016">
        <v>15</v>
      </c>
      <c r="BG48" s="1015">
        <v>0</v>
      </c>
      <c r="BH48" s="4">
        <v>0</v>
      </c>
      <c r="BI48" s="1016">
        <v>15</v>
      </c>
      <c r="BJ48" s="1015">
        <v>0</v>
      </c>
      <c r="BK48" s="4">
        <v>0</v>
      </c>
      <c r="BL48" s="1016">
        <v>15</v>
      </c>
      <c r="BM48" s="1015">
        <v>0</v>
      </c>
      <c r="BN48" s="4">
        <v>0</v>
      </c>
      <c r="BO48" s="1016">
        <v>15</v>
      </c>
      <c r="BP48" s="1015">
        <v>0</v>
      </c>
      <c r="BQ48" s="4">
        <v>0</v>
      </c>
      <c r="BR48" s="1016">
        <v>15</v>
      </c>
      <c r="BS48" s="1015">
        <v>0</v>
      </c>
      <c r="BT48" s="4">
        <v>0</v>
      </c>
      <c r="BU48" s="1016">
        <v>15</v>
      </c>
      <c r="BV48" s="1015">
        <v>0</v>
      </c>
      <c r="BW48" s="4">
        <v>0</v>
      </c>
      <c r="BX48" s="1016">
        <v>15</v>
      </c>
      <c r="BY48" s="1015">
        <v>0</v>
      </c>
      <c r="BZ48" s="4">
        <v>0</v>
      </c>
      <c r="CA48" s="1016">
        <v>15</v>
      </c>
      <c r="CB48" s="1015">
        <v>0</v>
      </c>
      <c r="CC48" s="4">
        <v>0</v>
      </c>
      <c r="CD48" s="1016">
        <v>15</v>
      </c>
      <c r="CE48" s="4">
        <v>0</v>
      </c>
      <c r="CF48" s="4">
        <v>0</v>
      </c>
      <c r="CG48" s="1016">
        <v>15</v>
      </c>
      <c r="CH48" s="65">
        <v>0</v>
      </c>
      <c r="CI48" s="4">
        <v>0</v>
      </c>
      <c r="CJ48" s="1016">
        <v>15</v>
      </c>
      <c r="CK48" s="65">
        <v>0</v>
      </c>
      <c r="CL48" s="4">
        <v>0</v>
      </c>
      <c r="CM48" s="1016">
        <v>15</v>
      </c>
      <c r="CN48" s="65">
        <v>0</v>
      </c>
      <c r="CO48" s="4">
        <v>0</v>
      </c>
      <c r="CP48" s="1016">
        <v>15</v>
      </c>
      <c r="CQ48" s="65">
        <v>0</v>
      </c>
      <c r="CR48" s="4">
        <v>0</v>
      </c>
      <c r="CS48" s="1016">
        <v>15</v>
      </c>
      <c r="CT48" s="65">
        <v>0</v>
      </c>
      <c r="CU48" s="4">
        <v>0</v>
      </c>
      <c r="CV48" s="1016">
        <v>15</v>
      </c>
      <c r="CW48" s="65"/>
    </row>
    <row r="49" spans="1:101" ht="15.95" customHeight="1">
      <c r="A49" s="843" t="s">
        <v>22</v>
      </c>
      <c r="B49" s="1015">
        <v>0</v>
      </c>
      <c r="C49" s="4">
        <v>0</v>
      </c>
      <c r="D49" s="1016">
        <v>0</v>
      </c>
      <c r="E49" s="1015">
        <v>60</v>
      </c>
      <c r="F49" s="4">
        <v>0</v>
      </c>
      <c r="G49" s="1016">
        <v>12</v>
      </c>
      <c r="H49" s="1015">
        <v>80</v>
      </c>
      <c r="I49" s="4">
        <v>0</v>
      </c>
      <c r="J49" s="1016">
        <v>12</v>
      </c>
      <c r="K49" s="1015">
        <v>80</v>
      </c>
      <c r="L49" s="4">
        <v>0</v>
      </c>
      <c r="M49" s="1016">
        <v>12</v>
      </c>
      <c r="N49" s="1015">
        <v>80</v>
      </c>
      <c r="O49" s="4">
        <v>0</v>
      </c>
      <c r="P49" s="1016">
        <v>15</v>
      </c>
      <c r="Q49" s="1015">
        <v>80</v>
      </c>
      <c r="R49" s="4">
        <v>0</v>
      </c>
      <c r="S49" s="1016">
        <v>15</v>
      </c>
      <c r="T49" s="1015">
        <v>80</v>
      </c>
      <c r="U49" s="4">
        <v>0</v>
      </c>
      <c r="V49" s="1016">
        <v>15</v>
      </c>
      <c r="W49" s="1015">
        <v>80</v>
      </c>
      <c r="X49" s="4">
        <v>0</v>
      </c>
      <c r="Y49" s="1016">
        <v>15</v>
      </c>
      <c r="Z49" s="1015">
        <v>100</v>
      </c>
      <c r="AA49" s="4">
        <v>0</v>
      </c>
      <c r="AB49" s="1016">
        <v>15</v>
      </c>
      <c r="AC49" s="1015">
        <v>100</v>
      </c>
      <c r="AD49" s="4">
        <v>0</v>
      </c>
      <c r="AE49" s="1016">
        <v>15</v>
      </c>
      <c r="AF49" s="1015">
        <v>110</v>
      </c>
      <c r="AG49" s="4">
        <v>0</v>
      </c>
      <c r="AH49" s="1016">
        <v>15</v>
      </c>
      <c r="AI49" s="1015">
        <v>110</v>
      </c>
      <c r="AJ49" s="4">
        <v>0</v>
      </c>
      <c r="AK49" s="1016">
        <v>15</v>
      </c>
      <c r="AL49" s="1015">
        <v>110</v>
      </c>
      <c r="AM49" s="4">
        <v>0</v>
      </c>
      <c r="AN49" s="1016">
        <v>15</v>
      </c>
      <c r="AO49" s="1015">
        <v>110</v>
      </c>
      <c r="AP49" s="4">
        <v>0</v>
      </c>
      <c r="AQ49" s="1016">
        <v>15</v>
      </c>
      <c r="AR49" s="1015">
        <v>110</v>
      </c>
      <c r="AS49" s="4">
        <v>0</v>
      </c>
      <c r="AT49" s="1016">
        <v>15</v>
      </c>
      <c r="AU49" s="1015">
        <v>110</v>
      </c>
      <c r="AV49" s="4">
        <v>0</v>
      </c>
      <c r="AW49" s="1016">
        <v>15</v>
      </c>
      <c r="AX49" s="1015">
        <v>110</v>
      </c>
      <c r="AY49" s="4">
        <v>0</v>
      </c>
      <c r="AZ49" s="1016">
        <v>15</v>
      </c>
      <c r="BA49" s="1015">
        <v>110</v>
      </c>
      <c r="BB49" s="4">
        <v>0</v>
      </c>
      <c r="BC49" s="1016">
        <v>15</v>
      </c>
      <c r="BD49" s="1015">
        <v>110</v>
      </c>
      <c r="BE49" s="4">
        <v>0</v>
      </c>
      <c r="BF49" s="1016">
        <v>15</v>
      </c>
      <c r="BG49" s="1015">
        <v>110</v>
      </c>
      <c r="BH49" s="4">
        <v>0</v>
      </c>
      <c r="BI49" s="1016">
        <v>15</v>
      </c>
      <c r="BJ49" s="1015">
        <v>110</v>
      </c>
      <c r="BK49" s="4">
        <v>0</v>
      </c>
      <c r="BL49" s="1016">
        <v>15</v>
      </c>
      <c r="BM49" s="1015">
        <v>110</v>
      </c>
      <c r="BN49" s="4">
        <v>0</v>
      </c>
      <c r="BO49" s="1016">
        <v>15</v>
      </c>
      <c r="BP49" s="1015">
        <v>110</v>
      </c>
      <c r="BQ49" s="4">
        <v>0</v>
      </c>
      <c r="BR49" s="1016">
        <v>15</v>
      </c>
      <c r="BS49" s="1015">
        <v>110</v>
      </c>
      <c r="BT49" s="4">
        <v>0</v>
      </c>
      <c r="BU49" s="1016">
        <v>15</v>
      </c>
      <c r="BV49" s="1015">
        <v>110</v>
      </c>
      <c r="BW49" s="4">
        <v>0</v>
      </c>
      <c r="BX49" s="1016">
        <v>15</v>
      </c>
      <c r="BY49" s="1015">
        <v>110</v>
      </c>
      <c r="BZ49" s="4">
        <v>0</v>
      </c>
      <c r="CA49" s="1016">
        <v>15</v>
      </c>
      <c r="CB49" s="1015">
        <v>110</v>
      </c>
      <c r="CC49" s="4">
        <v>0</v>
      </c>
      <c r="CD49" s="1016">
        <v>15</v>
      </c>
      <c r="CE49" s="4">
        <v>110</v>
      </c>
      <c r="CF49" s="4">
        <v>0</v>
      </c>
      <c r="CG49" s="1016">
        <v>15</v>
      </c>
      <c r="CH49" s="65">
        <v>110</v>
      </c>
      <c r="CI49" s="4">
        <v>0</v>
      </c>
      <c r="CJ49" s="1016">
        <v>15</v>
      </c>
      <c r="CK49" s="65">
        <v>110</v>
      </c>
      <c r="CL49" s="4">
        <v>0</v>
      </c>
      <c r="CM49" s="1016">
        <v>15</v>
      </c>
      <c r="CN49" s="65">
        <v>110</v>
      </c>
      <c r="CO49" s="4">
        <v>0</v>
      </c>
      <c r="CP49" s="1016">
        <v>15</v>
      </c>
      <c r="CQ49" s="65">
        <v>110</v>
      </c>
      <c r="CR49" s="4">
        <v>0</v>
      </c>
      <c r="CS49" s="1016">
        <v>15</v>
      </c>
      <c r="CT49" s="65">
        <v>110</v>
      </c>
      <c r="CU49" s="4">
        <v>0</v>
      </c>
      <c r="CV49" s="1016">
        <v>15</v>
      </c>
      <c r="CW49" s="65"/>
    </row>
    <row r="50" spans="1:101" ht="15.95" customHeight="1">
      <c r="A50" s="843" t="s">
        <v>23</v>
      </c>
      <c r="B50" s="1015">
        <v>0</v>
      </c>
      <c r="C50" s="4">
        <v>0</v>
      </c>
      <c r="D50" s="1016">
        <v>0</v>
      </c>
      <c r="E50" s="1015">
        <v>50</v>
      </c>
      <c r="F50" s="4">
        <v>0</v>
      </c>
      <c r="G50" s="1016">
        <v>12</v>
      </c>
      <c r="H50" s="1015">
        <v>50</v>
      </c>
      <c r="I50" s="4">
        <v>0</v>
      </c>
      <c r="J50" s="1016">
        <v>12</v>
      </c>
      <c r="K50" s="1015">
        <v>50</v>
      </c>
      <c r="L50" s="4">
        <v>0</v>
      </c>
      <c r="M50" s="1016">
        <v>12</v>
      </c>
      <c r="N50" s="1015">
        <v>50</v>
      </c>
      <c r="O50" s="4">
        <v>0</v>
      </c>
      <c r="P50" s="1016">
        <v>15</v>
      </c>
      <c r="Q50" s="1015">
        <v>50</v>
      </c>
      <c r="R50" s="4">
        <v>0</v>
      </c>
      <c r="S50" s="1016">
        <v>15</v>
      </c>
      <c r="T50" s="1015">
        <v>50</v>
      </c>
      <c r="U50" s="4">
        <v>0</v>
      </c>
      <c r="V50" s="1016">
        <v>15</v>
      </c>
      <c r="W50" s="1015">
        <v>50</v>
      </c>
      <c r="X50" s="4">
        <v>0</v>
      </c>
      <c r="Y50" s="1016">
        <v>15</v>
      </c>
      <c r="Z50" s="1015">
        <v>50</v>
      </c>
      <c r="AA50" s="4">
        <v>0</v>
      </c>
      <c r="AB50" s="1016">
        <v>15</v>
      </c>
      <c r="AC50" s="1015">
        <v>50</v>
      </c>
      <c r="AD50" s="4">
        <v>0</v>
      </c>
      <c r="AE50" s="1016">
        <v>15</v>
      </c>
      <c r="AF50" s="1015">
        <v>50</v>
      </c>
      <c r="AG50" s="4">
        <v>0</v>
      </c>
      <c r="AH50" s="1016">
        <v>15</v>
      </c>
      <c r="AI50" s="1015">
        <v>50</v>
      </c>
      <c r="AJ50" s="4">
        <v>0</v>
      </c>
      <c r="AK50" s="1016">
        <v>15</v>
      </c>
      <c r="AL50" s="1015">
        <v>50</v>
      </c>
      <c r="AM50" s="4">
        <v>0</v>
      </c>
      <c r="AN50" s="1016">
        <v>15</v>
      </c>
      <c r="AO50" s="1015">
        <v>50</v>
      </c>
      <c r="AP50" s="4">
        <v>0</v>
      </c>
      <c r="AQ50" s="1016">
        <v>15</v>
      </c>
      <c r="AR50" s="1015">
        <v>50</v>
      </c>
      <c r="AS50" s="4">
        <v>0</v>
      </c>
      <c r="AT50" s="1016">
        <v>15</v>
      </c>
      <c r="AU50" s="1015">
        <v>50</v>
      </c>
      <c r="AV50" s="4">
        <v>0</v>
      </c>
      <c r="AW50" s="1016">
        <v>15</v>
      </c>
      <c r="AX50" s="1015">
        <v>50</v>
      </c>
      <c r="AY50" s="4">
        <v>0</v>
      </c>
      <c r="AZ50" s="1016">
        <v>15</v>
      </c>
      <c r="BA50" s="1015">
        <v>50</v>
      </c>
      <c r="BB50" s="4">
        <v>0</v>
      </c>
      <c r="BC50" s="1016">
        <v>15</v>
      </c>
      <c r="BD50" s="1015">
        <v>50</v>
      </c>
      <c r="BE50" s="4">
        <v>0</v>
      </c>
      <c r="BF50" s="1016">
        <v>15</v>
      </c>
      <c r="BG50" s="1015">
        <v>50</v>
      </c>
      <c r="BH50" s="4">
        <v>0</v>
      </c>
      <c r="BI50" s="1016">
        <v>15</v>
      </c>
      <c r="BJ50" s="1015">
        <v>50</v>
      </c>
      <c r="BK50" s="4">
        <v>0</v>
      </c>
      <c r="BL50" s="1016">
        <v>15</v>
      </c>
      <c r="BM50" s="1015">
        <v>50</v>
      </c>
      <c r="BN50" s="4">
        <v>0</v>
      </c>
      <c r="BO50" s="1016">
        <v>15</v>
      </c>
      <c r="BP50" s="1015">
        <v>50</v>
      </c>
      <c r="BQ50" s="4">
        <v>0</v>
      </c>
      <c r="BR50" s="1016">
        <v>15</v>
      </c>
      <c r="BS50" s="1015">
        <v>50</v>
      </c>
      <c r="BT50" s="4">
        <v>0</v>
      </c>
      <c r="BU50" s="1016">
        <v>15</v>
      </c>
      <c r="BV50" s="1015">
        <v>50</v>
      </c>
      <c r="BW50" s="4">
        <v>0</v>
      </c>
      <c r="BX50" s="1016">
        <v>15</v>
      </c>
      <c r="BY50" s="1015">
        <v>50</v>
      </c>
      <c r="BZ50" s="4">
        <v>0</v>
      </c>
      <c r="CA50" s="1016">
        <v>15</v>
      </c>
      <c r="CB50" s="1015">
        <v>50</v>
      </c>
      <c r="CC50" s="4">
        <v>0</v>
      </c>
      <c r="CD50" s="1016">
        <v>15</v>
      </c>
      <c r="CE50" s="4">
        <v>50</v>
      </c>
      <c r="CF50" s="4">
        <v>0</v>
      </c>
      <c r="CG50" s="1016">
        <v>15</v>
      </c>
      <c r="CH50" s="65">
        <v>50</v>
      </c>
      <c r="CI50" s="4">
        <v>0</v>
      </c>
      <c r="CJ50" s="1016">
        <v>15</v>
      </c>
      <c r="CK50" s="65">
        <v>50</v>
      </c>
      <c r="CL50" s="4">
        <v>0</v>
      </c>
      <c r="CM50" s="1016">
        <v>15</v>
      </c>
      <c r="CN50" s="65">
        <v>50</v>
      </c>
      <c r="CO50" s="4">
        <v>0</v>
      </c>
      <c r="CP50" s="1016">
        <v>15</v>
      </c>
      <c r="CQ50" s="65">
        <v>50</v>
      </c>
      <c r="CR50" s="4">
        <v>0</v>
      </c>
      <c r="CS50" s="1016">
        <v>15</v>
      </c>
      <c r="CT50" s="65">
        <v>50</v>
      </c>
      <c r="CU50" s="4">
        <v>0</v>
      </c>
      <c r="CV50" s="1016">
        <v>15</v>
      </c>
      <c r="CW50" s="65"/>
    </row>
    <row r="51" spans="1:101" ht="15.95" customHeight="1">
      <c r="A51" s="843" t="s">
        <v>24</v>
      </c>
      <c r="B51" s="1015">
        <v>0</v>
      </c>
      <c r="C51" s="4">
        <v>0</v>
      </c>
      <c r="D51" s="1016">
        <v>0</v>
      </c>
      <c r="E51" s="1015">
        <v>80</v>
      </c>
      <c r="F51" s="4">
        <v>0</v>
      </c>
      <c r="G51" s="1016">
        <v>12</v>
      </c>
      <c r="H51" s="1015">
        <v>80</v>
      </c>
      <c r="I51" s="4">
        <v>0</v>
      </c>
      <c r="J51" s="1016">
        <v>12</v>
      </c>
      <c r="K51" s="1015">
        <v>80</v>
      </c>
      <c r="L51" s="4">
        <v>0</v>
      </c>
      <c r="M51" s="1016">
        <v>12</v>
      </c>
      <c r="N51" s="1015">
        <v>80</v>
      </c>
      <c r="O51" s="4">
        <v>0</v>
      </c>
      <c r="P51" s="1016">
        <v>15</v>
      </c>
      <c r="Q51" s="1015">
        <v>100</v>
      </c>
      <c r="R51" s="4">
        <v>0</v>
      </c>
      <c r="S51" s="1016">
        <v>15</v>
      </c>
      <c r="T51" s="1015">
        <v>100</v>
      </c>
      <c r="U51" s="4">
        <v>0</v>
      </c>
      <c r="V51" s="1016">
        <v>15</v>
      </c>
      <c r="W51" s="1015">
        <v>100</v>
      </c>
      <c r="X51" s="4">
        <v>0</v>
      </c>
      <c r="Y51" s="1016">
        <v>15</v>
      </c>
      <c r="Z51" s="1015">
        <v>100</v>
      </c>
      <c r="AA51" s="4">
        <v>0</v>
      </c>
      <c r="AB51" s="1016">
        <v>15</v>
      </c>
      <c r="AC51" s="1015">
        <v>100</v>
      </c>
      <c r="AD51" s="4">
        <v>0</v>
      </c>
      <c r="AE51" s="1016">
        <v>15</v>
      </c>
      <c r="AF51" s="1015">
        <v>100</v>
      </c>
      <c r="AG51" s="4">
        <v>0</v>
      </c>
      <c r="AH51" s="1016">
        <v>15</v>
      </c>
      <c r="AI51" s="1015">
        <v>100</v>
      </c>
      <c r="AJ51" s="4">
        <v>0</v>
      </c>
      <c r="AK51" s="1016">
        <v>15</v>
      </c>
      <c r="AL51" s="1015">
        <v>100</v>
      </c>
      <c r="AM51" s="4">
        <v>0</v>
      </c>
      <c r="AN51" s="1016">
        <v>15</v>
      </c>
      <c r="AO51" s="1015">
        <v>100</v>
      </c>
      <c r="AP51" s="4">
        <v>0</v>
      </c>
      <c r="AQ51" s="1016">
        <v>15</v>
      </c>
      <c r="AR51" s="1015">
        <v>100</v>
      </c>
      <c r="AS51" s="4">
        <v>0</v>
      </c>
      <c r="AT51" s="1016">
        <v>15</v>
      </c>
      <c r="AU51" s="1015">
        <v>100</v>
      </c>
      <c r="AV51" s="4">
        <v>0</v>
      </c>
      <c r="AW51" s="1016">
        <v>15</v>
      </c>
      <c r="AX51" s="1015">
        <v>100</v>
      </c>
      <c r="AY51" s="4">
        <v>0</v>
      </c>
      <c r="AZ51" s="1016">
        <v>15</v>
      </c>
      <c r="BA51" s="1015">
        <v>100</v>
      </c>
      <c r="BB51" s="4">
        <v>0</v>
      </c>
      <c r="BC51" s="1016">
        <v>15</v>
      </c>
      <c r="BD51" s="1015">
        <v>100</v>
      </c>
      <c r="BE51" s="4">
        <v>0</v>
      </c>
      <c r="BF51" s="1016">
        <v>15</v>
      </c>
      <c r="BG51" s="1015">
        <v>100</v>
      </c>
      <c r="BH51" s="4">
        <v>0</v>
      </c>
      <c r="BI51" s="1016">
        <v>15</v>
      </c>
      <c r="BJ51" s="1015">
        <v>100</v>
      </c>
      <c r="BK51" s="4">
        <v>0</v>
      </c>
      <c r="BL51" s="1016">
        <v>15</v>
      </c>
      <c r="BM51" s="1015">
        <v>100</v>
      </c>
      <c r="BN51" s="4">
        <v>0</v>
      </c>
      <c r="BO51" s="1016">
        <v>15</v>
      </c>
      <c r="BP51" s="1015">
        <v>100</v>
      </c>
      <c r="BQ51" s="4">
        <v>0</v>
      </c>
      <c r="BR51" s="1016">
        <v>15</v>
      </c>
      <c r="BS51" s="1015">
        <v>100</v>
      </c>
      <c r="BT51" s="4">
        <v>0</v>
      </c>
      <c r="BU51" s="1016">
        <v>15</v>
      </c>
      <c r="BV51" s="1015">
        <v>100</v>
      </c>
      <c r="BW51" s="4">
        <v>0</v>
      </c>
      <c r="BX51" s="1016">
        <v>15</v>
      </c>
      <c r="BY51" s="1015">
        <v>100</v>
      </c>
      <c r="BZ51" s="4">
        <v>0</v>
      </c>
      <c r="CA51" s="1016">
        <v>15</v>
      </c>
      <c r="CB51" s="1015">
        <v>100</v>
      </c>
      <c r="CC51" s="4">
        <v>0</v>
      </c>
      <c r="CD51" s="1016">
        <v>15</v>
      </c>
      <c r="CE51" s="4">
        <v>100</v>
      </c>
      <c r="CF51" s="4">
        <v>0</v>
      </c>
      <c r="CG51" s="1016">
        <v>15</v>
      </c>
      <c r="CH51" s="65">
        <v>100</v>
      </c>
      <c r="CI51" s="4">
        <v>0</v>
      </c>
      <c r="CJ51" s="1016">
        <v>15</v>
      </c>
      <c r="CK51" s="65">
        <v>100</v>
      </c>
      <c r="CL51" s="4">
        <v>0</v>
      </c>
      <c r="CM51" s="1016">
        <v>15</v>
      </c>
      <c r="CN51" s="65">
        <v>100</v>
      </c>
      <c r="CO51" s="4">
        <v>0</v>
      </c>
      <c r="CP51" s="1016">
        <v>15</v>
      </c>
      <c r="CQ51" s="65">
        <v>100</v>
      </c>
      <c r="CR51" s="4">
        <v>0</v>
      </c>
      <c r="CS51" s="1016">
        <v>15</v>
      </c>
      <c r="CT51" s="65">
        <v>100</v>
      </c>
      <c r="CU51" s="4">
        <v>0</v>
      </c>
      <c r="CV51" s="1016">
        <v>15</v>
      </c>
      <c r="CW51" s="65"/>
    </row>
    <row r="52" spans="1:101" ht="15.95" customHeight="1">
      <c r="A52" s="843" t="s">
        <v>27</v>
      </c>
      <c r="B52" s="1015">
        <v>0</v>
      </c>
      <c r="C52" s="4">
        <v>0</v>
      </c>
      <c r="D52" s="1016">
        <v>0</v>
      </c>
      <c r="E52" s="1015">
        <v>115</v>
      </c>
      <c r="F52" s="4">
        <v>0</v>
      </c>
      <c r="G52" s="1016">
        <v>12</v>
      </c>
      <c r="H52" s="1015">
        <v>135</v>
      </c>
      <c r="I52" s="4">
        <v>0</v>
      </c>
      <c r="J52" s="1016">
        <v>12</v>
      </c>
      <c r="K52" s="1015">
        <v>135</v>
      </c>
      <c r="L52" s="4">
        <v>0</v>
      </c>
      <c r="M52" s="1016">
        <v>12</v>
      </c>
      <c r="N52" s="1015">
        <v>135</v>
      </c>
      <c r="O52" s="4">
        <v>0</v>
      </c>
      <c r="P52" s="1016">
        <v>15</v>
      </c>
      <c r="Q52" s="1015">
        <v>135</v>
      </c>
      <c r="R52" s="4">
        <v>0</v>
      </c>
      <c r="S52" s="1016">
        <v>15</v>
      </c>
      <c r="T52" s="1015">
        <v>135</v>
      </c>
      <c r="U52" s="4">
        <v>0</v>
      </c>
      <c r="V52" s="1016">
        <v>15</v>
      </c>
      <c r="W52" s="1015">
        <v>135</v>
      </c>
      <c r="X52" s="4">
        <v>0</v>
      </c>
      <c r="Y52" s="1016">
        <v>15</v>
      </c>
      <c r="Z52" s="1015">
        <v>155</v>
      </c>
      <c r="AA52" s="4">
        <v>0</v>
      </c>
      <c r="AB52" s="1016">
        <v>15</v>
      </c>
      <c r="AC52" s="1015">
        <v>155</v>
      </c>
      <c r="AD52" s="4">
        <v>0</v>
      </c>
      <c r="AE52" s="1016">
        <v>15</v>
      </c>
      <c r="AF52" s="1015">
        <v>165</v>
      </c>
      <c r="AG52" s="4">
        <v>0</v>
      </c>
      <c r="AH52" s="1016">
        <v>15</v>
      </c>
      <c r="AI52" s="1015">
        <v>165</v>
      </c>
      <c r="AJ52" s="4">
        <v>0</v>
      </c>
      <c r="AK52" s="1016">
        <v>15</v>
      </c>
      <c r="AL52" s="1015">
        <v>165</v>
      </c>
      <c r="AM52" s="4">
        <v>0</v>
      </c>
      <c r="AN52" s="1016">
        <v>15</v>
      </c>
      <c r="AO52" s="1015">
        <v>165</v>
      </c>
      <c r="AP52" s="4">
        <v>0</v>
      </c>
      <c r="AQ52" s="1016">
        <v>15</v>
      </c>
      <c r="AR52" s="1015">
        <v>165</v>
      </c>
      <c r="AS52" s="4">
        <v>0</v>
      </c>
      <c r="AT52" s="1016">
        <v>15</v>
      </c>
      <c r="AU52" s="1015">
        <v>165</v>
      </c>
      <c r="AV52" s="4">
        <v>0</v>
      </c>
      <c r="AW52" s="1016">
        <v>15</v>
      </c>
      <c r="AX52" s="1015">
        <v>165</v>
      </c>
      <c r="AY52" s="4">
        <v>0</v>
      </c>
      <c r="AZ52" s="1016">
        <v>15</v>
      </c>
      <c r="BA52" s="1015">
        <v>165</v>
      </c>
      <c r="BB52" s="4">
        <v>0</v>
      </c>
      <c r="BC52" s="1016">
        <v>15</v>
      </c>
      <c r="BD52" s="1015">
        <v>165</v>
      </c>
      <c r="BE52" s="4">
        <v>0</v>
      </c>
      <c r="BF52" s="1016">
        <v>15</v>
      </c>
      <c r="BG52" s="1015">
        <v>165</v>
      </c>
      <c r="BH52" s="4">
        <v>0</v>
      </c>
      <c r="BI52" s="1016">
        <v>15</v>
      </c>
      <c r="BJ52" s="1015">
        <v>165</v>
      </c>
      <c r="BK52" s="4">
        <v>0</v>
      </c>
      <c r="BL52" s="1016">
        <v>15</v>
      </c>
      <c r="BM52" s="1015">
        <v>165</v>
      </c>
      <c r="BN52" s="4">
        <v>0</v>
      </c>
      <c r="BO52" s="1016">
        <v>15</v>
      </c>
      <c r="BP52" s="1015">
        <v>165</v>
      </c>
      <c r="BQ52" s="4">
        <v>0</v>
      </c>
      <c r="BR52" s="1016">
        <v>15</v>
      </c>
      <c r="BS52" s="1015">
        <v>165</v>
      </c>
      <c r="BT52" s="4">
        <v>0</v>
      </c>
      <c r="BU52" s="1016">
        <v>15</v>
      </c>
      <c r="BV52" s="1015">
        <v>165</v>
      </c>
      <c r="BW52" s="4">
        <v>0</v>
      </c>
      <c r="BX52" s="1016">
        <v>15</v>
      </c>
      <c r="BY52" s="1015">
        <v>165</v>
      </c>
      <c r="BZ52" s="4">
        <v>0</v>
      </c>
      <c r="CA52" s="1016">
        <v>15</v>
      </c>
      <c r="CB52" s="1015">
        <v>165</v>
      </c>
      <c r="CC52" s="4">
        <v>0</v>
      </c>
      <c r="CD52" s="1016">
        <v>15</v>
      </c>
      <c r="CE52" s="4">
        <v>165</v>
      </c>
      <c r="CF52" s="4">
        <v>0</v>
      </c>
      <c r="CG52" s="1016">
        <v>15</v>
      </c>
      <c r="CH52" s="65">
        <v>165</v>
      </c>
      <c r="CI52" s="4">
        <v>0</v>
      </c>
      <c r="CJ52" s="1016">
        <v>15</v>
      </c>
      <c r="CK52" s="65">
        <v>165</v>
      </c>
      <c r="CL52" s="4">
        <v>0</v>
      </c>
      <c r="CM52" s="1016">
        <v>15</v>
      </c>
      <c r="CN52" s="65">
        <v>165</v>
      </c>
      <c r="CO52" s="4">
        <v>0</v>
      </c>
      <c r="CP52" s="1016">
        <v>15</v>
      </c>
      <c r="CQ52" s="65">
        <v>165</v>
      </c>
      <c r="CR52" s="4">
        <v>0</v>
      </c>
      <c r="CS52" s="1016">
        <v>15</v>
      </c>
      <c r="CT52" s="65">
        <v>165</v>
      </c>
      <c r="CU52" s="4">
        <v>0</v>
      </c>
      <c r="CV52" s="1016">
        <v>15</v>
      </c>
      <c r="CW52" s="65"/>
    </row>
    <row r="53" spans="1:101" ht="15.95" customHeight="1">
      <c r="A53" s="843" t="s">
        <v>28</v>
      </c>
      <c r="B53" s="1015">
        <v>0</v>
      </c>
      <c r="C53" s="4">
        <v>0</v>
      </c>
      <c r="D53" s="1016">
        <v>0</v>
      </c>
      <c r="E53" s="1015">
        <v>110</v>
      </c>
      <c r="F53" s="4">
        <v>0</v>
      </c>
      <c r="G53" s="1016">
        <v>12</v>
      </c>
      <c r="H53" s="1015">
        <v>110</v>
      </c>
      <c r="I53" s="4">
        <v>0</v>
      </c>
      <c r="J53" s="1016">
        <v>12</v>
      </c>
      <c r="K53" s="1015">
        <v>110</v>
      </c>
      <c r="L53" s="4">
        <v>0</v>
      </c>
      <c r="M53" s="1016">
        <v>12</v>
      </c>
      <c r="N53" s="1015">
        <v>110</v>
      </c>
      <c r="O53" s="4">
        <v>0</v>
      </c>
      <c r="P53" s="1016">
        <v>15</v>
      </c>
      <c r="Q53" s="1015">
        <v>130</v>
      </c>
      <c r="R53" s="4">
        <v>0</v>
      </c>
      <c r="S53" s="1016">
        <v>15</v>
      </c>
      <c r="T53" s="1015">
        <v>130</v>
      </c>
      <c r="U53" s="4">
        <v>0</v>
      </c>
      <c r="V53" s="1016">
        <v>15</v>
      </c>
      <c r="W53" s="1015">
        <v>130</v>
      </c>
      <c r="X53" s="4">
        <v>0</v>
      </c>
      <c r="Y53" s="1016">
        <v>15</v>
      </c>
      <c r="Z53" s="1015">
        <v>130</v>
      </c>
      <c r="AA53" s="4">
        <v>0</v>
      </c>
      <c r="AB53" s="1016">
        <v>15</v>
      </c>
      <c r="AC53" s="1015">
        <v>130</v>
      </c>
      <c r="AD53" s="4">
        <v>0</v>
      </c>
      <c r="AE53" s="1016">
        <v>15</v>
      </c>
      <c r="AF53" s="1015">
        <v>130</v>
      </c>
      <c r="AG53" s="4">
        <v>0</v>
      </c>
      <c r="AH53" s="1016">
        <v>15</v>
      </c>
      <c r="AI53" s="1015">
        <v>130</v>
      </c>
      <c r="AJ53" s="4">
        <v>0</v>
      </c>
      <c r="AK53" s="1016">
        <v>15</v>
      </c>
      <c r="AL53" s="1015">
        <v>130</v>
      </c>
      <c r="AM53" s="4">
        <v>0</v>
      </c>
      <c r="AN53" s="1016">
        <v>15</v>
      </c>
      <c r="AO53" s="1015">
        <v>130</v>
      </c>
      <c r="AP53" s="4">
        <v>0</v>
      </c>
      <c r="AQ53" s="1016">
        <v>15</v>
      </c>
      <c r="AR53" s="1015">
        <v>130</v>
      </c>
      <c r="AS53" s="4">
        <v>0</v>
      </c>
      <c r="AT53" s="1016">
        <v>15</v>
      </c>
      <c r="AU53" s="1015">
        <v>130</v>
      </c>
      <c r="AV53" s="4">
        <v>0</v>
      </c>
      <c r="AW53" s="1016">
        <v>15</v>
      </c>
      <c r="AX53" s="1015">
        <v>130</v>
      </c>
      <c r="AY53" s="4">
        <v>0</v>
      </c>
      <c r="AZ53" s="1016">
        <v>15</v>
      </c>
      <c r="BA53" s="1015">
        <v>130</v>
      </c>
      <c r="BB53" s="4">
        <v>0</v>
      </c>
      <c r="BC53" s="1016">
        <v>15</v>
      </c>
      <c r="BD53" s="1015">
        <v>130</v>
      </c>
      <c r="BE53" s="4">
        <v>0</v>
      </c>
      <c r="BF53" s="1016">
        <v>15</v>
      </c>
      <c r="BG53" s="1015">
        <v>130</v>
      </c>
      <c r="BH53" s="4">
        <v>0</v>
      </c>
      <c r="BI53" s="1016">
        <v>15</v>
      </c>
      <c r="BJ53" s="1015">
        <v>130</v>
      </c>
      <c r="BK53" s="4">
        <v>0</v>
      </c>
      <c r="BL53" s="1016">
        <v>15</v>
      </c>
      <c r="BM53" s="1015">
        <v>130</v>
      </c>
      <c r="BN53" s="4">
        <v>0</v>
      </c>
      <c r="BO53" s="1016">
        <v>15</v>
      </c>
      <c r="BP53" s="1015">
        <v>130</v>
      </c>
      <c r="BQ53" s="4">
        <v>0</v>
      </c>
      <c r="BR53" s="1016">
        <v>15</v>
      </c>
      <c r="BS53" s="1015">
        <v>130</v>
      </c>
      <c r="BT53" s="4">
        <v>0</v>
      </c>
      <c r="BU53" s="1016">
        <v>15</v>
      </c>
      <c r="BV53" s="1015">
        <v>130</v>
      </c>
      <c r="BW53" s="4">
        <v>0</v>
      </c>
      <c r="BX53" s="1016">
        <v>15</v>
      </c>
      <c r="BY53" s="1015">
        <v>130</v>
      </c>
      <c r="BZ53" s="4">
        <v>0</v>
      </c>
      <c r="CA53" s="1016">
        <v>15</v>
      </c>
      <c r="CB53" s="1015">
        <v>130</v>
      </c>
      <c r="CC53" s="4">
        <v>0</v>
      </c>
      <c r="CD53" s="1016">
        <v>15</v>
      </c>
      <c r="CE53" s="4">
        <v>130</v>
      </c>
      <c r="CF53" s="4">
        <v>0</v>
      </c>
      <c r="CG53" s="1016">
        <v>15</v>
      </c>
      <c r="CH53" s="65">
        <v>130</v>
      </c>
      <c r="CI53" s="4">
        <v>0</v>
      </c>
      <c r="CJ53" s="1016">
        <v>15</v>
      </c>
      <c r="CK53" s="65">
        <v>130</v>
      </c>
      <c r="CL53" s="4">
        <v>0</v>
      </c>
      <c r="CM53" s="1016">
        <v>15</v>
      </c>
      <c r="CN53" s="65">
        <v>130</v>
      </c>
      <c r="CO53" s="4">
        <v>0</v>
      </c>
      <c r="CP53" s="1016">
        <v>15</v>
      </c>
      <c r="CQ53" s="65">
        <v>130</v>
      </c>
      <c r="CR53" s="4">
        <v>0</v>
      </c>
      <c r="CS53" s="1016">
        <v>15</v>
      </c>
      <c r="CT53" s="65">
        <v>130</v>
      </c>
      <c r="CU53" s="4">
        <v>0</v>
      </c>
      <c r="CV53" s="1016">
        <v>15</v>
      </c>
      <c r="CW53" s="65"/>
    </row>
    <row r="54" spans="1:101" ht="15.95" customHeight="1">
      <c r="A54" s="843" t="s">
        <v>29</v>
      </c>
      <c r="B54" s="1015">
        <v>0</v>
      </c>
      <c r="C54" s="4">
        <v>0</v>
      </c>
      <c r="D54" s="1016">
        <v>0</v>
      </c>
      <c r="E54" s="1015">
        <v>70</v>
      </c>
      <c r="F54" s="4">
        <v>0</v>
      </c>
      <c r="G54" s="1016">
        <v>12</v>
      </c>
      <c r="H54" s="1015">
        <v>70</v>
      </c>
      <c r="I54" s="4">
        <v>0</v>
      </c>
      <c r="J54" s="1016">
        <v>12</v>
      </c>
      <c r="K54" s="1015">
        <v>70</v>
      </c>
      <c r="L54" s="4">
        <v>0</v>
      </c>
      <c r="M54" s="1016">
        <v>12</v>
      </c>
      <c r="N54" s="1015">
        <v>70</v>
      </c>
      <c r="O54" s="4">
        <v>0</v>
      </c>
      <c r="P54" s="1016">
        <v>15</v>
      </c>
      <c r="Q54" s="1015">
        <v>70</v>
      </c>
      <c r="R54" s="4">
        <v>0</v>
      </c>
      <c r="S54" s="1016">
        <v>15</v>
      </c>
      <c r="T54" s="1015">
        <v>70</v>
      </c>
      <c r="U54" s="4">
        <v>0</v>
      </c>
      <c r="V54" s="1016">
        <v>15</v>
      </c>
      <c r="W54" s="1015">
        <v>70</v>
      </c>
      <c r="X54" s="4">
        <v>0</v>
      </c>
      <c r="Y54" s="1016">
        <v>15</v>
      </c>
      <c r="Z54" s="1015">
        <v>70</v>
      </c>
      <c r="AA54" s="4">
        <v>0</v>
      </c>
      <c r="AB54" s="1016">
        <v>15</v>
      </c>
      <c r="AC54" s="1015">
        <v>70</v>
      </c>
      <c r="AD54" s="4">
        <v>0</v>
      </c>
      <c r="AE54" s="1016">
        <v>15</v>
      </c>
      <c r="AF54" s="1015">
        <v>70</v>
      </c>
      <c r="AG54" s="4">
        <v>0</v>
      </c>
      <c r="AH54" s="1016">
        <v>15</v>
      </c>
      <c r="AI54" s="1015">
        <v>70</v>
      </c>
      <c r="AJ54" s="4">
        <v>0</v>
      </c>
      <c r="AK54" s="1016">
        <v>15</v>
      </c>
      <c r="AL54" s="1015">
        <v>70</v>
      </c>
      <c r="AM54" s="4">
        <v>0</v>
      </c>
      <c r="AN54" s="1016">
        <v>15</v>
      </c>
      <c r="AO54" s="1015">
        <v>70</v>
      </c>
      <c r="AP54" s="4">
        <v>0</v>
      </c>
      <c r="AQ54" s="1016">
        <v>15</v>
      </c>
      <c r="AR54" s="1015">
        <v>70</v>
      </c>
      <c r="AS54" s="4">
        <v>0</v>
      </c>
      <c r="AT54" s="1016">
        <v>15</v>
      </c>
      <c r="AU54" s="1015">
        <v>70</v>
      </c>
      <c r="AV54" s="4">
        <v>0</v>
      </c>
      <c r="AW54" s="1016">
        <v>15</v>
      </c>
      <c r="AX54" s="1015">
        <v>70</v>
      </c>
      <c r="AY54" s="4">
        <v>0</v>
      </c>
      <c r="AZ54" s="1016">
        <v>15</v>
      </c>
      <c r="BA54" s="1015">
        <v>70</v>
      </c>
      <c r="BB54" s="4">
        <v>0</v>
      </c>
      <c r="BC54" s="1016">
        <v>15</v>
      </c>
      <c r="BD54" s="1015">
        <v>70</v>
      </c>
      <c r="BE54" s="4">
        <v>0</v>
      </c>
      <c r="BF54" s="1016">
        <v>15</v>
      </c>
      <c r="BG54" s="1015">
        <v>70</v>
      </c>
      <c r="BH54" s="4">
        <v>0</v>
      </c>
      <c r="BI54" s="1016">
        <v>15</v>
      </c>
      <c r="BJ54" s="1015">
        <v>70</v>
      </c>
      <c r="BK54" s="4">
        <v>0</v>
      </c>
      <c r="BL54" s="1016">
        <v>15</v>
      </c>
      <c r="BM54" s="1015">
        <v>70</v>
      </c>
      <c r="BN54" s="4">
        <v>0</v>
      </c>
      <c r="BO54" s="1016">
        <v>15</v>
      </c>
      <c r="BP54" s="1015">
        <v>70</v>
      </c>
      <c r="BQ54" s="4">
        <v>0</v>
      </c>
      <c r="BR54" s="1016">
        <v>15</v>
      </c>
      <c r="BS54" s="1015">
        <v>70</v>
      </c>
      <c r="BT54" s="4">
        <v>0</v>
      </c>
      <c r="BU54" s="1016">
        <v>15</v>
      </c>
      <c r="BV54" s="1015">
        <v>70</v>
      </c>
      <c r="BW54" s="4">
        <v>0</v>
      </c>
      <c r="BX54" s="1016">
        <v>15</v>
      </c>
      <c r="BY54" s="1015">
        <v>70</v>
      </c>
      <c r="BZ54" s="4">
        <v>0</v>
      </c>
      <c r="CA54" s="1016">
        <v>15</v>
      </c>
      <c r="CB54" s="1015">
        <v>70</v>
      </c>
      <c r="CC54" s="4">
        <v>0</v>
      </c>
      <c r="CD54" s="1016">
        <v>15</v>
      </c>
      <c r="CE54" s="1015">
        <v>70</v>
      </c>
      <c r="CF54" s="4">
        <v>0</v>
      </c>
      <c r="CG54" s="1016">
        <v>15</v>
      </c>
      <c r="CH54" s="1015">
        <v>70</v>
      </c>
      <c r="CI54" s="4">
        <v>0</v>
      </c>
      <c r="CJ54" s="1016">
        <v>15</v>
      </c>
      <c r="CK54" s="1015">
        <v>70</v>
      </c>
      <c r="CL54" s="4">
        <v>0</v>
      </c>
      <c r="CM54" s="1016">
        <v>15</v>
      </c>
      <c r="CN54" s="1015">
        <v>70</v>
      </c>
      <c r="CO54" s="4">
        <v>0</v>
      </c>
      <c r="CP54" s="1016">
        <v>15</v>
      </c>
      <c r="CQ54" s="1015">
        <v>70</v>
      </c>
      <c r="CR54" s="4">
        <v>0</v>
      </c>
      <c r="CS54" s="1016">
        <v>15</v>
      </c>
      <c r="CT54" s="1015">
        <v>70</v>
      </c>
      <c r="CU54" s="4">
        <v>0</v>
      </c>
      <c r="CV54" s="1016">
        <v>15</v>
      </c>
      <c r="CW54" s="1015"/>
    </row>
    <row r="55" spans="1:101" ht="15.95" customHeight="1">
      <c r="A55" s="843" t="s">
        <v>30</v>
      </c>
      <c r="B55" s="1015">
        <v>0</v>
      </c>
      <c r="C55" s="4">
        <v>0</v>
      </c>
      <c r="D55" s="1016">
        <v>0</v>
      </c>
      <c r="E55" s="1015">
        <f>E54+E49</f>
        <v>130</v>
      </c>
      <c r="F55" s="4">
        <v>0</v>
      </c>
      <c r="G55" s="1016">
        <v>12</v>
      </c>
      <c r="H55" s="1015">
        <f>H54+H49</f>
        <v>150</v>
      </c>
      <c r="I55" s="4">
        <v>0</v>
      </c>
      <c r="J55" s="1016">
        <v>12</v>
      </c>
      <c r="K55" s="1015">
        <f>K54+K49</f>
        <v>150</v>
      </c>
      <c r="L55" s="4">
        <v>0</v>
      </c>
      <c r="M55" s="1016">
        <v>12</v>
      </c>
      <c r="N55" s="1015">
        <f>N54+N49</f>
        <v>150</v>
      </c>
      <c r="O55" s="4">
        <v>0</v>
      </c>
      <c r="P55" s="1016">
        <v>15</v>
      </c>
      <c r="Q55" s="1015">
        <f>Q54+Q49</f>
        <v>150</v>
      </c>
      <c r="R55" s="4">
        <v>0</v>
      </c>
      <c r="S55" s="1016">
        <v>15</v>
      </c>
      <c r="T55" s="1015">
        <f>T54+T49</f>
        <v>150</v>
      </c>
      <c r="U55" s="4">
        <v>0</v>
      </c>
      <c r="V55" s="1016">
        <v>15</v>
      </c>
      <c r="W55" s="1015">
        <f>W54+W49</f>
        <v>150</v>
      </c>
      <c r="X55" s="4">
        <v>0</v>
      </c>
      <c r="Y55" s="1016">
        <v>15</v>
      </c>
      <c r="Z55" s="1015">
        <f>Z54+Z49</f>
        <v>170</v>
      </c>
      <c r="AA55" s="4">
        <v>0</v>
      </c>
      <c r="AB55" s="1016">
        <v>15</v>
      </c>
      <c r="AC55" s="1015">
        <f>AC54+AC49</f>
        <v>170</v>
      </c>
      <c r="AD55" s="4">
        <v>0</v>
      </c>
      <c r="AE55" s="1016">
        <v>15</v>
      </c>
      <c r="AF55" s="1015">
        <f>AF54+AF49</f>
        <v>180</v>
      </c>
      <c r="AG55" s="4">
        <v>0</v>
      </c>
      <c r="AH55" s="1016">
        <v>15</v>
      </c>
      <c r="AI55" s="1015">
        <f>AI54+AI49</f>
        <v>180</v>
      </c>
      <c r="AJ55" s="4">
        <v>0</v>
      </c>
      <c r="AK55" s="1016">
        <v>15</v>
      </c>
      <c r="AL55" s="1015">
        <f>AL54+AL49</f>
        <v>180</v>
      </c>
      <c r="AM55" s="4">
        <v>0</v>
      </c>
      <c r="AN55" s="1016">
        <v>15</v>
      </c>
      <c r="AO55" s="1015">
        <f>AO54+AO49</f>
        <v>180</v>
      </c>
      <c r="AP55" s="4">
        <v>0</v>
      </c>
      <c r="AQ55" s="1016">
        <v>15</v>
      </c>
      <c r="AR55" s="1015">
        <f>AR54+AR49</f>
        <v>180</v>
      </c>
      <c r="AS55" s="4">
        <v>0</v>
      </c>
      <c r="AT55" s="1016">
        <v>15</v>
      </c>
      <c r="AU55" s="1015">
        <f>AU54+AU49</f>
        <v>180</v>
      </c>
      <c r="AV55" s="4">
        <v>0</v>
      </c>
      <c r="AW55" s="1016">
        <v>15</v>
      </c>
      <c r="AX55" s="1015">
        <f>AX54+AX49</f>
        <v>180</v>
      </c>
      <c r="AY55" s="4">
        <v>0</v>
      </c>
      <c r="AZ55" s="1016">
        <v>15</v>
      </c>
      <c r="BA55" s="1015">
        <f>BA54+BA49</f>
        <v>180</v>
      </c>
      <c r="BB55" s="4">
        <v>0</v>
      </c>
      <c r="BC55" s="1016">
        <v>15</v>
      </c>
      <c r="BD55" s="1015">
        <f>BD54+BD49</f>
        <v>180</v>
      </c>
      <c r="BE55" s="4">
        <v>0</v>
      </c>
      <c r="BF55" s="1016">
        <v>15</v>
      </c>
      <c r="BG55" s="1015">
        <f>BG54+BG49</f>
        <v>180</v>
      </c>
      <c r="BH55" s="4">
        <v>0</v>
      </c>
      <c r="BI55" s="1016">
        <v>15</v>
      </c>
      <c r="BJ55" s="1015">
        <f>BJ54+BJ49</f>
        <v>180</v>
      </c>
      <c r="BK55" s="4">
        <v>0</v>
      </c>
      <c r="BL55" s="1016">
        <v>15</v>
      </c>
      <c r="BM55" s="1015">
        <f>BM54+BM49</f>
        <v>180</v>
      </c>
      <c r="BN55" s="4">
        <v>0</v>
      </c>
      <c r="BO55" s="1016">
        <v>15</v>
      </c>
      <c r="BP55" s="1015">
        <f>BP54+BP49</f>
        <v>180</v>
      </c>
      <c r="BQ55" s="4">
        <v>0</v>
      </c>
      <c r="BR55" s="1016">
        <v>15</v>
      </c>
      <c r="BS55" s="1015">
        <f>BS54+BS49</f>
        <v>180</v>
      </c>
      <c r="BT55" s="4">
        <v>0</v>
      </c>
      <c r="BU55" s="1016">
        <v>15</v>
      </c>
      <c r="BV55" s="1015">
        <f>BV54+BV49</f>
        <v>180</v>
      </c>
      <c r="BW55" s="4">
        <v>0</v>
      </c>
      <c r="BX55" s="1016">
        <v>15</v>
      </c>
      <c r="BY55" s="1015">
        <f>BY54+BY49</f>
        <v>180</v>
      </c>
      <c r="BZ55" s="4">
        <v>0</v>
      </c>
      <c r="CA55" s="1016">
        <v>15</v>
      </c>
      <c r="CB55" s="1015">
        <f>CB54+CB49</f>
        <v>180</v>
      </c>
      <c r="CC55" s="4">
        <v>0</v>
      </c>
      <c r="CD55" s="1016">
        <v>15</v>
      </c>
      <c r="CE55" s="4">
        <f>CE54+CE49</f>
        <v>180</v>
      </c>
      <c r="CF55" s="4">
        <v>0</v>
      </c>
      <c r="CG55" s="1016">
        <v>15</v>
      </c>
      <c r="CH55" s="65">
        <f>CH54+CH49</f>
        <v>180</v>
      </c>
      <c r="CI55" s="4">
        <v>0</v>
      </c>
      <c r="CJ55" s="1016">
        <v>15</v>
      </c>
      <c r="CK55" s="65">
        <f>CK54+CK49</f>
        <v>180</v>
      </c>
      <c r="CL55" s="4">
        <v>0</v>
      </c>
      <c r="CM55" s="1016">
        <v>15</v>
      </c>
      <c r="CN55" s="65">
        <f>CN54+CN49</f>
        <v>180</v>
      </c>
      <c r="CO55" s="4">
        <v>0</v>
      </c>
      <c r="CP55" s="1016">
        <v>15</v>
      </c>
      <c r="CQ55" s="65">
        <f>CQ54+CQ49</f>
        <v>180</v>
      </c>
      <c r="CR55" s="4">
        <v>0</v>
      </c>
      <c r="CS55" s="1016">
        <v>15</v>
      </c>
      <c r="CT55" s="65">
        <f>CT54+CT49</f>
        <v>180</v>
      </c>
      <c r="CU55" s="4">
        <v>0</v>
      </c>
      <c r="CV55" s="1016">
        <v>15</v>
      </c>
      <c r="CW55" s="65"/>
    </row>
    <row r="56" spans="1:101" ht="15.95" customHeight="1">
      <c r="A56" s="843" t="s">
        <v>31</v>
      </c>
      <c r="B56" s="1015">
        <v>0</v>
      </c>
      <c r="C56" s="4">
        <v>0</v>
      </c>
      <c r="D56" s="1016">
        <v>0</v>
      </c>
      <c r="E56" s="1015">
        <v>120</v>
      </c>
      <c r="F56" s="4">
        <v>0</v>
      </c>
      <c r="G56" s="1016">
        <v>12</v>
      </c>
      <c r="H56" s="1015">
        <v>120</v>
      </c>
      <c r="I56" s="4">
        <v>0</v>
      </c>
      <c r="J56" s="1016">
        <v>12</v>
      </c>
      <c r="K56" s="1015">
        <v>120</v>
      </c>
      <c r="L56" s="4">
        <v>0</v>
      </c>
      <c r="M56" s="1016">
        <v>12</v>
      </c>
      <c r="N56" s="1015">
        <v>120</v>
      </c>
      <c r="O56" s="4">
        <v>0</v>
      </c>
      <c r="P56" s="1016">
        <v>15</v>
      </c>
      <c r="Q56" s="1015">
        <v>120</v>
      </c>
      <c r="R56" s="4">
        <v>0</v>
      </c>
      <c r="S56" s="1016">
        <v>15</v>
      </c>
      <c r="T56" s="1015">
        <v>120</v>
      </c>
      <c r="U56" s="4">
        <v>0</v>
      </c>
      <c r="V56" s="1016">
        <v>15</v>
      </c>
      <c r="W56" s="1015">
        <v>120</v>
      </c>
      <c r="X56" s="4">
        <v>0</v>
      </c>
      <c r="Y56" s="1016">
        <v>15</v>
      </c>
      <c r="Z56" s="1015">
        <v>120</v>
      </c>
      <c r="AA56" s="4">
        <v>0</v>
      </c>
      <c r="AB56" s="1016">
        <v>15</v>
      </c>
      <c r="AC56" s="1015">
        <v>120</v>
      </c>
      <c r="AD56" s="4">
        <v>0</v>
      </c>
      <c r="AE56" s="1016">
        <v>15</v>
      </c>
      <c r="AF56" s="1015">
        <v>120</v>
      </c>
      <c r="AG56" s="4">
        <v>0</v>
      </c>
      <c r="AH56" s="1016">
        <v>15</v>
      </c>
      <c r="AI56" s="1015">
        <v>120</v>
      </c>
      <c r="AJ56" s="4">
        <v>0</v>
      </c>
      <c r="AK56" s="1016">
        <v>15</v>
      </c>
      <c r="AL56" s="1015">
        <v>120</v>
      </c>
      <c r="AM56" s="4">
        <v>0</v>
      </c>
      <c r="AN56" s="1016">
        <v>15</v>
      </c>
      <c r="AO56" s="1015">
        <v>120</v>
      </c>
      <c r="AP56" s="4">
        <v>0</v>
      </c>
      <c r="AQ56" s="1016">
        <v>15</v>
      </c>
      <c r="AR56" s="1015">
        <v>120</v>
      </c>
      <c r="AS56" s="4">
        <v>0</v>
      </c>
      <c r="AT56" s="1016">
        <v>15</v>
      </c>
      <c r="AU56" s="1015">
        <v>120</v>
      </c>
      <c r="AV56" s="4">
        <v>0</v>
      </c>
      <c r="AW56" s="1016">
        <v>15</v>
      </c>
      <c r="AX56" s="1015">
        <v>120</v>
      </c>
      <c r="AY56" s="4">
        <v>0</v>
      </c>
      <c r="AZ56" s="1016">
        <v>15</v>
      </c>
      <c r="BA56" s="1015">
        <v>120</v>
      </c>
      <c r="BB56" s="4">
        <v>0</v>
      </c>
      <c r="BC56" s="1016">
        <v>15</v>
      </c>
      <c r="BD56" s="1015">
        <v>120</v>
      </c>
      <c r="BE56" s="4">
        <v>0</v>
      </c>
      <c r="BF56" s="1016">
        <v>15</v>
      </c>
      <c r="BG56" s="1015">
        <v>120</v>
      </c>
      <c r="BH56" s="4">
        <v>0</v>
      </c>
      <c r="BI56" s="1016">
        <v>15</v>
      </c>
      <c r="BJ56" s="1015">
        <v>120</v>
      </c>
      <c r="BK56" s="4">
        <v>0</v>
      </c>
      <c r="BL56" s="1016">
        <v>15</v>
      </c>
      <c r="BM56" s="1015">
        <v>120</v>
      </c>
      <c r="BN56" s="4">
        <v>0</v>
      </c>
      <c r="BO56" s="1016">
        <v>15</v>
      </c>
      <c r="BP56" s="1015">
        <v>120</v>
      </c>
      <c r="BQ56" s="4">
        <v>0</v>
      </c>
      <c r="BR56" s="1016">
        <v>15</v>
      </c>
      <c r="BS56" s="1015">
        <v>120</v>
      </c>
      <c r="BT56" s="4">
        <v>0</v>
      </c>
      <c r="BU56" s="1016">
        <v>15</v>
      </c>
      <c r="BV56" s="1015">
        <v>120</v>
      </c>
      <c r="BW56" s="4">
        <v>0</v>
      </c>
      <c r="BX56" s="1016">
        <v>15</v>
      </c>
      <c r="BY56" s="1015">
        <v>120</v>
      </c>
      <c r="BZ56" s="4">
        <v>0</v>
      </c>
      <c r="CA56" s="1016">
        <v>15</v>
      </c>
      <c r="CB56" s="1015">
        <v>120</v>
      </c>
      <c r="CC56" s="4">
        <v>0</v>
      </c>
      <c r="CD56" s="1016">
        <v>15</v>
      </c>
      <c r="CE56" s="4">
        <v>120</v>
      </c>
      <c r="CF56" s="4">
        <v>0</v>
      </c>
      <c r="CG56" s="1016">
        <v>15</v>
      </c>
      <c r="CH56" s="65">
        <v>120</v>
      </c>
      <c r="CI56" s="4">
        <v>0</v>
      </c>
      <c r="CJ56" s="1016">
        <v>15</v>
      </c>
      <c r="CK56" s="65">
        <v>120</v>
      </c>
      <c r="CL56" s="4">
        <v>0</v>
      </c>
      <c r="CM56" s="1016">
        <v>15</v>
      </c>
      <c r="CN56" s="65">
        <v>120</v>
      </c>
      <c r="CO56" s="4">
        <v>0</v>
      </c>
      <c r="CP56" s="1016">
        <v>15</v>
      </c>
      <c r="CQ56" s="65">
        <v>120</v>
      </c>
      <c r="CR56" s="4">
        <v>0</v>
      </c>
      <c r="CS56" s="1016">
        <v>15</v>
      </c>
      <c r="CT56" s="65">
        <v>120</v>
      </c>
      <c r="CU56" s="4">
        <v>0</v>
      </c>
      <c r="CV56" s="1016">
        <v>15</v>
      </c>
      <c r="CW56" s="65"/>
    </row>
    <row r="57" spans="1:101" ht="15.95" customHeight="1">
      <c r="A57" s="843" t="s">
        <v>33</v>
      </c>
      <c r="B57" s="1015">
        <v>0</v>
      </c>
      <c r="C57" s="4">
        <v>0</v>
      </c>
      <c r="D57" s="1016">
        <v>0</v>
      </c>
      <c r="E57" s="1015">
        <v>25</v>
      </c>
      <c r="F57" s="4">
        <v>0</v>
      </c>
      <c r="G57" s="1016">
        <v>12</v>
      </c>
      <c r="H57" s="1015">
        <v>25</v>
      </c>
      <c r="I57" s="4">
        <v>0</v>
      </c>
      <c r="J57" s="1016">
        <v>12</v>
      </c>
      <c r="K57" s="1015">
        <v>25</v>
      </c>
      <c r="L57" s="4">
        <v>0</v>
      </c>
      <c r="M57" s="1016">
        <v>12</v>
      </c>
      <c r="N57" s="1015">
        <v>25</v>
      </c>
      <c r="O57" s="4">
        <v>0</v>
      </c>
      <c r="P57" s="1016">
        <v>15</v>
      </c>
      <c r="Q57" s="1015">
        <v>25</v>
      </c>
      <c r="R57" s="4">
        <v>0</v>
      </c>
      <c r="S57" s="1016">
        <v>15</v>
      </c>
      <c r="T57" s="1015">
        <v>25</v>
      </c>
      <c r="U57" s="4">
        <v>0</v>
      </c>
      <c r="V57" s="1016">
        <v>15</v>
      </c>
      <c r="W57" s="1015">
        <v>25</v>
      </c>
      <c r="X57" s="4">
        <v>0</v>
      </c>
      <c r="Y57" s="1016">
        <v>15</v>
      </c>
      <c r="Z57" s="1015">
        <v>25</v>
      </c>
      <c r="AA57" s="4">
        <v>0</v>
      </c>
      <c r="AB57" s="1016">
        <v>15</v>
      </c>
      <c r="AC57" s="1015">
        <v>25</v>
      </c>
      <c r="AD57" s="4">
        <v>0</v>
      </c>
      <c r="AE57" s="1016">
        <v>15</v>
      </c>
      <c r="AF57" s="1015">
        <v>25</v>
      </c>
      <c r="AG57" s="4">
        <v>0</v>
      </c>
      <c r="AH57" s="1016">
        <v>15</v>
      </c>
      <c r="AI57" s="1015">
        <v>25</v>
      </c>
      <c r="AJ57" s="4">
        <v>0</v>
      </c>
      <c r="AK57" s="1016">
        <v>15</v>
      </c>
      <c r="AL57" s="1015">
        <v>25</v>
      </c>
      <c r="AM57" s="4">
        <v>0</v>
      </c>
      <c r="AN57" s="1016">
        <v>15</v>
      </c>
      <c r="AO57" s="1015">
        <v>25</v>
      </c>
      <c r="AP57" s="4">
        <v>0</v>
      </c>
      <c r="AQ57" s="1016">
        <v>15</v>
      </c>
      <c r="AR57" s="1015">
        <v>25</v>
      </c>
      <c r="AS57" s="4">
        <v>0</v>
      </c>
      <c r="AT57" s="1016">
        <v>15</v>
      </c>
      <c r="AU57" s="1015">
        <v>25</v>
      </c>
      <c r="AV57" s="4">
        <v>0</v>
      </c>
      <c r="AW57" s="1016">
        <v>15</v>
      </c>
      <c r="AX57" s="1015">
        <v>25</v>
      </c>
      <c r="AY57" s="4">
        <v>0</v>
      </c>
      <c r="AZ57" s="1016">
        <v>15</v>
      </c>
      <c r="BA57" s="1015">
        <v>25</v>
      </c>
      <c r="BB57" s="4">
        <v>0</v>
      </c>
      <c r="BC57" s="1016">
        <v>15</v>
      </c>
      <c r="BD57" s="1015">
        <v>25</v>
      </c>
      <c r="BE57" s="4">
        <v>0</v>
      </c>
      <c r="BF57" s="1016">
        <v>15</v>
      </c>
      <c r="BG57" s="1015">
        <v>25</v>
      </c>
      <c r="BH57" s="4">
        <v>0</v>
      </c>
      <c r="BI57" s="1016">
        <v>15</v>
      </c>
      <c r="BJ57" s="1015">
        <v>25</v>
      </c>
      <c r="BK57" s="4">
        <v>0</v>
      </c>
      <c r="BL57" s="1016">
        <v>15</v>
      </c>
      <c r="BM57" s="1015">
        <v>25</v>
      </c>
      <c r="BN57" s="4">
        <v>0</v>
      </c>
      <c r="BO57" s="1016">
        <v>15</v>
      </c>
      <c r="BP57" s="1015">
        <v>25</v>
      </c>
      <c r="BQ57" s="4">
        <v>0</v>
      </c>
      <c r="BR57" s="1016">
        <v>15</v>
      </c>
      <c r="BS57" s="1015">
        <v>25</v>
      </c>
      <c r="BT57" s="4">
        <v>0</v>
      </c>
      <c r="BU57" s="1016">
        <v>15</v>
      </c>
      <c r="BV57" s="1015">
        <v>25</v>
      </c>
      <c r="BW57" s="4">
        <v>0</v>
      </c>
      <c r="BX57" s="1016">
        <v>15</v>
      </c>
      <c r="BY57" s="1015">
        <v>25</v>
      </c>
      <c r="BZ57" s="4">
        <v>0</v>
      </c>
      <c r="CA57" s="1016">
        <v>15</v>
      </c>
      <c r="CB57" s="1015">
        <v>25</v>
      </c>
      <c r="CC57" s="4">
        <v>0</v>
      </c>
      <c r="CD57" s="1016">
        <v>15</v>
      </c>
      <c r="CE57" s="4">
        <v>25</v>
      </c>
      <c r="CF57" s="4">
        <v>0</v>
      </c>
      <c r="CG57" s="1016">
        <v>15</v>
      </c>
      <c r="CH57" s="65">
        <v>25</v>
      </c>
      <c r="CI57" s="4">
        <v>0</v>
      </c>
      <c r="CJ57" s="1016">
        <v>15</v>
      </c>
      <c r="CK57" s="65">
        <v>25</v>
      </c>
      <c r="CL57" s="4">
        <v>0</v>
      </c>
      <c r="CM57" s="1016">
        <v>15</v>
      </c>
      <c r="CN57" s="65">
        <v>25</v>
      </c>
      <c r="CO57" s="4">
        <v>0</v>
      </c>
      <c r="CP57" s="1016">
        <v>15</v>
      </c>
      <c r="CQ57" s="65">
        <v>25</v>
      </c>
      <c r="CR57" s="4">
        <v>0</v>
      </c>
      <c r="CS57" s="1016">
        <v>15</v>
      </c>
      <c r="CT57" s="65">
        <v>25</v>
      </c>
      <c r="CU57" s="4">
        <v>0</v>
      </c>
      <c r="CV57" s="1016">
        <v>15</v>
      </c>
      <c r="CW57" s="65"/>
    </row>
    <row r="58" spans="1:101" ht="15.95" customHeight="1">
      <c r="A58" s="843" t="s">
        <v>32</v>
      </c>
      <c r="B58" s="1015">
        <v>0</v>
      </c>
      <c r="C58" s="4">
        <v>0</v>
      </c>
      <c r="D58" s="1016">
        <v>0</v>
      </c>
      <c r="E58" s="1015">
        <f>E57+E49</f>
        <v>85</v>
      </c>
      <c r="F58" s="4">
        <v>0</v>
      </c>
      <c r="G58" s="1016">
        <v>12</v>
      </c>
      <c r="H58" s="1015">
        <f>H57+H49</f>
        <v>105</v>
      </c>
      <c r="I58" s="4">
        <v>0</v>
      </c>
      <c r="J58" s="1016">
        <v>12</v>
      </c>
      <c r="K58" s="1015">
        <f>K57+K49</f>
        <v>105</v>
      </c>
      <c r="L58" s="4">
        <v>0</v>
      </c>
      <c r="M58" s="1016">
        <v>12</v>
      </c>
      <c r="N58" s="1015">
        <f>N57+N49</f>
        <v>105</v>
      </c>
      <c r="O58" s="4">
        <v>0</v>
      </c>
      <c r="P58" s="1016">
        <v>15</v>
      </c>
      <c r="Q58" s="1015">
        <f>Q57+Q49</f>
        <v>105</v>
      </c>
      <c r="R58" s="4">
        <v>0</v>
      </c>
      <c r="S58" s="1016">
        <v>15</v>
      </c>
      <c r="T58" s="1015">
        <f>T57+T49</f>
        <v>105</v>
      </c>
      <c r="U58" s="4">
        <v>0</v>
      </c>
      <c r="V58" s="1016">
        <v>15</v>
      </c>
      <c r="W58" s="1015">
        <f>W57+W49</f>
        <v>105</v>
      </c>
      <c r="X58" s="4">
        <v>0</v>
      </c>
      <c r="Y58" s="1016">
        <v>15</v>
      </c>
      <c r="Z58" s="1015">
        <f>Z57+Z49</f>
        <v>125</v>
      </c>
      <c r="AA58" s="4">
        <v>0</v>
      </c>
      <c r="AB58" s="1016">
        <v>15</v>
      </c>
      <c r="AC58" s="1015">
        <f>AC57+AC49</f>
        <v>125</v>
      </c>
      <c r="AD58" s="4">
        <v>0</v>
      </c>
      <c r="AE58" s="1016">
        <v>15</v>
      </c>
      <c r="AF58" s="1015">
        <f>AF57+AF49</f>
        <v>135</v>
      </c>
      <c r="AG58" s="4">
        <v>0</v>
      </c>
      <c r="AH58" s="1016">
        <v>15</v>
      </c>
      <c r="AI58" s="1015">
        <f>AI57+AI49</f>
        <v>135</v>
      </c>
      <c r="AJ58" s="4">
        <v>0</v>
      </c>
      <c r="AK58" s="1016">
        <v>15</v>
      </c>
      <c r="AL58" s="1015">
        <f>AL57+AL49</f>
        <v>135</v>
      </c>
      <c r="AM58" s="4">
        <v>0</v>
      </c>
      <c r="AN58" s="1016">
        <v>15</v>
      </c>
      <c r="AO58" s="1015">
        <f>AO57+AO49</f>
        <v>135</v>
      </c>
      <c r="AP58" s="4">
        <v>0</v>
      </c>
      <c r="AQ58" s="1016">
        <v>15</v>
      </c>
      <c r="AR58" s="1015">
        <f>AR57+AR49</f>
        <v>135</v>
      </c>
      <c r="AS58" s="4">
        <v>0</v>
      </c>
      <c r="AT58" s="1016">
        <v>15</v>
      </c>
      <c r="AU58" s="1015">
        <f>AU57+AU49</f>
        <v>135</v>
      </c>
      <c r="AV58" s="4">
        <v>0</v>
      </c>
      <c r="AW58" s="1016">
        <v>15</v>
      </c>
      <c r="AX58" s="1015">
        <f>AX57+AX49</f>
        <v>135</v>
      </c>
      <c r="AY58" s="4">
        <v>0</v>
      </c>
      <c r="AZ58" s="1016">
        <v>15</v>
      </c>
      <c r="BA58" s="1015">
        <f>BA57+BA49</f>
        <v>135</v>
      </c>
      <c r="BB58" s="4">
        <v>0</v>
      </c>
      <c r="BC58" s="1016">
        <v>15</v>
      </c>
      <c r="BD58" s="1015">
        <f>BD57+BD49</f>
        <v>135</v>
      </c>
      <c r="BE58" s="4">
        <v>0</v>
      </c>
      <c r="BF58" s="1016">
        <v>15</v>
      </c>
      <c r="BG58" s="1015">
        <f>BG57+BG49</f>
        <v>135</v>
      </c>
      <c r="BH58" s="4">
        <v>0</v>
      </c>
      <c r="BI58" s="1016">
        <v>15</v>
      </c>
      <c r="BJ58" s="1015">
        <f>BJ57+BJ49</f>
        <v>135</v>
      </c>
      <c r="BK58" s="4">
        <v>0</v>
      </c>
      <c r="BL58" s="1016">
        <v>15</v>
      </c>
      <c r="BM58" s="1015">
        <f>BM57+BM49</f>
        <v>135</v>
      </c>
      <c r="BN58" s="4">
        <v>0</v>
      </c>
      <c r="BO58" s="1016">
        <v>15</v>
      </c>
      <c r="BP58" s="1015">
        <f>BP57+BP49</f>
        <v>135</v>
      </c>
      <c r="BQ58" s="4">
        <v>0</v>
      </c>
      <c r="BR58" s="1016">
        <v>15</v>
      </c>
      <c r="BS58" s="1015">
        <f>BS57+BS49</f>
        <v>135</v>
      </c>
      <c r="BT58" s="4">
        <v>0</v>
      </c>
      <c r="BU58" s="1016">
        <v>15</v>
      </c>
      <c r="BV58" s="1015">
        <f>BV57+BV49</f>
        <v>135</v>
      </c>
      <c r="BW58" s="4">
        <v>0</v>
      </c>
      <c r="BX58" s="1016">
        <v>15</v>
      </c>
      <c r="BY58" s="1015">
        <f>BY57+BY49</f>
        <v>135</v>
      </c>
      <c r="BZ58" s="4">
        <v>0</v>
      </c>
      <c r="CA58" s="1016">
        <v>15</v>
      </c>
      <c r="CB58" s="1015">
        <f>CB57+CB49</f>
        <v>135</v>
      </c>
      <c r="CC58" s="4">
        <v>0</v>
      </c>
      <c r="CD58" s="1016">
        <v>15</v>
      </c>
      <c r="CE58" s="4">
        <f>CE57+CE49</f>
        <v>135</v>
      </c>
      <c r="CF58" s="4">
        <v>0</v>
      </c>
      <c r="CG58" s="1016">
        <v>15</v>
      </c>
      <c r="CH58" s="65">
        <f>CH57+CH49</f>
        <v>135</v>
      </c>
      <c r="CI58" s="4">
        <v>0</v>
      </c>
      <c r="CJ58" s="1016">
        <v>15</v>
      </c>
      <c r="CK58" s="65">
        <f>CK57+CK49</f>
        <v>135</v>
      </c>
      <c r="CL58" s="4">
        <v>0</v>
      </c>
      <c r="CM58" s="1016">
        <v>15</v>
      </c>
      <c r="CN58" s="65">
        <f>CN57+CN49</f>
        <v>135</v>
      </c>
      <c r="CO58" s="4">
        <v>0</v>
      </c>
      <c r="CP58" s="1016">
        <v>15</v>
      </c>
      <c r="CQ58" s="65">
        <f>CQ57+CQ49</f>
        <v>135</v>
      </c>
      <c r="CR58" s="4">
        <v>0</v>
      </c>
      <c r="CS58" s="1016">
        <v>15</v>
      </c>
      <c r="CT58" s="65">
        <f>CT57+CT49</f>
        <v>135</v>
      </c>
      <c r="CU58" s="4">
        <v>0</v>
      </c>
      <c r="CV58" s="1016">
        <v>15</v>
      </c>
      <c r="CW58" s="65"/>
    </row>
    <row r="59" spans="1:101" ht="15.95" customHeight="1">
      <c r="A59" s="843" t="s">
        <v>34</v>
      </c>
      <c r="B59" s="1015">
        <v>0</v>
      </c>
      <c r="C59" s="4">
        <v>0</v>
      </c>
      <c r="D59" s="1016">
        <v>0</v>
      </c>
      <c r="E59" s="1015">
        <f>E57+E50</f>
        <v>75</v>
      </c>
      <c r="F59" s="4">
        <v>0</v>
      </c>
      <c r="G59" s="1016">
        <v>12</v>
      </c>
      <c r="H59" s="1015">
        <f>H57+H50</f>
        <v>75</v>
      </c>
      <c r="I59" s="4">
        <v>0</v>
      </c>
      <c r="J59" s="1016">
        <v>12</v>
      </c>
      <c r="K59" s="1015">
        <f>K57+K50</f>
        <v>75</v>
      </c>
      <c r="L59" s="4">
        <v>0</v>
      </c>
      <c r="M59" s="1016">
        <v>12</v>
      </c>
      <c r="N59" s="1015">
        <f>N57+N50</f>
        <v>75</v>
      </c>
      <c r="O59" s="4">
        <v>0</v>
      </c>
      <c r="P59" s="1016">
        <v>15</v>
      </c>
      <c r="Q59" s="1015">
        <f>Q57+Q50</f>
        <v>75</v>
      </c>
      <c r="R59" s="4">
        <v>0</v>
      </c>
      <c r="S59" s="1016">
        <v>15</v>
      </c>
      <c r="T59" s="1015">
        <f>T57+T50</f>
        <v>75</v>
      </c>
      <c r="U59" s="4">
        <v>0</v>
      </c>
      <c r="V59" s="1016">
        <v>15</v>
      </c>
      <c r="W59" s="1015">
        <f>W57+W50</f>
        <v>75</v>
      </c>
      <c r="X59" s="4">
        <v>0</v>
      </c>
      <c r="Y59" s="1016">
        <v>15</v>
      </c>
      <c r="Z59" s="1015">
        <f>Z57+Z50</f>
        <v>75</v>
      </c>
      <c r="AA59" s="4">
        <v>0</v>
      </c>
      <c r="AB59" s="1016">
        <v>15</v>
      </c>
      <c r="AC59" s="1015">
        <f>AC57+AC50</f>
        <v>75</v>
      </c>
      <c r="AD59" s="4">
        <v>0</v>
      </c>
      <c r="AE59" s="1016">
        <v>15</v>
      </c>
      <c r="AF59" s="1015">
        <f>AF57+AF50</f>
        <v>75</v>
      </c>
      <c r="AG59" s="4">
        <v>0</v>
      </c>
      <c r="AH59" s="1016">
        <v>15</v>
      </c>
      <c r="AI59" s="1015">
        <f>AI57+AI50</f>
        <v>75</v>
      </c>
      <c r="AJ59" s="4">
        <v>0</v>
      </c>
      <c r="AK59" s="1016">
        <v>15</v>
      </c>
      <c r="AL59" s="1015">
        <f>AL57+AL50</f>
        <v>75</v>
      </c>
      <c r="AM59" s="4">
        <v>0</v>
      </c>
      <c r="AN59" s="1016">
        <v>15</v>
      </c>
      <c r="AO59" s="1015">
        <f>AO57+AO50</f>
        <v>75</v>
      </c>
      <c r="AP59" s="4">
        <v>0</v>
      </c>
      <c r="AQ59" s="1016">
        <v>15</v>
      </c>
      <c r="AR59" s="1015">
        <f>AR57+AR50</f>
        <v>75</v>
      </c>
      <c r="AS59" s="4">
        <v>0</v>
      </c>
      <c r="AT59" s="1016">
        <v>15</v>
      </c>
      <c r="AU59" s="1015">
        <f>AU57+AU50</f>
        <v>75</v>
      </c>
      <c r="AV59" s="4">
        <v>0</v>
      </c>
      <c r="AW59" s="1016">
        <v>15</v>
      </c>
      <c r="AX59" s="1015">
        <f>AX57+AX50</f>
        <v>75</v>
      </c>
      <c r="AY59" s="4">
        <v>0</v>
      </c>
      <c r="AZ59" s="1016">
        <v>15</v>
      </c>
      <c r="BA59" s="1015">
        <f>BA57+BA50</f>
        <v>75</v>
      </c>
      <c r="BB59" s="4">
        <v>0</v>
      </c>
      <c r="BC59" s="1016">
        <v>15</v>
      </c>
      <c r="BD59" s="1015">
        <f>BD57+BD50</f>
        <v>75</v>
      </c>
      <c r="BE59" s="4">
        <v>0</v>
      </c>
      <c r="BF59" s="1016">
        <v>15</v>
      </c>
      <c r="BG59" s="1015">
        <f>BG57+BG50</f>
        <v>75</v>
      </c>
      <c r="BH59" s="4">
        <v>0</v>
      </c>
      <c r="BI59" s="1016">
        <v>15</v>
      </c>
      <c r="BJ59" s="1015">
        <f>BJ57+BJ50</f>
        <v>75</v>
      </c>
      <c r="BK59" s="4">
        <v>0</v>
      </c>
      <c r="BL59" s="1016">
        <v>15</v>
      </c>
      <c r="BM59" s="1015">
        <f>BM57+BM50</f>
        <v>75</v>
      </c>
      <c r="BN59" s="4">
        <v>0</v>
      </c>
      <c r="BO59" s="1016">
        <v>15</v>
      </c>
      <c r="BP59" s="1015">
        <f>BP57+BP50</f>
        <v>75</v>
      </c>
      <c r="BQ59" s="4">
        <v>0</v>
      </c>
      <c r="BR59" s="1016">
        <v>15</v>
      </c>
      <c r="BS59" s="1015">
        <f>BS57+BS50</f>
        <v>75</v>
      </c>
      <c r="BT59" s="4">
        <v>0</v>
      </c>
      <c r="BU59" s="1016">
        <v>15</v>
      </c>
      <c r="BV59" s="1015">
        <f>BV57+BV50</f>
        <v>75</v>
      </c>
      <c r="BW59" s="4">
        <v>0</v>
      </c>
      <c r="BX59" s="1016">
        <v>15</v>
      </c>
      <c r="BY59" s="1015">
        <f>BY57+BY50</f>
        <v>75</v>
      </c>
      <c r="BZ59" s="4">
        <v>0</v>
      </c>
      <c r="CA59" s="1016">
        <v>15</v>
      </c>
      <c r="CB59" s="1015">
        <f>CB57+CB50</f>
        <v>75</v>
      </c>
      <c r="CC59" s="4">
        <v>0</v>
      </c>
      <c r="CD59" s="1016">
        <v>15</v>
      </c>
      <c r="CE59" s="4">
        <f>CE57+CE50</f>
        <v>75</v>
      </c>
      <c r="CF59" s="4">
        <v>0</v>
      </c>
      <c r="CG59" s="1016">
        <v>15</v>
      </c>
      <c r="CH59" s="65">
        <f>CH57+CH50</f>
        <v>75</v>
      </c>
      <c r="CI59" s="4">
        <v>0</v>
      </c>
      <c r="CJ59" s="1016">
        <v>15</v>
      </c>
      <c r="CK59" s="65">
        <f>CK57+CK50</f>
        <v>75</v>
      </c>
      <c r="CL59" s="4">
        <v>0</v>
      </c>
      <c r="CM59" s="1016">
        <v>15</v>
      </c>
      <c r="CN59" s="65">
        <f>CN57+CN50</f>
        <v>75</v>
      </c>
      <c r="CO59" s="4">
        <v>0</v>
      </c>
      <c r="CP59" s="1016">
        <v>15</v>
      </c>
      <c r="CQ59" s="65">
        <f>CQ57+CQ50</f>
        <v>75</v>
      </c>
      <c r="CR59" s="4">
        <v>0</v>
      </c>
      <c r="CS59" s="1016">
        <v>15</v>
      </c>
      <c r="CT59" s="65">
        <f>CT57+CT50</f>
        <v>75</v>
      </c>
      <c r="CU59" s="4">
        <v>0</v>
      </c>
      <c r="CV59" s="1016">
        <v>15</v>
      </c>
      <c r="CW59" s="65"/>
    </row>
    <row r="60" spans="1:101" ht="15.95" customHeight="1">
      <c r="A60" s="843" t="s">
        <v>85</v>
      </c>
      <c r="B60" s="1015">
        <v>0</v>
      </c>
      <c r="C60" s="4">
        <v>0</v>
      </c>
      <c r="D60" s="1016">
        <v>0</v>
      </c>
      <c r="E60" s="1015">
        <v>120</v>
      </c>
      <c r="F60" s="4">
        <v>0</v>
      </c>
      <c r="G60" s="1016">
        <v>12</v>
      </c>
      <c r="H60" s="1015">
        <v>120</v>
      </c>
      <c r="I60" s="4">
        <v>0</v>
      </c>
      <c r="J60" s="1016">
        <v>12</v>
      </c>
      <c r="K60" s="1015">
        <v>120</v>
      </c>
      <c r="L60" s="4">
        <v>0</v>
      </c>
      <c r="M60" s="1016">
        <v>12</v>
      </c>
      <c r="N60" s="1015">
        <v>120</v>
      </c>
      <c r="O60" s="4">
        <v>0</v>
      </c>
      <c r="P60" s="1016">
        <v>15</v>
      </c>
      <c r="Q60" s="1015">
        <v>120</v>
      </c>
      <c r="R60" s="4">
        <v>0</v>
      </c>
      <c r="S60" s="1016">
        <v>15</v>
      </c>
      <c r="T60" s="1015">
        <v>120</v>
      </c>
      <c r="U60" s="4">
        <v>0</v>
      </c>
      <c r="V60" s="1016">
        <v>15</v>
      </c>
      <c r="W60" s="1015">
        <v>120</v>
      </c>
      <c r="X60" s="4">
        <v>0</v>
      </c>
      <c r="Y60" s="1016">
        <v>15</v>
      </c>
      <c r="Z60" s="1015">
        <v>120</v>
      </c>
      <c r="AA60" s="4">
        <v>0</v>
      </c>
      <c r="AB60" s="1016">
        <v>15</v>
      </c>
      <c r="AC60" s="1015">
        <v>120</v>
      </c>
      <c r="AD60" s="4">
        <v>0</v>
      </c>
      <c r="AE60" s="1016">
        <v>15</v>
      </c>
      <c r="AF60" s="1015">
        <v>120</v>
      </c>
      <c r="AG60" s="4">
        <v>0</v>
      </c>
      <c r="AH60" s="1016">
        <v>15</v>
      </c>
      <c r="AI60" s="1015">
        <v>120</v>
      </c>
      <c r="AJ60" s="4">
        <v>0</v>
      </c>
      <c r="AK60" s="1016">
        <v>15</v>
      </c>
      <c r="AL60" s="1015">
        <v>120</v>
      </c>
      <c r="AM60" s="4">
        <v>0</v>
      </c>
      <c r="AN60" s="1016">
        <v>15</v>
      </c>
      <c r="AO60" s="1015">
        <v>120</v>
      </c>
      <c r="AP60" s="4">
        <v>0</v>
      </c>
      <c r="AQ60" s="1016">
        <v>15</v>
      </c>
      <c r="AR60" s="1015">
        <v>120</v>
      </c>
      <c r="AS60" s="4">
        <v>0</v>
      </c>
      <c r="AT60" s="1016">
        <v>15</v>
      </c>
      <c r="AU60" s="1015">
        <v>120</v>
      </c>
      <c r="AV60" s="4">
        <v>0</v>
      </c>
      <c r="AW60" s="1016">
        <v>15</v>
      </c>
      <c r="AX60" s="1015">
        <v>120</v>
      </c>
      <c r="AY60" s="4">
        <v>0</v>
      </c>
      <c r="AZ60" s="1016">
        <v>15</v>
      </c>
      <c r="BA60" s="1015">
        <v>120</v>
      </c>
      <c r="BB60" s="4">
        <v>0</v>
      </c>
      <c r="BC60" s="1016">
        <v>15</v>
      </c>
      <c r="BD60" s="1015">
        <v>120</v>
      </c>
      <c r="BE60" s="4">
        <v>0</v>
      </c>
      <c r="BF60" s="1016">
        <v>15</v>
      </c>
      <c r="BG60" s="1015">
        <v>120</v>
      </c>
      <c r="BH60" s="4">
        <v>0</v>
      </c>
      <c r="BI60" s="1016">
        <v>15</v>
      </c>
      <c r="BJ60" s="1015">
        <v>120</v>
      </c>
      <c r="BK60" s="4">
        <v>0</v>
      </c>
      <c r="BL60" s="1016">
        <v>15</v>
      </c>
      <c r="BM60" s="1015">
        <v>120</v>
      </c>
      <c r="BN60" s="4">
        <v>0</v>
      </c>
      <c r="BO60" s="1016">
        <v>15</v>
      </c>
      <c r="BP60" s="1015">
        <v>120</v>
      </c>
      <c r="BQ60" s="4">
        <v>0</v>
      </c>
      <c r="BR60" s="1016">
        <v>15</v>
      </c>
      <c r="BS60" s="1015">
        <v>120</v>
      </c>
      <c r="BT60" s="4">
        <v>0</v>
      </c>
      <c r="BU60" s="1016">
        <v>15</v>
      </c>
      <c r="BV60" s="1015">
        <v>120</v>
      </c>
      <c r="BW60" s="4">
        <v>0</v>
      </c>
      <c r="BX60" s="1016">
        <v>15</v>
      </c>
      <c r="BY60" s="1015">
        <v>120</v>
      </c>
      <c r="BZ60" s="4">
        <v>0</v>
      </c>
      <c r="CA60" s="1016">
        <v>15</v>
      </c>
      <c r="CB60" s="1015">
        <v>120</v>
      </c>
      <c r="CC60" s="4">
        <v>0</v>
      </c>
      <c r="CD60" s="1016">
        <v>15</v>
      </c>
      <c r="CE60" s="4">
        <v>120</v>
      </c>
      <c r="CF60" s="4">
        <v>0</v>
      </c>
      <c r="CG60" s="1016">
        <v>15</v>
      </c>
      <c r="CH60" s="65">
        <v>120</v>
      </c>
      <c r="CI60" s="4">
        <v>0</v>
      </c>
      <c r="CJ60" s="1016">
        <v>15</v>
      </c>
      <c r="CK60" s="65">
        <v>120</v>
      </c>
      <c r="CL60" s="4">
        <v>0</v>
      </c>
      <c r="CM60" s="1016">
        <v>15</v>
      </c>
      <c r="CN60" s="65">
        <v>120</v>
      </c>
      <c r="CO60" s="4">
        <v>0</v>
      </c>
      <c r="CP60" s="1016">
        <v>15</v>
      </c>
      <c r="CQ60" s="65">
        <v>120</v>
      </c>
      <c r="CR60" s="4">
        <v>0</v>
      </c>
      <c r="CS60" s="1016">
        <v>15</v>
      </c>
      <c r="CT60" s="65">
        <v>120</v>
      </c>
      <c r="CU60" s="4">
        <v>0</v>
      </c>
      <c r="CV60" s="1016">
        <v>15</v>
      </c>
      <c r="CW60" s="65"/>
    </row>
    <row r="61" spans="1:101" ht="15.95" customHeight="1">
      <c r="A61" s="843" t="s">
        <v>25</v>
      </c>
      <c r="B61" s="1015">
        <v>0</v>
      </c>
      <c r="C61" s="4">
        <v>0</v>
      </c>
      <c r="D61" s="1016">
        <v>0</v>
      </c>
      <c r="E61" s="1015">
        <v>80</v>
      </c>
      <c r="F61" s="4">
        <v>10</v>
      </c>
      <c r="G61" s="1016">
        <v>12</v>
      </c>
      <c r="H61" s="1015">
        <v>80</v>
      </c>
      <c r="I61" s="4">
        <v>10</v>
      </c>
      <c r="J61" s="1016">
        <v>12</v>
      </c>
      <c r="K61" s="1015">
        <v>80</v>
      </c>
      <c r="L61" s="4">
        <v>10</v>
      </c>
      <c r="M61" s="1016">
        <v>12</v>
      </c>
      <c r="N61" s="1015">
        <v>80</v>
      </c>
      <c r="O61" s="4">
        <v>10</v>
      </c>
      <c r="P61" s="1016">
        <v>15</v>
      </c>
      <c r="Q61" s="1015">
        <v>80</v>
      </c>
      <c r="R61" s="4">
        <v>10</v>
      </c>
      <c r="S61" s="1016">
        <v>15</v>
      </c>
      <c r="T61" s="1015">
        <v>80</v>
      </c>
      <c r="U61" s="4">
        <v>10</v>
      </c>
      <c r="V61" s="1016">
        <v>15</v>
      </c>
      <c r="W61" s="1015">
        <v>80</v>
      </c>
      <c r="X61" s="4">
        <v>10</v>
      </c>
      <c r="Y61" s="1016">
        <v>15</v>
      </c>
      <c r="Z61" s="1015">
        <v>80</v>
      </c>
      <c r="AA61" s="4">
        <v>10</v>
      </c>
      <c r="AB61" s="1016">
        <v>15</v>
      </c>
      <c r="AC61" s="1015">
        <v>80</v>
      </c>
      <c r="AD61" s="4">
        <v>10</v>
      </c>
      <c r="AE61" s="1016">
        <v>15</v>
      </c>
      <c r="AF61" s="1015">
        <v>80</v>
      </c>
      <c r="AG61" s="4">
        <v>10</v>
      </c>
      <c r="AH61" s="1016">
        <v>15</v>
      </c>
      <c r="AI61" s="1015">
        <v>120</v>
      </c>
      <c r="AJ61" s="4">
        <v>10</v>
      </c>
      <c r="AK61" s="1016">
        <v>15</v>
      </c>
      <c r="AL61" s="1015">
        <v>120</v>
      </c>
      <c r="AM61" s="4">
        <v>10</v>
      </c>
      <c r="AN61" s="1016">
        <v>15</v>
      </c>
      <c r="AO61" s="1015">
        <v>120</v>
      </c>
      <c r="AP61" s="4">
        <v>10</v>
      </c>
      <c r="AQ61" s="1016">
        <v>15</v>
      </c>
      <c r="AR61" s="1015">
        <v>120</v>
      </c>
      <c r="AS61" s="4">
        <v>10</v>
      </c>
      <c r="AT61" s="1016">
        <v>15</v>
      </c>
      <c r="AU61" s="1015">
        <v>120</v>
      </c>
      <c r="AV61" s="4">
        <v>10</v>
      </c>
      <c r="AW61" s="1016">
        <v>15</v>
      </c>
      <c r="AX61" s="1015">
        <v>120</v>
      </c>
      <c r="AY61" s="4">
        <v>10</v>
      </c>
      <c r="AZ61" s="1016">
        <v>15</v>
      </c>
      <c r="BA61" s="1015">
        <v>120</v>
      </c>
      <c r="BB61" s="4">
        <v>10</v>
      </c>
      <c r="BC61" s="1016">
        <v>15</v>
      </c>
      <c r="BD61" s="1015">
        <v>120</v>
      </c>
      <c r="BE61" s="4">
        <v>10</v>
      </c>
      <c r="BF61" s="1016">
        <v>15</v>
      </c>
      <c r="BG61" s="1015">
        <v>120</v>
      </c>
      <c r="BH61" s="4">
        <v>10</v>
      </c>
      <c r="BI61" s="1016">
        <v>15</v>
      </c>
      <c r="BJ61" s="1015">
        <v>120</v>
      </c>
      <c r="BK61" s="4">
        <v>10</v>
      </c>
      <c r="BL61" s="1016">
        <v>15</v>
      </c>
      <c r="BM61" s="1015">
        <v>120</v>
      </c>
      <c r="BN61" s="4">
        <v>10</v>
      </c>
      <c r="BO61" s="1016">
        <v>15</v>
      </c>
      <c r="BP61" s="1015">
        <v>120</v>
      </c>
      <c r="BQ61" s="4">
        <v>10</v>
      </c>
      <c r="BR61" s="1016">
        <v>15</v>
      </c>
      <c r="BS61" s="1015">
        <v>120</v>
      </c>
      <c r="BT61" s="4">
        <v>10</v>
      </c>
      <c r="BU61" s="1016">
        <v>15</v>
      </c>
      <c r="BV61" s="1015">
        <v>120</v>
      </c>
      <c r="BW61" s="4">
        <v>10</v>
      </c>
      <c r="BX61" s="1016">
        <v>15</v>
      </c>
      <c r="BY61" s="1015">
        <v>120</v>
      </c>
      <c r="BZ61" s="4">
        <v>10</v>
      </c>
      <c r="CA61" s="1016">
        <v>15</v>
      </c>
      <c r="CB61" s="1015">
        <v>120</v>
      </c>
      <c r="CC61" s="4">
        <v>10</v>
      </c>
      <c r="CD61" s="1016">
        <v>15</v>
      </c>
      <c r="CE61" s="4">
        <v>120</v>
      </c>
      <c r="CF61" s="4">
        <v>10</v>
      </c>
      <c r="CG61" s="1016">
        <v>15</v>
      </c>
      <c r="CH61" s="65">
        <v>120</v>
      </c>
      <c r="CI61" s="4">
        <v>10</v>
      </c>
      <c r="CJ61" s="1016">
        <v>15</v>
      </c>
      <c r="CK61" s="65">
        <v>120</v>
      </c>
      <c r="CL61" s="4">
        <v>10</v>
      </c>
      <c r="CM61" s="1016">
        <v>15</v>
      </c>
      <c r="CN61" s="65">
        <v>120</v>
      </c>
      <c r="CO61" s="4">
        <v>10</v>
      </c>
      <c r="CP61" s="1016">
        <v>15</v>
      </c>
      <c r="CQ61" s="65">
        <v>120</v>
      </c>
      <c r="CR61" s="4">
        <v>10</v>
      </c>
      <c r="CS61" s="1016">
        <v>15</v>
      </c>
      <c r="CT61" s="65">
        <v>120</v>
      </c>
      <c r="CU61" s="4">
        <v>10</v>
      </c>
      <c r="CV61" s="1016">
        <v>15</v>
      </c>
      <c r="CW61" s="65"/>
    </row>
    <row r="62" spans="1:101" ht="15.95" customHeight="1">
      <c r="A62" s="843" t="s">
        <v>26</v>
      </c>
      <c r="B62" s="1015">
        <v>0</v>
      </c>
      <c r="C62" s="4">
        <v>0</v>
      </c>
      <c r="D62" s="1016">
        <v>0</v>
      </c>
      <c r="E62" s="1015">
        <v>50</v>
      </c>
      <c r="F62" s="4">
        <v>0</v>
      </c>
      <c r="G62" s="1016">
        <v>12</v>
      </c>
      <c r="H62" s="1015">
        <v>50</v>
      </c>
      <c r="I62" s="4">
        <v>0</v>
      </c>
      <c r="J62" s="1016">
        <v>12</v>
      </c>
      <c r="K62" s="1015">
        <v>50</v>
      </c>
      <c r="L62" s="4">
        <v>0</v>
      </c>
      <c r="M62" s="1016">
        <v>12</v>
      </c>
      <c r="N62" s="1015">
        <v>50</v>
      </c>
      <c r="O62" s="4">
        <v>0</v>
      </c>
      <c r="P62" s="1016">
        <v>15</v>
      </c>
      <c r="Q62" s="1015">
        <v>50</v>
      </c>
      <c r="R62" s="4">
        <v>0</v>
      </c>
      <c r="S62" s="1016">
        <v>15</v>
      </c>
      <c r="T62" s="1015">
        <v>50</v>
      </c>
      <c r="U62" s="4">
        <v>0</v>
      </c>
      <c r="V62" s="1016">
        <v>15</v>
      </c>
      <c r="W62" s="1015">
        <v>50</v>
      </c>
      <c r="X62" s="4">
        <v>0</v>
      </c>
      <c r="Y62" s="1016">
        <v>15</v>
      </c>
      <c r="Z62" s="1015">
        <v>50</v>
      </c>
      <c r="AA62" s="4">
        <v>0</v>
      </c>
      <c r="AB62" s="1016">
        <v>15</v>
      </c>
      <c r="AC62" s="1015">
        <v>50</v>
      </c>
      <c r="AD62" s="4">
        <v>0</v>
      </c>
      <c r="AE62" s="1016">
        <v>15</v>
      </c>
      <c r="AF62" s="1015">
        <v>50</v>
      </c>
      <c r="AG62" s="4">
        <v>0</v>
      </c>
      <c r="AH62" s="1016">
        <v>15</v>
      </c>
      <c r="AI62" s="1015">
        <v>50</v>
      </c>
      <c r="AJ62" s="4">
        <v>0</v>
      </c>
      <c r="AK62" s="1016">
        <v>15</v>
      </c>
      <c r="AL62" s="1015">
        <v>50</v>
      </c>
      <c r="AM62" s="4">
        <v>0</v>
      </c>
      <c r="AN62" s="1016">
        <v>15</v>
      </c>
      <c r="AO62" s="1015">
        <v>50</v>
      </c>
      <c r="AP62" s="4">
        <v>0</v>
      </c>
      <c r="AQ62" s="1016">
        <v>15</v>
      </c>
      <c r="AR62" s="1015">
        <v>50</v>
      </c>
      <c r="AS62" s="4">
        <v>0</v>
      </c>
      <c r="AT62" s="1016">
        <v>15</v>
      </c>
      <c r="AU62" s="1015">
        <v>50</v>
      </c>
      <c r="AV62" s="4">
        <v>0</v>
      </c>
      <c r="AW62" s="1016">
        <v>15</v>
      </c>
      <c r="AX62" s="1015">
        <v>50</v>
      </c>
      <c r="AY62" s="4">
        <v>0</v>
      </c>
      <c r="AZ62" s="1016">
        <v>15</v>
      </c>
      <c r="BA62" s="1015">
        <v>50</v>
      </c>
      <c r="BB62" s="4">
        <v>0</v>
      </c>
      <c r="BC62" s="1016">
        <v>15</v>
      </c>
      <c r="BD62" s="1015">
        <v>50</v>
      </c>
      <c r="BE62" s="4">
        <v>0</v>
      </c>
      <c r="BF62" s="1016">
        <v>15</v>
      </c>
      <c r="BG62" s="1015">
        <v>50</v>
      </c>
      <c r="BH62" s="4">
        <v>0</v>
      </c>
      <c r="BI62" s="1016">
        <v>15</v>
      </c>
      <c r="BJ62" s="1015">
        <v>50</v>
      </c>
      <c r="BK62" s="4">
        <v>0</v>
      </c>
      <c r="BL62" s="1016">
        <v>15</v>
      </c>
      <c r="BM62" s="1015">
        <v>50</v>
      </c>
      <c r="BN62" s="4">
        <v>0</v>
      </c>
      <c r="BO62" s="1016">
        <v>15</v>
      </c>
      <c r="BP62" s="1015">
        <v>50</v>
      </c>
      <c r="BQ62" s="4">
        <v>0</v>
      </c>
      <c r="BR62" s="1016">
        <v>15</v>
      </c>
      <c r="BS62" s="1015">
        <v>50</v>
      </c>
      <c r="BT62" s="4">
        <v>0</v>
      </c>
      <c r="BU62" s="1016">
        <v>15</v>
      </c>
      <c r="BV62" s="1015">
        <v>50</v>
      </c>
      <c r="BW62" s="4">
        <v>0</v>
      </c>
      <c r="BX62" s="1016">
        <v>15</v>
      </c>
      <c r="BY62" s="1015">
        <v>50</v>
      </c>
      <c r="BZ62" s="4">
        <v>0</v>
      </c>
      <c r="CA62" s="1016">
        <v>15</v>
      </c>
      <c r="CB62" s="1015">
        <v>50</v>
      </c>
      <c r="CC62" s="4">
        <v>0</v>
      </c>
      <c r="CD62" s="1016">
        <v>15</v>
      </c>
      <c r="CE62" s="4">
        <v>50</v>
      </c>
      <c r="CF62" s="4">
        <v>0</v>
      </c>
      <c r="CG62" s="1016">
        <v>15</v>
      </c>
      <c r="CH62" s="65">
        <v>50</v>
      </c>
      <c r="CI62" s="4">
        <v>0</v>
      </c>
      <c r="CJ62" s="1016">
        <v>15</v>
      </c>
      <c r="CK62" s="65">
        <v>50</v>
      </c>
      <c r="CL62" s="4">
        <v>0</v>
      </c>
      <c r="CM62" s="1016">
        <v>15</v>
      </c>
      <c r="CN62" s="65">
        <v>50</v>
      </c>
      <c r="CO62" s="4">
        <v>0</v>
      </c>
      <c r="CP62" s="1016">
        <v>15</v>
      </c>
      <c r="CQ62" s="65">
        <v>50</v>
      </c>
      <c r="CR62" s="4">
        <v>0</v>
      </c>
      <c r="CS62" s="1016">
        <v>15</v>
      </c>
      <c r="CT62" s="65">
        <v>50</v>
      </c>
      <c r="CU62" s="4">
        <v>0</v>
      </c>
      <c r="CV62" s="1016">
        <v>15</v>
      </c>
      <c r="CW62" s="65"/>
    </row>
    <row r="63" spans="1:101" ht="15.95" customHeight="1">
      <c r="A63" s="843" t="s">
        <v>62</v>
      </c>
      <c r="B63" s="1015">
        <v>0</v>
      </c>
      <c r="C63" s="4">
        <v>0</v>
      </c>
      <c r="D63" s="1016">
        <v>0</v>
      </c>
      <c r="E63" s="1015">
        <v>100</v>
      </c>
      <c r="F63" s="4">
        <v>0</v>
      </c>
      <c r="G63" s="1016">
        <v>12</v>
      </c>
      <c r="H63" s="1015">
        <v>100</v>
      </c>
      <c r="I63" s="4">
        <v>0</v>
      </c>
      <c r="J63" s="1016">
        <v>12</v>
      </c>
      <c r="K63" s="1015">
        <v>100</v>
      </c>
      <c r="L63" s="4">
        <v>0</v>
      </c>
      <c r="M63" s="1016">
        <v>12</v>
      </c>
      <c r="N63" s="1015">
        <v>100</v>
      </c>
      <c r="O63" s="4">
        <v>0</v>
      </c>
      <c r="P63" s="1016">
        <v>15</v>
      </c>
      <c r="Q63" s="1015">
        <v>100</v>
      </c>
      <c r="R63" s="4">
        <v>0</v>
      </c>
      <c r="S63" s="1016">
        <v>15</v>
      </c>
      <c r="T63" s="1015">
        <v>100</v>
      </c>
      <c r="U63" s="4">
        <v>0</v>
      </c>
      <c r="V63" s="1016">
        <v>15</v>
      </c>
      <c r="W63" s="1015">
        <v>100</v>
      </c>
      <c r="X63" s="4">
        <v>0</v>
      </c>
      <c r="Y63" s="1016">
        <v>15</v>
      </c>
      <c r="Z63" s="1015">
        <v>100</v>
      </c>
      <c r="AA63" s="4">
        <v>0</v>
      </c>
      <c r="AB63" s="1016">
        <v>15</v>
      </c>
      <c r="AC63" s="1015">
        <v>100</v>
      </c>
      <c r="AD63" s="4">
        <v>0</v>
      </c>
      <c r="AE63" s="1016">
        <v>15</v>
      </c>
      <c r="AF63" s="1015">
        <v>100</v>
      </c>
      <c r="AG63" s="4">
        <v>0</v>
      </c>
      <c r="AH63" s="1016">
        <v>15</v>
      </c>
      <c r="AI63" s="1015">
        <v>100</v>
      </c>
      <c r="AJ63" s="4">
        <v>0</v>
      </c>
      <c r="AK63" s="1016">
        <v>15</v>
      </c>
      <c r="AL63" s="1015">
        <v>100</v>
      </c>
      <c r="AM63" s="4">
        <v>0</v>
      </c>
      <c r="AN63" s="1016">
        <v>15</v>
      </c>
      <c r="AO63" s="1015">
        <v>100</v>
      </c>
      <c r="AP63" s="4">
        <v>0</v>
      </c>
      <c r="AQ63" s="1016">
        <v>15</v>
      </c>
      <c r="AR63" s="1015">
        <v>100</v>
      </c>
      <c r="AS63" s="4">
        <v>0</v>
      </c>
      <c r="AT63" s="1016">
        <v>15</v>
      </c>
      <c r="AU63" s="1015">
        <v>100</v>
      </c>
      <c r="AV63" s="4">
        <v>0</v>
      </c>
      <c r="AW63" s="1016">
        <v>15</v>
      </c>
      <c r="AX63" s="1015">
        <v>100</v>
      </c>
      <c r="AY63" s="4">
        <v>0</v>
      </c>
      <c r="AZ63" s="1016">
        <v>15</v>
      </c>
      <c r="BA63" s="1015">
        <v>100</v>
      </c>
      <c r="BB63" s="4">
        <v>0</v>
      </c>
      <c r="BC63" s="1016">
        <v>15</v>
      </c>
      <c r="BD63" s="1015">
        <v>100</v>
      </c>
      <c r="BE63" s="4">
        <v>0</v>
      </c>
      <c r="BF63" s="1016">
        <v>15</v>
      </c>
      <c r="BG63" s="1015">
        <v>100</v>
      </c>
      <c r="BH63" s="4">
        <v>0</v>
      </c>
      <c r="BI63" s="1016">
        <v>15</v>
      </c>
      <c r="BJ63" s="1015">
        <v>100</v>
      </c>
      <c r="BK63" s="4">
        <v>0</v>
      </c>
      <c r="BL63" s="1016">
        <v>15</v>
      </c>
      <c r="BM63" s="1015">
        <v>100</v>
      </c>
      <c r="BN63" s="4">
        <v>0</v>
      </c>
      <c r="BO63" s="1016">
        <v>15</v>
      </c>
      <c r="BP63" s="1015">
        <v>100</v>
      </c>
      <c r="BQ63" s="4">
        <v>0</v>
      </c>
      <c r="BR63" s="1016">
        <v>15</v>
      </c>
      <c r="BS63" s="1015">
        <v>100</v>
      </c>
      <c r="BT63" s="4">
        <v>0</v>
      </c>
      <c r="BU63" s="1016">
        <v>15</v>
      </c>
      <c r="BV63" s="1015">
        <v>100</v>
      </c>
      <c r="BW63" s="4">
        <v>0</v>
      </c>
      <c r="BX63" s="1016">
        <v>15</v>
      </c>
      <c r="BY63" s="1015">
        <v>100</v>
      </c>
      <c r="BZ63" s="4">
        <v>0</v>
      </c>
      <c r="CA63" s="1016">
        <v>15</v>
      </c>
      <c r="CB63" s="1015">
        <v>100</v>
      </c>
      <c r="CC63" s="4">
        <v>0</v>
      </c>
      <c r="CD63" s="1016">
        <v>15</v>
      </c>
      <c r="CE63" s="4">
        <v>100</v>
      </c>
      <c r="CF63" s="4">
        <v>0</v>
      </c>
      <c r="CG63" s="1016">
        <v>15</v>
      </c>
      <c r="CH63" s="65">
        <v>100</v>
      </c>
      <c r="CI63" s="4">
        <v>0</v>
      </c>
      <c r="CJ63" s="1016">
        <v>15</v>
      </c>
      <c r="CK63" s="65">
        <v>100</v>
      </c>
      <c r="CL63" s="4">
        <v>0</v>
      </c>
      <c r="CM63" s="1016">
        <v>15</v>
      </c>
      <c r="CN63" s="65">
        <v>100</v>
      </c>
      <c r="CO63" s="4">
        <v>0</v>
      </c>
      <c r="CP63" s="1016">
        <v>15</v>
      </c>
      <c r="CQ63" s="65">
        <v>100</v>
      </c>
      <c r="CR63" s="4">
        <v>0</v>
      </c>
      <c r="CS63" s="1016">
        <v>15</v>
      </c>
      <c r="CT63" s="65">
        <v>100</v>
      </c>
      <c r="CU63" s="4">
        <v>0</v>
      </c>
      <c r="CV63" s="1016">
        <v>15</v>
      </c>
      <c r="CW63" s="65"/>
    </row>
    <row r="64" spans="1:101" ht="15.95" customHeight="1" thickBot="1">
      <c r="A64" s="845" t="s">
        <v>37</v>
      </c>
      <c r="B64" s="1017"/>
      <c r="C64" s="776"/>
      <c r="D64" s="1018"/>
      <c r="E64" s="1017"/>
      <c r="F64" s="776"/>
      <c r="G64" s="1018"/>
      <c r="H64" s="1017"/>
      <c r="I64" s="776"/>
      <c r="J64" s="1018"/>
      <c r="K64" s="1017"/>
      <c r="L64" s="776"/>
      <c r="M64" s="1018"/>
      <c r="N64" s="1017"/>
      <c r="O64" s="776"/>
      <c r="P64" s="1018"/>
      <c r="Q64" s="1017"/>
      <c r="R64" s="776"/>
      <c r="S64" s="1018"/>
      <c r="T64" s="1017"/>
      <c r="U64" s="776"/>
      <c r="V64" s="1018"/>
      <c r="W64" s="1017"/>
      <c r="X64" s="776"/>
      <c r="Y64" s="1018"/>
      <c r="Z64" s="1017"/>
      <c r="AA64" s="776"/>
      <c r="AB64" s="1018"/>
      <c r="AC64" s="1017"/>
      <c r="AD64" s="776"/>
      <c r="AE64" s="1018"/>
      <c r="AF64" s="1017"/>
      <c r="AG64" s="776"/>
      <c r="AH64" s="1018"/>
      <c r="AI64" s="1017"/>
      <c r="AJ64" s="776"/>
      <c r="AK64" s="1018"/>
      <c r="AL64" s="1017"/>
      <c r="AM64" s="776"/>
      <c r="AN64" s="1018"/>
      <c r="AO64" s="1017"/>
      <c r="AP64" s="776"/>
      <c r="AQ64" s="1018"/>
      <c r="AR64" s="1017"/>
      <c r="AS64" s="776"/>
      <c r="AT64" s="1018"/>
      <c r="AU64" s="1017"/>
      <c r="AV64" s="776"/>
      <c r="AW64" s="1018"/>
      <c r="AX64" s="1017"/>
      <c r="AY64" s="776"/>
      <c r="AZ64" s="1018"/>
      <c r="BA64" s="1017"/>
      <c r="BB64" s="776"/>
      <c r="BC64" s="1018"/>
      <c r="BD64" s="1017"/>
      <c r="BE64" s="776"/>
      <c r="BF64" s="1018"/>
      <c r="BG64" s="1017"/>
      <c r="BH64" s="776"/>
      <c r="BI64" s="1018"/>
      <c r="BJ64" s="1017"/>
      <c r="BK64" s="776"/>
      <c r="BL64" s="1018"/>
      <c r="BM64" s="1017"/>
      <c r="BN64" s="776"/>
      <c r="BO64" s="1018"/>
      <c r="BP64" s="1017"/>
      <c r="BQ64" s="776"/>
      <c r="BR64" s="1018"/>
      <c r="BS64" s="1017"/>
      <c r="BT64" s="776"/>
      <c r="BU64" s="1018"/>
      <c r="BV64" s="1017"/>
      <c r="BW64" s="776"/>
      <c r="BX64" s="1018"/>
      <c r="BY64" s="1017"/>
      <c r="BZ64" s="776"/>
      <c r="CA64" s="1018"/>
      <c r="CB64" s="1017"/>
      <c r="CC64" s="776"/>
      <c r="CD64" s="1018"/>
      <c r="CE64" s="776"/>
      <c r="CF64" s="776"/>
      <c r="CG64" s="1018"/>
      <c r="CH64" s="1825"/>
      <c r="CI64" s="776"/>
      <c r="CJ64" s="1018"/>
      <c r="CK64" s="1825"/>
      <c r="CL64" s="776"/>
      <c r="CM64" s="1018"/>
      <c r="CN64" s="1825"/>
      <c r="CO64" s="776"/>
      <c r="CP64" s="1018"/>
      <c r="CQ64" s="1825"/>
      <c r="CR64" s="776"/>
      <c r="CS64" s="1018"/>
      <c r="CT64" s="1825"/>
      <c r="CU64" s="776"/>
      <c r="CV64" s="1018"/>
      <c r="CW64" s="1825"/>
    </row>
    <row r="65" spans="1:114" ht="15.95" customHeight="1">
      <c r="A65" s="11"/>
    </row>
    <row r="67" spans="1:114" ht="15.95" customHeight="1">
      <c r="A67" s="1095"/>
      <c r="B67" s="1096" t="s">
        <v>2509</v>
      </c>
      <c r="C67" s="1097">
        <v>3</v>
      </c>
      <c r="D67" s="1097">
        <f t="shared" ref="D67" si="2">C67+1</f>
        <v>4</v>
      </c>
      <c r="E67" s="1097">
        <f t="shared" ref="E67" si="3">D67+1</f>
        <v>5</v>
      </c>
      <c r="F67" s="1097">
        <f t="shared" ref="F67" si="4">E67+1</f>
        <v>6</v>
      </c>
      <c r="G67" s="1097">
        <f t="shared" ref="G67" si="5">F67+1</f>
        <v>7</v>
      </c>
      <c r="H67" s="1097">
        <f t="shared" ref="H67" si="6">G67+1</f>
        <v>8</v>
      </c>
      <c r="I67" s="1097">
        <f t="shared" ref="I67" si="7">H67+1</f>
        <v>9</v>
      </c>
      <c r="J67" s="1097">
        <f t="shared" ref="J67" si="8">I67+1</f>
        <v>10</v>
      </c>
      <c r="K67" s="1097">
        <f t="shared" ref="K67" si="9">J67+1</f>
        <v>11</v>
      </c>
      <c r="L67" s="1097">
        <f t="shared" ref="L67" si="10">K67+1</f>
        <v>12</v>
      </c>
      <c r="M67" s="1097">
        <f t="shared" ref="M67" si="11">L67+1</f>
        <v>13</v>
      </c>
      <c r="N67" s="1097">
        <f t="shared" ref="N67" si="12">M67+1</f>
        <v>14</v>
      </c>
      <c r="O67" s="1097">
        <f t="shared" ref="O67" si="13">N67+1</f>
        <v>15</v>
      </c>
      <c r="P67" s="1097">
        <f t="shared" ref="P67" si="14">O67+1</f>
        <v>16</v>
      </c>
      <c r="Q67" s="1097">
        <f t="shared" ref="Q67" si="15">P67+1</f>
        <v>17</v>
      </c>
      <c r="R67" s="1097">
        <f t="shared" ref="R67" si="16">Q67+1</f>
        <v>18</v>
      </c>
      <c r="S67" s="1097">
        <f t="shared" ref="S67" si="17">R67+1</f>
        <v>19</v>
      </c>
      <c r="T67" s="1097">
        <f t="shared" ref="T67" si="18">S67+1</f>
        <v>20</v>
      </c>
      <c r="U67" s="1097">
        <f t="shared" ref="U67" si="19">T67+1</f>
        <v>21</v>
      </c>
      <c r="V67" s="1097">
        <f t="shared" ref="V67" si="20">U67+1</f>
        <v>22</v>
      </c>
      <c r="W67" s="1097">
        <f t="shared" ref="W67" si="21">V67+1</f>
        <v>23</v>
      </c>
      <c r="X67" s="1097">
        <f t="shared" ref="X67" si="22">W67+1</f>
        <v>24</v>
      </c>
      <c r="Y67" s="1097">
        <f t="shared" ref="Y67" si="23">X67+1</f>
        <v>25</v>
      </c>
      <c r="Z67" s="1097">
        <f t="shared" ref="Z67" si="24">Y67+1</f>
        <v>26</v>
      </c>
      <c r="AA67" s="1097">
        <f t="shared" ref="AA67" si="25">Z67+1</f>
        <v>27</v>
      </c>
      <c r="AB67" s="1097">
        <f t="shared" ref="AB67" si="26">AA67+1</f>
        <v>28</v>
      </c>
      <c r="AC67" s="1097">
        <f t="shared" ref="AC67" si="27">AB67+1</f>
        <v>29</v>
      </c>
      <c r="AD67" s="1097">
        <f t="shared" ref="AD67" si="28">AC67+1</f>
        <v>30</v>
      </c>
      <c r="AE67" s="1097">
        <f t="shared" ref="AE67" si="29">AD67+1</f>
        <v>31</v>
      </c>
      <c r="AF67" s="1097">
        <f t="shared" ref="AF67" si="30">AE67+1</f>
        <v>32</v>
      </c>
      <c r="AG67" s="1097">
        <f t="shared" ref="AG67" si="31">AF67+1</f>
        <v>33</v>
      </c>
      <c r="AH67" s="1097">
        <f t="shared" ref="AH67" si="32">AG67+1</f>
        <v>34</v>
      </c>
      <c r="AI67" s="1097">
        <f t="shared" ref="AI67" si="33">AH67+1</f>
        <v>35</v>
      </c>
      <c r="AJ67" s="1097">
        <f t="shared" ref="AJ67" si="34">AI67+1</f>
        <v>36</v>
      </c>
      <c r="AK67" s="1097">
        <f t="shared" ref="AK67" si="35">AJ67+1</f>
        <v>37</v>
      </c>
      <c r="AL67" s="1097">
        <f t="shared" ref="AL67" si="36">AK67+1</f>
        <v>38</v>
      </c>
      <c r="AM67" s="1097">
        <f t="shared" ref="AM67" si="37">AL67+1</f>
        <v>39</v>
      </c>
      <c r="AN67" s="1097">
        <f t="shared" ref="AN67" si="38">AM67+1</f>
        <v>40</v>
      </c>
      <c r="AO67" s="1097">
        <f t="shared" ref="AO67" si="39">AN67+1</f>
        <v>41</v>
      </c>
      <c r="AP67" s="1097">
        <f t="shared" ref="AP67" si="40">AO67+1</f>
        <v>42</v>
      </c>
      <c r="AQ67" s="1097">
        <f t="shared" ref="AQ67" si="41">AP67+1</f>
        <v>43</v>
      </c>
      <c r="AR67" s="1097">
        <f t="shared" ref="AR67" si="42">AQ67+1</f>
        <v>44</v>
      </c>
      <c r="AS67" s="1097">
        <f t="shared" ref="AS67" si="43">AR67+1</f>
        <v>45</v>
      </c>
      <c r="AT67" s="1097">
        <f t="shared" ref="AT67" si="44">AS67+1</f>
        <v>46</v>
      </c>
      <c r="AU67" s="1097">
        <f t="shared" ref="AU67" si="45">AT67+1</f>
        <v>47</v>
      </c>
      <c r="AV67" s="1097">
        <f t="shared" ref="AV67" si="46">AU67+1</f>
        <v>48</v>
      </c>
      <c r="AW67" s="1097">
        <f t="shared" ref="AW67" si="47">AV67+1</f>
        <v>49</v>
      </c>
      <c r="AX67" s="1097">
        <f t="shared" ref="AX67" si="48">AW67+1</f>
        <v>50</v>
      </c>
      <c r="AY67" s="1097">
        <f t="shared" ref="AY67" si="49">AX67+1</f>
        <v>51</v>
      </c>
      <c r="AZ67" s="1097">
        <f t="shared" ref="AZ67" si="50">AY67+1</f>
        <v>52</v>
      </c>
      <c r="BA67" s="1097">
        <f t="shared" ref="BA67" si="51">AZ67+1</f>
        <v>53</v>
      </c>
      <c r="BB67" s="1097">
        <f t="shared" ref="BB67" si="52">BA67+1</f>
        <v>54</v>
      </c>
      <c r="BC67" s="1097">
        <f t="shared" ref="BC67" si="53">BB67+1</f>
        <v>55</v>
      </c>
      <c r="BD67" s="1097">
        <f t="shared" ref="BD67" si="54">BC67+1</f>
        <v>56</v>
      </c>
      <c r="BE67" s="1097">
        <f t="shared" ref="BE67" si="55">BD67+1</f>
        <v>57</v>
      </c>
      <c r="BF67" s="1097">
        <f t="shared" ref="BF67" si="56">BE67+1</f>
        <v>58</v>
      </c>
      <c r="BG67" s="1097">
        <f t="shared" ref="BG67" si="57">BF67+1</f>
        <v>59</v>
      </c>
      <c r="BH67" s="1097">
        <f t="shared" ref="BH67" si="58">BG67+1</f>
        <v>60</v>
      </c>
      <c r="BI67" s="1097">
        <f t="shared" ref="BI67" si="59">BH67+1</f>
        <v>61</v>
      </c>
      <c r="BJ67" s="1097">
        <f t="shared" ref="BJ67" si="60">BI67+1</f>
        <v>62</v>
      </c>
      <c r="BK67" s="1097">
        <f t="shared" ref="BK67" si="61">BJ67+1</f>
        <v>63</v>
      </c>
      <c r="BL67" s="1097">
        <f t="shared" ref="BL67" si="62">BK67+1</f>
        <v>64</v>
      </c>
      <c r="BM67" s="1097">
        <f t="shared" ref="BM67" si="63">BL67+1</f>
        <v>65</v>
      </c>
      <c r="BN67" s="1097">
        <f t="shared" ref="BN67" si="64">BM67+1</f>
        <v>66</v>
      </c>
      <c r="BO67" s="1097">
        <f t="shared" ref="BO67" si="65">BN67+1</f>
        <v>67</v>
      </c>
      <c r="BP67" s="1097">
        <f t="shared" ref="BP67" si="66">BO67+1</f>
        <v>68</v>
      </c>
      <c r="BQ67" s="1097">
        <f t="shared" ref="BQ67" si="67">BP67+1</f>
        <v>69</v>
      </c>
      <c r="BR67" s="1097">
        <f t="shared" ref="BR67" si="68">BQ67+1</f>
        <v>70</v>
      </c>
      <c r="BS67" s="1097">
        <f t="shared" ref="BS67" si="69">BR67+1</f>
        <v>71</v>
      </c>
      <c r="BT67" s="1097">
        <f t="shared" ref="BT67" si="70">BS67+1</f>
        <v>72</v>
      </c>
      <c r="BU67" s="1097">
        <f t="shared" ref="BU67" si="71">BT67+1</f>
        <v>73</v>
      </c>
      <c r="BV67" s="1097">
        <f t="shared" ref="BV67" si="72">BU67+1</f>
        <v>74</v>
      </c>
      <c r="BW67" s="1097">
        <f t="shared" ref="BW67" si="73">BV67+1</f>
        <v>75</v>
      </c>
      <c r="BX67" s="1097">
        <f t="shared" ref="BX67" si="74">BW67+1</f>
        <v>76</v>
      </c>
      <c r="BY67" s="1097">
        <f t="shared" ref="BY67" si="75">BX67+1</f>
        <v>77</v>
      </c>
      <c r="BZ67" s="1097">
        <f t="shared" ref="BZ67" si="76">BY67+1</f>
        <v>78</v>
      </c>
      <c r="CA67" s="1097">
        <f t="shared" ref="CA67" si="77">BZ67+1</f>
        <v>79</v>
      </c>
      <c r="CB67" s="1097">
        <f t="shared" ref="CB67" si="78">CA67+1</f>
        <v>80</v>
      </c>
      <c r="CC67" s="1097">
        <f t="shared" ref="CC67" si="79">CB67+1</f>
        <v>81</v>
      </c>
      <c r="CD67" s="1097">
        <f t="shared" ref="CD67" si="80">CC67+1</f>
        <v>82</v>
      </c>
      <c r="CE67" s="1097">
        <f t="shared" ref="CE67" si="81">CD67+1</f>
        <v>83</v>
      </c>
      <c r="CF67" s="1097">
        <f t="shared" ref="CF67" si="82">CE67+1</f>
        <v>84</v>
      </c>
      <c r="CG67" s="1097">
        <f t="shared" ref="CG67" si="83">CF67+1</f>
        <v>85</v>
      </c>
      <c r="CH67" s="1097">
        <f t="shared" ref="CH67" si="84">CG67+1</f>
        <v>86</v>
      </c>
      <c r="CI67" s="1097">
        <f t="shared" ref="CI67" si="85">CH67+1</f>
        <v>87</v>
      </c>
      <c r="CJ67" s="1097">
        <f t="shared" ref="CJ67" si="86">CI67+1</f>
        <v>88</v>
      </c>
      <c r="CK67" s="1097">
        <f t="shared" ref="CK67" si="87">CJ67+1</f>
        <v>89</v>
      </c>
      <c r="CL67" s="1097">
        <f t="shared" ref="CL67" si="88">CK67+1</f>
        <v>90</v>
      </c>
      <c r="CM67" s="1097">
        <f t="shared" ref="CM67" si="89">CL67+1</f>
        <v>91</v>
      </c>
      <c r="CN67" s="1097">
        <f t="shared" ref="CN67" si="90">CM67+1</f>
        <v>92</v>
      </c>
      <c r="CO67" s="1097">
        <f t="shared" ref="CO67" si="91">CN67+1</f>
        <v>93</v>
      </c>
      <c r="CP67" s="1097">
        <f t="shared" ref="CP67" si="92">CO67+1</f>
        <v>94</v>
      </c>
      <c r="CQ67" s="1098">
        <f t="shared" ref="CQ67" si="93">CP67+1</f>
        <v>95</v>
      </c>
      <c r="CR67" s="1098">
        <f t="shared" ref="CR67" si="94">CQ67+1</f>
        <v>96</v>
      </c>
      <c r="CS67" s="1098">
        <f t="shared" ref="CS67" si="95">CR67+1</f>
        <v>97</v>
      </c>
      <c r="CT67" s="1098">
        <f t="shared" ref="CT67" si="96">CS67+1</f>
        <v>98</v>
      </c>
      <c r="CU67" s="1098">
        <f t="shared" ref="CU67" si="97">CT67+1</f>
        <v>99</v>
      </c>
      <c r="CV67" s="1098">
        <f t="shared" ref="CV67" si="98">CU67+1</f>
        <v>100</v>
      </c>
      <c r="CW67" s="1098">
        <f t="shared" ref="CW67" si="99">CV67+1</f>
        <v>101</v>
      </c>
      <c r="CX67" s="1098">
        <f t="shared" ref="CX67" si="100">CW67+1</f>
        <v>102</v>
      </c>
      <c r="CY67" s="1098">
        <f t="shared" ref="CY67" si="101">CX67+1</f>
        <v>103</v>
      </c>
      <c r="CZ67" s="1098">
        <f t="shared" ref="CZ67" si="102">CY67+1</f>
        <v>104</v>
      </c>
      <c r="DA67" s="1098">
        <f t="shared" ref="DA67" si="103">CZ67+1</f>
        <v>105</v>
      </c>
      <c r="DB67" s="1098">
        <f t="shared" ref="DB67" si="104">DA67+1</f>
        <v>106</v>
      </c>
      <c r="DC67" s="1098">
        <f t="shared" ref="DC67" si="105">DB67+1</f>
        <v>107</v>
      </c>
      <c r="DD67" s="1098">
        <f t="shared" ref="DD67" si="106">DC67+1</f>
        <v>108</v>
      </c>
      <c r="DE67" s="1098">
        <f t="shared" ref="DE67" si="107">DD67+1</f>
        <v>109</v>
      </c>
      <c r="DF67" s="1098">
        <f t="shared" ref="DF67" si="108">DE67+1</f>
        <v>110</v>
      </c>
      <c r="DG67" s="1098">
        <f t="shared" ref="DG67" si="109">DF67+1</f>
        <v>111</v>
      </c>
      <c r="DH67" s="1098">
        <f t="shared" ref="DH67" si="110">DG67+1</f>
        <v>112</v>
      </c>
      <c r="DI67" s="1098">
        <f t="shared" ref="DI67" si="111">DH67+1</f>
        <v>113</v>
      </c>
      <c r="DJ67" s="1098">
        <f t="shared" ref="DJ67" si="112">DI67+1</f>
        <v>114</v>
      </c>
    </row>
    <row r="68" spans="1:114" ht="15.95" customHeight="1" thickBot="1">
      <c r="A68" s="1094" t="s">
        <v>60</v>
      </c>
      <c r="B68" s="1086" t="s">
        <v>1426</v>
      </c>
      <c r="C68" s="1085"/>
      <c r="D68" s="1085"/>
      <c r="E68" s="1085"/>
      <c r="F68" s="1085"/>
      <c r="G68" s="1085"/>
      <c r="H68" s="1085"/>
      <c r="I68" s="1085"/>
      <c r="J68" s="1085"/>
      <c r="K68" s="1085"/>
      <c r="L68" s="1085"/>
      <c r="M68" s="1085"/>
      <c r="N68" s="1085"/>
      <c r="O68" s="1085"/>
      <c r="P68" s="1085"/>
      <c r="Q68" s="1085"/>
      <c r="R68" s="1085"/>
      <c r="S68" s="1085"/>
      <c r="T68" s="1085"/>
      <c r="U68" s="1085"/>
      <c r="V68" s="1085"/>
      <c r="W68" s="1085"/>
      <c r="X68" s="1085"/>
      <c r="Y68" s="1085"/>
      <c r="Z68" s="1085"/>
      <c r="AA68" s="1085"/>
      <c r="AB68" s="1085"/>
      <c r="AC68" s="1085"/>
      <c r="AD68" s="1085"/>
      <c r="AE68" s="1085"/>
      <c r="AF68" s="1085"/>
      <c r="AG68" s="1085"/>
      <c r="AH68" s="1085"/>
      <c r="AI68" s="1085"/>
      <c r="AJ68" s="1085"/>
      <c r="AK68" s="1085"/>
      <c r="AL68" s="1085"/>
      <c r="AM68" s="1085"/>
      <c r="AN68" s="1085"/>
      <c r="AO68" s="1085"/>
      <c r="AP68" s="1085"/>
      <c r="AQ68" s="1085"/>
      <c r="AR68" s="1085"/>
      <c r="AS68" s="1085"/>
      <c r="AT68" s="1085"/>
      <c r="AU68" s="1085"/>
      <c r="AV68" s="1085"/>
      <c r="AW68" s="1085"/>
      <c r="AX68" s="1085"/>
      <c r="AY68" s="1085"/>
      <c r="AZ68" s="1085"/>
      <c r="BA68" s="1085"/>
      <c r="BB68" s="1085"/>
      <c r="BC68" s="1085"/>
      <c r="BD68" s="1085"/>
      <c r="BE68" s="1085"/>
      <c r="BF68" s="1085"/>
      <c r="BG68" s="1085"/>
      <c r="BH68" s="1085"/>
      <c r="BI68" s="1085"/>
      <c r="BJ68" s="1085"/>
      <c r="BK68" s="1085"/>
      <c r="BL68" s="1085"/>
      <c r="BM68" s="1085"/>
      <c r="BN68" s="1085"/>
      <c r="BO68" s="1085"/>
      <c r="BP68" s="1085"/>
      <c r="BQ68" s="1085"/>
      <c r="BR68" s="1085"/>
      <c r="BS68" s="1085"/>
      <c r="BT68" s="1085"/>
      <c r="BU68" s="1085"/>
      <c r="BV68" s="1085"/>
      <c r="BW68" s="1085"/>
      <c r="BX68" s="1085"/>
      <c r="BY68" s="1085"/>
      <c r="BZ68" s="1085"/>
      <c r="CA68" s="1085"/>
      <c r="CB68" s="1085"/>
      <c r="CC68" s="1085"/>
      <c r="CD68" s="1085"/>
      <c r="CE68" s="1085"/>
      <c r="CF68" s="1085"/>
      <c r="CG68" s="1085"/>
      <c r="CH68" s="1085"/>
      <c r="CI68" s="1085"/>
      <c r="CJ68" s="1085"/>
      <c r="CK68" s="1085"/>
      <c r="CL68" s="1085"/>
      <c r="CM68" s="1085"/>
      <c r="CN68" s="1085"/>
      <c r="CO68" s="1085"/>
      <c r="CP68" s="1085"/>
      <c r="CQ68" s="1093"/>
      <c r="CR68" s="1093"/>
      <c r="CS68" s="1093"/>
      <c r="CT68" s="1093"/>
      <c r="CU68" s="1093"/>
      <c r="CV68" s="1093"/>
      <c r="CW68" s="1093"/>
      <c r="CX68" s="1093"/>
      <c r="CY68" s="1093"/>
      <c r="CZ68" s="1093"/>
      <c r="DA68" s="1093"/>
      <c r="DB68" s="1093"/>
      <c r="DC68" s="1093"/>
      <c r="DD68" s="1093"/>
      <c r="DE68" s="1093"/>
      <c r="DF68" s="1093"/>
      <c r="DG68" s="1093"/>
      <c r="DH68" s="1093"/>
      <c r="DI68" s="1093"/>
      <c r="DJ68" s="1093"/>
    </row>
    <row r="69" spans="1:114" ht="15.95" customHeight="1">
      <c r="A69" s="68" t="s">
        <v>52</v>
      </c>
      <c r="B69" s="69">
        <f>MATCH($A69,'Bearing Data'!$A$2:$Y$2,0)</f>
        <v>1</v>
      </c>
      <c r="C69" s="69" t="str">
        <f t="shared" ref="C69:L70" si="113">INDEX(REG_B_constr_data,C$67,$B69)</f>
        <v>1208EKTN9</v>
      </c>
      <c r="D69" s="69" t="str">
        <f t="shared" si="113"/>
        <v>2208EKTN9</v>
      </c>
      <c r="E69" s="69" t="str">
        <f t="shared" si="113"/>
        <v>1308EKTN9</v>
      </c>
      <c r="F69" s="69" t="str">
        <f t="shared" si="113"/>
        <v>2308EKTN9</v>
      </c>
      <c r="G69" s="69" t="str">
        <f t="shared" si="113"/>
        <v>1209EKTN9</v>
      </c>
      <c r="H69" s="69" t="str">
        <f t="shared" si="113"/>
        <v>2209EKTN9</v>
      </c>
      <c r="I69" s="69" t="str">
        <f t="shared" si="113"/>
        <v>1309EKTN9</v>
      </c>
      <c r="J69" s="69" t="str">
        <f t="shared" si="113"/>
        <v>2309EKTN9</v>
      </c>
      <c r="K69" s="69" t="str">
        <f t="shared" si="113"/>
        <v>1210EKTN9</v>
      </c>
      <c r="L69" s="69" t="str">
        <f t="shared" si="113"/>
        <v>2210EKTN9</v>
      </c>
      <c r="M69" s="69" t="str">
        <f t="shared" ref="M69:V70" si="114">INDEX(REG_B_constr_data,M$67,$B69)</f>
        <v>1310EKTN9</v>
      </c>
      <c r="N69" s="69" t="str">
        <f t="shared" si="114"/>
        <v>2310K</v>
      </c>
      <c r="O69" s="69" t="str">
        <f t="shared" si="114"/>
        <v>1211EKTN9</v>
      </c>
      <c r="P69" s="69" t="str">
        <f t="shared" si="114"/>
        <v>2211EKTN9</v>
      </c>
      <c r="Q69" s="69" t="str">
        <f t="shared" si="114"/>
        <v>1311EKTN9</v>
      </c>
      <c r="R69" s="69" t="str">
        <f t="shared" si="114"/>
        <v>2311K</v>
      </c>
      <c r="S69" s="69" t="str">
        <f t="shared" si="114"/>
        <v>1212EKTN9</v>
      </c>
      <c r="T69" s="69" t="str">
        <f t="shared" si="114"/>
        <v>2212EKTN9</v>
      </c>
      <c r="U69" s="69" t="str">
        <f t="shared" si="114"/>
        <v>22212EK</v>
      </c>
      <c r="V69" s="69" t="str">
        <f t="shared" si="114"/>
        <v>1312EKTN9</v>
      </c>
      <c r="W69" s="69" t="str">
        <f t="shared" ref="W69:AF70" si="115">INDEX(REG_B_constr_data,W$67,$B69)</f>
        <v>2312K</v>
      </c>
      <c r="X69" s="69" t="str">
        <f t="shared" si="115"/>
        <v>21312EK</v>
      </c>
      <c r="Y69" s="69" t="str">
        <f t="shared" si="115"/>
        <v>22312EK</v>
      </c>
      <c r="Z69" s="69" t="str">
        <f t="shared" si="115"/>
        <v>1213EKTN9</v>
      </c>
      <c r="AA69" s="69" t="str">
        <f t="shared" si="115"/>
        <v>2213EKTN9</v>
      </c>
      <c r="AB69" s="69" t="str">
        <f t="shared" si="115"/>
        <v>22213EK</v>
      </c>
      <c r="AC69" s="69" t="str">
        <f t="shared" si="115"/>
        <v>1313EKTN9</v>
      </c>
      <c r="AD69" s="69" t="str">
        <f t="shared" si="115"/>
        <v>2313K</v>
      </c>
      <c r="AE69" s="69" t="str">
        <f t="shared" si="115"/>
        <v>21313EK</v>
      </c>
      <c r="AF69" s="69" t="str">
        <f t="shared" si="115"/>
        <v>22313EK</v>
      </c>
      <c r="AG69" s="69" t="str">
        <f t="shared" ref="AG69:AP70" si="116">INDEX(REG_B_constr_data,AG$67,$B69)</f>
        <v>1215K</v>
      </c>
      <c r="AH69" s="69" t="str">
        <f t="shared" si="116"/>
        <v>2215EKTN9</v>
      </c>
      <c r="AI69" s="69" t="str">
        <f t="shared" si="116"/>
        <v>22215EK</v>
      </c>
      <c r="AJ69" s="69" t="str">
        <f t="shared" si="116"/>
        <v>1315K</v>
      </c>
      <c r="AK69" s="69" t="str">
        <f t="shared" si="116"/>
        <v>2315K</v>
      </c>
      <c r="AL69" s="69" t="str">
        <f t="shared" si="116"/>
        <v>21315EK</v>
      </c>
      <c r="AM69" s="69" t="str">
        <f t="shared" si="116"/>
        <v>22315EK</v>
      </c>
      <c r="AN69" s="69" t="str">
        <f t="shared" si="116"/>
        <v>1216K</v>
      </c>
      <c r="AO69" s="69" t="str">
        <f t="shared" si="116"/>
        <v>2216EKTN9</v>
      </c>
      <c r="AP69" s="69" t="str">
        <f t="shared" si="116"/>
        <v>22216EK</v>
      </c>
      <c r="AQ69" s="69" t="str">
        <f t="shared" ref="AQ69:AZ70" si="117">INDEX(REG_B_constr_data,AQ$67,$B69)</f>
        <v>1316K</v>
      </c>
      <c r="AR69" s="69" t="str">
        <f t="shared" si="117"/>
        <v>2316K</v>
      </c>
      <c r="AS69" s="69" t="str">
        <f t="shared" si="117"/>
        <v>21316EK</v>
      </c>
      <c r="AT69" s="69" t="str">
        <f t="shared" si="117"/>
        <v>22316EK</v>
      </c>
      <c r="AU69" s="69" t="str">
        <f t="shared" si="117"/>
        <v>1217K</v>
      </c>
      <c r="AV69" s="69" t="str">
        <f t="shared" si="117"/>
        <v>2217K</v>
      </c>
      <c r="AW69" s="69" t="str">
        <f t="shared" si="117"/>
        <v>2217K</v>
      </c>
      <c r="AX69" s="69" t="str">
        <f t="shared" si="117"/>
        <v>22217EK</v>
      </c>
      <c r="AY69" s="69" t="str">
        <f t="shared" si="117"/>
        <v>22217EK</v>
      </c>
      <c r="AZ69" s="69" t="str">
        <f t="shared" si="117"/>
        <v>1317K</v>
      </c>
      <c r="BA69" s="69" t="str">
        <f t="shared" ref="BA69:BJ70" si="118">INDEX(REG_B_constr_data,BA$67,$B69)</f>
        <v>2317K</v>
      </c>
      <c r="BB69" s="69" t="str">
        <f t="shared" si="118"/>
        <v>21317EK</v>
      </c>
      <c r="BC69" s="69" t="str">
        <f t="shared" si="118"/>
        <v>22317EK</v>
      </c>
      <c r="BD69" s="69" t="str">
        <f t="shared" si="118"/>
        <v>1218K</v>
      </c>
      <c r="BE69" s="69" t="str">
        <f t="shared" si="118"/>
        <v>2218K</v>
      </c>
      <c r="BF69" s="69" t="str">
        <f t="shared" si="118"/>
        <v>2218K</v>
      </c>
      <c r="BG69" s="69" t="str">
        <f t="shared" si="118"/>
        <v>22218EK</v>
      </c>
      <c r="BH69" s="69" t="str">
        <f t="shared" si="118"/>
        <v>22218EK</v>
      </c>
      <c r="BI69" s="69" t="str">
        <f t="shared" si="118"/>
        <v>23218CCK/W33</v>
      </c>
      <c r="BJ69" s="69" t="str">
        <f t="shared" si="118"/>
        <v>1318K</v>
      </c>
      <c r="BK69" s="69" t="str">
        <f t="shared" ref="BK69:BT70" si="119">INDEX(REG_B_constr_data,BK$67,$B69)</f>
        <v>2318K</v>
      </c>
      <c r="BL69" s="69" t="str">
        <f t="shared" si="119"/>
        <v>22318K</v>
      </c>
      <c r="BM69" s="69" t="str">
        <f t="shared" si="119"/>
        <v>1219K</v>
      </c>
      <c r="BN69" s="69" t="str">
        <f t="shared" si="119"/>
        <v>2219KM</v>
      </c>
      <c r="BO69" s="69" t="str">
        <f t="shared" si="119"/>
        <v>22219EK</v>
      </c>
      <c r="BP69" s="69" t="str">
        <f t="shared" si="119"/>
        <v>1319K</v>
      </c>
      <c r="BQ69" s="69" t="str">
        <f t="shared" si="119"/>
        <v>2319KM</v>
      </c>
      <c r="BR69" s="69" t="str">
        <f t="shared" si="119"/>
        <v>21319EK</v>
      </c>
      <c r="BS69" s="69" t="str">
        <f t="shared" si="119"/>
        <v>22319EK</v>
      </c>
      <c r="BT69" s="69" t="str">
        <f t="shared" si="119"/>
        <v>1220K</v>
      </c>
      <c r="BU69" s="69" t="str">
        <f t="shared" ref="BU69:CD70" si="120">INDEX(REG_B_constr_data,BU$67,$B69)</f>
        <v>2220KM</v>
      </c>
      <c r="BV69" s="69" t="str">
        <f t="shared" si="120"/>
        <v>22220EK</v>
      </c>
      <c r="BW69" s="69" t="str">
        <f t="shared" si="120"/>
        <v>22220EK</v>
      </c>
      <c r="BX69" s="69" t="str">
        <f t="shared" si="120"/>
        <v>23220CCK/W33</v>
      </c>
      <c r="BY69" s="69" t="str">
        <f t="shared" si="120"/>
        <v>1320K</v>
      </c>
      <c r="BZ69" s="69" t="str">
        <f t="shared" si="120"/>
        <v>2320KM</v>
      </c>
      <c r="CA69" s="69" t="str">
        <f t="shared" si="120"/>
        <v>21320EK</v>
      </c>
      <c r="CB69" s="69" t="str">
        <f t="shared" si="120"/>
        <v>22320EK</v>
      </c>
      <c r="CC69" s="69" t="str">
        <f t="shared" si="120"/>
        <v>1222K</v>
      </c>
      <c r="CD69" s="69" t="str">
        <f t="shared" si="120"/>
        <v>2222KM</v>
      </c>
      <c r="CE69" s="69" t="str">
        <f t="shared" ref="CE69:CN70" si="121">INDEX(REG_B_constr_data,CE$67,$B69)</f>
        <v>22222EK</v>
      </c>
      <c r="CF69" s="69" t="str">
        <f t="shared" si="121"/>
        <v>22222EK</v>
      </c>
      <c r="CG69" s="69" t="str">
        <f t="shared" si="121"/>
        <v>23222CCK/W33</v>
      </c>
      <c r="CH69" s="69" t="str">
        <f t="shared" si="121"/>
        <v>1322KM</v>
      </c>
      <c r="CI69" s="69" t="str">
        <f t="shared" si="121"/>
        <v>22322K</v>
      </c>
      <c r="CJ69" s="69" t="str">
        <f t="shared" si="121"/>
        <v>22224EK</v>
      </c>
      <c r="CK69" s="69" t="str">
        <f t="shared" si="121"/>
        <v>22224EK</v>
      </c>
      <c r="CL69" s="69" t="str">
        <f t="shared" si="121"/>
        <v>23224CCK/W33</v>
      </c>
      <c r="CM69" s="69" t="str">
        <f t="shared" si="121"/>
        <v>22226EK</v>
      </c>
      <c r="CN69" s="69" t="str">
        <f t="shared" si="121"/>
        <v>22226EK</v>
      </c>
      <c r="CO69" s="69" t="str">
        <f t="shared" ref="CO69:DD70" si="122">INDEX(REG_B_constr_data,CO$67,$B69)</f>
        <v>23226CCK/W33</v>
      </c>
      <c r="CP69" s="1088" t="str">
        <f t="shared" si="122"/>
        <v>22228CCK/W33</v>
      </c>
      <c r="CQ69" s="69" t="str">
        <f t="shared" si="122"/>
        <v>22228CCK/W33</v>
      </c>
      <c r="CR69" s="69" t="str">
        <f t="shared" si="122"/>
        <v>23228CCK/W33</v>
      </c>
      <c r="CS69" s="69" t="str">
        <f t="shared" si="122"/>
        <v>22230CCK/W33</v>
      </c>
      <c r="CT69" s="69" t="str">
        <f t="shared" si="122"/>
        <v>22230CCK/W33</v>
      </c>
      <c r="CU69" s="69" t="str">
        <f t="shared" si="122"/>
        <v>23230CCK/W33</v>
      </c>
      <c r="CV69" s="69" t="str">
        <f t="shared" si="122"/>
        <v>22232CCK/W33</v>
      </c>
      <c r="CW69" s="69" t="str">
        <f t="shared" si="122"/>
        <v>22232CCK/W33</v>
      </c>
      <c r="CX69" s="69" t="str">
        <f t="shared" si="122"/>
        <v>23232CCK/W33</v>
      </c>
      <c r="CY69" s="1088" t="str">
        <f t="shared" si="122"/>
        <v>23234CCK/W33</v>
      </c>
      <c r="CZ69" s="1088" t="str">
        <f t="shared" si="122"/>
        <v>23236CCK/W33</v>
      </c>
      <c r="DA69" s="1088" t="str">
        <f t="shared" si="122"/>
        <v>23238CCK/W33</v>
      </c>
      <c r="DB69" s="1088" t="str">
        <f t="shared" si="122"/>
        <v>23240CCK/W33</v>
      </c>
      <c r="DC69" s="1088" t="str">
        <f t="shared" si="122"/>
        <v>23244CCK/W33</v>
      </c>
      <c r="DD69" s="1088" t="str">
        <f t="shared" si="122"/>
        <v>23248CCK/W33</v>
      </c>
      <c r="DE69" s="1088">
        <f t="shared" ref="CZ69:DF70" si="123">INDEX(REG_B_constr_data,DE$67,$B69)</f>
        <v>0</v>
      </c>
      <c r="DF69" s="69">
        <f t="shared" si="123"/>
        <v>0</v>
      </c>
      <c r="DG69" s="1813"/>
      <c r="DH69" s="1813"/>
      <c r="DI69" s="1813"/>
      <c r="DJ69" s="1814"/>
    </row>
    <row r="70" spans="1:114" ht="15.95" customHeight="1" thickBot="1">
      <c r="A70" s="8" t="s">
        <v>309</v>
      </c>
      <c r="B70" s="9">
        <f>MATCH($A70,'Bearing Data'!$A$2:$Y$2,0)</f>
        <v>2</v>
      </c>
      <c r="C70" s="9" t="str">
        <f t="shared" si="113"/>
        <v>SNL 508-607</v>
      </c>
      <c r="D70" s="9" t="str">
        <f t="shared" si="113"/>
        <v>SNL 508-607</v>
      </c>
      <c r="E70" s="9" t="str">
        <f t="shared" si="113"/>
        <v>SNL 510-608</v>
      </c>
      <c r="F70" s="9" t="str">
        <f t="shared" si="113"/>
        <v>SNL 510-608</v>
      </c>
      <c r="G70" s="9" t="str">
        <f t="shared" si="113"/>
        <v>SNL 509</v>
      </c>
      <c r="H70" s="9" t="str">
        <f t="shared" si="113"/>
        <v>SNL 509</v>
      </c>
      <c r="I70" s="9" t="str">
        <f t="shared" si="113"/>
        <v>SNL 511-609</v>
      </c>
      <c r="J70" s="9" t="str">
        <f t="shared" si="113"/>
        <v>SNL 511-609</v>
      </c>
      <c r="K70" s="9" t="str">
        <f t="shared" si="113"/>
        <v>SNL 510-608</v>
      </c>
      <c r="L70" s="9" t="str">
        <f t="shared" si="113"/>
        <v>SNL 510-608</v>
      </c>
      <c r="M70" s="9" t="str">
        <f t="shared" si="114"/>
        <v>SNL 512-610</v>
      </c>
      <c r="N70" s="9" t="str">
        <f t="shared" si="114"/>
        <v>SNL 512-610</v>
      </c>
      <c r="O70" s="9" t="str">
        <f t="shared" si="114"/>
        <v>SNL 511-609</v>
      </c>
      <c r="P70" s="9" t="str">
        <f t="shared" si="114"/>
        <v>SNL 511-609</v>
      </c>
      <c r="Q70" s="9" t="str">
        <f t="shared" si="114"/>
        <v>SNL 513-611</v>
      </c>
      <c r="R70" s="9" t="str">
        <f t="shared" si="114"/>
        <v>SNL 513-611</v>
      </c>
      <c r="S70" s="9" t="str">
        <f t="shared" si="114"/>
        <v>SNL 512-610</v>
      </c>
      <c r="T70" s="9" t="str">
        <f t="shared" si="114"/>
        <v>SNL 512-610</v>
      </c>
      <c r="U70" s="9" t="str">
        <f t="shared" si="114"/>
        <v>SNL 512-610</v>
      </c>
      <c r="V70" s="9" t="str">
        <f t="shared" si="114"/>
        <v>SNL 515-612</v>
      </c>
      <c r="W70" s="9" t="str">
        <f t="shared" si="115"/>
        <v>SNL 515-612</v>
      </c>
      <c r="X70" s="9" t="str">
        <f t="shared" si="115"/>
        <v>SNL 515-612</v>
      </c>
      <c r="Y70" s="9" t="str">
        <f t="shared" si="115"/>
        <v>SNL 515-612</v>
      </c>
      <c r="Z70" s="9" t="str">
        <f t="shared" si="115"/>
        <v>SNL 513-611</v>
      </c>
      <c r="AA70" s="9" t="str">
        <f t="shared" si="115"/>
        <v>SNL 513-611</v>
      </c>
      <c r="AB70" s="9" t="str">
        <f t="shared" si="115"/>
        <v>SNL 513-611</v>
      </c>
      <c r="AC70" s="9" t="str">
        <f t="shared" si="115"/>
        <v>SNL 516-613</v>
      </c>
      <c r="AD70" s="9" t="str">
        <f t="shared" si="115"/>
        <v>SNL 516-613</v>
      </c>
      <c r="AE70" s="9" t="str">
        <f t="shared" si="115"/>
        <v>SNL 516-613</v>
      </c>
      <c r="AF70" s="9" t="str">
        <f t="shared" si="115"/>
        <v>SNL 516-613</v>
      </c>
      <c r="AG70" s="9" t="str">
        <f t="shared" si="116"/>
        <v>SNL 515-612</v>
      </c>
      <c r="AH70" s="9" t="str">
        <f t="shared" si="116"/>
        <v>SNL 515-612</v>
      </c>
      <c r="AI70" s="9" t="str">
        <f t="shared" si="116"/>
        <v>SNL 515-612</v>
      </c>
      <c r="AJ70" s="9" t="str">
        <f t="shared" si="116"/>
        <v>SNL 518-615</v>
      </c>
      <c r="AK70" s="9" t="str">
        <f t="shared" si="116"/>
        <v>SNL 518-615</v>
      </c>
      <c r="AL70" s="9" t="str">
        <f t="shared" si="116"/>
        <v>SNL 518-615</v>
      </c>
      <c r="AM70" s="9" t="str">
        <f t="shared" si="116"/>
        <v>SNL 518-615</v>
      </c>
      <c r="AN70" s="9" t="str">
        <f t="shared" si="116"/>
        <v>SNL 516-613</v>
      </c>
      <c r="AO70" s="9" t="str">
        <f t="shared" si="116"/>
        <v>SNL 516-613</v>
      </c>
      <c r="AP70" s="9" t="str">
        <f t="shared" si="116"/>
        <v>SNL 516-613</v>
      </c>
      <c r="AQ70" s="9" t="str">
        <f t="shared" si="117"/>
        <v>SNL 519-616</v>
      </c>
      <c r="AR70" s="9" t="str">
        <f t="shared" si="117"/>
        <v>SNL 519-616</v>
      </c>
      <c r="AS70" s="9" t="str">
        <f t="shared" si="117"/>
        <v>SNL 519-616</v>
      </c>
      <c r="AT70" s="9" t="str">
        <f t="shared" si="117"/>
        <v>SNL 519-616</v>
      </c>
      <c r="AU70" s="9" t="str">
        <f t="shared" si="117"/>
        <v>SNL 517</v>
      </c>
      <c r="AV70" s="9" t="str">
        <f t="shared" si="117"/>
        <v>SNL 517</v>
      </c>
      <c r="AW70" s="9" t="str">
        <f t="shared" si="117"/>
        <v>Spec.</v>
      </c>
      <c r="AX70" s="9" t="str">
        <f t="shared" si="117"/>
        <v>SNL 517</v>
      </c>
      <c r="AY70" s="9" t="str">
        <f t="shared" si="117"/>
        <v>SONL 217-517</v>
      </c>
      <c r="AZ70" s="9" t="str">
        <f t="shared" si="117"/>
        <v>SNL 520-617</v>
      </c>
      <c r="BA70" s="9" t="str">
        <f t="shared" si="118"/>
        <v>SNL 520-617</v>
      </c>
      <c r="BB70" s="9" t="str">
        <f t="shared" si="118"/>
        <v>SNL 520-617</v>
      </c>
      <c r="BC70" s="9" t="str">
        <f t="shared" si="118"/>
        <v>SNL 520-617</v>
      </c>
      <c r="BD70" s="9" t="str">
        <f t="shared" si="118"/>
        <v>SNL 518-615</v>
      </c>
      <c r="BE70" s="9" t="str">
        <f t="shared" si="118"/>
        <v>SNL 518-615</v>
      </c>
      <c r="BF70" s="9" t="str">
        <f t="shared" si="118"/>
        <v>Spec.</v>
      </c>
      <c r="BG70" s="9" t="str">
        <f t="shared" si="118"/>
        <v>SNL 518-615</v>
      </c>
      <c r="BH70" s="9" t="str">
        <f t="shared" si="118"/>
        <v>SONL 218-518</v>
      </c>
      <c r="BI70" s="9" t="str">
        <f t="shared" si="118"/>
        <v>SNL 518-615</v>
      </c>
      <c r="BJ70" s="9" t="str">
        <f t="shared" si="118"/>
        <v>Spec.</v>
      </c>
      <c r="BK70" s="9" t="str">
        <f t="shared" si="119"/>
        <v>Spec.</v>
      </c>
      <c r="BL70" s="9" t="str">
        <f t="shared" si="119"/>
        <v>spec</v>
      </c>
      <c r="BM70" s="9" t="str">
        <f t="shared" si="119"/>
        <v>SNL 519-616</v>
      </c>
      <c r="BN70" s="9" t="str">
        <f t="shared" si="119"/>
        <v>SNL 519-616</v>
      </c>
      <c r="BO70" s="9" t="str">
        <f t="shared" si="119"/>
        <v>SNL 519-616</v>
      </c>
      <c r="BP70" s="9" t="str">
        <f t="shared" si="119"/>
        <v>SNL 522-619</v>
      </c>
      <c r="BQ70" s="9" t="str">
        <f t="shared" si="119"/>
        <v>SNL 522-619</v>
      </c>
      <c r="BR70" s="9" t="str">
        <f t="shared" si="119"/>
        <v>SNL 522-619</v>
      </c>
      <c r="BS70" s="9" t="str">
        <f t="shared" si="119"/>
        <v>SNL 522-619</v>
      </c>
      <c r="BT70" s="9" t="str">
        <f t="shared" si="119"/>
        <v>SNL 520-617</v>
      </c>
      <c r="BU70" s="9" t="str">
        <f t="shared" si="120"/>
        <v>SNL 520-617</v>
      </c>
      <c r="BV70" s="9" t="str">
        <f t="shared" si="120"/>
        <v>SNL 520-617</v>
      </c>
      <c r="BW70" s="9" t="str">
        <f t="shared" si="120"/>
        <v>SONL 220-520</v>
      </c>
      <c r="BX70" s="9" t="str">
        <f t="shared" si="120"/>
        <v>SNL 520-617</v>
      </c>
      <c r="BY70" s="9" t="str">
        <f t="shared" si="120"/>
        <v>SNL 524-620</v>
      </c>
      <c r="BZ70" s="9" t="str">
        <f t="shared" si="120"/>
        <v>SNL 524-620</v>
      </c>
      <c r="CA70" s="9" t="str">
        <f t="shared" si="120"/>
        <v>SNL 524-620</v>
      </c>
      <c r="CB70" s="9" t="str">
        <f t="shared" si="120"/>
        <v>SNL 524-620</v>
      </c>
      <c r="CC70" s="9" t="str">
        <f t="shared" si="120"/>
        <v>SNL 522-619</v>
      </c>
      <c r="CD70" s="9" t="str">
        <f t="shared" si="120"/>
        <v>SNL 522-619</v>
      </c>
      <c r="CE70" s="9" t="str">
        <f t="shared" si="121"/>
        <v>SNL 522-619</v>
      </c>
      <c r="CF70" s="9" t="str">
        <f t="shared" si="121"/>
        <v>SONL 222-522</v>
      </c>
      <c r="CG70" s="9" t="str">
        <f t="shared" si="121"/>
        <v>SNL 522-619</v>
      </c>
      <c r="CH70" s="9" t="str">
        <f t="shared" si="121"/>
        <v>Spec.</v>
      </c>
      <c r="CI70" s="9" t="str">
        <f t="shared" si="121"/>
        <v>Spec.</v>
      </c>
      <c r="CJ70" s="9" t="str">
        <f t="shared" si="121"/>
        <v>SNL 524-620</v>
      </c>
      <c r="CK70" s="9" t="str">
        <f t="shared" si="121"/>
        <v>SONL 224-524</v>
      </c>
      <c r="CL70" s="9" t="str">
        <f t="shared" si="121"/>
        <v>SNL 524-620</v>
      </c>
      <c r="CM70" s="9" t="str">
        <f t="shared" si="121"/>
        <v>SNL 526</v>
      </c>
      <c r="CN70" s="9" t="str">
        <f t="shared" si="121"/>
        <v>SONL 226-526</v>
      </c>
      <c r="CO70" s="9" t="str">
        <f t="shared" si="122"/>
        <v>SNL 526</v>
      </c>
      <c r="CP70" s="10" t="str">
        <f t="shared" si="122"/>
        <v>SNL 528</v>
      </c>
      <c r="CQ70" s="9" t="str">
        <f t="shared" si="122"/>
        <v>SONL 228-528</v>
      </c>
      <c r="CR70" s="9" t="str">
        <f t="shared" si="122"/>
        <v>SNL 528</v>
      </c>
      <c r="CS70" s="9" t="str">
        <f t="shared" si="122"/>
        <v>SNL 530</v>
      </c>
      <c r="CT70" s="9" t="str">
        <f t="shared" si="122"/>
        <v>SONL 230-530</v>
      </c>
      <c r="CU70" s="9" t="str">
        <f t="shared" si="122"/>
        <v>SNL 530</v>
      </c>
      <c r="CV70" s="9" t="str">
        <f t="shared" si="122"/>
        <v>SNL 532</v>
      </c>
      <c r="CW70" s="9" t="str">
        <f t="shared" si="122"/>
        <v>SONL 232-532</v>
      </c>
      <c r="CX70" s="9" t="str">
        <f t="shared" si="122"/>
        <v>SNL 532</v>
      </c>
      <c r="CY70" s="10" t="str">
        <f t="shared" si="122"/>
        <v>SNL 3234</v>
      </c>
      <c r="CZ70" s="10" t="str">
        <f t="shared" si="123"/>
        <v>SNL 3236</v>
      </c>
      <c r="DA70" s="10" t="str">
        <f t="shared" si="123"/>
        <v>SNL 3238</v>
      </c>
      <c r="DB70" s="10" t="str">
        <f t="shared" si="123"/>
        <v>SNL 3240</v>
      </c>
      <c r="DC70" s="10" t="str">
        <f t="shared" si="123"/>
        <v>SNL 3244</v>
      </c>
      <c r="DD70" s="10" t="str">
        <f t="shared" si="123"/>
        <v>SNL 3248</v>
      </c>
      <c r="DE70" s="10">
        <f t="shared" si="123"/>
        <v>0</v>
      </c>
      <c r="DF70" s="9">
        <f t="shared" si="123"/>
        <v>0</v>
      </c>
      <c r="DG70" s="2"/>
      <c r="DH70" s="2"/>
      <c r="DI70" s="2"/>
      <c r="DJ70" s="1815"/>
    </row>
    <row r="71" spans="1:114" s="1084" customFormat="1" ht="15.95" customHeight="1">
      <c r="A71" s="1082" t="s">
        <v>70</v>
      </c>
      <c r="B71" s="1083"/>
      <c r="C71" s="1083">
        <v>0</v>
      </c>
      <c r="D71" s="1083">
        <f>IF(D72=C72,C71+1,0)</f>
        <v>1</v>
      </c>
      <c r="E71" s="1083">
        <f t="shared" ref="E71:BP71" si="124">IF(E72=D72,D71+1,0)</f>
        <v>2</v>
      </c>
      <c r="F71" s="1083">
        <f t="shared" si="124"/>
        <v>3</v>
      </c>
      <c r="G71" s="1083">
        <f t="shared" si="124"/>
        <v>0</v>
      </c>
      <c r="H71" s="1083">
        <f t="shared" si="124"/>
        <v>1</v>
      </c>
      <c r="I71" s="1083">
        <f t="shared" si="124"/>
        <v>2</v>
      </c>
      <c r="J71" s="1083">
        <f t="shared" si="124"/>
        <v>3</v>
      </c>
      <c r="K71" s="1083">
        <f t="shared" si="124"/>
        <v>0</v>
      </c>
      <c r="L71" s="1083">
        <f t="shared" si="124"/>
        <v>1</v>
      </c>
      <c r="M71" s="1083">
        <f t="shared" si="124"/>
        <v>2</v>
      </c>
      <c r="N71" s="1083">
        <f t="shared" si="124"/>
        <v>3</v>
      </c>
      <c r="O71" s="1083">
        <f t="shared" si="124"/>
        <v>0</v>
      </c>
      <c r="P71" s="1083">
        <f t="shared" si="124"/>
        <v>1</v>
      </c>
      <c r="Q71" s="1083">
        <f t="shared" si="124"/>
        <v>2</v>
      </c>
      <c r="R71" s="1083">
        <f t="shared" si="124"/>
        <v>3</v>
      </c>
      <c r="S71" s="1083">
        <f t="shared" si="124"/>
        <v>0</v>
      </c>
      <c r="T71" s="1083">
        <f t="shared" si="124"/>
        <v>1</v>
      </c>
      <c r="U71" s="1083">
        <f t="shared" si="124"/>
        <v>2</v>
      </c>
      <c r="V71" s="1083">
        <f t="shared" si="124"/>
        <v>3</v>
      </c>
      <c r="W71" s="1083">
        <f t="shared" si="124"/>
        <v>4</v>
      </c>
      <c r="X71" s="1083">
        <f t="shared" si="124"/>
        <v>5</v>
      </c>
      <c r="Y71" s="1083">
        <f t="shared" si="124"/>
        <v>6</v>
      </c>
      <c r="Z71" s="1083">
        <f t="shared" si="124"/>
        <v>0</v>
      </c>
      <c r="AA71" s="1083">
        <f t="shared" si="124"/>
        <v>1</v>
      </c>
      <c r="AB71" s="1083">
        <f t="shared" si="124"/>
        <v>2</v>
      </c>
      <c r="AC71" s="1083">
        <f t="shared" si="124"/>
        <v>3</v>
      </c>
      <c r="AD71" s="1083">
        <f t="shared" si="124"/>
        <v>4</v>
      </c>
      <c r="AE71" s="1083">
        <f t="shared" si="124"/>
        <v>5</v>
      </c>
      <c r="AF71" s="1083">
        <f t="shared" si="124"/>
        <v>6</v>
      </c>
      <c r="AG71" s="1083">
        <f t="shared" si="124"/>
        <v>0</v>
      </c>
      <c r="AH71" s="1083">
        <f t="shared" si="124"/>
        <v>1</v>
      </c>
      <c r="AI71" s="1083">
        <f t="shared" si="124"/>
        <v>2</v>
      </c>
      <c r="AJ71" s="1083">
        <f t="shared" si="124"/>
        <v>3</v>
      </c>
      <c r="AK71" s="1083">
        <f t="shared" si="124"/>
        <v>4</v>
      </c>
      <c r="AL71" s="1083">
        <f t="shared" si="124"/>
        <v>5</v>
      </c>
      <c r="AM71" s="1083">
        <f t="shared" si="124"/>
        <v>6</v>
      </c>
      <c r="AN71" s="1083">
        <f t="shared" si="124"/>
        <v>0</v>
      </c>
      <c r="AO71" s="1083">
        <f t="shared" si="124"/>
        <v>1</v>
      </c>
      <c r="AP71" s="1083">
        <f t="shared" si="124"/>
        <v>2</v>
      </c>
      <c r="AQ71" s="1083">
        <f t="shared" si="124"/>
        <v>3</v>
      </c>
      <c r="AR71" s="1083">
        <f t="shared" si="124"/>
        <v>4</v>
      </c>
      <c r="AS71" s="1083">
        <f t="shared" si="124"/>
        <v>5</v>
      </c>
      <c r="AT71" s="1083">
        <f t="shared" si="124"/>
        <v>6</v>
      </c>
      <c r="AU71" s="1083">
        <f t="shared" si="124"/>
        <v>0</v>
      </c>
      <c r="AV71" s="1083">
        <f t="shared" si="124"/>
        <v>1</v>
      </c>
      <c r="AW71" s="1083">
        <f t="shared" si="124"/>
        <v>2</v>
      </c>
      <c r="AX71" s="1083">
        <f t="shared" si="124"/>
        <v>3</v>
      </c>
      <c r="AY71" s="1083">
        <f t="shared" si="124"/>
        <v>4</v>
      </c>
      <c r="AZ71" s="1083">
        <f t="shared" si="124"/>
        <v>5</v>
      </c>
      <c r="BA71" s="1083">
        <f t="shared" si="124"/>
        <v>6</v>
      </c>
      <c r="BB71" s="1083">
        <f t="shared" si="124"/>
        <v>7</v>
      </c>
      <c r="BC71" s="1083">
        <f t="shared" si="124"/>
        <v>8</v>
      </c>
      <c r="BD71" s="1083">
        <f t="shared" si="124"/>
        <v>0</v>
      </c>
      <c r="BE71" s="1083">
        <f t="shared" si="124"/>
        <v>1</v>
      </c>
      <c r="BF71" s="1083">
        <f t="shared" si="124"/>
        <v>2</v>
      </c>
      <c r="BG71" s="1083">
        <f t="shared" si="124"/>
        <v>3</v>
      </c>
      <c r="BH71" s="1083">
        <f t="shared" si="124"/>
        <v>4</v>
      </c>
      <c r="BI71" s="1083">
        <f t="shared" si="124"/>
        <v>5</v>
      </c>
      <c r="BJ71" s="1083">
        <f t="shared" si="124"/>
        <v>6</v>
      </c>
      <c r="BK71" s="1083">
        <f t="shared" si="124"/>
        <v>7</v>
      </c>
      <c r="BL71" s="1083">
        <f t="shared" si="124"/>
        <v>8</v>
      </c>
      <c r="BM71" s="1083">
        <f t="shared" si="124"/>
        <v>0</v>
      </c>
      <c r="BN71" s="1083">
        <f t="shared" si="124"/>
        <v>1</v>
      </c>
      <c r="BO71" s="1083">
        <f t="shared" si="124"/>
        <v>2</v>
      </c>
      <c r="BP71" s="1083">
        <f t="shared" si="124"/>
        <v>3</v>
      </c>
      <c r="BQ71" s="1083">
        <f t="shared" ref="BQ71:CY71" si="125">IF(BQ72=BP72,BP71+1,0)</f>
        <v>4</v>
      </c>
      <c r="BR71" s="1083">
        <f t="shared" si="125"/>
        <v>5</v>
      </c>
      <c r="BS71" s="1083">
        <f t="shared" si="125"/>
        <v>6</v>
      </c>
      <c r="BT71" s="1083">
        <f t="shared" si="125"/>
        <v>0</v>
      </c>
      <c r="BU71" s="1083">
        <f t="shared" si="125"/>
        <v>1</v>
      </c>
      <c r="BV71" s="1083">
        <f t="shared" si="125"/>
        <v>2</v>
      </c>
      <c r="BW71" s="1083">
        <f t="shared" si="125"/>
        <v>3</v>
      </c>
      <c r="BX71" s="1083">
        <f t="shared" si="125"/>
        <v>4</v>
      </c>
      <c r="BY71" s="1083">
        <f t="shared" si="125"/>
        <v>5</v>
      </c>
      <c r="BZ71" s="1083">
        <f t="shared" si="125"/>
        <v>6</v>
      </c>
      <c r="CA71" s="1083">
        <f t="shared" si="125"/>
        <v>7</v>
      </c>
      <c r="CB71" s="1083">
        <f t="shared" si="125"/>
        <v>8</v>
      </c>
      <c r="CC71" s="1083">
        <f t="shared" si="125"/>
        <v>0</v>
      </c>
      <c r="CD71" s="1083">
        <f t="shared" si="125"/>
        <v>1</v>
      </c>
      <c r="CE71" s="1083">
        <f t="shared" si="125"/>
        <v>2</v>
      </c>
      <c r="CF71" s="1083">
        <f t="shared" si="125"/>
        <v>3</v>
      </c>
      <c r="CG71" s="1083">
        <f t="shared" si="125"/>
        <v>4</v>
      </c>
      <c r="CH71" s="1083">
        <f t="shared" si="125"/>
        <v>5</v>
      </c>
      <c r="CI71" s="1083">
        <f t="shared" si="125"/>
        <v>6</v>
      </c>
      <c r="CJ71" s="1083">
        <f t="shared" si="125"/>
        <v>0</v>
      </c>
      <c r="CK71" s="1083">
        <f t="shared" si="125"/>
        <v>1</v>
      </c>
      <c r="CL71" s="1083">
        <f t="shared" si="125"/>
        <v>2</v>
      </c>
      <c r="CM71" s="1083">
        <f t="shared" si="125"/>
        <v>0</v>
      </c>
      <c r="CN71" s="1083">
        <f t="shared" si="125"/>
        <v>1</v>
      </c>
      <c r="CO71" s="1083">
        <f t="shared" si="125"/>
        <v>2</v>
      </c>
      <c r="CP71" s="1087">
        <f t="shared" si="125"/>
        <v>0</v>
      </c>
      <c r="CQ71" s="1083">
        <f t="shared" si="125"/>
        <v>1</v>
      </c>
      <c r="CR71" s="1083">
        <f t="shared" si="125"/>
        <v>2</v>
      </c>
      <c r="CS71" s="1083">
        <f t="shared" si="125"/>
        <v>0</v>
      </c>
      <c r="CT71" s="1083">
        <f t="shared" si="125"/>
        <v>1</v>
      </c>
      <c r="CU71" s="1083">
        <f t="shared" si="125"/>
        <v>2</v>
      </c>
      <c r="CV71" s="1083">
        <f t="shared" si="125"/>
        <v>0</v>
      </c>
      <c r="CW71" s="1083">
        <f t="shared" si="125"/>
        <v>1</v>
      </c>
      <c r="CX71" s="1083">
        <f t="shared" si="125"/>
        <v>2</v>
      </c>
      <c r="CY71" s="1083">
        <f t="shared" si="125"/>
        <v>0</v>
      </c>
      <c r="CZ71" s="1083">
        <f t="shared" ref="CZ71" si="126">IF(CZ72=CY72,CY71+1,0)</f>
        <v>0</v>
      </c>
      <c r="DA71" s="1083">
        <f t="shared" ref="DA71" si="127">IF(DA72=CZ72,CZ71+1,0)</f>
        <v>0</v>
      </c>
      <c r="DB71" s="1083">
        <f t="shared" ref="DB71" si="128">IF(DB72=DA72,DA71+1,0)</f>
        <v>0</v>
      </c>
      <c r="DC71" s="1083">
        <f t="shared" ref="DC71" si="129">IF(DC72=DB72,DB71+1,0)</f>
        <v>0</v>
      </c>
      <c r="DD71" s="1083">
        <f t="shared" ref="DD71" si="130">IF(DD72=DC72,DC71+1,0)</f>
        <v>0</v>
      </c>
      <c r="DE71" s="1083">
        <f t="shared" ref="DE71:DF71" si="131">IF(DE72=DD72,DD71+1,0)</f>
        <v>0</v>
      </c>
      <c r="DF71" s="1083">
        <f t="shared" si="131"/>
        <v>0</v>
      </c>
      <c r="DG71" s="1816"/>
      <c r="DH71" s="1816"/>
      <c r="DI71" s="1816"/>
      <c r="DJ71" s="1817"/>
    </row>
    <row r="72" spans="1:114" ht="15.95" customHeight="1">
      <c r="A72" s="70" t="s">
        <v>1410</v>
      </c>
      <c r="B72" s="5">
        <f>MATCH("da",'Bearing Data'!$A$2:$Y$2,0)</f>
        <v>3</v>
      </c>
      <c r="C72" s="5">
        <f t="shared" ref="C72:L77" si="132">INDEX(REG_B_constr_data,C$67,$B72)</f>
        <v>35</v>
      </c>
      <c r="D72" s="5">
        <f t="shared" si="132"/>
        <v>35</v>
      </c>
      <c r="E72" s="5">
        <f t="shared" si="132"/>
        <v>35</v>
      </c>
      <c r="F72" s="5">
        <f t="shared" si="132"/>
        <v>35</v>
      </c>
      <c r="G72" s="5">
        <f t="shared" si="132"/>
        <v>40</v>
      </c>
      <c r="H72" s="5">
        <f t="shared" si="132"/>
        <v>40</v>
      </c>
      <c r="I72" s="5">
        <f t="shared" si="132"/>
        <v>40</v>
      </c>
      <c r="J72" s="5">
        <f t="shared" si="132"/>
        <v>40</v>
      </c>
      <c r="K72" s="5">
        <f t="shared" si="132"/>
        <v>45</v>
      </c>
      <c r="L72" s="5">
        <f t="shared" si="132"/>
        <v>45</v>
      </c>
      <c r="M72" s="5">
        <f t="shared" ref="M72:V77" si="133">INDEX(REG_B_constr_data,M$67,$B72)</f>
        <v>45</v>
      </c>
      <c r="N72" s="5">
        <f t="shared" si="133"/>
        <v>45</v>
      </c>
      <c r="O72" s="5">
        <f t="shared" si="133"/>
        <v>50</v>
      </c>
      <c r="P72" s="5">
        <f t="shared" si="133"/>
        <v>50</v>
      </c>
      <c r="Q72" s="5">
        <f t="shared" si="133"/>
        <v>50</v>
      </c>
      <c r="R72" s="5">
        <f t="shared" si="133"/>
        <v>50</v>
      </c>
      <c r="S72" s="5">
        <f t="shared" si="133"/>
        <v>55</v>
      </c>
      <c r="T72" s="5">
        <f t="shared" si="133"/>
        <v>55</v>
      </c>
      <c r="U72" s="5">
        <f t="shared" si="133"/>
        <v>55</v>
      </c>
      <c r="V72" s="5">
        <f t="shared" si="133"/>
        <v>55</v>
      </c>
      <c r="W72" s="5">
        <f t="shared" ref="W72:AF77" si="134">INDEX(REG_B_constr_data,W$67,$B72)</f>
        <v>55</v>
      </c>
      <c r="X72" s="5">
        <f t="shared" si="134"/>
        <v>55</v>
      </c>
      <c r="Y72" s="5">
        <f t="shared" si="134"/>
        <v>55</v>
      </c>
      <c r="Z72" s="5">
        <f t="shared" si="134"/>
        <v>60</v>
      </c>
      <c r="AA72" s="5">
        <f t="shared" si="134"/>
        <v>60</v>
      </c>
      <c r="AB72" s="5">
        <f t="shared" si="134"/>
        <v>60</v>
      </c>
      <c r="AC72" s="5">
        <f t="shared" si="134"/>
        <v>60</v>
      </c>
      <c r="AD72" s="5">
        <f t="shared" si="134"/>
        <v>60</v>
      </c>
      <c r="AE72" s="5">
        <f t="shared" si="134"/>
        <v>60</v>
      </c>
      <c r="AF72" s="5">
        <f t="shared" si="134"/>
        <v>60</v>
      </c>
      <c r="AG72" s="5">
        <f t="shared" ref="AG72:AP77" si="135">INDEX(REG_B_constr_data,AG$67,$B72)</f>
        <v>65</v>
      </c>
      <c r="AH72" s="5">
        <f t="shared" si="135"/>
        <v>65</v>
      </c>
      <c r="AI72" s="5">
        <f t="shared" si="135"/>
        <v>65</v>
      </c>
      <c r="AJ72" s="5">
        <f t="shared" si="135"/>
        <v>65</v>
      </c>
      <c r="AK72" s="5">
        <f t="shared" si="135"/>
        <v>65</v>
      </c>
      <c r="AL72" s="5">
        <f t="shared" si="135"/>
        <v>65</v>
      </c>
      <c r="AM72" s="5">
        <f t="shared" si="135"/>
        <v>65</v>
      </c>
      <c r="AN72" s="5">
        <f t="shared" si="135"/>
        <v>70</v>
      </c>
      <c r="AO72" s="5">
        <f t="shared" si="135"/>
        <v>70</v>
      </c>
      <c r="AP72" s="5">
        <f t="shared" si="135"/>
        <v>70</v>
      </c>
      <c r="AQ72" s="5">
        <f t="shared" ref="AQ72:AZ77" si="136">INDEX(REG_B_constr_data,AQ$67,$B72)</f>
        <v>70</v>
      </c>
      <c r="AR72" s="5">
        <f t="shared" si="136"/>
        <v>70</v>
      </c>
      <c r="AS72" s="5">
        <f t="shared" si="136"/>
        <v>70</v>
      </c>
      <c r="AT72" s="5">
        <f t="shared" si="136"/>
        <v>70</v>
      </c>
      <c r="AU72" s="5">
        <f t="shared" si="136"/>
        <v>75</v>
      </c>
      <c r="AV72" s="5">
        <f t="shared" si="136"/>
        <v>75</v>
      </c>
      <c r="AW72" s="5">
        <f t="shared" si="136"/>
        <v>75</v>
      </c>
      <c r="AX72" s="5">
        <f t="shared" si="136"/>
        <v>75</v>
      </c>
      <c r="AY72" s="5">
        <f t="shared" si="136"/>
        <v>75</v>
      </c>
      <c r="AZ72" s="5">
        <f t="shared" si="136"/>
        <v>75</v>
      </c>
      <c r="BA72" s="5">
        <f t="shared" ref="BA72:BJ77" si="137">INDEX(REG_B_constr_data,BA$67,$B72)</f>
        <v>75</v>
      </c>
      <c r="BB72" s="5">
        <f t="shared" si="137"/>
        <v>75</v>
      </c>
      <c r="BC72" s="5">
        <f t="shared" si="137"/>
        <v>75</v>
      </c>
      <c r="BD72" s="5">
        <f t="shared" si="137"/>
        <v>80</v>
      </c>
      <c r="BE72" s="5">
        <f t="shared" si="137"/>
        <v>80</v>
      </c>
      <c r="BF72" s="5">
        <f t="shared" si="137"/>
        <v>80</v>
      </c>
      <c r="BG72" s="5">
        <f t="shared" si="137"/>
        <v>80</v>
      </c>
      <c r="BH72" s="5">
        <f t="shared" si="137"/>
        <v>80</v>
      </c>
      <c r="BI72" s="5">
        <f t="shared" si="137"/>
        <v>80</v>
      </c>
      <c r="BJ72" s="5">
        <f t="shared" si="137"/>
        <v>80</v>
      </c>
      <c r="BK72" s="5">
        <f t="shared" ref="BK72:BT77" si="138">INDEX(REG_B_constr_data,BK$67,$B72)</f>
        <v>80</v>
      </c>
      <c r="BL72" s="5">
        <f t="shared" si="138"/>
        <v>80</v>
      </c>
      <c r="BM72" s="5">
        <f t="shared" si="138"/>
        <v>85</v>
      </c>
      <c r="BN72" s="5">
        <f t="shared" si="138"/>
        <v>85</v>
      </c>
      <c r="BO72" s="5">
        <f t="shared" si="138"/>
        <v>85</v>
      </c>
      <c r="BP72" s="5">
        <f t="shared" si="138"/>
        <v>85</v>
      </c>
      <c r="BQ72" s="5">
        <f t="shared" si="138"/>
        <v>85</v>
      </c>
      <c r="BR72" s="5">
        <f t="shared" si="138"/>
        <v>85</v>
      </c>
      <c r="BS72" s="5">
        <f t="shared" si="138"/>
        <v>85</v>
      </c>
      <c r="BT72" s="5">
        <f t="shared" si="138"/>
        <v>90</v>
      </c>
      <c r="BU72" s="5">
        <f t="shared" ref="BU72:CD77" si="139">INDEX(REG_B_constr_data,BU$67,$B72)</f>
        <v>90</v>
      </c>
      <c r="BV72" s="5">
        <f t="shared" si="139"/>
        <v>90</v>
      </c>
      <c r="BW72" s="5">
        <f t="shared" si="139"/>
        <v>90</v>
      </c>
      <c r="BX72" s="5">
        <f t="shared" si="139"/>
        <v>90</v>
      </c>
      <c r="BY72" s="5">
        <f t="shared" si="139"/>
        <v>90</v>
      </c>
      <c r="BZ72" s="5">
        <f t="shared" si="139"/>
        <v>90</v>
      </c>
      <c r="CA72" s="5">
        <f t="shared" si="139"/>
        <v>90</v>
      </c>
      <c r="CB72" s="5">
        <f t="shared" si="139"/>
        <v>90</v>
      </c>
      <c r="CC72" s="5">
        <f t="shared" si="139"/>
        <v>100</v>
      </c>
      <c r="CD72" s="5">
        <f t="shared" si="139"/>
        <v>100</v>
      </c>
      <c r="CE72" s="5">
        <f t="shared" ref="CE72:CN77" si="140">INDEX(REG_B_constr_data,CE$67,$B72)</f>
        <v>100</v>
      </c>
      <c r="CF72" s="5">
        <f t="shared" si="140"/>
        <v>100</v>
      </c>
      <c r="CG72" s="5">
        <f t="shared" si="140"/>
        <v>100</v>
      </c>
      <c r="CH72" s="5">
        <f t="shared" si="140"/>
        <v>100</v>
      </c>
      <c r="CI72" s="5">
        <f t="shared" si="140"/>
        <v>100</v>
      </c>
      <c r="CJ72" s="5">
        <f t="shared" si="140"/>
        <v>110</v>
      </c>
      <c r="CK72" s="5">
        <f t="shared" si="140"/>
        <v>110</v>
      </c>
      <c r="CL72" s="5">
        <f t="shared" si="140"/>
        <v>110</v>
      </c>
      <c r="CM72" s="5">
        <f t="shared" si="140"/>
        <v>115</v>
      </c>
      <c r="CN72" s="5">
        <f t="shared" si="140"/>
        <v>115</v>
      </c>
      <c r="CO72" s="5">
        <f t="shared" ref="CO72:DD77" si="141">INDEX(REG_B_constr_data,CO$67,$B72)</f>
        <v>115</v>
      </c>
      <c r="CP72" s="6">
        <f t="shared" si="141"/>
        <v>125</v>
      </c>
      <c r="CQ72" s="5">
        <f t="shared" si="141"/>
        <v>125</v>
      </c>
      <c r="CR72" s="5">
        <f t="shared" si="141"/>
        <v>125</v>
      </c>
      <c r="CS72" s="5">
        <f t="shared" si="141"/>
        <v>135</v>
      </c>
      <c r="CT72" s="5">
        <f t="shared" si="141"/>
        <v>135</v>
      </c>
      <c r="CU72" s="5">
        <f t="shared" si="141"/>
        <v>135</v>
      </c>
      <c r="CV72" s="5">
        <f t="shared" si="141"/>
        <v>140</v>
      </c>
      <c r="CW72" s="5">
        <f t="shared" si="141"/>
        <v>140</v>
      </c>
      <c r="CX72" s="5">
        <f t="shared" si="141"/>
        <v>140</v>
      </c>
      <c r="CY72" s="5">
        <f t="shared" si="141"/>
        <v>150</v>
      </c>
      <c r="CZ72" s="5">
        <f t="shared" si="141"/>
        <v>160</v>
      </c>
      <c r="DA72" s="5">
        <f t="shared" si="141"/>
        <v>170</v>
      </c>
      <c r="DB72" s="5">
        <f t="shared" si="141"/>
        <v>180</v>
      </c>
      <c r="DC72" s="5">
        <f t="shared" si="141"/>
        <v>200</v>
      </c>
      <c r="DD72" s="5">
        <f t="shared" si="141"/>
        <v>220</v>
      </c>
      <c r="DE72" s="5">
        <v>225</v>
      </c>
      <c r="DF72" s="5">
        <v>230</v>
      </c>
      <c r="DG72" s="2"/>
      <c r="DH72" s="2"/>
      <c r="DI72" s="2"/>
      <c r="DJ72" s="1815"/>
    </row>
    <row r="73" spans="1:114" ht="15.95" customHeight="1">
      <c r="A73" s="70" t="s">
        <v>2648</v>
      </c>
      <c r="B73" s="5">
        <f>MATCH("H1",'Bearing Data'!$A$2:$Y$2,0)</f>
        <v>4</v>
      </c>
      <c r="C73" s="5">
        <f t="shared" si="132"/>
        <v>60</v>
      </c>
      <c r="D73" s="5">
        <f t="shared" si="132"/>
        <v>60</v>
      </c>
      <c r="E73" s="5">
        <f t="shared" si="132"/>
        <v>60</v>
      </c>
      <c r="F73" s="5">
        <f t="shared" si="132"/>
        <v>60</v>
      </c>
      <c r="G73" s="5">
        <f t="shared" si="132"/>
        <v>60</v>
      </c>
      <c r="H73" s="5">
        <f t="shared" si="132"/>
        <v>60</v>
      </c>
      <c r="I73" s="5">
        <f t="shared" si="132"/>
        <v>70</v>
      </c>
      <c r="J73" s="5">
        <f t="shared" si="132"/>
        <v>70</v>
      </c>
      <c r="K73" s="5">
        <f t="shared" si="132"/>
        <v>60</v>
      </c>
      <c r="L73" s="5">
        <f t="shared" si="132"/>
        <v>60</v>
      </c>
      <c r="M73" s="5">
        <f t="shared" si="133"/>
        <v>70</v>
      </c>
      <c r="N73" s="5">
        <f t="shared" si="133"/>
        <v>70</v>
      </c>
      <c r="O73" s="5">
        <f t="shared" si="133"/>
        <v>70</v>
      </c>
      <c r="P73" s="5">
        <f t="shared" si="133"/>
        <v>70</v>
      </c>
      <c r="Q73" s="5">
        <f t="shared" si="133"/>
        <v>80</v>
      </c>
      <c r="R73" s="5">
        <f t="shared" si="133"/>
        <v>80</v>
      </c>
      <c r="S73" s="5">
        <f t="shared" si="133"/>
        <v>70</v>
      </c>
      <c r="T73" s="5">
        <f t="shared" si="133"/>
        <v>70</v>
      </c>
      <c r="U73" s="5">
        <f t="shared" si="133"/>
        <v>70</v>
      </c>
      <c r="V73" s="5">
        <f t="shared" si="133"/>
        <v>80</v>
      </c>
      <c r="W73" s="5">
        <f t="shared" si="134"/>
        <v>80</v>
      </c>
      <c r="X73" s="5">
        <f t="shared" si="134"/>
        <v>80</v>
      </c>
      <c r="Y73" s="5">
        <f t="shared" si="134"/>
        <v>80</v>
      </c>
      <c r="Z73" s="5">
        <f t="shared" si="134"/>
        <v>80</v>
      </c>
      <c r="AA73" s="5">
        <f t="shared" si="134"/>
        <v>80</v>
      </c>
      <c r="AB73" s="5">
        <f t="shared" si="134"/>
        <v>80</v>
      </c>
      <c r="AC73" s="5">
        <f t="shared" si="134"/>
        <v>95</v>
      </c>
      <c r="AD73" s="5">
        <f t="shared" si="134"/>
        <v>95</v>
      </c>
      <c r="AE73" s="5">
        <f t="shared" si="134"/>
        <v>95</v>
      </c>
      <c r="AF73" s="5">
        <f t="shared" si="134"/>
        <v>95</v>
      </c>
      <c r="AG73" s="5">
        <f t="shared" si="135"/>
        <v>80</v>
      </c>
      <c r="AH73" s="5">
        <f t="shared" si="135"/>
        <v>80</v>
      </c>
      <c r="AI73" s="5">
        <f t="shared" si="135"/>
        <v>80</v>
      </c>
      <c r="AJ73" s="5">
        <f t="shared" si="135"/>
        <v>100</v>
      </c>
      <c r="AK73" s="5">
        <f t="shared" si="135"/>
        <v>100</v>
      </c>
      <c r="AL73" s="5">
        <f t="shared" si="135"/>
        <v>100</v>
      </c>
      <c r="AM73" s="5">
        <f t="shared" si="135"/>
        <v>100</v>
      </c>
      <c r="AN73" s="5">
        <f t="shared" si="135"/>
        <v>95</v>
      </c>
      <c r="AO73" s="5">
        <f t="shared" si="135"/>
        <v>95</v>
      </c>
      <c r="AP73" s="5">
        <f t="shared" si="135"/>
        <v>95</v>
      </c>
      <c r="AQ73" s="5">
        <f t="shared" si="136"/>
        <v>112</v>
      </c>
      <c r="AR73" s="5">
        <f t="shared" si="136"/>
        <v>112</v>
      </c>
      <c r="AS73" s="5">
        <f t="shared" si="136"/>
        <v>112</v>
      </c>
      <c r="AT73" s="5">
        <f t="shared" si="136"/>
        <v>112</v>
      </c>
      <c r="AU73" s="5">
        <f t="shared" si="136"/>
        <v>95</v>
      </c>
      <c r="AV73" s="5">
        <f t="shared" si="136"/>
        <v>95</v>
      </c>
      <c r="AW73" s="5">
        <f t="shared" si="136"/>
        <v>125</v>
      </c>
      <c r="AX73" s="5">
        <f t="shared" si="136"/>
        <v>95</v>
      </c>
      <c r="AY73" s="5">
        <f t="shared" si="136"/>
        <v>125</v>
      </c>
      <c r="AZ73" s="5">
        <f t="shared" si="136"/>
        <v>112</v>
      </c>
      <c r="BA73" s="5">
        <f t="shared" si="137"/>
        <v>112</v>
      </c>
      <c r="BB73" s="5">
        <f t="shared" si="137"/>
        <v>112</v>
      </c>
      <c r="BC73" s="5">
        <f t="shared" si="137"/>
        <v>112</v>
      </c>
      <c r="BD73" s="5">
        <f t="shared" si="137"/>
        <v>100</v>
      </c>
      <c r="BE73" s="5">
        <f t="shared" si="137"/>
        <v>100</v>
      </c>
      <c r="BF73" s="5">
        <f t="shared" si="137"/>
        <v>135</v>
      </c>
      <c r="BG73" s="5">
        <f t="shared" si="137"/>
        <v>100</v>
      </c>
      <c r="BH73" s="5">
        <f t="shared" si="137"/>
        <v>135</v>
      </c>
      <c r="BI73" s="5">
        <f t="shared" si="137"/>
        <v>100</v>
      </c>
      <c r="BJ73" s="5">
        <f t="shared" si="137"/>
        <v>125</v>
      </c>
      <c r="BK73" s="5">
        <f t="shared" si="138"/>
        <v>125</v>
      </c>
      <c r="BL73" s="5">
        <f t="shared" si="138"/>
        <v>125</v>
      </c>
      <c r="BM73" s="5">
        <f t="shared" si="138"/>
        <v>112</v>
      </c>
      <c r="BN73" s="5">
        <f t="shared" si="138"/>
        <v>112</v>
      </c>
      <c r="BO73" s="5">
        <f t="shared" si="138"/>
        <v>112</v>
      </c>
      <c r="BP73" s="5">
        <f t="shared" si="138"/>
        <v>125</v>
      </c>
      <c r="BQ73" s="5">
        <f t="shared" si="138"/>
        <v>125</v>
      </c>
      <c r="BR73" s="5">
        <f t="shared" si="138"/>
        <v>125</v>
      </c>
      <c r="BS73" s="5">
        <f t="shared" si="138"/>
        <v>125</v>
      </c>
      <c r="BT73" s="5">
        <f t="shared" si="138"/>
        <v>112</v>
      </c>
      <c r="BU73" s="5">
        <f t="shared" si="139"/>
        <v>112</v>
      </c>
      <c r="BV73" s="5">
        <f t="shared" si="139"/>
        <v>112</v>
      </c>
      <c r="BW73" s="5">
        <f t="shared" si="139"/>
        <v>145</v>
      </c>
      <c r="BX73" s="5">
        <f t="shared" si="139"/>
        <v>112</v>
      </c>
      <c r="BY73" s="5">
        <f t="shared" si="139"/>
        <v>140</v>
      </c>
      <c r="BZ73" s="5">
        <f t="shared" si="139"/>
        <v>140</v>
      </c>
      <c r="CA73" s="5">
        <f t="shared" si="139"/>
        <v>140</v>
      </c>
      <c r="CB73" s="5">
        <f t="shared" si="139"/>
        <v>140</v>
      </c>
      <c r="CC73" s="5">
        <f t="shared" si="139"/>
        <v>125</v>
      </c>
      <c r="CD73" s="5">
        <f t="shared" si="139"/>
        <v>125</v>
      </c>
      <c r="CE73" s="5">
        <f t="shared" si="140"/>
        <v>125</v>
      </c>
      <c r="CF73" s="5">
        <f t="shared" si="140"/>
        <v>160</v>
      </c>
      <c r="CG73" s="5">
        <f t="shared" si="140"/>
        <v>125</v>
      </c>
      <c r="CH73" s="5">
        <f t="shared" si="140"/>
        <v>125</v>
      </c>
      <c r="CI73" s="5">
        <f t="shared" si="140"/>
        <v>160</v>
      </c>
      <c r="CJ73" s="5">
        <f t="shared" si="140"/>
        <v>140</v>
      </c>
      <c r="CK73" s="5">
        <f t="shared" si="140"/>
        <v>170</v>
      </c>
      <c r="CL73" s="5">
        <f t="shared" si="140"/>
        <v>140</v>
      </c>
      <c r="CM73" s="5">
        <f t="shared" si="140"/>
        <v>150</v>
      </c>
      <c r="CN73" s="5">
        <f t="shared" si="140"/>
        <v>180</v>
      </c>
      <c r="CO73" s="5">
        <f t="shared" si="141"/>
        <v>150</v>
      </c>
      <c r="CP73" s="6">
        <f t="shared" si="141"/>
        <v>150</v>
      </c>
      <c r="CQ73" s="5">
        <f t="shared" si="141"/>
        <v>190</v>
      </c>
      <c r="CR73" s="5">
        <f t="shared" si="141"/>
        <v>150</v>
      </c>
      <c r="CS73" s="5">
        <f t="shared" si="141"/>
        <v>160</v>
      </c>
      <c r="CT73" s="5">
        <f t="shared" si="141"/>
        <v>200</v>
      </c>
      <c r="CU73" s="5">
        <f t="shared" si="141"/>
        <v>160</v>
      </c>
      <c r="CV73" s="5">
        <f t="shared" si="141"/>
        <v>170</v>
      </c>
      <c r="CW73" s="5">
        <f t="shared" si="141"/>
        <v>215</v>
      </c>
      <c r="CX73" s="5">
        <f t="shared" si="141"/>
        <v>170</v>
      </c>
      <c r="CY73" s="5">
        <f t="shared" si="141"/>
        <v>190</v>
      </c>
      <c r="CZ73" s="5">
        <f t="shared" ref="CZ73:DF77" si="142">INDEX(REG_B_constr_data,CZ$67,$B73)</f>
        <v>190</v>
      </c>
      <c r="DA73" s="5">
        <f t="shared" si="142"/>
        <v>210</v>
      </c>
      <c r="DB73" s="5">
        <f t="shared" si="142"/>
        <v>220</v>
      </c>
      <c r="DC73" s="5">
        <f t="shared" si="142"/>
        <v>240</v>
      </c>
      <c r="DD73" s="5">
        <f t="shared" si="142"/>
        <v>260</v>
      </c>
      <c r="DE73" s="5">
        <f t="shared" si="142"/>
        <v>0</v>
      </c>
      <c r="DF73" s="5">
        <f t="shared" si="142"/>
        <v>0</v>
      </c>
      <c r="DG73" s="2"/>
      <c r="DH73" s="2"/>
      <c r="DI73" s="2"/>
      <c r="DJ73" s="1815"/>
    </row>
    <row r="74" spans="1:114" ht="15.95" customHeight="1">
      <c r="A74" s="70" t="s">
        <v>1411</v>
      </c>
      <c r="B74" s="5">
        <f>MATCH("L",'Bearing Data'!$A$2:$Y$2,0)</f>
        <v>6</v>
      </c>
      <c r="C74" s="5">
        <f t="shared" si="132"/>
        <v>205</v>
      </c>
      <c r="D74" s="5">
        <f t="shared" si="132"/>
        <v>205</v>
      </c>
      <c r="E74" s="5">
        <f t="shared" si="132"/>
        <v>205</v>
      </c>
      <c r="F74" s="5">
        <f t="shared" si="132"/>
        <v>205</v>
      </c>
      <c r="G74" s="5">
        <f t="shared" si="132"/>
        <v>205</v>
      </c>
      <c r="H74" s="5">
        <f t="shared" si="132"/>
        <v>205</v>
      </c>
      <c r="I74" s="5">
        <f t="shared" si="132"/>
        <v>255</v>
      </c>
      <c r="J74" s="5">
        <f t="shared" si="132"/>
        <v>255</v>
      </c>
      <c r="K74" s="5">
        <f t="shared" si="132"/>
        <v>205</v>
      </c>
      <c r="L74" s="5">
        <f t="shared" si="132"/>
        <v>205</v>
      </c>
      <c r="M74" s="5">
        <f t="shared" si="133"/>
        <v>255</v>
      </c>
      <c r="N74" s="5">
        <f t="shared" si="133"/>
        <v>255</v>
      </c>
      <c r="O74" s="5">
        <f t="shared" si="133"/>
        <v>255</v>
      </c>
      <c r="P74" s="5">
        <f t="shared" si="133"/>
        <v>255</v>
      </c>
      <c r="Q74" s="5">
        <f t="shared" si="133"/>
        <v>275</v>
      </c>
      <c r="R74" s="5">
        <f t="shared" si="133"/>
        <v>275</v>
      </c>
      <c r="S74" s="5">
        <f t="shared" si="133"/>
        <v>255</v>
      </c>
      <c r="T74" s="5">
        <f t="shared" si="133"/>
        <v>255</v>
      </c>
      <c r="U74" s="5">
        <f t="shared" si="133"/>
        <v>255</v>
      </c>
      <c r="V74" s="5">
        <f t="shared" si="133"/>
        <v>280</v>
      </c>
      <c r="W74" s="5">
        <f t="shared" si="134"/>
        <v>280</v>
      </c>
      <c r="X74" s="5">
        <f t="shared" si="134"/>
        <v>280</v>
      </c>
      <c r="Y74" s="5">
        <f t="shared" si="134"/>
        <v>280</v>
      </c>
      <c r="Z74" s="5">
        <f t="shared" si="134"/>
        <v>275</v>
      </c>
      <c r="AA74" s="5">
        <f t="shared" si="134"/>
        <v>275</v>
      </c>
      <c r="AB74" s="5">
        <f t="shared" si="134"/>
        <v>275</v>
      </c>
      <c r="AC74" s="5">
        <f t="shared" si="134"/>
        <v>315</v>
      </c>
      <c r="AD74" s="5">
        <f t="shared" si="134"/>
        <v>315</v>
      </c>
      <c r="AE74" s="5">
        <f t="shared" si="134"/>
        <v>315</v>
      </c>
      <c r="AF74" s="5">
        <f t="shared" si="134"/>
        <v>315</v>
      </c>
      <c r="AG74" s="5">
        <f t="shared" si="135"/>
        <v>280</v>
      </c>
      <c r="AH74" s="5">
        <f t="shared" si="135"/>
        <v>280</v>
      </c>
      <c r="AI74" s="5">
        <f t="shared" si="135"/>
        <v>280</v>
      </c>
      <c r="AJ74" s="5">
        <f t="shared" si="135"/>
        <v>345</v>
      </c>
      <c r="AK74" s="5">
        <f t="shared" si="135"/>
        <v>345</v>
      </c>
      <c r="AL74" s="5">
        <f t="shared" si="135"/>
        <v>345</v>
      </c>
      <c r="AM74" s="5">
        <f t="shared" si="135"/>
        <v>345</v>
      </c>
      <c r="AN74" s="5">
        <f t="shared" si="135"/>
        <v>315</v>
      </c>
      <c r="AO74" s="5">
        <f t="shared" si="135"/>
        <v>315</v>
      </c>
      <c r="AP74" s="5">
        <f t="shared" si="135"/>
        <v>315</v>
      </c>
      <c r="AQ74" s="5">
        <f t="shared" si="136"/>
        <v>345</v>
      </c>
      <c r="AR74" s="5">
        <f t="shared" si="136"/>
        <v>345</v>
      </c>
      <c r="AS74" s="5">
        <f t="shared" si="136"/>
        <v>345</v>
      </c>
      <c r="AT74" s="5">
        <f t="shared" si="136"/>
        <v>345</v>
      </c>
      <c r="AU74" s="5">
        <f t="shared" si="136"/>
        <v>320</v>
      </c>
      <c r="AV74" s="5">
        <f t="shared" si="136"/>
        <v>320</v>
      </c>
      <c r="AW74" s="5">
        <f t="shared" si="136"/>
        <v>330</v>
      </c>
      <c r="AX74" s="5">
        <f t="shared" si="136"/>
        <v>320</v>
      </c>
      <c r="AY74" s="5">
        <f t="shared" si="136"/>
        <v>330</v>
      </c>
      <c r="AZ74" s="5">
        <f t="shared" si="136"/>
        <v>380</v>
      </c>
      <c r="BA74" s="5">
        <f t="shared" si="137"/>
        <v>380</v>
      </c>
      <c r="BB74" s="5">
        <f t="shared" si="137"/>
        <v>380</v>
      </c>
      <c r="BC74" s="5">
        <f t="shared" si="137"/>
        <v>380</v>
      </c>
      <c r="BD74" s="5">
        <f t="shared" si="137"/>
        <v>345</v>
      </c>
      <c r="BE74" s="5">
        <f t="shared" si="137"/>
        <v>345</v>
      </c>
      <c r="BF74" s="5">
        <f t="shared" si="137"/>
        <v>360</v>
      </c>
      <c r="BG74" s="5">
        <f t="shared" si="137"/>
        <v>345</v>
      </c>
      <c r="BH74" s="5">
        <f t="shared" si="137"/>
        <v>360</v>
      </c>
      <c r="BI74" s="5">
        <f t="shared" si="137"/>
        <v>345</v>
      </c>
      <c r="BJ74" s="5">
        <f t="shared" si="137"/>
        <v>410</v>
      </c>
      <c r="BK74" s="5">
        <f t="shared" si="138"/>
        <v>410</v>
      </c>
      <c r="BL74" s="5">
        <f t="shared" si="138"/>
        <v>410</v>
      </c>
      <c r="BM74" s="5">
        <f t="shared" si="138"/>
        <v>345</v>
      </c>
      <c r="BN74" s="5">
        <f t="shared" si="138"/>
        <v>345</v>
      </c>
      <c r="BO74" s="5">
        <f t="shared" si="138"/>
        <v>345</v>
      </c>
      <c r="BP74" s="5">
        <f t="shared" si="138"/>
        <v>410</v>
      </c>
      <c r="BQ74" s="5">
        <f t="shared" si="138"/>
        <v>410</v>
      </c>
      <c r="BR74" s="5">
        <f t="shared" si="138"/>
        <v>410</v>
      </c>
      <c r="BS74" s="5">
        <f t="shared" si="138"/>
        <v>410</v>
      </c>
      <c r="BT74" s="5">
        <f t="shared" si="138"/>
        <v>380</v>
      </c>
      <c r="BU74" s="5">
        <f t="shared" si="139"/>
        <v>380</v>
      </c>
      <c r="BV74" s="5">
        <f t="shared" si="139"/>
        <v>380</v>
      </c>
      <c r="BW74" s="5">
        <f t="shared" si="139"/>
        <v>400</v>
      </c>
      <c r="BX74" s="5">
        <f t="shared" si="139"/>
        <v>380</v>
      </c>
      <c r="BY74" s="5">
        <f t="shared" si="139"/>
        <v>410</v>
      </c>
      <c r="BZ74" s="5">
        <f t="shared" si="139"/>
        <v>410</v>
      </c>
      <c r="CA74" s="5">
        <f t="shared" si="139"/>
        <v>410</v>
      </c>
      <c r="CB74" s="5">
        <f t="shared" si="139"/>
        <v>410</v>
      </c>
      <c r="CC74" s="5">
        <f t="shared" si="139"/>
        <v>410</v>
      </c>
      <c r="CD74" s="5">
        <f t="shared" si="139"/>
        <v>410</v>
      </c>
      <c r="CE74" s="5">
        <f t="shared" si="140"/>
        <v>410</v>
      </c>
      <c r="CF74" s="5">
        <f t="shared" si="140"/>
        <v>420</v>
      </c>
      <c r="CG74" s="5">
        <f t="shared" si="140"/>
        <v>410</v>
      </c>
      <c r="CH74" s="5">
        <f t="shared" si="140"/>
        <v>410</v>
      </c>
      <c r="CI74" s="5">
        <f t="shared" si="140"/>
        <v>420</v>
      </c>
      <c r="CJ74" s="5">
        <f t="shared" si="140"/>
        <v>410</v>
      </c>
      <c r="CK74" s="5">
        <f t="shared" si="140"/>
        <v>420</v>
      </c>
      <c r="CL74" s="5">
        <f t="shared" si="140"/>
        <v>410</v>
      </c>
      <c r="CM74" s="5">
        <f t="shared" si="140"/>
        <v>445</v>
      </c>
      <c r="CN74" s="5">
        <f t="shared" si="140"/>
        <v>450</v>
      </c>
      <c r="CO74" s="5">
        <f t="shared" si="141"/>
        <v>445</v>
      </c>
      <c r="CP74" s="6">
        <f t="shared" si="141"/>
        <v>500</v>
      </c>
      <c r="CQ74" s="5">
        <f t="shared" si="141"/>
        <v>500</v>
      </c>
      <c r="CR74" s="5">
        <f t="shared" si="141"/>
        <v>500</v>
      </c>
      <c r="CS74" s="5">
        <f t="shared" si="141"/>
        <v>530</v>
      </c>
      <c r="CT74" s="5">
        <f t="shared" si="141"/>
        <v>540</v>
      </c>
      <c r="CU74" s="5">
        <f t="shared" si="141"/>
        <v>530</v>
      </c>
      <c r="CV74" s="5">
        <f t="shared" si="141"/>
        <v>550</v>
      </c>
      <c r="CW74" s="5">
        <f t="shared" si="141"/>
        <v>560</v>
      </c>
      <c r="CX74" s="5">
        <f t="shared" si="141"/>
        <v>550</v>
      </c>
      <c r="CY74" s="5">
        <f t="shared" si="141"/>
        <v>560</v>
      </c>
      <c r="CZ74" s="5">
        <f t="shared" si="142"/>
        <v>560</v>
      </c>
      <c r="DA74" s="5">
        <f t="shared" si="142"/>
        <v>610</v>
      </c>
      <c r="DB74" s="5">
        <f t="shared" si="142"/>
        <v>640</v>
      </c>
      <c r="DC74" s="5">
        <f t="shared" si="142"/>
        <v>700</v>
      </c>
      <c r="DD74" s="5">
        <f t="shared" si="142"/>
        <v>770</v>
      </c>
      <c r="DE74" s="5">
        <f t="shared" si="142"/>
        <v>0</v>
      </c>
      <c r="DF74" s="5">
        <f t="shared" si="142"/>
        <v>0</v>
      </c>
      <c r="DG74" s="2"/>
      <c r="DH74" s="2"/>
      <c r="DI74" s="2"/>
      <c r="DJ74" s="1815"/>
    </row>
    <row r="75" spans="1:114" ht="15.95" customHeight="1">
      <c r="A75" s="70" t="s">
        <v>1412</v>
      </c>
      <c r="B75" s="4">
        <f>MATCH("A1",'Bearing Data'!$A$2:$Y$2,0)</f>
        <v>7</v>
      </c>
      <c r="C75" s="5">
        <f t="shared" si="132"/>
        <v>60</v>
      </c>
      <c r="D75" s="5">
        <f t="shared" si="132"/>
        <v>60</v>
      </c>
      <c r="E75" s="5">
        <f t="shared" si="132"/>
        <v>60</v>
      </c>
      <c r="F75" s="5">
        <f t="shared" si="132"/>
        <v>60</v>
      </c>
      <c r="G75" s="5">
        <f t="shared" si="132"/>
        <v>60</v>
      </c>
      <c r="H75" s="5">
        <f t="shared" si="132"/>
        <v>60</v>
      </c>
      <c r="I75" s="5">
        <f t="shared" si="132"/>
        <v>70</v>
      </c>
      <c r="J75" s="5">
        <f t="shared" si="132"/>
        <v>70</v>
      </c>
      <c r="K75" s="5">
        <f t="shared" si="132"/>
        <v>60</v>
      </c>
      <c r="L75" s="5">
        <f t="shared" si="132"/>
        <v>60</v>
      </c>
      <c r="M75" s="5">
        <f t="shared" si="133"/>
        <v>70</v>
      </c>
      <c r="N75" s="5">
        <f t="shared" si="133"/>
        <v>70</v>
      </c>
      <c r="O75" s="5">
        <f t="shared" si="133"/>
        <v>70</v>
      </c>
      <c r="P75" s="5">
        <f t="shared" si="133"/>
        <v>70</v>
      </c>
      <c r="Q75" s="5">
        <f t="shared" si="133"/>
        <v>80</v>
      </c>
      <c r="R75" s="5">
        <f t="shared" si="133"/>
        <v>80</v>
      </c>
      <c r="S75" s="5">
        <f t="shared" si="133"/>
        <v>70</v>
      </c>
      <c r="T75" s="5">
        <f t="shared" si="133"/>
        <v>70</v>
      </c>
      <c r="U75" s="5">
        <f t="shared" si="133"/>
        <v>70</v>
      </c>
      <c r="V75" s="5">
        <f t="shared" si="133"/>
        <v>80</v>
      </c>
      <c r="W75" s="5">
        <f t="shared" si="134"/>
        <v>80</v>
      </c>
      <c r="X75" s="5">
        <f t="shared" si="134"/>
        <v>80</v>
      </c>
      <c r="Y75" s="5">
        <f t="shared" si="134"/>
        <v>80</v>
      </c>
      <c r="Z75" s="5">
        <f t="shared" si="134"/>
        <v>80</v>
      </c>
      <c r="AA75" s="5">
        <f t="shared" si="134"/>
        <v>80</v>
      </c>
      <c r="AB75" s="5">
        <f t="shared" si="134"/>
        <v>80</v>
      </c>
      <c r="AC75" s="5">
        <f t="shared" si="134"/>
        <v>90</v>
      </c>
      <c r="AD75" s="5">
        <f t="shared" si="134"/>
        <v>90</v>
      </c>
      <c r="AE75" s="5">
        <f t="shared" si="134"/>
        <v>90</v>
      </c>
      <c r="AF75" s="5">
        <f t="shared" si="134"/>
        <v>90</v>
      </c>
      <c r="AG75" s="5">
        <f t="shared" si="135"/>
        <v>80</v>
      </c>
      <c r="AH75" s="5">
        <f t="shared" si="135"/>
        <v>80</v>
      </c>
      <c r="AI75" s="5">
        <f t="shared" si="135"/>
        <v>80</v>
      </c>
      <c r="AJ75" s="5">
        <f t="shared" si="135"/>
        <v>100</v>
      </c>
      <c r="AK75" s="5">
        <f t="shared" si="135"/>
        <v>100</v>
      </c>
      <c r="AL75" s="5">
        <f t="shared" si="135"/>
        <v>100</v>
      </c>
      <c r="AM75" s="5">
        <f t="shared" si="135"/>
        <v>100</v>
      </c>
      <c r="AN75" s="5">
        <f t="shared" si="135"/>
        <v>90</v>
      </c>
      <c r="AO75" s="5">
        <f t="shared" si="135"/>
        <v>90</v>
      </c>
      <c r="AP75" s="5">
        <f t="shared" si="135"/>
        <v>90</v>
      </c>
      <c r="AQ75" s="5">
        <f t="shared" si="136"/>
        <v>100</v>
      </c>
      <c r="AR75" s="5">
        <f t="shared" si="136"/>
        <v>100</v>
      </c>
      <c r="AS75" s="5">
        <f t="shared" si="136"/>
        <v>100</v>
      </c>
      <c r="AT75" s="5">
        <f t="shared" si="136"/>
        <v>100</v>
      </c>
      <c r="AU75" s="5">
        <f t="shared" si="136"/>
        <v>90</v>
      </c>
      <c r="AV75" s="5">
        <f t="shared" si="136"/>
        <v>90</v>
      </c>
      <c r="AW75" s="5">
        <f t="shared" si="136"/>
        <v>110</v>
      </c>
      <c r="AX75" s="5">
        <f t="shared" si="136"/>
        <v>90</v>
      </c>
      <c r="AY75" s="5">
        <f t="shared" si="136"/>
        <v>110</v>
      </c>
      <c r="AZ75" s="5">
        <f t="shared" si="136"/>
        <v>110</v>
      </c>
      <c r="BA75" s="5">
        <f t="shared" si="137"/>
        <v>110</v>
      </c>
      <c r="BB75" s="5">
        <f t="shared" si="137"/>
        <v>110</v>
      </c>
      <c r="BC75" s="5">
        <f t="shared" si="137"/>
        <v>110</v>
      </c>
      <c r="BD75" s="5">
        <f t="shared" si="137"/>
        <v>100</v>
      </c>
      <c r="BE75" s="5">
        <f t="shared" si="137"/>
        <v>100</v>
      </c>
      <c r="BF75" s="5">
        <f t="shared" si="137"/>
        <v>120</v>
      </c>
      <c r="BG75" s="5">
        <f t="shared" si="137"/>
        <v>100</v>
      </c>
      <c r="BH75" s="5">
        <f t="shared" si="137"/>
        <v>120</v>
      </c>
      <c r="BI75" s="5">
        <f t="shared" si="137"/>
        <v>100</v>
      </c>
      <c r="BJ75" s="5">
        <f t="shared" si="137"/>
        <v>120</v>
      </c>
      <c r="BK75" s="5">
        <f t="shared" si="138"/>
        <v>120</v>
      </c>
      <c r="BL75" s="5">
        <f t="shared" si="138"/>
        <v>120</v>
      </c>
      <c r="BM75" s="5">
        <f t="shared" si="138"/>
        <v>100</v>
      </c>
      <c r="BN75" s="5">
        <f t="shared" si="138"/>
        <v>100</v>
      </c>
      <c r="BO75" s="5">
        <f t="shared" si="138"/>
        <v>100</v>
      </c>
      <c r="BP75" s="5">
        <f t="shared" si="138"/>
        <v>120</v>
      </c>
      <c r="BQ75" s="5">
        <f t="shared" si="138"/>
        <v>120</v>
      </c>
      <c r="BR75" s="5">
        <f t="shared" si="138"/>
        <v>120</v>
      </c>
      <c r="BS75" s="5">
        <f t="shared" si="138"/>
        <v>120</v>
      </c>
      <c r="BT75" s="5">
        <f t="shared" si="138"/>
        <v>110</v>
      </c>
      <c r="BU75" s="5">
        <f t="shared" si="139"/>
        <v>110</v>
      </c>
      <c r="BV75" s="5">
        <f t="shared" si="139"/>
        <v>110</v>
      </c>
      <c r="BW75" s="5">
        <f t="shared" si="139"/>
        <v>130</v>
      </c>
      <c r="BX75" s="5">
        <f t="shared" si="139"/>
        <v>110</v>
      </c>
      <c r="BY75" s="5">
        <f t="shared" si="139"/>
        <v>120</v>
      </c>
      <c r="BZ75" s="5">
        <f t="shared" si="139"/>
        <v>120</v>
      </c>
      <c r="CA75" s="5">
        <f t="shared" si="139"/>
        <v>120</v>
      </c>
      <c r="CB75" s="5">
        <f t="shared" si="139"/>
        <v>120</v>
      </c>
      <c r="CC75" s="5">
        <f t="shared" si="139"/>
        <v>120</v>
      </c>
      <c r="CD75" s="5">
        <f t="shared" si="139"/>
        <v>120</v>
      </c>
      <c r="CE75" s="5">
        <f t="shared" si="140"/>
        <v>120</v>
      </c>
      <c r="CF75" s="5">
        <f t="shared" si="140"/>
        <v>145</v>
      </c>
      <c r="CG75" s="5">
        <f t="shared" si="140"/>
        <v>120</v>
      </c>
      <c r="CH75" s="5">
        <f t="shared" si="140"/>
        <v>120</v>
      </c>
      <c r="CI75" s="5">
        <f t="shared" si="140"/>
        <v>145</v>
      </c>
      <c r="CJ75" s="5">
        <f t="shared" si="140"/>
        <v>120</v>
      </c>
      <c r="CK75" s="5">
        <f t="shared" si="140"/>
        <v>170</v>
      </c>
      <c r="CL75" s="5">
        <f t="shared" si="140"/>
        <v>120</v>
      </c>
      <c r="CM75" s="5">
        <f t="shared" si="140"/>
        <v>130</v>
      </c>
      <c r="CN75" s="5">
        <f t="shared" si="140"/>
        <v>180</v>
      </c>
      <c r="CO75" s="5">
        <f t="shared" si="141"/>
        <v>130</v>
      </c>
      <c r="CP75" s="6">
        <f t="shared" si="141"/>
        <v>150</v>
      </c>
      <c r="CQ75" s="5">
        <f t="shared" si="141"/>
        <v>190</v>
      </c>
      <c r="CR75" s="5">
        <f t="shared" si="141"/>
        <v>150</v>
      </c>
      <c r="CS75" s="5">
        <f t="shared" si="141"/>
        <v>160</v>
      </c>
      <c r="CT75" s="5">
        <f t="shared" si="141"/>
        <v>190</v>
      </c>
      <c r="CU75" s="5">
        <f t="shared" si="141"/>
        <v>160</v>
      </c>
      <c r="CV75" s="5">
        <f t="shared" si="141"/>
        <v>160</v>
      </c>
      <c r="CW75" s="5">
        <f t="shared" si="141"/>
        <v>205</v>
      </c>
      <c r="CX75" s="5">
        <f t="shared" si="141"/>
        <v>160</v>
      </c>
      <c r="CY75" s="5">
        <f t="shared" si="141"/>
        <v>210</v>
      </c>
      <c r="CZ75" s="5">
        <f t="shared" si="142"/>
        <v>210</v>
      </c>
      <c r="DA75" s="5">
        <f t="shared" si="142"/>
        <v>230</v>
      </c>
      <c r="DB75" s="5">
        <f t="shared" si="142"/>
        <v>240</v>
      </c>
      <c r="DC75" s="5">
        <f t="shared" si="142"/>
        <v>260</v>
      </c>
      <c r="DD75" s="5">
        <f t="shared" si="142"/>
        <v>280</v>
      </c>
      <c r="DE75" s="5">
        <f t="shared" si="142"/>
        <v>0</v>
      </c>
      <c r="DF75" s="5">
        <f t="shared" si="142"/>
        <v>0</v>
      </c>
      <c r="DG75" s="2"/>
      <c r="DH75" s="2"/>
      <c r="DI75" s="2"/>
      <c r="DJ75" s="1815"/>
    </row>
    <row r="76" spans="1:114" ht="15.95" customHeight="1">
      <c r="A76" s="70" t="s">
        <v>1408</v>
      </c>
      <c r="B76" s="5">
        <f>MATCH("J",'Bearing Data'!$A$2:$Y$2,0)</f>
        <v>5</v>
      </c>
      <c r="C76" s="5">
        <f t="shared" si="132"/>
        <v>170</v>
      </c>
      <c r="D76" s="5">
        <f t="shared" si="132"/>
        <v>170</v>
      </c>
      <c r="E76" s="5">
        <f t="shared" si="132"/>
        <v>170</v>
      </c>
      <c r="F76" s="5">
        <f t="shared" si="132"/>
        <v>170</v>
      </c>
      <c r="G76" s="5">
        <f t="shared" si="132"/>
        <v>170</v>
      </c>
      <c r="H76" s="5">
        <f t="shared" si="132"/>
        <v>170</v>
      </c>
      <c r="I76" s="5">
        <f t="shared" si="132"/>
        <v>210</v>
      </c>
      <c r="J76" s="5">
        <f t="shared" si="132"/>
        <v>210</v>
      </c>
      <c r="K76" s="5">
        <f t="shared" si="132"/>
        <v>170</v>
      </c>
      <c r="L76" s="5">
        <f t="shared" si="132"/>
        <v>170</v>
      </c>
      <c r="M76" s="5">
        <f t="shared" si="133"/>
        <v>210</v>
      </c>
      <c r="N76" s="5">
        <f t="shared" si="133"/>
        <v>210</v>
      </c>
      <c r="O76" s="5">
        <f t="shared" si="133"/>
        <v>210</v>
      </c>
      <c r="P76" s="5">
        <f t="shared" si="133"/>
        <v>210</v>
      </c>
      <c r="Q76" s="5">
        <f t="shared" si="133"/>
        <v>230</v>
      </c>
      <c r="R76" s="5">
        <f t="shared" si="133"/>
        <v>230</v>
      </c>
      <c r="S76" s="5">
        <f t="shared" si="133"/>
        <v>210</v>
      </c>
      <c r="T76" s="5">
        <f t="shared" si="133"/>
        <v>210</v>
      </c>
      <c r="U76" s="5">
        <f t="shared" si="133"/>
        <v>210</v>
      </c>
      <c r="V76" s="5">
        <f t="shared" si="133"/>
        <v>230</v>
      </c>
      <c r="W76" s="5">
        <f t="shared" si="134"/>
        <v>230</v>
      </c>
      <c r="X76" s="5">
        <f t="shared" si="134"/>
        <v>230</v>
      </c>
      <c r="Y76" s="5">
        <f t="shared" si="134"/>
        <v>230</v>
      </c>
      <c r="Z76" s="5">
        <f t="shared" si="134"/>
        <v>230</v>
      </c>
      <c r="AA76" s="5">
        <f t="shared" si="134"/>
        <v>230</v>
      </c>
      <c r="AB76" s="5">
        <f t="shared" si="134"/>
        <v>230</v>
      </c>
      <c r="AC76" s="5">
        <f t="shared" si="134"/>
        <v>260</v>
      </c>
      <c r="AD76" s="5">
        <f t="shared" si="134"/>
        <v>260</v>
      </c>
      <c r="AE76" s="5">
        <f t="shared" si="134"/>
        <v>260</v>
      </c>
      <c r="AF76" s="5">
        <f t="shared" si="134"/>
        <v>260</v>
      </c>
      <c r="AG76" s="5">
        <f t="shared" si="135"/>
        <v>230</v>
      </c>
      <c r="AH76" s="5">
        <f t="shared" si="135"/>
        <v>230</v>
      </c>
      <c r="AI76" s="5">
        <f t="shared" si="135"/>
        <v>230</v>
      </c>
      <c r="AJ76" s="5">
        <f t="shared" si="135"/>
        <v>290</v>
      </c>
      <c r="AK76" s="5">
        <f t="shared" si="135"/>
        <v>290</v>
      </c>
      <c r="AL76" s="5">
        <f t="shared" si="135"/>
        <v>290</v>
      </c>
      <c r="AM76" s="5">
        <f t="shared" si="135"/>
        <v>290</v>
      </c>
      <c r="AN76" s="5">
        <f t="shared" si="135"/>
        <v>260</v>
      </c>
      <c r="AO76" s="5">
        <f t="shared" si="135"/>
        <v>260</v>
      </c>
      <c r="AP76" s="5">
        <f t="shared" si="135"/>
        <v>260</v>
      </c>
      <c r="AQ76" s="5">
        <f t="shared" si="136"/>
        <v>290</v>
      </c>
      <c r="AR76" s="5">
        <f t="shared" si="136"/>
        <v>290</v>
      </c>
      <c r="AS76" s="5">
        <f t="shared" si="136"/>
        <v>290</v>
      </c>
      <c r="AT76" s="5">
        <f t="shared" si="136"/>
        <v>290</v>
      </c>
      <c r="AU76" s="5">
        <f t="shared" si="136"/>
        <v>260</v>
      </c>
      <c r="AV76" s="5">
        <f t="shared" si="136"/>
        <v>260</v>
      </c>
      <c r="AW76" s="5">
        <f t="shared" si="136"/>
        <v>260</v>
      </c>
      <c r="AX76" s="5">
        <f t="shared" si="136"/>
        <v>260</v>
      </c>
      <c r="AY76" s="5">
        <f t="shared" si="136"/>
        <v>260</v>
      </c>
      <c r="AZ76" s="5">
        <f t="shared" si="136"/>
        <v>320</v>
      </c>
      <c r="BA76" s="5">
        <f t="shared" si="137"/>
        <v>320</v>
      </c>
      <c r="BB76" s="5">
        <f t="shared" si="137"/>
        <v>320</v>
      </c>
      <c r="BC76" s="5">
        <f t="shared" si="137"/>
        <v>320</v>
      </c>
      <c r="BD76" s="5">
        <f t="shared" si="137"/>
        <v>290</v>
      </c>
      <c r="BE76" s="5">
        <f t="shared" si="137"/>
        <v>290</v>
      </c>
      <c r="BF76" s="5">
        <f t="shared" si="137"/>
        <v>290</v>
      </c>
      <c r="BG76" s="5">
        <f t="shared" si="137"/>
        <v>290</v>
      </c>
      <c r="BH76" s="5">
        <f t="shared" si="137"/>
        <v>290</v>
      </c>
      <c r="BI76" s="5">
        <f t="shared" si="137"/>
        <v>290</v>
      </c>
      <c r="BJ76" s="5">
        <f t="shared" si="137"/>
        <v>350</v>
      </c>
      <c r="BK76" s="5">
        <f t="shared" si="138"/>
        <v>350</v>
      </c>
      <c r="BL76" s="5">
        <f t="shared" si="138"/>
        <v>350</v>
      </c>
      <c r="BM76" s="5">
        <f t="shared" si="138"/>
        <v>290</v>
      </c>
      <c r="BN76" s="5">
        <f t="shared" si="138"/>
        <v>290</v>
      </c>
      <c r="BO76" s="5">
        <f t="shared" si="138"/>
        <v>290</v>
      </c>
      <c r="BP76" s="5">
        <f t="shared" si="138"/>
        <v>350</v>
      </c>
      <c r="BQ76" s="5">
        <f t="shared" si="138"/>
        <v>350</v>
      </c>
      <c r="BR76" s="5">
        <f t="shared" si="138"/>
        <v>350</v>
      </c>
      <c r="BS76" s="5">
        <f t="shared" si="138"/>
        <v>350</v>
      </c>
      <c r="BT76" s="5">
        <f t="shared" si="138"/>
        <v>320</v>
      </c>
      <c r="BU76" s="5">
        <f t="shared" si="139"/>
        <v>320</v>
      </c>
      <c r="BV76" s="5">
        <f t="shared" si="139"/>
        <v>320</v>
      </c>
      <c r="BW76" s="5">
        <f t="shared" si="139"/>
        <v>320</v>
      </c>
      <c r="BX76" s="5">
        <f t="shared" si="139"/>
        <v>320</v>
      </c>
      <c r="BY76" s="5">
        <f t="shared" si="139"/>
        <v>350</v>
      </c>
      <c r="BZ76" s="5">
        <f t="shared" si="139"/>
        <v>350</v>
      </c>
      <c r="CA76" s="5">
        <f t="shared" si="139"/>
        <v>350</v>
      </c>
      <c r="CB76" s="5">
        <f t="shared" si="139"/>
        <v>350</v>
      </c>
      <c r="CC76" s="5">
        <f t="shared" si="139"/>
        <v>350</v>
      </c>
      <c r="CD76" s="5">
        <f t="shared" si="139"/>
        <v>350</v>
      </c>
      <c r="CE76" s="5">
        <f t="shared" si="140"/>
        <v>350</v>
      </c>
      <c r="CF76" s="5">
        <f t="shared" si="140"/>
        <v>347</v>
      </c>
      <c r="CG76" s="5">
        <f t="shared" si="140"/>
        <v>350</v>
      </c>
      <c r="CH76" s="5">
        <f t="shared" si="140"/>
        <v>350</v>
      </c>
      <c r="CI76" s="5">
        <f t="shared" si="140"/>
        <v>347</v>
      </c>
      <c r="CJ76" s="5">
        <f t="shared" si="140"/>
        <v>350</v>
      </c>
      <c r="CK76" s="5">
        <f t="shared" si="140"/>
        <v>347</v>
      </c>
      <c r="CL76" s="5">
        <f t="shared" si="140"/>
        <v>350</v>
      </c>
      <c r="CM76" s="5">
        <f t="shared" si="140"/>
        <v>380</v>
      </c>
      <c r="CN76" s="5">
        <f t="shared" si="140"/>
        <v>377</v>
      </c>
      <c r="CO76" s="5">
        <f t="shared" si="141"/>
        <v>380</v>
      </c>
      <c r="CP76" s="6">
        <f t="shared" si="141"/>
        <v>420</v>
      </c>
      <c r="CQ76" s="5">
        <f t="shared" si="141"/>
        <v>415</v>
      </c>
      <c r="CR76" s="5">
        <f t="shared" si="141"/>
        <v>420</v>
      </c>
      <c r="CS76" s="5">
        <f t="shared" si="141"/>
        <v>450</v>
      </c>
      <c r="CT76" s="5">
        <f t="shared" si="141"/>
        <v>450</v>
      </c>
      <c r="CU76" s="5">
        <f t="shared" si="141"/>
        <v>450</v>
      </c>
      <c r="CV76" s="5">
        <f t="shared" si="141"/>
        <v>470</v>
      </c>
      <c r="CW76" s="5">
        <f t="shared" si="141"/>
        <v>470</v>
      </c>
      <c r="CX76" s="5">
        <f t="shared" si="141"/>
        <v>470</v>
      </c>
      <c r="CY76" s="5">
        <f t="shared" si="141"/>
        <v>480</v>
      </c>
      <c r="CZ76" s="5">
        <f t="shared" si="142"/>
        <v>480</v>
      </c>
      <c r="DA76" s="5">
        <f t="shared" si="142"/>
        <v>510</v>
      </c>
      <c r="DB76" s="5">
        <f t="shared" si="142"/>
        <v>540</v>
      </c>
      <c r="DC76" s="5">
        <f t="shared" si="142"/>
        <v>600</v>
      </c>
      <c r="DD76" s="5">
        <f t="shared" si="142"/>
        <v>650</v>
      </c>
      <c r="DE76" s="5">
        <f t="shared" si="142"/>
        <v>0</v>
      </c>
      <c r="DF76" s="5">
        <f t="shared" si="142"/>
        <v>0</v>
      </c>
      <c r="DG76" s="2"/>
      <c r="DH76" s="2"/>
      <c r="DI76" s="2"/>
      <c r="DJ76" s="1815"/>
    </row>
    <row r="77" spans="1:114" ht="15.95" customHeight="1" thickBot="1">
      <c r="A77" s="740" t="s">
        <v>2649</v>
      </c>
      <c r="B77" s="50">
        <f>MATCH("N1",'Bearing Data'!$A$2:$Y$2,0)</f>
        <v>9</v>
      </c>
      <c r="C77" s="50">
        <f t="shared" si="132"/>
        <v>15</v>
      </c>
      <c r="D77" s="50">
        <f t="shared" si="132"/>
        <v>15</v>
      </c>
      <c r="E77" s="50">
        <f t="shared" si="132"/>
        <v>15</v>
      </c>
      <c r="F77" s="50">
        <f t="shared" si="132"/>
        <v>15</v>
      </c>
      <c r="G77" s="50">
        <f t="shared" si="132"/>
        <v>15</v>
      </c>
      <c r="H77" s="50">
        <f t="shared" si="132"/>
        <v>15</v>
      </c>
      <c r="I77" s="50">
        <f t="shared" si="132"/>
        <v>18</v>
      </c>
      <c r="J77" s="50">
        <f t="shared" si="132"/>
        <v>18</v>
      </c>
      <c r="K77" s="50">
        <f t="shared" si="132"/>
        <v>15</v>
      </c>
      <c r="L77" s="50">
        <f t="shared" si="132"/>
        <v>15</v>
      </c>
      <c r="M77" s="50">
        <f t="shared" si="133"/>
        <v>18</v>
      </c>
      <c r="N77" s="50">
        <f t="shared" si="133"/>
        <v>18</v>
      </c>
      <c r="O77" s="50">
        <f t="shared" si="133"/>
        <v>18</v>
      </c>
      <c r="P77" s="50">
        <f t="shared" si="133"/>
        <v>18</v>
      </c>
      <c r="Q77" s="50">
        <f t="shared" si="133"/>
        <v>18</v>
      </c>
      <c r="R77" s="50">
        <f t="shared" si="133"/>
        <v>18</v>
      </c>
      <c r="S77" s="50">
        <f t="shared" si="133"/>
        <v>18</v>
      </c>
      <c r="T77" s="50">
        <f t="shared" si="133"/>
        <v>18</v>
      </c>
      <c r="U77" s="50">
        <f t="shared" si="133"/>
        <v>18</v>
      </c>
      <c r="V77" s="50">
        <f t="shared" si="133"/>
        <v>18</v>
      </c>
      <c r="W77" s="50">
        <f t="shared" si="134"/>
        <v>18</v>
      </c>
      <c r="X77" s="50">
        <f t="shared" si="134"/>
        <v>18</v>
      </c>
      <c r="Y77" s="50">
        <f t="shared" si="134"/>
        <v>18</v>
      </c>
      <c r="Z77" s="50">
        <f t="shared" si="134"/>
        <v>18</v>
      </c>
      <c r="AA77" s="50">
        <f t="shared" si="134"/>
        <v>18</v>
      </c>
      <c r="AB77" s="50">
        <f t="shared" si="134"/>
        <v>18</v>
      </c>
      <c r="AC77" s="50">
        <f t="shared" si="134"/>
        <v>22</v>
      </c>
      <c r="AD77" s="50">
        <f t="shared" si="134"/>
        <v>22</v>
      </c>
      <c r="AE77" s="50">
        <f t="shared" si="134"/>
        <v>22</v>
      </c>
      <c r="AF77" s="50">
        <f t="shared" si="134"/>
        <v>22</v>
      </c>
      <c r="AG77" s="50">
        <f t="shared" si="135"/>
        <v>18</v>
      </c>
      <c r="AH77" s="50">
        <f t="shared" si="135"/>
        <v>18</v>
      </c>
      <c r="AI77" s="50">
        <f t="shared" si="135"/>
        <v>18</v>
      </c>
      <c r="AJ77" s="50">
        <f t="shared" si="135"/>
        <v>22</v>
      </c>
      <c r="AK77" s="50">
        <f t="shared" si="135"/>
        <v>22</v>
      </c>
      <c r="AL77" s="50">
        <f t="shared" si="135"/>
        <v>22</v>
      </c>
      <c r="AM77" s="50">
        <f t="shared" si="135"/>
        <v>22</v>
      </c>
      <c r="AN77" s="50">
        <f t="shared" si="135"/>
        <v>22</v>
      </c>
      <c r="AO77" s="50">
        <f t="shared" si="135"/>
        <v>22</v>
      </c>
      <c r="AP77" s="50">
        <f t="shared" si="135"/>
        <v>22</v>
      </c>
      <c r="AQ77" s="50">
        <f t="shared" si="136"/>
        <v>22</v>
      </c>
      <c r="AR77" s="50">
        <f t="shared" si="136"/>
        <v>22</v>
      </c>
      <c r="AS77" s="50">
        <f t="shared" si="136"/>
        <v>22</v>
      </c>
      <c r="AT77" s="50">
        <f t="shared" si="136"/>
        <v>22</v>
      </c>
      <c r="AU77" s="50">
        <f t="shared" si="136"/>
        <v>22</v>
      </c>
      <c r="AV77" s="50">
        <f t="shared" si="136"/>
        <v>22</v>
      </c>
      <c r="AW77" s="50">
        <f t="shared" si="136"/>
        <v>22</v>
      </c>
      <c r="AX77" s="50">
        <f t="shared" si="136"/>
        <v>22</v>
      </c>
      <c r="AY77" s="50">
        <f t="shared" si="136"/>
        <v>22</v>
      </c>
      <c r="AZ77" s="50">
        <f t="shared" si="136"/>
        <v>26</v>
      </c>
      <c r="BA77" s="50">
        <f t="shared" si="137"/>
        <v>26</v>
      </c>
      <c r="BB77" s="50">
        <f t="shared" si="137"/>
        <v>26</v>
      </c>
      <c r="BC77" s="50">
        <f t="shared" si="137"/>
        <v>26</v>
      </c>
      <c r="BD77" s="50">
        <f t="shared" si="137"/>
        <v>22</v>
      </c>
      <c r="BE77" s="50">
        <f t="shared" si="137"/>
        <v>22</v>
      </c>
      <c r="BF77" s="50">
        <f t="shared" si="137"/>
        <v>22</v>
      </c>
      <c r="BG77" s="50">
        <f t="shared" si="137"/>
        <v>22</v>
      </c>
      <c r="BH77" s="50">
        <f t="shared" si="137"/>
        <v>22</v>
      </c>
      <c r="BI77" s="50">
        <f t="shared" si="137"/>
        <v>22</v>
      </c>
      <c r="BJ77" s="50">
        <f t="shared" si="137"/>
        <v>26</v>
      </c>
      <c r="BK77" s="50">
        <f t="shared" si="138"/>
        <v>26</v>
      </c>
      <c r="BL77" s="50">
        <f t="shared" si="138"/>
        <v>26</v>
      </c>
      <c r="BM77" s="50">
        <f t="shared" si="138"/>
        <v>22</v>
      </c>
      <c r="BN77" s="50">
        <f t="shared" si="138"/>
        <v>22</v>
      </c>
      <c r="BO77" s="50">
        <f t="shared" si="138"/>
        <v>22</v>
      </c>
      <c r="BP77" s="50">
        <f t="shared" si="138"/>
        <v>26</v>
      </c>
      <c r="BQ77" s="50">
        <f t="shared" si="138"/>
        <v>26</v>
      </c>
      <c r="BR77" s="50">
        <f t="shared" si="138"/>
        <v>26</v>
      </c>
      <c r="BS77" s="50">
        <f t="shared" si="138"/>
        <v>26</v>
      </c>
      <c r="BT77" s="50">
        <f t="shared" si="138"/>
        <v>26</v>
      </c>
      <c r="BU77" s="50">
        <f t="shared" si="139"/>
        <v>26</v>
      </c>
      <c r="BV77" s="50">
        <f t="shared" si="139"/>
        <v>26</v>
      </c>
      <c r="BW77" s="50">
        <f t="shared" si="139"/>
        <v>26</v>
      </c>
      <c r="BX77" s="50">
        <f t="shared" si="139"/>
        <v>26</v>
      </c>
      <c r="BY77" s="50">
        <f t="shared" si="139"/>
        <v>26</v>
      </c>
      <c r="BZ77" s="50">
        <f t="shared" si="139"/>
        <v>26</v>
      </c>
      <c r="CA77" s="50">
        <f t="shared" si="139"/>
        <v>26</v>
      </c>
      <c r="CB77" s="50">
        <f t="shared" si="139"/>
        <v>26</v>
      </c>
      <c r="CC77" s="50">
        <f t="shared" si="139"/>
        <v>26</v>
      </c>
      <c r="CD77" s="50">
        <f t="shared" si="139"/>
        <v>26</v>
      </c>
      <c r="CE77" s="50">
        <f t="shared" si="140"/>
        <v>26</v>
      </c>
      <c r="CF77" s="50">
        <f t="shared" si="140"/>
        <v>26</v>
      </c>
      <c r="CG77" s="50">
        <f t="shared" si="140"/>
        <v>26</v>
      </c>
      <c r="CH77" s="50">
        <f t="shared" si="140"/>
        <v>26</v>
      </c>
      <c r="CI77" s="50">
        <f t="shared" si="140"/>
        <v>26</v>
      </c>
      <c r="CJ77" s="50">
        <f t="shared" si="140"/>
        <v>26</v>
      </c>
      <c r="CK77" s="50">
        <f t="shared" si="140"/>
        <v>26</v>
      </c>
      <c r="CL77" s="50">
        <f t="shared" si="140"/>
        <v>26</v>
      </c>
      <c r="CM77" s="50">
        <f t="shared" si="140"/>
        <v>28</v>
      </c>
      <c r="CN77" s="50">
        <f t="shared" si="140"/>
        <v>28</v>
      </c>
      <c r="CO77" s="50">
        <f t="shared" si="141"/>
        <v>28</v>
      </c>
      <c r="CP77" s="1099">
        <f t="shared" si="141"/>
        <v>35</v>
      </c>
      <c r="CQ77" s="50">
        <f t="shared" si="141"/>
        <v>35</v>
      </c>
      <c r="CR77" s="50">
        <f t="shared" si="141"/>
        <v>35</v>
      </c>
      <c r="CS77" s="50">
        <f t="shared" si="141"/>
        <v>35</v>
      </c>
      <c r="CT77" s="50">
        <f t="shared" si="141"/>
        <v>35</v>
      </c>
      <c r="CU77" s="50">
        <f t="shared" si="141"/>
        <v>35</v>
      </c>
      <c r="CV77" s="50">
        <f t="shared" si="141"/>
        <v>35</v>
      </c>
      <c r="CW77" s="50">
        <f t="shared" si="141"/>
        <v>35</v>
      </c>
      <c r="CX77" s="50">
        <f t="shared" si="141"/>
        <v>35</v>
      </c>
      <c r="CY77" s="50">
        <f t="shared" si="141"/>
        <v>28</v>
      </c>
      <c r="CZ77" s="50">
        <f t="shared" si="142"/>
        <v>28</v>
      </c>
      <c r="DA77" s="50">
        <f t="shared" si="142"/>
        <v>35</v>
      </c>
      <c r="DB77" s="50">
        <f t="shared" si="142"/>
        <v>35</v>
      </c>
      <c r="DC77" s="50">
        <f t="shared" si="142"/>
        <v>35</v>
      </c>
      <c r="DD77" s="50">
        <f t="shared" si="142"/>
        <v>42</v>
      </c>
      <c r="DE77" s="50">
        <f t="shared" si="142"/>
        <v>0</v>
      </c>
      <c r="DF77" s="50">
        <f t="shared" si="142"/>
        <v>0</v>
      </c>
      <c r="DG77" s="2"/>
      <c r="DH77" s="2"/>
      <c r="DI77" s="2"/>
      <c r="DJ77" s="1815"/>
    </row>
    <row r="78" spans="1:114" ht="15.95" customHeight="1" thickBot="1">
      <c r="A78" s="1100" t="s">
        <v>1744</v>
      </c>
      <c r="B78" s="1101"/>
      <c r="C78" s="1102">
        <v>197</v>
      </c>
      <c r="D78" s="1102">
        <v>197</v>
      </c>
      <c r="E78" s="1102">
        <v>197</v>
      </c>
      <c r="F78" s="1102">
        <v>197</v>
      </c>
      <c r="G78" s="1102">
        <v>240</v>
      </c>
      <c r="H78" s="1102">
        <v>240</v>
      </c>
      <c r="I78" s="1102">
        <v>240</v>
      </c>
      <c r="J78" s="1102">
        <v>240</v>
      </c>
      <c r="K78" s="1102">
        <v>245</v>
      </c>
      <c r="L78" s="1102">
        <v>245</v>
      </c>
      <c r="M78" s="1102">
        <v>245</v>
      </c>
      <c r="N78" s="1102">
        <v>245</v>
      </c>
      <c r="O78" s="1102">
        <v>250</v>
      </c>
      <c r="P78" s="1102">
        <v>250</v>
      </c>
      <c r="Q78" s="1102">
        <v>250</v>
      </c>
      <c r="R78" s="1102">
        <v>250</v>
      </c>
      <c r="S78" s="1102">
        <v>280</v>
      </c>
      <c r="T78" s="1102">
        <v>280</v>
      </c>
      <c r="U78" s="1102">
        <v>280</v>
      </c>
      <c r="V78" s="1102">
        <v>280</v>
      </c>
      <c r="W78" s="1102">
        <v>280</v>
      </c>
      <c r="X78" s="1102">
        <v>280</v>
      </c>
      <c r="Y78" s="1102">
        <v>280</v>
      </c>
      <c r="Z78" s="1102">
        <v>275</v>
      </c>
      <c r="AA78" s="1102">
        <v>275</v>
      </c>
      <c r="AB78" s="1102">
        <v>275</v>
      </c>
      <c r="AC78" s="1102">
        <v>275</v>
      </c>
      <c r="AD78" s="1102">
        <v>275</v>
      </c>
      <c r="AE78" s="1102">
        <v>275</v>
      </c>
      <c r="AF78" s="1102">
        <v>275</v>
      </c>
      <c r="AG78" s="1102">
        <v>360</v>
      </c>
      <c r="AH78" s="1102">
        <v>360</v>
      </c>
      <c r="AI78" s="1102">
        <v>360</v>
      </c>
      <c r="AJ78" s="1102">
        <v>360</v>
      </c>
      <c r="AK78" s="1102">
        <v>360</v>
      </c>
      <c r="AL78" s="1102">
        <v>360</v>
      </c>
      <c r="AM78" s="1102">
        <v>360</v>
      </c>
      <c r="AN78" s="1102">
        <v>422</v>
      </c>
      <c r="AO78" s="1102">
        <v>422</v>
      </c>
      <c r="AP78" s="1102">
        <v>422</v>
      </c>
      <c r="AQ78" s="1102">
        <v>422</v>
      </c>
      <c r="AR78" s="1102">
        <v>422</v>
      </c>
      <c r="AS78" s="1102">
        <v>422</v>
      </c>
      <c r="AT78" s="1102">
        <v>422</v>
      </c>
      <c r="AU78" s="1102">
        <v>435</v>
      </c>
      <c r="AV78" s="1102">
        <v>435</v>
      </c>
      <c r="AW78" s="1102">
        <v>435</v>
      </c>
      <c r="AX78" s="1102">
        <v>435</v>
      </c>
      <c r="AY78" s="1102">
        <v>435</v>
      </c>
      <c r="AZ78" s="1102">
        <v>435</v>
      </c>
      <c r="BA78" s="1102">
        <v>435</v>
      </c>
      <c r="BB78" s="1102">
        <v>435</v>
      </c>
      <c r="BC78" s="1102">
        <v>435</v>
      </c>
      <c r="BD78" s="1102">
        <v>360</v>
      </c>
      <c r="BE78" s="1102">
        <v>360</v>
      </c>
      <c r="BF78" s="1102">
        <v>360</v>
      </c>
      <c r="BG78" s="1102">
        <v>360</v>
      </c>
      <c r="BH78" s="1102">
        <v>360</v>
      </c>
      <c r="BI78" s="1102">
        <v>360</v>
      </c>
      <c r="BJ78" s="1102">
        <v>440</v>
      </c>
      <c r="BK78" s="1102">
        <v>440</v>
      </c>
      <c r="BL78" s="1102">
        <v>440</v>
      </c>
      <c r="BM78" s="1102">
        <v>486</v>
      </c>
      <c r="BN78" s="1102">
        <v>486</v>
      </c>
      <c r="BO78" s="1102">
        <v>486</v>
      </c>
      <c r="BP78" s="1102">
        <v>486</v>
      </c>
      <c r="BQ78" s="1102">
        <v>486</v>
      </c>
      <c r="BR78" s="1102">
        <v>486</v>
      </c>
      <c r="BS78" s="1102">
        <v>486</v>
      </c>
      <c r="BT78" s="1102">
        <v>510</v>
      </c>
      <c r="BU78" s="1102">
        <v>510</v>
      </c>
      <c r="BV78" s="1102">
        <v>510</v>
      </c>
      <c r="BW78" s="1102">
        <v>510</v>
      </c>
      <c r="BX78" s="1102">
        <v>510</v>
      </c>
      <c r="BY78" s="1102">
        <v>510</v>
      </c>
      <c r="BZ78" s="1102">
        <v>510</v>
      </c>
      <c r="CA78" s="1102">
        <v>510</v>
      </c>
      <c r="CB78" s="1102">
        <v>510</v>
      </c>
      <c r="CC78" s="1102">
        <v>550</v>
      </c>
      <c r="CD78" s="1102">
        <v>550</v>
      </c>
      <c r="CE78" s="1102">
        <v>550</v>
      </c>
      <c r="CF78" s="1102">
        <v>550</v>
      </c>
      <c r="CG78" s="1102">
        <v>550</v>
      </c>
      <c r="CH78" s="1102">
        <v>550</v>
      </c>
      <c r="CI78" s="1102">
        <v>550</v>
      </c>
      <c r="CJ78" s="1102">
        <v>600</v>
      </c>
      <c r="CK78" s="1102">
        <v>600</v>
      </c>
      <c r="CL78" s="1102">
        <v>600</v>
      </c>
      <c r="CM78" s="1102">
        <v>600</v>
      </c>
      <c r="CN78" s="1102">
        <v>600</v>
      </c>
      <c r="CO78" s="1102">
        <v>600</v>
      </c>
      <c r="CP78" s="1103">
        <v>600</v>
      </c>
      <c r="CQ78" s="1102">
        <v>600</v>
      </c>
      <c r="CR78" s="1102">
        <v>600</v>
      </c>
      <c r="CS78" s="1102">
        <v>600</v>
      </c>
      <c r="CT78" s="1102">
        <v>600</v>
      </c>
      <c r="CU78" s="1102">
        <v>600</v>
      </c>
      <c r="CV78" s="1102">
        <v>600</v>
      </c>
      <c r="CW78" s="1102">
        <v>600</v>
      </c>
      <c r="CX78" s="1102">
        <v>600</v>
      </c>
      <c r="CY78" s="1102">
        <v>600</v>
      </c>
      <c r="CZ78" s="1102">
        <v>625</v>
      </c>
      <c r="DA78" s="1826">
        <v>650</v>
      </c>
      <c r="DB78" s="1826">
        <v>675</v>
      </c>
      <c r="DC78" s="1826">
        <v>700</v>
      </c>
      <c r="DD78" s="1826">
        <v>750</v>
      </c>
      <c r="DE78" s="1826">
        <v>750</v>
      </c>
      <c r="DF78" s="1826">
        <v>800</v>
      </c>
      <c r="DG78" s="2"/>
      <c r="DH78" s="2"/>
      <c r="DI78" s="2"/>
      <c r="DJ78" s="1815"/>
    </row>
    <row r="79" spans="1:114" ht="15.95" customHeight="1">
      <c r="A79" s="68" t="s">
        <v>66</v>
      </c>
      <c r="B79" s="69"/>
      <c r="C79" s="69"/>
      <c r="D79" s="69"/>
      <c r="E79" s="69"/>
      <c r="F79" s="69"/>
      <c r="G79" s="69"/>
      <c r="H79" s="69"/>
      <c r="I79" s="69"/>
      <c r="J79" s="69"/>
      <c r="K79" s="69"/>
      <c r="L79" s="69"/>
      <c r="M79" s="69"/>
      <c r="N79" s="69"/>
      <c r="O79" s="69"/>
      <c r="P79" s="69"/>
      <c r="Q79" s="69"/>
      <c r="R79" s="69"/>
      <c r="S79" s="69"/>
      <c r="T79" s="69"/>
      <c r="U79" s="69"/>
      <c r="V79" s="69"/>
      <c r="W79" s="69"/>
      <c r="X79" s="69"/>
      <c r="Y79" s="69"/>
      <c r="Z79" s="69"/>
      <c r="AA79" s="69"/>
      <c r="AB79" s="69"/>
      <c r="AC79" s="69"/>
      <c r="AD79" s="69"/>
      <c r="AE79" s="69"/>
      <c r="AF79" s="69"/>
      <c r="AG79" s="69"/>
      <c r="AH79" s="69"/>
      <c r="AI79" s="69"/>
      <c r="AJ79" s="69"/>
      <c r="AK79" s="69"/>
      <c r="AL79" s="69"/>
      <c r="AM79" s="69"/>
      <c r="AN79" s="69"/>
      <c r="AO79" s="69"/>
      <c r="AP79" s="69"/>
      <c r="AQ79" s="69"/>
      <c r="AR79" s="69"/>
      <c r="AS79" s="69"/>
      <c r="AT79" s="69"/>
      <c r="AU79" s="69"/>
      <c r="AV79" s="69"/>
      <c r="AW79" s="69"/>
      <c r="AX79" s="69"/>
      <c r="AY79" s="69"/>
      <c r="AZ79" s="69"/>
      <c r="BA79" s="69"/>
      <c r="BB79" s="69"/>
      <c r="BC79" s="69"/>
      <c r="BD79" s="69"/>
      <c r="BE79" s="69"/>
      <c r="BF79" s="69"/>
      <c r="BG79" s="69"/>
      <c r="BH79" s="69"/>
      <c r="BI79" s="69"/>
      <c r="BJ79" s="69"/>
      <c r="BK79" s="69"/>
      <c r="BL79" s="69"/>
      <c r="BM79" s="69"/>
      <c r="BN79" s="69"/>
      <c r="BO79" s="69"/>
      <c r="BP79" s="69"/>
      <c r="BQ79" s="69"/>
      <c r="BR79" s="69"/>
      <c r="BS79" s="69"/>
      <c r="BT79" s="69"/>
      <c r="BU79" s="69"/>
      <c r="BV79" s="69"/>
      <c r="BW79" s="69"/>
      <c r="BX79" s="69"/>
      <c r="BY79" s="69"/>
      <c r="BZ79" s="69"/>
      <c r="CA79" s="69"/>
      <c r="CB79" s="69"/>
      <c r="CC79" s="69"/>
      <c r="CD79" s="69"/>
      <c r="CE79" s="69"/>
      <c r="CF79" s="69"/>
      <c r="CG79" s="69"/>
      <c r="CH79" s="69"/>
      <c r="CI79" s="69"/>
      <c r="CJ79" s="69"/>
      <c r="CK79" s="69"/>
      <c r="CL79" s="69"/>
      <c r="CM79" s="69"/>
      <c r="CN79" s="69"/>
      <c r="CO79" s="69"/>
      <c r="CP79" s="1088"/>
      <c r="CQ79" s="69"/>
      <c r="CR79" s="69"/>
      <c r="CS79" s="69"/>
      <c r="CT79" s="69"/>
      <c r="CU79" s="69"/>
      <c r="CV79" s="69"/>
      <c r="CW79" s="69"/>
      <c r="CX79" s="69"/>
      <c r="CY79" s="69"/>
      <c r="CZ79" s="69"/>
      <c r="DA79" s="69"/>
      <c r="DB79" s="69"/>
      <c r="DC79" s="69"/>
      <c r="DD79" s="69"/>
      <c r="DE79" s="69"/>
      <c r="DF79" s="69"/>
      <c r="DG79" s="2"/>
      <c r="DH79" s="2"/>
      <c r="DI79" s="2"/>
      <c r="DJ79" s="1815"/>
    </row>
    <row r="80" spans="1:114" s="75" customFormat="1" ht="15.95" customHeight="1">
      <c r="A80" s="71" t="s">
        <v>336</v>
      </c>
      <c r="B80" s="5">
        <f>MATCH($A80,'Bearing Data'!$A$2:$Y$2,0)</f>
        <v>15</v>
      </c>
      <c r="C80" s="1080">
        <f t="shared" ref="C80:L88" si="143">INDEX(REG_B_constr_data,C$67,$B80)</f>
        <v>1</v>
      </c>
      <c r="D80" s="1080">
        <f t="shared" si="143"/>
        <v>1</v>
      </c>
      <c r="E80" s="1080">
        <f t="shared" si="143"/>
        <v>1</v>
      </c>
      <c r="F80" s="1080">
        <f t="shared" si="143"/>
        <v>1</v>
      </c>
      <c r="G80" s="1080">
        <f t="shared" si="143"/>
        <v>1</v>
      </c>
      <c r="H80" s="1080">
        <f t="shared" si="143"/>
        <v>1</v>
      </c>
      <c r="I80" s="1080">
        <f t="shared" si="143"/>
        <v>1</v>
      </c>
      <c r="J80" s="1080">
        <f t="shared" si="143"/>
        <v>1</v>
      </c>
      <c r="K80" s="1080">
        <f t="shared" si="143"/>
        <v>1</v>
      </c>
      <c r="L80" s="1080">
        <f t="shared" si="143"/>
        <v>1</v>
      </c>
      <c r="M80" s="1080">
        <f t="shared" ref="M80:V88" si="144">INDEX(REG_B_constr_data,M$67,$B80)</f>
        <v>1</v>
      </c>
      <c r="N80" s="1080">
        <f t="shared" si="144"/>
        <v>1</v>
      </c>
      <c r="O80" s="1080">
        <f t="shared" si="144"/>
        <v>1</v>
      </c>
      <c r="P80" s="1080">
        <f t="shared" si="144"/>
        <v>1</v>
      </c>
      <c r="Q80" s="1080">
        <f t="shared" si="144"/>
        <v>1</v>
      </c>
      <c r="R80" s="1080">
        <f t="shared" si="144"/>
        <v>1</v>
      </c>
      <c r="S80" s="1080">
        <f t="shared" si="144"/>
        <v>1</v>
      </c>
      <c r="T80" s="1080">
        <f t="shared" si="144"/>
        <v>1</v>
      </c>
      <c r="U80" s="1080">
        <f t="shared" si="144"/>
        <v>1</v>
      </c>
      <c r="V80" s="1080">
        <f t="shared" si="144"/>
        <v>1</v>
      </c>
      <c r="W80" s="1080">
        <f t="shared" ref="W80:AF88" si="145">INDEX(REG_B_constr_data,W$67,$B80)</f>
        <v>1</v>
      </c>
      <c r="X80" s="1080">
        <f t="shared" si="145"/>
        <v>1</v>
      </c>
      <c r="Y80" s="1080">
        <f t="shared" si="145"/>
        <v>1</v>
      </c>
      <c r="Z80" s="1080">
        <f t="shared" si="145"/>
        <v>1</v>
      </c>
      <c r="AA80" s="1080">
        <f t="shared" si="145"/>
        <v>1</v>
      </c>
      <c r="AB80" s="1080">
        <f t="shared" si="145"/>
        <v>1</v>
      </c>
      <c r="AC80" s="1080">
        <f t="shared" si="145"/>
        <v>1</v>
      </c>
      <c r="AD80" s="1080">
        <f t="shared" si="145"/>
        <v>1</v>
      </c>
      <c r="AE80" s="1080">
        <f t="shared" si="145"/>
        <v>1</v>
      </c>
      <c r="AF80" s="1080">
        <f t="shared" si="145"/>
        <v>1</v>
      </c>
      <c r="AG80" s="1080">
        <f t="shared" ref="AG80:AP88" si="146">INDEX(REG_B_constr_data,AG$67,$B80)</f>
        <v>1</v>
      </c>
      <c r="AH80" s="1080">
        <f t="shared" si="146"/>
        <v>1</v>
      </c>
      <c r="AI80" s="1080">
        <f t="shared" si="146"/>
        <v>1</v>
      </c>
      <c r="AJ80" s="1080">
        <f t="shared" si="146"/>
        <v>1</v>
      </c>
      <c r="AK80" s="1080">
        <f t="shared" si="146"/>
        <v>1</v>
      </c>
      <c r="AL80" s="1080">
        <f t="shared" si="146"/>
        <v>1</v>
      </c>
      <c r="AM80" s="1080">
        <f t="shared" si="146"/>
        <v>1</v>
      </c>
      <c r="AN80" s="1080">
        <f t="shared" si="146"/>
        <v>1</v>
      </c>
      <c r="AO80" s="1080">
        <f t="shared" si="146"/>
        <v>1</v>
      </c>
      <c r="AP80" s="1080">
        <f t="shared" si="146"/>
        <v>1</v>
      </c>
      <c r="AQ80" s="1080">
        <f t="shared" ref="AQ80:AZ88" si="147">INDEX(REG_B_constr_data,AQ$67,$B80)</f>
        <v>1</v>
      </c>
      <c r="AR80" s="1080">
        <f t="shared" si="147"/>
        <v>1</v>
      </c>
      <c r="AS80" s="1080">
        <f t="shared" si="147"/>
        <v>1</v>
      </c>
      <c r="AT80" s="1080">
        <f t="shared" si="147"/>
        <v>1</v>
      </c>
      <c r="AU80" s="1080">
        <f t="shared" si="147"/>
        <v>1</v>
      </c>
      <c r="AV80" s="1080">
        <f t="shared" si="147"/>
        <v>1</v>
      </c>
      <c r="AW80" s="1080">
        <f t="shared" si="147"/>
        <v>1</v>
      </c>
      <c r="AX80" s="1080">
        <f t="shared" si="147"/>
        <v>1</v>
      </c>
      <c r="AY80" s="1080">
        <f t="shared" si="147"/>
        <v>1</v>
      </c>
      <c r="AZ80" s="1080">
        <f t="shared" si="147"/>
        <v>1</v>
      </c>
      <c r="BA80" s="1080">
        <f t="shared" ref="BA80:BJ88" si="148">INDEX(REG_B_constr_data,BA$67,$B80)</f>
        <v>1</v>
      </c>
      <c r="BB80" s="1080">
        <f t="shared" si="148"/>
        <v>1</v>
      </c>
      <c r="BC80" s="1080">
        <f t="shared" si="148"/>
        <v>1</v>
      </c>
      <c r="BD80" s="1080">
        <f t="shared" si="148"/>
        <v>1</v>
      </c>
      <c r="BE80" s="1080">
        <f t="shared" si="148"/>
        <v>1</v>
      </c>
      <c r="BF80" s="1080">
        <f t="shared" si="148"/>
        <v>1</v>
      </c>
      <c r="BG80" s="1080">
        <f t="shared" si="148"/>
        <v>1</v>
      </c>
      <c r="BH80" s="1080">
        <f t="shared" si="148"/>
        <v>1</v>
      </c>
      <c r="BI80" s="1080">
        <f t="shared" si="148"/>
        <v>1</v>
      </c>
      <c r="BJ80" s="1080">
        <f t="shared" si="148"/>
        <v>1</v>
      </c>
      <c r="BK80" s="1080">
        <f t="shared" ref="BK80:BT88" si="149">INDEX(REG_B_constr_data,BK$67,$B80)</f>
        <v>1</v>
      </c>
      <c r="BL80" s="1080">
        <f t="shared" si="149"/>
        <v>1</v>
      </c>
      <c r="BM80" s="1080">
        <f t="shared" si="149"/>
        <v>1</v>
      </c>
      <c r="BN80" s="1080">
        <f t="shared" si="149"/>
        <v>1</v>
      </c>
      <c r="BO80" s="1080">
        <f t="shared" si="149"/>
        <v>1</v>
      </c>
      <c r="BP80" s="1080">
        <f t="shared" si="149"/>
        <v>1</v>
      </c>
      <c r="BQ80" s="1080">
        <f t="shared" si="149"/>
        <v>1</v>
      </c>
      <c r="BR80" s="1080">
        <f t="shared" si="149"/>
        <v>1</v>
      </c>
      <c r="BS80" s="1080">
        <f t="shared" si="149"/>
        <v>1</v>
      </c>
      <c r="BT80" s="1080">
        <f t="shared" si="149"/>
        <v>1</v>
      </c>
      <c r="BU80" s="1080">
        <f t="shared" ref="BU80:CD88" si="150">INDEX(REG_B_constr_data,BU$67,$B80)</f>
        <v>1</v>
      </c>
      <c r="BV80" s="1080">
        <f t="shared" si="150"/>
        <v>1</v>
      </c>
      <c r="BW80" s="1080">
        <f t="shared" si="150"/>
        <v>1</v>
      </c>
      <c r="BX80" s="1080">
        <f t="shared" si="150"/>
        <v>1</v>
      </c>
      <c r="BY80" s="1080">
        <f t="shared" si="150"/>
        <v>1</v>
      </c>
      <c r="BZ80" s="1080">
        <f t="shared" si="150"/>
        <v>1</v>
      </c>
      <c r="CA80" s="1080">
        <f t="shared" si="150"/>
        <v>1</v>
      </c>
      <c r="CB80" s="1080">
        <f t="shared" si="150"/>
        <v>1</v>
      </c>
      <c r="CC80" s="1080">
        <f t="shared" si="150"/>
        <v>1</v>
      </c>
      <c r="CD80" s="1080">
        <f t="shared" si="150"/>
        <v>1</v>
      </c>
      <c r="CE80" s="1080">
        <f t="shared" ref="CE80:CN88" si="151">INDEX(REG_B_constr_data,CE$67,$B80)</f>
        <v>1</v>
      </c>
      <c r="CF80" s="1080">
        <f t="shared" si="151"/>
        <v>1</v>
      </c>
      <c r="CG80" s="1080">
        <f t="shared" si="151"/>
        <v>1</v>
      </c>
      <c r="CH80" s="1080">
        <f t="shared" si="151"/>
        <v>1</v>
      </c>
      <c r="CI80" s="1080">
        <f t="shared" si="151"/>
        <v>1</v>
      </c>
      <c r="CJ80" s="1080">
        <f t="shared" si="151"/>
        <v>1</v>
      </c>
      <c r="CK80" s="1080">
        <f t="shared" si="151"/>
        <v>1</v>
      </c>
      <c r="CL80" s="1080">
        <f t="shared" si="151"/>
        <v>1</v>
      </c>
      <c r="CM80" s="1080">
        <f t="shared" si="151"/>
        <v>1</v>
      </c>
      <c r="CN80" s="1080">
        <f t="shared" si="151"/>
        <v>1</v>
      </c>
      <c r="CO80" s="1080">
        <f t="shared" ref="CO80:DD88" si="152">INDEX(REG_B_constr_data,CO$67,$B80)</f>
        <v>1</v>
      </c>
      <c r="CP80" s="1089">
        <f t="shared" si="152"/>
        <v>1</v>
      </c>
      <c r="CQ80" s="1080">
        <f t="shared" si="152"/>
        <v>1</v>
      </c>
      <c r="CR80" s="1080">
        <f t="shared" si="152"/>
        <v>1</v>
      </c>
      <c r="CS80" s="1080">
        <f t="shared" si="152"/>
        <v>1</v>
      </c>
      <c r="CT80" s="1080">
        <f t="shared" si="152"/>
        <v>1</v>
      </c>
      <c r="CU80" s="1080">
        <f t="shared" si="152"/>
        <v>1</v>
      </c>
      <c r="CV80" s="1080">
        <f t="shared" si="152"/>
        <v>1</v>
      </c>
      <c r="CW80" s="1080">
        <f t="shared" si="152"/>
        <v>1</v>
      </c>
      <c r="CX80" s="1080">
        <f t="shared" si="152"/>
        <v>1</v>
      </c>
      <c r="CY80" s="1080">
        <f t="shared" si="152"/>
        <v>1</v>
      </c>
      <c r="CZ80" s="1080">
        <f t="shared" si="152"/>
        <v>1</v>
      </c>
      <c r="DA80" s="1080">
        <f t="shared" si="152"/>
        <v>1</v>
      </c>
      <c r="DB80" s="1080">
        <f t="shared" si="152"/>
        <v>1</v>
      </c>
      <c r="DC80" s="1080">
        <f t="shared" si="152"/>
        <v>1</v>
      </c>
      <c r="DD80" s="1080">
        <f t="shared" si="152"/>
        <v>1</v>
      </c>
      <c r="DE80" s="1080">
        <f t="shared" ref="CZ80:DF88" si="153">INDEX(REG_B_constr_data,DE$67,$B80)</f>
        <v>0</v>
      </c>
      <c r="DF80" s="1080">
        <f t="shared" si="153"/>
        <v>0</v>
      </c>
      <c r="DG80" s="1818"/>
      <c r="DH80" s="1818"/>
      <c r="DI80" s="1818"/>
      <c r="DJ80" s="1819"/>
    </row>
    <row r="81" spans="1:114" s="75" customFormat="1" ht="15.95" customHeight="1">
      <c r="A81" s="71" t="s">
        <v>334</v>
      </c>
      <c r="B81" s="5">
        <f>MATCH($A81,'Bearing Data'!$A$2:$Y$2,0)</f>
        <v>16</v>
      </c>
      <c r="C81" s="1080">
        <f t="shared" si="143"/>
        <v>0.65</v>
      </c>
      <c r="D81" s="1080">
        <f t="shared" si="143"/>
        <v>0.65</v>
      </c>
      <c r="E81" s="1080">
        <f t="shared" si="143"/>
        <v>0.65</v>
      </c>
      <c r="F81" s="1080">
        <f t="shared" si="143"/>
        <v>0.65</v>
      </c>
      <c r="G81" s="1080">
        <f t="shared" si="143"/>
        <v>0.65</v>
      </c>
      <c r="H81" s="1080">
        <f t="shared" si="143"/>
        <v>0.65</v>
      </c>
      <c r="I81" s="1080">
        <f t="shared" si="143"/>
        <v>0.65</v>
      </c>
      <c r="J81" s="1080">
        <f t="shared" si="143"/>
        <v>0.65</v>
      </c>
      <c r="K81" s="1080">
        <f t="shared" si="143"/>
        <v>0.65</v>
      </c>
      <c r="L81" s="1080">
        <f t="shared" si="143"/>
        <v>0.65</v>
      </c>
      <c r="M81" s="1080">
        <f t="shared" si="144"/>
        <v>0.65</v>
      </c>
      <c r="N81" s="1080">
        <f t="shared" si="144"/>
        <v>0.65</v>
      </c>
      <c r="O81" s="1080">
        <f t="shared" si="144"/>
        <v>0.65</v>
      </c>
      <c r="P81" s="1080">
        <f t="shared" si="144"/>
        <v>0.65</v>
      </c>
      <c r="Q81" s="1080">
        <f t="shared" si="144"/>
        <v>0.65</v>
      </c>
      <c r="R81" s="1080">
        <f t="shared" si="144"/>
        <v>0.65</v>
      </c>
      <c r="S81" s="1080">
        <f t="shared" si="144"/>
        <v>0.65</v>
      </c>
      <c r="T81" s="1080">
        <f t="shared" si="144"/>
        <v>0.65</v>
      </c>
      <c r="U81" s="1080">
        <f t="shared" si="144"/>
        <v>0.67</v>
      </c>
      <c r="V81" s="1080">
        <f t="shared" si="144"/>
        <v>0.65</v>
      </c>
      <c r="W81" s="1080">
        <f t="shared" si="145"/>
        <v>0.65</v>
      </c>
      <c r="X81" s="1080">
        <f t="shared" si="145"/>
        <v>0.67</v>
      </c>
      <c r="Y81" s="1080">
        <f t="shared" si="145"/>
        <v>0.67</v>
      </c>
      <c r="Z81" s="1080">
        <f t="shared" si="145"/>
        <v>0.65</v>
      </c>
      <c r="AA81" s="1080">
        <f t="shared" si="145"/>
        <v>0.65</v>
      </c>
      <c r="AB81" s="1080">
        <f t="shared" si="145"/>
        <v>0.67</v>
      </c>
      <c r="AC81" s="1080">
        <f t="shared" si="145"/>
        <v>0.65</v>
      </c>
      <c r="AD81" s="1080">
        <f t="shared" si="145"/>
        <v>0.65</v>
      </c>
      <c r="AE81" s="1080">
        <f t="shared" si="145"/>
        <v>0.67</v>
      </c>
      <c r="AF81" s="1080">
        <f t="shared" si="145"/>
        <v>0.67</v>
      </c>
      <c r="AG81" s="1080">
        <f t="shared" si="146"/>
        <v>0.65</v>
      </c>
      <c r="AH81" s="1080">
        <f t="shared" si="146"/>
        <v>0.65</v>
      </c>
      <c r="AI81" s="1080">
        <f t="shared" si="146"/>
        <v>0.67</v>
      </c>
      <c r="AJ81" s="1080">
        <f t="shared" si="146"/>
        <v>0.65</v>
      </c>
      <c r="AK81" s="1080">
        <f t="shared" si="146"/>
        <v>0.65</v>
      </c>
      <c r="AL81" s="1080">
        <f t="shared" si="146"/>
        <v>0.67</v>
      </c>
      <c r="AM81" s="1080">
        <f t="shared" si="146"/>
        <v>0.67</v>
      </c>
      <c r="AN81" s="1080">
        <f t="shared" si="146"/>
        <v>0.65</v>
      </c>
      <c r="AO81" s="1080">
        <f t="shared" si="146"/>
        <v>0.65</v>
      </c>
      <c r="AP81" s="1080">
        <f t="shared" si="146"/>
        <v>0.67</v>
      </c>
      <c r="AQ81" s="1080">
        <f t="shared" si="147"/>
        <v>0.65</v>
      </c>
      <c r="AR81" s="1080">
        <f t="shared" si="147"/>
        <v>0.65</v>
      </c>
      <c r="AS81" s="1080">
        <f t="shared" si="147"/>
        <v>0.67</v>
      </c>
      <c r="AT81" s="1080">
        <f t="shared" si="147"/>
        <v>0.67</v>
      </c>
      <c r="AU81" s="1080">
        <f t="shared" si="147"/>
        <v>0.65</v>
      </c>
      <c r="AV81" s="1080">
        <f t="shared" si="147"/>
        <v>0.65</v>
      </c>
      <c r="AW81" s="1080">
        <f t="shared" si="147"/>
        <v>0.67</v>
      </c>
      <c r="AX81" s="1080">
        <f t="shared" si="147"/>
        <v>0.67</v>
      </c>
      <c r="AY81" s="1080">
        <f t="shared" si="147"/>
        <v>0.67</v>
      </c>
      <c r="AZ81" s="1080">
        <f t="shared" si="147"/>
        <v>0.65</v>
      </c>
      <c r="BA81" s="1080">
        <f t="shared" si="148"/>
        <v>0.65</v>
      </c>
      <c r="BB81" s="1080">
        <f t="shared" si="148"/>
        <v>0.67</v>
      </c>
      <c r="BC81" s="1080">
        <f t="shared" si="148"/>
        <v>0.67</v>
      </c>
      <c r="BD81" s="1080">
        <f t="shared" si="148"/>
        <v>0.65</v>
      </c>
      <c r="BE81" s="1080">
        <f t="shared" si="148"/>
        <v>0.65</v>
      </c>
      <c r="BF81" s="1080">
        <f t="shared" si="148"/>
        <v>0.67</v>
      </c>
      <c r="BG81" s="1080">
        <f t="shared" si="148"/>
        <v>0.67</v>
      </c>
      <c r="BH81" s="1080">
        <f t="shared" si="148"/>
        <v>0.67</v>
      </c>
      <c r="BI81" s="1080">
        <f t="shared" si="148"/>
        <v>0.67</v>
      </c>
      <c r="BJ81" s="1080">
        <f t="shared" si="148"/>
        <v>0.65</v>
      </c>
      <c r="BK81" s="1080">
        <f t="shared" si="149"/>
        <v>0.65</v>
      </c>
      <c r="BL81" s="1080">
        <f t="shared" si="149"/>
        <v>0.67</v>
      </c>
      <c r="BM81" s="1080">
        <f t="shared" si="149"/>
        <v>0.65</v>
      </c>
      <c r="BN81" s="1080">
        <f t="shared" si="149"/>
        <v>0.65</v>
      </c>
      <c r="BO81" s="1080">
        <f t="shared" si="149"/>
        <v>0.67</v>
      </c>
      <c r="BP81" s="1080">
        <f t="shared" si="149"/>
        <v>0.65</v>
      </c>
      <c r="BQ81" s="1080">
        <f t="shared" si="149"/>
        <v>0.65</v>
      </c>
      <c r="BR81" s="1080">
        <f t="shared" si="149"/>
        <v>0.67</v>
      </c>
      <c r="BS81" s="1080">
        <f t="shared" si="149"/>
        <v>0.67</v>
      </c>
      <c r="BT81" s="1080">
        <f t="shared" si="149"/>
        <v>0.65</v>
      </c>
      <c r="BU81" s="1080">
        <f t="shared" si="150"/>
        <v>0.65</v>
      </c>
      <c r="BV81" s="1080">
        <f t="shared" si="150"/>
        <v>0.67</v>
      </c>
      <c r="BW81" s="1080">
        <f t="shared" si="150"/>
        <v>0.67</v>
      </c>
      <c r="BX81" s="1080">
        <f t="shared" si="150"/>
        <v>0.67</v>
      </c>
      <c r="BY81" s="1080">
        <f t="shared" si="150"/>
        <v>0.65</v>
      </c>
      <c r="BZ81" s="1080">
        <f t="shared" si="150"/>
        <v>0.65</v>
      </c>
      <c r="CA81" s="1080">
        <f t="shared" si="150"/>
        <v>0.67</v>
      </c>
      <c r="CB81" s="1080">
        <f t="shared" si="150"/>
        <v>0.67</v>
      </c>
      <c r="CC81" s="1080">
        <f t="shared" si="150"/>
        <v>0.65</v>
      </c>
      <c r="CD81" s="1080">
        <f t="shared" si="150"/>
        <v>0.65</v>
      </c>
      <c r="CE81" s="1080">
        <f t="shared" si="151"/>
        <v>0.67</v>
      </c>
      <c r="CF81" s="1080">
        <f t="shared" si="151"/>
        <v>0.67</v>
      </c>
      <c r="CG81" s="1080">
        <f t="shared" si="151"/>
        <v>0.67</v>
      </c>
      <c r="CH81" s="1080">
        <f t="shared" si="151"/>
        <v>0.65</v>
      </c>
      <c r="CI81" s="1080">
        <f t="shared" si="151"/>
        <v>0.67</v>
      </c>
      <c r="CJ81" s="1080">
        <f t="shared" si="151"/>
        <v>0.67</v>
      </c>
      <c r="CK81" s="1080">
        <f t="shared" si="151"/>
        <v>0.67</v>
      </c>
      <c r="CL81" s="1080">
        <f t="shared" si="151"/>
        <v>0.67</v>
      </c>
      <c r="CM81" s="1080">
        <f t="shared" si="151"/>
        <v>0.67</v>
      </c>
      <c r="CN81" s="1080">
        <f t="shared" si="151"/>
        <v>0.67</v>
      </c>
      <c r="CO81" s="1080">
        <f t="shared" si="152"/>
        <v>0.67</v>
      </c>
      <c r="CP81" s="1089">
        <f t="shared" si="152"/>
        <v>0.67</v>
      </c>
      <c r="CQ81" s="1080">
        <f t="shared" si="152"/>
        <v>0.67</v>
      </c>
      <c r="CR81" s="1080">
        <f t="shared" si="152"/>
        <v>0.67</v>
      </c>
      <c r="CS81" s="1080">
        <f t="shared" si="152"/>
        <v>0.67</v>
      </c>
      <c r="CT81" s="1080">
        <f t="shared" si="152"/>
        <v>0.67</v>
      </c>
      <c r="CU81" s="1080">
        <f t="shared" si="152"/>
        <v>0.67</v>
      </c>
      <c r="CV81" s="1080">
        <f t="shared" si="152"/>
        <v>0.67</v>
      </c>
      <c r="CW81" s="1080">
        <f t="shared" si="152"/>
        <v>0.67</v>
      </c>
      <c r="CX81" s="1080">
        <f t="shared" si="152"/>
        <v>0.67</v>
      </c>
      <c r="CY81" s="1080">
        <f t="shared" si="152"/>
        <v>0.67</v>
      </c>
      <c r="CZ81" s="1080">
        <f t="shared" si="153"/>
        <v>0.67</v>
      </c>
      <c r="DA81" s="1080">
        <f t="shared" si="153"/>
        <v>0.67</v>
      </c>
      <c r="DB81" s="1080">
        <f t="shared" si="153"/>
        <v>0.67</v>
      </c>
      <c r="DC81" s="1080">
        <f t="shared" si="153"/>
        <v>0.67</v>
      </c>
      <c r="DD81" s="1080">
        <f t="shared" si="153"/>
        <v>0.67</v>
      </c>
      <c r="DE81" s="1080">
        <f t="shared" si="153"/>
        <v>0</v>
      </c>
      <c r="DF81" s="1080">
        <f t="shared" si="153"/>
        <v>0</v>
      </c>
      <c r="DG81" s="1818"/>
      <c r="DH81" s="1818"/>
      <c r="DI81" s="1818"/>
      <c r="DJ81" s="1819"/>
    </row>
    <row r="82" spans="1:114" s="75" customFormat="1" ht="15.95" customHeight="1">
      <c r="A82" s="71" t="s">
        <v>337</v>
      </c>
      <c r="B82" s="5">
        <f>MATCH($A82,'Bearing Data'!$A$2:$Y$2,0)</f>
        <v>17</v>
      </c>
      <c r="C82" s="1080">
        <f t="shared" si="143"/>
        <v>2.9</v>
      </c>
      <c r="D82" s="1080">
        <f t="shared" si="143"/>
        <v>2.2000000000000002</v>
      </c>
      <c r="E82" s="1080">
        <f t="shared" si="143"/>
        <v>2.7</v>
      </c>
      <c r="F82" s="1080">
        <f t="shared" si="143"/>
        <v>1.6</v>
      </c>
      <c r="G82" s="1080">
        <f t="shared" si="143"/>
        <v>3</v>
      </c>
      <c r="H82" s="1080">
        <f t="shared" si="143"/>
        <v>2.4</v>
      </c>
      <c r="I82" s="1080">
        <f t="shared" si="143"/>
        <v>2.7</v>
      </c>
      <c r="J82" s="1080">
        <f t="shared" si="143"/>
        <v>1.9</v>
      </c>
      <c r="K82" s="1080">
        <f t="shared" si="143"/>
        <v>3</v>
      </c>
      <c r="L82" s="1080">
        <f t="shared" si="143"/>
        <v>2.7</v>
      </c>
      <c r="M82" s="1080">
        <f t="shared" si="144"/>
        <v>2.6</v>
      </c>
      <c r="N82" s="1080">
        <f t="shared" si="144"/>
        <v>1.5</v>
      </c>
      <c r="O82" s="1080">
        <f t="shared" si="144"/>
        <v>3.3</v>
      </c>
      <c r="P82" s="1080">
        <f t="shared" si="144"/>
        <v>2.7</v>
      </c>
      <c r="Q82" s="1080">
        <f t="shared" si="144"/>
        <v>2.7</v>
      </c>
      <c r="R82" s="1080">
        <f t="shared" si="144"/>
        <v>1.6</v>
      </c>
      <c r="S82" s="1080">
        <f t="shared" si="144"/>
        <v>2.7</v>
      </c>
      <c r="T82" s="1080">
        <f t="shared" si="144"/>
        <v>2.7</v>
      </c>
      <c r="U82" s="1080">
        <f t="shared" si="144"/>
        <v>2.8</v>
      </c>
      <c r="V82" s="1080">
        <f t="shared" si="144"/>
        <v>2.7</v>
      </c>
      <c r="W82" s="1080">
        <f t="shared" si="145"/>
        <v>2.7</v>
      </c>
      <c r="X82" s="1080">
        <f t="shared" si="145"/>
        <v>3</v>
      </c>
      <c r="Y82" s="1080">
        <f t="shared" si="145"/>
        <v>1.9</v>
      </c>
      <c r="Z82" s="1080">
        <f t="shared" si="145"/>
        <v>3.5</v>
      </c>
      <c r="AA82" s="1080">
        <f t="shared" si="145"/>
        <v>2.6</v>
      </c>
      <c r="AB82" s="1080">
        <f t="shared" si="145"/>
        <v>2.8</v>
      </c>
      <c r="AC82" s="1080">
        <f t="shared" si="145"/>
        <v>2.9</v>
      </c>
      <c r="AD82" s="1080">
        <f t="shared" si="145"/>
        <v>1.7</v>
      </c>
      <c r="AE82" s="1080">
        <f t="shared" si="145"/>
        <v>3</v>
      </c>
      <c r="AF82" s="1080">
        <f t="shared" si="145"/>
        <v>1.9</v>
      </c>
      <c r="AG82" s="1080">
        <f t="shared" si="146"/>
        <v>3.7</v>
      </c>
      <c r="AH82" s="1080">
        <f t="shared" si="146"/>
        <v>2.9</v>
      </c>
      <c r="AI82" s="1080">
        <f t="shared" si="146"/>
        <v>3</v>
      </c>
      <c r="AJ82" s="1080">
        <f t="shared" si="146"/>
        <v>2.9</v>
      </c>
      <c r="AK82" s="1080">
        <f t="shared" si="146"/>
        <v>1.7</v>
      </c>
      <c r="AL82" s="1080">
        <f t="shared" si="146"/>
        <v>3</v>
      </c>
      <c r="AM82" s="1080">
        <f t="shared" si="146"/>
        <v>1.9</v>
      </c>
      <c r="AN82" s="1080">
        <f t="shared" si="146"/>
        <v>3.9</v>
      </c>
      <c r="AO82" s="1080">
        <f t="shared" si="146"/>
        <v>2.9</v>
      </c>
      <c r="AP82" s="1080">
        <f t="shared" si="146"/>
        <v>3</v>
      </c>
      <c r="AQ82" s="1080">
        <f t="shared" si="147"/>
        <v>2.9</v>
      </c>
      <c r="AR82" s="1080">
        <f t="shared" si="147"/>
        <v>1.7</v>
      </c>
      <c r="AS82" s="1080">
        <f t="shared" si="147"/>
        <v>2.8</v>
      </c>
      <c r="AT82" s="1080">
        <f t="shared" si="147"/>
        <v>1.9</v>
      </c>
      <c r="AU82" s="1080">
        <f t="shared" si="147"/>
        <v>3.7</v>
      </c>
      <c r="AV82" s="1080">
        <f t="shared" si="147"/>
        <v>2.5</v>
      </c>
      <c r="AW82" s="1080">
        <f t="shared" si="147"/>
        <v>2.5</v>
      </c>
      <c r="AX82" s="1080">
        <f t="shared" si="147"/>
        <v>3</v>
      </c>
      <c r="AY82" s="1080">
        <f t="shared" si="147"/>
        <v>3</v>
      </c>
      <c r="AZ82" s="1080">
        <f t="shared" si="147"/>
        <v>2.9</v>
      </c>
      <c r="BA82" s="1080">
        <f t="shared" si="148"/>
        <v>1.7</v>
      </c>
      <c r="BB82" s="1080">
        <f t="shared" si="148"/>
        <v>2.8</v>
      </c>
      <c r="BC82" s="1080">
        <f t="shared" si="148"/>
        <v>2</v>
      </c>
      <c r="BD82" s="1080">
        <f t="shared" si="148"/>
        <v>3.7</v>
      </c>
      <c r="BE82" s="1080">
        <f t="shared" si="148"/>
        <v>2.2999999999999998</v>
      </c>
      <c r="BF82" s="1080">
        <f t="shared" si="148"/>
        <v>2.2999999999999998</v>
      </c>
      <c r="BG82" s="1080">
        <f t="shared" si="148"/>
        <v>2.8</v>
      </c>
      <c r="BH82" s="1080">
        <f t="shared" si="148"/>
        <v>2.8</v>
      </c>
      <c r="BI82" s="1080">
        <f t="shared" si="148"/>
        <v>2.2000000000000002</v>
      </c>
      <c r="BJ82" s="1080">
        <f t="shared" si="148"/>
        <v>2.9</v>
      </c>
      <c r="BK82" s="1080">
        <f t="shared" si="149"/>
        <v>1.7</v>
      </c>
      <c r="BL82" s="1080">
        <f t="shared" si="149"/>
        <v>2</v>
      </c>
      <c r="BM82" s="1080">
        <f t="shared" si="149"/>
        <v>3.7</v>
      </c>
      <c r="BN82" s="1080">
        <f t="shared" si="149"/>
        <v>2.2999999999999998</v>
      </c>
      <c r="BO82" s="1080">
        <f t="shared" si="149"/>
        <v>2.8</v>
      </c>
      <c r="BP82" s="1080">
        <f t="shared" si="149"/>
        <v>2.7</v>
      </c>
      <c r="BQ82" s="1080">
        <f t="shared" si="149"/>
        <v>1.7</v>
      </c>
      <c r="BR82" s="1080">
        <f t="shared" si="149"/>
        <v>2.8</v>
      </c>
      <c r="BS82" s="1080">
        <f t="shared" si="149"/>
        <v>2</v>
      </c>
      <c r="BT82" s="1080">
        <f t="shared" si="149"/>
        <v>3.7</v>
      </c>
      <c r="BU82" s="1080">
        <f t="shared" si="150"/>
        <v>2.2999999999999998</v>
      </c>
      <c r="BV82" s="1080">
        <f t="shared" si="150"/>
        <v>2.8</v>
      </c>
      <c r="BW82" s="1080">
        <f t="shared" si="150"/>
        <v>2.8</v>
      </c>
      <c r="BX82" s="1080">
        <f t="shared" si="150"/>
        <v>2</v>
      </c>
      <c r="BY82" s="1080">
        <f t="shared" si="150"/>
        <v>2.7</v>
      </c>
      <c r="BZ82" s="1080">
        <f t="shared" si="150"/>
        <v>1.7</v>
      </c>
      <c r="CA82" s="1080">
        <f t="shared" si="150"/>
        <v>2.8</v>
      </c>
      <c r="CB82" s="1080">
        <f t="shared" si="150"/>
        <v>2</v>
      </c>
      <c r="CC82" s="1080">
        <f t="shared" si="150"/>
        <v>3.7</v>
      </c>
      <c r="CD82" s="1080">
        <f t="shared" si="150"/>
        <v>2.2000000000000002</v>
      </c>
      <c r="CE82" s="1080">
        <f t="shared" si="151"/>
        <v>2.7</v>
      </c>
      <c r="CF82" s="1080">
        <f t="shared" si="151"/>
        <v>2.7</v>
      </c>
      <c r="CG82" s="1080">
        <f t="shared" si="151"/>
        <v>2</v>
      </c>
      <c r="CH82" s="1080">
        <f t="shared" si="151"/>
        <v>2.9</v>
      </c>
      <c r="CI82" s="1080">
        <f t="shared" si="151"/>
        <v>2</v>
      </c>
      <c r="CJ82" s="1080">
        <f t="shared" si="151"/>
        <v>2.6</v>
      </c>
      <c r="CK82" s="1080">
        <f t="shared" si="151"/>
        <v>2.6</v>
      </c>
      <c r="CL82" s="1080">
        <f t="shared" si="151"/>
        <v>1.9</v>
      </c>
      <c r="CM82" s="1080">
        <f t="shared" si="151"/>
        <v>2.5</v>
      </c>
      <c r="CN82" s="1080">
        <f t="shared" si="151"/>
        <v>2.5</v>
      </c>
      <c r="CO82" s="1080">
        <f t="shared" si="152"/>
        <v>2</v>
      </c>
      <c r="CP82" s="1089">
        <f t="shared" si="152"/>
        <v>2.6</v>
      </c>
      <c r="CQ82" s="1080">
        <f t="shared" si="152"/>
        <v>2.6</v>
      </c>
      <c r="CR82" s="1080">
        <f t="shared" si="152"/>
        <v>2</v>
      </c>
      <c r="CS82" s="1080">
        <f t="shared" si="152"/>
        <v>2.6</v>
      </c>
      <c r="CT82" s="1080">
        <f t="shared" si="152"/>
        <v>2.6</v>
      </c>
      <c r="CU82" s="1080">
        <f t="shared" si="152"/>
        <v>1.9</v>
      </c>
      <c r="CV82" s="1080">
        <f t="shared" si="152"/>
        <v>2.6</v>
      </c>
      <c r="CW82" s="1080">
        <f t="shared" si="152"/>
        <v>2.6</v>
      </c>
      <c r="CX82" s="1080">
        <f t="shared" si="152"/>
        <v>1.9</v>
      </c>
      <c r="CY82" s="1080">
        <f t="shared" si="152"/>
        <v>2.5</v>
      </c>
      <c r="CZ82" s="1080">
        <f t="shared" si="153"/>
        <v>2.6</v>
      </c>
      <c r="DA82" s="1080">
        <f t="shared" si="153"/>
        <v>2.6</v>
      </c>
      <c r="DB82" s="1080">
        <f t="shared" si="153"/>
        <v>2.6</v>
      </c>
      <c r="DC82" s="1080">
        <f t="shared" si="153"/>
        <v>2.5</v>
      </c>
      <c r="DD82" s="1080">
        <f t="shared" si="153"/>
        <v>2.5</v>
      </c>
      <c r="DE82" s="1080">
        <f t="shared" si="153"/>
        <v>0</v>
      </c>
      <c r="DF82" s="1080">
        <f t="shared" si="153"/>
        <v>0</v>
      </c>
      <c r="DG82" s="1818"/>
      <c r="DH82" s="1818"/>
      <c r="DI82" s="1818"/>
      <c r="DJ82" s="1819"/>
    </row>
    <row r="83" spans="1:114" s="75" customFormat="1" ht="15.95" customHeight="1">
      <c r="A83" s="71" t="s">
        <v>335</v>
      </c>
      <c r="B83" s="5">
        <f>MATCH($A83,'Bearing Data'!$A$2:$Y$2,0)</f>
        <v>18</v>
      </c>
      <c r="C83" s="1080">
        <f t="shared" si="143"/>
        <v>4.5</v>
      </c>
      <c r="D83" s="1080">
        <f t="shared" si="143"/>
        <v>3.5</v>
      </c>
      <c r="E83" s="1080">
        <f t="shared" si="143"/>
        <v>4.2</v>
      </c>
      <c r="F83" s="1080">
        <f t="shared" si="143"/>
        <v>2.4</v>
      </c>
      <c r="G83" s="1080">
        <f t="shared" si="143"/>
        <v>4.5999999999999996</v>
      </c>
      <c r="H83" s="1080">
        <f t="shared" si="143"/>
        <v>3.7</v>
      </c>
      <c r="I83" s="1080">
        <f t="shared" si="143"/>
        <v>4.2</v>
      </c>
      <c r="J83" s="1080">
        <f t="shared" si="143"/>
        <v>3</v>
      </c>
      <c r="K83" s="1080">
        <f t="shared" si="143"/>
        <v>4.5999999999999996</v>
      </c>
      <c r="L83" s="1080">
        <f t="shared" si="143"/>
        <v>4.2</v>
      </c>
      <c r="M83" s="1080">
        <f t="shared" si="144"/>
        <v>4.0999999999999996</v>
      </c>
      <c r="N83" s="1080">
        <f t="shared" si="144"/>
        <v>2.2999999999999998</v>
      </c>
      <c r="O83" s="1080">
        <f t="shared" si="144"/>
        <v>5.0999999999999996</v>
      </c>
      <c r="P83" s="1080">
        <f t="shared" si="144"/>
        <v>4.2</v>
      </c>
      <c r="Q83" s="1080">
        <f t="shared" si="144"/>
        <v>4.2</v>
      </c>
      <c r="R83" s="1080">
        <f t="shared" si="144"/>
        <v>2.4</v>
      </c>
      <c r="S83" s="1080">
        <f t="shared" si="144"/>
        <v>4.2</v>
      </c>
      <c r="T83" s="1080">
        <f t="shared" si="144"/>
        <v>4.2</v>
      </c>
      <c r="U83" s="1080">
        <f t="shared" si="144"/>
        <v>4.2</v>
      </c>
      <c r="V83" s="1080">
        <f t="shared" si="144"/>
        <v>4.2</v>
      </c>
      <c r="W83" s="1080">
        <f t="shared" si="145"/>
        <v>4.2</v>
      </c>
      <c r="X83" s="1080">
        <f t="shared" si="145"/>
        <v>4.5999999999999996</v>
      </c>
      <c r="Y83" s="1080">
        <f t="shared" si="145"/>
        <v>2.9</v>
      </c>
      <c r="Z83" s="1080">
        <f t="shared" si="145"/>
        <v>5.4</v>
      </c>
      <c r="AA83" s="1080">
        <f t="shared" si="145"/>
        <v>4.0999999999999996</v>
      </c>
      <c r="AB83" s="1080">
        <f t="shared" si="145"/>
        <v>4.2</v>
      </c>
      <c r="AC83" s="1080">
        <f t="shared" si="145"/>
        <v>4.5</v>
      </c>
      <c r="AD83" s="1080">
        <f t="shared" si="145"/>
        <v>2.6</v>
      </c>
      <c r="AE83" s="1080">
        <f t="shared" si="145"/>
        <v>4.5999999999999996</v>
      </c>
      <c r="AF83" s="1080">
        <f t="shared" si="145"/>
        <v>2.9</v>
      </c>
      <c r="AG83" s="1080">
        <f t="shared" si="146"/>
        <v>5.7</v>
      </c>
      <c r="AH83" s="1080">
        <f t="shared" si="146"/>
        <v>4.5</v>
      </c>
      <c r="AI83" s="1080">
        <f t="shared" si="146"/>
        <v>4.5999999999999996</v>
      </c>
      <c r="AJ83" s="1080">
        <f t="shared" si="146"/>
        <v>4.5</v>
      </c>
      <c r="AK83" s="1080">
        <f t="shared" si="146"/>
        <v>2.6</v>
      </c>
      <c r="AL83" s="1080">
        <f t="shared" si="146"/>
        <v>4.5999999999999996</v>
      </c>
      <c r="AM83" s="1080">
        <f t="shared" si="146"/>
        <v>2.9</v>
      </c>
      <c r="AN83" s="1080">
        <f t="shared" si="146"/>
        <v>6.1</v>
      </c>
      <c r="AO83" s="1080">
        <f t="shared" si="146"/>
        <v>4.5</v>
      </c>
      <c r="AP83" s="1080">
        <f t="shared" si="146"/>
        <v>4.5999999999999996</v>
      </c>
      <c r="AQ83" s="1080">
        <f t="shared" si="147"/>
        <v>4.5</v>
      </c>
      <c r="AR83" s="1080">
        <f t="shared" si="147"/>
        <v>2.6</v>
      </c>
      <c r="AS83" s="1080">
        <f t="shared" si="147"/>
        <v>4.2</v>
      </c>
      <c r="AT83" s="1080">
        <f t="shared" si="147"/>
        <v>2.9</v>
      </c>
      <c r="AU83" s="1080">
        <f t="shared" si="147"/>
        <v>5.7</v>
      </c>
      <c r="AV83" s="1080">
        <f t="shared" si="147"/>
        <v>3.9</v>
      </c>
      <c r="AW83" s="1080">
        <f t="shared" si="147"/>
        <v>3.9</v>
      </c>
      <c r="AX83" s="1080">
        <f t="shared" si="147"/>
        <v>4.5999999999999996</v>
      </c>
      <c r="AY83" s="1080">
        <f t="shared" si="147"/>
        <v>4.5999999999999996</v>
      </c>
      <c r="AZ83" s="1080">
        <f t="shared" si="147"/>
        <v>4.5</v>
      </c>
      <c r="BA83" s="1080">
        <f t="shared" si="148"/>
        <v>2.6</v>
      </c>
      <c r="BB83" s="1080">
        <f t="shared" si="148"/>
        <v>4.2</v>
      </c>
      <c r="BC83" s="1080">
        <f t="shared" si="148"/>
        <v>3</v>
      </c>
      <c r="BD83" s="1080">
        <f t="shared" si="148"/>
        <v>5.7</v>
      </c>
      <c r="BE83" s="1080">
        <f t="shared" si="148"/>
        <v>3.6</v>
      </c>
      <c r="BF83" s="1080">
        <f t="shared" si="148"/>
        <v>3.6</v>
      </c>
      <c r="BG83" s="1080">
        <f t="shared" si="148"/>
        <v>4.2</v>
      </c>
      <c r="BH83" s="1080">
        <f t="shared" si="148"/>
        <v>4.2</v>
      </c>
      <c r="BI83" s="1080">
        <f t="shared" si="148"/>
        <v>3.3</v>
      </c>
      <c r="BJ83" s="1080">
        <f t="shared" si="148"/>
        <v>4.5</v>
      </c>
      <c r="BK83" s="1080">
        <f t="shared" si="149"/>
        <v>2.6</v>
      </c>
      <c r="BL83" s="1080">
        <f t="shared" si="149"/>
        <v>3</v>
      </c>
      <c r="BM83" s="1080">
        <f t="shared" si="149"/>
        <v>5.7</v>
      </c>
      <c r="BN83" s="1080">
        <f t="shared" si="149"/>
        <v>3.6</v>
      </c>
      <c r="BO83" s="1080">
        <f t="shared" si="149"/>
        <v>4.2</v>
      </c>
      <c r="BP83" s="1080">
        <f t="shared" si="149"/>
        <v>4.2</v>
      </c>
      <c r="BQ83" s="1080">
        <f t="shared" si="149"/>
        <v>2.6</v>
      </c>
      <c r="BR83" s="1080">
        <f t="shared" si="149"/>
        <v>4.2</v>
      </c>
      <c r="BS83" s="1080">
        <f t="shared" si="149"/>
        <v>3</v>
      </c>
      <c r="BT83" s="1080">
        <f t="shared" si="149"/>
        <v>5.7</v>
      </c>
      <c r="BU83" s="1080">
        <f t="shared" si="150"/>
        <v>3.6</v>
      </c>
      <c r="BV83" s="1080">
        <f t="shared" si="150"/>
        <v>4.2</v>
      </c>
      <c r="BW83" s="1080">
        <f t="shared" si="150"/>
        <v>4.2</v>
      </c>
      <c r="BX83" s="1080">
        <f t="shared" si="150"/>
        <v>3</v>
      </c>
      <c r="BY83" s="1080">
        <f t="shared" si="150"/>
        <v>4.2</v>
      </c>
      <c r="BZ83" s="1080">
        <f t="shared" si="150"/>
        <v>2.6</v>
      </c>
      <c r="CA83" s="1080">
        <f t="shared" si="150"/>
        <v>4.2</v>
      </c>
      <c r="CB83" s="1080">
        <f t="shared" si="150"/>
        <v>3</v>
      </c>
      <c r="CC83" s="1080">
        <f t="shared" si="150"/>
        <v>5.7</v>
      </c>
      <c r="CD83" s="1080">
        <f t="shared" si="150"/>
        <v>3.5</v>
      </c>
      <c r="CE83" s="1080">
        <f t="shared" si="151"/>
        <v>4</v>
      </c>
      <c r="CF83" s="1080">
        <f t="shared" si="151"/>
        <v>4</v>
      </c>
      <c r="CG83" s="1080">
        <f t="shared" si="151"/>
        <v>3</v>
      </c>
      <c r="CH83" s="1080">
        <f t="shared" si="151"/>
        <v>4.5</v>
      </c>
      <c r="CI83" s="1080">
        <f t="shared" si="151"/>
        <v>3</v>
      </c>
      <c r="CJ83" s="1080">
        <f t="shared" si="151"/>
        <v>3.9</v>
      </c>
      <c r="CK83" s="1080">
        <f t="shared" si="151"/>
        <v>3.9</v>
      </c>
      <c r="CL83" s="1080">
        <f t="shared" si="151"/>
        <v>2.9</v>
      </c>
      <c r="CM83" s="1080">
        <f t="shared" si="151"/>
        <v>3.7</v>
      </c>
      <c r="CN83" s="1080">
        <f t="shared" si="151"/>
        <v>3.7</v>
      </c>
      <c r="CO83" s="1080">
        <f t="shared" si="152"/>
        <v>3</v>
      </c>
      <c r="CP83" s="1089">
        <f t="shared" si="152"/>
        <v>3.9</v>
      </c>
      <c r="CQ83" s="1080">
        <f t="shared" si="152"/>
        <v>3.9</v>
      </c>
      <c r="CR83" s="1080">
        <f t="shared" si="152"/>
        <v>3</v>
      </c>
      <c r="CS83" s="1080">
        <f t="shared" si="152"/>
        <v>3.9</v>
      </c>
      <c r="CT83" s="1080">
        <f t="shared" si="152"/>
        <v>3.9</v>
      </c>
      <c r="CU83" s="1080">
        <f t="shared" si="152"/>
        <v>2.9</v>
      </c>
      <c r="CV83" s="1080">
        <f t="shared" si="152"/>
        <v>3.9</v>
      </c>
      <c r="CW83" s="1080">
        <f t="shared" si="152"/>
        <v>3.9</v>
      </c>
      <c r="CX83" s="1080">
        <f t="shared" si="152"/>
        <v>2.9</v>
      </c>
      <c r="CY83" s="1080">
        <f t="shared" si="152"/>
        <v>3.7</v>
      </c>
      <c r="CZ83" s="1080">
        <f t="shared" si="153"/>
        <v>3.9</v>
      </c>
      <c r="DA83" s="1080">
        <f t="shared" si="153"/>
        <v>3.9</v>
      </c>
      <c r="DB83" s="1080">
        <f t="shared" si="153"/>
        <v>3.9</v>
      </c>
      <c r="DC83" s="1080">
        <f t="shared" si="153"/>
        <v>3.7</v>
      </c>
      <c r="DD83" s="1080">
        <f t="shared" si="153"/>
        <v>3.7</v>
      </c>
      <c r="DE83" s="1080">
        <f t="shared" si="153"/>
        <v>0</v>
      </c>
      <c r="DF83" s="1080">
        <f t="shared" si="153"/>
        <v>0</v>
      </c>
      <c r="DG83" s="1818"/>
      <c r="DH83" s="1818"/>
      <c r="DI83" s="1818"/>
      <c r="DJ83" s="1819"/>
    </row>
    <row r="84" spans="1:114" s="75" customFormat="1" ht="15.95" customHeight="1">
      <c r="A84" s="71" t="s">
        <v>1</v>
      </c>
      <c r="B84" s="5">
        <f>MATCH($A84,'Bearing Data'!$A$2:$Y$2,0)</f>
        <v>19</v>
      </c>
      <c r="C84" s="1080">
        <f t="shared" si="143"/>
        <v>0.22</v>
      </c>
      <c r="D84" s="1080">
        <f t="shared" si="143"/>
        <v>0.28000000000000003</v>
      </c>
      <c r="E84" s="1080">
        <f t="shared" si="143"/>
        <v>0.23</v>
      </c>
      <c r="F84" s="1080">
        <f t="shared" si="143"/>
        <v>0.4</v>
      </c>
      <c r="G84" s="1080">
        <f t="shared" si="143"/>
        <v>0.21</v>
      </c>
      <c r="H84" s="1080">
        <f t="shared" si="143"/>
        <v>0.26</v>
      </c>
      <c r="I84" s="1080">
        <f t="shared" si="143"/>
        <v>0.23</v>
      </c>
      <c r="J84" s="1080">
        <f t="shared" si="143"/>
        <v>0.33</v>
      </c>
      <c r="K84" s="1080">
        <f t="shared" si="143"/>
        <v>0.21</v>
      </c>
      <c r="L84" s="1080">
        <f t="shared" si="143"/>
        <v>0.23</v>
      </c>
      <c r="M84" s="1080">
        <f t="shared" si="144"/>
        <v>0.24</v>
      </c>
      <c r="N84" s="1080">
        <f t="shared" si="144"/>
        <v>0.43</v>
      </c>
      <c r="O84" s="1080">
        <f t="shared" si="144"/>
        <v>0.19</v>
      </c>
      <c r="P84" s="1080">
        <f t="shared" si="144"/>
        <v>0.23</v>
      </c>
      <c r="Q84" s="1080">
        <f t="shared" si="144"/>
        <v>0.23</v>
      </c>
      <c r="R84" s="1080">
        <f t="shared" si="144"/>
        <v>0.4</v>
      </c>
      <c r="S84" s="1080">
        <f t="shared" si="144"/>
        <v>0.23</v>
      </c>
      <c r="T84" s="1080">
        <f t="shared" si="144"/>
        <v>0.23</v>
      </c>
      <c r="U84" s="1080">
        <f t="shared" si="144"/>
        <v>0.24</v>
      </c>
      <c r="V84" s="1080">
        <f t="shared" si="144"/>
        <v>0.23</v>
      </c>
      <c r="W84" s="1080">
        <f t="shared" si="145"/>
        <v>0.23</v>
      </c>
      <c r="X84" s="1080">
        <f t="shared" si="145"/>
        <v>0.22</v>
      </c>
      <c r="Y84" s="1080">
        <f t="shared" si="145"/>
        <v>0.35</v>
      </c>
      <c r="Z84" s="1080">
        <f t="shared" si="145"/>
        <v>0.18</v>
      </c>
      <c r="AA84" s="1080">
        <f t="shared" si="145"/>
        <v>0.24</v>
      </c>
      <c r="AB84" s="1080">
        <f t="shared" si="145"/>
        <v>0.24</v>
      </c>
      <c r="AC84" s="1080">
        <f t="shared" si="145"/>
        <v>0.22</v>
      </c>
      <c r="AD84" s="1080">
        <f t="shared" si="145"/>
        <v>0.37</v>
      </c>
      <c r="AE84" s="1080">
        <f t="shared" si="145"/>
        <v>0.22</v>
      </c>
      <c r="AF84" s="1080">
        <f t="shared" si="145"/>
        <v>0.35</v>
      </c>
      <c r="AG84" s="1080">
        <f t="shared" si="146"/>
        <v>0.17</v>
      </c>
      <c r="AH84" s="1080">
        <f t="shared" si="146"/>
        <v>0.22</v>
      </c>
      <c r="AI84" s="1080">
        <f t="shared" si="146"/>
        <v>0.22</v>
      </c>
      <c r="AJ84" s="1080">
        <f t="shared" si="146"/>
        <v>0.22</v>
      </c>
      <c r="AK84" s="1080">
        <f t="shared" si="146"/>
        <v>0.37</v>
      </c>
      <c r="AL84" s="1080">
        <f t="shared" si="146"/>
        <v>0.22</v>
      </c>
      <c r="AM84" s="1080">
        <f t="shared" si="146"/>
        <v>0.35</v>
      </c>
      <c r="AN84" s="1080">
        <f t="shared" si="146"/>
        <v>0.16</v>
      </c>
      <c r="AO84" s="1080">
        <f t="shared" si="146"/>
        <v>0.222</v>
      </c>
      <c r="AP84" s="1080">
        <f t="shared" si="146"/>
        <v>0.22</v>
      </c>
      <c r="AQ84" s="1080">
        <f t="shared" si="147"/>
        <v>0.22</v>
      </c>
      <c r="AR84" s="1080">
        <f t="shared" si="147"/>
        <v>0.37</v>
      </c>
      <c r="AS84" s="1080">
        <f t="shared" si="147"/>
        <v>0.24</v>
      </c>
      <c r="AT84" s="1080">
        <f t="shared" si="147"/>
        <v>0.35</v>
      </c>
      <c r="AU84" s="1080">
        <f t="shared" si="147"/>
        <v>0.17</v>
      </c>
      <c r="AV84" s="1080">
        <f t="shared" si="147"/>
        <v>0.25</v>
      </c>
      <c r="AW84" s="1080">
        <f t="shared" si="147"/>
        <v>0.25</v>
      </c>
      <c r="AX84" s="1080">
        <f t="shared" si="147"/>
        <v>0.22</v>
      </c>
      <c r="AY84" s="1080">
        <f t="shared" si="147"/>
        <v>0.22</v>
      </c>
      <c r="AZ84" s="1080">
        <f t="shared" si="147"/>
        <v>0.22</v>
      </c>
      <c r="BA84" s="1080">
        <f t="shared" si="148"/>
        <v>0.37</v>
      </c>
      <c r="BB84" s="1080">
        <f t="shared" si="148"/>
        <v>0.24</v>
      </c>
      <c r="BC84" s="1080">
        <f t="shared" si="148"/>
        <v>0.33</v>
      </c>
      <c r="BD84" s="1080">
        <f t="shared" si="148"/>
        <v>0.17</v>
      </c>
      <c r="BE84" s="1080">
        <f t="shared" si="148"/>
        <v>0.27</v>
      </c>
      <c r="BF84" s="1080">
        <f t="shared" si="148"/>
        <v>0.27</v>
      </c>
      <c r="BG84" s="1080">
        <f t="shared" si="148"/>
        <v>0.24</v>
      </c>
      <c r="BH84" s="1080">
        <f t="shared" si="148"/>
        <v>0.24</v>
      </c>
      <c r="BI84" s="1080">
        <f t="shared" si="148"/>
        <v>0.31</v>
      </c>
      <c r="BJ84" s="1080">
        <f t="shared" si="148"/>
        <v>0.22</v>
      </c>
      <c r="BK84" s="1080">
        <f t="shared" si="149"/>
        <v>0.37</v>
      </c>
      <c r="BL84" s="1080">
        <f t="shared" si="149"/>
        <v>0.33</v>
      </c>
      <c r="BM84" s="1080">
        <f t="shared" si="149"/>
        <v>0.17</v>
      </c>
      <c r="BN84" s="1080">
        <f t="shared" si="149"/>
        <v>0.27</v>
      </c>
      <c r="BO84" s="1080">
        <f t="shared" si="149"/>
        <v>0.24</v>
      </c>
      <c r="BP84" s="1080">
        <f t="shared" si="149"/>
        <v>0.23</v>
      </c>
      <c r="BQ84" s="1080">
        <f t="shared" si="149"/>
        <v>0.37</v>
      </c>
      <c r="BR84" s="1080">
        <f t="shared" si="149"/>
        <v>0.24</v>
      </c>
      <c r="BS84" s="1080">
        <f t="shared" si="149"/>
        <v>0.33</v>
      </c>
      <c r="BT84" s="1080">
        <f t="shared" si="149"/>
        <v>0.17</v>
      </c>
      <c r="BU84" s="1080">
        <f t="shared" si="150"/>
        <v>0.27</v>
      </c>
      <c r="BV84" s="1080">
        <f t="shared" si="150"/>
        <v>0.24</v>
      </c>
      <c r="BW84" s="1080">
        <f t="shared" si="150"/>
        <v>0.24</v>
      </c>
      <c r="BX84" s="1080">
        <f t="shared" si="150"/>
        <v>0.33</v>
      </c>
      <c r="BY84" s="1080">
        <f t="shared" si="150"/>
        <v>0.23</v>
      </c>
      <c r="BZ84" s="1080">
        <f t="shared" si="150"/>
        <v>0.37</v>
      </c>
      <c r="CA84" s="1080">
        <f t="shared" si="150"/>
        <v>0.24</v>
      </c>
      <c r="CB84" s="1080">
        <f t="shared" si="150"/>
        <v>0.33</v>
      </c>
      <c r="CC84" s="1080">
        <f t="shared" si="150"/>
        <v>0.17</v>
      </c>
      <c r="CD84" s="1080">
        <f t="shared" si="150"/>
        <v>0.28000000000000003</v>
      </c>
      <c r="CE84" s="1080">
        <f t="shared" si="151"/>
        <v>0.25</v>
      </c>
      <c r="CF84" s="1080">
        <f t="shared" si="151"/>
        <v>0.25</v>
      </c>
      <c r="CG84" s="1080">
        <f t="shared" si="151"/>
        <v>0.33</v>
      </c>
      <c r="CH84" s="1080">
        <f t="shared" si="151"/>
        <v>0.22</v>
      </c>
      <c r="CI84" s="1080">
        <f t="shared" si="151"/>
        <v>0.33</v>
      </c>
      <c r="CJ84" s="1080">
        <f t="shared" si="151"/>
        <v>0.26</v>
      </c>
      <c r="CK84" s="1080">
        <f t="shared" si="151"/>
        <v>0.26</v>
      </c>
      <c r="CL84" s="1080">
        <f t="shared" si="151"/>
        <v>0.35</v>
      </c>
      <c r="CM84" s="1080">
        <f t="shared" si="151"/>
        <v>0.27</v>
      </c>
      <c r="CN84" s="1080">
        <f t="shared" si="151"/>
        <v>0.27</v>
      </c>
      <c r="CO84" s="1080">
        <f t="shared" si="152"/>
        <v>0.33</v>
      </c>
      <c r="CP84" s="1089">
        <f t="shared" si="152"/>
        <v>0.26</v>
      </c>
      <c r="CQ84" s="1080">
        <f t="shared" si="152"/>
        <v>0.26</v>
      </c>
      <c r="CR84" s="1080">
        <f t="shared" si="152"/>
        <v>0.33</v>
      </c>
      <c r="CS84" s="1080">
        <f t="shared" si="152"/>
        <v>0.26</v>
      </c>
      <c r="CT84" s="1080">
        <f t="shared" si="152"/>
        <v>0.26</v>
      </c>
      <c r="CU84" s="1080">
        <f t="shared" si="152"/>
        <v>0.35</v>
      </c>
      <c r="CV84" s="1080">
        <f t="shared" si="152"/>
        <v>0.26</v>
      </c>
      <c r="CW84" s="1080">
        <f t="shared" si="152"/>
        <v>0.26</v>
      </c>
      <c r="CX84" s="1080">
        <f t="shared" si="152"/>
        <v>0.35</v>
      </c>
      <c r="CY84" s="1080">
        <f t="shared" si="152"/>
        <v>0.27</v>
      </c>
      <c r="CZ84" s="1080">
        <f t="shared" si="153"/>
        <v>0.26</v>
      </c>
      <c r="DA84" s="1080">
        <f t="shared" si="153"/>
        <v>0.26</v>
      </c>
      <c r="DB84" s="1080">
        <f t="shared" si="153"/>
        <v>0.26</v>
      </c>
      <c r="DC84" s="1080">
        <f t="shared" si="153"/>
        <v>0.27</v>
      </c>
      <c r="DD84" s="1080">
        <f t="shared" si="153"/>
        <v>0.27</v>
      </c>
      <c r="DE84" s="1080">
        <f t="shared" si="153"/>
        <v>0</v>
      </c>
      <c r="DF84" s="1080">
        <f t="shared" si="153"/>
        <v>0</v>
      </c>
      <c r="DG84" s="1818"/>
      <c r="DH84" s="1818"/>
      <c r="DI84" s="1818"/>
      <c r="DJ84" s="1819"/>
    </row>
    <row r="85" spans="1:114" s="75" customFormat="1" ht="15.95" customHeight="1">
      <c r="A85" s="71" t="s">
        <v>54</v>
      </c>
      <c r="B85" s="5">
        <f>MATCH($A85,'Bearing Data'!$A$2:$Y$2,0)</f>
        <v>20</v>
      </c>
      <c r="C85" s="1081">
        <f t="shared" si="143"/>
        <v>0</v>
      </c>
      <c r="D85" s="1081">
        <f t="shared" si="143"/>
        <v>0</v>
      </c>
      <c r="E85" s="1081">
        <f t="shared" si="143"/>
        <v>0</v>
      </c>
      <c r="F85" s="1081">
        <f t="shared" si="143"/>
        <v>0</v>
      </c>
      <c r="G85" s="1081">
        <f t="shared" si="143"/>
        <v>0</v>
      </c>
      <c r="H85" s="1081">
        <f t="shared" si="143"/>
        <v>0</v>
      </c>
      <c r="I85" s="1081">
        <f t="shared" si="143"/>
        <v>0</v>
      </c>
      <c r="J85" s="1081">
        <f t="shared" si="143"/>
        <v>0</v>
      </c>
      <c r="K85" s="1081">
        <f t="shared" si="143"/>
        <v>0</v>
      </c>
      <c r="L85" s="1081">
        <f t="shared" si="143"/>
        <v>0</v>
      </c>
      <c r="M85" s="1081">
        <f t="shared" si="144"/>
        <v>0</v>
      </c>
      <c r="N85" s="1081">
        <f t="shared" si="144"/>
        <v>0</v>
      </c>
      <c r="O85" s="1081">
        <f t="shared" si="144"/>
        <v>0</v>
      </c>
      <c r="P85" s="1081">
        <f t="shared" si="144"/>
        <v>0</v>
      </c>
      <c r="Q85" s="1081">
        <f t="shared" si="144"/>
        <v>0</v>
      </c>
      <c r="R85" s="1081">
        <f t="shared" si="144"/>
        <v>0</v>
      </c>
      <c r="S85" s="1081">
        <f t="shared" si="144"/>
        <v>0</v>
      </c>
      <c r="T85" s="1081">
        <f t="shared" si="144"/>
        <v>0</v>
      </c>
      <c r="U85" s="1081">
        <f t="shared" si="144"/>
        <v>0</v>
      </c>
      <c r="V85" s="1081">
        <f t="shared" si="144"/>
        <v>0</v>
      </c>
      <c r="W85" s="1081">
        <f t="shared" si="145"/>
        <v>0</v>
      </c>
      <c r="X85" s="1081">
        <f t="shared" si="145"/>
        <v>0</v>
      </c>
      <c r="Y85" s="1081">
        <f t="shared" si="145"/>
        <v>0</v>
      </c>
      <c r="Z85" s="1081">
        <f t="shared" si="145"/>
        <v>0</v>
      </c>
      <c r="AA85" s="1081">
        <f t="shared" si="145"/>
        <v>0</v>
      </c>
      <c r="AB85" s="1081">
        <f t="shared" si="145"/>
        <v>0</v>
      </c>
      <c r="AC85" s="1081">
        <f t="shared" si="145"/>
        <v>0</v>
      </c>
      <c r="AD85" s="1081">
        <f t="shared" si="145"/>
        <v>0</v>
      </c>
      <c r="AE85" s="1081">
        <f t="shared" si="145"/>
        <v>0</v>
      </c>
      <c r="AF85" s="1081">
        <f t="shared" si="145"/>
        <v>0</v>
      </c>
      <c r="AG85" s="1081">
        <f t="shared" si="146"/>
        <v>0</v>
      </c>
      <c r="AH85" s="1081">
        <f t="shared" si="146"/>
        <v>0</v>
      </c>
      <c r="AI85" s="1081">
        <f t="shared" si="146"/>
        <v>0</v>
      </c>
      <c r="AJ85" s="1081">
        <f t="shared" si="146"/>
        <v>0</v>
      </c>
      <c r="AK85" s="1081">
        <f t="shared" si="146"/>
        <v>0</v>
      </c>
      <c r="AL85" s="1081">
        <f t="shared" si="146"/>
        <v>0</v>
      </c>
      <c r="AM85" s="1081">
        <f t="shared" si="146"/>
        <v>0</v>
      </c>
      <c r="AN85" s="1081">
        <f t="shared" si="146"/>
        <v>0</v>
      </c>
      <c r="AO85" s="1081">
        <f t="shared" si="146"/>
        <v>0</v>
      </c>
      <c r="AP85" s="1081">
        <f t="shared" si="146"/>
        <v>0</v>
      </c>
      <c r="AQ85" s="1081">
        <f t="shared" si="147"/>
        <v>0</v>
      </c>
      <c r="AR85" s="1081">
        <f t="shared" si="147"/>
        <v>0</v>
      </c>
      <c r="AS85" s="1081">
        <f t="shared" si="147"/>
        <v>0</v>
      </c>
      <c r="AT85" s="1081">
        <f t="shared" si="147"/>
        <v>0</v>
      </c>
      <c r="AU85" s="1081">
        <f t="shared" si="147"/>
        <v>0</v>
      </c>
      <c r="AV85" s="1081">
        <f t="shared" si="147"/>
        <v>0</v>
      </c>
      <c r="AW85" s="1081">
        <f t="shared" si="147"/>
        <v>0</v>
      </c>
      <c r="AX85" s="1081">
        <f t="shared" si="147"/>
        <v>0</v>
      </c>
      <c r="AY85" s="1081">
        <f t="shared" si="147"/>
        <v>0</v>
      </c>
      <c r="AZ85" s="1081">
        <f t="shared" si="147"/>
        <v>0</v>
      </c>
      <c r="BA85" s="1081">
        <f t="shared" si="148"/>
        <v>0</v>
      </c>
      <c r="BB85" s="1081">
        <f t="shared" si="148"/>
        <v>0</v>
      </c>
      <c r="BC85" s="1081">
        <f t="shared" si="148"/>
        <v>0</v>
      </c>
      <c r="BD85" s="1081">
        <f t="shared" si="148"/>
        <v>0</v>
      </c>
      <c r="BE85" s="1081">
        <f t="shared" si="148"/>
        <v>0</v>
      </c>
      <c r="BF85" s="1081">
        <f t="shared" si="148"/>
        <v>0</v>
      </c>
      <c r="BG85" s="1081">
        <f t="shared" si="148"/>
        <v>0</v>
      </c>
      <c r="BH85" s="1081">
        <f t="shared" si="148"/>
        <v>0</v>
      </c>
      <c r="BI85" s="1081">
        <f t="shared" si="148"/>
        <v>0</v>
      </c>
      <c r="BJ85" s="1081">
        <f t="shared" si="148"/>
        <v>0</v>
      </c>
      <c r="BK85" s="1081">
        <f t="shared" si="149"/>
        <v>0</v>
      </c>
      <c r="BL85" s="1081">
        <f t="shared" si="149"/>
        <v>0</v>
      </c>
      <c r="BM85" s="1081">
        <f t="shared" si="149"/>
        <v>0</v>
      </c>
      <c r="BN85" s="1081">
        <f t="shared" si="149"/>
        <v>0</v>
      </c>
      <c r="BO85" s="1081">
        <f t="shared" si="149"/>
        <v>0</v>
      </c>
      <c r="BP85" s="1081">
        <f t="shared" si="149"/>
        <v>0</v>
      </c>
      <c r="BQ85" s="1081">
        <f t="shared" si="149"/>
        <v>0</v>
      </c>
      <c r="BR85" s="1081">
        <f t="shared" si="149"/>
        <v>0</v>
      </c>
      <c r="BS85" s="1081">
        <f t="shared" si="149"/>
        <v>0</v>
      </c>
      <c r="BT85" s="1081">
        <f t="shared" si="149"/>
        <v>0</v>
      </c>
      <c r="BU85" s="1081">
        <f t="shared" si="150"/>
        <v>0</v>
      </c>
      <c r="BV85" s="1081">
        <f t="shared" si="150"/>
        <v>0</v>
      </c>
      <c r="BW85" s="1081">
        <f t="shared" si="150"/>
        <v>0</v>
      </c>
      <c r="BX85" s="1081">
        <f t="shared" si="150"/>
        <v>0</v>
      </c>
      <c r="BY85" s="1081">
        <f t="shared" si="150"/>
        <v>0</v>
      </c>
      <c r="BZ85" s="1081">
        <f t="shared" si="150"/>
        <v>0</v>
      </c>
      <c r="CA85" s="1081">
        <f t="shared" si="150"/>
        <v>0</v>
      </c>
      <c r="CB85" s="1081">
        <f t="shared" si="150"/>
        <v>0</v>
      </c>
      <c r="CC85" s="1081">
        <f t="shared" si="150"/>
        <v>0</v>
      </c>
      <c r="CD85" s="1081">
        <f t="shared" si="150"/>
        <v>0</v>
      </c>
      <c r="CE85" s="1081">
        <f t="shared" si="151"/>
        <v>0</v>
      </c>
      <c r="CF85" s="1081">
        <f t="shared" si="151"/>
        <v>0</v>
      </c>
      <c r="CG85" s="1081">
        <f t="shared" si="151"/>
        <v>0</v>
      </c>
      <c r="CH85" s="1081">
        <f t="shared" si="151"/>
        <v>0</v>
      </c>
      <c r="CI85" s="1081">
        <f t="shared" si="151"/>
        <v>0</v>
      </c>
      <c r="CJ85" s="1081">
        <f t="shared" si="151"/>
        <v>0</v>
      </c>
      <c r="CK85" s="1081">
        <f t="shared" si="151"/>
        <v>0</v>
      </c>
      <c r="CL85" s="1081">
        <f t="shared" si="151"/>
        <v>0</v>
      </c>
      <c r="CM85" s="1081">
        <f t="shared" si="151"/>
        <v>0</v>
      </c>
      <c r="CN85" s="1081">
        <f t="shared" si="151"/>
        <v>0</v>
      </c>
      <c r="CO85" s="1081">
        <f t="shared" si="152"/>
        <v>0</v>
      </c>
      <c r="CP85" s="1090">
        <f t="shared" si="152"/>
        <v>0</v>
      </c>
      <c r="CQ85" s="1081">
        <f t="shared" si="152"/>
        <v>0</v>
      </c>
      <c r="CR85" s="1081">
        <f t="shared" si="152"/>
        <v>0</v>
      </c>
      <c r="CS85" s="1081">
        <f t="shared" si="152"/>
        <v>0</v>
      </c>
      <c r="CT85" s="1081">
        <f t="shared" si="152"/>
        <v>0</v>
      </c>
      <c r="CU85" s="1081">
        <f t="shared" si="152"/>
        <v>0</v>
      </c>
      <c r="CV85" s="1081">
        <f t="shared" si="152"/>
        <v>0</v>
      </c>
      <c r="CW85" s="1081">
        <f t="shared" si="152"/>
        <v>0</v>
      </c>
      <c r="CX85" s="1081">
        <f t="shared" si="152"/>
        <v>0</v>
      </c>
      <c r="CY85" s="1081">
        <f t="shared" si="152"/>
        <v>1460</v>
      </c>
      <c r="CZ85" s="1081">
        <f t="shared" si="153"/>
        <v>1560</v>
      </c>
      <c r="DA85" s="1081">
        <f t="shared" si="153"/>
        <v>1700</v>
      </c>
      <c r="DB85" s="1081">
        <f t="shared" si="153"/>
        <v>1930</v>
      </c>
      <c r="DC85" s="1081">
        <f t="shared" si="153"/>
        <v>2360</v>
      </c>
      <c r="DD85" s="1081">
        <f t="shared" si="153"/>
        <v>3000</v>
      </c>
      <c r="DE85" s="1081">
        <f t="shared" si="153"/>
        <v>0</v>
      </c>
      <c r="DF85" s="1081">
        <f t="shared" si="153"/>
        <v>0</v>
      </c>
      <c r="DG85" s="1818"/>
      <c r="DH85" s="1818"/>
      <c r="DI85" s="1818"/>
      <c r="DJ85" s="1819"/>
    </row>
    <row r="86" spans="1:114" ht="15.95" customHeight="1">
      <c r="A86" s="70" t="s">
        <v>2</v>
      </c>
      <c r="B86" s="5">
        <f>MATCH($A86,'Bearing Data'!$A$2:$Y$2,0)</f>
        <v>21</v>
      </c>
      <c r="C86" s="1081">
        <f t="shared" si="143"/>
        <v>19900</v>
      </c>
      <c r="D86" s="1081">
        <f t="shared" si="143"/>
        <v>31900</v>
      </c>
      <c r="E86" s="1081">
        <f t="shared" si="143"/>
        <v>33800</v>
      </c>
      <c r="F86" s="1081">
        <f t="shared" si="143"/>
        <v>54000</v>
      </c>
      <c r="G86" s="1081">
        <f t="shared" si="143"/>
        <v>22900</v>
      </c>
      <c r="H86" s="1081">
        <f t="shared" si="143"/>
        <v>32500</v>
      </c>
      <c r="I86" s="1081">
        <f t="shared" si="143"/>
        <v>39000</v>
      </c>
      <c r="J86" s="1081">
        <f t="shared" si="143"/>
        <v>63700</v>
      </c>
      <c r="K86" s="1081">
        <f t="shared" si="143"/>
        <v>26500</v>
      </c>
      <c r="L86" s="1081">
        <f t="shared" si="143"/>
        <v>33800</v>
      </c>
      <c r="M86" s="1081">
        <f t="shared" si="144"/>
        <v>43600</v>
      </c>
      <c r="N86" s="1081">
        <f t="shared" si="144"/>
        <v>63700</v>
      </c>
      <c r="O86" s="1081">
        <f t="shared" si="144"/>
        <v>27600</v>
      </c>
      <c r="P86" s="1081">
        <f t="shared" si="144"/>
        <v>39000</v>
      </c>
      <c r="Q86" s="1081">
        <f t="shared" si="144"/>
        <v>50700</v>
      </c>
      <c r="R86" s="1081">
        <f t="shared" si="144"/>
        <v>76100</v>
      </c>
      <c r="S86" s="1081">
        <f t="shared" si="144"/>
        <v>31200</v>
      </c>
      <c r="T86" s="1081">
        <f t="shared" si="144"/>
        <v>48800</v>
      </c>
      <c r="U86" s="1081">
        <f t="shared" si="144"/>
        <v>156000</v>
      </c>
      <c r="V86" s="1081">
        <f t="shared" si="144"/>
        <v>58500</v>
      </c>
      <c r="W86" s="1081">
        <f t="shared" si="145"/>
        <v>87100</v>
      </c>
      <c r="X86" s="1081">
        <f t="shared" si="145"/>
        <v>212000</v>
      </c>
      <c r="Y86" s="1081">
        <f t="shared" si="145"/>
        <v>310000</v>
      </c>
      <c r="Z86" s="1081">
        <f t="shared" si="145"/>
        <v>35100</v>
      </c>
      <c r="AA86" s="1081">
        <f t="shared" si="145"/>
        <v>57200</v>
      </c>
      <c r="AB86" s="1081">
        <f t="shared" si="145"/>
        <v>193000</v>
      </c>
      <c r="AC86" s="1081">
        <f t="shared" si="145"/>
        <v>65000</v>
      </c>
      <c r="AD86" s="1081">
        <f t="shared" si="145"/>
        <v>95600</v>
      </c>
      <c r="AE86" s="1081">
        <f t="shared" si="145"/>
        <v>236000</v>
      </c>
      <c r="AF86" s="1081">
        <f t="shared" si="145"/>
        <v>340000</v>
      </c>
      <c r="AG86" s="1081">
        <f t="shared" si="146"/>
        <v>39000</v>
      </c>
      <c r="AH86" s="1081">
        <f t="shared" si="146"/>
        <v>58500</v>
      </c>
      <c r="AI86" s="1081">
        <f t="shared" si="146"/>
        <v>212000</v>
      </c>
      <c r="AJ86" s="1081">
        <f t="shared" si="146"/>
        <v>79300</v>
      </c>
      <c r="AK86" s="1081">
        <f t="shared" si="146"/>
        <v>124000</v>
      </c>
      <c r="AL86" s="1081">
        <f t="shared" si="146"/>
        <v>285000</v>
      </c>
      <c r="AM86" s="1081">
        <f t="shared" si="146"/>
        <v>440000</v>
      </c>
      <c r="AN86" s="1081">
        <f t="shared" si="146"/>
        <v>39700</v>
      </c>
      <c r="AO86" s="1081">
        <f t="shared" si="146"/>
        <v>65000</v>
      </c>
      <c r="AP86" s="1081">
        <f t="shared" si="146"/>
        <v>236000</v>
      </c>
      <c r="AQ86" s="1081">
        <f t="shared" si="147"/>
        <v>88400</v>
      </c>
      <c r="AR86" s="1081">
        <f t="shared" si="147"/>
        <v>135000</v>
      </c>
      <c r="AS86" s="1081">
        <f t="shared" si="147"/>
        <v>325000</v>
      </c>
      <c r="AT86" s="1081">
        <f t="shared" si="147"/>
        <v>490000</v>
      </c>
      <c r="AU86" s="1081">
        <f t="shared" si="147"/>
        <v>48800</v>
      </c>
      <c r="AV86" s="1081">
        <f t="shared" si="147"/>
        <v>58500</v>
      </c>
      <c r="AW86" s="1081">
        <f t="shared" si="147"/>
        <v>58500</v>
      </c>
      <c r="AX86" s="1081">
        <f t="shared" si="147"/>
        <v>285000</v>
      </c>
      <c r="AY86" s="1081">
        <f t="shared" si="147"/>
        <v>285000</v>
      </c>
      <c r="AZ86" s="1081">
        <f t="shared" si="147"/>
        <v>97500</v>
      </c>
      <c r="BA86" s="1081">
        <f t="shared" si="148"/>
        <v>140000</v>
      </c>
      <c r="BB86" s="1081">
        <f t="shared" si="148"/>
        <v>325000</v>
      </c>
      <c r="BC86" s="1081">
        <f t="shared" si="148"/>
        <v>550000</v>
      </c>
      <c r="BD86" s="1081">
        <f t="shared" si="148"/>
        <v>57200</v>
      </c>
      <c r="BE86" s="1081">
        <f t="shared" si="148"/>
        <v>70200</v>
      </c>
      <c r="BF86" s="1081">
        <f t="shared" si="148"/>
        <v>70200</v>
      </c>
      <c r="BG86" s="1081">
        <f t="shared" si="148"/>
        <v>325000</v>
      </c>
      <c r="BH86" s="1081">
        <f t="shared" si="148"/>
        <v>325000</v>
      </c>
      <c r="BI86" s="1081">
        <f t="shared" si="148"/>
        <v>355000</v>
      </c>
      <c r="BJ86" s="1081">
        <f t="shared" si="148"/>
        <v>117000</v>
      </c>
      <c r="BK86" s="1081">
        <f t="shared" si="149"/>
        <v>153000</v>
      </c>
      <c r="BL86" s="1081">
        <f t="shared" si="149"/>
        <v>610000</v>
      </c>
      <c r="BM86" s="1081">
        <f t="shared" si="149"/>
        <v>63700</v>
      </c>
      <c r="BN86" s="1081">
        <f t="shared" si="149"/>
        <v>83200</v>
      </c>
      <c r="BO86" s="1081">
        <f t="shared" si="149"/>
        <v>380000</v>
      </c>
      <c r="BP86" s="1081">
        <f t="shared" si="149"/>
        <v>133000</v>
      </c>
      <c r="BQ86" s="1081">
        <f t="shared" si="149"/>
        <v>165000</v>
      </c>
      <c r="BR86" s="1081">
        <f t="shared" si="149"/>
        <v>425000</v>
      </c>
      <c r="BS86" s="1081">
        <f t="shared" si="149"/>
        <v>670000</v>
      </c>
      <c r="BT86" s="1081">
        <f t="shared" si="149"/>
        <v>68900</v>
      </c>
      <c r="BU86" s="1081">
        <f t="shared" si="150"/>
        <v>97500</v>
      </c>
      <c r="BV86" s="1081">
        <f t="shared" si="150"/>
        <v>425000</v>
      </c>
      <c r="BW86" s="1081">
        <f t="shared" si="150"/>
        <v>425000</v>
      </c>
      <c r="BX86" s="1081">
        <f t="shared" si="150"/>
        <v>475000</v>
      </c>
      <c r="BY86" s="1081">
        <f t="shared" si="150"/>
        <v>143000</v>
      </c>
      <c r="BZ86" s="1081">
        <f t="shared" si="150"/>
        <v>190000</v>
      </c>
      <c r="CA86" s="1081">
        <f t="shared" si="150"/>
        <v>425000</v>
      </c>
      <c r="CB86" s="1081">
        <f t="shared" si="150"/>
        <v>815000</v>
      </c>
      <c r="CC86" s="1081">
        <f t="shared" si="150"/>
        <v>88400</v>
      </c>
      <c r="CD86" s="1081">
        <f t="shared" si="150"/>
        <v>124000</v>
      </c>
      <c r="CE86" s="1081">
        <f t="shared" si="151"/>
        <v>560000</v>
      </c>
      <c r="CF86" s="1081">
        <f t="shared" si="151"/>
        <v>560000</v>
      </c>
      <c r="CG86" s="1081">
        <f t="shared" si="151"/>
        <v>600000</v>
      </c>
      <c r="CH86" s="1081">
        <f t="shared" si="151"/>
        <v>163000</v>
      </c>
      <c r="CI86" s="1081">
        <f t="shared" si="151"/>
        <v>950000</v>
      </c>
      <c r="CJ86" s="1081">
        <f t="shared" si="151"/>
        <v>630000</v>
      </c>
      <c r="CK86" s="1081">
        <f t="shared" si="151"/>
        <v>630000</v>
      </c>
      <c r="CL86" s="1081">
        <f t="shared" si="151"/>
        <v>695000</v>
      </c>
      <c r="CM86" s="1081">
        <f t="shared" si="151"/>
        <v>735000</v>
      </c>
      <c r="CN86" s="1081">
        <f t="shared" si="151"/>
        <v>735000</v>
      </c>
      <c r="CO86" s="1081">
        <f t="shared" si="152"/>
        <v>780000</v>
      </c>
      <c r="CP86" s="1090">
        <f t="shared" si="152"/>
        <v>710000</v>
      </c>
      <c r="CQ86" s="1081">
        <f t="shared" si="152"/>
        <v>710000</v>
      </c>
      <c r="CR86" s="1081">
        <f t="shared" si="152"/>
        <v>915000</v>
      </c>
      <c r="CS86" s="1081">
        <f t="shared" si="152"/>
        <v>850000</v>
      </c>
      <c r="CT86" s="1081">
        <f t="shared" si="152"/>
        <v>850000</v>
      </c>
      <c r="CU86" s="1081">
        <f t="shared" si="152"/>
        <v>1080000</v>
      </c>
      <c r="CV86" s="1081">
        <f t="shared" si="152"/>
        <v>1000000</v>
      </c>
      <c r="CW86" s="1081">
        <f t="shared" si="152"/>
        <v>1000000</v>
      </c>
      <c r="CX86" s="1081">
        <f t="shared" si="152"/>
        <v>1220000</v>
      </c>
      <c r="CY86" s="1081">
        <f t="shared" si="152"/>
        <v>1120000</v>
      </c>
      <c r="CZ86" s="1081">
        <f t="shared" si="153"/>
        <v>1180000</v>
      </c>
      <c r="DA86" s="1081">
        <f t="shared" si="153"/>
        <v>1270000</v>
      </c>
      <c r="DB86" s="1081">
        <f t="shared" si="153"/>
        <v>1460000</v>
      </c>
      <c r="DC86" s="1081">
        <f t="shared" si="153"/>
        <v>1760000</v>
      </c>
      <c r="DD86" s="1081">
        <f t="shared" si="153"/>
        <v>2200000</v>
      </c>
      <c r="DE86" s="1081">
        <f t="shared" si="153"/>
        <v>0</v>
      </c>
      <c r="DF86" s="1081">
        <f t="shared" si="153"/>
        <v>0</v>
      </c>
      <c r="DG86" s="2"/>
      <c r="DH86" s="2"/>
      <c r="DI86" s="2"/>
      <c r="DJ86" s="1815"/>
    </row>
    <row r="87" spans="1:114" ht="15.95" customHeight="1">
      <c r="A87" s="70" t="s">
        <v>226</v>
      </c>
      <c r="B87" s="5">
        <f>MATCH($A87,'Bearing Data'!$A$2:$Y$2,0)</f>
        <v>23</v>
      </c>
      <c r="C87" s="1081">
        <f t="shared" si="143"/>
        <v>7699.9999999999991</v>
      </c>
      <c r="D87" s="1081">
        <f t="shared" si="143"/>
        <v>7699.9999999999991</v>
      </c>
      <c r="E87" s="1081">
        <f t="shared" si="143"/>
        <v>6650</v>
      </c>
      <c r="F87" s="1081">
        <f t="shared" si="143"/>
        <v>7000</v>
      </c>
      <c r="G87" s="1081">
        <f t="shared" si="143"/>
        <v>7699.9999999999991</v>
      </c>
      <c r="H87" s="1081">
        <f t="shared" si="143"/>
        <v>7000</v>
      </c>
      <c r="I87" s="1081">
        <f t="shared" si="143"/>
        <v>5950</v>
      </c>
      <c r="J87" s="1081">
        <f t="shared" si="143"/>
        <v>6300</v>
      </c>
      <c r="K87" s="1081">
        <f t="shared" si="143"/>
        <v>7000</v>
      </c>
      <c r="L87" s="1081">
        <f t="shared" si="143"/>
        <v>6650</v>
      </c>
      <c r="M87" s="1081">
        <f t="shared" si="144"/>
        <v>5600</v>
      </c>
      <c r="N87" s="1081">
        <f t="shared" si="144"/>
        <v>6650</v>
      </c>
      <c r="O87" s="1081">
        <f t="shared" si="144"/>
        <v>6300</v>
      </c>
      <c r="P87" s="1081">
        <f t="shared" si="144"/>
        <v>5950</v>
      </c>
      <c r="Q87" s="1081">
        <f t="shared" si="144"/>
        <v>5250</v>
      </c>
      <c r="R87" s="1081">
        <f t="shared" si="144"/>
        <v>5250</v>
      </c>
      <c r="S87" s="1081">
        <f t="shared" si="144"/>
        <v>5950</v>
      </c>
      <c r="T87" s="1081">
        <f t="shared" si="144"/>
        <v>5600</v>
      </c>
      <c r="U87" s="1081">
        <f t="shared" si="144"/>
        <v>3919.9999999999995</v>
      </c>
      <c r="V87" s="1081">
        <f t="shared" si="144"/>
        <v>4410</v>
      </c>
      <c r="W87" s="1081">
        <f t="shared" si="145"/>
        <v>4900</v>
      </c>
      <c r="X87" s="1081">
        <f t="shared" si="145"/>
        <v>3360</v>
      </c>
      <c r="Y87" s="1081">
        <f t="shared" si="145"/>
        <v>2800</v>
      </c>
      <c r="Z87" s="1081">
        <f t="shared" si="145"/>
        <v>4900</v>
      </c>
      <c r="AA87" s="1081">
        <f t="shared" si="145"/>
        <v>4900</v>
      </c>
      <c r="AB87" s="1081">
        <f t="shared" si="145"/>
        <v>3500</v>
      </c>
      <c r="AC87" s="1081">
        <f t="shared" si="145"/>
        <v>4200</v>
      </c>
      <c r="AD87" s="1081">
        <f t="shared" si="145"/>
        <v>4410</v>
      </c>
      <c r="AE87" s="1081">
        <f t="shared" si="145"/>
        <v>3010</v>
      </c>
      <c r="AF87" s="1081">
        <f t="shared" si="145"/>
        <v>2660</v>
      </c>
      <c r="AG87" s="1081">
        <f t="shared" si="146"/>
        <v>4690</v>
      </c>
      <c r="AH87" s="1081">
        <f t="shared" si="146"/>
        <v>4410</v>
      </c>
      <c r="AI87" s="1081">
        <f t="shared" si="146"/>
        <v>3360</v>
      </c>
      <c r="AJ87" s="1081">
        <f t="shared" si="146"/>
        <v>3919.9999999999995</v>
      </c>
      <c r="AK87" s="1081">
        <f t="shared" si="146"/>
        <v>3919.9999999999995</v>
      </c>
      <c r="AL87" s="1081">
        <f t="shared" si="146"/>
        <v>2800</v>
      </c>
      <c r="AM87" s="1081">
        <f t="shared" si="146"/>
        <v>2240</v>
      </c>
      <c r="AN87" s="1081">
        <f t="shared" si="146"/>
        <v>4200</v>
      </c>
      <c r="AO87" s="1081">
        <f t="shared" si="146"/>
        <v>4200</v>
      </c>
      <c r="AP87" s="1081">
        <f t="shared" si="146"/>
        <v>3010</v>
      </c>
      <c r="AQ87" s="1081">
        <f t="shared" si="147"/>
        <v>3709.9999999999995</v>
      </c>
      <c r="AR87" s="1081">
        <f t="shared" si="147"/>
        <v>3709.9999999999995</v>
      </c>
      <c r="AS87" s="1081">
        <f t="shared" si="147"/>
        <v>2660</v>
      </c>
      <c r="AT87" s="1081">
        <f t="shared" si="147"/>
        <v>2100</v>
      </c>
      <c r="AU87" s="1081">
        <f t="shared" si="147"/>
        <v>3919.9999999999995</v>
      </c>
      <c r="AV87" s="1081">
        <f t="shared" si="147"/>
        <v>3919.9999999999995</v>
      </c>
      <c r="AW87" s="1081">
        <f t="shared" si="147"/>
        <v>4200</v>
      </c>
      <c r="AX87" s="1081">
        <f t="shared" si="147"/>
        <v>2800</v>
      </c>
      <c r="AY87" s="1081">
        <f t="shared" si="147"/>
        <v>3000</v>
      </c>
      <c r="AZ87" s="1081">
        <f t="shared" si="147"/>
        <v>3360</v>
      </c>
      <c r="BA87" s="1081">
        <f t="shared" si="148"/>
        <v>3360</v>
      </c>
      <c r="BB87" s="1081">
        <f t="shared" si="148"/>
        <v>2660</v>
      </c>
      <c r="BC87" s="1081">
        <f t="shared" si="148"/>
        <v>1959.9999999999998</v>
      </c>
      <c r="BD87" s="1081">
        <f t="shared" si="148"/>
        <v>3709.9999999999995</v>
      </c>
      <c r="BE87" s="1081">
        <f t="shared" si="148"/>
        <v>3709.9999999999995</v>
      </c>
      <c r="BF87" s="1081">
        <f t="shared" si="148"/>
        <v>3975</v>
      </c>
      <c r="BG87" s="1081">
        <f t="shared" si="148"/>
        <v>2660</v>
      </c>
      <c r="BH87" s="1081">
        <f t="shared" si="148"/>
        <v>2850</v>
      </c>
      <c r="BI87" s="1081">
        <f t="shared" si="148"/>
        <v>1959.9999999999998</v>
      </c>
      <c r="BJ87" s="1081">
        <f t="shared" si="148"/>
        <v>3150</v>
      </c>
      <c r="BK87" s="1081">
        <f t="shared" si="149"/>
        <v>3150</v>
      </c>
      <c r="BL87" s="1081">
        <f t="shared" si="149"/>
        <v>1819.9999999999998</v>
      </c>
      <c r="BM87" s="1081">
        <f t="shared" si="149"/>
        <v>3500</v>
      </c>
      <c r="BN87" s="1081">
        <f t="shared" si="149"/>
        <v>3500</v>
      </c>
      <c r="BO87" s="1081">
        <f t="shared" si="149"/>
        <v>2520</v>
      </c>
      <c r="BP87" s="1081">
        <f t="shared" si="149"/>
        <v>3010</v>
      </c>
      <c r="BQ87" s="1081">
        <f t="shared" si="149"/>
        <v>3150</v>
      </c>
      <c r="BR87" s="1081">
        <f t="shared" si="149"/>
        <v>2380</v>
      </c>
      <c r="BS87" s="1081">
        <f t="shared" si="149"/>
        <v>1819.9999999999998</v>
      </c>
      <c r="BT87" s="1081">
        <f t="shared" si="149"/>
        <v>3360</v>
      </c>
      <c r="BU87" s="1081">
        <f t="shared" si="150"/>
        <v>3360</v>
      </c>
      <c r="BV87" s="1081">
        <f t="shared" si="150"/>
        <v>2380</v>
      </c>
      <c r="BW87" s="1081">
        <f t="shared" si="150"/>
        <v>2550</v>
      </c>
      <c r="BX87" s="1081">
        <f t="shared" si="150"/>
        <v>1680</v>
      </c>
      <c r="BY87" s="1081">
        <f t="shared" si="150"/>
        <v>2800</v>
      </c>
      <c r="BZ87" s="1081">
        <f t="shared" si="150"/>
        <v>2800</v>
      </c>
      <c r="CA87" s="1081">
        <f t="shared" si="150"/>
        <v>2380</v>
      </c>
      <c r="CB87" s="1081">
        <f t="shared" si="150"/>
        <v>1680</v>
      </c>
      <c r="CC87" s="1081">
        <f t="shared" si="150"/>
        <v>3010</v>
      </c>
      <c r="CD87" s="1081">
        <f t="shared" si="150"/>
        <v>3010</v>
      </c>
      <c r="CE87" s="1081">
        <f t="shared" si="151"/>
        <v>2100</v>
      </c>
      <c r="CF87" s="1081">
        <f t="shared" si="151"/>
        <v>2250</v>
      </c>
      <c r="CG87" s="1081">
        <f t="shared" si="151"/>
        <v>1540</v>
      </c>
      <c r="CH87" s="1081">
        <f t="shared" si="151"/>
        <v>2520</v>
      </c>
      <c r="CI87" s="1081">
        <f t="shared" si="151"/>
        <v>1400</v>
      </c>
      <c r="CJ87" s="1081">
        <f t="shared" si="151"/>
        <v>1959.9999999999998</v>
      </c>
      <c r="CK87" s="1081">
        <f t="shared" si="151"/>
        <v>2100</v>
      </c>
      <c r="CL87" s="1081">
        <f t="shared" si="151"/>
        <v>1400</v>
      </c>
      <c r="CM87" s="1081">
        <f t="shared" si="151"/>
        <v>1819.9999999999998</v>
      </c>
      <c r="CN87" s="1081">
        <f t="shared" si="151"/>
        <v>1950</v>
      </c>
      <c r="CO87" s="1081">
        <f t="shared" si="152"/>
        <v>1330</v>
      </c>
      <c r="CP87" s="1090">
        <f t="shared" si="152"/>
        <v>1680</v>
      </c>
      <c r="CQ87" s="1081">
        <v>1800</v>
      </c>
      <c r="CR87" s="1081">
        <f t="shared" si="152"/>
        <v>1190</v>
      </c>
      <c r="CS87" s="1081">
        <f t="shared" si="152"/>
        <v>1540</v>
      </c>
      <c r="CT87" s="1081">
        <f t="shared" si="152"/>
        <v>1650</v>
      </c>
      <c r="CU87" s="1081">
        <f t="shared" si="152"/>
        <v>1120</v>
      </c>
      <c r="CV87" s="1081">
        <f t="shared" si="152"/>
        <v>1400</v>
      </c>
      <c r="CW87" s="1081">
        <f t="shared" si="152"/>
        <v>1500</v>
      </c>
      <c r="CX87" s="1081">
        <f t="shared" si="152"/>
        <v>1050</v>
      </c>
      <c r="CY87" s="1081">
        <f t="shared" si="152"/>
        <v>1819.9999999999998</v>
      </c>
      <c r="CZ87" s="1081">
        <f t="shared" si="153"/>
        <v>1819.9999999999998</v>
      </c>
      <c r="DA87" s="1081">
        <f t="shared" si="153"/>
        <v>1680</v>
      </c>
      <c r="DB87" s="1081">
        <f t="shared" si="153"/>
        <v>1540</v>
      </c>
      <c r="DC87" s="1081">
        <f t="shared" si="153"/>
        <v>1400</v>
      </c>
      <c r="DD87" s="1081">
        <f t="shared" si="153"/>
        <v>1260</v>
      </c>
      <c r="DE87" s="1081">
        <f t="shared" si="153"/>
        <v>0</v>
      </c>
      <c r="DF87" s="1081">
        <f t="shared" si="153"/>
        <v>0</v>
      </c>
      <c r="DG87" s="2"/>
      <c r="DH87" s="2"/>
      <c r="DI87" s="2"/>
      <c r="DJ87" s="1815"/>
    </row>
    <row r="88" spans="1:114" s="75" customFormat="1" ht="15.95" customHeight="1" thickBot="1">
      <c r="A88" s="1104" t="s">
        <v>13</v>
      </c>
      <c r="B88" s="50">
        <f>MATCH($A88,'Bearing Data'!$A$2:$Y$2,0)</f>
        <v>24</v>
      </c>
      <c r="C88" s="1105">
        <f t="shared" si="143"/>
        <v>3</v>
      </c>
      <c r="D88" s="1105">
        <f t="shared" si="143"/>
        <v>3</v>
      </c>
      <c r="E88" s="1105">
        <f t="shared" si="143"/>
        <v>3</v>
      </c>
      <c r="F88" s="1105">
        <f t="shared" si="143"/>
        <v>3</v>
      </c>
      <c r="G88" s="1105">
        <f t="shared" si="143"/>
        <v>3</v>
      </c>
      <c r="H88" s="1105">
        <f t="shared" si="143"/>
        <v>3</v>
      </c>
      <c r="I88" s="1105">
        <f t="shared" si="143"/>
        <v>3</v>
      </c>
      <c r="J88" s="1105">
        <f t="shared" si="143"/>
        <v>3</v>
      </c>
      <c r="K88" s="1105">
        <f t="shared" si="143"/>
        <v>3</v>
      </c>
      <c r="L88" s="1105">
        <f t="shared" si="143"/>
        <v>3</v>
      </c>
      <c r="M88" s="1105">
        <f t="shared" si="144"/>
        <v>3</v>
      </c>
      <c r="N88" s="1105">
        <f t="shared" si="144"/>
        <v>3</v>
      </c>
      <c r="O88" s="1105">
        <f t="shared" si="144"/>
        <v>3</v>
      </c>
      <c r="P88" s="1105">
        <f t="shared" si="144"/>
        <v>3</v>
      </c>
      <c r="Q88" s="1105">
        <f t="shared" si="144"/>
        <v>3</v>
      </c>
      <c r="R88" s="1105">
        <f t="shared" si="144"/>
        <v>3</v>
      </c>
      <c r="S88" s="1105">
        <f t="shared" si="144"/>
        <v>3</v>
      </c>
      <c r="T88" s="1105">
        <f t="shared" si="144"/>
        <v>3</v>
      </c>
      <c r="U88" s="1105">
        <f t="shared" si="144"/>
        <v>3.3333333333333335</v>
      </c>
      <c r="V88" s="1105">
        <f t="shared" si="144"/>
        <v>3</v>
      </c>
      <c r="W88" s="1105">
        <f t="shared" si="145"/>
        <v>3</v>
      </c>
      <c r="X88" s="1105">
        <f t="shared" si="145"/>
        <v>3.3333333333333335</v>
      </c>
      <c r="Y88" s="1105">
        <f t="shared" si="145"/>
        <v>3.3333333333333335</v>
      </c>
      <c r="Z88" s="1105">
        <f t="shared" si="145"/>
        <v>3</v>
      </c>
      <c r="AA88" s="1105">
        <f t="shared" si="145"/>
        <v>3</v>
      </c>
      <c r="AB88" s="1105">
        <f t="shared" si="145"/>
        <v>3.3333333333333335</v>
      </c>
      <c r="AC88" s="1105">
        <f t="shared" si="145"/>
        <v>3</v>
      </c>
      <c r="AD88" s="1105">
        <f t="shared" si="145"/>
        <v>3</v>
      </c>
      <c r="AE88" s="1105">
        <f t="shared" si="145"/>
        <v>3.3333333333333335</v>
      </c>
      <c r="AF88" s="1105">
        <f t="shared" si="145"/>
        <v>3.3333333333333335</v>
      </c>
      <c r="AG88" s="1105">
        <f t="shared" si="146"/>
        <v>3</v>
      </c>
      <c r="AH88" s="1105">
        <f t="shared" si="146"/>
        <v>3</v>
      </c>
      <c r="AI88" s="1105">
        <f t="shared" si="146"/>
        <v>3.3333333333333335</v>
      </c>
      <c r="AJ88" s="1105">
        <f t="shared" si="146"/>
        <v>3</v>
      </c>
      <c r="AK88" s="1105">
        <f t="shared" si="146"/>
        <v>3</v>
      </c>
      <c r="AL88" s="1105">
        <f t="shared" si="146"/>
        <v>3.3333333333333335</v>
      </c>
      <c r="AM88" s="1105">
        <f t="shared" si="146"/>
        <v>3.3333333333333335</v>
      </c>
      <c r="AN88" s="1105">
        <f t="shared" si="146"/>
        <v>3</v>
      </c>
      <c r="AO88" s="1105">
        <f t="shared" si="146"/>
        <v>3</v>
      </c>
      <c r="AP88" s="1105">
        <f t="shared" si="146"/>
        <v>3.3333333333333335</v>
      </c>
      <c r="AQ88" s="1105">
        <f t="shared" si="147"/>
        <v>3</v>
      </c>
      <c r="AR88" s="1105">
        <f t="shared" si="147"/>
        <v>3</v>
      </c>
      <c r="AS88" s="1105">
        <f t="shared" si="147"/>
        <v>3.3333333333333335</v>
      </c>
      <c r="AT88" s="1105">
        <f t="shared" si="147"/>
        <v>3.3333333333333335</v>
      </c>
      <c r="AU88" s="1105">
        <f t="shared" si="147"/>
        <v>3</v>
      </c>
      <c r="AV88" s="1105">
        <f t="shared" si="147"/>
        <v>3</v>
      </c>
      <c r="AW88" s="1105">
        <f t="shared" si="147"/>
        <v>3</v>
      </c>
      <c r="AX88" s="1105">
        <f t="shared" si="147"/>
        <v>3</v>
      </c>
      <c r="AY88" s="1105">
        <f t="shared" si="147"/>
        <v>3.3333333333333335</v>
      </c>
      <c r="AZ88" s="1105">
        <f t="shared" si="147"/>
        <v>3</v>
      </c>
      <c r="BA88" s="1105">
        <f t="shared" si="148"/>
        <v>3</v>
      </c>
      <c r="BB88" s="1105">
        <f t="shared" si="148"/>
        <v>3.3333333333333335</v>
      </c>
      <c r="BC88" s="1105">
        <f t="shared" si="148"/>
        <v>3.3333333333333335</v>
      </c>
      <c r="BD88" s="1105">
        <f t="shared" si="148"/>
        <v>3</v>
      </c>
      <c r="BE88" s="1105">
        <f t="shared" si="148"/>
        <v>3</v>
      </c>
      <c r="BF88" s="1105">
        <f t="shared" si="148"/>
        <v>3</v>
      </c>
      <c r="BG88" s="1105">
        <f t="shared" si="148"/>
        <v>3.3333333333333335</v>
      </c>
      <c r="BH88" s="1105">
        <f t="shared" si="148"/>
        <v>3.3333333333333335</v>
      </c>
      <c r="BI88" s="1105">
        <f t="shared" si="148"/>
        <v>3.3333333333333335</v>
      </c>
      <c r="BJ88" s="1105">
        <f t="shared" si="148"/>
        <v>3</v>
      </c>
      <c r="BK88" s="1105">
        <f t="shared" si="149"/>
        <v>3</v>
      </c>
      <c r="BL88" s="1105">
        <f t="shared" si="149"/>
        <v>3.3333333333333335</v>
      </c>
      <c r="BM88" s="1105">
        <f t="shared" si="149"/>
        <v>3</v>
      </c>
      <c r="BN88" s="1105">
        <f t="shared" si="149"/>
        <v>3</v>
      </c>
      <c r="BO88" s="1105">
        <f t="shared" si="149"/>
        <v>3.3333333333333335</v>
      </c>
      <c r="BP88" s="1105">
        <f t="shared" si="149"/>
        <v>3</v>
      </c>
      <c r="BQ88" s="1105">
        <f t="shared" si="149"/>
        <v>3</v>
      </c>
      <c r="BR88" s="1105">
        <f t="shared" si="149"/>
        <v>3.3333333333333335</v>
      </c>
      <c r="BS88" s="1105">
        <f t="shared" si="149"/>
        <v>3.3333333333333335</v>
      </c>
      <c r="BT88" s="1105">
        <f t="shared" si="149"/>
        <v>3</v>
      </c>
      <c r="BU88" s="1105">
        <f t="shared" si="150"/>
        <v>3</v>
      </c>
      <c r="BV88" s="1105">
        <f t="shared" si="150"/>
        <v>3.3333333333333335</v>
      </c>
      <c r="BW88" s="1105">
        <f t="shared" si="150"/>
        <v>3.3333333333333335</v>
      </c>
      <c r="BX88" s="1105">
        <f t="shared" si="150"/>
        <v>3.3333333333333335</v>
      </c>
      <c r="BY88" s="1105">
        <f t="shared" si="150"/>
        <v>3</v>
      </c>
      <c r="BZ88" s="1105">
        <f t="shared" si="150"/>
        <v>3</v>
      </c>
      <c r="CA88" s="1105">
        <f t="shared" si="150"/>
        <v>3.3333333333333335</v>
      </c>
      <c r="CB88" s="1105">
        <f t="shared" si="150"/>
        <v>3.3333333333333335</v>
      </c>
      <c r="CC88" s="1105">
        <f t="shared" si="150"/>
        <v>3</v>
      </c>
      <c r="CD88" s="1105">
        <f t="shared" si="150"/>
        <v>3</v>
      </c>
      <c r="CE88" s="1105">
        <f t="shared" si="151"/>
        <v>3.3333333333333335</v>
      </c>
      <c r="CF88" s="1105">
        <f t="shared" si="151"/>
        <v>3.3333333333333335</v>
      </c>
      <c r="CG88" s="1105">
        <f t="shared" si="151"/>
        <v>3.3333333333333335</v>
      </c>
      <c r="CH88" s="1105">
        <f t="shared" si="151"/>
        <v>3</v>
      </c>
      <c r="CI88" s="1105">
        <f t="shared" si="151"/>
        <v>3.3333333333333335</v>
      </c>
      <c r="CJ88" s="1105">
        <f t="shared" si="151"/>
        <v>3.3333333333333335</v>
      </c>
      <c r="CK88" s="1105">
        <f t="shared" si="151"/>
        <v>3.3333333333333335</v>
      </c>
      <c r="CL88" s="1105">
        <f t="shared" si="151"/>
        <v>3.3333333333333335</v>
      </c>
      <c r="CM88" s="1105">
        <f t="shared" si="151"/>
        <v>3.3333333333333335</v>
      </c>
      <c r="CN88" s="1105">
        <f t="shared" si="151"/>
        <v>3.3333333333333335</v>
      </c>
      <c r="CO88" s="1105">
        <f t="shared" si="152"/>
        <v>3.3333333333333335</v>
      </c>
      <c r="CP88" s="1106">
        <f t="shared" si="152"/>
        <v>3.3333333333333335</v>
      </c>
      <c r="CQ88" s="1105">
        <f t="shared" si="152"/>
        <v>3.3333333333333335</v>
      </c>
      <c r="CR88" s="1105">
        <f t="shared" si="152"/>
        <v>3.3333333333333335</v>
      </c>
      <c r="CS88" s="1105">
        <f t="shared" si="152"/>
        <v>3.3333333333333335</v>
      </c>
      <c r="CT88" s="1105">
        <f t="shared" si="152"/>
        <v>3.3333333333333335</v>
      </c>
      <c r="CU88" s="1105">
        <f t="shared" si="152"/>
        <v>3.3333333333333335</v>
      </c>
      <c r="CV88" s="1105">
        <f t="shared" si="152"/>
        <v>3.3333333333333335</v>
      </c>
      <c r="CW88" s="1105">
        <f t="shared" si="152"/>
        <v>3.3333333333333335</v>
      </c>
      <c r="CX88" s="1105">
        <f t="shared" si="152"/>
        <v>3.3333333333333335</v>
      </c>
      <c r="CY88" s="1105">
        <f t="shared" si="152"/>
        <v>3.3333333333333335</v>
      </c>
      <c r="CZ88" s="1105">
        <f t="shared" si="153"/>
        <v>3.3333333333333335</v>
      </c>
      <c r="DA88" s="1105">
        <f t="shared" si="153"/>
        <v>3.3333333333333335</v>
      </c>
      <c r="DB88" s="1105">
        <f t="shared" si="153"/>
        <v>3.3333333333333335</v>
      </c>
      <c r="DC88" s="1105">
        <f t="shared" si="153"/>
        <v>3.3333333333333335</v>
      </c>
      <c r="DD88" s="1105">
        <f t="shared" si="153"/>
        <v>3.3333333333333335</v>
      </c>
      <c r="DE88" s="1105">
        <f t="shared" si="153"/>
        <v>3.3333333333333335</v>
      </c>
      <c r="DF88" s="1105">
        <f t="shared" si="153"/>
        <v>3.3333333333333335</v>
      </c>
      <c r="DG88" s="1818"/>
      <c r="DH88" s="1818"/>
      <c r="DI88" s="1818"/>
      <c r="DJ88" s="1819"/>
    </row>
    <row r="89" spans="1:114" ht="15.95" customHeight="1">
      <c r="A89" s="1107" t="s">
        <v>5</v>
      </c>
      <c r="B89" s="1108"/>
      <c r="C89" s="1109">
        <f>IF(FAXA/FRA&lt;=C84,C80*FRA+C82*FAXA,C81*FRA+C83*FAXA)</f>
        <v>20768.781931687146</v>
      </c>
      <c r="D89" s="1109">
        <f>IF(FAXA/FRA&lt;=D84,D80*FRA+D82*FAXA,D81*FRA+D83*FAXA)</f>
        <v>17014.27001141891</v>
      </c>
      <c r="E89" s="1109">
        <f>IF(FAXA/FRA&lt;=E84,E80*FRA+E82*FAXA,E81*FRA+E83*FAXA)</f>
        <v>19642.428355606677</v>
      </c>
      <c r="F89" s="1109">
        <f t="shared" ref="F89:AL89" si="154">IF(FAXA/FRA&lt;=F84,F80*FRA+F82*FAXA,F81*FRA+F83*FAXA)</f>
        <v>12884.306899123854</v>
      </c>
      <c r="G89" s="1109">
        <f t="shared" si="154"/>
        <v>21144.23312371397</v>
      </c>
      <c r="H89" s="1109">
        <f t="shared" si="154"/>
        <v>17765.17239547256</v>
      </c>
      <c r="I89" s="1109">
        <f t="shared" si="154"/>
        <v>19642.428355606677</v>
      </c>
      <c r="J89" s="1109">
        <f t="shared" si="154"/>
        <v>15137.014051284794</v>
      </c>
      <c r="K89" s="1109">
        <f t="shared" si="154"/>
        <v>21144.23312371397</v>
      </c>
      <c r="L89" s="1109">
        <f t="shared" si="154"/>
        <v>19642.428355606677</v>
      </c>
      <c r="M89" s="1109">
        <f t="shared" si="154"/>
        <v>19266.97716357985</v>
      </c>
      <c r="N89" s="1109">
        <f t="shared" si="154"/>
        <v>12508.855707097031</v>
      </c>
      <c r="O89" s="1109">
        <f t="shared" si="154"/>
        <v>23021.489083848086</v>
      </c>
      <c r="P89" s="1109">
        <f t="shared" si="154"/>
        <v>19642.428355606677</v>
      </c>
      <c r="Q89" s="1109">
        <f t="shared" si="154"/>
        <v>19642.428355606677</v>
      </c>
      <c r="R89" s="1109">
        <f t="shared" si="154"/>
        <v>12884.306899123854</v>
      </c>
      <c r="S89" s="1109">
        <f t="shared" si="154"/>
        <v>19642.428355606677</v>
      </c>
      <c r="T89" s="1109">
        <f t="shared" si="154"/>
        <v>19642.428355606677</v>
      </c>
      <c r="U89" s="1109">
        <f t="shared" si="154"/>
        <v>19761.612303006066</v>
      </c>
      <c r="V89" s="1109">
        <f t="shared" si="154"/>
        <v>19642.428355606677</v>
      </c>
      <c r="W89" s="1109">
        <f t="shared" si="154"/>
        <v>19642.428355606677</v>
      </c>
      <c r="X89" s="1109">
        <f t="shared" si="154"/>
        <v>21263.417071113359</v>
      </c>
      <c r="Y89" s="1109">
        <f t="shared" si="154"/>
        <v>14880.746806657357</v>
      </c>
      <c r="Z89" s="1109">
        <f t="shared" si="154"/>
        <v>24147.842659928559</v>
      </c>
      <c r="AA89" s="1109">
        <f t="shared" si="154"/>
        <v>19266.97716357985</v>
      </c>
      <c r="AB89" s="1109">
        <f t="shared" si="154"/>
        <v>19761.612303006066</v>
      </c>
      <c r="AC89" s="1109">
        <f t="shared" si="154"/>
        <v>20768.781931687146</v>
      </c>
      <c r="AD89" s="1109">
        <f t="shared" si="154"/>
        <v>13635.209283177501</v>
      </c>
      <c r="AE89" s="1109">
        <f t="shared" si="154"/>
        <v>21263.417071113359</v>
      </c>
      <c r="AF89" s="1109">
        <f t="shared" si="154"/>
        <v>14880.746806657357</v>
      </c>
      <c r="AG89" s="1109">
        <f t="shared" si="154"/>
        <v>25274.196236009029</v>
      </c>
      <c r="AH89" s="1109">
        <f t="shared" si="154"/>
        <v>20768.781931687146</v>
      </c>
      <c r="AI89" s="1109">
        <f t="shared" si="154"/>
        <v>21263.417071113359</v>
      </c>
      <c r="AJ89" s="1109">
        <f t="shared" si="154"/>
        <v>20768.781931687146</v>
      </c>
      <c r="AK89" s="1109">
        <f t="shared" si="154"/>
        <v>13635.209283177501</v>
      </c>
      <c r="AL89" s="1109">
        <f t="shared" si="154"/>
        <v>21263.417071113359</v>
      </c>
      <c r="AM89" s="1109">
        <f t="shared" ref="AM89:BC89" si="155">IF(FAXA/FRA&lt;=AM84,AM80*FRA+AM82*FAXA,AM81*FRA+AM83*FAXA)</f>
        <v>14880.746806657357</v>
      </c>
      <c r="AN89" s="1109">
        <f t="shared" si="155"/>
        <v>26776.001004116319</v>
      </c>
      <c r="AO89" s="1109">
        <f t="shared" si="155"/>
        <v>20768.781931687146</v>
      </c>
      <c r="AP89" s="1109">
        <f t="shared" si="155"/>
        <v>21263.417071113359</v>
      </c>
      <c r="AQ89" s="1109">
        <f t="shared" si="155"/>
        <v>20768.781931687146</v>
      </c>
      <c r="AR89" s="1109">
        <f t="shared" si="155"/>
        <v>13635.209283177501</v>
      </c>
      <c r="AS89" s="1109">
        <f t="shared" si="155"/>
        <v>19761.612303006066</v>
      </c>
      <c r="AT89" s="1109">
        <f t="shared" si="155"/>
        <v>14880.746806657357</v>
      </c>
      <c r="AU89" s="1109">
        <f t="shared" si="155"/>
        <v>25274.196236009029</v>
      </c>
      <c r="AV89" s="1109">
        <f t="shared" si="155"/>
        <v>18516.074779526207</v>
      </c>
      <c r="AW89" s="1109">
        <f t="shared" si="155"/>
        <v>18635.258726925593</v>
      </c>
      <c r="AX89" s="1109">
        <f t="shared" si="155"/>
        <v>21263.417071113359</v>
      </c>
      <c r="AY89" s="1109">
        <f t="shared" si="155"/>
        <v>21263.417071113359</v>
      </c>
      <c r="AZ89" s="1109">
        <f t="shared" si="155"/>
        <v>20768.781931687146</v>
      </c>
      <c r="BA89" s="1109">
        <f t="shared" si="155"/>
        <v>13635.209283177501</v>
      </c>
      <c r="BB89" s="1109">
        <f t="shared" si="155"/>
        <v>19761.612303006066</v>
      </c>
      <c r="BC89" s="1109">
        <f t="shared" si="155"/>
        <v>15256.197998684182</v>
      </c>
      <c r="BD89" s="1109">
        <f t="shared" ref="BD89:BI89" si="156">IF(FAXA/FRA&lt;=BD84,BD80*FRA+BD82*FAXA,BD81*FRA+BD83*FAXA)</f>
        <v>25274.196236009029</v>
      </c>
      <c r="BE89" s="1109">
        <f t="shared" si="156"/>
        <v>17389.721203445737</v>
      </c>
      <c r="BF89" s="1109">
        <f>IF(FAXA/FRA&lt;=BF84,BF80*FRA+BF82*FAXA,BF81*FRA+BF83*FAXA)</f>
        <v>17508.905150845123</v>
      </c>
      <c r="BG89" s="1109">
        <f t="shared" si="156"/>
        <v>19761.612303006066</v>
      </c>
      <c r="BH89" s="1109">
        <f t="shared" si="156"/>
        <v>19761.612303006066</v>
      </c>
      <c r="BI89" s="1109">
        <f t="shared" si="156"/>
        <v>16382.551574764651</v>
      </c>
      <c r="BJ89" s="1109">
        <f t="shared" ref="BJ89:CQ89" si="157">IF(FAXA/FRA&lt;=BJ84,BJ80*FRA+BJ82*FAXA,BJ81*FRA+BJ83*FAXA)</f>
        <v>20768.781931687146</v>
      </c>
      <c r="BK89" s="1109">
        <f t="shared" si="157"/>
        <v>13635.209283177501</v>
      </c>
      <c r="BL89" s="1109">
        <f t="shared" si="157"/>
        <v>15256.197998684182</v>
      </c>
      <c r="BM89" s="1109">
        <f t="shared" si="157"/>
        <v>25274.196236009029</v>
      </c>
      <c r="BN89" s="1109">
        <f t="shared" si="157"/>
        <v>17389.721203445737</v>
      </c>
      <c r="BO89" s="1109">
        <f t="shared" si="157"/>
        <v>19761.612303006066</v>
      </c>
      <c r="BP89" s="1109">
        <f t="shared" si="157"/>
        <v>19642.428355606677</v>
      </c>
      <c r="BQ89" s="1109">
        <f t="shared" si="157"/>
        <v>13635.209283177501</v>
      </c>
      <c r="BR89" s="1109">
        <f t="shared" si="157"/>
        <v>19761.612303006066</v>
      </c>
      <c r="BS89" s="1109">
        <f t="shared" si="157"/>
        <v>15256.197998684182</v>
      </c>
      <c r="BT89" s="1109">
        <f t="shared" si="157"/>
        <v>25274.196236009029</v>
      </c>
      <c r="BU89" s="1109">
        <f t="shared" si="157"/>
        <v>17389.721203445737</v>
      </c>
      <c r="BV89" s="1109">
        <f t="shared" si="157"/>
        <v>19761.612303006066</v>
      </c>
      <c r="BW89" s="1109">
        <f t="shared" si="157"/>
        <v>19761.612303006066</v>
      </c>
      <c r="BX89" s="1109">
        <f t="shared" si="157"/>
        <v>15256.197998684182</v>
      </c>
      <c r="BY89" s="1109">
        <f t="shared" si="157"/>
        <v>19642.428355606677</v>
      </c>
      <c r="BZ89" s="1109">
        <f t="shared" si="157"/>
        <v>13635.209283177501</v>
      </c>
      <c r="CA89" s="1109">
        <f t="shared" si="157"/>
        <v>19761.612303006066</v>
      </c>
      <c r="CB89" s="1109">
        <f t="shared" si="157"/>
        <v>15256.197998684182</v>
      </c>
      <c r="CC89" s="1109">
        <f t="shared" si="157"/>
        <v>25274.196236009029</v>
      </c>
      <c r="CD89" s="1109">
        <f t="shared" si="157"/>
        <v>17014.27001141891</v>
      </c>
      <c r="CE89" s="1109">
        <f t="shared" si="157"/>
        <v>19010.709918952416</v>
      </c>
      <c r="CF89" s="1109">
        <f t="shared" si="157"/>
        <v>19010.709918952416</v>
      </c>
      <c r="CG89" s="1109">
        <f t="shared" si="157"/>
        <v>15256.197998684182</v>
      </c>
      <c r="CH89" s="1109">
        <f t="shared" si="157"/>
        <v>20768.781931687146</v>
      </c>
      <c r="CI89" s="1109">
        <f t="shared" si="157"/>
        <v>15256.197998684182</v>
      </c>
      <c r="CJ89" s="1109">
        <f t="shared" si="157"/>
        <v>18635.258726925593</v>
      </c>
      <c r="CK89" s="1109">
        <f t="shared" si="157"/>
        <v>18635.258726925593</v>
      </c>
      <c r="CL89" s="1109">
        <f t="shared" si="157"/>
        <v>14880.746806657357</v>
      </c>
      <c r="CM89" s="1109">
        <f t="shared" si="157"/>
        <v>17884.356342871946</v>
      </c>
      <c r="CN89" s="1109">
        <f t="shared" si="157"/>
        <v>17884.356342871946</v>
      </c>
      <c r="CO89" s="1109">
        <f t="shared" si="157"/>
        <v>15256.197998684182</v>
      </c>
      <c r="CP89" s="1110">
        <f t="shared" si="157"/>
        <v>18635.258726925593</v>
      </c>
      <c r="CQ89" s="1109">
        <f t="shared" si="157"/>
        <v>18635.258726925593</v>
      </c>
      <c r="CR89" s="1109">
        <f t="shared" ref="CR89:CY89" si="158">IF(FAXA/FRA&lt;=CR84,CR80*FRA+CR82*FAXA,CR81*FRA+CR83*FAXA)</f>
        <v>15256.197998684182</v>
      </c>
      <c r="CS89" s="1109">
        <f t="shared" si="158"/>
        <v>18635.258726925593</v>
      </c>
      <c r="CT89" s="1109">
        <f t="shared" si="158"/>
        <v>18635.258726925593</v>
      </c>
      <c r="CU89" s="1109">
        <f t="shared" si="158"/>
        <v>14880.746806657357</v>
      </c>
      <c r="CV89" s="1109">
        <f t="shared" si="158"/>
        <v>18635.258726925593</v>
      </c>
      <c r="CW89" s="1109">
        <f t="shared" si="158"/>
        <v>18635.258726925593</v>
      </c>
      <c r="CX89" s="1109">
        <f t="shared" si="158"/>
        <v>14880.746806657357</v>
      </c>
      <c r="CY89" s="1109">
        <f t="shared" si="158"/>
        <v>17884.356342871946</v>
      </c>
      <c r="CZ89" s="1109">
        <f t="shared" ref="CZ89:DE89" si="159">IF(FAXA/FRA&lt;=CZ84,CZ80*FRA+CZ82*FAXA,CZ81*FRA+CZ83*FAXA)</f>
        <v>18635.258726925593</v>
      </c>
      <c r="DA89" s="1109">
        <f t="shared" si="159"/>
        <v>18635.258726925593</v>
      </c>
      <c r="DB89" s="1109">
        <f t="shared" si="159"/>
        <v>18635.258726925593</v>
      </c>
      <c r="DC89" s="1109">
        <f t="shared" si="159"/>
        <v>17884.356342871946</v>
      </c>
      <c r="DD89" s="1109">
        <f t="shared" si="159"/>
        <v>17884.356342871946</v>
      </c>
      <c r="DE89" s="1109">
        <f t="shared" si="159"/>
        <v>0</v>
      </c>
      <c r="DF89" s="1109">
        <f t="shared" ref="DF89" si="160">IF(FAXA/FRA&lt;=DF84,DF80*FRA+DF82*FAXA,DF81*FRA+DF83*FAXA)</f>
        <v>0</v>
      </c>
      <c r="DG89" s="2"/>
      <c r="DH89" s="2"/>
      <c r="DI89" s="2"/>
      <c r="DJ89" s="1815"/>
    </row>
    <row r="90" spans="1:114" ht="15.95" customHeight="1">
      <c r="A90" s="70" t="s">
        <v>6</v>
      </c>
      <c r="B90" s="5"/>
      <c r="C90" s="98">
        <f t="shared" ref="C90:AH90" si="161">10^6*(C86/C89)^C88/(60*Fan_Max_rpm)</f>
        <v>4.8871272257818372</v>
      </c>
      <c r="D90" s="98">
        <f t="shared" si="161"/>
        <v>36.615045834765922</v>
      </c>
      <c r="E90" s="98">
        <f t="shared" si="161"/>
        <v>28.306883820963098</v>
      </c>
      <c r="F90" s="98">
        <f t="shared" si="161"/>
        <v>409.002150390108</v>
      </c>
      <c r="G90" s="98">
        <f t="shared" si="161"/>
        <v>7.0576176518097897</v>
      </c>
      <c r="H90" s="98">
        <f t="shared" si="161"/>
        <v>34.01490786585574</v>
      </c>
      <c r="I90" s="98">
        <f t="shared" si="161"/>
        <v>43.484630357646999</v>
      </c>
      <c r="J90" s="98">
        <f t="shared" si="161"/>
        <v>414.02364994471321</v>
      </c>
      <c r="K90" s="98">
        <f t="shared" si="161"/>
        <v>10.936775601473261</v>
      </c>
      <c r="L90" s="98">
        <f t="shared" si="161"/>
        <v>28.306883820963098</v>
      </c>
      <c r="M90" s="98">
        <f t="shared" si="161"/>
        <v>64.379294745100097</v>
      </c>
      <c r="N90" s="98">
        <f t="shared" si="161"/>
        <v>733.65696241219541</v>
      </c>
      <c r="O90" s="98">
        <f t="shared" si="161"/>
        <v>9.5731421324536452</v>
      </c>
      <c r="P90" s="98">
        <f t="shared" si="161"/>
        <v>43.484630357646999</v>
      </c>
      <c r="Q90" s="98">
        <f t="shared" si="161"/>
        <v>95.535732895750471</v>
      </c>
      <c r="R90" s="98">
        <f t="shared" si="161"/>
        <v>1144.7173946409907</v>
      </c>
      <c r="S90" s="98">
        <f t="shared" si="161"/>
        <v>22.264130743115267</v>
      </c>
      <c r="T90" s="98">
        <f t="shared" si="161"/>
        <v>85.192512689071705</v>
      </c>
      <c r="U90" s="98">
        <f t="shared" si="161"/>
        <v>5441.7039016047438</v>
      </c>
      <c r="V90" s="98">
        <f t="shared" si="161"/>
        <v>146.76062745705863</v>
      </c>
      <c r="W90" s="98">
        <f t="shared" si="161"/>
        <v>484.39140297248099</v>
      </c>
      <c r="X90" s="98">
        <f t="shared" si="161"/>
        <v>11850.504481914215</v>
      </c>
      <c r="Y90" s="98">
        <f t="shared" si="161"/>
        <v>138202.97227498025</v>
      </c>
      <c r="Z90" s="98">
        <f t="shared" si="161"/>
        <v>17.061367271750246</v>
      </c>
      <c r="AA90" s="98">
        <f t="shared" si="161"/>
        <v>145.37001437704092</v>
      </c>
      <c r="AB90" s="98">
        <f t="shared" si="161"/>
        <v>11062.262057949769</v>
      </c>
      <c r="AC90" s="98">
        <f t="shared" si="161"/>
        <v>170.30777919043169</v>
      </c>
      <c r="AD90" s="98">
        <f t="shared" si="161"/>
        <v>1914.7661759362152</v>
      </c>
      <c r="AE90" s="98">
        <f t="shared" si="161"/>
        <v>16943.013062907085</v>
      </c>
      <c r="AF90" s="98">
        <f t="shared" si="161"/>
        <v>188036.19770127229</v>
      </c>
      <c r="AG90" s="98">
        <f t="shared" si="161"/>
        <v>20.412173754432157</v>
      </c>
      <c r="AH90" s="98">
        <f t="shared" si="161"/>
        <v>124.1543710298247</v>
      </c>
      <c r="AI90" s="98">
        <f t="shared" ref="AI90:BN90" si="162">10^6*(AI86/AI89)^AI88/(60*Fan_Max_rpm)</f>
        <v>11850.504481914215</v>
      </c>
      <c r="AJ90" s="98">
        <f t="shared" si="162"/>
        <v>309.25304022738709</v>
      </c>
      <c r="AK90" s="98">
        <f t="shared" si="162"/>
        <v>4178.3722235178639</v>
      </c>
      <c r="AL90" s="98">
        <f t="shared" si="162"/>
        <v>31776.068947039028</v>
      </c>
      <c r="AM90" s="98">
        <f t="shared" si="162"/>
        <v>444106.7003217201</v>
      </c>
      <c r="AN90" s="98">
        <f t="shared" si="162"/>
        <v>18.107640693198061</v>
      </c>
      <c r="AO90" s="98">
        <f t="shared" si="162"/>
        <v>170.30777919043169</v>
      </c>
      <c r="AP90" s="98">
        <f t="shared" si="162"/>
        <v>16943.013062907085</v>
      </c>
      <c r="AQ90" s="98">
        <f t="shared" si="162"/>
        <v>428.40172501124658</v>
      </c>
      <c r="AR90" s="98">
        <f t="shared" si="162"/>
        <v>5391.919203491494</v>
      </c>
      <c r="AS90" s="98">
        <f t="shared" si="162"/>
        <v>62844.042789299412</v>
      </c>
      <c r="AT90" s="98">
        <f t="shared" si="162"/>
        <v>635768.008471312</v>
      </c>
      <c r="AU90" s="98">
        <f t="shared" si="162"/>
        <v>39.990322035247388</v>
      </c>
      <c r="AV90" s="98">
        <f t="shared" si="162"/>
        <v>175.2057338448565</v>
      </c>
      <c r="AW90" s="98">
        <f t="shared" si="162"/>
        <v>171.86554234123119</v>
      </c>
      <c r="AX90" s="98">
        <f t="shared" si="162"/>
        <v>13377.128586722913</v>
      </c>
      <c r="AY90" s="98">
        <f t="shared" si="162"/>
        <v>31776.068947039028</v>
      </c>
      <c r="AZ90" s="98">
        <f t="shared" si="162"/>
        <v>574.78875476770691</v>
      </c>
      <c r="BA90" s="98">
        <f t="shared" si="162"/>
        <v>6013.4842430038771</v>
      </c>
      <c r="BB90" s="98">
        <f t="shared" si="162"/>
        <v>62844.042789299412</v>
      </c>
      <c r="BC90" s="98">
        <f t="shared" si="162"/>
        <v>859901.56303157937</v>
      </c>
      <c r="BD90" s="98">
        <f t="shared" si="162"/>
        <v>64.399652188798086</v>
      </c>
      <c r="BE90" s="98">
        <f t="shared" si="162"/>
        <v>365.47777582581119</v>
      </c>
      <c r="BF90" s="98">
        <f t="shared" si="162"/>
        <v>358.06499113079946</v>
      </c>
      <c r="BG90" s="98">
        <f t="shared" si="162"/>
        <v>62844.042789299412</v>
      </c>
      <c r="BH90" s="98">
        <f t="shared" si="162"/>
        <v>62844.042789299412</v>
      </c>
      <c r="BI90" s="98">
        <f t="shared" si="162"/>
        <v>157597.81509740066</v>
      </c>
      <c r="BJ90" s="98">
        <f t="shared" si="162"/>
        <v>993.23496823859762</v>
      </c>
      <c r="BK90" s="98">
        <f t="shared" si="162"/>
        <v>7849.0367545936933</v>
      </c>
      <c r="BL90" s="98">
        <f t="shared" si="162"/>
        <v>1214336.987552169</v>
      </c>
      <c r="BM90" s="98">
        <f t="shared" si="162"/>
        <v>88.943401112414378</v>
      </c>
      <c r="BN90" s="98">
        <f t="shared" si="162"/>
        <v>608.44260317330566</v>
      </c>
      <c r="BO90" s="98">
        <f t="shared" ref="BO90:CT90" si="163">10^6*(BO86/BO89)^BO88/(60*Fan_Max_rpm)</f>
        <v>105827.42633350038</v>
      </c>
      <c r="BP90" s="98">
        <f t="shared" si="163"/>
        <v>1724.6337650790397</v>
      </c>
      <c r="BQ90" s="98">
        <f t="shared" si="163"/>
        <v>9844.5054318891362</v>
      </c>
      <c r="BR90" s="98">
        <f t="shared" si="163"/>
        <v>153679.52607542643</v>
      </c>
      <c r="BS90" s="98">
        <f t="shared" si="163"/>
        <v>1660182.3116801365</v>
      </c>
      <c r="BT90" s="98">
        <f t="shared" si="163"/>
        <v>112.55197007550355</v>
      </c>
      <c r="BU90" s="98">
        <f t="shared" si="163"/>
        <v>979.18214116568902</v>
      </c>
      <c r="BV90" s="98">
        <f t="shared" si="163"/>
        <v>153679.52607542643</v>
      </c>
      <c r="BW90" s="98">
        <f t="shared" si="163"/>
        <v>153679.52607542643</v>
      </c>
      <c r="BX90" s="98">
        <f t="shared" si="163"/>
        <v>527495.15147895447</v>
      </c>
      <c r="BY90" s="98">
        <f t="shared" si="163"/>
        <v>2143.6312224454878</v>
      </c>
      <c r="BZ90" s="98">
        <f t="shared" si="163"/>
        <v>15031.519104505682</v>
      </c>
      <c r="CA90" s="98">
        <f t="shared" si="163"/>
        <v>153679.52607542643</v>
      </c>
      <c r="CB90" s="98">
        <f t="shared" si="163"/>
        <v>3189812.3549624076</v>
      </c>
      <c r="CC90" s="98">
        <f t="shared" si="163"/>
        <v>237.71261547976334</v>
      </c>
      <c r="CD90" s="98">
        <f t="shared" si="163"/>
        <v>2150.5650741127347</v>
      </c>
      <c r="CE90" s="98">
        <f t="shared" si="163"/>
        <v>438557.4247720571</v>
      </c>
      <c r="CF90" s="98">
        <f t="shared" si="163"/>
        <v>438557.4247720571</v>
      </c>
      <c r="CG90" s="98">
        <f t="shared" si="163"/>
        <v>1149239.6679643574</v>
      </c>
      <c r="CH90" s="98">
        <f t="shared" si="163"/>
        <v>2685.6983297428301</v>
      </c>
      <c r="CI90" s="98">
        <f t="shared" si="163"/>
        <v>5316817.9605265521</v>
      </c>
      <c r="CJ90" s="98">
        <f t="shared" si="163"/>
        <v>694082.72789713647</v>
      </c>
      <c r="CK90" s="98">
        <f t="shared" si="163"/>
        <v>694082.72789713647</v>
      </c>
      <c r="CL90" s="98">
        <f t="shared" si="163"/>
        <v>2038267.0593395466</v>
      </c>
      <c r="CM90" s="98">
        <f t="shared" si="163"/>
        <v>1330784.0185008815</v>
      </c>
      <c r="CN90" s="98">
        <f t="shared" si="163"/>
        <v>1330784.0185008815</v>
      </c>
      <c r="CO90" s="98">
        <f t="shared" si="163"/>
        <v>2755635.5720215365</v>
      </c>
      <c r="CP90" s="1091">
        <f t="shared" si="163"/>
        <v>1033881.0330426217</v>
      </c>
      <c r="CQ90" s="98">
        <f t="shared" si="163"/>
        <v>1033881.0330426217</v>
      </c>
      <c r="CR90" s="98">
        <f t="shared" si="163"/>
        <v>4691482.351572183</v>
      </c>
      <c r="CS90" s="98">
        <f t="shared" si="163"/>
        <v>1883674.3531087488</v>
      </c>
      <c r="CT90" s="98">
        <f t="shared" si="163"/>
        <v>1883674.3531087488</v>
      </c>
      <c r="CU90" s="98">
        <f t="shared" ref="CU90:CY90" si="164">10^6*(CU86/CU89)^CU88/(60*Fan_Max_rpm)</f>
        <v>8859126.8902145363</v>
      </c>
      <c r="CV90" s="98">
        <f t="shared" si="164"/>
        <v>3237994.2437570314</v>
      </c>
      <c r="CW90" s="98">
        <f t="shared" si="164"/>
        <v>3237994.2437570314</v>
      </c>
      <c r="CX90" s="98">
        <f t="shared" si="164"/>
        <v>13299781.501960134</v>
      </c>
      <c r="CY90" s="98">
        <f t="shared" si="164"/>
        <v>5418468.1141476845</v>
      </c>
      <c r="CZ90" s="98">
        <f t="shared" ref="CZ90" si="165">10^6*(CZ86/CZ89)^CZ88/(60*Fan_Max_rpm)</f>
        <v>5621895.4316556286</v>
      </c>
      <c r="DA90" s="98">
        <f t="shared" ref="DA90" si="166">10^6*(DA86/DA89)^DA88/(60*Fan_Max_rpm)</f>
        <v>7182712.3698073598</v>
      </c>
      <c r="DB90" s="98">
        <f t="shared" ref="DB90" si="167">10^6*(DB86/DB89)^DB88/(60*Fan_Max_rpm)</f>
        <v>11431913.376004592</v>
      </c>
      <c r="DC90" s="98">
        <f t="shared" ref="DC90" si="168">10^6*(DC86/DC89)^DC88/(60*Fan_Max_rpm)</f>
        <v>24445110.561302252</v>
      </c>
      <c r="DD90" s="98">
        <f t="shared" ref="DD90" si="169">10^6*(DD86/DD89)^DD88/(60*Fan_Max_rpm)</f>
        <v>51431049.01849056</v>
      </c>
      <c r="DE90" s="98" t="e">
        <f t="shared" ref="DE90:DF90" si="170">10^6*(DE86/DE89)^DE88/(60*Fan_Max_rpm)</f>
        <v>#DIV/0!</v>
      </c>
      <c r="DF90" s="98" t="e">
        <f t="shared" si="170"/>
        <v>#DIV/0!</v>
      </c>
      <c r="DG90" s="2"/>
      <c r="DH90" s="2"/>
      <c r="DI90" s="2"/>
      <c r="DJ90" s="1815"/>
    </row>
    <row r="91" spans="1:114" ht="15.95" customHeight="1">
      <c r="A91" s="70" t="s">
        <v>7</v>
      </c>
      <c r="B91" s="5"/>
      <c r="C91" s="98">
        <f>IF(FAXB/FRB&lt;=C84,C80*FRB+C82*FAXB,C81*FRB+C83*FAXB)</f>
        <v>2296.0770717466894</v>
      </c>
      <c r="D91" s="98">
        <f>IF(FAXB/FRB&lt;=D84,D80*FRB+D82*FAXB,D81*FRB+D83*FAXB)</f>
        <v>2296.0770717466894</v>
      </c>
      <c r="E91" s="98">
        <f>IF(FAXB/FRB&lt;=E84,E80*FRB+E82*FAXB,E81*FRB+E83*FAXB)</f>
        <v>2296.0770717466894</v>
      </c>
      <c r="F91" s="98">
        <f t="shared" ref="F91:AL91" si="171">IF(FAXB/FRB&lt;=F84,F80*FRB+F82*FAXB,F81*FRB+F83*FAXB)</f>
        <v>2296.0770717466894</v>
      </c>
      <c r="G91" s="98">
        <f t="shared" si="171"/>
        <v>2296.0770717466894</v>
      </c>
      <c r="H91" s="98">
        <f t="shared" si="171"/>
        <v>2296.0770717466894</v>
      </c>
      <c r="I91" s="98">
        <f t="shared" si="171"/>
        <v>2296.0770717466894</v>
      </c>
      <c r="J91" s="98">
        <f t="shared" si="171"/>
        <v>2296.0770717466894</v>
      </c>
      <c r="K91" s="98">
        <f t="shared" si="171"/>
        <v>2296.0770717466894</v>
      </c>
      <c r="L91" s="98">
        <f t="shared" si="171"/>
        <v>2296.0770717466894</v>
      </c>
      <c r="M91" s="98">
        <f t="shared" si="171"/>
        <v>2296.0770717466894</v>
      </c>
      <c r="N91" s="98">
        <f t="shared" si="171"/>
        <v>2296.0770717466894</v>
      </c>
      <c r="O91" s="98">
        <f t="shared" si="171"/>
        <v>2296.0770717466894</v>
      </c>
      <c r="P91" s="98">
        <f t="shared" si="171"/>
        <v>2296.0770717466894</v>
      </c>
      <c r="Q91" s="98">
        <f t="shared" si="171"/>
        <v>2296.0770717466894</v>
      </c>
      <c r="R91" s="98">
        <f t="shared" si="171"/>
        <v>2296.0770717466894</v>
      </c>
      <c r="S91" s="98">
        <f t="shared" si="171"/>
        <v>2296.0770717466894</v>
      </c>
      <c r="T91" s="98">
        <f t="shared" si="171"/>
        <v>2296.0770717466894</v>
      </c>
      <c r="U91" s="98">
        <f t="shared" si="171"/>
        <v>2296.0770717466894</v>
      </c>
      <c r="V91" s="98">
        <f t="shared" si="171"/>
        <v>2296.0770717466894</v>
      </c>
      <c r="W91" s="98">
        <f t="shared" si="171"/>
        <v>2296.0770717466894</v>
      </c>
      <c r="X91" s="98">
        <f t="shared" si="171"/>
        <v>2296.0770717466894</v>
      </c>
      <c r="Y91" s="98">
        <f t="shared" si="171"/>
        <v>2296.0770717466894</v>
      </c>
      <c r="Z91" s="98">
        <f t="shared" si="171"/>
        <v>2296.0770717466894</v>
      </c>
      <c r="AA91" s="98">
        <f t="shared" si="171"/>
        <v>2296.0770717466894</v>
      </c>
      <c r="AB91" s="98">
        <f t="shared" si="171"/>
        <v>2296.0770717466894</v>
      </c>
      <c r="AC91" s="98">
        <f t="shared" si="171"/>
        <v>2296.0770717466894</v>
      </c>
      <c r="AD91" s="98">
        <f t="shared" si="171"/>
        <v>2296.0770717466894</v>
      </c>
      <c r="AE91" s="98">
        <f t="shared" si="171"/>
        <v>2296.0770717466894</v>
      </c>
      <c r="AF91" s="98">
        <f t="shared" si="171"/>
        <v>2296.0770717466894</v>
      </c>
      <c r="AG91" s="98">
        <f t="shared" si="171"/>
        <v>2296.0770717466894</v>
      </c>
      <c r="AH91" s="98">
        <f t="shared" si="171"/>
        <v>2296.0770717466894</v>
      </c>
      <c r="AI91" s="98">
        <f t="shared" si="171"/>
        <v>2296.0770717466894</v>
      </c>
      <c r="AJ91" s="98">
        <f t="shared" si="171"/>
        <v>2296.0770717466894</v>
      </c>
      <c r="AK91" s="98">
        <f t="shared" si="171"/>
        <v>2296.0770717466894</v>
      </c>
      <c r="AL91" s="98">
        <f t="shared" si="171"/>
        <v>2296.0770717466894</v>
      </c>
      <c r="AM91" s="98">
        <f t="shared" ref="AM91:BC91" si="172">IF(FAXB/FRB&lt;=AM84,AM80*FRB+AM82*FAXB,AM81*FRB+AM83*FAXB)</f>
        <v>2296.0770717466894</v>
      </c>
      <c r="AN91" s="98">
        <f t="shared" si="172"/>
        <v>2296.0770717466894</v>
      </c>
      <c r="AO91" s="98">
        <f t="shared" si="172"/>
        <v>2296.0770717466894</v>
      </c>
      <c r="AP91" s="98">
        <f t="shared" si="172"/>
        <v>2296.0770717466894</v>
      </c>
      <c r="AQ91" s="98">
        <f t="shared" si="172"/>
        <v>2296.0770717466894</v>
      </c>
      <c r="AR91" s="98">
        <f t="shared" si="172"/>
        <v>2296.0770717466894</v>
      </c>
      <c r="AS91" s="98">
        <f t="shared" si="172"/>
        <v>2296.0770717466894</v>
      </c>
      <c r="AT91" s="98">
        <f t="shared" si="172"/>
        <v>2296.0770717466894</v>
      </c>
      <c r="AU91" s="98">
        <f t="shared" si="172"/>
        <v>2296.0770717466894</v>
      </c>
      <c r="AV91" s="98">
        <f t="shared" si="172"/>
        <v>2296.0770717466894</v>
      </c>
      <c r="AW91" s="98">
        <f t="shared" si="172"/>
        <v>2296.0770717466894</v>
      </c>
      <c r="AX91" s="98">
        <f t="shared" si="172"/>
        <v>2296.0770717466894</v>
      </c>
      <c r="AY91" s="98">
        <f t="shared" si="172"/>
        <v>2296.0770717466894</v>
      </c>
      <c r="AZ91" s="98">
        <f t="shared" si="172"/>
        <v>2296.0770717466894</v>
      </c>
      <c r="BA91" s="98">
        <f t="shared" si="172"/>
        <v>2296.0770717466894</v>
      </c>
      <c r="BB91" s="98">
        <f t="shared" si="172"/>
        <v>2296.0770717466894</v>
      </c>
      <c r="BC91" s="98">
        <f t="shared" si="172"/>
        <v>2296.0770717466894</v>
      </c>
      <c r="BD91" s="98">
        <f t="shared" ref="BD91:BI91" si="173">IF(FAXB/FRB&lt;=BD84,BD80*FRB+BD82*FAXB,BD81*FRB+BD83*FAXB)</f>
        <v>2296.0770717466894</v>
      </c>
      <c r="BE91" s="98">
        <f t="shared" si="173"/>
        <v>2296.0770717466894</v>
      </c>
      <c r="BF91" s="98">
        <f>IF(FAXB/FRB&lt;=BF84,BF80*FRB+BF82*FAXB,BF81*FRB+BF83*FAXB)</f>
        <v>2296.0770717466894</v>
      </c>
      <c r="BG91" s="98">
        <f t="shared" si="173"/>
        <v>2296.0770717466894</v>
      </c>
      <c r="BH91" s="98">
        <f t="shared" si="173"/>
        <v>2296.0770717466894</v>
      </c>
      <c r="BI91" s="98">
        <f t="shared" si="173"/>
        <v>2296.0770717466894</v>
      </c>
      <c r="BJ91" s="98">
        <f t="shared" ref="BJ91:CQ91" si="174">IF(FAXB/FRB&lt;=BJ84,BJ80*FRB+BJ82*FAXB,BJ81*FRB+BJ83*FAXB)</f>
        <v>2296.0770717466894</v>
      </c>
      <c r="BK91" s="98">
        <f t="shared" si="174"/>
        <v>2296.0770717466894</v>
      </c>
      <c r="BL91" s="98">
        <f t="shared" si="174"/>
        <v>2296.0770717466894</v>
      </c>
      <c r="BM91" s="98">
        <f t="shared" si="174"/>
        <v>2296.0770717466894</v>
      </c>
      <c r="BN91" s="98">
        <f t="shared" si="174"/>
        <v>2296.0770717466894</v>
      </c>
      <c r="BO91" s="98">
        <f t="shared" si="174"/>
        <v>2296.0770717466894</v>
      </c>
      <c r="BP91" s="98">
        <f t="shared" si="174"/>
        <v>2296.0770717466894</v>
      </c>
      <c r="BQ91" s="98">
        <f t="shared" si="174"/>
        <v>2296.0770717466894</v>
      </c>
      <c r="BR91" s="98">
        <f t="shared" si="174"/>
        <v>2296.0770717466894</v>
      </c>
      <c r="BS91" s="98">
        <f t="shared" si="174"/>
        <v>2296.0770717466894</v>
      </c>
      <c r="BT91" s="98">
        <f t="shared" si="174"/>
        <v>2296.0770717466894</v>
      </c>
      <c r="BU91" s="98">
        <f t="shared" si="174"/>
        <v>2296.0770717466894</v>
      </c>
      <c r="BV91" s="98">
        <f t="shared" si="174"/>
        <v>2296.0770717466894</v>
      </c>
      <c r="BW91" s="98">
        <f t="shared" si="174"/>
        <v>2296.0770717466894</v>
      </c>
      <c r="BX91" s="98">
        <f t="shared" si="174"/>
        <v>2296.0770717466894</v>
      </c>
      <c r="BY91" s="98">
        <f t="shared" si="174"/>
        <v>2296.0770717466894</v>
      </c>
      <c r="BZ91" s="98">
        <f t="shared" si="174"/>
        <v>2296.0770717466894</v>
      </c>
      <c r="CA91" s="98">
        <f t="shared" si="174"/>
        <v>2296.0770717466894</v>
      </c>
      <c r="CB91" s="98">
        <f t="shared" si="174"/>
        <v>2296.0770717466894</v>
      </c>
      <c r="CC91" s="98">
        <f t="shared" si="174"/>
        <v>2296.0770717466894</v>
      </c>
      <c r="CD91" s="98">
        <f t="shared" si="174"/>
        <v>2296.0770717466894</v>
      </c>
      <c r="CE91" s="98">
        <f t="shared" si="174"/>
        <v>2296.0770717466894</v>
      </c>
      <c r="CF91" s="98">
        <f t="shared" si="174"/>
        <v>2296.0770717466894</v>
      </c>
      <c r="CG91" s="98">
        <f t="shared" si="174"/>
        <v>2296.0770717466894</v>
      </c>
      <c r="CH91" s="98">
        <f t="shared" si="174"/>
        <v>2296.0770717466894</v>
      </c>
      <c r="CI91" s="98">
        <f t="shared" si="174"/>
        <v>2296.0770717466894</v>
      </c>
      <c r="CJ91" s="98">
        <f t="shared" si="174"/>
        <v>2296.0770717466894</v>
      </c>
      <c r="CK91" s="98">
        <f t="shared" si="174"/>
        <v>2296.0770717466894</v>
      </c>
      <c r="CL91" s="98">
        <f t="shared" si="174"/>
        <v>2296.0770717466894</v>
      </c>
      <c r="CM91" s="98">
        <f t="shared" si="174"/>
        <v>2296.0770717466894</v>
      </c>
      <c r="CN91" s="98">
        <f t="shared" si="174"/>
        <v>2296.0770717466894</v>
      </c>
      <c r="CO91" s="98">
        <f t="shared" si="174"/>
        <v>2296.0770717466894</v>
      </c>
      <c r="CP91" s="1091">
        <f t="shared" si="174"/>
        <v>2296.0770717466894</v>
      </c>
      <c r="CQ91" s="98">
        <f t="shared" si="174"/>
        <v>2296.0770717466894</v>
      </c>
      <c r="CR91" s="98">
        <f t="shared" ref="CR91:CY91" si="175">IF(FAXB/FRB&lt;=CR84,CR80*FRB+CR82*FAXB,CR81*FRB+CR83*FAXB)</f>
        <v>2296.0770717466894</v>
      </c>
      <c r="CS91" s="98">
        <f t="shared" si="175"/>
        <v>2296.0770717466894</v>
      </c>
      <c r="CT91" s="98">
        <f t="shared" si="175"/>
        <v>2296.0770717466894</v>
      </c>
      <c r="CU91" s="98">
        <f t="shared" si="175"/>
        <v>2296.0770717466894</v>
      </c>
      <c r="CV91" s="98">
        <f t="shared" si="175"/>
        <v>2296.0770717466894</v>
      </c>
      <c r="CW91" s="98">
        <f t="shared" si="175"/>
        <v>2296.0770717466894</v>
      </c>
      <c r="CX91" s="98">
        <f t="shared" si="175"/>
        <v>2296.0770717466894</v>
      </c>
      <c r="CY91" s="98">
        <f t="shared" si="175"/>
        <v>2296.0770717466894</v>
      </c>
      <c r="CZ91" s="98">
        <f t="shared" ref="CZ91:DE91" si="176">IF(FAXB/FRB&lt;=CZ84,CZ80*FRB+CZ82*FAXB,CZ81*FRB+CZ83*FAXB)</f>
        <v>2296.0770717466894</v>
      </c>
      <c r="DA91" s="98">
        <f t="shared" si="176"/>
        <v>2296.0770717466894</v>
      </c>
      <c r="DB91" s="98">
        <f t="shared" si="176"/>
        <v>2296.0770717466894</v>
      </c>
      <c r="DC91" s="98">
        <f t="shared" si="176"/>
        <v>2296.0770717466894</v>
      </c>
      <c r="DD91" s="98">
        <f t="shared" si="176"/>
        <v>2296.0770717466894</v>
      </c>
      <c r="DE91" s="98">
        <f t="shared" si="176"/>
        <v>0</v>
      </c>
      <c r="DF91" s="98">
        <f t="shared" ref="DF91" si="177">IF(FAXB/FRB&lt;=DF84,DF80*FRB+DF82*FAXB,DF81*FRB+DF83*FAXB)</f>
        <v>0</v>
      </c>
      <c r="DG91" s="2"/>
      <c r="DH91" s="2"/>
      <c r="DI91" s="2"/>
      <c r="DJ91" s="1815"/>
    </row>
    <row r="92" spans="1:114" ht="15.95" customHeight="1">
      <c r="A92" s="70" t="s">
        <v>8</v>
      </c>
      <c r="B92" s="5"/>
      <c r="C92" s="98">
        <f t="shared" ref="C92:AH92" si="178">10^6*(C86/C91)^C88/(60*Fan_Max_rpm)</f>
        <v>3616.8236905490771</v>
      </c>
      <c r="D92" s="98">
        <f t="shared" si="178"/>
        <v>14898.418126349869</v>
      </c>
      <c r="E92" s="98">
        <f t="shared" si="178"/>
        <v>17722.223542606844</v>
      </c>
      <c r="F92" s="98">
        <f t="shared" si="178"/>
        <v>72268.557962233521</v>
      </c>
      <c r="G92" s="98">
        <f t="shared" si="178"/>
        <v>5511.5602144891836</v>
      </c>
      <c r="H92" s="98">
        <f t="shared" si="178"/>
        <v>15754.992196929441</v>
      </c>
      <c r="I92" s="98">
        <f t="shared" si="178"/>
        <v>27224.626516294084</v>
      </c>
      <c r="J92" s="98">
        <f t="shared" si="178"/>
        <v>118627.78092649933</v>
      </c>
      <c r="K92" s="98">
        <f t="shared" si="178"/>
        <v>8540.9411863532641</v>
      </c>
      <c r="L92" s="98">
        <f t="shared" si="178"/>
        <v>17722.223542606844</v>
      </c>
      <c r="M92" s="98">
        <f t="shared" si="178"/>
        <v>38038.867387806065</v>
      </c>
      <c r="N92" s="98">
        <f t="shared" si="178"/>
        <v>118627.78092649933</v>
      </c>
      <c r="O92" s="98">
        <f t="shared" si="178"/>
        <v>9649.2899284114737</v>
      </c>
      <c r="P92" s="98">
        <f t="shared" si="178"/>
        <v>27224.626516294084</v>
      </c>
      <c r="Q92" s="98">
        <f t="shared" si="178"/>
        <v>59812.504456298106</v>
      </c>
      <c r="R92" s="98">
        <f t="shared" si="178"/>
        <v>202265.62453543092</v>
      </c>
      <c r="S92" s="98">
        <f t="shared" si="178"/>
        <v>13939.008776342567</v>
      </c>
      <c r="T92" s="98">
        <f t="shared" si="178"/>
        <v>53336.87606100933</v>
      </c>
      <c r="U92" s="98">
        <f t="shared" si="178"/>
        <v>7109754.6953774849</v>
      </c>
      <c r="V92" s="98">
        <f t="shared" si="178"/>
        <v>91883.114492492517</v>
      </c>
      <c r="W92" s="98">
        <f t="shared" si="178"/>
        <v>303265.19796000572</v>
      </c>
      <c r="X92" s="98">
        <f t="shared" si="178"/>
        <v>19764787.919911306</v>
      </c>
      <c r="Y92" s="98">
        <f t="shared" si="178"/>
        <v>70142019.915198401</v>
      </c>
      <c r="Z92" s="98">
        <f t="shared" si="178"/>
        <v>19846.75273037839</v>
      </c>
      <c r="AA92" s="98">
        <f t="shared" si="178"/>
        <v>85892.688339407207</v>
      </c>
      <c r="AB92" s="98">
        <f t="shared" si="178"/>
        <v>14453188.014292883</v>
      </c>
      <c r="AC92" s="98">
        <f t="shared" si="178"/>
        <v>126039.93757543553</v>
      </c>
      <c r="AD92" s="98">
        <f t="shared" si="178"/>
        <v>400997.61196858902</v>
      </c>
      <c r="AE92" s="98">
        <f t="shared" si="178"/>
        <v>28258295.705783568</v>
      </c>
      <c r="AF92" s="98">
        <f t="shared" si="178"/>
        <v>95433828.280468374</v>
      </c>
      <c r="AG92" s="98">
        <f t="shared" si="178"/>
        <v>27224.626516294084</v>
      </c>
      <c r="AH92" s="98">
        <f t="shared" si="178"/>
        <v>91883.114492492517</v>
      </c>
      <c r="AI92" s="98">
        <f t="shared" ref="AI92:BN92" si="179">10^6*(AI86/AI91)^AI88/(60*Fan_Max_rpm)</f>
        <v>19764787.919911306</v>
      </c>
      <c r="AJ92" s="98">
        <f t="shared" si="179"/>
        <v>228869.3685664795</v>
      </c>
      <c r="AK92" s="98">
        <f t="shared" si="179"/>
        <v>875050.59604852903</v>
      </c>
      <c r="AL92" s="98">
        <f t="shared" si="179"/>
        <v>52997512.859069094</v>
      </c>
      <c r="AM92" s="98">
        <f t="shared" si="179"/>
        <v>225397041.07419237</v>
      </c>
      <c r="AN92" s="98">
        <f t="shared" si="179"/>
        <v>28717.037134152935</v>
      </c>
      <c r="AO92" s="98">
        <f t="shared" si="179"/>
        <v>126039.93757543553</v>
      </c>
      <c r="AP92" s="98">
        <f t="shared" si="179"/>
        <v>28258295.705783568</v>
      </c>
      <c r="AQ92" s="98">
        <f t="shared" si="179"/>
        <v>317047.91721375473</v>
      </c>
      <c r="AR92" s="98">
        <f t="shared" si="179"/>
        <v>1129196.2181598991</v>
      </c>
      <c r="AS92" s="98">
        <f t="shared" si="179"/>
        <v>82107688.396269351</v>
      </c>
      <c r="AT92" s="98">
        <f t="shared" si="179"/>
        <v>322670718.12980098</v>
      </c>
      <c r="AU92" s="98">
        <f t="shared" si="179"/>
        <v>53336.87606100933</v>
      </c>
      <c r="AV92" s="98">
        <f t="shared" si="179"/>
        <v>91883.114492492517</v>
      </c>
      <c r="AW92" s="98">
        <f t="shared" si="179"/>
        <v>91883.114492492517</v>
      </c>
      <c r="AX92" s="98">
        <f t="shared" si="179"/>
        <v>10624357.833139572</v>
      </c>
      <c r="AY92" s="98">
        <f t="shared" si="179"/>
        <v>52997512.859069094</v>
      </c>
      <c r="AZ92" s="98">
        <f t="shared" si="179"/>
        <v>425384.78931709513</v>
      </c>
      <c r="BA92" s="98">
        <f t="shared" si="179"/>
        <v>1259366.7317505516</v>
      </c>
      <c r="BB92" s="98">
        <f t="shared" si="179"/>
        <v>82107688.396269351</v>
      </c>
      <c r="BC92" s="98">
        <f t="shared" si="179"/>
        <v>474221879.21951216</v>
      </c>
      <c r="BD92" s="98">
        <f t="shared" si="179"/>
        <v>85892.688339407207</v>
      </c>
      <c r="BE92" s="98">
        <f t="shared" si="179"/>
        <v>158774.02184302712</v>
      </c>
      <c r="BF92" s="98">
        <f t="shared" si="179"/>
        <v>158774.02184302712</v>
      </c>
      <c r="BG92" s="98">
        <f t="shared" si="179"/>
        <v>82107688.396269351</v>
      </c>
      <c r="BH92" s="98">
        <f t="shared" si="179"/>
        <v>82107688.396269351</v>
      </c>
      <c r="BI92" s="98">
        <f t="shared" si="179"/>
        <v>110204788.57696131</v>
      </c>
      <c r="BJ92" s="98">
        <f t="shared" si="179"/>
        <v>735064.91593994014</v>
      </c>
      <c r="BK92" s="98">
        <f t="shared" si="179"/>
        <v>1643775.1169835802</v>
      </c>
      <c r="BL92" s="98">
        <f t="shared" si="179"/>
        <v>669687314.22296977</v>
      </c>
      <c r="BM92" s="98">
        <f t="shared" si="179"/>
        <v>118627.78092649933</v>
      </c>
      <c r="BN92" s="98">
        <f t="shared" si="179"/>
        <v>264324.90716619982</v>
      </c>
      <c r="BO92" s="98">
        <f t="shared" ref="BO92:CT92" si="180">10^6*(BO86/BO91)^BO88/(60*Fan_Max_rpm)</f>
        <v>138266810.33718792</v>
      </c>
      <c r="BP92" s="98">
        <f t="shared" si="180"/>
        <v>1079749.551634629</v>
      </c>
      <c r="BQ92" s="98">
        <f t="shared" si="180"/>
        <v>2061673.7535950972</v>
      </c>
      <c r="BR92" s="98">
        <f t="shared" si="180"/>
        <v>200787060.79100317</v>
      </c>
      <c r="BS92" s="98">
        <f t="shared" si="180"/>
        <v>915563838.39604485</v>
      </c>
      <c r="BT92" s="98">
        <f t="shared" si="180"/>
        <v>150115.582291345</v>
      </c>
      <c r="BU92" s="98">
        <f t="shared" si="180"/>
        <v>425384.78931709513</v>
      </c>
      <c r="BV92" s="98">
        <f t="shared" si="180"/>
        <v>200787060.79100317</v>
      </c>
      <c r="BW92" s="98">
        <f t="shared" si="180"/>
        <v>200787060.79100317</v>
      </c>
      <c r="BX92" s="98">
        <f t="shared" si="180"/>
        <v>290905090.49853235</v>
      </c>
      <c r="BY92" s="98">
        <f t="shared" si="180"/>
        <v>1342073.2553032378</v>
      </c>
      <c r="BZ92" s="98">
        <f t="shared" si="180"/>
        <v>3147957.876485799</v>
      </c>
      <c r="CA92" s="98">
        <f t="shared" si="180"/>
        <v>200787060.79100317</v>
      </c>
      <c r="CB92" s="98">
        <f t="shared" si="180"/>
        <v>1759130200.8975868</v>
      </c>
      <c r="CC92" s="98">
        <f t="shared" si="180"/>
        <v>317047.91721375473</v>
      </c>
      <c r="CD92" s="98">
        <f t="shared" si="180"/>
        <v>875050.59604852903</v>
      </c>
      <c r="CE92" s="98">
        <f t="shared" si="180"/>
        <v>503577184.73178792</v>
      </c>
      <c r="CF92" s="98">
        <f t="shared" si="180"/>
        <v>503577184.73178792</v>
      </c>
      <c r="CG92" s="98">
        <f t="shared" si="180"/>
        <v>633787189.65725756</v>
      </c>
      <c r="CH92" s="98">
        <f t="shared" si="180"/>
        <v>1987608.8540191341</v>
      </c>
      <c r="CI92" s="98">
        <f t="shared" si="180"/>
        <v>2932139576.3253894</v>
      </c>
      <c r="CJ92" s="98">
        <f t="shared" si="180"/>
        <v>745717703.95113921</v>
      </c>
      <c r="CK92" s="98">
        <f t="shared" si="180"/>
        <v>745717703.95113921</v>
      </c>
      <c r="CL92" s="98">
        <f t="shared" si="180"/>
        <v>1034479695.4455228</v>
      </c>
      <c r="CM92" s="98">
        <f t="shared" si="180"/>
        <v>1246609462.60607</v>
      </c>
      <c r="CN92" s="98">
        <f t="shared" si="180"/>
        <v>1246609462.60607</v>
      </c>
      <c r="CO92" s="98">
        <f t="shared" si="180"/>
        <v>1519688689.4834006</v>
      </c>
      <c r="CP92" s="1091">
        <f t="shared" si="180"/>
        <v>1110794663.4186199</v>
      </c>
      <c r="CQ92" s="98">
        <f t="shared" si="180"/>
        <v>1110794663.4186199</v>
      </c>
      <c r="CR92" s="98">
        <f t="shared" si="180"/>
        <v>2587277047.438087</v>
      </c>
      <c r="CS92" s="98">
        <f t="shared" si="180"/>
        <v>2023806755.4968495</v>
      </c>
      <c r="CT92" s="98">
        <f t="shared" si="180"/>
        <v>2023806755.4968495</v>
      </c>
      <c r="CU92" s="98">
        <f t="shared" ref="CU92:CY92" si="181">10^6*(CU86/CU91)^CU88/(60*Fan_Max_rpm)</f>
        <v>4496264042.1966734</v>
      </c>
      <c r="CV92" s="98">
        <f t="shared" si="181"/>
        <v>3478878721.2399297</v>
      </c>
      <c r="CW92" s="98">
        <f t="shared" si="181"/>
        <v>3478878721.2399297</v>
      </c>
      <c r="CX92" s="98">
        <f t="shared" si="181"/>
        <v>6750025152.296649</v>
      </c>
      <c r="CY92" s="98">
        <f t="shared" si="181"/>
        <v>5075739962.3230438</v>
      </c>
      <c r="CZ92" s="98">
        <f t="shared" ref="CZ92" si="182">10^6*(CZ86/CZ91)^CZ88/(60*Fan_Max_rpm)</f>
        <v>6040125743.8709106</v>
      </c>
      <c r="DA92" s="98">
        <f t="shared" ref="DA92" si="183">10^6*(DA86/DA91)^DA88/(60*Fan_Max_rpm)</f>
        <v>7717056715.67729</v>
      </c>
      <c r="DB92" s="98">
        <f t="shared" ref="DB92" si="184">10^6*(DB86/DB91)^DB88/(60*Fan_Max_rpm)</f>
        <v>12282369020.117584</v>
      </c>
      <c r="DC92" s="98">
        <f t="shared" ref="DC92" si="185">10^6*(DC86/DC91)^DC88/(60*Fan_Max_rpm)</f>
        <v>22898912007.148357</v>
      </c>
      <c r="DD92" s="98">
        <f t="shared" ref="DD92" si="186">10^6*(DD86/DD91)^DD88/(60*Fan_Max_rpm)</f>
        <v>48177939836.121048</v>
      </c>
      <c r="DE92" s="98" t="e">
        <f t="shared" ref="DE92:DF92" si="187">10^6*(DE86/DE91)^DE88/(60*Fan_Max_rpm)</f>
        <v>#DIV/0!</v>
      </c>
      <c r="DF92" s="98" t="e">
        <f t="shared" si="187"/>
        <v>#DIV/0!</v>
      </c>
      <c r="DG92" s="2"/>
      <c r="DH92" s="2"/>
      <c r="DI92" s="2"/>
      <c r="DJ92" s="1815"/>
    </row>
    <row r="93" spans="1:114" s="12" customFormat="1" ht="15.95" customHeight="1" thickBot="1">
      <c r="A93" s="80" t="s">
        <v>339</v>
      </c>
      <c r="B93" s="81">
        <v>0</v>
      </c>
      <c r="C93" s="81">
        <f t="shared" ref="C93:AH93" si="188">IF(ISERROR(MIN(C90,C92)),0,IF(AND(AD&lt;=C72,C87&gt;=Fan_Max_rpm,C90&gt;=min_life,C90&lt;max_life,C92&gt;=min_life,C92&lt;max_life),MIN(C90,C92),0))</f>
        <v>0</v>
      </c>
      <c r="D93" s="81">
        <f t="shared" si="188"/>
        <v>0</v>
      </c>
      <c r="E93" s="81">
        <f t="shared" si="188"/>
        <v>0</v>
      </c>
      <c r="F93" s="81">
        <f t="shared" si="188"/>
        <v>0</v>
      </c>
      <c r="G93" s="81">
        <f t="shared" si="188"/>
        <v>0</v>
      </c>
      <c r="H93" s="81">
        <f t="shared" si="188"/>
        <v>0</v>
      </c>
      <c r="I93" s="81">
        <f t="shared" si="188"/>
        <v>0</v>
      </c>
      <c r="J93" s="81">
        <f t="shared" si="188"/>
        <v>0</v>
      </c>
      <c r="K93" s="81">
        <f t="shared" si="188"/>
        <v>0</v>
      </c>
      <c r="L93" s="81">
        <f t="shared" si="188"/>
        <v>0</v>
      </c>
      <c r="M93" s="81">
        <f t="shared" si="188"/>
        <v>0</v>
      </c>
      <c r="N93" s="81">
        <f t="shared" si="188"/>
        <v>0</v>
      </c>
      <c r="O93" s="81">
        <f t="shared" si="188"/>
        <v>0</v>
      </c>
      <c r="P93" s="81">
        <f t="shared" si="188"/>
        <v>0</v>
      </c>
      <c r="Q93" s="81">
        <f t="shared" si="188"/>
        <v>0</v>
      </c>
      <c r="R93" s="81">
        <f t="shared" si="188"/>
        <v>0</v>
      </c>
      <c r="S93" s="81">
        <f t="shared" si="188"/>
        <v>0</v>
      </c>
      <c r="T93" s="81">
        <f t="shared" si="188"/>
        <v>0</v>
      </c>
      <c r="U93" s="81">
        <f t="shared" si="188"/>
        <v>0</v>
      </c>
      <c r="V93" s="81">
        <f t="shared" si="188"/>
        <v>0</v>
      </c>
      <c r="W93" s="81">
        <f t="shared" si="188"/>
        <v>0</v>
      </c>
      <c r="X93" s="81">
        <f t="shared" si="188"/>
        <v>0</v>
      </c>
      <c r="Y93" s="81">
        <f t="shared" si="188"/>
        <v>0</v>
      </c>
      <c r="Z93" s="81">
        <f t="shared" si="188"/>
        <v>0</v>
      </c>
      <c r="AA93" s="81">
        <f t="shared" si="188"/>
        <v>0</v>
      </c>
      <c r="AB93" s="81">
        <f t="shared" si="188"/>
        <v>0</v>
      </c>
      <c r="AC93" s="81">
        <f t="shared" si="188"/>
        <v>0</v>
      </c>
      <c r="AD93" s="81">
        <f t="shared" si="188"/>
        <v>0</v>
      </c>
      <c r="AE93" s="81">
        <f t="shared" si="188"/>
        <v>0</v>
      </c>
      <c r="AF93" s="81">
        <f t="shared" si="188"/>
        <v>0</v>
      </c>
      <c r="AG93" s="81">
        <f t="shared" si="188"/>
        <v>0</v>
      </c>
      <c r="AH93" s="81">
        <f t="shared" si="188"/>
        <v>0</v>
      </c>
      <c r="AI93" s="81">
        <f t="shared" ref="AI93:BN93" si="189">IF(ISERROR(MIN(AI90,AI92)),0,IF(AND(AD&lt;=AI72,AI87&gt;=Fan_Max_rpm,AI90&gt;=min_life,AI90&lt;max_life,AI92&gt;=min_life,AI92&lt;max_life),MIN(AI90,AI92),0))</f>
        <v>0</v>
      </c>
      <c r="AJ93" s="81">
        <f t="shared" si="189"/>
        <v>0</v>
      </c>
      <c r="AK93" s="81">
        <f t="shared" si="189"/>
        <v>0</v>
      </c>
      <c r="AL93" s="81">
        <f t="shared" si="189"/>
        <v>0</v>
      </c>
      <c r="AM93" s="81">
        <f t="shared" si="189"/>
        <v>0</v>
      </c>
      <c r="AN93" s="81">
        <f t="shared" si="189"/>
        <v>0</v>
      </c>
      <c r="AO93" s="81">
        <f t="shared" si="189"/>
        <v>0</v>
      </c>
      <c r="AP93" s="81">
        <f t="shared" si="189"/>
        <v>0</v>
      </c>
      <c r="AQ93" s="81">
        <f t="shared" si="189"/>
        <v>0</v>
      </c>
      <c r="AR93" s="81">
        <f t="shared" si="189"/>
        <v>0</v>
      </c>
      <c r="AS93" s="81">
        <f t="shared" si="189"/>
        <v>0</v>
      </c>
      <c r="AT93" s="81">
        <f t="shared" si="189"/>
        <v>0</v>
      </c>
      <c r="AU93" s="81">
        <f t="shared" si="189"/>
        <v>0</v>
      </c>
      <c r="AV93" s="81">
        <f t="shared" si="189"/>
        <v>0</v>
      </c>
      <c r="AW93" s="81">
        <f t="shared" si="189"/>
        <v>0</v>
      </c>
      <c r="AX93" s="81">
        <f t="shared" si="189"/>
        <v>0</v>
      </c>
      <c r="AY93" s="81">
        <f t="shared" si="189"/>
        <v>31776.068947039028</v>
      </c>
      <c r="AZ93" s="81">
        <f t="shared" si="189"/>
        <v>0</v>
      </c>
      <c r="BA93" s="81">
        <f t="shared" si="189"/>
        <v>0</v>
      </c>
      <c r="BB93" s="81">
        <f t="shared" si="189"/>
        <v>0</v>
      </c>
      <c r="BC93" s="81">
        <f t="shared" si="189"/>
        <v>0</v>
      </c>
      <c r="BD93" s="81">
        <f t="shared" si="189"/>
        <v>0</v>
      </c>
      <c r="BE93" s="81">
        <f t="shared" si="189"/>
        <v>0</v>
      </c>
      <c r="BF93" s="81">
        <f t="shared" si="189"/>
        <v>0</v>
      </c>
      <c r="BG93" s="81">
        <f t="shared" si="189"/>
        <v>0</v>
      </c>
      <c r="BH93" s="81">
        <f t="shared" si="189"/>
        <v>0</v>
      </c>
      <c r="BI93" s="81">
        <f t="shared" si="189"/>
        <v>0</v>
      </c>
      <c r="BJ93" s="81">
        <f t="shared" si="189"/>
        <v>0</v>
      </c>
      <c r="BK93" s="81">
        <f t="shared" si="189"/>
        <v>0</v>
      </c>
      <c r="BL93" s="81">
        <f t="shared" si="189"/>
        <v>0</v>
      </c>
      <c r="BM93" s="81">
        <f t="shared" si="189"/>
        <v>0</v>
      </c>
      <c r="BN93" s="81">
        <f t="shared" si="189"/>
        <v>0</v>
      </c>
      <c r="BO93" s="81">
        <f t="shared" ref="BO93:CT93" si="190">IF(ISERROR(MIN(BO90,BO92)),0,IF(AND(AD&lt;=BO72,BO87&gt;=Fan_Max_rpm,BO90&gt;=min_life,BO90&lt;max_life,BO92&gt;=min_life,BO92&lt;max_life),MIN(BO90,BO92),0))</f>
        <v>0</v>
      </c>
      <c r="BP93" s="81">
        <f t="shared" si="190"/>
        <v>0</v>
      </c>
      <c r="BQ93" s="81">
        <f t="shared" si="190"/>
        <v>0</v>
      </c>
      <c r="BR93" s="81">
        <f t="shared" si="190"/>
        <v>0</v>
      </c>
      <c r="BS93" s="81">
        <f t="shared" si="190"/>
        <v>0</v>
      </c>
      <c r="BT93" s="81">
        <f t="shared" si="190"/>
        <v>0</v>
      </c>
      <c r="BU93" s="81">
        <f t="shared" si="190"/>
        <v>0</v>
      </c>
      <c r="BV93" s="81">
        <f t="shared" si="190"/>
        <v>0</v>
      </c>
      <c r="BW93" s="81">
        <f t="shared" si="190"/>
        <v>0</v>
      </c>
      <c r="BX93" s="81">
        <f t="shared" si="190"/>
        <v>0</v>
      </c>
      <c r="BY93" s="81">
        <f t="shared" si="190"/>
        <v>0</v>
      </c>
      <c r="BZ93" s="81">
        <f t="shared" si="190"/>
        <v>0</v>
      </c>
      <c r="CA93" s="81">
        <f t="shared" si="190"/>
        <v>0</v>
      </c>
      <c r="CB93" s="81">
        <f t="shared" si="190"/>
        <v>0</v>
      </c>
      <c r="CC93" s="81">
        <f t="shared" si="190"/>
        <v>0</v>
      </c>
      <c r="CD93" s="81">
        <f t="shared" si="190"/>
        <v>0</v>
      </c>
      <c r="CE93" s="81">
        <f t="shared" si="190"/>
        <v>0</v>
      </c>
      <c r="CF93" s="81">
        <f t="shared" si="190"/>
        <v>0</v>
      </c>
      <c r="CG93" s="81">
        <f t="shared" si="190"/>
        <v>0</v>
      </c>
      <c r="CH93" s="81">
        <f t="shared" si="190"/>
        <v>0</v>
      </c>
      <c r="CI93" s="81">
        <f t="shared" si="190"/>
        <v>0</v>
      </c>
      <c r="CJ93" s="81">
        <f t="shared" si="190"/>
        <v>0</v>
      </c>
      <c r="CK93" s="81">
        <f t="shared" si="190"/>
        <v>0</v>
      </c>
      <c r="CL93" s="81">
        <f t="shared" si="190"/>
        <v>0</v>
      </c>
      <c r="CM93" s="81">
        <f t="shared" si="190"/>
        <v>0</v>
      </c>
      <c r="CN93" s="81">
        <f t="shared" si="190"/>
        <v>0</v>
      </c>
      <c r="CO93" s="81">
        <f t="shared" si="190"/>
        <v>0</v>
      </c>
      <c r="CP93" s="1092">
        <f t="shared" si="190"/>
        <v>0</v>
      </c>
      <c r="CQ93" s="81">
        <f t="shared" si="190"/>
        <v>0</v>
      </c>
      <c r="CR93" s="81">
        <f t="shared" si="190"/>
        <v>0</v>
      </c>
      <c r="CS93" s="81">
        <f t="shared" si="190"/>
        <v>0</v>
      </c>
      <c r="CT93" s="81">
        <f t="shared" si="190"/>
        <v>0</v>
      </c>
      <c r="CU93" s="81">
        <f t="shared" ref="CU93:DF93" si="191">IF(ISERROR(MIN(CU90,CU92)),0,IF(AND(AD&lt;=CU72,CU87&gt;=Fan_Max_rpm,CU90&gt;=min_life,CU90&lt;max_life,CU92&gt;=min_life,CU92&lt;max_life),MIN(CU90,CU92),0))</f>
        <v>0</v>
      </c>
      <c r="CV93" s="81">
        <f t="shared" si="191"/>
        <v>0</v>
      </c>
      <c r="CW93" s="81">
        <f t="shared" si="191"/>
        <v>0</v>
      </c>
      <c r="CX93" s="81">
        <f t="shared" si="191"/>
        <v>0</v>
      </c>
      <c r="CY93" s="81">
        <f t="shared" si="191"/>
        <v>0</v>
      </c>
      <c r="CZ93" s="81">
        <f t="shared" si="191"/>
        <v>0</v>
      </c>
      <c r="DA93" s="81">
        <f t="shared" si="191"/>
        <v>0</v>
      </c>
      <c r="DB93" s="81">
        <f t="shared" si="191"/>
        <v>0</v>
      </c>
      <c r="DC93" s="81">
        <f t="shared" si="191"/>
        <v>0</v>
      </c>
      <c r="DD93" s="81">
        <f t="shared" si="191"/>
        <v>0</v>
      </c>
      <c r="DE93" s="81">
        <f t="shared" si="191"/>
        <v>0</v>
      </c>
      <c r="DF93" s="81">
        <f t="shared" si="191"/>
        <v>0</v>
      </c>
      <c r="DG93" s="1820"/>
      <c r="DH93" s="1820"/>
      <c r="DI93" s="1820"/>
      <c r="DJ93" s="1821"/>
    </row>
    <row r="94" spans="1:114" ht="15.95" customHeight="1">
      <c r="B94" s="3"/>
      <c r="F94" s="12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4"/>
      <c r="AV94" s="4"/>
      <c r="AW94" s="4"/>
      <c r="AX94" s="4"/>
      <c r="AY94" s="4"/>
    </row>
    <row r="95" spans="1:114" ht="15.95" customHeight="1" thickBot="1">
      <c r="B95" s="3"/>
      <c r="AJ95" s="4"/>
      <c r="AN95" s="4"/>
      <c r="AO95" s="4"/>
      <c r="AP95" s="4"/>
      <c r="AQ95" s="4"/>
      <c r="AR95" s="4"/>
      <c r="AS95" s="4"/>
      <c r="AT95" s="4"/>
      <c r="AU95" s="4"/>
      <c r="AV95" s="4"/>
      <c r="AW95" s="4"/>
      <c r="AX95" s="4"/>
      <c r="AY95" s="4"/>
    </row>
    <row r="96" spans="1:114" ht="15.95" customHeight="1">
      <c r="A96" s="1186">
        <v>1</v>
      </c>
      <c r="B96" s="1184">
        <f>A96+1</f>
        <v>2</v>
      </c>
      <c r="C96" s="1184">
        <f t="shared" ref="C96:AE96" si="192">B96+1</f>
        <v>3</v>
      </c>
      <c r="D96" s="1184">
        <f t="shared" si="192"/>
        <v>4</v>
      </c>
      <c r="E96" s="1184">
        <f t="shared" si="192"/>
        <v>5</v>
      </c>
      <c r="F96" s="1184">
        <f t="shared" si="192"/>
        <v>6</v>
      </c>
      <c r="G96" s="1184">
        <f t="shared" si="192"/>
        <v>7</v>
      </c>
      <c r="H96" s="1184">
        <f t="shared" si="192"/>
        <v>8</v>
      </c>
      <c r="I96" s="1184">
        <f t="shared" si="192"/>
        <v>9</v>
      </c>
      <c r="J96" s="1184">
        <f t="shared" si="192"/>
        <v>10</v>
      </c>
      <c r="K96" s="1184">
        <f t="shared" si="192"/>
        <v>11</v>
      </c>
      <c r="L96" s="1184">
        <f t="shared" si="192"/>
        <v>12</v>
      </c>
      <c r="M96" s="1184">
        <f t="shared" si="192"/>
        <v>13</v>
      </c>
      <c r="N96" s="1184">
        <f t="shared" si="192"/>
        <v>14</v>
      </c>
      <c r="O96" s="1184">
        <f t="shared" si="192"/>
        <v>15</v>
      </c>
      <c r="P96" s="1184">
        <f t="shared" si="192"/>
        <v>16</v>
      </c>
      <c r="Q96" s="1184">
        <f t="shared" si="192"/>
        <v>17</v>
      </c>
      <c r="R96" s="1184">
        <f t="shared" si="192"/>
        <v>18</v>
      </c>
      <c r="S96" s="1184">
        <f t="shared" si="192"/>
        <v>19</v>
      </c>
      <c r="T96" s="1184">
        <f t="shared" si="192"/>
        <v>20</v>
      </c>
      <c r="U96" s="1184">
        <f t="shared" si="192"/>
        <v>21</v>
      </c>
      <c r="V96" s="1184">
        <f t="shared" si="192"/>
        <v>22</v>
      </c>
      <c r="W96" s="1184">
        <f t="shared" si="192"/>
        <v>23</v>
      </c>
      <c r="X96" s="1184">
        <f t="shared" si="192"/>
        <v>24</v>
      </c>
      <c r="Y96" s="1184">
        <f t="shared" si="192"/>
        <v>25</v>
      </c>
      <c r="Z96" s="1185">
        <f t="shared" si="192"/>
        <v>26</v>
      </c>
      <c r="AA96" s="1184">
        <f t="shared" si="192"/>
        <v>27</v>
      </c>
      <c r="AB96" s="1184">
        <f t="shared" si="192"/>
        <v>28</v>
      </c>
      <c r="AC96" s="1184">
        <f t="shared" si="192"/>
        <v>29</v>
      </c>
      <c r="AD96" s="1184">
        <f t="shared" si="192"/>
        <v>30</v>
      </c>
      <c r="AE96" s="1184">
        <f t="shared" si="192"/>
        <v>31</v>
      </c>
      <c r="AF96" s="2039"/>
      <c r="AG96" s="2039"/>
      <c r="AH96" s="2039"/>
      <c r="AI96" s="2039"/>
      <c r="AJ96" s="2039"/>
      <c r="AK96" s="2039"/>
      <c r="AL96" s="2039"/>
      <c r="AM96" s="2039"/>
      <c r="AN96" s="2039"/>
      <c r="AO96" s="2039"/>
      <c r="AP96" s="2039"/>
      <c r="AQ96" s="2040"/>
      <c r="AR96" s="2039"/>
      <c r="AS96" s="2039"/>
      <c r="AT96" s="2039"/>
      <c r="AU96" s="2039"/>
      <c r="AV96" s="2039"/>
      <c r="AW96" s="2039"/>
      <c r="AX96" s="1184"/>
      <c r="AY96" s="1184"/>
      <c r="AZ96" s="1184"/>
      <c r="BA96" s="1184"/>
      <c r="BB96" s="1185"/>
      <c r="BC96" s="265"/>
      <c r="BD96" s="263"/>
      <c r="BE96" s="263"/>
      <c r="BF96" s="2038" t="s">
        <v>69</v>
      </c>
      <c r="BG96" s="2008"/>
      <c r="BH96" s="2008"/>
      <c r="BI96" s="2009"/>
    </row>
    <row r="97" spans="1:61" ht="15.95" customHeight="1" thickBot="1">
      <c r="A97" s="1187" t="s">
        <v>56</v>
      </c>
      <c r="B97" s="1085"/>
      <c r="C97" s="1085"/>
      <c r="D97" s="1085"/>
      <c r="E97" s="1085"/>
      <c r="F97" s="1085"/>
      <c r="G97" s="1085"/>
      <c r="H97" s="1085"/>
      <c r="I97" s="1085"/>
      <c r="J97" s="1085"/>
      <c r="K97" s="1085"/>
      <c r="L97" s="1085"/>
      <c r="M97" s="1085"/>
      <c r="N97" s="1085"/>
      <c r="O97" s="1085"/>
      <c r="P97" s="1085"/>
      <c r="Q97" s="1085"/>
      <c r="R97" s="1085"/>
      <c r="S97" s="1085"/>
      <c r="T97" s="1085"/>
      <c r="U97" s="1085"/>
      <c r="V97" s="1085"/>
      <c r="W97" s="1085"/>
      <c r="X97" s="1085"/>
      <c r="Y97" s="1085"/>
      <c r="Z97" s="1183"/>
      <c r="AA97" s="1085"/>
      <c r="AB97" s="1085"/>
      <c r="AC97" s="1085"/>
      <c r="AD97" s="1085"/>
      <c r="AE97" s="1085"/>
      <c r="AF97" s="2041"/>
      <c r="AG97" s="2041"/>
      <c r="AH97" s="2041"/>
      <c r="AI97" s="2041"/>
      <c r="AJ97" s="2041"/>
      <c r="AK97" s="2041"/>
      <c r="AL97" s="2041"/>
      <c r="AM97" s="2041"/>
      <c r="AN97" s="2041"/>
      <c r="AO97" s="2041"/>
      <c r="AP97" s="2041"/>
      <c r="AQ97" s="2042"/>
      <c r="AR97" s="2041"/>
      <c r="AS97" s="2041"/>
      <c r="AT97" s="2041"/>
      <c r="AU97" s="2041"/>
      <c r="AV97" s="2041"/>
      <c r="AW97" s="2041"/>
      <c r="AX97" s="1085"/>
      <c r="AY97" s="1085"/>
      <c r="AZ97" s="1085"/>
      <c r="BA97" s="1085"/>
      <c r="BB97" s="1183"/>
      <c r="BC97" s="263"/>
      <c r="BD97" s="263"/>
      <c r="BE97" s="263"/>
      <c r="BF97" s="2010"/>
      <c r="BG97" s="2011"/>
      <c r="BH97" s="2011"/>
      <c r="BI97" s="2012"/>
    </row>
    <row r="98" spans="1:61" ht="15.95" customHeight="1" thickBot="1">
      <c r="A98" s="92" t="s">
        <v>52</v>
      </c>
      <c r="B98" s="54"/>
      <c r="C98" s="54">
        <v>6307</v>
      </c>
      <c r="D98" s="54">
        <v>6308</v>
      </c>
      <c r="E98" s="54">
        <v>6309</v>
      </c>
      <c r="F98" s="54">
        <v>6210</v>
      </c>
      <c r="G98" s="54">
        <v>6310</v>
      </c>
      <c r="H98" s="54">
        <v>6211</v>
      </c>
      <c r="I98" s="54">
        <v>6311</v>
      </c>
      <c r="J98" s="54">
        <v>6212</v>
      </c>
      <c r="K98" s="54">
        <v>6312</v>
      </c>
      <c r="L98" s="54">
        <v>6213</v>
      </c>
      <c r="M98" s="54">
        <v>6313</v>
      </c>
      <c r="N98" s="54">
        <v>6314</v>
      </c>
      <c r="O98" s="54">
        <v>6215</v>
      </c>
      <c r="P98" s="54">
        <v>6315</v>
      </c>
      <c r="Q98" s="54">
        <v>6216</v>
      </c>
      <c r="R98" s="54">
        <v>6316</v>
      </c>
      <c r="S98" s="54">
        <v>6317</v>
      </c>
      <c r="T98" s="54">
        <v>6218</v>
      </c>
      <c r="U98" s="54">
        <v>6318</v>
      </c>
      <c r="V98" s="54">
        <v>6219</v>
      </c>
      <c r="W98" s="54">
        <v>6319</v>
      </c>
      <c r="X98" s="54">
        <v>6220</v>
      </c>
      <c r="Y98" s="54">
        <v>6320</v>
      </c>
      <c r="Z98" s="54">
        <v>6222</v>
      </c>
      <c r="AA98" s="54">
        <v>6322</v>
      </c>
      <c r="AB98" s="54">
        <v>6224</v>
      </c>
      <c r="AC98" s="54">
        <v>6324</v>
      </c>
      <c r="AD98" s="54">
        <v>6228</v>
      </c>
      <c r="AE98" s="54">
        <v>23130</v>
      </c>
      <c r="AF98" s="2043"/>
      <c r="AG98" s="2043"/>
      <c r="AH98" s="2043"/>
      <c r="AI98" s="2043"/>
      <c r="AJ98" s="2043"/>
      <c r="AK98" s="2043"/>
      <c r="AL98" s="2043"/>
      <c r="AM98" s="2043"/>
      <c r="AN98" s="2043"/>
      <c r="AO98" s="2043"/>
      <c r="AP98" s="2043"/>
      <c r="AQ98" s="2043"/>
      <c r="AR98" s="2043"/>
      <c r="AS98" s="2043"/>
      <c r="AT98" s="2043"/>
      <c r="AU98" s="2043"/>
      <c r="AV98" s="2043"/>
      <c r="AW98" s="2043"/>
      <c r="AX98" s="54"/>
      <c r="AY98" s="54"/>
      <c r="AZ98" s="54"/>
      <c r="BA98" s="54"/>
      <c r="BB98" s="54"/>
      <c r="BC98" s="263"/>
      <c r="BD98" s="263"/>
      <c r="BE98" s="263"/>
      <c r="BF98" s="740" t="s">
        <v>95</v>
      </c>
      <c r="BG98" s="50" t="s">
        <v>1</v>
      </c>
      <c r="BH98" s="50" t="s">
        <v>57</v>
      </c>
      <c r="BI98" s="741" t="s">
        <v>58</v>
      </c>
    </row>
    <row r="99" spans="1:61" s="11" customFormat="1" ht="15.95" customHeight="1" thickBot="1">
      <c r="A99" s="818" t="s">
        <v>309</v>
      </c>
      <c r="B99" s="819"/>
      <c r="C99" s="819" t="s">
        <v>1802</v>
      </c>
      <c r="D99" s="819" t="s">
        <v>1803</v>
      </c>
      <c r="E99" s="819" t="s">
        <v>1804</v>
      </c>
      <c r="F99" s="819" t="s">
        <v>1803</v>
      </c>
      <c r="G99" s="819" t="s">
        <v>1805</v>
      </c>
      <c r="H99" s="819" t="s">
        <v>1804</v>
      </c>
      <c r="I99" s="819" t="s">
        <v>1805</v>
      </c>
      <c r="J99" s="819" t="s">
        <v>1805</v>
      </c>
      <c r="K99" s="819" t="s">
        <v>1806</v>
      </c>
      <c r="L99" s="819" t="s">
        <v>1805</v>
      </c>
      <c r="M99" s="819" t="s">
        <v>1806</v>
      </c>
      <c r="N99" s="819" t="s">
        <v>1808</v>
      </c>
      <c r="O99" s="819" t="s">
        <v>1806</v>
      </c>
      <c r="P99" s="819" t="s">
        <v>1807</v>
      </c>
      <c r="Q99" s="819" t="s">
        <v>1806</v>
      </c>
      <c r="R99" s="819" t="s">
        <v>1807</v>
      </c>
      <c r="S99" s="819" t="s">
        <v>1810</v>
      </c>
      <c r="T99" s="819" t="s">
        <v>1807</v>
      </c>
      <c r="U99" s="819" t="s">
        <v>1811</v>
      </c>
      <c r="V99" s="819" t="s">
        <v>1807</v>
      </c>
      <c r="W99" s="819" t="s">
        <v>1809</v>
      </c>
      <c r="X99" s="819" t="s">
        <v>1807</v>
      </c>
      <c r="Y99" s="819" t="s">
        <v>1809</v>
      </c>
      <c r="Z99" s="819" t="s">
        <v>1809</v>
      </c>
      <c r="AA99" s="819" t="s">
        <v>1813</v>
      </c>
      <c r="AB99" s="819" t="s">
        <v>1809</v>
      </c>
      <c r="AC99" s="819" t="s">
        <v>1812</v>
      </c>
      <c r="AD99" s="819" t="s">
        <v>1813</v>
      </c>
      <c r="AE99" s="819" t="s">
        <v>1771</v>
      </c>
      <c r="AF99" s="2044"/>
      <c r="AG99" s="2044"/>
      <c r="AH99" s="2044"/>
      <c r="AI99" s="2044"/>
      <c r="AJ99" s="2044"/>
      <c r="AK99" s="2044"/>
      <c r="AL99" s="2044"/>
      <c r="AM99" s="2044"/>
      <c r="AN99" s="2044"/>
      <c r="AO99" s="2044"/>
      <c r="AP99" s="2044"/>
      <c r="AQ99" s="2045"/>
      <c r="AR99" s="2044"/>
      <c r="AS99" s="2044"/>
      <c r="AT99" s="2044"/>
      <c r="AU99" s="2044"/>
      <c r="AV99" s="2044"/>
      <c r="AW99" s="2044"/>
      <c r="AX99" s="819"/>
      <c r="AY99" s="819"/>
      <c r="AZ99" s="819"/>
      <c r="BA99" s="819"/>
      <c r="BB99" s="819"/>
      <c r="BC99" s="820"/>
      <c r="BD99" s="820"/>
      <c r="BE99" s="820"/>
      <c r="BF99" s="2856">
        <v>0</v>
      </c>
      <c r="BG99" s="2857"/>
      <c r="BH99" s="2857"/>
      <c r="BI99" s="2858"/>
    </row>
    <row r="100" spans="1:61" ht="15.95" customHeight="1">
      <c r="A100" s="85" t="s">
        <v>70</v>
      </c>
      <c r="B100" s="708"/>
      <c r="C100" s="69"/>
      <c r="D100" s="69"/>
      <c r="E100" s="69"/>
      <c r="F100" s="69"/>
      <c r="G100" s="69"/>
      <c r="H100" s="69"/>
      <c r="I100" s="69"/>
      <c r="J100" s="69"/>
      <c r="K100" s="69"/>
      <c r="L100" s="69"/>
      <c r="M100" s="69"/>
      <c r="N100" s="69"/>
      <c r="O100" s="69"/>
      <c r="P100" s="69"/>
      <c r="Q100" s="69"/>
      <c r="R100" s="69"/>
      <c r="S100" s="69"/>
      <c r="T100" s="69"/>
      <c r="U100" s="69"/>
      <c r="V100" s="69"/>
      <c r="W100" s="69"/>
      <c r="X100" s="69"/>
      <c r="Y100" s="69"/>
      <c r="Z100" s="69"/>
      <c r="AA100" s="69"/>
      <c r="AB100" s="69"/>
      <c r="AC100" s="708"/>
      <c r="AD100" s="69"/>
      <c r="AE100" s="69"/>
      <c r="AF100" s="2046"/>
      <c r="AG100" s="2046"/>
      <c r="AH100" s="2046"/>
      <c r="AI100" s="2046"/>
      <c r="AJ100" s="2046"/>
      <c r="AK100" s="2046"/>
      <c r="AL100" s="2046"/>
      <c r="AM100" s="2046"/>
      <c r="AN100" s="2046"/>
      <c r="AO100" s="2046"/>
      <c r="AP100" s="2046"/>
      <c r="AQ100" s="2046"/>
      <c r="AR100" s="2046"/>
      <c r="AS100" s="2046"/>
      <c r="AT100" s="2046"/>
      <c r="AU100" s="2046"/>
      <c r="AV100" s="2046"/>
      <c r="AW100" s="2046"/>
      <c r="AX100" s="69"/>
      <c r="AY100" s="69"/>
      <c r="AZ100" s="69"/>
      <c r="BA100" s="69"/>
      <c r="BB100" s="69"/>
      <c r="BC100" s="263"/>
      <c r="BD100" s="263"/>
      <c r="BE100" s="263"/>
      <c r="BF100" s="2859">
        <v>2.5000000000000001E-2</v>
      </c>
      <c r="BG100" s="2860">
        <v>0.31</v>
      </c>
      <c r="BH100" s="2860">
        <v>0.46</v>
      </c>
      <c r="BI100" s="2861">
        <v>1.75</v>
      </c>
    </row>
    <row r="101" spans="1:61" ht="15.95" customHeight="1">
      <c r="A101" s="5" t="s">
        <v>72</v>
      </c>
      <c r="B101" s="5"/>
      <c r="C101" s="5">
        <v>35</v>
      </c>
      <c r="D101" s="5">
        <v>40</v>
      </c>
      <c r="E101" s="5">
        <v>45</v>
      </c>
      <c r="F101" s="5">
        <v>50</v>
      </c>
      <c r="G101" s="5">
        <v>50</v>
      </c>
      <c r="H101" s="5">
        <v>55</v>
      </c>
      <c r="I101" s="5">
        <v>55</v>
      </c>
      <c r="J101" s="5">
        <v>60</v>
      </c>
      <c r="K101" s="5">
        <v>60</v>
      </c>
      <c r="L101" s="5">
        <v>65</v>
      </c>
      <c r="M101" s="5">
        <v>65</v>
      </c>
      <c r="N101" s="5">
        <v>70</v>
      </c>
      <c r="O101" s="5">
        <v>75</v>
      </c>
      <c r="P101" s="5">
        <v>75</v>
      </c>
      <c r="Q101" s="5">
        <v>80</v>
      </c>
      <c r="R101" s="5">
        <v>80</v>
      </c>
      <c r="S101" s="5">
        <v>85</v>
      </c>
      <c r="T101" s="5">
        <v>90</v>
      </c>
      <c r="U101" s="5">
        <v>90</v>
      </c>
      <c r="V101" s="5">
        <v>95</v>
      </c>
      <c r="W101" s="5">
        <v>95</v>
      </c>
      <c r="X101" s="5">
        <v>100</v>
      </c>
      <c r="Y101" s="5">
        <v>100</v>
      </c>
      <c r="Z101" s="5">
        <v>110</v>
      </c>
      <c r="AA101" s="5">
        <v>110</v>
      </c>
      <c r="AB101" s="5">
        <v>120</v>
      </c>
      <c r="AC101" s="5">
        <v>120</v>
      </c>
      <c r="AD101" s="5">
        <v>140</v>
      </c>
      <c r="AE101" s="5">
        <v>150</v>
      </c>
      <c r="AF101" s="2047"/>
      <c r="AG101" s="2047"/>
      <c r="AH101" s="2047"/>
      <c r="AI101" s="2047"/>
      <c r="AJ101" s="2047"/>
      <c r="AK101" s="2047"/>
      <c r="AL101" s="2047"/>
      <c r="AM101" s="2047"/>
      <c r="AN101" s="2047"/>
      <c r="AO101" s="2047"/>
      <c r="AP101" s="2047"/>
      <c r="AQ101" s="2047"/>
      <c r="AR101" s="2047"/>
      <c r="AS101" s="2047"/>
      <c r="AT101" s="2047"/>
      <c r="AU101" s="2047"/>
      <c r="AV101" s="2047"/>
      <c r="AW101" s="2047"/>
      <c r="AX101" s="5"/>
      <c r="AY101" s="5"/>
      <c r="AZ101" s="5"/>
      <c r="BA101" s="5"/>
      <c r="BB101" s="5"/>
      <c r="BC101" s="263"/>
      <c r="BD101" s="263"/>
      <c r="BE101" s="263"/>
      <c r="BF101" s="2859">
        <v>0.04</v>
      </c>
      <c r="BG101" s="2860">
        <v>0.33</v>
      </c>
      <c r="BH101" s="2860">
        <v>0.46</v>
      </c>
      <c r="BI101" s="2861">
        <v>1.62</v>
      </c>
    </row>
    <row r="102" spans="1:61" ht="15.95" customHeight="1">
      <c r="A102" s="70" t="s">
        <v>2648</v>
      </c>
      <c r="B102" s="5"/>
      <c r="C102" s="5">
        <v>60</v>
      </c>
      <c r="D102" s="5">
        <v>90</v>
      </c>
      <c r="E102" s="5">
        <v>90</v>
      </c>
      <c r="F102" s="5">
        <v>90</v>
      </c>
      <c r="G102" s="5">
        <v>100</v>
      </c>
      <c r="H102" s="5">
        <v>90</v>
      </c>
      <c r="I102" s="5">
        <v>100</v>
      </c>
      <c r="J102" s="5">
        <v>100</v>
      </c>
      <c r="K102" s="5">
        <v>120</v>
      </c>
      <c r="L102" s="5">
        <v>100</v>
      </c>
      <c r="M102" s="5">
        <v>120</v>
      </c>
      <c r="N102" s="5">
        <v>95</v>
      </c>
      <c r="O102" s="5">
        <v>120</v>
      </c>
      <c r="P102" s="5">
        <v>160</v>
      </c>
      <c r="Q102" s="5">
        <v>120</v>
      </c>
      <c r="R102" s="5">
        <v>160</v>
      </c>
      <c r="S102" s="5">
        <v>112</v>
      </c>
      <c r="T102" s="5">
        <v>160</v>
      </c>
      <c r="U102" s="5">
        <v>112</v>
      </c>
      <c r="V102" s="5">
        <v>160</v>
      </c>
      <c r="W102" s="5">
        <v>190</v>
      </c>
      <c r="X102" s="5">
        <v>160</v>
      </c>
      <c r="Y102" s="5">
        <v>190</v>
      </c>
      <c r="Z102" s="5">
        <v>190</v>
      </c>
      <c r="AA102" s="5">
        <v>220</v>
      </c>
      <c r="AB102" s="5">
        <v>190</v>
      </c>
      <c r="AC102" s="5">
        <v>160</v>
      </c>
      <c r="AD102" s="5">
        <v>220</v>
      </c>
      <c r="AE102" s="5">
        <v>220</v>
      </c>
      <c r="AF102" s="2047"/>
      <c r="AG102" s="2047"/>
      <c r="AH102" s="2047"/>
      <c r="AI102" s="2047"/>
      <c r="AJ102" s="2047"/>
      <c r="AK102" s="2047"/>
      <c r="AL102" s="2047"/>
      <c r="AM102" s="2047"/>
      <c r="AN102" s="2047"/>
      <c r="AO102" s="2047"/>
      <c r="AP102" s="2047"/>
      <c r="AQ102" s="2047"/>
      <c r="AR102" s="2047"/>
      <c r="AS102" s="2047"/>
      <c r="AT102" s="2047"/>
      <c r="AU102" s="2047"/>
      <c r="AV102" s="2047"/>
      <c r="AW102" s="2047"/>
      <c r="AX102" s="5"/>
      <c r="AY102" s="5"/>
      <c r="AZ102" s="5"/>
      <c r="BA102" s="5"/>
      <c r="BB102" s="5"/>
      <c r="BC102" s="263"/>
      <c r="BD102" s="263"/>
      <c r="BE102" s="263"/>
      <c r="BF102" s="2859">
        <v>7.0000000000000007E-2</v>
      </c>
      <c r="BG102" s="2860">
        <v>0.36</v>
      </c>
      <c r="BH102" s="2860">
        <v>0.46</v>
      </c>
      <c r="BI102" s="2861">
        <v>1.46</v>
      </c>
    </row>
    <row r="103" spans="1:61" ht="15.95" customHeight="1">
      <c r="A103" s="70" t="s">
        <v>1411</v>
      </c>
      <c r="B103" s="5"/>
      <c r="C103" s="5">
        <v>190</v>
      </c>
      <c r="D103" s="5">
        <v>230</v>
      </c>
      <c r="E103" s="5">
        <v>230</v>
      </c>
      <c r="F103" s="5">
        <v>230</v>
      </c>
      <c r="G103" s="5">
        <v>260</v>
      </c>
      <c r="H103" s="5">
        <v>230</v>
      </c>
      <c r="I103" s="5">
        <v>260</v>
      </c>
      <c r="J103" s="5">
        <v>260</v>
      </c>
      <c r="K103" s="5">
        <v>290</v>
      </c>
      <c r="L103" s="5">
        <v>260</v>
      </c>
      <c r="M103" s="5">
        <v>290</v>
      </c>
      <c r="N103" s="5">
        <v>290</v>
      </c>
      <c r="O103" s="5">
        <v>290</v>
      </c>
      <c r="P103" s="5">
        <v>380</v>
      </c>
      <c r="Q103" s="5">
        <v>290</v>
      </c>
      <c r="R103" s="5">
        <v>380</v>
      </c>
      <c r="S103" s="5">
        <v>350</v>
      </c>
      <c r="T103" s="5">
        <v>380</v>
      </c>
      <c r="U103" s="5">
        <v>350</v>
      </c>
      <c r="V103" s="5">
        <v>380</v>
      </c>
      <c r="W103" s="5">
        <v>470</v>
      </c>
      <c r="X103" s="5">
        <v>380</v>
      </c>
      <c r="Y103" s="5">
        <v>470</v>
      </c>
      <c r="Z103" s="5">
        <v>470</v>
      </c>
      <c r="AA103" s="5">
        <v>540</v>
      </c>
      <c r="AB103" s="5">
        <v>470</v>
      </c>
      <c r="AC103" s="5">
        <v>500</v>
      </c>
      <c r="AD103" s="5">
        <v>540</v>
      </c>
      <c r="AE103" s="5">
        <v>540</v>
      </c>
      <c r="AF103" s="2047"/>
      <c r="AG103" s="2047"/>
      <c r="AH103" s="2047"/>
      <c r="AI103" s="2047"/>
      <c r="AJ103" s="2047"/>
      <c r="AK103" s="2047"/>
      <c r="AL103" s="2047"/>
      <c r="AM103" s="2047"/>
      <c r="AN103" s="2047"/>
      <c r="AO103" s="2047"/>
      <c r="AP103" s="2047"/>
      <c r="AQ103" s="2047"/>
      <c r="AR103" s="2047"/>
      <c r="AS103" s="2047"/>
      <c r="AT103" s="2047"/>
      <c r="AU103" s="2047"/>
      <c r="AV103" s="2047"/>
      <c r="AW103" s="2047"/>
      <c r="AX103" s="5"/>
      <c r="AY103" s="5"/>
      <c r="AZ103" s="5"/>
      <c r="BA103" s="5"/>
      <c r="BB103" s="5"/>
      <c r="BC103" s="263"/>
      <c r="BD103" s="263"/>
      <c r="BE103" s="263"/>
      <c r="BF103" s="2859"/>
      <c r="BG103" s="2860"/>
      <c r="BH103" s="2860"/>
      <c r="BI103" s="2861"/>
    </row>
    <row r="104" spans="1:61" ht="15.95" customHeight="1">
      <c r="A104" s="70" t="s">
        <v>1412</v>
      </c>
      <c r="B104" s="5"/>
      <c r="C104" s="5">
        <v>45</v>
      </c>
      <c r="D104" s="5">
        <v>50</v>
      </c>
      <c r="E104" s="5">
        <v>50</v>
      </c>
      <c r="F104" s="5">
        <v>50</v>
      </c>
      <c r="G104" s="5">
        <v>50</v>
      </c>
      <c r="H104" s="5">
        <v>50</v>
      </c>
      <c r="I104" s="5">
        <v>50</v>
      </c>
      <c r="J104" s="5">
        <v>50</v>
      </c>
      <c r="K104" s="5">
        <v>63</v>
      </c>
      <c r="L104" s="5">
        <v>50</v>
      </c>
      <c r="M104" s="5">
        <v>63</v>
      </c>
      <c r="N104" s="5">
        <v>70</v>
      </c>
      <c r="O104" s="5">
        <v>63</v>
      </c>
      <c r="P104" s="5">
        <v>85</v>
      </c>
      <c r="Q104" s="5">
        <v>63</v>
      </c>
      <c r="R104" s="5">
        <v>85</v>
      </c>
      <c r="S104" s="5">
        <v>80</v>
      </c>
      <c r="T104" s="5">
        <v>85</v>
      </c>
      <c r="U104" s="5">
        <v>85</v>
      </c>
      <c r="V104" s="5">
        <v>85</v>
      </c>
      <c r="W104" s="5">
        <v>102</v>
      </c>
      <c r="X104" s="5">
        <v>85</v>
      </c>
      <c r="Y104" s="5">
        <v>102</v>
      </c>
      <c r="Z104" s="5">
        <v>102</v>
      </c>
      <c r="AA104" s="5">
        <v>120</v>
      </c>
      <c r="AB104" s="5">
        <v>102</v>
      </c>
      <c r="AC104" s="5">
        <v>100</v>
      </c>
      <c r="AD104" s="5">
        <v>120</v>
      </c>
      <c r="AE104" s="5">
        <v>120</v>
      </c>
      <c r="AF104" s="2047"/>
      <c r="AG104" s="2047"/>
      <c r="AH104" s="2047"/>
      <c r="AI104" s="2047"/>
      <c r="AJ104" s="2047"/>
      <c r="AK104" s="2047"/>
      <c r="AL104" s="2047"/>
      <c r="AM104" s="2047"/>
      <c r="AN104" s="2047"/>
      <c r="AO104" s="2047"/>
      <c r="AP104" s="2047"/>
      <c r="AQ104" s="2047"/>
      <c r="AR104" s="2047"/>
      <c r="AS104" s="2047"/>
      <c r="AT104" s="2047"/>
      <c r="AU104" s="2047"/>
      <c r="AV104" s="2047"/>
      <c r="AW104" s="2047"/>
      <c r="AX104" s="5"/>
      <c r="AY104" s="5"/>
      <c r="AZ104" s="5"/>
      <c r="BA104" s="5"/>
      <c r="BB104" s="5"/>
      <c r="BC104" s="263"/>
      <c r="BD104" s="263"/>
      <c r="BE104" s="263"/>
      <c r="BF104" s="2859">
        <v>0.13</v>
      </c>
      <c r="BG104" s="2860">
        <v>0.41</v>
      </c>
      <c r="BH104" s="2860">
        <v>0.46</v>
      </c>
      <c r="BI104" s="2861">
        <v>1.3</v>
      </c>
    </row>
    <row r="105" spans="1:61" ht="15.95" customHeight="1">
      <c r="A105" s="70" t="s">
        <v>1408</v>
      </c>
      <c r="B105" s="5"/>
      <c r="C105" s="5">
        <v>150</v>
      </c>
      <c r="D105" s="5">
        <v>185</v>
      </c>
      <c r="E105" s="5">
        <v>185</v>
      </c>
      <c r="F105" s="5">
        <v>185</v>
      </c>
      <c r="G105" s="5">
        <v>210</v>
      </c>
      <c r="H105" s="5">
        <v>185</v>
      </c>
      <c r="I105" s="5">
        <v>210</v>
      </c>
      <c r="J105" s="5">
        <v>210</v>
      </c>
      <c r="K105" s="5">
        <v>240</v>
      </c>
      <c r="L105" s="5">
        <v>210</v>
      </c>
      <c r="M105" s="5">
        <v>240</v>
      </c>
      <c r="N105" s="5">
        <v>230</v>
      </c>
      <c r="O105" s="5">
        <v>240</v>
      </c>
      <c r="P105" s="5">
        <v>310</v>
      </c>
      <c r="Q105" s="5">
        <v>240</v>
      </c>
      <c r="R105" s="5">
        <v>310</v>
      </c>
      <c r="S105" s="5">
        <v>290</v>
      </c>
      <c r="T105" s="5">
        <v>310</v>
      </c>
      <c r="U105" s="5">
        <v>290</v>
      </c>
      <c r="V105" s="5">
        <v>310</v>
      </c>
      <c r="W105" s="5">
        <v>385</v>
      </c>
      <c r="X105" s="5">
        <v>310</v>
      </c>
      <c r="Y105" s="5">
        <v>385</v>
      </c>
      <c r="Z105" s="5">
        <v>385</v>
      </c>
      <c r="AA105" s="5">
        <v>440</v>
      </c>
      <c r="AB105" s="5">
        <v>385</v>
      </c>
      <c r="AC105" s="5">
        <v>410</v>
      </c>
      <c r="AD105" s="5">
        <v>440</v>
      </c>
      <c r="AE105" s="5">
        <v>440</v>
      </c>
      <c r="AF105" s="2047"/>
      <c r="AG105" s="2047"/>
      <c r="AH105" s="2047"/>
      <c r="AI105" s="2047"/>
      <c r="AJ105" s="2047"/>
      <c r="AK105" s="2047"/>
      <c r="AL105" s="2047"/>
      <c r="AM105" s="2047"/>
      <c r="AN105" s="2047"/>
      <c r="AO105" s="2047"/>
      <c r="AP105" s="2047"/>
      <c r="AQ105" s="2047"/>
      <c r="AR105" s="2047"/>
      <c r="AS105" s="2047"/>
      <c r="AT105" s="2047"/>
      <c r="AU105" s="2047"/>
      <c r="AV105" s="2047"/>
      <c r="AW105" s="2047"/>
      <c r="AX105" s="5"/>
      <c r="AY105" s="5"/>
      <c r="AZ105" s="5"/>
      <c r="BA105" s="5"/>
      <c r="BB105" s="5"/>
      <c r="BC105" s="263"/>
      <c r="BD105" s="263"/>
      <c r="BE105" s="263"/>
      <c r="BF105" s="2859">
        <v>0.25</v>
      </c>
      <c r="BG105" s="2860">
        <v>0.46</v>
      </c>
      <c r="BH105" s="2860">
        <v>0.46</v>
      </c>
      <c r="BI105" s="2861">
        <v>1.1399999999999999</v>
      </c>
    </row>
    <row r="106" spans="1:61" ht="15.95" customHeight="1" thickBot="1">
      <c r="A106" s="70" t="s">
        <v>2649</v>
      </c>
      <c r="B106" s="5"/>
      <c r="C106" s="5">
        <v>15</v>
      </c>
      <c r="D106" s="5">
        <v>14</v>
      </c>
      <c r="E106" s="5">
        <v>14</v>
      </c>
      <c r="F106" s="5">
        <v>14</v>
      </c>
      <c r="G106" s="5">
        <v>18</v>
      </c>
      <c r="H106" s="5">
        <v>14</v>
      </c>
      <c r="I106" s="5">
        <v>18</v>
      </c>
      <c r="J106" s="5">
        <v>18</v>
      </c>
      <c r="K106" s="5">
        <v>18</v>
      </c>
      <c r="L106" s="5">
        <v>18</v>
      </c>
      <c r="M106" s="5">
        <v>18</v>
      </c>
      <c r="N106" s="5">
        <v>20</v>
      </c>
      <c r="O106" s="5">
        <v>18</v>
      </c>
      <c r="P106" s="5">
        <v>22</v>
      </c>
      <c r="Q106" s="5">
        <v>18</v>
      </c>
      <c r="R106" s="5">
        <v>22</v>
      </c>
      <c r="S106" s="5">
        <v>20</v>
      </c>
      <c r="T106" s="5">
        <v>22</v>
      </c>
      <c r="U106" s="5">
        <v>20</v>
      </c>
      <c r="V106" s="5">
        <v>22</v>
      </c>
      <c r="W106" s="5">
        <v>26</v>
      </c>
      <c r="X106" s="5">
        <v>22</v>
      </c>
      <c r="Y106" s="5">
        <v>26</v>
      </c>
      <c r="Z106" s="5">
        <v>26</v>
      </c>
      <c r="AA106" s="5">
        <v>32</v>
      </c>
      <c r="AB106" s="5">
        <v>26</v>
      </c>
      <c r="AC106" s="5">
        <v>35</v>
      </c>
      <c r="AD106" s="5">
        <v>32</v>
      </c>
      <c r="AE106" s="5">
        <v>32</v>
      </c>
      <c r="AF106" s="2047"/>
      <c r="AG106" s="2047"/>
      <c r="AH106" s="2047"/>
      <c r="AI106" s="2047"/>
      <c r="AJ106" s="2047"/>
      <c r="AK106" s="2047"/>
      <c r="AL106" s="2047"/>
      <c r="AM106" s="2047"/>
      <c r="AN106" s="2047"/>
      <c r="AO106" s="2047"/>
      <c r="AP106" s="2047"/>
      <c r="AQ106" s="2047"/>
      <c r="AR106" s="2047"/>
      <c r="AS106" s="2047"/>
      <c r="AT106" s="2047"/>
      <c r="AU106" s="2047"/>
      <c r="AV106" s="2047"/>
      <c r="AW106" s="2047"/>
      <c r="AX106" s="5"/>
      <c r="AY106" s="5"/>
      <c r="AZ106" s="5"/>
      <c r="BA106" s="5"/>
      <c r="BB106" s="5"/>
      <c r="BC106" s="263"/>
      <c r="BD106" s="263"/>
      <c r="BE106" s="263"/>
      <c r="BF106" s="2862">
        <v>0.5</v>
      </c>
      <c r="BG106" s="2863">
        <v>0.54</v>
      </c>
      <c r="BH106" s="2863">
        <v>0.46</v>
      </c>
      <c r="BI106" s="2864">
        <v>1</v>
      </c>
    </row>
    <row r="107" spans="1:61" ht="15.95" customHeight="1" thickBot="1">
      <c r="A107" s="70" t="s">
        <v>1744</v>
      </c>
      <c r="B107" s="3"/>
      <c r="C107" s="9">
        <v>197</v>
      </c>
      <c r="D107" s="9">
        <v>240</v>
      </c>
      <c r="E107" s="9">
        <v>245</v>
      </c>
      <c r="F107" s="9">
        <v>225</v>
      </c>
      <c r="G107" s="9">
        <v>275</v>
      </c>
      <c r="H107" s="9">
        <v>275</v>
      </c>
      <c r="I107" s="9">
        <v>280</v>
      </c>
      <c r="J107" s="9">
        <v>275</v>
      </c>
      <c r="K107" s="9">
        <v>335</v>
      </c>
      <c r="L107" s="9">
        <v>360</v>
      </c>
      <c r="M107" s="9">
        <v>340</v>
      </c>
      <c r="N107" s="9">
        <v>422</v>
      </c>
      <c r="O107" s="9">
        <v>360</v>
      </c>
      <c r="P107" s="9">
        <v>435</v>
      </c>
      <c r="Q107" s="9">
        <v>360</v>
      </c>
      <c r="R107" s="9">
        <v>440</v>
      </c>
      <c r="S107" s="9">
        <v>486</v>
      </c>
      <c r="T107" s="9">
        <v>450</v>
      </c>
      <c r="U107" s="9">
        <v>510</v>
      </c>
      <c r="V107" s="9">
        <v>450</v>
      </c>
      <c r="W107" s="9">
        <v>545</v>
      </c>
      <c r="X107" s="9">
        <v>450</v>
      </c>
      <c r="Y107" s="9">
        <v>550</v>
      </c>
      <c r="Z107" s="9">
        <v>540</v>
      </c>
      <c r="AA107" s="9">
        <v>650</v>
      </c>
      <c r="AB107" s="9">
        <v>540</v>
      </c>
      <c r="AC107" s="3">
        <v>602</v>
      </c>
      <c r="AD107" s="9">
        <v>540</v>
      </c>
      <c r="AE107" s="9">
        <v>554</v>
      </c>
      <c r="AF107" s="2048"/>
      <c r="AG107" s="2048"/>
      <c r="AH107" s="2048"/>
      <c r="AI107" s="2048"/>
      <c r="AJ107" s="2048"/>
      <c r="AK107" s="2048"/>
      <c r="AL107" s="2048"/>
      <c r="AM107" s="2048"/>
      <c r="AN107" s="2048"/>
      <c r="AO107" s="2048"/>
      <c r="AP107" s="2048"/>
      <c r="AQ107" s="2048"/>
      <c r="AR107" s="2048"/>
      <c r="AS107" s="2048"/>
      <c r="AT107" s="2048"/>
      <c r="AU107" s="2048"/>
      <c r="AV107" s="2048"/>
      <c r="AW107" s="2048"/>
      <c r="AX107" s="9"/>
      <c r="AY107" s="9"/>
      <c r="AZ107" s="9"/>
      <c r="BA107" s="9"/>
      <c r="BB107" s="9"/>
      <c r="BC107" s="263"/>
      <c r="BD107" s="263"/>
      <c r="BE107" s="263"/>
    </row>
    <row r="108" spans="1:61" ht="15.95" customHeight="1">
      <c r="A108" s="92" t="s">
        <v>66</v>
      </c>
      <c r="B108" s="69"/>
      <c r="C108" s="54"/>
      <c r="D108" s="54"/>
      <c r="E108" s="54"/>
      <c r="F108" s="54"/>
      <c r="G108" s="54"/>
      <c r="H108" s="54"/>
      <c r="I108" s="54"/>
      <c r="J108" s="54"/>
      <c r="K108" s="54"/>
      <c r="L108" s="54"/>
      <c r="M108" s="54"/>
      <c r="N108" s="54"/>
      <c r="O108" s="54"/>
      <c r="P108" s="54"/>
      <c r="Q108" s="54"/>
      <c r="R108" s="54"/>
      <c r="S108" s="54"/>
      <c r="T108" s="54"/>
      <c r="U108" s="54"/>
      <c r="V108" s="54"/>
      <c r="W108" s="54"/>
      <c r="X108" s="54"/>
      <c r="Y108" s="54"/>
      <c r="Z108" s="54"/>
      <c r="AA108" s="54"/>
      <c r="AB108" s="54"/>
      <c r="AC108" s="69"/>
      <c r="AD108" s="54"/>
      <c r="AE108" s="54"/>
      <c r="AF108" s="2043"/>
      <c r="AG108" s="2043"/>
      <c r="AH108" s="2043"/>
      <c r="AI108" s="2043"/>
      <c r="AJ108" s="2043"/>
      <c r="AK108" s="2043"/>
      <c r="AL108" s="2043"/>
      <c r="AM108" s="2043"/>
      <c r="AN108" s="2043"/>
      <c r="AO108" s="2043"/>
      <c r="AP108" s="2043"/>
      <c r="AQ108" s="2043"/>
      <c r="AR108" s="2043"/>
      <c r="AS108" s="2043"/>
      <c r="AT108" s="2043"/>
      <c r="AU108" s="2043"/>
      <c r="AV108" s="2043"/>
      <c r="AW108" s="2043"/>
      <c r="AX108" s="54"/>
      <c r="AY108" s="54"/>
      <c r="AZ108" s="54"/>
      <c r="BA108" s="54"/>
      <c r="BB108" s="54"/>
      <c r="BC108" s="263"/>
      <c r="BD108" s="264"/>
      <c r="BE108" s="264"/>
      <c r="BF108" s="75"/>
    </row>
    <row r="109" spans="1:61" s="75" customFormat="1" ht="15.95" customHeight="1">
      <c r="A109" s="71" t="s">
        <v>9</v>
      </c>
      <c r="B109" s="72"/>
      <c r="C109" s="93">
        <v>1</v>
      </c>
      <c r="D109" s="93">
        <v>1</v>
      </c>
      <c r="E109" s="93">
        <v>1</v>
      </c>
      <c r="F109" s="93">
        <v>1</v>
      </c>
      <c r="G109" s="93">
        <v>1</v>
      </c>
      <c r="H109" s="93">
        <v>1</v>
      </c>
      <c r="I109" s="93">
        <v>1</v>
      </c>
      <c r="J109" s="93">
        <v>1</v>
      </c>
      <c r="K109" s="93">
        <v>1</v>
      </c>
      <c r="L109" s="93">
        <v>1</v>
      </c>
      <c r="M109" s="93">
        <v>1</v>
      </c>
      <c r="N109" s="93">
        <v>1</v>
      </c>
      <c r="O109" s="93">
        <v>1</v>
      </c>
      <c r="P109" s="93">
        <v>1</v>
      </c>
      <c r="Q109" s="93">
        <v>1</v>
      </c>
      <c r="R109" s="93">
        <v>1</v>
      </c>
      <c r="S109" s="93">
        <v>1</v>
      </c>
      <c r="T109" s="93">
        <v>1</v>
      </c>
      <c r="U109" s="93">
        <v>1</v>
      </c>
      <c r="V109" s="93">
        <v>1</v>
      </c>
      <c r="W109" s="93">
        <v>1</v>
      </c>
      <c r="X109" s="93">
        <v>1</v>
      </c>
      <c r="Y109" s="93">
        <v>1</v>
      </c>
      <c r="Z109" s="93">
        <v>1</v>
      </c>
      <c r="AA109" s="93">
        <v>1</v>
      </c>
      <c r="AB109" s="93">
        <v>1</v>
      </c>
      <c r="AC109" s="72">
        <v>1</v>
      </c>
      <c r="AD109" s="93">
        <v>1</v>
      </c>
      <c r="AE109" s="93">
        <v>1</v>
      </c>
      <c r="AF109" s="93"/>
      <c r="AG109" s="93"/>
      <c r="AH109" s="93"/>
      <c r="AI109" s="93"/>
      <c r="AJ109" s="93"/>
      <c r="AK109" s="93"/>
      <c r="AL109" s="93"/>
      <c r="AM109" s="93"/>
      <c r="AN109" s="93"/>
      <c r="AO109" s="93"/>
      <c r="AP109" s="93"/>
      <c r="AQ109" s="93"/>
      <c r="AR109" s="93"/>
      <c r="AS109" s="93"/>
      <c r="AT109" s="93"/>
      <c r="AU109" s="93"/>
      <c r="AV109" s="93"/>
      <c r="AW109" s="93"/>
      <c r="AX109" s="93"/>
      <c r="AY109" s="93"/>
      <c r="AZ109" s="93"/>
      <c r="BA109" s="93"/>
      <c r="BB109" s="93"/>
      <c r="BC109" s="264"/>
      <c r="BD109" s="264"/>
      <c r="BE109" s="264"/>
    </row>
    <row r="110" spans="1:61" s="75" customFormat="1" ht="15.95" customHeight="1">
      <c r="A110" s="71" t="s">
        <v>10</v>
      </c>
      <c r="B110" s="72"/>
      <c r="C110" s="2052">
        <f t="shared" ref="C110:L110" si="193">INDEX(PDN_Calculation_data,MATCH(FAXA/C$114,PDN_Fa_Co,1)+1,3,TRUE)</f>
        <v>0.46</v>
      </c>
      <c r="D110" s="2052">
        <f t="shared" si="193"/>
        <v>0.46</v>
      </c>
      <c r="E110" s="2052">
        <f t="shared" si="193"/>
        <v>0</v>
      </c>
      <c r="F110" s="2052">
        <f t="shared" si="193"/>
        <v>0.46</v>
      </c>
      <c r="G110" s="2052">
        <f t="shared" si="193"/>
        <v>0</v>
      </c>
      <c r="H110" s="2052">
        <f t="shared" si="193"/>
        <v>0</v>
      </c>
      <c r="I110" s="2052">
        <f t="shared" si="193"/>
        <v>0</v>
      </c>
      <c r="J110" s="2052">
        <f t="shared" si="193"/>
        <v>0</v>
      </c>
      <c r="K110" s="2052">
        <f t="shared" si="193"/>
        <v>0</v>
      </c>
      <c r="L110" s="2052">
        <f t="shared" si="193"/>
        <v>0</v>
      </c>
      <c r="M110" s="2052">
        <f>INDEX(PDN_Calculation_data,MATCH(FAXA/M$114,PDN_Fa_Co,1)+1,3,TRUE)</f>
        <v>0.46</v>
      </c>
      <c r="N110" s="2052">
        <f t="shared" ref="N110:T110" si="194">INDEX(PDN_Calculation_data,MATCH(FAXA/N$114,PDN_Fa_Co,1)+1,3,TRUE)</f>
        <v>0.46</v>
      </c>
      <c r="O110" s="2052">
        <f t="shared" si="194"/>
        <v>0</v>
      </c>
      <c r="P110" s="2052">
        <f t="shared" si="194"/>
        <v>0.46</v>
      </c>
      <c r="Q110" s="2052">
        <f t="shared" si="194"/>
        <v>0.46</v>
      </c>
      <c r="R110" s="2052">
        <f t="shared" si="194"/>
        <v>0.46</v>
      </c>
      <c r="S110" s="2052">
        <f t="shared" si="194"/>
        <v>0.46</v>
      </c>
      <c r="T110" s="2052">
        <f t="shared" si="194"/>
        <v>0.46</v>
      </c>
      <c r="U110" s="2052">
        <f>INDEX(PDN_Calculation_data,MATCH(FAXA/U$114,PDN_Fa_Co,1)+1,3,TRUE)</f>
        <v>0.46</v>
      </c>
      <c r="V110" s="2052">
        <f>INDEX(PDN_Calculation_data,MATCH(FAXA/V$114,PDN_Fa_Co,1)+1,3,TRUE)</f>
        <v>0.46</v>
      </c>
      <c r="W110" s="2052">
        <f>INDEX(PDN_Calculation_data,MATCH(FAXA/W$114,PDN_Fa_Co,1)+1,3,TRUE)</f>
        <v>0.46</v>
      </c>
      <c r="X110" s="2052">
        <f>INDEX(PDN_Calculation_data,MATCH(FAXA/X$114,PDN_Fa_Co,1)+1,3,TRUE)</f>
        <v>0.46</v>
      </c>
      <c r="Y110" s="2052">
        <f>INDEX(PDN_Calculation_data,MATCH(FAXA/Y$114,PDN_Fa_Co,1)+1,3,TRUE)</f>
        <v>0.46</v>
      </c>
      <c r="Z110" s="2052">
        <f t="shared" ref="Z110:AE110" si="195">INDEX(PDN_Calculation_data,MATCH(FAXA/Z$114,PDN_Fa_Co,1)+1,3,TRUE)</f>
        <v>0.46</v>
      </c>
      <c r="AA110" s="2052">
        <f t="shared" si="195"/>
        <v>0.46</v>
      </c>
      <c r="AB110" s="2052">
        <f t="shared" si="195"/>
        <v>0.46</v>
      </c>
      <c r="AC110" s="2053">
        <f t="shared" si="195"/>
        <v>0.46</v>
      </c>
      <c r="AD110" s="2052">
        <f t="shared" si="195"/>
        <v>0.46</v>
      </c>
      <c r="AE110" s="2052">
        <f t="shared" si="195"/>
        <v>0.46</v>
      </c>
      <c r="AF110" s="93"/>
      <c r="AG110" s="93"/>
      <c r="AH110" s="93"/>
      <c r="AI110" s="93"/>
      <c r="AJ110" s="93"/>
      <c r="AK110" s="93"/>
      <c r="AL110" s="93"/>
      <c r="AM110" s="93"/>
      <c r="AN110" s="93"/>
      <c r="AO110" s="93"/>
      <c r="AP110" s="93"/>
      <c r="AQ110" s="93"/>
      <c r="AR110" s="93"/>
      <c r="AS110" s="93"/>
      <c r="AT110" s="93"/>
      <c r="AU110" s="93"/>
      <c r="AV110" s="93"/>
      <c r="AW110" s="93"/>
      <c r="AX110" s="93"/>
      <c r="AY110" s="93"/>
      <c r="AZ110" s="93"/>
      <c r="BA110" s="93"/>
      <c r="BB110" s="93"/>
      <c r="BC110" s="264"/>
      <c r="BD110" s="264"/>
      <c r="BE110" s="264"/>
    </row>
    <row r="111" spans="1:61" s="75" customFormat="1" ht="15.95" customHeight="1">
      <c r="A111" s="71" t="s">
        <v>11</v>
      </c>
      <c r="B111" s="72"/>
      <c r="C111" s="93">
        <v>0</v>
      </c>
      <c r="D111" s="93">
        <v>0</v>
      </c>
      <c r="E111" s="93">
        <v>0</v>
      </c>
      <c r="F111" s="93">
        <v>0</v>
      </c>
      <c r="G111" s="93">
        <v>0</v>
      </c>
      <c r="H111" s="93">
        <v>0</v>
      </c>
      <c r="I111" s="93">
        <v>0</v>
      </c>
      <c r="J111" s="93">
        <v>0</v>
      </c>
      <c r="K111" s="93">
        <v>0</v>
      </c>
      <c r="L111" s="93">
        <v>0</v>
      </c>
      <c r="M111" s="93">
        <v>0</v>
      </c>
      <c r="N111" s="93">
        <v>0</v>
      </c>
      <c r="O111" s="93">
        <v>0</v>
      </c>
      <c r="P111" s="93">
        <v>0</v>
      </c>
      <c r="Q111" s="93">
        <v>0</v>
      </c>
      <c r="R111" s="93">
        <v>0</v>
      </c>
      <c r="S111" s="93">
        <v>0</v>
      </c>
      <c r="T111" s="93">
        <v>0</v>
      </c>
      <c r="U111" s="93">
        <v>0</v>
      </c>
      <c r="V111" s="93">
        <v>0</v>
      </c>
      <c r="W111" s="93">
        <v>0</v>
      </c>
      <c r="X111" s="93">
        <v>0</v>
      </c>
      <c r="Y111" s="93">
        <v>0</v>
      </c>
      <c r="Z111" s="93">
        <v>0</v>
      </c>
      <c r="AA111" s="93">
        <v>0</v>
      </c>
      <c r="AB111" s="93">
        <v>0</v>
      </c>
      <c r="AC111" s="72">
        <v>0</v>
      </c>
      <c r="AD111" s="93">
        <v>0</v>
      </c>
      <c r="AE111" s="93">
        <v>0</v>
      </c>
      <c r="AF111" s="93"/>
      <c r="AG111" s="93"/>
      <c r="AH111" s="93"/>
      <c r="AI111" s="93"/>
      <c r="AJ111" s="93"/>
      <c r="AK111" s="93"/>
      <c r="AL111" s="93"/>
      <c r="AM111" s="93"/>
      <c r="AN111" s="93"/>
      <c r="AO111" s="93"/>
      <c r="AP111" s="93"/>
      <c r="AQ111" s="93"/>
      <c r="AR111" s="93"/>
      <c r="AS111" s="93"/>
      <c r="AT111" s="93"/>
      <c r="AU111" s="93"/>
      <c r="AV111" s="93"/>
      <c r="AW111" s="93"/>
      <c r="AX111" s="93"/>
      <c r="AY111" s="93"/>
      <c r="AZ111" s="93"/>
      <c r="BA111" s="93"/>
      <c r="BB111" s="93"/>
      <c r="BC111" s="264"/>
      <c r="BD111" s="264"/>
      <c r="BE111" s="264"/>
    </row>
    <row r="112" spans="1:61" s="75" customFormat="1" ht="15.95" customHeight="1">
      <c r="A112" s="71" t="s">
        <v>12</v>
      </c>
      <c r="B112" s="72"/>
      <c r="C112" s="2052">
        <f t="shared" ref="C112:L112" si="196">INDEX(PDN_Calculation_data,MATCH(FAXA/C$114,PDN_Fa_Co,1)+1,4,TRUE)</f>
        <v>1.1399999999999999</v>
      </c>
      <c r="D112" s="2052">
        <f t="shared" si="196"/>
        <v>1.1399999999999999</v>
      </c>
      <c r="E112" s="2052">
        <f t="shared" si="196"/>
        <v>0</v>
      </c>
      <c r="F112" s="2052">
        <f t="shared" si="196"/>
        <v>1.1399999999999999</v>
      </c>
      <c r="G112" s="2052">
        <f t="shared" si="196"/>
        <v>0</v>
      </c>
      <c r="H112" s="2052">
        <f t="shared" si="196"/>
        <v>0</v>
      </c>
      <c r="I112" s="2052">
        <f t="shared" si="196"/>
        <v>0</v>
      </c>
      <c r="J112" s="2052">
        <f t="shared" si="196"/>
        <v>0</v>
      </c>
      <c r="K112" s="2052">
        <f t="shared" si="196"/>
        <v>0</v>
      </c>
      <c r="L112" s="2052">
        <f t="shared" si="196"/>
        <v>0</v>
      </c>
      <c r="M112" s="2052">
        <f>INDEX(PDN_Calculation_data,MATCH(FAXA/M$114,PDN_Fa_Co,1)+1,4,TRUE)</f>
        <v>1.46</v>
      </c>
      <c r="N112" s="2052">
        <f t="shared" ref="N112:T112" si="197">INDEX(PDN_Calculation_data,MATCH(FAXA/N$114,PDN_Fa_Co,1)+1,4,TRUE)</f>
        <v>1.46</v>
      </c>
      <c r="O112" s="2052">
        <f t="shared" si="197"/>
        <v>0</v>
      </c>
      <c r="P112" s="2052">
        <f t="shared" si="197"/>
        <v>1.46</v>
      </c>
      <c r="Q112" s="2052">
        <f t="shared" si="197"/>
        <v>1.46</v>
      </c>
      <c r="R112" s="2052">
        <f t="shared" si="197"/>
        <v>1.46</v>
      </c>
      <c r="S112" s="2052">
        <f t="shared" si="197"/>
        <v>1.62</v>
      </c>
      <c r="T112" s="2052">
        <f t="shared" si="197"/>
        <v>1.46</v>
      </c>
      <c r="U112" s="2052">
        <f>INDEX(PDN_Calculation_data,MATCH(FAXA/U$114,PDN_Fa_Co,1)+1,4,TRUE)</f>
        <v>1.62</v>
      </c>
      <c r="V112" s="2052">
        <f>INDEX(PDN_Calculation_data,MATCH(FAXA/V$114,PDN_Fa_Co,1)+1,4,TRUE)</f>
        <v>1.46</v>
      </c>
      <c r="W112" s="2052">
        <f>INDEX(PDN_Calculation_data,MATCH(FAXA/W$114,PDN_Fa_Co,1)+1,4,TRUE)</f>
        <v>1.62</v>
      </c>
      <c r="X112" s="2052">
        <f>INDEX(PDN_Calculation_data,MATCH(FAXA/X$114,PDN_Fa_Co,1)+1,4,TRUE)</f>
        <v>1.46</v>
      </c>
      <c r="Y112" s="2052">
        <f>INDEX(PDN_Calculation_data,MATCH(FAXA/Y$114,PDN_Fa_Co,1)+1,4,TRUE)</f>
        <v>1.62</v>
      </c>
      <c r="Z112" s="2052">
        <f t="shared" ref="Z112:AE112" si="198">INDEX(PDN_Calculation_data,MATCH(FAXA/Z$114,PDN_Fa_Co,1)+1,4,TRUE)</f>
        <v>1.62</v>
      </c>
      <c r="AA112" s="2052">
        <f t="shared" si="198"/>
        <v>1.75</v>
      </c>
      <c r="AB112" s="2052">
        <f t="shared" si="198"/>
        <v>1.62</v>
      </c>
      <c r="AC112" s="2053">
        <f t="shared" si="198"/>
        <v>1.75</v>
      </c>
      <c r="AD112" s="2052">
        <f t="shared" si="198"/>
        <v>1.62</v>
      </c>
      <c r="AE112" s="2052">
        <f t="shared" si="198"/>
        <v>1.75</v>
      </c>
      <c r="AF112" s="93"/>
      <c r="AG112" s="93"/>
      <c r="AH112" s="93"/>
      <c r="AI112" s="93"/>
      <c r="AJ112" s="93"/>
      <c r="AK112" s="93"/>
      <c r="AL112" s="93"/>
      <c r="AM112" s="93"/>
      <c r="AN112" s="93"/>
      <c r="AO112" s="93"/>
      <c r="AP112" s="93"/>
      <c r="AQ112" s="93"/>
      <c r="AR112" s="93"/>
      <c r="AS112" s="93"/>
      <c r="AT112" s="93"/>
      <c r="AU112" s="93"/>
      <c r="AV112" s="93"/>
      <c r="AW112" s="93"/>
      <c r="AX112" s="93"/>
      <c r="AY112" s="93"/>
      <c r="AZ112" s="93"/>
      <c r="BA112" s="93"/>
      <c r="BB112" s="93"/>
      <c r="BC112" s="264"/>
      <c r="BD112" s="264"/>
      <c r="BE112" s="264"/>
    </row>
    <row r="113" spans="1:59" s="75" customFormat="1" ht="15.95" customHeight="1">
      <c r="A113" s="71" t="s">
        <v>1</v>
      </c>
      <c r="B113" s="72"/>
      <c r="C113" s="2052">
        <f t="shared" ref="C113:L113" si="199">INDEX(PDN_Calculation_data,MATCH(FAXA/C$114,PDN_Fa_Co,1)+1,2,TRUE)</f>
        <v>0.46</v>
      </c>
      <c r="D113" s="2052">
        <f t="shared" si="199"/>
        <v>0.46</v>
      </c>
      <c r="E113" s="2052">
        <f t="shared" si="199"/>
        <v>0</v>
      </c>
      <c r="F113" s="2052">
        <f t="shared" si="199"/>
        <v>0.46</v>
      </c>
      <c r="G113" s="2052">
        <f t="shared" si="199"/>
        <v>0</v>
      </c>
      <c r="H113" s="2052">
        <f t="shared" si="199"/>
        <v>0</v>
      </c>
      <c r="I113" s="2052">
        <f t="shared" si="199"/>
        <v>0</v>
      </c>
      <c r="J113" s="2052">
        <f t="shared" si="199"/>
        <v>0</v>
      </c>
      <c r="K113" s="2052">
        <f t="shared" si="199"/>
        <v>0</v>
      </c>
      <c r="L113" s="2052">
        <f t="shared" si="199"/>
        <v>0</v>
      </c>
      <c r="M113" s="2052">
        <f>INDEX(PDN_Calculation_data,MATCH(FAXA/M$114,PDN_Fa_Co,1)+1,2,TRUE)</f>
        <v>0.36</v>
      </c>
      <c r="N113" s="2052">
        <f t="shared" ref="N113:T113" si="200">INDEX(PDN_Calculation_data,MATCH(FAXA/N$114,PDN_Fa_Co,1)+1,2,TRUE)</f>
        <v>0.36</v>
      </c>
      <c r="O113" s="2052">
        <f t="shared" si="200"/>
        <v>0</v>
      </c>
      <c r="P113" s="2052">
        <f t="shared" si="200"/>
        <v>0.36</v>
      </c>
      <c r="Q113" s="2052">
        <f t="shared" si="200"/>
        <v>0.36</v>
      </c>
      <c r="R113" s="2052">
        <f t="shared" si="200"/>
        <v>0.36</v>
      </c>
      <c r="S113" s="2052">
        <f t="shared" si="200"/>
        <v>0.33</v>
      </c>
      <c r="T113" s="2052">
        <f t="shared" si="200"/>
        <v>0.36</v>
      </c>
      <c r="U113" s="2052">
        <f>INDEX(PDN_Calculation_data,MATCH(FAXA/U$114,PDN_Fa_Co,1)+1,2,TRUE)</f>
        <v>0.33</v>
      </c>
      <c r="V113" s="2052">
        <f>INDEX(PDN_Calculation_data,MATCH(FAXA/V$114,PDN_Fa_Co,1)+1,2,TRUE)</f>
        <v>0.36</v>
      </c>
      <c r="W113" s="2052">
        <f>INDEX(PDN_Calculation_data,MATCH(FAXA/W$114,PDN_Fa_Co,1)+1,2,TRUE)</f>
        <v>0.33</v>
      </c>
      <c r="X113" s="2052">
        <f>INDEX(PDN_Calculation_data,MATCH(FAXA/X$114,PDN_Fa_Co,1)+1,2,TRUE)</f>
        <v>0.36</v>
      </c>
      <c r="Y113" s="2052">
        <f>INDEX(PDN_Calculation_data,MATCH(FAXA/Y$114,PDN_Fa_Co,1)+1,2,TRUE)</f>
        <v>0.33</v>
      </c>
      <c r="Z113" s="2052">
        <f t="shared" ref="Z113:AE113" si="201">INDEX(PDN_Calculation_data,MATCH(FAXA/Z$114,PDN_Fa_Co,1)+1,2,TRUE)</f>
        <v>0.33</v>
      </c>
      <c r="AA113" s="2052">
        <f t="shared" si="201"/>
        <v>0.31</v>
      </c>
      <c r="AB113" s="2052">
        <f t="shared" si="201"/>
        <v>0.33</v>
      </c>
      <c r="AC113" s="2053">
        <f t="shared" si="201"/>
        <v>0.31</v>
      </c>
      <c r="AD113" s="2052">
        <f t="shared" si="201"/>
        <v>0.33</v>
      </c>
      <c r="AE113" s="2052">
        <f t="shared" si="201"/>
        <v>0.31</v>
      </c>
      <c r="AF113" s="93"/>
      <c r="AG113" s="93"/>
      <c r="AH113" s="93"/>
      <c r="AI113" s="93"/>
      <c r="AJ113" s="93"/>
      <c r="AK113" s="93"/>
      <c r="AL113" s="93"/>
      <c r="AM113" s="93"/>
      <c r="AN113" s="93"/>
      <c r="AO113" s="93"/>
      <c r="AP113" s="93"/>
      <c r="AQ113" s="93"/>
      <c r="AR113" s="93"/>
      <c r="AS113" s="93"/>
      <c r="AT113" s="93"/>
      <c r="AU113" s="93"/>
      <c r="AV113" s="93"/>
      <c r="AW113" s="93"/>
      <c r="AX113" s="93"/>
      <c r="AY113" s="93"/>
      <c r="AZ113" s="93"/>
      <c r="BA113" s="93"/>
      <c r="BB113" s="93"/>
      <c r="BC113" s="264"/>
      <c r="BD113" s="263"/>
      <c r="BE113" s="263"/>
      <c r="BF113" s="3"/>
      <c r="BG113" s="3"/>
    </row>
    <row r="114" spans="1:59" ht="15.95" customHeight="1">
      <c r="A114" s="70" t="s">
        <v>54</v>
      </c>
      <c r="B114" s="5"/>
      <c r="C114" s="2049">
        <v>19000</v>
      </c>
      <c r="D114" s="2049">
        <v>24000</v>
      </c>
      <c r="E114" s="2049">
        <v>31500</v>
      </c>
      <c r="F114" s="2049">
        <v>23200</v>
      </c>
      <c r="G114" s="2049">
        <v>38000</v>
      </c>
      <c r="H114" s="2049">
        <v>29000</v>
      </c>
      <c r="I114" s="2049">
        <v>45000</v>
      </c>
      <c r="J114" s="2049">
        <v>36000</v>
      </c>
      <c r="K114" s="2049">
        <v>52000</v>
      </c>
      <c r="L114" s="2049">
        <v>40500</v>
      </c>
      <c r="M114" s="2049">
        <v>60000</v>
      </c>
      <c r="N114" s="2049">
        <v>68000</v>
      </c>
      <c r="O114" s="2049">
        <v>49000</v>
      </c>
      <c r="P114" s="2049">
        <v>76500</v>
      </c>
      <c r="Q114" s="2049">
        <v>55000</v>
      </c>
      <c r="R114" s="2049">
        <v>86500</v>
      </c>
      <c r="S114" s="2049">
        <v>96500</v>
      </c>
      <c r="T114" s="2049">
        <v>73500</v>
      </c>
      <c r="U114" s="2049">
        <v>108000</v>
      </c>
      <c r="V114" s="2049">
        <v>81500</v>
      </c>
      <c r="W114" s="2049">
        <v>118000</v>
      </c>
      <c r="X114" s="2049">
        <v>93000</v>
      </c>
      <c r="Y114" s="2049">
        <v>140000</v>
      </c>
      <c r="Z114" s="2049">
        <v>118000</v>
      </c>
      <c r="AA114" s="2049">
        <v>180000</v>
      </c>
      <c r="AB114" s="2049">
        <v>118000</v>
      </c>
      <c r="AC114" s="2049">
        <v>186000</v>
      </c>
      <c r="AD114" s="2049">
        <v>150000</v>
      </c>
      <c r="AE114" s="2049">
        <v>1200000</v>
      </c>
      <c r="AF114" s="2049"/>
      <c r="AG114" s="2049"/>
      <c r="AH114" s="2049"/>
      <c r="AI114" s="2049"/>
      <c r="AJ114" s="2049"/>
      <c r="AK114" s="2049"/>
      <c r="AL114" s="2049"/>
      <c r="AM114" s="2049"/>
      <c r="AN114" s="2049"/>
      <c r="AO114" s="2049"/>
      <c r="AP114" s="2049"/>
      <c r="AQ114" s="2049"/>
      <c r="AR114" s="2049"/>
      <c r="AS114" s="2049"/>
      <c r="AT114" s="2049"/>
      <c r="AU114" s="2049"/>
      <c r="AV114" s="2049"/>
      <c r="AW114" s="2049"/>
      <c r="AX114" s="2049"/>
      <c r="AY114" s="2049"/>
      <c r="AZ114" s="2049"/>
      <c r="BA114" s="2049"/>
      <c r="BB114" s="2049"/>
      <c r="BC114" s="263"/>
      <c r="BD114" s="263"/>
      <c r="BE114" s="263"/>
    </row>
    <row r="115" spans="1:59" ht="15.95" customHeight="1">
      <c r="A115" s="70" t="s">
        <v>2</v>
      </c>
      <c r="B115" s="5"/>
      <c r="C115" s="2049">
        <v>33200</v>
      </c>
      <c r="D115" s="2049">
        <v>42300</v>
      </c>
      <c r="E115" s="2049">
        <v>55300</v>
      </c>
      <c r="F115" s="2049">
        <v>37100</v>
      </c>
      <c r="G115" s="2049">
        <v>65000</v>
      </c>
      <c r="H115" s="2049">
        <v>46200</v>
      </c>
      <c r="I115" s="2049">
        <v>74100</v>
      </c>
      <c r="J115" s="2049">
        <v>55300</v>
      </c>
      <c r="K115" s="2049">
        <v>85200</v>
      </c>
      <c r="L115" s="2049">
        <v>58500</v>
      </c>
      <c r="M115" s="2049">
        <v>97500</v>
      </c>
      <c r="N115" s="2049">
        <v>104000</v>
      </c>
      <c r="O115" s="2049">
        <v>68900</v>
      </c>
      <c r="P115" s="2049">
        <v>119000</v>
      </c>
      <c r="Q115" s="2049">
        <v>72800</v>
      </c>
      <c r="R115" s="2049">
        <v>130000</v>
      </c>
      <c r="S115" s="2049">
        <v>133000</v>
      </c>
      <c r="T115" s="2049">
        <v>101000</v>
      </c>
      <c r="U115" s="2049">
        <v>151000</v>
      </c>
      <c r="V115" s="2049">
        <v>114000</v>
      </c>
      <c r="W115" s="2049">
        <v>159000</v>
      </c>
      <c r="X115" s="2049">
        <v>127000</v>
      </c>
      <c r="Y115" s="2049">
        <v>174000</v>
      </c>
      <c r="Z115" s="2049">
        <v>151000</v>
      </c>
      <c r="AA115" s="2049">
        <v>203000</v>
      </c>
      <c r="AB115" s="2049">
        <v>146000</v>
      </c>
      <c r="AC115" s="2049">
        <v>208000</v>
      </c>
      <c r="AD115" s="2049">
        <v>165000</v>
      </c>
      <c r="AE115" s="2049">
        <v>883000</v>
      </c>
      <c r="AF115" s="2049"/>
      <c r="AG115" s="2049"/>
      <c r="AH115" s="2049"/>
      <c r="AI115" s="2049"/>
      <c r="AJ115" s="2049"/>
      <c r="AK115" s="2049"/>
      <c r="AL115" s="2049"/>
      <c r="AM115" s="2049"/>
      <c r="AN115" s="2049"/>
      <c r="AO115" s="2049"/>
      <c r="AP115" s="2049"/>
      <c r="AQ115" s="2049"/>
      <c r="AR115" s="2049"/>
      <c r="AS115" s="2049"/>
      <c r="AT115" s="2049"/>
      <c r="AU115" s="2049"/>
      <c r="AV115" s="2049"/>
      <c r="AW115" s="2049"/>
      <c r="AX115" s="2049"/>
      <c r="AY115" s="2049"/>
      <c r="AZ115" s="2049"/>
      <c r="BA115" s="2049"/>
      <c r="BB115" s="2049"/>
      <c r="BC115" s="263"/>
      <c r="BD115" s="263"/>
      <c r="BE115" s="263"/>
    </row>
    <row r="116" spans="1:59" ht="15.95" customHeight="1">
      <c r="A116" s="70" t="s">
        <v>226</v>
      </c>
      <c r="B116" s="5"/>
      <c r="C116" s="2049">
        <v>8500</v>
      </c>
      <c r="D116" s="2049">
        <v>8250</v>
      </c>
      <c r="E116" s="2049">
        <v>7125</v>
      </c>
      <c r="F116" s="2049">
        <v>7500</v>
      </c>
      <c r="G116" s="2049">
        <v>6375</v>
      </c>
      <c r="H116" s="2049">
        <v>6750</v>
      </c>
      <c r="I116" s="2049">
        <v>6000</v>
      </c>
      <c r="J116" s="2049">
        <v>6000</v>
      </c>
      <c r="K116" s="2049">
        <v>5250</v>
      </c>
      <c r="L116" s="2049">
        <v>5625</v>
      </c>
      <c r="M116" s="2049">
        <v>5025</v>
      </c>
      <c r="N116" s="2049">
        <v>4500</v>
      </c>
      <c r="O116" s="2049">
        <v>5025</v>
      </c>
      <c r="P116" s="2049">
        <v>4200</v>
      </c>
      <c r="Q116" s="2049">
        <v>4500</v>
      </c>
      <c r="R116" s="2049">
        <v>3975</v>
      </c>
      <c r="S116" s="2049">
        <v>3600</v>
      </c>
      <c r="T116" s="2049">
        <v>3975</v>
      </c>
      <c r="U116" s="2049">
        <v>3400</v>
      </c>
      <c r="V116" s="2049">
        <v>3750</v>
      </c>
      <c r="W116" s="2049">
        <v>3375</v>
      </c>
      <c r="X116" s="2049">
        <v>3600</v>
      </c>
      <c r="Y116" s="2049">
        <v>3225</v>
      </c>
      <c r="Z116" s="2049">
        <v>3225</v>
      </c>
      <c r="AA116" s="2049">
        <v>2850</v>
      </c>
      <c r="AB116" s="2049">
        <v>3000</v>
      </c>
      <c r="AC116" s="2049">
        <v>2400</v>
      </c>
      <c r="AD116" s="2049">
        <v>2550</v>
      </c>
      <c r="AE116" s="2049">
        <v>2000</v>
      </c>
      <c r="AF116" s="2049"/>
      <c r="AG116" s="2049"/>
      <c r="AH116" s="2049"/>
      <c r="AI116" s="2049"/>
      <c r="AJ116" s="2049"/>
      <c r="AK116" s="2049"/>
      <c r="AL116" s="2049"/>
      <c r="AM116" s="2049"/>
      <c r="AN116" s="2049"/>
      <c r="AO116" s="2049"/>
      <c r="AP116" s="2049"/>
      <c r="AQ116" s="2049"/>
      <c r="AR116" s="2049"/>
      <c r="AS116" s="2049"/>
      <c r="AT116" s="2049"/>
      <c r="AU116" s="2049"/>
      <c r="AV116" s="2049"/>
      <c r="AW116" s="2049"/>
      <c r="AX116" s="2049"/>
      <c r="AY116" s="2049"/>
      <c r="AZ116" s="2049"/>
      <c r="BA116" s="2049"/>
      <c r="BB116" s="2049"/>
      <c r="BC116" s="263"/>
      <c r="BD116" s="264"/>
      <c r="BE116" s="264"/>
      <c r="BF116" s="75"/>
      <c r="BG116" s="75"/>
    </row>
    <row r="117" spans="1:59" s="75" customFormat="1" ht="15.95" customHeight="1">
      <c r="A117" s="71" t="s">
        <v>13</v>
      </c>
      <c r="B117" s="72"/>
      <c r="C117" s="2050">
        <v>3</v>
      </c>
      <c r="D117" s="2050">
        <v>3</v>
      </c>
      <c r="E117" s="2050">
        <v>3</v>
      </c>
      <c r="F117" s="2050">
        <v>3</v>
      </c>
      <c r="G117" s="2050">
        <v>3</v>
      </c>
      <c r="H117" s="2050">
        <v>3</v>
      </c>
      <c r="I117" s="2050">
        <v>3</v>
      </c>
      <c r="J117" s="2050">
        <v>3</v>
      </c>
      <c r="K117" s="2050">
        <v>3</v>
      </c>
      <c r="L117" s="2050">
        <v>3</v>
      </c>
      <c r="M117" s="2050">
        <v>3</v>
      </c>
      <c r="N117" s="2050">
        <v>3</v>
      </c>
      <c r="O117" s="2050">
        <v>3</v>
      </c>
      <c r="P117" s="2050">
        <v>3</v>
      </c>
      <c r="Q117" s="2050">
        <v>3</v>
      </c>
      <c r="R117" s="2050">
        <v>3</v>
      </c>
      <c r="S117" s="2050">
        <v>3</v>
      </c>
      <c r="T117" s="2050">
        <v>3</v>
      </c>
      <c r="U117" s="2050">
        <v>3</v>
      </c>
      <c r="V117" s="2050">
        <v>3</v>
      </c>
      <c r="W117" s="2050">
        <v>3</v>
      </c>
      <c r="X117" s="2050">
        <v>3</v>
      </c>
      <c r="Y117" s="2050">
        <v>3</v>
      </c>
      <c r="Z117" s="2050">
        <v>3</v>
      </c>
      <c r="AA117" s="2050">
        <v>3</v>
      </c>
      <c r="AB117" s="2050">
        <v>3</v>
      </c>
      <c r="AC117" s="2050">
        <v>3</v>
      </c>
      <c r="AD117" s="2050">
        <v>3</v>
      </c>
      <c r="AE117" s="2050">
        <v>3.3333333333333335</v>
      </c>
      <c r="AF117" s="2050"/>
      <c r="AG117" s="2050"/>
      <c r="AH117" s="2050"/>
      <c r="AI117" s="2050"/>
      <c r="AJ117" s="2050"/>
      <c r="AK117" s="2050"/>
      <c r="AL117" s="2050"/>
      <c r="AM117" s="2050"/>
      <c r="AN117" s="2050"/>
      <c r="AO117" s="2050"/>
      <c r="AP117" s="2050"/>
      <c r="AQ117" s="2050"/>
      <c r="AR117" s="2050"/>
      <c r="AS117" s="2050"/>
      <c r="AT117" s="2050"/>
      <c r="AU117" s="2050"/>
      <c r="AV117" s="2050"/>
      <c r="AW117" s="2050"/>
      <c r="AX117" s="93"/>
      <c r="AY117" s="93"/>
      <c r="AZ117" s="93"/>
      <c r="BA117" s="93"/>
      <c r="BB117" s="93"/>
      <c r="BC117" s="264"/>
      <c r="BD117" s="263"/>
      <c r="BE117" s="263"/>
      <c r="BF117" s="3"/>
      <c r="BG117" s="3"/>
    </row>
    <row r="118" spans="1:59" ht="15.95" customHeight="1">
      <c r="A118" s="70" t="s">
        <v>5</v>
      </c>
      <c r="B118" s="5"/>
      <c r="C118" s="2054">
        <f t="shared" ref="C118:AC118" si="202">IF(OR(DRIVE_Type="Coupling",DRIVE_Type="Direct"),FRA,IF(FAXA/FRA&lt;=C113,C109*FRA+C111*FAXA,C110*FRA+C112*FAXA))</f>
        <v>5959.1973699693681</v>
      </c>
      <c r="D118" s="2054">
        <f>IF(OR(DRIVE_Type="Coupling",DRIVE_Type="Direct"),FRA,IF(FAXA/FRA&lt;=D113,D109*FRA+D111*FAXA,D110*FRA+D112*FAXA))</f>
        <v>5959.1973699693681</v>
      </c>
      <c r="E118" s="2054">
        <f t="shared" si="202"/>
        <v>5959.1973699693681</v>
      </c>
      <c r="F118" s="2054">
        <f>IF(OR(DRIVE_Type="Coupling",DRIVE_Type="Direct"),FRA,IF(FAXA/FRA&lt;=F113,F109*FRA+F111*FAXA,F110*FRA+F112*FAXA))</f>
        <v>5959.1973699693681</v>
      </c>
      <c r="G118" s="2054">
        <f t="shared" si="202"/>
        <v>5959.1973699693681</v>
      </c>
      <c r="H118" s="2054">
        <f>IF(OR(DRIVE_Type="Coupling",DRIVE_Type="Direct"),FRA,IF(FAXA/FRA&lt;=H113,H109*FRA+H111*FAXA,H110*FRA+H112*FAXA))</f>
        <v>5959.1973699693681</v>
      </c>
      <c r="I118" s="2054">
        <f t="shared" si="202"/>
        <v>5959.1973699693681</v>
      </c>
      <c r="J118" s="2054">
        <f>IF(OR(DRIVE_Type="Coupling",DRIVE_Type="Direct"),FRA,IF(FAXA/FRA&lt;=J113,J109*FRA+J111*FAXA,J110*FRA+J112*FAXA))</f>
        <v>5959.1973699693681</v>
      </c>
      <c r="K118" s="2054">
        <f t="shared" si="202"/>
        <v>5959.1973699693681</v>
      </c>
      <c r="L118" s="2054">
        <f>IF(OR(DRIVE_Type="Coupling",DRIVE_Type="Direct"),FRA,IF(FAXA/FRA&lt;=L113,L109*FRA+L111*FAXA,L110*FRA+L112*FAXA))</f>
        <v>5959.1973699693681</v>
      </c>
      <c r="M118" s="2054">
        <f t="shared" si="202"/>
        <v>5959.1973699693681</v>
      </c>
      <c r="N118" s="2054">
        <f>IF(OR(DRIVE_Type="Coupling",DRIVE_Type="Direct"),FRA,IF(FAXA/FRA&lt;=N113,N109*FRA+N111*FAXA,N110*FRA+N112*FAXA))</f>
        <v>5959.1973699693681</v>
      </c>
      <c r="O118" s="2054">
        <f t="shared" si="202"/>
        <v>5959.1973699693681</v>
      </c>
      <c r="P118" s="2054">
        <f>IF(OR(DRIVE_Type="Coupling",DRIVE_Type="Direct"),FRA,IF(FAXA/FRA&lt;=P113,P109*FRA+P111*FAXA,P110*FRA+P112*FAXA))</f>
        <v>5959.1973699693681</v>
      </c>
      <c r="Q118" s="2054">
        <f t="shared" si="202"/>
        <v>5959.1973699693681</v>
      </c>
      <c r="R118" s="2054">
        <f>IF(OR(DRIVE_Type="Coupling",DRIVE_Type="Direct"),FRA,IF(FAXA/FRA&lt;=R113,R109*FRA+R111*FAXA,R110*FRA+R112*FAXA))</f>
        <v>5959.1973699693681</v>
      </c>
      <c r="S118" s="2054">
        <f t="shared" si="202"/>
        <v>5959.1973699693681</v>
      </c>
      <c r="T118" s="2054">
        <f>IF(OR(DRIVE_Type="Coupling",DRIVE_Type="Direct"),FRA,IF(FAXA/FRA&lt;=T113,T109*FRA+T111*FAXA,T110*FRA+T112*FAXA))</f>
        <v>5959.1973699693681</v>
      </c>
      <c r="U118" s="2054">
        <f t="shared" si="202"/>
        <v>5959.1973699693681</v>
      </c>
      <c r="V118" s="2054">
        <f>IF(OR(DRIVE_Type="Coupling",DRIVE_Type="Direct"),FRA,IF(FAXA/FRA&lt;=V113,V109*FRA+V111*FAXA,V110*FRA+V112*FAXA))</f>
        <v>5959.1973699693681</v>
      </c>
      <c r="W118" s="2054">
        <f t="shared" si="202"/>
        <v>5959.1973699693681</v>
      </c>
      <c r="X118" s="2054">
        <f>IF(OR(DRIVE_Type="Coupling",DRIVE_Type="Direct"),FRA,IF(FAXA/FRA&lt;=X113,X109*FRA+X111*FAXA,X110*FRA+X112*FAXA))</f>
        <v>5959.1973699693681</v>
      </c>
      <c r="Y118" s="2054">
        <f t="shared" si="202"/>
        <v>5959.1973699693681</v>
      </c>
      <c r="Z118" s="2054">
        <f>IF(OR(DRIVE_Type="Coupling",DRIVE_Type="Direct"),FRA,IF(FAXA/FRA&lt;=Z113,Z109*FRA+Z111*FAXA,Z110*FRA+Z112*FAXA))</f>
        <v>5959.1973699693681</v>
      </c>
      <c r="AA118" s="2054">
        <f>IF(OR(DRIVE_Type="Coupling",DRIVE_Type="Direct"),FRA,IF(FAXA/FRA&lt;=AA113,AA109*FRA+AA111*FAXA,AA110*FRA+AA112*FAXA))</f>
        <v>5959.1973699693681</v>
      </c>
      <c r="AB118" s="2054">
        <f>IF(OR(DRIVE_Type="Coupling",DRIVE_Type="Direct"),FRA,IF(FAXA/FRA&lt;=AB113,AB109*FRA+AB111*FAXA,AB110*FRA+AB112*FAXA))</f>
        <v>5959.1973699693681</v>
      </c>
      <c r="AC118" s="2054">
        <f t="shared" si="202"/>
        <v>5959.1973699693681</v>
      </c>
      <c r="AD118" s="2054">
        <f>IF(OR(DRIVE_Type="Coupling",DRIVE_Type="Direct"),FRA,IF(FAXA/FRA&lt;=AD113,AD109*FRA+AD111*FAXA,AD110*FRA+AD112*FAXA))</f>
        <v>5959.1973699693681</v>
      </c>
      <c r="AE118" s="2054">
        <f>IF(OR(DRIVE_Type="Coupling",DRIVE_Type="Direct"),FRA,IF(FAXA/FRA&lt;=AE113,AE109*FRA+AE111*FAXA,AE110*FRA+AE112*FAXA))</f>
        <v>5959.1973699693681</v>
      </c>
      <c r="AF118" s="2047"/>
      <c r="AG118" s="2047"/>
      <c r="AH118" s="2047"/>
      <c r="AI118" s="2047"/>
      <c r="AJ118" s="2047"/>
      <c r="AK118" s="2047"/>
      <c r="AL118" s="2047"/>
      <c r="AM118" s="2047"/>
      <c r="AN118" s="2047"/>
      <c r="AO118" s="2047"/>
      <c r="AP118" s="2047"/>
      <c r="AQ118" s="2047"/>
      <c r="AR118" s="2047"/>
      <c r="AS118" s="2047"/>
      <c r="AT118" s="2047"/>
      <c r="AU118" s="2047"/>
      <c r="AV118" s="2047"/>
      <c r="AW118" s="2047"/>
      <c r="AX118" s="5"/>
      <c r="AY118" s="5"/>
      <c r="AZ118" s="5"/>
      <c r="BA118" s="5"/>
      <c r="BB118" s="5"/>
      <c r="BC118" s="263"/>
      <c r="BD118" s="263"/>
      <c r="BE118" s="263"/>
    </row>
    <row r="119" spans="1:59" ht="15.95" customHeight="1">
      <c r="A119" s="70" t="s">
        <v>6</v>
      </c>
      <c r="B119" s="5"/>
      <c r="C119" s="2054">
        <f t="shared" ref="C119:AE119" si="203">10^6*(C115/C118)^C117/(60*Fan_Max_rpm)</f>
        <v>960.6793094565852</v>
      </c>
      <c r="D119" s="2054">
        <f t="shared" si="203"/>
        <v>1986.9424495163667</v>
      </c>
      <c r="E119" s="2054">
        <f t="shared" si="203"/>
        <v>4439.5564245547757</v>
      </c>
      <c r="F119" s="2054">
        <f t="shared" si="203"/>
        <v>1340.5589452729732</v>
      </c>
      <c r="G119" s="2054">
        <f t="shared" si="203"/>
        <v>7209.4852235052867</v>
      </c>
      <c r="H119" s="2054">
        <f t="shared" si="203"/>
        <v>2588.7500052405589</v>
      </c>
      <c r="I119" s="2054">
        <f t="shared" si="203"/>
        <v>10681.169575972915</v>
      </c>
      <c r="J119" s="2054">
        <f t="shared" si="203"/>
        <v>4439.5564245547757</v>
      </c>
      <c r="K119" s="2054">
        <f t="shared" si="203"/>
        <v>16236.1468393418</v>
      </c>
      <c r="L119" s="2054">
        <f t="shared" si="203"/>
        <v>5255.714727935353</v>
      </c>
      <c r="M119" s="2054">
        <f t="shared" si="203"/>
        <v>24332.012629330344</v>
      </c>
      <c r="N119" s="2054">
        <f t="shared" si="203"/>
        <v>29530.051475477641</v>
      </c>
      <c r="O119" s="2054">
        <f t="shared" si="203"/>
        <v>8586.6122529583699</v>
      </c>
      <c r="P119" s="2054">
        <f t="shared" si="203"/>
        <v>44238.976457922414</v>
      </c>
      <c r="Q119" s="2054">
        <f t="shared" si="203"/>
        <v>10128.807656088835</v>
      </c>
      <c r="R119" s="2054">
        <f t="shared" si="203"/>
        <v>57675.881788042294</v>
      </c>
      <c r="S119" s="2054">
        <f t="shared" si="203"/>
        <v>61761.681157111707</v>
      </c>
      <c r="T119" s="2054">
        <f t="shared" si="203"/>
        <v>27047.573364634391</v>
      </c>
      <c r="U119" s="2054">
        <f t="shared" si="203"/>
        <v>90384.722293137005</v>
      </c>
      <c r="V119" s="2054">
        <f t="shared" si="203"/>
        <v>38893.653440047034</v>
      </c>
      <c r="W119" s="2054">
        <f t="shared" si="203"/>
        <v>105525.04817017572</v>
      </c>
      <c r="X119" s="2054">
        <f t="shared" si="203"/>
        <v>53774.372218768985</v>
      </c>
      <c r="Y119" s="2054">
        <f t="shared" si="203"/>
        <v>138296.73622238039</v>
      </c>
      <c r="Z119" s="2054">
        <f t="shared" si="203"/>
        <v>90384.722293137005</v>
      </c>
      <c r="AA119" s="2054">
        <f t="shared" si="203"/>
        <v>219610.09501979852</v>
      </c>
      <c r="AB119" s="2054">
        <f t="shared" si="203"/>
        <v>81700.131108015834</v>
      </c>
      <c r="AC119" s="2054">
        <f t="shared" si="203"/>
        <v>236240.41180382113</v>
      </c>
      <c r="AD119" s="2054">
        <f t="shared" si="203"/>
        <v>117927.75169645403</v>
      </c>
      <c r="AE119" s="2054">
        <f t="shared" si="203"/>
        <v>95639495.125721902</v>
      </c>
      <c r="AF119" s="2047"/>
      <c r="AG119" s="2047"/>
      <c r="AH119" s="2047"/>
      <c r="AI119" s="2047"/>
      <c r="AJ119" s="2047"/>
      <c r="AK119" s="2047"/>
      <c r="AL119" s="2047"/>
      <c r="AM119" s="2047"/>
      <c r="AN119" s="2047"/>
      <c r="AO119" s="2047"/>
      <c r="AP119" s="2047"/>
      <c r="AQ119" s="2047"/>
      <c r="AR119" s="2047"/>
      <c r="AS119" s="2047"/>
      <c r="AT119" s="2047"/>
      <c r="AU119" s="2047"/>
      <c r="AV119" s="2047"/>
      <c r="AW119" s="2047"/>
      <c r="AX119" s="5"/>
      <c r="AY119" s="5"/>
      <c r="AZ119" s="5"/>
      <c r="BA119" s="5"/>
      <c r="BB119" s="5"/>
      <c r="BC119" s="263"/>
      <c r="BD119" s="263"/>
      <c r="BE119" s="263"/>
    </row>
    <row r="120" spans="1:59" ht="15.95" customHeight="1">
      <c r="A120" s="70" t="s">
        <v>7</v>
      </c>
      <c r="B120" s="5"/>
      <c r="C120" s="2054">
        <f t="shared" ref="C120:AC120" si="204">IF(OR(DRIVE_Type="Coupling",DRIVE_Type="Direct"),IF(FAXB/FRB&lt;=C113,C109*FRB+C111*FAXB,C110*FRB+C112*FAXB),FRB)</f>
        <v>2296.0770717466894</v>
      </c>
      <c r="D120" s="2054">
        <f>IF(OR(DRIVE_Type="Coupling",DRIVE_Type="Direct"),IF(FAXB/FRB&lt;=D113,D109*FRB+D111*FAXB,D110*FRB+D112*FAXB),FRB)</f>
        <v>2296.0770717466894</v>
      </c>
      <c r="E120" s="2054">
        <f t="shared" si="204"/>
        <v>2296.0770717466894</v>
      </c>
      <c r="F120" s="2054">
        <f>IF(OR(DRIVE_Type="Coupling",DRIVE_Type="Direct"),IF(FAXB/FRB&lt;=F113,F109*FRB+F111*FAXB,F110*FRB+F112*FAXB),FRB)</f>
        <v>2296.0770717466894</v>
      </c>
      <c r="G120" s="2054">
        <f t="shared" si="204"/>
        <v>2296.0770717466894</v>
      </c>
      <c r="H120" s="2054">
        <f>IF(OR(DRIVE_Type="Coupling",DRIVE_Type="Direct"),IF(FAXB/FRB&lt;=H113,H109*FRB+H111*FAXB,H110*FRB+H112*FAXB),FRB)</f>
        <v>2296.0770717466894</v>
      </c>
      <c r="I120" s="2054">
        <f t="shared" si="204"/>
        <v>2296.0770717466894</v>
      </c>
      <c r="J120" s="2054">
        <f>IF(OR(DRIVE_Type="Coupling",DRIVE_Type="Direct"),IF(FAXB/FRB&lt;=J113,J109*FRB+J111*FAXB,J110*FRB+J112*FAXB),FRB)</f>
        <v>2296.0770717466894</v>
      </c>
      <c r="K120" s="2054">
        <f t="shared" si="204"/>
        <v>2296.0770717466894</v>
      </c>
      <c r="L120" s="2054">
        <f>IF(OR(DRIVE_Type="Coupling",DRIVE_Type="Direct"),IF(FAXB/FRB&lt;=L113,L109*FRB+L111*FAXB,L110*FRB+L112*FAXB),FRB)</f>
        <v>2296.0770717466894</v>
      </c>
      <c r="M120" s="2054">
        <f t="shared" si="204"/>
        <v>2296.0770717466894</v>
      </c>
      <c r="N120" s="2054">
        <f>IF(OR(DRIVE_Type="Coupling",DRIVE_Type="Direct"),IF(FAXB/FRB&lt;=N113,N109*FRB+N111*FAXB,N110*FRB+N112*FAXB),FRB)</f>
        <v>2296.0770717466894</v>
      </c>
      <c r="O120" s="2054">
        <f t="shared" si="204"/>
        <v>2296.0770717466894</v>
      </c>
      <c r="P120" s="2054">
        <f>IF(OR(DRIVE_Type="Coupling",DRIVE_Type="Direct"),IF(FAXB/FRB&lt;=P113,P109*FRB+P111*FAXB,P110*FRB+P112*FAXB),FRB)</f>
        <v>2296.0770717466894</v>
      </c>
      <c r="Q120" s="2054">
        <f t="shared" si="204"/>
        <v>2296.0770717466894</v>
      </c>
      <c r="R120" s="2054">
        <f>IF(OR(DRIVE_Type="Coupling",DRIVE_Type="Direct"),IF(FAXB/FRB&lt;=R113,R109*FRB+R111*FAXB,R110*FRB+R112*FAXB),FRB)</f>
        <v>2296.0770717466894</v>
      </c>
      <c r="S120" s="2054">
        <f t="shared" si="204"/>
        <v>2296.0770717466894</v>
      </c>
      <c r="T120" s="2054">
        <f>IF(OR(DRIVE_Type="Coupling",DRIVE_Type="Direct"),IF(FAXB/FRB&lt;=T113,T109*FRB+T111*FAXB,T110*FRB+T112*FAXB),FRB)</f>
        <v>2296.0770717466894</v>
      </c>
      <c r="U120" s="2054">
        <f t="shared" si="204"/>
        <v>2296.0770717466894</v>
      </c>
      <c r="V120" s="2054">
        <f>IF(OR(DRIVE_Type="Coupling",DRIVE_Type="Direct"),IF(FAXB/FRB&lt;=V113,V109*FRB+V111*FAXB,V110*FRB+V112*FAXB),FRB)</f>
        <v>2296.0770717466894</v>
      </c>
      <c r="W120" s="2054">
        <f t="shared" si="204"/>
        <v>2296.0770717466894</v>
      </c>
      <c r="X120" s="2054">
        <f>IF(OR(DRIVE_Type="Coupling",DRIVE_Type="Direct"),IF(FAXB/FRB&lt;=X113,X109*FRB+X111*FAXB,X110*FRB+X112*FAXB),FRB)</f>
        <v>2296.0770717466894</v>
      </c>
      <c r="Y120" s="2054">
        <f t="shared" si="204"/>
        <v>2296.0770717466894</v>
      </c>
      <c r="Z120" s="2054">
        <f>IF(OR(DRIVE_Type="Coupling",DRIVE_Type="Direct"),IF(FAXB/FRB&lt;=Z113,Z109*FRB+Z111*FAXB,Z110*FRB+Z112*FAXB),FRB)</f>
        <v>2296.0770717466894</v>
      </c>
      <c r="AA120" s="2054">
        <f>IF(OR(DRIVE_Type="Coupling",DRIVE_Type="Direct"),IF(FAXB/FRB&lt;=AA113,AA109*FRB+AA111*FAXB,AA110*FRB+AA112*FAXB),FRB)</f>
        <v>2296.0770717466894</v>
      </c>
      <c r="AB120" s="2054">
        <f>IF(OR(DRIVE_Type="Coupling",DRIVE_Type="Direct"),IF(FAXB/FRB&lt;=AB113,AB109*FRB+AB111*FAXB,AB110*FRB+AB112*FAXB),FRB)</f>
        <v>2296.0770717466894</v>
      </c>
      <c r="AC120" s="2054">
        <f t="shared" si="204"/>
        <v>2296.0770717466894</v>
      </c>
      <c r="AD120" s="2054">
        <f>IF(OR(DRIVE_Type="Coupling",DRIVE_Type="Direct"),IF(FAXB/FRB&lt;=AD113,AD109*FRB+AD111*FAXB,AD110*FRB+AD112*FAXB),FRB)</f>
        <v>2296.0770717466894</v>
      </c>
      <c r="AE120" s="2054">
        <f>IF(OR(DRIVE_Type="Coupling",DRIVE_Type="Direct"),IF(FAXB/FRB&lt;=AE113,AE109*FRB+AE111*FAXB,AE110*FRB+AE112*FAXB),FRB)</f>
        <v>2296.0770717466894</v>
      </c>
      <c r="AF120" s="2047"/>
      <c r="AG120" s="2047"/>
      <c r="AH120" s="2047"/>
      <c r="AI120" s="2047"/>
      <c r="AJ120" s="2047"/>
      <c r="AK120" s="2047"/>
      <c r="AL120" s="2047"/>
      <c r="AM120" s="2047"/>
      <c r="AN120" s="2047"/>
      <c r="AO120" s="2047"/>
      <c r="AP120" s="2047"/>
      <c r="AQ120" s="2047"/>
      <c r="AR120" s="2047"/>
      <c r="AS120" s="2047"/>
      <c r="AT120" s="2047"/>
      <c r="AU120" s="2047"/>
      <c r="AV120" s="2047"/>
      <c r="AW120" s="2047"/>
      <c r="AX120" s="5"/>
      <c r="AY120" s="5"/>
      <c r="AZ120" s="5"/>
      <c r="BA120" s="5"/>
      <c r="BB120" s="5"/>
      <c r="BC120" s="263"/>
      <c r="BD120" s="263"/>
      <c r="BE120" s="263"/>
    </row>
    <row r="121" spans="1:59" ht="17.45" customHeight="1">
      <c r="A121" s="70" t="s">
        <v>8</v>
      </c>
      <c r="B121" s="5"/>
      <c r="C121" s="2054">
        <f t="shared" ref="C121:AE121" si="205">10^6*(C115/C120)^C117/(60*Fan_Max_rpm)</f>
        <v>16795.090972535334</v>
      </c>
      <c r="D121" s="2054">
        <f t="shared" si="205"/>
        <v>34736.752283856353</v>
      </c>
      <c r="E121" s="2054">
        <f t="shared" si="205"/>
        <v>77614.614256945002</v>
      </c>
      <c r="F121" s="2054">
        <f t="shared" si="205"/>
        <v>23436.342615353347</v>
      </c>
      <c r="G121" s="2054">
        <f t="shared" si="205"/>
        <v>126039.93757543553</v>
      </c>
      <c r="H121" s="2054">
        <f t="shared" si="205"/>
        <v>45257.862238919566</v>
      </c>
      <c r="I121" s="2054">
        <f t="shared" si="205"/>
        <v>186733.71327526111</v>
      </c>
      <c r="J121" s="2054">
        <f t="shared" si="205"/>
        <v>77614.614256945002</v>
      </c>
      <c r="K121" s="2054">
        <f t="shared" si="205"/>
        <v>283848.68969899561</v>
      </c>
      <c r="L121" s="2054">
        <f t="shared" si="205"/>
        <v>91883.114492492517</v>
      </c>
      <c r="M121" s="2054">
        <f t="shared" si="205"/>
        <v>425384.78931709513</v>
      </c>
      <c r="N121" s="2054">
        <f t="shared" si="205"/>
        <v>516259.58430898411</v>
      </c>
      <c r="O121" s="2054">
        <f t="shared" si="205"/>
        <v>150115.582291345</v>
      </c>
      <c r="P121" s="2054">
        <f t="shared" si="205"/>
        <v>773408.59413630725</v>
      </c>
      <c r="Q121" s="2054">
        <f t="shared" si="205"/>
        <v>177077.03741798154</v>
      </c>
      <c r="R121" s="2054">
        <f t="shared" si="205"/>
        <v>1008319.5006034842</v>
      </c>
      <c r="S121" s="2054">
        <f t="shared" si="205"/>
        <v>1079749.551634629</v>
      </c>
      <c r="T121" s="2054">
        <f t="shared" si="205"/>
        <v>472859.62211710092</v>
      </c>
      <c r="U121" s="2054">
        <f t="shared" si="205"/>
        <v>1580152.3135740855</v>
      </c>
      <c r="V121" s="2054">
        <f t="shared" si="205"/>
        <v>679958.90132093255</v>
      </c>
      <c r="W121" s="2054">
        <f t="shared" si="205"/>
        <v>1844843.2962523047</v>
      </c>
      <c r="X121" s="2054">
        <f t="shared" si="205"/>
        <v>940111.29886420921</v>
      </c>
      <c r="Y121" s="2054">
        <f t="shared" si="205"/>
        <v>2417774.8424429544</v>
      </c>
      <c r="Z121" s="2054">
        <f t="shared" si="205"/>
        <v>1580152.3135740855</v>
      </c>
      <c r="AA121" s="2054">
        <f t="shared" si="205"/>
        <v>3839336.902583024</v>
      </c>
      <c r="AB121" s="2054">
        <f t="shared" si="205"/>
        <v>1428323.8130769806</v>
      </c>
      <c r="AC121" s="2054">
        <f t="shared" si="205"/>
        <v>4130076.6744718729</v>
      </c>
      <c r="AD121" s="2054">
        <f t="shared" si="205"/>
        <v>2061673.7535950972</v>
      </c>
      <c r="AE121" s="2054">
        <f t="shared" si="205"/>
        <v>2297779237.0858474</v>
      </c>
      <c r="AF121" s="2047"/>
      <c r="AG121" s="2047"/>
      <c r="AH121" s="2047"/>
      <c r="AI121" s="2047"/>
      <c r="AJ121" s="2047"/>
      <c r="AK121" s="2047"/>
      <c r="AL121" s="2047"/>
      <c r="AM121" s="2047"/>
      <c r="AN121" s="2047"/>
      <c r="AO121" s="2047"/>
      <c r="AP121" s="2047"/>
      <c r="AQ121" s="2047"/>
      <c r="AR121" s="2047"/>
      <c r="AS121" s="2047"/>
      <c r="AT121" s="2047"/>
      <c r="AU121" s="2047"/>
      <c r="AV121" s="2047"/>
      <c r="AW121" s="2047"/>
      <c r="AX121" s="5"/>
      <c r="AY121" s="5"/>
      <c r="AZ121" s="5"/>
      <c r="BA121" s="5"/>
      <c r="BB121" s="5"/>
      <c r="BC121" s="263"/>
      <c r="BD121" s="263"/>
      <c r="BE121" s="263"/>
    </row>
    <row r="122" spans="1:59" ht="15.95" customHeight="1" thickBot="1">
      <c r="A122" s="80" t="s">
        <v>338</v>
      </c>
      <c r="B122" s="81">
        <v>0</v>
      </c>
      <c r="C122" s="81">
        <f t="shared" ref="C122:AE122" si="206">IF(ISERROR(MIN(C119,C121)),0,IF(AND(AD&lt;=C101,C116&gt;=Fan_Max_rpm,C119&gt;=min_life,C119&lt;max_life,C121&gt;=min_life,C121&lt;max_life),MIN(C119,C121),0))</f>
        <v>0</v>
      </c>
      <c r="D122" s="81">
        <f t="shared" si="206"/>
        <v>0</v>
      </c>
      <c r="E122" s="81">
        <f t="shared" si="206"/>
        <v>0</v>
      </c>
      <c r="F122" s="81">
        <f t="shared" si="206"/>
        <v>0</v>
      </c>
      <c r="G122" s="81">
        <f t="shared" si="206"/>
        <v>0</v>
      </c>
      <c r="H122" s="81">
        <f t="shared" si="206"/>
        <v>0</v>
      </c>
      <c r="I122" s="81">
        <f t="shared" si="206"/>
        <v>0</v>
      </c>
      <c r="J122" s="81">
        <f t="shared" si="206"/>
        <v>0</v>
      </c>
      <c r="K122" s="81">
        <f t="shared" si="206"/>
        <v>0</v>
      </c>
      <c r="L122" s="81">
        <f t="shared" si="206"/>
        <v>0</v>
      </c>
      <c r="M122" s="81">
        <f t="shared" si="206"/>
        <v>24332.012629330344</v>
      </c>
      <c r="N122" s="81">
        <f t="shared" si="206"/>
        <v>29530.051475477641</v>
      </c>
      <c r="O122" s="81">
        <f t="shared" si="206"/>
        <v>0</v>
      </c>
      <c r="P122" s="81">
        <f t="shared" si="206"/>
        <v>44238.976457922414</v>
      </c>
      <c r="Q122" s="81">
        <f t="shared" si="206"/>
        <v>0</v>
      </c>
      <c r="R122" s="81">
        <f t="shared" si="206"/>
        <v>57675.881788042294</v>
      </c>
      <c r="S122" s="81">
        <f t="shared" si="206"/>
        <v>61761.681157111707</v>
      </c>
      <c r="T122" s="81">
        <f t="shared" si="206"/>
        <v>27047.573364634391</v>
      </c>
      <c r="U122" s="81">
        <f t="shared" si="206"/>
        <v>90384.722293137005</v>
      </c>
      <c r="V122" s="81">
        <f t="shared" si="206"/>
        <v>38893.653440047034</v>
      </c>
      <c r="W122" s="81">
        <f t="shared" si="206"/>
        <v>105525.04817017572</v>
      </c>
      <c r="X122" s="81">
        <f t="shared" si="206"/>
        <v>53774.372218768985</v>
      </c>
      <c r="Y122" s="81">
        <f t="shared" si="206"/>
        <v>138296.73622238039</v>
      </c>
      <c r="Z122" s="81">
        <f t="shared" si="206"/>
        <v>90384.722293137005</v>
      </c>
      <c r="AA122" s="81">
        <f t="shared" si="206"/>
        <v>0</v>
      </c>
      <c r="AB122" s="81">
        <f t="shared" si="206"/>
        <v>81700.131108015834</v>
      </c>
      <c r="AC122" s="81">
        <f t="shared" si="206"/>
        <v>0</v>
      </c>
      <c r="AD122" s="81">
        <f t="shared" si="206"/>
        <v>0</v>
      </c>
      <c r="AE122" s="81">
        <f t="shared" si="206"/>
        <v>0</v>
      </c>
      <c r="AF122" s="2051"/>
      <c r="AG122" s="2051"/>
      <c r="AH122" s="2051"/>
      <c r="AI122" s="2051"/>
      <c r="AJ122" s="2051"/>
      <c r="AK122" s="2051"/>
      <c r="AL122" s="2051"/>
      <c r="AM122" s="2051"/>
      <c r="AN122" s="2051"/>
      <c r="AO122" s="2051"/>
      <c r="AP122" s="2051"/>
      <c r="AQ122" s="2051"/>
      <c r="AR122" s="2051"/>
      <c r="AS122" s="2051"/>
      <c r="AT122" s="2051"/>
      <c r="AU122" s="2051"/>
      <c r="AV122" s="2051"/>
      <c r="AW122" s="2051"/>
      <c r="AX122" s="81"/>
      <c r="AY122" s="81"/>
      <c r="AZ122" s="81"/>
      <c r="BA122" s="81"/>
      <c r="BB122" s="81"/>
      <c r="BC122" s="263"/>
      <c r="BD122" s="263"/>
      <c r="BE122" s="263"/>
    </row>
    <row r="123" spans="1:59" ht="15.95" customHeight="1">
      <c r="B123" s="3"/>
    </row>
    <row r="124" spans="1:59" ht="15.95" customHeight="1" thickBot="1"/>
    <row r="125" spans="1:59" ht="15.95" customHeight="1">
      <c r="A125" s="48" t="s">
        <v>90</v>
      </c>
      <c r="B125" s="108">
        <v>2</v>
      </c>
      <c r="C125" s="108">
        <f t="shared" ref="C125:Q125" si="207">B125+1</f>
        <v>3</v>
      </c>
      <c r="D125" s="108">
        <f t="shared" si="207"/>
        <v>4</v>
      </c>
      <c r="E125" s="108">
        <f t="shared" si="207"/>
        <v>5</v>
      </c>
      <c r="F125" s="108">
        <f t="shared" si="207"/>
        <v>6</v>
      </c>
      <c r="G125" s="108">
        <f t="shared" si="207"/>
        <v>7</v>
      </c>
      <c r="H125" s="108">
        <f t="shared" si="207"/>
        <v>8</v>
      </c>
      <c r="I125" s="108">
        <f t="shared" si="207"/>
        <v>9</v>
      </c>
      <c r="J125" s="108">
        <f t="shared" si="207"/>
        <v>10</v>
      </c>
      <c r="K125" s="108">
        <f t="shared" si="207"/>
        <v>11</v>
      </c>
      <c r="L125" s="108">
        <f t="shared" si="207"/>
        <v>12</v>
      </c>
      <c r="M125" s="108">
        <f t="shared" si="207"/>
        <v>13</v>
      </c>
      <c r="N125" s="108">
        <f t="shared" si="207"/>
        <v>14</v>
      </c>
      <c r="O125" s="108">
        <f t="shared" si="207"/>
        <v>15</v>
      </c>
      <c r="P125" s="108">
        <f t="shared" si="207"/>
        <v>16</v>
      </c>
      <c r="Q125" s="108">
        <f t="shared" si="207"/>
        <v>17</v>
      </c>
      <c r="AM125" s="3784" t="s">
        <v>91</v>
      </c>
      <c r="AN125" s="3785"/>
      <c r="AO125" s="3785"/>
      <c r="AP125" s="3786"/>
    </row>
    <row r="126" spans="1:59" ht="15.95" customHeight="1">
      <c r="A126" s="26" t="e">
        <f ca="1">Motor_Name</f>
        <v>#REF!</v>
      </c>
      <c r="B126" s="27"/>
      <c r="C126" s="27"/>
      <c r="D126" s="27"/>
      <c r="E126" s="27"/>
      <c r="F126" s="27"/>
      <c r="G126" s="27"/>
      <c r="H126" s="27"/>
      <c r="I126" s="27"/>
      <c r="J126" s="27"/>
      <c r="K126" s="27"/>
      <c r="L126" s="27"/>
      <c r="M126" s="27"/>
      <c r="N126" s="27"/>
      <c r="O126" s="27"/>
      <c r="P126" s="27"/>
      <c r="Q126" s="27" t="s">
        <v>124</v>
      </c>
      <c r="R126" s="4"/>
      <c r="S126" s="4"/>
      <c r="T126" s="4"/>
      <c r="AM126" s="3787"/>
      <c r="AN126" s="3788"/>
      <c r="AO126" s="3788"/>
      <c r="AP126" s="3789"/>
    </row>
    <row r="127" spans="1:59" ht="15.95" customHeight="1">
      <c r="A127" s="94" t="s">
        <v>92</v>
      </c>
      <c r="B127" s="95">
        <v>0</v>
      </c>
      <c r="C127" s="95"/>
      <c r="D127" s="95"/>
      <c r="E127" s="95"/>
      <c r="F127" s="95"/>
      <c r="G127" s="95"/>
      <c r="H127" s="95"/>
      <c r="I127" s="95"/>
      <c r="J127" s="95"/>
      <c r="K127" s="95"/>
      <c r="L127" s="95"/>
      <c r="M127" s="95"/>
      <c r="N127" s="95"/>
      <c r="O127" s="96"/>
      <c r="P127" s="96"/>
      <c r="Q127" s="96"/>
      <c r="R127" s="4"/>
      <c r="AM127" s="70" t="s">
        <v>94</v>
      </c>
      <c r="AN127" s="5" t="s">
        <v>1</v>
      </c>
      <c r="AO127" s="5" t="s">
        <v>57</v>
      </c>
      <c r="AP127" s="7" t="s">
        <v>58</v>
      </c>
    </row>
    <row r="128" spans="1:59" ht="15.95" customHeight="1">
      <c r="A128" s="97" t="s">
        <v>52</v>
      </c>
      <c r="B128" s="5">
        <v>0</v>
      </c>
      <c r="C128" s="5">
        <v>6204</v>
      </c>
      <c r="D128" s="5">
        <v>6205</v>
      </c>
      <c r="E128" s="5">
        <v>6206</v>
      </c>
      <c r="F128" s="5">
        <v>6208</v>
      </c>
      <c r="G128" s="5">
        <v>6306</v>
      </c>
      <c r="H128" s="5">
        <v>6308</v>
      </c>
      <c r="I128" s="5">
        <v>6309</v>
      </c>
      <c r="J128" s="5">
        <v>6311</v>
      </c>
      <c r="K128" s="5">
        <v>6312</v>
      </c>
      <c r="L128" s="5">
        <v>6313</v>
      </c>
      <c r="M128" s="5">
        <v>6314</v>
      </c>
      <c r="N128" s="5">
        <v>6316</v>
      </c>
      <c r="O128" s="6">
        <v>6319</v>
      </c>
      <c r="P128" s="6">
        <v>6322</v>
      </c>
      <c r="Q128" s="6">
        <v>6324</v>
      </c>
      <c r="R128" s="4"/>
      <c r="AM128" s="83">
        <v>0</v>
      </c>
      <c r="AN128" s="52"/>
      <c r="AO128" s="52"/>
      <c r="AP128" s="84"/>
    </row>
    <row r="129" spans="1:42" ht="15.95" customHeight="1">
      <c r="A129" s="70" t="s">
        <v>1289</v>
      </c>
      <c r="B129" s="5" t="s">
        <v>104</v>
      </c>
      <c r="C129" s="5">
        <v>10</v>
      </c>
      <c r="D129" s="5">
        <v>10</v>
      </c>
      <c r="E129" s="5">
        <v>10</v>
      </c>
      <c r="F129" s="5">
        <v>10</v>
      </c>
      <c r="G129" s="5">
        <v>10</v>
      </c>
      <c r="H129" s="5">
        <v>10</v>
      </c>
      <c r="I129" s="5">
        <v>10</v>
      </c>
      <c r="J129" s="5">
        <v>10</v>
      </c>
      <c r="K129" s="5">
        <v>10</v>
      </c>
      <c r="L129" s="5">
        <v>10</v>
      </c>
      <c r="M129" s="5">
        <v>30</v>
      </c>
      <c r="N129" s="5">
        <v>30</v>
      </c>
      <c r="O129" s="6">
        <v>30</v>
      </c>
      <c r="P129" s="6">
        <v>30</v>
      </c>
      <c r="Q129" s="6">
        <v>40</v>
      </c>
      <c r="R129" s="4"/>
      <c r="AM129" s="86">
        <v>2.5000000000000001E-2</v>
      </c>
      <c r="AN129" s="53">
        <v>0.31</v>
      </c>
      <c r="AO129" s="53">
        <v>0.46</v>
      </c>
      <c r="AP129" s="87">
        <v>1.75</v>
      </c>
    </row>
    <row r="130" spans="1:42" ht="15.95" customHeight="1" thickBot="1">
      <c r="A130" s="88" t="s">
        <v>97</v>
      </c>
      <c r="B130" s="9"/>
      <c r="C130" s="9">
        <v>75</v>
      </c>
      <c r="D130" s="9">
        <v>75</v>
      </c>
      <c r="E130" s="9">
        <v>75</v>
      </c>
      <c r="F130" s="9">
        <v>75</v>
      </c>
      <c r="G130" s="9">
        <v>85</v>
      </c>
      <c r="H130" s="9">
        <v>95</v>
      </c>
      <c r="I130" s="9">
        <v>105</v>
      </c>
      <c r="J130" s="9">
        <v>115</v>
      </c>
      <c r="K130" s="9">
        <v>120</v>
      </c>
      <c r="L130" s="9">
        <v>115</v>
      </c>
      <c r="M130" s="9">
        <v>145</v>
      </c>
      <c r="N130" s="9">
        <v>140</v>
      </c>
      <c r="O130" s="10">
        <v>175</v>
      </c>
      <c r="P130" s="10">
        <v>180</v>
      </c>
      <c r="Q130" s="10">
        <v>200</v>
      </c>
      <c r="R130" s="4"/>
      <c r="AM130" s="86">
        <v>0.04</v>
      </c>
      <c r="AN130" s="53">
        <v>0.33</v>
      </c>
      <c r="AO130" s="53">
        <v>0.46</v>
      </c>
      <c r="AP130" s="87">
        <v>1.62</v>
      </c>
    </row>
    <row r="131" spans="1:42" ht="15.95" customHeight="1">
      <c r="A131" s="92" t="s">
        <v>66</v>
      </c>
      <c r="B131" s="54"/>
      <c r="C131" s="54"/>
      <c r="D131" s="54"/>
      <c r="E131" s="54"/>
      <c r="F131" s="54"/>
      <c r="G131" s="54"/>
      <c r="H131" s="54"/>
      <c r="I131" s="54"/>
      <c r="J131" s="54"/>
      <c r="K131" s="54"/>
      <c r="L131" s="54"/>
      <c r="M131" s="54"/>
      <c r="N131" s="54"/>
      <c r="O131" s="99"/>
      <c r="P131" s="99"/>
      <c r="Q131" s="99"/>
      <c r="R131" s="55"/>
      <c r="AM131" s="86">
        <v>7.0000000000000007E-2</v>
      </c>
      <c r="AN131" s="53">
        <v>0.36</v>
      </c>
      <c r="AO131" s="53">
        <v>0.46</v>
      </c>
      <c r="AP131" s="87">
        <v>1.46</v>
      </c>
    </row>
    <row r="132" spans="1:42" ht="15.95" customHeight="1">
      <c r="A132" s="71" t="s">
        <v>9</v>
      </c>
      <c r="B132" s="72"/>
      <c r="C132" s="93">
        <v>1</v>
      </c>
      <c r="D132" s="93">
        <v>1</v>
      </c>
      <c r="E132" s="93">
        <v>1</v>
      </c>
      <c r="F132" s="93">
        <v>1</v>
      </c>
      <c r="G132" s="93">
        <v>1</v>
      </c>
      <c r="H132" s="93">
        <v>1</v>
      </c>
      <c r="I132" s="93">
        <v>1</v>
      </c>
      <c r="J132" s="93">
        <v>1</v>
      </c>
      <c r="K132" s="93">
        <v>1</v>
      </c>
      <c r="L132" s="93">
        <v>1</v>
      </c>
      <c r="M132" s="93">
        <v>1</v>
      </c>
      <c r="N132" s="93">
        <v>1</v>
      </c>
      <c r="O132" s="100">
        <v>1</v>
      </c>
      <c r="P132" s="100">
        <v>1</v>
      </c>
      <c r="Q132" s="100">
        <v>1</v>
      </c>
      <c r="R132" s="101"/>
      <c r="AM132" s="86">
        <v>0.13</v>
      </c>
      <c r="AN132" s="53">
        <v>0.41</v>
      </c>
      <c r="AO132" s="53">
        <v>0.46</v>
      </c>
      <c r="AP132" s="87">
        <v>1.3</v>
      </c>
    </row>
    <row r="133" spans="1:42" ht="15.95" customHeight="1">
      <c r="A133" s="71" t="s">
        <v>10</v>
      </c>
      <c r="B133" s="72"/>
      <c r="C133" s="93">
        <f>INDEX(Motor_Calculation_data,MATCH(FAXA/C$137,Motor_Fa_Co,1)+1,3,TRUE)</f>
        <v>0.46</v>
      </c>
      <c r="D133" s="93">
        <f>INDEX(Motor_Calculation_data,MATCH(FAXA/D$137,Motor_Fa_Co,1)+1,3,TRUE)</f>
        <v>0.46</v>
      </c>
      <c r="E133" s="93">
        <f>INDEX(Motor_Calculation_data,MATCH(FAXA/E$137,Motor_Fa_Co,1)+1,3,TRUE)</f>
        <v>0.46</v>
      </c>
      <c r="F133" s="93">
        <f t="shared" ref="F133:Q133" si="208">INDEX(Motor_Calculation_data,MATCH(FAXA/F$137,Motor_Fa_Co,1)+1,3,TRUE)</f>
        <v>0.46</v>
      </c>
      <c r="G133" s="93">
        <f>INDEX(Motor_Calculation_data,MATCH(FAXA/G$137,Motor_Fa_Co,1)+1,3,TRUE)</f>
        <v>0.46</v>
      </c>
      <c r="H133" s="93">
        <f>INDEX(Motor_Calculation_data,MATCH(FAXA/H$137,Motor_Fa_Co,1)+1,3,TRUE)</f>
        <v>0.46</v>
      </c>
      <c r="I133" s="93">
        <f>INDEX(Motor_Calculation_data,MATCH(FAXA/I$137,Motor_Fa_Co,1)+1,3,TRUE)</f>
        <v>0.46</v>
      </c>
      <c r="J133" s="93">
        <f t="shared" si="208"/>
        <v>0.46</v>
      </c>
      <c r="K133" s="93">
        <f t="shared" si="208"/>
        <v>0.46</v>
      </c>
      <c r="L133" s="93">
        <f t="shared" si="208"/>
        <v>0.46</v>
      </c>
      <c r="M133" s="93">
        <f>INDEX(Motor_Calculation_data,MATCH(FAXA/M$137,Motor_Fa_Co,1)+1,3,TRUE)</f>
        <v>0.46</v>
      </c>
      <c r="N133" s="93">
        <f t="shared" si="208"/>
        <v>0.46</v>
      </c>
      <c r="O133" s="100">
        <f t="shared" si="208"/>
        <v>0.46</v>
      </c>
      <c r="P133" s="100">
        <f t="shared" si="208"/>
        <v>0.46</v>
      </c>
      <c r="Q133" s="100">
        <f t="shared" si="208"/>
        <v>0.46</v>
      </c>
      <c r="R133" s="101"/>
      <c r="AM133" s="86">
        <v>0.25</v>
      </c>
      <c r="AN133" s="53">
        <v>0.46</v>
      </c>
      <c r="AO133" s="53">
        <v>0.46</v>
      </c>
      <c r="AP133" s="87">
        <v>1.1399999999999999</v>
      </c>
    </row>
    <row r="134" spans="1:42" ht="15.95" customHeight="1" thickBot="1">
      <c r="A134" s="71" t="s">
        <v>11</v>
      </c>
      <c r="B134" s="72"/>
      <c r="C134" s="93">
        <v>0</v>
      </c>
      <c r="D134" s="93">
        <v>0</v>
      </c>
      <c r="E134" s="93">
        <v>0</v>
      </c>
      <c r="F134" s="93">
        <v>0</v>
      </c>
      <c r="G134" s="93">
        <v>0</v>
      </c>
      <c r="H134" s="93">
        <v>0</v>
      </c>
      <c r="I134" s="93">
        <v>0</v>
      </c>
      <c r="J134" s="93">
        <v>0</v>
      </c>
      <c r="K134" s="93">
        <v>0</v>
      </c>
      <c r="L134" s="93">
        <v>0</v>
      </c>
      <c r="M134" s="93">
        <v>0</v>
      </c>
      <c r="N134" s="93">
        <v>0</v>
      </c>
      <c r="O134" s="100">
        <v>0</v>
      </c>
      <c r="P134" s="100">
        <v>0</v>
      </c>
      <c r="Q134" s="100">
        <v>0</v>
      </c>
      <c r="R134" s="75"/>
      <c r="AM134" s="89">
        <v>0.5</v>
      </c>
      <c r="AN134" s="90">
        <v>0.54</v>
      </c>
      <c r="AO134" s="90">
        <v>0.46</v>
      </c>
      <c r="AP134" s="91">
        <v>1</v>
      </c>
    </row>
    <row r="135" spans="1:42" ht="15.95" customHeight="1">
      <c r="A135" s="71" t="s">
        <v>12</v>
      </c>
      <c r="B135" s="72"/>
      <c r="C135" s="93">
        <f>INDEX(Motor_Calculation_data,MATCH(FAXA/C$137,Motor_Fa_Co,1)+1,4,TRUE)</f>
        <v>1</v>
      </c>
      <c r="D135" s="93">
        <f>INDEX(Motor_Calculation_data,MATCH(FAXA/D$137,Motor_Fa_Co,1)+1,4,TRUE)</f>
        <v>1</v>
      </c>
      <c r="E135" s="93">
        <f>INDEX(Motor_Calculation_data,MATCH(FAXA/E$137,Motor_Fa_Co,1)+1,4,TRUE)</f>
        <v>1</v>
      </c>
      <c r="F135" s="93">
        <f t="shared" ref="F135:Q135" si="209">INDEX(Motor_Calculation_data,MATCH(FAXA/F$137,Motor_Fa_Co,1)+1,4,TRUE)</f>
        <v>1.1399999999999999</v>
      </c>
      <c r="G135" s="93">
        <f>INDEX(Motor_Calculation_data,MATCH(FAXA/G$137,Motor_Fa_Co,1)+1,4,TRUE)</f>
        <v>1.1399999999999999</v>
      </c>
      <c r="H135" s="93">
        <f>INDEX(Motor_Calculation_data,MATCH(FAXA/H$137,Motor_Fa_Co,1)+1,4,TRUE)</f>
        <v>1.1399999999999999</v>
      </c>
      <c r="I135" s="93">
        <f>INDEX(Motor_Calculation_data,MATCH(FAXA/I$137,Motor_Fa_Co,1)+1,4,TRUE)</f>
        <v>1.3</v>
      </c>
      <c r="J135" s="93">
        <f t="shared" si="209"/>
        <v>1.3</v>
      </c>
      <c r="K135" s="93">
        <f t="shared" si="209"/>
        <v>1.3</v>
      </c>
      <c r="L135" s="93">
        <f t="shared" si="209"/>
        <v>1.46</v>
      </c>
      <c r="M135" s="93">
        <f>INDEX(Motor_Calculation_data,MATCH(FAXA/M$137,Motor_Fa_Co,1)+1,4,TRUE)</f>
        <v>1.46</v>
      </c>
      <c r="N135" s="93">
        <f t="shared" si="209"/>
        <v>1.46</v>
      </c>
      <c r="O135" s="100">
        <f t="shared" si="209"/>
        <v>1.62</v>
      </c>
      <c r="P135" s="100">
        <f t="shared" si="209"/>
        <v>1.75</v>
      </c>
      <c r="Q135" s="100">
        <f t="shared" si="209"/>
        <v>1.75</v>
      </c>
      <c r="R135" s="75"/>
    </row>
    <row r="136" spans="1:42" ht="15.95" customHeight="1">
      <c r="A136" s="71" t="s">
        <v>1</v>
      </c>
      <c r="B136" s="72"/>
      <c r="C136" s="93">
        <f>INDEX(Motor_Calculation_data,MATCH(FAXA/C$137,Motor_Fa_Co,1)+1,2,TRUE)</f>
        <v>0.54</v>
      </c>
      <c r="D136" s="93">
        <f>INDEX(Motor_Calculation_data,MATCH(FAXA/D$137,Motor_Fa_Co,1)+1,2,TRUE)</f>
        <v>0.54</v>
      </c>
      <c r="E136" s="93">
        <f>INDEX(Motor_Calculation_data,MATCH(FAXA/E$137,Motor_Fa_Co,1)+1,2,TRUE)</f>
        <v>0.54</v>
      </c>
      <c r="F136" s="93">
        <f t="shared" ref="F136:Q136" si="210">INDEX(Motor_Calculation_data,MATCH(FAXA/F$137,Motor_Fa_Co,1)+1,2,TRUE)</f>
        <v>0.46</v>
      </c>
      <c r="G136" s="93">
        <f>INDEX(Motor_Calculation_data,MATCH(FAXA/G$137,Motor_Fa_Co,1)+1,2,TRUE)</f>
        <v>0.46</v>
      </c>
      <c r="H136" s="93">
        <f>INDEX(Motor_Calculation_data,MATCH(FAXA/H$137,Motor_Fa_Co,1)+1,2,TRUE)</f>
        <v>0.46</v>
      </c>
      <c r="I136" s="93">
        <f>INDEX(Motor_Calculation_data,MATCH(FAXA/I$137,Motor_Fa_Co,1)+1,2,TRUE)</f>
        <v>0.41</v>
      </c>
      <c r="J136" s="93">
        <f t="shared" si="210"/>
        <v>0.41</v>
      </c>
      <c r="K136" s="93">
        <f t="shared" si="210"/>
        <v>0.41</v>
      </c>
      <c r="L136" s="93">
        <f t="shared" si="210"/>
        <v>0.36</v>
      </c>
      <c r="M136" s="93">
        <f>INDEX(Motor_Calculation_data,MATCH(FAXA/M$137,Motor_Fa_Co,1)+1,2,TRUE)</f>
        <v>0.36</v>
      </c>
      <c r="N136" s="93">
        <f t="shared" si="210"/>
        <v>0.36</v>
      </c>
      <c r="O136" s="100">
        <f t="shared" si="210"/>
        <v>0.33</v>
      </c>
      <c r="P136" s="100">
        <f t="shared" si="210"/>
        <v>0.31</v>
      </c>
      <c r="Q136" s="100">
        <f t="shared" si="210"/>
        <v>0.31</v>
      </c>
      <c r="R136" s="75"/>
    </row>
    <row r="137" spans="1:42" ht="15.95" customHeight="1">
      <c r="A137" s="70" t="s">
        <v>54</v>
      </c>
      <c r="B137" s="5"/>
      <c r="C137" s="77">
        <v>8550</v>
      </c>
      <c r="D137" s="77">
        <v>7800</v>
      </c>
      <c r="E137" s="77">
        <v>11200</v>
      </c>
      <c r="F137" s="77">
        <v>19000</v>
      </c>
      <c r="G137" s="77">
        <v>19000</v>
      </c>
      <c r="H137" s="77">
        <v>24000</v>
      </c>
      <c r="I137" s="77">
        <v>31500</v>
      </c>
      <c r="J137" s="77">
        <v>45000</v>
      </c>
      <c r="K137" s="77">
        <v>52000</v>
      </c>
      <c r="L137" s="77">
        <v>60000</v>
      </c>
      <c r="M137" s="77">
        <v>68000</v>
      </c>
      <c r="N137" s="77">
        <v>86500</v>
      </c>
      <c r="O137" s="78">
        <v>118000</v>
      </c>
      <c r="P137" s="77">
        <v>180000</v>
      </c>
      <c r="Q137" s="78">
        <v>186000</v>
      </c>
      <c r="S137" s="55"/>
      <c r="T137" s="4"/>
      <c r="AJ137" s="75"/>
      <c r="AK137" s="75"/>
      <c r="AL137" s="75"/>
      <c r="AM137" s="75"/>
    </row>
    <row r="138" spans="1:42" s="75" customFormat="1" ht="15.95" customHeight="1">
      <c r="A138" s="70" t="s">
        <v>2</v>
      </c>
      <c r="B138" s="5"/>
      <c r="C138" s="77">
        <v>12700</v>
      </c>
      <c r="D138" s="77">
        <v>14000</v>
      </c>
      <c r="E138" s="77">
        <v>19500</v>
      </c>
      <c r="F138" s="77">
        <v>30700</v>
      </c>
      <c r="G138" s="77">
        <v>33200</v>
      </c>
      <c r="H138" s="77">
        <v>41000</v>
      </c>
      <c r="I138" s="77">
        <v>52700</v>
      </c>
      <c r="J138" s="77">
        <v>71500</v>
      </c>
      <c r="K138" s="77">
        <v>81900</v>
      </c>
      <c r="L138" s="77">
        <v>92300</v>
      </c>
      <c r="M138" s="77">
        <v>104000</v>
      </c>
      <c r="N138" s="77">
        <v>124000</v>
      </c>
      <c r="O138" s="78">
        <v>153000</v>
      </c>
      <c r="P138" s="77">
        <v>203000</v>
      </c>
      <c r="Q138" s="78">
        <v>208000</v>
      </c>
      <c r="R138" s="3"/>
      <c r="S138" s="101"/>
      <c r="T138" s="76"/>
    </row>
    <row r="139" spans="1:42" s="75" customFormat="1" ht="15.95" customHeight="1">
      <c r="A139" s="70" t="s">
        <v>3</v>
      </c>
      <c r="B139" s="5"/>
      <c r="C139" s="77">
        <v>15000</v>
      </c>
      <c r="D139" s="77">
        <v>12000</v>
      </c>
      <c r="E139" s="77">
        <v>10000</v>
      </c>
      <c r="F139" s="77">
        <v>7500</v>
      </c>
      <c r="G139" s="77">
        <v>8500</v>
      </c>
      <c r="H139" s="77">
        <v>7500</v>
      </c>
      <c r="I139" s="77">
        <v>6700</v>
      </c>
      <c r="J139" s="77">
        <v>5600</v>
      </c>
      <c r="K139" s="77">
        <v>5000</v>
      </c>
      <c r="L139" s="77">
        <v>4800</v>
      </c>
      <c r="M139" s="77">
        <v>4500</v>
      </c>
      <c r="N139" s="77">
        <v>3800</v>
      </c>
      <c r="O139" s="78">
        <v>3200</v>
      </c>
      <c r="P139" s="77">
        <v>3200</v>
      </c>
      <c r="Q139" s="78">
        <v>5700</v>
      </c>
      <c r="R139" s="3"/>
      <c r="S139" s="101"/>
      <c r="T139" s="76"/>
      <c r="U139" s="76"/>
      <c r="V139" s="76"/>
    </row>
    <row r="140" spans="1:42" s="75" customFormat="1" ht="15.95" customHeight="1">
      <c r="A140" s="71" t="s">
        <v>13</v>
      </c>
      <c r="B140" s="72"/>
      <c r="C140" s="73">
        <v>3</v>
      </c>
      <c r="D140" s="73">
        <v>3</v>
      </c>
      <c r="E140" s="73">
        <v>3</v>
      </c>
      <c r="F140" s="73">
        <v>3</v>
      </c>
      <c r="G140" s="73">
        <v>3</v>
      </c>
      <c r="H140" s="73">
        <v>3</v>
      </c>
      <c r="I140" s="73">
        <v>3</v>
      </c>
      <c r="J140" s="73">
        <v>3</v>
      </c>
      <c r="K140" s="73">
        <v>3</v>
      </c>
      <c r="L140" s="73">
        <v>3</v>
      </c>
      <c r="M140" s="73">
        <v>3</v>
      </c>
      <c r="N140" s="73">
        <v>3</v>
      </c>
      <c r="O140" s="74">
        <v>3</v>
      </c>
      <c r="P140" s="74">
        <v>3</v>
      </c>
      <c r="Q140" s="74">
        <v>3</v>
      </c>
      <c r="T140" s="76"/>
      <c r="U140" s="76"/>
      <c r="V140" s="76"/>
    </row>
    <row r="141" spans="1:42" s="75" customFormat="1" ht="15.95" customHeight="1">
      <c r="A141" s="70" t="s">
        <v>5</v>
      </c>
      <c r="B141" s="5"/>
      <c r="C141" s="5">
        <f t="shared" ref="C141:Q141" si="211">IF(OR(DRIVE_Type="Coupling",DRIVE_Type="Direct"),FRA,IF(FAXA/FRA&lt;=C136,C132*FRA+C134*FAXA,C133*FRA+C135*FAXA))</f>
        <v>5959.1973699693681</v>
      </c>
      <c r="D141" s="5">
        <f t="shared" si="211"/>
        <v>5959.1973699693681</v>
      </c>
      <c r="E141" s="5">
        <f t="shared" si="211"/>
        <v>5959.1973699693681</v>
      </c>
      <c r="F141" s="5">
        <f t="shared" si="211"/>
        <v>5959.1973699693681</v>
      </c>
      <c r="G141" s="5">
        <f>IF(OR(DRIVE_Type="Coupling",DRIVE_Type="Direct"),FRA,IF(FAXA/FRA&lt;=G136,G132*FRA+G134*FAXA,G133*FRA+G135*FAXA))</f>
        <v>5959.1973699693681</v>
      </c>
      <c r="H141" s="5">
        <f>IF(OR(DRIVE_Type="Coupling",DRIVE_Type="Direct"),FRA,IF(FAXA/FRA&lt;=H136,H132*FRA+H134*FAXA,H133*FRA+H135*FAXA))</f>
        <v>5959.1973699693681</v>
      </c>
      <c r="I141" s="5">
        <f t="shared" si="211"/>
        <v>5959.1973699693681</v>
      </c>
      <c r="J141" s="5">
        <f t="shared" si="211"/>
        <v>5959.1973699693681</v>
      </c>
      <c r="K141" s="5">
        <f t="shared" si="211"/>
        <v>5959.1973699693681</v>
      </c>
      <c r="L141" s="5">
        <f t="shared" si="211"/>
        <v>5959.1973699693681</v>
      </c>
      <c r="M141" s="5">
        <f t="shared" si="211"/>
        <v>5959.1973699693681</v>
      </c>
      <c r="N141" s="5">
        <f t="shared" si="211"/>
        <v>5959.1973699693681</v>
      </c>
      <c r="O141" s="6">
        <f t="shared" si="211"/>
        <v>5959.1973699693681</v>
      </c>
      <c r="P141" s="6">
        <f t="shared" si="211"/>
        <v>5959.1973699693681</v>
      </c>
      <c r="Q141" s="6">
        <f t="shared" si="211"/>
        <v>5959.1973699693681</v>
      </c>
      <c r="R141" s="3"/>
      <c r="T141" s="76"/>
      <c r="U141" s="76"/>
      <c r="V141" s="76"/>
    </row>
    <row r="142" spans="1:42" s="75" customFormat="1" ht="15.95" customHeight="1">
      <c r="A142" s="70" t="s">
        <v>6</v>
      </c>
      <c r="B142" s="5"/>
      <c r="C142" s="5">
        <f t="shared" ref="C142:Q142" si="212">10^6*(C138/C141)^C140/(60*Fan_Max_rpm)</f>
        <v>53.774372218768974</v>
      </c>
      <c r="D142" s="5">
        <f t="shared" si="212"/>
        <v>72.035784991528459</v>
      </c>
      <c r="E142" s="5">
        <f t="shared" si="212"/>
        <v>194.6561010346428</v>
      </c>
      <c r="F142" s="5">
        <f t="shared" si="212"/>
        <v>759.59012929942992</v>
      </c>
      <c r="G142" s="5">
        <f t="shared" si="212"/>
        <v>960.6793094565852</v>
      </c>
      <c r="H142" s="5">
        <f t="shared" si="212"/>
        <v>1809.3215515310258</v>
      </c>
      <c r="I142" s="5">
        <f t="shared" si="212"/>
        <v>3842.3421214517984</v>
      </c>
      <c r="J142" s="5">
        <f t="shared" si="212"/>
        <v>9595.8248324855376</v>
      </c>
      <c r="K142" s="5">
        <f t="shared" si="212"/>
        <v>14421.681213454609</v>
      </c>
      <c r="L142" s="5">
        <f t="shared" si="212"/>
        <v>20642.832526640002</v>
      </c>
      <c r="M142" s="5">
        <f t="shared" si="212"/>
        <v>29530.051475477641</v>
      </c>
      <c r="N142" s="5">
        <f t="shared" si="212"/>
        <v>50052.899607758016</v>
      </c>
      <c r="O142" s="5">
        <f t="shared" si="212"/>
        <v>94023.947049053779</v>
      </c>
      <c r="P142" s="5">
        <f t="shared" si="212"/>
        <v>219610.09501979852</v>
      </c>
      <c r="Q142" s="5">
        <f t="shared" si="212"/>
        <v>236240.41180382113</v>
      </c>
      <c r="R142" s="4"/>
      <c r="T142" s="76"/>
      <c r="U142" s="76"/>
      <c r="V142" s="76"/>
      <c r="AJ142" s="3"/>
      <c r="AK142" s="3"/>
      <c r="AL142" s="3"/>
      <c r="AM142" s="3"/>
    </row>
    <row r="143" spans="1:42" ht="15.95" customHeight="1">
      <c r="A143" s="70" t="s">
        <v>7</v>
      </c>
      <c r="B143" s="5"/>
      <c r="C143" s="5">
        <f t="shared" ref="C143:Q143" si="213">IF(OR(DRIVE_Type="Coupling",DRIVE_Type="Direct"),IF(FAXB/FRB&lt;=C136,C132*FRB+C134*FAXB,C133*FRB+C135*FAXB),FRB)</f>
        <v>2296.0770717466894</v>
      </c>
      <c r="D143" s="5">
        <f t="shared" si="213"/>
        <v>2296.0770717466894</v>
      </c>
      <c r="E143" s="5">
        <f t="shared" si="213"/>
        <v>2296.0770717466894</v>
      </c>
      <c r="F143" s="5">
        <f t="shared" si="213"/>
        <v>2296.0770717466894</v>
      </c>
      <c r="G143" s="5">
        <f>IF(OR(DRIVE_Type="Coupling",DRIVE_Type="Direct"),IF(FAXB/FRB&lt;=G136,G132*FRB+G134*FAXB,G133*FRB+G135*FAXB),FRB)</f>
        <v>2296.0770717466894</v>
      </c>
      <c r="H143" s="5">
        <f>IF(OR(DRIVE_Type="Coupling",DRIVE_Type="Direct"),IF(FAXB/FRB&lt;=H136,H132*FRB+H134*FAXB,H133*FRB+H135*FAXB),FRB)</f>
        <v>2296.0770717466894</v>
      </c>
      <c r="I143" s="5">
        <f t="shared" si="213"/>
        <v>2296.0770717466894</v>
      </c>
      <c r="J143" s="5">
        <f t="shared" si="213"/>
        <v>2296.0770717466894</v>
      </c>
      <c r="K143" s="5">
        <f t="shared" si="213"/>
        <v>2296.0770717466894</v>
      </c>
      <c r="L143" s="5">
        <f t="shared" si="213"/>
        <v>2296.0770717466894</v>
      </c>
      <c r="M143" s="5">
        <f t="shared" si="213"/>
        <v>2296.0770717466894</v>
      </c>
      <c r="N143" s="5">
        <f t="shared" si="213"/>
        <v>2296.0770717466894</v>
      </c>
      <c r="O143" s="5">
        <f t="shared" si="213"/>
        <v>2296.0770717466894</v>
      </c>
      <c r="P143" s="5">
        <f t="shared" si="213"/>
        <v>2296.0770717466894</v>
      </c>
      <c r="Q143" s="5">
        <f t="shared" si="213"/>
        <v>2296.0770717466894</v>
      </c>
      <c r="R143" s="4"/>
      <c r="T143" s="4"/>
      <c r="U143" s="4"/>
      <c r="V143" s="4"/>
    </row>
    <row r="144" spans="1:42" ht="15.95" customHeight="1">
      <c r="A144" s="70" t="s">
        <v>8</v>
      </c>
      <c r="B144" s="5"/>
      <c r="C144" s="5">
        <f t="shared" ref="C144:Q144" si="214">10^6*(C138/C143)^C140/(60*Fan_Max_rpm)</f>
        <v>940.11129886420929</v>
      </c>
      <c r="D144" s="5">
        <f t="shared" si="214"/>
        <v>1259.3667317505513</v>
      </c>
      <c r="E144" s="5">
        <f t="shared" si="214"/>
        <v>3403.0783145367604</v>
      </c>
      <c r="F144" s="5">
        <f t="shared" si="214"/>
        <v>13279.546252162032</v>
      </c>
      <c r="G144" s="5">
        <f t="shared" si="214"/>
        <v>16795.090972535334</v>
      </c>
      <c r="H144" s="5">
        <f t="shared" si="214"/>
        <v>31631.492171639857</v>
      </c>
      <c r="I144" s="5">
        <f t="shared" si="214"/>
        <v>67173.805912287833</v>
      </c>
      <c r="J144" s="5">
        <f t="shared" si="214"/>
        <v>167759.15691290473</v>
      </c>
      <c r="K144" s="5">
        <f t="shared" si="214"/>
        <v>252127.26616739947</v>
      </c>
      <c r="L144" s="5">
        <f t="shared" si="214"/>
        <v>360888.64078049368</v>
      </c>
      <c r="M144" s="5">
        <f t="shared" si="214"/>
        <v>516259.58430898411</v>
      </c>
      <c r="N144" s="5">
        <f t="shared" si="214"/>
        <v>875050.59604852903</v>
      </c>
      <c r="O144" s="5">
        <f t="shared" si="214"/>
        <v>1643775.1169835802</v>
      </c>
      <c r="P144" s="5">
        <f t="shared" si="214"/>
        <v>3839336.902583024</v>
      </c>
      <c r="Q144" s="5">
        <f t="shared" si="214"/>
        <v>4130076.6744718729</v>
      </c>
      <c r="R144" s="82"/>
      <c r="T144" s="4"/>
      <c r="U144" s="4"/>
      <c r="V144" s="4"/>
    </row>
    <row r="145" spans="1:57" ht="15.95" customHeight="1" thickBot="1">
      <c r="A145" s="80" t="s">
        <v>1024</v>
      </c>
      <c r="B145" s="81">
        <v>0</v>
      </c>
      <c r="C145" s="81">
        <f t="shared" ref="C145:Q145" si="215">IF(AND(C139&gt;=Fan_Max_rpm,C142&gt;=min_life,C142&lt;max_life,C144&gt;=min_life,C144&lt;max_life),MIN(C142,C144),0)</f>
        <v>0</v>
      </c>
      <c r="D145" s="81">
        <f t="shared" si="215"/>
        <v>0</v>
      </c>
      <c r="E145" s="81">
        <f t="shared" si="215"/>
        <v>0</v>
      </c>
      <c r="F145" s="81">
        <f t="shared" si="215"/>
        <v>0</v>
      </c>
      <c r="G145" s="81">
        <f t="shared" si="215"/>
        <v>0</v>
      </c>
      <c r="H145" s="81">
        <f t="shared" si="215"/>
        <v>0</v>
      </c>
      <c r="I145" s="81">
        <f t="shared" si="215"/>
        <v>0</v>
      </c>
      <c r="J145" s="81">
        <f t="shared" si="215"/>
        <v>0</v>
      </c>
      <c r="K145" s="81">
        <f t="shared" si="215"/>
        <v>0</v>
      </c>
      <c r="L145" s="81">
        <f t="shared" si="215"/>
        <v>20642.832526640002</v>
      </c>
      <c r="M145" s="81">
        <f t="shared" si="215"/>
        <v>29530.051475477641</v>
      </c>
      <c r="N145" s="81">
        <f t="shared" si="215"/>
        <v>50052.899607758016</v>
      </c>
      <c r="O145" s="81">
        <f t="shared" si="215"/>
        <v>94023.947049053779</v>
      </c>
      <c r="P145" s="81">
        <f t="shared" si="215"/>
        <v>219610.09501979852</v>
      </c>
      <c r="Q145" s="81">
        <f t="shared" si="215"/>
        <v>236240.41180382113</v>
      </c>
      <c r="R145" s="82"/>
      <c r="T145" s="4"/>
      <c r="U145" s="4"/>
      <c r="V145" s="4"/>
      <c r="AJ145" s="75"/>
      <c r="AK145" s="75"/>
      <c r="AL145" s="75"/>
      <c r="AM145" s="75"/>
    </row>
    <row r="146" spans="1:57" s="75" customFormat="1" ht="15.95" customHeight="1">
      <c r="A146" s="82"/>
      <c r="B146" s="4"/>
      <c r="C146" s="82"/>
      <c r="D146" s="82"/>
      <c r="E146" s="82"/>
      <c r="F146" s="82"/>
      <c r="G146" s="82"/>
      <c r="H146" s="82"/>
      <c r="I146" s="82"/>
      <c r="J146" s="82"/>
      <c r="K146" s="82"/>
      <c r="L146" s="82"/>
      <c r="M146" s="82"/>
      <c r="N146" s="82"/>
      <c r="O146" s="82"/>
      <c r="P146" s="82"/>
      <c r="Q146" s="82"/>
      <c r="R146" s="82"/>
      <c r="S146" s="82"/>
      <c r="T146" s="82"/>
      <c r="U146" s="82"/>
      <c r="V146" s="82"/>
      <c r="W146" s="82"/>
      <c r="X146" s="82"/>
      <c r="Y146" s="82"/>
      <c r="Z146" s="82"/>
      <c r="AA146" s="82"/>
      <c r="AB146" s="82"/>
      <c r="AC146" s="82"/>
      <c r="AD146" s="82"/>
      <c r="AE146" s="82"/>
      <c r="AF146" s="82"/>
      <c r="AG146" s="82"/>
      <c r="AH146" s="3"/>
      <c r="AI146" s="3"/>
      <c r="AJ146" s="3"/>
      <c r="AL146" s="76"/>
      <c r="AM146" s="76"/>
      <c r="AN146" s="76"/>
      <c r="BB146" s="3"/>
      <c r="BC146" s="3"/>
      <c r="BD146" s="3"/>
      <c r="BE146" s="3"/>
    </row>
    <row r="147" spans="1:57" ht="15.95" customHeight="1">
      <c r="F147" s="12"/>
      <c r="AL147" s="4"/>
    </row>
    <row r="148" spans="1:57" ht="15.95" customHeight="1">
      <c r="F148" s="12"/>
      <c r="AK148" s="4"/>
      <c r="AL148" s="4"/>
    </row>
    <row r="149" spans="1:57" ht="15.95" customHeight="1">
      <c r="B149" s="3"/>
      <c r="G149" s="12"/>
      <c r="AK149" s="4"/>
      <c r="AL149" s="4"/>
    </row>
    <row r="150" spans="1:57" ht="15.95" customHeight="1" thickBot="1">
      <c r="AK150" s="82"/>
      <c r="AL150" s="4"/>
    </row>
    <row r="151" spans="1:57" ht="15.95" customHeight="1" thickBot="1">
      <c r="A151" s="242" t="s">
        <v>1735</v>
      </c>
      <c r="B151" s="262"/>
      <c r="C151" s="109">
        <v>3</v>
      </c>
      <c r="D151" s="109">
        <f t="shared" ref="D151:J151" si="216">C151+1</f>
        <v>4</v>
      </c>
      <c r="E151" s="109">
        <f t="shared" si="216"/>
        <v>5</v>
      </c>
      <c r="F151" s="109">
        <f t="shared" si="216"/>
        <v>6</v>
      </c>
      <c r="G151" s="109">
        <f t="shared" si="216"/>
        <v>7</v>
      </c>
      <c r="H151" s="109">
        <f t="shared" si="216"/>
        <v>8</v>
      </c>
      <c r="I151" s="109">
        <f t="shared" si="216"/>
        <v>9</v>
      </c>
      <c r="J151" s="109">
        <f t="shared" si="216"/>
        <v>10</v>
      </c>
      <c r="K151" s="109">
        <f>I151+1</f>
        <v>10</v>
      </c>
      <c r="L151" s="110">
        <f>J151+1</f>
        <v>11</v>
      </c>
      <c r="AY151" s="82"/>
      <c r="AZ151" s="4"/>
    </row>
    <row r="152" spans="1:57" ht="15.95" customHeight="1">
      <c r="A152" s="79" t="s">
        <v>17</v>
      </c>
      <c r="B152" s="79" t="s">
        <v>340</v>
      </c>
      <c r="C152" s="103" t="s">
        <v>55</v>
      </c>
      <c r="D152" s="104"/>
      <c r="E152" s="104"/>
      <c r="F152" s="104"/>
      <c r="G152" s="104"/>
      <c r="H152" s="104"/>
      <c r="I152" s="104"/>
      <c r="J152" s="104"/>
      <c r="K152" s="104"/>
      <c r="L152" s="105"/>
    </row>
    <row r="153" spans="1:57" ht="15.95" customHeight="1">
      <c r="A153" s="106">
        <v>0</v>
      </c>
      <c r="B153" s="106">
        <v>2</v>
      </c>
      <c r="C153" s="710">
        <v>-3</v>
      </c>
      <c r="D153" s="711">
        <v>-3</v>
      </c>
      <c r="E153" s="711">
        <v>-3</v>
      </c>
      <c r="F153" s="711">
        <v>-3</v>
      </c>
      <c r="G153" s="711">
        <v>-3</v>
      </c>
      <c r="H153" s="711">
        <v>-3</v>
      </c>
      <c r="I153" s="711">
        <v>-3</v>
      </c>
      <c r="J153" s="711">
        <v>-3</v>
      </c>
      <c r="K153" s="711">
        <v>-3</v>
      </c>
      <c r="L153" s="719">
        <v>-3</v>
      </c>
      <c r="M153" s="3" t="s">
        <v>1734</v>
      </c>
    </row>
    <row r="154" spans="1:57" ht="15.95" customHeight="1">
      <c r="A154" s="106"/>
      <c r="B154" s="106"/>
      <c r="C154" s="712">
        <f t="shared" ref="C154:L154" si="217">IF(C155=0,0,INDEX(REG_Bearing_Type,1,C153))</f>
        <v>0</v>
      </c>
      <c r="D154" s="713">
        <f t="shared" si="217"/>
        <v>0</v>
      </c>
      <c r="E154" s="713">
        <f t="shared" si="217"/>
        <v>0</v>
      </c>
      <c r="F154" s="713">
        <f t="shared" si="217"/>
        <v>0</v>
      </c>
      <c r="G154" s="713">
        <f t="shared" si="217"/>
        <v>0</v>
      </c>
      <c r="H154" s="713">
        <f t="shared" si="217"/>
        <v>0</v>
      </c>
      <c r="I154" s="713">
        <f t="shared" si="217"/>
        <v>0</v>
      </c>
      <c r="J154" s="713">
        <f t="shared" si="217"/>
        <v>0</v>
      </c>
      <c r="K154" s="713">
        <f t="shared" si="217"/>
        <v>0</v>
      </c>
      <c r="L154" s="720">
        <f t="shared" si="217"/>
        <v>0</v>
      </c>
      <c r="M154" s="3" t="s">
        <v>1732</v>
      </c>
    </row>
    <row r="155" spans="1:57" ht="15.95" customHeight="1">
      <c r="A155" s="106"/>
      <c r="B155" s="106"/>
      <c r="C155" s="710">
        <f t="shared" ref="C155:L155" si="218">IF(C153&lt;0,0,INDEX(REG_B_OK,1,C153))</f>
        <v>0</v>
      </c>
      <c r="D155" s="711">
        <f t="shared" si="218"/>
        <v>0</v>
      </c>
      <c r="E155" s="711">
        <f t="shared" si="218"/>
        <v>0</v>
      </c>
      <c r="F155" s="711">
        <f t="shared" si="218"/>
        <v>0</v>
      </c>
      <c r="G155" s="711">
        <f t="shared" si="218"/>
        <v>0</v>
      </c>
      <c r="H155" s="711">
        <f t="shared" si="218"/>
        <v>0</v>
      </c>
      <c r="I155" s="711">
        <f t="shared" si="218"/>
        <v>0</v>
      </c>
      <c r="J155" s="711">
        <f t="shared" si="218"/>
        <v>0</v>
      </c>
      <c r="K155" s="711">
        <f t="shared" si="218"/>
        <v>0</v>
      </c>
      <c r="L155" s="719">
        <f t="shared" si="218"/>
        <v>0</v>
      </c>
      <c r="M155" s="3" t="s">
        <v>1733</v>
      </c>
    </row>
    <row r="156" spans="1:57" ht="15.95" customHeight="1">
      <c r="A156" s="106">
        <v>35</v>
      </c>
      <c r="B156" s="106">
        <f>MATCH($A156,REG_Axle_Diameter,0)</f>
        <v>3</v>
      </c>
      <c r="C156" s="714">
        <f>IF(ISERROR($B156),-3,IF(INDEX(REG_Axle_Diameter,1,B156)&lt;&gt;$A156,-2,IF(INDEX(REG_B_OK,1,B156)&lt;&gt;0,B156,IF(INDEX(REG_Axle_Diameter,1,B156+1)&lt;&gt;$A156,-2,IF(INDEX(REG_B_OK,1,B156+1)&lt;&gt;0,B156+1,IF(INDEX(REG_Axle_Diameter,1,B156+2)&lt;&gt;$A156,-2,IF(INDEX(REG_B_OK,1,B156+2)&lt;&gt;0,B156+2,IF(INDEX(REG_Axle_Diameter,1,B156+3)&lt;&gt;$A156,-2,IF(INDEX(REG_B_OK,1,B156+3)&lt;&gt;0,B156+3,IF(INDEX(REG_Axle_Diameter,1,B156+4)&lt;&gt;$A156,-2,IF(INDEX(REG_B_OK,1,B156+4)&lt;&gt;0,B156+4,IF(INDEX(REG_Axle_Diameter,1,B156+5)&lt;&gt;$A156,-2,IF(INDEX(REG_B_OK,1,B156+5)&lt;&gt;0,B156+5,IF(INDEX(REG_Axle_Diameter,1,B156+6)&lt;&gt;$A156,-2,IF(INDEX(REG_B_OK,1,B156+6)&lt;&gt;0,B156+6,IF(INDEX(REG_Axle_Diameter,1,B156+7)&lt;&gt;$A156,-2,IF(INDEX(REG_B_OK,1,B156+7)&lt;&gt;0,B156+7,IF(INDEX(REG_Axle_Diameter,1,B156+8)&lt;&gt;$A156,-2,IF(INDEX(REG_B_OK,1,B156+8)&lt;&gt;0,B156+8,IF(INDEX(REG_Axle_Diameter,1,B156+9)&lt;&gt;$A156,-2,IF(INDEX(REG_B_OK,1,B156+9)&lt;&gt;0,B156+9,IF(INDEX(REG_Axle_Diameter,1,B156+10)&lt;&gt;$A156,-2,B156+10))))))))))))))))))))))</f>
        <v>-2</v>
      </c>
      <c r="D156" s="710">
        <f t="shared" ref="D156:L156" si="219">IF(ISERROR($B156),-3,IF(C156=-2,-2,IF(INDEX(REG_Axle_Diameter,1,C156+1)&lt;&gt;$A156,-2,IF(INDEX(REG_B_OK,1,C156+1)&lt;&gt;0,C156+1,IF(INDEX(REG_Axle_Diameter,1,C156+2)&lt;&gt;$A156,-2,IF(INDEX(REG_B_OK,1,C156+2)&lt;&gt;0,C156+2,IF(INDEX(REG_Axle_Diameter,1,C156+3)&lt;&gt;$A156,-2,IF(INDEX(REG_B_OK,1,C156+3)&lt;&gt;0,C156+3,IF(INDEX(REG_Axle_Diameter,1,C156+4)&lt;&gt;$A156,-2,IF(INDEX(REG_B_OK,1,C156+4)&lt;&gt;0,C156+4,IF(INDEX(REG_Axle_Diameter,1,C156+5)&lt;&gt;$A156,-2,IF(INDEX(REG_B_OK,1,C156+5)&lt;&gt;0,C156+5,IF(INDEX(REG_Axle_Diameter,1,C156+6)&lt;&gt;$A156,-2,IF(INDEX(REG_B_OK,1,C156+6)&lt;&gt;0,C156+6,IF(INDEX(REG_Axle_Diameter,1,C156+7)&lt;&gt;$A156,-2,IF(INDEX(REG_B_OK,1,C156+7)&lt;&gt;0,C156+7,IF(INDEX(REG_Axle_Diameter,1,C156+8)&lt;&gt;$A156,-2,IF(INDEX(REG_B_OK,1,C156+8)&lt;&gt;0,C156+8,IF(INDEX(REG_Axle_Diameter,1,C156+9)&lt;&gt;$A156,-2,IF(INDEX(REG_B_OK,1,C156+9)&lt;&gt;0,C156+9,IF(INDEX(REG_Axle_Diameter,1,C156+10)&lt;&gt;$A156,-2,C156+10)))))))))))))))))))))</f>
        <v>-2</v>
      </c>
      <c r="E156" s="711">
        <f t="shared" si="219"/>
        <v>-2</v>
      </c>
      <c r="F156" s="711">
        <f t="shared" si="219"/>
        <v>-2</v>
      </c>
      <c r="G156" s="711">
        <f t="shared" si="219"/>
        <v>-2</v>
      </c>
      <c r="H156" s="711">
        <f t="shared" si="219"/>
        <v>-2</v>
      </c>
      <c r="I156" s="711">
        <f t="shared" si="219"/>
        <v>-2</v>
      </c>
      <c r="J156" s="711">
        <f t="shared" si="219"/>
        <v>-2</v>
      </c>
      <c r="K156" s="711">
        <f t="shared" si="219"/>
        <v>-2</v>
      </c>
      <c r="L156" s="719">
        <f t="shared" si="219"/>
        <v>-2</v>
      </c>
    </row>
    <row r="157" spans="1:57" ht="15.95" customHeight="1">
      <c r="A157" s="106"/>
      <c r="B157" s="106"/>
      <c r="C157" s="712">
        <f t="shared" ref="C157:L157" si="220">IF(C158=0,0,INDEX(REG_Bearing_Type,1,C156))</f>
        <v>0</v>
      </c>
      <c r="D157" s="713">
        <f t="shared" si="220"/>
        <v>0</v>
      </c>
      <c r="E157" s="713">
        <f t="shared" si="220"/>
        <v>0</v>
      </c>
      <c r="F157" s="713">
        <f t="shared" si="220"/>
        <v>0</v>
      </c>
      <c r="G157" s="713">
        <f t="shared" si="220"/>
        <v>0</v>
      </c>
      <c r="H157" s="713">
        <f t="shared" si="220"/>
        <v>0</v>
      </c>
      <c r="I157" s="713">
        <f t="shared" si="220"/>
        <v>0</v>
      </c>
      <c r="J157" s="713">
        <f t="shared" si="220"/>
        <v>0</v>
      </c>
      <c r="K157" s="713">
        <f t="shared" si="220"/>
        <v>0</v>
      </c>
      <c r="L157" s="720">
        <f t="shared" si="220"/>
        <v>0</v>
      </c>
    </row>
    <row r="158" spans="1:57" ht="15.95" customHeight="1">
      <c r="A158" s="106"/>
      <c r="B158" s="106"/>
      <c r="C158" s="710">
        <f t="shared" ref="C158:L158" si="221">IF(C156&lt;0,0,INDEX(REG_B_OK,1,C156))</f>
        <v>0</v>
      </c>
      <c r="D158" s="711">
        <f t="shared" si="221"/>
        <v>0</v>
      </c>
      <c r="E158" s="711">
        <f t="shared" si="221"/>
        <v>0</v>
      </c>
      <c r="F158" s="711">
        <f t="shared" si="221"/>
        <v>0</v>
      </c>
      <c r="G158" s="711">
        <f t="shared" si="221"/>
        <v>0</v>
      </c>
      <c r="H158" s="711">
        <f t="shared" si="221"/>
        <v>0</v>
      </c>
      <c r="I158" s="711">
        <f t="shared" si="221"/>
        <v>0</v>
      </c>
      <c r="J158" s="711">
        <f t="shared" si="221"/>
        <v>0</v>
      </c>
      <c r="K158" s="711">
        <f t="shared" si="221"/>
        <v>0</v>
      </c>
      <c r="L158" s="719">
        <f t="shared" si="221"/>
        <v>0</v>
      </c>
    </row>
    <row r="159" spans="1:57" ht="15.95" customHeight="1">
      <c r="A159" s="106">
        <f>A156+5</f>
        <v>40</v>
      </c>
      <c r="B159" s="106">
        <f>MATCH($A159,REG_Axle_Diameter,0)</f>
        <v>7</v>
      </c>
      <c r="C159" s="714">
        <f>IF(ISERROR($B159),-3,IF(INDEX(REG_Axle_Diameter,1,B159)&lt;&gt;$A159,-2,IF(INDEX(REG_B_OK,1,B159)&lt;&gt;0,B159,IF(INDEX(REG_Axle_Diameter,1,B159+1)&lt;&gt;$A159,-2,IF(INDEX(REG_B_OK,1,B159+1)&lt;&gt;0,B159+1,IF(INDEX(REG_Axle_Diameter,1,B159+2)&lt;&gt;$A159,-2,IF(INDEX(REG_B_OK,1,B159+2)&lt;&gt;0,B159+2,IF(INDEX(REG_Axle_Diameter,1,B159+3)&lt;&gt;$A159,-2,IF(INDEX(REG_B_OK,1,B159+3)&lt;&gt;0,B159+3,IF(INDEX(REG_Axle_Diameter,1,B159+4)&lt;&gt;$A159,-2,IF(INDEX(REG_B_OK,1,B159+4)&lt;&gt;0,B159+4,IF(INDEX(REG_Axle_Diameter,1,B159+5)&lt;&gt;$A159,-2,IF(INDEX(REG_B_OK,1,B159+5)&lt;&gt;0,B159+5,IF(INDEX(REG_Axle_Diameter,1,B159+6)&lt;&gt;$A159,-2,IF(INDEX(REG_B_OK,1,B159+6)&lt;&gt;0,B159+6,IF(INDEX(REG_Axle_Diameter,1,B159+7)&lt;&gt;$A159,-2,IF(INDEX(REG_B_OK,1,B159+7)&lt;&gt;0,B159+7,IF(INDEX(REG_Axle_Diameter,1,B159+8)&lt;&gt;$A159,-2,IF(INDEX(REG_B_OK,1,B159+8)&lt;&gt;0,B159+8,IF(INDEX(REG_Axle_Diameter,1,B159+9)&lt;&gt;$A159,-2,IF(INDEX(REG_B_OK,1,B159+9)&lt;&gt;0,B159+9,IF(INDEX(REG_Axle_Diameter,1,B159+10)&lt;&gt;$A159,-2,B159+10))))))))))))))))))))))</f>
        <v>-2</v>
      </c>
      <c r="D159" s="710">
        <f t="shared" ref="D159:L159" si="222">IF(ISERROR($B159),-3,IF(C159=-2,-2,IF(INDEX(REG_Axle_Diameter,1,C159+1)&lt;&gt;$A159,-2,IF(INDEX(REG_B_OK,1,C159+1)&lt;&gt;0,C159+1,IF(INDEX(REG_Axle_Diameter,1,C159+2)&lt;&gt;$A159,-2,IF(INDEX(REG_B_OK,1,C159+2)&lt;&gt;0,C159+2,IF(INDEX(REG_Axle_Diameter,1,C159+3)&lt;&gt;$A159,-2,IF(INDEX(REG_B_OK,1,C159+3)&lt;&gt;0,C159+3,IF(INDEX(REG_Axle_Diameter,1,C159+4)&lt;&gt;$A159,-2,IF(INDEX(REG_B_OK,1,C159+4)&lt;&gt;0,C159+4,IF(INDEX(REG_Axle_Diameter,1,C159+5)&lt;&gt;$A159,-2,IF(INDEX(REG_B_OK,1,C159+5)&lt;&gt;0,C159+5,IF(INDEX(REG_Axle_Diameter,1,C159+6)&lt;&gt;$A159,-2,IF(INDEX(REG_B_OK,1,C159+6)&lt;&gt;0,C159+6,IF(INDEX(REG_Axle_Diameter,1,C159+7)&lt;&gt;$A159,-2,IF(INDEX(REG_B_OK,1,C159+7)&lt;&gt;0,C159+7,IF(INDEX(REG_Axle_Diameter,1,C159+8)&lt;&gt;$A159,-2,IF(INDEX(REG_B_OK,1,C159+8)&lt;&gt;0,C159+8,IF(INDEX(REG_Axle_Diameter,1,C159+9)&lt;&gt;$A159,-2,IF(INDEX(REG_B_OK,1,C159+9)&lt;&gt;0,C159+9,IF(INDEX(REG_Axle_Diameter,1,C159+10)&lt;&gt;$A159,-2,C159+10)))))))))))))))))))))</f>
        <v>-2</v>
      </c>
      <c r="E159" s="711">
        <f t="shared" si="222"/>
        <v>-2</v>
      </c>
      <c r="F159" s="711">
        <f t="shared" si="222"/>
        <v>-2</v>
      </c>
      <c r="G159" s="711">
        <f t="shared" si="222"/>
        <v>-2</v>
      </c>
      <c r="H159" s="711">
        <f t="shared" si="222"/>
        <v>-2</v>
      </c>
      <c r="I159" s="711">
        <f t="shared" si="222"/>
        <v>-2</v>
      </c>
      <c r="J159" s="711">
        <f t="shared" si="222"/>
        <v>-2</v>
      </c>
      <c r="K159" s="711">
        <f t="shared" si="222"/>
        <v>-2</v>
      </c>
      <c r="L159" s="719">
        <f t="shared" si="222"/>
        <v>-2</v>
      </c>
    </row>
    <row r="160" spans="1:57" ht="15.95" customHeight="1">
      <c r="A160" s="106"/>
      <c r="B160" s="106"/>
      <c r="C160" s="712">
        <f t="shared" ref="C160:L160" si="223">IF(C161=0,0,INDEX(REG_Bearing_Type,1,C159))</f>
        <v>0</v>
      </c>
      <c r="D160" s="713">
        <f t="shared" si="223"/>
        <v>0</v>
      </c>
      <c r="E160" s="713">
        <f t="shared" si="223"/>
        <v>0</v>
      </c>
      <c r="F160" s="713">
        <f t="shared" si="223"/>
        <v>0</v>
      </c>
      <c r="G160" s="713">
        <f t="shared" si="223"/>
        <v>0</v>
      </c>
      <c r="H160" s="713">
        <f t="shared" si="223"/>
        <v>0</v>
      </c>
      <c r="I160" s="713">
        <f t="shared" si="223"/>
        <v>0</v>
      </c>
      <c r="J160" s="713">
        <f t="shared" si="223"/>
        <v>0</v>
      </c>
      <c r="K160" s="713">
        <f t="shared" si="223"/>
        <v>0</v>
      </c>
      <c r="L160" s="720">
        <f t="shared" si="223"/>
        <v>0</v>
      </c>
    </row>
    <row r="161" spans="1:12" ht="15.95" customHeight="1">
      <c r="A161" s="106"/>
      <c r="B161" s="106"/>
      <c r="C161" s="710">
        <f t="shared" ref="C161:L161" si="224">IF(C159&lt;0,0,INDEX(REG_B_OK,1,C159))</f>
        <v>0</v>
      </c>
      <c r="D161" s="711">
        <f t="shared" si="224"/>
        <v>0</v>
      </c>
      <c r="E161" s="711">
        <f t="shared" si="224"/>
        <v>0</v>
      </c>
      <c r="F161" s="711">
        <f t="shared" si="224"/>
        <v>0</v>
      </c>
      <c r="G161" s="711">
        <f t="shared" si="224"/>
        <v>0</v>
      </c>
      <c r="H161" s="711">
        <f t="shared" si="224"/>
        <v>0</v>
      </c>
      <c r="I161" s="711">
        <f t="shared" si="224"/>
        <v>0</v>
      </c>
      <c r="J161" s="711">
        <f t="shared" si="224"/>
        <v>0</v>
      </c>
      <c r="K161" s="711">
        <f t="shared" si="224"/>
        <v>0</v>
      </c>
      <c r="L161" s="719">
        <f t="shared" si="224"/>
        <v>0</v>
      </c>
    </row>
    <row r="162" spans="1:12" ht="15.95" customHeight="1">
      <c r="A162" s="106">
        <f>A159+5</f>
        <v>45</v>
      </c>
      <c r="B162" s="106">
        <f>MATCH($A162,REG_Axle_Diameter,0)</f>
        <v>11</v>
      </c>
      <c r="C162" s="714">
        <f>IF(ISERROR($B162),-3,IF(INDEX(REG_Axle_Diameter,1,B162)&lt;&gt;$A162,-2,IF(INDEX(REG_B_OK,1,B162)&lt;&gt;0,B162,IF(INDEX(REG_Axle_Diameter,1,B162+1)&lt;&gt;$A162,-2,IF(INDEX(REG_B_OK,1,B162+1)&lt;&gt;0,B162+1,IF(INDEX(REG_Axle_Diameter,1,B162+2)&lt;&gt;$A162,-2,IF(INDEX(REG_B_OK,1,B162+2)&lt;&gt;0,B162+2,IF(INDEX(REG_Axle_Diameter,1,B162+3)&lt;&gt;$A162,-2,IF(INDEX(REG_B_OK,1,B162+3)&lt;&gt;0,B162+3,IF(INDEX(REG_Axle_Diameter,1,B162+4)&lt;&gt;$A162,-2,IF(INDEX(REG_B_OK,1,B162+4)&lt;&gt;0,B162+4,IF(INDEX(REG_Axle_Diameter,1,B162+5)&lt;&gt;$A162,-2,IF(INDEX(REG_B_OK,1,B162+5)&lt;&gt;0,B162+5,IF(INDEX(REG_Axle_Diameter,1,B162+6)&lt;&gt;$A162,-2,IF(INDEX(REG_B_OK,1,B162+6)&lt;&gt;0,B162+6,IF(INDEX(REG_Axle_Diameter,1,B162+7)&lt;&gt;$A162,-2,IF(INDEX(REG_B_OK,1,B162+7)&lt;&gt;0,B162+7,IF(INDEX(REG_Axle_Diameter,1,B162+8)&lt;&gt;$A162,-2,IF(INDEX(REG_B_OK,1,B162+8)&lt;&gt;0,B162+8,IF(INDEX(REG_Axle_Diameter,1,B162+9)&lt;&gt;$A162,-2,IF(INDEX(REG_B_OK,1,B162+9)&lt;&gt;0,B162+9,IF(INDEX(REG_Axle_Diameter,1,B162+10)&lt;&gt;$A162,-2,B162+10))))))))))))))))))))))</f>
        <v>-2</v>
      </c>
      <c r="D162" s="710">
        <f t="shared" ref="D162:L162" si="225">IF(ISERROR($B162),-3,IF(C162=-2,-2,IF(INDEX(REG_Axle_Diameter,1,C162+1)&lt;&gt;$A162,-2,IF(INDEX(REG_B_OK,1,C162+1)&lt;&gt;0,C162+1,IF(INDEX(REG_Axle_Diameter,1,C162+2)&lt;&gt;$A162,-2,IF(INDEX(REG_B_OK,1,C162+2)&lt;&gt;0,C162+2,IF(INDEX(REG_Axle_Diameter,1,C162+3)&lt;&gt;$A162,-2,IF(INDEX(REG_B_OK,1,C162+3)&lt;&gt;0,C162+3,IF(INDEX(REG_Axle_Diameter,1,C162+4)&lt;&gt;$A162,-2,IF(INDEX(REG_B_OK,1,C162+4)&lt;&gt;0,C162+4,IF(INDEX(REG_Axle_Diameter,1,C162+5)&lt;&gt;$A162,-2,IF(INDEX(REG_B_OK,1,C162+5)&lt;&gt;0,C162+5,IF(INDEX(REG_Axle_Diameter,1,C162+6)&lt;&gt;$A162,-2,IF(INDEX(REG_B_OK,1,C162+6)&lt;&gt;0,C162+6,IF(INDEX(REG_Axle_Diameter,1,C162+7)&lt;&gt;$A162,-2,IF(INDEX(REG_B_OK,1,C162+7)&lt;&gt;0,C162+7,IF(INDEX(REG_Axle_Diameter,1,C162+8)&lt;&gt;$A162,-2,IF(INDEX(REG_B_OK,1,C162+8)&lt;&gt;0,C162+8,IF(INDEX(REG_Axle_Diameter,1,C162+9)&lt;&gt;$A162,-2,IF(INDEX(REG_B_OK,1,C162+9)&lt;&gt;0,C162+9,IF(INDEX(REG_Axle_Diameter,1,C162+10)&lt;&gt;$A162,-2,C162+10)))))))))))))))))))))</f>
        <v>-2</v>
      </c>
      <c r="E162" s="711">
        <f t="shared" si="225"/>
        <v>-2</v>
      </c>
      <c r="F162" s="711">
        <f t="shared" si="225"/>
        <v>-2</v>
      </c>
      <c r="G162" s="711">
        <f t="shared" si="225"/>
        <v>-2</v>
      </c>
      <c r="H162" s="711">
        <f t="shared" si="225"/>
        <v>-2</v>
      </c>
      <c r="I162" s="711">
        <f t="shared" si="225"/>
        <v>-2</v>
      </c>
      <c r="J162" s="711">
        <f t="shared" si="225"/>
        <v>-2</v>
      </c>
      <c r="K162" s="711">
        <f t="shared" si="225"/>
        <v>-2</v>
      </c>
      <c r="L162" s="719">
        <f t="shared" si="225"/>
        <v>-2</v>
      </c>
    </row>
    <row r="163" spans="1:12" ht="15.95" customHeight="1">
      <c r="A163" s="106"/>
      <c r="B163" s="106"/>
      <c r="C163" s="712">
        <f t="shared" ref="C163:L163" si="226">IF(C164=0,0,INDEX(REG_Bearing_Type,1,C162))</f>
        <v>0</v>
      </c>
      <c r="D163" s="713">
        <f t="shared" si="226"/>
        <v>0</v>
      </c>
      <c r="E163" s="713">
        <f t="shared" si="226"/>
        <v>0</v>
      </c>
      <c r="F163" s="713">
        <f t="shared" si="226"/>
        <v>0</v>
      </c>
      <c r="G163" s="713">
        <f t="shared" si="226"/>
        <v>0</v>
      </c>
      <c r="H163" s="713">
        <f t="shared" si="226"/>
        <v>0</v>
      </c>
      <c r="I163" s="713">
        <f t="shared" si="226"/>
        <v>0</v>
      </c>
      <c r="J163" s="713">
        <f t="shared" si="226"/>
        <v>0</v>
      </c>
      <c r="K163" s="713">
        <f t="shared" si="226"/>
        <v>0</v>
      </c>
      <c r="L163" s="720">
        <f t="shared" si="226"/>
        <v>0</v>
      </c>
    </row>
    <row r="164" spans="1:12" ht="15.95" customHeight="1">
      <c r="A164" s="106"/>
      <c r="B164" s="106"/>
      <c r="C164" s="710">
        <f t="shared" ref="C164:L164" si="227">IF(C162&lt;0,0,INDEX(REG_B_OK,1,C162))</f>
        <v>0</v>
      </c>
      <c r="D164" s="711">
        <f t="shared" si="227"/>
        <v>0</v>
      </c>
      <c r="E164" s="711">
        <f t="shared" si="227"/>
        <v>0</v>
      </c>
      <c r="F164" s="711">
        <f t="shared" si="227"/>
        <v>0</v>
      </c>
      <c r="G164" s="711">
        <f t="shared" si="227"/>
        <v>0</v>
      </c>
      <c r="H164" s="711">
        <f t="shared" si="227"/>
        <v>0</v>
      </c>
      <c r="I164" s="711">
        <f t="shared" si="227"/>
        <v>0</v>
      </c>
      <c r="J164" s="711">
        <f t="shared" si="227"/>
        <v>0</v>
      </c>
      <c r="K164" s="711">
        <f t="shared" si="227"/>
        <v>0</v>
      </c>
      <c r="L164" s="719">
        <f t="shared" si="227"/>
        <v>0</v>
      </c>
    </row>
    <row r="165" spans="1:12" ht="15.95" customHeight="1">
      <c r="A165" s="106">
        <f>A162+5</f>
        <v>50</v>
      </c>
      <c r="B165" s="106">
        <f>MATCH($A165,REG_Axle_Diameter,0)</f>
        <v>15</v>
      </c>
      <c r="C165" s="714">
        <f>IF(ISERROR($B165),-3,IF(INDEX(REG_Axle_Diameter,1,B165)&lt;&gt;$A165,-2,IF(INDEX(REG_B_OK,1,B165)&lt;&gt;0,B165,IF(INDEX(REG_Axle_Diameter,1,B165+1)&lt;&gt;$A165,-2,IF(INDEX(REG_B_OK,1,B165+1)&lt;&gt;0,B165+1,IF(INDEX(REG_Axle_Diameter,1,B165+2)&lt;&gt;$A165,-2,IF(INDEX(REG_B_OK,1,B165+2)&lt;&gt;0,B165+2,IF(INDEX(REG_Axle_Diameter,1,B165+3)&lt;&gt;$A165,-2,IF(INDEX(REG_B_OK,1,B165+3)&lt;&gt;0,B165+3,IF(INDEX(REG_Axle_Diameter,1,B165+4)&lt;&gt;$A165,-2,IF(INDEX(REG_B_OK,1,B165+4)&lt;&gt;0,B165+4,IF(INDEX(REG_Axle_Diameter,1,B165+5)&lt;&gt;$A165,-2,IF(INDEX(REG_B_OK,1,B165+5)&lt;&gt;0,B165+5,IF(INDEX(REG_Axle_Diameter,1,B165+6)&lt;&gt;$A165,-2,IF(INDEX(REG_B_OK,1,B165+6)&lt;&gt;0,B165+6,IF(INDEX(REG_Axle_Diameter,1,B165+7)&lt;&gt;$A165,-2,IF(INDEX(REG_B_OK,1,B165+7)&lt;&gt;0,B165+7,IF(INDEX(REG_Axle_Diameter,1,B165+8)&lt;&gt;$A165,-2,IF(INDEX(REG_B_OK,1,B165+8)&lt;&gt;0,B165+8,IF(INDEX(REG_Axle_Diameter,1,B165+9)&lt;&gt;$A165,-2,IF(INDEX(REG_B_OK,1,B165+9)&lt;&gt;0,B165+9,IF(INDEX(REG_Axle_Diameter,1,B165+10)&lt;&gt;$A165,-2,B165+10))))))))))))))))))))))</f>
        <v>-2</v>
      </c>
      <c r="D165" s="710">
        <f t="shared" ref="D165:L165" si="228">IF(ISERROR($B165),-3,IF(C165=-2,-2,IF(INDEX(REG_Axle_Diameter,1,C165+1)&lt;&gt;$A165,-2,IF(INDEX(REG_B_OK,1,C165+1)&lt;&gt;0,C165+1,IF(INDEX(REG_Axle_Diameter,1,C165+2)&lt;&gt;$A165,-2,IF(INDEX(REG_B_OK,1,C165+2)&lt;&gt;0,C165+2,IF(INDEX(REG_Axle_Diameter,1,C165+3)&lt;&gt;$A165,-2,IF(INDEX(REG_B_OK,1,C165+3)&lt;&gt;0,C165+3,IF(INDEX(REG_Axle_Diameter,1,C165+4)&lt;&gt;$A165,-2,IF(INDEX(REG_B_OK,1,C165+4)&lt;&gt;0,C165+4,IF(INDEX(REG_Axle_Diameter,1,C165+5)&lt;&gt;$A165,-2,IF(INDEX(REG_B_OK,1,C165+5)&lt;&gt;0,C165+5,IF(INDEX(REG_Axle_Diameter,1,C165+6)&lt;&gt;$A165,-2,IF(INDEX(REG_B_OK,1,C165+6)&lt;&gt;0,C165+6,IF(INDEX(REG_Axle_Diameter,1,C165+7)&lt;&gt;$A165,-2,IF(INDEX(REG_B_OK,1,C165+7)&lt;&gt;0,C165+7,IF(INDEX(REG_Axle_Diameter,1,C165+8)&lt;&gt;$A165,-2,IF(INDEX(REG_B_OK,1,C165+8)&lt;&gt;0,C165+8,IF(INDEX(REG_Axle_Diameter,1,C165+9)&lt;&gt;$A165,-2,IF(INDEX(REG_B_OK,1,C165+9)&lt;&gt;0,C165+9,IF(INDEX(REG_Axle_Diameter,1,C165+10)&lt;&gt;$A165,-2,C165+10)))))))))))))))))))))</f>
        <v>-2</v>
      </c>
      <c r="E165" s="711">
        <f t="shared" si="228"/>
        <v>-2</v>
      </c>
      <c r="F165" s="711">
        <f t="shared" si="228"/>
        <v>-2</v>
      </c>
      <c r="G165" s="711">
        <f t="shared" si="228"/>
        <v>-2</v>
      </c>
      <c r="H165" s="711">
        <f t="shared" si="228"/>
        <v>-2</v>
      </c>
      <c r="I165" s="711">
        <f t="shared" si="228"/>
        <v>-2</v>
      </c>
      <c r="J165" s="711">
        <f t="shared" si="228"/>
        <v>-2</v>
      </c>
      <c r="K165" s="711">
        <f t="shared" si="228"/>
        <v>-2</v>
      </c>
      <c r="L165" s="719">
        <f t="shared" si="228"/>
        <v>-2</v>
      </c>
    </row>
    <row r="166" spans="1:12" ht="15.95" customHeight="1">
      <c r="A166" s="106"/>
      <c r="B166" s="106"/>
      <c r="C166" s="712">
        <f t="shared" ref="C166:L166" si="229">IF(C167=0,0,INDEX(REG_Bearing_Type,1,C165))</f>
        <v>0</v>
      </c>
      <c r="D166" s="713">
        <f t="shared" si="229"/>
        <v>0</v>
      </c>
      <c r="E166" s="713">
        <f t="shared" si="229"/>
        <v>0</v>
      </c>
      <c r="F166" s="713">
        <f t="shared" si="229"/>
        <v>0</v>
      </c>
      <c r="G166" s="713">
        <f t="shared" si="229"/>
        <v>0</v>
      </c>
      <c r="H166" s="713">
        <f t="shared" si="229"/>
        <v>0</v>
      </c>
      <c r="I166" s="713">
        <f t="shared" si="229"/>
        <v>0</v>
      </c>
      <c r="J166" s="713">
        <f t="shared" si="229"/>
        <v>0</v>
      </c>
      <c r="K166" s="713">
        <f t="shared" si="229"/>
        <v>0</v>
      </c>
      <c r="L166" s="720">
        <f t="shared" si="229"/>
        <v>0</v>
      </c>
    </row>
    <row r="167" spans="1:12" ht="15.95" customHeight="1">
      <c r="A167" s="106"/>
      <c r="B167" s="106"/>
      <c r="C167" s="710">
        <f t="shared" ref="C167:L167" si="230">IF(C165&lt;0,0,INDEX(REG_B_OK,1,C165))</f>
        <v>0</v>
      </c>
      <c r="D167" s="711">
        <f t="shared" si="230"/>
        <v>0</v>
      </c>
      <c r="E167" s="711">
        <f t="shared" si="230"/>
        <v>0</v>
      </c>
      <c r="F167" s="711">
        <f t="shared" si="230"/>
        <v>0</v>
      </c>
      <c r="G167" s="711">
        <f t="shared" si="230"/>
        <v>0</v>
      </c>
      <c r="H167" s="711">
        <f t="shared" si="230"/>
        <v>0</v>
      </c>
      <c r="I167" s="711">
        <f t="shared" si="230"/>
        <v>0</v>
      </c>
      <c r="J167" s="711">
        <f t="shared" si="230"/>
        <v>0</v>
      </c>
      <c r="K167" s="711">
        <f t="shared" si="230"/>
        <v>0</v>
      </c>
      <c r="L167" s="719">
        <f t="shared" si="230"/>
        <v>0</v>
      </c>
    </row>
    <row r="168" spans="1:12" ht="15.95" customHeight="1">
      <c r="A168" s="106">
        <f>A165+5</f>
        <v>55</v>
      </c>
      <c r="B168" s="106">
        <f>MATCH($A168,REG_Axle_Diameter,0)</f>
        <v>19</v>
      </c>
      <c r="C168" s="714">
        <f>IF(ISERROR($B168),-3,IF(INDEX(REG_Axle_Diameter,1,B168)&lt;&gt;$A168,-2,IF(INDEX(REG_B_OK,1,B168)&lt;&gt;0,B168,IF(INDEX(REG_Axle_Diameter,1,B168+1)&lt;&gt;$A168,-2,IF(INDEX(REG_B_OK,1,B168+1)&lt;&gt;0,B168+1,IF(INDEX(REG_Axle_Diameter,1,B168+2)&lt;&gt;$A168,-2,IF(INDEX(REG_B_OK,1,B168+2)&lt;&gt;0,B168+2,IF(INDEX(REG_Axle_Diameter,1,B168+3)&lt;&gt;$A168,-2,IF(INDEX(REG_B_OK,1,B168+3)&lt;&gt;0,B168+3,IF(INDEX(REG_Axle_Diameter,1,B168+4)&lt;&gt;$A168,-2,IF(INDEX(REG_B_OK,1,B168+4)&lt;&gt;0,B168+4,IF(INDEX(REG_Axle_Diameter,1,B168+5)&lt;&gt;$A168,-2,IF(INDEX(REG_B_OK,1,B168+5)&lt;&gt;0,B168+5,IF(INDEX(REG_Axle_Diameter,1,B168+6)&lt;&gt;$A168,-2,IF(INDEX(REG_B_OK,1,B168+6)&lt;&gt;0,B168+6,IF(INDEX(REG_Axle_Diameter,1,B168+7)&lt;&gt;$A168,-2,IF(INDEX(REG_B_OK,1,B168+7)&lt;&gt;0,B168+7,IF(INDEX(REG_Axle_Diameter,1,B168+8)&lt;&gt;$A168,-2,IF(INDEX(REG_B_OK,1,B168+8)&lt;&gt;0,B168+8,IF(INDEX(REG_Axle_Diameter,1,B168+9)&lt;&gt;$A168,-2,IF(INDEX(REG_B_OK,1,B168+9)&lt;&gt;0,B168+9,IF(INDEX(REG_Axle_Diameter,1,B168+10)&lt;&gt;$A168,-2,B168+10))))))))))))))))))))))</f>
        <v>-2</v>
      </c>
      <c r="D168" s="710">
        <f t="shared" ref="D168:L168" si="231">IF(ISERROR($B168),-3,IF(C168=-2,-2,IF(INDEX(REG_Axle_Diameter,1,C168+1)&lt;&gt;$A168,-2,IF(INDEX(REG_B_OK,1,C168+1)&lt;&gt;0,C168+1,IF(INDEX(REG_Axle_Diameter,1,C168+2)&lt;&gt;$A168,-2,IF(INDEX(REG_B_OK,1,C168+2)&lt;&gt;0,C168+2,IF(INDEX(REG_Axle_Diameter,1,C168+3)&lt;&gt;$A168,-2,IF(INDEX(REG_B_OK,1,C168+3)&lt;&gt;0,C168+3,IF(INDEX(REG_Axle_Diameter,1,C168+4)&lt;&gt;$A168,-2,IF(INDEX(REG_B_OK,1,C168+4)&lt;&gt;0,C168+4,IF(INDEX(REG_Axle_Diameter,1,C168+5)&lt;&gt;$A168,-2,IF(INDEX(REG_B_OK,1,C168+5)&lt;&gt;0,C168+5,IF(INDEX(REG_Axle_Diameter,1,C168+6)&lt;&gt;$A168,-2,IF(INDEX(REG_B_OK,1,C168+6)&lt;&gt;0,C168+6,IF(INDEX(REG_Axle_Diameter,1,C168+7)&lt;&gt;$A168,-2,IF(INDEX(REG_B_OK,1,C168+7)&lt;&gt;0,C168+7,IF(INDEX(REG_Axle_Diameter,1,C168+8)&lt;&gt;$A168,-2,IF(INDEX(REG_B_OK,1,C168+8)&lt;&gt;0,C168+8,IF(INDEX(REG_Axle_Diameter,1,C168+9)&lt;&gt;$A168,-2,IF(INDEX(REG_B_OK,1,C168+9)&lt;&gt;0,C168+9,IF(INDEX(REG_Axle_Diameter,1,C168+10)&lt;&gt;$A168,-2,C168+10)))))))))))))))))))))</f>
        <v>-2</v>
      </c>
      <c r="E168" s="711">
        <f t="shared" si="231"/>
        <v>-2</v>
      </c>
      <c r="F168" s="711">
        <f t="shared" si="231"/>
        <v>-2</v>
      </c>
      <c r="G168" s="711">
        <f t="shared" si="231"/>
        <v>-2</v>
      </c>
      <c r="H168" s="711">
        <f t="shared" si="231"/>
        <v>-2</v>
      </c>
      <c r="I168" s="711">
        <f t="shared" si="231"/>
        <v>-2</v>
      </c>
      <c r="J168" s="711">
        <f t="shared" si="231"/>
        <v>-2</v>
      </c>
      <c r="K168" s="711">
        <f t="shared" si="231"/>
        <v>-2</v>
      </c>
      <c r="L168" s="719">
        <f t="shared" si="231"/>
        <v>-2</v>
      </c>
    </row>
    <row r="169" spans="1:12" ht="15.95" customHeight="1">
      <c r="A169" s="106"/>
      <c r="B169" s="106"/>
      <c r="C169" s="712">
        <f t="shared" ref="C169:L169" si="232">IF(C170=0,0,INDEX(REG_Bearing_Type,1,C168))</f>
        <v>0</v>
      </c>
      <c r="D169" s="713">
        <f t="shared" si="232"/>
        <v>0</v>
      </c>
      <c r="E169" s="713">
        <f t="shared" si="232"/>
        <v>0</v>
      </c>
      <c r="F169" s="713">
        <f t="shared" si="232"/>
        <v>0</v>
      </c>
      <c r="G169" s="713">
        <f t="shared" si="232"/>
        <v>0</v>
      </c>
      <c r="H169" s="713">
        <f t="shared" si="232"/>
        <v>0</v>
      </c>
      <c r="I169" s="713">
        <f t="shared" si="232"/>
        <v>0</v>
      </c>
      <c r="J169" s="713">
        <f t="shared" si="232"/>
        <v>0</v>
      </c>
      <c r="K169" s="713">
        <f t="shared" si="232"/>
        <v>0</v>
      </c>
      <c r="L169" s="720">
        <f t="shared" si="232"/>
        <v>0</v>
      </c>
    </row>
    <row r="170" spans="1:12" ht="15.95" customHeight="1">
      <c r="A170" s="106"/>
      <c r="B170" s="106"/>
      <c r="C170" s="710">
        <f t="shared" ref="C170:L170" si="233">IF(C168&lt;0,0,INDEX(REG_B_OK,1,C168))</f>
        <v>0</v>
      </c>
      <c r="D170" s="711">
        <f t="shared" si="233"/>
        <v>0</v>
      </c>
      <c r="E170" s="711">
        <f t="shared" si="233"/>
        <v>0</v>
      </c>
      <c r="F170" s="711">
        <f t="shared" si="233"/>
        <v>0</v>
      </c>
      <c r="G170" s="711">
        <f t="shared" si="233"/>
        <v>0</v>
      </c>
      <c r="H170" s="711">
        <f t="shared" si="233"/>
        <v>0</v>
      </c>
      <c r="I170" s="711">
        <f t="shared" si="233"/>
        <v>0</v>
      </c>
      <c r="J170" s="711">
        <f t="shared" si="233"/>
        <v>0</v>
      </c>
      <c r="K170" s="711">
        <f t="shared" si="233"/>
        <v>0</v>
      </c>
      <c r="L170" s="719">
        <f t="shared" si="233"/>
        <v>0</v>
      </c>
    </row>
    <row r="171" spans="1:12" ht="15.95" customHeight="1">
      <c r="A171" s="106">
        <f>A168+5</f>
        <v>60</v>
      </c>
      <c r="B171" s="106">
        <f>MATCH($A171,REG_Axle_Diameter,0)</f>
        <v>26</v>
      </c>
      <c r="C171" s="714">
        <f>IF(ISERROR($B171),-3,IF(INDEX(REG_Axle_Diameter,1,B171)&lt;&gt;$A171,-2,IF(INDEX(REG_B_OK,1,B171)&lt;&gt;0,B171,IF(INDEX(REG_Axle_Diameter,1,B171+1)&lt;&gt;$A171,-2,IF(INDEX(REG_B_OK,1,B171+1)&lt;&gt;0,B171+1,IF(INDEX(REG_Axle_Diameter,1,B171+2)&lt;&gt;$A171,-2,IF(INDEX(REG_B_OK,1,B171+2)&lt;&gt;0,B171+2,IF(INDEX(REG_Axle_Diameter,1,B171+3)&lt;&gt;$A171,-2,IF(INDEX(REG_B_OK,1,B171+3)&lt;&gt;0,B171+3,IF(INDEX(REG_Axle_Diameter,1,B171+4)&lt;&gt;$A171,-2,IF(INDEX(REG_B_OK,1,B171+4)&lt;&gt;0,B171+4,IF(INDEX(REG_Axle_Diameter,1,B171+5)&lt;&gt;$A171,-2,IF(INDEX(REG_B_OK,1,B171+5)&lt;&gt;0,B171+5,IF(INDEX(REG_Axle_Diameter,1,B171+6)&lt;&gt;$A171,-2,IF(INDEX(REG_B_OK,1,B171+6)&lt;&gt;0,B171+6,IF(INDEX(REG_Axle_Diameter,1,B171+7)&lt;&gt;$A171,-2,IF(INDEX(REG_B_OK,1,B171+7)&lt;&gt;0,B171+7,IF(INDEX(REG_Axle_Diameter,1,B171+8)&lt;&gt;$A171,-2,IF(INDEX(REG_B_OK,1,B171+8)&lt;&gt;0,B171+8,IF(INDEX(REG_Axle_Diameter,1,B171+9)&lt;&gt;$A171,-2,IF(INDEX(REG_B_OK,1,B171+9)&lt;&gt;0,B171+9,IF(INDEX(REG_Axle_Diameter,1,B171+10)&lt;&gt;$A171,-2,B171+10))))))))))))))))))))))</f>
        <v>-2</v>
      </c>
      <c r="D171" s="710">
        <f t="shared" ref="D171:L171" si="234">IF(ISERROR($B171),-3,IF(C171=-2,-2,IF(INDEX(REG_Axle_Diameter,1,C171+1)&lt;&gt;$A171,-2,IF(INDEX(REG_B_OK,1,C171+1)&lt;&gt;0,C171+1,IF(INDEX(REG_Axle_Diameter,1,C171+2)&lt;&gt;$A171,-2,IF(INDEX(REG_B_OK,1,C171+2)&lt;&gt;0,C171+2,IF(INDEX(REG_Axle_Diameter,1,C171+3)&lt;&gt;$A171,-2,IF(INDEX(REG_B_OK,1,C171+3)&lt;&gt;0,C171+3,IF(INDEX(REG_Axle_Diameter,1,C171+4)&lt;&gt;$A171,-2,IF(INDEX(REG_B_OK,1,C171+4)&lt;&gt;0,C171+4,IF(INDEX(REG_Axle_Diameter,1,C171+5)&lt;&gt;$A171,-2,IF(INDEX(REG_B_OK,1,C171+5)&lt;&gt;0,C171+5,IF(INDEX(REG_Axle_Diameter,1,C171+6)&lt;&gt;$A171,-2,IF(INDEX(REG_B_OK,1,C171+6)&lt;&gt;0,C171+6,IF(INDEX(REG_Axle_Diameter,1,C171+7)&lt;&gt;$A171,-2,IF(INDEX(REG_B_OK,1,C171+7)&lt;&gt;0,C171+7,IF(INDEX(REG_Axle_Diameter,1,C171+8)&lt;&gt;$A171,-2,IF(INDEX(REG_B_OK,1,C171+8)&lt;&gt;0,C171+8,IF(INDEX(REG_Axle_Diameter,1,C171+9)&lt;&gt;$A171,-2,IF(INDEX(REG_B_OK,1,C171+9)&lt;&gt;0,C171+9,IF(INDEX(REG_Axle_Diameter,1,C171+10)&lt;&gt;$A171,-2,C171+10)))))))))))))))))))))</f>
        <v>-2</v>
      </c>
      <c r="E171" s="711">
        <f t="shared" si="234"/>
        <v>-2</v>
      </c>
      <c r="F171" s="711">
        <f t="shared" si="234"/>
        <v>-2</v>
      </c>
      <c r="G171" s="711">
        <f t="shared" si="234"/>
        <v>-2</v>
      </c>
      <c r="H171" s="711">
        <f t="shared" si="234"/>
        <v>-2</v>
      </c>
      <c r="I171" s="711">
        <f t="shared" si="234"/>
        <v>-2</v>
      </c>
      <c r="J171" s="711">
        <f t="shared" si="234"/>
        <v>-2</v>
      </c>
      <c r="K171" s="711">
        <f t="shared" si="234"/>
        <v>-2</v>
      </c>
      <c r="L171" s="719">
        <f t="shared" si="234"/>
        <v>-2</v>
      </c>
    </row>
    <row r="172" spans="1:12" ht="15.95" customHeight="1">
      <c r="A172" s="106"/>
      <c r="B172" s="106"/>
      <c r="C172" s="712">
        <f t="shared" ref="C172:L172" si="235">IF(C173=0,0,INDEX(REG_Bearing_Type,1,C171))</f>
        <v>0</v>
      </c>
      <c r="D172" s="713">
        <f t="shared" si="235"/>
        <v>0</v>
      </c>
      <c r="E172" s="713">
        <f t="shared" si="235"/>
        <v>0</v>
      </c>
      <c r="F172" s="713">
        <f t="shared" si="235"/>
        <v>0</v>
      </c>
      <c r="G172" s="713">
        <f t="shared" si="235"/>
        <v>0</v>
      </c>
      <c r="H172" s="713">
        <f t="shared" si="235"/>
        <v>0</v>
      </c>
      <c r="I172" s="713">
        <f t="shared" si="235"/>
        <v>0</v>
      </c>
      <c r="J172" s="713">
        <f t="shared" si="235"/>
        <v>0</v>
      </c>
      <c r="K172" s="713">
        <f t="shared" si="235"/>
        <v>0</v>
      </c>
      <c r="L172" s="720">
        <f t="shared" si="235"/>
        <v>0</v>
      </c>
    </row>
    <row r="173" spans="1:12" ht="15.95" customHeight="1">
      <c r="A173" s="106"/>
      <c r="B173" s="106"/>
      <c r="C173" s="710">
        <f t="shared" ref="C173:L173" si="236">IF(C171&lt;0,0,INDEX(REG_B_OK,1,C171))</f>
        <v>0</v>
      </c>
      <c r="D173" s="711">
        <f t="shared" si="236"/>
        <v>0</v>
      </c>
      <c r="E173" s="711">
        <f t="shared" si="236"/>
        <v>0</v>
      </c>
      <c r="F173" s="711">
        <f t="shared" si="236"/>
        <v>0</v>
      </c>
      <c r="G173" s="711">
        <f t="shared" si="236"/>
        <v>0</v>
      </c>
      <c r="H173" s="711">
        <f t="shared" si="236"/>
        <v>0</v>
      </c>
      <c r="I173" s="711">
        <f t="shared" si="236"/>
        <v>0</v>
      </c>
      <c r="J173" s="711">
        <f t="shared" si="236"/>
        <v>0</v>
      </c>
      <c r="K173" s="711">
        <f t="shared" si="236"/>
        <v>0</v>
      </c>
      <c r="L173" s="719">
        <f t="shared" si="236"/>
        <v>0</v>
      </c>
    </row>
    <row r="174" spans="1:12" ht="15.95" customHeight="1">
      <c r="A174" s="106">
        <f>A171+5</f>
        <v>65</v>
      </c>
      <c r="B174" s="106">
        <f>MATCH($A174,REG_Axle_Diameter,0)</f>
        <v>33</v>
      </c>
      <c r="C174" s="714">
        <f>IF(ISERROR($B174),-3,IF(INDEX(REG_Axle_Diameter,1,B174)&lt;&gt;$A174,-2,IF(INDEX(REG_B_OK,1,B174)&lt;&gt;0,B174,IF(INDEX(REG_Axle_Diameter,1,B174+1)&lt;&gt;$A174,-2,IF(INDEX(REG_B_OK,1,B174+1)&lt;&gt;0,B174+1,IF(INDEX(REG_Axle_Diameter,1,B174+2)&lt;&gt;$A174,-2,IF(INDEX(REG_B_OK,1,B174+2)&lt;&gt;0,B174+2,IF(INDEX(REG_Axle_Diameter,1,B174+3)&lt;&gt;$A174,-2,IF(INDEX(REG_B_OK,1,B174+3)&lt;&gt;0,B174+3,IF(INDEX(REG_Axle_Diameter,1,B174+4)&lt;&gt;$A174,-2,IF(INDEX(REG_B_OK,1,B174+4)&lt;&gt;0,B174+4,IF(INDEX(REG_Axle_Diameter,1,B174+5)&lt;&gt;$A174,-2,IF(INDEX(REG_B_OK,1,B174+5)&lt;&gt;0,B174+5,IF(INDEX(REG_Axle_Diameter,1,B174+6)&lt;&gt;$A174,-2,IF(INDEX(REG_B_OK,1,B174+6)&lt;&gt;0,B174+6,IF(INDEX(REG_Axle_Diameter,1,B174+7)&lt;&gt;$A174,-2,IF(INDEX(REG_B_OK,1,B174+7)&lt;&gt;0,B174+7,IF(INDEX(REG_Axle_Diameter,1,B174+8)&lt;&gt;$A174,-2,IF(INDEX(REG_B_OK,1,B174+8)&lt;&gt;0,B174+8,IF(INDEX(REG_Axle_Diameter,1,B174+9)&lt;&gt;$A174,-2,IF(INDEX(REG_B_OK,1,B174+9)&lt;&gt;0,B174+9,IF(INDEX(REG_Axle_Diameter,1,B174+10)&lt;&gt;$A174,-2,B174+10))))))))))))))))))))))</f>
        <v>-2</v>
      </c>
      <c r="D174" s="710">
        <f t="shared" ref="D174:L174" si="237">IF(ISERROR($B174),-3,IF(C174=-2,-2,IF(INDEX(REG_Axle_Diameter,1,C174+1)&lt;&gt;$A174,-2,IF(INDEX(REG_B_OK,1,C174+1)&lt;&gt;0,C174+1,IF(INDEX(REG_Axle_Diameter,1,C174+2)&lt;&gt;$A174,-2,IF(INDEX(REG_B_OK,1,C174+2)&lt;&gt;0,C174+2,IF(INDEX(REG_Axle_Diameter,1,C174+3)&lt;&gt;$A174,-2,IF(INDEX(REG_B_OK,1,C174+3)&lt;&gt;0,C174+3,IF(INDEX(REG_Axle_Diameter,1,C174+4)&lt;&gt;$A174,-2,IF(INDEX(REG_B_OK,1,C174+4)&lt;&gt;0,C174+4,IF(INDEX(REG_Axle_Diameter,1,C174+5)&lt;&gt;$A174,-2,IF(INDEX(REG_B_OK,1,C174+5)&lt;&gt;0,C174+5,IF(INDEX(REG_Axle_Diameter,1,C174+6)&lt;&gt;$A174,-2,IF(INDEX(REG_B_OK,1,C174+6)&lt;&gt;0,C174+6,IF(INDEX(REG_Axle_Diameter,1,C174+7)&lt;&gt;$A174,-2,IF(INDEX(REG_B_OK,1,C174+7)&lt;&gt;0,C174+7,IF(INDEX(REG_Axle_Diameter,1,C174+8)&lt;&gt;$A174,-2,IF(INDEX(REG_B_OK,1,C174+8)&lt;&gt;0,C174+8,IF(INDEX(REG_Axle_Diameter,1,C174+9)&lt;&gt;$A174,-2,IF(INDEX(REG_B_OK,1,C174+9)&lt;&gt;0,C174+9,IF(INDEX(REG_Axle_Diameter,1,C174+10)&lt;&gt;$A174,-2,C174+10)))))))))))))))))))))</f>
        <v>-2</v>
      </c>
      <c r="E174" s="711">
        <f t="shared" si="237"/>
        <v>-2</v>
      </c>
      <c r="F174" s="711">
        <f t="shared" si="237"/>
        <v>-2</v>
      </c>
      <c r="G174" s="711">
        <f t="shared" si="237"/>
        <v>-2</v>
      </c>
      <c r="H174" s="711">
        <f t="shared" si="237"/>
        <v>-2</v>
      </c>
      <c r="I174" s="711">
        <f t="shared" si="237"/>
        <v>-2</v>
      </c>
      <c r="J174" s="711">
        <f t="shared" si="237"/>
        <v>-2</v>
      </c>
      <c r="K174" s="711">
        <f t="shared" si="237"/>
        <v>-2</v>
      </c>
      <c r="L174" s="719">
        <f t="shared" si="237"/>
        <v>-2</v>
      </c>
    </row>
    <row r="175" spans="1:12" ht="15.95" customHeight="1">
      <c r="A175" s="106"/>
      <c r="B175" s="106"/>
      <c r="C175" s="712">
        <f t="shared" ref="C175:L175" si="238">IF(C176=0,0,INDEX(REG_Bearing_Type,1,C174))</f>
        <v>0</v>
      </c>
      <c r="D175" s="713">
        <f t="shared" si="238"/>
        <v>0</v>
      </c>
      <c r="E175" s="713">
        <f t="shared" si="238"/>
        <v>0</v>
      </c>
      <c r="F175" s="713">
        <f t="shared" si="238"/>
        <v>0</v>
      </c>
      <c r="G175" s="713">
        <f t="shared" si="238"/>
        <v>0</v>
      </c>
      <c r="H175" s="713">
        <f t="shared" si="238"/>
        <v>0</v>
      </c>
      <c r="I175" s="713">
        <f t="shared" si="238"/>
        <v>0</v>
      </c>
      <c r="J175" s="713">
        <f t="shared" si="238"/>
        <v>0</v>
      </c>
      <c r="K175" s="713">
        <f t="shared" si="238"/>
        <v>0</v>
      </c>
      <c r="L175" s="720">
        <f t="shared" si="238"/>
        <v>0</v>
      </c>
    </row>
    <row r="176" spans="1:12" ht="15.95" customHeight="1">
      <c r="A176" s="106"/>
      <c r="B176" s="106"/>
      <c r="C176" s="710">
        <f t="shared" ref="C176:L176" si="239">IF(C174&lt;0,0,INDEX(REG_B_OK,1,C174))</f>
        <v>0</v>
      </c>
      <c r="D176" s="711">
        <f t="shared" si="239"/>
        <v>0</v>
      </c>
      <c r="E176" s="711">
        <f t="shared" si="239"/>
        <v>0</v>
      </c>
      <c r="F176" s="711">
        <f t="shared" si="239"/>
        <v>0</v>
      </c>
      <c r="G176" s="711">
        <f t="shared" si="239"/>
        <v>0</v>
      </c>
      <c r="H176" s="711">
        <f t="shared" si="239"/>
        <v>0</v>
      </c>
      <c r="I176" s="711">
        <f t="shared" si="239"/>
        <v>0</v>
      </c>
      <c r="J176" s="711">
        <f t="shared" si="239"/>
        <v>0</v>
      </c>
      <c r="K176" s="711">
        <f t="shared" si="239"/>
        <v>0</v>
      </c>
      <c r="L176" s="719">
        <f t="shared" si="239"/>
        <v>0</v>
      </c>
    </row>
    <row r="177" spans="1:12" ht="15.95" customHeight="1">
      <c r="A177" s="106">
        <f>A174+5</f>
        <v>70</v>
      </c>
      <c r="B177" s="106">
        <f>MATCH($A177,REG_Axle_Diameter,0)</f>
        <v>40</v>
      </c>
      <c r="C177" s="714">
        <f>IF(ISERROR($B177),-3,IF(INDEX(REG_Axle_Diameter,1,B177)&lt;&gt;$A177,-2,IF(INDEX(REG_B_OK,1,B177)&lt;&gt;0,B177,IF(INDEX(REG_Axle_Diameter,1,B177+1)&lt;&gt;$A177,-2,IF(INDEX(REG_B_OK,1,B177+1)&lt;&gt;0,B177+1,IF(INDEX(REG_Axle_Diameter,1,B177+2)&lt;&gt;$A177,-2,IF(INDEX(REG_B_OK,1,B177+2)&lt;&gt;0,B177+2,IF(INDEX(REG_Axle_Diameter,1,B177+3)&lt;&gt;$A177,-2,IF(INDEX(REG_B_OK,1,B177+3)&lt;&gt;0,B177+3,IF(INDEX(REG_Axle_Diameter,1,B177+4)&lt;&gt;$A177,-2,IF(INDEX(REG_B_OK,1,B177+4)&lt;&gt;0,B177+4,IF(INDEX(REG_Axle_Diameter,1,B177+5)&lt;&gt;$A177,-2,IF(INDEX(REG_B_OK,1,B177+5)&lt;&gt;0,B177+5,IF(INDEX(REG_Axle_Diameter,1,B177+6)&lt;&gt;$A177,-2,IF(INDEX(REG_B_OK,1,B177+6)&lt;&gt;0,B177+6,IF(INDEX(REG_Axle_Diameter,1,B177+7)&lt;&gt;$A177,-2,IF(INDEX(REG_B_OK,1,B177+7)&lt;&gt;0,B177+7,IF(INDEX(REG_Axle_Diameter,1,B177+8)&lt;&gt;$A177,-2,IF(INDEX(REG_B_OK,1,B177+8)&lt;&gt;0,B177+8,IF(INDEX(REG_Axle_Diameter,1,B177+9)&lt;&gt;$A177,-2,IF(INDEX(REG_B_OK,1,B177+9)&lt;&gt;0,B177+9,IF(INDEX(REG_Axle_Diameter,1,B177+10)&lt;&gt;$A177,-2,B177+10))))))))))))))))))))))</f>
        <v>-2</v>
      </c>
      <c r="D177" s="710">
        <f t="shared" ref="D177:L177" si="240">IF(ISERROR($B177),-3,IF(C177=-2,-2,IF(INDEX(REG_Axle_Diameter,1,C177+1)&lt;&gt;$A177,-2,IF(INDEX(REG_B_OK,1,C177+1)&lt;&gt;0,C177+1,IF(INDEX(REG_Axle_Diameter,1,C177+2)&lt;&gt;$A177,-2,IF(INDEX(REG_B_OK,1,C177+2)&lt;&gt;0,C177+2,IF(INDEX(REG_Axle_Diameter,1,C177+3)&lt;&gt;$A177,-2,IF(INDEX(REG_B_OK,1,C177+3)&lt;&gt;0,C177+3,IF(INDEX(REG_Axle_Diameter,1,C177+4)&lt;&gt;$A177,-2,IF(INDEX(REG_B_OK,1,C177+4)&lt;&gt;0,C177+4,IF(INDEX(REG_Axle_Diameter,1,C177+5)&lt;&gt;$A177,-2,IF(INDEX(REG_B_OK,1,C177+5)&lt;&gt;0,C177+5,IF(INDEX(REG_Axle_Diameter,1,C177+6)&lt;&gt;$A177,-2,IF(INDEX(REG_B_OK,1,C177+6)&lt;&gt;0,C177+6,IF(INDEX(REG_Axle_Diameter,1,C177+7)&lt;&gt;$A177,-2,IF(INDEX(REG_B_OK,1,C177+7)&lt;&gt;0,C177+7,IF(INDEX(REG_Axle_Diameter,1,C177+8)&lt;&gt;$A177,-2,IF(INDEX(REG_B_OK,1,C177+8)&lt;&gt;0,C177+8,IF(INDEX(REG_Axle_Diameter,1,C177+9)&lt;&gt;$A177,-2,IF(INDEX(REG_B_OK,1,C177+9)&lt;&gt;0,C177+9,IF(INDEX(REG_Axle_Diameter,1,C177+10)&lt;&gt;$A177,-2,C177+10)))))))))))))))))))))</f>
        <v>-2</v>
      </c>
      <c r="E177" s="711">
        <f t="shared" si="240"/>
        <v>-2</v>
      </c>
      <c r="F177" s="711">
        <f t="shared" si="240"/>
        <v>-2</v>
      </c>
      <c r="G177" s="711">
        <f t="shared" si="240"/>
        <v>-2</v>
      </c>
      <c r="H177" s="711">
        <f t="shared" si="240"/>
        <v>-2</v>
      </c>
      <c r="I177" s="711">
        <f t="shared" si="240"/>
        <v>-2</v>
      </c>
      <c r="J177" s="711">
        <f t="shared" si="240"/>
        <v>-2</v>
      </c>
      <c r="K177" s="711">
        <f t="shared" si="240"/>
        <v>-2</v>
      </c>
      <c r="L177" s="719">
        <f t="shared" si="240"/>
        <v>-2</v>
      </c>
    </row>
    <row r="178" spans="1:12" ht="15.95" customHeight="1">
      <c r="A178" s="106"/>
      <c r="B178" s="106"/>
      <c r="C178" s="712">
        <f t="shared" ref="C178:L178" si="241">IF(C179=0,0,INDEX(REG_Bearing_Type,1,C177))</f>
        <v>0</v>
      </c>
      <c r="D178" s="713">
        <f t="shared" si="241"/>
        <v>0</v>
      </c>
      <c r="E178" s="713">
        <f t="shared" si="241"/>
        <v>0</v>
      </c>
      <c r="F178" s="713">
        <f t="shared" si="241"/>
        <v>0</v>
      </c>
      <c r="G178" s="713">
        <f t="shared" si="241"/>
        <v>0</v>
      </c>
      <c r="H178" s="713">
        <f t="shared" si="241"/>
        <v>0</v>
      </c>
      <c r="I178" s="713">
        <f t="shared" si="241"/>
        <v>0</v>
      </c>
      <c r="J178" s="713">
        <f t="shared" si="241"/>
        <v>0</v>
      </c>
      <c r="K178" s="713">
        <f t="shared" si="241"/>
        <v>0</v>
      </c>
      <c r="L178" s="720">
        <f t="shared" si="241"/>
        <v>0</v>
      </c>
    </row>
    <row r="179" spans="1:12" ht="15.95" customHeight="1">
      <c r="A179" s="106"/>
      <c r="B179" s="106"/>
      <c r="C179" s="710">
        <f t="shared" ref="C179:L179" si="242">IF(C177&lt;0,0,INDEX(REG_B_OK,1,C177))</f>
        <v>0</v>
      </c>
      <c r="D179" s="711">
        <f t="shared" si="242"/>
        <v>0</v>
      </c>
      <c r="E179" s="711">
        <f t="shared" si="242"/>
        <v>0</v>
      </c>
      <c r="F179" s="711">
        <f t="shared" si="242"/>
        <v>0</v>
      </c>
      <c r="G179" s="711">
        <f t="shared" si="242"/>
        <v>0</v>
      </c>
      <c r="H179" s="711">
        <f t="shared" si="242"/>
        <v>0</v>
      </c>
      <c r="I179" s="711">
        <f t="shared" si="242"/>
        <v>0</v>
      </c>
      <c r="J179" s="711">
        <f t="shared" si="242"/>
        <v>0</v>
      </c>
      <c r="K179" s="711">
        <f t="shared" si="242"/>
        <v>0</v>
      </c>
      <c r="L179" s="719">
        <f t="shared" si="242"/>
        <v>0</v>
      </c>
    </row>
    <row r="180" spans="1:12" ht="15.95" customHeight="1">
      <c r="A180" s="106">
        <f>A177+5</f>
        <v>75</v>
      </c>
      <c r="B180" s="106">
        <f>MATCH($A180,REG_Axle_Diameter,0)</f>
        <v>47</v>
      </c>
      <c r="C180" s="714">
        <f>IF(ISERROR($B180),-3,IF(INDEX(REG_Axle_Diameter,1,B180)&lt;&gt;$A180,-2,IF(INDEX(REG_B_OK,1,B180)&lt;&gt;0,B180,IF(INDEX(REG_Axle_Diameter,1,B180+1)&lt;&gt;$A180,-2,IF(INDEX(REG_B_OK,1,B180+1)&lt;&gt;0,B180+1,IF(INDEX(REG_Axle_Diameter,1,B180+2)&lt;&gt;$A180,-2,IF(INDEX(REG_B_OK,1,B180+2)&lt;&gt;0,B180+2,IF(INDEX(REG_Axle_Diameter,1,B180+3)&lt;&gt;$A180,-2,IF(INDEX(REG_B_OK,1,B180+3)&lt;&gt;0,B180+3,IF(INDEX(REG_Axle_Diameter,1,B180+4)&lt;&gt;$A180,-2,IF(INDEX(REG_B_OK,1,B180+4)&lt;&gt;0,B180+4,IF(INDEX(REG_Axle_Diameter,1,B180+5)&lt;&gt;$A180,-2,IF(INDEX(REG_B_OK,1,B180+5)&lt;&gt;0,B180+5,IF(INDEX(REG_Axle_Diameter,1,B180+6)&lt;&gt;$A180,-2,IF(INDEX(REG_B_OK,1,B180+6)&lt;&gt;0,B180+6,IF(INDEX(REG_Axle_Diameter,1,B180+7)&lt;&gt;$A180,-2,IF(INDEX(REG_B_OK,1,B180+7)&lt;&gt;0,B180+7,IF(INDEX(REG_Axle_Diameter,1,B180+8)&lt;&gt;$A180,-2,IF(INDEX(REG_B_OK,1,B180+8)&lt;&gt;0,B180+8,IF(INDEX(REG_Axle_Diameter,1,B180+9)&lt;&gt;$A180,-2,IF(INDEX(REG_B_OK,1,B180+9)&lt;&gt;0,B180+9,IF(INDEX(REG_Axle_Diameter,1,B180+10)&lt;&gt;$A180,-2,B180+10))))))))))))))))))))))</f>
        <v>51</v>
      </c>
      <c r="D180" s="710">
        <f t="shared" ref="D180:L180" si="243">IF(ISERROR($B180),-3,IF(C180=-2,-2,IF(INDEX(REG_Axle_Diameter,1,C180+1)&lt;&gt;$A180,-2,IF(INDEX(REG_B_OK,1,C180+1)&lt;&gt;0,C180+1,IF(INDEX(REG_Axle_Diameter,1,C180+2)&lt;&gt;$A180,-2,IF(INDEX(REG_B_OK,1,C180+2)&lt;&gt;0,C180+2,IF(INDEX(REG_Axle_Diameter,1,C180+3)&lt;&gt;$A180,-2,IF(INDEX(REG_B_OK,1,C180+3)&lt;&gt;0,C180+3,IF(INDEX(REG_Axle_Diameter,1,C180+4)&lt;&gt;$A180,-2,IF(INDEX(REG_B_OK,1,C180+4)&lt;&gt;0,C180+4,IF(INDEX(REG_Axle_Diameter,1,C180+5)&lt;&gt;$A180,-2,IF(INDEX(REG_B_OK,1,C180+5)&lt;&gt;0,C180+5,IF(INDEX(REG_Axle_Diameter,1,C180+6)&lt;&gt;$A180,-2,IF(INDEX(REG_B_OK,1,C180+6)&lt;&gt;0,C180+6,IF(INDEX(REG_Axle_Diameter,1,C180+7)&lt;&gt;$A180,-2,IF(INDEX(REG_B_OK,1,C180+7)&lt;&gt;0,C180+7,IF(INDEX(REG_Axle_Diameter,1,C180+8)&lt;&gt;$A180,-2,IF(INDEX(REG_B_OK,1,C180+8)&lt;&gt;0,C180+8,IF(INDEX(REG_Axle_Diameter,1,C180+9)&lt;&gt;$A180,-2,IF(INDEX(REG_B_OK,1,C180+9)&lt;&gt;0,C180+9,IF(INDEX(REG_Axle_Diameter,1,C180+10)&lt;&gt;$A180,-2,C180+10)))))))))))))))))))))</f>
        <v>-2</v>
      </c>
      <c r="E180" s="711">
        <f t="shared" si="243"/>
        <v>-2</v>
      </c>
      <c r="F180" s="711">
        <f t="shared" si="243"/>
        <v>-2</v>
      </c>
      <c r="G180" s="711">
        <f t="shared" si="243"/>
        <v>-2</v>
      </c>
      <c r="H180" s="711">
        <f t="shared" si="243"/>
        <v>-2</v>
      </c>
      <c r="I180" s="711">
        <f t="shared" si="243"/>
        <v>-2</v>
      </c>
      <c r="J180" s="711">
        <f t="shared" si="243"/>
        <v>-2</v>
      </c>
      <c r="K180" s="711">
        <f t="shared" si="243"/>
        <v>-2</v>
      </c>
      <c r="L180" s="719">
        <f t="shared" si="243"/>
        <v>-2</v>
      </c>
    </row>
    <row r="181" spans="1:12" ht="15.95" customHeight="1">
      <c r="A181" s="106"/>
      <c r="B181" s="106"/>
      <c r="C181" s="712" t="str">
        <f t="shared" ref="C181:L181" si="244">IF(C182=0,0,INDEX(REG_Bearing_Type,1,C180))</f>
        <v>22217EK</v>
      </c>
      <c r="D181" s="713">
        <f t="shared" si="244"/>
        <v>0</v>
      </c>
      <c r="E181" s="713">
        <f t="shared" si="244"/>
        <v>0</v>
      </c>
      <c r="F181" s="713">
        <f t="shared" si="244"/>
        <v>0</v>
      </c>
      <c r="G181" s="713">
        <f t="shared" si="244"/>
        <v>0</v>
      </c>
      <c r="H181" s="713">
        <f t="shared" si="244"/>
        <v>0</v>
      </c>
      <c r="I181" s="713">
        <f t="shared" si="244"/>
        <v>0</v>
      </c>
      <c r="J181" s="713">
        <f t="shared" si="244"/>
        <v>0</v>
      </c>
      <c r="K181" s="713">
        <f t="shared" si="244"/>
        <v>0</v>
      </c>
      <c r="L181" s="720">
        <f t="shared" si="244"/>
        <v>0</v>
      </c>
    </row>
    <row r="182" spans="1:12" ht="15.95" customHeight="1">
      <c r="A182" s="106"/>
      <c r="B182" s="106"/>
      <c r="C182" s="710">
        <f t="shared" ref="C182:L182" si="245">IF(C180&lt;0,0,INDEX(REG_B_OK,1,C180))</f>
        <v>31776.068947039028</v>
      </c>
      <c r="D182" s="711">
        <f t="shared" si="245"/>
        <v>0</v>
      </c>
      <c r="E182" s="711">
        <f t="shared" si="245"/>
        <v>0</v>
      </c>
      <c r="F182" s="711">
        <f t="shared" si="245"/>
        <v>0</v>
      </c>
      <c r="G182" s="711">
        <f t="shared" si="245"/>
        <v>0</v>
      </c>
      <c r="H182" s="711">
        <f t="shared" si="245"/>
        <v>0</v>
      </c>
      <c r="I182" s="711">
        <f t="shared" si="245"/>
        <v>0</v>
      </c>
      <c r="J182" s="711">
        <f t="shared" si="245"/>
        <v>0</v>
      </c>
      <c r="K182" s="711">
        <f t="shared" si="245"/>
        <v>0</v>
      </c>
      <c r="L182" s="719">
        <f t="shared" si="245"/>
        <v>0</v>
      </c>
    </row>
    <row r="183" spans="1:12" ht="15.95" customHeight="1">
      <c r="A183" s="106">
        <f>A180+5</f>
        <v>80</v>
      </c>
      <c r="B183" s="106">
        <f>MATCH($A183,REG_Axle_Diameter,0)</f>
        <v>56</v>
      </c>
      <c r="C183" s="714">
        <f>IF(ISERROR($B183),-3,IF(INDEX(REG_Axle_Diameter,1,B183)&lt;&gt;$A183,-2,IF(INDEX(REG_B_OK,1,B183)&lt;&gt;0,B183,IF(INDEX(REG_Axle_Diameter,1,B183+1)&lt;&gt;$A183,-2,IF(INDEX(REG_B_OK,1,B183+1)&lt;&gt;0,B183+1,IF(INDEX(REG_Axle_Diameter,1,B183+2)&lt;&gt;$A183,-2,IF(INDEX(REG_B_OK,1,B183+2)&lt;&gt;0,B183+2,IF(INDEX(REG_Axle_Diameter,1,B183+3)&lt;&gt;$A183,-2,IF(INDEX(REG_B_OK,1,B183+3)&lt;&gt;0,B183+3,IF(INDEX(REG_Axle_Diameter,1,B183+4)&lt;&gt;$A183,-2,IF(INDEX(REG_B_OK,1,B183+4)&lt;&gt;0,B183+4,IF(INDEX(REG_Axle_Diameter,1,B183+5)&lt;&gt;$A183,-2,IF(INDEX(REG_B_OK,1,B183+5)&lt;&gt;0,B183+5,IF(INDEX(REG_Axle_Diameter,1,B183+6)&lt;&gt;$A183,-2,IF(INDEX(REG_B_OK,1,B183+6)&lt;&gt;0,B183+6,IF(INDEX(REG_Axle_Diameter,1,B183+7)&lt;&gt;$A183,-2,IF(INDEX(REG_B_OK,1,B183+7)&lt;&gt;0,B183+7,IF(INDEX(REG_Axle_Diameter,1,B183+8)&lt;&gt;$A183,-2,IF(INDEX(REG_B_OK,1,B183+8)&lt;&gt;0,B183+8,IF(INDEX(REG_Axle_Diameter,1,B183+9)&lt;&gt;$A183,-2,IF(INDEX(REG_B_OK,1,B183+9)&lt;&gt;0,B183+9,IF(INDEX(REG_Axle_Diameter,1,B183+10)&lt;&gt;$A183,-2,B183+10))))))))))))))))))))))</f>
        <v>-2</v>
      </c>
      <c r="D183" s="710">
        <f t="shared" ref="D183:L183" si="246">IF(ISERROR($B183),-3,IF(C183=-2,-2,IF(INDEX(REG_Axle_Diameter,1,C183+1)&lt;&gt;$A183,-2,IF(INDEX(REG_B_OK,1,C183+1)&lt;&gt;0,C183+1,IF(INDEX(REG_Axle_Diameter,1,C183+2)&lt;&gt;$A183,-2,IF(INDEX(REG_B_OK,1,C183+2)&lt;&gt;0,C183+2,IF(INDEX(REG_Axle_Diameter,1,C183+3)&lt;&gt;$A183,-2,IF(INDEX(REG_B_OK,1,C183+3)&lt;&gt;0,C183+3,IF(INDEX(REG_Axle_Diameter,1,C183+4)&lt;&gt;$A183,-2,IF(INDEX(REG_B_OK,1,C183+4)&lt;&gt;0,C183+4,IF(INDEX(REG_Axle_Diameter,1,C183+5)&lt;&gt;$A183,-2,IF(INDEX(REG_B_OK,1,C183+5)&lt;&gt;0,C183+5,IF(INDEX(REG_Axle_Diameter,1,C183+6)&lt;&gt;$A183,-2,IF(INDEX(REG_B_OK,1,C183+6)&lt;&gt;0,C183+6,IF(INDEX(REG_Axle_Diameter,1,C183+7)&lt;&gt;$A183,-2,IF(INDEX(REG_B_OK,1,C183+7)&lt;&gt;0,C183+7,IF(INDEX(REG_Axle_Diameter,1,C183+8)&lt;&gt;$A183,-2,IF(INDEX(REG_B_OK,1,C183+8)&lt;&gt;0,C183+8,IF(INDEX(REG_Axle_Diameter,1,C183+9)&lt;&gt;$A183,-2,IF(INDEX(REG_B_OK,1,C183+9)&lt;&gt;0,C183+9,IF(INDEX(REG_Axle_Diameter,1,C183+10)&lt;&gt;$A183,-2,C183+10)))))))))))))))))))))</f>
        <v>-2</v>
      </c>
      <c r="E183" s="711">
        <f t="shared" si="246"/>
        <v>-2</v>
      </c>
      <c r="F183" s="711">
        <f t="shared" si="246"/>
        <v>-2</v>
      </c>
      <c r="G183" s="711">
        <f t="shared" si="246"/>
        <v>-2</v>
      </c>
      <c r="H183" s="711">
        <f t="shared" si="246"/>
        <v>-2</v>
      </c>
      <c r="I183" s="711">
        <f t="shared" si="246"/>
        <v>-2</v>
      </c>
      <c r="J183" s="711">
        <f t="shared" si="246"/>
        <v>-2</v>
      </c>
      <c r="K183" s="711">
        <f t="shared" si="246"/>
        <v>-2</v>
      </c>
      <c r="L183" s="719">
        <f t="shared" si="246"/>
        <v>-2</v>
      </c>
    </row>
    <row r="184" spans="1:12" ht="15.95" customHeight="1">
      <c r="A184" s="106"/>
      <c r="B184" s="106"/>
      <c r="C184" s="712">
        <f t="shared" ref="C184:L184" si="247">IF(C185=0,0,INDEX(REG_Bearing_Type,1,C183))</f>
        <v>0</v>
      </c>
      <c r="D184" s="713">
        <f t="shared" si="247"/>
        <v>0</v>
      </c>
      <c r="E184" s="713">
        <f t="shared" si="247"/>
        <v>0</v>
      </c>
      <c r="F184" s="713">
        <f t="shared" si="247"/>
        <v>0</v>
      </c>
      <c r="G184" s="713">
        <f t="shared" si="247"/>
        <v>0</v>
      </c>
      <c r="H184" s="713">
        <f t="shared" si="247"/>
        <v>0</v>
      </c>
      <c r="I184" s="713">
        <f t="shared" si="247"/>
        <v>0</v>
      </c>
      <c r="J184" s="713">
        <f t="shared" si="247"/>
        <v>0</v>
      </c>
      <c r="K184" s="713">
        <f t="shared" si="247"/>
        <v>0</v>
      </c>
      <c r="L184" s="720">
        <f t="shared" si="247"/>
        <v>0</v>
      </c>
    </row>
    <row r="185" spans="1:12" ht="15.95" customHeight="1">
      <c r="A185" s="106"/>
      <c r="B185" s="106"/>
      <c r="C185" s="710">
        <f t="shared" ref="C185:L185" si="248">IF(C183&lt;0,0,INDEX(REG_B_OK,1,C183))</f>
        <v>0</v>
      </c>
      <c r="D185" s="711">
        <f t="shared" si="248"/>
        <v>0</v>
      </c>
      <c r="E185" s="711">
        <f t="shared" si="248"/>
        <v>0</v>
      </c>
      <c r="F185" s="711">
        <f t="shared" si="248"/>
        <v>0</v>
      </c>
      <c r="G185" s="711">
        <f t="shared" si="248"/>
        <v>0</v>
      </c>
      <c r="H185" s="711">
        <f t="shared" si="248"/>
        <v>0</v>
      </c>
      <c r="I185" s="711">
        <f t="shared" si="248"/>
        <v>0</v>
      </c>
      <c r="J185" s="711">
        <f t="shared" si="248"/>
        <v>0</v>
      </c>
      <c r="K185" s="711">
        <f t="shared" si="248"/>
        <v>0</v>
      </c>
      <c r="L185" s="719">
        <f t="shared" si="248"/>
        <v>0</v>
      </c>
    </row>
    <row r="186" spans="1:12" ht="15.95" customHeight="1">
      <c r="A186" s="106">
        <f>A183+5</f>
        <v>85</v>
      </c>
      <c r="B186" s="106">
        <f>MATCH($A186,REG_Axle_Diameter,0)</f>
        <v>65</v>
      </c>
      <c r="C186" s="714">
        <f>IF(ISERROR($B186),-3,IF(INDEX(REG_Axle_Diameter,1,B186)&lt;&gt;$A186,-2,IF(INDEX(REG_B_OK,1,B186)&lt;&gt;0,B186,IF(INDEX(REG_Axle_Diameter,1,B186+1)&lt;&gt;$A186,-2,IF(INDEX(REG_B_OK,1,B186+1)&lt;&gt;0,B186+1,IF(INDEX(REG_Axle_Diameter,1,B186+2)&lt;&gt;$A186,-2,IF(INDEX(REG_B_OK,1,B186+2)&lt;&gt;0,B186+2,IF(INDEX(REG_Axle_Diameter,1,B186+3)&lt;&gt;$A186,-2,IF(INDEX(REG_B_OK,1,B186+3)&lt;&gt;0,B186+3,IF(INDEX(REG_Axle_Diameter,1,B186+4)&lt;&gt;$A186,-2,IF(INDEX(REG_B_OK,1,B186+4)&lt;&gt;0,B186+4,IF(INDEX(REG_Axle_Diameter,1,B186+5)&lt;&gt;$A186,-2,IF(INDEX(REG_B_OK,1,B186+5)&lt;&gt;0,B186+5,IF(INDEX(REG_Axle_Diameter,1,B186+6)&lt;&gt;$A186,-2,IF(INDEX(REG_B_OK,1,B186+6)&lt;&gt;0,B186+6,IF(INDEX(REG_Axle_Diameter,1,B186+7)&lt;&gt;$A186,-2,IF(INDEX(REG_B_OK,1,B186+7)&lt;&gt;0,B186+7,IF(INDEX(REG_Axle_Diameter,1,B186+8)&lt;&gt;$A186,-2,IF(INDEX(REG_B_OK,1,B186+8)&lt;&gt;0,B186+8,IF(INDEX(REG_Axle_Diameter,1,B186+9)&lt;&gt;$A186,-2,IF(INDEX(REG_B_OK,1,B186+9)&lt;&gt;0,B186+9,IF(INDEX(REG_Axle_Diameter,1,B186+10)&lt;&gt;$A186,-2,B186+10))))))))))))))))))))))</f>
        <v>-2</v>
      </c>
      <c r="D186" s="710">
        <f t="shared" ref="D186:L186" si="249">IF(ISERROR($B186),-3,IF(C186=-2,-2,IF(INDEX(REG_Axle_Diameter,1,C186+1)&lt;&gt;$A186,-2,IF(INDEX(REG_B_OK,1,C186+1)&lt;&gt;0,C186+1,IF(INDEX(REG_Axle_Diameter,1,C186+2)&lt;&gt;$A186,-2,IF(INDEX(REG_B_OK,1,C186+2)&lt;&gt;0,C186+2,IF(INDEX(REG_Axle_Diameter,1,C186+3)&lt;&gt;$A186,-2,IF(INDEX(REG_B_OK,1,C186+3)&lt;&gt;0,C186+3,IF(INDEX(REG_Axle_Diameter,1,C186+4)&lt;&gt;$A186,-2,IF(INDEX(REG_B_OK,1,C186+4)&lt;&gt;0,C186+4,IF(INDEX(REG_Axle_Diameter,1,C186+5)&lt;&gt;$A186,-2,IF(INDEX(REG_B_OK,1,C186+5)&lt;&gt;0,C186+5,IF(INDEX(REG_Axle_Diameter,1,C186+6)&lt;&gt;$A186,-2,IF(INDEX(REG_B_OK,1,C186+6)&lt;&gt;0,C186+6,IF(INDEX(REG_Axle_Diameter,1,C186+7)&lt;&gt;$A186,-2,IF(INDEX(REG_B_OK,1,C186+7)&lt;&gt;0,C186+7,IF(INDEX(REG_Axle_Diameter,1,C186+8)&lt;&gt;$A186,-2,IF(INDEX(REG_B_OK,1,C186+8)&lt;&gt;0,C186+8,IF(INDEX(REG_Axle_Diameter,1,C186+9)&lt;&gt;$A186,-2,IF(INDEX(REG_B_OK,1,C186+9)&lt;&gt;0,C186+9,IF(INDEX(REG_Axle_Diameter,1,C186+10)&lt;&gt;$A186,-2,C186+10)))))))))))))))))))))</f>
        <v>-2</v>
      </c>
      <c r="E186" s="711">
        <f t="shared" si="249"/>
        <v>-2</v>
      </c>
      <c r="F186" s="711">
        <f t="shared" si="249"/>
        <v>-2</v>
      </c>
      <c r="G186" s="711">
        <f t="shared" si="249"/>
        <v>-2</v>
      </c>
      <c r="H186" s="711">
        <f t="shared" si="249"/>
        <v>-2</v>
      </c>
      <c r="I186" s="711">
        <f t="shared" si="249"/>
        <v>-2</v>
      </c>
      <c r="J186" s="711">
        <f t="shared" si="249"/>
        <v>-2</v>
      </c>
      <c r="K186" s="711">
        <f t="shared" si="249"/>
        <v>-2</v>
      </c>
      <c r="L186" s="719">
        <f t="shared" si="249"/>
        <v>-2</v>
      </c>
    </row>
    <row r="187" spans="1:12" ht="15.95" customHeight="1">
      <c r="A187" s="106"/>
      <c r="B187" s="106"/>
      <c r="C187" s="712">
        <f t="shared" ref="C187:L187" si="250">IF(C188=0,0,INDEX(REG_Bearing_Type,1,C186))</f>
        <v>0</v>
      </c>
      <c r="D187" s="713">
        <f t="shared" si="250"/>
        <v>0</v>
      </c>
      <c r="E187" s="713">
        <f t="shared" si="250"/>
        <v>0</v>
      </c>
      <c r="F187" s="713">
        <f t="shared" si="250"/>
        <v>0</v>
      </c>
      <c r="G187" s="713">
        <f t="shared" si="250"/>
        <v>0</v>
      </c>
      <c r="H187" s="713">
        <f t="shared" si="250"/>
        <v>0</v>
      </c>
      <c r="I187" s="713">
        <f t="shared" si="250"/>
        <v>0</v>
      </c>
      <c r="J187" s="713">
        <f t="shared" si="250"/>
        <v>0</v>
      </c>
      <c r="K187" s="713">
        <f t="shared" si="250"/>
        <v>0</v>
      </c>
      <c r="L187" s="720">
        <f t="shared" si="250"/>
        <v>0</v>
      </c>
    </row>
    <row r="188" spans="1:12" ht="15.95" customHeight="1">
      <c r="A188" s="106"/>
      <c r="B188" s="106"/>
      <c r="C188" s="710">
        <f t="shared" ref="C188:L188" si="251">IF(C186&lt;0,0,INDEX(REG_B_OK,1,C186))</f>
        <v>0</v>
      </c>
      <c r="D188" s="711">
        <f t="shared" si="251"/>
        <v>0</v>
      </c>
      <c r="E188" s="711">
        <f t="shared" si="251"/>
        <v>0</v>
      </c>
      <c r="F188" s="711">
        <f t="shared" si="251"/>
        <v>0</v>
      </c>
      <c r="G188" s="711">
        <f t="shared" si="251"/>
        <v>0</v>
      </c>
      <c r="H188" s="711">
        <f t="shared" si="251"/>
        <v>0</v>
      </c>
      <c r="I188" s="711">
        <f t="shared" si="251"/>
        <v>0</v>
      </c>
      <c r="J188" s="711">
        <f t="shared" si="251"/>
        <v>0</v>
      </c>
      <c r="K188" s="711">
        <f t="shared" si="251"/>
        <v>0</v>
      </c>
      <c r="L188" s="719">
        <f t="shared" si="251"/>
        <v>0</v>
      </c>
    </row>
    <row r="189" spans="1:12" ht="15.95" customHeight="1">
      <c r="A189" s="106">
        <f>A186+5</f>
        <v>90</v>
      </c>
      <c r="B189" s="106">
        <f>MATCH($A189,REG_Axle_Diameter,0)</f>
        <v>72</v>
      </c>
      <c r="C189" s="714">
        <f>IF(ISERROR($B189),-3,IF(INDEX(REG_Axle_Diameter,1,B189)&lt;&gt;$A189,-2,IF(INDEX(REG_B_OK,1,B189)&lt;&gt;0,B189,IF(INDEX(REG_Axle_Diameter,1,B189+1)&lt;&gt;$A189,-2,IF(INDEX(REG_B_OK,1,B189+1)&lt;&gt;0,B189+1,IF(INDEX(REG_Axle_Diameter,1,B189+2)&lt;&gt;$A189,-2,IF(INDEX(REG_B_OK,1,B189+2)&lt;&gt;0,B189+2,IF(INDEX(REG_Axle_Diameter,1,B189+3)&lt;&gt;$A189,-2,IF(INDEX(REG_B_OK,1,B189+3)&lt;&gt;0,B189+3,IF(INDEX(REG_Axle_Diameter,1,B189+4)&lt;&gt;$A189,-2,IF(INDEX(REG_B_OK,1,B189+4)&lt;&gt;0,B189+4,IF(INDEX(REG_Axle_Diameter,1,B189+5)&lt;&gt;$A189,-2,IF(INDEX(REG_B_OK,1,B189+5)&lt;&gt;0,B189+5,IF(INDEX(REG_Axle_Diameter,1,B189+6)&lt;&gt;$A189,-2,IF(INDEX(REG_B_OK,1,B189+6)&lt;&gt;0,B189+6,IF(INDEX(REG_Axle_Diameter,1,B189+7)&lt;&gt;$A189,-2,IF(INDEX(REG_B_OK,1,B189+7)&lt;&gt;0,B189+7,IF(INDEX(REG_Axle_Diameter,1,B189+8)&lt;&gt;$A189,-2,IF(INDEX(REG_B_OK,1,B189+8)&lt;&gt;0,B189+8,IF(INDEX(REG_Axle_Diameter,1,B189+9)&lt;&gt;$A189,-2,IF(INDEX(REG_B_OK,1,B189+9)&lt;&gt;0,B189+9,IF(INDEX(REG_Axle_Diameter,1,B189+10)&lt;&gt;$A189,-2,B189+10))))))))))))))))))))))</f>
        <v>-2</v>
      </c>
      <c r="D189" s="710">
        <f t="shared" ref="D189:L189" si="252">IF(ISERROR($B189),-3,IF(C189=-2,-2,IF(INDEX(REG_Axle_Diameter,1,C189+1)&lt;&gt;$A189,-2,IF(INDEX(REG_B_OK,1,C189+1)&lt;&gt;0,C189+1,IF(INDEX(REG_Axle_Diameter,1,C189+2)&lt;&gt;$A189,-2,IF(INDEX(REG_B_OK,1,C189+2)&lt;&gt;0,C189+2,IF(INDEX(REG_Axle_Diameter,1,C189+3)&lt;&gt;$A189,-2,IF(INDEX(REG_B_OK,1,C189+3)&lt;&gt;0,C189+3,IF(INDEX(REG_Axle_Diameter,1,C189+4)&lt;&gt;$A189,-2,IF(INDEX(REG_B_OK,1,C189+4)&lt;&gt;0,C189+4,IF(INDEX(REG_Axle_Diameter,1,C189+5)&lt;&gt;$A189,-2,IF(INDEX(REG_B_OK,1,C189+5)&lt;&gt;0,C189+5,IF(INDEX(REG_Axle_Diameter,1,C189+6)&lt;&gt;$A189,-2,IF(INDEX(REG_B_OK,1,C189+6)&lt;&gt;0,C189+6,IF(INDEX(REG_Axle_Diameter,1,C189+7)&lt;&gt;$A189,-2,IF(INDEX(REG_B_OK,1,C189+7)&lt;&gt;0,C189+7,IF(INDEX(REG_Axle_Diameter,1,C189+8)&lt;&gt;$A189,-2,IF(INDEX(REG_B_OK,1,C189+8)&lt;&gt;0,C189+8,IF(INDEX(REG_Axle_Diameter,1,C189+9)&lt;&gt;$A189,-2,IF(INDEX(REG_B_OK,1,C189+9)&lt;&gt;0,C189+9,IF(INDEX(REG_Axle_Diameter,1,C189+10)&lt;&gt;$A189,-2,C189+10)))))))))))))))))))))</f>
        <v>-2</v>
      </c>
      <c r="E189" s="711">
        <f t="shared" si="252"/>
        <v>-2</v>
      </c>
      <c r="F189" s="711">
        <f t="shared" si="252"/>
        <v>-2</v>
      </c>
      <c r="G189" s="711">
        <f t="shared" si="252"/>
        <v>-2</v>
      </c>
      <c r="H189" s="711">
        <f t="shared" si="252"/>
        <v>-2</v>
      </c>
      <c r="I189" s="711">
        <f t="shared" si="252"/>
        <v>-2</v>
      </c>
      <c r="J189" s="711">
        <f t="shared" si="252"/>
        <v>-2</v>
      </c>
      <c r="K189" s="711">
        <f t="shared" si="252"/>
        <v>-2</v>
      </c>
      <c r="L189" s="719">
        <f t="shared" si="252"/>
        <v>-2</v>
      </c>
    </row>
    <row r="190" spans="1:12" ht="15.95" customHeight="1">
      <c r="A190" s="106"/>
      <c r="B190" s="106"/>
      <c r="C190" s="712">
        <f t="shared" ref="C190:L190" si="253">IF(C191=0,0,INDEX(REG_Bearing_Type,1,C189))</f>
        <v>0</v>
      </c>
      <c r="D190" s="713">
        <f t="shared" si="253"/>
        <v>0</v>
      </c>
      <c r="E190" s="713">
        <f t="shared" si="253"/>
        <v>0</v>
      </c>
      <c r="F190" s="713">
        <f t="shared" si="253"/>
        <v>0</v>
      </c>
      <c r="G190" s="713">
        <f t="shared" si="253"/>
        <v>0</v>
      </c>
      <c r="H190" s="713">
        <f t="shared" si="253"/>
        <v>0</v>
      </c>
      <c r="I190" s="713">
        <f t="shared" si="253"/>
        <v>0</v>
      </c>
      <c r="J190" s="713">
        <f t="shared" si="253"/>
        <v>0</v>
      </c>
      <c r="K190" s="713">
        <f t="shared" si="253"/>
        <v>0</v>
      </c>
      <c r="L190" s="720">
        <f t="shared" si="253"/>
        <v>0</v>
      </c>
    </row>
    <row r="191" spans="1:12" ht="15.95" customHeight="1">
      <c r="A191" s="106"/>
      <c r="B191" s="106"/>
      <c r="C191" s="710">
        <f t="shared" ref="C191:L191" si="254">IF(C189&lt;0,0,INDEX(REG_B_OK,1,C189))</f>
        <v>0</v>
      </c>
      <c r="D191" s="711">
        <f t="shared" si="254"/>
        <v>0</v>
      </c>
      <c r="E191" s="711">
        <f t="shared" si="254"/>
        <v>0</v>
      </c>
      <c r="F191" s="711">
        <f t="shared" si="254"/>
        <v>0</v>
      </c>
      <c r="G191" s="711">
        <f t="shared" si="254"/>
        <v>0</v>
      </c>
      <c r="H191" s="711">
        <f t="shared" si="254"/>
        <v>0</v>
      </c>
      <c r="I191" s="711">
        <f t="shared" si="254"/>
        <v>0</v>
      </c>
      <c r="J191" s="711">
        <f t="shared" si="254"/>
        <v>0</v>
      </c>
      <c r="K191" s="711">
        <f t="shared" si="254"/>
        <v>0</v>
      </c>
      <c r="L191" s="719">
        <f t="shared" si="254"/>
        <v>0</v>
      </c>
    </row>
    <row r="192" spans="1:12" ht="15.95" customHeight="1">
      <c r="A192" s="106">
        <f>A189+5</f>
        <v>95</v>
      </c>
      <c r="B192" s="106" t="e">
        <f>MATCH($A192,REG_Axle_Diameter,0)</f>
        <v>#N/A</v>
      </c>
      <c r="C192" s="714">
        <f>IF(ISERROR($B192),-3,IF(INDEX(REG_Axle_Diameter,1,B192)&lt;&gt;$A192,-2,IF(INDEX(REG_B_OK,1,B192)&lt;&gt;0,B192,IF(INDEX(REG_Axle_Diameter,1,B192+1)&lt;&gt;$A192,-2,IF(INDEX(REG_B_OK,1,B192+1)&lt;&gt;0,B192+1,IF(INDEX(REG_Axle_Diameter,1,B192+2)&lt;&gt;$A192,-2,IF(INDEX(REG_B_OK,1,B192+2)&lt;&gt;0,B192+2,IF(INDEX(REG_Axle_Diameter,1,B192+3)&lt;&gt;$A192,-2,IF(INDEX(REG_B_OK,1,B192+3)&lt;&gt;0,B192+3,IF(INDEX(REG_Axle_Diameter,1,B192+4)&lt;&gt;$A192,-2,IF(INDEX(REG_B_OK,1,B192+4)&lt;&gt;0,B192+4,IF(INDEX(REG_Axle_Diameter,1,B192+5)&lt;&gt;$A192,-2,IF(INDEX(REG_B_OK,1,B192+5)&lt;&gt;0,B192+5,IF(INDEX(REG_Axle_Diameter,1,B192+6)&lt;&gt;$A192,-2,IF(INDEX(REG_B_OK,1,B192+6)&lt;&gt;0,B192+6,IF(INDEX(REG_Axle_Diameter,1,B192+7)&lt;&gt;$A192,-2,IF(INDEX(REG_B_OK,1,B192+7)&lt;&gt;0,B192+7,IF(INDEX(REG_Axle_Diameter,1,B192+8)&lt;&gt;$A192,-2,IF(INDEX(REG_B_OK,1,B192+8)&lt;&gt;0,B192+8,IF(INDEX(REG_Axle_Diameter,1,B192+9)&lt;&gt;$A192,-2,IF(INDEX(REG_B_OK,1,B192+9)&lt;&gt;0,B192+9,IF(INDEX(REG_Axle_Diameter,1,B192+10)&lt;&gt;$A192,-2,B192+10))))))))))))))))))))))</f>
        <v>-3</v>
      </c>
      <c r="D192" s="710">
        <f t="shared" ref="D192:L192" si="255">IF(ISERROR($B192),-3,IF(C192=-2,-2,IF(INDEX(REG_Axle_Diameter,1,C192+1)&lt;&gt;$A192,-2,IF(INDEX(REG_B_OK,1,C192+1)&lt;&gt;0,C192+1,IF(INDEX(REG_Axle_Diameter,1,C192+2)&lt;&gt;$A192,-2,IF(INDEX(REG_B_OK,1,C192+2)&lt;&gt;0,C192+2,IF(INDEX(REG_Axle_Diameter,1,C192+3)&lt;&gt;$A192,-2,IF(INDEX(REG_B_OK,1,C192+3)&lt;&gt;0,C192+3,IF(INDEX(REG_Axle_Diameter,1,C192+4)&lt;&gt;$A192,-2,IF(INDEX(REG_B_OK,1,C192+4)&lt;&gt;0,C192+4,IF(INDEX(REG_Axle_Diameter,1,C192+5)&lt;&gt;$A192,-2,IF(INDEX(REG_B_OK,1,C192+5)&lt;&gt;0,C192+5,IF(INDEX(REG_Axle_Diameter,1,C192+6)&lt;&gt;$A192,-2,IF(INDEX(REG_B_OK,1,C192+6)&lt;&gt;0,C192+6,IF(INDEX(REG_Axle_Diameter,1,C192+7)&lt;&gt;$A192,-2,IF(INDEX(REG_B_OK,1,C192+7)&lt;&gt;0,C192+7,IF(INDEX(REG_Axle_Diameter,1,C192+8)&lt;&gt;$A192,-2,IF(INDEX(REG_B_OK,1,C192+8)&lt;&gt;0,C192+8,IF(INDEX(REG_Axle_Diameter,1,C192+9)&lt;&gt;$A192,-2,IF(INDEX(REG_B_OK,1,C192+9)&lt;&gt;0,C192+9,IF(INDEX(REG_Axle_Diameter,1,C192+10)&lt;&gt;$A192,-2,C192+10)))))))))))))))))))))</f>
        <v>-3</v>
      </c>
      <c r="E192" s="711">
        <f t="shared" si="255"/>
        <v>-3</v>
      </c>
      <c r="F192" s="711">
        <f t="shared" si="255"/>
        <v>-3</v>
      </c>
      <c r="G192" s="711">
        <f t="shared" si="255"/>
        <v>-3</v>
      </c>
      <c r="H192" s="711">
        <f t="shared" si="255"/>
        <v>-3</v>
      </c>
      <c r="I192" s="711">
        <f t="shared" si="255"/>
        <v>-3</v>
      </c>
      <c r="J192" s="711">
        <f t="shared" si="255"/>
        <v>-3</v>
      </c>
      <c r="K192" s="711">
        <f t="shared" si="255"/>
        <v>-3</v>
      </c>
      <c r="L192" s="719">
        <f t="shared" si="255"/>
        <v>-3</v>
      </c>
    </row>
    <row r="193" spans="1:12" ht="15.95" customHeight="1">
      <c r="A193" s="106"/>
      <c r="B193" s="106"/>
      <c r="C193" s="712">
        <f t="shared" ref="C193:L193" si="256">IF(C194=0,0,INDEX(REG_Bearing_Type,1,C192))</f>
        <v>0</v>
      </c>
      <c r="D193" s="713">
        <f t="shared" si="256"/>
        <v>0</v>
      </c>
      <c r="E193" s="713">
        <f t="shared" si="256"/>
        <v>0</v>
      </c>
      <c r="F193" s="713">
        <f t="shared" si="256"/>
        <v>0</v>
      </c>
      <c r="G193" s="713">
        <f t="shared" si="256"/>
        <v>0</v>
      </c>
      <c r="H193" s="713">
        <f t="shared" si="256"/>
        <v>0</v>
      </c>
      <c r="I193" s="713">
        <f t="shared" si="256"/>
        <v>0</v>
      </c>
      <c r="J193" s="713">
        <f t="shared" si="256"/>
        <v>0</v>
      </c>
      <c r="K193" s="713">
        <f t="shared" si="256"/>
        <v>0</v>
      </c>
      <c r="L193" s="720">
        <f t="shared" si="256"/>
        <v>0</v>
      </c>
    </row>
    <row r="194" spans="1:12" ht="15.95" customHeight="1">
      <c r="A194" s="106"/>
      <c r="B194" s="106"/>
      <c r="C194" s="710">
        <f t="shared" ref="C194:L194" si="257">IF(C192&lt;0,0,INDEX(REG_B_OK,1,C192))</f>
        <v>0</v>
      </c>
      <c r="D194" s="711">
        <f t="shared" si="257"/>
        <v>0</v>
      </c>
      <c r="E194" s="711">
        <f t="shared" si="257"/>
        <v>0</v>
      </c>
      <c r="F194" s="711">
        <f t="shared" si="257"/>
        <v>0</v>
      </c>
      <c r="G194" s="711">
        <f t="shared" si="257"/>
        <v>0</v>
      </c>
      <c r="H194" s="711">
        <f t="shared" si="257"/>
        <v>0</v>
      </c>
      <c r="I194" s="711">
        <f t="shared" si="257"/>
        <v>0</v>
      </c>
      <c r="J194" s="711">
        <f t="shared" si="257"/>
        <v>0</v>
      </c>
      <c r="K194" s="711">
        <f t="shared" si="257"/>
        <v>0</v>
      </c>
      <c r="L194" s="719">
        <f t="shared" si="257"/>
        <v>0</v>
      </c>
    </row>
    <row r="195" spans="1:12" ht="15.95" customHeight="1">
      <c r="A195" s="106">
        <f>A192+5</f>
        <v>100</v>
      </c>
      <c r="B195" s="106">
        <f>MATCH($A195,REG_Axle_Diameter,0)</f>
        <v>81</v>
      </c>
      <c r="C195" s="714">
        <f>IF(ISERROR($B195),-3,IF(INDEX(REG_Axle_Diameter,1,B195)&lt;&gt;$A195,-2,IF(INDEX(REG_B_OK,1,B195)&lt;&gt;0,B195,IF(INDEX(REG_Axle_Diameter,1,B195+1)&lt;&gt;$A195,-2,IF(INDEX(REG_B_OK,1,B195+1)&lt;&gt;0,B195+1,IF(INDEX(REG_Axle_Diameter,1,B195+2)&lt;&gt;$A195,-2,IF(INDEX(REG_B_OK,1,B195+2)&lt;&gt;0,B195+2,IF(INDEX(REG_Axle_Diameter,1,B195+3)&lt;&gt;$A195,-2,IF(INDEX(REG_B_OK,1,B195+3)&lt;&gt;0,B195+3,IF(INDEX(REG_Axle_Diameter,1,B195+4)&lt;&gt;$A195,-2,IF(INDEX(REG_B_OK,1,B195+4)&lt;&gt;0,B195+4,IF(INDEX(REG_Axle_Diameter,1,B195+5)&lt;&gt;$A195,-2,IF(INDEX(REG_B_OK,1,B195+5)&lt;&gt;0,B195+5,IF(INDEX(REG_Axle_Diameter,1,B195+6)&lt;&gt;$A195,-2,IF(INDEX(REG_B_OK,1,B195+6)&lt;&gt;0,B195+6,IF(INDEX(REG_Axle_Diameter,1,B195+7)&lt;&gt;$A195,-2,IF(INDEX(REG_B_OK,1,B195+7)&lt;&gt;0,B195+7,IF(INDEX(REG_Axle_Diameter,1,B195+8)&lt;&gt;$A195,-2,IF(INDEX(REG_B_OK,1,B195+8)&lt;&gt;0,B195+8,IF(INDEX(REG_Axle_Diameter,1,B195+9)&lt;&gt;$A195,-2,IF(INDEX(REG_B_OK,1,B195+9)&lt;&gt;0,B195+9,IF(INDEX(REG_Axle_Diameter,1,B195+10)&lt;&gt;$A195,-2,B195+10))))))))))))))))))))))</f>
        <v>-2</v>
      </c>
      <c r="D195" s="710">
        <f t="shared" ref="D195:L195" si="258">IF(ISERROR($B195),-3,IF(C195=-2,-2,IF(INDEX(REG_Axle_Diameter,1,C195+1)&lt;&gt;$A195,-2,IF(INDEX(REG_B_OK,1,C195+1)&lt;&gt;0,C195+1,IF(INDEX(REG_Axle_Diameter,1,C195+2)&lt;&gt;$A195,-2,IF(INDEX(REG_B_OK,1,C195+2)&lt;&gt;0,C195+2,IF(INDEX(REG_Axle_Diameter,1,C195+3)&lt;&gt;$A195,-2,IF(INDEX(REG_B_OK,1,C195+3)&lt;&gt;0,C195+3,IF(INDEX(REG_Axle_Diameter,1,C195+4)&lt;&gt;$A195,-2,IF(INDEX(REG_B_OK,1,C195+4)&lt;&gt;0,C195+4,IF(INDEX(REG_Axle_Diameter,1,C195+5)&lt;&gt;$A195,-2,IF(INDEX(REG_B_OK,1,C195+5)&lt;&gt;0,C195+5,IF(INDEX(REG_Axle_Diameter,1,C195+6)&lt;&gt;$A195,-2,IF(INDEX(REG_B_OK,1,C195+6)&lt;&gt;0,C195+6,IF(INDEX(REG_Axle_Diameter,1,C195+7)&lt;&gt;$A195,-2,IF(INDEX(REG_B_OK,1,C195+7)&lt;&gt;0,C195+7,IF(INDEX(REG_Axle_Diameter,1,C195+8)&lt;&gt;$A195,-2,IF(INDEX(REG_B_OK,1,C195+8)&lt;&gt;0,C195+8,IF(INDEX(REG_Axle_Diameter,1,C195+9)&lt;&gt;$A195,-2,IF(INDEX(REG_B_OK,1,C195+9)&lt;&gt;0,C195+9,IF(INDEX(REG_Axle_Diameter,1,C195+10)&lt;&gt;$A195,-2,C195+10)))))))))))))))))))))</f>
        <v>-2</v>
      </c>
      <c r="E195" s="711">
        <f t="shared" si="258"/>
        <v>-2</v>
      </c>
      <c r="F195" s="711">
        <f t="shared" si="258"/>
        <v>-2</v>
      </c>
      <c r="G195" s="711">
        <f t="shared" si="258"/>
        <v>-2</v>
      </c>
      <c r="H195" s="711">
        <f t="shared" si="258"/>
        <v>-2</v>
      </c>
      <c r="I195" s="711">
        <f t="shared" si="258"/>
        <v>-2</v>
      </c>
      <c r="J195" s="711">
        <f t="shared" si="258"/>
        <v>-2</v>
      </c>
      <c r="K195" s="711">
        <f t="shared" si="258"/>
        <v>-2</v>
      </c>
      <c r="L195" s="719">
        <f t="shared" si="258"/>
        <v>-2</v>
      </c>
    </row>
    <row r="196" spans="1:12" ht="15.95" customHeight="1">
      <c r="A196" s="106"/>
      <c r="B196" s="106"/>
      <c r="C196" s="712">
        <f t="shared" ref="C196:L196" si="259">IF(C197=0,0,INDEX(REG_Bearing_Type,1,C195))</f>
        <v>0</v>
      </c>
      <c r="D196" s="713">
        <f t="shared" si="259"/>
        <v>0</v>
      </c>
      <c r="E196" s="713">
        <f t="shared" si="259"/>
        <v>0</v>
      </c>
      <c r="F196" s="713">
        <f t="shared" si="259"/>
        <v>0</v>
      </c>
      <c r="G196" s="713">
        <f t="shared" si="259"/>
        <v>0</v>
      </c>
      <c r="H196" s="713">
        <f t="shared" si="259"/>
        <v>0</v>
      </c>
      <c r="I196" s="713">
        <f t="shared" si="259"/>
        <v>0</v>
      </c>
      <c r="J196" s="713">
        <f t="shared" si="259"/>
        <v>0</v>
      </c>
      <c r="K196" s="713">
        <f t="shared" si="259"/>
        <v>0</v>
      </c>
      <c r="L196" s="720">
        <f t="shared" si="259"/>
        <v>0</v>
      </c>
    </row>
    <row r="197" spans="1:12" ht="15.95" customHeight="1">
      <c r="A197" s="106"/>
      <c r="B197" s="106"/>
      <c r="C197" s="710">
        <f t="shared" ref="C197:L197" si="260">IF(C195&lt;0,0,INDEX(REG_B_OK,1,C195))</f>
        <v>0</v>
      </c>
      <c r="D197" s="711">
        <f t="shared" si="260"/>
        <v>0</v>
      </c>
      <c r="E197" s="711">
        <f t="shared" si="260"/>
        <v>0</v>
      </c>
      <c r="F197" s="711">
        <f t="shared" si="260"/>
        <v>0</v>
      </c>
      <c r="G197" s="711">
        <f t="shared" si="260"/>
        <v>0</v>
      </c>
      <c r="H197" s="711">
        <f t="shared" si="260"/>
        <v>0</v>
      </c>
      <c r="I197" s="711">
        <f t="shared" si="260"/>
        <v>0</v>
      </c>
      <c r="J197" s="711">
        <f t="shared" si="260"/>
        <v>0</v>
      </c>
      <c r="K197" s="711">
        <f t="shared" si="260"/>
        <v>0</v>
      </c>
      <c r="L197" s="719">
        <f t="shared" si="260"/>
        <v>0</v>
      </c>
    </row>
    <row r="198" spans="1:12" ht="15.95" customHeight="1">
      <c r="A198" s="106">
        <f>A195+5</f>
        <v>105</v>
      </c>
      <c r="B198" s="106" t="e">
        <f>MATCH($A198,REG_Axle_Diameter,0)</f>
        <v>#N/A</v>
      </c>
      <c r="C198" s="714">
        <f>IF(ISERROR($B198),-3,IF(INDEX(REG_Axle_Diameter,1,B198)&lt;&gt;$A198,-2,IF(INDEX(REG_B_OK,1,B198)&lt;&gt;0,B198,IF(INDEX(REG_Axle_Diameter,1,B198+1)&lt;&gt;$A198,-2,IF(INDEX(REG_B_OK,1,B198+1)&lt;&gt;0,B198+1,IF(INDEX(REG_Axle_Diameter,1,B198+2)&lt;&gt;$A198,-2,IF(INDEX(REG_B_OK,1,B198+2)&lt;&gt;0,B198+2,IF(INDEX(REG_Axle_Diameter,1,B198+3)&lt;&gt;$A198,-2,IF(INDEX(REG_B_OK,1,B198+3)&lt;&gt;0,B198+3,IF(INDEX(REG_Axle_Diameter,1,B198+4)&lt;&gt;$A198,-2,IF(INDEX(REG_B_OK,1,B198+4)&lt;&gt;0,B198+4,IF(INDEX(REG_Axle_Diameter,1,B198+5)&lt;&gt;$A198,-2,IF(INDEX(REG_B_OK,1,B198+5)&lt;&gt;0,B198+5,IF(INDEX(REG_Axle_Diameter,1,B198+6)&lt;&gt;$A198,-2,IF(INDEX(REG_B_OK,1,B198+6)&lt;&gt;0,B198+6,IF(INDEX(REG_Axle_Diameter,1,B198+7)&lt;&gt;$A198,-2,IF(INDEX(REG_B_OK,1,B198+7)&lt;&gt;0,B198+7,IF(INDEX(REG_Axle_Diameter,1,B198+8)&lt;&gt;$A198,-2,IF(INDEX(REG_B_OK,1,B198+8)&lt;&gt;0,B198+8,IF(INDEX(REG_Axle_Diameter,1,B198+9)&lt;&gt;$A198,-2,IF(INDEX(REG_B_OK,1,B198+9)&lt;&gt;0,B198+9,IF(INDEX(REG_Axle_Diameter,1,B198+10)&lt;&gt;$A198,-2,B198+10))))))))))))))))))))))</f>
        <v>-3</v>
      </c>
      <c r="D198" s="710">
        <f t="shared" ref="D198:L198" si="261">IF(ISERROR($B198),-3,IF(C198=-2,-2,IF(INDEX(REG_Axle_Diameter,1,C198+1)&lt;&gt;$A198,-2,IF(INDEX(REG_B_OK,1,C198+1)&lt;&gt;0,C198+1,IF(INDEX(REG_Axle_Diameter,1,C198+2)&lt;&gt;$A198,-2,IF(INDEX(REG_B_OK,1,C198+2)&lt;&gt;0,C198+2,IF(INDEX(REG_Axle_Diameter,1,C198+3)&lt;&gt;$A198,-2,IF(INDEX(REG_B_OK,1,C198+3)&lt;&gt;0,C198+3,IF(INDEX(REG_Axle_Diameter,1,C198+4)&lt;&gt;$A198,-2,IF(INDEX(REG_B_OK,1,C198+4)&lt;&gt;0,C198+4,IF(INDEX(REG_Axle_Diameter,1,C198+5)&lt;&gt;$A198,-2,IF(INDEX(REG_B_OK,1,C198+5)&lt;&gt;0,C198+5,IF(INDEX(REG_Axle_Diameter,1,C198+6)&lt;&gt;$A198,-2,IF(INDEX(REG_B_OK,1,C198+6)&lt;&gt;0,C198+6,IF(INDEX(REG_Axle_Diameter,1,C198+7)&lt;&gt;$A198,-2,IF(INDEX(REG_B_OK,1,C198+7)&lt;&gt;0,C198+7,IF(INDEX(REG_Axle_Diameter,1,C198+8)&lt;&gt;$A198,-2,IF(INDEX(REG_B_OK,1,C198+8)&lt;&gt;0,C198+8,IF(INDEX(REG_Axle_Diameter,1,C198+9)&lt;&gt;$A198,-2,IF(INDEX(REG_B_OK,1,C198+9)&lt;&gt;0,C198+9,IF(INDEX(REG_Axle_Diameter,1,C198+10)&lt;&gt;$A198,-2,C198+10)))))))))))))))))))))</f>
        <v>-3</v>
      </c>
      <c r="E198" s="711">
        <f t="shared" si="261"/>
        <v>-3</v>
      </c>
      <c r="F198" s="711">
        <f t="shared" si="261"/>
        <v>-3</v>
      </c>
      <c r="G198" s="711">
        <f t="shared" si="261"/>
        <v>-3</v>
      </c>
      <c r="H198" s="711">
        <f t="shared" si="261"/>
        <v>-3</v>
      </c>
      <c r="I198" s="711">
        <f t="shared" si="261"/>
        <v>-3</v>
      </c>
      <c r="J198" s="711">
        <f t="shared" si="261"/>
        <v>-3</v>
      </c>
      <c r="K198" s="711">
        <f t="shared" si="261"/>
        <v>-3</v>
      </c>
      <c r="L198" s="719">
        <f t="shared" si="261"/>
        <v>-3</v>
      </c>
    </row>
    <row r="199" spans="1:12" ht="15.95" customHeight="1">
      <c r="A199" s="106"/>
      <c r="B199" s="106"/>
      <c r="C199" s="712">
        <f t="shared" ref="C199:L199" si="262">IF(C200=0,0,INDEX(REG_Bearing_Type,1,C198))</f>
        <v>0</v>
      </c>
      <c r="D199" s="713">
        <f t="shared" si="262"/>
        <v>0</v>
      </c>
      <c r="E199" s="713">
        <f t="shared" si="262"/>
        <v>0</v>
      </c>
      <c r="F199" s="713">
        <f t="shared" si="262"/>
        <v>0</v>
      </c>
      <c r="G199" s="713">
        <f t="shared" si="262"/>
        <v>0</v>
      </c>
      <c r="H199" s="713">
        <f t="shared" si="262"/>
        <v>0</v>
      </c>
      <c r="I199" s="713">
        <f t="shared" si="262"/>
        <v>0</v>
      </c>
      <c r="J199" s="713">
        <f t="shared" si="262"/>
        <v>0</v>
      </c>
      <c r="K199" s="713">
        <f t="shared" si="262"/>
        <v>0</v>
      </c>
      <c r="L199" s="720">
        <f t="shared" si="262"/>
        <v>0</v>
      </c>
    </row>
    <row r="200" spans="1:12" ht="15.95" customHeight="1">
      <c r="A200" s="106"/>
      <c r="B200" s="106"/>
      <c r="C200" s="710">
        <f t="shared" ref="C200:L200" si="263">IF(C198&lt;0,0,INDEX(REG_B_OK,1,C198))</f>
        <v>0</v>
      </c>
      <c r="D200" s="711">
        <f t="shared" si="263"/>
        <v>0</v>
      </c>
      <c r="E200" s="711">
        <f t="shared" si="263"/>
        <v>0</v>
      </c>
      <c r="F200" s="711">
        <f t="shared" si="263"/>
        <v>0</v>
      </c>
      <c r="G200" s="711">
        <f t="shared" si="263"/>
        <v>0</v>
      </c>
      <c r="H200" s="711">
        <f t="shared" si="263"/>
        <v>0</v>
      </c>
      <c r="I200" s="711">
        <f t="shared" si="263"/>
        <v>0</v>
      </c>
      <c r="J200" s="711">
        <f t="shared" si="263"/>
        <v>0</v>
      </c>
      <c r="K200" s="711">
        <f t="shared" si="263"/>
        <v>0</v>
      </c>
      <c r="L200" s="719">
        <f t="shared" si="263"/>
        <v>0</v>
      </c>
    </row>
    <row r="201" spans="1:12" ht="15.95" customHeight="1">
      <c r="A201" s="106">
        <f>A198+5</f>
        <v>110</v>
      </c>
      <c r="B201" s="106">
        <f>MATCH($A201,REG_Axle_Diameter,0)</f>
        <v>88</v>
      </c>
      <c r="C201" s="714">
        <f>IF(ISERROR($B201),-3,IF(INDEX(REG_Axle_Diameter,1,B201)&lt;&gt;$A201,-2,IF(INDEX(REG_B_OK,1,B201)&lt;&gt;0,B201,IF(INDEX(REG_Axle_Diameter,1,B201+1)&lt;&gt;$A201,-2,IF(INDEX(REG_B_OK,1,B201+1)&lt;&gt;0,B201+1,IF(INDEX(REG_Axle_Diameter,1,B201+2)&lt;&gt;$A201,-2,IF(INDEX(REG_B_OK,1,B201+2)&lt;&gt;0,B201+2,IF(INDEX(REG_Axle_Diameter,1,B201+3)&lt;&gt;$A201,-2,IF(INDEX(REG_B_OK,1,B201+3)&lt;&gt;0,B201+3,IF(INDEX(REG_Axle_Diameter,1,B201+4)&lt;&gt;$A201,-2,IF(INDEX(REG_B_OK,1,B201+4)&lt;&gt;0,B201+4,IF(INDEX(REG_Axle_Diameter,1,B201+5)&lt;&gt;$A201,-2,IF(INDEX(REG_B_OK,1,B201+5)&lt;&gt;0,B201+5,IF(INDEX(REG_Axle_Diameter,1,B201+6)&lt;&gt;$A201,-2,IF(INDEX(REG_B_OK,1,B201+6)&lt;&gt;0,B201+6,IF(INDEX(REG_Axle_Diameter,1,B201+7)&lt;&gt;$A201,-2,IF(INDEX(REG_B_OK,1,B201+7)&lt;&gt;0,B201+7,IF(INDEX(REG_Axle_Diameter,1,B201+8)&lt;&gt;$A201,-2,IF(INDEX(REG_B_OK,1,B201+8)&lt;&gt;0,B201+8,IF(INDEX(REG_Axle_Diameter,1,B201+9)&lt;&gt;$A201,-2,IF(INDEX(REG_B_OK,1,B201+9)&lt;&gt;0,B201+9,IF(INDEX(REG_Axle_Diameter,1,B201+10)&lt;&gt;$A201,-2,B201+10))))))))))))))))))))))</f>
        <v>-2</v>
      </c>
      <c r="D201" s="710">
        <f t="shared" ref="D201:L201" si="264">IF(ISERROR($B201),-3,IF(C201=-2,-2,IF(INDEX(REG_Axle_Diameter,1,C201+1)&lt;&gt;$A201,-2,IF(INDEX(REG_B_OK,1,C201+1)&lt;&gt;0,C201+1,IF(INDEX(REG_Axle_Diameter,1,C201+2)&lt;&gt;$A201,-2,IF(INDEX(REG_B_OK,1,C201+2)&lt;&gt;0,C201+2,IF(INDEX(REG_Axle_Diameter,1,C201+3)&lt;&gt;$A201,-2,IF(INDEX(REG_B_OK,1,C201+3)&lt;&gt;0,C201+3,IF(INDEX(REG_Axle_Diameter,1,C201+4)&lt;&gt;$A201,-2,IF(INDEX(REG_B_OK,1,C201+4)&lt;&gt;0,C201+4,IF(INDEX(REG_Axle_Diameter,1,C201+5)&lt;&gt;$A201,-2,IF(INDEX(REG_B_OK,1,C201+5)&lt;&gt;0,C201+5,IF(INDEX(REG_Axle_Diameter,1,C201+6)&lt;&gt;$A201,-2,IF(INDEX(REG_B_OK,1,C201+6)&lt;&gt;0,C201+6,IF(INDEX(REG_Axle_Diameter,1,C201+7)&lt;&gt;$A201,-2,IF(INDEX(REG_B_OK,1,C201+7)&lt;&gt;0,C201+7,IF(INDEX(REG_Axle_Diameter,1,C201+8)&lt;&gt;$A201,-2,IF(INDEX(REG_B_OK,1,C201+8)&lt;&gt;0,C201+8,IF(INDEX(REG_Axle_Diameter,1,C201+9)&lt;&gt;$A201,-2,IF(INDEX(REG_B_OK,1,C201+9)&lt;&gt;0,C201+9,IF(INDEX(REG_Axle_Diameter,1,C201+10)&lt;&gt;$A201,-2,C201+10)))))))))))))))))))))</f>
        <v>-2</v>
      </c>
      <c r="E201" s="711">
        <f t="shared" si="264"/>
        <v>-2</v>
      </c>
      <c r="F201" s="711">
        <f t="shared" si="264"/>
        <v>-2</v>
      </c>
      <c r="G201" s="711">
        <f t="shared" si="264"/>
        <v>-2</v>
      </c>
      <c r="H201" s="711">
        <f t="shared" si="264"/>
        <v>-2</v>
      </c>
      <c r="I201" s="711">
        <f t="shared" si="264"/>
        <v>-2</v>
      </c>
      <c r="J201" s="711">
        <f t="shared" si="264"/>
        <v>-2</v>
      </c>
      <c r="K201" s="711">
        <f t="shared" si="264"/>
        <v>-2</v>
      </c>
      <c r="L201" s="719">
        <f t="shared" si="264"/>
        <v>-2</v>
      </c>
    </row>
    <row r="202" spans="1:12" ht="15.95" customHeight="1">
      <c r="A202" s="106"/>
      <c r="B202" s="106"/>
      <c r="C202" s="712">
        <f t="shared" ref="C202:L202" si="265">IF(C203=0,0,INDEX(REG_Bearing_Type,1,C201))</f>
        <v>0</v>
      </c>
      <c r="D202" s="713">
        <f t="shared" si="265"/>
        <v>0</v>
      </c>
      <c r="E202" s="713">
        <f t="shared" si="265"/>
        <v>0</v>
      </c>
      <c r="F202" s="713">
        <f t="shared" si="265"/>
        <v>0</v>
      </c>
      <c r="G202" s="713">
        <f t="shared" si="265"/>
        <v>0</v>
      </c>
      <c r="H202" s="713">
        <f t="shared" si="265"/>
        <v>0</v>
      </c>
      <c r="I202" s="713">
        <f t="shared" si="265"/>
        <v>0</v>
      </c>
      <c r="J202" s="713">
        <f t="shared" si="265"/>
        <v>0</v>
      </c>
      <c r="K202" s="713">
        <f t="shared" si="265"/>
        <v>0</v>
      </c>
      <c r="L202" s="720">
        <f t="shared" si="265"/>
        <v>0</v>
      </c>
    </row>
    <row r="203" spans="1:12" ht="15.95" customHeight="1">
      <c r="A203" s="106"/>
      <c r="B203" s="106"/>
      <c r="C203" s="710">
        <f t="shared" ref="C203:L203" si="266">IF(C201&lt;0,0,INDEX(REG_B_OK,1,C201))</f>
        <v>0</v>
      </c>
      <c r="D203" s="711">
        <f t="shared" si="266"/>
        <v>0</v>
      </c>
      <c r="E203" s="711">
        <f t="shared" si="266"/>
        <v>0</v>
      </c>
      <c r="F203" s="711">
        <f t="shared" si="266"/>
        <v>0</v>
      </c>
      <c r="G203" s="711">
        <f t="shared" si="266"/>
        <v>0</v>
      </c>
      <c r="H203" s="711">
        <f t="shared" si="266"/>
        <v>0</v>
      </c>
      <c r="I203" s="711">
        <f t="shared" si="266"/>
        <v>0</v>
      </c>
      <c r="J203" s="711">
        <f t="shared" si="266"/>
        <v>0</v>
      </c>
      <c r="K203" s="711">
        <f t="shared" si="266"/>
        <v>0</v>
      </c>
      <c r="L203" s="719">
        <f t="shared" si="266"/>
        <v>0</v>
      </c>
    </row>
    <row r="204" spans="1:12" ht="15.95" customHeight="1">
      <c r="A204" s="106">
        <f>A201+5</f>
        <v>115</v>
      </c>
      <c r="B204" s="106">
        <f>MATCH($A204,REG_Axle_Diameter,0)</f>
        <v>91</v>
      </c>
      <c r="C204" s="714">
        <f>IF(ISERROR($B204),-3,IF(INDEX(REG_Axle_Diameter,1,B204)&lt;&gt;$A204,-2,IF(INDEX(REG_B_OK,1,B204)&lt;&gt;0,B204,IF(INDEX(REG_Axle_Diameter,1,B204+1)&lt;&gt;$A204,-2,IF(INDEX(REG_B_OK,1,B204+1)&lt;&gt;0,B204+1,IF(INDEX(REG_Axle_Diameter,1,B204+2)&lt;&gt;$A204,-2,IF(INDEX(REG_B_OK,1,B204+2)&lt;&gt;0,B204+2,IF(INDEX(REG_Axle_Diameter,1,B204+3)&lt;&gt;$A204,-2,IF(INDEX(REG_B_OK,1,B204+3)&lt;&gt;0,B204+3,IF(INDEX(REG_Axle_Diameter,1,B204+4)&lt;&gt;$A204,-2,IF(INDEX(REG_B_OK,1,B204+4)&lt;&gt;0,B204+4,IF(INDEX(REG_Axle_Diameter,1,B204+5)&lt;&gt;$A204,-2,IF(INDEX(REG_B_OK,1,B204+5)&lt;&gt;0,B204+5,IF(INDEX(REG_Axle_Diameter,1,B204+6)&lt;&gt;$A204,-2,IF(INDEX(REG_B_OK,1,B204+6)&lt;&gt;0,B204+6,IF(INDEX(REG_Axle_Diameter,1,B204+7)&lt;&gt;$A204,-2,IF(INDEX(REG_B_OK,1,B204+7)&lt;&gt;0,B204+7,IF(INDEX(REG_Axle_Diameter,1,B204+8)&lt;&gt;$A204,-2,IF(INDEX(REG_B_OK,1,B204+8)&lt;&gt;0,B204+8,IF(INDEX(REG_Axle_Diameter,1,B204+9)&lt;&gt;$A204,-2,IF(INDEX(REG_B_OK,1,B204+9)&lt;&gt;0,B204+9,IF(INDEX(REG_Axle_Diameter,1,B204+10)&lt;&gt;$A204,-2,B204+10))))))))))))))))))))))</f>
        <v>-2</v>
      </c>
      <c r="D204" s="710">
        <f t="shared" ref="D204:L204" si="267">IF(ISERROR($B204),-3,IF(C204=-2,-2,IF(INDEX(REG_Axle_Diameter,1,C204+1)&lt;&gt;$A204,-2,IF(INDEX(REG_B_OK,1,C204+1)&lt;&gt;0,C204+1,IF(INDEX(REG_Axle_Diameter,1,C204+2)&lt;&gt;$A204,-2,IF(INDEX(REG_B_OK,1,C204+2)&lt;&gt;0,C204+2,IF(INDEX(REG_Axle_Diameter,1,C204+3)&lt;&gt;$A204,-2,IF(INDEX(REG_B_OK,1,C204+3)&lt;&gt;0,C204+3,IF(INDEX(REG_Axle_Diameter,1,C204+4)&lt;&gt;$A204,-2,IF(INDEX(REG_B_OK,1,C204+4)&lt;&gt;0,C204+4,IF(INDEX(REG_Axle_Diameter,1,C204+5)&lt;&gt;$A204,-2,IF(INDEX(REG_B_OK,1,C204+5)&lt;&gt;0,C204+5,IF(INDEX(REG_Axle_Diameter,1,C204+6)&lt;&gt;$A204,-2,IF(INDEX(REG_B_OK,1,C204+6)&lt;&gt;0,C204+6,IF(INDEX(REG_Axle_Diameter,1,C204+7)&lt;&gt;$A204,-2,IF(INDEX(REG_B_OK,1,C204+7)&lt;&gt;0,C204+7,IF(INDEX(REG_Axle_Diameter,1,C204+8)&lt;&gt;$A204,-2,IF(INDEX(REG_B_OK,1,C204+8)&lt;&gt;0,C204+8,IF(INDEX(REG_Axle_Diameter,1,C204+9)&lt;&gt;$A204,-2,IF(INDEX(REG_B_OK,1,C204+9)&lt;&gt;0,C204+9,IF(INDEX(REG_Axle_Diameter,1,C204+10)&lt;&gt;$A204,-2,C204+10)))))))))))))))))))))</f>
        <v>-2</v>
      </c>
      <c r="E204" s="711">
        <f t="shared" si="267"/>
        <v>-2</v>
      </c>
      <c r="F204" s="711">
        <f t="shared" si="267"/>
        <v>-2</v>
      </c>
      <c r="G204" s="711">
        <f t="shared" si="267"/>
        <v>-2</v>
      </c>
      <c r="H204" s="711">
        <f t="shared" si="267"/>
        <v>-2</v>
      </c>
      <c r="I204" s="711">
        <f t="shared" si="267"/>
        <v>-2</v>
      </c>
      <c r="J204" s="711">
        <f t="shared" si="267"/>
        <v>-2</v>
      </c>
      <c r="K204" s="711">
        <f t="shared" si="267"/>
        <v>-2</v>
      </c>
      <c r="L204" s="719">
        <f t="shared" si="267"/>
        <v>-2</v>
      </c>
    </row>
    <row r="205" spans="1:12" ht="15.95" customHeight="1">
      <c r="A205" s="106"/>
      <c r="B205" s="106"/>
      <c r="C205" s="712">
        <f t="shared" ref="C205:L205" si="268">IF(C206=0,0,INDEX(REG_Bearing_Type,1,C204))</f>
        <v>0</v>
      </c>
      <c r="D205" s="713">
        <f t="shared" si="268"/>
        <v>0</v>
      </c>
      <c r="E205" s="713">
        <f t="shared" si="268"/>
        <v>0</v>
      </c>
      <c r="F205" s="713">
        <f t="shared" si="268"/>
        <v>0</v>
      </c>
      <c r="G205" s="713">
        <f t="shared" si="268"/>
        <v>0</v>
      </c>
      <c r="H205" s="713">
        <f t="shared" si="268"/>
        <v>0</v>
      </c>
      <c r="I205" s="713">
        <f t="shared" si="268"/>
        <v>0</v>
      </c>
      <c r="J205" s="713">
        <f t="shared" si="268"/>
        <v>0</v>
      </c>
      <c r="K205" s="713">
        <f t="shared" si="268"/>
        <v>0</v>
      </c>
      <c r="L205" s="720">
        <f t="shared" si="268"/>
        <v>0</v>
      </c>
    </row>
    <row r="206" spans="1:12" ht="15.95" customHeight="1">
      <c r="A206" s="106"/>
      <c r="B206" s="106"/>
      <c r="C206" s="710">
        <f t="shared" ref="C206:L206" si="269">IF(C204&lt;0,0,INDEX(REG_B_OK,1,C204))</f>
        <v>0</v>
      </c>
      <c r="D206" s="711">
        <f t="shared" si="269"/>
        <v>0</v>
      </c>
      <c r="E206" s="711">
        <f t="shared" si="269"/>
        <v>0</v>
      </c>
      <c r="F206" s="711">
        <f t="shared" si="269"/>
        <v>0</v>
      </c>
      <c r="G206" s="711">
        <f t="shared" si="269"/>
        <v>0</v>
      </c>
      <c r="H206" s="711">
        <f t="shared" si="269"/>
        <v>0</v>
      </c>
      <c r="I206" s="711">
        <f t="shared" si="269"/>
        <v>0</v>
      </c>
      <c r="J206" s="711">
        <f t="shared" si="269"/>
        <v>0</v>
      </c>
      <c r="K206" s="711">
        <f t="shared" si="269"/>
        <v>0</v>
      </c>
      <c r="L206" s="719">
        <f t="shared" si="269"/>
        <v>0</v>
      </c>
    </row>
    <row r="207" spans="1:12" ht="15.95" customHeight="1">
      <c r="A207" s="106">
        <f>A204+5</f>
        <v>120</v>
      </c>
      <c r="B207" s="106" t="e">
        <f>MATCH($A207,REG_Axle_Diameter,0)</f>
        <v>#N/A</v>
      </c>
      <c r="C207" s="714">
        <f>IF(ISERROR($B207),-3,IF(INDEX(REG_Axle_Diameter,1,B207)&lt;&gt;$A207,-2,IF(INDEX(REG_B_OK,1,B207)&lt;&gt;0,B207,IF(INDEX(REG_Axle_Diameter,1,B207+1)&lt;&gt;$A207,-2,IF(INDEX(REG_B_OK,1,B207+1)&lt;&gt;0,B207+1,IF(INDEX(REG_Axle_Diameter,1,B207+2)&lt;&gt;$A207,-2,IF(INDEX(REG_B_OK,1,B207+2)&lt;&gt;0,B207+2,IF(INDEX(REG_Axle_Diameter,1,B207+3)&lt;&gt;$A207,-2,IF(INDEX(REG_B_OK,1,B207+3)&lt;&gt;0,B207+3,IF(INDEX(REG_Axle_Diameter,1,B207+4)&lt;&gt;$A207,-2,IF(INDEX(REG_B_OK,1,B207+4)&lt;&gt;0,B207+4,IF(INDEX(REG_Axle_Diameter,1,B207+5)&lt;&gt;$A207,-2,IF(INDEX(REG_B_OK,1,B207+5)&lt;&gt;0,B207+5,IF(INDEX(REG_Axle_Diameter,1,B207+6)&lt;&gt;$A207,-2,IF(INDEX(REG_B_OK,1,B207+6)&lt;&gt;0,B207+6,IF(INDEX(REG_Axle_Diameter,1,B207+7)&lt;&gt;$A207,-2,IF(INDEX(REG_B_OK,1,B207+7)&lt;&gt;0,B207+7,IF(INDEX(REG_Axle_Diameter,1,B207+8)&lt;&gt;$A207,-2,IF(INDEX(REG_B_OK,1,B207+8)&lt;&gt;0,B207+8,IF(INDEX(REG_Axle_Diameter,1,B207+9)&lt;&gt;$A207,-2,IF(INDEX(REG_B_OK,1,B207+9)&lt;&gt;0,B207+9,IF(INDEX(REG_Axle_Diameter,1,B207+10)&lt;&gt;$A207,-2,B207+10))))))))))))))))))))))</f>
        <v>-3</v>
      </c>
      <c r="D207" s="710">
        <f t="shared" ref="D207:L207" si="270">IF(ISERROR($B207),-3,IF(C207=-2,-2,IF(INDEX(REG_Axle_Diameter,1,C207+1)&lt;&gt;$A207,-2,IF(INDEX(REG_B_OK,1,C207+1)&lt;&gt;0,C207+1,IF(INDEX(REG_Axle_Diameter,1,C207+2)&lt;&gt;$A207,-2,IF(INDEX(REG_B_OK,1,C207+2)&lt;&gt;0,C207+2,IF(INDEX(REG_Axle_Diameter,1,C207+3)&lt;&gt;$A207,-2,IF(INDEX(REG_B_OK,1,C207+3)&lt;&gt;0,C207+3,IF(INDEX(REG_Axle_Diameter,1,C207+4)&lt;&gt;$A207,-2,IF(INDEX(REG_B_OK,1,C207+4)&lt;&gt;0,C207+4,IF(INDEX(REG_Axle_Diameter,1,C207+5)&lt;&gt;$A207,-2,IF(INDEX(REG_B_OK,1,C207+5)&lt;&gt;0,C207+5,IF(INDEX(REG_Axle_Diameter,1,C207+6)&lt;&gt;$A207,-2,IF(INDEX(REG_B_OK,1,C207+6)&lt;&gt;0,C207+6,IF(INDEX(REG_Axle_Diameter,1,C207+7)&lt;&gt;$A207,-2,IF(INDEX(REG_B_OK,1,C207+7)&lt;&gt;0,C207+7,IF(INDEX(REG_Axle_Diameter,1,C207+8)&lt;&gt;$A207,-2,IF(INDEX(REG_B_OK,1,C207+8)&lt;&gt;0,C207+8,IF(INDEX(REG_Axle_Diameter,1,C207+9)&lt;&gt;$A207,-2,IF(INDEX(REG_B_OK,1,C207+9)&lt;&gt;0,C207+9,IF(INDEX(REG_Axle_Diameter,1,C207+10)&lt;&gt;$A207,-2,C207+10)))))))))))))))))))))</f>
        <v>-3</v>
      </c>
      <c r="E207" s="711">
        <f t="shared" si="270"/>
        <v>-3</v>
      </c>
      <c r="F207" s="711">
        <f t="shared" si="270"/>
        <v>-3</v>
      </c>
      <c r="G207" s="711">
        <f t="shared" si="270"/>
        <v>-3</v>
      </c>
      <c r="H207" s="711">
        <f t="shared" si="270"/>
        <v>-3</v>
      </c>
      <c r="I207" s="711">
        <f t="shared" si="270"/>
        <v>-3</v>
      </c>
      <c r="J207" s="711">
        <f t="shared" si="270"/>
        <v>-3</v>
      </c>
      <c r="K207" s="711">
        <f t="shared" si="270"/>
        <v>-3</v>
      </c>
      <c r="L207" s="719">
        <f t="shared" si="270"/>
        <v>-3</v>
      </c>
    </row>
    <row r="208" spans="1:12" ht="15.95" customHeight="1">
      <c r="A208" s="106"/>
      <c r="B208" s="106"/>
      <c r="C208" s="712">
        <f t="shared" ref="C208:L208" si="271">IF(C209=0,0,INDEX(REG_Bearing_Type,1,C207))</f>
        <v>0</v>
      </c>
      <c r="D208" s="713">
        <f t="shared" si="271"/>
        <v>0</v>
      </c>
      <c r="E208" s="713">
        <f t="shared" si="271"/>
        <v>0</v>
      </c>
      <c r="F208" s="713">
        <f t="shared" si="271"/>
        <v>0</v>
      </c>
      <c r="G208" s="713">
        <f t="shared" si="271"/>
        <v>0</v>
      </c>
      <c r="H208" s="713">
        <f t="shared" si="271"/>
        <v>0</v>
      </c>
      <c r="I208" s="713">
        <f t="shared" si="271"/>
        <v>0</v>
      </c>
      <c r="J208" s="713">
        <f t="shared" si="271"/>
        <v>0</v>
      </c>
      <c r="K208" s="713">
        <f t="shared" si="271"/>
        <v>0</v>
      </c>
      <c r="L208" s="720">
        <f t="shared" si="271"/>
        <v>0</v>
      </c>
    </row>
    <row r="209" spans="1:12" ht="15.95" customHeight="1">
      <c r="A209" s="106"/>
      <c r="B209" s="106"/>
      <c r="C209" s="710">
        <f t="shared" ref="C209:L209" si="272">IF(C207&lt;0,0,INDEX(REG_B_OK,1,C207))</f>
        <v>0</v>
      </c>
      <c r="D209" s="711">
        <f t="shared" si="272"/>
        <v>0</v>
      </c>
      <c r="E209" s="711">
        <f t="shared" si="272"/>
        <v>0</v>
      </c>
      <c r="F209" s="711">
        <f t="shared" si="272"/>
        <v>0</v>
      </c>
      <c r="G209" s="711">
        <f t="shared" si="272"/>
        <v>0</v>
      </c>
      <c r="H209" s="711">
        <f t="shared" si="272"/>
        <v>0</v>
      </c>
      <c r="I209" s="711">
        <f t="shared" si="272"/>
        <v>0</v>
      </c>
      <c r="J209" s="711">
        <f t="shared" si="272"/>
        <v>0</v>
      </c>
      <c r="K209" s="711">
        <f t="shared" si="272"/>
        <v>0</v>
      </c>
      <c r="L209" s="719">
        <f t="shared" si="272"/>
        <v>0</v>
      </c>
    </row>
    <row r="210" spans="1:12" ht="15.95" customHeight="1">
      <c r="A210" s="106">
        <f>A207+5</f>
        <v>125</v>
      </c>
      <c r="B210" s="106">
        <f>MATCH($A210,REG_Axle_Diameter,0)</f>
        <v>94</v>
      </c>
      <c r="C210" s="714">
        <f>IF(ISERROR($B210),-3,IF(INDEX(REG_Axle_Diameter,1,B210)&lt;&gt;$A210,-2,IF(INDEX(REG_B_OK,1,B210)&lt;&gt;0,B210,IF(INDEX(REG_Axle_Diameter,1,B210+1)&lt;&gt;$A210,-2,IF(INDEX(REG_B_OK,1,B210+1)&lt;&gt;0,B210+1,IF(INDEX(REG_Axle_Diameter,1,B210+2)&lt;&gt;$A210,-2,IF(INDEX(REG_B_OK,1,B210+2)&lt;&gt;0,B210+2,IF(INDEX(REG_Axle_Diameter,1,B210+3)&lt;&gt;$A210,-2,IF(INDEX(REG_B_OK,1,B210+3)&lt;&gt;0,B210+3,IF(INDEX(REG_Axle_Diameter,1,B210+4)&lt;&gt;$A210,-2,IF(INDEX(REG_B_OK,1,B210+4)&lt;&gt;0,B210+4,IF(INDEX(REG_Axle_Diameter,1,B210+5)&lt;&gt;$A210,-2,IF(INDEX(REG_B_OK,1,B210+5)&lt;&gt;0,B210+5,IF(INDEX(REG_Axle_Diameter,1,B210+6)&lt;&gt;$A210,-2,IF(INDEX(REG_B_OK,1,B210+6)&lt;&gt;0,B210+6,IF(INDEX(REG_Axle_Diameter,1,B210+7)&lt;&gt;$A210,-2,IF(INDEX(REG_B_OK,1,B210+7)&lt;&gt;0,B210+7,IF(INDEX(REG_Axle_Diameter,1,B210+8)&lt;&gt;$A210,-2,IF(INDEX(REG_B_OK,1,B210+8)&lt;&gt;0,B210+8,IF(INDEX(REG_Axle_Diameter,1,B210+9)&lt;&gt;$A210,-2,IF(INDEX(REG_B_OK,1,B210+9)&lt;&gt;0,B210+9,IF(INDEX(REG_Axle_Diameter,1,B210+10)&lt;&gt;$A210,-2,B210+10))))))))))))))))))))))</f>
        <v>-2</v>
      </c>
      <c r="D210" s="710">
        <f t="shared" ref="D210:L210" si="273">IF(ISERROR($B210),-3,IF(C210=-2,-2,IF(INDEX(REG_Axle_Diameter,1,C210+1)&lt;&gt;$A210,-2,IF(INDEX(REG_B_OK,1,C210+1)&lt;&gt;0,C210+1,IF(INDEX(REG_Axle_Diameter,1,C210+2)&lt;&gt;$A210,-2,IF(INDEX(REG_B_OK,1,C210+2)&lt;&gt;0,C210+2,IF(INDEX(REG_Axle_Diameter,1,C210+3)&lt;&gt;$A210,-2,IF(INDEX(REG_B_OK,1,C210+3)&lt;&gt;0,C210+3,IF(INDEX(REG_Axle_Diameter,1,C210+4)&lt;&gt;$A210,-2,IF(INDEX(REG_B_OK,1,C210+4)&lt;&gt;0,C210+4,IF(INDEX(REG_Axle_Diameter,1,C210+5)&lt;&gt;$A210,-2,IF(INDEX(REG_B_OK,1,C210+5)&lt;&gt;0,C210+5,IF(INDEX(REG_Axle_Diameter,1,C210+6)&lt;&gt;$A210,-2,IF(INDEX(REG_B_OK,1,C210+6)&lt;&gt;0,C210+6,IF(INDEX(REG_Axle_Diameter,1,C210+7)&lt;&gt;$A210,-2,IF(INDEX(REG_B_OK,1,C210+7)&lt;&gt;0,C210+7,IF(INDEX(REG_Axle_Diameter,1,C210+8)&lt;&gt;$A210,-2,IF(INDEX(REG_B_OK,1,C210+8)&lt;&gt;0,C210+8,IF(INDEX(REG_Axle_Diameter,1,C210+9)&lt;&gt;$A210,-2,IF(INDEX(REG_B_OK,1,C210+9)&lt;&gt;0,C210+9,IF(INDEX(REG_Axle_Diameter,1,C210+10)&lt;&gt;$A210,-2,C210+10)))))))))))))))))))))</f>
        <v>-2</v>
      </c>
      <c r="E210" s="711">
        <f t="shared" si="273"/>
        <v>-2</v>
      </c>
      <c r="F210" s="711">
        <f t="shared" si="273"/>
        <v>-2</v>
      </c>
      <c r="G210" s="711">
        <f t="shared" si="273"/>
        <v>-2</v>
      </c>
      <c r="H210" s="711">
        <f t="shared" si="273"/>
        <v>-2</v>
      </c>
      <c r="I210" s="711">
        <f t="shared" si="273"/>
        <v>-2</v>
      </c>
      <c r="J210" s="711">
        <f t="shared" si="273"/>
        <v>-2</v>
      </c>
      <c r="K210" s="711">
        <f t="shared" si="273"/>
        <v>-2</v>
      </c>
      <c r="L210" s="719">
        <f t="shared" si="273"/>
        <v>-2</v>
      </c>
    </row>
    <row r="211" spans="1:12" ht="15.95" customHeight="1">
      <c r="A211" s="106"/>
      <c r="B211" s="106"/>
      <c r="C211" s="712">
        <f t="shared" ref="C211:L211" si="274">IF(C212=0,0,INDEX(REG_Bearing_Type,1,C210))</f>
        <v>0</v>
      </c>
      <c r="D211" s="713">
        <f t="shared" si="274"/>
        <v>0</v>
      </c>
      <c r="E211" s="713">
        <f t="shared" si="274"/>
        <v>0</v>
      </c>
      <c r="F211" s="713">
        <f t="shared" si="274"/>
        <v>0</v>
      </c>
      <c r="G211" s="713">
        <f t="shared" si="274"/>
        <v>0</v>
      </c>
      <c r="H211" s="713">
        <f t="shared" si="274"/>
        <v>0</v>
      </c>
      <c r="I211" s="713">
        <f t="shared" si="274"/>
        <v>0</v>
      </c>
      <c r="J211" s="713">
        <f t="shared" si="274"/>
        <v>0</v>
      </c>
      <c r="K211" s="713">
        <f t="shared" si="274"/>
        <v>0</v>
      </c>
      <c r="L211" s="720">
        <f t="shared" si="274"/>
        <v>0</v>
      </c>
    </row>
    <row r="212" spans="1:12" ht="15.95" customHeight="1">
      <c r="A212" s="106"/>
      <c r="B212" s="106"/>
      <c r="C212" s="710">
        <f t="shared" ref="C212:L212" si="275">IF(C210&lt;0,0,INDEX(REG_B_OK,1,C210))</f>
        <v>0</v>
      </c>
      <c r="D212" s="711">
        <f t="shared" si="275"/>
        <v>0</v>
      </c>
      <c r="E212" s="711">
        <f t="shared" si="275"/>
        <v>0</v>
      </c>
      <c r="F212" s="711">
        <f t="shared" si="275"/>
        <v>0</v>
      </c>
      <c r="G212" s="711">
        <f t="shared" si="275"/>
        <v>0</v>
      </c>
      <c r="H212" s="711">
        <f t="shared" si="275"/>
        <v>0</v>
      </c>
      <c r="I212" s="711">
        <f t="shared" si="275"/>
        <v>0</v>
      </c>
      <c r="J212" s="711">
        <f t="shared" si="275"/>
        <v>0</v>
      </c>
      <c r="K212" s="711">
        <f t="shared" si="275"/>
        <v>0</v>
      </c>
      <c r="L212" s="719">
        <f t="shared" si="275"/>
        <v>0</v>
      </c>
    </row>
    <row r="213" spans="1:12" ht="15.95" customHeight="1">
      <c r="A213" s="106">
        <f>A210+5</f>
        <v>130</v>
      </c>
      <c r="B213" s="106" t="e">
        <f>MATCH($A213,REG_Axle_Diameter,0)</f>
        <v>#N/A</v>
      </c>
      <c r="C213" s="714">
        <f>IF(ISERROR($B213),-3,IF(INDEX(REG_Axle_Diameter,1,B213)&lt;&gt;$A213,-2,IF(INDEX(REG_B_OK,1,B213)&lt;&gt;0,B213,IF(INDEX(REG_Axle_Diameter,1,B213+1)&lt;&gt;$A213,-2,IF(INDEX(REG_B_OK,1,B213+1)&lt;&gt;0,B213+1,IF(INDEX(REG_Axle_Diameter,1,B213+2)&lt;&gt;$A213,-2,IF(INDEX(REG_B_OK,1,B213+2)&lt;&gt;0,B213+2,IF(INDEX(REG_Axle_Diameter,1,B213+3)&lt;&gt;$A213,-2,IF(INDEX(REG_B_OK,1,B213+3)&lt;&gt;0,B213+3,IF(INDEX(REG_Axle_Diameter,1,B213+4)&lt;&gt;$A213,-2,IF(INDEX(REG_B_OK,1,B213+4)&lt;&gt;0,B213+4,IF(INDEX(REG_Axle_Diameter,1,B213+5)&lt;&gt;$A213,-2,IF(INDEX(REG_B_OK,1,B213+5)&lt;&gt;0,B213+5,IF(INDEX(REG_Axle_Diameter,1,B213+6)&lt;&gt;$A213,-2,IF(INDEX(REG_B_OK,1,B213+6)&lt;&gt;0,B213+6,IF(INDEX(REG_Axle_Diameter,1,B213+7)&lt;&gt;$A213,-2,IF(INDEX(REG_B_OK,1,B213+7)&lt;&gt;0,B213+7,IF(INDEX(REG_Axle_Diameter,1,B213+8)&lt;&gt;$A213,-2,IF(INDEX(REG_B_OK,1,B213+8)&lt;&gt;0,B213+8,IF(INDEX(REG_Axle_Diameter,1,B213+9)&lt;&gt;$A213,-2,IF(INDEX(REG_B_OK,1,B213+9)&lt;&gt;0,B213+9,IF(INDEX(REG_Axle_Diameter,1,B213+10)&lt;&gt;$A213,-2,B213+10))))))))))))))))))))))</f>
        <v>-3</v>
      </c>
      <c r="D213" s="710">
        <f t="shared" ref="D213:L213" si="276">IF(ISERROR($B213),-3,IF(C213=-2,-2,IF(INDEX(REG_Axle_Diameter,1,C213+1)&lt;&gt;$A213,-2,IF(INDEX(REG_B_OK,1,C213+1)&lt;&gt;0,C213+1,IF(INDEX(REG_Axle_Diameter,1,C213+2)&lt;&gt;$A213,-2,IF(INDEX(REG_B_OK,1,C213+2)&lt;&gt;0,C213+2,IF(INDEX(REG_Axle_Diameter,1,C213+3)&lt;&gt;$A213,-2,IF(INDEX(REG_B_OK,1,C213+3)&lt;&gt;0,C213+3,IF(INDEX(REG_Axle_Diameter,1,C213+4)&lt;&gt;$A213,-2,IF(INDEX(REG_B_OK,1,C213+4)&lt;&gt;0,C213+4,IF(INDEX(REG_Axle_Diameter,1,C213+5)&lt;&gt;$A213,-2,IF(INDEX(REG_B_OK,1,C213+5)&lt;&gt;0,C213+5,IF(INDEX(REG_Axle_Diameter,1,C213+6)&lt;&gt;$A213,-2,IF(INDEX(REG_B_OK,1,C213+6)&lt;&gt;0,C213+6,IF(INDEX(REG_Axle_Diameter,1,C213+7)&lt;&gt;$A213,-2,IF(INDEX(REG_B_OK,1,C213+7)&lt;&gt;0,C213+7,IF(INDEX(REG_Axle_Diameter,1,C213+8)&lt;&gt;$A213,-2,IF(INDEX(REG_B_OK,1,C213+8)&lt;&gt;0,C213+8,IF(INDEX(REG_Axle_Diameter,1,C213+9)&lt;&gt;$A213,-2,IF(INDEX(REG_B_OK,1,C213+9)&lt;&gt;0,C213+9,IF(INDEX(REG_Axle_Diameter,1,C213+10)&lt;&gt;$A213,-2,C213+10)))))))))))))))))))))</f>
        <v>-3</v>
      </c>
      <c r="E213" s="711">
        <f t="shared" si="276"/>
        <v>-3</v>
      </c>
      <c r="F213" s="711">
        <f t="shared" si="276"/>
        <v>-3</v>
      </c>
      <c r="G213" s="711">
        <f t="shared" si="276"/>
        <v>-3</v>
      </c>
      <c r="H213" s="711">
        <f t="shared" si="276"/>
        <v>-3</v>
      </c>
      <c r="I213" s="711">
        <f t="shared" si="276"/>
        <v>-3</v>
      </c>
      <c r="J213" s="711">
        <f t="shared" si="276"/>
        <v>-3</v>
      </c>
      <c r="K213" s="711">
        <f t="shared" si="276"/>
        <v>-3</v>
      </c>
      <c r="L213" s="719">
        <f t="shared" si="276"/>
        <v>-3</v>
      </c>
    </row>
    <row r="214" spans="1:12" ht="15.95" customHeight="1">
      <c r="A214" s="106"/>
      <c r="B214" s="106"/>
      <c r="C214" s="712">
        <f t="shared" ref="C214:L214" si="277">IF(C215=0,0,INDEX(REG_Bearing_Type,1,C213))</f>
        <v>0</v>
      </c>
      <c r="D214" s="713">
        <f t="shared" si="277"/>
        <v>0</v>
      </c>
      <c r="E214" s="713">
        <f t="shared" si="277"/>
        <v>0</v>
      </c>
      <c r="F214" s="713">
        <f t="shared" si="277"/>
        <v>0</v>
      </c>
      <c r="G214" s="713">
        <f t="shared" si="277"/>
        <v>0</v>
      </c>
      <c r="H214" s="713">
        <f t="shared" si="277"/>
        <v>0</v>
      </c>
      <c r="I214" s="713">
        <f t="shared" si="277"/>
        <v>0</v>
      </c>
      <c r="J214" s="713">
        <f t="shared" si="277"/>
        <v>0</v>
      </c>
      <c r="K214" s="713">
        <f t="shared" si="277"/>
        <v>0</v>
      </c>
      <c r="L214" s="720">
        <f t="shared" si="277"/>
        <v>0</v>
      </c>
    </row>
    <row r="215" spans="1:12" ht="15.95" customHeight="1">
      <c r="A215" s="106"/>
      <c r="B215" s="106"/>
      <c r="C215" s="710">
        <f t="shared" ref="C215:L215" si="278">IF(C213&lt;0,0,INDEX(REG_B_OK,1,C213))</f>
        <v>0</v>
      </c>
      <c r="D215" s="711">
        <f t="shared" si="278"/>
        <v>0</v>
      </c>
      <c r="E215" s="711">
        <f t="shared" si="278"/>
        <v>0</v>
      </c>
      <c r="F215" s="711">
        <f t="shared" si="278"/>
        <v>0</v>
      </c>
      <c r="G215" s="711">
        <f t="shared" si="278"/>
        <v>0</v>
      </c>
      <c r="H215" s="711">
        <f t="shared" si="278"/>
        <v>0</v>
      </c>
      <c r="I215" s="711">
        <f t="shared" si="278"/>
        <v>0</v>
      </c>
      <c r="J215" s="711">
        <f t="shared" si="278"/>
        <v>0</v>
      </c>
      <c r="K215" s="711">
        <f t="shared" si="278"/>
        <v>0</v>
      </c>
      <c r="L215" s="719">
        <f t="shared" si="278"/>
        <v>0</v>
      </c>
    </row>
    <row r="216" spans="1:12" ht="15.95" customHeight="1">
      <c r="A216" s="106">
        <f>A213+5</f>
        <v>135</v>
      </c>
      <c r="B216" s="106">
        <f>MATCH($A216,REG_Axle_Diameter,0)</f>
        <v>97</v>
      </c>
      <c r="C216" s="714">
        <f>IF(ISERROR($B216),-3,IF(INDEX(REG_Axle_Diameter,1,B216)&lt;&gt;$A216,-2,IF(INDEX(REG_B_OK,1,B216)&lt;&gt;0,B216,IF(INDEX(REG_Axle_Diameter,1,B216+1)&lt;&gt;$A216,-2,IF(INDEX(REG_B_OK,1,B216+1)&lt;&gt;0,B216+1,IF(INDEX(REG_Axle_Diameter,1,B216+2)&lt;&gt;$A216,-2,IF(INDEX(REG_B_OK,1,B216+2)&lt;&gt;0,B216+2,IF(INDEX(REG_Axle_Diameter,1,B216+3)&lt;&gt;$A216,-2,IF(INDEX(REG_B_OK,1,B216+3)&lt;&gt;0,B216+3,IF(INDEX(REG_Axle_Diameter,1,B216+4)&lt;&gt;$A216,-2,IF(INDEX(REG_B_OK,1,B216+4)&lt;&gt;0,B216+4,IF(INDEX(REG_Axle_Diameter,1,B216+5)&lt;&gt;$A216,-2,IF(INDEX(REG_B_OK,1,B216+5)&lt;&gt;0,B216+5,IF(INDEX(REG_Axle_Diameter,1,B216+6)&lt;&gt;$A216,-2,IF(INDEX(REG_B_OK,1,B216+6)&lt;&gt;0,B216+6,IF(INDEX(REG_Axle_Diameter,1,B216+7)&lt;&gt;$A216,-2,IF(INDEX(REG_B_OK,1,B216+7)&lt;&gt;0,B216+7,IF(INDEX(REG_Axle_Diameter,1,B216+8)&lt;&gt;$A216,-2,IF(INDEX(REG_B_OK,1,B216+8)&lt;&gt;0,B216+8,IF(INDEX(REG_Axle_Diameter,1,B216+9)&lt;&gt;$A216,-2,IF(INDEX(REG_B_OK,1,B216+9)&lt;&gt;0,B216+9,IF(INDEX(REG_Axle_Diameter,1,B216+10)&lt;&gt;$A216,-2,B216+10))))))))))))))))))))))</f>
        <v>-2</v>
      </c>
      <c r="D216" s="710">
        <f t="shared" ref="D216:L216" si="279">IF(ISERROR($B216),-3,IF(C216=-2,-2,IF(INDEX(REG_Axle_Diameter,1,C216+1)&lt;&gt;$A216,-2,IF(INDEX(REG_B_OK,1,C216+1)&lt;&gt;0,C216+1,IF(INDEX(REG_Axle_Diameter,1,C216+2)&lt;&gt;$A216,-2,IF(INDEX(REG_B_OK,1,C216+2)&lt;&gt;0,C216+2,IF(INDEX(REG_Axle_Diameter,1,C216+3)&lt;&gt;$A216,-2,IF(INDEX(REG_B_OK,1,C216+3)&lt;&gt;0,C216+3,IF(INDEX(REG_Axle_Diameter,1,C216+4)&lt;&gt;$A216,-2,IF(INDEX(REG_B_OK,1,C216+4)&lt;&gt;0,C216+4,IF(INDEX(REG_Axle_Diameter,1,C216+5)&lt;&gt;$A216,-2,IF(INDEX(REG_B_OK,1,C216+5)&lt;&gt;0,C216+5,IF(INDEX(REG_Axle_Diameter,1,C216+6)&lt;&gt;$A216,-2,IF(INDEX(REG_B_OK,1,C216+6)&lt;&gt;0,C216+6,IF(INDEX(REG_Axle_Diameter,1,C216+7)&lt;&gt;$A216,-2,IF(INDEX(REG_B_OK,1,C216+7)&lt;&gt;0,C216+7,IF(INDEX(REG_Axle_Diameter,1,C216+8)&lt;&gt;$A216,-2,IF(INDEX(REG_B_OK,1,C216+8)&lt;&gt;0,C216+8,IF(INDEX(REG_Axle_Diameter,1,C216+9)&lt;&gt;$A216,-2,IF(INDEX(REG_B_OK,1,C216+9)&lt;&gt;0,C216+9,IF(INDEX(REG_Axle_Diameter,1,C216+10)&lt;&gt;$A216,-2,C216+10)))))))))))))))))))))</f>
        <v>-2</v>
      </c>
      <c r="E216" s="711">
        <f t="shared" si="279"/>
        <v>-2</v>
      </c>
      <c r="F216" s="711">
        <f t="shared" si="279"/>
        <v>-2</v>
      </c>
      <c r="G216" s="711">
        <f t="shared" si="279"/>
        <v>-2</v>
      </c>
      <c r="H216" s="711">
        <f t="shared" si="279"/>
        <v>-2</v>
      </c>
      <c r="I216" s="711">
        <f t="shared" si="279"/>
        <v>-2</v>
      </c>
      <c r="J216" s="711">
        <f t="shared" si="279"/>
        <v>-2</v>
      </c>
      <c r="K216" s="711">
        <f t="shared" si="279"/>
        <v>-2</v>
      </c>
      <c r="L216" s="719">
        <f t="shared" si="279"/>
        <v>-2</v>
      </c>
    </row>
    <row r="217" spans="1:12" ht="15.95" customHeight="1">
      <c r="A217" s="106"/>
      <c r="B217" s="106"/>
      <c r="C217" s="712">
        <f t="shared" ref="C217:L217" si="280">IF(C218=0,0,INDEX(REG_Bearing_Type,1,C216))</f>
        <v>0</v>
      </c>
      <c r="D217" s="713">
        <f t="shared" si="280"/>
        <v>0</v>
      </c>
      <c r="E217" s="713">
        <f t="shared" si="280"/>
        <v>0</v>
      </c>
      <c r="F217" s="713">
        <f t="shared" si="280"/>
        <v>0</v>
      </c>
      <c r="G217" s="713">
        <f t="shared" si="280"/>
        <v>0</v>
      </c>
      <c r="H217" s="713">
        <f t="shared" si="280"/>
        <v>0</v>
      </c>
      <c r="I217" s="713">
        <f t="shared" si="280"/>
        <v>0</v>
      </c>
      <c r="J217" s="713">
        <f t="shared" si="280"/>
        <v>0</v>
      </c>
      <c r="K217" s="713">
        <f t="shared" si="280"/>
        <v>0</v>
      </c>
      <c r="L217" s="720">
        <f t="shared" si="280"/>
        <v>0</v>
      </c>
    </row>
    <row r="218" spans="1:12" ht="15.95" customHeight="1">
      <c r="A218" s="106"/>
      <c r="B218" s="106"/>
      <c r="C218" s="710">
        <f t="shared" ref="C218:L218" si="281">IF(C216&lt;0,0,INDEX(REG_B_OK,1,C216))</f>
        <v>0</v>
      </c>
      <c r="D218" s="711">
        <f t="shared" si="281"/>
        <v>0</v>
      </c>
      <c r="E218" s="711">
        <f t="shared" si="281"/>
        <v>0</v>
      </c>
      <c r="F218" s="711">
        <f t="shared" si="281"/>
        <v>0</v>
      </c>
      <c r="G218" s="711">
        <f t="shared" si="281"/>
        <v>0</v>
      </c>
      <c r="H218" s="711">
        <f t="shared" si="281"/>
        <v>0</v>
      </c>
      <c r="I218" s="711">
        <f t="shared" si="281"/>
        <v>0</v>
      </c>
      <c r="J218" s="711">
        <f t="shared" si="281"/>
        <v>0</v>
      </c>
      <c r="K218" s="711">
        <f t="shared" si="281"/>
        <v>0</v>
      </c>
      <c r="L218" s="719">
        <f t="shared" si="281"/>
        <v>0</v>
      </c>
    </row>
    <row r="219" spans="1:12" ht="15.95" customHeight="1">
      <c r="A219" s="106">
        <f>A216+5</f>
        <v>140</v>
      </c>
      <c r="B219" s="106">
        <f>MATCH($A219,REG_Axle_Diameter,0)</f>
        <v>100</v>
      </c>
      <c r="C219" s="714">
        <f>IF(ISERROR($B219),-3,IF(INDEX(REG_Axle_Diameter,1,B219)&lt;&gt;$A219,-2,IF(INDEX(REG_B_OK,1,B219)&lt;&gt;0,B219,IF(INDEX(REG_Axle_Diameter,1,B219+1)&lt;&gt;$A219,-2,IF(INDEX(REG_B_OK,1,B219+1)&lt;&gt;0,B219+1,IF(INDEX(REG_Axle_Diameter,1,B219+2)&lt;&gt;$A219,-2,IF(INDEX(REG_B_OK,1,B219+2)&lt;&gt;0,B219+2,IF(INDEX(REG_Axle_Diameter,1,B219+3)&lt;&gt;$A219,-2,IF(INDEX(REG_B_OK,1,B219+3)&lt;&gt;0,B219+3,IF(INDEX(REG_Axle_Diameter,1,B219+4)&lt;&gt;$A219,-2,IF(INDEX(REG_B_OK,1,B219+4)&lt;&gt;0,B219+4,IF(INDEX(REG_Axle_Diameter,1,B219+5)&lt;&gt;$A219,-2,IF(INDEX(REG_B_OK,1,B219+5)&lt;&gt;0,B219+5,IF(INDEX(REG_Axle_Diameter,1,B219+6)&lt;&gt;$A219,-2,IF(INDEX(REG_B_OK,1,B219+6)&lt;&gt;0,B219+6,IF(INDEX(REG_Axle_Diameter,1,B219+7)&lt;&gt;$A219,-2,IF(INDEX(REG_B_OK,1,B219+7)&lt;&gt;0,B219+7,IF(INDEX(REG_Axle_Diameter,1,B219+8)&lt;&gt;$A219,-2,IF(INDEX(REG_B_OK,1,B219+8)&lt;&gt;0,B219+8,IF(INDEX(REG_Axle_Diameter,1,B219+9)&lt;&gt;$A219,-2,IF(INDEX(REG_B_OK,1,B219+9)&lt;&gt;0,B219+9,IF(INDEX(REG_Axle_Diameter,1,B219+10)&lt;&gt;$A219,-2,B219+10))))))))))))))))))))))</f>
        <v>-2</v>
      </c>
      <c r="D219" s="710">
        <f t="shared" ref="D219:L219" si="282">IF(ISERROR($B219),-3,IF(C219=-2,-2,IF(INDEX(REG_Axle_Diameter,1,C219+1)&lt;&gt;$A219,-2,IF(INDEX(REG_B_OK,1,C219+1)&lt;&gt;0,C219+1,IF(INDEX(REG_Axle_Diameter,1,C219+2)&lt;&gt;$A219,-2,IF(INDEX(REG_B_OK,1,C219+2)&lt;&gt;0,C219+2,IF(INDEX(REG_Axle_Diameter,1,C219+3)&lt;&gt;$A219,-2,IF(INDEX(REG_B_OK,1,C219+3)&lt;&gt;0,C219+3,IF(INDEX(REG_Axle_Diameter,1,C219+4)&lt;&gt;$A219,-2,IF(INDEX(REG_B_OK,1,C219+4)&lt;&gt;0,C219+4,IF(INDEX(REG_Axle_Diameter,1,C219+5)&lt;&gt;$A219,-2,IF(INDEX(REG_B_OK,1,C219+5)&lt;&gt;0,C219+5,IF(INDEX(REG_Axle_Diameter,1,C219+6)&lt;&gt;$A219,-2,IF(INDEX(REG_B_OK,1,C219+6)&lt;&gt;0,C219+6,IF(INDEX(REG_Axle_Diameter,1,C219+7)&lt;&gt;$A219,-2,IF(INDEX(REG_B_OK,1,C219+7)&lt;&gt;0,C219+7,IF(INDEX(REG_Axle_Diameter,1,C219+8)&lt;&gt;$A219,-2,IF(INDEX(REG_B_OK,1,C219+8)&lt;&gt;0,C219+8,IF(INDEX(REG_Axle_Diameter,1,C219+9)&lt;&gt;$A219,-2,IF(INDEX(REG_B_OK,1,C219+9)&lt;&gt;0,C219+9,IF(INDEX(REG_Axle_Diameter,1,C219+10)&lt;&gt;$A219,-2,C219+10)))))))))))))))))))))</f>
        <v>-2</v>
      </c>
      <c r="E219" s="711">
        <f t="shared" si="282"/>
        <v>-2</v>
      </c>
      <c r="F219" s="711">
        <f t="shared" si="282"/>
        <v>-2</v>
      </c>
      <c r="G219" s="711">
        <f t="shared" si="282"/>
        <v>-2</v>
      </c>
      <c r="H219" s="711">
        <f t="shared" si="282"/>
        <v>-2</v>
      </c>
      <c r="I219" s="711">
        <f t="shared" si="282"/>
        <v>-2</v>
      </c>
      <c r="J219" s="711">
        <f t="shared" si="282"/>
        <v>-2</v>
      </c>
      <c r="K219" s="711">
        <f t="shared" si="282"/>
        <v>-2</v>
      </c>
      <c r="L219" s="719">
        <f t="shared" si="282"/>
        <v>-2</v>
      </c>
    </row>
    <row r="220" spans="1:12" ht="15.95" customHeight="1">
      <c r="A220" s="106"/>
      <c r="B220" s="106"/>
      <c r="C220" s="712">
        <f t="shared" ref="C220:L220" si="283">IF(C221=0,0,INDEX(REG_Bearing_Type,1,C219))</f>
        <v>0</v>
      </c>
      <c r="D220" s="713">
        <f t="shared" si="283"/>
        <v>0</v>
      </c>
      <c r="E220" s="713">
        <f t="shared" si="283"/>
        <v>0</v>
      </c>
      <c r="F220" s="713">
        <f t="shared" si="283"/>
        <v>0</v>
      </c>
      <c r="G220" s="713">
        <f t="shared" si="283"/>
        <v>0</v>
      </c>
      <c r="H220" s="713">
        <f t="shared" si="283"/>
        <v>0</v>
      </c>
      <c r="I220" s="713">
        <f t="shared" si="283"/>
        <v>0</v>
      </c>
      <c r="J220" s="713">
        <f t="shared" si="283"/>
        <v>0</v>
      </c>
      <c r="K220" s="713">
        <f t="shared" si="283"/>
        <v>0</v>
      </c>
      <c r="L220" s="720">
        <f t="shared" si="283"/>
        <v>0</v>
      </c>
    </row>
    <row r="221" spans="1:12" ht="15.95" customHeight="1">
      <c r="A221" s="106"/>
      <c r="B221" s="106"/>
      <c r="C221" s="710">
        <f t="shared" ref="C221:L221" si="284">IF(C219&lt;0,0,INDEX(REG_B_OK,1,C219))</f>
        <v>0</v>
      </c>
      <c r="D221" s="711">
        <f t="shared" si="284"/>
        <v>0</v>
      </c>
      <c r="E221" s="711">
        <f t="shared" si="284"/>
        <v>0</v>
      </c>
      <c r="F221" s="711">
        <f t="shared" si="284"/>
        <v>0</v>
      </c>
      <c r="G221" s="711">
        <f t="shared" si="284"/>
        <v>0</v>
      </c>
      <c r="H221" s="711">
        <f t="shared" si="284"/>
        <v>0</v>
      </c>
      <c r="I221" s="711">
        <f t="shared" si="284"/>
        <v>0</v>
      </c>
      <c r="J221" s="711">
        <f t="shared" si="284"/>
        <v>0</v>
      </c>
      <c r="K221" s="711">
        <f t="shared" si="284"/>
        <v>0</v>
      </c>
      <c r="L221" s="719">
        <f t="shared" si="284"/>
        <v>0</v>
      </c>
    </row>
    <row r="222" spans="1:12" ht="15.95" customHeight="1">
      <c r="A222" s="106">
        <f>A219+5</f>
        <v>145</v>
      </c>
      <c r="B222" s="106" t="e">
        <f>MATCH($A222,REG_Axle_Diameter,0)</f>
        <v>#N/A</v>
      </c>
      <c r="C222" s="714">
        <f>IF(ISERROR($B222),-3,IF(INDEX(REG_Axle_Diameter,1,B222)&lt;&gt;$A222,-2,IF(INDEX(REG_B_OK,1,B222)&lt;&gt;0,B222,IF(INDEX(REG_Axle_Diameter,1,B222+1)&lt;&gt;$A222,-2,IF(INDEX(REG_B_OK,1,B222+1)&lt;&gt;0,B222+1,IF(INDEX(REG_Axle_Diameter,1,B222+2)&lt;&gt;$A222,-2,IF(INDEX(REG_B_OK,1,B222+2)&lt;&gt;0,B222+2,IF(INDEX(REG_Axle_Diameter,1,B222+3)&lt;&gt;$A222,-2,IF(INDEX(REG_B_OK,1,B222+3)&lt;&gt;0,B222+3,IF(INDEX(REG_Axle_Diameter,1,B222+4)&lt;&gt;$A222,-2,IF(INDEX(REG_B_OK,1,B222+4)&lt;&gt;0,B222+4,IF(INDEX(REG_Axle_Diameter,1,B222+5)&lt;&gt;$A222,-2,IF(INDEX(REG_B_OK,1,B222+5)&lt;&gt;0,B222+5,IF(INDEX(REG_Axle_Diameter,1,B222+6)&lt;&gt;$A222,-2,IF(INDEX(REG_B_OK,1,B222+6)&lt;&gt;0,B222+6,IF(INDEX(REG_Axle_Diameter,1,B222+7)&lt;&gt;$A222,-2,IF(INDEX(REG_B_OK,1,B222+7)&lt;&gt;0,B222+7,IF(INDEX(REG_Axle_Diameter,1,B222+8)&lt;&gt;$A222,-2,IF(INDEX(REG_B_OK,1,B222+8)&lt;&gt;0,B222+8,IF(INDEX(REG_Axle_Diameter,1,B222+9)&lt;&gt;$A222,-2,IF(INDEX(REG_B_OK,1,B222+9)&lt;&gt;0,B222+9,IF(INDEX(REG_Axle_Diameter,1,B222+10)&lt;&gt;$A222,-2,B222+10))))))))))))))))))))))</f>
        <v>-3</v>
      </c>
      <c r="D222" s="710">
        <f t="shared" ref="D222:L222" si="285">IF(ISERROR($B222),-3,IF(C222=-2,-2,IF(INDEX(REG_Axle_Diameter,1,C222+1)&lt;&gt;$A222,-2,IF(INDEX(REG_B_OK,1,C222+1)&lt;&gt;0,C222+1,IF(INDEX(REG_Axle_Diameter,1,C222+2)&lt;&gt;$A222,-2,IF(INDEX(REG_B_OK,1,C222+2)&lt;&gt;0,C222+2,IF(INDEX(REG_Axle_Diameter,1,C222+3)&lt;&gt;$A222,-2,IF(INDEX(REG_B_OK,1,C222+3)&lt;&gt;0,C222+3,IF(INDEX(REG_Axle_Diameter,1,C222+4)&lt;&gt;$A222,-2,IF(INDEX(REG_B_OK,1,C222+4)&lt;&gt;0,C222+4,IF(INDEX(REG_Axle_Diameter,1,C222+5)&lt;&gt;$A222,-2,IF(INDEX(REG_B_OK,1,C222+5)&lt;&gt;0,C222+5,IF(INDEX(REG_Axle_Diameter,1,C222+6)&lt;&gt;$A222,-2,IF(INDEX(REG_B_OK,1,C222+6)&lt;&gt;0,C222+6,IF(INDEX(REG_Axle_Diameter,1,C222+7)&lt;&gt;$A222,-2,IF(INDEX(REG_B_OK,1,C222+7)&lt;&gt;0,C222+7,IF(INDEX(REG_Axle_Diameter,1,C222+8)&lt;&gt;$A222,-2,IF(INDEX(REG_B_OK,1,C222+8)&lt;&gt;0,C222+8,IF(INDEX(REG_Axle_Diameter,1,C222+9)&lt;&gt;$A222,-2,IF(INDEX(REG_B_OK,1,C222+9)&lt;&gt;0,C222+9,IF(INDEX(REG_Axle_Diameter,1,C222+10)&lt;&gt;$A222,-2,C222+10)))))))))))))))))))))</f>
        <v>-3</v>
      </c>
      <c r="E222" s="711">
        <f t="shared" si="285"/>
        <v>-3</v>
      </c>
      <c r="F222" s="711">
        <f t="shared" si="285"/>
        <v>-3</v>
      </c>
      <c r="G222" s="711">
        <f t="shared" si="285"/>
        <v>-3</v>
      </c>
      <c r="H222" s="711">
        <f t="shared" si="285"/>
        <v>-3</v>
      </c>
      <c r="I222" s="711">
        <f t="shared" si="285"/>
        <v>-3</v>
      </c>
      <c r="J222" s="711">
        <f t="shared" si="285"/>
        <v>-3</v>
      </c>
      <c r="K222" s="711">
        <f t="shared" si="285"/>
        <v>-3</v>
      </c>
      <c r="L222" s="719">
        <f t="shared" si="285"/>
        <v>-3</v>
      </c>
    </row>
    <row r="223" spans="1:12" ht="15.95" customHeight="1">
      <c r="A223" s="106"/>
      <c r="B223" s="106"/>
      <c r="C223" s="712">
        <f t="shared" ref="C223:L223" si="286">IF(C224=0,0,INDEX(REG_Bearing_Type,1,C222))</f>
        <v>0</v>
      </c>
      <c r="D223" s="713">
        <f t="shared" si="286"/>
        <v>0</v>
      </c>
      <c r="E223" s="713">
        <f t="shared" si="286"/>
        <v>0</v>
      </c>
      <c r="F223" s="713">
        <f t="shared" si="286"/>
        <v>0</v>
      </c>
      <c r="G223" s="713">
        <f t="shared" si="286"/>
        <v>0</v>
      </c>
      <c r="H223" s="713">
        <f t="shared" si="286"/>
        <v>0</v>
      </c>
      <c r="I223" s="713">
        <f t="shared" si="286"/>
        <v>0</v>
      </c>
      <c r="J223" s="713">
        <f t="shared" si="286"/>
        <v>0</v>
      </c>
      <c r="K223" s="713">
        <f t="shared" si="286"/>
        <v>0</v>
      </c>
      <c r="L223" s="720">
        <f t="shared" si="286"/>
        <v>0</v>
      </c>
    </row>
    <row r="224" spans="1:12" ht="15.95" customHeight="1">
      <c r="A224" s="106"/>
      <c r="B224" s="106"/>
      <c r="C224" s="710">
        <f t="shared" ref="C224:L224" si="287">IF(C222&lt;0,0,INDEX(REG_B_OK,1,C222))</f>
        <v>0</v>
      </c>
      <c r="D224" s="711">
        <f t="shared" si="287"/>
        <v>0</v>
      </c>
      <c r="E224" s="711">
        <f t="shared" si="287"/>
        <v>0</v>
      </c>
      <c r="F224" s="711">
        <f t="shared" si="287"/>
        <v>0</v>
      </c>
      <c r="G224" s="711">
        <f t="shared" si="287"/>
        <v>0</v>
      </c>
      <c r="H224" s="711">
        <f t="shared" si="287"/>
        <v>0</v>
      </c>
      <c r="I224" s="711">
        <f t="shared" si="287"/>
        <v>0</v>
      </c>
      <c r="J224" s="711">
        <f t="shared" si="287"/>
        <v>0</v>
      </c>
      <c r="K224" s="711">
        <f t="shared" si="287"/>
        <v>0</v>
      </c>
      <c r="L224" s="719">
        <f t="shared" si="287"/>
        <v>0</v>
      </c>
    </row>
    <row r="225" spans="1:12" ht="15.95" customHeight="1">
      <c r="A225" s="106">
        <v>150</v>
      </c>
      <c r="B225" s="106">
        <f>MATCH($A225,REG_Axle_Diameter,0)</f>
        <v>103</v>
      </c>
      <c r="C225" s="714">
        <f>IF(ISERROR($B225),-3,IF(INDEX(REG_Axle_Diameter,1,B225)&lt;&gt;$A225,-2,IF(INDEX(REG_B_OK,1,B225)&lt;&gt;0,B225,IF(INDEX(REG_Axle_Diameter,1,B225+1)&lt;&gt;$A225,-2,IF(INDEX(REG_B_OK,1,B225+1)&lt;&gt;0,B225+1,IF(INDEX(REG_Axle_Diameter,1,B225+2)&lt;&gt;$A225,-2,IF(INDEX(REG_B_OK,1,B225+2)&lt;&gt;0,B225+2,IF(INDEX(REG_Axle_Diameter,1,B225+3)&lt;&gt;$A225,-2,IF(INDEX(REG_B_OK,1,B225+3)&lt;&gt;0,B225+3,IF(INDEX(REG_Axle_Diameter,1,B225+4)&lt;&gt;$A225,-2,IF(INDEX(REG_B_OK,1,B225+4)&lt;&gt;0,B225+4,IF(INDEX(REG_Axle_Diameter,1,B225+5)&lt;&gt;$A225,-2,IF(INDEX(REG_B_OK,1,B225+5)&lt;&gt;0,B225+5,IF(INDEX(REG_Axle_Diameter,1,B225+6)&lt;&gt;$A225,-2,IF(INDEX(REG_B_OK,1,B225+6)&lt;&gt;0,B225+6,IF(INDEX(REG_Axle_Diameter,1,B225+7)&lt;&gt;$A225,-2,IF(INDEX(REG_B_OK,1,B225+7)&lt;&gt;0,B225+7,IF(INDEX(REG_Axle_Diameter,1,B225+8)&lt;&gt;$A225,-2,IF(INDEX(REG_B_OK,1,B225+8)&lt;&gt;0,B225+8,IF(INDEX(REG_Axle_Diameter,1,B225+9)&lt;&gt;$A225,-2,IF(INDEX(REG_B_OK,1,B225+9)&lt;&gt;0,B225+9,IF(INDEX(REG_Axle_Diameter,1,B225+10)&lt;&gt;$A225,-2,B225+10))))))))))))))))))))))</f>
        <v>-2</v>
      </c>
      <c r="D225" s="710">
        <f t="shared" ref="D225:L225" si="288">IF(ISERROR($B225),-3,IF(C225=-2,-2,IF(INDEX(REG_Axle_Diameter,1,C225+1)&lt;&gt;$A225,-2,IF(INDEX(REG_B_OK,1,C225+1)&lt;&gt;0,C225+1,IF(INDEX(REG_Axle_Diameter,1,C225+2)&lt;&gt;$A225,-2,IF(INDEX(REG_B_OK,1,C225+2)&lt;&gt;0,C225+2,IF(INDEX(REG_Axle_Diameter,1,C225+3)&lt;&gt;$A225,-2,IF(INDEX(REG_B_OK,1,C225+3)&lt;&gt;0,C225+3,IF(INDEX(REG_Axle_Diameter,1,C225+4)&lt;&gt;$A225,-2,IF(INDEX(REG_B_OK,1,C225+4)&lt;&gt;0,C225+4,IF(INDEX(REG_Axle_Diameter,1,C225+5)&lt;&gt;$A225,-2,IF(INDEX(REG_B_OK,1,C225+5)&lt;&gt;0,C225+5,IF(INDEX(REG_Axle_Diameter,1,C225+6)&lt;&gt;$A225,-2,IF(INDEX(REG_B_OK,1,C225+6)&lt;&gt;0,C225+6,IF(INDEX(REG_Axle_Diameter,1,C225+7)&lt;&gt;$A225,-2,IF(INDEX(REG_B_OK,1,C225+7)&lt;&gt;0,C225+7,IF(INDEX(REG_Axle_Diameter,1,C225+8)&lt;&gt;$A225,-2,IF(INDEX(REG_B_OK,1,C225+8)&lt;&gt;0,C225+8,IF(INDEX(REG_Axle_Diameter,1,C225+9)&lt;&gt;$A225,-2,IF(INDEX(REG_B_OK,1,C225+9)&lt;&gt;0,C225+9,IF(INDEX(REG_Axle_Diameter,1,C225+10)&lt;&gt;$A225,-2,C225+10)))))))))))))))))))))</f>
        <v>-2</v>
      </c>
      <c r="E225" s="711">
        <f t="shared" si="288"/>
        <v>-2</v>
      </c>
      <c r="F225" s="711">
        <f t="shared" si="288"/>
        <v>-2</v>
      </c>
      <c r="G225" s="711">
        <f t="shared" si="288"/>
        <v>-2</v>
      </c>
      <c r="H225" s="711">
        <f t="shared" si="288"/>
        <v>-2</v>
      </c>
      <c r="I225" s="711">
        <f t="shared" si="288"/>
        <v>-2</v>
      </c>
      <c r="J225" s="711">
        <f t="shared" si="288"/>
        <v>-2</v>
      </c>
      <c r="K225" s="711">
        <f t="shared" si="288"/>
        <v>-2</v>
      </c>
      <c r="L225" s="719">
        <f t="shared" si="288"/>
        <v>-2</v>
      </c>
    </row>
    <row r="226" spans="1:12" ht="15.95" customHeight="1">
      <c r="A226" s="106"/>
      <c r="B226" s="106"/>
      <c r="C226" s="712">
        <f t="shared" ref="C226:L226" si="289">IF(C227=0,0,INDEX(REG_Bearing_Type,1,C225))</f>
        <v>0</v>
      </c>
      <c r="D226" s="713">
        <f t="shared" si="289"/>
        <v>0</v>
      </c>
      <c r="E226" s="713">
        <f t="shared" si="289"/>
        <v>0</v>
      </c>
      <c r="F226" s="713">
        <f t="shared" si="289"/>
        <v>0</v>
      </c>
      <c r="G226" s="713">
        <f t="shared" si="289"/>
        <v>0</v>
      </c>
      <c r="H226" s="713">
        <f t="shared" si="289"/>
        <v>0</v>
      </c>
      <c r="I226" s="713">
        <f t="shared" si="289"/>
        <v>0</v>
      </c>
      <c r="J226" s="713">
        <f t="shared" si="289"/>
        <v>0</v>
      </c>
      <c r="K226" s="713">
        <f t="shared" si="289"/>
        <v>0</v>
      </c>
      <c r="L226" s="720">
        <f t="shared" si="289"/>
        <v>0</v>
      </c>
    </row>
    <row r="227" spans="1:12" ht="15.95" customHeight="1">
      <c r="A227" s="106"/>
      <c r="B227" s="106"/>
      <c r="C227" s="710">
        <f t="shared" ref="C227:L227" si="290">IF(C225&lt;0,0,INDEX(REG_B_OK,1,C225))</f>
        <v>0</v>
      </c>
      <c r="D227" s="711">
        <f t="shared" si="290"/>
        <v>0</v>
      </c>
      <c r="E227" s="711">
        <f t="shared" si="290"/>
        <v>0</v>
      </c>
      <c r="F227" s="711">
        <f t="shared" si="290"/>
        <v>0</v>
      </c>
      <c r="G227" s="711">
        <f t="shared" si="290"/>
        <v>0</v>
      </c>
      <c r="H227" s="711">
        <f t="shared" si="290"/>
        <v>0</v>
      </c>
      <c r="I227" s="711">
        <f t="shared" si="290"/>
        <v>0</v>
      </c>
      <c r="J227" s="711">
        <f t="shared" si="290"/>
        <v>0</v>
      </c>
      <c r="K227" s="711">
        <f t="shared" si="290"/>
        <v>0</v>
      </c>
      <c r="L227" s="719">
        <f t="shared" si="290"/>
        <v>0</v>
      </c>
    </row>
    <row r="228" spans="1:12" ht="15.95" customHeight="1">
      <c r="A228" s="106">
        <v>160</v>
      </c>
      <c r="B228" s="106">
        <f>MATCH($A228,REG_Axle_Diameter,0)</f>
        <v>104</v>
      </c>
      <c r="C228" s="714">
        <f>IF(ISERROR($B228),-3,IF(INDEX(REG_Axle_Diameter,1,B228)&lt;&gt;$A228,-2,IF(INDEX(REG_B_OK,1,B228)&lt;&gt;0,B228,IF(INDEX(REG_Axle_Diameter,1,B228+1)&lt;&gt;$A228,-2,IF(INDEX(REG_B_OK,1,B228+1)&lt;&gt;0,B228+1,IF(INDEX(REG_Axle_Diameter,1,B228+2)&lt;&gt;$A228,-2,IF(INDEX(REG_B_OK,1,B228+2)&lt;&gt;0,B228+2,IF(INDEX(REG_Axle_Diameter,1,B228+3)&lt;&gt;$A228,-2,IF(INDEX(REG_B_OK,1,B228+3)&lt;&gt;0,B228+3,IF(INDEX(REG_Axle_Diameter,1,B228+4)&lt;&gt;$A228,-2,IF(INDEX(REG_B_OK,1,B228+4)&lt;&gt;0,B228+4,IF(INDEX(REG_Axle_Diameter,1,B228+5)&lt;&gt;$A228,-2,IF(INDEX(REG_B_OK,1,B228+5)&lt;&gt;0,B228+5,IF(INDEX(REG_Axle_Diameter,1,B228+6)&lt;&gt;$A228,-2,IF(INDEX(REG_B_OK,1,B228+6)&lt;&gt;0,B228+6,IF(INDEX(REG_Axle_Diameter,1,B228+7)&lt;&gt;$A228,-2,IF(INDEX(REG_B_OK,1,B228+7)&lt;&gt;0,B228+7,IF(INDEX(REG_Axle_Diameter,1,B228+8)&lt;&gt;$A228,-2,IF(INDEX(REG_B_OK,1,B228+8)&lt;&gt;0,B228+8,IF(INDEX(REG_Axle_Diameter,1,B228+9)&lt;&gt;$A228,-2,IF(INDEX(REG_B_OK,1,B228+9)&lt;&gt;0,B228+9,IF(INDEX(REG_Axle_Diameter,1,B228+10)&lt;&gt;$A228,-2,B228+10))))))))))))))))))))))</f>
        <v>-2</v>
      </c>
      <c r="D228" s="710">
        <f t="shared" ref="D228:L228" si="291">IF(ISERROR($B228),-3,IF(C228=-2,-2,IF(INDEX(REG_Axle_Diameter,1,C228+1)&lt;&gt;$A228,-2,IF(INDEX(REG_B_OK,1,C228+1)&lt;&gt;0,C228+1,IF(INDEX(REG_Axle_Diameter,1,C228+2)&lt;&gt;$A228,-2,IF(INDEX(REG_B_OK,1,C228+2)&lt;&gt;0,C228+2,IF(INDEX(REG_Axle_Diameter,1,C228+3)&lt;&gt;$A228,-2,IF(INDEX(REG_B_OK,1,C228+3)&lt;&gt;0,C228+3,IF(INDEX(REG_Axle_Diameter,1,C228+4)&lt;&gt;$A228,-2,IF(INDEX(REG_B_OK,1,C228+4)&lt;&gt;0,C228+4,IF(INDEX(REG_Axle_Diameter,1,C228+5)&lt;&gt;$A228,-2,IF(INDEX(REG_B_OK,1,C228+5)&lt;&gt;0,C228+5,IF(INDEX(REG_Axle_Diameter,1,C228+6)&lt;&gt;$A228,-2,IF(INDEX(REG_B_OK,1,C228+6)&lt;&gt;0,C228+6,IF(INDEX(REG_Axle_Diameter,1,C228+7)&lt;&gt;$A228,-2,IF(INDEX(REG_B_OK,1,C228+7)&lt;&gt;0,C228+7,IF(INDEX(REG_Axle_Diameter,1,C228+8)&lt;&gt;$A228,-2,IF(INDEX(REG_B_OK,1,C228+8)&lt;&gt;0,C228+8,IF(INDEX(REG_Axle_Diameter,1,C228+9)&lt;&gt;$A228,-2,IF(INDEX(REG_B_OK,1,C228+9)&lt;&gt;0,C228+9,IF(INDEX(REG_Axle_Diameter,1,C228+10)&lt;&gt;$A228,-2,C228+10)))))))))))))))))))))</f>
        <v>-2</v>
      </c>
      <c r="E228" s="711">
        <f t="shared" si="291"/>
        <v>-2</v>
      </c>
      <c r="F228" s="711">
        <f t="shared" si="291"/>
        <v>-2</v>
      </c>
      <c r="G228" s="711">
        <f t="shared" si="291"/>
        <v>-2</v>
      </c>
      <c r="H228" s="711">
        <f t="shared" si="291"/>
        <v>-2</v>
      </c>
      <c r="I228" s="711">
        <f t="shared" si="291"/>
        <v>-2</v>
      </c>
      <c r="J228" s="711">
        <f t="shared" si="291"/>
        <v>-2</v>
      </c>
      <c r="K228" s="711">
        <f t="shared" si="291"/>
        <v>-2</v>
      </c>
      <c r="L228" s="719">
        <f t="shared" si="291"/>
        <v>-2</v>
      </c>
    </row>
    <row r="229" spans="1:12" ht="15.95" customHeight="1">
      <c r="A229" s="106"/>
      <c r="B229" s="106"/>
      <c r="C229" s="712">
        <f t="shared" ref="C229:L229" si="292">IF(C230=0,0,INDEX(REG_Bearing_Type,1,C228))</f>
        <v>0</v>
      </c>
      <c r="D229" s="713">
        <f t="shared" si="292"/>
        <v>0</v>
      </c>
      <c r="E229" s="713">
        <f t="shared" si="292"/>
        <v>0</v>
      </c>
      <c r="F229" s="713">
        <f t="shared" si="292"/>
        <v>0</v>
      </c>
      <c r="G229" s="713">
        <f t="shared" si="292"/>
        <v>0</v>
      </c>
      <c r="H229" s="713">
        <f t="shared" si="292"/>
        <v>0</v>
      </c>
      <c r="I229" s="713">
        <f t="shared" si="292"/>
        <v>0</v>
      </c>
      <c r="J229" s="713">
        <f t="shared" si="292"/>
        <v>0</v>
      </c>
      <c r="K229" s="713">
        <f t="shared" si="292"/>
        <v>0</v>
      </c>
      <c r="L229" s="720">
        <f t="shared" si="292"/>
        <v>0</v>
      </c>
    </row>
    <row r="230" spans="1:12" ht="15.95" customHeight="1">
      <c r="A230" s="106"/>
      <c r="B230" s="106"/>
      <c r="C230" s="710">
        <f t="shared" ref="C230:L230" si="293">IF(C228&lt;0,0,INDEX(REG_B_OK,1,C228))</f>
        <v>0</v>
      </c>
      <c r="D230" s="711">
        <f t="shared" si="293"/>
        <v>0</v>
      </c>
      <c r="E230" s="711">
        <f t="shared" si="293"/>
        <v>0</v>
      </c>
      <c r="F230" s="711">
        <f t="shared" si="293"/>
        <v>0</v>
      </c>
      <c r="G230" s="711">
        <f t="shared" si="293"/>
        <v>0</v>
      </c>
      <c r="H230" s="711">
        <f t="shared" si="293"/>
        <v>0</v>
      </c>
      <c r="I230" s="711">
        <f t="shared" si="293"/>
        <v>0</v>
      </c>
      <c r="J230" s="711">
        <f t="shared" si="293"/>
        <v>0</v>
      </c>
      <c r="K230" s="711">
        <f t="shared" si="293"/>
        <v>0</v>
      </c>
      <c r="L230" s="719">
        <f t="shared" si="293"/>
        <v>0</v>
      </c>
    </row>
    <row r="231" spans="1:12" ht="15.95" customHeight="1">
      <c r="A231" s="106">
        <v>170</v>
      </c>
      <c r="B231" s="106">
        <f>MATCH($A231,REG_Axle_Diameter,0)</f>
        <v>105</v>
      </c>
      <c r="C231" s="714">
        <f>IF(ISERROR($B231),-3,IF(INDEX(REG_Axle_Diameter,1,B231)&lt;&gt;$A231,-2,IF(INDEX(REG_B_OK,1,B231)&lt;&gt;0,B231,IF(INDEX(REG_Axle_Diameter,1,B231+1)&lt;&gt;$A231,-2,IF(INDEX(REG_B_OK,1,B231+1)&lt;&gt;0,B231+1,IF(INDEX(REG_Axle_Diameter,1,B231+2)&lt;&gt;$A231,-2,IF(INDEX(REG_B_OK,1,B231+2)&lt;&gt;0,B231+2,IF(INDEX(REG_Axle_Diameter,1,B231+3)&lt;&gt;$A231,-2,IF(INDEX(REG_B_OK,1,B231+3)&lt;&gt;0,B231+3,IF(INDEX(REG_Axle_Diameter,1,B231+4)&lt;&gt;$A231,-2,IF(INDEX(REG_B_OK,1,B231+4)&lt;&gt;0,B231+4,IF(INDEX(REG_Axle_Diameter,1,B231+5)&lt;&gt;$A231,-2,IF(INDEX(REG_B_OK,1,B231+5)&lt;&gt;0,B231+5,IF(INDEX(REG_Axle_Diameter,1,B231+6)&lt;&gt;$A231,-2,IF(INDEX(REG_B_OK,1,B231+6)&lt;&gt;0,B231+6,IF(INDEX(REG_Axle_Diameter,1,B231+7)&lt;&gt;$A231,-2,IF(INDEX(REG_B_OK,1,B231+7)&lt;&gt;0,B231+7,IF(INDEX(REG_Axle_Diameter,1,B231+8)&lt;&gt;$A231,-2,IF(INDEX(REG_B_OK,1,B231+8)&lt;&gt;0,B231+8,IF(INDEX(REG_Axle_Diameter,1,B231+9)&lt;&gt;$A231,-2,IF(INDEX(REG_B_OK,1,B231+9)&lt;&gt;0,B231+9,IF(INDEX(REG_Axle_Diameter,1,B231+10)&lt;&gt;$A231,-2,B231+10))))))))))))))))))))))</f>
        <v>-2</v>
      </c>
      <c r="D231" s="710">
        <f t="shared" ref="D231:L231" si="294">IF(ISERROR($B231),-3,IF(C231=-2,-2,IF(INDEX(REG_Axle_Diameter,1,C231+1)&lt;&gt;$A231,-2,IF(INDEX(REG_B_OK,1,C231+1)&lt;&gt;0,C231+1,IF(INDEX(REG_Axle_Diameter,1,C231+2)&lt;&gt;$A231,-2,IF(INDEX(REG_B_OK,1,C231+2)&lt;&gt;0,C231+2,IF(INDEX(REG_Axle_Diameter,1,C231+3)&lt;&gt;$A231,-2,IF(INDEX(REG_B_OK,1,C231+3)&lt;&gt;0,C231+3,IF(INDEX(REG_Axle_Diameter,1,C231+4)&lt;&gt;$A231,-2,IF(INDEX(REG_B_OK,1,C231+4)&lt;&gt;0,C231+4,IF(INDEX(REG_Axle_Diameter,1,C231+5)&lt;&gt;$A231,-2,IF(INDEX(REG_B_OK,1,C231+5)&lt;&gt;0,C231+5,IF(INDEX(REG_Axle_Diameter,1,C231+6)&lt;&gt;$A231,-2,IF(INDEX(REG_B_OK,1,C231+6)&lt;&gt;0,C231+6,IF(INDEX(REG_Axle_Diameter,1,C231+7)&lt;&gt;$A231,-2,IF(INDEX(REG_B_OK,1,C231+7)&lt;&gt;0,C231+7,IF(INDEX(REG_Axle_Diameter,1,C231+8)&lt;&gt;$A231,-2,IF(INDEX(REG_B_OK,1,C231+8)&lt;&gt;0,C231+8,IF(INDEX(REG_Axle_Diameter,1,C231+9)&lt;&gt;$A231,-2,IF(INDEX(REG_B_OK,1,C231+9)&lt;&gt;0,C231+9,IF(INDEX(REG_Axle_Diameter,1,C231+10)&lt;&gt;$A231,-2,C231+10)))))))))))))))))))))</f>
        <v>-2</v>
      </c>
      <c r="E231" s="711">
        <f t="shared" si="294"/>
        <v>-2</v>
      </c>
      <c r="F231" s="711">
        <f t="shared" si="294"/>
        <v>-2</v>
      </c>
      <c r="G231" s="711">
        <f t="shared" si="294"/>
        <v>-2</v>
      </c>
      <c r="H231" s="711">
        <f t="shared" si="294"/>
        <v>-2</v>
      </c>
      <c r="I231" s="711">
        <f t="shared" si="294"/>
        <v>-2</v>
      </c>
      <c r="J231" s="711">
        <f t="shared" si="294"/>
        <v>-2</v>
      </c>
      <c r="K231" s="711">
        <f t="shared" si="294"/>
        <v>-2</v>
      </c>
      <c r="L231" s="719">
        <f t="shared" si="294"/>
        <v>-2</v>
      </c>
    </row>
    <row r="232" spans="1:12" ht="15.95" customHeight="1">
      <c r="A232" s="106"/>
      <c r="B232" s="106"/>
      <c r="C232" s="712">
        <f t="shared" ref="C232:L232" si="295">IF(C233=0,0,INDEX(REG_Bearing_Type,1,C231))</f>
        <v>0</v>
      </c>
      <c r="D232" s="713">
        <f t="shared" si="295"/>
        <v>0</v>
      </c>
      <c r="E232" s="713">
        <f t="shared" si="295"/>
        <v>0</v>
      </c>
      <c r="F232" s="713">
        <f t="shared" si="295"/>
        <v>0</v>
      </c>
      <c r="G232" s="713">
        <f t="shared" si="295"/>
        <v>0</v>
      </c>
      <c r="H232" s="713">
        <f t="shared" si="295"/>
        <v>0</v>
      </c>
      <c r="I232" s="713">
        <f t="shared" si="295"/>
        <v>0</v>
      </c>
      <c r="J232" s="713">
        <f t="shared" si="295"/>
        <v>0</v>
      </c>
      <c r="K232" s="713">
        <f t="shared" si="295"/>
        <v>0</v>
      </c>
      <c r="L232" s="720">
        <f t="shared" si="295"/>
        <v>0</v>
      </c>
    </row>
    <row r="233" spans="1:12" ht="15.95" customHeight="1">
      <c r="A233" s="106"/>
      <c r="B233" s="106"/>
      <c r="C233" s="710">
        <f t="shared" ref="C233:L233" si="296">IF(C231&lt;0,0,INDEX(REG_B_OK,1,C231))</f>
        <v>0</v>
      </c>
      <c r="D233" s="711">
        <f t="shared" si="296"/>
        <v>0</v>
      </c>
      <c r="E233" s="711">
        <f t="shared" si="296"/>
        <v>0</v>
      </c>
      <c r="F233" s="711">
        <f t="shared" si="296"/>
        <v>0</v>
      </c>
      <c r="G233" s="711">
        <f t="shared" si="296"/>
        <v>0</v>
      </c>
      <c r="H233" s="711">
        <f t="shared" si="296"/>
        <v>0</v>
      </c>
      <c r="I233" s="711">
        <f t="shared" si="296"/>
        <v>0</v>
      </c>
      <c r="J233" s="711">
        <f t="shared" si="296"/>
        <v>0</v>
      </c>
      <c r="K233" s="711">
        <f t="shared" si="296"/>
        <v>0</v>
      </c>
      <c r="L233" s="719">
        <f t="shared" si="296"/>
        <v>0</v>
      </c>
    </row>
    <row r="234" spans="1:12" ht="15.95" customHeight="1">
      <c r="A234" s="106">
        <v>180</v>
      </c>
      <c r="B234" s="106">
        <f>MATCH($A234,REG_Axle_Diameter,0)</f>
        <v>106</v>
      </c>
      <c r="C234" s="714">
        <f>IF(ISERROR($B234),-3,IF(INDEX(REG_Axle_Diameter,1,B234)&lt;&gt;$A234,-2,IF(INDEX(REG_B_OK,1,B234)&lt;&gt;0,B234,IF(INDEX(REG_Axle_Diameter,1,B234+1)&lt;&gt;$A234,-2,IF(INDEX(REG_B_OK,1,B234+1)&lt;&gt;0,B234+1,IF(INDEX(REG_Axle_Diameter,1,B234+2)&lt;&gt;$A234,-2,IF(INDEX(REG_B_OK,1,B234+2)&lt;&gt;0,B234+2,IF(INDEX(REG_Axle_Diameter,1,B234+3)&lt;&gt;$A234,-2,IF(INDEX(REG_B_OK,1,B234+3)&lt;&gt;0,B234+3,IF(INDEX(REG_Axle_Diameter,1,B234+4)&lt;&gt;$A234,-2,IF(INDEX(REG_B_OK,1,B234+4)&lt;&gt;0,B234+4,IF(INDEX(REG_Axle_Diameter,1,B234+5)&lt;&gt;$A234,-2,IF(INDEX(REG_B_OK,1,B234+5)&lt;&gt;0,B234+5,IF(INDEX(REG_Axle_Diameter,1,B234+6)&lt;&gt;$A234,-2,IF(INDEX(REG_B_OK,1,B234+6)&lt;&gt;0,B234+6,IF(INDEX(REG_Axle_Diameter,1,B234+7)&lt;&gt;$A234,-2,IF(INDEX(REG_B_OK,1,B234+7)&lt;&gt;0,B234+7,IF(INDEX(REG_Axle_Diameter,1,B234+8)&lt;&gt;$A234,-2,IF(INDEX(REG_B_OK,1,B234+8)&lt;&gt;0,B234+8,IF(INDEX(REG_Axle_Diameter,1,B234+9)&lt;&gt;$A234,-2,IF(INDEX(REG_B_OK,1,B234+9)&lt;&gt;0,B234+9,IF(INDEX(REG_Axle_Diameter,1,B234+10)&lt;&gt;$A234,-2,B234+10))))))))))))))))))))))</f>
        <v>-2</v>
      </c>
      <c r="D234" s="710">
        <f t="shared" ref="D234:L234" si="297">IF(ISERROR($B234),-3,IF(C234=-2,-2,IF(INDEX(REG_Axle_Diameter,1,C234+1)&lt;&gt;$A234,-2,IF(INDEX(REG_B_OK,1,C234+1)&lt;&gt;0,C234+1,IF(INDEX(REG_Axle_Diameter,1,C234+2)&lt;&gt;$A234,-2,IF(INDEX(REG_B_OK,1,C234+2)&lt;&gt;0,C234+2,IF(INDEX(REG_Axle_Diameter,1,C234+3)&lt;&gt;$A234,-2,IF(INDEX(REG_B_OK,1,C234+3)&lt;&gt;0,C234+3,IF(INDEX(REG_Axle_Diameter,1,C234+4)&lt;&gt;$A234,-2,IF(INDEX(REG_B_OK,1,C234+4)&lt;&gt;0,C234+4,IF(INDEX(REG_Axle_Diameter,1,C234+5)&lt;&gt;$A234,-2,IF(INDEX(REG_B_OK,1,C234+5)&lt;&gt;0,C234+5,IF(INDEX(REG_Axle_Diameter,1,C234+6)&lt;&gt;$A234,-2,IF(INDEX(REG_B_OK,1,C234+6)&lt;&gt;0,C234+6,IF(INDEX(REG_Axle_Diameter,1,C234+7)&lt;&gt;$A234,-2,IF(INDEX(REG_B_OK,1,C234+7)&lt;&gt;0,C234+7,IF(INDEX(REG_Axle_Diameter,1,C234+8)&lt;&gt;$A234,-2,IF(INDEX(REG_B_OK,1,C234+8)&lt;&gt;0,C234+8,IF(INDEX(REG_Axle_Diameter,1,C234+9)&lt;&gt;$A234,-2,IF(INDEX(REG_B_OK,1,C234+9)&lt;&gt;0,C234+9,IF(INDEX(REG_Axle_Diameter,1,C234+10)&lt;&gt;$A234,-2,C234+10)))))))))))))))))))))</f>
        <v>-2</v>
      </c>
      <c r="E234" s="711">
        <f t="shared" si="297"/>
        <v>-2</v>
      </c>
      <c r="F234" s="711">
        <f t="shared" si="297"/>
        <v>-2</v>
      </c>
      <c r="G234" s="711">
        <f t="shared" si="297"/>
        <v>-2</v>
      </c>
      <c r="H234" s="711">
        <f t="shared" si="297"/>
        <v>-2</v>
      </c>
      <c r="I234" s="711">
        <f t="shared" si="297"/>
        <v>-2</v>
      </c>
      <c r="J234" s="711">
        <f t="shared" si="297"/>
        <v>-2</v>
      </c>
      <c r="K234" s="711">
        <f t="shared" si="297"/>
        <v>-2</v>
      </c>
      <c r="L234" s="719">
        <f t="shared" si="297"/>
        <v>-2</v>
      </c>
    </row>
    <row r="235" spans="1:12" ht="15.95" customHeight="1">
      <c r="A235" s="106"/>
      <c r="B235" s="106"/>
      <c r="C235" s="712">
        <f t="shared" ref="C235:L235" si="298">IF(C236=0,0,INDEX(REG_Bearing_Type,1,C234))</f>
        <v>0</v>
      </c>
      <c r="D235" s="713">
        <f t="shared" si="298"/>
        <v>0</v>
      </c>
      <c r="E235" s="713">
        <f t="shared" si="298"/>
        <v>0</v>
      </c>
      <c r="F235" s="713">
        <f t="shared" si="298"/>
        <v>0</v>
      </c>
      <c r="G235" s="713">
        <f t="shared" si="298"/>
        <v>0</v>
      </c>
      <c r="H235" s="713">
        <f t="shared" si="298"/>
        <v>0</v>
      </c>
      <c r="I235" s="713">
        <f t="shared" si="298"/>
        <v>0</v>
      </c>
      <c r="J235" s="713">
        <f t="shared" si="298"/>
        <v>0</v>
      </c>
      <c r="K235" s="713">
        <f t="shared" si="298"/>
        <v>0</v>
      </c>
      <c r="L235" s="720">
        <f t="shared" si="298"/>
        <v>0</v>
      </c>
    </row>
    <row r="236" spans="1:12" ht="15.95" customHeight="1">
      <c r="A236" s="106"/>
      <c r="B236" s="106"/>
      <c r="C236" s="710">
        <f t="shared" ref="C236:L236" si="299">IF(C234&lt;0,0,INDEX(REG_B_OK,1,C234))</f>
        <v>0</v>
      </c>
      <c r="D236" s="711">
        <f t="shared" si="299"/>
        <v>0</v>
      </c>
      <c r="E236" s="711">
        <f t="shared" si="299"/>
        <v>0</v>
      </c>
      <c r="F236" s="711">
        <f t="shared" si="299"/>
        <v>0</v>
      </c>
      <c r="G236" s="711">
        <f t="shared" si="299"/>
        <v>0</v>
      </c>
      <c r="H236" s="711">
        <f t="shared" si="299"/>
        <v>0</v>
      </c>
      <c r="I236" s="711">
        <f t="shared" si="299"/>
        <v>0</v>
      </c>
      <c r="J236" s="711">
        <f t="shared" si="299"/>
        <v>0</v>
      </c>
      <c r="K236" s="711">
        <f t="shared" si="299"/>
        <v>0</v>
      </c>
      <c r="L236" s="719">
        <f t="shared" si="299"/>
        <v>0</v>
      </c>
    </row>
    <row r="237" spans="1:12" ht="15.95" customHeight="1">
      <c r="A237" s="106">
        <v>190</v>
      </c>
      <c r="B237" s="106" t="e">
        <f>MATCH($A237,REG_Axle_Diameter,0)</f>
        <v>#N/A</v>
      </c>
      <c r="C237" s="714">
        <f>IF(ISERROR($B237),-3,IF(INDEX(REG_Axle_Diameter,1,B237)&lt;&gt;$A237,-2,IF(INDEX(REG_B_OK,1,B237)&lt;&gt;0,B237,IF(INDEX(REG_Axle_Diameter,1,B237+1)&lt;&gt;$A237,-2,IF(INDEX(REG_B_OK,1,B237+1)&lt;&gt;0,B237+1,IF(INDEX(REG_Axle_Diameter,1,B237+2)&lt;&gt;$A237,-2,IF(INDEX(REG_B_OK,1,B237+2)&lt;&gt;0,B237+2,IF(INDEX(REG_Axle_Diameter,1,B237+3)&lt;&gt;$A237,-2,IF(INDEX(REG_B_OK,1,B237+3)&lt;&gt;0,B237+3,IF(INDEX(REG_Axle_Diameter,1,B237+4)&lt;&gt;$A237,-2,IF(INDEX(REG_B_OK,1,B237+4)&lt;&gt;0,B237+4,IF(INDEX(REG_Axle_Diameter,1,B237+5)&lt;&gt;$A237,-2,IF(INDEX(REG_B_OK,1,B237+5)&lt;&gt;0,B237+5,IF(INDEX(REG_Axle_Diameter,1,B237+6)&lt;&gt;$A237,-2,IF(INDEX(REG_B_OK,1,B237+6)&lt;&gt;0,B237+6,IF(INDEX(REG_Axle_Diameter,1,B237+7)&lt;&gt;$A237,-2,IF(INDEX(REG_B_OK,1,B237+7)&lt;&gt;0,B237+7,IF(INDEX(REG_Axle_Diameter,1,B237+8)&lt;&gt;$A237,-2,IF(INDEX(REG_B_OK,1,B237+8)&lt;&gt;0,B237+8,IF(INDEX(REG_Axle_Diameter,1,B237+9)&lt;&gt;$A237,-2,IF(INDEX(REG_B_OK,1,B237+9)&lt;&gt;0,B237+9,IF(INDEX(REG_Axle_Diameter,1,B237+10)&lt;&gt;$A237,-2,B237+10))))))))))))))))))))))</f>
        <v>-3</v>
      </c>
      <c r="D237" s="710">
        <f t="shared" ref="D237:L237" si="300">IF(ISERROR($B237),-3,IF(C237=-2,-2,IF(INDEX(REG_Axle_Diameter,1,C237+1)&lt;&gt;$A237,-2,IF(INDEX(REG_B_OK,1,C237+1)&lt;&gt;0,C237+1,IF(INDEX(REG_Axle_Diameter,1,C237+2)&lt;&gt;$A237,-2,IF(INDEX(REG_B_OK,1,C237+2)&lt;&gt;0,C237+2,IF(INDEX(REG_Axle_Diameter,1,C237+3)&lt;&gt;$A237,-2,IF(INDEX(REG_B_OK,1,C237+3)&lt;&gt;0,C237+3,IF(INDEX(REG_Axle_Diameter,1,C237+4)&lt;&gt;$A237,-2,IF(INDEX(REG_B_OK,1,C237+4)&lt;&gt;0,C237+4,IF(INDEX(REG_Axle_Diameter,1,C237+5)&lt;&gt;$A237,-2,IF(INDEX(REG_B_OK,1,C237+5)&lt;&gt;0,C237+5,IF(INDEX(REG_Axle_Diameter,1,C237+6)&lt;&gt;$A237,-2,IF(INDEX(REG_B_OK,1,C237+6)&lt;&gt;0,C237+6,IF(INDEX(REG_Axle_Diameter,1,C237+7)&lt;&gt;$A237,-2,IF(INDEX(REG_B_OK,1,C237+7)&lt;&gt;0,C237+7,IF(INDEX(REG_Axle_Diameter,1,C237+8)&lt;&gt;$A237,-2,IF(INDEX(REG_B_OK,1,C237+8)&lt;&gt;0,C237+8,IF(INDEX(REG_Axle_Diameter,1,C237+9)&lt;&gt;$A237,-2,IF(INDEX(REG_B_OK,1,C237+9)&lt;&gt;0,C237+9,IF(INDEX(REG_Axle_Diameter,1,C237+10)&lt;&gt;$A237,-2,C237+10)))))))))))))))))))))</f>
        <v>-3</v>
      </c>
      <c r="E237" s="711">
        <f t="shared" si="300"/>
        <v>-3</v>
      </c>
      <c r="F237" s="711">
        <f t="shared" si="300"/>
        <v>-3</v>
      </c>
      <c r="G237" s="711">
        <f t="shared" si="300"/>
        <v>-3</v>
      </c>
      <c r="H237" s="711">
        <f t="shared" si="300"/>
        <v>-3</v>
      </c>
      <c r="I237" s="711">
        <f t="shared" si="300"/>
        <v>-3</v>
      </c>
      <c r="J237" s="711">
        <f t="shared" si="300"/>
        <v>-3</v>
      </c>
      <c r="K237" s="711">
        <f t="shared" si="300"/>
        <v>-3</v>
      </c>
      <c r="L237" s="719">
        <f t="shared" si="300"/>
        <v>-3</v>
      </c>
    </row>
    <row r="238" spans="1:12" ht="15.95" customHeight="1">
      <c r="A238" s="106"/>
      <c r="B238" s="106"/>
      <c r="C238" s="712">
        <f t="shared" ref="C238:L238" si="301">IF(C239=0,0,INDEX(REG_Bearing_Type,1,C237))</f>
        <v>0</v>
      </c>
      <c r="D238" s="713">
        <f t="shared" si="301"/>
        <v>0</v>
      </c>
      <c r="E238" s="713">
        <f t="shared" si="301"/>
        <v>0</v>
      </c>
      <c r="F238" s="713">
        <f t="shared" si="301"/>
        <v>0</v>
      </c>
      <c r="G238" s="713">
        <f t="shared" si="301"/>
        <v>0</v>
      </c>
      <c r="H238" s="713">
        <f t="shared" si="301"/>
        <v>0</v>
      </c>
      <c r="I238" s="713">
        <f t="shared" si="301"/>
        <v>0</v>
      </c>
      <c r="J238" s="713">
        <f t="shared" si="301"/>
        <v>0</v>
      </c>
      <c r="K238" s="713">
        <f t="shared" si="301"/>
        <v>0</v>
      </c>
      <c r="L238" s="720">
        <f t="shared" si="301"/>
        <v>0</v>
      </c>
    </row>
    <row r="239" spans="1:12" ht="15.95" customHeight="1">
      <c r="A239" s="106"/>
      <c r="B239" s="106"/>
      <c r="C239" s="710">
        <f t="shared" ref="C239:L239" si="302">IF(C237&lt;0,0,INDEX(REG_B_OK,1,C237))</f>
        <v>0</v>
      </c>
      <c r="D239" s="711">
        <f t="shared" si="302"/>
        <v>0</v>
      </c>
      <c r="E239" s="711">
        <f t="shared" si="302"/>
        <v>0</v>
      </c>
      <c r="F239" s="711">
        <f t="shared" si="302"/>
        <v>0</v>
      </c>
      <c r="G239" s="711">
        <f t="shared" si="302"/>
        <v>0</v>
      </c>
      <c r="H239" s="711">
        <f t="shared" si="302"/>
        <v>0</v>
      </c>
      <c r="I239" s="711">
        <f t="shared" si="302"/>
        <v>0</v>
      </c>
      <c r="J239" s="711">
        <f t="shared" si="302"/>
        <v>0</v>
      </c>
      <c r="K239" s="711">
        <f t="shared" si="302"/>
        <v>0</v>
      </c>
      <c r="L239" s="719">
        <f t="shared" si="302"/>
        <v>0</v>
      </c>
    </row>
    <row r="240" spans="1:12" ht="15.95" customHeight="1">
      <c r="A240" s="106">
        <v>200</v>
      </c>
      <c r="B240" s="106">
        <f>MATCH($A240,REG_Axle_Diameter,0)</f>
        <v>107</v>
      </c>
      <c r="C240" s="714">
        <f>IF(ISERROR($B240),-3,IF(INDEX(REG_Axle_Diameter,1,B240)&lt;&gt;$A240,-2,IF(INDEX(REG_B_OK,1,B240)&lt;&gt;0,B240,IF(INDEX(REG_Axle_Diameter,1,B240+1)&lt;&gt;$A240,-2,IF(INDEX(REG_B_OK,1,B240+1)&lt;&gt;0,B240+1,IF(INDEX(REG_Axle_Diameter,1,B240+2)&lt;&gt;$A240,-2,IF(INDEX(REG_B_OK,1,B240+2)&lt;&gt;0,B240+2,IF(INDEX(REG_Axle_Diameter,1,B240+3)&lt;&gt;$A240,-2,IF(INDEX(REG_B_OK,1,B240+3)&lt;&gt;0,B240+3,IF(INDEX(REG_Axle_Diameter,1,B240+4)&lt;&gt;$A240,-2,IF(INDEX(REG_B_OK,1,B240+4)&lt;&gt;0,B240+4,IF(INDEX(REG_Axle_Diameter,1,B240+5)&lt;&gt;$A240,-2,IF(INDEX(REG_B_OK,1,B240+5)&lt;&gt;0,B240+5,IF(INDEX(REG_Axle_Diameter,1,B240+6)&lt;&gt;$A240,-2,IF(INDEX(REG_B_OK,1,B240+6)&lt;&gt;0,B240+6,IF(INDEX(REG_Axle_Diameter,1,B240+7)&lt;&gt;$A240,-2,IF(INDEX(REG_B_OK,1,B240+7)&lt;&gt;0,B240+7,IF(INDEX(REG_Axle_Diameter,1,B240+8)&lt;&gt;$A240,-2,IF(INDEX(REG_B_OK,1,B240+8)&lt;&gt;0,B240+8,IF(INDEX(REG_Axle_Diameter,1,B240+9)&lt;&gt;$A240,-2,IF(INDEX(REG_B_OK,1,B240+9)&lt;&gt;0,B240+9,IF(INDEX(REG_Axle_Diameter,1,B240+10)&lt;&gt;$A240,-2,B240+10))))))))))))))))))))))</f>
        <v>-2</v>
      </c>
      <c r="D240" s="710">
        <f t="shared" ref="D240:L240" si="303">IF(ISERROR($B240),-3,IF(C240=-2,-2,IF(INDEX(REG_Axle_Diameter,1,C240+1)&lt;&gt;$A240,-2,IF(INDEX(REG_B_OK,1,C240+1)&lt;&gt;0,C240+1,IF(INDEX(REG_Axle_Diameter,1,C240+2)&lt;&gt;$A240,-2,IF(INDEX(REG_B_OK,1,C240+2)&lt;&gt;0,C240+2,IF(INDEX(REG_Axle_Diameter,1,C240+3)&lt;&gt;$A240,-2,IF(INDEX(REG_B_OK,1,C240+3)&lt;&gt;0,C240+3,IF(INDEX(REG_Axle_Diameter,1,C240+4)&lt;&gt;$A240,-2,IF(INDEX(REG_B_OK,1,C240+4)&lt;&gt;0,C240+4,IF(INDEX(REG_Axle_Diameter,1,C240+5)&lt;&gt;$A240,-2,IF(INDEX(REG_B_OK,1,C240+5)&lt;&gt;0,C240+5,IF(INDEX(REG_Axle_Diameter,1,C240+6)&lt;&gt;$A240,-2,IF(INDEX(REG_B_OK,1,C240+6)&lt;&gt;0,C240+6,IF(INDEX(REG_Axle_Diameter,1,C240+7)&lt;&gt;$A240,-2,IF(INDEX(REG_B_OK,1,C240+7)&lt;&gt;0,C240+7,IF(INDEX(REG_Axle_Diameter,1,C240+8)&lt;&gt;$A240,-2,IF(INDEX(REG_B_OK,1,C240+8)&lt;&gt;0,C240+8,IF(INDEX(REG_Axle_Diameter,1,C240+9)&lt;&gt;$A240,-2,IF(INDEX(REG_B_OK,1,C240+9)&lt;&gt;0,C240+9,IF(INDEX(REG_Axle_Diameter,1,C240+10)&lt;&gt;$A240,-2,C240+10)))))))))))))))))))))</f>
        <v>-2</v>
      </c>
      <c r="E240" s="711">
        <f t="shared" si="303"/>
        <v>-2</v>
      </c>
      <c r="F240" s="711">
        <f t="shared" si="303"/>
        <v>-2</v>
      </c>
      <c r="G240" s="711">
        <f t="shared" si="303"/>
        <v>-2</v>
      </c>
      <c r="H240" s="711">
        <f t="shared" si="303"/>
        <v>-2</v>
      </c>
      <c r="I240" s="711">
        <f t="shared" si="303"/>
        <v>-2</v>
      </c>
      <c r="J240" s="711">
        <f t="shared" si="303"/>
        <v>-2</v>
      </c>
      <c r="K240" s="711">
        <f t="shared" si="303"/>
        <v>-2</v>
      </c>
      <c r="L240" s="719">
        <f t="shared" si="303"/>
        <v>-2</v>
      </c>
    </row>
    <row r="241" spans="1:12" ht="15.95" customHeight="1">
      <c r="A241" s="106"/>
      <c r="B241" s="106"/>
      <c r="C241" s="712">
        <f t="shared" ref="C241:L241" si="304">IF(C242=0,0,INDEX(REG_Bearing_Type,1,C240))</f>
        <v>0</v>
      </c>
      <c r="D241" s="713">
        <f t="shared" si="304"/>
        <v>0</v>
      </c>
      <c r="E241" s="713">
        <f t="shared" si="304"/>
        <v>0</v>
      </c>
      <c r="F241" s="713">
        <f t="shared" si="304"/>
        <v>0</v>
      </c>
      <c r="G241" s="713">
        <f t="shared" si="304"/>
        <v>0</v>
      </c>
      <c r="H241" s="713">
        <f t="shared" si="304"/>
        <v>0</v>
      </c>
      <c r="I241" s="713">
        <f t="shared" si="304"/>
        <v>0</v>
      </c>
      <c r="J241" s="713">
        <f t="shared" si="304"/>
        <v>0</v>
      </c>
      <c r="K241" s="713">
        <f t="shared" si="304"/>
        <v>0</v>
      </c>
      <c r="L241" s="720">
        <f t="shared" si="304"/>
        <v>0</v>
      </c>
    </row>
    <row r="242" spans="1:12" ht="15.95" customHeight="1">
      <c r="A242" s="106"/>
      <c r="B242" s="106"/>
      <c r="C242" s="710">
        <f t="shared" ref="C242:L242" si="305">IF(C240&lt;0,0,INDEX(REG_B_OK,1,C240))</f>
        <v>0</v>
      </c>
      <c r="D242" s="711">
        <f t="shared" si="305"/>
        <v>0</v>
      </c>
      <c r="E242" s="711">
        <f t="shared" si="305"/>
        <v>0</v>
      </c>
      <c r="F242" s="711">
        <f t="shared" si="305"/>
        <v>0</v>
      </c>
      <c r="G242" s="711">
        <f t="shared" si="305"/>
        <v>0</v>
      </c>
      <c r="H242" s="711">
        <f t="shared" si="305"/>
        <v>0</v>
      </c>
      <c r="I242" s="711">
        <f t="shared" si="305"/>
        <v>0</v>
      </c>
      <c r="J242" s="711">
        <f t="shared" si="305"/>
        <v>0</v>
      </c>
      <c r="K242" s="711">
        <f t="shared" si="305"/>
        <v>0</v>
      </c>
      <c r="L242" s="719">
        <f t="shared" si="305"/>
        <v>0</v>
      </c>
    </row>
    <row r="243" spans="1:12" ht="15.95" customHeight="1">
      <c r="A243" s="106">
        <v>210</v>
      </c>
      <c r="B243" s="106" t="e">
        <f>MATCH($A243,REG_Axle_Diameter,0)</f>
        <v>#N/A</v>
      </c>
      <c r="C243" s="714">
        <f>IF(ISERROR($B243),-3,IF(INDEX(REG_Axle_Diameter,1,B243)&lt;&gt;$A243,-2,IF(INDEX(REG_B_OK,1,B243)&lt;&gt;0,B243,IF(INDEX(REG_Axle_Diameter,1,B243+1)&lt;&gt;$A243,-2,IF(INDEX(REG_B_OK,1,B243+1)&lt;&gt;0,B243+1,IF(INDEX(REG_Axle_Diameter,1,B243+2)&lt;&gt;$A243,-2,IF(INDEX(REG_B_OK,1,B243+2)&lt;&gt;0,B243+2,IF(INDEX(REG_Axle_Diameter,1,B243+3)&lt;&gt;$A243,-2,IF(INDEX(REG_B_OK,1,B243+3)&lt;&gt;0,B243+3,IF(INDEX(REG_Axle_Diameter,1,B243+4)&lt;&gt;$A243,-2,IF(INDEX(REG_B_OK,1,B243+4)&lt;&gt;0,B243+4,IF(INDEX(REG_Axle_Diameter,1,B243+5)&lt;&gt;$A243,-2,IF(INDEX(REG_B_OK,1,B243+5)&lt;&gt;0,B243+5,IF(INDEX(REG_Axle_Diameter,1,B243+6)&lt;&gt;$A243,-2,IF(INDEX(REG_B_OK,1,B243+6)&lt;&gt;0,B243+6,IF(INDEX(REG_Axle_Diameter,1,B243+7)&lt;&gt;$A243,-2,IF(INDEX(REG_B_OK,1,B243+7)&lt;&gt;0,B243+7,IF(INDEX(REG_Axle_Diameter,1,B243+8)&lt;&gt;$A243,-2,IF(INDEX(REG_B_OK,1,B243+8)&lt;&gt;0,B243+8,IF(INDEX(REG_Axle_Diameter,1,B243+9)&lt;&gt;$A243,-2,IF(INDEX(REG_B_OK,1,B243+9)&lt;&gt;0,B243+9,IF(INDEX(REG_Axle_Diameter,1,B243+10)&lt;&gt;$A243,-2,B243+10))))))))))))))))))))))</f>
        <v>-3</v>
      </c>
      <c r="D243" s="710">
        <f t="shared" ref="D243" si="306">IF(ISERROR($B243),-3,IF(C243=-2,-2,IF(INDEX(REG_Axle_Diameter,1,C243+1)&lt;&gt;$A243,-2,IF(INDEX(REG_B_OK,1,C243+1)&lt;&gt;0,C243+1,IF(INDEX(REG_Axle_Diameter,1,C243+2)&lt;&gt;$A243,-2,IF(INDEX(REG_B_OK,1,C243+2)&lt;&gt;0,C243+2,IF(INDEX(REG_Axle_Diameter,1,C243+3)&lt;&gt;$A243,-2,IF(INDEX(REG_B_OK,1,C243+3)&lt;&gt;0,C243+3,IF(INDEX(REG_Axle_Diameter,1,C243+4)&lt;&gt;$A243,-2,IF(INDEX(REG_B_OK,1,C243+4)&lt;&gt;0,C243+4,IF(INDEX(REG_Axle_Diameter,1,C243+5)&lt;&gt;$A243,-2,IF(INDEX(REG_B_OK,1,C243+5)&lt;&gt;0,C243+5,IF(INDEX(REG_Axle_Diameter,1,C243+6)&lt;&gt;$A243,-2,IF(INDEX(REG_B_OK,1,C243+6)&lt;&gt;0,C243+6,IF(INDEX(REG_Axle_Diameter,1,C243+7)&lt;&gt;$A243,-2,IF(INDEX(REG_B_OK,1,C243+7)&lt;&gt;0,C243+7,IF(INDEX(REG_Axle_Diameter,1,C243+8)&lt;&gt;$A243,-2,IF(INDEX(REG_B_OK,1,C243+8)&lt;&gt;0,C243+8,IF(INDEX(REG_Axle_Diameter,1,C243+9)&lt;&gt;$A243,-2,IF(INDEX(REG_B_OK,1,C243+9)&lt;&gt;0,C243+9,IF(INDEX(REG_Axle_Diameter,1,C243+10)&lt;&gt;$A243,-2,C243+10)))))))))))))))))))))</f>
        <v>-3</v>
      </c>
      <c r="E243" s="711">
        <f t="shared" ref="E243" si="307">IF(ISERROR($B243),-3,IF(D243=-2,-2,IF(INDEX(REG_Axle_Diameter,1,D243+1)&lt;&gt;$A243,-2,IF(INDEX(REG_B_OK,1,D243+1)&lt;&gt;0,D243+1,IF(INDEX(REG_Axle_Diameter,1,D243+2)&lt;&gt;$A243,-2,IF(INDEX(REG_B_OK,1,D243+2)&lt;&gt;0,D243+2,IF(INDEX(REG_Axle_Diameter,1,D243+3)&lt;&gt;$A243,-2,IF(INDEX(REG_B_OK,1,D243+3)&lt;&gt;0,D243+3,IF(INDEX(REG_Axle_Diameter,1,D243+4)&lt;&gt;$A243,-2,IF(INDEX(REG_B_OK,1,D243+4)&lt;&gt;0,D243+4,IF(INDEX(REG_Axle_Diameter,1,D243+5)&lt;&gt;$A243,-2,IF(INDEX(REG_B_OK,1,D243+5)&lt;&gt;0,D243+5,IF(INDEX(REG_Axle_Diameter,1,D243+6)&lt;&gt;$A243,-2,IF(INDEX(REG_B_OK,1,D243+6)&lt;&gt;0,D243+6,IF(INDEX(REG_Axle_Diameter,1,D243+7)&lt;&gt;$A243,-2,IF(INDEX(REG_B_OK,1,D243+7)&lt;&gt;0,D243+7,IF(INDEX(REG_Axle_Diameter,1,D243+8)&lt;&gt;$A243,-2,IF(INDEX(REG_B_OK,1,D243+8)&lt;&gt;0,D243+8,IF(INDEX(REG_Axle_Diameter,1,D243+9)&lt;&gt;$A243,-2,IF(INDEX(REG_B_OK,1,D243+9)&lt;&gt;0,D243+9,IF(INDEX(REG_Axle_Diameter,1,D243+10)&lt;&gt;$A243,-2,D243+10)))))))))))))))))))))</f>
        <v>-3</v>
      </c>
      <c r="F243" s="711">
        <f t="shared" ref="F243" si="308">IF(ISERROR($B243),-3,IF(E243=-2,-2,IF(INDEX(REG_Axle_Diameter,1,E243+1)&lt;&gt;$A243,-2,IF(INDEX(REG_B_OK,1,E243+1)&lt;&gt;0,E243+1,IF(INDEX(REG_Axle_Diameter,1,E243+2)&lt;&gt;$A243,-2,IF(INDEX(REG_B_OK,1,E243+2)&lt;&gt;0,E243+2,IF(INDEX(REG_Axle_Diameter,1,E243+3)&lt;&gt;$A243,-2,IF(INDEX(REG_B_OK,1,E243+3)&lt;&gt;0,E243+3,IF(INDEX(REG_Axle_Diameter,1,E243+4)&lt;&gt;$A243,-2,IF(INDEX(REG_B_OK,1,E243+4)&lt;&gt;0,E243+4,IF(INDEX(REG_Axle_Diameter,1,E243+5)&lt;&gt;$A243,-2,IF(INDEX(REG_B_OK,1,E243+5)&lt;&gt;0,E243+5,IF(INDEX(REG_Axle_Diameter,1,E243+6)&lt;&gt;$A243,-2,IF(INDEX(REG_B_OK,1,E243+6)&lt;&gt;0,E243+6,IF(INDEX(REG_Axle_Diameter,1,E243+7)&lt;&gt;$A243,-2,IF(INDEX(REG_B_OK,1,E243+7)&lt;&gt;0,E243+7,IF(INDEX(REG_Axle_Diameter,1,E243+8)&lt;&gt;$A243,-2,IF(INDEX(REG_B_OK,1,E243+8)&lt;&gt;0,E243+8,IF(INDEX(REG_Axle_Diameter,1,E243+9)&lt;&gt;$A243,-2,IF(INDEX(REG_B_OK,1,E243+9)&lt;&gt;0,E243+9,IF(INDEX(REG_Axle_Diameter,1,E243+10)&lt;&gt;$A243,-2,E243+10)))))))))))))))))))))</f>
        <v>-3</v>
      </c>
      <c r="G243" s="711">
        <f t="shared" ref="G243" si="309">IF(ISERROR($B243),-3,IF(F243=-2,-2,IF(INDEX(REG_Axle_Diameter,1,F243+1)&lt;&gt;$A243,-2,IF(INDEX(REG_B_OK,1,F243+1)&lt;&gt;0,F243+1,IF(INDEX(REG_Axle_Diameter,1,F243+2)&lt;&gt;$A243,-2,IF(INDEX(REG_B_OK,1,F243+2)&lt;&gt;0,F243+2,IF(INDEX(REG_Axle_Diameter,1,F243+3)&lt;&gt;$A243,-2,IF(INDEX(REG_B_OK,1,F243+3)&lt;&gt;0,F243+3,IF(INDEX(REG_Axle_Diameter,1,F243+4)&lt;&gt;$A243,-2,IF(INDEX(REG_B_OK,1,F243+4)&lt;&gt;0,F243+4,IF(INDEX(REG_Axle_Diameter,1,F243+5)&lt;&gt;$A243,-2,IF(INDEX(REG_B_OK,1,F243+5)&lt;&gt;0,F243+5,IF(INDEX(REG_Axle_Diameter,1,F243+6)&lt;&gt;$A243,-2,IF(INDEX(REG_B_OK,1,F243+6)&lt;&gt;0,F243+6,IF(INDEX(REG_Axle_Diameter,1,F243+7)&lt;&gt;$A243,-2,IF(INDEX(REG_B_OK,1,F243+7)&lt;&gt;0,F243+7,IF(INDEX(REG_Axle_Diameter,1,F243+8)&lt;&gt;$A243,-2,IF(INDEX(REG_B_OK,1,F243+8)&lt;&gt;0,F243+8,IF(INDEX(REG_Axle_Diameter,1,F243+9)&lt;&gt;$A243,-2,IF(INDEX(REG_B_OK,1,F243+9)&lt;&gt;0,F243+9,IF(INDEX(REG_Axle_Diameter,1,F243+10)&lt;&gt;$A243,-2,F243+10)))))))))))))))))))))</f>
        <v>-3</v>
      </c>
      <c r="H243" s="711">
        <f t="shared" ref="H243" si="310">IF(ISERROR($B243),-3,IF(G243=-2,-2,IF(INDEX(REG_Axle_Diameter,1,G243+1)&lt;&gt;$A243,-2,IF(INDEX(REG_B_OK,1,G243+1)&lt;&gt;0,G243+1,IF(INDEX(REG_Axle_Diameter,1,G243+2)&lt;&gt;$A243,-2,IF(INDEX(REG_B_OK,1,G243+2)&lt;&gt;0,G243+2,IF(INDEX(REG_Axle_Diameter,1,G243+3)&lt;&gt;$A243,-2,IF(INDEX(REG_B_OK,1,G243+3)&lt;&gt;0,G243+3,IF(INDEX(REG_Axle_Diameter,1,G243+4)&lt;&gt;$A243,-2,IF(INDEX(REG_B_OK,1,G243+4)&lt;&gt;0,G243+4,IF(INDEX(REG_Axle_Diameter,1,G243+5)&lt;&gt;$A243,-2,IF(INDEX(REG_B_OK,1,G243+5)&lt;&gt;0,G243+5,IF(INDEX(REG_Axle_Diameter,1,G243+6)&lt;&gt;$A243,-2,IF(INDEX(REG_B_OK,1,G243+6)&lt;&gt;0,G243+6,IF(INDEX(REG_Axle_Diameter,1,G243+7)&lt;&gt;$A243,-2,IF(INDEX(REG_B_OK,1,G243+7)&lt;&gt;0,G243+7,IF(INDEX(REG_Axle_Diameter,1,G243+8)&lt;&gt;$A243,-2,IF(INDEX(REG_B_OK,1,G243+8)&lt;&gt;0,G243+8,IF(INDEX(REG_Axle_Diameter,1,G243+9)&lt;&gt;$A243,-2,IF(INDEX(REG_B_OK,1,G243+9)&lt;&gt;0,G243+9,IF(INDEX(REG_Axle_Diameter,1,G243+10)&lt;&gt;$A243,-2,G243+10)))))))))))))))))))))</f>
        <v>-3</v>
      </c>
      <c r="I243" s="711">
        <f t="shared" ref="I243" si="311">IF(ISERROR($B243),-3,IF(H243=-2,-2,IF(INDEX(REG_Axle_Diameter,1,H243+1)&lt;&gt;$A243,-2,IF(INDEX(REG_B_OK,1,H243+1)&lt;&gt;0,H243+1,IF(INDEX(REG_Axle_Diameter,1,H243+2)&lt;&gt;$A243,-2,IF(INDEX(REG_B_OK,1,H243+2)&lt;&gt;0,H243+2,IF(INDEX(REG_Axle_Diameter,1,H243+3)&lt;&gt;$A243,-2,IF(INDEX(REG_B_OK,1,H243+3)&lt;&gt;0,H243+3,IF(INDEX(REG_Axle_Diameter,1,H243+4)&lt;&gt;$A243,-2,IF(INDEX(REG_B_OK,1,H243+4)&lt;&gt;0,H243+4,IF(INDEX(REG_Axle_Diameter,1,H243+5)&lt;&gt;$A243,-2,IF(INDEX(REG_B_OK,1,H243+5)&lt;&gt;0,H243+5,IF(INDEX(REG_Axle_Diameter,1,H243+6)&lt;&gt;$A243,-2,IF(INDEX(REG_B_OK,1,H243+6)&lt;&gt;0,H243+6,IF(INDEX(REG_Axle_Diameter,1,H243+7)&lt;&gt;$A243,-2,IF(INDEX(REG_B_OK,1,H243+7)&lt;&gt;0,H243+7,IF(INDEX(REG_Axle_Diameter,1,H243+8)&lt;&gt;$A243,-2,IF(INDEX(REG_B_OK,1,H243+8)&lt;&gt;0,H243+8,IF(INDEX(REG_Axle_Diameter,1,H243+9)&lt;&gt;$A243,-2,IF(INDEX(REG_B_OK,1,H243+9)&lt;&gt;0,H243+9,IF(INDEX(REG_Axle_Diameter,1,H243+10)&lt;&gt;$A243,-2,H243+10)))))))))))))))))))))</f>
        <v>-3</v>
      </c>
      <c r="J243" s="711">
        <f t="shared" ref="J243" si="312">IF(ISERROR($B243),-3,IF(I243=-2,-2,IF(INDEX(REG_Axle_Diameter,1,I243+1)&lt;&gt;$A243,-2,IF(INDEX(REG_B_OK,1,I243+1)&lt;&gt;0,I243+1,IF(INDEX(REG_Axle_Diameter,1,I243+2)&lt;&gt;$A243,-2,IF(INDEX(REG_B_OK,1,I243+2)&lt;&gt;0,I243+2,IF(INDEX(REG_Axle_Diameter,1,I243+3)&lt;&gt;$A243,-2,IF(INDEX(REG_B_OK,1,I243+3)&lt;&gt;0,I243+3,IF(INDEX(REG_Axle_Diameter,1,I243+4)&lt;&gt;$A243,-2,IF(INDEX(REG_B_OK,1,I243+4)&lt;&gt;0,I243+4,IF(INDEX(REG_Axle_Diameter,1,I243+5)&lt;&gt;$A243,-2,IF(INDEX(REG_B_OK,1,I243+5)&lt;&gt;0,I243+5,IF(INDEX(REG_Axle_Diameter,1,I243+6)&lt;&gt;$A243,-2,IF(INDEX(REG_B_OK,1,I243+6)&lt;&gt;0,I243+6,IF(INDEX(REG_Axle_Diameter,1,I243+7)&lt;&gt;$A243,-2,IF(INDEX(REG_B_OK,1,I243+7)&lt;&gt;0,I243+7,IF(INDEX(REG_Axle_Diameter,1,I243+8)&lt;&gt;$A243,-2,IF(INDEX(REG_B_OK,1,I243+8)&lt;&gt;0,I243+8,IF(INDEX(REG_Axle_Diameter,1,I243+9)&lt;&gt;$A243,-2,IF(INDEX(REG_B_OK,1,I243+9)&lt;&gt;0,I243+9,IF(INDEX(REG_Axle_Diameter,1,I243+10)&lt;&gt;$A243,-2,I243+10)))))))))))))))))))))</f>
        <v>-3</v>
      </c>
      <c r="K243" s="711">
        <f t="shared" ref="K243" si="313">IF(ISERROR($B243),-3,IF(J243=-2,-2,IF(INDEX(REG_Axle_Diameter,1,J243+1)&lt;&gt;$A243,-2,IF(INDEX(REG_B_OK,1,J243+1)&lt;&gt;0,J243+1,IF(INDEX(REG_Axle_Diameter,1,J243+2)&lt;&gt;$A243,-2,IF(INDEX(REG_B_OK,1,J243+2)&lt;&gt;0,J243+2,IF(INDEX(REG_Axle_Diameter,1,J243+3)&lt;&gt;$A243,-2,IF(INDEX(REG_B_OK,1,J243+3)&lt;&gt;0,J243+3,IF(INDEX(REG_Axle_Diameter,1,J243+4)&lt;&gt;$A243,-2,IF(INDEX(REG_B_OK,1,J243+4)&lt;&gt;0,J243+4,IF(INDEX(REG_Axle_Diameter,1,J243+5)&lt;&gt;$A243,-2,IF(INDEX(REG_B_OK,1,J243+5)&lt;&gt;0,J243+5,IF(INDEX(REG_Axle_Diameter,1,J243+6)&lt;&gt;$A243,-2,IF(INDEX(REG_B_OK,1,J243+6)&lt;&gt;0,J243+6,IF(INDEX(REG_Axle_Diameter,1,J243+7)&lt;&gt;$A243,-2,IF(INDEX(REG_B_OK,1,J243+7)&lt;&gt;0,J243+7,IF(INDEX(REG_Axle_Diameter,1,J243+8)&lt;&gt;$A243,-2,IF(INDEX(REG_B_OK,1,J243+8)&lt;&gt;0,J243+8,IF(INDEX(REG_Axle_Diameter,1,J243+9)&lt;&gt;$A243,-2,IF(INDEX(REG_B_OK,1,J243+9)&lt;&gt;0,J243+9,IF(INDEX(REG_Axle_Diameter,1,J243+10)&lt;&gt;$A243,-2,J243+10)))))))))))))))))))))</f>
        <v>-3</v>
      </c>
      <c r="L243" s="719">
        <f t="shared" ref="L243" si="314">IF(ISERROR($B243),-3,IF(K243=-2,-2,IF(INDEX(REG_Axle_Diameter,1,K243+1)&lt;&gt;$A243,-2,IF(INDEX(REG_B_OK,1,K243+1)&lt;&gt;0,K243+1,IF(INDEX(REG_Axle_Diameter,1,K243+2)&lt;&gt;$A243,-2,IF(INDEX(REG_B_OK,1,K243+2)&lt;&gt;0,K243+2,IF(INDEX(REG_Axle_Diameter,1,K243+3)&lt;&gt;$A243,-2,IF(INDEX(REG_B_OK,1,K243+3)&lt;&gt;0,K243+3,IF(INDEX(REG_Axle_Diameter,1,K243+4)&lt;&gt;$A243,-2,IF(INDEX(REG_B_OK,1,K243+4)&lt;&gt;0,K243+4,IF(INDEX(REG_Axle_Diameter,1,K243+5)&lt;&gt;$A243,-2,IF(INDEX(REG_B_OK,1,K243+5)&lt;&gt;0,K243+5,IF(INDEX(REG_Axle_Diameter,1,K243+6)&lt;&gt;$A243,-2,IF(INDEX(REG_B_OK,1,K243+6)&lt;&gt;0,K243+6,IF(INDEX(REG_Axle_Diameter,1,K243+7)&lt;&gt;$A243,-2,IF(INDEX(REG_B_OK,1,K243+7)&lt;&gt;0,K243+7,IF(INDEX(REG_Axle_Diameter,1,K243+8)&lt;&gt;$A243,-2,IF(INDEX(REG_B_OK,1,K243+8)&lt;&gt;0,K243+8,IF(INDEX(REG_Axle_Diameter,1,K243+9)&lt;&gt;$A243,-2,IF(INDEX(REG_B_OK,1,K243+9)&lt;&gt;0,K243+9,IF(INDEX(REG_Axle_Diameter,1,K243+10)&lt;&gt;$A243,-2,K243+10)))))))))))))))))))))</f>
        <v>-3</v>
      </c>
    </row>
    <row r="244" spans="1:12" ht="15.95" customHeight="1">
      <c r="A244" s="106"/>
      <c r="B244" s="106"/>
      <c r="C244" s="712">
        <f t="shared" ref="C244:L244" si="315">IF(C245=0,0,INDEX(REG_Bearing_Type,1,C243))</f>
        <v>0</v>
      </c>
      <c r="D244" s="713">
        <f t="shared" si="315"/>
        <v>0</v>
      </c>
      <c r="E244" s="713">
        <f t="shared" si="315"/>
        <v>0</v>
      </c>
      <c r="F244" s="713">
        <f t="shared" si="315"/>
        <v>0</v>
      </c>
      <c r="G244" s="713">
        <f t="shared" si="315"/>
        <v>0</v>
      </c>
      <c r="H244" s="713">
        <f t="shared" si="315"/>
        <v>0</v>
      </c>
      <c r="I244" s="713">
        <f t="shared" si="315"/>
        <v>0</v>
      </c>
      <c r="J244" s="713">
        <f t="shared" si="315"/>
        <v>0</v>
      </c>
      <c r="K244" s="713">
        <f t="shared" si="315"/>
        <v>0</v>
      </c>
      <c r="L244" s="720">
        <f t="shared" si="315"/>
        <v>0</v>
      </c>
    </row>
    <row r="245" spans="1:12" ht="15.95" customHeight="1">
      <c r="A245" s="106"/>
      <c r="B245" s="106"/>
      <c r="C245" s="710">
        <f t="shared" ref="C245:L245" si="316">IF(C243&lt;0,0,INDEX(REG_B_OK,1,C243))</f>
        <v>0</v>
      </c>
      <c r="D245" s="711">
        <f t="shared" si="316"/>
        <v>0</v>
      </c>
      <c r="E245" s="711">
        <f t="shared" si="316"/>
        <v>0</v>
      </c>
      <c r="F245" s="711">
        <f t="shared" si="316"/>
        <v>0</v>
      </c>
      <c r="G245" s="711">
        <f t="shared" si="316"/>
        <v>0</v>
      </c>
      <c r="H245" s="711">
        <f t="shared" si="316"/>
        <v>0</v>
      </c>
      <c r="I245" s="711">
        <f t="shared" si="316"/>
        <v>0</v>
      </c>
      <c r="J245" s="711">
        <f t="shared" si="316"/>
        <v>0</v>
      </c>
      <c r="K245" s="711">
        <f t="shared" si="316"/>
        <v>0</v>
      </c>
      <c r="L245" s="719">
        <f t="shared" si="316"/>
        <v>0</v>
      </c>
    </row>
    <row r="246" spans="1:12" ht="15.95" customHeight="1">
      <c r="A246" s="106">
        <v>220</v>
      </c>
      <c r="B246" s="106">
        <f>MATCH($A246,REG_Axle_Diameter,0)</f>
        <v>108</v>
      </c>
      <c r="C246" s="714">
        <f>IF(ISERROR($B246),-3,IF(INDEX(REG_Axle_Diameter,1,B246)&lt;&gt;$A246,-2,IF(INDEX(REG_B_OK,1,B246)&lt;&gt;0,B246,IF(INDEX(REG_Axle_Diameter,1,B246+1)&lt;&gt;$A246,-2,IF(INDEX(REG_B_OK,1,B246+1)&lt;&gt;0,B246+1,IF(INDEX(REG_Axle_Diameter,1,B246+2)&lt;&gt;$A246,-2,IF(INDEX(REG_B_OK,1,B246+2)&lt;&gt;0,B246+2,IF(INDEX(REG_Axle_Diameter,1,B246+3)&lt;&gt;$A246,-2,IF(INDEX(REG_B_OK,1,B246+3)&lt;&gt;0,B246+3,IF(INDEX(REG_Axle_Diameter,1,B246+4)&lt;&gt;$A246,-2,IF(INDEX(REG_B_OK,1,B246+4)&lt;&gt;0,B246+4,IF(INDEX(REG_Axle_Diameter,1,B246+5)&lt;&gt;$A246,-2,IF(INDEX(REG_B_OK,1,B246+5)&lt;&gt;0,B246+5,IF(INDEX(REG_Axle_Diameter,1,B246+6)&lt;&gt;$A246,-2,IF(INDEX(REG_B_OK,1,B246+6)&lt;&gt;0,B246+6,IF(INDEX(REG_Axle_Diameter,1,B246+7)&lt;&gt;$A246,-2,IF(INDEX(REG_B_OK,1,B246+7)&lt;&gt;0,B246+7,IF(INDEX(REG_Axle_Diameter,1,B246+8)&lt;&gt;$A246,-2,IF(INDEX(REG_B_OK,1,B246+8)&lt;&gt;0,B246+8,IF(INDEX(REG_Axle_Diameter,1,B246+9)&lt;&gt;$A246,-2,IF(INDEX(REG_B_OK,1,B246+9)&lt;&gt;0,B246+9,IF(INDEX(REG_Axle_Diameter,1,B246+10)&lt;&gt;$A246,-2,B246+10))))))))))))))))))))))</f>
        <v>-2</v>
      </c>
      <c r="D246" s="710">
        <f t="shared" ref="D246" si="317">IF(ISERROR($B246),-3,IF(C246=-2,-2,IF(INDEX(REG_Axle_Diameter,1,C246+1)&lt;&gt;$A246,-2,IF(INDEX(REG_B_OK,1,C246+1)&lt;&gt;0,C246+1,IF(INDEX(REG_Axle_Diameter,1,C246+2)&lt;&gt;$A246,-2,IF(INDEX(REG_B_OK,1,C246+2)&lt;&gt;0,C246+2,IF(INDEX(REG_Axle_Diameter,1,C246+3)&lt;&gt;$A246,-2,IF(INDEX(REG_B_OK,1,C246+3)&lt;&gt;0,C246+3,IF(INDEX(REG_Axle_Diameter,1,C246+4)&lt;&gt;$A246,-2,IF(INDEX(REG_B_OK,1,C246+4)&lt;&gt;0,C246+4,IF(INDEX(REG_Axle_Diameter,1,C246+5)&lt;&gt;$A246,-2,IF(INDEX(REG_B_OK,1,C246+5)&lt;&gt;0,C246+5,IF(INDEX(REG_Axle_Diameter,1,C246+6)&lt;&gt;$A246,-2,IF(INDEX(REG_B_OK,1,C246+6)&lt;&gt;0,C246+6,IF(INDEX(REG_Axle_Diameter,1,C246+7)&lt;&gt;$A246,-2,IF(INDEX(REG_B_OK,1,C246+7)&lt;&gt;0,C246+7,IF(INDEX(REG_Axle_Diameter,1,C246+8)&lt;&gt;$A246,-2,IF(INDEX(REG_B_OK,1,C246+8)&lt;&gt;0,C246+8,IF(INDEX(REG_Axle_Diameter,1,C246+9)&lt;&gt;$A246,-2,IF(INDEX(REG_B_OK,1,C246+9)&lt;&gt;0,C246+9,IF(INDEX(REG_Axle_Diameter,1,C246+10)&lt;&gt;$A246,-2,C246+10)))))))))))))))))))))</f>
        <v>-2</v>
      </c>
      <c r="E246" s="711">
        <f t="shared" ref="E246" si="318">IF(ISERROR($B246),-3,IF(D246=-2,-2,IF(INDEX(REG_Axle_Diameter,1,D246+1)&lt;&gt;$A246,-2,IF(INDEX(REG_B_OK,1,D246+1)&lt;&gt;0,D246+1,IF(INDEX(REG_Axle_Diameter,1,D246+2)&lt;&gt;$A246,-2,IF(INDEX(REG_B_OK,1,D246+2)&lt;&gt;0,D246+2,IF(INDEX(REG_Axle_Diameter,1,D246+3)&lt;&gt;$A246,-2,IF(INDEX(REG_B_OK,1,D246+3)&lt;&gt;0,D246+3,IF(INDEX(REG_Axle_Diameter,1,D246+4)&lt;&gt;$A246,-2,IF(INDEX(REG_B_OK,1,D246+4)&lt;&gt;0,D246+4,IF(INDEX(REG_Axle_Diameter,1,D246+5)&lt;&gt;$A246,-2,IF(INDEX(REG_B_OK,1,D246+5)&lt;&gt;0,D246+5,IF(INDEX(REG_Axle_Diameter,1,D246+6)&lt;&gt;$A246,-2,IF(INDEX(REG_B_OK,1,D246+6)&lt;&gt;0,D246+6,IF(INDEX(REG_Axle_Diameter,1,D246+7)&lt;&gt;$A246,-2,IF(INDEX(REG_B_OK,1,D246+7)&lt;&gt;0,D246+7,IF(INDEX(REG_Axle_Diameter,1,D246+8)&lt;&gt;$A246,-2,IF(INDEX(REG_B_OK,1,D246+8)&lt;&gt;0,D246+8,IF(INDEX(REG_Axle_Diameter,1,D246+9)&lt;&gt;$A246,-2,IF(INDEX(REG_B_OK,1,D246+9)&lt;&gt;0,D246+9,IF(INDEX(REG_Axle_Diameter,1,D246+10)&lt;&gt;$A246,-2,D246+10)))))))))))))))))))))</f>
        <v>-2</v>
      </c>
      <c r="F246" s="711">
        <f t="shared" ref="F246" si="319">IF(ISERROR($B246),-3,IF(E246=-2,-2,IF(INDEX(REG_Axle_Diameter,1,E246+1)&lt;&gt;$A246,-2,IF(INDEX(REG_B_OK,1,E246+1)&lt;&gt;0,E246+1,IF(INDEX(REG_Axle_Diameter,1,E246+2)&lt;&gt;$A246,-2,IF(INDEX(REG_B_OK,1,E246+2)&lt;&gt;0,E246+2,IF(INDEX(REG_Axle_Diameter,1,E246+3)&lt;&gt;$A246,-2,IF(INDEX(REG_B_OK,1,E246+3)&lt;&gt;0,E246+3,IF(INDEX(REG_Axle_Diameter,1,E246+4)&lt;&gt;$A246,-2,IF(INDEX(REG_B_OK,1,E246+4)&lt;&gt;0,E246+4,IF(INDEX(REG_Axle_Diameter,1,E246+5)&lt;&gt;$A246,-2,IF(INDEX(REG_B_OK,1,E246+5)&lt;&gt;0,E246+5,IF(INDEX(REG_Axle_Diameter,1,E246+6)&lt;&gt;$A246,-2,IF(INDEX(REG_B_OK,1,E246+6)&lt;&gt;0,E246+6,IF(INDEX(REG_Axle_Diameter,1,E246+7)&lt;&gt;$A246,-2,IF(INDEX(REG_B_OK,1,E246+7)&lt;&gt;0,E246+7,IF(INDEX(REG_Axle_Diameter,1,E246+8)&lt;&gt;$A246,-2,IF(INDEX(REG_B_OK,1,E246+8)&lt;&gt;0,E246+8,IF(INDEX(REG_Axle_Diameter,1,E246+9)&lt;&gt;$A246,-2,IF(INDEX(REG_B_OK,1,E246+9)&lt;&gt;0,E246+9,IF(INDEX(REG_Axle_Diameter,1,E246+10)&lt;&gt;$A246,-2,E246+10)))))))))))))))))))))</f>
        <v>-2</v>
      </c>
      <c r="G246" s="711">
        <f t="shared" ref="G246" si="320">IF(ISERROR($B246),-3,IF(F246=-2,-2,IF(INDEX(REG_Axle_Diameter,1,F246+1)&lt;&gt;$A246,-2,IF(INDEX(REG_B_OK,1,F246+1)&lt;&gt;0,F246+1,IF(INDEX(REG_Axle_Diameter,1,F246+2)&lt;&gt;$A246,-2,IF(INDEX(REG_B_OK,1,F246+2)&lt;&gt;0,F246+2,IF(INDEX(REG_Axle_Diameter,1,F246+3)&lt;&gt;$A246,-2,IF(INDEX(REG_B_OK,1,F246+3)&lt;&gt;0,F246+3,IF(INDEX(REG_Axle_Diameter,1,F246+4)&lt;&gt;$A246,-2,IF(INDEX(REG_B_OK,1,F246+4)&lt;&gt;0,F246+4,IF(INDEX(REG_Axle_Diameter,1,F246+5)&lt;&gt;$A246,-2,IF(INDEX(REG_B_OK,1,F246+5)&lt;&gt;0,F246+5,IF(INDEX(REG_Axle_Diameter,1,F246+6)&lt;&gt;$A246,-2,IF(INDEX(REG_B_OK,1,F246+6)&lt;&gt;0,F246+6,IF(INDEX(REG_Axle_Diameter,1,F246+7)&lt;&gt;$A246,-2,IF(INDEX(REG_B_OK,1,F246+7)&lt;&gt;0,F246+7,IF(INDEX(REG_Axle_Diameter,1,F246+8)&lt;&gt;$A246,-2,IF(INDEX(REG_B_OK,1,F246+8)&lt;&gt;0,F246+8,IF(INDEX(REG_Axle_Diameter,1,F246+9)&lt;&gt;$A246,-2,IF(INDEX(REG_B_OK,1,F246+9)&lt;&gt;0,F246+9,IF(INDEX(REG_Axle_Diameter,1,F246+10)&lt;&gt;$A246,-2,F246+10)))))))))))))))))))))</f>
        <v>-2</v>
      </c>
      <c r="H246" s="711">
        <f t="shared" ref="H246" si="321">IF(ISERROR($B246),-3,IF(G246=-2,-2,IF(INDEX(REG_Axle_Diameter,1,G246+1)&lt;&gt;$A246,-2,IF(INDEX(REG_B_OK,1,G246+1)&lt;&gt;0,G246+1,IF(INDEX(REG_Axle_Diameter,1,G246+2)&lt;&gt;$A246,-2,IF(INDEX(REG_B_OK,1,G246+2)&lt;&gt;0,G246+2,IF(INDEX(REG_Axle_Diameter,1,G246+3)&lt;&gt;$A246,-2,IF(INDEX(REG_B_OK,1,G246+3)&lt;&gt;0,G246+3,IF(INDEX(REG_Axle_Diameter,1,G246+4)&lt;&gt;$A246,-2,IF(INDEX(REG_B_OK,1,G246+4)&lt;&gt;0,G246+4,IF(INDEX(REG_Axle_Diameter,1,G246+5)&lt;&gt;$A246,-2,IF(INDEX(REG_B_OK,1,G246+5)&lt;&gt;0,G246+5,IF(INDEX(REG_Axle_Diameter,1,G246+6)&lt;&gt;$A246,-2,IF(INDEX(REG_B_OK,1,G246+6)&lt;&gt;0,G246+6,IF(INDEX(REG_Axle_Diameter,1,G246+7)&lt;&gt;$A246,-2,IF(INDEX(REG_B_OK,1,G246+7)&lt;&gt;0,G246+7,IF(INDEX(REG_Axle_Diameter,1,G246+8)&lt;&gt;$A246,-2,IF(INDEX(REG_B_OK,1,G246+8)&lt;&gt;0,G246+8,IF(INDEX(REG_Axle_Diameter,1,G246+9)&lt;&gt;$A246,-2,IF(INDEX(REG_B_OK,1,G246+9)&lt;&gt;0,G246+9,IF(INDEX(REG_Axle_Diameter,1,G246+10)&lt;&gt;$A246,-2,G246+10)))))))))))))))))))))</f>
        <v>-2</v>
      </c>
      <c r="I246" s="711">
        <f t="shared" ref="I246" si="322">IF(ISERROR($B246),-3,IF(H246=-2,-2,IF(INDEX(REG_Axle_Diameter,1,H246+1)&lt;&gt;$A246,-2,IF(INDEX(REG_B_OK,1,H246+1)&lt;&gt;0,H246+1,IF(INDEX(REG_Axle_Diameter,1,H246+2)&lt;&gt;$A246,-2,IF(INDEX(REG_B_OK,1,H246+2)&lt;&gt;0,H246+2,IF(INDEX(REG_Axle_Diameter,1,H246+3)&lt;&gt;$A246,-2,IF(INDEX(REG_B_OK,1,H246+3)&lt;&gt;0,H246+3,IF(INDEX(REG_Axle_Diameter,1,H246+4)&lt;&gt;$A246,-2,IF(INDEX(REG_B_OK,1,H246+4)&lt;&gt;0,H246+4,IF(INDEX(REG_Axle_Diameter,1,H246+5)&lt;&gt;$A246,-2,IF(INDEX(REG_B_OK,1,H246+5)&lt;&gt;0,H246+5,IF(INDEX(REG_Axle_Diameter,1,H246+6)&lt;&gt;$A246,-2,IF(INDEX(REG_B_OK,1,H246+6)&lt;&gt;0,H246+6,IF(INDEX(REG_Axle_Diameter,1,H246+7)&lt;&gt;$A246,-2,IF(INDEX(REG_B_OK,1,H246+7)&lt;&gt;0,H246+7,IF(INDEX(REG_Axle_Diameter,1,H246+8)&lt;&gt;$A246,-2,IF(INDEX(REG_B_OK,1,H246+8)&lt;&gt;0,H246+8,IF(INDEX(REG_Axle_Diameter,1,H246+9)&lt;&gt;$A246,-2,IF(INDEX(REG_B_OK,1,H246+9)&lt;&gt;0,H246+9,IF(INDEX(REG_Axle_Diameter,1,H246+10)&lt;&gt;$A246,-2,H246+10)))))))))))))))))))))</f>
        <v>-2</v>
      </c>
      <c r="J246" s="711">
        <f t="shared" ref="J246" si="323">IF(ISERROR($B246),-3,IF(I246=-2,-2,IF(INDEX(REG_Axle_Diameter,1,I246+1)&lt;&gt;$A246,-2,IF(INDEX(REG_B_OK,1,I246+1)&lt;&gt;0,I246+1,IF(INDEX(REG_Axle_Diameter,1,I246+2)&lt;&gt;$A246,-2,IF(INDEX(REG_B_OK,1,I246+2)&lt;&gt;0,I246+2,IF(INDEX(REG_Axle_Diameter,1,I246+3)&lt;&gt;$A246,-2,IF(INDEX(REG_B_OK,1,I246+3)&lt;&gt;0,I246+3,IF(INDEX(REG_Axle_Diameter,1,I246+4)&lt;&gt;$A246,-2,IF(INDEX(REG_B_OK,1,I246+4)&lt;&gt;0,I246+4,IF(INDEX(REG_Axle_Diameter,1,I246+5)&lt;&gt;$A246,-2,IF(INDEX(REG_B_OK,1,I246+5)&lt;&gt;0,I246+5,IF(INDEX(REG_Axle_Diameter,1,I246+6)&lt;&gt;$A246,-2,IF(INDEX(REG_B_OK,1,I246+6)&lt;&gt;0,I246+6,IF(INDEX(REG_Axle_Diameter,1,I246+7)&lt;&gt;$A246,-2,IF(INDEX(REG_B_OK,1,I246+7)&lt;&gt;0,I246+7,IF(INDEX(REG_Axle_Diameter,1,I246+8)&lt;&gt;$A246,-2,IF(INDEX(REG_B_OK,1,I246+8)&lt;&gt;0,I246+8,IF(INDEX(REG_Axle_Diameter,1,I246+9)&lt;&gt;$A246,-2,IF(INDEX(REG_B_OK,1,I246+9)&lt;&gt;0,I246+9,IF(INDEX(REG_Axle_Diameter,1,I246+10)&lt;&gt;$A246,-2,I246+10)))))))))))))))))))))</f>
        <v>-2</v>
      </c>
      <c r="K246" s="711">
        <f t="shared" ref="K246" si="324">IF(ISERROR($B246),-3,IF(J246=-2,-2,IF(INDEX(REG_Axle_Diameter,1,J246+1)&lt;&gt;$A246,-2,IF(INDEX(REG_B_OK,1,J246+1)&lt;&gt;0,J246+1,IF(INDEX(REG_Axle_Diameter,1,J246+2)&lt;&gt;$A246,-2,IF(INDEX(REG_B_OK,1,J246+2)&lt;&gt;0,J246+2,IF(INDEX(REG_Axle_Diameter,1,J246+3)&lt;&gt;$A246,-2,IF(INDEX(REG_B_OK,1,J246+3)&lt;&gt;0,J246+3,IF(INDEX(REG_Axle_Diameter,1,J246+4)&lt;&gt;$A246,-2,IF(INDEX(REG_B_OK,1,J246+4)&lt;&gt;0,J246+4,IF(INDEX(REG_Axle_Diameter,1,J246+5)&lt;&gt;$A246,-2,IF(INDEX(REG_B_OK,1,J246+5)&lt;&gt;0,J246+5,IF(INDEX(REG_Axle_Diameter,1,J246+6)&lt;&gt;$A246,-2,IF(INDEX(REG_B_OK,1,J246+6)&lt;&gt;0,J246+6,IF(INDEX(REG_Axle_Diameter,1,J246+7)&lt;&gt;$A246,-2,IF(INDEX(REG_B_OK,1,J246+7)&lt;&gt;0,J246+7,IF(INDEX(REG_Axle_Diameter,1,J246+8)&lt;&gt;$A246,-2,IF(INDEX(REG_B_OK,1,J246+8)&lt;&gt;0,J246+8,IF(INDEX(REG_Axle_Diameter,1,J246+9)&lt;&gt;$A246,-2,IF(INDEX(REG_B_OK,1,J246+9)&lt;&gt;0,J246+9,IF(INDEX(REG_Axle_Diameter,1,J246+10)&lt;&gt;$A246,-2,J246+10)))))))))))))))))))))</f>
        <v>-2</v>
      </c>
      <c r="L246" s="719">
        <f t="shared" ref="L246" si="325">IF(ISERROR($B246),-3,IF(K246=-2,-2,IF(INDEX(REG_Axle_Diameter,1,K246+1)&lt;&gt;$A246,-2,IF(INDEX(REG_B_OK,1,K246+1)&lt;&gt;0,K246+1,IF(INDEX(REG_Axle_Diameter,1,K246+2)&lt;&gt;$A246,-2,IF(INDEX(REG_B_OK,1,K246+2)&lt;&gt;0,K246+2,IF(INDEX(REG_Axle_Diameter,1,K246+3)&lt;&gt;$A246,-2,IF(INDEX(REG_B_OK,1,K246+3)&lt;&gt;0,K246+3,IF(INDEX(REG_Axle_Diameter,1,K246+4)&lt;&gt;$A246,-2,IF(INDEX(REG_B_OK,1,K246+4)&lt;&gt;0,K246+4,IF(INDEX(REG_Axle_Diameter,1,K246+5)&lt;&gt;$A246,-2,IF(INDEX(REG_B_OK,1,K246+5)&lt;&gt;0,K246+5,IF(INDEX(REG_Axle_Diameter,1,K246+6)&lt;&gt;$A246,-2,IF(INDEX(REG_B_OK,1,K246+6)&lt;&gt;0,K246+6,IF(INDEX(REG_Axle_Diameter,1,K246+7)&lt;&gt;$A246,-2,IF(INDEX(REG_B_OK,1,K246+7)&lt;&gt;0,K246+7,IF(INDEX(REG_Axle_Diameter,1,K246+8)&lt;&gt;$A246,-2,IF(INDEX(REG_B_OK,1,K246+8)&lt;&gt;0,K246+8,IF(INDEX(REG_Axle_Diameter,1,K246+9)&lt;&gt;$A246,-2,IF(INDEX(REG_B_OK,1,K246+9)&lt;&gt;0,K246+9,IF(INDEX(REG_Axle_Diameter,1,K246+10)&lt;&gt;$A246,-2,K246+10)))))))))))))))))))))</f>
        <v>-2</v>
      </c>
    </row>
    <row r="247" spans="1:12" ht="15.95" customHeight="1">
      <c r="A247" s="106"/>
      <c r="B247" s="106"/>
      <c r="C247" s="712">
        <f t="shared" ref="C247:L247" si="326">IF(C248=0,0,INDEX(REG_Bearing_Type,1,C246))</f>
        <v>0</v>
      </c>
      <c r="D247" s="713">
        <f t="shared" si="326"/>
        <v>0</v>
      </c>
      <c r="E247" s="713">
        <f t="shared" si="326"/>
        <v>0</v>
      </c>
      <c r="F247" s="713">
        <f t="shared" si="326"/>
        <v>0</v>
      </c>
      <c r="G247" s="713">
        <f t="shared" si="326"/>
        <v>0</v>
      </c>
      <c r="H247" s="713">
        <f t="shared" si="326"/>
        <v>0</v>
      </c>
      <c r="I247" s="713">
        <f t="shared" si="326"/>
        <v>0</v>
      </c>
      <c r="J247" s="713">
        <f t="shared" si="326"/>
        <v>0</v>
      </c>
      <c r="K247" s="713">
        <f t="shared" si="326"/>
        <v>0</v>
      </c>
      <c r="L247" s="720">
        <f t="shared" si="326"/>
        <v>0</v>
      </c>
    </row>
    <row r="248" spans="1:12" ht="15.95" customHeight="1">
      <c r="A248" s="106"/>
      <c r="B248" s="106"/>
      <c r="C248" s="710">
        <f t="shared" ref="C248:L248" si="327">IF(C246&lt;0,0,INDEX(REG_B_OK,1,C246))</f>
        <v>0</v>
      </c>
      <c r="D248" s="711">
        <f t="shared" si="327"/>
        <v>0</v>
      </c>
      <c r="E248" s="711">
        <f t="shared" si="327"/>
        <v>0</v>
      </c>
      <c r="F248" s="711">
        <f t="shared" si="327"/>
        <v>0</v>
      </c>
      <c r="G248" s="711">
        <f t="shared" si="327"/>
        <v>0</v>
      </c>
      <c r="H248" s="711">
        <f t="shared" si="327"/>
        <v>0</v>
      </c>
      <c r="I248" s="711">
        <f t="shared" si="327"/>
        <v>0</v>
      </c>
      <c r="J248" s="711">
        <f t="shared" si="327"/>
        <v>0</v>
      </c>
      <c r="K248" s="711">
        <f t="shared" si="327"/>
        <v>0</v>
      </c>
      <c r="L248" s="719">
        <f t="shared" si="327"/>
        <v>0</v>
      </c>
    </row>
    <row r="249" spans="1:12" ht="15.95" customHeight="1">
      <c r="A249" s="106">
        <v>230</v>
      </c>
      <c r="B249" s="106">
        <f>MATCH($A249,REG_Axle_Diameter,0)</f>
        <v>110</v>
      </c>
      <c r="C249" s="714">
        <f>IF(ISERROR($B249),-3,IF(INDEX(REG_Axle_Diameter,1,B249)&lt;&gt;$A249,-2,IF(INDEX(REG_B_OK,1,B249)&lt;&gt;0,B249,IF(INDEX(REG_Axle_Diameter,1,B249+1)&lt;&gt;$A249,-2,IF(INDEX(REG_B_OK,1,B249+1)&lt;&gt;0,B249+1,IF(INDEX(REG_Axle_Diameter,1,B249+2)&lt;&gt;$A249,-2,IF(INDEX(REG_B_OK,1,B249+2)&lt;&gt;0,B249+2,IF(INDEX(REG_Axle_Diameter,1,B249+3)&lt;&gt;$A249,-2,IF(INDEX(REG_B_OK,1,B249+3)&lt;&gt;0,B249+3,IF(INDEX(REG_Axle_Diameter,1,B249+4)&lt;&gt;$A249,-2,IF(INDEX(REG_B_OK,1,B249+4)&lt;&gt;0,B249+4,IF(INDEX(REG_Axle_Diameter,1,B249+5)&lt;&gt;$A249,-2,IF(INDEX(REG_B_OK,1,B249+5)&lt;&gt;0,B249+5,IF(INDEX(REG_Axle_Diameter,1,B249+6)&lt;&gt;$A249,-2,IF(INDEX(REG_B_OK,1,B249+6)&lt;&gt;0,B249+6,IF(INDEX(REG_Axle_Diameter,1,B249+7)&lt;&gt;$A249,-2,IF(INDEX(REG_B_OK,1,B249+7)&lt;&gt;0,B249+7,IF(INDEX(REG_Axle_Diameter,1,B249+8)&lt;&gt;$A249,-2,IF(INDEX(REG_B_OK,1,B249+8)&lt;&gt;0,B249+8,IF(INDEX(REG_Axle_Diameter,1,B249+9)&lt;&gt;$A249,-2,IF(INDEX(REG_B_OK,1,B249+9)&lt;&gt;0,B249+9,IF(INDEX(REG_Axle_Diameter,1,B249+10)&lt;&gt;$A249,-2,B249+10))))))))))))))))))))))</f>
        <v>-2</v>
      </c>
      <c r="D249" s="710">
        <f t="shared" ref="D249" si="328">IF(ISERROR($B249),-3,IF(C249=-2,-2,IF(INDEX(REG_Axle_Diameter,1,C249+1)&lt;&gt;$A249,-2,IF(INDEX(REG_B_OK,1,C249+1)&lt;&gt;0,C249+1,IF(INDEX(REG_Axle_Diameter,1,C249+2)&lt;&gt;$A249,-2,IF(INDEX(REG_B_OK,1,C249+2)&lt;&gt;0,C249+2,IF(INDEX(REG_Axle_Diameter,1,C249+3)&lt;&gt;$A249,-2,IF(INDEX(REG_B_OK,1,C249+3)&lt;&gt;0,C249+3,IF(INDEX(REG_Axle_Diameter,1,C249+4)&lt;&gt;$A249,-2,IF(INDEX(REG_B_OK,1,C249+4)&lt;&gt;0,C249+4,IF(INDEX(REG_Axle_Diameter,1,C249+5)&lt;&gt;$A249,-2,IF(INDEX(REG_B_OK,1,C249+5)&lt;&gt;0,C249+5,IF(INDEX(REG_Axle_Diameter,1,C249+6)&lt;&gt;$A249,-2,IF(INDEX(REG_B_OK,1,C249+6)&lt;&gt;0,C249+6,IF(INDEX(REG_Axle_Diameter,1,C249+7)&lt;&gt;$A249,-2,IF(INDEX(REG_B_OK,1,C249+7)&lt;&gt;0,C249+7,IF(INDEX(REG_Axle_Diameter,1,C249+8)&lt;&gt;$A249,-2,IF(INDEX(REG_B_OK,1,C249+8)&lt;&gt;0,C249+8,IF(INDEX(REG_Axle_Diameter,1,C249+9)&lt;&gt;$A249,-2,IF(INDEX(REG_B_OK,1,C249+9)&lt;&gt;0,C249+9,IF(INDEX(REG_Axle_Diameter,1,C249+10)&lt;&gt;$A249,-2,C249+10)))))))))))))))))))))</f>
        <v>-2</v>
      </c>
      <c r="E249" s="711">
        <f t="shared" ref="E249" si="329">IF(ISERROR($B249),-3,IF(D249=-2,-2,IF(INDEX(REG_Axle_Diameter,1,D249+1)&lt;&gt;$A249,-2,IF(INDEX(REG_B_OK,1,D249+1)&lt;&gt;0,D249+1,IF(INDEX(REG_Axle_Diameter,1,D249+2)&lt;&gt;$A249,-2,IF(INDEX(REG_B_OK,1,D249+2)&lt;&gt;0,D249+2,IF(INDEX(REG_Axle_Diameter,1,D249+3)&lt;&gt;$A249,-2,IF(INDEX(REG_B_OK,1,D249+3)&lt;&gt;0,D249+3,IF(INDEX(REG_Axle_Diameter,1,D249+4)&lt;&gt;$A249,-2,IF(INDEX(REG_B_OK,1,D249+4)&lt;&gt;0,D249+4,IF(INDEX(REG_Axle_Diameter,1,D249+5)&lt;&gt;$A249,-2,IF(INDEX(REG_B_OK,1,D249+5)&lt;&gt;0,D249+5,IF(INDEX(REG_Axle_Diameter,1,D249+6)&lt;&gt;$A249,-2,IF(INDEX(REG_B_OK,1,D249+6)&lt;&gt;0,D249+6,IF(INDEX(REG_Axle_Diameter,1,D249+7)&lt;&gt;$A249,-2,IF(INDEX(REG_B_OK,1,D249+7)&lt;&gt;0,D249+7,IF(INDEX(REG_Axle_Diameter,1,D249+8)&lt;&gt;$A249,-2,IF(INDEX(REG_B_OK,1,D249+8)&lt;&gt;0,D249+8,IF(INDEX(REG_Axle_Diameter,1,D249+9)&lt;&gt;$A249,-2,IF(INDEX(REG_B_OK,1,D249+9)&lt;&gt;0,D249+9,IF(INDEX(REG_Axle_Diameter,1,D249+10)&lt;&gt;$A249,-2,D249+10)))))))))))))))))))))</f>
        <v>-2</v>
      </c>
      <c r="F249" s="711">
        <f t="shared" ref="F249" si="330">IF(ISERROR($B249),-3,IF(E249=-2,-2,IF(INDEX(REG_Axle_Diameter,1,E249+1)&lt;&gt;$A249,-2,IF(INDEX(REG_B_OK,1,E249+1)&lt;&gt;0,E249+1,IF(INDEX(REG_Axle_Diameter,1,E249+2)&lt;&gt;$A249,-2,IF(INDEX(REG_B_OK,1,E249+2)&lt;&gt;0,E249+2,IF(INDEX(REG_Axle_Diameter,1,E249+3)&lt;&gt;$A249,-2,IF(INDEX(REG_B_OK,1,E249+3)&lt;&gt;0,E249+3,IF(INDEX(REG_Axle_Diameter,1,E249+4)&lt;&gt;$A249,-2,IF(INDEX(REG_B_OK,1,E249+4)&lt;&gt;0,E249+4,IF(INDEX(REG_Axle_Diameter,1,E249+5)&lt;&gt;$A249,-2,IF(INDEX(REG_B_OK,1,E249+5)&lt;&gt;0,E249+5,IF(INDEX(REG_Axle_Diameter,1,E249+6)&lt;&gt;$A249,-2,IF(INDEX(REG_B_OK,1,E249+6)&lt;&gt;0,E249+6,IF(INDEX(REG_Axle_Diameter,1,E249+7)&lt;&gt;$A249,-2,IF(INDEX(REG_B_OK,1,E249+7)&lt;&gt;0,E249+7,IF(INDEX(REG_Axle_Diameter,1,E249+8)&lt;&gt;$A249,-2,IF(INDEX(REG_B_OK,1,E249+8)&lt;&gt;0,E249+8,IF(INDEX(REG_Axle_Diameter,1,E249+9)&lt;&gt;$A249,-2,IF(INDEX(REG_B_OK,1,E249+9)&lt;&gt;0,E249+9,IF(INDEX(REG_Axle_Diameter,1,E249+10)&lt;&gt;$A249,-2,E249+10)))))))))))))))))))))</f>
        <v>-2</v>
      </c>
      <c r="G249" s="711">
        <f t="shared" ref="G249" si="331">IF(ISERROR($B249),-3,IF(F249=-2,-2,IF(INDEX(REG_Axle_Diameter,1,F249+1)&lt;&gt;$A249,-2,IF(INDEX(REG_B_OK,1,F249+1)&lt;&gt;0,F249+1,IF(INDEX(REG_Axle_Diameter,1,F249+2)&lt;&gt;$A249,-2,IF(INDEX(REG_B_OK,1,F249+2)&lt;&gt;0,F249+2,IF(INDEX(REG_Axle_Diameter,1,F249+3)&lt;&gt;$A249,-2,IF(INDEX(REG_B_OK,1,F249+3)&lt;&gt;0,F249+3,IF(INDEX(REG_Axle_Diameter,1,F249+4)&lt;&gt;$A249,-2,IF(INDEX(REG_B_OK,1,F249+4)&lt;&gt;0,F249+4,IF(INDEX(REG_Axle_Diameter,1,F249+5)&lt;&gt;$A249,-2,IF(INDEX(REG_B_OK,1,F249+5)&lt;&gt;0,F249+5,IF(INDEX(REG_Axle_Diameter,1,F249+6)&lt;&gt;$A249,-2,IF(INDEX(REG_B_OK,1,F249+6)&lt;&gt;0,F249+6,IF(INDEX(REG_Axle_Diameter,1,F249+7)&lt;&gt;$A249,-2,IF(INDEX(REG_B_OK,1,F249+7)&lt;&gt;0,F249+7,IF(INDEX(REG_Axle_Diameter,1,F249+8)&lt;&gt;$A249,-2,IF(INDEX(REG_B_OK,1,F249+8)&lt;&gt;0,F249+8,IF(INDEX(REG_Axle_Diameter,1,F249+9)&lt;&gt;$A249,-2,IF(INDEX(REG_B_OK,1,F249+9)&lt;&gt;0,F249+9,IF(INDEX(REG_Axle_Diameter,1,F249+10)&lt;&gt;$A249,-2,F249+10)))))))))))))))))))))</f>
        <v>-2</v>
      </c>
      <c r="H249" s="711">
        <f t="shared" ref="H249" si="332">IF(ISERROR($B249),-3,IF(G249=-2,-2,IF(INDEX(REG_Axle_Diameter,1,G249+1)&lt;&gt;$A249,-2,IF(INDEX(REG_B_OK,1,G249+1)&lt;&gt;0,G249+1,IF(INDEX(REG_Axle_Diameter,1,G249+2)&lt;&gt;$A249,-2,IF(INDEX(REG_B_OK,1,G249+2)&lt;&gt;0,G249+2,IF(INDEX(REG_Axle_Diameter,1,G249+3)&lt;&gt;$A249,-2,IF(INDEX(REG_B_OK,1,G249+3)&lt;&gt;0,G249+3,IF(INDEX(REG_Axle_Diameter,1,G249+4)&lt;&gt;$A249,-2,IF(INDEX(REG_B_OK,1,G249+4)&lt;&gt;0,G249+4,IF(INDEX(REG_Axle_Diameter,1,G249+5)&lt;&gt;$A249,-2,IF(INDEX(REG_B_OK,1,G249+5)&lt;&gt;0,G249+5,IF(INDEX(REG_Axle_Diameter,1,G249+6)&lt;&gt;$A249,-2,IF(INDEX(REG_B_OK,1,G249+6)&lt;&gt;0,G249+6,IF(INDEX(REG_Axle_Diameter,1,G249+7)&lt;&gt;$A249,-2,IF(INDEX(REG_B_OK,1,G249+7)&lt;&gt;0,G249+7,IF(INDEX(REG_Axle_Diameter,1,G249+8)&lt;&gt;$A249,-2,IF(INDEX(REG_B_OK,1,G249+8)&lt;&gt;0,G249+8,IF(INDEX(REG_Axle_Diameter,1,G249+9)&lt;&gt;$A249,-2,IF(INDEX(REG_B_OK,1,G249+9)&lt;&gt;0,G249+9,IF(INDEX(REG_Axle_Diameter,1,G249+10)&lt;&gt;$A249,-2,G249+10)))))))))))))))))))))</f>
        <v>-2</v>
      </c>
      <c r="I249" s="711">
        <f t="shared" ref="I249" si="333">IF(ISERROR($B249),-3,IF(H249=-2,-2,IF(INDEX(REG_Axle_Diameter,1,H249+1)&lt;&gt;$A249,-2,IF(INDEX(REG_B_OK,1,H249+1)&lt;&gt;0,H249+1,IF(INDEX(REG_Axle_Diameter,1,H249+2)&lt;&gt;$A249,-2,IF(INDEX(REG_B_OK,1,H249+2)&lt;&gt;0,H249+2,IF(INDEX(REG_Axle_Diameter,1,H249+3)&lt;&gt;$A249,-2,IF(INDEX(REG_B_OK,1,H249+3)&lt;&gt;0,H249+3,IF(INDEX(REG_Axle_Diameter,1,H249+4)&lt;&gt;$A249,-2,IF(INDEX(REG_B_OK,1,H249+4)&lt;&gt;0,H249+4,IF(INDEX(REG_Axle_Diameter,1,H249+5)&lt;&gt;$A249,-2,IF(INDEX(REG_B_OK,1,H249+5)&lt;&gt;0,H249+5,IF(INDEX(REG_Axle_Diameter,1,H249+6)&lt;&gt;$A249,-2,IF(INDEX(REG_B_OK,1,H249+6)&lt;&gt;0,H249+6,IF(INDEX(REG_Axle_Diameter,1,H249+7)&lt;&gt;$A249,-2,IF(INDEX(REG_B_OK,1,H249+7)&lt;&gt;0,H249+7,IF(INDEX(REG_Axle_Diameter,1,H249+8)&lt;&gt;$A249,-2,IF(INDEX(REG_B_OK,1,H249+8)&lt;&gt;0,H249+8,IF(INDEX(REG_Axle_Diameter,1,H249+9)&lt;&gt;$A249,-2,IF(INDEX(REG_B_OK,1,H249+9)&lt;&gt;0,H249+9,IF(INDEX(REG_Axle_Diameter,1,H249+10)&lt;&gt;$A249,-2,H249+10)))))))))))))))))))))</f>
        <v>-2</v>
      </c>
      <c r="J249" s="711">
        <f t="shared" ref="J249" si="334">IF(ISERROR($B249),-3,IF(I249=-2,-2,IF(INDEX(REG_Axle_Diameter,1,I249+1)&lt;&gt;$A249,-2,IF(INDEX(REG_B_OK,1,I249+1)&lt;&gt;0,I249+1,IF(INDEX(REG_Axle_Diameter,1,I249+2)&lt;&gt;$A249,-2,IF(INDEX(REG_B_OK,1,I249+2)&lt;&gt;0,I249+2,IF(INDEX(REG_Axle_Diameter,1,I249+3)&lt;&gt;$A249,-2,IF(INDEX(REG_B_OK,1,I249+3)&lt;&gt;0,I249+3,IF(INDEX(REG_Axle_Diameter,1,I249+4)&lt;&gt;$A249,-2,IF(INDEX(REG_B_OK,1,I249+4)&lt;&gt;0,I249+4,IF(INDEX(REG_Axle_Diameter,1,I249+5)&lt;&gt;$A249,-2,IF(INDEX(REG_B_OK,1,I249+5)&lt;&gt;0,I249+5,IF(INDEX(REG_Axle_Diameter,1,I249+6)&lt;&gt;$A249,-2,IF(INDEX(REG_B_OK,1,I249+6)&lt;&gt;0,I249+6,IF(INDEX(REG_Axle_Diameter,1,I249+7)&lt;&gt;$A249,-2,IF(INDEX(REG_B_OK,1,I249+7)&lt;&gt;0,I249+7,IF(INDEX(REG_Axle_Diameter,1,I249+8)&lt;&gt;$A249,-2,IF(INDEX(REG_B_OK,1,I249+8)&lt;&gt;0,I249+8,IF(INDEX(REG_Axle_Diameter,1,I249+9)&lt;&gt;$A249,-2,IF(INDEX(REG_B_OK,1,I249+9)&lt;&gt;0,I249+9,IF(INDEX(REG_Axle_Diameter,1,I249+10)&lt;&gt;$A249,-2,I249+10)))))))))))))))))))))</f>
        <v>-2</v>
      </c>
      <c r="K249" s="711">
        <f t="shared" ref="K249" si="335">IF(ISERROR($B249),-3,IF(J249=-2,-2,IF(INDEX(REG_Axle_Diameter,1,J249+1)&lt;&gt;$A249,-2,IF(INDEX(REG_B_OK,1,J249+1)&lt;&gt;0,J249+1,IF(INDEX(REG_Axle_Diameter,1,J249+2)&lt;&gt;$A249,-2,IF(INDEX(REG_B_OK,1,J249+2)&lt;&gt;0,J249+2,IF(INDEX(REG_Axle_Diameter,1,J249+3)&lt;&gt;$A249,-2,IF(INDEX(REG_B_OK,1,J249+3)&lt;&gt;0,J249+3,IF(INDEX(REG_Axle_Diameter,1,J249+4)&lt;&gt;$A249,-2,IF(INDEX(REG_B_OK,1,J249+4)&lt;&gt;0,J249+4,IF(INDEX(REG_Axle_Diameter,1,J249+5)&lt;&gt;$A249,-2,IF(INDEX(REG_B_OK,1,J249+5)&lt;&gt;0,J249+5,IF(INDEX(REG_Axle_Diameter,1,J249+6)&lt;&gt;$A249,-2,IF(INDEX(REG_B_OK,1,J249+6)&lt;&gt;0,J249+6,IF(INDEX(REG_Axle_Diameter,1,J249+7)&lt;&gt;$A249,-2,IF(INDEX(REG_B_OK,1,J249+7)&lt;&gt;0,J249+7,IF(INDEX(REG_Axle_Diameter,1,J249+8)&lt;&gt;$A249,-2,IF(INDEX(REG_B_OK,1,J249+8)&lt;&gt;0,J249+8,IF(INDEX(REG_Axle_Diameter,1,J249+9)&lt;&gt;$A249,-2,IF(INDEX(REG_B_OK,1,J249+9)&lt;&gt;0,J249+9,IF(INDEX(REG_Axle_Diameter,1,J249+10)&lt;&gt;$A249,-2,J249+10)))))))))))))))))))))</f>
        <v>-2</v>
      </c>
      <c r="L249" s="719">
        <f t="shared" ref="L249" si="336">IF(ISERROR($B249),-3,IF(K249=-2,-2,IF(INDEX(REG_Axle_Diameter,1,K249+1)&lt;&gt;$A249,-2,IF(INDEX(REG_B_OK,1,K249+1)&lt;&gt;0,K249+1,IF(INDEX(REG_Axle_Diameter,1,K249+2)&lt;&gt;$A249,-2,IF(INDEX(REG_B_OK,1,K249+2)&lt;&gt;0,K249+2,IF(INDEX(REG_Axle_Diameter,1,K249+3)&lt;&gt;$A249,-2,IF(INDEX(REG_B_OK,1,K249+3)&lt;&gt;0,K249+3,IF(INDEX(REG_Axle_Diameter,1,K249+4)&lt;&gt;$A249,-2,IF(INDEX(REG_B_OK,1,K249+4)&lt;&gt;0,K249+4,IF(INDEX(REG_Axle_Diameter,1,K249+5)&lt;&gt;$A249,-2,IF(INDEX(REG_B_OK,1,K249+5)&lt;&gt;0,K249+5,IF(INDEX(REG_Axle_Diameter,1,K249+6)&lt;&gt;$A249,-2,IF(INDEX(REG_B_OK,1,K249+6)&lt;&gt;0,K249+6,IF(INDEX(REG_Axle_Diameter,1,K249+7)&lt;&gt;$A249,-2,IF(INDEX(REG_B_OK,1,K249+7)&lt;&gt;0,K249+7,IF(INDEX(REG_Axle_Diameter,1,K249+8)&lt;&gt;$A249,-2,IF(INDEX(REG_B_OK,1,K249+8)&lt;&gt;0,K249+8,IF(INDEX(REG_Axle_Diameter,1,K249+9)&lt;&gt;$A249,-2,IF(INDEX(REG_B_OK,1,K249+9)&lt;&gt;0,K249+9,IF(INDEX(REG_Axle_Diameter,1,K249+10)&lt;&gt;$A249,-2,K249+10)))))))))))))))))))))</f>
        <v>-2</v>
      </c>
    </row>
    <row r="250" spans="1:12" ht="15.95" customHeight="1">
      <c r="A250" s="106"/>
      <c r="B250" s="106"/>
      <c r="C250" s="712">
        <f t="shared" ref="C250:L250" si="337">IF(C251=0,0,INDEX(REG_Bearing_Type,1,C249))</f>
        <v>0</v>
      </c>
      <c r="D250" s="713">
        <f t="shared" si="337"/>
        <v>0</v>
      </c>
      <c r="E250" s="713">
        <f t="shared" si="337"/>
        <v>0</v>
      </c>
      <c r="F250" s="713">
        <f t="shared" si="337"/>
        <v>0</v>
      </c>
      <c r="G250" s="713">
        <f t="shared" si="337"/>
        <v>0</v>
      </c>
      <c r="H250" s="713">
        <f t="shared" si="337"/>
        <v>0</v>
      </c>
      <c r="I250" s="713">
        <f t="shared" si="337"/>
        <v>0</v>
      </c>
      <c r="J250" s="713">
        <f t="shared" si="337"/>
        <v>0</v>
      </c>
      <c r="K250" s="713">
        <f t="shared" si="337"/>
        <v>0</v>
      </c>
      <c r="L250" s="720">
        <f t="shared" si="337"/>
        <v>0</v>
      </c>
    </row>
    <row r="251" spans="1:12" ht="15.95" customHeight="1">
      <c r="A251" s="106"/>
      <c r="B251" s="106"/>
      <c r="C251" s="710">
        <f t="shared" ref="C251:L251" si="338">IF(C249&lt;0,0,INDEX(REG_B_OK,1,C249))</f>
        <v>0</v>
      </c>
      <c r="D251" s="711">
        <f t="shared" si="338"/>
        <v>0</v>
      </c>
      <c r="E251" s="711">
        <f t="shared" si="338"/>
        <v>0</v>
      </c>
      <c r="F251" s="711">
        <f t="shared" si="338"/>
        <v>0</v>
      </c>
      <c r="G251" s="711">
        <f t="shared" si="338"/>
        <v>0</v>
      </c>
      <c r="H251" s="711">
        <f t="shared" si="338"/>
        <v>0</v>
      </c>
      <c r="I251" s="711">
        <f t="shared" si="338"/>
        <v>0</v>
      </c>
      <c r="J251" s="711">
        <f t="shared" si="338"/>
        <v>0</v>
      </c>
      <c r="K251" s="711">
        <f t="shared" si="338"/>
        <v>0</v>
      </c>
      <c r="L251" s="719">
        <f t="shared" si="338"/>
        <v>0</v>
      </c>
    </row>
    <row r="252" spans="1:12" ht="15.95" customHeight="1">
      <c r="A252" s="1795">
        <v>250</v>
      </c>
      <c r="B252" s="1795" t="e">
        <f>MATCH($A252,REG_Axle_Diameter,0)</f>
        <v>#N/A</v>
      </c>
      <c r="C252" s="1796">
        <f>IF(ISERROR($B252),-3,IF(INDEX(REG_Axle_Diameter,1,B252)&lt;&gt;$A252,-2,IF(INDEX(REG_B_OK,1,B252)&lt;&gt;0,B252,IF(INDEX(REG_Axle_Diameter,1,B252+1)&lt;&gt;$A252,-2,IF(INDEX(REG_B_OK,1,B252+1)&lt;&gt;0,B252+1,IF(INDEX(REG_Axle_Diameter,1,B252+2)&lt;&gt;$A252,-2,IF(INDEX(REG_B_OK,1,B252+2)&lt;&gt;0,B252+2,IF(INDEX(REG_Axle_Diameter,1,B252+3)&lt;&gt;$A252,-2,IF(INDEX(REG_B_OK,1,B252+3)&lt;&gt;0,B252+3,IF(INDEX(REG_Axle_Diameter,1,B252+4)&lt;&gt;$A252,-2,IF(INDEX(REG_B_OK,1,B252+4)&lt;&gt;0,B252+4,IF(INDEX(REG_Axle_Diameter,1,B252+5)&lt;&gt;$A252,-2,IF(INDEX(REG_B_OK,1,B252+5)&lt;&gt;0,B252+5,IF(INDEX(REG_Axle_Diameter,1,B252+6)&lt;&gt;$A252,-2,IF(INDEX(REG_B_OK,1,B252+6)&lt;&gt;0,B252+6,IF(INDEX(REG_Axle_Diameter,1,B252+7)&lt;&gt;$A252,-2,IF(INDEX(REG_B_OK,1,B252+7)&lt;&gt;0,B252+7,IF(INDEX(REG_Axle_Diameter,1,B252+8)&lt;&gt;$A252,-2,IF(INDEX(REG_B_OK,1,B252+8)&lt;&gt;0,B252+8,IF(INDEX(REG_Axle_Diameter,1,B252+9)&lt;&gt;$A252,-2,IF(INDEX(REG_B_OK,1,B252+9)&lt;&gt;0,B252+9,IF(INDEX(REG_Axle_Diameter,1,B252+10)&lt;&gt;$A252,-2,B252+10))))))))))))))))))))))</f>
        <v>-3</v>
      </c>
      <c r="D252" s="1796">
        <f t="shared" ref="D252" si="339">IF(ISERROR($B252),-3,IF(C252=-2,-2,IF(INDEX(REG_Axle_Diameter,1,C252+1)&lt;&gt;$A252,-2,IF(INDEX(REG_B_OK,1,C252+1)&lt;&gt;0,C252+1,IF(INDEX(REG_Axle_Diameter,1,C252+2)&lt;&gt;$A252,-2,IF(INDEX(REG_B_OK,1,C252+2)&lt;&gt;0,C252+2,IF(INDEX(REG_Axle_Diameter,1,C252+3)&lt;&gt;$A252,-2,IF(INDEX(REG_B_OK,1,C252+3)&lt;&gt;0,C252+3,IF(INDEX(REG_Axle_Diameter,1,C252+4)&lt;&gt;$A252,-2,IF(INDEX(REG_B_OK,1,C252+4)&lt;&gt;0,C252+4,IF(INDEX(REG_Axle_Diameter,1,C252+5)&lt;&gt;$A252,-2,IF(INDEX(REG_B_OK,1,C252+5)&lt;&gt;0,C252+5,IF(INDEX(REG_Axle_Diameter,1,C252+6)&lt;&gt;$A252,-2,IF(INDEX(REG_B_OK,1,C252+6)&lt;&gt;0,C252+6,IF(INDEX(REG_Axle_Diameter,1,C252+7)&lt;&gt;$A252,-2,IF(INDEX(REG_B_OK,1,C252+7)&lt;&gt;0,C252+7,IF(INDEX(REG_Axle_Diameter,1,C252+8)&lt;&gt;$A252,-2,IF(INDEX(REG_B_OK,1,C252+8)&lt;&gt;0,C252+8,IF(INDEX(REG_Axle_Diameter,1,C252+9)&lt;&gt;$A252,-2,IF(INDEX(REG_B_OK,1,C252+9)&lt;&gt;0,C252+9,IF(INDEX(REG_Axle_Diameter,1,C252+10)&lt;&gt;$A252,-2,C252+10)))))))))))))))))))))</f>
        <v>-3</v>
      </c>
      <c r="E252" s="1797">
        <f t="shared" ref="E252" si="340">IF(ISERROR($B252),-3,IF(D252=-2,-2,IF(INDEX(REG_Axle_Diameter,1,D252+1)&lt;&gt;$A252,-2,IF(INDEX(REG_B_OK,1,D252+1)&lt;&gt;0,D252+1,IF(INDEX(REG_Axle_Diameter,1,D252+2)&lt;&gt;$A252,-2,IF(INDEX(REG_B_OK,1,D252+2)&lt;&gt;0,D252+2,IF(INDEX(REG_Axle_Diameter,1,D252+3)&lt;&gt;$A252,-2,IF(INDEX(REG_B_OK,1,D252+3)&lt;&gt;0,D252+3,IF(INDEX(REG_Axle_Diameter,1,D252+4)&lt;&gt;$A252,-2,IF(INDEX(REG_B_OK,1,D252+4)&lt;&gt;0,D252+4,IF(INDEX(REG_Axle_Diameter,1,D252+5)&lt;&gt;$A252,-2,IF(INDEX(REG_B_OK,1,D252+5)&lt;&gt;0,D252+5,IF(INDEX(REG_Axle_Diameter,1,D252+6)&lt;&gt;$A252,-2,IF(INDEX(REG_B_OK,1,D252+6)&lt;&gt;0,D252+6,IF(INDEX(REG_Axle_Diameter,1,D252+7)&lt;&gt;$A252,-2,IF(INDEX(REG_B_OK,1,D252+7)&lt;&gt;0,D252+7,IF(INDEX(REG_Axle_Diameter,1,D252+8)&lt;&gt;$A252,-2,IF(INDEX(REG_B_OK,1,D252+8)&lt;&gt;0,D252+8,IF(INDEX(REG_Axle_Diameter,1,D252+9)&lt;&gt;$A252,-2,IF(INDEX(REG_B_OK,1,D252+9)&lt;&gt;0,D252+9,IF(INDEX(REG_Axle_Diameter,1,D252+10)&lt;&gt;$A252,-2,D252+10)))))))))))))))))))))</f>
        <v>-3</v>
      </c>
      <c r="F252" s="1797">
        <f t="shared" ref="F252" si="341">IF(ISERROR($B252),-3,IF(E252=-2,-2,IF(INDEX(REG_Axle_Diameter,1,E252+1)&lt;&gt;$A252,-2,IF(INDEX(REG_B_OK,1,E252+1)&lt;&gt;0,E252+1,IF(INDEX(REG_Axle_Diameter,1,E252+2)&lt;&gt;$A252,-2,IF(INDEX(REG_B_OK,1,E252+2)&lt;&gt;0,E252+2,IF(INDEX(REG_Axle_Diameter,1,E252+3)&lt;&gt;$A252,-2,IF(INDEX(REG_B_OK,1,E252+3)&lt;&gt;0,E252+3,IF(INDEX(REG_Axle_Diameter,1,E252+4)&lt;&gt;$A252,-2,IF(INDEX(REG_B_OK,1,E252+4)&lt;&gt;0,E252+4,IF(INDEX(REG_Axle_Diameter,1,E252+5)&lt;&gt;$A252,-2,IF(INDEX(REG_B_OK,1,E252+5)&lt;&gt;0,E252+5,IF(INDEX(REG_Axle_Diameter,1,E252+6)&lt;&gt;$A252,-2,IF(INDEX(REG_B_OK,1,E252+6)&lt;&gt;0,E252+6,IF(INDEX(REG_Axle_Diameter,1,E252+7)&lt;&gt;$A252,-2,IF(INDEX(REG_B_OK,1,E252+7)&lt;&gt;0,E252+7,IF(INDEX(REG_Axle_Diameter,1,E252+8)&lt;&gt;$A252,-2,IF(INDEX(REG_B_OK,1,E252+8)&lt;&gt;0,E252+8,IF(INDEX(REG_Axle_Diameter,1,E252+9)&lt;&gt;$A252,-2,IF(INDEX(REG_B_OK,1,E252+9)&lt;&gt;0,E252+9,IF(INDEX(REG_Axle_Diameter,1,E252+10)&lt;&gt;$A252,-2,E252+10)))))))))))))))))))))</f>
        <v>-3</v>
      </c>
      <c r="G252" s="1797">
        <f t="shared" ref="G252" si="342">IF(ISERROR($B252),-3,IF(F252=-2,-2,IF(INDEX(REG_Axle_Diameter,1,F252+1)&lt;&gt;$A252,-2,IF(INDEX(REG_B_OK,1,F252+1)&lt;&gt;0,F252+1,IF(INDEX(REG_Axle_Diameter,1,F252+2)&lt;&gt;$A252,-2,IF(INDEX(REG_B_OK,1,F252+2)&lt;&gt;0,F252+2,IF(INDEX(REG_Axle_Diameter,1,F252+3)&lt;&gt;$A252,-2,IF(INDEX(REG_B_OK,1,F252+3)&lt;&gt;0,F252+3,IF(INDEX(REG_Axle_Diameter,1,F252+4)&lt;&gt;$A252,-2,IF(INDEX(REG_B_OK,1,F252+4)&lt;&gt;0,F252+4,IF(INDEX(REG_Axle_Diameter,1,F252+5)&lt;&gt;$A252,-2,IF(INDEX(REG_B_OK,1,F252+5)&lt;&gt;0,F252+5,IF(INDEX(REG_Axle_Diameter,1,F252+6)&lt;&gt;$A252,-2,IF(INDEX(REG_B_OK,1,F252+6)&lt;&gt;0,F252+6,IF(INDEX(REG_Axle_Diameter,1,F252+7)&lt;&gt;$A252,-2,IF(INDEX(REG_B_OK,1,F252+7)&lt;&gt;0,F252+7,IF(INDEX(REG_Axle_Diameter,1,F252+8)&lt;&gt;$A252,-2,IF(INDEX(REG_B_OK,1,F252+8)&lt;&gt;0,F252+8,IF(INDEX(REG_Axle_Diameter,1,F252+9)&lt;&gt;$A252,-2,IF(INDEX(REG_B_OK,1,F252+9)&lt;&gt;0,F252+9,IF(INDEX(REG_Axle_Diameter,1,F252+10)&lt;&gt;$A252,-2,F252+10)))))))))))))))))))))</f>
        <v>-3</v>
      </c>
      <c r="H252" s="1797">
        <f t="shared" ref="H252" si="343">IF(ISERROR($B252),-3,IF(G252=-2,-2,IF(INDEX(REG_Axle_Diameter,1,G252+1)&lt;&gt;$A252,-2,IF(INDEX(REG_B_OK,1,G252+1)&lt;&gt;0,G252+1,IF(INDEX(REG_Axle_Diameter,1,G252+2)&lt;&gt;$A252,-2,IF(INDEX(REG_B_OK,1,G252+2)&lt;&gt;0,G252+2,IF(INDEX(REG_Axle_Diameter,1,G252+3)&lt;&gt;$A252,-2,IF(INDEX(REG_B_OK,1,G252+3)&lt;&gt;0,G252+3,IF(INDEX(REG_Axle_Diameter,1,G252+4)&lt;&gt;$A252,-2,IF(INDEX(REG_B_OK,1,G252+4)&lt;&gt;0,G252+4,IF(INDEX(REG_Axle_Diameter,1,G252+5)&lt;&gt;$A252,-2,IF(INDEX(REG_B_OK,1,G252+5)&lt;&gt;0,G252+5,IF(INDEX(REG_Axle_Diameter,1,G252+6)&lt;&gt;$A252,-2,IF(INDEX(REG_B_OK,1,G252+6)&lt;&gt;0,G252+6,IF(INDEX(REG_Axle_Diameter,1,G252+7)&lt;&gt;$A252,-2,IF(INDEX(REG_B_OK,1,G252+7)&lt;&gt;0,G252+7,IF(INDEX(REG_Axle_Diameter,1,G252+8)&lt;&gt;$A252,-2,IF(INDEX(REG_B_OK,1,G252+8)&lt;&gt;0,G252+8,IF(INDEX(REG_Axle_Diameter,1,G252+9)&lt;&gt;$A252,-2,IF(INDEX(REG_B_OK,1,G252+9)&lt;&gt;0,G252+9,IF(INDEX(REG_Axle_Diameter,1,G252+10)&lt;&gt;$A252,-2,G252+10)))))))))))))))))))))</f>
        <v>-3</v>
      </c>
      <c r="I252" s="1797">
        <f t="shared" ref="I252" si="344">IF(ISERROR($B252),-3,IF(H252=-2,-2,IF(INDEX(REG_Axle_Diameter,1,H252+1)&lt;&gt;$A252,-2,IF(INDEX(REG_B_OK,1,H252+1)&lt;&gt;0,H252+1,IF(INDEX(REG_Axle_Diameter,1,H252+2)&lt;&gt;$A252,-2,IF(INDEX(REG_B_OK,1,H252+2)&lt;&gt;0,H252+2,IF(INDEX(REG_Axle_Diameter,1,H252+3)&lt;&gt;$A252,-2,IF(INDEX(REG_B_OK,1,H252+3)&lt;&gt;0,H252+3,IF(INDEX(REG_Axle_Diameter,1,H252+4)&lt;&gt;$A252,-2,IF(INDEX(REG_B_OK,1,H252+4)&lt;&gt;0,H252+4,IF(INDEX(REG_Axle_Diameter,1,H252+5)&lt;&gt;$A252,-2,IF(INDEX(REG_B_OK,1,H252+5)&lt;&gt;0,H252+5,IF(INDEX(REG_Axle_Diameter,1,H252+6)&lt;&gt;$A252,-2,IF(INDEX(REG_B_OK,1,H252+6)&lt;&gt;0,H252+6,IF(INDEX(REG_Axle_Diameter,1,H252+7)&lt;&gt;$A252,-2,IF(INDEX(REG_B_OK,1,H252+7)&lt;&gt;0,H252+7,IF(INDEX(REG_Axle_Diameter,1,H252+8)&lt;&gt;$A252,-2,IF(INDEX(REG_B_OK,1,H252+8)&lt;&gt;0,H252+8,IF(INDEX(REG_Axle_Diameter,1,H252+9)&lt;&gt;$A252,-2,IF(INDEX(REG_B_OK,1,H252+9)&lt;&gt;0,H252+9,IF(INDEX(REG_Axle_Diameter,1,H252+10)&lt;&gt;$A252,-2,H252+10)))))))))))))))))))))</f>
        <v>-3</v>
      </c>
      <c r="J252" s="1797">
        <f t="shared" ref="J252" si="345">IF(ISERROR($B252),-3,IF(I252=-2,-2,IF(INDEX(REG_Axle_Diameter,1,I252+1)&lt;&gt;$A252,-2,IF(INDEX(REG_B_OK,1,I252+1)&lt;&gt;0,I252+1,IF(INDEX(REG_Axle_Diameter,1,I252+2)&lt;&gt;$A252,-2,IF(INDEX(REG_B_OK,1,I252+2)&lt;&gt;0,I252+2,IF(INDEX(REG_Axle_Diameter,1,I252+3)&lt;&gt;$A252,-2,IF(INDEX(REG_B_OK,1,I252+3)&lt;&gt;0,I252+3,IF(INDEX(REG_Axle_Diameter,1,I252+4)&lt;&gt;$A252,-2,IF(INDEX(REG_B_OK,1,I252+4)&lt;&gt;0,I252+4,IF(INDEX(REG_Axle_Diameter,1,I252+5)&lt;&gt;$A252,-2,IF(INDEX(REG_B_OK,1,I252+5)&lt;&gt;0,I252+5,IF(INDEX(REG_Axle_Diameter,1,I252+6)&lt;&gt;$A252,-2,IF(INDEX(REG_B_OK,1,I252+6)&lt;&gt;0,I252+6,IF(INDEX(REG_Axle_Diameter,1,I252+7)&lt;&gt;$A252,-2,IF(INDEX(REG_B_OK,1,I252+7)&lt;&gt;0,I252+7,IF(INDEX(REG_Axle_Diameter,1,I252+8)&lt;&gt;$A252,-2,IF(INDEX(REG_B_OK,1,I252+8)&lt;&gt;0,I252+8,IF(INDEX(REG_Axle_Diameter,1,I252+9)&lt;&gt;$A252,-2,IF(INDEX(REG_B_OK,1,I252+9)&lt;&gt;0,I252+9,IF(INDEX(REG_Axle_Diameter,1,I252+10)&lt;&gt;$A252,-2,I252+10)))))))))))))))))))))</f>
        <v>-3</v>
      </c>
      <c r="K252" s="1797">
        <f t="shared" ref="K252" si="346">IF(ISERROR($B252),-3,IF(J252=-2,-2,IF(INDEX(REG_Axle_Diameter,1,J252+1)&lt;&gt;$A252,-2,IF(INDEX(REG_B_OK,1,J252+1)&lt;&gt;0,J252+1,IF(INDEX(REG_Axle_Diameter,1,J252+2)&lt;&gt;$A252,-2,IF(INDEX(REG_B_OK,1,J252+2)&lt;&gt;0,J252+2,IF(INDEX(REG_Axle_Diameter,1,J252+3)&lt;&gt;$A252,-2,IF(INDEX(REG_B_OK,1,J252+3)&lt;&gt;0,J252+3,IF(INDEX(REG_Axle_Diameter,1,J252+4)&lt;&gt;$A252,-2,IF(INDEX(REG_B_OK,1,J252+4)&lt;&gt;0,J252+4,IF(INDEX(REG_Axle_Diameter,1,J252+5)&lt;&gt;$A252,-2,IF(INDEX(REG_B_OK,1,J252+5)&lt;&gt;0,J252+5,IF(INDEX(REG_Axle_Diameter,1,J252+6)&lt;&gt;$A252,-2,IF(INDEX(REG_B_OK,1,J252+6)&lt;&gt;0,J252+6,IF(INDEX(REG_Axle_Diameter,1,J252+7)&lt;&gt;$A252,-2,IF(INDEX(REG_B_OK,1,J252+7)&lt;&gt;0,J252+7,IF(INDEX(REG_Axle_Diameter,1,J252+8)&lt;&gt;$A252,-2,IF(INDEX(REG_B_OK,1,J252+8)&lt;&gt;0,J252+8,IF(INDEX(REG_Axle_Diameter,1,J252+9)&lt;&gt;$A252,-2,IF(INDEX(REG_B_OK,1,J252+9)&lt;&gt;0,J252+9,IF(INDEX(REG_Axle_Diameter,1,J252+10)&lt;&gt;$A252,-2,J252+10)))))))))))))))))))))</f>
        <v>-3</v>
      </c>
      <c r="L252" s="1798">
        <f t="shared" ref="L252" si="347">IF(ISERROR($B252),-3,IF(K252=-2,-2,IF(INDEX(REG_Axle_Diameter,1,K252+1)&lt;&gt;$A252,-2,IF(INDEX(REG_B_OK,1,K252+1)&lt;&gt;0,K252+1,IF(INDEX(REG_Axle_Diameter,1,K252+2)&lt;&gt;$A252,-2,IF(INDEX(REG_B_OK,1,K252+2)&lt;&gt;0,K252+2,IF(INDEX(REG_Axle_Diameter,1,K252+3)&lt;&gt;$A252,-2,IF(INDEX(REG_B_OK,1,K252+3)&lt;&gt;0,K252+3,IF(INDEX(REG_Axle_Diameter,1,K252+4)&lt;&gt;$A252,-2,IF(INDEX(REG_B_OK,1,K252+4)&lt;&gt;0,K252+4,IF(INDEX(REG_Axle_Diameter,1,K252+5)&lt;&gt;$A252,-2,IF(INDEX(REG_B_OK,1,K252+5)&lt;&gt;0,K252+5,IF(INDEX(REG_Axle_Diameter,1,K252+6)&lt;&gt;$A252,-2,IF(INDEX(REG_B_OK,1,K252+6)&lt;&gt;0,K252+6,IF(INDEX(REG_Axle_Diameter,1,K252+7)&lt;&gt;$A252,-2,IF(INDEX(REG_B_OK,1,K252+7)&lt;&gt;0,K252+7,IF(INDEX(REG_Axle_Diameter,1,K252+8)&lt;&gt;$A252,-2,IF(INDEX(REG_B_OK,1,K252+8)&lt;&gt;0,K252+8,IF(INDEX(REG_Axle_Diameter,1,K252+9)&lt;&gt;$A252,-2,IF(INDEX(REG_B_OK,1,K252+9)&lt;&gt;0,K252+9,IF(INDEX(REG_Axle_Diameter,1,K252+10)&lt;&gt;$A252,-2,K252+10)))))))))))))))))))))</f>
        <v>-3</v>
      </c>
    </row>
    <row r="253" spans="1:12" ht="15.95" customHeight="1">
      <c r="A253" s="1795"/>
      <c r="B253" s="1795"/>
      <c r="C253" s="1799">
        <f t="shared" ref="C253:L253" si="348">IF(C254=0,0,INDEX(REG_Bearing_Type,1,C252))</f>
        <v>0</v>
      </c>
      <c r="D253" s="1797">
        <f t="shared" si="348"/>
        <v>0</v>
      </c>
      <c r="E253" s="1797">
        <f t="shared" si="348"/>
        <v>0</v>
      </c>
      <c r="F253" s="1797">
        <f t="shared" si="348"/>
        <v>0</v>
      </c>
      <c r="G253" s="1797">
        <f t="shared" si="348"/>
        <v>0</v>
      </c>
      <c r="H253" s="1797">
        <f t="shared" si="348"/>
        <v>0</v>
      </c>
      <c r="I253" s="1797">
        <f t="shared" si="348"/>
        <v>0</v>
      </c>
      <c r="J253" s="1797">
        <f t="shared" si="348"/>
        <v>0</v>
      </c>
      <c r="K253" s="1797">
        <f t="shared" si="348"/>
        <v>0</v>
      </c>
      <c r="L253" s="1798">
        <f t="shared" si="348"/>
        <v>0</v>
      </c>
    </row>
    <row r="254" spans="1:12" ht="15.95" customHeight="1" thickBot="1">
      <c r="A254" s="1800"/>
      <c r="B254" s="1800"/>
      <c r="C254" s="1801">
        <f t="shared" ref="C254:L254" si="349">IF(C252&lt;0,0,INDEX(REG_B_OK,1,C252))</f>
        <v>0</v>
      </c>
      <c r="D254" s="1802">
        <f t="shared" si="349"/>
        <v>0</v>
      </c>
      <c r="E254" s="1802">
        <f t="shared" si="349"/>
        <v>0</v>
      </c>
      <c r="F254" s="1802">
        <f t="shared" si="349"/>
        <v>0</v>
      </c>
      <c r="G254" s="1802">
        <f t="shared" si="349"/>
        <v>0</v>
      </c>
      <c r="H254" s="1802">
        <f t="shared" si="349"/>
        <v>0</v>
      </c>
      <c r="I254" s="1802">
        <f t="shared" si="349"/>
        <v>0</v>
      </c>
      <c r="J254" s="1802">
        <f t="shared" si="349"/>
        <v>0</v>
      </c>
      <c r="K254" s="1802">
        <f t="shared" si="349"/>
        <v>0</v>
      </c>
      <c r="L254" s="1803">
        <f t="shared" si="349"/>
        <v>0</v>
      </c>
    </row>
    <row r="255" spans="1:12" ht="15.95" customHeight="1">
      <c r="C255" s="715"/>
      <c r="D255" s="715"/>
      <c r="E255" s="715"/>
      <c r="F255" s="715"/>
      <c r="G255" s="715"/>
      <c r="H255" s="715"/>
      <c r="I255" s="715"/>
      <c r="J255" s="715"/>
      <c r="K255" s="715"/>
      <c r="L255" s="715"/>
    </row>
    <row r="256" spans="1:12" ht="15.95" customHeight="1" thickBot="1">
      <c r="C256" s="715"/>
      <c r="D256" s="715"/>
      <c r="E256" s="715"/>
      <c r="F256" s="715"/>
      <c r="G256" s="715"/>
      <c r="H256" s="715"/>
      <c r="I256" s="715"/>
      <c r="J256" s="715"/>
      <c r="K256" s="715"/>
      <c r="L256" s="715"/>
    </row>
    <row r="257" spans="1:12" ht="15.95" customHeight="1" thickBot="1">
      <c r="A257" s="242" t="s">
        <v>1736</v>
      </c>
      <c r="B257" s="262"/>
      <c r="C257" s="716">
        <v>3</v>
      </c>
      <c r="D257" s="716">
        <f t="shared" ref="D257:J257" si="350">C257+1</f>
        <v>4</v>
      </c>
      <c r="E257" s="716">
        <f t="shared" si="350"/>
        <v>5</v>
      </c>
      <c r="F257" s="716">
        <f t="shared" si="350"/>
        <v>6</v>
      </c>
      <c r="G257" s="716">
        <f t="shared" si="350"/>
        <v>7</v>
      </c>
      <c r="H257" s="716">
        <f t="shared" si="350"/>
        <v>8</v>
      </c>
      <c r="I257" s="716">
        <f t="shared" si="350"/>
        <v>9</v>
      </c>
      <c r="J257" s="716">
        <f t="shared" si="350"/>
        <v>10</v>
      </c>
      <c r="K257" s="716">
        <f>I257+1</f>
        <v>10</v>
      </c>
      <c r="L257" s="722">
        <f>J257+1</f>
        <v>11</v>
      </c>
    </row>
    <row r="258" spans="1:12" ht="15.95" customHeight="1">
      <c r="A258" s="79" t="s">
        <v>17</v>
      </c>
      <c r="B258" s="79" t="s">
        <v>340</v>
      </c>
      <c r="C258" s="717" t="s">
        <v>56</v>
      </c>
      <c r="D258" s="718"/>
      <c r="E258" s="718"/>
      <c r="F258" s="718"/>
      <c r="G258" s="718"/>
      <c r="H258" s="718"/>
      <c r="I258" s="718"/>
      <c r="J258" s="718"/>
      <c r="K258" s="718"/>
      <c r="L258" s="723"/>
    </row>
    <row r="259" spans="1:12" ht="15.95" customHeight="1">
      <c r="A259" s="106">
        <v>0</v>
      </c>
      <c r="B259" s="106">
        <v>2</v>
      </c>
      <c r="C259" s="710">
        <v>-3</v>
      </c>
      <c r="D259" s="711">
        <v>-3</v>
      </c>
      <c r="E259" s="711">
        <v>-3</v>
      </c>
      <c r="F259" s="711">
        <v>-3</v>
      </c>
      <c r="G259" s="711">
        <v>-3</v>
      </c>
      <c r="H259" s="711">
        <v>-3</v>
      </c>
      <c r="I259" s="711">
        <v>-3</v>
      </c>
      <c r="J259" s="711">
        <v>-3</v>
      </c>
      <c r="K259" s="711">
        <v>-3</v>
      </c>
      <c r="L259" s="719">
        <v>-3</v>
      </c>
    </row>
    <row r="260" spans="1:12" ht="15.95" customHeight="1">
      <c r="A260" s="106"/>
      <c r="B260" s="106"/>
      <c r="C260" s="712">
        <f t="shared" ref="C260:L260" si="351">IF(C261=0,0,INDEX(PDN_Bearing_Type,1,C259))</f>
        <v>0</v>
      </c>
      <c r="D260" s="713">
        <f t="shared" si="351"/>
        <v>0</v>
      </c>
      <c r="E260" s="713">
        <f t="shared" si="351"/>
        <v>0</v>
      </c>
      <c r="F260" s="713">
        <f t="shared" si="351"/>
        <v>0</v>
      </c>
      <c r="G260" s="713">
        <f t="shared" si="351"/>
        <v>0</v>
      </c>
      <c r="H260" s="713">
        <f t="shared" si="351"/>
        <v>0</v>
      </c>
      <c r="I260" s="713">
        <f t="shared" si="351"/>
        <v>0</v>
      </c>
      <c r="J260" s="713">
        <f t="shared" si="351"/>
        <v>0</v>
      </c>
      <c r="K260" s="713">
        <f t="shared" si="351"/>
        <v>0</v>
      </c>
      <c r="L260" s="720">
        <f t="shared" si="351"/>
        <v>0</v>
      </c>
    </row>
    <row r="261" spans="1:12" ht="15.95" customHeight="1">
      <c r="A261" s="106"/>
      <c r="B261" s="106"/>
      <c r="C261" s="710">
        <f t="shared" ref="C261:L261" si="352">IF(C259&lt;0,0,INDEX(PDN_B_OK,1,C259))</f>
        <v>0</v>
      </c>
      <c r="D261" s="711">
        <f t="shared" si="352"/>
        <v>0</v>
      </c>
      <c r="E261" s="711">
        <f t="shared" si="352"/>
        <v>0</v>
      </c>
      <c r="F261" s="711">
        <f t="shared" si="352"/>
        <v>0</v>
      </c>
      <c r="G261" s="711">
        <f t="shared" si="352"/>
        <v>0</v>
      </c>
      <c r="H261" s="711">
        <f t="shared" si="352"/>
        <v>0</v>
      </c>
      <c r="I261" s="711">
        <f t="shared" si="352"/>
        <v>0</v>
      </c>
      <c r="J261" s="711">
        <f t="shared" si="352"/>
        <v>0</v>
      </c>
      <c r="K261" s="711">
        <f t="shared" si="352"/>
        <v>0</v>
      </c>
      <c r="L261" s="719">
        <f t="shared" si="352"/>
        <v>0</v>
      </c>
    </row>
    <row r="262" spans="1:12" ht="15.95" customHeight="1">
      <c r="A262" s="106">
        <v>35</v>
      </c>
      <c r="B262" s="106">
        <f>MATCH($A262,PDN_Axle_Diameter,0)</f>
        <v>3</v>
      </c>
      <c r="C262" s="714">
        <f>IF(ISERROR($B262),-3,IF(INDEX(PDN_Axle_Diameter,1,B262)&lt;&gt;$A262,-2,IF(INDEX(PDN_B_OK,1,B262)&lt;&gt;0,B262,IF(INDEX(PDN_Axle_Diameter,1,B262+1)&lt;&gt;$A262,-2,IF(INDEX(PDN_B_OK,1,B262+1)&lt;&gt;0,B262+1,IF(INDEX(PDN_Axle_Diameter,1,B262+2)&lt;&gt;$A262,-2,IF(INDEX(PDN_B_OK,1,B262+2)&lt;&gt;0,B262+2,IF(INDEX(PDN_Axle_Diameter,1,B262+3)&lt;&gt;$A262,-2,IF(INDEX(PDN_B_OK,1,B262+3)&lt;&gt;0,B262+3,IF(INDEX(PDN_Axle_Diameter,1,B262+4)&lt;&gt;$A262,-2,IF(INDEX(PDN_B_OK,1,B262+4)&lt;&gt;0,B262+4,IF(INDEX(PDN_Axle_Diameter,1,B262+5)&lt;&gt;$A262,-2,IF(INDEX(PDN_B_OK,1,B262+5)&lt;&gt;0,B262+5,IF(INDEX(PDN_Axle_Diameter,1,B262+6)&lt;&gt;$A262,-2,IF(INDEX(PDN_B_OK,1,B262+6)&lt;&gt;0,B262+6,IF(INDEX(PDN_Axle_Diameter,1,B262+7)&lt;&gt;$A262,-2,IF(INDEX(PDN_B_OK,1,B262+7)&lt;&gt;0,B262+7,IF(INDEX(PDN_Axle_Diameter,1,B262+8)&lt;&gt;$A262,-2,IF(INDEX(PDN_B_OK,1,B262+8)&lt;&gt;0,B262+8,IF(INDEX(PDN_Axle_Diameter,1,B262+9)&lt;&gt;$A262,-2,IF(INDEX(PDN_B_OK,1,B262+9)&lt;&gt;0,B262+9,IF(INDEX(PDN_Axle_Diameter,1,B262+10)&lt;&gt;$A262,-2,B262+10))))))))))))))))))))))</f>
        <v>-2</v>
      </c>
      <c r="D262" s="710">
        <f t="shared" ref="D262:L262" si="353">IF(ISERROR($B262),-3,IF(C262=-2,-2,IF(INDEX(PDN_Axle_Diameter,1,C262+1)&lt;&gt;$A262,-2,IF(INDEX(PDN_B_OK,1,C262+1)&lt;&gt;0,C262+1,IF(INDEX(PDN_Axle_Diameter,1,C262+2)&lt;&gt;$A262,-2,IF(INDEX(PDN_B_OK,1,C262+2)&lt;&gt;0,C262+2,IF(INDEX(PDN_Axle_Diameter,1,C262+3)&lt;&gt;$A262,-2,IF(INDEX(PDN_B_OK,1,C262+3)&lt;&gt;0,C262+3,IF(INDEX(PDN_Axle_Diameter,1,C262+4)&lt;&gt;$A262,-2,IF(INDEX(PDN_B_OK,1,C262+4)&lt;&gt;0,C262+4,IF(INDEX(PDN_Axle_Diameter,1,C262+5)&lt;&gt;$A262,-2,IF(INDEX(PDN_B_OK,1,C262+5)&lt;&gt;0,C262+5,IF(INDEX(PDN_Axle_Diameter,1,C262+6)&lt;&gt;$A262,-2,IF(INDEX(PDN_B_OK,1,C262+6)&lt;&gt;0,C262+6,IF(INDEX(PDN_Axle_Diameter,1,C262+7)&lt;&gt;$A262,-2,IF(INDEX(PDN_B_OK,1,C262+7)&lt;&gt;0,C262+7,IF(INDEX(PDN_Axle_Diameter,1,C262+8)&lt;&gt;$A262,-2,IF(INDEX(PDN_B_OK,1,C262+8)&lt;&gt;0,C262+8,IF(INDEX(PDN_Axle_Diameter,1,C262+9)&lt;&gt;$A262,-2,IF(INDEX(PDN_B_OK,1,C262+9)&lt;&gt;0,C262+9,IF(INDEX(PDN_Axle_Diameter,1,C262+10)&lt;&gt;$A262,-2,C262+10)))))))))))))))))))))</f>
        <v>-2</v>
      </c>
      <c r="E262" s="711">
        <f t="shared" si="353"/>
        <v>-2</v>
      </c>
      <c r="F262" s="711">
        <f t="shared" si="353"/>
        <v>-2</v>
      </c>
      <c r="G262" s="711">
        <f t="shared" si="353"/>
        <v>-2</v>
      </c>
      <c r="H262" s="711">
        <f t="shared" si="353"/>
        <v>-2</v>
      </c>
      <c r="I262" s="711">
        <f t="shared" si="353"/>
        <v>-2</v>
      </c>
      <c r="J262" s="711">
        <f t="shared" si="353"/>
        <v>-2</v>
      </c>
      <c r="K262" s="711">
        <f t="shared" si="353"/>
        <v>-2</v>
      </c>
      <c r="L262" s="719">
        <f t="shared" si="353"/>
        <v>-2</v>
      </c>
    </row>
    <row r="263" spans="1:12" ht="15.95" customHeight="1">
      <c r="A263" s="106"/>
      <c r="B263" s="106"/>
      <c r="C263" s="712">
        <f t="shared" ref="C263:L263" si="354">IF(C264=0,0,INDEX(PDN_Bearing_Type,1,C262))</f>
        <v>0</v>
      </c>
      <c r="D263" s="713">
        <f t="shared" si="354"/>
        <v>0</v>
      </c>
      <c r="E263" s="713">
        <f t="shared" si="354"/>
        <v>0</v>
      </c>
      <c r="F263" s="713">
        <f t="shared" si="354"/>
        <v>0</v>
      </c>
      <c r="G263" s="713">
        <f t="shared" si="354"/>
        <v>0</v>
      </c>
      <c r="H263" s="713">
        <f t="shared" si="354"/>
        <v>0</v>
      </c>
      <c r="I263" s="713">
        <f t="shared" si="354"/>
        <v>0</v>
      </c>
      <c r="J263" s="713">
        <f t="shared" si="354"/>
        <v>0</v>
      </c>
      <c r="K263" s="713">
        <f t="shared" si="354"/>
        <v>0</v>
      </c>
      <c r="L263" s="720">
        <f t="shared" si="354"/>
        <v>0</v>
      </c>
    </row>
    <row r="264" spans="1:12" ht="15.95" customHeight="1">
      <c r="A264" s="106"/>
      <c r="B264" s="106"/>
      <c r="C264" s="710">
        <f t="shared" ref="C264:L264" si="355">IF(C262&lt;0,0,INDEX(PDN_B_OK,1,C262))</f>
        <v>0</v>
      </c>
      <c r="D264" s="711">
        <f t="shared" si="355"/>
        <v>0</v>
      </c>
      <c r="E264" s="711">
        <f t="shared" si="355"/>
        <v>0</v>
      </c>
      <c r="F264" s="711">
        <f t="shared" si="355"/>
        <v>0</v>
      </c>
      <c r="G264" s="711">
        <f t="shared" si="355"/>
        <v>0</v>
      </c>
      <c r="H264" s="711">
        <f t="shared" si="355"/>
        <v>0</v>
      </c>
      <c r="I264" s="711">
        <f t="shared" si="355"/>
        <v>0</v>
      </c>
      <c r="J264" s="711">
        <f t="shared" si="355"/>
        <v>0</v>
      </c>
      <c r="K264" s="711">
        <f t="shared" si="355"/>
        <v>0</v>
      </c>
      <c r="L264" s="719">
        <f t="shared" si="355"/>
        <v>0</v>
      </c>
    </row>
    <row r="265" spans="1:12" ht="15.95" customHeight="1">
      <c r="A265" s="106">
        <f>A262+5</f>
        <v>40</v>
      </c>
      <c r="B265" s="106">
        <f>MATCH($A265,PDN_Axle_Diameter,0)</f>
        <v>4</v>
      </c>
      <c r="C265" s="714">
        <f>IF(ISERROR($B265),-3,IF(INDEX(PDN_Axle_Diameter,1,B265)&lt;&gt;$A265,-2,IF(INDEX(PDN_B_OK,1,B265)&lt;&gt;0,B265,IF(INDEX(PDN_Axle_Diameter,1,B265+1)&lt;&gt;$A265,-2,IF(INDEX(PDN_B_OK,1,B265+1)&lt;&gt;0,B265+1,IF(INDEX(PDN_Axle_Diameter,1,B265+2)&lt;&gt;$A265,-2,IF(INDEX(PDN_B_OK,1,B265+2)&lt;&gt;0,B265+2,IF(INDEX(PDN_Axle_Diameter,1,B265+3)&lt;&gt;$A265,-2,IF(INDEX(PDN_B_OK,1,B265+3)&lt;&gt;0,B265+3,IF(INDEX(PDN_Axle_Diameter,1,B265+4)&lt;&gt;$A265,-2,IF(INDEX(PDN_B_OK,1,B265+4)&lt;&gt;0,B265+4,IF(INDEX(PDN_Axle_Diameter,1,B265+5)&lt;&gt;$A265,-2,IF(INDEX(PDN_B_OK,1,B265+5)&lt;&gt;0,B265+5,IF(INDEX(PDN_Axle_Diameter,1,B265+6)&lt;&gt;$A265,-2,IF(INDEX(PDN_B_OK,1,B265+6)&lt;&gt;0,B265+6,IF(INDEX(PDN_Axle_Diameter,1,B265+7)&lt;&gt;$A265,-2,IF(INDEX(PDN_B_OK,1,B265+7)&lt;&gt;0,B265+7,IF(INDEX(PDN_Axle_Diameter,1,B265+8)&lt;&gt;$A265,-2,IF(INDEX(PDN_B_OK,1,B265+8)&lt;&gt;0,B265+8,IF(INDEX(PDN_Axle_Diameter,1,B265+9)&lt;&gt;$A265,-2,IF(INDEX(PDN_B_OK,1,B265+9)&lt;&gt;0,B265+9,IF(INDEX(PDN_Axle_Diameter,1,B265+10)&lt;&gt;$A265,-2,B265+10))))))))))))))))))))))</f>
        <v>-2</v>
      </c>
      <c r="D265" s="710">
        <f t="shared" ref="D265:L265" si="356">IF(ISERROR($B265),-3,IF(C265=-2,-2,IF(INDEX(PDN_Axle_Diameter,1,C265+1)&lt;&gt;$A265,-2,IF(INDEX(PDN_B_OK,1,C265+1)&lt;&gt;0,C265+1,IF(INDEX(PDN_Axle_Diameter,1,C265+2)&lt;&gt;$A265,-2,IF(INDEX(PDN_B_OK,1,C265+2)&lt;&gt;0,C265+2,IF(INDEX(PDN_Axle_Diameter,1,C265+3)&lt;&gt;$A265,-2,IF(INDEX(PDN_B_OK,1,C265+3)&lt;&gt;0,C265+3,IF(INDEX(PDN_Axle_Diameter,1,C265+4)&lt;&gt;$A265,-2,IF(INDEX(PDN_B_OK,1,C265+4)&lt;&gt;0,C265+4,IF(INDEX(PDN_Axle_Diameter,1,C265+5)&lt;&gt;$A265,-2,IF(INDEX(PDN_B_OK,1,C265+5)&lt;&gt;0,C265+5,IF(INDEX(PDN_Axle_Diameter,1,C265+6)&lt;&gt;$A265,-2,IF(INDEX(PDN_B_OK,1,C265+6)&lt;&gt;0,C265+6,IF(INDEX(PDN_Axle_Diameter,1,C265+7)&lt;&gt;$A265,-2,IF(INDEX(PDN_B_OK,1,C265+7)&lt;&gt;0,C265+7,IF(INDEX(PDN_Axle_Diameter,1,C265+8)&lt;&gt;$A265,-2,IF(INDEX(PDN_B_OK,1,C265+8)&lt;&gt;0,C265+8,IF(INDEX(PDN_Axle_Diameter,1,C265+9)&lt;&gt;$A265,-2,IF(INDEX(PDN_B_OK,1,C265+9)&lt;&gt;0,C265+9,IF(INDEX(PDN_Axle_Diameter,1,C265+10)&lt;&gt;$A265,-2,C265+10)))))))))))))))))))))</f>
        <v>-2</v>
      </c>
      <c r="E265" s="711">
        <f t="shared" si="356"/>
        <v>-2</v>
      </c>
      <c r="F265" s="711">
        <f t="shared" si="356"/>
        <v>-2</v>
      </c>
      <c r="G265" s="711">
        <f t="shared" si="356"/>
        <v>-2</v>
      </c>
      <c r="H265" s="711">
        <f t="shared" si="356"/>
        <v>-2</v>
      </c>
      <c r="I265" s="711">
        <f t="shared" si="356"/>
        <v>-2</v>
      </c>
      <c r="J265" s="711">
        <f t="shared" si="356"/>
        <v>-2</v>
      </c>
      <c r="K265" s="711">
        <f t="shared" si="356"/>
        <v>-2</v>
      </c>
      <c r="L265" s="719">
        <f t="shared" si="356"/>
        <v>-2</v>
      </c>
    </row>
    <row r="266" spans="1:12" ht="15.95" customHeight="1">
      <c r="A266" s="106"/>
      <c r="B266" s="106"/>
      <c r="C266" s="712">
        <f t="shared" ref="C266:L266" si="357">IF(C267=0,0,INDEX(PDN_Bearing_Type,1,C265))</f>
        <v>0</v>
      </c>
      <c r="D266" s="713">
        <f t="shared" si="357"/>
        <v>0</v>
      </c>
      <c r="E266" s="713">
        <f t="shared" si="357"/>
        <v>0</v>
      </c>
      <c r="F266" s="713">
        <f t="shared" si="357"/>
        <v>0</v>
      </c>
      <c r="G266" s="713">
        <f t="shared" si="357"/>
        <v>0</v>
      </c>
      <c r="H266" s="713">
        <f t="shared" si="357"/>
        <v>0</v>
      </c>
      <c r="I266" s="713">
        <f t="shared" si="357"/>
        <v>0</v>
      </c>
      <c r="J266" s="713">
        <f t="shared" si="357"/>
        <v>0</v>
      </c>
      <c r="K266" s="713">
        <f t="shared" si="357"/>
        <v>0</v>
      </c>
      <c r="L266" s="720">
        <f t="shared" si="357"/>
        <v>0</v>
      </c>
    </row>
    <row r="267" spans="1:12" ht="15.95" customHeight="1">
      <c r="A267" s="106"/>
      <c r="B267" s="106"/>
      <c r="C267" s="710">
        <f t="shared" ref="C267:L267" si="358">IF(C265&lt;0,0,INDEX(PDN_B_OK,1,C265))</f>
        <v>0</v>
      </c>
      <c r="D267" s="711">
        <f t="shared" si="358"/>
        <v>0</v>
      </c>
      <c r="E267" s="711">
        <f t="shared" si="358"/>
        <v>0</v>
      </c>
      <c r="F267" s="711">
        <f t="shared" si="358"/>
        <v>0</v>
      </c>
      <c r="G267" s="711">
        <f t="shared" si="358"/>
        <v>0</v>
      </c>
      <c r="H267" s="711">
        <f t="shared" si="358"/>
        <v>0</v>
      </c>
      <c r="I267" s="711">
        <f t="shared" si="358"/>
        <v>0</v>
      </c>
      <c r="J267" s="711">
        <f t="shared" si="358"/>
        <v>0</v>
      </c>
      <c r="K267" s="711">
        <f t="shared" si="358"/>
        <v>0</v>
      </c>
      <c r="L267" s="719">
        <f t="shared" si="358"/>
        <v>0</v>
      </c>
    </row>
    <row r="268" spans="1:12" ht="15.95" customHeight="1">
      <c r="A268" s="106">
        <f>A265+5</f>
        <v>45</v>
      </c>
      <c r="B268" s="106">
        <f>MATCH($A268,PDN_Axle_Diameter,0)</f>
        <v>5</v>
      </c>
      <c r="C268" s="714">
        <f>IF(ISERROR($B268),-3,IF(INDEX(PDN_Axle_Diameter,1,B268)&lt;&gt;$A268,-2,IF(INDEX(PDN_B_OK,1,B268)&lt;&gt;0,B268,IF(INDEX(PDN_Axle_Diameter,1,B268+1)&lt;&gt;$A268,-2,IF(INDEX(PDN_B_OK,1,B268+1)&lt;&gt;0,B268+1,IF(INDEX(PDN_Axle_Diameter,1,B268+2)&lt;&gt;$A268,-2,IF(INDEX(PDN_B_OK,1,B268+2)&lt;&gt;0,B268+2,IF(INDEX(PDN_Axle_Diameter,1,B268+3)&lt;&gt;$A268,-2,IF(INDEX(PDN_B_OK,1,B268+3)&lt;&gt;0,B268+3,IF(INDEX(PDN_Axle_Diameter,1,B268+4)&lt;&gt;$A268,-2,IF(INDEX(PDN_B_OK,1,B268+4)&lt;&gt;0,B268+4,IF(INDEX(PDN_Axle_Diameter,1,B268+5)&lt;&gt;$A268,-2,IF(INDEX(PDN_B_OK,1,B268+5)&lt;&gt;0,B268+5,IF(INDEX(PDN_Axle_Diameter,1,B268+6)&lt;&gt;$A268,-2,IF(INDEX(PDN_B_OK,1,B268+6)&lt;&gt;0,B268+6,IF(INDEX(PDN_Axle_Diameter,1,B268+7)&lt;&gt;$A268,-2,IF(INDEX(PDN_B_OK,1,B268+7)&lt;&gt;0,B268+7,IF(INDEX(PDN_Axle_Diameter,1,B268+8)&lt;&gt;$A268,-2,IF(INDEX(PDN_B_OK,1,B268+8)&lt;&gt;0,B268+8,IF(INDEX(PDN_Axle_Diameter,1,B268+9)&lt;&gt;$A268,-2,IF(INDEX(PDN_B_OK,1,B268+9)&lt;&gt;0,B268+9,IF(INDEX(PDN_Axle_Diameter,1,B268+10)&lt;&gt;$A268,-2,B268+10))))))))))))))))))))))</f>
        <v>-2</v>
      </c>
      <c r="D268" s="710">
        <f t="shared" ref="D268:L268" si="359">IF(ISERROR($B268),-3,IF(C268=-2,-2,IF(INDEX(PDN_Axle_Diameter,1,C268+1)&lt;&gt;$A268,-2,IF(INDEX(PDN_B_OK,1,C268+1)&lt;&gt;0,C268+1,IF(INDEX(PDN_Axle_Diameter,1,C268+2)&lt;&gt;$A268,-2,IF(INDEX(PDN_B_OK,1,C268+2)&lt;&gt;0,C268+2,IF(INDEX(PDN_Axle_Diameter,1,C268+3)&lt;&gt;$A268,-2,IF(INDEX(PDN_B_OK,1,C268+3)&lt;&gt;0,C268+3,IF(INDEX(PDN_Axle_Diameter,1,C268+4)&lt;&gt;$A268,-2,IF(INDEX(PDN_B_OK,1,C268+4)&lt;&gt;0,C268+4,IF(INDEX(PDN_Axle_Diameter,1,C268+5)&lt;&gt;$A268,-2,IF(INDEX(PDN_B_OK,1,C268+5)&lt;&gt;0,C268+5,IF(INDEX(PDN_Axle_Diameter,1,C268+6)&lt;&gt;$A268,-2,IF(INDEX(PDN_B_OK,1,C268+6)&lt;&gt;0,C268+6,IF(INDEX(PDN_Axle_Diameter,1,C268+7)&lt;&gt;$A268,-2,IF(INDEX(PDN_B_OK,1,C268+7)&lt;&gt;0,C268+7,IF(INDEX(PDN_Axle_Diameter,1,C268+8)&lt;&gt;$A268,-2,IF(INDEX(PDN_B_OK,1,C268+8)&lt;&gt;0,C268+8,IF(INDEX(PDN_Axle_Diameter,1,C268+9)&lt;&gt;$A268,-2,IF(INDEX(PDN_B_OK,1,C268+9)&lt;&gt;0,C268+9,IF(INDEX(PDN_Axle_Diameter,1,C268+10)&lt;&gt;$A268,-2,C268+10)))))))))))))))))))))</f>
        <v>-2</v>
      </c>
      <c r="E268" s="711">
        <f t="shared" si="359"/>
        <v>-2</v>
      </c>
      <c r="F268" s="711">
        <f t="shared" si="359"/>
        <v>-2</v>
      </c>
      <c r="G268" s="711">
        <f t="shared" si="359"/>
        <v>-2</v>
      </c>
      <c r="H268" s="711">
        <f t="shared" si="359"/>
        <v>-2</v>
      </c>
      <c r="I268" s="711">
        <f t="shared" si="359"/>
        <v>-2</v>
      </c>
      <c r="J268" s="711">
        <f t="shared" si="359"/>
        <v>-2</v>
      </c>
      <c r="K268" s="711">
        <f t="shared" si="359"/>
        <v>-2</v>
      </c>
      <c r="L268" s="719">
        <f t="shared" si="359"/>
        <v>-2</v>
      </c>
    </row>
    <row r="269" spans="1:12" ht="15.95" customHeight="1">
      <c r="A269" s="106"/>
      <c r="B269" s="106"/>
      <c r="C269" s="712">
        <f t="shared" ref="C269:L269" si="360">IF(C270=0,0,INDEX(PDN_Bearing_Type,1,C268))</f>
        <v>0</v>
      </c>
      <c r="D269" s="713">
        <f t="shared" si="360"/>
        <v>0</v>
      </c>
      <c r="E269" s="713">
        <f t="shared" si="360"/>
        <v>0</v>
      </c>
      <c r="F269" s="713">
        <f t="shared" si="360"/>
        <v>0</v>
      </c>
      <c r="G269" s="713">
        <f t="shared" si="360"/>
        <v>0</v>
      </c>
      <c r="H269" s="713">
        <f t="shared" si="360"/>
        <v>0</v>
      </c>
      <c r="I269" s="713">
        <f t="shared" si="360"/>
        <v>0</v>
      </c>
      <c r="J269" s="713">
        <f t="shared" si="360"/>
        <v>0</v>
      </c>
      <c r="K269" s="713">
        <f t="shared" si="360"/>
        <v>0</v>
      </c>
      <c r="L269" s="720">
        <f t="shared" si="360"/>
        <v>0</v>
      </c>
    </row>
    <row r="270" spans="1:12" ht="15.95" customHeight="1">
      <c r="A270" s="106"/>
      <c r="B270" s="106"/>
      <c r="C270" s="710">
        <f t="shared" ref="C270:L270" si="361">IF(C268&lt;0,0,INDEX(PDN_B_OK,1,C268))</f>
        <v>0</v>
      </c>
      <c r="D270" s="711">
        <f t="shared" si="361"/>
        <v>0</v>
      </c>
      <c r="E270" s="711">
        <f t="shared" si="361"/>
        <v>0</v>
      </c>
      <c r="F270" s="711">
        <f t="shared" si="361"/>
        <v>0</v>
      </c>
      <c r="G270" s="711">
        <f t="shared" si="361"/>
        <v>0</v>
      </c>
      <c r="H270" s="711">
        <f t="shared" si="361"/>
        <v>0</v>
      </c>
      <c r="I270" s="711">
        <f t="shared" si="361"/>
        <v>0</v>
      </c>
      <c r="J270" s="711">
        <f t="shared" si="361"/>
        <v>0</v>
      </c>
      <c r="K270" s="711">
        <f t="shared" si="361"/>
        <v>0</v>
      </c>
      <c r="L270" s="719">
        <f t="shared" si="361"/>
        <v>0</v>
      </c>
    </row>
    <row r="271" spans="1:12" ht="15.95" customHeight="1">
      <c r="A271" s="106">
        <f>A268+5</f>
        <v>50</v>
      </c>
      <c r="B271" s="106">
        <f>MATCH($A271,PDN_Axle_Diameter,0)</f>
        <v>6</v>
      </c>
      <c r="C271" s="714">
        <f>IF(ISERROR($B271),-3,IF(INDEX(PDN_Axle_Diameter,1,B271)&lt;&gt;$A271,-2,IF(INDEX(PDN_B_OK,1,B271)&lt;&gt;0,B271,IF(INDEX(PDN_Axle_Diameter,1,B271+1)&lt;&gt;$A271,-2,IF(INDEX(PDN_B_OK,1,B271+1)&lt;&gt;0,B271+1,IF(INDEX(PDN_Axle_Diameter,1,B271+2)&lt;&gt;$A271,-2,IF(INDEX(PDN_B_OK,1,B271+2)&lt;&gt;0,B271+2,IF(INDEX(PDN_Axle_Diameter,1,B271+3)&lt;&gt;$A271,-2,IF(INDEX(PDN_B_OK,1,B271+3)&lt;&gt;0,B271+3,IF(INDEX(PDN_Axle_Diameter,1,B271+4)&lt;&gt;$A271,-2,IF(INDEX(PDN_B_OK,1,B271+4)&lt;&gt;0,B271+4,IF(INDEX(PDN_Axle_Diameter,1,B271+5)&lt;&gt;$A271,-2,IF(INDEX(PDN_B_OK,1,B271+5)&lt;&gt;0,B271+5,IF(INDEX(PDN_Axle_Diameter,1,B271+6)&lt;&gt;$A271,-2,IF(INDEX(PDN_B_OK,1,B271+6)&lt;&gt;0,B271+6,IF(INDEX(PDN_Axle_Diameter,1,B271+7)&lt;&gt;$A271,-2,IF(INDEX(PDN_B_OK,1,B271+7)&lt;&gt;0,B271+7,IF(INDEX(PDN_Axle_Diameter,1,B271+8)&lt;&gt;$A271,-2,IF(INDEX(PDN_B_OK,1,B271+8)&lt;&gt;0,B271+8,IF(INDEX(PDN_Axle_Diameter,1,B271+9)&lt;&gt;$A271,-2,IF(INDEX(PDN_B_OK,1,B271+9)&lt;&gt;0,B271+9,IF(INDEX(PDN_Axle_Diameter,1,B271+10)&lt;&gt;$A271,-2,B271+10))))))))))))))))))))))</f>
        <v>-2</v>
      </c>
      <c r="D271" s="710">
        <f t="shared" ref="D271:L271" si="362">IF(ISERROR($B271),-3,IF(C271=-2,-2,IF(INDEX(PDN_Axle_Diameter,1,C271+1)&lt;&gt;$A271,-2,IF(INDEX(PDN_B_OK,1,C271+1)&lt;&gt;0,C271+1,IF(INDEX(PDN_Axle_Diameter,1,C271+2)&lt;&gt;$A271,-2,IF(INDEX(PDN_B_OK,1,C271+2)&lt;&gt;0,C271+2,IF(INDEX(PDN_Axle_Diameter,1,C271+3)&lt;&gt;$A271,-2,IF(INDEX(PDN_B_OK,1,C271+3)&lt;&gt;0,C271+3,IF(INDEX(PDN_Axle_Diameter,1,C271+4)&lt;&gt;$A271,-2,IF(INDEX(PDN_B_OK,1,C271+4)&lt;&gt;0,C271+4,IF(INDEX(PDN_Axle_Diameter,1,C271+5)&lt;&gt;$A271,-2,IF(INDEX(PDN_B_OK,1,C271+5)&lt;&gt;0,C271+5,IF(INDEX(PDN_Axle_Diameter,1,C271+6)&lt;&gt;$A271,-2,IF(INDEX(PDN_B_OK,1,C271+6)&lt;&gt;0,C271+6,IF(INDEX(PDN_Axle_Diameter,1,C271+7)&lt;&gt;$A271,-2,IF(INDEX(PDN_B_OK,1,C271+7)&lt;&gt;0,C271+7,IF(INDEX(PDN_Axle_Diameter,1,C271+8)&lt;&gt;$A271,-2,IF(INDEX(PDN_B_OK,1,C271+8)&lt;&gt;0,C271+8,IF(INDEX(PDN_Axle_Diameter,1,C271+9)&lt;&gt;$A271,-2,IF(INDEX(PDN_B_OK,1,C271+9)&lt;&gt;0,C271+9,IF(INDEX(PDN_Axle_Diameter,1,C271+10)&lt;&gt;$A271,-2,C271+10)))))))))))))))))))))</f>
        <v>-2</v>
      </c>
      <c r="E271" s="711">
        <f t="shared" si="362"/>
        <v>-2</v>
      </c>
      <c r="F271" s="711">
        <f t="shared" si="362"/>
        <v>-2</v>
      </c>
      <c r="G271" s="711">
        <f t="shared" si="362"/>
        <v>-2</v>
      </c>
      <c r="H271" s="711">
        <f t="shared" si="362"/>
        <v>-2</v>
      </c>
      <c r="I271" s="711">
        <f t="shared" si="362"/>
        <v>-2</v>
      </c>
      <c r="J271" s="711">
        <f t="shared" si="362"/>
        <v>-2</v>
      </c>
      <c r="K271" s="711">
        <f t="shared" si="362"/>
        <v>-2</v>
      </c>
      <c r="L271" s="719">
        <f t="shared" si="362"/>
        <v>-2</v>
      </c>
    </row>
    <row r="272" spans="1:12" ht="15.95" customHeight="1">
      <c r="A272" s="106"/>
      <c r="B272" s="106"/>
      <c r="C272" s="712">
        <f t="shared" ref="C272:L272" si="363">IF(C273=0,0,INDEX(PDN_Bearing_Type,1,C271))</f>
        <v>0</v>
      </c>
      <c r="D272" s="713">
        <f t="shared" si="363"/>
        <v>0</v>
      </c>
      <c r="E272" s="713">
        <f t="shared" si="363"/>
        <v>0</v>
      </c>
      <c r="F272" s="713">
        <f t="shared" si="363"/>
        <v>0</v>
      </c>
      <c r="G272" s="713">
        <f t="shared" si="363"/>
        <v>0</v>
      </c>
      <c r="H272" s="713">
        <f t="shared" si="363"/>
        <v>0</v>
      </c>
      <c r="I272" s="713">
        <f t="shared" si="363"/>
        <v>0</v>
      </c>
      <c r="J272" s="713">
        <f t="shared" si="363"/>
        <v>0</v>
      </c>
      <c r="K272" s="713">
        <f t="shared" si="363"/>
        <v>0</v>
      </c>
      <c r="L272" s="720">
        <f t="shared" si="363"/>
        <v>0</v>
      </c>
    </row>
    <row r="273" spans="1:12" ht="15.95" customHeight="1">
      <c r="A273" s="106"/>
      <c r="B273" s="106"/>
      <c r="C273" s="710">
        <f t="shared" ref="C273:L273" si="364">IF(C271&lt;0,0,INDEX(PDN_B_OK,1,C271))</f>
        <v>0</v>
      </c>
      <c r="D273" s="711">
        <f t="shared" si="364"/>
        <v>0</v>
      </c>
      <c r="E273" s="711">
        <f t="shared" si="364"/>
        <v>0</v>
      </c>
      <c r="F273" s="711">
        <f t="shared" si="364"/>
        <v>0</v>
      </c>
      <c r="G273" s="711">
        <f t="shared" si="364"/>
        <v>0</v>
      </c>
      <c r="H273" s="711">
        <f t="shared" si="364"/>
        <v>0</v>
      </c>
      <c r="I273" s="711">
        <f t="shared" si="364"/>
        <v>0</v>
      </c>
      <c r="J273" s="711">
        <f t="shared" si="364"/>
        <v>0</v>
      </c>
      <c r="K273" s="711">
        <f t="shared" si="364"/>
        <v>0</v>
      </c>
      <c r="L273" s="719">
        <f t="shared" si="364"/>
        <v>0</v>
      </c>
    </row>
    <row r="274" spans="1:12" ht="15.95" customHeight="1">
      <c r="A274" s="106">
        <f>A271+5</f>
        <v>55</v>
      </c>
      <c r="B274" s="106">
        <f>MATCH($A274,PDN_Axle_Diameter,0)</f>
        <v>8</v>
      </c>
      <c r="C274" s="714">
        <f>IF(ISERROR($B274),-3,IF(INDEX(PDN_Axle_Diameter,1,B274)&lt;&gt;$A274,-2,IF(INDEX(PDN_B_OK,1,B274)&lt;&gt;0,B274,IF(INDEX(PDN_Axle_Diameter,1,B274+1)&lt;&gt;$A274,-2,IF(INDEX(PDN_B_OK,1,B274+1)&lt;&gt;0,B274+1,IF(INDEX(PDN_Axle_Diameter,1,B274+2)&lt;&gt;$A274,-2,IF(INDEX(PDN_B_OK,1,B274+2)&lt;&gt;0,B274+2,IF(INDEX(PDN_Axle_Diameter,1,B274+3)&lt;&gt;$A274,-2,IF(INDEX(PDN_B_OK,1,B274+3)&lt;&gt;0,B274+3,IF(INDEX(PDN_Axle_Diameter,1,B274+4)&lt;&gt;$A274,-2,IF(INDEX(PDN_B_OK,1,B274+4)&lt;&gt;0,B274+4,IF(INDEX(PDN_Axle_Diameter,1,B274+5)&lt;&gt;$A274,-2,IF(INDEX(PDN_B_OK,1,B274+5)&lt;&gt;0,B274+5,IF(INDEX(PDN_Axle_Diameter,1,B274+6)&lt;&gt;$A274,-2,IF(INDEX(PDN_B_OK,1,B274+6)&lt;&gt;0,B274+6,IF(INDEX(PDN_Axle_Diameter,1,B274+7)&lt;&gt;$A274,-2,IF(INDEX(PDN_B_OK,1,B274+7)&lt;&gt;0,B274+7,IF(INDEX(PDN_Axle_Diameter,1,B274+8)&lt;&gt;$A274,-2,IF(INDEX(PDN_B_OK,1,B274+8)&lt;&gt;0,B274+8,IF(INDEX(PDN_Axle_Diameter,1,B274+9)&lt;&gt;$A274,-2,IF(INDEX(PDN_B_OK,1,B274+9)&lt;&gt;0,B274+9,IF(INDEX(PDN_Axle_Diameter,1,B274+10)&lt;&gt;$A274,-2,B274+10))))))))))))))))))))))</f>
        <v>-2</v>
      </c>
      <c r="D274" s="710">
        <f t="shared" ref="D274:L274" si="365">IF(ISERROR($B274),-3,IF(C274=-2,-2,IF(INDEX(PDN_Axle_Diameter,1,C274+1)&lt;&gt;$A274,-2,IF(INDEX(PDN_B_OK,1,C274+1)&lt;&gt;0,C274+1,IF(INDEX(PDN_Axle_Diameter,1,C274+2)&lt;&gt;$A274,-2,IF(INDEX(PDN_B_OK,1,C274+2)&lt;&gt;0,C274+2,IF(INDEX(PDN_Axle_Diameter,1,C274+3)&lt;&gt;$A274,-2,IF(INDEX(PDN_B_OK,1,C274+3)&lt;&gt;0,C274+3,IF(INDEX(PDN_Axle_Diameter,1,C274+4)&lt;&gt;$A274,-2,IF(INDEX(PDN_B_OK,1,C274+4)&lt;&gt;0,C274+4,IF(INDEX(PDN_Axle_Diameter,1,C274+5)&lt;&gt;$A274,-2,IF(INDEX(PDN_B_OK,1,C274+5)&lt;&gt;0,C274+5,IF(INDEX(PDN_Axle_Diameter,1,C274+6)&lt;&gt;$A274,-2,IF(INDEX(PDN_B_OK,1,C274+6)&lt;&gt;0,C274+6,IF(INDEX(PDN_Axle_Diameter,1,C274+7)&lt;&gt;$A274,-2,IF(INDEX(PDN_B_OK,1,C274+7)&lt;&gt;0,C274+7,IF(INDEX(PDN_Axle_Diameter,1,C274+8)&lt;&gt;$A274,-2,IF(INDEX(PDN_B_OK,1,C274+8)&lt;&gt;0,C274+8,IF(INDEX(PDN_Axle_Diameter,1,C274+9)&lt;&gt;$A274,-2,IF(INDEX(PDN_B_OK,1,C274+9)&lt;&gt;0,C274+9,IF(INDEX(PDN_Axle_Diameter,1,C274+10)&lt;&gt;$A274,-2,C274+10)))))))))))))))))))))</f>
        <v>-2</v>
      </c>
      <c r="E274" s="711">
        <f t="shared" si="365"/>
        <v>-2</v>
      </c>
      <c r="F274" s="711">
        <f t="shared" si="365"/>
        <v>-2</v>
      </c>
      <c r="G274" s="711">
        <f t="shared" si="365"/>
        <v>-2</v>
      </c>
      <c r="H274" s="711">
        <f t="shared" si="365"/>
        <v>-2</v>
      </c>
      <c r="I274" s="711">
        <f t="shared" si="365"/>
        <v>-2</v>
      </c>
      <c r="J274" s="711">
        <f t="shared" si="365"/>
        <v>-2</v>
      </c>
      <c r="K274" s="711">
        <f t="shared" si="365"/>
        <v>-2</v>
      </c>
      <c r="L274" s="719">
        <f t="shared" si="365"/>
        <v>-2</v>
      </c>
    </row>
    <row r="275" spans="1:12" ht="15.95" customHeight="1">
      <c r="A275" s="106"/>
      <c r="B275" s="106"/>
      <c r="C275" s="712">
        <f t="shared" ref="C275:L275" si="366">IF(C276=0,0,INDEX(PDN_Bearing_Type,1,C274))</f>
        <v>0</v>
      </c>
      <c r="D275" s="713">
        <f t="shared" si="366"/>
        <v>0</v>
      </c>
      <c r="E275" s="713">
        <f t="shared" si="366"/>
        <v>0</v>
      </c>
      <c r="F275" s="713">
        <f t="shared" si="366"/>
        <v>0</v>
      </c>
      <c r="G275" s="713">
        <f t="shared" si="366"/>
        <v>0</v>
      </c>
      <c r="H275" s="713">
        <f t="shared" si="366"/>
        <v>0</v>
      </c>
      <c r="I275" s="713">
        <f t="shared" si="366"/>
        <v>0</v>
      </c>
      <c r="J275" s="713">
        <f t="shared" si="366"/>
        <v>0</v>
      </c>
      <c r="K275" s="713">
        <f t="shared" si="366"/>
        <v>0</v>
      </c>
      <c r="L275" s="720">
        <f t="shared" si="366"/>
        <v>0</v>
      </c>
    </row>
    <row r="276" spans="1:12" ht="15.95" customHeight="1">
      <c r="A276" s="106"/>
      <c r="B276" s="106"/>
      <c r="C276" s="710">
        <f t="shared" ref="C276:L276" si="367">IF(C274&lt;0,0,INDEX(PDN_B_OK,1,C274))</f>
        <v>0</v>
      </c>
      <c r="D276" s="711">
        <f t="shared" si="367"/>
        <v>0</v>
      </c>
      <c r="E276" s="711">
        <f t="shared" si="367"/>
        <v>0</v>
      </c>
      <c r="F276" s="711">
        <f t="shared" si="367"/>
        <v>0</v>
      </c>
      <c r="G276" s="711">
        <f t="shared" si="367"/>
        <v>0</v>
      </c>
      <c r="H276" s="711">
        <f t="shared" si="367"/>
        <v>0</v>
      </c>
      <c r="I276" s="711">
        <f t="shared" si="367"/>
        <v>0</v>
      </c>
      <c r="J276" s="711">
        <f t="shared" si="367"/>
        <v>0</v>
      </c>
      <c r="K276" s="711">
        <f t="shared" si="367"/>
        <v>0</v>
      </c>
      <c r="L276" s="719">
        <f t="shared" si="367"/>
        <v>0</v>
      </c>
    </row>
    <row r="277" spans="1:12" ht="15.95" customHeight="1">
      <c r="A277" s="106">
        <f>A274+5</f>
        <v>60</v>
      </c>
      <c r="B277" s="106">
        <f>MATCH($A277,PDN_Axle_Diameter,0)</f>
        <v>10</v>
      </c>
      <c r="C277" s="714">
        <f>IF(ISERROR($B277),-3,IF(INDEX(PDN_Axle_Diameter,1,B277)&lt;&gt;$A277,-2,IF(INDEX(PDN_B_OK,1,B277)&lt;&gt;0,B277,IF(INDEX(PDN_Axle_Diameter,1,B277+1)&lt;&gt;$A277,-2,IF(INDEX(PDN_B_OK,1,B277+1)&lt;&gt;0,B277+1,IF(INDEX(PDN_Axle_Diameter,1,B277+2)&lt;&gt;$A277,-2,IF(INDEX(PDN_B_OK,1,B277+2)&lt;&gt;0,B277+2,IF(INDEX(PDN_Axle_Diameter,1,B277+3)&lt;&gt;$A277,-2,IF(INDEX(PDN_B_OK,1,B277+3)&lt;&gt;0,B277+3,IF(INDEX(PDN_Axle_Diameter,1,B277+4)&lt;&gt;$A277,-2,IF(INDEX(PDN_B_OK,1,B277+4)&lt;&gt;0,B277+4,IF(INDEX(PDN_Axle_Diameter,1,B277+5)&lt;&gt;$A277,-2,IF(INDEX(PDN_B_OK,1,B277+5)&lt;&gt;0,B277+5,IF(INDEX(PDN_Axle_Diameter,1,B277+6)&lt;&gt;$A277,-2,IF(INDEX(PDN_B_OK,1,B277+6)&lt;&gt;0,B277+6,IF(INDEX(PDN_Axle_Diameter,1,B277+7)&lt;&gt;$A277,-2,IF(INDEX(PDN_B_OK,1,B277+7)&lt;&gt;0,B277+7,IF(INDEX(PDN_Axle_Diameter,1,B277+8)&lt;&gt;$A277,-2,IF(INDEX(PDN_B_OK,1,B277+8)&lt;&gt;0,B277+8,IF(INDEX(PDN_Axle_Diameter,1,B277+9)&lt;&gt;$A277,-2,IF(INDEX(PDN_B_OK,1,B277+9)&lt;&gt;0,B277+9,IF(INDEX(PDN_Axle_Diameter,1,B277+10)&lt;&gt;$A277,-2,B277+10))))))))))))))))))))))</f>
        <v>-2</v>
      </c>
      <c r="D277" s="710">
        <f t="shared" ref="D277:L277" si="368">IF(ISERROR($B277),-3,IF(C277=-2,-2,IF(INDEX(PDN_Axle_Diameter,1,C277+1)&lt;&gt;$A277,-2,IF(INDEX(PDN_B_OK,1,C277+1)&lt;&gt;0,C277+1,IF(INDEX(PDN_Axle_Diameter,1,C277+2)&lt;&gt;$A277,-2,IF(INDEX(PDN_B_OK,1,C277+2)&lt;&gt;0,C277+2,IF(INDEX(PDN_Axle_Diameter,1,C277+3)&lt;&gt;$A277,-2,IF(INDEX(PDN_B_OK,1,C277+3)&lt;&gt;0,C277+3,IF(INDEX(PDN_Axle_Diameter,1,C277+4)&lt;&gt;$A277,-2,IF(INDEX(PDN_B_OK,1,C277+4)&lt;&gt;0,C277+4,IF(INDEX(PDN_Axle_Diameter,1,C277+5)&lt;&gt;$A277,-2,IF(INDEX(PDN_B_OK,1,C277+5)&lt;&gt;0,C277+5,IF(INDEX(PDN_Axle_Diameter,1,C277+6)&lt;&gt;$A277,-2,IF(INDEX(PDN_B_OK,1,C277+6)&lt;&gt;0,C277+6,IF(INDEX(PDN_Axle_Diameter,1,C277+7)&lt;&gt;$A277,-2,IF(INDEX(PDN_B_OK,1,C277+7)&lt;&gt;0,C277+7,IF(INDEX(PDN_Axle_Diameter,1,C277+8)&lt;&gt;$A277,-2,IF(INDEX(PDN_B_OK,1,C277+8)&lt;&gt;0,C277+8,IF(INDEX(PDN_Axle_Diameter,1,C277+9)&lt;&gt;$A277,-2,IF(INDEX(PDN_B_OK,1,C277+9)&lt;&gt;0,C277+9,IF(INDEX(PDN_Axle_Diameter,1,C277+10)&lt;&gt;$A277,-2,C277+10)))))))))))))))))))))</f>
        <v>-2</v>
      </c>
      <c r="E277" s="711">
        <f t="shared" si="368"/>
        <v>-2</v>
      </c>
      <c r="F277" s="711">
        <f t="shared" si="368"/>
        <v>-2</v>
      </c>
      <c r="G277" s="711">
        <f t="shared" si="368"/>
        <v>-2</v>
      </c>
      <c r="H277" s="711">
        <f t="shared" si="368"/>
        <v>-2</v>
      </c>
      <c r="I277" s="711">
        <f t="shared" si="368"/>
        <v>-2</v>
      </c>
      <c r="J277" s="711">
        <f t="shared" si="368"/>
        <v>-2</v>
      </c>
      <c r="K277" s="711">
        <f t="shared" si="368"/>
        <v>-2</v>
      </c>
      <c r="L277" s="719">
        <f t="shared" si="368"/>
        <v>-2</v>
      </c>
    </row>
    <row r="278" spans="1:12" ht="15.95" customHeight="1">
      <c r="A278" s="106"/>
      <c r="B278" s="106"/>
      <c r="C278" s="712">
        <f t="shared" ref="C278:L278" si="369">IF(C279=0,0,INDEX(PDN_Bearing_Type,1,C277))</f>
        <v>0</v>
      </c>
      <c r="D278" s="713">
        <f t="shared" si="369"/>
        <v>0</v>
      </c>
      <c r="E278" s="713">
        <f t="shared" si="369"/>
        <v>0</v>
      </c>
      <c r="F278" s="713">
        <f t="shared" si="369"/>
        <v>0</v>
      </c>
      <c r="G278" s="713">
        <f t="shared" si="369"/>
        <v>0</v>
      </c>
      <c r="H278" s="713">
        <f t="shared" si="369"/>
        <v>0</v>
      </c>
      <c r="I278" s="713">
        <f t="shared" si="369"/>
        <v>0</v>
      </c>
      <c r="J278" s="713">
        <f t="shared" si="369"/>
        <v>0</v>
      </c>
      <c r="K278" s="713">
        <f t="shared" si="369"/>
        <v>0</v>
      </c>
      <c r="L278" s="720">
        <f t="shared" si="369"/>
        <v>0</v>
      </c>
    </row>
    <row r="279" spans="1:12" ht="15.95" customHeight="1">
      <c r="A279" s="106"/>
      <c r="B279" s="106"/>
      <c r="C279" s="710">
        <f t="shared" ref="C279:L279" si="370">IF(C277&lt;0,0,INDEX(PDN_B_OK,1,C277))</f>
        <v>0</v>
      </c>
      <c r="D279" s="711">
        <f t="shared" si="370"/>
        <v>0</v>
      </c>
      <c r="E279" s="711">
        <f t="shared" si="370"/>
        <v>0</v>
      </c>
      <c r="F279" s="711">
        <f t="shared" si="370"/>
        <v>0</v>
      </c>
      <c r="G279" s="711">
        <f t="shared" si="370"/>
        <v>0</v>
      </c>
      <c r="H279" s="711">
        <f t="shared" si="370"/>
        <v>0</v>
      </c>
      <c r="I279" s="711">
        <f t="shared" si="370"/>
        <v>0</v>
      </c>
      <c r="J279" s="711">
        <f t="shared" si="370"/>
        <v>0</v>
      </c>
      <c r="K279" s="711">
        <f t="shared" si="370"/>
        <v>0</v>
      </c>
      <c r="L279" s="719">
        <f t="shared" si="370"/>
        <v>0</v>
      </c>
    </row>
    <row r="280" spans="1:12" ht="15.95" customHeight="1">
      <c r="A280" s="106">
        <f>A277+5</f>
        <v>65</v>
      </c>
      <c r="B280" s="106">
        <f>MATCH($A280,PDN_Axle_Diameter,0)</f>
        <v>12</v>
      </c>
      <c r="C280" s="714">
        <f>IF(ISERROR($B280),-3,IF(INDEX(PDN_Axle_Diameter,1,B280)&lt;&gt;$A280,-2,IF(INDEX(PDN_B_OK,1,B280)&lt;&gt;0,B280,IF(INDEX(PDN_Axle_Diameter,1,B280+1)&lt;&gt;$A280,-2,IF(INDEX(PDN_B_OK,1,B280+1)&lt;&gt;0,B280+1,IF(INDEX(PDN_Axle_Diameter,1,B280+2)&lt;&gt;$A280,-2,IF(INDEX(PDN_B_OK,1,B280+2)&lt;&gt;0,B280+2,IF(INDEX(PDN_Axle_Diameter,1,B280+3)&lt;&gt;$A280,-2,IF(INDEX(PDN_B_OK,1,B280+3)&lt;&gt;0,B280+3,IF(INDEX(PDN_Axle_Diameter,1,B280+4)&lt;&gt;$A280,-2,IF(INDEX(PDN_B_OK,1,B280+4)&lt;&gt;0,B280+4,IF(INDEX(PDN_Axle_Diameter,1,B280+5)&lt;&gt;$A280,-2,IF(INDEX(PDN_B_OK,1,B280+5)&lt;&gt;0,B280+5,IF(INDEX(PDN_Axle_Diameter,1,B280+6)&lt;&gt;$A280,-2,IF(INDEX(PDN_B_OK,1,B280+6)&lt;&gt;0,B280+6,IF(INDEX(PDN_Axle_Diameter,1,B280+7)&lt;&gt;$A280,-2,IF(INDEX(PDN_B_OK,1,B280+7)&lt;&gt;0,B280+7,IF(INDEX(PDN_Axle_Diameter,1,B280+8)&lt;&gt;$A280,-2,IF(INDEX(PDN_B_OK,1,B280+8)&lt;&gt;0,B280+8,IF(INDEX(PDN_Axle_Diameter,1,B280+9)&lt;&gt;$A280,-2,IF(INDEX(PDN_B_OK,1,B280+9)&lt;&gt;0,B280+9,IF(INDEX(PDN_Axle_Diameter,1,B280+10)&lt;&gt;$A280,-2,B280+10))))))))))))))))))))))</f>
        <v>13</v>
      </c>
      <c r="D280" s="710">
        <f t="shared" ref="D280:L280" si="371">IF(ISERROR($B280),-3,IF(C280=-2,-2,IF(INDEX(PDN_Axle_Diameter,1,C280+1)&lt;&gt;$A280,-2,IF(INDEX(PDN_B_OK,1,C280+1)&lt;&gt;0,C280+1,IF(INDEX(PDN_Axle_Diameter,1,C280+2)&lt;&gt;$A280,-2,IF(INDEX(PDN_B_OK,1,C280+2)&lt;&gt;0,C280+2,IF(INDEX(PDN_Axle_Diameter,1,C280+3)&lt;&gt;$A280,-2,IF(INDEX(PDN_B_OK,1,C280+3)&lt;&gt;0,C280+3,IF(INDEX(PDN_Axle_Diameter,1,C280+4)&lt;&gt;$A280,-2,IF(INDEX(PDN_B_OK,1,C280+4)&lt;&gt;0,C280+4,IF(INDEX(PDN_Axle_Diameter,1,C280+5)&lt;&gt;$A280,-2,IF(INDEX(PDN_B_OK,1,C280+5)&lt;&gt;0,C280+5,IF(INDEX(PDN_Axle_Diameter,1,C280+6)&lt;&gt;$A280,-2,IF(INDEX(PDN_B_OK,1,C280+6)&lt;&gt;0,C280+6,IF(INDEX(PDN_Axle_Diameter,1,C280+7)&lt;&gt;$A280,-2,IF(INDEX(PDN_B_OK,1,C280+7)&lt;&gt;0,C280+7,IF(INDEX(PDN_Axle_Diameter,1,C280+8)&lt;&gt;$A280,-2,IF(INDEX(PDN_B_OK,1,C280+8)&lt;&gt;0,C280+8,IF(INDEX(PDN_Axle_Diameter,1,C280+9)&lt;&gt;$A280,-2,IF(INDEX(PDN_B_OK,1,C280+9)&lt;&gt;0,C280+9,IF(INDEX(PDN_Axle_Diameter,1,C280+10)&lt;&gt;$A280,-2,C280+10)))))))))))))))))))))</f>
        <v>-2</v>
      </c>
      <c r="E280" s="711">
        <f t="shared" si="371"/>
        <v>-2</v>
      </c>
      <c r="F280" s="711">
        <f t="shared" si="371"/>
        <v>-2</v>
      </c>
      <c r="G280" s="711">
        <f t="shared" si="371"/>
        <v>-2</v>
      </c>
      <c r="H280" s="711">
        <f t="shared" si="371"/>
        <v>-2</v>
      </c>
      <c r="I280" s="711">
        <f t="shared" si="371"/>
        <v>-2</v>
      </c>
      <c r="J280" s="711">
        <f t="shared" si="371"/>
        <v>-2</v>
      </c>
      <c r="K280" s="711">
        <f t="shared" si="371"/>
        <v>-2</v>
      </c>
      <c r="L280" s="719">
        <f t="shared" si="371"/>
        <v>-2</v>
      </c>
    </row>
    <row r="281" spans="1:12" ht="15.95" customHeight="1">
      <c r="A281" s="106"/>
      <c r="B281" s="106"/>
      <c r="C281" s="712">
        <f t="shared" ref="C281:L281" si="372">IF(C282=0,0,INDEX(PDN_Bearing_Type,1,C280))</f>
        <v>6313</v>
      </c>
      <c r="D281" s="713">
        <f t="shared" si="372"/>
        <v>0</v>
      </c>
      <c r="E281" s="713">
        <f t="shared" si="372"/>
        <v>0</v>
      </c>
      <c r="F281" s="713">
        <f t="shared" si="372"/>
        <v>0</v>
      </c>
      <c r="G281" s="713">
        <f t="shared" si="372"/>
        <v>0</v>
      </c>
      <c r="H281" s="713">
        <f t="shared" si="372"/>
        <v>0</v>
      </c>
      <c r="I281" s="713">
        <f t="shared" si="372"/>
        <v>0</v>
      </c>
      <c r="J281" s="713">
        <f t="shared" si="372"/>
        <v>0</v>
      </c>
      <c r="K281" s="713">
        <f t="shared" si="372"/>
        <v>0</v>
      </c>
      <c r="L281" s="720">
        <f t="shared" si="372"/>
        <v>0</v>
      </c>
    </row>
    <row r="282" spans="1:12" ht="15.95" customHeight="1">
      <c r="A282" s="106"/>
      <c r="B282" s="106"/>
      <c r="C282" s="710">
        <f t="shared" ref="C282:L282" si="373">IF(C280&lt;0,0,INDEX(PDN_B_OK,1,C280))</f>
        <v>24332.012629330344</v>
      </c>
      <c r="D282" s="711">
        <f t="shared" si="373"/>
        <v>0</v>
      </c>
      <c r="E282" s="711">
        <f t="shared" si="373"/>
        <v>0</v>
      </c>
      <c r="F282" s="711">
        <f t="shared" si="373"/>
        <v>0</v>
      </c>
      <c r="G282" s="711">
        <f t="shared" si="373"/>
        <v>0</v>
      </c>
      <c r="H282" s="711">
        <f t="shared" si="373"/>
        <v>0</v>
      </c>
      <c r="I282" s="711">
        <f t="shared" si="373"/>
        <v>0</v>
      </c>
      <c r="J282" s="711">
        <f t="shared" si="373"/>
        <v>0</v>
      </c>
      <c r="K282" s="711">
        <f t="shared" si="373"/>
        <v>0</v>
      </c>
      <c r="L282" s="719">
        <f t="shared" si="373"/>
        <v>0</v>
      </c>
    </row>
    <row r="283" spans="1:12" ht="15.95" customHeight="1">
      <c r="A283" s="106">
        <f>A280+5</f>
        <v>70</v>
      </c>
      <c r="B283" s="106">
        <f>MATCH($A283,PDN_Axle_Diameter,0)</f>
        <v>14</v>
      </c>
      <c r="C283" s="714">
        <f>IF(ISERROR($B283),-3,IF(INDEX(PDN_Axle_Diameter,1,B283)&lt;&gt;$A283,-2,IF(INDEX(PDN_B_OK,1,B283)&lt;&gt;0,B283,IF(INDEX(PDN_Axle_Diameter,1,B283+1)&lt;&gt;$A283,-2,IF(INDEX(PDN_B_OK,1,B283+1)&lt;&gt;0,B283+1,IF(INDEX(PDN_Axle_Diameter,1,B283+2)&lt;&gt;$A283,-2,IF(INDEX(PDN_B_OK,1,B283+2)&lt;&gt;0,B283+2,IF(INDEX(PDN_Axle_Diameter,1,B283+3)&lt;&gt;$A283,-2,IF(INDEX(PDN_B_OK,1,B283+3)&lt;&gt;0,B283+3,IF(INDEX(PDN_Axle_Diameter,1,B283+4)&lt;&gt;$A283,-2,IF(INDEX(PDN_B_OK,1,B283+4)&lt;&gt;0,B283+4,IF(INDEX(PDN_Axle_Diameter,1,B283+5)&lt;&gt;$A283,-2,IF(INDEX(PDN_B_OK,1,B283+5)&lt;&gt;0,B283+5,IF(INDEX(PDN_Axle_Diameter,1,B283+6)&lt;&gt;$A283,-2,IF(INDEX(PDN_B_OK,1,B283+6)&lt;&gt;0,B283+6,IF(INDEX(PDN_Axle_Diameter,1,B283+7)&lt;&gt;$A283,-2,IF(INDEX(PDN_B_OK,1,B283+7)&lt;&gt;0,B283+7,IF(INDEX(PDN_Axle_Diameter,1,B283+8)&lt;&gt;$A283,-2,IF(INDEX(PDN_B_OK,1,B283+8)&lt;&gt;0,B283+8,IF(INDEX(PDN_Axle_Diameter,1,B283+9)&lt;&gt;$A283,-2,IF(INDEX(PDN_B_OK,1,B283+9)&lt;&gt;0,B283+9,IF(INDEX(PDN_Axle_Diameter,1,B283+10)&lt;&gt;$A283,-2,B283+10))))))))))))))))))))))</f>
        <v>14</v>
      </c>
      <c r="D283" s="710">
        <f t="shared" ref="D283:L283" si="374">IF(ISERROR($B283),-3,IF(C283=-2,-2,IF(INDEX(PDN_Axle_Diameter,1,C283+1)&lt;&gt;$A283,-2,IF(INDEX(PDN_B_OK,1,C283+1)&lt;&gt;0,C283+1,IF(INDEX(PDN_Axle_Diameter,1,C283+2)&lt;&gt;$A283,-2,IF(INDEX(PDN_B_OK,1,C283+2)&lt;&gt;0,C283+2,IF(INDEX(PDN_Axle_Diameter,1,C283+3)&lt;&gt;$A283,-2,IF(INDEX(PDN_B_OK,1,C283+3)&lt;&gt;0,C283+3,IF(INDEX(PDN_Axle_Diameter,1,C283+4)&lt;&gt;$A283,-2,IF(INDEX(PDN_B_OK,1,C283+4)&lt;&gt;0,C283+4,IF(INDEX(PDN_Axle_Diameter,1,C283+5)&lt;&gt;$A283,-2,IF(INDEX(PDN_B_OK,1,C283+5)&lt;&gt;0,C283+5,IF(INDEX(PDN_Axle_Diameter,1,C283+6)&lt;&gt;$A283,-2,IF(INDEX(PDN_B_OK,1,C283+6)&lt;&gt;0,C283+6,IF(INDEX(PDN_Axle_Diameter,1,C283+7)&lt;&gt;$A283,-2,IF(INDEX(PDN_B_OK,1,C283+7)&lt;&gt;0,C283+7,IF(INDEX(PDN_Axle_Diameter,1,C283+8)&lt;&gt;$A283,-2,IF(INDEX(PDN_B_OK,1,C283+8)&lt;&gt;0,C283+8,IF(INDEX(PDN_Axle_Diameter,1,C283+9)&lt;&gt;$A283,-2,IF(INDEX(PDN_B_OK,1,C283+9)&lt;&gt;0,C283+9,IF(INDEX(PDN_Axle_Diameter,1,C283+10)&lt;&gt;$A283,-2,C283+10)))))))))))))))))))))</f>
        <v>-2</v>
      </c>
      <c r="E283" s="711">
        <f t="shared" si="374"/>
        <v>-2</v>
      </c>
      <c r="F283" s="711">
        <f t="shared" si="374"/>
        <v>-2</v>
      </c>
      <c r="G283" s="711">
        <f t="shared" si="374"/>
        <v>-2</v>
      </c>
      <c r="H283" s="711">
        <f t="shared" si="374"/>
        <v>-2</v>
      </c>
      <c r="I283" s="711">
        <f t="shared" si="374"/>
        <v>-2</v>
      </c>
      <c r="J283" s="711">
        <f t="shared" si="374"/>
        <v>-2</v>
      </c>
      <c r="K283" s="711">
        <f t="shared" si="374"/>
        <v>-2</v>
      </c>
      <c r="L283" s="719">
        <f t="shared" si="374"/>
        <v>-2</v>
      </c>
    </row>
    <row r="284" spans="1:12" ht="15.95" customHeight="1">
      <c r="A284" s="106"/>
      <c r="B284" s="106"/>
      <c r="C284" s="712">
        <f t="shared" ref="C284:L284" si="375">IF(C285=0,0,INDEX(PDN_Bearing_Type,1,C283))</f>
        <v>6314</v>
      </c>
      <c r="D284" s="713">
        <f t="shared" si="375"/>
        <v>0</v>
      </c>
      <c r="E284" s="713">
        <f t="shared" si="375"/>
        <v>0</v>
      </c>
      <c r="F284" s="713">
        <f t="shared" si="375"/>
        <v>0</v>
      </c>
      <c r="G284" s="713">
        <f t="shared" si="375"/>
        <v>0</v>
      </c>
      <c r="H284" s="713">
        <f t="shared" si="375"/>
        <v>0</v>
      </c>
      <c r="I284" s="713">
        <f t="shared" si="375"/>
        <v>0</v>
      </c>
      <c r="J284" s="713">
        <f t="shared" si="375"/>
        <v>0</v>
      </c>
      <c r="K284" s="713">
        <f t="shared" si="375"/>
        <v>0</v>
      </c>
      <c r="L284" s="720">
        <f t="shared" si="375"/>
        <v>0</v>
      </c>
    </row>
    <row r="285" spans="1:12" ht="15.95" customHeight="1">
      <c r="A285" s="106"/>
      <c r="B285" s="106"/>
      <c r="C285" s="710">
        <f t="shared" ref="C285:L285" si="376">IF(C283&lt;0,0,INDEX(PDN_B_OK,1,C283))</f>
        <v>29530.051475477641</v>
      </c>
      <c r="D285" s="711">
        <f t="shared" si="376"/>
        <v>0</v>
      </c>
      <c r="E285" s="711">
        <f t="shared" si="376"/>
        <v>0</v>
      </c>
      <c r="F285" s="711">
        <f t="shared" si="376"/>
        <v>0</v>
      </c>
      <c r="G285" s="711">
        <f t="shared" si="376"/>
        <v>0</v>
      </c>
      <c r="H285" s="711">
        <f t="shared" si="376"/>
        <v>0</v>
      </c>
      <c r="I285" s="711">
        <f t="shared" si="376"/>
        <v>0</v>
      </c>
      <c r="J285" s="711">
        <f t="shared" si="376"/>
        <v>0</v>
      </c>
      <c r="K285" s="711">
        <f t="shared" si="376"/>
        <v>0</v>
      </c>
      <c r="L285" s="719">
        <f t="shared" si="376"/>
        <v>0</v>
      </c>
    </row>
    <row r="286" spans="1:12" ht="15.95" customHeight="1">
      <c r="A286" s="106">
        <f>A283+5</f>
        <v>75</v>
      </c>
      <c r="B286" s="106">
        <f>MATCH($A286,PDN_Axle_Diameter,0)</f>
        <v>15</v>
      </c>
      <c r="C286" s="714">
        <f>IF(ISERROR($B286),-3,IF(INDEX(PDN_Axle_Diameter,1,B286)&lt;&gt;$A286,-2,IF(INDEX(PDN_B_OK,1,B286)&lt;&gt;0,B286,IF(INDEX(PDN_Axle_Diameter,1,B286+1)&lt;&gt;$A286,-2,IF(INDEX(PDN_B_OK,1,B286+1)&lt;&gt;0,B286+1,IF(INDEX(PDN_Axle_Diameter,1,B286+2)&lt;&gt;$A286,-2,IF(INDEX(PDN_B_OK,1,B286+2)&lt;&gt;0,B286+2,IF(INDEX(PDN_Axle_Diameter,1,B286+3)&lt;&gt;$A286,-2,IF(INDEX(PDN_B_OK,1,B286+3)&lt;&gt;0,B286+3,IF(INDEX(PDN_Axle_Diameter,1,B286+4)&lt;&gt;$A286,-2,IF(INDEX(PDN_B_OK,1,B286+4)&lt;&gt;0,B286+4,IF(INDEX(PDN_Axle_Diameter,1,B286+5)&lt;&gt;$A286,-2,IF(INDEX(PDN_B_OK,1,B286+5)&lt;&gt;0,B286+5,IF(INDEX(PDN_Axle_Diameter,1,B286+6)&lt;&gt;$A286,-2,IF(INDEX(PDN_B_OK,1,B286+6)&lt;&gt;0,B286+6,IF(INDEX(PDN_Axle_Diameter,1,B286+7)&lt;&gt;$A286,-2,IF(INDEX(PDN_B_OK,1,B286+7)&lt;&gt;0,B286+7,IF(INDEX(PDN_Axle_Diameter,1,B286+8)&lt;&gt;$A286,-2,IF(INDEX(PDN_B_OK,1,B286+8)&lt;&gt;0,B286+8,IF(INDEX(PDN_Axle_Diameter,1,B286+9)&lt;&gt;$A286,-2,IF(INDEX(PDN_B_OK,1,B286+9)&lt;&gt;0,B286+9,IF(INDEX(PDN_Axle_Diameter,1,B286+10)&lt;&gt;$A286,-2,B286+10))))))))))))))))))))))</f>
        <v>16</v>
      </c>
      <c r="D286" s="710">
        <f t="shared" ref="D286:L286" si="377">IF(ISERROR($B286),-3,IF(C286=-2,-2,IF(INDEX(PDN_Axle_Diameter,1,C286+1)&lt;&gt;$A286,-2,IF(INDEX(PDN_B_OK,1,C286+1)&lt;&gt;0,C286+1,IF(INDEX(PDN_Axle_Diameter,1,C286+2)&lt;&gt;$A286,-2,IF(INDEX(PDN_B_OK,1,C286+2)&lt;&gt;0,C286+2,IF(INDEX(PDN_Axle_Diameter,1,C286+3)&lt;&gt;$A286,-2,IF(INDEX(PDN_B_OK,1,C286+3)&lt;&gt;0,C286+3,IF(INDEX(PDN_Axle_Diameter,1,C286+4)&lt;&gt;$A286,-2,IF(INDEX(PDN_B_OK,1,C286+4)&lt;&gt;0,C286+4,IF(INDEX(PDN_Axle_Diameter,1,C286+5)&lt;&gt;$A286,-2,IF(INDEX(PDN_B_OK,1,C286+5)&lt;&gt;0,C286+5,IF(INDEX(PDN_Axle_Diameter,1,C286+6)&lt;&gt;$A286,-2,IF(INDEX(PDN_B_OK,1,C286+6)&lt;&gt;0,C286+6,IF(INDEX(PDN_Axle_Diameter,1,C286+7)&lt;&gt;$A286,-2,IF(INDEX(PDN_B_OK,1,C286+7)&lt;&gt;0,C286+7,IF(INDEX(PDN_Axle_Diameter,1,C286+8)&lt;&gt;$A286,-2,IF(INDEX(PDN_B_OK,1,C286+8)&lt;&gt;0,C286+8,IF(INDEX(PDN_Axle_Diameter,1,C286+9)&lt;&gt;$A286,-2,IF(INDEX(PDN_B_OK,1,C286+9)&lt;&gt;0,C286+9,IF(INDEX(PDN_Axle_Diameter,1,C286+10)&lt;&gt;$A286,-2,C286+10)))))))))))))))))))))</f>
        <v>-2</v>
      </c>
      <c r="E286" s="711">
        <f t="shared" si="377"/>
        <v>-2</v>
      </c>
      <c r="F286" s="711">
        <f t="shared" si="377"/>
        <v>-2</v>
      </c>
      <c r="G286" s="711">
        <f t="shared" si="377"/>
        <v>-2</v>
      </c>
      <c r="H286" s="711">
        <f t="shared" si="377"/>
        <v>-2</v>
      </c>
      <c r="I286" s="711">
        <f t="shared" si="377"/>
        <v>-2</v>
      </c>
      <c r="J286" s="711">
        <f t="shared" si="377"/>
        <v>-2</v>
      </c>
      <c r="K286" s="711">
        <f t="shared" si="377"/>
        <v>-2</v>
      </c>
      <c r="L286" s="719">
        <f t="shared" si="377"/>
        <v>-2</v>
      </c>
    </row>
    <row r="287" spans="1:12" ht="15.95" customHeight="1">
      <c r="A287" s="106"/>
      <c r="B287" s="106"/>
      <c r="C287" s="712">
        <f t="shared" ref="C287:L287" si="378">IF(C288=0,0,INDEX(PDN_Bearing_Type,1,C286))</f>
        <v>6315</v>
      </c>
      <c r="D287" s="713">
        <f t="shared" si="378"/>
        <v>0</v>
      </c>
      <c r="E287" s="713">
        <f t="shared" si="378"/>
        <v>0</v>
      </c>
      <c r="F287" s="713">
        <f t="shared" si="378"/>
        <v>0</v>
      </c>
      <c r="G287" s="713">
        <f t="shared" si="378"/>
        <v>0</v>
      </c>
      <c r="H287" s="713">
        <f t="shared" si="378"/>
        <v>0</v>
      </c>
      <c r="I287" s="713">
        <f t="shared" si="378"/>
        <v>0</v>
      </c>
      <c r="J287" s="713">
        <f t="shared" si="378"/>
        <v>0</v>
      </c>
      <c r="K287" s="713">
        <f t="shared" si="378"/>
        <v>0</v>
      </c>
      <c r="L287" s="720">
        <f t="shared" si="378"/>
        <v>0</v>
      </c>
    </row>
    <row r="288" spans="1:12" ht="15.95" customHeight="1">
      <c r="A288" s="106"/>
      <c r="B288" s="106"/>
      <c r="C288" s="710">
        <f t="shared" ref="C288:L288" si="379">IF(C286&lt;0,0,INDEX(PDN_B_OK,1,C286))</f>
        <v>44238.976457922414</v>
      </c>
      <c r="D288" s="711">
        <f t="shared" si="379"/>
        <v>0</v>
      </c>
      <c r="E288" s="711">
        <f t="shared" si="379"/>
        <v>0</v>
      </c>
      <c r="F288" s="711">
        <f t="shared" si="379"/>
        <v>0</v>
      </c>
      <c r="G288" s="711">
        <f t="shared" si="379"/>
        <v>0</v>
      </c>
      <c r="H288" s="711">
        <f t="shared" si="379"/>
        <v>0</v>
      </c>
      <c r="I288" s="711">
        <f t="shared" si="379"/>
        <v>0</v>
      </c>
      <c r="J288" s="711">
        <f t="shared" si="379"/>
        <v>0</v>
      </c>
      <c r="K288" s="711">
        <f t="shared" si="379"/>
        <v>0</v>
      </c>
      <c r="L288" s="719">
        <f t="shared" si="379"/>
        <v>0</v>
      </c>
    </row>
    <row r="289" spans="1:12" ht="15.95" customHeight="1">
      <c r="A289" s="106">
        <f>A286+5</f>
        <v>80</v>
      </c>
      <c r="B289" s="106">
        <f>MATCH($A289,PDN_Axle_Diameter,0)</f>
        <v>17</v>
      </c>
      <c r="C289" s="714">
        <f>IF(ISERROR($B289),-3,IF(INDEX(PDN_Axle_Diameter,1,B289)&lt;&gt;$A289,-2,IF(INDEX(PDN_B_OK,1,B289)&lt;&gt;0,B289,IF(INDEX(PDN_Axle_Diameter,1,B289+1)&lt;&gt;$A289,-2,IF(INDEX(PDN_B_OK,1,B289+1)&lt;&gt;0,B289+1,IF(INDEX(PDN_Axle_Diameter,1,B289+2)&lt;&gt;$A289,-2,IF(INDEX(PDN_B_OK,1,B289+2)&lt;&gt;0,B289+2,IF(INDEX(PDN_Axle_Diameter,1,B289+3)&lt;&gt;$A289,-2,IF(INDEX(PDN_B_OK,1,B289+3)&lt;&gt;0,B289+3,IF(INDEX(PDN_Axle_Diameter,1,B289+4)&lt;&gt;$A289,-2,IF(INDEX(PDN_B_OK,1,B289+4)&lt;&gt;0,B289+4,IF(INDEX(PDN_Axle_Diameter,1,B289+5)&lt;&gt;$A289,-2,IF(INDEX(PDN_B_OK,1,B289+5)&lt;&gt;0,B289+5,IF(INDEX(PDN_Axle_Diameter,1,B289+6)&lt;&gt;$A289,-2,IF(INDEX(PDN_B_OK,1,B289+6)&lt;&gt;0,B289+6,IF(INDEX(PDN_Axle_Diameter,1,B289+7)&lt;&gt;$A289,-2,IF(INDEX(PDN_B_OK,1,B289+7)&lt;&gt;0,B289+7,IF(INDEX(PDN_Axle_Diameter,1,B289+8)&lt;&gt;$A289,-2,IF(INDEX(PDN_B_OK,1,B289+8)&lt;&gt;0,B289+8,IF(INDEX(PDN_Axle_Diameter,1,B289+9)&lt;&gt;$A289,-2,IF(INDEX(PDN_B_OK,1,B289+9)&lt;&gt;0,B289+9,IF(INDEX(PDN_Axle_Diameter,1,B289+10)&lt;&gt;$A289,-2,B289+10))))))))))))))))))))))</f>
        <v>18</v>
      </c>
      <c r="D289" s="710">
        <f t="shared" ref="D289:L289" si="380">IF(ISERROR($B289),-3,IF(C289=-2,-2,IF(INDEX(PDN_Axle_Diameter,1,C289+1)&lt;&gt;$A289,-2,IF(INDEX(PDN_B_OK,1,C289+1)&lt;&gt;0,C289+1,IF(INDEX(PDN_Axle_Diameter,1,C289+2)&lt;&gt;$A289,-2,IF(INDEX(PDN_B_OK,1,C289+2)&lt;&gt;0,C289+2,IF(INDEX(PDN_Axle_Diameter,1,C289+3)&lt;&gt;$A289,-2,IF(INDEX(PDN_B_OK,1,C289+3)&lt;&gt;0,C289+3,IF(INDEX(PDN_Axle_Diameter,1,C289+4)&lt;&gt;$A289,-2,IF(INDEX(PDN_B_OK,1,C289+4)&lt;&gt;0,C289+4,IF(INDEX(PDN_Axle_Diameter,1,C289+5)&lt;&gt;$A289,-2,IF(INDEX(PDN_B_OK,1,C289+5)&lt;&gt;0,C289+5,IF(INDEX(PDN_Axle_Diameter,1,C289+6)&lt;&gt;$A289,-2,IF(INDEX(PDN_B_OK,1,C289+6)&lt;&gt;0,C289+6,IF(INDEX(PDN_Axle_Diameter,1,C289+7)&lt;&gt;$A289,-2,IF(INDEX(PDN_B_OK,1,C289+7)&lt;&gt;0,C289+7,IF(INDEX(PDN_Axle_Diameter,1,C289+8)&lt;&gt;$A289,-2,IF(INDEX(PDN_B_OK,1,C289+8)&lt;&gt;0,C289+8,IF(INDEX(PDN_Axle_Diameter,1,C289+9)&lt;&gt;$A289,-2,IF(INDEX(PDN_B_OK,1,C289+9)&lt;&gt;0,C289+9,IF(INDEX(PDN_Axle_Diameter,1,C289+10)&lt;&gt;$A289,-2,C289+10)))))))))))))))))))))</f>
        <v>-2</v>
      </c>
      <c r="E289" s="711">
        <f t="shared" si="380"/>
        <v>-2</v>
      </c>
      <c r="F289" s="711">
        <f t="shared" si="380"/>
        <v>-2</v>
      </c>
      <c r="G289" s="711">
        <f t="shared" si="380"/>
        <v>-2</v>
      </c>
      <c r="H289" s="711">
        <f t="shared" si="380"/>
        <v>-2</v>
      </c>
      <c r="I289" s="711">
        <f t="shared" si="380"/>
        <v>-2</v>
      </c>
      <c r="J289" s="711">
        <f t="shared" si="380"/>
        <v>-2</v>
      </c>
      <c r="K289" s="711">
        <f t="shared" si="380"/>
        <v>-2</v>
      </c>
      <c r="L289" s="719">
        <f t="shared" si="380"/>
        <v>-2</v>
      </c>
    </row>
    <row r="290" spans="1:12" ht="15.95" customHeight="1">
      <c r="A290" s="106"/>
      <c r="B290" s="106"/>
      <c r="C290" s="712">
        <f t="shared" ref="C290:L290" si="381">IF(C291=0,0,INDEX(PDN_Bearing_Type,1,C289))</f>
        <v>6316</v>
      </c>
      <c r="D290" s="713">
        <f t="shared" si="381"/>
        <v>0</v>
      </c>
      <c r="E290" s="713">
        <f t="shared" si="381"/>
        <v>0</v>
      </c>
      <c r="F290" s="713">
        <f t="shared" si="381"/>
        <v>0</v>
      </c>
      <c r="G290" s="713">
        <f t="shared" si="381"/>
        <v>0</v>
      </c>
      <c r="H290" s="713">
        <f t="shared" si="381"/>
        <v>0</v>
      </c>
      <c r="I290" s="713">
        <f t="shared" si="381"/>
        <v>0</v>
      </c>
      <c r="J290" s="713">
        <f t="shared" si="381"/>
        <v>0</v>
      </c>
      <c r="K290" s="713">
        <f t="shared" si="381"/>
        <v>0</v>
      </c>
      <c r="L290" s="720">
        <f t="shared" si="381"/>
        <v>0</v>
      </c>
    </row>
    <row r="291" spans="1:12" ht="15.95" customHeight="1">
      <c r="A291" s="106"/>
      <c r="B291" s="106"/>
      <c r="C291" s="710">
        <f t="shared" ref="C291:L291" si="382">IF(C289&lt;0,0,INDEX(PDN_B_OK,1,C289))</f>
        <v>57675.881788042294</v>
      </c>
      <c r="D291" s="711">
        <f t="shared" si="382"/>
        <v>0</v>
      </c>
      <c r="E291" s="711">
        <f t="shared" si="382"/>
        <v>0</v>
      </c>
      <c r="F291" s="711">
        <f t="shared" si="382"/>
        <v>0</v>
      </c>
      <c r="G291" s="711">
        <f t="shared" si="382"/>
        <v>0</v>
      </c>
      <c r="H291" s="711">
        <f t="shared" si="382"/>
        <v>0</v>
      </c>
      <c r="I291" s="711">
        <f t="shared" si="382"/>
        <v>0</v>
      </c>
      <c r="J291" s="711">
        <f t="shared" si="382"/>
        <v>0</v>
      </c>
      <c r="K291" s="711">
        <f t="shared" si="382"/>
        <v>0</v>
      </c>
      <c r="L291" s="719">
        <f t="shared" si="382"/>
        <v>0</v>
      </c>
    </row>
    <row r="292" spans="1:12" ht="15.95" customHeight="1">
      <c r="A292" s="106">
        <f>A289+5</f>
        <v>85</v>
      </c>
      <c r="B292" s="106">
        <f>MATCH($A292,PDN_Axle_Diameter,0)</f>
        <v>19</v>
      </c>
      <c r="C292" s="714">
        <f>IF(ISERROR($B292),-3,IF(INDEX(PDN_Axle_Diameter,1,B292)&lt;&gt;$A292,-2,IF(INDEX(PDN_B_OK,1,B292)&lt;&gt;0,B292,IF(INDEX(PDN_Axle_Diameter,1,B292+1)&lt;&gt;$A292,-2,IF(INDEX(PDN_B_OK,1,B292+1)&lt;&gt;0,B292+1,IF(INDEX(PDN_Axle_Diameter,1,B292+2)&lt;&gt;$A292,-2,IF(INDEX(PDN_B_OK,1,B292+2)&lt;&gt;0,B292+2,IF(INDEX(PDN_Axle_Diameter,1,B292+3)&lt;&gt;$A292,-2,IF(INDEX(PDN_B_OK,1,B292+3)&lt;&gt;0,B292+3,IF(INDEX(PDN_Axle_Diameter,1,B292+4)&lt;&gt;$A292,-2,IF(INDEX(PDN_B_OK,1,B292+4)&lt;&gt;0,B292+4,IF(INDEX(PDN_Axle_Diameter,1,B292+5)&lt;&gt;$A292,-2,IF(INDEX(PDN_B_OK,1,B292+5)&lt;&gt;0,B292+5,IF(INDEX(PDN_Axle_Diameter,1,B292+6)&lt;&gt;$A292,-2,IF(INDEX(PDN_B_OK,1,B292+6)&lt;&gt;0,B292+6,IF(INDEX(PDN_Axle_Diameter,1,B292+7)&lt;&gt;$A292,-2,IF(INDEX(PDN_B_OK,1,B292+7)&lt;&gt;0,B292+7,IF(INDEX(PDN_Axle_Diameter,1,B292+8)&lt;&gt;$A292,-2,IF(INDEX(PDN_B_OK,1,B292+8)&lt;&gt;0,B292+8,IF(INDEX(PDN_Axle_Diameter,1,B292+9)&lt;&gt;$A292,-2,IF(INDEX(PDN_B_OK,1,B292+9)&lt;&gt;0,B292+9,IF(INDEX(PDN_Axle_Diameter,1,B292+10)&lt;&gt;$A292,-2,B292+10))))))))))))))))))))))</f>
        <v>19</v>
      </c>
      <c r="D292" s="710">
        <f t="shared" ref="D292:L292" si="383">IF(ISERROR($B292),-3,IF(C292=-2,-2,IF(INDEX(PDN_Axle_Diameter,1,C292+1)&lt;&gt;$A292,-2,IF(INDEX(PDN_B_OK,1,C292+1)&lt;&gt;0,C292+1,IF(INDEX(PDN_Axle_Diameter,1,C292+2)&lt;&gt;$A292,-2,IF(INDEX(PDN_B_OK,1,C292+2)&lt;&gt;0,C292+2,IF(INDEX(PDN_Axle_Diameter,1,C292+3)&lt;&gt;$A292,-2,IF(INDEX(PDN_B_OK,1,C292+3)&lt;&gt;0,C292+3,IF(INDEX(PDN_Axle_Diameter,1,C292+4)&lt;&gt;$A292,-2,IF(INDEX(PDN_B_OK,1,C292+4)&lt;&gt;0,C292+4,IF(INDEX(PDN_Axle_Diameter,1,C292+5)&lt;&gt;$A292,-2,IF(INDEX(PDN_B_OK,1,C292+5)&lt;&gt;0,C292+5,IF(INDEX(PDN_Axle_Diameter,1,C292+6)&lt;&gt;$A292,-2,IF(INDEX(PDN_B_OK,1,C292+6)&lt;&gt;0,C292+6,IF(INDEX(PDN_Axle_Diameter,1,C292+7)&lt;&gt;$A292,-2,IF(INDEX(PDN_B_OK,1,C292+7)&lt;&gt;0,C292+7,IF(INDEX(PDN_Axle_Diameter,1,C292+8)&lt;&gt;$A292,-2,IF(INDEX(PDN_B_OK,1,C292+8)&lt;&gt;0,C292+8,IF(INDEX(PDN_Axle_Diameter,1,C292+9)&lt;&gt;$A292,-2,IF(INDEX(PDN_B_OK,1,C292+9)&lt;&gt;0,C292+9,IF(INDEX(PDN_Axle_Diameter,1,C292+10)&lt;&gt;$A292,-2,C292+10)))))))))))))))))))))</f>
        <v>-2</v>
      </c>
      <c r="E292" s="711">
        <f t="shared" si="383"/>
        <v>-2</v>
      </c>
      <c r="F292" s="711">
        <f t="shared" si="383"/>
        <v>-2</v>
      </c>
      <c r="G292" s="711">
        <f t="shared" si="383"/>
        <v>-2</v>
      </c>
      <c r="H292" s="711">
        <f t="shared" si="383"/>
        <v>-2</v>
      </c>
      <c r="I292" s="711">
        <f t="shared" si="383"/>
        <v>-2</v>
      </c>
      <c r="J292" s="711">
        <f t="shared" si="383"/>
        <v>-2</v>
      </c>
      <c r="K292" s="711">
        <f t="shared" si="383"/>
        <v>-2</v>
      </c>
      <c r="L292" s="719">
        <f t="shared" si="383"/>
        <v>-2</v>
      </c>
    </row>
    <row r="293" spans="1:12" ht="15.95" customHeight="1">
      <c r="A293" s="106"/>
      <c r="B293" s="106"/>
      <c r="C293" s="712">
        <f t="shared" ref="C293:L293" si="384">IF(C294=0,0,INDEX(PDN_Bearing_Type,1,C292))</f>
        <v>6317</v>
      </c>
      <c r="D293" s="713">
        <f t="shared" si="384"/>
        <v>0</v>
      </c>
      <c r="E293" s="713">
        <f t="shared" si="384"/>
        <v>0</v>
      </c>
      <c r="F293" s="713">
        <f t="shared" si="384"/>
        <v>0</v>
      </c>
      <c r="G293" s="713">
        <f t="shared" si="384"/>
        <v>0</v>
      </c>
      <c r="H293" s="713">
        <f t="shared" si="384"/>
        <v>0</v>
      </c>
      <c r="I293" s="713">
        <f t="shared" si="384"/>
        <v>0</v>
      </c>
      <c r="J293" s="713">
        <f t="shared" si="384"/>
        <v>0</v>
      </c>
      <c r="K293" s="713">
        <f t="shared" si="384"/>
        <v>0</v>
      </c>
      <c r="L293" s="720">
        <f t="shared" si="384"/>
        <v>0</v>
      </c>
    </row>
    <row r="294" spans="1:12" ht="15.95" customHeight="1">
      <c r="A294" s="106"/>
      <c r="B294" s="106"/>
      <c r="C294" s="710">
        <f t="shared" ref="C294:L294" si="385">IF(C292&lt;0,0,INDEX(PDN_B_OK,1,C292))</f>
        <v>61761.681157111707</v>
      </c>
      <c r="D294" s="711">
        <f t="shared" si="385"/>
        <v>0</v>
      </c>
      <c r="E294" s="711">
        <f t="shared" si="385"/>
        <v>0</v>
      </c>
      <c r="F294" s="711">
        <f t="shared" si="385"/>
        <v>0</v>
      </c>
      <c r="G294" s="711">
        <f t="shared" si="385"/>
        <v>0</v>
      </c>
      <c r="H294" s="711">
        <f t="shared" si="385"/>
        <v>0</v>
      </c>
      <c r="I294" s="711">
        <f t="shared" si="385"/>
        <v>0</v>
      </c>
      <c r="J294" s="711">
        <f t="shared" si="385"/>
        <v>0</v>
      </c>
      <c r="K294" s="711">
        <f t="shared" si="385"/>
        <v>0</v>
      </c>
      <c r="L294" s="719">
        <f t="shared" si="385"/>
        <v>0</v>
      </c>
    </row>
    <row r="295" spans="1:12" ht="15.95" customHeight="1">
      <c r="A295" s="106">
        <f>A292+5</f>
        <v>90</v>
      </c>
      <c r="B295" s="106">
        <f>MATCH($A295,PDN_Axle_Diameter,0)</f>
        <v>20</v>
      </c>
      <c r="C295" s="714">
        <f>IF(ISERROR($B295),-3,IF(INDEX(PDN_Axle_Diameter,1,B295)&lt;&gt;$A295,-2,IF(INDEX(PDN_B_OK,1,B295)&lt;&gt;0,B295,IF(INDEX(PDN_Axle_Diameter,1,B295+1)&lt;&gt;$A295,-2,IF(INDEX(PDN_B_OK,1,B295+1)&lt;&gt;0,B295+1,IF(INDEX(PDN_Axle_Diameter,1,B295+2)&lt;&gt;$A295,-2,IF(INDEX(PDN_B_OK,1,B295+2)&lt;&gt;0,B295+2,IF(INDEX(PDN_Axle_Diameter,1,B295+3)&lt;&gt;$A295,-2,IF(INDEX(PDN_B_OK,1,B295+3)&lt;&gt;0,B295+3,IF(INDEX(PDN_Axle_Diameter,1,B295+4)&lt;&gt;$A295,-2,IF(INDEX(PDN_B_OK,1,B295+4)&lt;&gt;0,B295+4,IF(INDEX(PDN_Axle_Diameter,1,B295+5)&lt;&gt;$A295,-2,IF(INDEX(PDN_B_OK,1,B295+5)&lt;&gt;0,B295+5,IF(INDEX(PDN_Axle_Diameter,1,B295+6)&lt;&gt;$A295,-2,IF(INDEX(PDN_B_OK,1,B295+6)&lt;&gt;0,B295+6,IF(INDEX(PDN_Axle_Diameter,1,B295+7)&lt;&gt;$A295,-2,IF(INDEX(PDN_B_OK,1,B295+7)&lt;&gt;0,B295+7,IF(INDEX(PDN_Axle_Diameter,1,B295+8)&lt;&gt;$A295,-2,IF(INDEX(PDN_B_OK,1,B295+8)&lt;&gt;0,B295+8,IF(INDEX(PDN_Axle_Diameter,1,B295+9)&lt;&gt;$A295,-2,IF(INDEX(PDN_B_OK,1,B295+9)&lt;&gt;0,B295+9,IF(INDEX(PDN_Axle_Diameter,1,B295+10)&lt;&gt;$A295,-2,B295+10))))))))))))))))))))))</f>
        <v>20</v>
      </c>
      <c r="D295" s="710">
        <f t="shared" ref="D295:L295" si="386">IF(ISERROR($B295),-3,IF(C295=-2,-2,IF(INDEX(PDN_Axle_Diameter,1,C295+1)&lt;&gt;$A295,-2,IF(INDEX(PDN_B_OK,1,C295+1)&lt;&gt;0,C295+1,IF(INDEX(PDN_Axle_Diameter,1,C295+2)&lt;&gt;$A295,-2,IF(INDEX(PDN_B_OK,1,C295+2)&lt;&gt;0,C295+2,IF(INDEX(PDN_Axle_Diameter,1,C295+3)&lt;&gt;$A295,-2,IF(INDEX(PDN_B_OK,1,C295+3)&lt;&gt;0,C295+3,IF(INDEX(PDN_Axle_Diameter,1,C295+4)&lt;&gt;$A295,-2,IF(INDEX(PDN_B_OK,1,C295+4)&lt;&gt;0,C295+4,IF(INDEX(PDN_Axle_Diameter,1,C295+5)&lt;&gt;$A295,-2,IF(INDEX(PDN_B_OK,1,C295+5)&lt;&gt;0,C295+5,IF(INDEX(PDN_Axle_Diameter,1,C295+6)&lt;&gt;$A295,-2,IF(INDEX(PDN_B_OK,1,C295+6)&lt;&gt;0,C295+6,IF(INDEX(PDN_Axle_Diameter,1,C295+7)&lt;&gt;$A295,-2,IF(INDEX(PDN_B_OK,1,C295+7)&lt;&gt;0,C295+7,IF(INDEX(PDN_Axle_Diameter,1,C295+8)&lt;&gt;$A295,-2,IF(INDEX(PDN_B_OK,1,C295+8)&lt;&gt;0,C295+8,IF(INDEX(PDN_Axle_Diameter,1,C295+9)&lt;&gt;$A295,-2,IF(INDEX(PDN_B_OK,1,C295+9)&lt;&gt;0,C295+9,IF(INDEX(PDN_Axle_Diameter,1,C295+10)&lt;&gt;$A295,-2,C295+10)))))))))))))))))))))</f>
        <v>21</v>
      </c>
      <c r="E295" s="711">
        <f t="shared" si="386"/>
        <v>-2</v>
      </c>
      <c r="F295" s="711">
        <f t="shared" si="386"/>
        <v>-2</v>
      </c>
      <c r="G295" s="711">
        <f t="shared" si="386"/>
        <v>-2</v>
      </c>
      <c r="H295" s="711">
        <f t="shared" si="386"/>
        <v>-2</v>
      </c>
      <c r="I295" s="711">
        <f t="shared" si="386"/>
        <v>-2</v>
      </c>
      <c r="J295" s="711">
        <f t="shared" si="386"/>
        <v>-2</v>
      </c>
      <c r="K295" s="711">
        <f t="shared" si="386"/>
        <v>-2</v>
      </c>
      <c r="L295" s="719">
        <f t="shared" si="386"/>
        <v>-2</v>
      </c>
    </row>
    <row r="296" spans="1:12" ht="15.95" customHeight="1">
      <c r="A296" s="106"/>
      <c r="B296" s="106"/>
      <c r="C296" s="712">
        <f t="shared" ref="C296:L296" si="387">IF(C297=0,0,INDEX(PDN_Bearing_Type,1,C295))</f>
        <v>6218</v>
      </c>
      <c r="D296" s="713">
        <f t="shared" si="387"/>
        <v>6318</v>
      </c>
      <c r="E296" s="713">
        <f t="shared" si="387"/>
        <v>0</v>
      </c>
      <c r="F296" s="713">
        <f t="shared" si="387"/>
        <v>0</v>
      </c>
      <c r="G296" s="713">
        <f t="shared" si="387"/>
        <v>0</v>
      </c>
      <c r="H296" s="713">
        <f t="shared" si="387"/>
        <v>0</v>
      </c>
      <c r="I296" s="713">
        <f t="shared" si="387"/>
        <v>0</v>
      </c>
      <c r="J296" s="713">
        <f t="shared" si="387"/>
        <v>0</v>
      </c>
      <c r="K296" s="713">
        <f t="shared" si="387"/>
        <v>0</v>
      </c>
      <c r="L296" s="720">
        <f t="shared" si="387"/>
        <v>0</v>
      </c>
    </row>
    <row r="297" spans="1:12" ht="15.95" customHeight="1">
      <c r="A297" s="106"/>
      <c r="B297" s="106"/>
      <c r="C297" s="710">
        <f t="shared" ref="C297:L297" si="388">IF(C295&lt;0,0,INDEX(PDN_B_OK,1,C295))</f>
        <v>27047.573364634391</v>
      </c>
      <c r="D297" s="711">
        <f t="shared" si="388"/>
        <v>90384.722293137005</v>
      </c>
      <c r="E297" s="711">
        <f t="shared" si="388"/>
        <v>0</v>
      </c>
      <c r="F297" s="711">
        <f t="shared" si="388"/>
        <v>0</v>
      </c>
      <c r="G297" s="711">
        <f t="shared" si="388"/>
        <v>0</v>
      </c>
      <c r="H297" s="711">
        <f t="shared" si="388"/>
        <v>0</v>
      </c>
      <c r="I297" s="711">
        <f t="shared" si="388"/>
        <v>0</v>
      </c>
      <c r="J297" s="711">
        <f t="shared" si="388"/>
        <v>0</v>
      </c>
      <c r="K297" s="711">
        <f t="shared" si="388"/>
        <v>0</v>
      </c>
      <c r="L297" s="719">
        <f t="shared" si="388"/>
        <v>0</v>
      </c>
    </row>
    <row r="298" spans="1:12" ht="15.95" customHeight="1">
      <c r="A298" s="106">
        <f>A295+5</f>
        <v>95</v>
      </c>
      <c r="B298" s="106">
        <f>MATCH($A298,PDN_Axle_Diameter,0)</f>
        <v>22</v>
      </c>
      <c r="C298" s="714">
        <f>IF(ISERROR($B298),-3,IF(INDEX(PDN_Axle_Diameter,1,B298)&lt;&gt;$A298,-2,IF(INDEX(PDN_B_OK,1,B298)&lt;&gt;0,B298,IF(INDEX(PDN_Axle_Diameter,1,B298+1)&lt;&gt;$A298,-2,IF(INDEX(PDN_B_OK,1,B298+1)&lt;&gt;0,B298+1,IF(INDEX(PDN_Axle_Diameter,1,B298+2)&lt;&gt;$A298,-2,IF(INDEX(PDN_B_OK,1,B298+2)&lt;&gt;0,B298+2,IF(INDEX(PDN_Axle_Diameter,1,B298+3)&lt;&gt;$A298,-2,IF(INDEX(PDN_B_OK,1,B298+3)&lt;&gt;0,B298+3,IF(INDEX(PDN_Axle_Diameter,1,B298+4)&lt;&gt;$A298,-2,IF(INDEX(PDN_B_OK,1,B298+4)&lt;&gt;0,B298+4,IF(INDEX(PDN_Axle_Diameter,1,B298+5)&lt;&gt;$A298,-2,IF(INDEX(PDN_B_OK,1,B298+5)&lt;&gt;0,B298+5,IF(INDEX(PDN_Axle_Diameter,1,B298+6)&lt;&gt;$A298,-2,IF(INDEX(PDN_B_OK,1,B298+6)&lt;&gt;0,B298+6,IF(INDEX(PDN_Axle_Diameter,1,B298+7)&lt;&gt;$A298,-2,IF(INDEX(PDN_B_OK,1,B298+7)&lt;&gt;0,B298+7,IF(INDEX(PDN_Axle_Diameter,1,B298+8)&lt;&gt;$A298,-2,IF(INDEX(PDN_B_OK,1,B298+8)&lt;&gt;0,B298+8,IF(INDEX(PDN_Axle_Diameter,1,B298+9)&lt;&gt;$A298,-2,IF(INDEX(PDN_B_OK,1,B298+9)&lt;&gt;0,B298+9,IF(INDEX(PDN_Axle_Diameter,1,B298+10)&lt;&gt;$A298,-2,B298+10))))))))))))))))))))))</f>
        <v>22</v>
      </c>
      <c r="D298" s="710">
        <f t="shared" ref="D298:L298" si="389">IF(ISERROR($B298),-3,IF(C298=-2,-2,IF(INDEX(PDN_Axle_Diameter,1,C298+1)&lt;&gt;$A298,-2,IF(INDEX(PDN_B_OK,1,C298+1)&lt;&gt;0,C298+1,IF(INDEX(PDN_Axle_Diameter,1,C298+2)&lt;&gt;$A298,-2,IF(INDEX(PDN_B_OK,1,C298+2)&lt;&gt;0,C298+2,IF(INDEX(PDN_Axle_Diameter,1,C298+3)&lt;&gt;$A298,-2,IF(INDEX(PDN_B_OK,1,C298+3)&lt;&gt;0,C298+3,IF(INDEX(PDN_Axle_Diameter,1,C298+4)&lt;&gt;$A298,-2,IF(INDEX(PDN_B_OK,1,C298+4)&lt;&gt;0,C298+4,IF(INDEX(PDN_Axle_Diameter,1,C298+5)&lt;&gt;$A298,-2,IF(INDEX(PDN_B_OK,1,C298+5)&lt;&gt;0,C298+5,IF(INDEX(PDN_Axle_Diameter,1,C298+6)&lt;&gt;$A298,-2,IF(INDEX(PDN_B_OK,1,C298+6)&lt;&gt;0,C298+6,IF(INDEX(PDN_Axle_Diameter,1,C298+7)&lt;&gt;$A298,-2,IF(INDEX(PDN_B_OK,1,C298+7)&lt;&gt;0,C298+7,IF(INDEX(PDN_Axle_Diameter,1,C298+8)&lt;&gt;$A298,-2,IF(INDEX(PDN_B_OK,1,C298+8)&lt;&gt;0,C298+8,IF(INDEX(PDN_Axle_Diameter,1,C298+9)&lt;&gt;$A298,-2,IF(INDEX(PDN_B_OK,1,C298+9)&lt;&gt;0,C298+9,IF(INDEX(PDN_Axle_Diameter,1,C298+10)&lt;&gt;$A298,-2,C298+10)))))))))))))))))))))</f>
        <v>23</v>
      </c>
      <c r="E298" s="711">
        <f t="shared" si="389"/>
        <v>-2</v>
      </c>
      <c r="F298" s="711">
        <f t="shared" si="389"/>
        <v>-2</v>
      </c>
      <c r="G298" s="711">
        <f t="shared" si="389"/>
        <v>-2</v>
      </c>
      <c r="H298" s="711">
        <f t="shared" si="389"/>
        <v>-2</v>
      </c>
      <c r="I298" s="711">
        <f t="shared" si="389"/>
        <v>-2</v>
      </c>
      <c r="J298" s="711">
        <f t="shared" si="389"/>
        <v>-2</v>
      </c>
      <c r="K298" s="711">
        <f t="shared" si="389"/>
        <v>-2</v>
      </c>
      <c r="L298" s="719">
        <f t="shared" si="389"/>
        <v>-2</v>
      </c>
    </row>
    <row r="299" spans="1:12" ht="15.95" customHeight="1">
      <c r="A299" s="106"/>
      <c r="B299" s="106"/>
      <c r="C299" s="712">
        <f t="shared" ref="C299:L299" si="390">IF(C300=0,0,INDEX(PDN_Bearing_Type,1,C298))</f>
        <v>6219</v>
      </c>
      <c r="D299" s="713">
        <f t="shared" si="390"/>
        <v>6319</v>
      </c>
      <c r="E299" s="713">
        <f t="shared" si="390"/>
        <v>0</v>
      </c>
      <c r="F299" s="713">
        <f t="shared" si="390"/>
        <v>0</v>
      </c>
      <c r="G299" s="713">
        <f t="shared" si="390"/>
        <v>0</v>
      </c>
      <c r="H299" s="713">
        <f t="shared" si="390"/>
        <v>0</v>
      </c>
      <c r="I299" s="713">
        <f t="shared" si="390"/>
        <v>0</v>
      </c>
      <c r="J299" s="713">
        <f t="shared" si="390"/>
        <v>0</v>
      </c>
      <c r="K299" s="713">
        <f t="shared" si="390"/>
        <v>0</v>
      </c>
      <c r="L299" s="720">
        <f t="shared" si="390"/>
        <v>0</v>
      </c>
    </row>
    <row r="300" spans="1:12" ht="15.95" customHeight="1">
      <c r="A300" s="106"/>
      <c r="B300" s="106"/>
      <c r="C300" s="710">
        <f t="shared" ref="C300:L300" si="391">IF(C298&lt;0,0,INDEX(PDN_B_OK,1,C298))</f>
        <v>38893.653440047034</v>
      </c>
      <c r="D300" s="711">
        <f t="shared" si="391"/>
        <v>105525.04817017572</v>
      </c>
      <c r="E300" s="711">
        <f t="shared" si="391"/>
        <v>0</v>
      </c>
      <c r="F300" s="711">
        <f t="shared" si="391"/>
        <v>0</v>
      </c>
      <c r="G300" s="711">
        <f t="shared" si="391"/>
        <v>0</v>
      </c>
      <c r="H300" s="711">
        <f t="shared" si="391"/>
        <v>0</v>
      </c>
      <c r="I300" s="711">
        <f t="shared" si="391"/>
        <v>0</v>
      </c>
      <c r="J300" s="711">
        <f t="shared" si="391"/>
        <v>0</v>
      </c>
      <c r="K300" s="711">
        <f t="shared" si="391"/>
        <v>0</v>
      </c>
      <c r="L300" s="719">
        <f t="shared" si="391"/>
        <v>0</v>
      </c>
    </row>
    <row r="301" spans="1:12" ht="15.95" customHeight="1">
      <c r="A301" s="106">
        <f>A298+5</f>
        <v>100</v>
      </c>
      <c r="B301" s="106">
        <f>MATCH($A301,PDN_Axle_Diameter,0)</f>
        <v>24</v>
      </c>
      <c r="C301" s="714">
        <f>IF(ISERROR($B301),-3,IF(INDEX(PDN_Axle_Diameter,1,B301)&lt;&gt;$A301,-2,IF(INDEX(PDN_B_OK,1,B301)&lt;&gt;0,B301,IF(INDEX(PDN_Axle_Diameter,1,B301+1)&lt;&gt;$A301,-2,IF(INDEX(PDN_B_OK,1,B301+1)&lt;&gt;0,B301+1,IF(INDEX(PDN_Axle_Diameter,1,B301+2)&lt;&gt;$A301,-2,IF(INDEX(PDN_B_OK,1,B301+2)&lt;&gt;0,B301+2,IF(INDEX(PDN_Axle_Diameter,1,B301+3)&lt;&gt;$A301,-2,IF(INDEX(PDN_B_OK,1,B301+3)&lt;&gt;0,B301+3,IF(INDEX(PDN_Axle_Diameter,1,B301+4)&lt;&gt;$A301,-2,IF(INDEX(PDN_B_OK,1,B301+4)&lt;&gt;0,B301+4,IF(INDEX(PDN_Axle_Diameter,1,B301+5)&lt;&gt;$A301,-2,IF(INDEX(PDN_B_OK,1,B301+5)&lt;&gt;0,B301+5,IF(INDEX(PDN_Axle_Diameter,1,B301+6)&lt;&gt;$A301,-2,IF(INDEX(PDN_B_OK,1,B301+6)&lt;&gt;0,B301+6,IF(INDEX(PDN_Axle_Diameter,1,B301+7)&lt;&gt;$A301,-2,IF(INDEX(PDN_B_OK,1,B301+7)&lt;&gt;0,B301+7,IF(INDEX(PDN_Axle_Diameter,1,B301+8)&lt;&gt;$A301,-2,IF(INDEX(PDN_B_OK,1,B301+8)&lt;&gt;0,B301+8,IF(INDEX(PDN_Axle_Diameter,1,B301+9)&lt;&gt;$A301,-2,IF(INDEX(PDN_B_OK,1,B301+9)&lt;&gt;0,B301+9,IF(INDEX(PDN_Axle_Diameter,1,B301+10)&lt;&gt;$A301,-2,B301+10))))))))))))))))))))))</f>
        <v>24</v>
      </c>
      <c r="D301" s="710">
        <f t="shared" ref="D301:L301" si="392">IF(ISERROR($B301),-3,IF(C301=-2,-2,IF(INDEX(PDN_Axle_Diameter,1,C301+1)&lt;&gt;$A301,-2,IF(INDEX(PDN_B_OK,1,C301+1)&lt;&gt;0,C301+1,IF(INDEX(PDN_Axle_Diameter,1,C301+2)&lt;&gt;$A301,-2,IF(INDEX(PDN_B_OK,1,C301+2)&lt;&gt;0,C301+2,IF(INDEX(PDN_Axle_Diameter,1,C301+3)&lt;&gt;$A301,-2,IF(INDEX(PDN_B_OK,1,C301+3)&lt;&gt;0,C301+3,IF(INDEX(PDN_Axle_Diameter,1,C301+4)&lt;&gt;$A301,-2,IF(INDEX(PDN_B_OK,1,C301+4)&lt;&gt;0,C301+4,IF(INDEX(PDN_Axle_Diameter,1,C301+5)&lt;&gt;$A301,-2,IF(INDEX(PDN_B_OK,1,C301+5)&lt;&gt;0,C301+5,IF(INDEX(PDN_Axle_Diameter,1,C301+6)&lt;&gt;$A301,-2,IF(INDEX(PDN_B_OK,1,C301+6)&lt;&gt;0,C301+6,IF(INDEX(PDN_Axle_Diameter,1,C301+7)&lt;&gt;$A301,-2,IF(INDEX(PDN_B_OK,1,C301+7)&lt;&gt;0,C301+7,IF(INDEX(PDN_Axle_Diameter,1,C301+8)&lt;&gt;$A301,-2,IF(INDEX(PDN_B_OK,1,C301+8)&lt;&gt;0,C301+8,IF(INDEX(PDN_Axle_Diameter,1,C301+9)&lt;&gt;$A301,-2,IF(INDEX(PDN_B_OK,1,C301+9)&lt;&gt;0,C301+9,IF(INDEX(PDN_Axle_Diameter,1,C301+10)&lt;&gt;$A301,-2,C301+10)))))))))))))))))))))</f>
        <v>25</v>
      </c>
      <c r="E301" s="711">
        <f t="shared" si="392"/>
        <v>-2</v>
      </c>
      <c r="F301" s="711">
        <f t="shared" si="392"/>
        <v>-2</v>
      </c>
      <c r="G301" s="711">
        <f t="shared" si="392"/>
        <v>-2</v>
      </c>
      <c r="H301" s="711">
        <f t="shared" si="392"/>
        <v>-2</v>
      </c>
      <c r="I301" s="711">
        <f t="shared" si="392"/>
        <v>-2</v>
      </c>
      <c r="J301" s="711">
        <f t="shared" si="392"/>
        <v>-2</v>
      </c>
      <c r="K301" s="711">
        <f t="shared" si="392"/>
        <v>-2</v>
      </c>
      <c r="L301" s="719">
        <f t="shared" si="392"/>
        <v>-2</v>
      </c>
    </row>
    <row r="302" spans="1:12" ht="15.95" customHeight="1">
      <c r="A302" s="106"/>
      <c r="B302" s="106"/>
      <c r="C302" s="712">
        <f t="shared" ref="C302:L302" si="393">IF(C303=0,0,INDEX(PDN_Bearing_Type,1,C301))</f>
        <v>6220</v>
      </c>
      <c r="D302" s="713">
        <f t="shared" si="393"/>
        <v>6320</v>
      </c>
      <c r="E302" s="713">
        <f t="shared" si="393"/>
        <v>0</v>
      </c>
      <c r="F302" s="713">
        <f t="shared" si="393"/>
        <v>0</v>
      </c>
      <c r="G302" s="713">
        <f t="shared" si="393"/>
        <v>0</v>
      </c>
      <c r="H302" s="713">
        <f t="shared" si="393"/>
        <v>0</v>
      </c>
      <c r="I302" s="713">
        <f t="shared" si="393"/>
        <v>0</v>
      </c>
      <c r="J302" s="713">
        <f t="shared" si="393"/>
        <v>0</v>
      </c>
      <c r="K302" s="713">
        <f t="shared" si="393"/>
        <v>0</v>
      </c>
      <c r="L302" s="720">
        <f t="shared" si="393"/>
        <v>0</v>
      </c>
    </row>
    <row r="303" spans="1:12" ht="15.95" customHeight="1">
      <c r="A303" s="106"/>
      <c r="B303" s="106"/>
      <c r="C303" s="710">
        <f t="shared" ref="C303:L303" si="394">IF(C301&lt;0,0,INDEX(PDN_B_OK,1,C301))</f>
        <v>53774.372218768985</v>
      </c>
      <c r="D303" s="711">
        <f t="shared" si="394"/>
        <v>138296.73622238039</v>
      </c>
      <c r="E303" s="711">
        <f t="shared" si="394"/>
        <v>0</v>
      </c>
      <c r="F303" s="711">
        <f t="shared" si="394"/>
        <v>0</v>
      </c>
      <c r="G303" s="711">
        <f t="shared" si="394"/>
        <v>0</v>
      </c>
      <c r="H303" s="711">
        <f t="shared" si="394"/>
        <v>0</v>
      </c>
      <c r="I303" s="711">
        <f t="shared" si="394"/>
        <v>0</v>
      </c>
      <c r="J303" s="711">
        <f t="shared" si="394"/>
        <v>0</v>
      </c>
      <c r="K303" s="711">
        <f t="shared" si="394"/>
        <v>0</v>
      </c>
      <c r="L303" s="719">
        <f t="shared" si="394"/>
        <v>0</v>
      </c>
    </row>
    <row r="304" spans="1:12" ht="15.95" customHeight="1">
      <c r="A304" s="106">
        <f>A301+5</f>
        <v>105</v>
      </c>
      <c r="B304" s="106" t="e">
        <f>MATCH($A304,PDN_Axle_Diameter,0)</f>
        <v>#N/A</v>
      </c>
      <c r="C304" s="714">
        <f>IF(ISERROR($B304),-3,IF(INDEX(PDN_Axle_Diameter,1,B304)&lt;&gt;$A304,-2,IF(INDEX(PDN_B_OK,1,B304)&lt;&gt;0,B304,IF(INDEX(PDN_Axle_Diameter,1,B304+1)&lt;&gt;$A304,-2,IF(INDEX(PDN_B_OK,1,B304+1)&lt;&gt;0,B304+1,IF(INDEX(PDN_Axle_Diameter,1,B304+2)&lt;&gt;$A304,-2,IF(INDEX(PDN_B_OK,1,B304+2)&lt;&gt;0,B304+2,IF(INDEX(PDN_Axle_Diameter,1,B304+3)&lt;&gt;$A304,-2,IF(INDEX(PDN_B_OK,1,B304+3)&lt;&gt;0,B304+3,IF(INDEX(PDN_Axle_Diameter,1,B304+4)&lt;&gt;$A304,-2,IF(INDEX(PDN_B_OK,1,B304+4)&lt;&gt;0,B304+4,IF(INDEX(PDN_Axle_Diameter,1,B304+5)&lt;&gt;$A304,-2,IF(INDEX(PDN_B_OK,1,B304+5)&lt;&gt;0,B304+5,IF(INDEX(PDN_Axle_Diameter,1,B304+6)&lt;&gt;$A304,-2,IF(INDEX(PDN_B_OK,1,B304+6)&lt;&gt;0,B304+6,IF(INDEX(PDN_Axle_Diameter,1,B304+7)&lt;&gt;$A304,-2,IF(INDEX(PDN_B_OK,1,B304+7)&lt;&gt;0,B304+7,IF(INDEX(PDN_Axle_Diameter,1,B304+8)&lt;&gt;$A304,-2,IF(INDEX(PDN_B_OK,1,B304+8)&lt;&gt;0,B304+8,IF(INDEX(PDN_Axle_Diameter,1,B304+9)&lt;&gt;$A304,-2,IF(INDEX(PDN_B_OK,1,B304+9)&lt;&gt;0,B304+9,IF(INDEX(PDN_Axle_Diameter,1,B304+10)&lt;&gt;$A304,-2,B304+10))))))))))))))))))))))</f>
        <v>-3</v>
      </c>
      <c r="D304" s="710">
        <f t="shared" ref="D304:L304" si="395">IF(ISERROR($B304),-3,IF(C304=-2,-2,IF(INDEX(PDN_Axle_Diameter,1,C304+1)&lt;&gt;$A304,-2,IF(INDEX(PDN_B_OK,1,C304+1)&lt;&gt;0,C304+1,IF(INDEX(PDN_Axle_Diameter,1,C304+2)&lt;&gt;$A304,-2,IF(INDEX(PDN_B_OK,1,C304+2)&lt;&gt;0,C304+2,IF(INDEX(PDN_Axle_Diameter,1,C304+3)&lt;&gt;$A304,-2,IF(INDEX(PDN_B_OK,1,C304+3)&lt;&gt;0,C304+3,IF(INDEX(PDN_Axle_Diameter,1,C304+4)&lt;&gt;$A304,-2,IF(INDEX(PDN_B_OK,1,C304+4)&lt;&gt;0,C304+4,IF(INDEX(PDN_Axle_Diameter,1,C304+5)&lt;&gt;$A304,-2,IF(INDEX(PDN_B_OK,1,C304+5)&lt;&gt;0,C304+5,IF(INDEX(PDN_Axle_Diameter,1,C304+6)&lt;&gt;$A304,-2,IF(INDEX(PDN_B_OK,1,C304+6)&lt;&gt;0,C304+6,IF(INDEX(PDN_Axle_Diameter,1,C304+7)&lt;&gt;$A304,-2,IF(INDEX(PDN_B_OK,1,C304+7)&lt;&gt;0,C304+7,IF(INDEX(PDN_Axle_Diameter,1,C304+8)&lt;&gt;$A304,-2,IF(INDEX(PDN_B_OK,1,C304+8)&lt;&gt;0,C304+8,IF(INDEX(PDN_Axle_Diameter,1,C304+9)&lt;&gt;$A304,-2,IF(INDEX(PDN_B_OK,1,C304+9)&lt;&gt;0,C304+9,IF(INDEX(PDN_Axle_Diameter,1,C304+10)&lt;&gt;$A304,-2,C304+10)))))))))))))))))))))</f>
        <v>-3</v>
      </c>
      <c r="E304" s="711">
        <f t="shared" si="395"/>
        <v>-3</v>
      </c>
      <c r="F304" s="711">
        <f t="shared" si="395"/>
        <v>-3</v>
      </c>
      <c r="G304" s="711">
        <f t="shared" si="395"/>
        <v>-3</v>
      </c>
      <c r="H304" s="711">
        <f t="shared" si="395"/>
        <v>-3</v>
      </c>
      <c r="I304" s="711">
        <f t="shared" si="395"/>
        <v>-3</v>
      </c>
      <c r="J304" s="711">
        <f t="shared" si="395"/>
        <v>-3</v>
      </c>
      <c r="K304" s="711">
        <f t="shared" si="395"/>
        <v>-3</v>
      </c>
      <c r="L304" s="719">
        <f t="shared" si="395"/>
        <v>-3</v>
      </c>
    </row>
    <row r="305" spans="1:12" ht="15.95" customHeight="1">
      <c r="A305" s="106"/>
      <c r="B305" s="106"/>
      <c r="C305" s="712">
        <f t="shared" ref="C305:L305" si="396">IF(C306=0,0,INDEX(PDN_Bearing_Type,1,C304))</f>
        <v>0</v>
      </c>
      <c r="D305" s="713">
        <f t="shared" si="396"/>
        <v>0</v>
      </c>
      <c r="E305" s="713">
        <f t="shared" si="396"/>
        <v>0</v>
      </c>
      <c r="F305" s="713">
        <f t="shared" si="396"/>
        <v>0</v>
      </c>
      <c r="G305" s="713">
        <f t="shared" si="396"/>
        <v>0</v>
      </c>
      <c r="H305" s="713">
        <f t="shared" si="396"/>
        <v>0</v>
      </c>
      <c r="I305" s="713">
        <f t="shared" si="396"/>
        <v>0</v>
      </c>
      <c r="J305" s="713">
        <f t="shared" si="396"/>
        <v>0</v>
      </c>
      <c r="K305" s="713">
        <f t="shared" si="396"/>
        <v>0</v>
      </c>
      <c r="L305" s="720">
        <f t="shared" si="396"/>
        <v>0</v>
      </c>
    </row>
    <row r="306" spans="1:12" ht="15.95" customHeight="1">
      <c r="A306" s="106"/>
      <c r="B306" s="106"/>
      <c r="C306" s="710">
        <f t="shared" ref="C306:L306" si="397">IF(C304&lt;0,0,INDEX(PDN_B_OK,1,C304))</f>
        <v>0</v>
      </c>
      <c r="D306" s="711">
        <f t="shared" si="397"/>
        <v>0</v>
      </c>
      <c r="E306" s="711">
        <f t="shared" si="397"/>
        <v>0</v>
      </c>
      <c r="F306" s="711">
        <f t="shared" si="397"/>
        <v>0</v>
      </c>
      <c r="G306" s="711">
        <f t="shared" si="397"/>
        <v>0</v>
      </c>
      <c r="H306" s="711">
        <f t="shared" si="397"/>
        <v>0</v>
      </c>
      <c r="I306" s="711">
        <f t="shared" si="397"/>
        <v>0</v>
      </c>
      <c r="J306" s="711">
        <f t="shared" si="397"/>
        <v>0</v>
      </c>
      <c r="K306" s="711">
        <f t="shared" si="397"/>
        <v>0</v>
      </c>
      <c r="L306" s="719">
        <f t="shared" si="397"/>
        <v>0</v>
      </c>
    </row>
    <row r="307" spans="1:12" ht="15.95" customHeight="1">
      <c r="A307" s="106">
        <f>A304+5</f>
        <v>110</v>
      </c>
      <c r="B307" s="106">
        <f>MATCH($A307,PDN_Axle_Diameter,0)</f>
        <v>26</v>
      </c>
      <c r="C307" s="714">
        <f>IF(ISERROR($B307),-3,IF(INDEX(PDN_Axle_Diameter,1,B307)&lt;&gt;$A307,-2,IF(INDEX(PDN_B_OK,1,B307)&lt;&gt;0,B307,IF(INDEX(PDN_Axle_Diameter,1,B307+1)&lt;&gt;$A307,-2,IF(INDEX(PDN_B_OK,1,B307+1)&lt;&gt;0,B307+1,IF(INDEX(PDN_Axle_Diameter,1,B307+2)&lt;&gt;$A307,-2,IF(INDEX(PDN_B_OK,1,B307+2)&lt;&gt;0,B307+2,IF(INDEX(PDN_Axle_Diameter,1,B307+3)&lt;&gt;$A307,-2,IF(INDEX(PDN_B_OK,1,B307+3)&lt;&gt;0,B307+3,IF(INDEX(PDN_Axle_Diameter,1,B307+4)&lt;&gt;$A307,-2,IF(INDEX(PDN_B_OK,1,B307+4)&lt;&gt;0,B307+4,IF(INDEX(PDN_Axle_Diameter,1,B307+5)&lt;&gt;$A307,-2,IF(INDEX(PDN_B_OK,1,B307+5)&lt;&gt;0,B307+5,IF(INDEX(PDN_Axle_Diameter,1,B307+6)&lt;&gt;$A307,-2,IF(INDEX(PDN_B_OK,1,B307+6)&lt;&gt;0,B307+6,IF(INDEX(PDN_Axle_Diameter,1,B307+7)&lt;&gt;$A307,-2,IF(INDEX(PDN_B_OK,1,B307+7)&lt;&gt;0,B307+7,IF(INDEX(PDN_Axle_Diameter,1,B307+8)&lt;&gt;$A307,-2,IF(INDEX(PDN_B_OK,1,B307+8)&lt;&gt;0,B307+8,IF(INDEX(PDN_Axle_Diameter,1,B307+9)&lt;&gt;$A307,-2,IF(INDEX(PDN_B_OK,1,B307+9)&lt;&gt;0,B307+9,IF(INDEX(PDN_Axle_Diameter,1,B307+10)&lt;&gt;$A307,-2,B307+10))))))))))))))))))))))</f>
        <v>26</v>
      </c>
      <c r="D307" s="710">
        <f t="shared" ref="D307:L307" si="398">IF(ISERROR($B307),-3,IF(C307=-2,-2,IF(INDEX(PDN_Axle_Diameter,1,C307+1)&lt;&gt;$A307,-2,IF(INDEX(PDN_B_OK,1,C307+1)&lt;&gt;0,C307+1,IF(INDEX(PDN_Axle_Diameter,1,C307+2)&lt;&gt;$A307,-2,IF(INDEX(PDN_B_OK,1,C307+2)&lt;&gt;0,C307+2,IF(INDEX(PDN_Axle_Diameter,1,C307+3)&lt;&gt;$A307,-2,IF(INDEX(PDN_B_OK,1,C307+3)&lt;&gt;0,C307+3,IF(INDEX(PDN_Axle_Diameter,1,C307+4)&lt;&gt;$A307,-2,IF(INDEX(PDN_B_OK,1,C307+4)&lt;&gt;0,C307+4,IF(INDEX(PDN_Axle_Diameter,1,C307+5)&lt;&gt;$A307,-2,IF(INDEX(PDN_B_OK,1,C307+5)&lt;&gt;0,C307+5,IF(INDEX(PDN_Axle_Diameter,1,C307+6)&lt;&gt;$A307,-2,IF(INDEX(PDN_B_OK,1,C307+6)&lt;&gt;0,C307+6,IF(INDEX(PDN_Axle_Diameter,1,C307+7)&lt;&gt;$A307,-2,IF(INDEX(PDN_B_OK,1,C307+7)&lt;&gt;0,C307+7,IF(INDEX(PDN_Axle_Diameter,1,C307+8)&lt;&gt;$A307,-2,IF(INDEX(PDN_B_OK,1,C307+8)&lt;&gt;0,C307+8,IF(INDEX(PDN_Axle_Diameter,1,C307+9)&lt;&gt;$A307,-2,IF(INDEX(PDN_B_OK,1,C307+9)&lt;&gt;0,C307+9,IF(INDEX(PDN_Axle_Diameter,1,C307+10)&lt;&gt;$A307,-2,C307+10)))))))))))))))))))))</f>
        <v>-2</v>
      </c>
      <c r="E307" s="711">
        <f t="shared" si="398"/>
        <v>-2</v>
      </c>
      <c r="F307" s="711">
        <f t="shared" si="398"/>
        <v>-2</v>
      </c>
      <c r="G307" s="711">
        <f t="shared" si="398"/>
        <v>-2</v>
      </c>
      <c r="H307" s="711">
        <f t="shared" si="398"/>
        <v>-2</v>
      </c>
      <c r="I307" s="711">
        <f t="shared" si="398"/>
        <v>-2</v>
      </c>
      <c r="J307" s="711">
        <f t="shared" si="398"/>
        <v>-2</v>
      </c>
      <c r="K307" s="711">
        <f t="shared" si="398"/>
        <v>-2</v>
      </c>
      <c r="L307" s="719">
        <f t="shared" si="398"/>
        <v>-2</v>
      </c>
    </row>
    <row r="308" spans="1:12" ht="15.95" customHeight="1">
      <c r="A308" s="106"/>
      <c r="B308" s="106"/>
      <c r="C308" s="712">
        <f t="shared" ref="C308:L308" si="399">IF(C309=0,0,INDEX(PDN_Bearing_Type,1,C307))</f>
        <v>6222</v>
      </c>
      <c r="D308" s="713">
        <f t="shared" si="399"/>
        <v>0</v>
      </c>
      <c r="E308" s="713">
        <f t="shared" si="399"/>
        <v>0</v>
      </c>
      <c r="F308" s="713">
        <f t="shared" si="399"/>
        <v>0</v>
      </c>
      <c r="G308" s="713">
        <f t="shared" si="399"/>
        <v>0</v>
      </c>
      <c r="H308" s="713">
        <f t="shared" si="399"/>
        <v>0</v>
      </c>
      <c r="I308" s="713">
        <f t="shared" si="399"/>
        <v>0</v>
      </c>
      <c r="J308" s="713">
        <f t="shared" si="399"/>
        <v>0</v>
      </c>
      <c r="K308" s="713">
        <f t="shared" si="399"/>
        <v>0</v>
      </c>
      <c r="L308" s="720">
        <f t="shared" si="399"/>
        <v>0</v>
      </c>
    </row>
    <row r="309" spans="1:12" ht="15.95" customHeight="1">
      <c r="A309" s="106"/>
      <c r="B309" s="106"/>
      <c r="C309" s="710">
        <f t="shared" ref="C309:L309" si="400">IF(C307&lt;0,0,INDEX(PDN_B_OK,1,C307))</f>
        <v>90384.722293137005</v>
      </c>
      <c r="D309" s="711">
        <f t="shared" si="400"/>
        <v>0</v>
      </c>
      <c r="E309" s="711">
        <f t="shared" si="400"/>
        <v>0</v>
      </c>
      <c r="F309" s="711">
        <f t="shared" si="400"/>
        <v>0</v>
      </c>
      <c r="G309" s="711">
        <f t="shared" si="400"/>
        <v>0</v>
      </c>
      <c r="H309" s="711">
        <f t="shared" si="400"/>
        <v>0</v>
      </c>
      <c r="I309" s="711">
        <f t="shared" si="400"/>
        <v>0</v>
      </c>
      <c r="J309" s="711">
        <f t="shared" si="400"/>
        <v>0</v>
      </c>
      <c r="K309" s="711">
        <f t="shared" si="400"/>
        <v>0</v>
      </c>
      <c r="L309" s="719">
        <f t="shared" si="400"/>
        <v>0</v>
      </c>
    </row>
    <row r="310" spans="1:12" ht="15.95" customHeight="1">
      <c r="A310" s="106">
        <f>A307+5</f>
        <v>115</v>
      </c>
      <c r="B310" s="106" t="e">
        <f>MATCH($A310,PDN_Axle_Diameter,0)</f>
        <v>#N/A</v>
      </c>
      <c r="C310" s="714">
        <f>IF(ISERROR($B310),-3,IF(INDEX(PDN_Axle_Diameter,1,B310)&lt;&gt;$A310,-2,IF(INDEX(PDN_B_OK,1,B310)&lt;&gt;0,B310,IF(INDEX(PDN_Axle_Diameter,1,B310+1)&lt;&gt;$A310,-2,IF(INDEX(PDN_B_OK,1,B310+1)&lt;&gt;0,B310+1,IF(INDEX(PDN_Axle_Diameter,1,B310+2)&lt;&gt;$A310,-2,IF(INDEX(PDN_B_OK,1,B310+2)&lt;&gt;0,B310+2,IF(INDEX(PDN_Axle_Diameter,1,B310+3)&lt;&gt;$A310,-2,IF(INDEX(PDN_B_OK,1,B310+3)&lt;&gt;0,B310+3,IF(INDEX(PDN_Axle_Diameter,1,B310+4)&lt;&gt;$A310,-2,IF(INDEX(PDN_B_OK,1,B310+4)&lt;&gt;0,B310+4,IF(INDEX(PDN_Axle_Diameter,1,B310+5)&lt;&gt;$A310,-2,IF(INDEX(PDN_B_OK,1,B310+5)&lt;&gt;0,B310+5,IF(INDEX(PDN_Axle_Diameter,1,B310+6)&lt;&gt;$A310,-2,IF(INDEX(PDN_B_OK,1,B310+6)&lt;&gt;0,B310+6,IF(INDEX(PDN_Axle_Diameter,1,B310+7)&lt;&gt;$A310,-2,IF(INDEX(PDN_B_OK,1,B310+7)&lt;&gt;0,B310+7,IF(INDEX(PDN_Axle_Diameter,1,B310+8)&lt;&gt;$A310,-2,IF(INDEX(PDN_B_OK,1,B310+8)&lt;&gt;0,B310+8,IF(INDEX(PDN_Axle_Diameter,1,B310+9)&lt;&gt;$A310,-2,IF(INDEX(PDN_B_OK,1,B310+9)&lt;&gt;0,B310+9,IF(INDEX(PDN_Axle_Diameter,1,B310+10)&lt;&gt;$A310,-2,B310+10))))))))))))))))))))))</f>
        <v>-3</v>
      </c>
      <c r="D310" s="710">
        <f t="shared" ref="D310:L310" si="401">IF(ISERROR($B310),-3,IF(C310=-2,-2,IF(INDEX(PDN_Axle_Diameter,1,C310+1)&lt;&gt;$A310,-2,IF(INDEX(PDN_B_OK,1,C310+1)&lt;&gt;0,C310+1,IF(INDEX(PDN_Axle_Diameter,1,C310+2)&lt;&gt;$A310,-2,IF(INDEX(PDN_B_OK,1,C310+2)&lt;&gt;0,C310+2,IF(INDEX(PDN_Axle_Diameter,1,C310+3)&lt;&gt;$A310,-2,IF(INDEX(PDN_B_OK,1,C310+3)&lt;&gt;0,C310+3,IF(INDEX(PDN_Axle_Diameter,1,C310+4)&lt;&gt;$A310,-2,IF(INDEX(PDN_B_OK,1,C310+4)&lt;&gt;0,C310+4,IF(INDEX(PDN_Axle_Diameter,1,C310+5)&lt;&gt;$A310,-2,IF(INDEX(PDN_B_OK,1,C310+5)&lt;&gt;0,C310+5,IF(INDEX(PDN_Axle_Diameter,1,C310+6)&lt;&gt;$A310,-2,IF(INDEX(PDN_B_OK,1,C310+6)&lt;&gt;0,C310+6,IF(INDEX(PDN_Axle_Diameter,1,C310+7)&lt;&gt;$A310,-2,IF(INDEX(PDN_B_OK,1,C310+7)&lt;&gt;0,C310+7,IF(INDEX(PDN_Axle_Diameter,1,C310+8)&lt;&gt;$A310,-2,IF(INDEX(PDN_B_OK,1,C310+8)&lt;&gt;0,C310+8,IF(INDEX(PDN_Axle_Diameter,1,C310+9)&lt;&gt;$A310,-2,IF(INDEX(PDN_B_OK,1,C310+9)&lt;&gt;0,C310+9,IF(INDEX(PDN_Axle_Diameter,1,C310+10)&lt;&gt;$A310,-2,C310+10)))))))))))))))))))))</f>
        <v>-3</v>
      </c>
      <c r="E310" s="711">
        <f t="shared" si="401"/>
        <v>-3</v>
      </c>
      <c r="F310" s="711">
        <f t="shared" si="401"/>
        <v>-3</v>
      </c>
      <c r="G310" s="711">
        <f t="shared" si="401"/>
        <v>-3</v>
      </c>
      <c r="H310" s="711">
        <f t="shared" si="401"/>
        <v>-3</v>
      </c>
      <c r="I310" s="711">
        <f t="shared" si="401"/>
        <v>-3</v>
      </c>
      <c r="J310" s="711">
        <f t="shared" si="401"/>
        <v>-3</v>
      </c>
      <c r="K310" s="711">
        <f t="shared" si="401"/>
        <v>-3</v>
      </c>
      <c r="L310" s="719">
        <f t="shared" si="401"/>
        <v>-3</v>
      </c>
    </row>
    <row r="311" spans="1:12" ht="15.95" customHeight="1">
      <c r="A311" s="106"/>
      <c r="B311" s="106"/>
      <c r="C311" s="712">
        <f t="shared" ref="C311:L311" si="402">IF(C312=0,0,INDEX(PDN_Bearing_Type,1,C310))</f>
        <v>0</v>
      </c>
      <c r="D311" s="713">
        <f t="shared" si="402"/>
        <v>0</v>
      </c>
      <c r="E311" s="713">
        <f t="shared" si="402"/>
        <v>0</v>
      </c>
      <c r="F311" s="713">
        <f t="shared" si="402"/>
        <v>0</v>
      </c>
      <c r="G311" s="713">
        <f t="shared" si="402"/>
        <v>0</v>
      </c>
      <c r="H311" s="713">
        <f t="shared" si="402"/>
        <v>0</v>
      </c>
      <c r="I311" s="713">
        <f t="shared" si="402"/>
        <v>0</v>
      </c>
      <c r="J311" s="713">
        <f t="shared" si="402"/>
        <v>0</v>
      </c>
      <c r="K311" s="713">
        <f t="shared" si="402"/>
        <v>0</v>
      </c>
      <c r="L311" s="720">
        <f t="shared" si="402"/>
        <v>0</v>
      </c>
    </row>
    <row r="312" spans="1:12" ht="15.95" customHeight="1">
      <c r="A312" s="106"/>
      <c r="B312" s="106"/>
      <c r="C312" s="710">
        <f t="shared" ref="C312:L312" si="403">IF(C310&lt;0,0,INDEX(PDN_B_OK,1,C310))</f>
        <v>0</v>
      </c>
      <c r="D312" s="711">
        <f t="shared" si="403"/>
        <v>0</v>
      </c>
      <c r="E312" s="711">
        <f t="shared" si="403"/>
        <v>0</v>
      </c>
      <c r="F312" s="711">
        <f t="shared" si="403"/>
        <v>0</v>
      </c>
      <c r="G312" s="711">
        <f t="shared" si="403"/>
        <v>0</v>
      </c>
      <c r="H312" s="711">
        <f t="shared" si="403"/>
        <v>0</v>
      </c>
      <c r="I312" s="711">
        <f t="shared" si="403"/>
        <v>0</v>
      </c>
      <c r="J312" s="711">
        <f t="shared" si="403"/>
        <v>0</v>
      </c>
      <c r="K312" s="711">
        <f t="shared" si="403"/>
        <v>0</v>
      </c>
      <c r="L312" s="719">
        <f t="shared" si="403"/>
        <v>0</v>
      </c>
    </row>
    <row r="313" spans="1:12" ht="15.95" customHeight="1">
      <c r="A313" s="106">
        <f>A310+5</f>
        <v>120</v>
      </c>
      <c r="B313" s="106">
        <f>MATCH($A313,PDN_Axle_Diameter,0)</f>
        <v>28</v>
      </c>
      <c r="C313" s="714">
        <f>IF(ISERROR($B313),-3,IF(INDEX(PDN_Axle_Diameter,1,B313)&lt;&gt;$A313,-2,IF(INDEX(PDN_B_OK,1,B313)&lt;&gt;0,B313,IF(INDEX(PDN_Axle_Diameter,1,B313+1)&lt;&gt;$A313,-2,IF(INDEX(PDN_B_OK,1,B313+1)&lt;&gt;0,B313+1,IF(INDEX(PDN_Axle_Diameter,1,B313+2)&lt;&gt;$A313,-2,IF(INDEX(PDN_B_OK,1,B313+2)&lt;&gt;0,B313+2,IF(INDEX(PDN_Axle_Diameter,1,B313+3)&lt;&gt;$A313,-2,IF(INDEX(PDN_B_OK,1,B313+3)&lt;&gt;0,B313+3,IF(INDEX(PDN_Axle_Diameter,1,B313+4)&lt;&gt;$A313,-2,IF(INDEX(PDN_B_OK,1,B313+4)&lt;&gt;0,B313+4,IF(INDEX(PDN_Axle_Diameter,1,B313+5)&lt;&gt;$A313,-2,IF(INDEX(PDN_B_OK,1,B313+5)&lt;&gt;0,B313+5,IF(INDEX(PDN_Axle_Diameter,1,B313+6)&lt;&gt;$A313,-2,IF(INDEX(PDN_B_OK,1,B313+6)&lt;&gt;0,B313+6,IF(INDEX(PDN_Axle_Diameter,1,B313+7)&lt;&gt;$A313,-2,IF(INDEX(PDN_B_OK,1,B313+7)&lt;&gt;0,B313+7,IF(INDEX(PDN_Axle_Diameter,1,B313+8)&lt;&gt;$A313,-2,IF(INDEX(PDN_B_OK,1,B313+8)&lt;&gt;0,B313+8,IF(INDEX(PDN_Axle_Diameter,1,B313+9)&lt;&gt;$A313,-2,IF(INDEX(PDN_B_OK,1,B313+9)&lt;&gt;0,B313+9,IF(INDEX(PDN_Axle_Diameter,1,B313+10)&lt;&gt;$A313,-2,B313+10))))))))))))))))))))))</f>
        <v>28</v>
      </c>
      <c r="D313" s="710">
        <f t="shared" ref="D313:L313" si="404">IF(ISERROR($B313),-3,IF(C313=-2,-2,IF(INDEX(PDN_Axle_Diameter,1,C313+1)&lt;&gt;$A313,-2,IF(INDEX(PDN_B_OK,1,C313+1)&lt;&gt;0,C313+1,IF(INDEX(PDN_Axle_Diameter,1,C313+2)&lt;&gt;$A313,-2,IF(INDEX(PDN_B_OK,1,C313+2)&lt;&gt;0,C313+2,IF(INDEX(PDN_Axle_Diameter,1,C313+3)&lt;&gt;$A313,-2,IF(INDEX(PDN_B_OK,1,C313+3)&lt;&gt;0,C313+3,IF(INDEX(PDN_Axle_Diameter,1,C313+4)&lt;&gt;$A313,-2,IF(INDEX(PDN_B_OK,1,C313+4)&lt;&gt;0,C313+4,IF(INDEX(PDN_Axle_Diameter,1,C313+5)&lt;&gt;$A313,-2,IF(INDEX(PDN_B_OK,1,C313+5)&lt;&gt;0,C313+5,IF(INDEX(PDN_Axle_Diameter,1,C313+6)&lt;&gt;$A313,-2,IF(INDEX(PDN_B_OK,1,C313+6)&lt;&gt;0,C313+6,IF(INDEX(PDN_Axle_Diameter,1,C313+7)&lt;&gt;$A313,-2,IF(INDEX(PDN_B_OK,1,C313+7)&lt;&gt;0,C313+7,IF(INDEX(PDN_Axle_Diameter,1,C313+8)&lt;&gt;$A313,-2,IF(INDEX(PDN_B_OK,1,C313+8)&lt;&gt;0,C313+8,IF(INDEX(PDN_Axle_Diameter,1,C313+9)&lt;&gt;$A313,-2,IF(INDEX(PDN_B_OK,1,C313+9)&lt;&gt;0,C313+9,IF(INDEX(PDN_Axle_Diameter,1,C313+10)&lt;&gt;$A313,-2,C313+10)))))))))))))))))))))</f>
        <v>-2</v>
      </c>
      <c r="E313" s="711">
        <f t="shared" si="404"/>
        <v>-2</v>
      </c>
      <c r="F313" s="711">
        <f t="shared" si="404"/>
        <v>-2</v>
      </c>
      <c r="G313" s="711">
        <f t="shared" si="404"/>
        <v>-2</v>
      </c>
      <c r="H313" s="711">
        <f t="shared" si="404"/>
        <v>-2</v>
      </c>
      <c r="I313" s="711">
        <f t="shared" si="404"/>
        <v>-2</v>
      </c>
      <c r="J313" s="711">
        <f t="shared" si="404"/>
        <v>-2</v>
      </c>
      <c r="K313" s="711">
        <f t="shared" si="404"/>
        <v>-2</v>
      </c>
      <c r="L313" s="719">
        <f t="shared" si="404"/>
        <v>-2</v>
      </c>
    </row>
    <row r="314" spans="1:12" ht="15.95" customHeight="1">
      <c r="A314" s="106"/>
      <c r="B314" s="106"/>
      <c r="C314" s="712">
        <f t="shared" ref="C314:L314" si="405">IF(C315=0,0,INDEX(PDN_Bearing_Type,1,C313))</f>
        <v>6224</v>
      </c>
      <c r="D314" s="713">
        <f t="shared" si="405"/>
        <v>0</v>
      </c>
      <c r="E314" s="713">
        <f t="shared" si="405"/>
        <v>0</v>
      </c>
      <c r="F314" s="713">
        <f t="shared" si="405"/>
        <v>0</v>
      </c>
      <c r="G314" s="713">
        <f t="shared" si="405"/>
        <v>0</v>
      </c>
      <c r="H314" s="713">
        <f t="shared" si="405"/>
        <v>0</v>
      </c>
      <c r="I314" s="713">
        <f t="shared" si="405"/>
        <v>0</v>
      </c>
      <c r="J314" s="713">
        <f t="shared" si="405"/>
        <v>0</v>
      </c>
      <c r="K314" s="713">
        <f t="shared" si="405"/>
        <v>0</v>
      </c>
      <c r="L314" s="720">
        <f t="shared" si="405"/>
        <v>0</v>
      </c>
    </row>
    <row r="315" spans="1:12" ht="15.95" customHeight="1">
      <c r="A315" s="106"/>
      <c r="B315" s="106"/>
      <c r="C315" s="710">
        <f t="shared" ref="C315:L315" si="406">IF(C313&lt;0,0,INDEX(PDN_B_OK,1,C313))</f>
        <v>81700.131108015834</v>
      </c>
      <c r="D315" s="711">
        <f t="shared" si="406"/>
        <v>0</v>
      </c>
      <c r="E315" s="711">
        <f t="shared" si="406"/>
        <v>0</v>
      </c>
      <c r="F315" s="711">
        <f t="shared" si="406"/>
        <v>0</v>
      </c>
      <c r="G315" s="711">
        <f t="shared" si="406"/>
        <v>0</v>
      </c>
      <c r="H315" s="711">
        <f t="shared" si="406"/>
        <v>0</v>
      </c>
      <c r="I315" s="711">
        <f t="shared" si="406"/>
        <v>0</v>
      </c>
      <c r="J315" s="711">
        <f t="shared" si="406"/>
        <v>0</v>
      </c>
      <c r="K315" s="711">
        <f t="shared" si="406"/>
        <v>0</v>
      </c>
      <c r="L315" s="719">
        <f t="shared" si="406"/>
        <v>0</v>
      </c>
    </row>
    <row r="316" spans="1:12" ht="15.95" customHeight="1">
      <c r="A316" s="106">
        <f>A313+5</f>
        <v>125</v>
      </c>
      <c r="B316" s="106" t="e">
        <f>MATCH($A316,PDN_Axle_Diameter,0)</f>
        <v>#N/A</v>
      </c>
      <c r="C316" s="714">
        <f>IF(ISERROR($B316),-3,IF(INDEX(PDN_Axle_Diameter,1,B316)&lt;&gt;$A316,-2,IF(INDEX(PDN_B_OK,1,B316)&lt;&gt;0,B316,IF(INDEX(PDN_Axle_Diameter,1,B316+1)&lt;&gt;$A316,-2,IF(INDEX(PDN_B_OK,1,B316+1)&lt;&gt;0,B316+1,IF(INDEX(PDN_Axle_Diameter,1,B316+2)&lt;&gt;$A316,-2,IF(INDEX(PDN_B_OK,1,B316+2)&lt;&gt;0,B316+2,IF(INDEX(PDN_Axle_Diameter,1,B316+3)&lt;&gt;$A316,-2,IF(INDEX(PDN_B_OK,1,B316+3)&lt;&gt;0,B316+3,IF(INDEX(PDN_Axle_Diameter,1,B316+4)&lt;&gt;$A316,-2,IF(INDEX(PDN_B_OK,1,B316+4)&lt;&gt;0,B316+4,IF(INDEX(PDN_Axle_Diameter,1,B316+5)&lt;&gt;$A316,-2,IF(INDEX(PDN_B_OK,1,B316+5)&lt;&gt;0,B316+5,IF(INDEX(PDN_Axle_Diameter,1,B316+6)&lt;&gt;$A316,-2,IF(INDEX(PDN_B_OK,1,B316+6)&lt;&gt;0,B316+6,IF(INDEX(PDN_Axle_Diameter,1,B316+7)&lt;&gt;$A316,-2,IF(INDEX(PDN_B_OK,1,B316+7)&lt;&gt;0,B316+7,IF(INDEX(PDN_Axle_Diameter,1,B316+8)&lt;&gt;$A316,-2,IF(INDEX(PDN_B_OK,1,B316+8)&lt;&gt;0,B316+8,IF(INDEX(PDN_Axle_Diameter,1,B316+9)&lt;&gt;$A316,-2,IF(INDEX(PDN_B_OK,1,B316+9)&lt;&gt;0,B316+9,IF(INDEX(PDN_Axle_Diameter,1,B316+10)&lt;&gt;$A316,-2,B316+10))))))))))))))))))))))</f>
        <v>-3</v>
      </c>
      <c r="D316" s="710">
        <f t="shared" ref="D316:L316" si="407">IF(ISERROR($B316),-3,IF(C316=-2,-2,IF(INDEX(PDN_Axle_Diameter,1,C316+1)&lt;&gt;$A316,-2,IF(INDEX(PDN_B_OK,1,C316+1)&lt;&gt;0,C316+1,IF(INDEX(PDN_Axle_Diameter,1,C316+2)&lt;&gt;$A316,-2,IF(INDEX(PDN_B_OK,1,C316+2)&lt;&gt;0,C316+2,IF(INDEX(PDN_Axle_Diameter,1,C316+3)&lt;&gt;$A316,-2,IF(INDEX(PDN_B_OK,1,C316+3)&lt;&gt;0,C316+3,IF(INDEX(PDN_Axle_Diameter,1,C316+4)&lt;&gt;$A316,-2,IF(INDEX(PDN_B_OK,1,C316+4)&lt;&gt;0,C316+4,IF(INDEX(PDN_Axle_Diameter,1,C316+5)&lt;&gt;$A316,-2,IF(INDEX(PDN_B_OK,1,C316+5)&lt;&gt;0,C316+5,IF(INDEX(PDN_Axle_Diameter,1,C316+6)&lt;&gt;$A316,-2,IF(INDEX(PDN_B_OK,1,C316+6)&lt;&gt;0,C316+6,IF(INDEX(PDN_Axle_Diameter,1,C316+7)&lt;&gt;$A316,-2,IF(INDEX(PDN_B_OK,1,C316+7)&lt;&gt;0,C316+7,IF(INDEX(PDN_Axle_Diameter,1,C316+8)&lt;&gt;$A316,-2,IF(INDEX(PDN_B_OK,1,C316+8)&lt;&gt;0,C316+8,IF(INDEX(PDN_Axle_Diameter,1,C316+9)&lt;&gt;$A316,-2,IF(INDEX(PDN_B_OK,1,C316+9)&lt;&gt;0,C316+9,IF(INDEX(PDN_Axle_Diameter,1,C316+10)&lt;&gt;$A316,-2,C316+10)))))))))))))))))))))</f>
        <v>-3</v>
      </c>
      <c r="E316" s="711">
        <f t="shared" si="407"/>
        <v>-3</v>
      </c>
      <c r="F316" s="711">
        <f t="shared" si="407"/>
        <v>-3</v>
      </c>
      <c r="G316" s="711">
        <f t="shared" si="407"/>
        <v>-3</v>
      </c>
      <c r="H316" s="711">
        <f t="shared" si="407"/>
        <v>-3</v>
      </c>
      <c r="I316" s="711">
        <f t="shared" si="407"/>
        <v>-3</v>
      </c>
      <c r="J316" s="711">
        <f t="shared" si="407"/>
        <v>-3</v>
      </c>
      <c r="K316" s="711">
        <f t="shared" si="407"/>
        <v>-3</v>
      </c>
      <c r="L316" s="719">
        <f t="shared" si="407"/>
        <v>-3</v>
      </c>
    </row>
    <row r="317" spans="1:12" ht="15.95" customHeight="1">
      <c r="A317" s="106"/>
      <c r="B317" s="106"/>
      <c r="C317" s="712">
        <f t="shared" ref="C317:L317" si="408">IF(C318=0,0,INDEX(PDN_Bearing_Type,1,C316))</f>
        <v>0</v>
      </c>
      <c r="D317" s="713">
        <f t="shared" si="408"/>
        <v>0</v>
      </c>
      <c r="E317" s="713">
        <f t="shared" si="408"/>
        <v>0</v>
      </c>
      <c r="F317" s="713">
        <f t="shared" si="408"/>
        <v>0</v>
      </c>
      <c r="G317" s="713">
        <f t="shared" si="408"/>
        <v>0</v>
      </c>
      <c r="H317" s="713">
        <f t="shared" si="408"/>
        <v>0</v>
      </c>
      <c r="I317" s="713">
        <f t="shared" si="408"/>
        <v>0</v>
      </c>
      <c r="J317" s="713">
        <f t="shared" si="408"/>
        <v>0</v>
      </c>
      <c r="K317" s="713">
        <f t="shared" si="408"/>
        <v>0</v>
      </c>
      <c r="L317" s="720">
        <f t="shared" si="408"/>
        <v>0</v>
      </c>
    </row>
    <row r="318" spans="1:12" ht="15.95" customHeight="1">
      <c r="A318" s="106"/>
      <c r="B318" s="106"/>
      <c r="C318" s="710">
        <f t="shared" ref="C318:L318" si="409">IF(C316&lt;0,0,INDEX(PDN_B_OK,1,C316))</f>
        <v>0</v>
      </c>
      <c r="D318" s="711">
        <f t="shared" si="409"/>
        <v>0</v>
      </c>
      <c r="E318" s="711">
        <f t="shared" si="409"/>
        <v>0</v>
      </c>
      <c r="F318" s="711">
        <f t="shared" si="409"/>
        <v>0</v>
      </c>
      <c r="G318" s="711">
        <f t="shared" si="409"/>
        <v>0</v>
      </c>
      <c r="H318" s="711">
        <f t="shared" si="409"/>
        <v>0</v>
      </c>
      <c r="I318" s="711">
        <f t="shared" si="409"/>
        <v>0</v>
      </c>
      <c r="J318" s="711">
        <f t="shared" si="409"/>
        <v>0</v>
      </c>
      <c r="K318" s="711">
        <f t="shared" si="409"/>
        <v>0</v>
      </c>
      <c r="L318" s="719">
        <f t="shared" si="409"/>
        <v>0</v>
      </c>
    </row>
    <row r="319" spans="1:12" ht="15.95" customHeight="1">
      <c r="A319" s="106">
        <f>A316+5</f>
        <v>130</v>
      </c>
      <c r="B319" s="106" t="e">
        <f>MATCH($A319,PDN_Axle_Diameter,0)</f>
        <v>#N/A</v>
      </c>
      <c r="C319" s="714">
        <f>IF(ISERROR($B319),-3,IF(INDEX(PDN_Axle_Diameter,1,B319)&lt;&gt;$A319,-2,IF(INDEX(PDN_B_OK,1,B319)&lt;&gt;0,B319,IF(INDEX(PDN_Axle_Diameter,1,B319+1)&lt;&gt;$A319,-2,IF(INDEX(PDN_B_OK,1,B319+1)&lt;&gt;0,B319+1,IF(INDEX(PDN_Axle_Diameter,1,B319+2)&lt;&gt;$A319,-2,IF(INDEX(PDN_B_OK,1,B319+2)&lt;&gt;0,B319+2,IF(INDEX(PDN_Axle_Diameter,1,B319+3)&lt;&gt;$A319,-2,IF(INDEX(PDN_B_OK,1,B319+3)&lt;&gt;0,B319+3,IF(INDEX(PDN_Axle_Diameter,1,B319+4)&lt;&gt;$A319,-2,IF(INDEX(PDN_B_OK,1,B319+4)&lt;&gt;0,B319+4,IF(INDEX(PDN_Axle_Diameter,1,B319+5)&lt;&gt;$A319,-2,IF(INDEX(PDN_B_OK,1,B319+5)&lt;&gt;0,B319+5,IF(INDEX(PDN_Axle_Diameter,1,B319+6)&lt;&gt;$A319,-2,IF(INDEX(PDN_B_OK,1,B319+6)&lt;&gt;0,B319+6,IF(INDEX(PDN_Axle_Diameter,1,B319+7)&lt;&gt;$A319,-2,IF(INDEX(PDN_B_OK,1,B319+7)&lt;&gt;0,B319+7,IF(INDEX(PDN_Axle_Diameter,1,B319+8)&lt;&gt;$A319,-2,IF(INDEX(PDN_B_OK,1,B319+8)&lt;&gt;0,B319+8,IF(INDEX(PDN_Axle_Diameter,1,B319+9)&lt;&gt;$A319,-2,IF(INDEX(PDN_B_OK,1,B319+9)&lt;&gt;0,B319+9,IF(INDEX(PDN_Axle_Diameter,1,B319+10)&lt;&gt;$A319,-2,B319+10))))))))))))))))))))))</f>
        <v>-3</v>
      </c>
      <c r="D319" s="710">
        <f t="shared" ref="D319:L319" si="410">IF(ISERROR($B319),-3,IF(C319=-2,-2,IF(INDEX(PDN_Axle_Diameter,1,C319+1)&lt;&gt;$A319,-2,IF(INDEX(PDN_B_OK,1,C319+1)&lt;&gt;0,C319+1,IF(INDEX(PDN_Axle_Diameter,1,C319+2)&lt;&gt;$A319,-2,IF(INDEX(PDN_B_OK,1,C319+2)&lt;&gt;0,C319+2,IF(INDEX(PDN_Axle_Diameter,1,C319+3)&lt;&gt;$A319,-2,IF(INDEX(PDN_B_OK,1,C319+3)&lt;&gt;0,C319+3,IF(INDEX(PDN_Axle_Diameter,1,C319+4)&lt;&gt;$A319,-2,IF(INDEX(PDN_B_OK,1,C319+4)&lt;&gt;0,C319+4,IF(INDEX(PDN_Axle_Diameter,1,C319+5)&lt;&gt;$A319,-2,IF(INDEX(PDN_B_OK,1,C319+5)&lt;&gt;0,C319+5,IF(INDEX(PDN_Axle_Diameter,1,C319+6)&lt;&gt;$A319,-2,IF(INDEX(PDN_B_OK,1,C319+6)&lt;&gt;0,C319+6,IF(INDEX(PDN_Axle_Diameter,1,C319+7)&lt;&gt;$A319,-2,IF(INDEX(PDN_B_OK,1,C319+7)&lt;&gt;0,C319+7,IF(INDEX(PDN_Axle_Diameter,1,C319+8)&lt;&gt;$A319,-2,IF(INDEX(PDN_B_OK,1,C319+8)&lt;&gt;0,C319+8,IF(INDEX(PDN_Axle_Diameter,1,C319+9)&lt;&gt;$A319,-2,IF(INDEX(PDN_B_OK,1,C319+9)&lt;&gt;0,C319+9,IF(INDEX(PDN_Axle_Diameter,1,C319+10)&lt;&gt;$A319,-2,C319+10)))))))))))))))))))))</f>
        <v>-3</v>
      </c>
      <c r="E319" s="711">
        <f t="shared" si="410"/>
        <v>-3</v>
      </c>
      <c r="F319" s="711">
        <f t="shared" si="410"/>
        <v>-3</v>
      </c>
      <c r="G319" s="711">
        <f t="shared" si="410"/>
        <v>-3</v>
      </c>
      <c r="H319" s="711">
        <f t="shared" si="410"/>
        <v>-3</v>
      </c>
      <c r="I319" s="711">
        <f t="shared" si="410"/>
        <v>-3</v>
      </c>
      <c r="J319" s="711">
        <f t="shared" si="410"/>
        <v>-3</v>
      </c>
      <c r="K319" s="711">
        <f t="shared" si="410"/>
        <v>-3</v>
      </c>
      <c r="L319" s="719">
        <f t="shared" si="410"/>
        <v>-3</v>
      </c>
    </row>
    <row r="320" spans="1:12" ht="15.95" customHeight="1">
      <c r="A320" s="106"/>
      <c r="B320" s="106"/>
      <c r="C320" s="712">
        <f t="shared" ref="C320:L320" si="411">IF(C321=0,0,INDEX(PDN_Bearing_Type,1,C319))</f>
        <v>0</v>
      </c>
      <c r="D320" s="713">
        <f t="shared" si="411"/>
        <v>0</v>
      </c>
      <c r="E320" s="713">
        <f t="shared" si="411"/>
        <v>0</v>
      </c>
      <c r="F320" s="713">
        <f t="shared" si="411"/>
        <v>0</v>
      </c>
      <c r="G320" s="713">
        <f t="shared" si="411"/>
        <v>0</v>
      </c>
      <c r="H320" s="713">
        <f t="shared" si="411"/>
        <v>0</v>
      </c>
      <c r="I320" s="713">
        <f t="shared" si="411"/>
        <v>0</v>
      </c>
      <c r="J320" s="713">
        <f t="shared" si="411"/>
        <v>0</v>
      </c>
      <c r="K320" s="713">
        <f t="shared" si="411"/>
        <v>0</v>
      </c>
      <c r="L320" s="720">
        <f t="shared" si="411"/>
        <v>0</v>
      </c>
    </row>
    <row r="321" spans="1:12" ht="15.95" customHeight="1">
      <c r="A321" s="106"/>
      <c r="B321" s="106"/>
      <c r="C321" s="710">
        <f t="shared" ref="C321:L321" si="412">IF(C319&lt;0,0,INDEX(PDN_B_OK,1,C319))</f>
        <v>0</v>
      </c>
      <c r="D321" s="711">
        <f t="shared" si="412"/>
        <v>0</v>
      </c>
      <c r="E321" s="711">
        <f t="shared" si="412"/>
        <v>0</v>
      </c>
      <c r="F321" s="711">
        <f t="shared" si="412"/>
        <v>0</v>
      </c>
      <c r="G321" s="711">
        <f t="shared" si="412"/>
        <v>0</v>
      </c>
      <c r="H321" s="711">
        <f t="shared" si="412"/>
        <v>0</v>
      </c>
      <c r="I321" s="711">
        <f t="shared" si="412"/>
        <v>0</v>
      </c>
      <c r="J321" s="711">
        <f t="shared" si="412"/>
        <v>0</v>
      </c>
      <c r="K321" s="711">
        <f t="shared" si="412"/>
        <v>0</v>
      </c>
      <c r="L321" s="719">
        <f t="shared" si="412"/>
        <v>0</v>
      </c>
    </row>
    <row r="322" spans="1:12" ht="15.95" customHeight="1">
      <c r="A322" s="106">
        <f>A319+5</f>
        <v>135</v>
      </c>
      <c r="B322" s="106" t="e">
        <f>MATCH($A322,PDN_Axle_Diameter,0)</f>
        <v>#N/A</v>
      </c>
      <c r="C322" s="714">
        <f>IF(ISERROR($B322),-3,IF(INDEX(PDN_Axle_Diameter,1,B322)&lt;&gt;$A322,-2,IF(INDEX(PDN_B_OK,1,B322)&lt;&gt;0,B322,IF(INDEX(PDN_Axle_Diameter,1,B322+1)&lt;&gt;$A322,-2,IF(INDEX(PDN_B_OK,1,B322+1)&lt;&gt;0,B322+1,IF(INDEX(PDN_Axle_Diameter,1,B322+2)&lt;&gt;$A322,-2,IF(INDEX(PDN_B_OK,1,B322+2)&lt;&gt;0,B322+2,IF(INDEX(PDN_Axle_Diameter,1,B322+3)&lt;&gt;$A322,-2,IF(INDEX(PDN_B_OK,1,B322+3)&lt;&gt;0,B322+3,IF(INDEX(PDN_Axle_Diameter,1,B322+4)&lt;&gt;$A322,-2,IF(INDEX(PDN_B_OK,1,B322+4)&lt;&gt;0,B322+4,IF(INDEX(PDN_Axle_Diameter,1,B322+5)&lt;&gt;$A322,-2,IF(INDEX(PDN_B_OK,1,B322+5)&lt;&gt;0,B322+5,IF(INDEX(PDN_Axle_Diameter,1,B322+6)&lt;&gt;$A322,-2,IF(INDEX(PDN_B_OK,1,B322+6)&lt;&gt;0,B322+6,IF(INDEX(PDN_Axle_Diameter,1,B322+7)&lt;&gt;$A322,-2,IF(INDEX(PDN_B_OK,1,B322+7)&lt;&gt;0,B322+7,IF(INDEX(PDN_Axle_Diameter,1,B322+8)&lt;&gt;$A322,-2,IF(INDEX(PDN_B_OK,1,B322+8)&lt;&gt;0,B322+8,IF(INDEX(PDN_Axle_Diameter,1,B322+9)&lt;&gt;$A322,-2,IF(INDEX(PDN_B_OK,1,B322+9)&lt;&gt;0,B322+9,IF(INDEX(PDN_Axle_Diameter,1,B322+10)&lt;&gt;$A322,-2,B322+10))))))))))))))))))))))</f>
        <v>-3</v>
      </c>
      <c r="D322" s="710">
        <f t="shared" ref="D322:L322" si="413">IF(ISERROR($B322),-3,IF(C322=-2,-2,IF(INDEX(PDN_Axle_Diameter,1,C322+1)&lt;&gt;$A322,-2,IF(INDEX(PDN_B_OK,1,C322+1)&lt;&gt;0,C322+1,IF(INDEX(PDN_Axle_Diameter,1,C322+2)&lt;&gt;$A322,-2,IF(INDEX(PDN_B_OK,1,C322+2)&lt;&gt;0,C322+2,IF(INDEX(PDN_Axle_Diameter,1,C322+3)&lt;&gt;$A322,-2,IF(INDEX(PDN_B_OK,1,C322+3)&lt;&gt;0,C322+3,IF(INDEX(PDN_Axle_Diameter,1,C322+4)&lt;&gt;$A322,-2,IF(INDEX(PDN_B_OK,1,C322+4)&lt;&gt;0,C322+4,IF(INDEX(PDN_Axle_Diameter,1,C322+5)&lt;&gt;$A322,-2,IF(INDEX(PDN_B_OK,1,C322+5)&lt;&gt;0,C322+5,IF(INDEX(PDN_Axle_Diameter,1,C322+6)&lt;&gt;$A322,-2,IF(INDEX(PDN_B_OK,1,C322+6)&lt;&gt;0,C322+6,IF(INDEX(PDN_Axle_Diameter,1,C322+7)&lt;&gt;$A322,-2,IF(INDEX(PDN_B_OK,1,C322+7)&lt;&gt;0,C322+7,IF(INDEX(PDN_Axle_Diameter,1,C322+8)&lt;&gt;$A322,-2,IF(INDEX(PDN_B_OK,1,C322+8)&lt;&gt;0,C322+8,IF(INDEX(PDN_Axle_Diameter,1,C322+9)&lt;&gt;$A322,-2,IF(INDEX(PDN_B_OK,1,C322+9)&lt;&gt;0,C322+9,IF(INDEX(PDN_Axle_Diameter,1,C322+10)&lt;&gt;$A322,-2,C322+10)))))))))))))))))))))</f>
        <v>-3</v>
      </c>
      <c r="E322" s="711">
        <f t="shared" si="413"/>
        <v>-3</v>
      </c>
      <c r="F322" s="711">
        <f t="shared" si="413"/>
        <v>-3</v>
      </c>
      <c r="G322" s="711">
        <f t="shared" si="413"/>
        <v>-3</v>
      </c>
      <c r="H322" s="711">
        <f t="shared" si="413"/>
        <v>-3</v>
      </c>
      <c r="I322" s="711">
        <f t="shared" si="413"/>
        <v>-3</v>
      </c>
      <c r="J322" s="711">
        <f t="shared" si="413"/>
        <v>-3</v>
      </c>
      <c r="K322" s="711">
        <f t="shared" si="413"/>
        <v>-3</v>
      </c>
      <c r="L322" s="719">
        <f t="shared" si="413"/>
        <v>-3</v>
      </c>
    </row>
    <row r="323" spans="1:12" ht="15.95" customHeight="1">
      <c r="A323" s="106"/>
      <c r="B323" s="106"/>
      <c r="C323" s="712">
        <f t="shared" ref="C323:L323" si="414">IF(C324=0,0,INDEX(PDN_Bearing_Type,1,C322))</f>
        <v>0</v>
      </c>
      <c r="D323" s="713">
        <f t="shared" si="414"/>
        <v>0</v>
      </c>
      <c r="E323" s="713">
        <f t="shared" si="414"/>
        <v>0</v>
      </c>
      <c r="F323" s="713">
        <f t="shared" si="414"/>
        <v>0</v>
      </c>
      <c r="G323" s="713">
        <f t="shared" si="414"/>
        <v>0</v>
      </c>
      <c r="H323" s="713">
        <f t="shared" si="414"/>
        <v>0</v>
      </c>
      <c r="I323" s="713">
        <f t="shared" si="414"/>
        <v>0</v>
      </c>
      <c r="J323" s="713">
        <f t="shared" si="414"/>
        <v>0</v>
      </c>
      <c r="K323" s="713">
        <f t="shared" si="414"/>
        <v>0</v>
      </c>
      <c r="L323" s="720">
        <f t="shared" si="414"/>
        <v>0</v>
      </c>
    </row>
    <row r="324" spans="1:12" ht="15.95" customHeight="1">
      <c r="A324" s="106"/>
      <c r="B324" s="106"/>
      <c r="C324" s="710">
        <f t="shared" ref="C324:L324" si="415">IF(C322&lt;0,0,INDEX(PDN_B_OK,1,C322))</f>
        <v>0</v>
      </c>
      <c r="D324" s="711">
        <f t="shared" si="415"/>
        <v>0</v>
      </c>
      <c r="E324" s="711">
        <f t="shared" si="415"/>
        <v>0</v>
      </c>
      <c r="F324" s="711">
        <f t="shared" si="415"/>
        <v>0</v>
      </c>
      <c r="G324" s="711">
        <f t="shared" si="415"/>
        <v>0</v>
      </c>
      <c r="H324" s="711">
        <f t="shared" si="415"/>
        <v>0</v>
      </c>
      <c r="I324" s="711">
        <f t="shared" si="415"/>
        <v>0</v>
      </c>
      <c r="J324" s="711">
        <f t="shared" si="415"/>
        <v>0</v>
      </c>
      <c r="K324" s="711">
        <f t="shared" si="415"/>
        <v>0</v>
      </c>
      <c r="L324" s="719">
        <f t="shared" si="415"/>
        <v>0</v>
      </c>
    </row>
    <row r="325" spans="1:12" ht="15.95" customHeight="1">
      <c r="A325" s="106">
        <f>A322+5</f>
        <v>140</v>
      </c>
      <c r="B325" s="106">
        <f>MATCH($A325,PDN_Axle_Diameter,0)</f>
        <v>30</v>
      </c>
      <c r="C325" s="714">
        <f>IF(ISERROR($B325),-3,IF(INDEX(PDN_Axle_Diameter,1,B325)&lt;&gt;$A325,-2,IF(INDEX(PDN_B_OK,1,B325)&lt;&gt;0,B325,IF(INDEX(PDN_Axle_Diameter,1,B325+1)&lt;&gt;$A325,-2,IF(INDEX(PDN_B_OK,1,B325+1)&lt;&gt;0,B325+1,IF(INDEX(PDN_Axle_Diameter,1,B325+2)&lt;&gt;$A325,-2,IF(INDEX(PDN_B_OK,1,B325+2)&lt;&gt;0,B325+2,IF(INDEX(PDN_Axle_Diameter,1,B325+3)&lt;&gt;$A325,-2,IF(INDEX(PDN_B_OK,1,B325+3)&lt;&gt;0,B325+3,IF(INDEX(PDN_Axle_Diameter,1,B325+4)&lt;&gt;$A325,-2,IF(INDEX(PDN_B_OK,1,B325+4)&lt;&gt;0,B325+4,IF(INDEX(PDN_Axle_Diameter,1,B325+5)&lt;&gt;$A325,-2,IF(INDEX(PDN_B_OK,1,B325+5)&lt;&gt;0,B325+5,IF(INDEX(PDN_Axle_Diameter,1,B325+6)&lt;&gt;$A325,-2,IF(INDEX(PDN_B_OK,1,B325+6)&lt;&gt;0,B325+6,IF(INDEX(PDN_Axle_Diameter,1,B325+7)&lt;&gt;$A325,-2,IF(INDEX(PDN_B_OK,1,B325+7)&lt;&gt;0,B325+7,IF(INDEX(PDN_Axle_Diameter,1,B325+8)&lt;&gt;$A325,-2,IF(INDEX(PDN_B_OK,1,B325+8)&lt;&gt;0,B325+8,IF(INDEX(PDN_Axle_Diameter,1,B325+9)&lt;&gt;$A325,-2,IF(INDEX(PDN_B_OK,1,B325+9)&lt;&gt;0,B325+9,IF(INDEX(PDN_Axle_Diameter,1,B325+10)&lt;&gt;$A325,-2,B325+10))))))))))))))))))))))</f>
        <v>-2</v>
      </c>
      <c r="D325" s="710">
        <f t="shared" ref="D325:L325" si="416">IF(ISERROR($B325),-3,IF(C325=-2,-2,IF(INDEX(PDN_Axle_Diameter,1,C325+1)&lt;&gt;$A325,-2,IF(INDEX(PDN_B_OK,1,C325+1)&lt;&gt;0,C325+1,IF(INDEX(PDN_Axle_Diameter,1,C325+2)&lt;&gt;$A325,-2,IF(INDEX(PDN_B_OK,1,C325+2)&lt;&gt;0,C325+2,IF(INDEX(PDN_Axle_Diameter,1,C325+3)&lt;&gt;$A325,-2,IF(INDEX(PDN_B_OK,1,C325+3)&lt;&gt;0,C325+3,IF(INDEX(PDN_Axle_Diameter,1,C325+4)&lt;&gt;$A325,-2,IF(INDEX(PDN_B_OK,1,C325+4)&lt;&gt;0,C325+4,IF(INDEX(PDN_Axle_Diameter,1,C325+5)&lt;&gt;$A325,-2,IF(INDEX(PDN_B_OK,1,C325+5)&lt;&gt;0,C325+5,IF(INDEX(PDN_Axle_Diameter,1,C325+6)&lt;&gt;$A325,-2,IF(INDEX(PDN_B_OK,1,C325+6)&lt;&gt;0,C325+6,IF(INDEX(PDN_Axle_Diameter,1,C325+7)&lt;&gt;$A325,-2,IF(INDEX(PDN_B_OK,1,C325+7)&lt;&gt;0,C325+7,IF(INDEX(PDN_Axle_Diameter,1,C325+8)&lt;&gt;$A325,-2,IF(INDEX(PDN_B_OK,1,C325+8)&lt;&gt;0,C325+8,IF(INDEX(PDN_Axle_Diameter,1,C325+9)&lt;&gt;$A325,-2,IF(INDEX(PDN_B_OK,1,C325+9)&lt;&gt;0,C325+9,IF(INDEX(PDN_Axle_Diameter,1,C325+10)&lt;&gt;$A325,-2,C325+10)))))))))))))))))))))</f>
        <v>-2</v>
      </c>
      <c r="E325" s="711">
        <f t="shared" si="416"/>
        <v>-2</v>
      </c>
      <c r="F325" s="711">
        <f t="shared" si="416"/>
        <v>-2</v>
      </c>
      <c r="G325" s="711">
        <f t="shared" si="416"/>
        <v>-2</v>
      </c>
      <c r="H325" s="711">
        <f t="shared" si="416"/>
        <v>-2</v>
      </c>
      <c r="I325" s="711">
        <f t="shared" si="416"/>
        <v>-2</v>
      </c>
      <c r="J325" s="711">
        <f t="shared" si="416"/>
        <v>-2</v>
      </c>
      <c r="K325" s="711">
        <f t="shared" si="416"/>
        <v>-2</v>
      </c>
      <c r="L325" s="719">
        <f t="shared" si="416"/>
        <v>-2</v>
      </c>
    </row>
    <row r="326" spans="1:12" ht="15.95" customHeight="1">
      <c r="A326" s="106"/>
      <c r="B326" s="106"/>
      <c r="C326" s="712">
        <f t="shared" ref="C326:L326" si="417">IF(C327=0,0,INDEX(PDN_Bearing_Type,1,C325))</f>
        <v>0</v>
      </c>
      <c r="D326" s="713">
        <f t="shared" si="417"/>
        <v>0</v>
      </c>
      <c r="E326" s="713">
        <f t="shared" si="417"/>
        <v>0</v>
      </c>
      <c r="F326" s="713">
        <f t="shared" si="417"/>
        <v>0</v>
      </c>
      <c r="G326" s="713">
        <f t="shared" si="417"/>
        <v>0</v>
      </c>
      <c r="H326" s="713">
        <f t="shared" si="417"/>
        <v>0</v>
      </c>
      <c r="I326" s="713">
        <f t="shared" si="417"/>
        <v>0</v>
      </c>
      <c r="J326" s="713">
        <f t="shared" si="417"/>
        <v>0</v>
      </c>
      <c r="K326" s="713">
        <f t="shared" si="417"/>
        <v>0</v>
      </c>
      <c r="L326" s="720">
        <f t="shared" si="417"/>
        <v>0</v>
      </c>
    </row>
    <row r="327" spans="1:12" ht="15.95" customHeight="1">
      <c r="A327" s="106"/>
      <c r="B327" s="106"/>
      <c r="C327" s="710">
        <f t="shared" ref="C327:L327" si="418">IF(C325&lt;0,0,INDEX(PDN_B_OK,1,C325))</f>
        <v>0</v>
      </c>
      <c r="D327" s="711">
        <f t="shared" si="418"/>
        <v>0</v>
      </c>
      <c r="E327" s="711">
        <f t="shared" si="418"/>
        <v>0</v>
      </c>
      <c r="F327" s="711">
        <f t="shared" si="418"/>
        <v>0</v>
      </c>
      <c r="G327" s="711">
        <f t="shared" si="418"/>
        <v>0</v>
      </c>
      <c r="H327" s="711">
        <f t="shared" si="418"/>
        <v>0</v>
      </c>
      <c r="I327" s="711">
        <f t="shared" si="418"/>
        <v>0</v>
      </c>
      <c r="J327" s="711">
        <f t="shared" si="418"/>
        <v>0</v>
      </c>
      <c r="K327" s="711">
        <f t="shared" si="418"/>
        <v>0</v>
      </c>
      <c r="L327" s="719">
        <f t="shared" si="418"/>
        <v>0</v>
      </c>
    </row>
    <row r="328" spans="1:12" ht="15.95" customHeight="1">
      <c r="A328" s="106">
        <f>A325+5</f>
        <v>145</v>
      </c>
      <c r="B328" s="106" t="e">
        <f>MATCH($A328,PDN_Axle_Diameter,0)</f>
        <v>#N/A</v>
      </c>
      <c r="C328" s="714">
        <f>IF(ISERROR($B328),-3,IF(INDEX(PDN_Axle_Diameter,1,B328)&lt;&gt;$A328,-2,IF(INDEX(PDN_B_OK,1,B328)&lt;&gt;0,B328,IF(INDEX(PDN_Axle_Diameter,1,B328+1)&lt;&gt;$A328,-2,IF(INDEX(PDN_B_OK,1,B328+1)&lt;&gt;0,B328+1,IF(INDEX(PDN_Axle_Diameter,1,B328+2)&lt;&gt;$A328,-2,IF(INDEX(PDN_B_OK,1,B328+2)&lt;&gt;0,B328+2,IF(INDEX(PDN_Axle_Diameter,1,B328+3)&lt;&gt;$A328,-2,IF(INDEX(PDN_B_OK,1,B328+3)&lt;&gt;0,B328+3,IF(INDEX(PDN_Axle_Diameter,1,B328+4)&lt;&gt;$A328,-2,IF(INDEX(PDN_B_OK,1,B328+4)&lt;&gt;0,B328+4,IF(INDEX(PDN_Axle_Diameter,1,B328+5)&lt;&gt;$A328,-2,IF(INDEX(PDN_B_OK,1,B328+5)&lt;&gt;0,B328+5,IF(INDEX(PDN_Axle_Diameter,1,B328+6)&lt;&gt;$A328,-2,IF(INDEX(PDN_B_OK,1,B328+6)&lt;&gt;0,B328+6,IF(INDEX(PDN_Axle_Diameter,1,B328+7)&lt;&gt;$A328,-2,IF(INDEX(PDN_B_OK,1,B328+7)&lt;&gt;0,B328+7,IF(INDEX(PDN_Axle_Diameter,1,B328+8)&lt;&gt;$A328,-2,IF(INDEX(PDN_B_OK,1,B328+8)&lt;&gt;0,B328+8,IF(INDEX(PDN_Axle_Diameter,1,B328+9)&lt;&gt;$A328,-2,IF(INDEX(PDN_B_OK,1,B328+9)&lt;&gt;0,B328+9,IF(INDEX(PDN_Axle_Diameter,1,B328+10)&lt;&gt;$A328,-2,B328+10))))))))))))))))))))))</f>
        <v>-3</v>
      </c>
      <c r="D328" s="710">
        <f t="shared" ref="D328:L328" si="419">IF(ISERROR($B328),-3,IF(C328=-2,-2,IF(INDEX(PDN_Axle_Diameter,1,C328+1)&lt;&gt;$A328,-2,IF(INDEX(PDN_B_OK,1,C328+1)&lt;&gt;0,C328+1,IF(INDEX(PDN_Axle_Diameter,1,C328+2)&lt;&gt;$A328,-2,IF(INDEX(PDN_B_OK,1,C328+2)&lt;&gt;0,C328+2,IF(INDEX(PDN_Axle_Diameter,1,C328+3)&lt;&gt;$A328,-2,IF(INDEX(PDN_B_OK,1,C328+3)&lt;&gt;0,C328+3,IF(INDEX(PDN_Axle_Diameter,1,C328+4)&lt;&gt;$A328,-2,IF(INDEX(PDN_B_OK,1,C328+4)&lt;&gt;0,C328+4,IF(INDEX(PDN_Axle_Diameter,1,C328+5)&lt;&gt;$A328,-2,IF(INDEX(PDN_B_OK,1,C328+5)&lt;&gt;0,C328+5,IF(INDEX(PDN_Axle_Diameter,1,C328+6)&lt;&gt;$A328,-2,IF(INDEX(PDN_B_OK,1,C328+6)&lt;&gt;0,C328+6,IF(INDEX(PDN_Axle_Diameter,1,C328+7)&lt;&gt;$A328,-2,IF(INDEX(PDN_B_OK,1,C328+7)&lt;&gt;0,C328+7,IF(INDEX(PDN_Axle_Diameter,1,C328+8)&lt;&gt;$A328,-2,IF(INDEX(PDN_B_OK,1,C328+8)&lt;&gt;0,C328+8,IF(INDEX(PDN_Axle_Diameter,1,C328+9)&lt;&gt;$A328,-2,IF(INDEX(PDN_B_OK,1,C328+9)&lt;&gt;0,C328+9,IF(INDEX(PDN_Axle_Diameter,1,C328+10)&lt;&gt;$A328,-2,C328+10)))))))))))))))))))))</f>
        <v>-3</v>
      </c>
      <c r="E328" s="711">
        <f t="shared" si="419"/>
        <v>-3</v>
      </c>
      <c r="F328" s="711">
        <f t="shared" si="419"/>
        <v>-3</v>
      </c>
      <c r="G328" s="711">
        <f t="shared" si="419"/>
        <v>-3</v>
      </c>
      <c r="H328" s="711">
        <f t="shared" si="419"/>
        <v>-3</v>
      </c>
      <c r="I328" s="711">
        <f t="shared" si="419"/>
        <v>-3</v>
      </c>
      <c r="J328" s="711">
        <f t="shared" si="419"/>
        <v>-3</v>
      </c>
      <c r="K328" s="711">
        <f t="shared" si="419"/>
        <v>-3</v>
      </c>
      <c r="L328" s="719">
        <f t="shared" si="419"/>
        <v>-3</v>
      </c>
    </row>
    <row r="329" spans="1:12" ht="15.95" customHeight="1">
      <c r="A329" s="106"/>
      <c r="B329" s="106"/>
      <c r="C329" s="712">
        <f t="shared" ref="C329:L329" si="420">IF(C330=0,0,INDEX(PDN_Bearing_Type,1,C328))</f>
        <v>0</v>
      </c>
      <c r="D329" s="713">
        <f t="shared" si="420"/>
        <v>0</v>
      </c>
      <c r="E329" s="713">
        <f t="shared" si="420"/>
        <v>0</v>
      </c>
      <c r="F329" s="713">
        <f t="shared" si="420"/>
        <v>0</v>
      </c>
      <c r="G329" s="713">
        <f t="shared" si="420"/>
        <v>0</v>
      </c>
      <c r="H329" s="713">
        <f t="shared" si="420"/>
        <v>0</v>
      </c>
      <c r="I329" s="713">
        <f t="shared" si="420"/>
        <v>0</v>
      </c>
      <c r="J329" s="713">
        <f t="shared" si="420"/>
        <v>0</v>
      </c>
      <c r="K329" s="713">
        <f t="shared" si="420"/>
        <v>0</v>
      </c>
      <c r="L329" s="720">
        <f t="shared" si="420"/>
        <v>0</v>
      </c>
    </row>
    <row r="330" spans="1:12" ht="15.95" customHeight="1">
      <c r="A330" s="106"/>
      <c r="B330" s="106"/>
      <c r="C330" s="710">
        <f t="shared" ref="C330:L330" si="421">IF(C328&lt;0,0,INDEX(PDN_B_OK,1,C328))</f>
        <v>0</v>
      </c>
      <c r="D330" s="711">
        <f t="shared" si="421"/>
        <v>0</v>
      </c>
      <c r="E330" s="711">
        <f t="shared" si="421"/>
        <v>0</v>
      </c>
      <c r="F330" s="711">
        <f t="shared" si="421"/>
        <v>0</v>
      </c>
      <c r="G330" s="711">
        <f t="shared" si="421"/>
        <v>0</v>
      </c>
      <c r="H330" s="711">
        <f t="shared" si="421"/>
        <v>0</v>
      </c>
      <c r="I330" s="711">
        <f t="shared" si="421"/>
        <v>0</v>
      </c>
      <c r="J330" s="711">
        <f t="shared" si="421"/>
        <v>0</v>
      </c>
      <c r="K330" s="711">
        <f t="shared" si="421"/>
        <v>0</v>
      </c>
      <c r="L330" s="719">
        <f t="shared" si="421"/>
        <v>0</v>
      </c>
    </row>
    <row r="331" spans="1:12" ht="15.95" customHeight="1">
      <c r="A331" s="106">
        <v>150</v>
      </c>
      <c r="B331" s="106">
        <f>MATCH($A331,PDN_Axle_Diameter,0)</f>
        <v>31</v>
      </c>
      <c r="C331" s="714">
        <f>IF(ISERROR($B331),-3,IF(INDEX(PDN_Axle_Diameter,1,B331)&lt;&gt;$A331,-2,IF(INDEX(PDN_B_OK,1,B331)&lt;&gt;0,B331,IF(INDEX(PDN_Axle_Diameter,1,B331+1)&lt;&gt;$A331,-2,IF(INDEX(PDN_B_OK,1,B331+1)&lt;&gt;0,B331+1,IF(INDEX(PDN_Axle_Diameter,1,B331+2)&lt;&gt;$A331,-2,IF(INDEX(PDN_B_OK,1,B331+2)&lt;&gt;0,B331+2,IF(INDEX(PDN_Axle_Diameter,1,B331+3)&lt;&gt;$A331,-2,IF(INDEX(PDN_B_OK,1,B331+3)&lt;&gt;0,B331+3,IF(INDEX(PDN_Axle_Diameter,1,B331+4)&lt;&gt;$A331,-2,IF(INDEX(PDN_B_OK,1,B331+4)&lt;&gt;0,B331+4,IF(INDEX(PDN_Axle_Diameter,1,B331+5)&lt;&gt;$A331,-2,IF(INDEX(PDN_B_OK,1,B331+5)&lt;&gt;0,B331+5,IF(INDEX(PDN_Axle_Diameter,1,B331+6)&lt;&gt;$A331,-2,IF(INDEX(PDN_B_OK,1,B331+6)&lt;&gt;0,B331+6,IF(INDEX(PDN_Axle_Diameter,1,B331+7)&lt;&gt;$A331,-2,IF(INDEX(PDN_B_OK,1,B331+7)&lt;&gt;0,B331+7,IF(INDEX(PDN_Axle_Diameter,1,B331+8)&lt;&gt;$A331,-2,IF(INDEX(PDN_B_OK,1,B331+8)&lt;&gt;0,B331+8,IF(INDEX(PDN_Axle_Diameter,1,B331+9)&lt;&gt;$A331,-2,IF(INDEX(PDN_B_OK,1,B331+9)&lt;&gt;0,B331+9,IF(INDEX(PDN_Axle_Diameter,1,B331+10)&lt;&gt;$A331,-2,B331+10))))))))))))))))))))))</f>
        <v>-2</v>
      </c>
      <c r="D331" s="710">
        <f t="shared" ref="D331:L331" si="422">IF(ISERROR($B331),-3,IF(C331=-2,-2,IF(INDEX(PDN_Axle_Diameter,1,C331+1)&lt;&gt;$A331,-2,IF(INDEX(PDN_B_OK,1,C331+1)&lt;&gt;0,C331+1,IF(INDEX(PDN_Axle_Diameter,1,C331+2)&lt;&gt;$A331,-2,IF(INDEX(PDN_B_OK,1,C331+2)&lt;&gt;0,C331+2,IF(INDEX(PDN_Axle_Diameter,1,C331+3)&lt;&gt;$A331,-2,IF(INDEX(PDN_B_OK,1,C331+3)&lt;&gt;0,C331+3,IF(INDEX(PDN_Axle_Diameter,1,C331+4)&lt;&gt;$A331,-2,IF(INDEX(PDN_B_OK,1,C331+4)&lt;&gt;0,C331+4,IF(INDEX(PDN_Axle_Diameter,1,C331+5)&lt;&gt;$A331,-2,IF(INDEX(PDN_B_OK,1,C331+5)&lt;&gt;0,C331+5,IF(INDEX(PDN_Axle_Diameter,1,C331+6)&lt;&gt;$A331,-2,IF(INDEX(PDN_B_OK,1,C331+6)&lt;&gt;0,C331+6,IF(INDEX(PDN_Axle_Diameter,1,C331+7)&lt;&gt;$A331,-2,IF(INDEX(PDN_B_OK,1,C331+7)&lt;&gt;0,C331+7,IF(INDEX(PDN_Axle_Diameter,1,C331+8)&lt;&gt;$A331,-2,IF(INDEX(PDN_B_OK,1,C331+8)&lt;&gt;0,C331+8,IF(INDEX(PDN_Axle_Diameter,1,C331+9)&lt;&gt;$A331,-2,IF(INDEX(PDN_B_OK,1,C331+9)&lt;&gt;0,C331+9,IF(INDEX(PDN_Axle_Diameter,1,C331+10)&lt;&gt;$A331,-2,C331+10)))))))))))))))))))))</f>
        <v>-2</v>
      </c>
      <c r="E331" s="711">
        <f t="shared" si="422"/>
        <v>-2</v>
      </c>
      <c r="F331" s="711">
        <f t="shared" si="422"/>
        <v>-2</v>
      </c>
      <c r="G331" s="711">
        <f t="shared" si="422"/>
        <v>-2</v>
      </c>
      <c r="H331" s="711">
        <f t="shared" si="422"/>
        <v>-2</v>
      </c>
      <c r="I331" s="711">
        <f t="shared" si="422"/>
        <v>-2</v>
      </c>
      <c r="J331" s="711">
        <f t="shared" si="422"/>
        <v>-2</v>
      </c>
      <c r="K331" s="711">
        <f t="shared" si="422"/>
        <v>-2</v>
      </c>
      <c r="L331" s="719">
        <f t="shared" si="422"/>
        <v>-2</v>
      </c>
    </row>
    <row r="332" spans="1:12" ht="15.95" customHeight="1">
      <c r="A332" s="106"/>
      <c r="B332" s="106"/>
      <c r="C332" s="712">
        <f t="shared" ref="C332:L332" si="423">IF(C333=0,0,INDEX(PDN_Bearing_Type,1,C331))</f>
        <v>0</v>
      </c>
      <c r="D332" s="713">
        <f t="shared" si="423"/>
        <v>0</v>
      </c>
      <c r="E332" s="713">
        <f t="shared" si="423"/>
        <v>0</v>
      </c>
      <c r="F332" s="713">
        <f t="shared" si="423"/>
        <v>0</v>
      </c>
      <c r="G332" s="713">
        <f t="shared" si="423"/>
        <v>0</v>
      </c>
      <c r="H332" s="713">
        <f t="shared" si="423"/>
        <v>0</v>
      </c>
      <c r="I332" s="713">
        <f t="shared" si="423"/>
        <v>0</v>
      </c>
      <c r="J332" s="713">
        <f t="shared" si="423"/>
        <v>0</v>
      </c>
      <c r="K332" s="713">
        <f t="shared" si="423"/>
        <v>0</v>
      </c>
      <c r="L332" s="720">
        <f t="shared" si="423"/>
        <v>0</v>
      </c>
    </row>
    <row r="333" spans="1:12" ht="15.95" customHeight="1">
      <c r="A333" s="106"/>
      <c r="B333" s="106"/>
      <c r="C333" s="710">
        <f t="shared" ref="C333:L333" si="424">IF(C331&lt;0,0,INDEX(PDN_B_OK,1,C331))</f>
        <v>0</v>
      </c>
      <c r="D333" s="711">
        <f t="shared" si="424"/>
        <v>0</v>
      </c>
      <c r="E333" s="711">
        <f t="shared" si="424"/>
        <v>0</v>
      </c>
      <c r="F333" s="711">
        <f t="shared" si="424"/>
        <v>0</v>
      </c>
      <c r="G333" s="711">
        <f t="shared" si="424"/>
        <v>0</v>
      </c>
      <c r="H333" s="711">
        <f t="shared" si="424"/>
        <v>0</v>
      </c>
      <c r="I333" s="711">
        <f t="shared" si="424"/>
        <v>0</v>
      </c>
      <c r="J333" s="711">
        <f t="shared" si="424"/>
        <v>0</v>
      </c>
      <c r="K333" s="711">
        <f t="shared" si="424"/>
        <v>0</v>
      </c>
      <c r="L333" s="719">
        <f t="shared" si="424"/>
        <v>0</v>
      </c>
    </row>
    <row r="334" spans="1:12" ht="15.95" customHeight="1">
      <c r="A334" s="106">
        <v>160</v>
      </c>
      <c r="B334" s="106" t="e">
        <f>MATCH($A334,PDN_Axle_Diameter,0)</f>
        <v>#N/A</v>
      </c>
      <c r="C334" s="714">
        <f>IF(ISERROR($B334),-3,IF(INDEX(PDN_Axle_Diameter,1,B334)&lt;&gt;$A334,-2,IF(INDEX(PDN_B_OK,1,B334)&lt;&gt;0,B334,IF(INDEX(PDN_Axle_Diameter,1,B334+1)&lt;&gt;$A334,-2,IF(INDEX(PDN_B_OK,1,B334+1)&lt;&gt;0,B334+1,IF(INDEX(PDN_Axle_Diameter,1,B334+2)&lt;&gt;$A334,-2,IF(INDEX(PDN_B_OK,1,B334+2)&lt;&gt;0,B334+2,IF(INDEX(PDN_Axle_Diameter,1,B334+3)&lt;&gt;$A334,-2,IF(INDEX(PDN_B_OK,1,B334+3)&lt;&gt;0,B334+3,IF(INDEX(PDN_Axle_Diameter,1,B334+4)&lt;&gt;$A334,-2,IF(INDEX(PDN_B_OK,1,B334+4)&lt;&gt;0,B334+4,IF(INDEX(PDN_Axle_Diameter,1,B334+5)&lt;&gt;$A334,-2,IF(INDEX(PDN_B_OK,1,B334+5)&lt;&gt;0,B334+5,IF(INDEX(PDN_Axle_Diameter,1,B334+6)&lt;&gt;$A334,-2,IF(INDEX(PDN_B_OK,1,B334+6)&lt;&gt;0,B334+6,IF(INDEX(PDN_Axle_Diameter,1,B334+7)&lt;&gt;$A334,-2,IF(INDEX(PDN_B_OK,1,B334+7)&lt;&gt;0,B334+7,IF(INDEX(PDN_Axle_Diameter,1,B334+8)&lt;&gt;$A334,-2,IF(INDEX(PDN_B_OK,1,B334+8)&lt;&gt;0,B334+8,IF(INDEX(PDN_Axle_Diameter,1,B334+9)&lt;&gt;$A334,-2,IF(INDEX(PDN_B_OK,1,B334+9)&lt;&gt;0,B334+9,IF(INDEX(PDN_Axle_Diameter,1,B334+10)&lt;&gt;$A334,-2,B334+10))))))))))))))))))))))</f>
        <v>-3</v>
      </c>
      <c r="D334" s="710">
        <f t="shared" ref="D334:L334" si="425">IF(ISERROR($B334),-3,IF(C334=-2,-2,IF(INDEX(PDN_Axle_Diameter,1,C334+1)&lt;&gt;$A334,-2,IF(INDEX(PDN_B_OK,1,C334+1)&lt;&gt;0,C334+1,IF(INDEX(PDN_Axle_Diameter,1,C334+2)&lt;&gt;$A334,-2,IF(INDEX(PDN_B_OK,1,C334+2)&lt;&gt;0,C334+2,IF(INDEX(PDN_Axle_Diameter,1,C334+3)&lt;&gt;$A334,-2,IF(INDEX(PDN_B_OK,1,C334+3)&lt;&gt;0,C334+3,IF(INDEX(PDN_Axle_Diameter,1,C334+4)&lt;&gt;$A334,-2,IF(INDEX(PDN_B_OK,1,C334+4)&lt;&gt;0,C334+4,IF(INDEX(PDN_Axle_Diameter,1,C334+5)&lt;&gt;$A334,-2,IF(INDEX(PDN_B_OK,1,C334+5)&lt;&gt;0,C334+5,IF(INDEX(PDN_Axle_Diameter,1,C334+6)&lt;&gt;$A334,-2,IF(INDEX(PDN_B_OK,1,C334+6)&lt;&gt;0,C334+6,IF(INDEX(PDN_Axle_Diameter,1,C334+7)&lt;&gt;$A334,-2,IF(INDEX(PDN_B_OK,1,C334+7)&lt;&gt;0,C334+7,IF(INDEX(PDN_Axle_Diameter,1,C334+8)&lt;&gt;$A334,-2,IF(INDEX(PDN_B_OK,1,C334+8)&lt;&gt;0,C334+8,IF(INDEX(PDN_Axle_Diameter,1,C334+9)&lt;&gt;$A334,-2,IF(INDEX(PDN_B_OK,1,C334+9)&lt;&gt;0,C334+9,IF(INDEX(PDN_Axle_Diameter,1,C334+10)&lt;&gt;$A334,-2,C334+10)))))))))))))))))))))</f>
        <v>-3</v>
      </c>
      <c r="E334" s="711">
        <f t="shared" si="425"/>
        <v>-3</v>
      </c>
      <c r="F334" s="711">
        <f t="shared" si="425"/>
        <v>-3</v>
      </c>
      <c r="G334" s="711">
        <f t="shared" si="425"/>
        <v>-3</v>
      </c>
      <c r="H334" s="711">
        <f t="shared" si="425"/>
        <v>-3</v>
      </c>
      <c r="I334" s="711">
        <f t="shared" si="425"/>
        <v>-3</v>
      </c>
      <c r="J334" s="711">
        <f t="shared" si="425"/>
        <v>-3</v>
      </c>
      <c r="K334" s="711">
        <f t="shared" si="425"/>
        <v>-3</v>
      </c>
      <c r="L334" s="719">
        <f t="shared" si="425"/>
        <v>-3</v>
      </c>
    </row>
    <row r="335" spans="1:12" ht="15.95" customHeight="1">
      <c r="A335" s="106"/>
      <c r="B335" s="106"/>
      <c r="C335" s="712">
        <f t="shared" ref="C335:L335" si="426">IF(C336=0,0,INDEX(PDN_Bearing_Type,1,C334))</f>
        <v>0</v>
      </c>
      <c r="D335" s="713">
        <f t="shared" si="426"/>
        <v>0</v>
      </c>
      <c r="E335" s="713">
        <f t="shared" si="426"/>
        <v>0</v>
      </c>
      <c r="F335" s="713">
        <f t="shared" si="426"/>
        <v>0</v>
      </c>
      <c r="G335" s="713">
        <f t="shared" si="426"/>
        <v>0</v>
      </c>
      <c r="H335" s="713">
        <f t="shared" si="426"/>
        <v>0</v>
      </c>
      <c r="I335" s="713">
        <f t="shared" si="426"/>
        <v>0</v>
      </c>
      <c r="J335" s="713">
        <f t="shared" si="426"/>
        <v>0</v>
      </c>
      <c r="K335" s="713">
        <f t="shared" si="426"/>
        <v>0</v>
      </c>
      <c r="L335" s="720">
        <f t="shared" si="426"/>
        <v>0</v>
      </c>
    </row>
    <row r="336" spans="1:12" ht="15.95" customHeight="1">
      <c r="A336" s="106"/>
      <c r="B336" s="106"/>
      <c r="C336" s="710">
        <f t="shared" ref="C336:L336" si="427">IF(C334&lt;0,0,INDEX(PDN_B_OK,1,C334))</f>
        <v>0</v>
      </c>
      <c r="D336" s="711">
        <f t="shared" si="427"/>
        <v>0</v>
      </c>
      <c r="E336" s="711">
        <f t="shared" si="427"/>
        <v>0</v>
      </c>
      <c r="F336" s="711">
        <f t="shared" si="427"/>
        <v>0</v>
      </c>
      <c r="G336" s="711">
        <f t="shared" si="427"/>
        <v>0</v>
      </c>
      <c r="H336" s="711">
        <f t="shared" si="427"/>
        <v>0</v>
      </c>
      <c r="I336" s="711">
        <f t="shared" si="427"/>
        <v>0</v>
      </c>
      <c r="J336" s="711">
        <f t="shared" si="427"/>
        <v>0</v>
      </c>
      <c r="K336" s="711">
        <f t="shared" si="427"/>
        <v>0</v>
      </c>
      <c r="L336" s="719">
        <f t="shared" si="427"/>
        <v>0</v>
      </c>
    </row>
    <row r="337" spans="1:12" ht="15.95" customHeight="1">
      <c r="A337" s="106">
        <v>170</v>
      </c>
      <c r="B337" s="106" t="e">
        <f>MATCH($A337,PDN_Axle_Diameter,0)</f>
        <v>#N/A</v>
      </c>
      <c r="C337" s="714">
        <f>IF(ISERROR($B337),-3,IF(INDEX(PDN_Axle_Diameter,1,B337)&lt;&gt;$A337,-2,IF(INDEX(PDN_B_OK,1,B337)&lt;&gt;0,B337,IF(INDEX(PDN_Axle_Diameter,1,B337+1)&lt;&gt;$A337,-2,IF(INDEX(PDN_B_OK,1,B337+1)&lt;&gt;0,B337+1,IF(INDEX(PDN_Axle_Diameter,1,B337+2)&lt;&gt;$A337,-2,IF(INDEX(PDN_B_OK,1,B337+2)&lt;&gt;0,B337+2,IF(INDEX(PDN_Axle_Diameter,1,B337+3)&lt;&gt;$A337,-2,IF(INDEX(PDN_B_OK,1,B337+3)&lt;&gt;0,B337+3,IF(INDEX(PDN_Axle_Diameter,1,B337+4)&lt;&gt;$A337,-2,IF(INDEX(PDN_B_OK,1,B337+4)&lt;&gt;0,B337+4,IF(INDEX(PDN_Axle_Diameter,1,B337+5)&lt;&gt;$A337,-2,IF(INDEX(PDN_B_OK,1,B337+5)&lt;&gt;0,B337+5,IF(INDEX(PDN_Axle_Diameter,1,B337+6)&lt;&gt;$A337,-2,IF(INDEX(PDN_B_OK,1,B337+6)&lt;&gt;0,B337+6,IF(INDEX(PDN_Axle_Diameter,1,B337+7)&lt;&gt;$A337,-2,IF(INDEX(PDN_B_OK,1,B337+7)&lt;&gt;0,B337+7,IF(INDEX(PDN_Axle_Diameter,1,B337+8)&lt;&gt;$A337,-2,IF(INDEX(PDN_B_OK,1,B337+8)&lt;&gt;0,B337+8,IF(INDEX(PDN_Axle_Diameter,1,B337+9)&lt;&gt;$A337,-2,IF(INDEX(PDN_B_OK,1,B337+9)&lt;&gt;0,B337+9,IF(INDEX(PDN_Axle_Diameter,1,B337+10)&lt;&gt;$A337,-2,B337+10))))))))))))))))))))))</f>
        <v>-3</v>
      </c>
      <c r="D337" s="710">
        <f t="shared" ref="D337:L337" si="428">IF(ISERROR($B337),-3,IF(C337=-2,-2,IF(INDEX(PDN_Axle_Diameter,1,C337+1)&lt;&gt;$A337,-2,IF(INDEX(PDN_B_OK,1,C337+1)&lt;&gt;0,C337+1,IF(INDEX(PDN_Axle_Diameter,1,C337+2)&lt;&gt;$A337,-2,IF(INDEX(PDN_B_OK,1,C337+2)&lt;&gt;0,C337+2,IF(INDEX(PDN_Axle_Diameter,1,C337+3)&lt;&gt;$A337,-2,IF(INDEX(PDN_B_OK,1,C337+3)&lt;&gt;0,C337+3,IF(INDEX(PDN_Axle_Diameter,1,C337+4)&lt;&gt;$A337,-2,IF(INDEX(PDN_B_OK,1,C337+4)&lt;&gt;0,C337+4,IF(INDEX(PDN_Axle_Diameter,1,C337+5)&lt;&gt;$A337,-2,IF(INDEX(PDN_B_OK,1,C337+5)&lt;&gt;0,C337+5,IF(INDEX(PDN_Axle_Diameter,1,C337+6)&lt;&gt;$A337,-2,IF(INDEX(PDN_B_OK,1,C337+6)&lt;&gt;0,C337+6,IF(INDEX(PDN_Axle_Diameter,1,C337+7)&lt;&gt;$A337,-2,IF(INDEX(PDN_B_OK,1,C337+7)&lt;&gt;0,C337+7,IF(INDEX(PDN_Axle_Diameter,1,C337+8)&lt;&gt;$A337,-2,IF(INDEX(PDN_B_OK,1,C337+8)&lt;&gt;0,C337+8,IF(INDEX(PDN_Axle_Diameter,1,C337+9)&lt;&gt;$A337,-2,IF(INDEX(PDN_B_OK,1,C337+9)&lt;&gt;0,C337+9,IF(INDEX(PDN_Axle_Diameter,1,C337+10)&lt;&gt;$A337,-2,C337+10)))))))))))))))))))))</f>
        <v>-3</v>
      </c>
      <c r="E337" s="711">
        <f t="shared" si="428"/>
        <v>-3</v>
      </c>
      <c r="F337" s="711">
        <f t="shared" si="428"/>
        <v>-3</v>
      </c>
      <c r="G337" s="711">
        <f t="shared" si="428"/>
        <v>-3</v>
      </c>
      <c r="H337" s="711">
        <f t="shared" si="428"/>
        <v>-3</v>
      </c>
      <c r="I337" s="711">
        <f t="shared" si="428"/>
        <v>-3</v>
      </c>
      <c r="J337" s="711">
        <f t="shared" si="428"/>
        <v>-3</v>
      </c>
      <c r="K337" s="711">
        <f t="shared" si="428"/>
        <v>-3</v>
      </c>
      <c r="L337" s="719">
        <f t="shared" si="428"/>
        <v>-3</v>
      </c>
    </row>
    <row r="338" spans="1:12" ht="15.95" customHeight="1">
      <c r="A338" s="106"/>
      <c r="B338" s="106"/>
      <c r="C338" s="712">
        <f t="shared" ref="C338:L338" si="429">IF(C339=0,0,INDEX(PDN_Bearing_Type,1,C337))</f>
        <v>0</v>
      </c>
      <c r="D338" s="713">
        <f t="shared" si="429"/>
        <v>0</v>
      </c>
      <c r="E338" s="713">
        <f t="shared" si="429"/>
        <v>0</v>
      </c>
      <c r="F338" s="713">
        <f t="shared" si="429"/>
        <v>0</v>
      </c>
      <c r="G338" s="713">
        <f t="shared" si="429"/>
        <v>0</v>
      </c>
      <c r="H338" s="713">
        <f t="shared" si="429"/>
        <v>0</v>
      </c>
      <c r="I338" s="713">
        <f t="shared" si="429"/>
        <v>0</v>
      </c>
      <c r="J338" s="713">
        <f t="shared" si="429"/>
        <v>0</v>
      </c>
      <c r="K338" s="713">
        <f t="shared" si="429"/>
        <v>0</v>
      </c>
      <c r="L338" s="720">
        <f t="shared" si="429"/>
        <v>0</v>
      </c>
    </row>
    <row r="339" spans="1:12" ht="15.95" customHeight="1">
      <c r="A339" s="106"/>
      <c r="B339" s="106"/>
      <c r="C339" s="710">
        <f t="shared" ref="C339:L339" si="430">IF(C337&lt;0,0,INDEX(PDN_B_OK,1,C337))</f>
        <v>0</v>
      </c>
      <c r="D339" s="711">
        <f t="shared" si="430"/>
        <v>0</v>
      </c>
      <c r="E339" s="711">
        <f t="shared" si="430"/>
        <v>0</v>
      </c>
      <c r="F339" s="711">
        <f t="shared" si="430"/>
        <v>0</v>
      </c>
      <c r="G339" s="711">
        <f t="shared" si="430"/>
        <v>0</v>
      </c>
      <c r="H339" s="711">
        <f t="shared" si="430"/>
        <v>0</v>
      </c>
      <c r="I339" s="711">
        <f t="shared" si="430"/>
        <v>0</v>
      </c>
      <c r="J339" s="711">
        <f t="shared" si="430"/>
        <v>0</v>
      </c>
      <c r="K339" s="711">
        <f t="shared" si="430"/>
        <v>0</v>
      </c>
      <c r="L339" s="719">
        <f t="shared" si="430"/>
        <v>0</v>
      </c>
    </row>
    <row r="340" spans="1:12" ht="15.95" customHeight="1">
      <c r="A340" s="106">
        <v>180</v>
      </c>
      <c r="B340" s="106" t="e">
        <f>MATCH($A340,PDN_Axle_Diameter,0)</f>
        <v>#N/A</v>
      </c>
      <c r="C340" s="714">
        <f>IF(ISERROR($B340),-3,IF(INDEX(PDN_Axle_Diameter,1,B340)&lt;&gt;$A340,-2,IF(INDEX(PDN_B_OK,1,B340)&lt;&gt;0,B340,IF(INDEX(PDN_Axle_Diameter,1,B340+1)&lt;&gt;$A340,-2,IF(INDEX(PDN_B_OK,1,B340+1)&lt;&gt;0,B340+1,IF(INDEX(PDN_Axle_Diameter,1,B340+2)&lt;&gt;$A340,-2,IF(INDEX(PDN_B_OK,1,B340+2)&lt;&gt;0,B340+2,IF(INDEX(PDN_Axle_Diameter,1,B340+3)&lt;&gt;$A340,-2,IF(INDEX(PDN_B_OK,1,B340+3)&lt;&gt;0,B340+3,IF(INDEX(PDN_Axle_Diameter,1,B340+4)&lt;&gt;$A340,-2,IF(INDEX(PDN_B_OK,1,B340+4)&lt;&gt;0,B340+4,IF(INDEX(PDN_Axle_Diameter,1,B340+5)&lt;&gt;$A340,-2,IF(INDEX(PDN_B_OK,1,B340+5)&lt;&gt;0,B340+5,IF(INDEX(PDN_Axle_Diameter,1,B340+6)&lt;&gt;$A340,-2,IF(INDEX(PDN_B_OK,1,B340+6)&lt;&gt;0,B340+6,IF(INDEX(PDN_Axle_Diameter,1,B340+7)&lt;&gt;$A340,-2,IF(INDEX(PDN_B_OK,1,B340+7)&lt;&gt;0,B340+7,IF(INDEX(PDN_Axle_Diameter,1,B340+8)&lt;&gt;$A340,-2,IF(INDEX(PDN_B_OK,1,B340+8)&lt;&gt;0,B340+8,IF(INDEX(PDN_Axle_Diameter,1,B340+9)&lt;&gt;$A340,-2,IF(INDEX(PDN_B_OK,1,B340+9)&lt;&gt;0,B340+9,IF(INDEX(PDN_Axle_Diameter,1,B340+10)&lt;&gt;$A340,-2,B340+10))))))))))))))))))))))</f>
        <v>-3</v>
      </c>
      <c r="D340" s="710">
        <f t="shared" ref="D340:L340" si="431">IF(ISERROR($B340),-3,IF(C340=-2,-2,IF(INDEX(PDN_Axle_Diameter,1,C340+1)&lt;&gt;$A340,-2,IF(INDEX(PDN_B_OK,1,C340+1)&lt;&gt;0,C340+1,IF(INDEX(PDN_Axle_Diameter,1,C340+2)&lt;&gt;$A340,-2,IF(INDEX(PDN_B_OK,1,C340+2)&lt;&gt;0,C340+2,IF(INDEX(PDN_Axle_Diameter,1,C340+3)&lt;&gt;$A340,-2,IF(INDEX(PDN_B_OK,1,C340+3)&lt;&gt;0,C340+3,IF(INDEX(PDN_Axle_Diameter,1,C340+4)&lt;&gt;$A340,-2,IF(INDEX(PDN_B_OK,1,C340+4)&lt;&gt;0,C340+4,IF(INDEX(PDN_Axle_Diameter,1,C340+5)&lt;&gt;$A340,-2,IF(INDEX(PDN_B_OK,1,C340+5)&lt;&gt;0,C340+5,IF(INDEX(PDN_Axle_Diameter,1,C340+6)&lt;&gt;$A340,-2,IF(INDEX(PDN_B_OK,1,C340+6)&lt;&gt;0,C340+6,IF(INDEX(PDN_Axle_Diameter,1,C340+7)&lt;&gt;$A340,-2,IF(INDEX(PDN_B_OK,1,C340+7)&lt;&gt;0,C340+7,IF(INDEX(PDN_Axle_Diameter,1,C340+8)&lt;&gt;$A340,-2,IF(INDEX(PDN_B_OK,1,C340+8)&lt;&gt;0,C340+8,IF(INDEX(PDN_Axle_Diameter,1,C340+9)&lt;&gt;$A340,-2,IF(INDEX(PDN_B_OK,1,C340+9)&lt;&gt;0,C340+9,IF(INDEX(PDN_Axle_Diameter,1,C340+10)&lt;&gt;$A340,-2,C340+10)))))))))))))))))))))</f>
        <v>-3</v>
      </c>
      <c r="E340" s="711">
        <f t="shared" si="431"/>
        <v>-3</v>
      </c>
      <c r="F340" s="711">
        <f t="shared" si="431"/>
        <v>-3</v>
      </c>
      <c r="G340" s="711">
        <f t="shared" si="431"/>
        <v>-3</v>
      </c>
      <c r="H340" s="711">
        <f t="shared" si="431"/>
        <v>-3</v>
      </c>
      <c r="I340" s="711">
        <f t="shared" si="431"/>
        <v>-3</v>
      </c>
      <c r="J340" s="711">
        <f t="shared" si="431"/>
        <v>-3</v>
      </c>
      <c r="K340" s="711">
        <f t="shared" si="431"/>
        <v>-3</v>
      </c>
      <c r="L340" s="719">
        <f t="shared" si="431"/>
        <v>-3</v>
      </c>
    </row>
    <row r="341" spans="1:12" ht="15.95" customHeight="1">
      <c r="A341" s="106"/>
      <c r="B341" s="106"/>
      <c r="C341" s="712">
        <f t="shared" ref="C341:L341" si="432">IF(C342=0,0,INDEX(PDN_Bearing_Type,1,C340))</f>
        <v>0</v>
      </c>
      <c r="D341" s="713">
        <f t="shared" si="432"/>
        <v>0</v>
      </c>
      <c r="E341" s="713">
        <f t="shared" si="432"/>
        <v>0</v>
      </c>
      <c r="F341" s="713">
        <f t="shared" si="432"/>
        <v>0</v>
      </c>
      <c r="G341" s="713">
        <f t="shared" si="432"/>
        <v>0</v>
      </c>
      <c r="H341" s="713">
        <f t="shared" si="432"/>
        <v>0</v>
      </c>
      <c r="I341" s="713">
        <f t="shared" si="432"/>
        <v>0</v>
      </c>
      <c r="J341" s="713">
        <f t="shared" si="432"/>
        <v>0</v>
      </c>
      <c r="K341" s="713">
        <f t="shared" si="432"/>
        <v>0</v>
      </c>
      <c r="L341" s="720">
        <f t="shared" si="432"/>
        <v>0</v>
      </c>
    </row>
    <row r="342" spans="1:12" ht="15.95" customHeight="1">
      <c r="A342" s="106"/>
      <c r="B342" s="106"/>
      <c r="C342" s="710">
        <f t="shared" ref="C342:L342" si="433">IF(C340&lt;0,0,INDEX(PDN_B_OK,1,C340))</f>
        <v>0</v>
      </c>
      <c r="D342" s="711">
        <f t="shared" si="433"/>
        <v>0</v>
      </c>
      <c r="E342" s="711">
        <f t="shared" si="433"/>
        <v>0</v>
      </c>
      <c r="F342" s="711">
        <f t="shared" si="433"/>
        <v>0</v>
      </c>
      <c r="G342" s="711">
        <f t="shared" si="433"/>
        <v>0</v>
      </c>
      <c r="H342" s="711">
        <f t="shared" si="433"/>
        <v>0</v>
      </c>
      <c r="I342" s="711">
        <f t="shared" si="433"/>
        <v>0</v>
      </c>
      <c r="J342" s="711">
        <f t="shared" si="433"/>
        <v>0</v>
      </c>
      <c r="K342" s="711">
        <f t="shared" si="433"/>
        <v>0</v>
      </c>
      <c r="L342" s="719">
        <f t="shared" si="433"/>
        <v>0</v>
      </c>
    </row>
    <row r="343" spans="1:12" ht="15.95" customHeight="1">
      <c r="A343" s="106">
        <f>A340+5</f>
        <v>185</v>
      </c>
      <c r="B343" s="106" t="e">
        <f>MATCH($A343,PDN_Axle_Diameter,0)</f>
        <v>#N/A</v>
      </c>
      <c r="C343" s="714">
        <f>IF(ISERROR($B343),-3,IF(INDEX(PDN_Axle_Diameter,1,B343)&lt;&gt;$A343,-2,IF(INDEX(PDN_B_OK,1,B343)&lt;&gt;0,B343,IF(INDEX(PDN_Axle_Diameter,1,B343+1)&lt;&gt;$A343,-2,IF(INDEX(PDN_B_OK,1,B343+1)&lt;&gt;0,B343+1,IF(INDEX(PDN_Axle_Diameter,1,B343+2)&lt;&gt;$A343,-2,IF(INDEX(PDN_B_OK,1,B343+2)&lt;&gt;0,B343+2,IF(INDEX(PDN_Axle_Diameter,1,B343+3)&lt;&gt;$A343,-2,IF(INDEX(PDN_B_OK,1,B343+3)&lt;&gt;0,B343+3,IF(INDEX(PDN_Axle_Diameter,1,B343+4)&lt;&gt;$A343,-2,IF(INDEX(PDN_B_OK,1,B343+4)&lt;&gt;0,B343+4,IF(INDEX(PDN_Axle_Diameter,1,B343+5)&lt;&gt;$A343,-2,IF(INDEX(PDN_B_OK,1,B343+5)&lt;&gt;0,B343+5,IF(INDEX(PDN_Axle_Diameter,1,B343+6)&lt;&gt;$A343,-2,IF(INDEX(PDN_B_OK,1,B343+6)&lt;&gt;0,B343+6,IF(INDEX(PDN_Axle_Diameter,1,B343+7)&lt;&gt;$A343,-2,IF(INDEX(PDN_B_OK,1,B343+7)&lt;&gt;0,B343+7,IF(INDEX(PDN_Axle_Diameter,1,B343+8)&lt;&gt;$A343,-2,IF(INDEX(PDN_B_OK,1,B343+8)&lt;&gt;0,B343+8,IF(INDEX(PDN_Axle_Diameter,1,B343+9)&lt;&gt;$A343,-2,IF(INDEX(PDN_B_OK,1,B343+9)&lt;&gt;0,B343+9,IF(INDEX(PDN_Axle_Diameter,1,B343+10)&lt;&gt;$A343,-2,B343+10))))))))))))))))))))))</f>
        <v>-3</v>
      </c>
      <c r="D343" s="710">
        <f t="shared" ref="D343:L343" si="434">IF(ISERROR($B343),-3,IF(C343=-2,-2,IF(INDEX(PDN_Axle_Diameter,1,C343+1)&lt;&gt;$A343,-2,IF(INDEX(PDN_B_OK,1,C343+1)&lt;&gt;0,C343+1,IF(INDEX(PDN_Axle_Diameter,1,C343+2)&lt;&gt;$A343,-2,IF(INDEX(PDN_B_OK,1,C343+2)&lt;&gt;0,C343+2,IF(INDEX(PDN_Axle_Diameter,1,C343+3)&lt;&gt;$A343,-2,IF(INDEX(PDN_B_OK,1,C343+3)&lt;&gt;0,C343+3,IF(INDEX(PDN_Axle_Diameter,1,C343+4)&lt;&gt;$A343,-2,IF(INDEX(PDN_B_OK,1,C343+4)&lt;&gt;0,C343+4,IF(INDEX(PDN_Axle_Diameter,1,C343+5)&lt;&gt;$A343,-2,IF(INDEX(PDN_B_OK,1,C343+5)&lt;&gt;0,C343+5,IF(INDEX(PDN_Axle_Diameter,1,C343+6)&lt;&gt;$A343,-2,IF(INDEX(PDN_B_OK,1,C343+6)&lt;&gt;0,C343+6,IF(INDEX(PDN_Axle_Diameter,1,C343+7)&lt;&gt;$A343,-2,IF(INDEX(PDN_B_OK,1,C343+7)&lt;&gt;0,C343+7,IF(INDEX(PDN_Axle_Diameter,1,C343+8)&lt;&gt;$A343,-2,IF(INDEX(PDN_B_OK,1,C343+8)&lt;&gt;0,C343+8,IF(INDEX(PDN_Axle_Diameter,1,C343+9)&lt;&gt;$A343,-2,IF(INDEX(PDN_B_OK,1,C343+9)&lt;&gt;0,C343+9,IF(INDEX(PDN_Axle_Diameter,1,C343+10)&lt;&gt;$A343,-2,C343+10)))))))))))))))))))))</f>
        <v>-3</v>
      </c>
      <c r="E343" s="711">
        <f t="shared" si="434"/>
        <v>-3</v>
      </c>
      <c r="F343" s="711">
        <f t="shared" si="434"/>
        <v>-3</v>
      </c>
      <c r="G343" s="711">
        <f t="shared" si="434"/>
        <v>-3</v>
      </c>
      <c r="H343" s="711">
        <f t="shared" si="434"/>
        <v>-3</v>
      </c>
      <c r="I343" s="711">
        <f t="shared" si="434"/>
        <v>-3</v>
      </c>
      <c r="J343" s="711">
        <f t="shared" si="434"/>
        <v>-3</v>
      </c>
      <c r="K343" s="711">
        <f t="shared" si="434"/>
        <v>-3</v>
      </c>
      <c r="L343" s="719">
        <f t="shared" si="434"/>
        <v>-3</v>
      </c>
    </row>
    <row r="344" spans="1:12" ht="15.95" customHeight="1">
      <c r="A344" s="106"/>
      <c r="B344" s="106"/>
      <c r="C344" s="712">
        <f t="shared" ref="C344:L344" si="435">IF(C345=0,0,INDEX(PDN_Bearing_Type,1,C343))</f>
        <v>0</v>
      </c>
      <c r="D344" s="713">
        <f t="shared" si="435"/>
        <v>0</v>
      </c>
      <c r="E344" s="713">
        <f t="shared" si="435"/>
        <v>0</v>
      </c>
      <c r="F344" s="713">
        <f t="shared" si="435"/>
        <v>0</v>
      </c>
      <c r="G344" s="713">
        <f t="shared" si="435"/>
        <v>0</v>
      </c>
      <c r="H344" s="713">
        <f t="shared" si="435"/>
        <v>0</v>
      </c>
      <c r="I344" s="713">
        <f t="shared" si="435"/>
        <v>0</v>
      </c>
      <c r="J344" s="713">
        <f t="shared" si="435"/>
        <v>0</v>
      </c>
      <c r="K344" s="713">
        <f t="shared" si="435"/>
        <v>0</v>
      </c>
      <c r="L344" s="720">
        <f t="shared" si="435"/>
        <v>0</v>
      </c>
    </row>
    <row r="345" spans="1:12" ht="15.95" customHeight="1">
      <c r="A345" s="106"/>
      <c r="B345" s="106"/>
      <c r="C345" s="710">
        <f t="shared" ref="C345:L345" si="436">IF(C343&lt;0,0,INDEX(PDN_B_OK,1,C343))</f>
        <v>0</v>
      </c>
      <c r="D345" s="711">
        <f t="shared" si="436"/>
        <v>0</v>
      </c>
      <c r="E345" s="711">
        <f t="shared" si="436"/>
        <v>0</v>
      </c>
      <c r="F345" s="711">
        <f t="shared" si="436"/>
        <v>0</v>
      </c>
      <c r="G345" s="711">
        <f t="shared" si="436"/>
        <v>0</v>
      </c>
      <c r="H345" s="711">
        <f t="shared" si="436"/>
        <v>0</v>
      </c>
      <c r="I345" s="711">
        <f t="shared" si="436"/>
        <v>0</v>
      </c>
      <c r="J345" s="711">
        <f t="shared" si="436"/>
        <v>0</v>
      </c>
      <c r="K345" s="711">
        <f t="shared" si="436"/>
        <v>0</v>
      </c>
      <c r="L345" s="719">
        <f t="shared" si="436"/>
        <v>0</v>
      </c>
    </row>
    <row r="346" spans="1:12" ht="15.95" customHeight="1">
      <c r="A346" s="106">
        <f>A343+5</f>
        <v>190</v>
      </c>
      <c r="B346" s="106" t="e">
        <f>MATCH($A346,PDN_Axle_Diameter,0)</f>
        <v>#N/A</v>
      </c>
      <c r="C346" s="714">
        <f>IF(ISERROR($B346),-3,IF(INDEX(PDN_Axle_Diameter,1,B346)&lt;&gt;$A346,-2,IF(INDEX(PDN_B_OK,1,B346)&lt;&gt;0,B346,IF(INDEX(PDN_Axle_Diameter,1,B346+1)&lt;&gt;$A346,-2,IF(INDEX(PDN_B_OK,1,B346+1)&lt;&gt;0,B346+1,IF(INDEX(PDN_Axle_Diameter,1,B346+2)&lt;&gt;$A346,-2,IF(INDEX(PDN_B_OK,1,B346+2)&lt;&gt;0,B346+2,IF(INDEX(PDN_Axle_Diameter,1,B346+3)&lt;&gt;$A346,-2,IF(INDEX(PDN_B_OK,1,B346+3)&lt;&gt;0,B346+3,IF(INDEX(PDN_Axle_Diameter,1,B346+4)&lt;&gt;$A346,-2,IF(INDEX(PDN_B_OK,1,B346+4)&lt;&gt;0,B346+4,IF(INDEX(PDN_Axle_Diameter,1,B346+5)&lt;&gt;$A346,-2,IF(INDEX(PDN_B_OK,1,B346+5)&lt;&gt;0,B346+5,IF(INDEX(PDN_Axle_Diameter,1,B346+6)&lt;&gt;$A346,-2,IF(INDEX(PDN_B_OK,1,B346+6)&lt;&gt;0,B346+6,IF(INDEX(PDN_Axle_Diameter,1,B346+7)&lt;&gt;$A346,-2,IF(INDEX(PDN_B_OK,1,B346+7)&lt;&gt;0,B346+7,IF(INDEX(PDN_Axle_Diameter,1,B346+8)&lt;&gt;$A346,-2,IF(INDEX(PDN_B_OK,1,B346+8)&lt;&gt;0,B346+8,IF(INDEX(PDN_Axle_Diameter,1,B346+9)&lt;&gt;$A346,-2,IF(INDEX(PDN_B_OK,1,B346+9)&lt;&gt;0,B346+9,IF(INDEX(PDN_Axle_Diameter,1,B346+10)&lt;&gt;$A346,-2,B346+10))))))))))))))))))))))</f>
        <v>-3</v>
      </c>
      <c r="D346" s="710">
        <f t="shared" ref="D346:L346" si="437">IF(ISERROR($B346),-3,IF(C346=-2,-2,IF(INDEX(PDN_Axle_Diameter,1,C346+1)&lt;&gt;$A346,-2,IF(INDEX(PDN_B_OK,1,C346+1)&lt;&gt;0,C346+1,IF(INDEX(PDN_Axle_Diameter,1,C346+2)&lt;&gt;$A346,-2,IF(INDEX(PDN_B_OK,1,C346+2)&lt;&gt;0,C346+2,IF(INDEX(PDN_Axle_Diameter,1,C346+3)&lt;&gt;$A346,-2,IF(INDEX(PDN_B_OK,1,C346+3)&lt;&gt;0,C346+3,IF(INDEX(PDN_Axle_Diameter,1,C346+4)&lt;&gt;$A346,-2,IF(INDEX(PDN_B_OK,1,C346+4)&lt;&gt;0,C346+4,IF(INDEX(PDN_Axle_Diameter,1,C346+5)&lt;&gt;$A346,-2,IF(INDEX(PDN_B_OK,1,C346+5)&lt;&gt;0,C346+5,IF(INDEX(PDN_Axle_Diameter,1,C346+6)&lt;&gt;$A346,-2,IF(INDEX(PDN_B_OK,1,C346+6)&lt;&gt;0,C346+6,IF(INDEX(PDN_Axle_Diameter,1,C346+7)&lt;&gt;$A346,-2,IF(INDEX(PDN_B_OK,1,C346+7)&lt;&gt;0,C346+7,IF(INDEX(PDN_Axle_Diameter,1,C346+8)&lt;&gt;$A346,-2,IF(INDEX(PDN_B_OK,1,C346+8)&lt;&gt;0,C346+8,IF(INDEX(PDN_Axle_Diameter,1,C346+9)&lt;&gt;$A346,-2,IF(INDEX(PDN_B_OK,1,C346+9)&lt;&gt;0,C346+9,IF(INDEX(PDN_Axle_Diameter,1,C346+10)&lt;&gt;$A346,-2,C346+10)))))))))))))))))))))</f>
        <v>-3</v>
      </c>
      <c r="E346" s="711">
        <f t="shared" si="437"/>
        <v>-3</v>
      </c>
      <c r="F346" s="711">
        <f t="shared" si="437"/>
        <v>-3</v>
      </c>
      <c r="G346" s="711">
        <f t="shared" si="437"/>
        <v>-3</v>
      </c>
      <c r="H346" s="711">
        <f t="shared" si="437"/>
        <v>-3</v>
      </c>
      <c r="I346" s="711">
        <f t="shared" si="437"/>
        <v>-3</v>
      </c>
      <c r="J346" s="711">
        <f t="shared" si="437"/>
        <v>-3</v>
      </c>
      <c r="K346" s="711">
        <f t="shared" si="437"/>
        <v>-3</v>
      </c>
      <c r="L346" s="719">
        <f t="shared" si="437"/>
        <v>-3</v>
      </c>
    </row>
    <row r="347" spans="1:12" ht="15.95" customHeight="1">
      <c r="A347" s="106"/>
      <c r="B347" s="106"/>
      <c r="C347" s="712">
        <f t="shared" ref="C347:L347" si="438">IF(C348=0,0,INDEX(PDN_Bearing_Type,1,C346))</f>
        <v>0</v>
      </c>
      <c r="D347" s="713">
        <f t="shared" si="438"/>
        <v>0</v>
      </c>
      <c r="E347" s="713">
        <f t="shared" si="438"/>
        <v>0</v>
      </c>
      <c r="F347" s="713">
        <f t="shared" si="438"/>
        <v>0</v>
      </c>
      <c r="G347" s="713">
        <f t="shared" si="438"/>
        <v>0</v>
      </c>
      <c r="H347" s="713">
        <f t="shared" si="438"/>
        <v>0</v>
      </c>
      <c r="I347" s="713">
        <f t="shared" si="438"/>
        <v>0</v>
      </c>
      <c r="J347" s="713">
        <f t="shared" si="438"/>
        <v>0</v>
      </c>
      <c r="K347" s="713">
        <f t="shared" si="438"/>
        <v>0</v>
      </c>
      <c r="L347" s="720">
        <f t="shared" si="438"/>
        <v>0</v>
      </c>
    </row>
    <row r="348" spans="1:12" ht="15.95" customHeight="1">
      <c r="A348" s="106"/>
      <c r="B348" s="106"/>
      <c r="C348" s="710">
        <f t="shared" ref="C348:L348" si="439">IF(C346&lt;0,0,INDEX(PDN_B_OK,1,C346))</f>
        <v>0</v>
      </c>
      <c r="D348" s="711">
        <f t="shared" si="439"/>
        <v>0</v>
      </c>
      <c r="E348" s="711">
        <f t="shared" si="439"/>
        <v>0</v>
      </c>
      <c r="F348" s="711">
        <f t="shared" si="439"/>
        <v>0</v>
      </c>
      <c r="G348" s="711">
        <f t="shared" si="439"/>
        <v>0</v>
      </c>
      <c r="H348" s="711">
        <f t="shared" si="439"/>
        <v>0</v>
      </c>
      <c r="I348" s="711">
        <f t="shared" si="439"/>
        <v>0</v>
      </c>
      <c r="J348" s="711">
        <f t="shared" si="439"/>
        <v>0</v>
      </c>
      <c r="K348" s="711">
        <f t="shared" si="439"/>
        <v>0</v>
      </c>
      <c r="L348" s="719">
        <f t="shared" si="439"/>
        <v>0</v>
      </c>
    </row>
    <row r="349" spans="1:12" ht="15.95" customHeight="1">
      <c r="A349" s="106">
        <f>A346+5</f>
        <v>195</v>
      </c>
      <c r="B349" s="106" t="e">
        <f>MATCH($A349,PDN_Axle_Diameter,0)</f>
        <v>#N/A</v>
      </c>
      <c r="C349" s="714">
        <f>IF(ISERROR($B349),-3,IF(INDEX(PDN_Axle_Diameter,1,B349)&lt;&gt;$A349,-2,IF(INDEX(PDN_B_OK,1,B349)&lt;&gt;0,B349,IF(INDEX(PDN_Axle_Diameter,1,B349+1)&lt;&gt;$A349,-2,IF(INDEX(PDN_B_OK,1,B349+1)&lt;&gt;0,B349+1,IF(INDEX(PDN_Axle_Diameter,1,B349+2)&lt;&gt;$A349,-2,IF(INDEX(PDN_B_OK,1,B349+2)&lt;&gt;0,B349+2,IF(INDEX(PDN_Axle_Diameter,1,B349+3)&lt;&gt;$A349,-2,IF(INDEX(PDN_B_OK,1,B349+3)&lt;&gt;0,B349+3,IF(INDEX(PDN_Axle_Diameter,1,B349+4)&lt;&gt;$A349,-2,IF(INDEX(PDN_B_OK,1,B349+4)&lt;&gt;0,B349+4,IF(INDEX(PDN_Axle_Diameter,1,B349+5)&lt;&gt;$A349,-2,IF(INDEX(PDN_B_OK,1,B349+5)&lt;&gt;0,B349+5,IF(INDEX(PDN_Axle_Diameter,1,B349+6)&lt;&gt;$A349,-2,IF(INDEX(PDN_B_OK,1,B349+6)&lt;&gt;0,B349+6,IF(INDEX(PDN_Axle_Diameter,1,B349+7)&lt;&gt;$A349,-2,IF(INDEX(PDN_B_OK,1,B349+7)&lt;&gt;0,B349+7,IF(INDEX(PDN_Axle_Diameter,1,B349+8)&lt;&gt;$A349,-2,IF(INDEX(PDN_B_OK,1,B349+8)&lt;&gt;0,B349+8,IF(INDEX(PDN_Axle_Diameter,1,B349+9)&lt;&gt;$A349,-2,IF(INDEX(PDN_B_OK,1,B349+9)&lt;&gt;0,B349+9,IF(INDEX(PDN_Axle_Diameter,1,B349+10)&lt;&gt;$A349,-2,B349+10))))))))))))))))))))))</f>
        <v>-3</v>
      </c>
      <c r="D349" s="710">
        <f t="shared" ref="D349" si="440">IF(ISERROR($B349),-3,IF(C349=-2,-2,IF(INDEX(PDN_Axle_Diameter,1,C349+1)&lt;&gt;$A349,-2,IF(INDEX(PDN_B_OK,1,C349+1)&lt;&gt;0,C349+1,IF(INDEX(PDN_Axle_Diameter,1,C349+2)&lt;&gt;$A349,-2,IF(INDEX(PDN_B_OK,1,C349+2)&lt;&gt;0,C349+2,IF(INDEX(PDN_Axle_Diameter,1,C349+3)&lt;&gt;$A349,-2,IF(INDEX(PDN_B_OK,1,C349+3)&lt;&gt;0,C349+3,IF(INDEX(PDN_Axle_Diameter,1,C349+4)&lt;&gt;$A349,-2,IF(INDEX(PDN_B_OK,1,C349+4)&lt;&gt;0,C349+4,IF(INDEX(PDN_Axle_Diameter,1,C349+5)&lt;&gt;$A349,-2,IF(INDEX(PDN_B_OK,1,C349+5)&lt;&gt;0,C349+5,IF(INDEX(PDN_Axle_Diameter,1,C349+6)&lt;&gt;$A349,-2,IF(INDEX(PDN_B_OK,1,C349+6)&lt;&gt;0,C349+6,IF(INDEX(PDN_Axle_Diameter,1,C349+7)&lt;&gt;$A349,-2,IF(INDEX(PDN_B_OK,1,C349+7)&lt;&gt;0,C349+7,IF(INDEX(PDN_Axle_Diameter,1,C349+8)&lt;&gt;$A349,-2,IF(INDEX(PDN_B_OK,1,C349+8)&lt;&gt;0,C349+8,IF(INDEX(PDN_Axle_Diameter,1,C349+9)&lt;&gt;$A349,-2,IF(INDEX(PDN_B_OK,1,C349+9)&lt;&gt;0,C349+9,IF(INDEX(PDN_Axle_Diameter,1,C349+10)&lt;&gt;$A349,-2,C349+10)))))))))))))))))))))</f>
        <v>-3</v>
      </c>
      <c r="E349" s="711">
        <f t="shared" ref="E349" si="441">IF(ISERROR($B349),-3,IF(D349=-2,-2,IF(INDEX(PDN_Axle_Diameter,1,D349+1)&lt;&gt;$A349,-2,IF(INDEX(PDN_B_OK,1,D349+1)&lt;&gt;0,D349+1,IF(INDEX(PDN_Axle_Diameter,1,D349+2)&lt;&gt;$A349,-2,IF(INDEX(PDN_B_OK,1,D349+2)&lt;&gt;0,D349+2,IF(INDEX(PDN_Axle_Diameter,1,D349+3)&lt;&gt;$A349,-2,IF(INDEX(PDN_B_OK,1,D349+3)&lt;&gt;0,D349+3,IF(INDEX(PDN_Axle_Diameter,1,D349+4)&lt;&gt;$A349,-2,IF(INDEX(PDN_B_OK,1,D349+4)&lt;&gt;0,D349+4,IF(INDEX(PDN_Axle_Diameter,1,D349+5)&lt;&gt;$A349,-2,IF(INDEX(PDN_B_OK,1,D349+5)&lt;&gt;0,D349+5,IF(INDEX(PDN_Axle_Diameter,1,D349+6)&lt;&gt;$A349,-2,IF(INDEX(PDN_B_OK,1,D349+6)&lt;&gt;0,D349+6,IF(INDEX(PDN_Axle_Diameter,1,D349+7)&lt;&gt;$A349,-2,IF(INDEX(PDN_B_OK,1,D349+7)&lt;&gt;0,D349+7,IF(INDEX(PDN_Axle_Diameter,1,D349+8)&lt;&gt;$A349,-2,IF(INDEX(PDN_B_OK,1,D349+8)&lt;&gt;0,D349+8,IF(INDEX(PDN_Axle_Diameter,1,D349+9)&lt;&gt;$A349,-2,IF(INDEX(PDN_B_OK,1,D349+9)&lt;&gt;0,D349+9,IF(INDEX(PDN_Axle_Diameter,1,D349+10)&lt;&gt;$A349,-2,D349+10)))))))))))))))))))))</f>
        <v>-3</v>
      </c>
      <c r="F349" s="711">
        <f t="shared" ref="F349" si="442">IF(ISERROR($B349),-3,IF(E349=-2,-2,IF(INDEX(PDN_Axle_Diameter,1,E349+1)&lt;&gt;$A349,-2,IF(INDEX(PDN_B_OK,1,E349+1)&lt;&gt;0,E349+1,IF(INDEX(PDN_Axle_Diameter,1,E349+2)&lt;&gt;$A349,-2,IF(INDEX(PDN_B_OK,1,E349+2)&lt;&gt;0,E349+2,IF(INDEX(PDN_Axle_Diameter,1,E349+3)&lt;&gt;$A349,-2,IF(INDEX(PDN_B_OK,1,E349+3)&lt;&gt;0,E349+3,IF(INDEX(PDN_Axle_Diameter,1,E349+4)&lt;&gt;$A349,-2,IF(INDEX(PDN_B_OK,1,E349+4)&lt;&gt;0,E349+4,IF(INDEX(PDN_Axle_Diameter,1,E349+5)&lt;&gt;$A349,-2,IF(INDEX(PDN_B_OK,1,E349+5)&lt;&gt;0,E349+5,IF(INDEX(PDN_Axle_Diameter,1,E349+6)&lt;&gt;$A349,-2,IF(INDEX(PDN_B_OK,1,E349+6)&lt;&gt;0,E349+6,IF(INDEX(PDN_Axle_Diameter,1,E349+7)&lt;&gt;$A349,-2,IF(INDEX(PDN_B_OK,1,E349+7)&lt;&gt;0,E349+7,IF(INDEX(PDN_Axle_Diameter,1,E349+8)&lt;&gt;$A349,-2,IF(INDEX(PDN_B_OK,1,E349+8)&lt;&gt;0,E349+8,IF(INDEX(PDN_Axle_Diameter,1,E349+9)&lt;&gt;$A349,-2,IF(INDEX(PDN_B_OK,1,E349+9)&lt;&gt;0,E349+9,IF(INDEX(PDN_Axle_Diameter,1,E349+10)&lt;&gt;$A349,-2,E349+10)))))))))))))))))))))</f>
        <v>-3</v>
      </c>
      <c r="G349" s="711">
        <f t="shared" ref="G349" si="443">IF(ISERROR($B349),-3,IF(F349=-2,-2,IF(INDEX(PDN_Axle_Diameter,1,F349+1)&lt;&gt;$A349,-2,IF(INDEX(PDN_B_OK,1,F349+1)&lt;&gt;0,F349+1,IF(INDEX(PDN_Axle_Diameter,1,F349+2)&lt;&gt;$A349,-2,IF(INDEX(PDN_B_OK,1,F349+2)&lt;&gt;0,F349+2,IF(INDEX(PDN_Axle_Diameter,1,F349+3)&lt;&gt;$A349,-2,IF(INDEX(PDN_B_OK,1,F349+3)&lt;&gt;0,F349+3,IF(INDEX(PDN_Axle_Diameter,1,F349+4)&lt;&gt;$A349,-2,IF(INDEX(PDN_B_OK,1,F349+4)&lt;&gt;0,F349+4,IF(INDEX(PDN_Axle_Diameter,1,F349+5)&lt;&gt;$A349,-2,IF(INDEX(PDN_B_OK,1,F349+5)&lt;&gt;0,F349+5,IF(INDEX(PDN_Axle_Diameter,1,F349+6)&lt;&gt;$A349,-2,IF(INDEX(PDN_B_OK,1,F349+6)&lt;&gt;0,F349+6,IF(INDEX(PDN_Axle_Diameter,1,F349+7)&lt;&gt;$A349,-2,IF(INDEX(PDN_B_OK,1,F349+7)&lt;&gt;0,F349+7,IF(INDEX(PDN_Axle_Diameter,1,F349+8)&lt;&gt;$A349,-2,IF(INDEX(PDN_B_OK,1,F349+8)&lt;&gt;0,F349+8,IF(INDEX(PDN_Axle_Diameter,1,F349+9)&lt;&gt;$A349,-2,IF(INDEX(PDN_B_OK,1,F349+9)&lt;&gt;0,F349+9,IF(INDEX(PDN_Axle_Diameter,1,F349+10)&lt;&gt;$A349,-2,F349+10)))))))))))))))))))))</f>
        <v>-3</v>
      </c>
      <c r="H349" s="711">
        <f t="shared" ref="H349" si="444">IF(ISERROR($B349),-3,IF(G349=-2,-2,IF(INDEX(PDN_Axle_Diameter,1,G349+1)&lt;&gt;$A349,-2,IF(INDEX(PDN_B_OK,1,G349+1)&lt;&gt;0,G349+1,IF(INDEX(PDN_Axle_Diameter,1,G349+2)&lt;&gt;$A349,-2,IF(INDEX(PDN_B_OK,1,G349+2)&lt;&gt;0,G349+2,IF(INDEX(PDN_Axle_Diameter,1,G349+3)&lt;&gt;$A349,-2,IF(INDEX(PDN_B_OK,1,G349+3)&lt;&gt;0,G349+3,IF(INDEX(PDN_Axle_Diameter,1,G349+4)&lt;&gt;$A349,-2,IF(INDEX(PDN_B_OK,1,G349+4)&lt;&gt;0,G349+4,IF(INDEX(PDN_Axle_Diameter,1,G349+5)&lt;&gt;$A349,-2,IF(INDEX(PDN_B_OK,1,G349+5)&lt;&gt;0,G349+5,IF(INDEX(PDN_Axle_Diameter,1,G349+6)&lt;&gt;$A349,-2,IF(INDEX(PDN_B_OK,1,G349+6)&lt;&gt;0,G349+6,IF(INDEX(PDN_Axle_Diameter,1,G349+7)&lt;&gt;$A349,-2,IF(INDEX(PDN_B_OK,1,G349+7)&lt;&gt;0,G349+7,IF(INDEX(PDN_Axle_Diameter,1,G349+8)&lt;&gt;$A349,-2,IF(INDEX(PDN_B_OK,1,G349+8)&lt;&gt;0,G349+8,IF(INDEX(PDN_Axle_Diameter,1,G349+9)&lt;&gt;$A349,-2,IF(INDEX(PDN_B_OK,1,G349+9)&lt;&gt;0,G349+9,IF(INDEX(PDN_Axle_Diameter,1,G349+10)&lt;&gt;$A349,-2,G349+10)))))))))))))))))))))</f>
        <v>-3</v>
      </c>
      <c r="I349" s="711">
        <f t="shared" ref="I349" si="445">IF(ISERROR($B349),-3,IF(H349=-2,-2,IF(INDEX(PDN_Axle_Diameter,1,H349+1)&lt;&gt;$A349,-2,IF(INDEX(PDN_B_OK,1,H349+1)&lt;&gt;0,H349+1,IF(INDEX(PDN_Axle_Diameter,1,H349+2)&lt;&gt;$A349,-2,IF(INDEX(PDN_B_OK,1,H349+2)&lt;&gt;0,H349+2,IF(INDEX(PDN_Axle_Diameter,1,H349+3)&lt;&gt;$A349,-2,IF(INDEX(PDN_B_OK,1,H349+3)&lt;&gt;0,H349+3,IF(INDEX(PDN_Axle_Diameter,1,H349+4)&lt;&gt;$A349,-2,IF(INDEX(PDN_B_OK,1,H349+4)&lt;&gt;0,H349+4,IF(INDEX(PDN_Axle_Diameter,1,H349+5)&lt;&gt;$A349,-2,IF(INDEX(PDN_B_OK,1,H349+5)&lt;&gt;0,H349+5,IF(INDEX(PDN_Axle_Diameter,1,H349+6)&lt;&gt;$A349,-2,IF(INDEX(PDN_B_OK,1,H349+6)&lt;&gt;0,H349+6,IF(INDEX(PDN_Axle_Diameter,1,H349+7)&lt;&gt;$A349,-2,IF(INDEX(PDN_B_OK,1,H349+7)&lt;&gt;0,H349+7,IF(INDEX(PDN_Axle_Diameter,1,H349+8)&lt;&gt;$A349,-2,IF(INDEX(PDN_B_OK,1,H349+8)&lt;&gt;0,H349+8,IF(INDEX(PDN_Axle_Diameter,1,H349+9)&lt;&gt;$A349,-2,IF(INDEX(PDN_B_OK,1,H349+9)&lt;&gt;0,H349+9,IF(INDEX(PDN_Axle_Diameter,1,H349+10)&lt;&gt;$A349,-2,H349+10)))))))))))))))))))))</f>
        <v>-3</v>
      </c>
      <c r="J349" s="711">
        <f t="shared" ref="J349" si="446">IF(ISERROR($B349),-3,IF(I349=-2,-2,IF(INDEX(PDN_Axle_Diameter,1,I349+1)&lt;&gt;$A349,-2,IF(INDEX(PDN_B_OK,1,I349+1)&lt;&gt;0,I349+1,IF(INDEX(PDN_Axle_Diameter,1,I349+2)&lt;&gt;$A349,-2,IF(INDEX(PDN_B_OK,1,I349+2)&lt;&gt;0,I349+2,IF(INDEX(PDN_Axle_Diameter,1,I349+3)&lt;&gt;$A349,-2,IF(INDEX(PDN_B_OK,1,I349+3)&lt;&gt;0,I349+3,IF(INDEX(PDN_Axle_Diameter,1,I349+4)&lt;&gt;$A349,-2,IF(INDEX(PDN_B_OK,1,I349+4)&lt;&gt;0,I349+4,IF(INDEX(PDN_Axle_Diameter,1,I349+5)&lt;&gt;$A349,-2,IF(INDEX(PDN_B_OK,1,I349+5)&lt;&gt;0,I349+5,IF(INDEX(PDN_Axle_Diameter,1,I349+6)&lt;&gt;$A349,-2,IF(INDEX(PDN_B_OK,1,I349+6)&lt;&gt;0,I349+6,IF(INDEX(PDN_Axle_Diameter,1,I349+7)&lt;&gt;$A349,-2,IF(INDEX(PDN_B_OK,1,I349+7)&lt;&gt;0,I349+7,IF(INDEX(PDN_Axle_Diameter,1,I349+8)&lt;&gt;$A349,-2,IF(INDEX(PDN_B_OK,1,I349+8)&lt;&gt;0,I349+8,IF(INDEX(PDN_Axle_Diameter,1,I349+9)&lt;&gt;$A349,-2,IF(INDEX(PDN_B_OK,1,I349+9)&lt;&gt;0,I349+9,IF(INDEX(PDN_Axle_Diameter,1,I349+10)&lt;&gt;$A349,-2,I349+10)))))))))))))))))))))</f>
        <v>-3</v>
      </c>
      <c r="K349" s="711">
        <f t="shared" ref="K349" si="447">IF(ISERROR($B349),-3,IF(J349=-2,-2,IF(INDEX(PDN_Axle_Diameter,1,J349+1)&lt;&gt;$A349,-2,IF(INDEX(PDN_B_OK,1,J349+1)&lt;&gt;0,J349+1,IF(INDEX(PDN_Axle_Diameter,1,J349+2)&lt;&gt;$A349,-2,IF(INDEX(PDN_B_OK,1,J349+2)&lt;&gt;0,J349+2,IF(INDEX(PDN_Axle_Diameter,1,J349+3)&lt;&gt;$A349,-2,IF(INDEX(PDN_B_OK,1,J349+3)&lt;&gt;0,J349+3,IF(INDEX(PDN_Axle_Diameter,1,J349+4)&lt;&gt;$A349,-2,IF(INDEX(PDN_B_OK,1,J349+4)&lt;&gt;0,J349+4,IF(INDEX(PDN_Axle_Diameter,1,J349+5)&lt;&gt;$A349,-2,IF(INDEX(PDN_B_OK,1,J349+5)&lt;&gt;0,J349+5,IF(INDEX(PDN_Axle_Diameter,1,J349+6)&lt;&gt;$A349,-2,IF(INDEX(PDN_B_OK,1,J349+6)&lt;&gt;0,J349+6,IF(INDEX(PDN_Axle_Diameter,1,J349+7)&lt;&gt;$A349,-2,IF(INDEX(PDN_B_OK,1,J349+7)&lt;&gt;0,J349+7,IF(INDEX(PDN_Axle_Diameter,1,J349+8)&lt;&gt;$A349,-2,IF(INDEX(PDN_B_OK,1,J349+8)&lt;&gt;0,J349+8,IF(INDEX(PDN_Axle_Diameter,1,J349+9)&lt;&gt;$A349,-2,IF(INDEX(PDN_B_OK,1,J349+9)&lt;&gt;0,J349+9,IF(INDEX(PDN_Axle_Diameter,1,J349+10)&lt;&gt;$A349,-2,J349+10)))))))))))))))))))))</f>
        <v>-3</v>
      </c>
      <c r="L349" s="719">
        <f t="shared" ref="L349" si="448">IF(ISERROR($B349),-3,IF(K349=-2,-2,IF(INDEX(PDN_Axle_Diameter,1,K349+1)&lt;&gt;$A349,-2,IF(INDEX(PDN_B_OK,1,K349+1)&lt;&gt;0,K349+1,IF(INDEX(PDN_Axle_Diameter,1,K349+2)&lt;&gt;$A349,-2,IF(INDEX(PDN_B_OK,1,K349+2)&lt;&gt;0,K349+2,IF(INDEX(PDN_Axle_Diameter,1,K349+3)&lt;&gt;$A349,-2,IF(INDEX(PDN_B_OK,1,K349+3)&lt;&gt;0,K349+3,IF(INDEX(PDN_Axle_Diameter,1,K349+4)&lt;&gt;$A349,-2,IF(INDEX(PDN_B_OK,1,K349+4)&lt;&gt;0,K349+4,IF(INDEX(PDN_Axle_Diameter,1,K349+5)&lt;&gt;$A349,-2,IF(INDEX(PDN_B_OK,1,K349+5)&lt;&gt;0,K349+5,IF(INDEX(PDN_Axle_Diameter,1,K349+6)&lt;&gt;$A349,-2,IF(INDEX(PDN_B_OK,1,K349+6)&lt;&gt;0,K349+6,IF(INDEX(PDN_Axle_Diameter,1,K349+7)&lt;&gt;$A349,-2,IF(INDEX(PDN_B_OK,1,K349+7)&lt;&gt;0,K349+7,IF(INDEX(PDN_Axle_Diameter,1,K349+8)&lt;&gt;$A349,-2,IF(INDEX(PDN_B_OK,1,K349+8)&lt;&gt;0,K349+8,IF(INDEX(PDN_Axle_Diameter,1,K349+9)&lt;&gt;$A349,-2,IF(INDEX(PDN_B_OK,1,K349+9)&lt;&gt;0,K349+9,IF(INDEX(PDN_Axle_Diameter,1,K349+10)&lt;&gt;$A349,-2,K349+10)))))))))))))))))))))</f>
        <v>-3</v>
      </c>
    </row>
    <row r="350" spans="1:12" ht="15.95" customHeight="1">
      <c r="A350" s="106"/>
      <c r="B350" s="106"/>
      <c r="C350" s="712">
        <f t="shared" ref="C350:L350" si="449">IF(C351=0,0,INDEX(PDN_Bearing_Type,1,C349))</f>
        <v>0</v>
      </c>
      <c r="D350" s="713">
        <f t="shared" si="449"/>
        <v>0</v>
      </c>
      <c r="E350" s="713">
        <f t="shared" si="449"/>
        <v>0</v>
      </c>
      <c r="F350" s="713">
        <f t="shared" si="449"/>
        <v>0</v>
      </c>
      <c r="G350" s="713">
        <f t="shared" si="449"/>
        <v>0</v>
      </c>
      <c r="H350" s="713">
        <f t="shared" si="449"/>
        <v>0</v>
      </c>
      <c r="I350" s="713">
        <f t="shared" si="449"/>
        <v>0</v>
      </c>
      <c r="J350" s="713">
        <f t="shared" si="449"/>
        <v>0</v>
      </c>
      <c r="K350" s="713">
        <f t="shared" si="449"/>
        <v>0</v>
      </c>
      <c r="L350" s="720">
        <f t="shared" si="449"/>
        <v>0</v>
      </c>
    </row>
    <row r="351" spans="1:12" ht="15.95" customHeight="1">
      <c r="A351" s="106"/>
      <c r="B351" s="106"/>
      <c r="C351" s="710">
        <f t="shared" ref="C351:L351" si="450">IF(C349&lt;0,0,INDEX(PDN_B_OK,1,C349))</f>
        <v>0</v>
      </c>
      <c r="D351" s="711">
        <f t="shared" si="450"/>
        <v>0</v>
      </c>
      <c r="E351" s="711">
        <f t="shared" si="450"/>
        <v>0</v>
      </c>
      <c r="F351" s="711">
        <f t="shared" si="450"/>
        <v>0</v>
      </c>
      <c r="G351" s="711">
        <f t="shared" si="450"/>
        <v>0</v>
      </c>
      <c r="H351" s="711">
        <f t="shared" si="450"/>
        <v>0</v>
      </c>
      <c r="I351" s="711">
        <f t="shared" si="450"/>
        <v>0</v>
      </c>
      <c r="J351" s="711">
        <f t="shared" si="450"/>
        <v>0</v>
      </c>
      <c r="K351" s="711">
        <f t="shared" si="450"/>
        <v>0</v>
      </c>
      <c r="L351" s="719">
        <f t="shared" si="450"/>
        <v>0</v>
      </c>
    </row>
    <row r="352" spans="1:12" ht="15.95" customHeight="1">
      <c r="A352" s="1795">
        <f>A349+5</f>
        <v>200</v>
      </c>
      <c r="B352" s="1795" t="e">
        <f>MATCH($A352,PDN_Axle_Diameter,0)</f>
        <v>#N/A</v>
      </c>
      <c r="C352" s="1796">
        <f>IF(ISERROR($B352),-3,IF(INDEX(PDN_Axle_Diameter,1,B352)&lt;&gt;$A352,-2,IF(INDEX(PDN_B_OK,1,B352)&lt;&gt;0,B352,IF(INDEX(PDN_Axle_Diameter,1,B352+1)&lt;&gt;$A352,-2,IF(INDEX(PDN_B_OK,1,B352+1)&lt;&gt;0,B352+1,IF(INDEX(PDN_Axle_Diameter,1,B352+2)&lt;&gt;$A352,-2,IF(INDEX(PDN_B_OK,1,B352+2)&lt;&gt;0,B352+2,IF(INDEX(PDN_Axle_Diameter,1,B352+3)&lt;&gt;$A352,-2,IF(INDEX(PDN_B_OK,1,B352+3)&lt;&gt;0,B352+3,IF(INDEX(PDN_Axle_Diameter,1,B352+4)&lt;&gt;$A352,-2,IF(INDEX(PDN_B_OK,1,B352+4)&lt;&gt;0,B352+4,IF(INDEX(PDN_Axle_Diameter,1,B352+5)&lt;&gt;$A352,-2,IF(INDEX(PDN_B_OK,1,B352+5)&lt;&gt;0,B352+5,IF(INDEX(PDN_Axle_Diameter,1,B352+6)&lt;&gt;$A352,-2,IF(INDEX(PDN_B_OK,1,B352+6)&lt;&gt;0,B352+6,IF(INDEX(PDN_Axle_Diameter,1,B352+7)&lt;&gt;$A352,-2,IF(INDEX(PDN_B_OK,1,B352+7)&lt;&gt;0,B352+7,IF(INDEX(PDN_Axle_Diameter,1,B352+8)&lt;&gt;$A352,-2,IF(INDEX(PDN_B_OK,1,B352+8)&lt;&gt;0,B352+8,IF(INDEX(PDN_Axle_Diameter,1,B352+9)&lt;&gt;$A352,-2,IF(INDEX(PDN_B_OK,1,B352+9)&lt;&gt;0,B352+9,IF(INDEX(PDN_Axle_Diameter,1,B352+10)&lt;&gt;$A352,-2,B352+10))))))))))))))))))))))</f>
        <v>-3</v>
      </c>
      <c r="D352" s="1796">
        <f t="shared" ref="D352" si="451">IF(ISERROR($B352),-3,IF(C352=-2,-2,IF(INDEX(PDN_Axle_Diameter,1,C352+1)&lt;&gt;$A352,-2,IF(INDEX(PDN_B_OK,1,C352+1)&lt;&gt;0,C352+1,IF(INDEX(PDN_Axle_Diameter,1,C352+2)&lt;&gt;$A352,-2,IF(INDEX(PDN_B_OK,1,C352+2)&lt;&gt;0,C352+2,IF(INDEX(PDN_Axle_Diameter,1,C352+3)&lt;&gt;$A352,-2,IF(INDEX(PDN_B_OK,1,C352+3)&lt;&gt;0,C352+3,IF(INDEX(PDN_Axle_Diameter,1,C352+4)&lt;&gt;$A352,-2,IF(INDEX(PDN_B_OK,1,C352+4)&lt;&gt;0,C352+4,IF(INDEX(PDN_Axle_Diameter,1,C352+5)&lt;&gt;$A352,-2,IF(INDEX(PDN_B_OK,1,C352+5)&lt;&gt;0,C352+5,IF(INDEX(PDN_Axle_Diameter,1,C352+6)&lt;&gt;$A352,-2,IF(INDEX(PDN_B_OK,1,C352+6)&lt;&gt;0,C352+6,IF(INDEX(PDN_Axle_Diameter,1,C352+7)&lt;&gt;$A352,-2,IF(INDEX(PDN_B_OK,1,C352+7)&lt;&gt;0,C352+7,IF(INDEX(PDN_Axle_Diameter,1,C352+8)&lt;&gt;$A352,-2,IF(INDEX(PDN_B_OK,1,C352+8)&lt;&gt;0,C352+8,IF(INDEX(PDN_Axle_Diameter,1,C352+9)&lt;&gt;$A352,-2,IF(INDEX(PDN_B_OK,1,C352+9)&lt;&gt;0,C352+9,IF(INDEX(PDN_Axle_Diameter,1,C352+10)&lt;&gt;$A352,-2,C352+10)))))))))))))))))))))</f>
        <v>-3</v>
      </c>
      <c r="E352" s="1797">
        <f t="shared" ref="E352" si="452">IF(ISERROR($B352),-3,IF(D352=-2,-2,IF(INDEX(PDN_Axle_Diameter,1,D352+1)&lt;&gt;$A352,-2,IF(INDEX(PDN_B_OK,1,D352+1)&lt;&gt;0,D352+1,IF(INDEX(PDN_Axle_Diameter,1,D352+2)&lt;&gt;$A352,-2,IF(INDEX(PDN_B_OK,1,D352+2)&lt;&gt;0,D352+2,IF(INDEX(PDN_Axle_Diameter,1,D352+3)&lt;&gt;$A352,-2,IF(INDEX(PDN_B_OK,1,D352+3)&lt;&gt;0,D352+3,IF(INDEX(PDN_Axle_Diameter,1,D352+4)&lt;&gt;$A352,-2,IF(INDEX(PDN_B_OK,1,D352+4)&lt;&gt;0,D352+4,IF(INDEX(PDN_Axle_Diameter,1,D352+5)&lt;&gt;$A352,-2,IF(INDEX(PDN_B_OK,1,D352+5)&lt;&gt;0,D352+5,IF(INDEX(PDN_Axle_Diameter,1,D352+6)&lt;&gt;$A352,-2,IF(INDEX(PDN_B_OK,1,D352+6)&lt;&gt;0,D352+6,IF(INDEX(PDN_Axle_Diameter,1,D352+7)&lt;&gt;$A352,-2,IF(INDEX(PDN_B_OK,1,D352+7)&lt;&gt;0,D352+7,IF(INDEX(PDN_Axle_Diameter,1,D352+8)&lt;&gt;$A352,-2,IF(INDEX(PDN_B_OK,1,D352+8)&lt;&gt;0,D352+8,IF(INDEX(PDN_Axle_Diameter,1,D352+9)&lt;&gt;$A352,-2,IF(INDEX(PDN_B_OK,1,D352+9)&lt;&gt;0,D352+9,IF(INDEX(PDN_Axle_Diameter,1,D352+10)&lt;&gt;$A352,-2,D352+10)))))))))))))))))))))</f>
        <v>-3</v>
      </c>
      <c r="F352" s="1797">
        <f t="shared" ref="F352" si="453">IF(ISERROR($B352),-3,IF(E352=-2,-2,IF(INDEX(PDN_Axle_Diameter,1,E352+1)&lt;&gt;$A352,-2,IF(INDEX(PDN_B_OK,1,E352+1)&lt;&gt;0,E352+1,IF(INDEX(PDN_Axle_Diameter,1,E352+2)&lt;&gt;$A352,-2,IF(INDEX(PDN_B_OK,1,E352+2)&lt;&gt;0,E352+2,IF(INDEX(PDN_Axle_Diameter,1,E352+3)&lt;&gt;$A352,-2,IF(INDEX(PDN_B_OK,1,E352+3)&lt;&gt;0,E352+3,IF(INDEX(PDN_Axle_Diameter,1,E352+4)&lt;&gt;$A352,-2,IF(INDEX(PDN_B_OK,1,E352+4)&lt;&gt;0,E352+4,IF(INDEX(PDN_Axle_Diameter,1,E352+5)&lt;&gt;$A352,-2,IF(INDEX(PDN_B_OK,1,E352+5)&lt;&gt;0,E352+5,IF(INDEX(PDN_Axle_Diameter,1,E352+6)&lt;&gt;$A352,-2,IF(INDEX(PDN_B_OK,1,E352+6)&lt;&gt;0,E352+6,IF(INDEX(PDN_Axle_Diameter,1,E352+7)&lt;&gt;$A352,-2,IF(INDEX(PDN_B_OK,1,E352+7)&lt;&gt;0,E352+7,IF(INDEX(PDN_Axle_Diameter,1,E352+8)&lt;&gt;$A352,-2,IF(INDEX(PDN_B_OK,1,E352+8)&lt;&gt;0,E352+8,IF(INDEX(PDN_Axle_Diameter,1,E352+9)&lt;&gt;$A352,-2,IF(INDEX(PDN_B_OK,1,E352+9)&lt;&gt;0,E352+9,IF(INDEX(PDN_Axle_Diameter,1,E352+10)&lt;&gt;$A352,-2,E352+10)))))))))))))))))))))</f>
        <v>-3</v>
      </c>
      <c r="G352" s="1797">
        <f t="shared" ref="G352" si="454">IF(ISERROR($B352),-3,IF(F352=-2,-2,IF(INDEX(PDN_Axle_Diameter,1,F352+1)&lt;&gt;$A352,-2,IF(INDEX(PDN_B_OK,1,F352+1)&lt;&gt;0,F352+1,IF(INDEX(PDN_Axle_Diameter,1,F352+2)&lt;&gt;$A352,-2,IF(INDEX(PDN_B_OK,1,F352+2)&lt;&gt;0,F352+2,IF(INDEX(PDN_Axle_Diameter,1,F352+3)&lt;&gt;$A352,-2,IF(INDEX(PDN_B_OK,1,F352+3)&lt;&gt;0,F352+3,IF(INDEX(PDN_Axle_Diameter,1,F352+4)&lt;&gt;$A352,-2,IF(INDEX(PDN_B_OK,1,F352+4)&lt;&gt;0,F352+4,IF(INDEX(PDN_Axle_Diameter,1,F352+5)&lt;&gt;$A352,-2,IF(INDEX(PDN_B_OK,1,F352+5)&lt;&gt;0,F352+5,IF(INDEX(PDN_Axle_Diameter,1,F352+6)&lt;&gt;$A352,-2,IF(INDEX(PDN_B_OK,1,F352+6)&lt;&gt;0,F352+6,IF(INDEX(PDN_Axle_Diameter,1,F352+7)&lt;&gt;$A352,-2,IF(INDEX(PDN_B_OK,1,F352+7)&lt;&gt;0,F352+7,IF(INDEX(PDN_Axle_Diameter,1,F352+8)&lt;&gt;$A352,-2,IF(INDEX(PDN_B_OK,1,F352+8)&lt;&gt;0,F352+8,IF(INDEX(PDN_Axle_Diameter,1,F352+9)&lt;&gt;$A352,-2,IF(INDEX(PDN_B_OK,1,F352+9)&lt;&gt;0,F352+9,IF(INDEX(PDN_Axle_Diameter,1,F352+10)&lt;&gt;$A352,-2,F352+10)))))))))))))))))))))</f>
        <v>-3</v>
      </c>
      <c r="H352" s="1797">
        <f t="shared" ref="H352" si="455">IF(ISERROR($B352),-3,IF(G352=-2,-2,IF(INDEX(PDN_Axle_Diameter,1,G352+1)&lt;&gt;$A352,-2,IF(INDEX(PDN_B_OK,1,G352+1)&lt;&gt;0,G352+1,IF(INDEX(PDN_Axle_Diameter,1,G352+2)&lt;&gt;$A352,-2,IF(INDEX(PDN_B_OK,1,G352+2)&lt;&gt;0,G352+2,IF(INDEX(PDN_Axle_Diameter,1,G352+3)&lt;&gt;$A352,-2,IF(INDEX(PDN_B_OK,1,G352+3)&lt;&gt;0,G352+3,IF(INDEX(PDN_Axle_Diameter,1,G352+4)&lt;&gt;$A352,-2,IF(INDEX(PDN_B_OK,1,G352+4)&lt;&gt;0,G352+4,IF(INDEX(PDN_Axle_Diameter,1,G352+5)&lt;&gt;$A352,-2,IF(INDEX(PDN_B_OK,1,G352+5)&lt;&gt;0,G352+5,IF(INDEX(PDN_Axle_Diameter,1,G352+6)&lt;&gt;$A352,-2,IF(INDEX(PDN_B_OK,1,G352+6)&lt;&gt;0,G352+6,IF(INDEX(PDN_Axle_Diameter,1,G352+7)&lt;&gt;$A352,-2,IF(INDEX(PDN_B_OK,1,G352+7)&lt;&gt;0,G352+7,IF(INDEX(PDN_Axle_Diameter,1,G352+8)&lt;&gt;$A352,-2,IF(INDEX(PDN_B_OK,1,G352+8)&lt;&gt;0,G352+8,IF(INDEX(PDN_Axle_Diameter,1,G352+9)&lt;&gt;$A352,-2,IF(INDEX(PDN_B_OK,1,G352+9)&lt;&gt;0,G352+9,IF(INDEX(PDN_Axle_Diameter,1,G352+10)&lt;&gt;$A352,-2,G352+10)))))))))))))))))))))</f>
        <v>-3</v>
      </c>
      <c r="I352" s="1797">
        <f t="shared" ref="I352" si="456">IF(ISERROR($B352),-3,IF(H352=-2,-2,IF(INDEX(PDN_Axle_Diameter,1,H352+1)&lt;&gt;$A352,-2,IF(INDEX(PDN_B_OK,1,H352+1)&lt;&gt;0,H352+1,IF(INDEX(PDN_Axle_Diameter,1,H352+2)&lt;&gt;$A352,-2,IF(INDEX(PDN_B_OK,1,H352+2)&lt;&gt;0,H352+2,IF(INDEX(PDN_Axle_Diameter,1,H352+3)&lt;&gt;$A352,-2,IF(INDEX(PDN_B_OK,1,H352+3)&lt;&gt;0,H352+3,IF(INDEX(PDN_Axle_Diameter,1,H352+4)&lt;&gt;$A352,-2,IF(INDEX(PDN_B_OK,1,H352+4)&lt;&gt;0,H352+4,IF(INDEX(PDN_Axle_Diameter,1,H352+5)&lt;&gt;$A352,-2,IF(INDEX(PDN_B_OK,1,H352+5)&lt;&gt;0,H352+5,IF(INDEX(PDN_Axle_Diameter,1,H352+6)&lt;&gt;$A352,-2,IF(INDEX(PDN_B_OK,1,H352+6)&lt;&gt;0,H352+6,IF(INDEX(PDN_Axle_Diameter,1,H352+7)&lt;&gt;$A352,-2,IF(INDEX(PDN_B_OK,1,H352+7)&lt;&gt;0,H352+7,IF(INDEX(PDN_Axle_Diameter,1,H352+8)&lt;&gt;$A352,-2,IF(INDEX(PDN_B_OK,1,H352+8)&lt;&gt;0,H352+8,IF(INDEX(PDN_Axle_Diameter,1,H352+9)&lt;&gt;$A352,-2,IF(INDEX(PDN_B_OK,1,H352+9)&lt;&gt;0,H352+9,IF(INDEX(PDN_Axle_Diameter,1,H352+10)&lt;&gt;$A352,-2,H352+10)))))))))))))))))))))</f>
        <v>-3</v>
      </c>
      <c r="J352" s="1797">
        <f t="shared" ref="J352" si="457">IF(ISERROR($B352),-3,IF(I352=-2,-2,IF(INDEX(PDN_Axle_Diameter,1,I352+1)&lt;&gt;$A352,-2,IF(INDEX(PDN_B_OK,1,I352+1)&lt;&gt;0,I352+1,IF(INDEX(PDN_Axle_Diameter,1,I352+2)&lt;&gt;$A352,-2,IF(INDEX(PDN_B_OK,1,I352+2)&lt;&gt;0,I352+2,IF(INDEX(PDN_Axle_Diameter,1,I352+3)&lt;&gt;$A352,-2,IF(INDEX(PDN_B_OK,1,I352+3)&lt;&gt;0,I352+3,IF(INDEX(PDN_Axle_Diameter,1,I352+4)&lt;&gt;$A352,-2,IF(INDEX(PDN_B_OK,1,I352+4)&lt;&gt;0,I352+4,IF(INDEX(PDN_Axle_Diameter,1,I352+5)&lt;&gt;$A352,-2,IF(INDEX(PDN_B_OK,1,I352+5)&lt;&gt;0,I352+5,IF(INDEX(PDN_Axle_Diameter,1,I352+6)&lt;&gt;$A352,-2,IF(INDEX(PDN_B_OK,1,I352+6)&lt;&gt;0,I352+6,IF(INDEX(PDN_Axle_Diameter,1,I352+7)&lt;&gt;$A352,-2,IF(INDEX(PDN_B_OK,1,I352+7)&lt;&gt;0,I352+7,IF(INDEX(PDN_Axle_Diameter,1,I352+8)&lt;&gt;$A352,-2,IF(INDEX(PDN_B_OK,1,I352+8)&lt;&gt;0,I352+8,IF(INDEX(PDN_Axle_Diameter,1,I352+9)&lt;&gt;$A352,-2,IF(INDEX(PDN_B_OK,1,I352+9)&lt;&gt;0,I352+9,IF(INDEX(PDN_Axle_Diameter,1,I352+10)&lt;&gt;$A352,-2,I352+10)))))))))))))))))))))</f>
        <v>-3</v>
      </c>
      <c r="K352" s="1797">
        <f t="shared" ref="K352" si="458">IF(ISERROR($B352),-3,IF(J352=-2,-2,IF(INDEX(PDN_Axle_Diameter,1,J352+1)&lt;&gt;$A352,-2,IF(INDEX(PDN_B_OK,1,J352+1)&lt;&gt;0,J352+1,IF(INDEX(PDN_Axle_Diameter,1,J352+2)&lt;&gt;$A352,-2,IF(INDEX(PDN_B_OK,1,J352+2)&lt;&gt;0,J352+2,IF(INDEX(PDN_Axle_Diameter,1,J352+3)&lt;&gt;$A352,-2,IF(INDEX(PDN_B_OK,1,J352+3)&lt;&gt;0,J352+3,IF(INDEX(PDN_Axle_Diameter,1,J352+4)&lt;&gt;$A352,-2,IF(INDEX(PDN_B_OK,1,J352+4)&lt;&gt;0,J352+4,IF(INDEX(PDN_Axle_Diameter,1,J352+5)&lt;&gt;$A352,-2,IF(INDEX(PDN_B_OK,1,J352+5)&lt;&gt;0,J352+5,IF(INDEX(PDN_Axle_Diameter,1,J352+6)&lt;&gt;$A352,-2,IF(INDEX(PDN_B_OK,1,J352+6)&lt;&gt;0,J352+6,IF(INDEX(PDN_Axle_Diameter,1,J352+7)&lt;&gt;$A352,-2,IF(INDEX(PDN_B_OK,1,J352+7)&lt;&gt;0,J352+7,IF(INDEX(PDN_Axle_Diameter,1,J352+8)&lt;&gt;$A352,-2,IF(INDEX(PDN_B_OK,1,J352+8)&lt;&gt;0,J352+8,IF(INDEX(PDN_Axle_Diameter,1,J352+9)&lt;&gt;$A352,-2,IF(INDEX(PDN_B_OK,1,J352+9)&lt;&gt;0,J352+9,IF(INDEX(PDN_Axle_Diameter,1,J352+10)&lt;&gt;$A352,-2,J352+10)))))))))))))))))))))</f>
        <v>-3</v>
      </c>
      <c r="L352" s="1798">
        <f t="shared" ref="L352" si="459">IF(ISERROR($B352),-3,IF(K352=-2,-2,IF(INDEX(PDN_Axle_Diameter,1,K352+1)&lt;&gt;$A352,-2,IF(INDEX(PDN_B_OK,1,K352+1)&lt;&gt;0,K352+1,IF(INDEX(PDN_Axle_Diameter,1,K352+2)&lt;&gt;$A352,-2,IF(INDEX(PDN_B_OK,1,K352+2)&lt;&gt;0,K352+2,IF(INDEX(PDN_Axle_Diameter,1,K352+3)&lt;&gt;$A352,-2,IF(INDEX(PDN_B_OK,1,K352+3)&lt;&gt;0,K352+3,IF(INDEX(PDN_Axle_Diameter,1,K352+4)&lt;&gt;$A352,-2,IF(INDEX(PDN_B_OK,1,K352+4)&lt;&gt;0,K352+4,IF(INDEX(PDN_Axle_Diameter,1,K352+5)&lt;&gt;$A352,-2,IF(INDEX(PDN_B_OK,1,K352+5)&lt;&gt;0,K352+5,IF(INDEX(PDN_Axle_Diameter,1,K352+6)&lt;&gt;$A352,-2,IF(INDEX(PDN_B_OK,1,K352+6)&lt;&gt;0,K352+6,IF(INDEX(PDN_Axle_Diameter,1,K352+7)&lt;&gt;$A352,-2,IF(INDEX(PDN_B_OK,1,K352+7)&lt;&gt;0,K352+7,IF(INDEX(PDN_Axle_Diameter,1,K352+8)&lt;&gt;$A352,-2,IF(INDEX(PDN_B_OK,1,K352+8)&lt;&gt;0,K352+8,IF(INDEX(PDN_Axle_Diameter,1,K352+9)&lt;&gt;$A352,-2,IF(INDEX(PDN_B_OK,1,K352+9)&lt;&gt;0,K352+9,IF(INDEX(PDN_Axle_Diameter,1,K352+10)&lt;&gt;$A352,-2,K352+10)))))))))))))))))))))</f>
        <v>-3</v>
      </c>
    </row>
    <row r="353" spans="1:12" ht="15.95" customHeight="1">
      <c r="A353" s="1795"/>
      <c r="B353" s="1795"/>
      <c r="C353" s="1799">
        <f t="shared" ref="C353:L353" si="460">IF(C354=0,0,INDEX(PDN_Bearing_Type,1,C352))</f>
        <v>0</v>
      </c>
      <c r="D353" s="1797">
        <f t="shared" si="460"/>
        <v>0</v>
      </c>
      <c r="E353" s="1797">
        <f t="shared" si="460"/>
        <v>0</v>
      </c>
      <c r="F353" s="1797">
        <f t="shared" si="460"/>
        <v>0</v>
      </c>
      <c r="G353" s="1797">
        <f t="shared" si="460"/>
        <v>0</v>
      </c>
      <c r="H353" s="1797">
        <f t="shared" si="460"/>
        <v>0</v>
      </c>
      <c r="I353" s="1797">
        <f t="shared" si="460"/>
        <v>0</v>
      </c>
      <c r="J353" s="1797">
        <f t="shared" si="460"/>
        <v>0</v>
      </c>
      <c r="K353" s="1797">
        <f t="shared" si="460"/>
        <v>0</v>
      </c>
      <c r="L353" s="1798">
        <f t="shared" si="460"/>
        <v>0</v>
      </c>
    </row>
    <row r="354" spans="1:12" ht="15.95" customHeight="1" thickBot="1">
      <c r="A354" s="1800"/>
      <c r="B354" s="1800"/>
      <c r="C354" s="1801">
        <f t="shared" ref="C354:L354" si="461">IF(C352&lt;0,0,INDEX(PDN_B_OK,1,C352))</f>
        <v>0</v>
      </c>
      <c r="D354" s="1802">
        <f t="shared" si="461"/>
        <v>0</v>
      </c>
      <c r="E354" s="1802">
        <f t="shared" si="461"/>
        <v>0</v>
      </c>
      <c r="F354" s="1802">
        <f t="shared" si="461"/>
        <v>0</v>
      </c>
      <c r="G354" s="1802">
        <f t="shared" si="461"/>
        <v>0</v>
      </c>
      <c r="H354" s="1802">
        <f t="shared" si="461"/>
        <v>0</v>
      </c>
      <c r="I354" s="1802">
        <f t="shared" si="461"/>
        <v>0</v>
      </c>
      <c r="J354" s="1802">
        <f t="shared" si="461"/>
        <v>0</v>
      </c>
      <c r="K354" s="1802">
        <f t="shared" si="461"/>
        <v>0</v>
      </c>
      <c r="L354" s="1803">
        <f t="shared" si="461"/>
        <v>0</v>
      </c>
    </row>
  </sheetData>
  <mergeCells count="4">
    <mergeCell ref="AM125:AP126"/>
    <mergeCell ref="D22:F22"/>
    <mergeCell ref="A1:B1"/>
    <mergeCell ref="D2:E2"/>
  </mergeCells>
  <phoneticPr fontId="170" type="noConversion"/>
  <pageMargins left="0.70866141732283472" right="0.70866141732283472" top="0.74803149606299213" bottom="0.74803149606299213" header="0.31496062992125984" footer="0.31496062992125984"/>
  <pageSetup paperSize="9" scale="39" orientation="landscape" r:id="rId1"/>
  <headerFooter>
    <oddHeader>&amp;L&amp;F / &amp;A&amp;R&amp;D</oddHeader>
    <oddFooter>&amp;L&amp;12CONFIDENTIAL&amp;C&amp;12BARKER JET&amp;Rpage &amp;P / &amp;N</oddFooter>
  </headerFooter>
  <legacy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>
    <pageSetUpPr fitToPage="1"/>
  </sheetPr>
  <dimension ref="A1:XFD186"/>
  <sheetViews>
    <sheetView zoomScale="85" zoomScaleNormal="85" workbookViewId="0">
      <pane ySplit="16" topLeftCell="A17" activePane="bottomLeft" state="frozen"/>
      <selection activeCell="C6" sqref="C6:G6"/>
      <selection pane="bottomLeft" activeCell="F14" sqref="F14"/>
    </sheetView>
  </sheetViews>
  <sheetFormatPr defaultColWidth="9" defaultRowHeight="15"/>
  <cols>
    <col min="1" max="1" width="55.5703125" style="465" customWidth="1"/>
    <col min="2" max="2" width="9" style="465"/>
    <col min="3" max="3" width="9.140625" style="465" bestFit="1" customWidth="1"/>
    <col min="4" max="4" width="9" style="465"/>
    <col min="5" max="5" width="9" style="465" customWidth="1"/>
    <col min="6" max="11" width="9" style="465"/>
    <col min="12" max="12" width="10.7109375" style="465" bestFit="1" customWidth="1"/>
    <col min="13" max="16384" width="9" style="465"/>
  </cols>
  <sheetData>
    <row r="1" spans="1:36" s="243" customFormat="1" ht="19.5" thickBot="1">
      <c r="A1" s="115" t="str">
        <f>'Select Drive &amp; Motor'!A1</f>
        <v>ID</v>
      </c>
      <c r="B1" s="2148" t="str">
        <f>ID</f>
        <v>NBF191005</v>
      </c>
      <c r="C1" s="3614" t="str">
        <f>'Select Drive &amp; Motor'!C1:Q1</f>
        <v>, , XOE 273-90 REG, Direct, RD135</v>
      </c>
      <c r="D1" s="3614"/>
      <c r="E1" s="3614"/>
      <c r="F1" s="3614"/>
      <c r="G1" s="3614"/>
      <c r="H1" s="3614"/>
      <c r="I1" s="3614"/>
      <c r="J1" s="3614"/>
      <c r="K1" s="3614"/>
      <c r="L1" s="3614"/>
      <c r="M1" s="3614"/>
      <c r="N1" s="3795"/>
    </row>
    <row r="2" spans="1:36" s="243" customFormat="1" ht="19.5" thickBot="1">
      <c r="A2" s="115" t="str">
        <f>'Select Drive &amp; Motor'!A2</f>
        <v>Comments</v>
      </c>
      <c r="B2" s="3613">
        <f>'Select Drive &amp; Motor'!B2</f>
        <v>0</v>
      </c>
      <c r="C2" s="3614"/>
      <c r="D2" s="3614"/>
      <c r="E2" s="3614"/>
      <c r="F2" s="3614"/>
      <c r="G2" s="3614"/>
      <c r="H2" s="3614"/>
      <c r="I2" s="3614"/>
      <c r="J2" s="3614"/>
      <c r="K2" s="3614"/>
      <c r="L2" s="3615"/>
      <c r="M2" s="3611" t="str">
        <f>'Select Drive &amp; Motor'!P2</f>
        <v>190923</v>
      </c>
      <c r="N2" s="3612"/>
    </row>
    <row r="3" spans="1:36" s="802" customFormat="1" ht="19.5" thickBot="1">
      <c r="A3" s="163"/>
      <c r="B3" s="116"/>
      <c r="C3" s="116"/>
      <c r="D3" s="116"/>
      <c r="E3" s="116"/>
      <c r="F3" s="116"/>
      <c r="G3" s="116"/>
      <c r="H3" s="116"/>
      <c r="I3" s="116"/>
      <c r="J3" s="116"/>
      <c r="K3" s="116"/>
      <c r="L3" s="116"/>
      <c r="M3" s="801"/>
      <c r="N3" s="801"/>
    </row>
    <row r="4" spans="1:36" s="802" customFormat="1" ht="19.5" thickBot="1">
      <c r="A4" s="3796" t="s">
        <v>2644</v>
      </c>
      <c r="B4" s="3797"/>
      <c r="C4" s="3797"/>
      <c r="D4" s="3797"/>
      <c r="E4" s="3797"/>
      <c r="F4" s="3797"/>
      <c r="G4" s="3797"/>
      <c r="H4" s="3797"/>
      <c r="I4" s="3797"/>
      <c r="J4" s="3797"/>
      <c r="K4" s="3797"/>
      <c r="L4" s="3797"/>
      <c r="M4" s="3797"/>
      <c r="N4" s="3797"/>
      <c r="O4" s="3797"/>
      <c r="P4" s="3797"/>
      <c r="Q4" s="3797"/>
      <c r="R4" s="3797"/>
      <c r="S4" s="3797"/>
      <c r="T4" s="3797"/>
      <c r="U4" s="3797"/>
      <c r="V4" s="3797"/>
      <c r="W4" s="3797"/>
      <c r="X4" s="3797"/>
      <c r="Y4" s="3797"/>
      <c r="Z4" s="3797"/>
      <c r="AA4" s="3797"/>
      <c r="AB4" s="3797"/>
      <c r="AC4" s="3797"/>
      <c r="AD4" s="3797"/>
      <c r="AE4" s="3797"/>
      <c r="AF4" s="3797"/>
      <c r="AG4" s="3797"/>
      <c r="AH4" s="3797"/>
      <c r="AI4" s="3797"/>
      <c r="AJ4" s="3798"/>
    </row>
    <row r="5" spans="1:36">
      <c r="A5" s="3821" t="s">
        <v>1792</v>
      </c>
      <c r="B5" s="3819"/>
      <c r="C5" s="3819"/>
      <c r="D5" s="3819"/>
      <c r="E5" s="3819"/>
      <c r="F5" s="3819"/>
      <c r="G5" s="3819"/>
      <c r="H5" s="2512" t="s">
        <v>3957</v>
      </c>
      <c r="I5" s="2513" t="e">
        <f ca="1">Small_F</f>
        <v>#REF!</v>
      </c>
      <c r="J5" s="3818" t="str">
        <f>"HOUSE FRAME data "&amp;E6&amp;", (0, 0) - DRIVE VIEW"</f>
        <v>HOUSE FRAME data RD, (0, 0) - DRIVE VIEW</v>
      </c>
      <c r="K5" s="3819"/>
      <c r="L5" s="3819"/>
      <c r="M5" s="3819"/>
      <c r="N5" s="3819"/>
      <c r="O5" s="3819"/>
      <c r="P5" s="3819"/>
      <c r="Q5" s="3819"/>
      <c r="R5" s="3819"/>
      <c r="S5" s="3819"/>
      <c r="T5" s="3819"/>
      <c r="U5" s="3819"/>
      <c r="V5" s="3819"/>
      <c r="W5" s="3819"/>
      <c r="X5" s="3819"/>
      <c r="Y5" s="3819"/>
      <c r="Z5" s="3819"/>
      <c r="AA5" s="3819"/>
      <c r="AB5" s="3819"/>
      <c r="AC5" s="3820"/>
      <c r="AD5" s="3803" t="s">
        <v>1796</v>
      </c>
      <c r="AE5" s="3804"/>
      <c r="AF5" s="3804"/>
      <c r="AG5" s="3804"/>
      <c r="AH5" s="3804"/>
      <c r="AI5" s="3804"/>
      <c r="AJ5" s="3805"/>
    </row>
    <row r="6" spans="1:36">
      <c r="A6" s="2443" t="s">
        <v>1791</v>
      </c>
      <c r="B6" s="2449">
        <v>0</v>
      </c>
      <c r="C6" s="2056">
        <v>0</v>
      </c>
      <c r="D6" s="518" t="s">
        <v>1489</v>
      </c>
      <c r="E6" s="803" t="str">
        <f>IF(B6&lt;&gt;0,B6,Fan_orientation)</f>
        <v>RD</v>
      </c>
      <c r="F6" s="1321">
        <f>IF($E$6="LG",1,-1)</f>
        <v>-1</v>
      </c>
      <c r="G6" s="803">
        <f>IF(C6&lt;&gt;0,C6,H_rotation)</f>
        <v>135</v>
      </c>
      <c r="H6" s="1175">
        <f>RADIANS($G$6)</f>
        <v>2.3561944901923448</v>
      </c>
      <c r="I6" s="521" t="s">
        <v>1250</v>
      </c>
      <c r="J6" s="522"/>
      <c r="K6" s="2398" t="s">
        <v>1794</v>
      </c>
      <c r="L6" s="2399" t="s">
        <v>1093</v>
      </c>
      <c r="M6" s="940"/>
      <c r="N6" s="518"/>
      <c r="O6" s="518"/>
      <c r="P6" s="3328" t="s">
        <v>4265</v>
      </c>
      <c r="Q6" s="518" t="s">
        <v>4013</v>
      </c>
      <c r="R6" s="528" t="s">
        <v>346</v>
      </c>
      <c r="S6" s="528" t="s">
        <v>304</v>
      </c>
      <c r="T6" s="528" t="s">
        <v>348</v>
      </c>
      <c r="U6" s="518"/>
      <c r="V6" s="518"/>
      <c r="AB6" s="518"/>
      <c r="AC6" s="521"/>
      <c r="AD6" s="522"/>
      <c r="AE6" s="528" t="s">
        <v>1797</v>
      </c>
      <c r="AF6" s="510">
        <f>d_2</f>
        <v>1600</v>
      </c>
      <c r="AG6" s="518" t="s">
        <v>136</v>
      </c>
      <c r="AH6" s="518"/>
      <c r="AI6" s="518"/>
      <c r="AJ6" s="527"/>
    </row>
    <row r="7" spans="1:36">
      <c r="A7" s="543" t="s">
        <v>1089</v>
      </c>
      <c r="B7" s="2061">
        <f>r0</f>
        <v>0.95050964215147715</v>
      </c>
      <c r="C7" s="813" t="s">
        <v>1135</v>
      </c>
      <c r="D7" s="518"/>
      <c r="E7" s="518"/>
      <c r="F7" s="518"/>
      <c r="G7" s="518"/>
      <c r="H7" s="518"/>
      <c r="I7" s="521"/>
      <c r="J7" s="500" t="s">
        <v>1029</v>
      </c>
      <c r="K7" s="810">
        <v>0</v>
      </c>
      <c r="L7" s="810">
        <v>0</v>
      </c>
      <c r="M7" s="942"/>
      <c r="N7" s="518"/>
      <c r="O7" s="518"/>
      <c r="P7" s="528" t="s">
        <v>4207</v>
      </c>
      <c r="Q7" s="815" t="e">
        <f ca="1">H_STD_Re</f>
        <v>#REF!</v>
      </c>
      <c r="R7" s="816" t="e">
        <f ca="1">VLOOKUP($Q7,Iron_dim,2,FALSE)</f>
        <v>#REF!</v>
      </c>
      <c r="S7" s="816" t="e">
        <f ca="1">VLOOKUP($Q7,Iron_dim,3,FALSE)</f>
        <v>#REF!</v>
      </c>
      <c r="T7" s="816" t="e">
        <f ca="1">VLOOKUP($Q7,Iron_dim,4,FALSE)</f>
        <v>#REF!</v>
      </c>
      <c r="U7" s="522"/>
      <c r="V7" s="518"/>
      <c r="W7" s="2639"/>
      <c r="X7" s="2640"/>
      <c r="Y7" s="2640"/>
      <c r="Z7" s="2640"/>
      <c r="AA7" s="2640"/>
      <c r="AB7" s="518"/>
      <c r="AC7" s="521"/>
      <c r="AD7" s="522"/>
      <c r="AE7" s="528" t="s">
        <v>3857</v>
      </c>
      <c r="AF7" s="1154">
        <f>Inlet_D</f>
        <v>950</v>
      </c>
      <c r="AG7" s="518" t="s">
        <v>136</v>
      </c>
      <c r="AH7" s="518" t="s">
        <v>2512</v>
      </c>
      <c r="AI7" s="518">
        <f>inlet_D_ext/1000/2</f>
        <v>0.47499999999999998</v>
      </c>
      <c r="AJ7" s="527" t="s">
        <v>1135</v>
      </c>
    </row>
    <row r="8" spans="1:36">
      <c r="A8" s="543" t="s">
        <v>1871</v>
      </c>
      <c r="B8" s="2450">
        <f>K_House</f>
        <v>7.9312948555555277E-2</v>
      </c>
      <c r="C8" s="813" t="s">
        <v>1138</v>
      </c>
      <c r="D8" s="518"/>
      <c r="E8" s="518"/>
      <c r="F8" s="518"/>
      <c r="G8" s="518"/>
      <c r="H8" s="518"/>
      <c r="I8" s="521"/>
      <c r="J8" s="522" t="s">
        <v>1028</v>
      </c>
      <c r="K8" s="811">
        <v>0</v>
      </c>
      <c r="L8" s="811">
        <v>0</v>
      </c>
      <c r="M8" s="518"/>
      <c r="N8" s="518"/>
      <c r="O8" s="518"/>
      <c r="P8" s="2640" t="s">
        <v>4209</v>
      </c>
      <c r="Q8" s="3327" t="str">
        <f>H_extF_SURe</f>
        <v>SU</v>
      </c>
      <c r="R8" s="2651">
        <f>VLOOKUP($Q8,Iron_dim,2,FALSE)</f>
        <v>110</v>
      </c>
      <c r="S8" s="2651">
        <f>VLOOKUP($Q8,Iron_dim,3,FALSE)</f>
        <v>80</v>
      </c>
      <c r="T8" s="2651">
        <f>VLOOKUP($Q8,Iron_dim,4,FALSE)</f>
        <v>4</v>
      </c>
      <c r="U8" s="2505"/>
      <c r="V8" s="2505"/>
      <c r="AB8" s="2505"/>
      <c r="AC8" s="2511"/>
      <c r="AD8" s="522"/>
      <c r="AE8" s="528" t="s">
        <v>1132</v>
      </c>
      <c r="AF8" s="510">
        <f>d_in</f>
        <v>700</v>
      </c>
      <c r="AG8" s="518" t="s">
        <v>136</v>
      </c>
      <c r="AH8" s="518" t="s">
        <v>2513</v>
      </c>
      <c r="AI8" s="518">
        <f>d_in/1000/2</f>
        <v>0.35</v>
      </c>
      <c r="AJ8" s="527" t="s">
        <v>1135</v>
      </c>
    </row>
    <row r="9" spans="1:36">
      <c r="A9" s="543" t="s">
        <v>1297</v>
      </c>
      <c r="B9" s="2450">
        <f>H_alfastart</f>
        <v>1.1344640137963142</v>
      </c>
      <c r="C9" s="813" t="s">
        <v>1137</v>
      </c>
      <c r="D9" s="518"/>
      <c r="E9" s="528" t="s">
        <v>1246</v>
      </c>
      <c r="F9" s="804">
        <v>0</v>
      </c>
      <c r="G9" s="518" t="s">
        <v>1137</v>
      </c>
      <c r="H9" s="510">
        <f>DEGREES(B9)</f>
        <v>65</v>
      </c>
      <c r="I9" s="518" t="s">
        <v>1489</v>
      </c>
      <c r="J9" s="522"/>
      <c r="M9" s="518"/>
      <c r="N9" s="518"/>
      <c r="V9" s="518"/>
      <c r="W9" s="518"/>
      <c r="X9" s="518"/>
      <c r="Y9" s="518"/>
      <c r="Z9" s="518"/>
      <c r="AA9" s="518"/>
      <c r="AB9" s="518"/>
      <c r="AC9" s="545"/>
      <c r="AD9" s="522"/>
      <c r="AE9" s="528" t="s">
        <v>1428</v>
      </c>
      <c r="AF9" s="510">
        <f>b_in</f>
        <v>365</v>
      </c>
      <c r="AG9" s="518" t="s">
        <v>136</v>
      </c>
      <c r="AH9" s="518"/>
      <c r="AI9" s="518"/>
      <c r="AJ9" s="527"/>
    </row>
    <row r="10" spans="1:36">
      <c r="A10" s="543" t="s">
        <v>1090</v>
      </c>
      <c r="B10" s="2450">
        <f>H_alfaend</f>
        <v>6.2831853071795862</v>
      </c>
      <c r="C10" s="813" t="s">
        <v>1137</v>
      </c>
      <c r="D10" s="518"/>
      <c r="E10" s="518"/>
      <c r="F10" s="518"/>
      <c r="G10" s="518"/>
      <c r="H10" s="518"/>
      <c r="I10" s="521"/>
      <c r="J10" s="522"/>
      <c r="K10" s="518"/>
      <c r="L10" s="518"/>
      <c r="M10" s="518"/>
      <c r="N10" s="518"/>
      <c r="V10" s="518"/>
      <c r="W10" s="518"/>
      <c r="X10" s="518"/>
      <c r="Y10" s="518"/>
      <c r="Z10" s="518"/>
      <c r="AA10" s="518"/>
      <c r="AB10" s="518"/>
      <c r="AC10" s="545"/>
      <c r="AD10" s="522"/>
      <c r="AE10" s="528" t="s">
        <v>1821</v>
      </c>
      <c r="AF10" s="510">
        <f>b_1_bladeFP</f>
        <v>253</v>
      </c>
      <c r="AG10" s="518" t="s">
        <v>136</v>
      </c>
      <c r="AH10" s="518"/>
      <c r="AI10" s="518"/>
      <c r="AJ10" s="527"/>
    </row>
    <row r="11" spans="1:36">
      <c r="A11" s="543" t="s">
        <v>1091</v>
      </c>
      <c r="B11" s="2356">
        <f>Funnel_height</f>
        <v>1076.6210889730671</v>
      </c>
      <c r="C11" s="813" t="s">
        <v>136</v>
      </c>
      <c r="D11" s="518"/>
      <c r="E11" s="518"/>
      <c r="F11" s="518"/>
      <c r="G11" s="518"/>
      <c r="H11" s="518"/>
      <c r="I11" s="521"/>
      <c r="J11" s="939"/>
      <c r="K11" s="942"/>
      <c r="L11" s="942"/>
      <c r="M11" s="518"/>
      <c r="N11" s="518"/>
      <c r="O11" s="518"/>
      <c r="P11" s="509"/>
      <c r="Q11" s="510"/>
      <c r="R11" s="510"/>
      <c r="S11" s="510"/>
      <c r="T11" s="510"/>
      <c r="U11" s="518"/>
      <c r="V11" s="518"/>
      <c r="W11" s="518"/>
      <c r="X11" s="518"/>
      <c r="Y11" s="518"/>
      <c r="Z11" s="518"/>
      <c r="AA11" s="518"/>
      <c r="AB11" s="528"/>
      <c r="AC11" s="521"/>
      <c r="AD11" s="522"/>
      <c r="AE11" s="528" t="str">
        <f>"CH"&amp;" ("&amp;$E$6&amp;","&amp;$G$6&amp;")"</f>
        <v>CH (RD,135)</v>
      </c>
      <c r="AF11" s="1154">
        <f>ROUND(IF('Select Drive &amp; Motor'!$C$28&lt;&gt;0,'Select Drive &amp; Motor'!$C$28,-$E$39*$AG$11+INS),0)</f>
        <v>1269</v>
      </c>
      <c r="AG11" s="1148">
        <v>1.1000000000000001</v>
      </c>
      <c r="AH11" s="1149">
        <f>Center_H+1</f>
        <v>1270</v>
      </c>
      <c r="AI11" s="1150">
        <f>Center_H-1</f>
        <v>1268</v>
      </c>
      <c r="AJ11" s="527"/>
    </row>
    <row r="12" spans="1:36">
      <c r="A12" s="543" t="s">
        <v>1798</v>
      </c>
      <c r="B12" s="2356">
        <f>House_P_T</f>
        <v>5</v>
      </c>
      <c r="C12" s="813" t="s">
        <v>136</v>
      </c>
      <c r="D12" s="518"/>
      <c r="E12" s="518"/>
      <c r="F12" s="518"/>
      <c r="G12" s="518"/>
      <c r="H12" s="518"/>
      <c r="I12" s="521"/>
      <c r="J12" s="939"/>
      <c r="K12" s="942"/>
      <c r="L12" s="942"/>
      <c r="M12" s="518"/>
      <c r="N12" s="518"/>
      <c r="O12" s="518"/>
      <c r="P12" s="509"/>
      <c r="Q12" s="510"/>
      <c r="R12" s="510"/>
      <c r="S12" s="510"/>
      <c r="T12" s="510"/>
      <c r="U12" s="518"/>
      <c r="V12" s="518"/>
      <c r="W12" s="518"/>
      <c r="X12" s="518"/>
      <c r="Y12" s="518"/>
      <c r="Z12" s="518"/>
      <c r="AA12" s="518"/>
      <c r="AB12" s="518"/>
      <c r="AC12" s="545"/>
      <c r="AE12" s="499" t="s">
        <v>4121</v>
      </c>
      <c r="AF12" s="1154">
        <f>ROUND(IF('Select Drive &amp; Motor'!$C$28&lt;&gt;0,'Select Drive &amp; Motor'!$C$28,-$E$27*$AG$11+INS),0)</f>
        <v>1530</v>
      </c>
    </row>
    <row r="13" spans="1:36">
      <c r="A13" s="543" t="s">
        <v>3925</v>
      </c>
      <c r="B13" s="2060">
        <f>House_B_ins</f>
        <v>630</v>
      </c>
      <c r="C13" s="813" t="s">
        <v>136</v>
      </c>
      <c r="D13" s="518"/>
      <c r="E13" s="518"/>
      <c r="F13" s="518"/>
      <c r="G13" s="518"/>
      <c r="H13" s="518"/>
      <c r="I13" s="521"/>
      <c r="J13" s="522"/>
      <c r="K13" s="518"/>
      <c r="L13" s="518"/>
      <c r="M13" s="518"/>
      <c r="N13" s="518"/>
      <c r="O13" s="518"/>
      <c r="P13" s="509"/>
      <c r="Q13" s="510"/>
      <c r="R13" s="510"/>
      <c r="S13" s="510"/>
      <c r="T13" s="510"/>
      <c r="U13" s="805"/>
      <c r="V13" s="805"/>
      <c r="W13" s="805"/>
      <c r="X13" s="805"/>
      <c r="Y13" s="805"/>
      <c r="Z13" s="805"/>
      <c r="AA13" s="805"/>
      <c r="AB13" s="805"/>
      <c r="AC13" s="545"/>
      <c r="AD13" s="3806" t="s">
        <v>1801</v>
      </c>
      <c r="AE13" s="3807"/>
      <c r="AF13" s="3807"/>
      <c r="AG13" s="3807"/>
      <c r="AH13" s="3807"/>
      <c r="AI13" s="3807"/>
      <c r="AJ13" s="3808"/>
    </row>
    <row r="14" spans="1:36">
      <c r="A14" s="543" t="s">
        <v>3926</v>
      </c>
      <c r="B14" s="2356">
        <f>House_C_ins</f>
        <v>1125</v>
      </c>
      <c r="C14" s="813" t="s">
        <v>136</v>
      </c>
      <c r="E14" s="528" t="s">
        <v>3339</v>
      </c>
      <c r="F14" s="1154">
        <f>House_C_ins+2*Weld_space*1000</f>
        <v>1145</v>
      </c>
      <c r="G14" s="518" t="s">
        <v>136</v>
      </c>
      <c r="H14" s="510"/>
      <c r="I14" s="521"/>
      <c r="J14" s="522"/>
      <c r="K14" s="518"/>
      <c r="L14" s="518"/>
      <c r="M14" s="518"/>
      <c r="N14" s="518"/>
      <c r="O14" s="518"/>
      <c r="P14" s="509"/>
      <c r="Q14" s="510"/>
      <c r="R14" s="510"/>
      <c r="S14" s="510"/>
      <c r="T14" s="510"/>
      <c r="U14" s="805"/>
      <c r="V14" s="805"/>
      <c r="W14" s="805"/>
      <c r="X14" s="805"/>
      <c r="Y14" s="805"/>
      <c r="Z14" s="805"/>
      <c r="AA14" s="805"/>
      <c r="AB14" s="805"/>
      <c r="AC14" s="545"/>
      <c r="AD14" s="522"/>
      <c r="AE14" s="528" t="s">
        <v>21</v>
      </c>
      <c r="AF14" s="518">
        <f>INS</f>
        <v>0</v>
      </c>
      <c r="AG14" s="518" t="s">
        <v>136</v>
      </c>
      <c r="AH14" s="518"/>
      <c r="AI14" s="518"/>
      <c r="AJ14" s="527"/>
    </row>
    <row r="15" spans="1:36">
      <c r="A15" s="543" t="s">
        <v>3338</v>
      </c>
      <c r="B15" s="2451">
        <v>0.01</v>
      </c>
      <c r="C15" s="813" t="s">
        <v>1135</v>
      </c>
      <c r="D15" s="518"/>
      <c r="E15" s="528" t="s">
        <v>3340</v>
      </c>
      <c r="F15" s="1661">
        <v>1.1995124415011651</v>
      </c>
      <c r="G15" s="1365">
        <f>r0*EXP(K_House*H_alfastart)*COS(H_alfastart)-(Weld_space+r0*EXP(K_House*F15))*COS(F15)-Weld_space</f>
        <v>4.6618533575391259E-2</v>
      </c>
      <c r="I15" s="518"/>
      <c r="J15" s="939"/>
      <c r="K15" s="942"/>
      <c r="L15" s="942"/>
      <c r="M15" s="518"/>
      <c r="N15" s="518"/>
      <c r="O15" s="518"/>
      <c r="P15" s="509"/>
      <c r="Q15" s="510"/>
      <c r="R15" s="510"/>
      <c r="S15" s="510"/>
      <c r="T15" s="510"/>
      <c r="U15" s="805"/>
      <c r="V15" s="805"/>
      <c r="W15" s="805"/>
      <c r="X15" s="805"/>
      <c r="Y15" s="805"/>
      <c r="Z15" s="805"/>
      <c r="AA15" s="805"/>
      <c r="AB15" s="805"/>
      <c r="AC15" s="545"/>
      <c r="AD15" s="522"/>
      <c r="AE15" s="528" t="s">
        <v>1799</v>
      </c>
      <c r="AF15" s="518">
        <f>steel_density</f>
        <v>7850</v>
      </c>
      <c r="AG15" s="518" t="s">
        <v>1800</v>
      </c>
      <c r="AH15" s="518"/>
      <c r="AI15" s="518"/>
      <c r="AJ15" s="527"/>
    </row>
    <row r="16" spans="1:36" ht="15.75" thickBot="1">
      <c r="A16" s="2442" t="s">
        <v>3861</v>
      </c>
      <c r="B16" s="2149">
        <f>MIN(House_P_T,4)</f>
        <v>4</v>
      </c>
      <c r="C16" s="812" t="s">
        <v>136</v>
      </c>
      <c r="D16" s="556"/>
      <c r="E16" s="556"/>
      <c r="F16" s="556"/>
      <c r="G16" s="556"/>
      <c r="H16" s="547"/>
      <c r="I16" s="550"/>
      <c r="J16" s="1306"/>
      <c r="K16" s="1307"/>
      <c r="L16" s="1307"/>
      <c r="M16" s="556"/>
      <c r="N16" s="556"/>
      <c r="O16" s="556"/>
      <c r="P16" s="808"/>
      <c r="Q16" s="547"/>
      <c r="R16" s="547"/>
      <c r="S16" s="547"/>
      <c r="T16" s="547"/>
      <c r="U16" s="809"/>
      <c r="V16" s="809"/>
      <c r="W16" s="809"/>
      <c r="X16" s="809"/>
      <c r="Y16" s="809"/>
      <c r="Z16" s="809"/>
      <c r="AA16" s="809"/>
      <c r="AB16" s="809"/>
      <c r="AC16" s="548"/>
      <c r="AD16" s="549"/>
      <c r="AE16" s="556"/>
      <c r="AF16" s="556"/>
      <c r="AG16" s="556"/>
      <c r="AH16" s="556"/>
      <c r="AI16" s="556"/>
      <c r="AJ16" s="561"/>
    </row>
    <row r="17" spans="1:36" ht="15.75" thickBot="1">
      <c r="A17" s="518"/>
      <c r="B17" s="813"/>
      <c r="C17" s="813"/>
      <c r="D17" s="518"/>
      <c r="E17" s="685"/>
      <c r="F17" s="813"/>
      <c r="G17" s="518"/>
      <c r="H17" s="510"/>
      <c r="I17" s="518"/>
      <c r="J17" s="518"/>
      <c r="K17" s="518"/>
      <c r="L17" s="518"/>
      <c r="M17" s="518"/>
      <c r="N17" s="518"/>
      <c r="O17" s="509"/>
      <c r="P17" s="510"/>
      <c r="Q17" s="510"/>
      <c r="R17" s="510"/>
      <c r="S17" s="510"/>
      <c r="T17" s="805"/>
      <c r="U17" s="805"/>
      <c r="V17" s="510"/>
      <c r="W17" s="518"/>
      <c r="X17" s="518"/>
      <c r="Y17" s="518"/>
      <c r="Z17" s="518"/>
      <c r="AA17" s="518"/>
      <c r="AB17" s="518"/>
    </row>
    <row r="18" spans="1:36" ht="15.75" thickBot="1">
      <c r="A18" s="2569" t="s">
        <v>2645</v>
      </c>
      <c r="B18" s="2424" t="s">
        <v>1106</v>
      </c>
      <c r="C18" s="2344">
        <f>(H_alfaend-H_alfastart)/20</f>
        <v>0.25743606466916358</v>
      </c>
      <c r="D18" s="3799" t="s">
        <v>4088</v>
      </c>
      <c r="E18" s="3800"/>
      <c r="F18" s="3800"/>
      <c r="G18" s="3800"/>
      <c r="H18" s="3800"/>
      <c r="I18" s="3800"/>
      <c r="J18" s="3800"/>
      <c r="K18" s="3800"/>
      <c r="L18" s="3800"/>
      <c r="M18" s="3800"/>
      <c r="N18" s="3800"/>
      <c r="O18" s="3800"/>
      <c r="P18" s="3800"/>
      <c r="Q18" s="3800"/>
      <c r="R18" s="3800"/>
      <c r="S18" s="3800"/>
      <c r="T18" s="3800"/>
      <c r="U18" s="3800"/>
      <c r="V18" s="3800"/>
      <c r="W18" s="3800"/>
      <c r="X18" s="3800"/>
      <c r="Y18" s="3800"/>
      <c r="Z18" s="3800"/>
      <c r="AA18" s="2567"/>
      <c r="AB18" s="2567"/>
      <c r="AC18" s="2568"/>
      <c r="AD18" s="1147"/>
      <c r="AE18" s="1147"/>
      <c r="AF18" s="1147"/>
      <c r="AG18" s="1147"/>
      <c r="AH18" s="1147"/>
      <c r="AI18" s="1147"/>
      <c r="AJ18" s="2344"/>
    </row>
    <row r="19" spans="1:36">
      <c r="A19" s="2023"/>
      <c r="B19" s="3104" t="s">
        <v>4128</v>
      </c>
      <c r="C19" s="3105" t="s">
        <v>4127</v>
      </c>
      <c r="D19" s="3809" t="s">
        <v>1098</v>
      </c>
      <c r="E19" s="3810"/>
      <c r="F19" s="3810"/>
      <c r="G19" s="3810"/>
      <c r="H19" s="3810"/>
      <c r="I19" s="3810"/>
      <c r="J19" s="3810"/>
      <c r="K19" s="3810"/>
      <c r="L19" s="3810"/>
      <c r="M19" s="3810"/>
      <c r="N19" s="3810"/>
      <c r="O19" s="3810"/>
      <c r="P19" s="3810"/>
      <c r="Q19" s="3810"/>
      <c r="R19" s="3810"/>
      <c r="S19" s="3810"/>
      <c r="T19" s="3810"/>
      <c r="U19" s="3810"/>
      <c r="V19" s="3810"/>
      <c r="W19" s="3810"/>
      <c r="X19" s="3811"/>
      <c r="Y19" s="1390" t="s">
        <v>4125</v>
      </c>
      <c r="Z19" s="1390" t="s">
        <v>4126</v>
      </c>
      <c r="AA19" s="522"/>
      <c r="AB19" s="518"/>
      <c r="AC19" s="518"/>
      <c r="AD19" s="518"/>
      <c r="AE19" s="518"/>
      <c r="AF19" s="518"/>
      <c r="AG19" s="518"/>
      <c r="AH19" s="518"/>
      <c r="AI19" s="518"/>
      <c r="AJ19" s="527"/>
    </row>
    <row r="20" spans="1:36" s="1346" customFormat="1">
      <c r="A20" s="2347" t="s">
        <v>1104</v>
      </c>
      <c r="B20" s="1387">
        <f>ATAN(B23/B22)+2*PI()</f>
        <v>7.4176493209759009</v>
      </c>
      <c r="C20" s="1387">
        <f>ATAN(C23/C22)+2*PI()</f>
        <v>7.4647083367135298</v>
      </c>
      <c r="D20" s="1388">
        <f>H_alfastart</f>
        <v>1.1344640137963142</v>
      </c>
      <c r="E20" s="1166">
        <f t="shared" ref="E20:X20" si="0">D20+$C$18</f>
        <v>1.3919000784654778</v>
      </c>
      <c r="F20" s="1166">
        <f t="shared" si="0"/>
        <v>1.6493361431346414</v>
      </c>
      <c r="G20" s="1166">
        <f t="shared" si="0"/>
        <v>1.906772207803805</v>
      </c>
      <c r="H20" s="1166">
        <f t="shared" si="0"/>
        <v>2.1642082724729685</v>
      </c>
      <c r="I20" s="1166">
        <f t="shared" si="0"/>
        <v>2.4216443371421321</v>
      </c>
      <c r="J20" s="1166">
        <f t="shared" si="0"/>
        <v>2.6790804018112957</v>
      </c>
      <c r="K20" s="1166">
        <f t="shared" si="0"/>
        <v>2.9365164664804593</v>
      </c>
      <c r="L20" s="1166">
        <f t="shared" si="0"/>
        <v>3.1939525311496229</v>
      </c>
      <c r="M20" s="1166">
        <f t="shared" si="0"/>
        <v>3.4513885958187864</v>
      </c>
      <c r="N20" s="1166">
        <f t="shared" si="0"/>
        <v>3.70882466048795</v>
      </c>
      <c r="O20" s="1166">
        <f>N20+$C$18</f>
        <v>3.9662607251571136</v>
      </c>
      <c r="P20" s="1166">
        <f t="shared" si="0"/>
        <v>4.2236967898262776</v>
      </c>
      <c r="Q20" s="1166">
        <f t="shared" si="0"/>
        <v>4.4811328544954412</v>
      </c>
      <c r="R20" s="1166">
        <f t="shared" si="0"/>
        <v>4.7385689191646048</v>
      </c>
      <c r="S20" s="1166">
        <f t="shared" si="0"/>
        <v>4.9960049838337683</v>
      </c>
      <c r="T20" s="1166">
        <f>S20+$C$18</f>
        <v>5.2534410485029319</v>
      </c>
      <c r="U20" s="1166">
        <f t="shared" si="0"/>
        <v>5.5108771131720955</v>
      </c>
      <c r="V20" s="1166">
        <f t="shared" si="0"/>
        <v>5.7683131778412591</v>
      </c>
      <c r="W20" s="1166">
        <f t="shared" si="0"/>
        <v>6.0257492425104227</v>
      </c>
      <c r="X20" s="1389">
        <f t="shared" si="0"/>
        <v>6.2831853071795862</v>
      </c>
      <c r="Y20" s="1387">
        <f>ATAN(Y23/Y22)+2*PI()</f>
        <v>6.8844223146173196</v>
      </c>
      <c r="Z20" s="1387">
        <f>ATAN(Z23/Z22)+2*PI()</f>
        <v>6.8261204245285274</v>
      </c>
      <c r="AA20" s="523"/>
      <c r="AB20" s="544"/>
      <c r="AC20" s="544"/>
      <c r="AD20" s="3794" t="s">
        <v>2657</v>
      </c>
      <c r="AE20" s="3794"/>
      <c r="AF20" s="544"/>
      <c r="AG20" s="544"/>
      <c r="AH20" s="544"/>
      <c r="AI20" s="544"/>
      <c r="AJ20" s="524"/>
    </row>
    <row r="21" spans="1:36">
      <c r="A21" s="1275" t="s">
        <v>1105</v>
      </c>
      <c r="B21" s="508">
        <f>SQRT(B22^2+B23^2)</f>
        <v>1045</v>
      </c>
      <c r="C21" s="1370">
        <f>SQRT(C22^2+C23^2)</f>
        <v>1163.6818291472891</v>
      </c>
      <c r="D21" s="780">
        <f t="shared" ref="D21:X21" si="1">r0*1000*EXP(K_House*D$20)+House_P_T</f>
        <v>1045</v>
      </c>
      <c r="E21" s="780">
        <f t="shared" si="1"/>
        <v>1066.4530024332412</v>
      </c>
      <c r="F21" s="780">
        <f t="shared" si="1"/>
        <v>1088.3485349755213</v>
      </c>
      <c r="G21" s="780">
        <f t="shared" si="1"/>
        <v>1110.6957260879037</v>
      </c>
      <c r="H21" s="780">
        <f t="shared" si="1"/>
        <v>1133.5038925323154</v>
      </c>
      <c r="I21" s="780">
        <f t="shared" si="1"/>
        <v>1156.7825432557938</v>
      </c>
      <c r="J21" s="780">
        <f t="shared" si="1"/>
        <v>1180.5413833548621</v>
      </c>
      <c r="K21" s="780">
        <f t="shared" si="1"/>
        <v>1204.7903181216768</v>
      </c>
      <c r="L21" s="780">
        <f t="shared" si="1"/>
        <v>1229.5394571736417</v>
      </c>
      <c r="M21" s="780">
        <f t="shared" si="1"/>
        <v>1254.799118668205</v>
      </c>
      <c r="N21" s="780">
        <f t="shared" si="1"/>
        <v>1280.5798336046005</v>
      </c>
      <c r="O21" s="780">
        <f>r0*1000*EXP(K_House*O$20)+House_P_T</f>
        <v>1306.8923502143243</v>
      </c>
      <c r="P21" s="780">
        <f>r0*1000*EXP(K_House*P$20)+House_P_T</f>
        <v>1333.7476384421761</v>
      </c>
      <c r="Q21" s="780">
        <f>r0*1000*EXP(K_House*Q$20)+House_P_T</f>
        <v>1361.1568945197369</v>
      </c>
      <c r="R21" s="780">
        <f>r0*1000*EXP(K_House*R$20)+House_P_T</f>
        <v>1389.1315456331872</v>
      </c>
      <c r="S21" s="780">
        <f>r0*1000*EXP(K_House*S$20)+House_P_T</f>
        <v>1417.683254687413</v>
      </c>
      <c r="T21" s="780">
        <f t="shared" si="1"/>
        <v>1446.8239251683819</v>
      </c>
      <c r="U21" s="780">
        <f t="shared" si="1"/>
        <v>1476.5657061058264</v>
      </c>
      <c r="V21" s="780">
        <f t="shared" si="1"/>
        <v>1506.9209971382902</v>
      </c>
      <c r="W21" s="780">
        <f t="shared" si="1"/>
        <v>1537.9024536826591</v>
      </c>
      <c r="X21" s="780">
        <f t="shared" si="1"/>
        <v>1569.5229922103276</v>
      </c>
      <c r="Y21" s="1370">
        <f>SQRT(Y22^2+Y23^2)</f>
        <v>1903.2906746733174</v>
      </c>
      <c r="Z21" s="508">
        <f>SQRT(Z22^2+Z23^2)</f>
        <v>1833.1352903729805</v>
      </c>
      <c r="AA21" s="518"/>
      <c r="AB21" s="518"/>
      <c r="AC21" s="518"/>
      <c r="AD21" s="3017" t="s">
        <v>2656</v>
      </c>
      <c r="AE21" s="3017" t="s">
        <v>104</v>
      </c>
      <c r="AF21" s="518"/>
      <c r="AG21" s="518"/>
      <c r="AH21" s="518"/>
      <c r="AI21" s="518"/>
      <c r="AJ21" s="527"/>
    </row>
    <row r="22" spans="1:36">
      <c r="A22" s="2238" t="s">
        <v>1094</v>
      </c>
      <c r="B22" s="505">
        <f>$C$22</f>
        <v>441.63608351903093</v>
      </c>
      <c r="C22" s="503">
        <f>$D$22</f>
        <v>441.63608351903093</v>
      </c>
      <c r="D22" s="1338">
        <f t="shared" ref="D22:X22" si="2">COS(D$20)*(r0*1000*EXP(K_House*D$20)+House_P_T)</f>
        <v>441.63608351903093</v>
      </c>
      <c r="E22" s="504">
        <f t="shared" si="2"/>
        <v>189.76842833419454</v>
      </c>
      <c r="F22" s="504">
        <f t="shared" si="2"/>
        <v>-85.390841890904142</v>
      </c>
      <c r="G22" s="504">
        <f t="shared" si="2"/>
        <v>-366.18599062454092</v>
      </c>
      <c r="H22" s="504">
        <f t="shared" si="2"/>
        <v>-633.84733276053862</v>
      </c>
      <c r="I22" s="504">
        <f t="shared" si="2"/>
        <v>-869.71516461647775</v>
      </c>
      <c r="J22" s="504">
        <f t="shared" si="2"/>
        <v>-1056.507049257455</v>
      </c>
      <c r="K22" s="504">
        <f t="shared" si="2"/>
        <v>-1179.5445062502893</v>
      </c>
      <c r="L22" s="504">
        <f t="shared" si="2"/>
        <v>-1227.8544160797051</v>
      </c>
      <c r="M22" s="504">
        <f t="shared" si="2"/>
        <v>-1195.0654100156862</v>
      </c>
      <c r="N22" s="504">
        <f t="shared" si="2"/>
        <v>-1080.0300773426088</v>
      </c>
      <c r="O22" s="504">
        <f>COS(O$20)*(r0*1000*EXP(K_House*O$20)+House_P_T)</f>
        <v>-887.11950165678206</v>
      </c>
      <c r="P22" s="504">
        <f>COS(P$20)*(r0*1000*EXP(K_House*P$20)+House_P_T)</f>
        <v>-626.15658818143959</v>
      </c>
      <c r="Q22" s="504">
        <f>COS(Q$20)*(r0*1000*EXP(K_House*Q$20)+House_P_T)</f>
        <v>-311.97769233066299</v>
      </c>
      <c r="R22" s="504">
        <f>COS(R$20)*(r0*1000*EXP(K_House*R$20)+House_P_T)</f>
        <v>36.363224662875822</v>
      </c>
      <c r="S22" s="504">
        <f>COS(S$20)*(r0*1000*EXP(K_House*S$20)+House_P_T)</f>
        <v>396.70890736742643</v>
      </c>
      <c r="T22" s="504">
        <f t="shared" si="2"/>
        <v>745.16940915253167</v>
      </c>
      <c r="U22" s="504">
        <f t="shared" si="2"/>
        <v>1057.6668848778002</v>
      </c>
      <c r="V22" s="504">
        <f t="shared" si="2"/>
        <v>1311.5572731907439</v>
      </c>
      <c r="W22" s="504">
        <f t="shared" si="2"/>
        <v>1487.222322279604</v>
      </c>
      <c r="X22" s="504">
        <f t="shared" si="2"/>
        <v>1569.5229922103276</v>
      </c>
      <c r="Y22" s="505">
        <f>$X$22</f>
        <v>1569.5229922103276</v>
      </c>
      <c r="Z22" s="505">
        <f>$Y$22</f>
        <v>1569.5229922103276</v>
      </c>
      <c r="AA22" s="522"/>
      <c r="AB22" s="518"/>
      <c r="AC22" s="518"/>
      <c r="AD22" s="3018">
        <f>MAX(D22:X22)</f>
        <v>1569.5229922103276</v>
      </c>
      <c r="AE22" s="3018">
        <f>MIN(D22:X22)</f>
        <v>-1227.8544160797051</v>
      </c>
      <c r="AF22" s="518"/>
      <c r="AG22" s="518"/>
      <c r="AH22" s="518"/>
      <c r="AI22" s="518"/>
      <c r="AJ22" s="527"/>
    </row>
    <row r="23" spans="1:36">
      <c r="A23" s="2238" t="s">
        <v>1095</v>
      </c>
      <c r="B23" s="508">
        <f>Tongue_Y</f>
        <v>947.0916374532992</v>
      </c>
      <c r="C23" s="506">
        <f>$Y$23</f>
        <v>1076.6210889730667</v>
      </c>
      <c r="D23" s="507">
        <f t="shared" ref="D23:X23" si="3">SIN(D$20)*(r0*1000*EXP(K_House*D$20)+House_P_T)</f>
        <v>947.0916374532992</v>
      </c>
      <c r="E23" s="508">
        <f t="shared" si="3"/>
        <v>1049.4331565213881</v>
      </c>
      <c r="F23" s="508">
        <f t="shared" si="3"/>
        <v>1084.9935196601525</v>
      </c>
      <c r="G23" s="508">
        <f t="shared" si="3"/>
        <v>1048.5956399967813</v>
      </c>
      <c r="H23" s="508">
        <f t="shared" si="3"/>
        <v>939.71731554668168</v>
      </c>
      <c r="I23" s="508">
        <f t="shared" si="3"/>
        <v>762.71972887652214</v>
      </c>
      <c r="J23" s="508">
        <f t="shared" si="3"/>
        <v>526.75498353856813</v>
      </c>
      <c r="K23" s="508">
        <f t="shared" si="3"/>
        <v>245.34561013903004</v>
      </c>
      <c r="L23" s="508">
        <f t="shared" si="3"/>
        <v>-64.349123229612289</v>
      </c>
      <c r="M23" s="508">
        <f t="shared" si="3"/>
        <v>-382.54345373374764</v>
      </c>
      <c r="N23" s="508">
        <f t="shared" si="3"/>
        <v>-688.05504305259228</v>
      </c>
      <c r="O23" s="508">
        <f>SIN(O$20)*(r0*1000*EXP(K_House*O$20)+House_P_T)</f>
        <v>-959.68047017168317</v>
      </c>
      <c r="P23" s="508">
        <f>SIN(P$20)*(r0*1000*EXP(K_House*P$20)+House_P_T)</f>
        <v>-1177.629266843798</v>
      </c>
      <c r="Q23" s="508">
        <f>SIN(Q$20)*(r0*1000*EXP(K_House*Q$20)+House_P_T)</f>
        <v>-1324.9218886359483</v>
      </c>
      <c r="R23" s="508">
        <f>SIN(R$20)*(r0*1000*EXP(K_House*R$20)+House_P_T)</f>
        <v>-1388.6555249468331</v>
      </c>
      <c r="S23" s="508">
        <f>SIN(S$20)*(r0*1000*EXP(K_House*S$20)+House_P_T)</f>
        <v>-1361.0466022280202</v>
      </c>
      <c r="T23" s="508">
        <f t="shared" si="3"/>
        <v>-1240.170158527817</v>
      </c>
      <c r="U23" s="508">
        <f t="shared" si="3"/>
        <v>-1030.3334630500399</v>
      </c>
      <c r="V23" s="508">
        <f t="shared" si="3"/>
        <v>-742.04340220550364</v>
      </c>
      <c r="W23" s="508">
        <f t="shared" si="3"/>
        <v>-391.55296085766645</v>
      </c>
      <c r="X23" s="508">
        <f t="shared" si="3"/>
        <v>-3.8457973377000741E-13</v>
      </c>
      <c r="Y23" s="508">
        <f>$X$23+Funnel_height+INS</f>
        <v>1076.6210889730667</v>
      </c>
      <c r="Z23" s="508">
        <f>Tongue_Y</f>
        <v>947.0916374532992</v>
      </c>
      <c r="AA23" s="522"/>
      <c r="AB23" s="518"/>
      <c r="AC23" s="518"/>
      <c r="AD23" s="3018">
        <f>MAX(D23:X23)</f>
        <v>1084.9935196601525</v>
      </c>
      <c r="AE23" s="3018">
        <f>MIN(D23:X23)</f>
        <v>-1388.6555249468331</v>
      </c>
      <c r="AF23" s="518"/>
      <c r="AG23" s="518"/>
      <c r="AH23" s="518"/>
      <c r="AI23" s="518"/>
      <c r="AJ23" s="527"/>
    </row>
    <row r="24" spans="1:36" s="518" customFormat="1">
      <c r="A24" s="2023" t="s">
        <v>21</v>
      </c>
      <c r="B24" s="498"/>
      <c r="C24" s="502"/>
      <c r="D24" s="511"/>
      <c r="E24" s="512"/>
      <c r="F24" s="512"/>
      <c r="G24" s="512"/>
      <c r="H24" s="512"/>
      <c r="I24" s="512"/>
      <c r="J24" s="512"/>
      <c r="K24" s="512"/>
      <c r="L24" s="512"/>
      <c r="M24" s="512"/>
      <c r="N24" s="512"/>
      <c r="O24" s="512"/>
      <c r="P24" s="512"/>
      <c r="Q24" s="512"/>
      <c r="R24" s="512"/>
      <c r="S24" s="512"/>
      <c r="T24" s="512"/>
      <c r="U24" s="512"/>
      <c r="V24" s="512"/>
      <c r="W24" s="512"/>
      <c r="X24" s="512"/>
      <c r="Y24" s="498"/>
      <c r="Z24" s="498"/>
      <c r="AA24" s="522"/>
      <c r="AB24" s="1166"/>
      <c r="AC24" s="544"/>
      <c r="AJ24" s="527"/>
    </row>
    <row r="25" spans="1:36">
      <c r="A25" s="2238" t="s">
        <v>1094</v>
      </c>
      <c r="B25" s="505"/>
      <c r="C25" s="503">
        <f>$D$25</f>
        <v>441.63608351903093</v>
      </c>
      <c r="D25" s="1168">
        <f>D22-INS</f>
        <v>441.63608351903093</v>
      </c>
      <c r="E25" s="504">
        <f t="shared" ref="E25:X25" si="4">COS(E$20)*(r0*1000*EXP(K_House*E$20)+House_P_T+INS)</f>
        <v>189.76842833419454</v>
      </c>
      <c r="F25" s="504">
        <f t="shared" si="4"/>
        <v>-85.390841890904142</v>
      </c>
      <c r="G25" s="504">
        <f t="shared" si="4"/>
        <v>-366.18599062454092</v>
      </c>
      <c r="H25" s="504">
        <f t="shared" si="4"/>
        <v>-633.84733276053862</v>
      </c>
      <c r="I25" s="504">
        <f t="shared" si="4"/>
        <v>-869.71516461647775</v>
      </c>
      <c r="J25" s="504">
        <f t="shared" si="4"/>
        <v>-1056.507049257455</v>
      </c>
      <c r="K25" s="504">
        <f t="shared" si="4"/>
        <v>-1179.5445062502893</v>
      </c>
      <c r="L25" s="504">
        <f t="shared" si="4"/>
        <v>-1227.8544160797051</v>
      </c>
      <c r="M25" s="504">
        <f t="shared" si="4"/>
        <v>-1195.0654100156862</v>
      </c>
      <c r="N25" s="504">
        <f t="shared" si="4"/>
        <v>-1080.0300773426088</v>
      </c>
      <c r="O25" s="504">
        <f>COS(O$20)*(r0*1000*EXP(K_House*O$20)+House_P_T+INS)</f>
        <v>-887.11950165678206</v>
      </c>
      <c r="P25" s="504">
        <f>COS(P$20)*(r0*1000*EXP(K_House*P$20)+House_P_T+INS)</f>
        <v>-626.15658818143959</v>
      </c>
      <c r="Q25" s="504">
        <f>COS(Q$20)*(r0*1000*EXP(K_House*Q$20)+House_P_T+INS)</f>
        <v>-311.97769233066299</v>
      </c>
      <c r="R25" s="504">
        <f>COS(R$20)*(r0*1000*EXP(K_House*R$20)+House_P_T+INS)</f>
        <v>36.363224662875822</v>
      </c>
      <c r="S25" s="504">
        <f>COS(S$20)*(r0*1000*EXP(K_House*S$20)+House_P_T+INS)</f>
        <v>396.70890736742643</v>
      </c>
      <c r="T25" s="504">
        <f t="shared" si="4"/>
        <v>745.16940915253167</v>
      </c>
      <c r="U25" s="504">
        <f t="shared" si="4"/>
        <v>1057.6668848778002</v>
      </c>
      <c r="V25" s="504">
        <f t="shared" si="4"/>
        <v>1311.5572731907439</v>
      </c>
      <c r="W25" s="504">
        <f t="shared" si="4"/>
        <v>1487.222322279604</v>
      </c>
      <c r="X25" s="504">
        <f t="shared" si="4"/>
        <v>1569.5229922103276</v>
      </c>
      <c r="Y25" s="505">
        <f>$X$25</f>
        <v>1569.5229922103276</v>
      </c>
      <c r="Z25" s="505"/>
      <c r="AA25" s="518"/>
      <c r="AB25" s="518"/>
      <c r="AC25" s="518"/>
      <c r="AD25" s="518"/>
      <c r="AE25" s="518"/>
      <c r="AF25" s="518"/>
      <c r="AG25" s="518"/>
      <c r="AH25" s="518"/>
      <c r="AI25" s="518"/>
      <c r="AJ25" s="527"/>
    </row>
    <row r="26" spans="1:36">
      <c r="A26" s="2238" t="s">
        <v>1095</v>
      </c>
      <c r="B26" s="508"/>
      <c r="C26" s="506">
        <f>$Y$26</f>
        <v>1076.6210889730667</v>
      </c>
      <c r="D26" s="1169">
        <f>Tongue_Y+INS</f>
        <v>947.0916374532992</v>
      </c>
      <c r="E26" s="508">
        <f t="shared" ref="E26:X26" si="5">SIN(E$20)*(r0*1000*EXP(K_House*E$20)+House_P_T+INS)</f>
        <v>1049.4331565213881</v>
      </c>
      <c r="F26" s="508">
        <f t="shared" si="5"/>
        <v>1084.9935196601525</v>
      </c>
      <c r="G26" s="508">
        <f t="shared" si="5"/>
        <v>1048.5956399967813</v>
      </c>
      <c r="H26" s="508">
        <f t="shared" si="5"/>
        <v>939.71731554668168</v>
      </c>
      <c r="I26" s="508">
        <f t="shared" si="5"/>
        <v>762.71972887652214</v>
      </c>
      <c r="J26" s="508">
        <f t="shared" si="5"/>
        <v>526.75498353856813</v>
      </c>
      <c r="K26" s="508">
        <f t="shared" si="5"/>
        <v>245.34561013903004</v>
      </c>
      <c r="L26" s="508">
        <f t="shared" si="5"/>
        <v>-64.349123229612289</v>
      </c>
      <c r="M26" s="508">
        <f t="shared" si="5"/>
        <v>-382.54345373374764</v>
      </c>
      <c r="N26" s="508">
        <f t="shared" si="5"/>
        <v>-688.05504305259228</v>
      </c>
      <c r="O26" s="508">
        <f>SIN(O$20)*(r0*1000*EXP(K_House*O$20)+House_P_T+INS)</f>
        <v>-959.68047017168317</v>
      </c>
      <c r="P26" s="508">
        <f>SIN(P$20)*(r0*1000*EXP(K_House*P$20)+House_P_T+INS)</f>
        <v>-1177.629266843798</v>
      </c>
      <c r="Q26" s="508">
        <f>SIN(Q$20)*(r0*1000*EXP(K_House*Q$20)+House_P_T+INS)</f>
        <v>-1324.9218886359483</v>
      </c>
      <c r="R26" s="508">
        <f>SIN(R$20)*(r0*1000*EXP(K_House*R$20)+House_P_T+INS)</f>
        <v>-1388.6555249468331</v>
      </c>
      <c r="S26" s="508">
        <f>SIN(S$20)*(r0*1000*EXP(K_House*S$20)+House_P_T+INS)</f>
        <v>-1361.0466022280202</v>
      </c>
      <c r="T26" s="508">
        <f t="shared" si="5"/>
        <v>-1240.170158527817</v>
      </c>
      <c r="U26" s="2343">
        <f t="shared" si="5"/>
        <v>-1030.3334630500399</v>
      </c>
      <c r="V26" s="508">
        <f t="shared" si="5"/>
        <v>-742.04340220550364</v>
      </c>
      <c r="W26" s="508">
        <f t="shared" si="5"/>
        <v>-391.55296085766645</v>
      </c>
      <c r="X26" s="508">
        <f t="shared" si="5"/>
        <v>-3.8457973377000741E-13</v>
      </c>
      <c r="Y26" s="508">
        <f>$X$26+Funnel_height+INS</f>
        <v>1076.6210889730667</v>
      </c>
      <c r="Z26" s="508"/>
      <c r="AA26" s="518"/>
      <c r="AB26" s="518"/>
      <c r="AC26" s="518"/>
      <c r="AD26" s="518"/>
      <c r="AE26" s="518"/>
      <c r="AF26" s="518"/>
      <c r="AG26" s="518"/>
      <c r="AH26" s="518"/>
      <c r="AI26" s="518"/>
      <c r="AJ26" s="527"/>
    </row>
    <row r="27" spans="1:36" s="813" customFormat="1">
      <c r="A27" s="2238" t="s">
        <v>2395</v>
      </c>
      <c r="B27" s="510" t="s">
        <v>2569</v>
      </c>
      <c r="C27" s="3013">
        <f>1000*COS($N$27)*(r0*EXP(K_House*($N$27)+House_P_T/1000))</f>
        <v>50.246004315587804</v>
      </c>
      <c r="D27" s="3013" t="s">
        <v>2570</v>
      </c>
      <c r="E27" s="3013">
        <f>1000*SIN($N$27)*(r0*EXP(K_House*($N$27)+House_P_T/1000))</f>
        <v>-1391.2573910438473</v>
      </c>
      <c r="F27" s="518"/>
      <c r="G27" s="1234"/>
      <c r="H27" s="805"/>
      <c r="I27" s="518"/>
      <c r="J27" s="518"/>
      <c r="K27" s="510" t="s">
        <v>2568</v>
      </c>
      <c r="L27" s="1174">
        <f>1000*(SIN($N$27)*r0*K_House*EXP(K_House*($N$27))+COS($N$27)*(r0*EXP(K_House*($N$27))+House_P_T/1000))</f>
        <v>-59.618517922480187</v>
      </c>
      <c r="M27" s="1234" t="s">
        <v>1485</v>
      </c>
      <c r="N27" s="1173">
        <v>4.7484888249558992</v>
      </c>
      <c r="O27" s="518"/>
      <c r="P27" s="528" t="s">
        <v>2572</v>
      </c>
      <c r="Q27" s="2452">
        <f>3*PI()/2</f>
        <v>4.7123889803846897</v>
      </c>
      <c r="R27" s="2453" t="s">
        <v>2573</v>
      </c>
      <c r="S27" s="518"/>
      <c r="T27" s="518"/>
      <c r="U27" s="510"/>
      <c r="V27" s="510"/>
      <c r="W27" s="510"/>
      <c r="X27" s="510"/>
      <c r="Y27" s="510"/>
      <c r="Z27" s="518"/>
      <c r="AA27" s="518"/>
      <c r="AB27" s="518"/>
      <c r="AC27" s="518"/>
      <c r="AD27" s="518"/>
      <c r="AJ27" s="2019"/>
    </row>
    <row r="28" spans="1:36">
      <c r="A28" s="1275" t="s">
        <v>2510</v>
      </c>
      <c r="B28" s="685" t="e">
        <f ca="1">$F$28*House_P_T/1000*steel_density</f>
        <v>#REF!</v>
      </c>
      <c r="C28" s="685" t="s">
        <v>131</v>
      </c>
      <c r="D28" s="813"/>
      <c r="E28" s="1464" t="s">
        <v>3945</v>
      </c>
      <c r="F28" s="1464" t="e">
        <f ca="1">(2*$N$28-(PI()/4*(FPHole_D/1000)^2+PI()/4*(BPHole_D/1000)^2)+House_B_ins/1000*(($Y$23/1000-$X$23/1000)+($C$23/1000-Tongue_Y/1000)+r0/K_House*(EXP(K_House*H_alfaend)-EXP(K_House*H_alfastart))))</f>
        <v>#REF!</v>
      </c>
      <c r="G28" s="1136" t="s">
        <v>2511</v>
      </c>
      <c r="H28" s="685"/>
      <c r="I28" s="509" t="s">
        <v>3330</v>
      </c>
      <c r="J28" s="1363">
        <f>($Y$23/1000-$X$23/1000)+($C$23/1000-Tongue_Y/1000)+r0/K_House*(EXP(K_House*H_alfaend)-EXP(K_House*H_alfastart))</f>
        <v>7.8194841986523471</v>
      </c>
      <c r="K28" s="685" t="s">
        <v>1135</v>
      </c>
      <c r="L28" s="813"/>
      <c r="M28" s="509" t="s">
        <v>3946</v>
      </c>
      <c r="N28" s="1136">
        <f>r0^2/(4*K_House)*(EXP(2*K_House*H_alfaend)-EXP(2*K_House*H_alfastart))+($Y$22/1000-$C$22/1000)*$Y$23/1000+$D$22/1000*Tongue_Y/1000/2</f>
        <v>5.7295866445816621</v>
      </c>
      <c r="O28" s="813" t="s">
        <v>2511</v>
      </c>
      <c r="P28" s="813"/>
      <c r="Q28" s="1234" t="s">
        <v>3950</v>
      </c>
      <c r="R28" s="1154" t="e">
        <f ca="1">IF(Small_F,InletHole_D,ImpellerHole_D)</f>
        <v>#REF!</v>
      </c>
      <c r="S28" s="510" t="s">
        <v>136</v>
      </c>
      <c r="T28" s="510"/>
      <c r="U28" s="1234" t="s">
        <v>3949</v>
      </c>
      <c r="V28" s="1154" t="e">
        <f ca="1">IF(Small_F,ImpellerHole_D,Hub_C_eD*Hole_Clearance_factor)</f>
        <v>#REF!</v>
      </c>
      <c r="W28" s="510" t="s">
        <v>136</v>
      </c>
      <c r="X28" s="813"/>
      <c r="Y28" s="510"/>
      <c r="Z28" s="518"/>
      <c r="AA28" s="518"/>
      <c r="AB28" s="518"/>
      <c r="AC28" s="518"/>
      <c r="AD28" s="518"/>
      <c r="AE28" s="518"/>
      <c r="AF28" s="518"/>
      <c r="AG28" s="518"/>
      <c r="AH28" s="518"/>
      <c r="AI28" s="518"/>
      <c r="AJ28" s="527"/>
    </row>
    <row r="29" spans="1:36" ht="15.75" thickBot="1">
      <c r="AE29" s="518"/>
      <c r="AF29" s="518"/>
      <c r="AG29" s="518"/>
      <c r="AH29" s="518"/>
      <c r="AI29" s="518"/>
      <c r="AJ29" s="527"/>
    </row>
    <row r="30" spans="1:36" ht="15.75" thickBot="1">
      <c r="A30" s="2569" t="s">
        <v>2645</v>
      </c>
      <c r="B30" s="3015" t="s">
        <v>1106</v>
      </c>
      <c r="C30" s="3016">
        <f>(H_alfaend-H_alfastart)/20</f>
        <v>0.25743606466916358</v>
      </c>
      <c r="D30" s="3799" t="str">
        <f>"HOUSE outside (LG), "&amp;$G$6&amp;", (0)"</f>
        <v>HOUSE outside (LG), 135, (0)</v>
      </c>
      <c r="E30" s="3800"/>
      <c r="F30" s="3800"/>
      <c r="G30" s="3800"/>
      <c r="H30" s="3800"/>
      <c r="I30" s="3800"/>
      <c r="J30" s="3800"/>
      <c r="K30" s="3800"/>
      <c r="L30" s="3800"/>
      <c r="M30" s="3800"/>
      <c r="N30" s="3800"/>
      <c r="O30" s="3800"/>
      <c r="P30" s="3800"/>
      <c r="Q30" s="3800"/>
      <c r="R30" s="3800"/>
      <c r="S30" s="3800"/>
      <c r="T30" s="3800"/>
      <c r="U30" s="3800"/>
      <c r="V30" s="3800"/>
      <c r="W30" s="3800"/>
      <c r="X30" s="3800"/>
      <c r="Y30" s="3800"/>
      <c r="Z30" s="3800"/>
      <c r="AA30" s="2567"/>
      <c r="AB30" s="2567"/>
      <c r="AC30" s="2568"/>
      <c r="AD30" s="518"/>
      <c r="AE30" s="518"/>
      <c r="AF30" s="518"/>
      <c r="AG30" s="518"/>
      <c r="AH30" s="518"/>
      <c r="AI30" s="518"/>
      <c r="AJ30" s="527"/>
    </row>
    <row r="31" spans="1:36" s="1346" customFormat="1">
      <c r="A31" s="2023"/>
      <c r="B31" s="3104" t="s">
        <v>4128</v>
      </c>
      <c r="C31" s="3105" t="s">
        <v>4127</v>
      </c>
      <c r="D31" s="3809" t="s">
        <v>1099</v>
      </c>
      <c r="E31" s="3810"/>
      <c r="F31" s="3810"/>
      <c r="G31" s="3810"/>
      <c r="H31" s="3810"/>
      <c r="I31" s="3810"/>
      <c r="J31" s="3810"/>
      <c r="K31" s="3810"/>
      <c r="L31" s="3810"/>
      <c r="M31" s="3810"/>
      <c r="N31" s="3810"/>
      <c r="O31" s="3810"/>
      <c r="P31" s="3810"/>
      <c r="Q31" s="3810"/>
      <c r="R31" s="3810"/>
      <c r="S31" s="3810"/>
      <c r="T31" s="3810"/>
      <c r="U31" s="3810"/>
      <c r="V31" s="3810"/>
      <c r="W31" s="3810"/>
      <c r="X31" s="3811"/>
      <c r="Y31" s="1390" t="s">
        <v>4125</v>
      </c>
      <c r="Z31" s="1390" t="s">
        <v>4126</v>
      </c>
      <c r="AA31" s="518"/>
      <c r="AB31" s="518"/>
      <c r="AC31" s="518"/>
      <c r="AD31" s="518"/>
      <c r="AE31" s="544"/>
      <c r="AF31" s="544"/>
      <c r="AG31" s="544"/>
      <c r="AH31" s="544"/>
      <c r="AI31" s="544"/>
      <c r="AJ31" s="524"/>
    </row>
    <row r="32" spans="1:36">
      <c r="A32" s="2347" t="s">
        <v>1104</v>
      </c>
      <c r="B32" s="1390">
        <f t="shared" ref="B32:Z32" si="6">B$20+$H$6</f>
        <v>9.7738438111682449</v>
      </c>
      <c r="C32" s="1390">
        <f t="shared" si="6"/>
        <v>9.8209028269058756</v>
      </c>
      <c r="D32" s="1391">
        <f t="shared" si="6"/>
        <v>3.4906585039886591</v>
      </c>
      <c r="E32" s="1392">
        <f t="shared" si="6"/>
        <v>3.7480945686578226</v>
      </c>
      <c r="F32" s="1392">
        <f t="shared" si="6"/>
        <v>4.0055306333269858</v>
      </c>
      <c r="G32" s="1392">
        <f t="shared" si="6"/>
        <v>4.2629666979961502</v>
      </c>
      <c r="H32" s="1392">
        <f t="shared" si="6"/>
        <v>4.5204027626653129</v>
      </c>
      <c r="I32" s="1392">
        <f t="shared" si="6"/>
        <v>4.7778388273344774</v>
      </c>
      <c r="J32" s="1392">
        <f t="shared" si="6"/>
        <v>5.0352748920036401</v>
      </c>
      <c r="K32" s="1392">
        <f t="shared" si="6"/>
        <v>5.2927109566728046</v>
      </c>
      <c r="L32" s="1392">
        <f t="shared" si="6"/>
        <v>5.5501470213419672</v>
      </c>
      <c r="M32" s="1392">
        <f t="shared" si="6"/>
        <v>5.8075830860111317</v>
      </c>
      <c r="N32" s="1392">
        <f t="shared" si="6"/>
        <v>6.0650191506802944</v>
      </c>
      <c r="O32" s="1392">
        <f t="shared" si="6"/>
        <v>6.3224552153494589</v>
      </c>
      <c r="P32" s="1392">
        <f t="shared" si="6"/>
        <v>6.5798912800186224</v>
      </c>
      <c r="Q32" s="1392">
        <f t="shared" si="6"/>
        <v>6.837327344687786</v>
      </c>
      <c r="R32" s="1392">
        <f t="shared" si="6"/>
        <v>7.0947634093569496</v>
      </c>
      <c r="S32" s="1392">
        <f t="shared" si="6"/>
        <v>7.3521994740261132</v>
      </c>
      <c r="T32" s="1392">
        <f t="shared" si="6"/>
        <v>7.6096355386952768</v>
      </c>
      <c r="U32" s="1392">
        <f t="shared" si="6"/>
        <v>7.8670716033644403</v>
      </c>
      <c r="V32" s="1392">
        <f t="shared" si="6"/>
        <v>8.1245076680336048</v>
      </c>
      <c r="W32" s="1392">
        <f t="shared" si="6"/>
        <v>8.3819437327027675</v>
      </c>
      <c r="X32" s="1392">
        <f t="shared" si="6"/>
        <v>8.6393797973719302</v>
      </c>
      <c r="Y32" s="1390">
        <f t="shared" si="6"/>
        <v>9.2406168048096653</v>
      </c>
      <c r="Z32" s="1390">
        <f t="shared" si="6"/>
        <v>9.1823149147208731</v>
      </c>
      <c r="AA32" s="544"/>
      <c r="AB32" s="544"/>
      <c r="AC32" s="544"/>
      <c r="AD32" s="544"/>
      <c r="AE32" s="518"/>
      <c r="AF32" s="518"/>
      <c r="AG32" s="518"/>
      <c r="AH32" s="518"/>
      <c r="AI32" s="518"/>
      <c r="AJ32" s="527"/>
    </row>
    <row r="33" spans="1:36">
      <c r="A33" s="1275" t="s">
        <v>1105</v>
      </c>
      <c r="B33" s="1370">
        <f>SQRT(B34^2+B35^2)</f>
        <v>1045.0161529852062</v>
      </c>
      <c r="C33" s="508">
        <f>SQRT(C34^2+C35^2)</f>
        <v>1163.7087092567451</v>
      </c>
      <c r="D33" s="780">
        <f t="shared" ref="D33:X33" si="7">r0*1000*EXP(K_House*(D$32-$H$6))+House_P_T</f>
        <v>1045</v>
      </c>
      <c r="E33" s="780">
        <f t="shared" si="7"/>
        <v>1066.4530024332412</v>
      </c>
      <c r="F33" s="780">
        <f t="shared" si="7"/>
        <v>1088.3485349755213</v>
      </c>
      <c r="G33" s="780">
        <f t="shared" si="7"/>
        <v>1110.6957260879037</v>
      </c>
      <c r="H33" s="780">
        <f t="shared" si="7"/>
        <v>1133.5038925323154</v>
      </c>
      <c r="I33" s="780">
        <f t="shared" si="7"/>
        <v>1156.7825432557941</v>
      </c>
      <c r="J33" s="780">
        <f t="shared" si="7"/>
        <v>1180.5413833548621</v>
      </c>
      <c r="K33" s="780">
        <f t="shared" si="7"/>
        <v>1204.790318121677</v>
      </c>
      <c r="L33" s="780">
        <f t="shared" si="7"/>
        <v>1229.5394571736417</v>
      </c>
      <c r="M33" s="780">
        <f t="shared" si="7"/>
        <v>1254.799118668205</v>
      </c>
      <c r="N33" s="780">
        <f t="shared" si="7"/>
        <v>1280.5798336046005</v>
      </c>
      <c r="O33" s="780">
        <f t="shared" si="7"/>
        <v>1306.8923502143243</v>
      </c>
      <c r="P33" s="780">
        <f t="shared" si="7"/>
        <v>1333.7476384421761</v>
      </c>
      <c r="Q33" s="780">
        <f t="shared" si="7"/>
        <v>1361.1568945197369</v>
      </c>
      <c r="R33" s="780">
        <f t="shared" si="7"/>
        <v>1389.1315456331872</v>
      </c>
      <c r="S33" s="780">
        <f t="shared" si="7"/>
        <v>1417.683254687413</v>
      </c>
      <c r="T33" s="780">
        <f t="shared" si="7"/>
        <v>1446.8239251683819</v>
      </c>
      <c r="U33" s="780">
        <f t="shared" si="7"/>
        <v>1476.5657061058264</v>
      </c>
      <c r="V33" s="780">
        <f t="shared" si="7"/>
        <v>1506.9209971382902</v>
      </c>
      <c r="W33" s="780">
        <f t="shared" si="7"/>
        <v>1537.9024536826591</v>
      </c>
      <c r="X33" s="780">
        <f t="shared" si="7"/>
        <v>1569.5229922103274</v>
      </c>
      <c r="Y33" s="1370">
        <f>SQRT(Y34^2+Y35^2)</f>
        <v>1903.2780826773578</v>
      </c>
      <c r="Z33" s="508">
        <f>SQRT(Z34^2+Z35^2)</f>
        <v>1833.1143608624095</v>
      </c>
      <c r="AA33" s="518"/>
      <c r="AB33" s="518"/>
      <c r="AC33" s="518"/>
      <c r="AD33" s="518"/>
      <c r="AE33" s="518"/>
      <c r="AF33" s="518"/>
      <c r="AG33" s="518"/>
      <c r="AH33" s="518"/>
      <c r="AI33" s="518"/>
      <c r="AJ33" s="527"/>
    </row>
    <row r="34" spans="1:36">
      <c r="A34" s="2238" t="s">
        <v>1092</v>
      </c>
      <c r="B34" s="505">
        <f t="shared" ref="B34:Z34" si="8">ROUND(B22*COS($H$6)-B23*SIN($H$6),1)</f>
        <v>-982</v>
      </c>
      <c r="C34" s="505">
        <f t="shared" si="8"/>
        <v>-1073.5999999999999</v>
      </c>
      <c r="D34" s="504">
        <f t="shared" si="8"/>
        <v>-982</v>
      </c>
      <c r="E34" s="504">
        <f t="shared" si="8"/>
        <v>-876.2</v>
      </c>
      <c r="F34" s="504">
        <f t="shared" si="8"/>
        <v>-706.8</v>
      </c>
      <c r="G34" s="504">
        <f t="shared" si="8"/>
        <v>-482.5</v>
      </c>
      <c r="H34" s="504">
        <f t="shared" si="8"/>
        <v>-216.3</v>
      </c>
      <c r="I34" s="504">
        <f t="shared" si="8"/>
        <v>75.7</v>
      </c>
      <c r="J34" s="504">
        <f t="shared" si="8"/>
        <v>374.6</v>
      </c>
      <c r="K34" s="504">
        <f t="shared" si="8"/>
        <v>660.6</v>
      </c>
      <c r="L34" s="504">
        <f t="shared" si="8"/>
        <v>913.7</v>
      </c>
      <c r="M34" s="504">
        <f t="shared" si="8"/>
        <v>1115.5</v>
      </c>
      <c r="N34" s="504">
        <f t="shared" si="8"/>
        <v>1250.2</v>
      </c>
      <c r="O34" s="504">
        <f t="shared" si="8"/>
        <v>1305.9000000000001</v>
      </c>
      <c r="P34" s="504">
        <f t="shared" si="8"/>
        <v>1275.5</v>
      </c>
      <c r="Q34" s="504">
        <f t="shared" si="8"/>
        <v>1157.5</v>
      </c>
      <c r="R34" s="504">
        <f t="shared" si="8"/>
        <v>956.2</v>
      </c>
      <c r="S34" s="504">
        <f t="shared" si="8"/>
        <v>681.9</v>
      </c>
      <c r="T34" s="504">
        <f t="shared" si="8"/>
        <v>350</v>
      </c>
      <c r="U34" s="504">
        <f t="shared" si="8"/>
        <v>-19.3</v>
      </c>
      <c r="V34" s="504">
        <f t="shared" si="8"/>
        <v>-402.7</v>
      </c>
      <c r="W34" s="504">
        <f t="shared" si="8"/>
        <v>-774.8</v>
      </c>
      <c r="X34" s="504">
        <f t="shared" si="8"/>
        <v>-1109.8</v>
      </c>
      <c r="Y34" s="505">
        <f t="shared" si="8"/>
        <v>-1871.1</v>
      </c>
      <c r="Z34" s="505">
        <f t="shared" si="8"/>
        <v>-1779.5</v>
      </c>
      <c r="AA34" s="510"/>
      <c r="AB34" s="518"/>
      <c r="AC34" s="518"/>
      <c r="AD34" s="518"/>
      <c r="AE34" s="518"/>
      <c r="AF34" s="518"/>
      <c r="AG34" s="518"/>
      <c r="AH34" s="518"/>
      <c r="AI34" s="518"/>
      <c r="AJ34" s="527"/>
    </row>
    <row r="35" spans="1:36" s="518" customFormat="1">
      <c r="A35" s="2238" t="s">
        <v>1093</v>
      </c>
      <c r="B35" s="508">
        <f t="shared" ref="B35:Z35" si="9">ROUND(B22*SIN($H$6)+B23*COS($H$6),1)</f>
        <v>-357.4</v>
      </c>
      <c r="C35" s="508">
        <f t="shared" si="9"/>
        <v>-449</v>
      </c>
      <c r="D35" s="508">
        <f t="shared" si="9"/>
        <v>-357.4</v>
      </c>
      <c r="E35" s="508">
        <f t="shared" si="9"/>
        <v>-607.9</v>
      </c>
      <c r="F35" s="508">
        <f t="shared" si="9"/>
        <v>-827.6</v>
      </c>
      <c r="G35" s="508">
        <f t="shared" si="9"/>
        <v>-1000.4</v>
      </c>
      <c r="H35" s="508">
        <f t="shared" si="9"/>
        <v>-1112.7</v>
      </c>
      <c r="I35" s="508">
        <f t="shared" si="9"/>
        <v>-1154.3</v>
      </c>
      <c r="J35" s="508">
        <f t="shared" si="9"/>
        <v>-1119.5</v>
      </c>
      <c r="K35" s="508">
        <f t="shared" si="9"/>
        <v>-1007.5</v>
      </c>
      <c r="L35" s="508">
        <f t="shared" si="9"/>
        <v>-822.7</v>
      </c>
      <c r="M35" s="508">
        <f t="shared" si="9"/>
        <v>-574.5</v>
      </c>
      <c r="N35" s="508">
        <f t="shared" si="9"/>
        <v>-277.2</v>
      </c>
      <c r="O35" s="508">
        <f t="shared" si="9"/>
        <v>51.3</v>
      </c>
      <c r="P35" s="508">
        <f t="shared" si="9"/>
        <v>390</v>
      </c>
      <c r="Q35" s="508">
        <f t="shared" si="9"/>
        <v>716.3</v>
      </c>
      <c r="R35" s="508">
        <f t="shared" si="9"/>
        <v>1007.6</v>
      </c>
      <c r="S35" s="508">
        <f t="shared" si="9"/>
        <v>1242.9000000000001</v>
      </c>
      <c r="T35" s="508">
        <f t="shared" si="9"/>
        <v>1403.8</v>
      </c>
      <c r="U35" s="508">
        <f t="shared" si="9"/>
        <v>1476.4</v>
      </c>
      <c r="V35" s="508">
        <f t="shared" si="9"/>
        <v>1452.1</v>
      </c>
      <c r="W35" s="508">
        <f t="shared" si="9"/>
        <v>1328.5</v>
      </c>
      <c r="X35" s="508">
        <f t="shared" si="9"/>
        <v>1109.8</v>
      </c>
      <c r="Y35" s="508">
        <f t="shared" si="9"/>
        <v>348.5</v>
      </c>
      <c r="Z35" s="508">
        <f t="shared" si="9"/>
        <v>440.1</v>
      </c>
      <c r="AA35" s="510"/>
      <c r="AJ35" s="527"/>
    </row>
    <row r="36" spans="1:36">
      <c r="A36" s="2023" t="s">
        <v>21</v>
      </c>
      <c r="B36" s="498"/>
      <c r="C36" s="498"/>
      <c r="D36" s="500">
        <f t="shared" ref="D36:X36" si="10">DEGREES(D32)</f>
        <v>200</v>
      </c>
      <c r="E36" s="501">
        <f t="shared" si="10"/>
        <v>214.75</v>
      </c>
      <c r="F36" s="501">
        <f t="shared" si="10"/>
        <v>229.49999999999997</v>
      </c>
      <c r="G36" s="501">
        <f t="shared" si="10"/>
        <v>244.25000000000003</v>
      </c>
      <c r="H36" s="501">
        <f t="shared" si="10"/>
        <v>258.99999999999994</v>
      </c>
      <c r="I36" s="501">
        <f t="shared" si="10"/>
        <v>273.75</v>
      </c>
      <c r="J36" s="501">
        <f t="shared" si="10"/>
        <v>288.49999999999994</v>
      </c>
      <c r="K36" s="501">
        <f t="shared" si="10"/>
        <v>303.25</v>
      </c>
      <c r="L36" s="501">
        <f t="shared" si="10"/>
        <v>317.99999999999994</v>
      </c>
      <c r="M36" s="501">
        <f t="shared" si="10"/>
        <v>332.75</v>
      </c>
      <c r="N36" s="501">
        <f t="shared" si="10"/>
        <v>347.49999999999994</v>
      </c>
      <c r="O36" s="501">
        <f t="shared" si="10"/>
        <v>362.25</v>
      </c>
      <c r="P36" s="501">
        <f t="shared" si="10"/>
        <v>377</v>
      </c>
      <c r="Q36" s="501">
        <f t="shared" si="10"/>
        <v>391.75</v>
      </c>
      <c r="R36" s="501">
        <f t="shared" si="10"/>
        <v>406.5</v>
      </c>
      <c r="S36" s="501">
        <f t="shared" si="10"/>
        <v>421.25</v>
      </c>
      <c r="T36" s="501">
        <f t="shared" si="10"/>
        <v>436</v>
      </c>
      <c r="U36" s="501">
        <f t="shared" si="10"/>
        <v>450.75</v>
      </c>
      <c r="V36" s="501">
        <f t="shared" si="10"/>
        <v>465.50000000000006</v>
      </c>
      <c r="W36" s="501">
        <f t="shared" si="10"/>
        <v>480.25</v>
      </c>
      <c r="X36" s="501">
        <f t="shared" si="10"/>
        <v>494.99999999999994</v>
      </c>
      <c r="Y36" s="498"/>
      <c r="Z36" s="498"/>
      <c r="AA36" s="544"/>
      <c r="AB36" s="544"/>
      <c r="AC36" s="518"/>
      <c r="AD36" s="518"/>
      <c r="AE36" s="518"/>
      <c r="AF36" s="518"/>
      <c r="AG36" s="518"/>
      <c r="AH36" s="518"/>
      <c r="AI36" s="518"/>
      <c r="AJ36" s="527"/>
    </row>
    <row r="37" spans="1:36">
      <c r="A37" s="2238" t="s">
        <v>1094</v>
      </c>
      <c r="B37" s="505"/>
      <c r="C37" s="505">
        <f t="shared" ref="C37:Y37" si="11">ROUND(C25*COS($H$6)-C26*SIN($H$6),1)</f>
        <v>-1073.5999999999999</v>
      </c>
      <c r="D37" s="511">
        <f t="shared" si="11"/>
        <v>-982</v>
      </c>
      <c r="E37" s="512">
        <f t="shared" si="11"/>
        <v>-876.2</v>
      </c>
      <c r="F37" s="512">
        <f t="shared" si="11"/>
        <v>-706.8</v>
      </c>
      <c r="G37" s="512">
        <f t="shared" si="11"/>
        <v>-482.5</v>
      </c>
      <c r="H37" s="512">
        <f t="shared" si="11"/>
        <v>-216.3</v>
      </c>
      <c r="I37" s="512">
        <f t="shared" si="11"/>
        <v>75.7</v>
      </c>
      <c r="J37" s="512">
        <f t="shared" si="11"/>
        <v>374.6</v>
      </c>
      <c r="K37" s="512">
        <f t="shared" si="11"/>
        <v>660.6</v>
      </c>
      <c r="L37" s="512">
        <f t="shared" si="11"/>
        <v>913.7</v>
      </c>
      <c r="M37" s="512">
        <f t="shared" si="11"/>
        <v>1115.5</v>
      </c>
      <c r="N37" s="512">
        <f t="shared" si="11"/>
        <v>1250.2</v>
      </c>
      <c r="O37" s="512">
        <f t="shared" si="11"/>
        <v>1305.9000000000001</v>
      </c>
      <c r="P37" s="512">
        <f t="shared" si="11"/>
        <v>1275.5</v>
      </c>
      <c r="Q37" s="512">
        <f t="shared" si="11"/>
        <v>1157.5</v>
      </c>
      <c r="R37" s="512">
        <f t="shared" si="11"/>
        <v>956.2</v>
      </c>
      <c r="S37" s="512">
        <f t="shared" si="11"/>
        <v>681.9</v>
      </c>
      <c r="T37" s="512">
        <f t="shared" si="11"/>
        <v>350</v>
      </c>
      <c r="U37" s="512">
        <f t="shared" si="11"/>
        <v>-19.3</v>
      </c>
      <c r="V37" s="512">
        <f t="shared" si="11"/>
        <v>-402.7</v>
      </c>
      <c r="W37" s="512">
        <f t="shared" si="11"/>
        <v>-774.8</v>
      </c>
      <c r="X37" s="512">
        <f t="shared" si="11"/>
        <v>-1109.8</v>
      </c>
      <c r="Y37" s="505">
        <f t="shared" si="11"/>
        <v>-1871.1</v>
      </c>
      <c r="Z37" s="505"/>
      <c r="AA37" s="518"/>
      <c r="AB37" s="518"/>
      <c r="AC37" s="518"/>
      <c r="AD37" s="518"/>
      <c r="AE37" s="518"/>
      <c r="AF37" s="518"/>
      <c r="AG37" s="518"/>
      <c r="AH37" s="518"/>
      <c r="AI37" s="518"/>
      <c r="AJ37" s="527"/>
    </row>
    <row r="38" spans="1:36">
      <c r="A38" s="2238" t="s">
        <v>1095</v>
      </c>
      <c r="B38" s="508"/>
      <c r="C38" s="508">
        <f t="shared" ref="C38:Y38" si="12">ROUND(C25*SIN($H$6)+C26*COS($H$6),1)</f>
        <v>-449</v>
      </c>
      <c r="D38" s="506">
        <f t="shared" si="12"/>
        <v>-357.4</v>
      </c>
      <c r="E38" s="513">
        <f t="shared" si="12"/>
        <v>-607.9</v>
      </c>
      <c r="F38" s="513">
        <f t="shared" si="12"/>
        <v>-827.6</v>
      </c>
      <c r="G38" s="513">
        <f t="shared" si="12"/>
        <v>-1000.4</v>
      </c>
      <c r="H38" s="513">
        <f t="shared" si="12"/>
        <v>-1112.7</v>
      </c>
      <c r="I38" s="513">
        <f t="shared" si="12"/>
        <v>-1154.3</v>
      </c>
      <c r="J38" s="513">
        <f t="shared" si="12"/>
        <v>-1119.5</v>
      </c>
      <c r="K38" s="513">
        <f t="shared" si="12"/>
        <v>-1007.5</v>
      </c>
      <c r="L38" s="513">
        <f t="shared" si="12"/>
        <v>-822.7</v>
      </c>
      <c r="M38" s="513">
        <f t="shared" si="12"/>
        <v>-574.5</v>
      </c>
      <c r="N38" s="513">
        <f t="shared" si="12"/>
        <v>-277.2</v>
      </c>
      <c r="O38" s="513">
        <f t="shared" si="12"/>
        <v>51.3</v>
      </c>
      <c r="P38" s="513">
        <f t="shared" si="12"/>
        <v>390</v>
      </c>
      <c r="Q38" s="513">
        <f t="shared" si="12"/>
        <v>716.3</v>
      </c>
      <c r="R38" s="513">
        <f t="shared" si="12"/>
        <v>1007.6</v>
      </c>
      <c r="S38" s="513">
        <f t="shared" si="12"/>
        <v>1242.9000000000001</v>
      </c>
      <c r="T38" s="513">
        <f t="shared" si="12"/>
        <v>1403.8</v>
      </c>
      <c r="U38" s="513">
        <f t="shared" si="12"/>
        <v>1476.4</v>
      </c>
      <c r="V38" s="513">
        <f t="shared" si="12"/>
        <v>1452.1</v>
      </c>
      <c r="W38" s="513">
        <f t="shared" si="12"/>
        <v>1328.5</v>
      </c>
      <c r="X38" s="513">
        <f t="shared" si="12"/>
        <v>1109.8</v>
      </c>
      <c r="Y38" s="508">
        <f t="shared" si="12"/>
        <v>348.5</v>
      </c>
      <c r="Z38" s="508"/>
      <c r="AA38" s="518"/>
      <c r="AB38" s="518"/>
      <c r="AC38" s="518"/>
      <c r="AD38" s="518"/>
      <c r="AE38" s="518"/>
      <c r="AF38" s="518"/>
      <c r="AG38" s="518"/>
      <c r="AH38" s="518"/>
      <c r="AI38" s="518"/>
      <c r="AJ38" s="527"/>
    </row>
    <row r="39" spans="1:36" s="813" customFormat="1">
      <c r="A39" s="2238" t="s">
        <v>2395</v>
      </c>
      <c r="B39" s="510" t="s">
        <v>2569</v>
      </c>
      <c r="C39" s="3013">
        <f>IF($N$39+IF($N$39-$H$6&lt;H_alfastart,2*PI(),0)&gt;$X$32,0,1000*COS($N$39)*(r0*EXP(K_House*($N$39-$H$6+IF($N$39-$H$6&lt;H_alfastart,2*PI(),0)))+House_P_T/1000))</f>
        <v>41.669481622770547</v>
      </c>
      <c r="D39" s="3013" t="s">
        <v>2570</v>
      </c>
      <c r="E39" s="3013">
        <f>IF($N$39+IF($N$39-$H$6&lt;H_alfastart,2*PI(),0)&gt;$X$32,$X$35,1000*SIN($N$39)*(r0*EXP(K_House*($N$39-$H$6+IF($N$39-$H$6&lt;H_alfastart,2*PI(),0)))+House_P_T/1000))</f>
        <v>-1153.3532332078967</v>
      </c>
      <c r="F39" s="518"/>
      <c r="G39" s="1234"/>
      <c r="H39" s="805"/>
      <c r="I39" s="518"/>
      <c r="J39" s="518"/>
      <c r="K39" s="510" t="s">
        <v>2568</v>
      </c>
      <c r="L39" s="1174">
        <f>1000*(SIN($N$39)*r0*K_House*EXP(K_House*($N$39-$H$6+IF($N$39-$H$6&lt;H_alfastart,2*PI(),0)))+COS($N$39)*(r0*EXP(K_House*($N$39-$H$6+IF($N$39-$H$6&lt;H_alfastart,2*PI(),0)))+House_P_T/1000))</f>
        <v>-49.410057851834715</v>
      </c>
      <c r="M39" s="1234" t="s">
        <v>1485</v>
      </c>
      <c r="N39" s="1173">
        <v>4.7485022578862468</v>
      </c>
      <c r="O39" s="518"/>
      <c r="P39" s="528" t="s">
        <v>2572</v>
      </c>
      <c r="Q39" s="2452">
        <f>3*PI()/2</f>
        <v>4.7123889803846897</v>
      </c>
      <c r="R39" s="2453" t="s">
        <v>2573</v>
      </c>
      <c r="S39" s="518"/>
      <c r="T39" s="518"/>
      <c r="U39" s="510"/>
      <c r="V39" s="510"/>
      <c r="W39" s="510"/>
      <c r="X39" s="510"/>
      <c r="Y39" s="510"/>
      <c r="Z39" s="518"/>
      <c r="AA39" s="518"/>
      <c r="AB39" s="518"/>
      <c r="AC39" s="518"/>
      <c r="AD39" s="518"/>
      <c r="AJ39" s="2019"/>
    </row>
    <row r="40" spans="1:36" ht="15.75" thickBot="1">
      <c r="A40" s="2570"/>
      <c r="B40" s="510"/>
      <c r="C40" s="510"/>
      <c r="D40" s="510"/>
      <c r="E40" s="510"/>
      <c r="F40" s="510"/>
      <c r="G40" s="510"/>
      <c r="H40" s="510"/>
      <c r="I40" s="510"/>
      <c r="J40" s="510"/>
      <c r="K40" s="510"/>
      <c r="L40" s="510"/>
      <c r="M40" s="510"/>
      <c r="N40" s="510"/>
      <c r="O40" s="510"/>
      <c r="P40" s="510"/>
      <c r="Q40" s="510"/>
      <c r="R40" s="510"/>
      <c r="S40" s="510"/>
      <c r="T40" s="510"/>
      <c r="U40" s="510"/>
      <c r="V40" s="510"/>
      <c r="W40" s="510"/>
      <c r="X40" s="510"/>
      <c r="Y40" s="510"/>
      <c r="Z40" s="510"/>
      <c r="AA40" s="510"/>
      <c r="AB40" s="518"/>
      <c r="AC40" s="518"/>
      <c r="AD40" s="518"/>
      <c r="AE40" s="518"/>
      <c r="AF40" s="518"/>
      <c r="AG40" s="518"/>
      <c r="AH40" s="518"/>
      <c r="AI40" s="518"/>
      <c r="AJ40" s="527"/>
    </row>
    <row r="41" spans="1:36" ht="15.75" thickBot="1">
      <c r="A41" s="2569" t="s">
        <v>2645</v>
      </c>
      <c r="B41" s="3822" t="s">
        <v>3943</v>
      </c>
      <c r="C41" s="3823"/>
      <c r="D41" s="3823"/>
      <c r="E41" s="3823"/>
      <c r="F41" s="3823"/>
      <c r="G41" s="3823"/>
      <c r="H41" s="3823"/>
      <c r="I41" s="3823"/>
      <c r="J41" s="3823"/>
      <c r="K41" s="3823"/>
      <c r="L41" s="3823"/>
      <c r="M41" s="3823"/>
      <c r="N41" s="3823"/>
      <c r="O41" s="3823"/>
      <c r="P41" s="3823"/>
      <c r="Q41" s="3823"/>
      <c r="R41" s="3823"/>
      <c r="S41" s="3823"/>
      <c r="T41" s="3823"/>
      <c r="U41" s="3823"/>
      <c r="V41" s="3823"/>
      <c r="W41" s="3823"/>
      <c r="X41" s="3823"/>
      <c r="Y41" s="3823"/>
      <c r="Z41" s="3823"/>
      <c r="AA41" s="3823"/>
      <c r="AB41" s="3823"/>
      <c r="AC41" s="3824"/>
      <c r="AD41" s="518"/>
      <c r="AE41" s="518"/>
      <c r="AF41" s="518"/>
      <c r="AG41" s="518"/>
      <c r="AH41" s="518"/>
      <c r="AI41" s="518"/>
      <c r="AJ41" s="527"/>
    </row>
    <row r="42" spans="1:36">
      <c r="A42" s="2238"/>
      <c r="B42" s="1135"/>
      <c r="C42" s="1135" t="s">
        <v>3567</v>
      </c>
      <c r="D42" s="2057" t="e">
        <f ca="1">MAX(CFmin_reinf_area,SPmin_reinf_area,IF((House_B_ins/1000)^2*crit_a/(Reinf_HousePT/1000)-1&lt;=0,CFmin_reinf_area,(House_B_ins/1000)^2*SQRT(1/((House_B_ins/1000)^2*crit_a/(Reinf_HousePT/1000)-1))))</f>
        <v>#REF!</v>
      </c>
      <c r="E42" s="518" t="s">
        <v>2511</v>
      </c>
      <c r="F42" s="510"/>
      <c r="G42" s="1234" t="s">
        <v>3569</v>
      </c>
      <c r="H42" s="1154" t="e">
        <f ca="1">1000*$D$42/(House_B_ins/1000)</f>
        <v>#REF!</v>
      </c>
      <c r="I42" s="510" t="s">
        <v>136</v>
      </c>
      <c r="J42" s="510" t="s">
        <v>3570</v>
      </c>
      <c r="K42" s="510" t="e">
        <f ca="1">ROUNDUP('House reinf, Drive Side'!$B$23/SidePlate_reinf_dist,0)+1</f>
        <v>#REF!</v>
      </c>
      <c r="L42" s="518"/>
      <c r="M42" s="510"/>
      <c r="N42" s="510"/>
      <c r="O42" s="510"/>
      <c r="P42" s="510"/>
      <c r="Q42" s="510"/>
      <c r="R42" s="510"/>
      <c r="S42" s="510"/>
      <c r="T42" s="510"/>
      <c r="U42" s="510"/>
      <c r="V42" s="510"/>
      <c r="W42" s="510"/>
      <c r="X42" s="510"/>
      <c r="Y42" s="510"/>
      <c r="Z42" s="510"/>
      <c r="AA42" s="510"/>
      <c r="AB42" s="518"/>
      <c r="AC42" s="518"/>
      <c r="AD42" s="518"/>
      <c r="AE42" s="518"/>
      <c r="AF42" s="518"/>
      <c r="AG42" s="518"/>
      <c r="AH42" s="518"/>
      <c r="AI42" s="518"/>
      <c r="AJ42" s="527"/>
    </row>
    <row r="43" spans="1:36" s="497" customFormat="1">
      <c r="A43" s="2239" t="s">
        <v>2635</v>
      </c>
      <c r="B43" s="2069">
        <f>1</f>
        <v>1</v>
      </c>
      <c r="C43" s="2069">
        <f t="shared" ref="C43:K43" si="13">B43+1</f>
        <v>2</v>
      </c>
      <c r="D43" s="2069">
        <f t="shared" si="13"/>
        <v>3</v>
      </c>
      <c r="E43" s="2069">
        <f t="shared" si="13"/>
        <v>4</v>
      </c>
      <c r="F43" s="2069">
        <f t="shared" si="13"/>
        <v>5</v>
      </c>
      <c r="G43" s="2069">
        <f t="shared" si="13"/>
        <v>6</v>
      </c>
      <c r="H43" s="2069">
        <f t="shared" si="13"/>
        <v>7</v>
      </c>
      <c r="I43" s="2069">
        <f t="shared" si="13"/>
        <v>8</v>
      </c>
      <c r="J43" s="2069">
        <f t="shared" si="13"/>
        <v>9</v>
      </c>
      <c r="K43" s="2069">
        <f t="shared" si="13"/>
        <v>10</v>
      </c>
      <c r="L43" s="503"/>
      <c r="M43" s="510"/>
      <c r="N43" s="510"/>
      <c r="O43" s="510"/>
      <c r="P43" s="510"/>
      <c r="Q43" s="510"/>
      <c r="R43" s="510"/>
      <c r="S43" s="510"/>
      <c r="T43" s="510"/>
      <c r="U43" s="510"/>
      <c r="V43" s="510"/>
      <c r="W43" s="510"/>
      <c r="X43" s="510"/>
      <c r="Y43" s="510"/>
      <c r="Z43" s="510"/>
      <c r="AA43" s="510"/>
      <c r="AB43" s="510"/>
      <c r="AC43" s="510"/>
      <c r="AD43" s="510"/>
      <c r="AE43" s="510"/>
      <c r="AF43" s="510"/>
      <c r="AG43" s="510"/>
      <c r="AH43" s="510"/>
      <c r="AI43" s="510"/>
      <c r="AJ43" s="1340"/>
    </row>
    <row r="44" spans="1:36" s="497" customFormat="1">
      <c r="A44" s="2239" t="s">
        <v>1104</v>
      </c>
      <c r="B44" s="1134" t="e">
        <f ca="1">IF(House_B_ins&lt;min_re_L,0,'House reinf, Drive Side'!$B$20)</f>
        <v>#REF!</v>
      </c>
      <c r="C44" s="2073" t="e">
        <f t="shared" ref="C44:K44" ca="1" si="14">IF(House_B_ins&lt;min_re_L,0,IF(C43&lt;=$K$42,IF(B46-SidePlate_reinf_dist&gt;0,2*PI()+ATAN((B46-SidePlate_reinf_dist)/B45),IF(2*PI()+ATAN((B46-SidePlate_reinf_dist)/B45)&gt;2*PI()-PI()/10,2*PI()+ATAN((B46-SidePlate_reinf_dist)/B45),0)),0))</f>
        <v>#REF!</v>
      </c>
      <c r="D44" s="2073" t="e">
        <f t="shared" ca="1" si="14"/>
        <v>#REF!</v>
      </c>
      <c r="E44" s="2073" t="e">
        <f t="shared" ca="1" si="14"/>
        <v>#REF!</v>
      </c>
      <c r="F44" s="2073" t="e">
        <f t="shared" ca="1" si="14"/>
        <v>#REF!</v>
      </c>
      <c r="G44" s="2073" t="e">
        <f t="shared" ca="1" si="14"/>
        <v>#REF!</v>
      </c>
      <c r="H44" s="2073" t="e">
        <f t="shared" ca="1" si="14"/>
        <v>#REF!</v>
      </c>
      <c r="I44" s="2073" t="e">
        <f t="shared" ca="1" si="14"/>
        <v>#REF!</v>
      </c>
      <c r="J44" s="2073" t="e">
        <f t="shared" ca="1" si="14"/>
        <v>#REF!</v>
      </c>
      <c r="K44" s="2073" t="e">
        <f t="shared" ca="1" si="14"/>
        <v>#REF!</v>
      </c>
      <c r="L44" s="510"/>
      <c r="M44" s="510"/>
      <c r="N44" s="510"/>
      <c r="O44" s="510"/>
      <c r="P44" s="510"/>
      <c r="Q44" s="510"/>
      <c r="R44" s="510"/>
      <c r="S44" s="510"/>
      <c r="T44" s="510"/>
      <c r="U44" s="510"/>
      <c r="V44" s="510"/>
      <c r="W44" s="510"/>
      <c r="X44" s="510"/>
      <c r="Y44" s="510"/>
      <c r="Z44" s="510"/>
      <c r="AA44" s="510"/>
      <c r="AB44" s="510"/>
      <c r="AC44" s="510"/>
      <c r="AD44" s="510"/>
      <c r="AE44" s="510"/>
      <c r="AF44" s="510"/>
      <c r="AG44" s="510"/>
      <c r="AH44" s="510"/>
      <c r="AI44" s="510"/>
      <c r="AJ44" s="1340"/>
    </row>
    <row r="45" spans="1:36" s="685" customFormat="1">
      <c r="A45" s="2091" t="s">
        <v>1094</v>
      </c>
      <c r="B45" s="2075" t="e">
        <f ca="1">IF(House_B_ins&lt;min_re_L,0,'House reinf, Drive Side'!$Z$22+House_P_T)</f>
        <v>#REF!</v>
      </c>
      <c r="C45" s="2072" t="e">
        <f t="shared" ref="C45:K45" ca="1" si="15">IF(House_B_ins&lt;min_re_L,0,IF(C$43&lt;=$K$42,IF(B46-SidePlate_reinf_dist&gt;=0,B45,IF(C$44=0,0,COS(C$44)*(r0*1000*EXP(K_House*C44)+House_P_T))),0))</f>
        <v>#REF!</v>
      </c>
      <c r="D45" s="2069" t="e">
        <f t="shared" ca="1" si="15"/>
        <v>#REF!</v>
      </c>
      <c r="E45" s="2069" t="e">
        <f t="shared" ca="1" si="15"/>
        <v>#REF!</v>
      </c>
      <c r="F45" s="2069" t="e">
        <f t="shared" ca="1" si="15"/>
        <v>#REF!</v>
      </c>
      <c r="G45" s="2069" t="e">
        <f t="shared" ca="1" si="15"/>
        <v>#REF!</v>
      </c>
      <c r="H45" s="2069" t="e">
        <f t="shared" ca="1" si="15"/>
        <v>#REF!</v>
      </c>
      <c r="I45" s="2069" t="e">
        <f t="shared" ca="1" si="15"/>
        <v>#REF!</v>
      </c>
      <c r="J45" s="2069" t="e">
        <f t="shared" ca="1" si="15"/>
        <v>#REF!</v>
      </c>
      <c r="K45" s="2069" t="e">
        <f t="shared" ca="1" si="15"/>
        <v>#REF!</v>
      </c>
      <c r="Y45" s="2058"/>
      <c r="Z45" s="2058"/>
      <c r="AJ45" s="2342"/>
    </row>
    <row r="46" spans="1:36" s="497" customFormat="1">
      <c r="A46" s="2091" t="s">
        <v>1095</v>
      </c>
      <c r="B46" s="2076" t="e">
        <f ca="1">IF(House_B_ins&lt;min_re_L,0,'House reinf, Drive Side'!$Z$23)</f>
        <v>#REF!</v>
      </c>
      <c r="C46" s="2071" t="e">
        <f t="shared" ref="C46:K46" ca="1" si="16">IF(House_B_ins&lt;min_re_L,0,IF(C$43&lt;=$K$42,IF(B46-SidePlate_reinf_dist&gt;=0,B46-SidePlate_reinf_dist,SIN(C$44)*(r0*1000*EXP(K_House*C44)+House_P_T)),0))</f>
        <v>#REF!</v>
      </c>
      <c r="D46" s="508" t="e">
        <f t="shared" ca="1" si="16"/>
        <v>#REF!</v>
      </c>
      <c r="E46" s="508" t="e">
        <f t="shared" ca="1" si="16"/>
        <v>#REF!</v>
      </c>
      <c r="F46" s="508" t="e">
        <f t="shared" ca="1" si="16"/>
        <v>#REF!</v>
      </c>
      <c r="G46" s="508" t="e">
        <f t="shared" ca="1" si="16"/>
        <v>#REF!</v>
      </c>
      <c r="H46" s="508" t="e">
        <f t="shared" ca="1" si="16"/>
        <v>#REF!</v>
      </c>
      <c r="I46" s="508" t="e">
        <f t="shared" ca="1" si="16"/>
        <v>#REF!</v>
      </c>
      <c r="J46" s="508" t="e">
        <f t="shared" ca="1" si="16"/>
        <v>#REF!</v>
      </c>
      <c r="K46" s="508" t="e">
        <f t="shared" ca="1" si="16"/>
        <v>#REF!</v>
      </c>
      <c r="L46" s="510"/>
      <c r="M46" s="510"/>
      <c r="N46" s="510"/>
      <c r="O46" s="510"/>
      <c r="P46" s="510"/>
      <c r="Q46" s="510"/>
      <c r="R46" s="510"/>
      <c r="S46" s="510"/>
      <c r="T46" s="510"/>
      <c r="U46" s="510"/>
      <c r="V46" s="510"/>
      <c r="W46" s="510"/>
      <c r="X46" s="510"/>
      <c r="Y46" s="510"/>
      <c r="Z46" s="510"/>
      <c r="AA46" s="510"/>
      <c r="AB46" s="510"/>
      <c r="AC46" s="510"/>
      <c r="AD46" s="510"/>
      <c r="AE46" s="510"/>
      <c r="AF46" s="510"/>
      <c r="AG46" s="510"/>
      <c r="AH46" s="510"/>
      <c r="AI46" s="510"/>
      <c r="AJ46" s="1340"/>
    </row>
    <row r="47" spans="1:36" s="497" customFormat="1">
      <c r="A47" s="2091" t="s">
        <v>1096</v>
      </c>
      <c r="B47" s="2070" t="e">
        <f ca="1">IF(B$44=0,0,B$45+IF(B$46&gt;=0,'House reinf, Drive Side'!$T$7,'House reinf, Drive Side'!$T$7*COS(B$44)))</f>
        <v>#REF!</v>
      </c>
      <c r="C47" s="505" t="e">
        <f ca="1">IF(C$44=0,0,C$45+IF(C$46&gt;=0,'House reinf, Drive Side'!$T$7,'House reinf, Drive Side'!$T$7*COS(C$44)))</f>
        <v>#REF!</v>
      </c>
      <c r="D47" s="505" t="e">
        <f ca="1">IF(D$44=0,0,D$45+IF(D$46&gt;=0,'House reinf, Drive Side'!$T$7,'House reinf, Drive Side'!$T$7*COS(D$44)))</f>
        <v>#REF!</v>
      </c>
      <c r="E47" s="505" t="e">
        <f ca="1">IF(E$44=0,0,E$45+IF(E$46&gt;=0,'House reinf, Drive Side'!$T$7,'House reinf, Drive Side'!$T$7*COS(E$44)))</f>
        <v>#REF!</v>
      </c>
      <c r="F47" s="505" t="e">
        <f ca="1">IF(F$44=0,0,F$45+IF(F$46&gt;=0,'House reinf, Drive Side'!$T$7,'House reinf, Drive Side'!$T$7*COS(F$44)))</f>
        <v>#REF!</v>
      </c>
      <c r="G47" s="505" t="e">
        <f ca="1">IF(G$44=0,0,G$45+IF(G$46&gt;=0,'House reinf, Drive Side'!$T$7,'House reinf, Drive Side'!$T$7*COS(G$44)))</f>
        <v>#REF!</v>
      </c>
      <c r="H47" s="505" t="e">
        <f ca="1">IF(H$44=0,0,H$45+IF(H$46&gt;=0,'House reinf, Drive Side'!$T$7,'House reinf, Drive Side'!$T$7*COS(H$44)))</f>
        <v>#REF!</v>
      </c>
      <c r="I47" s="505" t="e">
        <f ca="1">IF(I$44=0,0,I$45+IF(I$46&gt;=0,'House reinf, Drive Side'!$T$7,'House reinf, Drive Side'!$T$7*COS(I$44)))</f>
        <v>#REF!</v>
      </c>
      <c r="J47" s="505" t="e">
        <f ca="1">IF(J$44=0,0,J$45+IF(J$46&gt;=0,'House reinf, Drive Side'!$T$7,'House reinf, Drive Side'!$T$7*COS(J$44)))</f>
        <v>#REF!</v>
      </c>
      <c r="K47" s="505" t="e">
        <f ca="1">IF(K$44=0,0,K$45+IF(K$46&gt;=0,'House reinf, Drive Side'!$T$7,'House reinf, Drive Side'!$T$7*COS(K$44)))</f>
        <v>#REF!</v>
      </c>
      <c r="L47" s="510"/>
      <c r="M47" s="510"/>
      <c r="N47" s="510"/>
      <c r="O47" s="510"/>
      <c r="P47" s="510"/>
      <c r="Q47" s="510"/>
      <c r="R47" s="510"/>
      <c r="S47" s="510"/>
      <c r="T47" s="510"/>
      <c r="U47" s="510"/>
      <c r="V47" s="510"/>
      <c r="W47" s="510"/>
      <c r="X47" s="510"/>
      <c r="Y47" s="510"/>
      <c r="Z47" s="510"/>
      <c r="AA47" s="510"/>
      <c r="AB47" s="510"/>
      <c r="AC47" s="510"/>
      <c r="AD47" s="510"/>
      <c r="AE47" s="510"/>
      <c r="AF47" s="510"/>
      <c r="AG47" s="510"/>
      <c r="AH47" s="510"/>
      <c r="AI47" s="510"/>
      <c r="AJ47" s="1340"/>
    </row>
    <row r="48" spans="1:36" s="497" customFormat="1">
      <c r="A48" s="2091" t="s">
        <v>1097</v>
      </c>
      <c r="B48" s="2071" t="e">
        <f ca="1">IF(B$44=0,0,B46+IF(B$46&gt;=0,0,'House reinf, Drive Side'!$T$7*SIN(B$44)))</f>
        <v>#REF!</v>
      </c>
      <c r="C48" s="508" t="e">
        <f ca="1">IF(C$44=0,0,C46+IF(C$46&gt;=0,0,'House reinf, Drive Side'!$T$7*SIN(C$44)))</f>
        <v>#REF!</v>
      </c>
      <c r="D48" s="508" t="e">
        <f ca="1">IF(D$44=0,0,D46+IF(D$46&gt;=0,0,'House reinf, Drive Side'!$T$7*SIN(D$44)))</f>
        <v>#REF!</v>
      </c>
      <c r="E48" s="508" t="e">
        <f ca="1">IF(E$44=0,0,E46+IF(E$46&gt;=0,0,'House reinf, Drive Side'!$T$7*SIN(E$44)))</f>
        <v>#REF!</v>
      </c>
      <c r="F48" s="508" t="e">
        <f ca="1">IF(F$44=0,0,F46+IF(F$46&gt;=0,0,'House reinf, Drive Side'!$T$7*SIN(F$44)))</f>
        <v>#REF!</v>
      </c>
      <c r="G48" s="508" t="e">
        <f ca="1">IF(G$44=0,0,G46+IF(G$46&gt;=0,0,'House reinf, Drive Side'!$T$7*SIN(G$44)))</f>
        <v>#REF!</v>
      </c>
      <c r="H48" s="508" t="e">
        <f ca="1">IF(H$44=0,0,H46+IF(H$46&gt;=0,0,'House reinf, Drive Side'!$T$7*SIN(H$44)))</f>
        <v>#REF!</v>
      </c>
      <c r="I48" s="508" t="e">
        <f ca="1">IF(I$44=0,0,I46+IF(I$46&gt;=0,0,'House reinf, Drive Side'!$T$7*SIN(I$44)))</f>
        <v>#REF!</v>
      </c>
      <c r="J48" s="508" t="e">
        <f ca="1">IF(J$44=0,0,J46+IF(J$46&gt;=0,0,'House reinf, Drive Side'!$T$7*SIN(J$44)))</f>
        <v>#REF!</v>
      </c>
      <c r="K48" s="508" t="e">
        <f ca="1">IF(K$44=0,0,K46+IF(K$46&gt;=0,0,'House reinf, Drive Side'!$T$7*SIN(K$44)))</f>
        <v>#REF!</v>
      </c>
      <c r="L48" s="510"/>
      <c r="M48" s="510"/>
      <c r="N48" s="510"/>
      <c r="O48" s="510"/>
      <c r="P48" s="510"/>
      <c r="Q48" s="510"/>
      <c r="R48" s="510"/>
      <c r="S48" s="510"/>
      <c r="T48" s="510"/>
      <c r="U48" s="510"/>
      <c r="V48" s="510"/>
      <c r="W48" s="510"/>
      <c r="X48" s="510"/>
      <c r="Y48" s="510"/>
      <c r="Z48" s="510"/>
      <c r="AA48" s="510"/>
      <c r="AB48" s="510"/>
      <c r="AC48" s="510"/>
      <c r="AD48" s="510"/>
      <c r="AE48" s="510"/>
      <c r="AF48" s="510"/>
      <c r="AG48" s="510"/>
      <c r="AH48" s="510"/>
      <c r="AI48" s="510"/>
      <c r="AJ48" s="1340"/>
    </row>
    <row r="49" spans="1:36" ht="15.75" thickBot="1">
      <c r="A49" s="1278"/>
      <c r="B49" s="546"/>
      <c r="C49" s="547"/>
      <c r="D49" s="547"/>
      <c r="E49" s="547"/>
      <c r="F49" s="547"/>
      <c r="G49" s="547"/>
      <c r="H49" s="547"/>
      <c r="I49" s="547"/>
      <c r="J49" s="547"/>
      <c r="K49" s="547"/>
      <c r="L49" s="547"/>
      <c r="M49" s="547"/>
      <c r="N49" s="547"/>
      <c r="O49" s="547"/>
      <c r="P49" s="547"/>
      <c r="Q49" s="547"/>
      <c r="R49" s="547"/>
      <c r="S49" s="547"/>
      <c r="T49" s="547"/>
      <c r="U49" s="547"/>
      <c r="V49" s="547"/>
      <c r="W49" s="547"/>
      <c r="X49" s="547"/>
      <c r="Y49" s="547"/>
      <c r="Z49" s="547"/>
      <c r="AA49" s="547"/>
      <c r="AB49" s="556"/>
      <c r="AC49" s="556"/>
      <c r="AD49" s="556"/>
      <c r="AE49" s="556"/>
      <c r="AF49" s="556"/>
      <c r="AG49" s="556"/>
      <c r="AH49" s="556"/>
      <c r="AI49" s="556"/>
      <c r="AJ49" s="561"/>
    </row>
    <row r="50" spans="1:36" s="518" customFormat="1" ht="15.75" thickBot="1">
      <c r="A50" s="1275"/>
      <c r="B50" s="510"/>
      <c r="C50" s="510"/>
      <c r="D50" s="510"/>
      <c r="E50" s="510"/>
      <c r="F50" s="510"/>
      <c r="G50" s="510"/>
      <c r="H50" s="510"/>
      <c r="I50" s="510"/>
      <c r="J50" s="510"/>
      <c r="K50" s="510"/>
      <c r="L50" s="510"/>
      <c r="M50" s="510"/>
      <c r="N50" s="510"/>
      <c r="O50" s="510"/>
      <c r="P50" s="510"/>
      <c r="Q50" s="510"/>
      <c r="R50" s="510"/>
      <c r="S50" s="510"/>
      <c r="T50" s="510"/>
      <c r="U50" s="510"/>
      <c r="V50" s="510"/>
      <c r="W50" s="510"/>
      <c r="X50" s="510"/>
      <c r="Y50" s="510"/>
      <c r="Z50" s="510"/>
      <c r="AA50" s="510"/>
      <c r="AB50" s="510"/>
      <c r="AJ50" s="527"/>
    </row>
    <row r="51" spans="1:36" s="518" customFormat="1">
      <c r="A51" s="3812" t="str">
        <f>"FINIISHED HOUSE, DRIVE VIEW; "&amp;$E$6&amp;", "&amp;$G$6&amp;", "&amp;Center_H</f>
        <v>FINIISHED HOUSE, DRIVE VIEW; RD, 135, 1269</v>
      </c>
      <c r="B51" s="3813"/>
      <c r="C51" s="3813"/>
      <c r="D51" s="3813"/>
      <c r="E51" s="3813"/>
      <c r="F51" s="3813"/>
      <c r="G51" s="3813"/>
      <c r="H51" s="3813"/>
      <c r="I51" s="3813"/>
      <c r="J51" s="3813"/>
      <c r="K51" s="3813"/>
      <c r="L51" s="3813"/>
      <c r="M51" s="3813"/>
      <c r="N51" s="3813"/>
      <c r="O51" s="3813"/>
      <c r="P51" s="3813"/>
      <c r="Q51" s="3813"/>
      <c r="R51" s="3813"/>
      <c r="S51" s="3813"/>
      <c r="T51" s="3813"/>
      <c r="U51" s="3813"/>
      <c r="V51" s="3813"/>
      <c r="W51" s="3813"/>
      <c r="X51" s="3813"/>
      <c r="Y51" s="3813"/>
      <c r="Z51" s="3813"/>
      <c r="AA51" s="3813"/>
      <c r="AB51" s="3813"/>
      <c r="AC51" s="3813"/>
      <c r="AD51" s="3813"/>
      <c r="AE51" s="3813"/>
      <c r="AF51" s="3813"/>
      <c r="AG51" s="3813"/>
      <c r="AH51" s="3813"/>
      <c r="AI51" s="3813"/>
      <c r="AJ51" s="3814"/>
    </row>
    <row r="52" spans="1:36" s="518" customFormat="1" ht="15.75" thickBot="1">
      <c r="A52" s="3815"/>
      <c r="B52" s="3816"/>
      <c r="C52" s="3816"/>
      <c r="D52" s="3816"/>
      <c r="E52" s="3816"/>
      <c r="F52" s="3816"/>
      <c r="G52" s="3816"/>
      <c r="H52" s="3816"/>
      <c r="I52" s="3816"/>
      <c r="J52" s="3816"/>
      <c r="K52" s="3816"/>
      <c r="L52" s="3816"/>
      <c r="M52" s="3816"/>
      <c r="N52" s="3816"/>
      <c r="O52" s="3816"/>
      <c r="P52" s="3816"/>
      <c r="Q52" s="3816"/>
      <c r="R52" s="3816"/>
      <c r="S52" s="3816"/>
      <c r="T52" s="3816"/>
      <c r="U52" s="3816"/>
      <c r="V52" s="3816"/>
      <c r="W52" s="3816"/>
      <c r="X52" s="3816"/>
      <c r="Y52" s="3816"/>
      <c r="Z52" s="3816"/>
      <c r="AA52" s="3816"/>
      <c r="AB52" s="3816"/>
      <c r="AC52" s="3816"/>
      <c r="AD52" s="3816"/>
      <c r="AE52" s="3816"/>
      <c r="AF52" s="3816"/>
      <c r="AG52" s="3816"/>
      <c r="AH52" s="3816"/>
      <c r="AI52" s="3816"/>
      <c r="AJ52" s="3817"/>
    </row>
    <row r="53" spans="1:36" s="518" customFormat="1">
      <c r="A53" s="2022" t="str">
        <f>"COMPLETE HOUSE outside "&amp;$E$6&amp;", "&amp;$G$6&amp;", "&amp;Center_H</f>
        <v>COMPLETE HOUSE outside RD, 135, 1269</v>
      </c>
      <c r="B53" s="519"/>
      <c r="C53" s="520" t="s">
        <v>2545</v>
      </c>
      <c r="D53" s="510" t="e">
        <f ca="1">B28</f>
        <v>#REF!</v>
      </c>
      <c r="E53" s="510" t="s">
        <v>131</v>
      </c>
      <c r="F53" s="510"/>
      <c r="G53" s="1234" t="s">
        <v>1772</v>
      </c>
      <c r="H53" s="510">
        <f>MAX(C56:Y56)-MIN(C56:Y56)</f>
        <v>3177</v>
      </c>
      <c r="I53" s="518" t="s">
        <v>136</v>
      </c>
      <c r="K53" s="1234" t="s">
        <v>1773</v>
      </c>
      <c r="L53" s="510">
        <f>MAX(C58:Y58)-MIN(C58:Y58)</f>
        <v>2630.7</v>
      </c>
      <c r="M53" s="510" t="s">
        <v>136</v>
      </c>
      <c r="N53" s="510"/>
      <c r="O53" s="510"/>
      <c r="P53" s="510"/>
      <c r="Q53" s="510"/>
      <c r="R53" s="510"/>
      <c r="S53" s="510"/>
      <c r="T53" s="510"/>
      <c r="U53" s="510"/>
      <c r="V53" s="510"/>
      <c r="W53" s="510"/>
      <c r="X53" s="510"/>
      <c r="Y53" s="510"/>
      <c r="Z53" s="521"/>
      <c r="AA53" s="3801" t="s">
        <v>1100</v>
      </c>
      <c r="AB53" s="3802"/>
      <c r="AJ53" s="527"/>
    </row>
    <row r="54" spans="1:36" s="518" customFormat="1">
      <c r="A54" s="2023"/>
      <c r="B54" s="3828" t="s">
        <v>2557</v>
      </c>
      <c r="C54" s="3829"/>
      <c r="D54" s="2332" t="s">
        <v>1099</v>
      </c>
      <c r="E54" s="2400"/>
      <c r="F54" s="2400"/>
      <c r="G54" s="2400"/>
      <c r="H54" s="2400"/>
      <c r="I54" s="2400"/>
      <c r="J54" s="2400"/>
      <c r="K54" s="2400"/>
      <c r="L54" s="2400"/>
      <c r="M54" s="2400"/>
      <c r="N54" s="2400"/>
      <c r="O54" s="2400"/>
      <c r="P54" s="2400"/>
      <c r="Q54" s="2400"/>
      <c r="R54" s="2400"/>
      <c r="S54" s="2400"/>
      <c r="T54" s="2400"/>
      <c r="U54" s="2400"/>
      <c r="V54" s="2400"/>
      <c r="W54" s="2400"/>
      <c r="X54" s="2401"/>
      <c r="Y54" s="3830" t="s">
        <v>2558</v>
      </c>
      <c r="Z54" s="3829"/>
      <c r="AA54" s="455" t="s">
        <v>1101</v>
      </c>
      <c r="AB54" s="1142" t="s">
        <v>1102</v>
      </c>
      <c r="AJ54" s="527"/>
    </row>
    <row r="55" spans="1:36" s="544" customFormat="1">
      <c r="A55" s="2419"/>
      <c r="B55" s="1393" t="s">
        <v>4128</v>
      </c>
      <c r="C55" s="1394" t="s">
        <v>4127</v>
      </c>
      <c r="D55" s="1388">
        <f t="shared" ref="D55:X55" si="17">D$32</f>
        <v>3.4906585039886591</v>
      </c>
      <c r="E55" s="1166">
        <f t="shared" si="17"/>
        <v>3.7480945686578226</v>
      </c>
      <c r="F55" s="1166">
        <f t="shared" si="17"/>
        <v>4.0055306333269858</v>
      </c>
      <c r="G55" s="1166">
        <f t="shared" si="17"/>
        <v>4.2629666979961502</v>
      </c>
      <c r="H55" s="1166">
        <f t="shared" si="17"/>
        <v>4.5204027626653129</v>
      </c>
      <c r="I55" s="1166">
        <f t="shared" si="17"/>
        <v>4.7778388273344774</v>
      </c>
      <c r="J55" s="1166">
        <f t="shared" si="17"/>
        <v>5.0352748920036401</v>
      </c>
      <c r="K55" s="1166">
        <f t="shared" si="17"/>
        <v>5.2927109566728046</v>
      </c>
      <c r="L55" s="1166">
        <f t="shared" si="17"/>
        <v>5.5501470213419672</v>
      </c>
      <c r="M55" s="1166">
        <f t="shared" si="17"/>
        <v>5.8075830860111317</v>
      </c>
      <c r="N55" s="1166">
        <f t="shared" si="17"/>
        <v>6.0650191506802944</v>
      </c>
      <c r="O55" s="1166">
        <f t="shared" si="17"/>
        <v>6.3224552153494589</v>
      </c>
      <c r="P55" s="1166">
        <f t="shared" si="17"/>
        <v>6.5798912800186224</v>
      </c>
      <c r="Q55" s="1166">
        <f t="shared" si="17"/>
        <v>6.837327344687786</v>
      </c>
      <c r="R55" s="1166">
        <f t="shared" si="17"/>
        <v>7.0947634093569496</v>
      </c>
      <c r="S55" s="1166">
        <f t="shared" si="17"/>
        <v>7.3521994740261132</v>
      </c>
      <c r="T55" s="1166">
        <f t="shared" si="17"/>
        <v>7.6096355386952768</v>
      </c>
      <c r="U55" s="1166">
        <f t="shared" si="17"/>
        <v>7.8670716033644403</v>
      </c>
      <c r="V55" s="1166">
        <f t="shared" si="17"/>
        <v>8.1245076680336048</v>
      </c>
      <c r="W55" s="1166">
        <f t="shared" si="17"/>
        <v>8.3819437327027675</v>
      </c>
      <c r="X55" s="1166">
        <f t="shared" si="17"/>
        <v>8.6393797973719302</v>
      </c>
      <c r="Y55" s="1390" t="s">
        <v>4125</v>
      </c>
      <c r="Z55" s="1390" t="s">
        <v>4126</v>
      </c>
      <c r="AA55" s="523">
        <v>0</v>
      </c>
      <c r="AB55" s="1143">
        <v>0</v>
      </c>
      <c r="AJ55" s="524"/>
    </row>
    <row r="56" spans="1:36">
      <c r="A56" s="2238" t="s">
        <v>1475</v>
      </c>
      <c r="B56" s="1181">
        <f t="shared" ref="B56:Z56" si="18">mirror*B$34</f>
        <v>982</v>
      </c>
      <c r="C56" s="505">
        <f t="shared" si="18"/>
        <v>1073.5999999999999</v>
      </c>
      <c r="D56" s="511">
        <f t="shared" si="18"/>
        <v>982</v>
      </c>
      <c r="E56" s="512">
        <f t="shared" si="18"/>
        <v>876.2</v>
      </c>
      <c r="F56" s="512">
        <f t="shared" si="18"/>
        <v>706.8</v>
      </c>
      <c r="G56" s="512">
        <f t="shared" si="18"/>
        <v>482.5</v>
      </c>
      <c r="H56" s="512">
        <f t="shared" si="18"/>
        <v>216.3</v>
      </c>
      <c r="I56" s="512">
        <f t="shared" si="18"/>
        <v>-75.7</v>
      </c>
      <c r="J56" s="512">
        <f t="shared" si="18"/>
        <v>-374.6</v>
      </c>
      <c r="K56" s="512">
        <f t="shared" si="18"/>
        <v>-660.6</v>
      </c>
      <c r="L56" s="512">
        <f t="shared" si="18"/>
        <v>-913.7</v>
      </c>
      <c r="M56" s="512">
        <f t="shared" si="18"/>
        <v>-1115.5</v>
      </c>
      <c r="N56" s="512">
        <f t="shared" si="18"/>
        <v>-1250.2</v>
      </c>
      <c r="O56" s="512">
        <f t="shared" si="18"/>
        <v>-1305.9000000000001</v>
      </c>
      <c r="P56" s="512">
        <f t="shared" si="18"/>
        <v>-1275.5</v>
      </c>
      <c r="Q56" s="512">
        <f t="shared" si="18"/>
        <v>-1157.5</v>
      </c>
      <c r="R56" s="512">
        <f t="shared" si="18"/>
        <v>-956.2</v>
      </c>
      <c r="S56" s="512">
        <f t="shared" si="18"/>
        <v>-681.9</v>
      </c>
      <c r="T56" s="512">
        <f t="shared" si="18"/>
        <v>-350</v>
      </c>
      <c r="U56" s="512">
        <f t="shared" si="18"/>
        <v>19.3</v>
      </c>
      <c r="V56" s="512">
        <f t="shared" si="18"/>
        <v>402.7</v>
      </c>
      <c r="W56" s="512">
        <f t="shared" si="18"/>
        <v>774.8</v>
      </c>
      <c r="X56" s="512">
        <f t="shared" si="18"/>
        <v>1109.8</v>
      </c>
      <c r="Y56" s="505">
        <f t="shared" si="18"/>
        <v>1871.1</v>
      </c>
      <c r="Z56" s="505">
        <f t="shared" si="18"/>
        <v>1779.5</v>
      </c>
      <c r="AA56" s="503">
        <f>-ROUNDUP(MAX(MAX(C56:Y58),ABS(MIN(C56:Y58)))/500,1)*500</f>
        <v>-2750</v>
      </c>
      <c r="AB56" s="545">
        <f>-AA56</f>
        <v>2750</v>
      </c>
      <c r="AC56" s="518"/>
      <c r="AD56" s="518"/>
      <c r="AE56" s="518"/>
      <c r="AF56" s="518"/>
      <c r="AG56" s="518"/>
      <c r="AH56" s="518"/>
      <c r="AI56" s="518"/>
      <c r="AJ56" s="527"/>
    </row>
    <row r="57" spans="1:36">
      <c r="A57" s="2238" t="s">
        <v>1476</v>
      </c>
      <c r="B57" s="1181">
        <f t="shared" ref="B57:Z57" si="19">-B56</f>
        <v>-982</v>
      </c>
      <c r="C57" s="505">
        <f t="shared" si="19"/>
        <v>-1073.5999999999999</v>
      </c>
      <c r="D57" s="503">
        <f t="shared" si="19"/>
        <v>-982</v>
      </c>
      <c r="E57" s="510">
        <f t="shared" si="19"/>
        <v>-876.2</v>
      </c>
      <c r="F57" s="510">
        <f t="shared" si="19"/>
        <v>-706.8</v>
      </c>
      <c r="G57" s="510">
        <f t="shared" si="19"/>
        <v>-482.5</v>
      </c>
      <c r="H57" s="510">
        <f t="shared" si="19"/>
        <v>-216.3</v>
      </c>
      <c r="I57" s="510">
        <f t="shared" si="19"/>
        <v>75.7</v>
      </c>
      <c r="J57" s="510">
        <f t="shared" si="19"/>
        <v>374.6</v>
      </c>
      <c r="K57" s="510">
        <f t="shared" si="19"/>
        <v>660.6</v>
      </c>
      <c r="L57" s="510">
        <f t="shared" si="19"/>
        <v>913.7</v>
      </c>
      <c r="M57" s="510">
        <f t="shared" si="19"/>
        <v>1115.5</v>
      </c>
      <c r="N57" s="510">
        <f t="shared" si="19"/>
        <v>1250.2</v>
      </c>
      <c r="O57" s="510">
        <f t="shared" si="19"/>
        <v>1305.9000000000001</v>
      </c>
      <c r="P57" s="510">
        <f t="shared" si="19"/>
        <v>1275.5</v>
      </c>
      <c r="Q57" s="510">
        <f t="shared" si="19"/>
        <v>1157.5</v>
      </c>
      <c r="R57" s="510">
        <f t="shared" si="19"/>
        <v>956.2</v>
      </c>
      <c r="S57" s="510">
        <f t="shared" si="19"/>
        <v>681.9</v>
      </c>
      <c r="T57" s="510">
        <f t="shared" si="19"/>
        <v>350</v>
      </c>
      <c r="U57" s="510">
        <f t="shared" si="19"/>
        <v>-19.3</v>
      </c>
      <c r="V57" s="510">
        <f t="shared" si="19"/>
        <v>-402.7</v>
      </c>
      <c r="W57" s="510">
        <f t="shared" si="19"/>
        <v>-774.8</v>
      </c>
      <c r="X57" s="510">
        <f t="shared" si="19"/>
        <v>-1109.8</v>
      </c>
      <c r="Y57" s="505">
        <f t="shared" si="19"/>
        <v>-1871.1</v>
      </c>
      <c r="Z57" s="505">
        <f t="shared" si="19"/>
        <v>-1779.5</v>
      </c>
      <c r="AA57" s="503"/>
      <c r="AB57" s="545"/>
      <c r="AC57" s="518"/>
      <c r="AD57" s="518"/>
      <c r="AE57" s="518"/>
      <c r="AF57" s="518"/>
      <c r="AG57" s="518"/>
      <c r="AH57" s="518"/>
      <c r="AI57" s="518"/>
      <c r="AJ57" s="527"/>
    </row>
    <row r="58" spans="1:36">
      <c r="A58" s="2238" t="s">
        <v>1093</v>
      </c>
      <c r="B58" s="531">
        <f t="shared" ref="B58:Z58" si="20">B$35+Center_H</f>
        <v>911.6</v>
      </c>
      <c r="C58" s="508">
        <f t="shared" si="20"/>
        <v>820</v>
      </c>
      <c r="D58" s="506">
        <f t="shared" si="20"/>
        <v>911.6</v>
      </c>
      <c r="E58" s="513">
        <f t="shared" si="20"/>
        <v>661.1</v>
      </c>
      <c r="F58" s="513">
        <f t="shared" si="20"/>
        <v>441.4</v>
      </c>
      <c r="G58" s="513">
        <f t="shared" si="20"/>
        <v>268.60000000000002</v>
      </c>
      <c r="H58" s="513">
        <f t="shared" si="20"/>
        <v>156.29999999999995</v>
      </c>
      <c r="I58" s="513">
        <f t="shared" si="20"/>
        <v>114.70000000000005</v>
      </c>
      <c r="J58" s="513">
        <f t="shared" si="20"/>
        <v>149.5</v>
      </c>
      <c r="K58" s="513">
        <f t="shared" si="20"/>
        <v>261.5</v>
      </c>
      <c r="L58" s="513">
        <f t="shared" si="20"/>
        <v>446.29999999999995</v>
      </c>
      <c r="M58" s="513">
        <f t="shared" si="20"/>
        <v>694.5</v>
      </c>
      <c r="N58" s="513">
        <f t="shared" si="20"/>
        <v>991.8</v>
      </c>
      <c r="O58" s="513">
        <f t="shared" si="20"/>
        <v>1320.3</v>
      </c>
      <c r="P58" s="513">
        <f t="shared" si="20"/>
        <v>1659</v>
      </c>
      <c r="Q58" s="513">
        <f t="shared" si="20"/>
        <v>1985.3</v>
      </c>
      <c r="R58" s="513">
        <f t="shared" si="20"/>
        <v>2276.6</v>
      </c>
      <c r="S58" s="513">
        <f t="shared" si="20"/>
        <v>2511.9</v>
      </c>
      <c r="T58" s="513">
        <f t="shared" si="20"/>
        <v>2672.8</v>
      </c>
      <c r="U58" s="513">
        <f t="shared" si="20"/>
        <v>2745.4</v>
      </c>
      <c r="V58" s="513">
        <f t="shared" si="20"/>
        <v>2721.1</v>
      </c>
      <c r="W58" s="513">
        <f t="shared" si="20"/>
        <v>2597.5</v>
      </c>
      <c r="X58" s="513">
        <f t="shared" si="20"/>
        <v>2378.8000000000002</v>
      </c>
      <c r="Y58" s="508">
        <f t="shared" si="20"/>
        <v>1617.5</v>
      </c>
      <c r="Z58" s="508">
        <f t="shared" si="20"/>
        <v>1709.1</v>
      </c>
      <c r="AA58" s="506">
        <f>-ROUNDUP(MAX(MAX(C56:Y58),ABS(MIN(C56:Y58)))/500,1)*500</f>
        <v>-2750</v>
      </c>
      <c r="AB58" s="1153">
        <f>-AA58</f>
        <v>2750</v>
      </c>
      <c r="AC58" s="518"/>
      <c r="AD58" s="518"/>
      <c r="AE58" s="518"/>
      <c r="AF58" s="518"/>
      <c r="AG58" s="518"/>
      <c r="AH58" s="518"/>
      <c r="AI58" s="518"/>
      <c r="AJ58" s="527"/>
    </row>
    <row r="59" spans="1:36">
      <c r="A59" s="2238"/>
      <c r="B59" s="2333"/>
      <c r="C59" s="2335" t="s">
        <v>3930</v>
      </c>
      <c r="D59" s="2334">
        <f>2*PI()/(COLUMNS($B$5:$AJ$5)-1)</f>
        <v>0.18479956785822313</v>
      </c>
      <c r="E59" s="1179"/>
      <c r="F59" s="518"/>
      <c r="G59" s="518"/>
      <c r="H59" s="518"/>
      <c r="I59" s="518"/>
      <c r="J59" s="518"/>
      <c r="K59" s="518"/>
      <c r="L59" s="518"/>
      <c r="M59" s="1179"/>
      <c r="N59" s="1179"/>
      <c r="O59" s="1179"/>
      <c r="P59" s="1179"/>
      <c r="Q59" s="1179"/>
      <c r="R59" s="1179"/>
      <c r="S59" s="1179"/>
      <c r="T59" s="1179"/>
      <c r="U59" s="1179"/>
      <c r="V59" s="1179"/>
      <c r="W59" s="1179"/>
      <c r="X59" s="1179"/>
      <c r="Y59" s="1179"/>
      <c r="Z59" s="1179"/>
      <c r="AA59" s="510"/>
      <c r="AB59" s="510"/>
      <c r="AC59" s="518"/>
      <c r="AD59" s="518"/>
      <c r="AE59" s="518"/>
      <c r="AF59" s="518"/>
      <c r="AG59" s="518"/>
      <c r="AH59" s="518"/>
      <c r="AI59" s="518"/>
      <c r="AJ59" s="527"/>
    </row>
    <row r="60" spans="1:36">
      <c r="A60" s="2345" t="s">
        <v>1104</v>
      </c>
      <c r="B60" s="1167">
        <v>0</v>
      </c>
      <c r="C60" s="517">
        <f>$D$59+B$60</f>
        <v>0.18479956785822313</v>
      </c>
      <c r="D60" s="517">
        <f>$D$59+C$60</f>
        <v>0.36959913571644626</v>
      </c>
      <c r="E60" s="517">
        <f t="shared" ref="E60:AJ60" si="21">$D$59+D$60</f>
        <v>0.55439870357466936</v>
      </c>
      <c r="F60" s="517">
        <f t="shared" si="21"/>
        <v>0.73919827143289252</v>
      </c>
      <c r="G60" s="517">
        <f t="shared" si="21"/>
        <v>0.92399783929111567</v>
      </c>
      <c r="H60" s="517">
        <f t="shared" si="21"/>
        <v>1.1087974071493387</v>
      </c>
      <c r="I60" s="517">
        <f t="shared" si="21"/>
        <v>1.2935969750075618</v>
      </c>
      <c r="J60" s="517">
        <f t="shared" si="21"/>
        <v>1.4783965428657848</v>
      </c>
      <c r="K60" s="517">
        <f t="shared" si="21"/>
        <v>1.6631961107240079</v>
      </c>
      <c r="L60" s="517">
        <f t="shared" si="21"/>
        <v>1.8479956785822309</v>
      </c>
      <c r="M60" s="517">
        <f t="shared" si="21"/>
        <v>2.032795246440454</v>
      </c>
      <c r="N60" s="517">
        <f t="shared" si="21"/>
        <v>2.217594814298677</v>
      </c>
      <c r="O60" s="517">
        <f t="shared" si="21"/>
        <v>2.4023943821569</v>
      </c>
      <c r="P60" s="517">
        <f t="shared" si="21"/>
        <v>2.5871939500151231</v>
      </c>
      <c r="Q60" s="517">
        <f t="shared" si="21"/>
        <v>2.7719935178733461</v>
      </c>
      <c r="R60" s="517">
        <f t="shared" si="21"/>
        <v>2.9567930857315692</v>
      </c>
      <c r="S60" s="517">
        <f t="shared" si="21"/>
        <v>3.1415926535897922</v>
      </c>
      <c r="T60" s="517">
        <f t="shared" si="21"/>
        <v>3.3263922214480153</v>
      </c>
      <c r="U60" s="517">
        <f t="shared" si="21"/>
        <v>3.5111917893062383</v>
      </c>
      <c r="V60" s="517">
        <f t="shared" si="21"/>
        <v>3.6959913571644614</v>
      </c>
      <c r="W60" s="517">
        <f t="shared" si="21"/>
        <v>3.8807909250226844</v>
      </c>
      <c r="X60" s="517">
        <f t="shared" si="21"/>
        <v>4.0655904928809079</v>
      </c>
      <c r="Y60" s="517">
        <f t="shared" si="21"/>
        <v>4.2503900607391314</v>
      </c>
      <c r="Z60" s="517">
        <f t="shared" si="21"/>
        <v>4.4351896285973549</v>
      </c>
      <c r="AA60" s="517">
        <f t="shared" si="21"/>
        <v>4.6199891964555784</v>
      </c>
      <c r="AB60" s="2138">
        <f t="shared" si="21"/>
        <v>4.8047887643138019</v>
      </c>
      <c r="AC60" s="517">
        <f t="shared" si="21"/>
        <v>4.9895883321720254</v>
      </c>
      <c r="AD60" s="517">
        <f t="shared" si="21"/>
        <v>5.1743879000302488</v>
      </c>
      <c r="AE60" s="517">
        <f t="shared" si="21"/>
        <v>5.3591874678884723</v>
      </c>
      <c r="AF60" s="517">
        <f t="shared" si="21"/>
        <v>5.5439870357466958</v>
      </c>
      <c r="AG60" s="517">
        <f t="shared" si="21"/>
        <v>5.7287866036049193</v>
      </c>
      <c r="AH60" s="517">
        <f t="shared" si="21"/>
        <v>5.9135861714631428</v>
      </c>
      <c r="AI60" s="517">
        <f t="shared" si="21"/>
        <v>6.0983857393213663</v>
      </c>
      <c r="AJ60" s="533">
        <f t="shared" si="21"/>
        <v>6.2831853071795898</v>
      </c>
    </row>
    <row r="61" spans="1:36">
      <c r="A61" s="1275" t="s">
        <v>3372</v>
      </c>
      <c r="B61" s="807" t="e">
        <f t="shared" ref="B61:AJ61" ca="1" si="22">mirror*FPHole_D/2*COS(B$60)</f>
        <v>#REF!</v>
      </c>
      <c r="C61" s="780" t="e">
        <f t="shared" ca="1" si="22"/>
        <v>#REF!</v>
      </c>
      <c r="D61" s="780" t="e">
        <f t="shared" ca="1" si="22"/>
        <v>#REF!</v>
      </c>
      <c r="E61" s="780" t="e">
        <f t="shared" ca="1" si="22"/>
        <v>#REF!</v>
      </c>
      <c r="F61" s="780" t="e">
        <f t="shared" ca="1" si="22"/>
        <v>#REF!</v>
      </c>
      <c r="G61" s="780" t="e">
        <f t="shared" ca="1" si="22"/>
        <v>#REF!</v>
      </c>
      <c r="H61" s="780" t="e">
        <f t="shared" ca="1" si="22"/>
        <v>#REF!</v>
      </c>
      <c r="I61" s="780" t="e">
        <f t="shared" ca="1" si="22"/>
        <v>#REF!</v>
      </c>
      <c r="J61" s="780" t="e">
        <f t="shared" ca="1" si="22"/>
        <v>#REF!</v>
      </c>
      <c r="K61" s="780" t="e">
        <f t="shared" ca="1" si="22"/>
        <v>#REF!</v>
      </c>
      <c r="L61" s="780" t="e">
        <f t="shared" ca="1" si="22"/>
        <v>#REF!</v>
      </c>
      <c r="M61" s="780" t="e">
        <f t="shared" ca="1" si="22"/>
        <v>#REF!</v>
      </c>
      <c r="N61" s="780" t="e">
        <f t="shared" ca="1" si="22"/>
        <v>#REF!</v>
      </c>
      <c r="O61" s="780" t="e">
        <f t="shared" ca="1" si="22"/>
        <v>#REF!</v>
      </c>
      <c r="P61" s="780" t="e">
        <f t="shared" ca="1" si="22"/>
        <v>#REF!</v>
      </c>
      <c r="Q61" s="780" t="e">
        <f t="shared" ca="1" si="22"/>
        <v>#REF!</v>
      </c>
      <c r="R61" s="780" t="e">
        <f t="shared" ca="1" si="22"/>
        <v>#REF!</v>
      </c>
      <c r="S61" s="780" t="e">
        <f t="shared" ca="1" si="22"/>
        <v>#REF!</v>
      </c>
      <c r="T61" s="780" t="e">
        <f t="shared" ca="1" si="22"/>
        <v>#REF!</v>
      </c>
      <c r="U61" s="780" t="e">
        <f t="shared" ca="1" si="22"/>
        <v>#REF!</v>
      </c>
      <c r="V61" s="780" t="e">
        <f t="shared" ca="1" si="22"/>
        <v>#REF!</v>
      </c>
      <c r="W61" s="780" t="e">
        <f t="shared" ca="1" si="22"/>
        <v>#REF!</v>
      </c>
      <c r="X61" s="780" t="e">
        <f t="shared" ca="1" si="22"/>
        <v>#REF!</v>
      </c>
      <c r="Y61" s="780" t="e">
        <f t="shared" ca="1" si="22"/>
        <v>#REF!</v>
      </c>
      <c r="Z61" s="780" t="e">
        <f t="shared" ca="1" si="22"/>
        <v>#REF!</v>
      </c>
      <c r="AA61" s="780" t="e">
        <f t="shared" ca="1" si="22"/>
        <v>#REF!</v>
      </c>
      <c r="AB61" s="1369" t="e">
        <f t="shared" ca="1" si="22"/>
        <v>#REF!</v>
      </c>
      <c r="AC61" s="780" t="e">
        <f t="shared" ca="1" si="22"/>
        <v>#REF!</v>
      </c>
      <c r="AD61" s="780" t="e">
        <f t="shared" ca="1" si="22"/>
        <v>#REF!</v>
      </c>
      <c r="AE61" s="780" t="e">
        <f t="shared" ca="1" si="22"/>
        <v>#REF!</v>
      </c>
      <c r="AF61" s="780" t="e">
        <f t="shared" ca="1" si="22"/>
        <v>#REF!</v>
      </c>
      <c r="AG61" s="780" t="e">
        <f t="shared" ca="1" si="22"/>
        <v>#REF!</v>
      </c>
      <c r="AH61" s="780" t="e">
        <f t="shared" ca="1" si="22"/>
        <v>#REF!</v>
      </c>
      <c r="AI61" s="780" t="e">
        <f t="shared" ca="1" si="22"/>
        <v>#REF!</v>
      </c>
      <c r="AJ61" s="781" t="e">
        <f t="shared" ca="1" si="22"/>
        <v>#REF!</v>
      </c>
    </row>
    <row r="62" spans="1:36">
      <c r="A62" s="1275" t="s">
        <v>3373</v>
      </c>
      <c r="B62" s="807" t="e">
        <f t="shared" ref="B62:AJ62" ca="1" si="23">FPHole_D/2*SIN(B$60)+Center_H</f>
        <v>#REF!</v>
      </c>
      <c r="C62" s="780" t="e">
        <f t="shared" ca="1" si="23"/>
        <v>#REF!</v>
      </c>
      <c r="D62" s="780" t="e">
        <f t="shared" ca="1" si="23"/>
        <v>#REF!</v>
      </c>
      <c r="E62" s="780" t="e">
        <f t="shared" ca="1" si="23"/>
        <v>#REF!</v>
      </c>
      <c r="F62" s="780" t="e">
        <f t="shared" ca="1" si="23"/>
        <v>#REF!</v>
      </c>
      <c r="G62" s="780" t="e">
        <f t="shared" ca="1" si="23"/>
        <v>#REF!</v>
      </c>
      <c r="H62" s="780" t="e">
        <f t="shared" ca="1" si="23"/>
        <v>#REF!</v>
      </c>
      <c r="I62" s="780" t="e">
        <f t="shared" ca="1" si="23"/>
        <v>#REF!</v>
      </c>
      <c r="J62" s="780" t="e">
        <f t="shared" ca="1" si="23"/>
        <v>#REF!</v>
      </c>
      <c r="K62" s="780" t="e">
        <f t="shared" ca="1" si="23"/>
        <v>#REF!</v>
      </c>
      <c r="L62" s="780" t="e">
        <f t="shared" ca="1" si="23"/>
        <v>#REF!</v>
      </c>
      <c r="M62" s="780" t="e">
        <f t="shared" ca="1" si="23"/>
        <v>#REF!</v>
      </c>
      <c r="N62" s="780" t="e">
        <f t="shared" ca="1" si="23"/>
        <v>#REF!</v>
      </c>
      <c r="O62" s="780" t="e">
        <f t="shared" ca="1" si="23"/>
        <v>#REF!</v>
      </c>
      <c r="P62" s="780" t="e">
        <f t="shared" ca="1" si="23"/>
        <v>#REF!</v>
      </c>
      <c r="Q62" s="780" t="e">
        <f t="shared" ca="1" si="23"/>
        <v>#REF!</v>
      </c>
      <c r="R62" s="780" t="e">
        <f t="shared" ca="1" si="23"/>
        <v>#REF!</v>
      </c>
      <c r="S62" s="780" t="e">
        <f t="shared" ca="1" si="23"/>
        <v>#REF!</v>
      </c>
      <c r="T62" s="780" t="e">
        <f t="shared" ca="1" si="23"/>
        <v>#REF!</v>
      </c>
      <c r="U62" s="780" t="e">
        <f t="shared" ca="1" si="23"/>
        <v>#REF!</v>
      </c>
      <c r="V62" s="780" t="e">
        <f t="shared" ca="1" si="23"/>
        <v>#REF!</v>
      </c>
      <c r="W62" s="780" t="e">
        <f t="shared" ca="1" si="23"/>
        <v>#REF!</v>
      </c>
      <c r="X62" s="780" t="e">
        <f t="shared" ca="1" si="23"/>
        <v>#REF!</v>
      </c>
      <c r="Y62" s="780" t="e">
        <f t="shared" ca="1" si="23"/>
        <v>#REF!</v>
      </c>
      <c r="Z62" s="780" t="e">
        <f t="shared" ca="1" si="23"/>
        <v>#REF!</v>
      </c>
      <c r="AA62" s="780" t="e">
        <f t="shared" ca="1" si="23"/>
        <v>#REF!</v>
      </c>
      <c r="AB62" s="1369" t="e">
        <f t="shared" ca="1" si="23"/>
        <v>#REF!</v>
      </c>
      <c r="AC62" s="780" t="e">
        <f t="shared" ca="1" si="23"/>
        <v>#REF!</v>
      </c>
      <c r="AD62" s="780" t="e">
        <f t="shared" ca="1" si="23"/>
        <v>#REF!</v>
      </c>
      <c r="AE62" s="780" t="e">
        <f t="shared" ca="1" si="23"/>
        <v>#REF!</v>
      </c>
      <c r="AF62" s="780" t="e">
        <f t="shared" ca="1" si="23"/>
        <v>#REF!</v>
      </c>
      <c r="AG62" s="780" t="e">
        <f t="shared" ca="1" si="23"/>
        <v>#REF!</v>
      </c>
      <c r="AH62" s="780" t="e">
        <f t="shared" ca="1" si="23"/>
        <v>#REF!</v>
      </c>
      <c r="AI62" s="780" t="e">
        <f t="shared" ca="1" si="23"/>
        <v>#REF!</v>
      </c>
      <c r="AJ62" s="781" t="e">
        <f t="shared" ca="1" si="23"/>
        <v>#REF!</v>
      </c>
    </row>
    <row r="63" spans="1:36">
      <c r="A63" s="1275" t="s">
        <v>3933</v>
      </c>
      <c r="B63" s="807" t="e">
        <f t="shared" ref="B63:AJ63" ca="1" si="24">mirror*BPHole_D/2*COS(B$60)</f>
        <v>#REF!</v>
      </c>
      <c r="C63" s="780" t="e">
        <f t="shared" ca="1" si="24"/>
        <v>#REF!</v>
      </c>
      <c r="D63" s="780" t="e">
        <f t="shared" ca="1" si="24"/>
        <v>#REF!</v>
      </c>
      <c r="E63" s="780" t="e">
        <f t="shared" ca="1" si="24"/>
        <v>#REF!</v>
      </c>
      <c r="F63" s="780" t="e">
        <f t="shared" ca="1" si="24"/>
        <v>#REF!</v>
      </c>
      <c r="G63" s="780" t="e">
        <f t="shared" ca="1" si="24"/>
        <v>#REF!</v>
      </c>
      <c r="H63" s="780" t="e">
        <f t="shared" ca="1" si="24"/>
        <v>#REF!</v>
      </c>
      <c r="I63" s="780" t="e">
        <f t="shared" ca="1" si="24"/>
        <v>#REF!</v>
      </c>
      <c r="J63" s="780" t="e">
        <f t="shared" ca="1" si="24"/>
        <v>#REF!</v>
      </c>
      <c r="K63" s="780" t="e">
        <f t="shared" ca="1" si="24"/>
        <v>#REF!</v>
      </c>
      <c r="L63" s="780" t="e">
        <f t="shared" ca="1" si="24"/>
        <v>#REF!</v>
      </c>
      <c r="M63" s="780" t="e">
        <f t="shared" ca="1" si="24"/>
        <v>#REF!</v>
      </c>
      <c r="N63" s="780" t="e">
        <f t="shared" ca="1" si="24"/>
        <v>#REF!</v>
      </c>
      <c r="O63" s="780" t="e">
        <f t="shared" ca="1" si="24"/>
        <v>#REF!</v>
      </c>
      <c r="P63" s="780" t="e">
        <f t="shared" ca="1" si="24"/>
        <v>#REF!</v>
      </c>
      <c r="Q63" s="780" t="e">
        <f t="shared" ca="1" si="24"/>
        <v>#REF!</v>
      </c>
      <c r="R63" s="780" t="e">
        <f t="shared" ca="1" si="24"/>
        <v>#REF!</v>
      </c>
      <c r="S63" s="780" t="e">
        <f t="shared" ca="1" si="24"/>
        <v>#REF!</v>
      </c>
      <c r="T63" s="780" t="e">
        <f t="shared" ca="1" si="24"/>
        <v>#REF!</v>
      </c>
      <c r="U63" s="780" t="e">
        <f t="shared" ca="1" si="24"/>
        <v>#REF!</v>
      </c>
      <c r="V63" s="780" t="e">
        <f t="shared" ca="1" si="24"/>
        <v>#REF!</v>
      </c>
      <c r="W63" s="780" t="e">
        <f t="shared" ca="1" si="24"/>
        <v>#REF!</v>
      </c>
      <c r="X63" s="780" t="e">
        <f t="shared" ca="1" si="24"/>
        <v>#REF!</v>
      </c>
      <c r="Y63" s="780" t="e">
        <f t="shared" ca="1" si="24"/>
        <v>#REF!</v>
      </c>
      <c r="Z63" s="780" t="e">
        <f t="shared" ca="1" si="24"/>
        <v>#REF!</v>
      </c>
      <c r="AA63" s="780" t="e">
        <f t="shared" ca="1" si="24"/>
        <v>#REF!</v>
      </c>
      <c r="AB63" s="1369" t="e">
        <f t="shared" ca="1" si="24"/>
        <v>#REF!</v>
      </c>
      <c r="AC63" s="780" t="e">
        <f t="shared" ca="1" si="24"/>
        <v>#REF!</v>
      </c>
      <c r="AD63" s="780" t="e">
        <f t="shared" ca="1" si="24"/>
        <v>#REF!</v>
      </c>
      <c r="AE63" s="780" t="e">
        <f t="shared" ca="1" si="24"/>
        <v>#REF!</v>
      </c>
      <c r="AF63" s="780" t="e">
        <f t="shared" ca="1" si="24"/>
        <v>#REF!</v>
      </c>
      <c r="AG63" s="780" t="e">
        <f t="shared" ca="1" si="24"/>
        <v>#REF!</v>
      </c>
      <c r="AH63" s="780" t="e">
        <f t="shared" ca="1" si="24"/>
        <v>#REF!</v>
      </c>
      <c r="AI63" s="780" t="e">
        <f t="shared" ca="1" si="24"/>
        <v>#REF!</v>
      </c>
      <c r="AJ63" s="781" t="e">
        <f t="shared" ca="1" si="24"/>
        <v>#REF!</v>
      </c>
    </row>
    <row r="64" spans="1:36">
      <c r="A64" s="1275" t="s">
        <v>3931</v>
      </c>
      <c r="B64" s="807" t="e">
        <f t="shared" ref="B64:AJ64" ca="1" si="25">BPHole_D/2*SIN(B$60)+Center_H</f>
        <v>#REF!</v>
      </c>
      <c r="C64" s="780" t="e">
        <f t="shared" ca="1" si="25"/>
        <v>#REF!</v>
      </c>
      <c r="D64" s="780" t="e">
        <f t="shared" ca="1" si="25"/>
        <v>#REF!</v>
      </c>
      <c r="E64" s="780" t="e">
        <f t="shared" ca="1" si="25"/>
        <v>#REF!</v>
      </c>
      <c r="F64" s="780" t="e">
        <f t="shared" ca="1" si="25"/>
        <v>#REF!</v>
      </c>
      <c r="G64" s="780" t="e">
        <f t="shared" ca="1" si="25"/>
        <v>#REF!</v>
      </c>
      <c r="H64" s="780" t="e">
        <f t="shared" ca="1" si="25"/>
        <v>#REF!</v>
      </c>
      <c r="I64" s="780" t="e">
        <f t="shared" ca="1" si="25"/>
        <v>#REF!</v>
      </c>
      <c r="J64" s="780" t="e">
        <f t="shared" ca="1" si="25"/>
        <v>#REF!</v>
      </c>
      <c r="K64" s="780" t="e">
        <f t="shared" ca="1" si="25"/>
        <v>#REF!</v>
      </c>
      <c r="L64" s="780" t="e">
        <f t="shared" ca="1" si="25"/>
        <v>#REF!</v>
      </c>
      <c r="M64" s="780" t="e">
        <f t="shared" ca="1" si="25"/>
        <v>#REF!</v>
      </c>
      <c r="N64" s="780" t="e">
        <f t="shared" ca="1" si="25"/>
        <v>#REF!</v>
      </c>
      <c r="O64" s="780" t="e">
        <f t="shared" ca="1" si="25"/>
        <v>#REF!</v>
      </c>
      <c r="P64" s="780" t="e">
        <f t="shared" ca="1" si="25"/>
        <v>#REF!</v>
      </c>
      <c r="Q64" s="780" t="e">
        <f t="shared" ca="1" si="25"/>
        <v>#REF!</v>
      </c>
      <c r="R64" s="780" t="e">
        <f t="shared" ca="1" si="25"/>
        <v>#REF!</v>
      </c>
      <c r="S64" s="780" t="e">
        <f t="shared" ca="1" si="25"/>
        <v>#REF!</v>
      </c>
      <c r="T64" s="780" t="e">
        <f t="shared" ca="1" si="25"/>
        <v>#REF!</v>
      </c>
      <c r="U64" s="780" t="e">
        <f t="shared" ca="1" si="25"/>
        <v>#REF!</v>
      </c>
      <c r="V64" s="780" t="e">
        <f t="shared" ca="1" si="25"/>
        <v>#REF!</v>
      </c>
      <c r="W64" s="780" t="e">
        <f t="shared" ca="1" si="25"/>
        <v>#REF!</v>
      </c>
      <c r="X64" s="780" t="e">
        <f t="shared" ca="1" si="25"/>
        <v>#REF!</v>
      </c>
      <c r="Y64" s="780" t="e">
        <f t="shared" ca="1" si="25"/>
        <v>#REF!</v>
      </c>
      <c r="Z64" s="780" t="e">
        <f t="shared" ca="1" si="25"/>
        <v>#REF!</v>
      </c>
      <c r="AA64" s="780" t="e">
        <f t="shared" ca="1" si="25"/>
        <v>#REF!</v>
      </c>
      <c r="AB64" s="1369" t="e">
        <f t="shared" ca="1" si="25"/>
        <v>#REF!</v>
      </c>
      <c r="AC64" s="780" t="e">
        <f t="shared" ca="1" si="25"/>
        <v>#REF!</v>
      </c>
      <c r="AD64" s="780" t="e">
        <f t="shared" ca="1" si="25"/>
        <v>#REF!</v>
      </c>
      <c r="AE64" s="780" t="e">
        <f t="shared" ca="1" si="25"/>
        <v>#REF!</v>
      </c>
      <c r="AF64" s="780" t="e">
        <f t="shared" ca="1" si="25"/>
        <v>#REF!</v>
      </c>
      <c r="AG64" s="780" t="e">
        <f t="shared" ca="1" si="25"/>
        <v>#REF!</v>
      </c>
      <c r="AH64" s="780" t="e">
        <f t="shared" ca="1" si="25"/>
        <v>#REF!</v>
      </c>
      <c r="AI64" s="780" t="e">
        <f t="shared" ca="1" si="25"/>
        <v>#REF!</v>
      </c>
      <c r="AJ64" s="781" t="e">
        <f t="shared" ca="1" si="25"/>
        <v>#REF!</v>
      </c>
    </row>
    <row r="65" spans="1:16384">
      <c r="A65" s="2238" t="s">
        <v>2395</v>
      </c>
      <c r="B65" s="2337"/>
      <c r="C65" s="512" t="s">
        <v>2569</v>
      </c>
      <c r="D65" s="512">
        <f>-mirror*$C$39</f>
        <v>41.669481622770547</v>
      </c>
      <c r="E65" s="1166" t="s">
        <v>2570</v>
      </c>
      <c r="F65" s="512">
        <f>$E$39+Center_H</f>
        <v>115.64676679210334</v>
      </c>
      <c r="G65" s="501"/>
      <c r="H65" s="512"/>
      <c r="I65" s="512"/>
      <c r="J65" s="512"/>
      <c r="K65" s="512"/>
      <c r="L65" s="512"/>
      <c r="M65" s="512"/>
      <c r="N65" s="512"/>
      <c r="O65" s="512"/>
      <c r="P65" s="512"/>
      <c r="Q65" s="512"/>
      <c r="R65" s="512"/>
      <c r="S65" s="512"/>
      <c r="T65" s="512"/>
      <c r="U65" s="512"/>
      <c r="V65" s="512"/>
      <c r="W65" s="512"/>
      <c r="X65" s="512"/>
      <c r="Y65" s="512"/>
      <c r="Z65" s="512"/>
      <c r="AA65" s="512"/>
      <c r="AB65" s="510"/>
      <c r="AC65" s="518"/>
      <c r="AD65" s="518"/>
      <c r="AE65" s="518"/>
      <c r="AF65" s="518"/>
      <c r="AG65" s="518"/>
      <c r="AH65" s="518"/>
      <c r="AI65" s="518"/>
      <c r="AJ65" s="527"/>
    </row>
    <row r="66" spans="1:16384">
      <c r="A66" s="2238"/>
      <c r="B66" s="519"/>
      <c r="C66" s="513"/>
      <c r="D66" s="513"/>
      <c r="E66" s="2055"/>
      <c r="F66" s="513"/>
      <c r="G66" s="2338"/>
      <c r="H66" s="513"/>
      <c r="I66" s="513"/>
      <c r="J66" s="513"/>
      <c r="K66" s="513"/>
      <c r="L66" s="513"/>
      <c r="M66" s="513"/>
      <c r="N66" s="513"/>
      <c r="O66" s="513"/>
      <c r="P66" s="513"/>
      <c r="Q66" s="513"/>
      <c r="R66" s="513"/>
      <c r="S66" s="513"/>
      <c r="T66" s="513"/>
      <c r="U66" s="513"/>
      <c r="V66" s="513"/>
      <c r="W66" s="513"/>
      <c r="X66" s="513"/>
      <c r="Y66" s="513"/>
      <c r="Z66" s="513"/>
      <c r="AA66" s="510"/>
      <c r="AB66" s="510"/>
      <c r="AC66" s="518"/>
      <c r="AD66" s="518"/>
      <c r="AE66" s="518"/>
      <c r="AF66" s="518"/>
      <c r="AG66" s="518"/>
      <c r="AH66" s="518"/>
      <c r="AI66" s="518"/>
      <c r="AJ66" s="527"/>
    </row>
    <row r="67" spans="1:16384" s="518" customFormat="1">
      <c r="A67" s="2023" t="s">
        <v>21</v>
      </c>
      <c r="B67" s="1180"/>
      <c r="C67" s="1178" t="s">
        <v>2559</v>
      </c>
      <c r="D67" s="500"/>
      <c r="E67" s="501"/>
      <c r="F67" s="501"/>
      <c r="G67" s="501"/>
      <c r="H67" s="501"/>
      <c r="I67" s="501"/>
      <c r="J67" s="501"/>
      <c r="K67" s="501"/>
      <c r="L67" s="501"/>
      <c r="M67" s="501"/>
      <c r="N67" s="501"/>
      <c r="O67" s="501"/>
      <c r="P67" s="501"/>
      <c r="Q67" s="501"/>
      <c r="R67" s="501"/>
      <c r="S67" s="501"/>
      <c r="T67" s="501"/>
      <c r="U67" s="501"/>
      <c r="V67" s="501"/>
      <c r="W67" s="501"/>
      <c r="X67" s="501"/>
      <c r="Y67" s="498" t="s">
        <v>2560</v>
      </c>
      <c r="Z67" s="498"/>
      <c r="AA67" s="523"/>
      <c r="AB67" s="544"/>
      <c r="AJ67" s="527"/>
    </row>
    <row r="68" spans="1:16384">
      <c r="A68" s="2238" t="s">
        <v>2555</v>
      </c>
      <c r="B68" s="1181"/>
      <c r="C68" s="510">
        <f t="shared" ref="C68:Y68" si="26">mirror*C$37</f>
        <v>1073.5999999999999</v>
      </c>
      <c r="D68" s="511">
        <f t="shared" si="26"/>
        <v>982</v>
      </c>
      <c r="E68" s="512">
        <f t="shared" si="26"/>
        <v>876.2</v>
      </c>
      <c r="F68" s="512">
        <f t="shared" si="26"/>
        <v>706.8</v>
      </c>
      <c r="G68" s="512">
        <f t="shared" si="26"/>
        <v>482.5</v>
      </c>
      <c r="H68" s="512">
        <f t="shared" si="26"/>
        <v>216.3</v>
      </c>
      <c r="I68" s="512">
        <f t="shared" si="26"/>
        <v>-75.7</v>
      </c>
      <c r="J68" s="512">
        <f t="shared" si="26"/>
        <v>-374.6</v>
      </c>
      <c r="K68" s="512">
        <f t="shared" si="26"/>
        <v>-660.6</v>
      </c>
      <c r="L68" s="512">
        <f t="shared" si="26"/>
        <v>-913.7</v>
      </c>
      <c r="M68" s="512">
        <f t="shared" si="26"/>
        <v>-1115.5</v>
      </c>
      <c r="N68" s="512">
        <f t="shared" si="26"/>
        <v>-1250.2</v>
      </c>
      <c r="O68" s="512">
        <f t="shared" si="26"/>
        <v>-1305.9000000000001</v>
      </c>
      <c r="P68" s="512">
        <f t="shared" si="26"/>
        <v>-1275.5</v>
      </c>
      <c r="Q68" s="512">
        <f t="shared" si="26"/>
        <v>-1157.5</v>
      </c>
      <c r="R68" s="512">
        <f t="shared" si="26"/>
        <v>-956.2</v>
      </c>
      <c r="S68" s="512">
        <f t="shared" si="26"/>
        <v>-681.9</v>
      </c>
      <c r="T68" s="512">
        <f t="shared" si="26"/>
        <v>-350</v>
      </c>
      <c r="U68" s="512">
        <f t="shared" si="26"/>
        <v>19.3</v>
      </c>
      <c r="V68" s="512">
        <f t="shared" si="26"/>
        <v>402.7</v>
      </c>
      <c r="W68" s="512">
        <f t="shared" si="26"/>
        <v>774.8</v>
      </c>
      <c r="X68" s="512">
        <f t="shared" si="26"/>
        <v>1109.8</v>
      </c>
      <c r="Y68" s="505">
        <f t="shared" si="26"/>
        <v>1871.1</v>
      </c>
      <c r="Z68" s="505"/>
      <c r="AA68" s="503"/>
      <c r="AB68" s="510"/>
      <c r="AC68" s="518"/>
      <c r="AD68" s="518"/>
      <c r="AE68" s="518"/>
      <c r="AF68" s="518"/>
      <c r="AG68" s="518"/>
      <c r="AH68" s="518"/>
      <c r="AI68" s="518"/>
      <c r="AJ68" s="527"/>
      <c r="AK68" s="518"/>
      <c r="AL68" s="518"/>
    </row>
    <row r="69" spans="1:16384">
      <c r="A69" s="2238" t="s">
        <v>2556</v>
      </c>
      <c r="B69" s="1181"/>
      <c r="C69" s="510">
        <f t="shared" ref="C69:Y69" si="27">-C68</f>
        <v>-1073.5999999999999</v>
      </c>
      <c r="D69" s="503">
        <f t="shared" si="27"/>
        <v>-982</v>
      </c>
      <c r="E69" s="510">
        <f t="shared" si="27"/>
        <v>-876.2</v>
      </c>
      <c r="F69" s="510">
        <f t="shared" si="27"/>
        <v>-706.8</v>
      </c>
      <c r="G69" s="510">
        <f t="shared" si="27"/>
        <v>-482.5</v>
      </c>
      <c r="H69" s="510">
        <f t="shared" si="27"/>
        <v>-216.3</v>
      </c>
      <c r="I69" s="510">
        <f t="shared" si="27"/>
        <v>75.7</v>
      </c>
      <c r="J69" s="510">
        <f t="shared" si="27"/>
        <v>374.6</v>
      </c>
      <c r="K69" s="510">
        <f t="shared" si="27"/>
        <v>660.6</v>
      </c>
      <c r="L69" s="510">
        <f t="shared" si="27"/>
        <v>913.7</v>
      </c>
      <c r="M69" s="510">
        <f t="shared" si="27"/>
        <v>1115.5</v>
      </c>
      <c r="N69" s="510">
        <f t="shared" si="27"/>
        <v>1250.2</v>
      </c>
      <c r="O69" s="510">
        <f t="shared" si="27"/>
        <v>1305.9000000000001</v>
      </c>
      <c r="P69" s="510">
        <f t="shared" si="27"/>
        <v>1275.5</v>
      </c>
      <c r="Q69" s="510">
        <f t="shared" si="27"/>
        <v>1157.5</v>
      </c>
      <c r="R69" s="510">
        <f t="shared" si="27"/>
        <v>956.2</v>
      </c>
      <c r="S69" s="510">
        <f t="shared" si="27"/>
        <v>681.9</v>
      </c>
      <c r="T69" s="510">
        <f t="shared" si="27"/>
        <v>350</v>
      </c>
      <c r="U69" s="510">
        <f t="shared" si="27"/>
        <v>-19.3</v>
      </c>
      <c r="V69" s="510">
        <f t="shared" si="27"/>
        <v>-402.7</v>
      </c>
      <c r="W69" s="510">
        <f t="shared" si="27"/>
        <v>-774.8</v>
      </c>
      <c r="X69" s="510">
        <f t="shared" si="27"/>
        <v>-1109.8</v>
      </c>
      <c r="Y69" s="505">
        <f t="shared" si="27"/>
        <v>-1871.1</v>
      </c>
      <c r="Z69" s="505"/>
      <c r="AA69" s="503"/>
      <c r="AB69" s="510"/>
      <c r="AC69" s="518"/>
      <c r="AD69" s="518"/>
      <c r="AE69" s="518"/>
      <c r="AF69" s="518"/>
      <c r="AG69" s="518"/>
      <c r="AH69" s="518"/>
      <c r="AI69" s="518"/>
      <c r="AJ69" s="527"/>
      <c r="AK69" s="518"/>
      <c r="AL69" s="518"/>
    </row>
    <row r="70" spans="1:16384">
      <c r="A70" s="2238" t="s">
        <v>1093</v>
      </c>
      <c r="B70" s="531"/>
      <c r="C70" s="513">
        <f t="shared" ref="C70:Y70" si="28">C$38+Center_H</f>
        <v>820</v>
      </c>
      <c r="D70" s="506">
        <f t="shared" si="28"/>
        <v>911.6</v>
      </c>
      <c r="E70" s="513">
        <f t="shared" si="28"/>
        <v>661.1</v>
      </c>
      <c r="F70" s="513">
        <f t="shared" si="28"/>
        <v>441.4</v>
      </c>
      <c r="G70" s="513">
        <f t="shared" si="28"/>
        <v>268.60000000000002</v>
      </c>
      <c r="H70" s="513">
        <f t="shared" si="28"/>
        <v>156.29999999999995</v>
      </c>
      <c r="I70" s="513">
        <f t="shared" si="28"/>
        <v>114.70000000000005</v>
      </c>
      <c r="J70" s="513">
        <f t="shared" si="28"/>
        <v>149.5</v>
      </c>
      <c r="K70" s="513">
        <f t="shared" si="28"/>
        <v>261.5</v>
      </c>
      <c r="L70" s="513">
        <f t="shared" si="28"/>
        <v>446.29999999999995</v>
      </c>
      <c r="M70" s="513">
        <f t="shared" si="28"/>
        <v>694.5</v>
      </c>
      <c r="N70" s="513">
        <f t="shared" si="28"/>
        <v>991.8</v>
      </c>
      <c r="O70" s="513">
        <f t="shared" si="28"/>
        <v>1320.3</v>
      </c>
      <c r="P70" s="513">
        <f t="shared" si="28"/>
        <v>1659</v>
      </c>
      <c r="Q70" s="513">
        <f t="shared" si="28"/>
        <v>1985.3</v>
      </c>
      <c r="R70" s="513">
        <f t="shared" si="28"/>
        <v>2276.6</v>
      </c>
      <c r="S70" s="513">
        <f t="shared" si="28"/>
        <v>2511.9</v>
      </c>
      <c r="T70" s="513">
        <f t="shared" si="28"/>
        <v>2672.8</v>
      </c>
      <c r="U70" s="513">
        <f t="shared" si="28"/>
        <v>2745.4</v>
      </c>
      <c r="V70" s="513">
        <f t="shared" si="28"/>
        <v>2721.1</v>
      </c>
      <c r="W70" s="513">
        <f t="shared" si="28"/>
        <v>2597.5</v>
      </c>
      <c r="X70" s="513">
        <f t="shared" si="28"/>
        <v>2378.8000000000002</v>
      </c>
      <c r="Y70" s="508">
        <f t="shared" si="28"/>
        <v>1617.5</v>
      </c>
      <c r="Z70" s="508"/>
      <c r="AA70" s="518"/>
      <c r="AB70" s="518"/>
      <c r="AC70" s="518"/>
      <c r="AD70" s="518"/>
      <c r="AE70" s="518"/>
      <c r="AF70" s="518"/>
      <c r="AG70" s="518"/>
      <c r="AH70" s="518"/>
      <c r="AI70" s="518"/>
      <c r="AJ70" s="527"/>
      <c r="AK70" s="518"/>
      <c r="AL70" s="518"/>
    </row>
    <row r="71" spans="1:16384">
      <c r="A71" s="2238"/>
      <c r="B71" s="1151"/>
      <c r="C71" s="518"/>
      <c r="D71" s="528"/>
      <c r="E71" s="518"/>
      <c r="F71" s="528"/>
      <c r="G71" s="518"/>
      <c r="H71" s="518"/>
      <c r="I71" s="510"/>
      <c r="J71" s="510"/>
      <c r="K71" s="510"/>
      <c r="L71" s="510"/>
      <c r="M71" s="510"/>
      <c r="N71" s="510"/>
      <c r="O71" s="510"/>
      <c r="P71" s="510"/>
      <c r="Q71" s="510"/>
      <c r="R71" s="510"/>
      <c r="S71" s="510"/>
      <c r="T71" s="510"/>
      <c r="U71" s="518"/>
      <c r="V71" s="510"/>
      <c r="W71" s="510"/>
      <c r="X71" s="510"/>
      <c r="Y71" s="510"/>
      <c r="Z71" s="518"/>
      <c r="AA71" s="510"/>
      <c r="AB71" s="510"/>
      <c r="AC71" s="518"/>
      <c r="AD71" s="518"/>
      <c r="AE71" s="518"/>
      <c r="AF71" s="518"/>
      <c r="AG71" s="518"/>
      <c r="AH71" s="518"/>
      <c r="AI71" s="518"/>
      <c r="AJ71" s="527"/>
    </row>
    <row r="72" spans="1:16384">
      <c r="A72" s="2237" t="str">
        <f>"HOUSE side plate reinf. "&amp;$E$6&amp;", "&amp;$G$6&amp;", "&amp;Center_H</f>
        <v>HOUSE side plate reinf. RD, 135, 1269</v>
      </c>
      <c r="B72" s="503"/>
      <c r="C72" s="510"/>
      <c r="D72" s="510"/>
      <c r="E72" s="510"/>
      <c r="F72" s="510"/>
      <c r="G72" s="510"/>
      <c r="H72" s="510"/>
      <c r="I72" s="510"/>
      <c r="J72" s="510"/>
      <c r="K72" s="510"/>
      <c r="L72" s="510"/>
      <c r="M72" s="510"/>
      <c r="N72" s="510"/>
      <c r="O72" s="510"/>
      <c r="P72" s="510"/>
      <c r="Q72" s="510"/>
      <c r="R72" s="510"/>
      <c r="S72" s="510"/>
      <c r="T72" s="510"/>
      <c r="U72" s="510"/>
      <c r="V72" s="510"/>
      <c r="W72" s="510"/>
      <c r="X72" s="510"/>
      <c r="Y72" s="510"/>
      <c r="Z72" s="510"/>
      <c r="AA72" s="510"/>
      <c r="AB72" s="518"/>
      <c r="AC72" s="518"/>
      <c r="AD72" s="518"/>
      <c r="AE72" s="518"/>
      <c r="AF72" s="518"/>
      <c r="AG72" s="518"/>
      <c r="AH72" s="518"/>
      <c r="AI72" s="518"/>
      <c r="AJ72" s="527"/>
    </row>
    <row r="73" spans="1:16384">
      <c r="A73" s="2237" t="s">
        <v>2645</v>
      </c>
      <c r="B73" s="1369" t="s">
        <v>3572</v>
      </c>
      <c r="C73" s="2080" t="e">
        <f ca="1">G73*House_B_ins/1000*$S$7/1000*$T$7/1000*steel_density</f>
        <v>#REF!</v>
      </c>
      <c r="D73" s="2081" t="s">
        <v>131</v>
      </c>
      <c r="E73" s="2082"/>
      <c r="F73" s="2126" t="s">
        <v>3842</v>
      </c>
      <c r="G73" s="2127">
        <f ca="1">COUNT(B74:K74)</f>
        <v>0</v>
      </c>
      <c r="H73" s="2080"/>
      <c r="I73" s="2083"/>
      <c r="J73" s="2083"/>
      <c r="K73" s="2084"/>
      <c r="L73" s="685"/>
      <c r="M73" s="685"/>
      <c r="N73" s="510"/>
      <c r="O73" s="510"/>
      <c r="P73" s="510"/>
      <c r="Q73" s="510"/>
      <c r="R73" s="510"/>
      <c r="S73" s="510"/>
      <c r="T73" s="510"/>
      <c r="U73" s="510"/>
      <c r="V73" s="510"/>
      <c r="W73" s="510"/>
      <c r="X73" s="510"/>
      <c r="Y73" s="510"/>
      <c r="Z73" s="510"/>
      <c r="AA73" s="510"/>
      <c r="AB73" s="518"/>
      <c r="AC73" s="518"/>
      <c r="AD73" s="518"/>
      <c r="AE73" s="518"/>
      <c r="AF73" s="518"/>
      <c r="AG73" s="518"/>
      <c r="AH73" s="518"/>
      <c r="AI73" s="518"/>
      <c r="AJ73" s="527"/>
    </row>
    <row r="74" spans="1:16384">
      <c r="A74" s="2238"/>
      <c r="B74" s="2069" t="e">
        <f ca="1">IF(B76=0,"",House!B43)</f>
        <v>#REF!</v>
      </c>
      <c r="C74" s="2069" t="e">
        <f ca="1">IF(C76=0,"",House!C43)</f>
        <v>#REF!</v>
      </c>
      <c r="D74" s="2069" t="e">
        <f ca="1">IF(D76=0,"",House!D43)</f>
        <v>#REF!</v>
      </c>
      <c r="E74" s="2069" t="e">
        <f ca="1">IF(E76=0,"",House!E43)</f>
        <v>#REF!</v>
      </c>
      <c r="F74" s="2069" t="e">
        <f ca="1">IF(F76=0,"",House!F43)</f>
        <v>#REF!</v>
      </c>
      <c r="G74" s="2069" t="e">
        <f ca="1">IF(G76=0,"",House!G43)</f>
        <v>#REF!</v>
      </c>
      <c r="H74" s="2069" t="e">
        <f ca="1">IF(H76=0,"",House!H43)</f>
        <v>#REF!</v>
      </c>
      <c r="I74" s="2069" t="e">
        <f ca="1">IF(I76=0,"",House!I43)</f>
        <v>#REF!</v>
      </c>
      <c r="J74" s="2069" t="e">
        <f ca="1">IF(J76=0,"",House!J43)</f>
        <v>#REF!</v>
      </c>
      <c r="K74" s="2069" t="e">
        <f ca="1">IF(K76=0,"",House!K43)</f>
        <v>#REF!</v>
      </c>
      <c r="L74" s="685"/>
      <c r="M74" s="685"/>
      <c r="N74" s="510"/>
      <c r="O74" s="510"/>
      <c r="P74" s="510"/>
      <c r="Q74" s="510"/>
      <c r="R74" s="510"/>
      <c r="S74" s="510"/>
      <c r="T74" s="510"/>
      <c r="U74" s="510"/>
      <c r="V74" s="510"/>
      <c r="W74" s="510"/>
      <c r="X74" s="510"/>
      <c r="Y74" s="510"/>
      <c r="Z74" s="510"/>
      <c r="AA74" s="510"/>
      <c r="AB74" s="518"/>
      <c r="AC74" s="518"/>
      <c r="AD74" s="518"/>
      <c r="AE74" s="518"/>
      <c r="AF74" s="518"/>
      <c r="AG74" s="518"/>
      <c r="AH74" s="518"/>
      <c r="AI74" s="518"/>
      <c r="AJ74" s="527"/>
    </row>
    <row r="75" spans="1:16384">
      <c r="A75" s="2239" t="s">
        <v>2635</v>
      </c>
      <c r="B75" s="2069" t="e">
        <f ca="1">IF(B76=0,"","sp"&amp;House!B43)</f>
        <v>#REF!</v>
      </c>
      <c r="C75" s="2069" t="e">
        <f ca="1">IF(C76=0,"","sp"&amp;House!C43)</f>
        <v>#REF!</v>
      </c>
      <c r="D75" s="2069" t="e">
        <f ca="1">IF(D76=0,"","sp"&amp;House!D43)</f>
        <v>#REF!</v>
      </c>
      <c r="E75" s="2069" t="e">
        <f ca="1">IF(E76=0,"","sp"&amp;House!E43)</f>
        <v>#REF!</v>
      </c>
      <c r="F75" s="2069" t="e">
        <f ca="1">IF(F76=0,"","sp"&amp;House!F43)</f>
        <v>#REF!</v>
      </c>
      <c r="G75" s="2069" t="e">
        <f ca="1">IF(G76=0,"","sp"&amp;House!G43)</f>
        <v>#REF!</v>
      </c>
      <c r="H75" s="2069" t="e">
        <f ca="1">IF(H76=0,"","sp"&amp;House!H43)</f>
        <v>#REF!</v>
      </c>
      <c r="I75" s="2069" t="e">
        <f ca="1">IF(I76=0,"","sp"&amp;House!I43)</f>
        <v>#REF!</v>
      </c>
      <c r="J75" s="2069" t="e">
        <f ca="1">IF(J76=0,"","sp"&amp;House!J43)</f>
        <v>#REF!</v>
      </c>
      <c r="K75" s="2069" t="e">
        <f ca="1">IF(K76=0,"","sp"&amp;House!K43)</f>
        <v>#REF!</v>
      </c>
      <c r="L75" s="503"/>
      <c r="M75" s="510"/>
      <c r="N75" s="510"/>
      <c r="O75" s="510"/>
      <c r="P75" s="510"/>
      <c r="Q75" s="510"/>
      <c r="R75" s="510"/>
      <c r="S75" s="510"/>
      <c r="T75" s="510"/>
      <c r="U75" s="510"/>
      <c r="V75" s="510"/>
      <c r="W75" s="510"/>
      <c r="X75" s="510"/>
      <c r="Y75" s="510"/>
      <c r="Z75" s="510"/>
      <c r="AA75" s="510"/>
      <c r="AB75" s="510"/>
      <c r="AC75" s="510"/>
      <c r="AD75" s="510"/>
      <c r="AE75" s="510"/>
      <c r="AF75" s="510"/>
      <c r="AG75" s="510"/>
      <c r="AH75" s="510"/>
      <c r="AI75" s="510"/>
      <c r="AJ75" s="1340"/>
      <c r="AK75" s="497"/>
      <c r="AL75" s="497"/>
      <c r="AM75" s="497"/>
      <c r="AN75" s="497"/>
      <c r="AO75" s="497"/>
      <c r="AP75" s="497"/>
      <c r="AQ75" s="497"/>
      <c r="AR75" s="497"/>
      <c r="AS75" s="497"/>
      <c r="AT75" s="497"/>
      <c r="AU75" s="497"/>
      <c r="AV75" s="497"/>
      <c r="AW75" s="497"/>
      <c r="AX75" s="497"/>
      <c r="AY75" s="497"/>
      <c r="AZ75" s="497"/>
      <c r="BA75" s="497"/>
      <c r="BB75" s="497"/>
      <c r="BC75" s="497"/>
      <c r="BD75" s="497"/>
      <c r="BE75" s="497"/>
      <c r="BF75" s="497"/>
      <c r="BG75" s="497"/>
      <c r="BH75" s="497"/>
      <c r="BI75" s="497"/>
      <c r="BJ75" s="497"/>
      <c r="BK75" s="497"/>
      <c r="BL75" s="497"/>
      <c r="BM75" s="497"/>
      <c r="BN75" s="497"/>
      <c r="BO75" s="497"/>
      <c r="BP75" s="497"/>
      <c r="BQ75" s="497"/>
      <c r="BR75" s="497"/>
      <c r="BS75" s="497"/>
      <c r="BT75" s="497"/>
      <c r="BU75" s="497"/>
      <c r="BV75" s="497"/>
      <c r="BW75" s="497"/>
      <c r="BX75" s="497"/>
      <c r="BY75" s="497"/>
      <c r="BZ75" s="497"/>
      <c r="CA75" s="497"/>
      <c r="CB75" s="497"/>
      <c r="CC75" s="497"/>
      <c r="CD75" s="497"/>
      <c r="CE75" s="497"/>
      <c r="CF75" s="497"/>
      <c r="CG75" s="497"/>
      <c r="CH75" s="497"/>
      <c r="CI75" s="497"/>
      <c r="CJ75" s="497"/>
      <c r="CK75" s="497"/>
      <c r="CL75" s="497"/>
      <c r="CM75" s="497"/>
      <c r="CN75" s="497"/>
      <c r="CO75" s="497"/>
      <c r="CP75" s="497"/>
      <c r="CQ75" s="497"/>
      <c r="CR75" s="497"/>
      <c r="CS75" s="497"/>
      <c r="CT75" s="497"/>
      <c r="CU75" s="497"/>
      <c r="CV75" s="497"/>
      <c r="CW75" s="497"/>
      <c r="CX75" s="497"/>
      <c r="CY75" s="497"/>
      <c r="CZ75" s="497"/>
      <c r="DA75" s="497"/>
      <c r="DB75" s="497"/>
      <c r="DC75" s="497"/>
      <c r="DD75" s="497"/>
      <c r="DE75" s="497"/>
      <c r="DF75" s="497"/>
      <c r="DG75" s="497"/>
      <c r="DH75" s="497"/>
      <c r="DI75" s="497"/>
      <c r="DJ75" s="497"/>
      <c r="DK75" s="497"/>
      <c r="DL75" s="497"/>
      <c r="DM75" s="497"/>
      <c r="DN75" s="497"/>
      <c r="DO75" s="497"/>
      <c r="DP75" s="497"/>
      <c r="DQ75" s="497"/>
      <c r="DR75" s="497"/>
      <c r="DS75" s="497"/>
      <c r="DT75" s="497"/>
      <c r="DU75" s="497"/>
      <c r="DV75" s="497"/>
      <c r="DW75" s="497"/>
      <c r="DX75" s="497"/>
      <c r="DY75" s="497"/>
      <c r="DZ75" s="497"/>
      <c r="EA75" s="497"/>
      <c r="EB75" s="497"/>
      <c r="EC75" s="497"/>
      <c r="ED75" s="497"/>
      <c r="EE75" s="497"/>
      <c r="EF75" s="497"/>
      <c r="EG75" s="497"/>
      <c r="EH75" s="497"/>
      <c r="EI75" s="497"/>
      <c r="EJ75" s="497"/>
      <c r="EK75" s="497"/>
      <c r="EL75" s="497"/>
      <c r="EM75" s="497"/>
      <c r="EN75" s="497"/>
      <c r="EO75" s="497"/>
      <c r="EP75" s="497"/>
      <c r="EQ75" s="497"/>
      <c r="ER75" s="497"/>
      <c r="ES75" s="497"/>
      <c r="ET75" s="497"/>
      <c r="EU75" s="497"/>
      <c r="EV75" s="497"/>
      <c r="EW75" s="497"/>
      <c r="EX75" s="497"/>
      <c r="EY75" s="497"/>
      <c r="EZ75" s="497"/>
      <c r="FA75" s="497"/>
      <c r="FB75" s="497"/>
      <c r="FC75" s="497"/>
      <c r="FD75" s="497"/>
      <c r="FE75" s="497"/>
      <c r="FF75" s="497"/>
      <c r="FG75" s="497"/>
      <c r="FH75" s="497"/>
      <c r="FI75" s="497"/>
      <c r="FJ75" s="497"/>
      <c r="FK75" s="497"/>
      <c r="FL75" s="497"/>
      <c r="FM75" s="497"/>
      <c r="FN75" s="497"/>
      <c r="FO75" s="497"/>
      <c r="FP75" s="497"/>
      <c r="FQ75" s="497"/>
      <c r="FR75" s="497"/>
      <c r="FS75" s="497"/>
      <c r="FT75" s="497"/>
      <c r="FU75" s="497"/>
      <c r="FV75" s="497"/>
      <c r="FW75" s="497"/>
      <c r="FX75" s="497"/>
      <c r="FY75" s="497"/>
      <c r="FZ75" s="497"/>
      <c r="GA75" s="497"/>
      <c r="GB75" s="497"/>
      <c r="GC75" s="497"/>
      <c r="GD75" s="497"/>
      <c r="GE75" s="497"/>
      <c r="GF75" s="497"/>
      <c r="GG75" s="497"/>
      <c r="GH75" s="497"/>
      <c r="GI75" s="497"/>
      <c r="GJ75" s="497"/>
      <c r="GK75" s="497"/>
      <c r="GL75" s="497"/>
      <c r="GM75" s="497"/>
      <c r="GN75" s="497"/>
      <c r="GO75" s="497"/>
      <c r="GP75" s="497"/>
      <c r="GQ75" s="497"/>
      <c r="GR75" s="497"/>
      <c r="GS75" s="497"/>
      <c r="GT75" s="497"/>
      <c r="GU75" s="497"/>
      <c r="GV75" s="497"/>
      <c r="GW75" s="497"/>
      <c r="GX75" s="497"/>
      <c r="GY75" s="497"/>
      <c r="GZ75" s="497"/>
      <c r="HA75" s="497"/>
      <c r="HB75" s="497"/>
      <c r="HC75" s="497"/>
      <c r="HD75" s="497"/>
      <c r="HE75" s="497"/>
      <c r="HF75" s="497"/>
      <c r="HG75" s="497"/>
      <c r="HH75" s="497"/>
      <c r="HI75" s="497"/>
      <c r="HJ75" s="497"/>
      <c r="HK75" s="497"/>
      <c r="HL75" s="497"/>
      <c r="HM75" s="497"/>
      <c r="HN75" s="497"/>
      <c r="HO75" s="497"/>
      <c r="HP75" s="497"/>
      <c r="HQ75" s="497"/>
      <c r="HR75" s="497"/>
      <c r="HS75" s="497"/>
      <c r="HT75" s="497"/>
      <c r="HU75" s="497"/>
      <c r="HV75" s="497"/>
      <c r="HW75" s="497"/>
      <c r="HX75" s="497"/>
      <c r="HY75" s="497"/>
      <c r="HZ75" s="497"/>
      <c r="IA75" s="497"/>
      <c r="IB75" s="497"/>
      <c r="IC75" s="497"/>
      <c r="ID75" s="497"/>
      <c r="IE75" s="497"/>
      <c r="IF75" s="497"/>
      <c r="IG75" s="497"/>
      <c r="IH75" s="497"/>
      <c r="II75" s="497"/>
      <c r="IJ75" s="497"/>
      <c r="IK75" s="497"/>
      <c r="IL75" s="497"/>
      <c r="IM75" s="497"/>
      <c r="IN75" s="497"/>
      <c r="IO75" s="497"/>
      <c r="IP75" s="497"/>
      <c r="IQ75" s="497"/>
      <c r="IR75" s="497"/>
      <c r="IS75" s="497"/>
      <c r="IT75" s="497"/>
      <c r="IU75" s="497"/>
      <c r="IV75" s="497"/>
      <c r="IW75" s="497"/>
      <c r="IX75" s="497"/>
      <c r="IY75" s="497"/>
      <c r="IZ75" s="497"/>
      <c r="JA75" s="497"/>
      <c r="JB75" s="497"/>
      <c r="JC75" s="497"/>
      <c r="JD75" s="497"/>
      <c r="JE75" s="497"/>
      <c r="JF75" s="497"/>
      <c r="JG75" s="497"/>
      <c r="JH75" s="497"/>
      <c r="JI75" s="497"/>
      <c r="JJ75" s="497"/>
      <c r="JK75" s="497"/>
      <c r="JL75" s="497"/>
      <c r="JM75" s="497"/>
      <c r="JN75" s="497"/>
      <c r="JO75" s="497"/>
      <c r="JP75" s="497"/>
      <c r="JQ75" s="497"/>
      <c r="JR75" s="497"/>
      <c r="JS75" s="497"/>
      <c r="JT75" s="497"/>
      <c r="JU75" s="497"/>
      <c r="JV75" s="497"/>
      <c r="JW75" s="497"/>
      <c r="JX75" s="497"/>
      <c r="JY75" s="497"/>
      <c r="JZ75" s="497"/>
      <c r="KA75" s="497"/>
      <c r="KB75" s="497"/>
      <c r="KC75" s="497"/>
      <c r="KD75" s="497"/>
      <c r="KE75" s="497"/>
      <c r="KF75" s="497"/>
      <c r="KG75" s="497"/>
      <c r="KH75" s="497"/>
      <c r="KI75" s="497"/>
      <c r="KJ75" s="497"/>
      <c r="KK75" s="497"/>
      <c r="KL75" s="497"/>
      <c r="KM75" s="497"/>
      <c r="KN75" s="497"/>
      <c r="KO75" s="497"/>
      <c r="KP75" s="497"/>
      <c r="KQ75" s="497"/>
      <c r="KR75" s="497"/>
      <c r="KS75" s="497"/>
      <c r="KT75" s="497"/>
      <c r="KU75" s="497"/>
      <c r="KV75" s="497"/>
      <c r="KW75" s="497"/>
      <c r="KX75" s="497"/>
      <c r="KY75" s="497"/>
      <c r="KZ75" s="497"/>
      <c r="LA75" s="497"/>
      <c r="LB75" s="497"/>
      <c r="LC75" s="497"/>
      <c r="LD75" s="497"/>
      <c r="LE75" s="497"/>
      <c r="LF75" s="497"/>
      <c r="LG75" s="497"/>
      <c r="LH75" s="497"/>
      <c r="LI75" s="497"/>
      <c r="LJ75" s="497"/>
      <c r="LK75" s="497"/>
      <c r="LL75" s="497"/>
      <c r="LM75" s="497"/>
      <c r="LN75" s="497"/>
      <c r="LO75" s="497"/>
      <c r="LP75" s="497"/>
      <c r="LQ75" s="497"/>
      <c r="LR75" s="497"/>
      <c r="LS75" s="497"/>
      <c r="LT75" s="497"/>
      <c r="LU75" s="497"/>
      <c r="LV75" s="497"/>
      <c r="LW75" s="497"/>
      <c r="LX75" s="497"/>
      <c r="LY75" s="497"/>
      <c r="LZ75" s="497"/>
      <c r="MA75" s="497"/>
      <c r="MB75" s="497"/>
      <c r="MC75" s="497"/>
      <c r="MD75" s="497"/>
      <c r="ME75" s="497"/>
      <c r="MF75" s="497"/>
      <c r="MG75" s="497"/>
      <c r="MH75" s="497"/>
      <c r="MI75" s="497"/>
      <c r="MJ75" s="497"/>
      <c r="MK75" s="497"/>
      <c r="ML75" s="497"/>
      <c r="MM75" s="497"/>
      <c r="MN75" s="497"/>
      <c r="MO75" s="497"/>
      <c r="MP75" s="497"/>
      <c r="MQ75" s="497"/>
      <c r="MR75" s="497"/>
      <c r="MS75" s="497"/>
      <c r="MT75" s="497"/>
      <c r="MU75" s="497"/>
      <c r="MV75" s="497"/>
      <c r="MW75" s="497"/>
      <c r="MX75" s="497"/>
      <c r="MY75" s="497"/>
      <c r="MZ75" s="497"/>
      <c r="NA75" s="497"/>
      <c r="NB75" s="497"/>
      <c r="NC75" s="497"/>
      <c r="ND75" s="497"/>
      <c r="NE75" s="497"/>
      <c r="NF75" s="497"/>
      <c r="NG75" s="497"/>
      <c r="NH75" s="497"/>
      <c r="NI75" s="497"/>
      <c r="NJ75" s="497"/>
      <c r="NK75" s="497"/>
      <c r="NL75" s="497"/>
      <c r="NM75" s="497"/>
      <c r="NN75" s="497"/>
      <c r="NO75" s="497"/>
      <c r="NP75" s="497"/>
      <c r="NQ75" s="497"/>
      <c r="NR75" s="497"/>
      <c r="NS75" s="497"/>
      <c r="NT75" s="497"/>
      <c r="NU75" s="497"/>
      <c r="NV75" s="497"/>
      <c r="NW75" s="497"/>
      <c r="NX75" s="497"/>
      <c r="NY75" s="497"/>
      <c r="NZ75" s="497"/>
      <c r="OA75" s="497"/>
      <c r="OB75" s="497"/>
      <c r="OC75" s="497"/>
      <c r="OD75" s="497"/>
      <c r="OE75" s="497"/>
      <c r="OF75" s="497"/>
      <c r="OG75" s="497"/>
      <c r="OH75" s="497"/>
      <c r="OI75" s="497"/>
      <c r="OJ75" s="497"/>
      <c r="OK75" s="497"/>
      <c r="OL75" s="497"/>
      <c r="OM75" s="497"/>
      <c r="ON75" s="497"/>
      <c r="OO75" s="497"/>
      <c r="OP75" s="497"/>
      <c r="OQ75" s="497"/>
      <c r="OR75" s="497"/>
      <c r="OS75" s="497"/>
      <c r="OT75" s="497"/>
      <c r="OU75" s="497"/>
      <c r="OV75" s="497"/>
      <c r="OW75" s="497"/>
      <c r="OX75" s="497"/>
      <c r="OY75" s="497"/>
      <c r="OZ75" s="497"/>
      <c r="PA75" s="497"/>
      <c r="PB75" s="497"/>
      <c r="PC75" s="497"/>
      <c r="PD75" s="497"/>
      <c r="PE75" s="497"/>
      <c r="PF75" s="497"/>
      <c r="PG75" s="497"/>
      <c r="PH75" s="497"/>
      <c r="PI75" s="497"/>
      <c r="PJ75" s="497"/>
      <c r="PK75" s="497"/>
      <c r="PL75" s="497"/>
      <c r="PM75" s="497"/>
      <c r="PN75" s="497"/>
      <c r="PO75" s="497"/>
      <c r="PP75" s="497"/>
      <c r="PQ75" s="497"/>
      <c r="PR75" s="497"/>
      <c r="PS75" s="497"/>
      <c r="PT75" s="497"/>
      <c r="PU75" s="497"/>
      <c r="PV75" s="497"/>
      <c r="PW75" s="497"/>
      <c r="PX75" s="497"/>
      <c r="PY75" s="497"/>
      <c r="PZ75" s="497"/>
      <c r="QA75" s="497"/>
      <c r="QB75" s="497"/>
      <c r="QC75" s="497"/>
      <c r="QD75" s="497"/>
      <c r="QE75" s="497"/>
      <c r="QF75" s="497"/>
      <c r="QG75" s="497"/>
      <c r="QH75" s="497"/>
      <c r="QI75" s="497"/>
      <c r="QJ75" s="497"/>
      <c r="QK75" s="497"/>
      <c r="QL75" s="497"/>
      <c r="QM75" s="497"/>
      <c r="QN75" s="497"/>
      <c r="QO75" s="497"/>
      <c r="QP75" s="497"/>
      <c r="QQ75" s="497"/>
      <c r="QR75" s="497"/>
      <c r="QS75" s="497"/>
      <c r="QT75" s="497"/>
      <c r="QU75" s="497"/>
      <c r="QV75" s="497"/>
      <c r="QW75" s="497"/>
      <c r="QX75" s="497"/>
      <c r="QY75" s="497"/>
      <c r="QZ75" s="497"/>
      <c r="RA75" s="497"/>
      <c r="RB75" s="497"/>
      <c r="RC75" s="497"/>
      <c r="RD75" s="497"/>
      <c r="RE75" s="497"/>
      <c r="RF75" s="497"/>
      <c r="RG75" s="497"/>
      <c r="RH75" s="497"/>
      <c r="RI75" s="497"/>
      <c r="RJ75" s="497"/>
      <c r="RK75" s="497"/>
      <c r="RL75" s="497"/>
      <c r="RM75" s="497"/>
      <c r="RN75" s="497"/>
      <c r="RO75" s="497"/>
      <c r="RP75" s="497"/>
      <c r="RQ75" s="497"/>
      <c r="RR75" s="497"/>
      <c r="RS75" s="497"/>
      <c r="RT75" s="497"/>
      <c r="RU75" s="497"/>
      <c r="RV75" s="497"/>
      <c r="RW75" s="497"/>
      <c r="RX75" s="497"/>
      <c r="RY75" s="497"/>
      <c r="RZ75" s="497"/>
      <c r="SA75" s="497"/>
      <c r="SB75" s="497"/>
      <c r="SC75" s="497"/>
      <c r="SD75" s="497"/>
      <c r="SE75" s="497"/>
      <c r="SF75" s="497"/>
      <c r="SG75" s="497"/>
      <c r="SH75" s="497"/>
      <c r="SI75" s="497"/>
      <c r="SJ75" s="497"/>
      <c r="SK75" s="497"/>
      <c r="SL75" s="497"/>
      <c r="SM75" s="497"/>
      <c r="SN75" s="497"/>
      <c r="SO75" s="497"/>
      <c r="SP75" s="497"/>
      <c r="SQ75" s="497"/>
      <c r="SR75" s="497"/>
      <c r="SS75" s="497"/>
      <c r="ST75" s="497"/>
      <c r="SU75" s="497"/>
      <c r="SV75" s="497"/>
      <c r="SW75" s="497"/>
      <c r="SX75" s="497"/>
      <c r="SY75" s="497"/>
      <c r="SZ75" s="497"/>
      <c r="TA75" s="497"/>
      <c r="TB75" s="497"/>
      <c r="TC75" s="497"/>
      <c r="TD75" s="497"/>
      <c r="TE75" s="497"/>
      <c r="TF75" s="497"/>
      <c r="TG75" s="497"/>
      <c r="TH75" s="497"/>
      <c r="TI75" s="497"/>
      <c r="TJ75" s="497"/>
      <c r="TK75" s="497"/>
      <c r="TL75" s="497"/>
      <c r="TM75" s="497"/>
      <c r="TN75" s="497"/>
      <c r="TO75" s="497"/>
      <c r="TP75" s="497"/>
      <c r="TQ75" s="497"/>
      <c r="TR75" s="497"/>
      <c r="TS75" s="497"/>
      <c r="TT75" s="497"/>
      <c r="TU75" s="497"/>
      <c r="TV75" s="497"/>
      <c r="TW75" s="497"/>
      <c r="TX75" s="497"/>
      <c r="TY75" s="497"/>
      <c r="TZ75" s="497"/>
      <c r="UA75" s="497"/>
      <c r="UB75" s="497"/>
      <c r="UC75" s="497"/>
      <c r="UD75" s="497"/>
      <c r="UE75" s="497"/>
      <c r="UF75" s="497"/>
      <c r="UG75" s="497"/>
      <c r="UH75" s="497"/>
      <c r="UI75" s="497"/>
      <c r="UJ75" s="497"/>
      <c r="UK75" s="497"/>
      <c r="UL75" s="497"/>
      <c r="UM75" s="497"/>
      <c r="UN75" s="497"/>
      <c r="UO75" s="497"/>
      <c r="UP75" s="497"/>
      <c r="UQ75" s="497"/>
      <c r="UR75" s="497"/>
      <c r="US75" s="497"/>
      <c r="UT75" s="497"/>
      <c r="UU75" s="497"/>
      <c r="UV75" s="497"/>
      <c r="UW75" s="497"/>
      <c r="UX75" s="497"/>
      <c r="UY75" s="497"/>
      <c r="UZ75" s="497"/>
      <c r="VA75" s="497"/>
      <c r="VB75" s="497"/>
      <c r="VC75" s="497"/>
      <c r="VD75" s="497"/>
      <c r="VE75" s="497"/>
      <c r="VF75" s="497"/>
      <c r="VG75" s="497"/>
      <c r="VH75" s="497"/>
      <c r="VI75" s="497"/>
      <c r="VJ75" s="497"/>
      <c r="VK75" s="497"/>
      <c r="VL75" s="497"/>
      <c r="VM75" s="497"/>
      <c r="VN75" s="497"/>
      <c r="VO75" s="497"/>
      <c r="VP75" s="497"/>
      <c r="VQ75" s="497"/>
      <c r="VR75" s="497"/>
      <c r="VS75" s="497"/>
      <c r="VT75" s="497"/>
      <c r="VU75" s="497"/>
      <c r="VV75" s="497"/>
      <c r="VW75" s="497"/>
      <c r="VX75" s="497"/>
      <c r="VY75" s="497"/>
      <c r="VZ75" s="497"/>
      <c r="WA75" s="497"/>
      <c r="WB75" s="497"/>
      <c r="WC75" s="497"/>
      <c r="WD75" s="497"/>
      <c r="WE75" s="497"/>
      <c r="WF75" s="497"/>
      <c r="WG75" s="497"/>
      <c r="WH75" s="497"/>
      <c r="WI75" s="497"/>
      <c r="WJ75" s="497"/>
      <c r="WK75" s="497"/>
      <c r="WL75" s="497"/>
      <c r="WM75" s="497"/>
      <c r="WN75" s="497"/>
      <c r="WO75" s="497"/>
      <c r="WP75" s="497"/>
      <c r="WQ75" s="497"/>
      <c r="WR75" s="497"/>
      <c r="WS75" s="497"/>
      <c r="WT75" s="497"/>
      <c r="WU75" s="497"/>
      <c r="WV75" s="497"/>
      <c r="WW75" s="497"/>
      <c r="WX75" s="497"/>
      <c r="WY75" s="497"/>
      <c r="WZ75" s="497"/>
      <c r="XA75" s="497"/>
      <c r="XB75" s="497"/>
      <c r="XC75" s="497"/>
      <c r="XD75" s="497"/>
      <c r="XE75" s="497"/>
      <c r="XF75" s="497"/>
      <c r="XG75" s="497"/>
      <c r="XH75" s="497"/>
      <c r="XI75" s="497"/>
      <c r="XJ75" s="497"/>
      <c r="XK75" s="497"/>
      <c r="XL75" s="497"/>
      <c r="XM75" s="497"/>
      <c r="XN75" s="497"/>
      <c r="XO75" s="497"/>
      <c r="XP75" s="497"/>
      <c r="XQ75" s="497"/>
      <c r="XR75" s="497"/>
      <c r="XS75" s="497"/>
      <c r="XT75" s="497"/>
      <c r="XU75" s="497"/>
      <c r="XV75" s="497"/>
      <c r="XW75" s="497"/>
      <c r="XX75" s="497"/>
      <c r="XY75" s="497"/>
      <c r="XZ75" s="497"/>
      <c r="YA75" s="497"/>
      <c r="YB75" s="497"/>
      <c r="YC75" s="497"/>
      <c r="YD75" s="497"/>
      <c r="YE75" s="497"/>
      <c r="YF75" s="497"/>
      <c r="YG75" s="497"/>
      <c r="YH75" s="497"/>
      <c r="YI75" s="497"/>
      <c r="YJ75" s="497"/>
      <c r="YK75" s="497"/>
      <c r="YL75" s="497"/>
      <c r="YM75" s="497"/>
      <c r="YN75" s="497"/>
      <c r="YO75" s="497"/>
      <c r="YP75" s="497"/>
      <c r="YQ75" s="497"/>
      <c r="YR75" s="497"/>
      <c r="YS75" s="497"/>
      <c r="YT75" s="497"/>
      <c r="YU75" s="497"/>
      <c r="YV75" s="497"/>
      <c r="YW75" s="497"/>
      <c r="YX75" s="497"/>
      <c r="YY75" s="497"/>
      <c r="YZ75" s="497"/>
      <c r="ZA75" s="497"/>
      <c r="ZB75" s="497"/>
      <c r="ZC75" s="497"/>
      <c r="ZD75" s="497"/>
      <c r="ZE75" s="497"/>
      <c r="ZF75" s="497"/>
      <c r="ZG75" s="497"/>
      <c r="ZH75" s="497"/>
      <c r="ZI75" s="497"/>
      <c r="ZJ75" s="497"/>
      <c r="ZK75" s="497"/>
      <c r="ZL75" s="497"/>
      <c r="ZM75" s="497"/>
      <c r="ZN75" s="497"/>
      <c r="ZO75" s="497"/>
      <c r="ZP75" s="497"/>
      <c r="ZQ75" s="497"/>
      <c r="ZR75" s="497"/>
      <c r="ZS75" s="497"/>
      <c r="ZT75" s="497"/>
      <c r="ZU75" s="497"/>
      <c r="ZV75" s="497"/>
      <c r="ZW75" s="497"/>
      <c r="ZX75" s="497"/>
      <c r="ZY75" s="497"/>
      <c r="ZZ75" s="497"/>
      <c r="AAA75" s="497"/>
      <c r="AAB75" s="497"/>
      <c r="AAC75" s="497"/>
      <c r="AAD75" s="497"/>
      <c r="AAE75" s="497"/>
      <c r="AAF75" s="497"/>
      <c r="AAG75" s="497"/>
      <c r="AAH75" s="497"/>
      <c r="AAI75" s="497"/>
      <c r="AAJ75" s="497"/>
      <c r="AAK75" s="497"/>
      <c r="AAL75" s="497"/>
      <c r="AAM75" s="497"/>
      <c r="AAN75" s="497"/>
      <c r="AAO75" s="497"/>
      <c r="AAP75" s="497"/>
      <c r="AAQ75" s="497"/>
      <c r="AAR75" s="497"/>
      <c r="AAS75" s="497"/>
      <c r="AAT75" s="497"/>
      <c r="AAU75" s="497"/>
      <c r="AAV75" s="497"/>
      <c r="AAW75" s="497"/>
      <c r="AAX75" s="497"/>
      <c r="AAY75" s="497"/>
      <c r="AAZ75" s="497"/>
      <c r="ABA75" s="497"/>
      <c r="ABB75" s="497"/>
      <c r="ABC75" s="497"/>
      <c r="ABD75" s="497"/>
      <c r="ABE75" s="497"/>
      <c r="ABF75" s="497"/>
      <c r="ABG75" s="497"/>
      <c r="ABH75" s="497"/>
      <c r="ABI75" s="497"/>
      <c r="ABJ75" s="497"/>
      <c r="ABK75" s="497"/>
      <c r="ABL75" s="497"/>
      <c r="ABM75" s="497"/>
      <c r="ABN75" s="497"/>
      <c r="ABO75" s="497"/>
      <c r="ABP75" s="497"/>
      <c r="ABQ75" s="497"/>
      <c r="ABR75" s="497"/>
      <c r="ABS75" s="497"/>
      <c r="ABT75" s="497"/>
      <c r="ABU75" s="497"/>
      <c r="ABV75" s="497"/>
      <c r="ABW75" s="497"/>
      <c r="ABX75" s="497"/>
      <c r="ABY75" s="497"/>
      <c r="ABZ75" s="497"/>
      <c r="ACA75" s="497"/>
      <c r="ACB75" s="497"/>
      <c r="ACC75" s="497"/>
      <c r="ACD75" s="497"/>
      <c r="ACE75" s="497"/>
      <c r="ACF75" s="497"/>
      <c r="ACG75" s="497"/>
      <c r="ACH75" s="497"/>
      <c r="ACI75" s="497"/>
      <c r="ACJ75" s="497"/>
      <c r="ACK75" s="497"/>
      <c r="ACL75" s="497"/>
      <c r="ACM75" s="497"/>
      <c r="ACN75" s="497"/>
      <c r="ACO75" s="497"/>
      <c r="ACP75" s="497"/>
      <c r="ACQ75" s="497"/>
      <c r="ACR75" s="497"/>
      <c r="ACS75" s="497"/>
      <c r="ACT75" s="497"/>
      <c r="ACU75" s="497"/>
      <c r="ACV75" s="497"/>
      <c r="ACW75" s="497"/>
      <c r="ACX75" s="497"/>
      <c r="ACY75" s="497"/>
      <c r="ACZ75" s="497"/>
      <c r="ADA75" s="497"/>
      <c r="ADB75" s="497"/>
      <c r="ADC75" s="497"/>
      <c r="ADD75" s="497"/>
      <c r="ADE75" s="497"/>
      <c r="ADF75" s="497"/>
      <c r="ADG75" s="497"/>
      <c r="ADH75" s="497"/>
      <c r="ADI75" s="497"/>
      <c r="ADJ75" s="497"/>
      <c r="ADK75" s="497"/>
      <c r="ADL75" s="497"/>
      <c r="ADM75" s="497"/>
      <c r="ADN75" s="497"/>
      <c r="ADO75" s="497"/>
      <c r="ADP75" s="497"/>
      <c r="ADQ75" s="497"/>
      <c r="ADR75" s="497"/>
      <c r="ADS75" s="497"/>
      <c r="ADT75" s="497"/>
      <c r="ADU75" s="497"/>
      <c r="ADV75" s="497"/>
      <c r="ADW75" s="497"/>
      <c r="ADX75" s="497"/>
      <c r="ADY75" s="497"/>
      <c r="ADZ75" s="497"/>
      <c r="AEA75" s="497"/>
      <c r="AEB75" s="497"/>
      <c r="AEC75" s="497"/>
      <c r="AED75" s="497"/>
      <c r="AEE75" s="497"/>
      <c r="AEF75" s="497"/>
      <c r="AEG75" s="497"/>
      <c r="AEH75" s="497"/>
      <c r="AEI75" s="497"/>
      <c r="AEJ75" s="497"/>
      <c r="AEK75" s="497"/>
      <c r="AEL75" s="497"/>
      <c r="AEM75" s="497"/>
      <c r="AEN75" s="497"/>
      <c r="AEO75" s="497"/>
      <c r="AEP75" s="497"/>
      <c r="AEQ75" s="497"/>
      <c r="AER75" s="497"/>
      <c r="AES75" s="497"/>
      <c r="AET75" s="497"/>
      <c r="AEU75" s="497"/>
      <c r="AEV75" s="497"/>
      <c r="AEW75" s="497"/>
      <c r="AEX75" s="497"/>
      <c r="AEY75" s="497"/>
      <c r="AEZ75" s="497"/>
      <c r="AFA75" s="497"/>
      <c r="AFB75" s="497"/>
      <c r="AFC75" s="497"/>
      <c r="AFD75" s="497"/>
      <c r="AFE75" s="497"/>
      <c r="AFF75" s="497"/>
      <c r="AFG75" s="497"/>
      <c r="AFH75" s="497"/>
      <c r="AFI75" s="497"/>
      <c r="AFJ75" s="497"/>
      <c r="AFK75" s="497"/>
      <c r="AFL75" s="497"/>
      <c r="AFM75" s="497"/>
      <c r="AFN75" s="497"/>
      <c r="AFO75" s="497"/>
      <c r="AFP75" s="497"/>
      <c r="AFQ75" s="497"/>
      <c r="AFR75" s="497"/>
      <c r="AFS75" s="497"/>
      <c r="AFT75" s="497"/>
      <c r="AFU75" s="497"/>
      <c r="AFV75" s="497"/>
      <c r="AFW75" s="497"/>
      <c r="AFX75" s="497"/>
      <c r="AFY75" s="497"/>
      <c r="AFZ75" s="497"/>
      <c r="AGA75" s="497"/>
      <c r="AGB75" s="497"/>
      <c r="AGC75" s="497"/>
      <c r="AGD75" s="497"/>
      <c r="AGE75" s="497"/>
      <c r="AGF75" s="497"/>
      <c r="AGG75" s="497"/>
      <c r="AGH75" s="497"/>
      <c r="AGI75" s="497"/>
      <c r="AGJ75" s="497"/>
      <c r="AGK75" s="497"/>
      <c r="AGL75" s="497"/>
      <c r="AGM75" s="497"/>
      <c r="AGN75" s="497"/>
      <c r="AGO75" s="497"/>
      <c r="AGP75" s="497"/>
      <c r="AGQ75" s="497"/>
      <c r="AGR75" s="497"/>
      <c r="AGS75" s="497"/>
      <c r="AGT75" s="497"/>
      <c r="AGU75" s="497"/>
      <c r="AGV75" s="497"/>
      <c r="AGW75" s="497"/>
      <c r="AGX75" s="497"/>
      <c r="AGY75" s="497"/>
      <c r="AGZ75" s="497"/>
      <c r="AHA75" s="497"/>
      <c r="AHB75" s="497"/>
      <c r="AHC75" s="497"/>
      <c r="AHD75" s="497"/>
      <c r="AHE75" s="497"/>
      <c r="AHF75" s="497"/>
      <c r="AHG75" s="497"/>
      <c r="AHH75" s="497"/>
      <c r="AHI75" s="497"/>
      <c r="AHJ75" s="497"/>
      <c r="AHK75" s="497"/>
      <c r="AHL75" s="497"/>
      <c r="AHM75" s="497"/>
      <c r="AHN75" s="497"/>
      <c r="AHO75" s="497"/>
      <c r="AHP75" s="497"/>
      <c r="AHQ75" s="497"/>
      <c r="AHR75" s="497"/>
      <c r="AHS75" s="497"/>
      <c r="AHT75" s="497"/>
      <c r="AHU75" s="497"/>
      <c r="AHV75" s="497"/>
      <c r="AHW75" s="497"/>
      <c r="AHX75" s="497"/>
      <c r="AHY75" s="497"/>
      <c r="AHZ75" s="497"/>
      <c r="AIA75" s="497"/>
      <c r="AIB75" s="497"/>
      <c r="AIC75" s="497"/>
      <c r="AID75" s="497"/>
      <c r="AIE75" s="497"/>
      <c r="AIF75" s="497"/>
      <c r="AIG75" s="497"/>
      <c r="AIH75" s="497"/>
      <c r="AII75" s="497"/>
      <c r="AIJ75" s="497"/>
      <c r="AIK75" s="497"/>
      <c r="AIL75" s="497"/>
      <c r="AIM75" s="497"/>
      <c r="AIN75" s="497"/>
      <c r="AIO75" s="497"/>
      <c r="AIP75" s="497"/>
      <c r="AIQ75" s="497"/>
      <c r="AIR75" s="497"/>
      <c r="AIS75" s="497"/>
      <c r="AIT75" s="497"/>
      <c r="AIU75" s="497"/>
      <c r="AIV75" s="497"/>
      <c r="AIW75" s="497"/>
      <c r="AIX75" s="497"/>
      <c r="AIY75" s="497"/>
      <c r="AIZ75" s="497"/>
      <c r="AJA75" s="497"/>
      <c r="AJB75" s="497"/>
      <c r="AJC75" s="497"/>
      <c r="AJD75" s="497"/>
      <c r="AJE75" s="497"/>
      <c r="AJF75" s="497"/>
      <c r="AJG75" s="497"/>
      <c r="AJH75" s="497"/>
      <c r="AJI75" s="497"/>
      <c r="AJJ75" s="497"/>
      <c r="AJK75" s="497"/>
      <c r="AJL75" s="497"/>
      <c r="AJM75" s="497"/>
      <c r="AJN75" s="497"/>
      <c r="AJO75" s="497"/>
      <c r="AJP75" s="497"/>
      <c r="AJQ75" s="497"/>
      <c r="AJR75" s="497"/>
      <c r="AJS75" s="497"/>
      <c r="AJT75" s="497"/>
      <c r="AJU75" s="497"/>
      <c r="AJV75" s="497"/>
      <c r="AJW75" s="497"/>
      <c r="AJX75" s="497"/>
      <c r="AJY75" s="497"/>
      <c r="AJZ75" s="497"/>
      <c r="AKA75" s="497"/>
      <c r="AKB75" s="497"/>
      <c r="AKC75" s="497"/>
      <c r="AKD75" s="497"/>
      <c r="AKE75" s="497"/>
      <c r="AKF75" s="497"/>
      <c r="AKG75" s="497"/>
      <c r="AKH75" s="497"/>
      <c r="AKI75" s="497"/>
      <c r="AKJ75" s="497"/>
      <c r="AKK75" s="497"/>
      <c r="AKL75" s="497"/>
      <c r="AKM75" s="497"/>
      <c r="AKN75" s="497"/>
      <c r="AKO75" s="497"/>
      <c r="AKP75" s="497"/>
      <c r="AKQ75" s="497"/>
      <c r="AKR75" s="497"/>
      <c r="AKS75" s="497"/>
      <c r="AKT75" s="497"/>
      <c r="AKU75" s="497"/>
      <c r="AKV75" s="497"/>
      <c r="AKW75" s="497"/>
      <c r="AKX75" s="497"/>
      <c r="AKY75" s="497"/>
      <c r="AKZ75" s="497"/>
      <c r="ALA75" s="497"/>
      <c r="ALB75" s="497"/>
      <c r="ALC75" s="497"/>
      <c r="ALD75" s="497"/>
      <c r="ALE75" s="497"/>
      <c r="ALF75" s="497"/>
      <c r="ALG75" s="497"/>
      <c r="ALH75" s="497"/>
      <c r="ALI75" s="497"/>
      <c r="ALJ75" s="497"/>
      <c r="ALK75" s="497"/>
      <c r="ALL75" s="497"/>
      <c r="ALM75" s="497"/>
      <c r="ALN75" s="497"/>
      <c r="ALO75" s="497"/>
      <c r="ALP75" s="497"/>
      <c r="ALQ75" s="497"/>
      <c r="ALR75" s="497"/>
      <c r="ALS75" s="497"/>
      <c r="ALT75" s="497"/>
      <c r="ALU75" s="497"/>
      <c r="ALV75" s="497"/>
      <c r="ALW75" s="497"/>
      <c r="ALX75" s="497"/>
      <c r="ALY75" s="497"/>
      <c r="ALZ75" s="497"/>
      <c r="AMA75" s="497"/>
      <c r="AMB75" s="497"/>
      <c r="AMC75" s="497"/>
      <c r="AMD75" s="497"/>
      <c r="AME75" s="497"/>
      <c r="AMF75" s="497"/>
      <c r="AMG75" s="497"/>
      <c r="AMH75" s="497"/>
      <c r="AMI75" s="497"/>
      <c r="AMJ75" s="497"/>
      <c r="AMK75" s="497"/>
      <c r="AML75" s="497"/>
      <c r="AMM75" s="497"/>
      <c r="AMN75" s="497"/>
      <c r="AMO75" s="497"/>
      <c r="AMP75" s="497"/>
      <c r="AMQ75" s="497"/>
      <c r="AMR75" s="497"/>
      <c r="AMS75" s="497"/>
      <c r="AMT75" s="497"/>
      <c r="AMU75" s="497"/>
      <c r="AMV75" s="497"/>
      <c r="AMW75" s="497"/>
      <c r="AMX75" s="497"/>
      <c r="AMY75" s="497"/>
      <c r="AMZ75" s="497"/>
      <c r="ANA75" s="497"/>
      <c r="ANB75" s="497"/>
      <c r="ANC75" s="497"/>
      <c r="AND75" s="497"/>
      <c r="ANE75" s="497"/>
      <c r="ANF75" s="497"/>
      <c r="ANG75" s="497"/>
      <c r="ANH75" s="497"/>
      <c r="ANI75" s="497"/>
      <c r="ANJ75" s="497"/>
      <c r="ANK75" s="497"/>
      <c r="ANL75" s="497"/>
      <c r="ANM75" s="497"/>
      <c r="ANN75" s="497"/>
      <c r="ANO75" s="497"/>
      <c r="ANP75" s="497"/>
      <c r="ANQ75" s="497"/>
      <c r="ANR75" s="497"/>
      <c r="ANS75" s="497"/>
      <c r="ANT75" s="497"/>
      <c r="ANU75" s="497"/>
      <c r="ANV75" s="497"/>
      <c r="ANW75" s="497"/>
      <c r="ANX75" s="497"/>
      <c r="ANY75" s="497"/>
      <c r="ANZ75" s="497"/>
      <c r="AOA75" s="497"/>
      <c r="AOB75" s="497"/>
      <c r="AOC75" s="497"/>
      <c r="AOD75" s="497"/>
      <c r="AOE75" s="497"/>
      <c r="AOF75" s="497"/>
      <c r="AOG75" s="497"/>
      <c r="AOH75" s="497"/>
      <c r="AOI75" s="497"/>
      <c r="AOJ75" s="497"/>
      <c r="AOK75" s="497"/>
      <c r="AOL75" s="497"/>
      <c r="AOM75" s="497"/>
      <c r="AON75" s="497"/>
      <c r="AOO75" s="497"/>
      <c r="AOP75" s="497"/>
      <c r="AOQ75" s="497"/>
      <c r="AOR75" s="497"/>
      <c r="AOS75" s="497"/>
      <c r="AOT75" s="497"/>
      <c r="AOU75" s="497"/>
      <c r="AOV75" s="497"/>
      <c r="AOW75" s="497"/>
      <c r="AOX75" s="497"/>
      <c r="AOY75" s="497"/>
      <c r="AOZ75" s="497"/>
      <c r="APA75" s="497"/>
      <c r="APB75" s="497"/>
      <c r="APC75" s="497"/>
      <c r="APD75" s="497"/>
      <c r="APE75" s="497"/>
      <c r="APF75" s="497"/>
      <c r="APG75" s="497"/>
      <c r="APH75" s="497"/>
      <c r="API75" s="497"/>
      <c r="APJ75" s="497"/>
      <c r="APK75" s="497"/>
      <c r="APL75" s="497"/>
      <c r="APM75" s="497"/>
      <c r="APN75" s="497"/>
      <c r="APO75" s="497"/>
      <c r="APP75" s="497"/>
      <c r="APQ75" s="497"/>
      <c r="APR75" s="497"/>
      <c r="APS75" s="497"/>
      <c r="APT75" s="497"/>
      <c r="APU75" s="497"/>
      <c r="APV75" s="497"/>
      <c r="APW75" s="497"/>
      <c r="APX75" s="497"/>
      <c r="APY75" s="497"/>
      <c r="APZ75" s="497"/>
      <c r="AQA75" s="497"/>
      <c r="AQB75" s="497"/>
      <c r="AQC75" s="497"/>
      <c r="AQD75" s="497"/>
      <c r="AQE75" s="497"/>
      <c r="AQF75" s="497"/>
      <c r="AQG75" s="497"/>
      <c r="AQH75" s="497"/>
      <c r="AQI75" s="497"/>
      <c r="AQJ75" s="497"/>
      <c r="AQK75" s="497"/>
      <c r="AQL75" s="497"/>
      <c r="AQM75" s="497"/>
      <c r="AQN75" s="497"/>
      <c r="AQO75" s="497"/>
      <c r="AQP75" s="497"/>
      <c r="AQQ75" s="497"/>
      <c r="AQR75" s="497"/>
      <c r="AQS75" s="497"/>
      <c r="AQT75" s="497"/>
      <c r="AQU75" s="497"/>
      <c r="AQV75" s="497"/>
      <c r="AQW75" s="497"/>
      <c r="AQX75" s="497"/>
      <c r="AQY75" s="497"/>
      <c r="AQZ75" s="497"/>
      <c r="ARA75" s="497"/>
      <c r="ARB75" s="497"/>
      <c r="ARC75" s="497"/>
      <c r="ARD75" s="497"/>
      <c r="ARE75" s="497"/>
      <c r="ARF75" s="497"/>
      <c r="ARG75" s="497"/>
      <c r="ARH75" s="497"/>
      <c r="ARI75" s="497"/>
      <c r="ARJ75" s="497"/>
      <c r="ARK75" s="497"/>
      <c r="ARL75" s="497"/>
      <c r="ARM75" s="497"/>
      <c r="ARN75" s="497"/>
      <c r="ARO75" s="497"/>
      <c r="ARP75" s="497"/>
      <c r="ARQ75" s="497"/>
      <c r="ARR75" s="497"/>
      <c r="ARS75" s="497"/>
      <c r="ART75" s="497"/>
      <c r="ARU75" s="497"/>
      <c r="ARV75" s="497"/>
      <c r="ARW75" s="497"/>
      <c r="ARX75" s="497"/>
      <c r="ARY75" s="497"/>
      <c r="ARZ75" s="497"/>
      <c r="ASA75" s="497"/>
      <c r="ASB75" s="497"/>
      <c r="ASC75" s="497"/>
      <c r="ASD75" s="497"/>
      <c r="ASE75" s="497"/>
      <c r="ASF75" s="497"/>
      <c r="ASG75" s="497"/>
      <c r="ASH75" s="497"/>
      <c r="ASI75" s="497"/>
      <c r="ASJ75" s="497"/>
      <c r="ASK75" s="497"/>
      <c r="ASL75" s="497"/>
      <c r="ASM75" s="497"/>
      <c r="ASN75" s="497"/>
      <c r="ASO75" s="497"/>
      <c r="ASP75" s="497"/>
      <c r="ASQ75" s="497"/>
      <c r="ASR75" s="497"/>
      <c r="ASS75" s="497"/>
      <c r="AST75" s="497"/>
      <c r="ASU75" s="497"/>
      <c r="ASV75" s="497"/>
      <c r="ASW75" s="497"/>
      <c r="ASX75" s="497"/>
      <c r="ASY75" s="497"/>
      <c r="ASZ75" s="497"/>
      <c r="ATA75" s="497"/>
      <c r="ATB75" s="497"/>
      <c r="ATC75" s="497"/>
      <c r="ATD75" s="497"/>
      <c r="ATE75" s="497"/>
      <c r="ATF75" s="497"/>
      <c r="ATG75" s="497"/>
      <c r="ATH75" s="497"/>
      <c r="ATI75" s="497"/>
      <c r="ATJ75" s="497"/>
      <c r="ATK75" s="497"/>
      <c r="ATL75" s="497"/>
      <c r="ATM75" s="497"/>
      <c r="ATN75" s="497"/>
      <c r="ATO75" s="497"/>
      <c r="ATP75" s="497"/>
      <c r="ATQ75" s="497"/>
      <c r="ATR75" s="497"/>
      <c r="ATS75" s="497"/>
      <c r="ATT75" s="497"/>
      <c r="ATU75" s="497"/>
      <c r="ATV75" s="497"/>
      <c r="ATW75" s="497"/>
      <c r="ATX75" s="497"/>
      <c r="ATY75" s="497"/>
      <c r="ATZ75" s="497"/>
      <c r="AUA75" s="497"/>
      <c r="AUB75" s="497"/>
      <c r="AUC75" s="497"/>
      <c r="AUD75" s="497"/>
      <c r="AUE75" s="497"/>
      <c r="AUF75" s="497"/>
      <c r="AUG75" s="497"/>
      <c r="AUH75" s="497"/>
      <c r="AUI75" s="497"/>
      <c r="AUJ75" s="497"/>
      <c r="AUK75" s="497"/>
      <c r="AUL75" s="497"/>
      <c r="AUM75" s="497"/>
      <c r="AUN75" s="497"/>
      <c r="AUO75" s="497"/>
      <c r="AUP75" s="497"/>
      <c r="AUQ75" s="497"/>
      <c r="AUR75" s="497"/>
      <c r="AUS75" s="497"/>
      <c r="AUT75" s="497"/>
      <c r="AUU75" s="497"/>
      <c r="AUV75" s="497"/>
      <c r="AUW75" s="497"/>
      <c r="AUX75" s="497"/>
      <c r="AUY75" s="497"/>
      <c r="AUZ75" s="497"/>
      <c r="AVA75" s="497"/>
      <c r="AVB75" s="497"/>
      <c r="AVC75" s="497"/>
      <c r="AVD75" s="497"/>
      <c r="AVE75" s="497"/>
      <c r="AVF75" s="497"/>
      <c r="AVG75" s="497"/>
      <c r="AVH75" s="497"/>
      <c r="AVI75" s="497"/>
      <c r="AVJ75" s="497"/>
      <c r="AVK75" s="497"/>
      <c r="AVL75" s="497"/>
      <c r="AVM75" s="497"/>
      <c r="AVN75" s="497"/>
      <c r="AVO75" s="497"/>
      <c r="AVP75" s="497"/>
      <c r="AVQ75" s="497"/>
      <c r="AVR75" s="497"/>
      <c r="AVS75" s="497"/>
      <c r="AVT75" s="497"/>
      <c r="AVU75" s="497"/>
      <c r="AVV75" s="497"/>
      <c r="AVW75" s="497"/>
      <c r="AVX75" s="497"/>
      <c r="AVY75" s="497"/>
      <c r="AVZ75" s="497"/>
      <c r="AWA75" s="497"/>
      <c r="AWB75" s="497"/>
      <c r="AWC75" s="497"/>
      <c r="AWD75" s="497"/>
      <c r="AWE75" s="497"/>
      <c r="AWF75" s="497"/>
      <c r="AWG75" s="497"/>
      <c r="AWH75" s="497"/>
      <c r="AWI75" s="497"/>
      <c r="AWJ75" s="497"/>
      <c r="AWK75" s="497"/>
      <c r="AWL75" s="497"/>
      <c r="AWM75" s="497"/>
      <c r="AWN75" s="497"/>
      <c r="AWO75" s="497"/>
      <c r="AWP75" s="497"/>
      <c r="AWQ75" s="497"/>
      <c r="AWR75" s="497"/>
      <c r="AWS75" s="497"/>
      <c r="AWT75" s="497"/>
      <c r="AWU75" s="497"/>
      <c r="AWV75" s="497"/>
      <c r="AWW75" s="497"/>
      <c r="AWX75" s="497"/>
      <c r="AWY75" s="497"/>
      <c r="AWZ75" s="497"/>
      <c r="AXA75" s="497"/>
      <c r="AXB75" s="497"/>
      <c r="AXC75" s="497"/>
      <c r="AXD75" s="497"/>
      <c r="AXE75" s="497"/>
      <c r="AXF75" s="497"/>
      <c r="AXG75" s="497"/>
      <c r="AXH75" s="497"/>
      <c r="AXI75" s="497"/>
      <c r="AXJ75" s="497"/>
      <c r="AXK75" s="497"/>
      <c r="AXL75" s="497"/>
      <c r="AXM75" s="497"/>
      <c r="AXN75" s="497"/>
      <c r="AXO75" s="497"/>
      <c r="AXP75" s="497"/>
      <c r="AXQ75" s="497"/>
      <c r="AXR75" s="497"/>
      <c r="AXS75" s="497"/>
      <c r="AXT75" s="497"/>
      <c r="AXU75" s="497"/>
      <c r="AXV75" s="497"/>
      <c r="AXW75" s="497"/>
      <c r="AXX75" s="497"/>
      <c r="AXY75" s="497"/>
      <c r="AXZ75" s="497"/>
      <c r="AYA75" s="497"/>
      <c r="AYB75" s="497"/>
      <c r="AYC75" s="497"/>
      <c r="AYD75" s="497"/>
      <c r="AYE75" s="497"/>
      <c r="AYF75" s="497"/>
      <c r="AYG75" s="497"/>
      <c r="AYH75" s="497"/>
      <c r="AYI75" s="497"/>
      <c r="AYJ75" s="497"/>
      <c r="AYK75" s="497"/>
      <c r="AYL75" s="497"/>
      <c r="AYM75" s="497"/>
      <c r="AYN75" s="497"/>
      <c r="AYO75" s="497"/>
      <c r="AYP75" s="497"/>
      <c r="AYQ75" s="497"/>
      <c r="AYR75" s="497"/>
      <c r="AYS75" s="497"/>
      <c r="AYT75" s="497"/>
      <c r="AYU75" s="497"/>
      <c r="AYV75" s="497"/>
      <c r="AYW75" s="497"/>
      <c r="AYX75" s="497"/>
      <c r="AYY75" s="497"/>
      <c r="AYZ75" s="497"/>
      <c r="AZA75" s="497"/>
      <c r="AZB75" s="497"/>
      <c r="AZC75" s="497"/>
      <c r="AZD75" s="497"/>
      <c r="AZE75" s="497"/>
      <c r="AZF75" s="497"/>
      <c r="AZG75" s="497"/>
      <c r="AZH75" s="497"/>
      <c r="AZI75" s="497"/>
      <c r="AZJ75" s="497"/>
      <c r="AZK75" s="497"/>
      <c r="AZL75" s="497"/>
      <c r="AZM75" s="497"/>
      <c r="AZN75" s="497"/>
      <c r="AZO75" s="497"/>
      <c r="AZP75" s="497"/>
      <c r="AZQ75" s="497"/>
      <c r="AZR75" s="497"/>
      <c r="AZS75" s="497"/>
      <c r="AZT75" s="497"/>
      <c r="AZU75" s="497"/>
      <c r="AZV75" s="497"/>
      <c r="AZW75" s="497"/>
      <c r="AZX75" s="497"/>
      <c r="AZY75" s="497"/>
      <c r="AZZ75" s="497"/>
      <c r="BAA75" s="497"/>
      <c r="BAB75" s="497"/>
      <c r="BAC75" s="497"/>
      <c r="BAD75" s="497"/>
      <c r="BAE75" s="497"/>
      <c r="BAF75" s="497"/>
      <c r="BAG75" s="497"/>
      <c r="BAH75" s="497"/>
      <c r="BAI75" s="497"/>
      <c r="BAJ75" s="497"/>
      <c r="BAK75" s="497"/>
      <c r="BAL75" s="497"/>
      <c r="BAM75" s="497"/>
      <c r="BAN75" s="497"/>
      <c r="BAO75" s="497"/>
      <c r="BAP75" s="497"/>
      <c r="BAQ75" s="497"/>
      <c r="BAR75" s="497"/>
      <c r="BAS75" s="497"/>
      <c r="BAT75" s="497"/>
      <c r="BAU75" s="497"/>
      <c r="BAV75" s="497"/>
      <c r="BAW75" s="497"/>
      <c r="BAX75" s="497"/>
      <c r="BAY75" s="497"/>
      <c r="BAZ75" s="497"/>
      <c r="BBA75" s="497"/>
      <c r="BBB75" s="497"/>
      <c r="BBC75" s="497"/>
      <c r="BBD75" s="497"/>
      <c r="BBE75" s="497"/>
      <c r="BBF75" s="497"/>
      <c r="BBG75" s="497"/>
      <c r="BBH75" s="497"/>
      <c r="BBI75" s="497"/>
      <c r="BBJ75" s="497"/>
      <c r="BBK75" s="497"/>
      <c r="BBL75" s="497"/>
      <c r="BBM75" s="497"/>
      <c r="BBN75" s="497"/>
      <c r="BBO75" s="497"/>
      <c r="BBP75" s="497"/>
      <c r="BBQ75" s="497"/>
      <c r="BBR75" s="497"/>
      <c r="BBS75" s="497"/>
      <c r="BBT75" s="497"/>
      <c r="BBU75" s="497"/>
      <c r="BBV75" s="497"/>
      <c r="BBW75" s="497"/>
      <c r="BBX75" s="497"/>
      <c r="BBY75" s="497"/>
      <c r="BBZ75" s="497"/>
      <c r="BCA75" s="497"/>
      <c r="BCB75" s="497"/>
      <c r="BCC75" s="497"/>
      <c r="BCD75" s="497"/>
      <c r="BCE75" s="497"/>
      <c r="BCF75" s="497"/>
      <c r="BCG75" s="497"/>
      <c r="BCH75" s="497"/>
      <c r="BCI75" s="497"/>
      <c r="BCJ75" s="497"/>
      <c r="BCK75" s="497"/>
      <c r="BCL75" s="497"/>
      <c r="BCM75" s="497"/>
      <c r="BCN75" s="497"/>
      <c r="BCO75" s="497"/>
      <c r="BCP75" s="497"/>
      <c r="BCQ75" s="497"/>
      <c r="BCR75" s="497"/>
      <c r="BCS75" s="497"/>
      <c r="BCT75" s="497"/>
      <c r="BCU75" s="497"/>
      <c r="BCV75" s="497"/>
      <c r="BCW75" s="497"/>
      <c r="BCX75" s="497"/>
      <c r="BCY75" s="497"/>
      <c r="BCZ75" s="497"/>
      <c r="BDA75" s="497"/>
      <c r="BDB75" s="497"/>
      <c r="BDC75" s="497"/>
      <c r="BDD75" s="497"/>
      <c r="BDE75" s="497"/>
      <c r="BDF75" s="497"/>
      <c r="BDG75" s="497"/>
      <c r="BDH75" s="497"/>
      <c r="BDI75" s="497"/>
      <c r="BDJ75" s="497"/>
      <c r="BDK75" s="497"/>
      <c r="BDL75" s="497"/>
      <c r="BDM75" s="497"/>
      <c r="BDN75" s="497"/>
      <c r="BDO75" s="497"/>
      <c r="BDP75" s="497"/>
      <c r="BDQ75" s="497"/>
      <c r="BDR75" s="497"/>
      <c r="BDS75" s="497"/>
      <c r="BDT75" s="497"/>
      <c r="BDU75" s="497"/>
      <c r="BDV75" s="497"/>
      <c r="BDW75" s="497"/>
      <c r="BDX75" s="497"/>
      <c r="BDY75" s="497"/>
      <c r="BDZ75" s="497"/>
      <c r="BEA75" s="497"/>
      <c r="BEB75" s="497"/>
      <c r="BEC75" s="497"/>
      <c r="BED75" s="497"/>
      <c r="BEE75" s="497"/>
      <c r="BEF75" s="497"/>
      <c r="BEG75" s="497"/>
      <c r="BEH75" s="497"/>
      <c r="BEI75" s="497"/>
      <c r="BEJ75" s="497"/>
      <c r="BEK75" s="497"/>
      <c r="BEL75" s="497"/>
      <c r="BEM75" s="497"/>
      <c r="BEN75" s="497"/>
      <c r="BEO75" s="497"/>
      <c r="BEP75" s="497"/>
      <c r="BEQ75" s="497"/>
      <c r="BER75" s="497"/>
      <c r="BES75" s="497"/>
      <c r="BET75" s="497"/>
      <c r="BEU75" s="497"/>
      <c r="BEV75" s="497"/>
      <c r="BEW75" s="497"/>
      <c r="BEX75" s="497"/>
      <c r="BEY75" s="497"/>
      <c r="BEZ75" s="497"/>
      <c r="BFA75" s="497"/>
      <c r="BFB75" s="497"/>
      <c r="BFC75" s="497"/>
      <c r="BFD75" s="497"/>
      <c r="BFE75" s="497"/>
      <c r="BFF75" s="497"/>
      <c r="BFG75" s="497"/>
      <c r="BFH75" s="497"/>
      <c r="BFI75" s="497"/>
      <c r="BFJ75" s="497"/>
      <c r="BFK75" s="497"/>
      <c r="BFL75" s="497"/>
      <c r="BFM75" s="497"/>
      <c r="BFN75" s="497"/>
      <c r="BFO75" s="497"/>
      <c r="BFP75" s="497"/>
      <c r="BFQ75" s="497"/>
      <c r="BFR75" s="497"/>
      <c r="BFS75" s="497"/>
      <c r="BFT75" s="497"/>
      <c r="BFU75" s="497"/>
      <c r="BFV75" s="497"/>
      <c r="BFW75" s="497"/>
      <c r="BFX75" s="497"/>
      <c r="BFY75" s="497"/>
      <c r="BFZ75" s="497"/>
      <c r="BGA75" s="497"/>
      <c r="BGB75" s="497"/>
      <c r="BGC75" s="497"/>
      <c r="BGD75" s="497"/>
      <c r="BGE75" s="497"/>
      <c r="BGF75" s="497"/>
      <c r="BGG75" s="497"/>
      <c r="BGH75" s="497"/>
      <c r="BGI75" s="497"/>
      <c r="BGJ75" s="497"/>
      <c r="BGK75" s="497"/>
      <c r="BGL75" s="497"/>
      <c r="BGM75" s="497"/>
      <c r="BGN75" s="497"/>
      <c r="BGO75" s="497"/>
      <c r="BGP75" s="497"/>
      <c r="BGQ75" s="497"/>
      <c r="BGR75" s="497"/>
      <c r="BGS75" s="497"/>
      <c r="BGT75" s="497"/>
      <c r="BGU75" s="497"/>
      <c r="BGV75" s="497"/>
      <c r="BGW75" s="497"/>
      <c r="BGX75" s="497"/>
      <c r="BGY75" s="497"/>
      <c r="BGZ75" s="497"/>
      <c r="BHA75" s="497"/>
      <c r="BHB75" s="497"/>
      <c r="BHC75" s="497"/>
      <c r="BHD75" s="497"/>
      <c r="BHE75" s="497"/>
      <c r="BHF75" s="497"/>
      <c r="BHG75" s="497"/>
      <c r="BHH75" s="497"/>
      <c r="BHI75" s="497"/>
      <c r="BHJ75" s="497"/>
      <c r="BHK75" s="497"/>
      <c r="BHL75" s="497"/>
      <c r="BHM75" s="497"/>
      <c r="BHN75" s="497"/>
      <c r="BHO75" s="497"/>
      <c r="BHP75" s="497"/>
      <c r="BHQ75" s="497"/>
      <c r="BHR75" s="497"/>
      <c r="BHS75" s="497"/>
      <c r="BHT75" s="497"/>
      <c r="BHU75" s="497"/>
      <c r="BHV75" s="497"/>
      <c r="BHW75" s="497"/>
      <c r="BHX75" s="497"/>
      <c r="BHY75" s="497"/>
      <c r="BHZ75" s="497"/>
      <c r="BIA75" s="497"/>
      <c r="BIB75" s="497"/>
      <c r="BIC75" s="497"/>
      <c r="BID75" s="497"/>
      <c r="BIE75" s="497"/>
      <c r="BIF75" s="497"/>
      <c r="BIG75" s="497"/>
      <c r="BIH75" s="497"/>
      <c r="BII75" s="497"/>
      <c r="BIJ75" s="497"/>
      <c r="BIK75" s="497"/>
      <c r="BIL75" s="497"/>
      <c r="BIM75" s="497"/>
      <c r="BIN75" s="497"/>
      <c r="BIO75" s="497"/>
      <c r="BIP75" s="497"/>
      <c r="BIQ75" s="497"/>
      <c r="BIR75" s="497"/>
      <c r="BIS75" s="497"/>
      <c r="BIT75" s="497"/>
      <c r="BIU75" s="497"/>
      <c r="BIV75" s="497"/>
      <c r="BIW75" s="497"/>
      <c r="BIX75" s="497"/>
      <c r="BIY75" s="497"/>
      <c r="BIZ75" s="497"/>
      <c r="BJA75" s="497"/>
      <c r="BJB75" s="497"/>
      <c r="BJC75" s="497"/>
      <c r="BJD75" s="497"/>
      <c r="BJE75" s="497"/>
      <c r="BJF75" s="497"/>
      <c r="BJG75" s="497"/>
      <c r="BJH75" s="497"/>
      <c r="BJI75" s="497"/>
      <c r="BJJ75" s="497"/>
      <c r="BJK75" s="497"/>
      <c r="BJL75" s="497"/>
      <c r="BJM75" s="497"/>
      <c r="BJN75" s="497"/>
      <c r="BJO75" s="497"/>
      <c r="BJP75" s="497"/>
      <c r="BJQ75" s="497"/>
      <c r="BJR75" s="497"/>
      <c r="BJS75" s="497"/>
      <c r="BJT75" s="497"/>
      <c r="BJU75" s="497"/>
      <c r="BJV75" s="497"/>
      <c r="BJW75" s="497"/>
      <c r="BJX75" s="497"/>
      <c r="BJY75" s="497"/>
      <c r="BJZ75" s="497"/>
      <c r="BKA75" s="497"/>
      <c r="BKB75" s="497"/>
      <c r="BKC75" s="497"/>
      <c r="BKD75" s="497"/>
      <c r="BKE75" s="497"/>
      <c r="BKF75" s="497"/>
      <c r="BKG75" s="497"/>
      <c r="BKH75" s="497"/>
      <c r="BKI75" s="497"/>
      <c r="BKJ75" s="497"/>
      <c r="BKK75" s="497"/>
      <c r="BKL75" s="497"/>
      <c r="BKM75" s="497"/>
      <c r="BKN75" s="497"/>
      <c r="BKO75" s="497"/>
      <c r="BKP75" s="497"/>
      <c r="BKQ75" s="497"/>
      <c r="BKR75" s="497"/>
      <c r="BKS75" s="497"/>
      <c r="BKT75" s="497"/>
      <c r="BKU75" s="497"/>
      <c r="BKV75" s="497"/>
      <c r="BKW75" s="497"/>
      <c r="BKX75" s="497"/>
      <c r="BKY75" s="497"/>
      <c r="BKZ75" s="497"/>
      <c r="BLA75" s="497"/>
      <c r="BLB75" s="497"/>
      <c r="BLC75" s="497"/>
      <c r="BLD75" s="497"/>
      <c r="BLE75" s="497"/>
      <c r="BLF75" s="497"/>
      <c r="BLG75" s="497"/>
      <c r="BLH75" s="497"/>
      <c r="BLI75" s="497"/>
      <c r="BLJ75" s="497"/>
      <c r="BLK75" s="497"/>
      <c r="BLL75" s="497"/>
      <c r="BLM75" s="497"/>
      <c r="BLN75" s="497"/>
      <c r="BLO75" s="497"/>
      <c r="BLP75" s="497"/>
      <c r="BLQ75" s="497"/>
      <c r="BLR75" s="497"/>
      <c r="BLS75" s="497"/>
      <c r="BLT75" s="497"/>
      <c r="BLU75" s="497"/>
      <c r="BLV75" s="497"/>
      <c r="BLW75" s="497"/>
      <c r="BLX75" s="497"/>
      <c r="BLY75" s="497"/>
      <c r="BLZ75" s="497"/>
      <c r="BMA75" s="497"/>
      <c r="BMB75" s="497"/>
      <c r="BMC75" s="497"/>
      <c r="BMD75" s="497"/>
      <c r="BME75" s="497"/>
      <c r="BMF75" s="497"/>
      <c r="BMG75" s="497"/>
      <c r="BMH75" s="497"/>
      <c r="BMI75" s="497"/>
      <c r="BMJ75" s="497"/>
      <c r="BMK75" s="497"/>
      <c r="BML75" s="497"/>
      <c r="BMM75" s="497"/>
      <c r="BMN75" s="497"/>
      <c r="BMO75" s="497"/>
      <c r="BMP75" s="497"/>
      <c r="BMQ75" s="497"/>
      <c r="BMR75" s="497"/>
      <c r="BMS75" s="497"/>
      <c r="BMT75" s="497"/>
      <c r="BMU75" s="497"/>
      <c r="BMV75" s="497"/>
      <c r="BMW75" s="497"/>
      <c r="BMX75" s="497"/>
      <c r="BMY75" s="497"/>
      <c r="BMZ75" s="497"/>
      <c r="BNA75" s="497"/>
      <c r="BNB75" s="497"/>
      <c r="BNC75" s="497"/>
      <c r="BND75" s="497"/>
      <c r="BNE75" s="497"/>
      <c r="BNF75" s="497"/>
      <c r="BNG75" s="497"/>
      <c r="BNH75" s="497"/>
      <c r="BNI75" s="497"/>
      <c r="BNJ75" s="497"/>
      <c r="BNK75" s="497"/>
      <c r="BNL75" s="497"/>
      <c r="BNM75" s="497"/>
      <c r="BNN75" s="497"/>
      <c r="BNO75" s="497"/>
      <c r="BNP75" s="497"/>
      <c r="BNQ75" s="497"/>
      <c r="BNR75" s="497"/>
      <c r="BNS75" s="497"/>
      <c r="BNT75" s="497"/>
      <c r="BNU75" s="497"/>
      <c r="BNV75" s="497"/>
      <c r="BNW75" s="497"/>
      <c r="BNX75" s="497"/>
      <c r="BNY75" s="497"/>
      <c r="BNZ75" s="497"/>
      <c r="BOA75" s="497"/>
      <c r="BOB75" s="497"/>
      <c r="BOC75" s="497"/>
      <c r="BOD75" s="497"/>
      <c r="BOE75" s="497"/>
      <c r="BOF75" s="497"/>
      <c r="BOG75" s="497"/>
      <c r="BOH75" s="497"/>
      <c r="BOI75" s="497"/>
      <c r="BOJ75" s="497"/>
      <c r="BOK75" s="497"/>
      <c r="BOL75" s="497"/>
      <c r="BOM75" s="497"/>
      <c r="BON75" s="497"/>
      <c r="BOO75" s="497"/>
      <c r="BOP75" s="497"/>
      <c r="BOQ75" s="497"/>
      <c r="BOR75" s="497"/>
      <c r="BOS75" s="497"/>
      <c r="BOT75" s="497"/>
      <c r="BOU75" s="497"/>
      <c r="BOV75" s="497"/>
      <c r="BOW75" s="497"/>
      <c r="BOX75" s="497"/>
      <c r="BOY75" s="497"/>
      <c r="BOZ75" s="497"/>
      <c r="BPA75" s="497"/>
      <c r="BPB75" s="497"/>
      <c r="BPC75" s="497"/>
      <c r="BPD75" s="497"/>
      <c r="BPE75" s="497"/>
      <c r="BPF75" s="497"/>
      <c r="BPG75" s="497"/>
      <c r="BPH75" s="497"/>
      <c r="BPI75" s="497"/>
      <c r="BPJ75" s="497"/>
      <c r="BPK75" s="497"/>
      <c r="BPL75" s="497"/>
      <c r="BPM75" s="497"/>
      <c r="BPN75" s="497"/>
      <c r="BPO75" s="497"/>
      <c r="BPP75" s="497"/>
      <c r="BPQ75" s="497"/>
      <c r="BPR75" s="497"/>
      <c r="BPS75" s="497"/>
      <c r="BPT75" s="497"/>
      <c r="BPU75" s="497"/>
      <c r="BPV75" s="497"/>
      <c r="BPW75" s="497"/>
      <c r="BPX75" s="497"/>
      <c r="BPY75" s="497"/>
      <c r="BPZ75" s="497"/>
      <c r="BQA75" s="497"/>
      <c r="BQB75" s="497"/>
      <c r="BQC75" s="497"/>
      <c r="BQD75" s="497"/>
      <c r="BQE75" s="497"/>
      <c r="BQF75" s="497"/>
      <c r="BQG75" s="497"/>
      <c r="BQH75" s="497"/>
      <c r="BQI75" s="497"/>
      <c r="BQJ75" s="497"/>
      <c r="BQK75" s="497"/>
      <c r="BQL75" s="497"/>
      <c r="BQM75" s="497"/>
      <c r="BQN75" s="497"/>
      <c r="BQO75" s="497"/>
      <c r="BQP75" s="497"/>
      <c r="BQQ75" s="497"/>
      <c r="BQR75" s="497"/>
      <c r="BQS75" s="497"/>
      <c r="BQT75" s="497"/>
      <c r="BQU75" s="497"/>
      <c r="BQV75" s="497"/>
      <c r="BQW75" s="497"/>
      <c r="BQX75" s="497"/>
      <c r="BQY75" s="497"/>
      <c r="BQZ75" s="497"/>
      <c r="BRA75" s="497"/>
      <c r="BRB75" s="497"/>
      <c r="BRC75" s="497"/>
      <c r="BRD75" s="497"/>
      <c r="BRE75" s="497"/>
      <c r="BRF75" s="497"/>
      <c r="BRG75" s="497"/>
      <c r="BRH75" s="497"/>
      <c r="BRI75" s="497"/>
      <c r="BRJ75" s="497"/>
      <c r="BRK75" s="497"/>
      <c r="BRL75" s="497"/>
      <c r="BRM75" s="497"/>
      <c r="BRN75" s="497"/>
      <c r="BRO75" s="497"/>
      <c r="BRP75" s="497"/>
      <c r="BRQ75" s="497"/>
      <c r="BRR75" s="497"/>
      <c r="BRS75" s="497"/>
      <c r="BRT75" s="497"/>
      <c r="BRU75" s="497"/>
      <c r="BRV75" s="497"/>
      <c r="BRW75" s="497"/>
      <c r="BRX75" s="497"/>
      <c r="BRY75" s="497"/>
      <c r="BRZ75" s="497"/>
      <c r="BSA75" s="497"/>
      <c r="BSB75" s="497"/>
      <c r="BSC75" s="497"/>
      <c r="BSD75" s="497"/>
      <c r="BSE75" s="497"/>
      <c r="BSF75" s="497"/>
      <c r="BSG75" s="497"/>
      <c r="BSH75" s="497"/>
      <c r="BSI75" s="497"/>
      <c r="BSJ75" s="497"/>
      <c r="BSK75" s="497"/>
      <c r="BSL75" s="497"/>
      <c r="BSM75" s="497"/>
      <c r="BSN75" s="497"/>
      <c r="BSO75" s="497"/>
      <c r="BSP75" s="497"/>
      <c r="BSQ75" s="497"/>
      <c r="BSR75" s="497"/>
      <c r="BSS75" s="497"/>
      <c r="BST75" s="497"/>
      <c r="BSU75" s="497"/>
      <c r="BSV75" s="497"/>
      <c r="BSW75" s="497"/>
      <c r="BSX75" s="497"/>
      <c r="BSY75" s="497"/>
      <c r="BSZ75" s="497"/>
      <c r="BTA75" s="497"/>
      <c r="BTB75" s="497"/>
      <c r="BTC75" s="497"/>
      <c r="BTD75" s="497"/>
      <c r="BTE75" s="497"/>
      <c r="BTF75" s="497"/>
      <c r="BTG75" s="497"/>
      <c r="BTH75" s="497"/>
      <c r="BTI75" s="497"/>
      <c r="BTJ75" s="497"/>
      <c r="BTK75" s="497"/>
      <c r="BTL75" s="497"/>
      <c r="BTM75" s="497"/>
      <c r="BTN75" s="497"/>
      <c r="BTO75" s="497"/>
      <c r="BTP75" s="497"/>
      <c r="BTQ75" s="497"/>
      <c r="BTR75" s="497"/>
      <c r="BTS75" s="497"/>
      <c r="BTT75" s="497"/>
      <c r="BTU75" s="497"/>
      <c r="BTV75" s="497"/>
      <c r="BTW75" s="497"/>
      <c r="BTX75" s="497"/>
      <c r="BTY75" s="497"/>
      <c r="BTZ75" s="497"/>
      <c r="BUA75" s="497"/>
      <c r="BUB75" s="497"/>
      <c r="BUC75" s="497"/>
      <c r="BUD75" s="497"/>
      <c r="BUE75" s="497"/>
      <c r="BUF75" s="497"/>
      <c r="BUG75" s="497"/>
      <c r="BUH75" s="497"/>
      <c r="BUI75" s="497"/>
      <c r="BUJ75" s="497"/>
      <c r="BUK75" s="497"/>
      <c r="BUL75" s="497"/>
      <c r="BUM75" s="497"/>
      <c r="BUN75" s="497"/>
      <c r="BUO75" s="497"/>
      <c r="BUP75" s="497"/>
      <c r="BUQ75" s="497"/>
      <c r="BUR75" s="497"/>
      <c r="BUS75" s="497"/>
      <c r="BUT75" s="497"/>
      <c r="BUU75" s="497"/>
      <c r="BUV75" s="497"/>
      <c r="BUW75" s="497"/>
      <c r="BUX75" s="497"/>
      <c r="BUY75" s="497"/>
      <c r="BUZ75" s="497"/>
      <c r="BVA75" s="497"/>
      <c r="BVB75" s="497"/>
      <c r="BVC75" s="497"/>
      <c r="BVD75" s="497"/>
      <c r="BVE75" s="497"/>
      <c r="BVF75" s="497"/>
      <c r="BVG75" s="497"/>
      <c r="BVH75" s="497"/>
      <c r="BVI75" s="497"/>
      <c r="BVJ75" s="497"/>
      <c r="BVK75" s="497"/>
      <c r="BVL75" s="497"/>
      <c r="BVM75" s="497"/>
      <c r="BVN75" s="497"/>
      <c r="BVO75" s="497"/>
      <c r="BVP75" s="497"/>
      <c r="BVQ75" s="497"/>
      <c r="BVR75" s="497"/>
      <c r="BVS75" s="497"/>
      <c r="BVT75" s="497"/>
      <c r="BVU75" s="497"/>
      <c r="BVV75" s="497"/>
      <c r="BVW75" s="497"/>
      <c r="BVX75" s="497"/>
      <c r="BVY75" s="497"/>
      <c r="BVZ75" s="497"/>
      <c r="BWA75" s="497"/>
      <c r="BWB75" s="497"/>
      <c r="BWC75" s="497"/>
      <c r="BWD75" s="497"/>
      <c r="BWE75" s="497"/>
      <c r="BWF75" s="497"/>
      <c r="BWG75" s="497"/>
      <c r="BWH75" s="497"/>
      <c r="BWI75" s="497"/>
      <c r="BWJ75" s="497"/>
      <c r="BWK75" s="497"/>
      <c r="BWL75" s="497"/>
      <c r="BWM75" s="497"/>
      <c r="BWN75" s="497"/>
      <c r="BWO75" s="497"/>
      <c r="BWP75" s="497"/>
      <c r="BWQ75" s="497"/>
      <c r="BWR75" s="497"/>
      <c r="BWS75" s="497"/>
      <c r="BWT75" s="497"/>
      <c r="BWU75" s="497"/>
      <c r="BWV75" s="497"/>
      <c r="BWW75" s="497"/>
      <c r="BWX75" s="497"/>
      <c r="BWY75" s="497"/>
      <c r="BWZ75" s="497"/>
      <c r="BXA75" s="497"/>
      <c r="BXB75" s="497"/>
      <c r="BXC75" s="497"/>
      <c r="BXD75" s="497"/>
      <c r="BXE75" s="497"/>
      <c r="BXF75" s="497"/>
      <c r="BXG75" s="497"/>
      <c r="BXH75" s="497"/>
      <c r="BXI75" s="497"/>
      <c r="BXJ75" s="497"/>
      <c r="BXK75" s="497"/>
      <c r="BXL75" s="497"/>
      <c r="BXM75" s="497"/>
      <c r="BXN75" s="497"/>
      <c r="BXO75" s="497"/>
      <c r="BXP75" s="497"/>
      <c r="BXQ75" s="497"/>
      <c r="BXR75" s="497"/>
      <c r="BXS75" s="497"/>
      <c r="BXT75" s="497"/>
      <c r="BXU75" s="497"/>
      <c r="BXV75" s="497"/>
      <c r="BXW75" s="497"/>
      <c r="BXX75" s="497"/>
      <c r="BXY75" s="497"/>
      <c r="BXZ75" s="497"/>
      <c r="BYA75" s="497"/>
      <c r="BYB75" s="497"/>
      <c r="BYC75" s="497"/>
      <c r="BYD75" s="497"/>
      <c r="BYE75" s="497"/>
      <c r="BYF75" s="497"/>
      <c r="BYG75" s="497"/>
      <c r="BYH75" s="497"/>
      <c r="BYI75" s="497"/>
      <c r="BYJ75" s="497"/>
      <c r="BYK75" s="497"/>
      <c r="BYL75" s="497"/>
      <c r="BYM75" s="497"/>
      <c r="BYN75" s="497"/>
      <c r="BYO75" s="497"/>
      <c r="BYP75" s="497"/>
      <c r="BYQ75" s="497"/>
      <c r="BYR75" s="497"/>
      <c r="BYS75" s="497"/>
      <c r="BYT75" s="497"/>
      <c r="BYU75" s="497"/>
      <c r="BYV75" s="497"/>
      <c r="BYW75" s="497"/>
      <c r="BYX75" s="497"/>
      <c r="BYY75" s="497"/>
      <c r="BYZ75" s="497"/>
      <c r="BZA75" s="497"/>
      <c r="BZB75" s="497"/>
      <c r="BZC75" s="497"/>
      <c r="BZD75" s="497"/>
      <c r="BZE75" s="497"/>
      <c r="BZF75" s="497"/>
      <c r="BZG75" s="497"/>
      <c r="BZH75" s="497"/>
      <c r="BZI75" s="497"/>
      <c r="BZJ75" s="497"/>
      <c r="BZK75" s="497"/>
      <c r="BZL75" s="497"/>
      <c r="BZM75" s="497"/>
      <c r="BZN75" s="497"/>
      <c r="BZO75" s="497"/>
      <c r="BZP75" s="497"/>
      <c r="BZQ75" s="497"/>
      <c r="BZR75" s="497"/>
      <c r="BZS75" s="497"/>
      <c r="BZT75" s="497"/>
      <c r="BZU75" s="497"/>
      <c r="BZV75" s="497"/>
      <c r="BZW75" s="497"/>
      <c r="BZX75" s="497"/>
      <c r="BZY75" s="497"/>
      <c r="BZZ75" s="497"/>
      <c r="CAA75" s="497"/>
      <c r="CAB75" s="497"/>
      <c r="CAC75" s="497"/>
      <c r="CAD75" s="497"/>
      <c r="CAE75" s="497"/>
      <c r="CAF75" s="497"/>
      <c r="CAG75" s="497"/>
      <c r="CAH75" s="497"/>
      <c r="CAI75" s="497"/>
      <c r="CAJ75" s="497"/>
      <c r="CAK75" s="497"/>
      <c r="CAL75" s="497"/>
      <c r="CAM75" s="497"/>
      <c r="CAN75" s="497"/>
      <c r="CAO75" s="497"/>
      <c r="CAP75" s="497"/>
      <c r="CAQ75" s="497"/>
      <c r="CAR75" s="497"/>
      <c r="CAS75" s="497"/>
      <c r="CAT75" s="497"/>
      <c r="CAU75" s="497"/>
      <c r="CAV75" s="497"/>
      <c r="CAW75" s="497"/>
      <c r="CAX75" s="497"/>
      <c r="CAY75" s="497"/>
      <c r="CAZ75" s="497"/>
      <c r="CBA75" s="497"/>
      <c r="CBB75" s="497"/>
      <c r="CBC75" s="497"/>
      <c r="CBD75" s="497"/>
      <c r="CBE75" s="497"/>
      <c r="CBF75" s="497"/>
      <c r="CBG75" s="497"/>
      <c r="CBH75" s="497"/>
      <c r="CBI75" s="497"/>
      <c r="CBJ75" s="497"/>
      <c r="CBK75" s="497"/>
      <c r="CBL75" s="497"/>
      <c r="CBM75" s="497"/>
      <c r="CBN75" s="497"/>
      <c r="CBO75" s="497"/>
      <c r="CBP75" s="497"/>
      <c r="CBQ75" s="497"/>
      <c r="CBR75" s="497"/>
      <c r="CBS75" s="497"/>
      <c r="CBT75" s="497"/>
      <c r="CBU75" s="497"/>
      <c r="CBV75" s="497"/>
      <c r="CBW75" s="497"/>
      <c r="CBX75" s="497"/>
      <c r="CBY75" s="497"/>
      <c r="CBZ75" s="497"/>
      <c r="CCA75" s="497"/>
      <c r="CCB75" s="497"/>
      <c r="CCC75" s="497"/>
      <c r="CCD75" s="497"/>
      <c r="CCE75" s="497"/>
      <c r="CCF75" s="497"/>
      <c r="CCG75" s="497"/>
      <c r="CCH75" s="497"/>
      <c r="CCI75" s="497"/>
      <c r="CCJ75" s="497"/>
      <c r="CCK75" s="497"/>
      <c r="CCL75" s="497"/>
      <c r="CCM75" s="497"/>
      <c r="CCN75" s="497"/>
      <c r="CCO75" s="497"/>
      <c r="CCP75" s="497"/>
      <c r="CCQ75" s="497"/>
      <c r="CCR75" s="497"/>
      <c r="CCS75" s="497"/>
      <c r="CCT75" s="497"/>
      <c r="CCU75" s="497"/>
      <c r="CCV75" s="497"/>
      <c r="CCW75" s="497"/>
      <c r="CCX75" s="497"/>
      <c r="CCY75" s="497"/>
      <c r="CCZ75" s="497"/>
      <c r="CDA75" s="497"/>
      <c r="CDB75" s="497"/>
      <c r="CDC75" s="497"/>
      <c r="CDD75" s="497"/>
      <c r="CDE75" s="497"/>
      <c r="CDF75" s="497"/>
      <c r="CDG75" s="497"/>
      <c r="CDH75" s="497"/>
      <c r="CDI75" s="497"/>
      <c r="CDJ75" s="497"/>
      <c r="CDK75" s="497"/>
      <c r="CDL75" s="497"/>
      <c r="CDM75" s="497"/>
      <c r="CDN75" s="497"/>
      <c r="CDO75" s="497"/>
      <c r="CDP75" s="497"/>
      <c r="CDQ75" s="497"/>
      <c r="CDR75" s="497"/>
      <c r="CDS75" s="497"/>
      <c r="CDT75" s="497"/>
      <c r="CDU75" s="497"/>
      <c r="CDV75" s="497"/>
      <c r="CDW75" s="497"/>
      <c r="CDX75" s="497"/>
      <c r="CDY75" s="497"/>
      <c r="CDZ75" s="497"/>
      <c r="CEA75" s="497"/>
      <c r="CEB75" s="497"/>
      <c r="CEC75" s="497"/>
      <c r="CED75" s="497"/>
      <c r="CEE75" s="497"/>
      <c r="CEF75" s="497"/>
      <c r="CEG75" s="497"/>
      <c r="CEH75" s="497"/>
      <c r="CEI75" s="497"/>
      <c r="CEJ75" s="497"/>
      <c r="CEK75" s="497"/>
      <c r="CEL75" s="497"/>
      <c r="CEM75" s="497"/>
      <c r="CEN75" s="497"/>
      <c r="CEO75" s="497"/>
      <c r="CEP75" s="497"/>
      <c r="CEQ75" s="497"/>
      <c r="CER75" s="497"/>
      <c r="CES75" s="497"/>
      <c r="CET75" s="497"/>
      <c r="CEU75" s="497"/>
      <c r="CEV75" s="497"/>
      <c r="CEW75" s="497"/>
      <c r="CEX75" s="497"/>
      <c r="CEY75" s="497"/>
      <c r="CEZ75" s="497"/>
      <c r="CFA75" s="497"/>
      <c r="CFB75" s="497"/>
      <c r="CFC75" s="497"/>
      <c r="CFD75" s="497"/>
      <c r="CFE75" s="497"/>
      <c r="CFF75" s="497"/>
      <c r="CFG75" s="497"/>
      <c r="CFH75" s="497"/>
      <c r="CFI75" s="497"/>
      <c r="CFJ75" s="497"/>
      <c r="CFK75" s="497"/>
      <c r="CFL75" s="497"/>
      <c r="CFM75" s="497"/>
      <c r="CFN75" s="497"/>
      <c r="CFO75" s="497"/>
      <c r="CFP75" s="497"/>
      <c r="CFQ75" s="497"/>
      <c r="CFR75" s="497"/>
      <c r="CFS75" s="497"/>
      <c r="CFT75" s="497"/>
      <c r="CFU75" s="497"/>
      <c r="CFV75" s="497"/>
      <c r="CFW75" s="497"/>
      <c r="CFX75" s="497"/>
      <c r="CFY75" s="497"/>
      <c r="CFZ75" s="497"/>
      <c r="CGA75" s="497"/>
      <c r="CGB75" s="497"/>
      <c r="CGC75" s="497"/>
      <c r="CGD75" s="497"/>
      <c r="CGE75" s="497"/>
      <c r="CGF75" s="497"/>
      <c r="CGG75" s="497"/>
      <c r="CGH75" s="497"/>
      <c r="CGI75" s="497"/>
      <c r="CGJ75" s="497"/>
      <c r="CGK75" s="497"/>
      <c r="CGL75" s="497"/>
      <c r="CGM75" s="497"/>
      <c r="CGN75" s="497"/>
      <c r="CGO75" s="497"/>
      <c r="CGP75" s="497"/>
      <c r="CGQ75" s="497"/>
      <c r="CGR75" s="497"/>
      <c r="CGS75" s="497"/>
      <c r="CGT75" s="497"/>
      <c r="CGU75" s="497"/>
      <c r="CGV75" s="497"/>
      <c r="CGW75" s="497"/>
      <c r="CGX75" s="497"/>
      <c r="CGY75" s="497"/>
      <c r="CGZ75" s="497"/>
      <c r="CHA75" s="497"/>
      <c r="CHB75" s="497"/>
      <c r="CHC75" s="497"/>
      <c r="CHD75" s="497"/>
      <c r="CHE75" s="497"/>
      <c r="CHF75" s="497"/>
      <c r="CHG75" s="497"/>
      <c r="CHH75" s="497"/>
      <c r="CHI75" s="497"/>
      <c r="CHJ75" s="497"/>
      <c r="CHK75" s="497"/>
      <c r="CHL75" s="497"/>
      <c r="CHM75" s="497"/>
      <c r="CHN75" s="497"/>
      <c r="CHO75" s="497"/>
      <c r="CHP75" s="497"/>
      <c r="CHQ75" s="497"/>
      <c r="CHR75" s="497"/>
      <c r="CHS75" s="497"/>
      <c r="CHT75" s="497"/>
      <c r="CHU75" s="497"/>
      <c r="CHV75" s="497"/>
      <c r="CHW75" s="497"/>
      <c r="CHX75" s="497"/>
      <c r="CHY75" s="497"/>
      <c r="CHZ75" s="497"/>
      <c r="CIA75" s="497"/>
      <c r="CIB75" s="497"/>
      <c r="CIC75" s="497"/>
      <c r="CID75" s="497"/>
      <c r="CIE75" s="497"/>
      <c r="CIF75" s="497"/>
      <c r="CIG75" s="497"/>
      <c r="CIH75" s="497"/>
      <c r="CII75" s="497"/>
      <c r="CIJ75" s="497"/>
      <c r="CIK75" s="497"/>
      <c r="CIL75" s="497"/>
      <c r="CIM75" s="497"/>
      <c r="CIN75" s="497"/>
      <c r="CIO75" s="497"/>
      <c r="CIP75" s="497"/>
      <c r="CIQ75" s="497"/>
      <c r="CIR75" s="497"/>
      <c r="CIS75" s="497"/>
      <c r="CIT75" s="497"/>
      <c r="CIU75" s="497"/>
      <c r="CIV75" s="497"/>
      <c r="CIW75" s="497"/>
      <c r="CIX75" s="497"/>
      <c r="CIY75" s="497"/>
      <c r="CIZ75" s="497"/>
      <c r="CJA75" s="497"/>
      <c r="CJB75" s="497"/>
      <c r="CJC75" s="497"/>
      <c r="CJD75" s="497"/>
      <c r="CJE75" s="497"/>
      <c r="CJF75" s="497"/>
      <c r="CJG75" s="497"/>
      <c r="CJH75" s="497"/>
      <c r="CJI75" s="497"/>
      <c r="CJJ75" s="497"/>
      <c r="CJK75" s="497"/>
      <c r="CJL75" s="497"/>
      <c r="CJM75" s="497"/>
      <c r="CJN75" s="497"/>
      <c r="CJO75" s="497"/>
      <c r="CJP75" s="497"/>
      <c r="CJQ75" s="497"/>
      <c r="CJR75" s="497"/>
      <c r="CJS75" s="497"/>
      <c r="CJT75" s="497"/>
      <c r="CJU75" s="497"/>
      <c r="CJV75" s="497"/>
      <c r="CJW75" s="497"/>
      <c r="CJX75" s="497"/>
      <c r="CJY75" s="497"/>
      <c r="CJZ75" s="497"/>
      <c r="CKA75" s="497"/>
      <c r="CKB75" s="497"/>
      <c r="CKC75" s="497"/>
      <c r="CKD75" s="497"/>
      <c r="CKE75" s="497"/>
      <c r="CKF75" s="497"/>
      <c r="CKG75" s="497"/>
      <c r="CKH75" s="497"/>
      <c r="CKI75" s="497"/>
      <c r="CKJ75" s="497"/>
      <c r="CKK75" s="497"/>
      <c r="CKL75" s="497"/>
      <c r="CKM75" s="497"/>
      <c r="CKN75" s="497"/>
      <c r="CKO75" s="497"/>
      <c r="CKP75" s="497"/>
      <c r="CKQ75" s="497"/>
      <c r="CKR75" s="497"/>
      <c r="CKS75" s="497"/>
      <c r="CKT75" s="497"/>
      <c r="CKU75" s="497"/>
      <c r="CKV75" s="497"/>
      <c r="CKW75" s="497"/>
      <c r="CKX75" s="497"/>
      <c r="CKY75" s="497"/>
      <c r="CKZ75" s="497"/>
      <c r="CLA75" s="497"/>
      <c r="CLB75" s="497"/>
      <c r="CLC75" s="497"/>
      <c r="CLD75" s="497"/>
      <c r="CLE75" s="497"/>
      <c r="CLF75" s="497"/>
      <c r="CLG75" s="497"/>
      <c r="CLH75" s="497"/>
      <c r="CLI75" s="497"/>
      <c r="CLJ75" s="497"/>
      <c r="CLK75" s="497"/>
      <c r="CLL75" s="497"/>
      <c r="CLM75" s="497"/>
      <c r="CLN75" s="497"/>
      <c r="CLO75" s="497"/>
      <c r="CLP75" s="497"/>
      <c r="CLQ75" s="497"/>
      <c r="CLR75" s="497"/>
      <c r="CLS75" s="497"/>
      <c r="CLT75" s="497"/>
      <c r="CLU75" s="497"/>
      <c r="CLV75" s="497"/>
      <c r="CLW75" s="497"/>
      <c r="CLX75" s="497"/>
      <c r="CLY75" s="497"/>
      <c r="CLZ75" s="497"/>
      <c r="CMA75" s="497"/>
      <c r="CMB75" s="497"/>
      <c r="CMC75" s="497"/>
      <c r="CMD75" s="497"/>
      <c r="CME75" s="497"/>
      <c r="CMF75" s="497"/>
      <c r="CMG75" s="497"/>
      <c r="CMH75" s="497"/>
      <c r="CMI75" s="497"/>
      <c r="CMJ75" s="497"/>
      <c r="CMK75" s="497"/>
      <c r="CML75" s="497"/>
      <c r="CMM75" s="497"/>
      <c r="CMN75" s="497"/>
      <c r="CMO75" s="497"/>
      <c r="CMP75" s="497"/>
      <c r="CMQ75" s="497"/>
      <c r="CMR75" s="497"/>
      <c r="CMS75" s="497"/>
      <c r="CMT75" s="497"/>
      <c r="CMU75" s="497"/>
      <c r="CMV75" s="497"/>
      <c r="CMW75" s="497"/>
      <c r="CMX75" s="497"/>
      <c r="CMY75" s="497"/>
      <c r="CMZ75" s="497"/>
      <c r="CNA75" s="497"/>
      <c r="CNB75" s="497"/>
      <c r="CNC75" s="497"/>
      <c r="CND75" s="497"/>
      <c r="CNE75" s="497"/>
      <c r="CNF75" s="497"/>
      <c r="CNG75" s="497"/>
      <c r="CNH75" s="497"/>
      <c r="CNI75" s="497"/>
      <c r="CNJ75" s="497"/>
      <c r="CNK75" s="497"/>
      <c r="CNL75" s="497"/>
      <c r="CNM75" s="497"/>
      <c r="CNN75" s="497"/>
      <c r="CNO75" s="497"/>
      <c r="CNP75" s="497"/>
      <c r="CNQ75" s="497"/>
      <c r="CNR75" s="497"/>
      <c r="CNS75" s="497"/>
      <c r="CNT75" s="497"/>
      <c r="CNU75" s="497"/>
      <c r="CNV75" s="497"/>
      <c r="CNW75" s="497"/>
      <c r="CNX75" s="497"/>
      <c r="CNY75" s="497"/>
      <c r="CNZ75" s="497"/>
      <c r="COA75" s="497"/>
      <c r="COB75" s="497"/>
      <c r="COC75" s="497"/>
      <c r="COD75" s="497"/>
      <c r="COE75" s="497"/>
      <c r="COF75" s="497"/>
      <c r="COG75" s="497"/>
      <c r="COH75" s="497"/>
      <c r="COI75" s="497"/>
      <c r="COJ75" s="497"/>
      <c r="COK75" s="497"/>
      <c r="COL75" s="497"/>
      <c r="COM75" s="497"/>
      <c r="CON75" s="497"/>
      <c r="COO75" s="497"/>
      <c r="COP75" s="497"/>
      <c r="COQ75" s="497"/>
      <c r="COR75" s="497"/>
      <c r="COS75" s="497"/>
      <c r="COT75" s="497"/>
      <c r="COU75" s="497"/>
      <c r="COV75" s="497"/>
      <c r="COW75" s="497"/>
      <c r="COX75" s="497"/>
      <c r="COY75" s="497"/>
      <c r="COZ75" s="497"/>
      <c r="CPA75" s="497"/>
      <c r="CPB75" s="497"/>
      <c r="CPC75" s="497"/>
      <c r="CPD75" s="497"/>
      <c r="CPE75" s="497"/>
      <c r="CPF75" s="497"/>
      <c r="CPG75" s="497"/>
      <c r="CPH75" s="497"/>
      <c r="CPI75" s="497"/>
      <c r="CPJ75" s="497"/>
      <c r="CPK75" s="497"/>
      <c r="CPL75" s="497"/>
      <c r="CPM75" s="497"/>
      <c r="CPN75" s="497"/>
      <c r="CPO75" s="497"/>
      <c r="CPP75" s="497"/>
      <c r="CPQ75" s="497"/>
      <c r="CPR75" s="497"/>
      <c r="CPS75" s="497"/>
      <c r="CPT75" s="497"/>
      <c r="CPU75" s="497"/>
      <c r="CPV75" s="497"/>
      <c r="CPW75" s="497"/>
      <c r="CPX75" s="497"/>
      <c r="CPY75" s="497"/>
      <c r="CPZ75" s="497"/>
      <c r="CQA75" s="497"/>
      <c r="CQB75" s="497"/>
      <c r="CQC75" s="497"/>
      <c r="CQD75" s="497"/>
      <c r="CQE75" s="497"/>
      <c r="CQF75" s="497"/>
      <c r="CQG75" s="497"/>
      <c r="CQH75" s="497"/>
      <c r="CQI75" s="497"/>
      <c r="CQJ75" s="497"/>
      <c r="CQK75" s="497"/>
      <c r="CQL75" s="497"/>
      <c r="CQM75" s="497"/>
      <c r="CQN75" s="497"/>
      <c r="CQO75" s="497"/>
      <c r="CQP75" s="497"/>
      <c r="CQQ75" s="497"/>
      <c r="CQR75" s="497"/>
      <c r="CQS75" s="497"/>
      <c r="CQT75" s="497"/>
      <c r="CQU75" s="497"/>
      <c r="CQV75" s="497"/>
      <c r="CQW75" s="497"/>
      <c r="CQX75" s="497"/>
      <c r="CQY75" s="497"/>
      <c r="CQZ75" s="497"/>
      <c r="CRA75" s="497"/>
      <c r="CRB75" s="497"/>
      <c r="CRC75" s="497"/>
      <c r="CRD75" s="497"/>
      <c r="CRE75" s="497"/>
      <c r="CRF75" s="497"/>
      <c r="CRG75" s="497"/>
      <c r="CRH75" s="497"/>
      <c r="CRI75" s="497"/>
      <c r="CRJ75" s="497"/>
      <c r="CRK75" s="497"/>
      <c r="CRL75" s="497"/>
      <c r="CRM75" s="497"/>
      <c r="CRN75" s="497"/>
      <c r="CRO75" s="497"/>
      <c r="CRP75" s="497"/>
      <c r="CRQ75" s="497"/>
      <c r="CRR75" s="497"/>
      <c r="CRS75" s="497"/>
      <c r="CRT75" s="497"/>
      <c r="CRU75" s="497"/>
      <c r="CRV75" s="497"/>
      <c r="CRW75" s="497"/>
      <c r="CRX75" s="497"/>
      <c r="CRY75" s="497"/>
      <c r="CRZ75" s="497"/>
      <c r="CSA75" s="497"/>
      <c r="CSB75" s="497"/>
      <c r="CSC75" s="497"/>
      <c r="CSD75" s="497"/>
      <c r="CSE75" s="497"/>
      <c r="CSF75" s="497"/>
      <c r="CSG75" s="497"/>
      <c r="CSH75" s="497"/>
      <c r="CSI75" s="497"/>
      <c r="CSJ75" s="497"/>
      <c r="CSK75" s="497"/>
      <c r="CSL75" s="497"/>
      <c r="CSM75" s="497"/>
      <c r="CSN75" s="497"/>
      <c r="CSO75" s="497"/>
      <c r="CSP75" s="497"/>
      <c r="CSQ75" s="497"/>
      <c r="CSR75" s="497"/>
      <c r="CSS75" s="497"/>
      <c r="CST75" s="497"/>
      <c r="CSU75" s="497"/>
      <c r="CSV75" s="497"/>
      <c r="CSW75" s="497"/>
      <c r="CSX75" s="497"/>
      <c r="CSY75" s="497"/>
      <c r="CSZ75" s="497"/>
      <c r="CTA75" s="497"/>
      <c r="CTB75" s="497"/>
      <c r="CTC75" s="497"/>
      <c r="CTD75" s="497"/>
      <c r="CTE75" s="497"/>
      <c r="CTF75" s="497"/>
      <c r="CTG75" s="497"/>
      <c r="CTH75" s="497"/>
      <c r="CTI75" s="497"/>
      <c r="CTJ75" s="497"/>
      <c r="CTK75" s="497"/>
      <c r="CTL75" s="497"/>
      <c r="CTM75" s="497"/>
      <c r="CTN75" s="497"/>
      <c r="CTO75" s="497"/>
      <c r="CTP75" s="497"/>
      <c r="CTQ75" s="497"/>
      <c r="CTR75" s="497"/>
      <c r="CTS75" s="497"/>
      <c r="CTT75" s="497"/>
      <c r="CTU75" s="497"/>
      <c r="CTV75" s="497"/>
      <c r="CTW75" s="497"/>
      <c r="CTX75" s="497"/>
      <c r="CTY75" s="497"/>
      <c r="CTZ75" s="497"/>
      <c r="CUA75" s="497"/>
      <c r="CUB75" s="497"/>
      <c r="CUC75" s="497"/>
      <c r="CUD75" s="497"/>
      <c r="CUE75" s="497"/>
      <c r="CUF75" s="497"/>
      <c r="CUG75" s="497"/>
      <c r="CUH75" s="497"/>
      <c r="CUI75" s="497"/>
      <c r="CUJ75" s="497"/>
      <c r="CUK75" s="497"/>
      <c r="CUL75" s="497"/>
      <c r="CUM75" s="497"/>
      <c r="CUN75" s="497"/>
      <c r="CUO75" s="497"/>
      <c r="CUP75" s="497"/>
      <c r="CUQ75" s="497"/>
      <c r="CUR75" s="497"/>
      <c r="CUS75" s="497"/>
      <c r="CUT75" s="497"/>
      <c r="CUU75" s="497"/>
      <c r="CUV75" s="497"/>
      <c r="CUW75" s="497"/>
      <c r="CUX75" s="497"/>
      <c r="CUY75" s="497"/>
      <c r="CUZ75" s="497"/>
      <c r="CVA75" s="497"/>
      <c r="CVB75" s="497"/>
      <c r="CVC75" s="497"/>
      <c r="CVD75" s="497"/>
      <c r="CVE75" s="497"/>
      <c r="CVF75" s="497"/>
      <c r="CVG75" s="497"/>
      <c r="CVH75" s="497"/>
      <c r="CVI75" s="497"/>
      <c r="CVJ75" s="497"/>
      <c r="CVK75" s="497"/>
      <c r="CVL75" s="497"/>
      <c r="CVM75" s="497"/>
      <c r="CVN75" s="497"/>
      <c r="CVO75" s="497"/>
      <c r="CVP75" s="497"/>
      <c r="CVQ75" s="497"/>
      <c r="CVR75" s="497"/>
      <c r="CVS75" s="497"/>
      <c r="CVT75" s="497"/>
      <c r="CVU75" s="497"/>
      <c r="CVV75" s="497"/>
      <c r="CVW75" s="497"/>
      <c r="CVX75" s="497"/>
      <c r="CVY75" s="497"/>
      <c r="CVZ75" s="497"/>
      <c r="CWA75" s="497"/>
      <c r="CWB75" s="497"/>
      <c r="CWC75" s="497"/>
      <c r="CWD75" s="497"/>
      <c r="CWE75" s="497"/>
      <c r="CWF75" s="497"/>
      <c r="CWG75" s="497"/>
      <c r="CWH75" s="497"/>
      <c r="CWI75" s="497"/>
      <c r="CWJ75" s="497"/>
      <c r="CWK75" s="497"/>
      <c r="CWL75" s="497"/>
      <c r="CWM75" s="497"/>
      <c r="CWN75" s="497"/>
      <c r="CWO75" s="497"/>
      <c r="CWP75" s="497"/>
      <c r="CWQ75" s="497"/>
      <c r="CWR75" s="497"/>
      <c r="CWS75" s="497"/>
      <c r="CWT75" s="497"/>
      <c r="CWU75" s="497"/>
      <c r="CWV75" s="497"/>
      <c r="CWW75" s="497"/>
      <c r="CWX75" s="497"/>
      <c r="CWY75" s="497"/>
      <c r="CWZ75" s="497"/>
      <c r="CXA75" s="497"/>
      <c r="CXB75" s="497"/>
      <c r="CXC75" s="497"/>
      <c r="CXD75" s="497"/>
      <c r="CXE75" s="497"/>
      <c r="CXF75" s="497"/>
      <c r="CXG75" s="497"/>
      <c r="CXH75" s="497"/>
      <c r="CXI75" s="497"/>
      <c r="CXJ75" s="497"/>
      <c r="CXK75" s="497"/>
      <c r="CXL75" s="497"/>
      <c r="CXM75" s="497"/>
      <c r="CXN75" s="497"/>
      <c r="CXO75" s="497"/>
      <c r="CXP75" s="497"/>
      <c r="CXQ75" s="497"/>
      <c r="CXR75" s="497"/>
      <c r="CXS75" s="497"/>
      <c r="CXT75" s="497"/>
      <c r="CXU75" s="497"/>
      <c r="CXV75" s="497"/>
      <c r="CXW75" s="497"/>
      <c r="CXX75" s="497"/>
      <c r="CXY75" s="497"/>
      <c r="CXZ75" s="497"/>
      <c r="CYA75" s="497"/>
      <c r="CYB75" s="497"/>
      <c r="CYC75" s="497"/>
      <c r="CYD75" s="497"/>
      <c r="CYE75" s="497"/>
      <c r="CYF75" s="497"/>
      <c r="CYG75" s="497"/>
      <c r="CYH75" s="497"/>
      <c r="CYI75" s="497"/>
      <c r="CYJ75" s="497"/>
      <c r="CYK75" s="497"/>
      <c r="CYL75" s="497"/>
      <c r="CYM75" s="497"/>
      <c r="CYN75" s="497"/>
      <c r="CYO75" s="497"/>
      <c r="CYP75" s="497"/>
      <c r="CYQ75" s="497"/>
      <c r="CYR75" s="497"/>
      <c r="CYS75" s="497"/>
      <c r="CYT75" s="497"/>
      <c r="CYU75" s="497"/>
      <c r="CYV75" s="497"/>
      <c r="CYW75" s="497"/>
      <c r="CYX75" s="497"/>
      <c r="CYY75" s="497"/>
      <c r="CYZ75" s="497"/>
      <c r="CZA75" s="497"/>
      <c r="CZB75" s="497"/>
      <c r="CZC75" s="497"/>
      <c r="CZD75" s="497"/>
      <c r="CZE75" s="497"/>
      <c r="CZF75" s="497"/>
      <c r="CZG75" s="497"/>
      <c r="CZH75" s="497"/>
      <c r="CZI75" s="497"/>
      <c r="CZJ75" s="497"/>
      <c r="CZK75" s="497"/>
      <c r="CZL75" s="497"/>
      <c r="CZM75" s="497"/>
      <c r="CZN75" s="497"/>
      <c r="CZO75" s="497"/>
      <c r="CZP75" s="497"/>
      <c r="CZQ75" s="497"/>
      <c r="CZR75" s="497"/>
      <c r="CZS75" s="497"/>
      <c r="CZT75" s="497"/>
      <c r="CZU75" s="497"/>
      <c r="CZV75" s="497"/>
      <c r="CZW75" s="497"/>
      <c r="CZX75" s="497"/>
      <c r="CZY75" s="497"/>
      <c r="CZZ75" s="497"/>
      <c r="DAA75" s="497"/>
      <c r="DAB75" s="497"/>
      <c r="DAC75" s="497"/>
      <c r="DAD75" s="497"/>
      <c r="DAE75" s="497"/>
      <c r="DAF75" s="497"/>
      <c r="DAG75" s="497"/>
      <c r="DAH75" s="497"/>
      <c r="DAI75" s="497"/>
      <c r="DAJ75" s="497"/>
      <c r="DAK75" s="497"/>
      <c r="DAL75" s="497"/>
      <c r="DAM75" s="497"/>
      <c r="DAN75" s="497"/>
      <c r="DAO75" s="497"/>
      <c r="DAP75" s="497"/>
      <c r="DAQ75" s="497"/>
      <c r="DAR75" s="497"/>
      <c r="DAS75" s="497"/>
      <c r="DAT75" s="497"/>
      <c r="DAU75" s="497"/>
      <c r="DAV75" s="497"/>
      <c r="DAW75" s="497"/>
      <c r="DAX75" s="497"/>
      <c r="DAY75" s="497"/>
      <c r="DAZ75" s="497"/>
      <c r="DBA75" s="497"/>
      <c r="DBB75" s="497"/>
      <c r="DBC75" s="497"/>
      <c r="DBD75" s="497"/>
      <c r="DBE75" s="497"/>
      <c r="DBF75" s="497"/>
      <c r="DBG75" s="497"/>
      <c r="DBH75" s="497"/>
      <c r="DBI75" s="497"/>
      <c r="DBJ75" s="497"/>
      <c r="DBK75" s="497"/>
      <c r="DBL75" s="497"/>
      <c r="DBM75" s="497"/>
      <c r="DBN75" s="497"/>
      <c r="DBO75" s="497"/>
      <c r="DBP75" s="497"/>
      <c r="DBQ75" s="497"/>
      <c r="DBR75" s="497"/>
      <c r="DBS75" s="497"/>
      <c r="DBT75" s="497"/>
      <c r="DBU75" s="497"/>
      <c r="DBV75" s="497"/>
      <c r="DBW75" s="497"/>
      <c r="DBX75" s="497"/>
      <c r="DBY75" s="497"/>
      <c r="DBZ75" s="497"/>
      <c r="DCA75" s="497"/>
      <c r="DCB75" s="497"/>
      <c r="DCC75" s="497"/>
      <c r="DCD75" s="497"/>
      <c r="DCE75" s="497"/>
      <c r="DCF75" s="497"/>
      <c r="DCG75" s="497"/>
      <c r="DCH75" s="497"/>
      <c r="DCI75" s="497"/>
      <c r="DCJ75" s="497"/>
      <c r="DCK75" s="497"/>
      <c r="DCL75" s="497"/>
      <c r="DCM75" s="497"/>
      <c r="DCN75" s="497"/>
      <c r="DCO75" s="497"/>
      <c r="DCP75" s="497"/>
      <c r="DCQ75" s="497"/>
      <c r="DCR75" s="497"/>
      <c r="DCS75" s="497"/>
      <c r="DCT75" s="497"/>
      <c r="DCU75" s="497"/>
      <c r="DCV75" s="497"/>
      <c r="DCW75" s="497"/>
      <c r="DCX75" s="497"/>
      <c r="DCY75" s="497"/>
      <c r="DCZ75" s="497"/>
      <c r="DDA75" s="497"/>
      <c r="DDB75" s="497"/>
      <c r="DDC75" s="497"/>
      <c r="DDD75" s="497"/>
      <c r="DDE75" s="497"/>
      <c r="DDF75" s="497"/>
      <c r="DDG75" s="497"/>
      <c r="DDH75" s="497"/>
      <c r="DDI75" s="497"/>
      <c r="DDJ75" s="497"/>
      <c r="DDK75" s="497"/>
      <c r="DDL75" s="497"/>
      <c r="DDM75" s="497"/>
      <c r="DDN75" s="497"/>
      <c r="DDO75" s="497"/>
      <c r="DDP75" s="497"/>
      <c r="DDQ75" s="497"/>
      <c r="DDR75" s="497"/>
      <c r="DDS75" s="497"/>
      <c r="DDT75" s="497"/>
      <c r="DDU75" s="497"/>
      <c r="DDV75" s="497"/>
      <c r="DDW75" s="497"/>
      <c r="DDX75" s="497"/>
      <c r="DDY75" s="497"/>
      <c r="DDZ75" s="497"/>
      <c r="DEA75" s="497"/>
      <c r="DEB75" s="497"/>
      <c r="DEC75" s="497"/>
      <c r="DED75" s="497"/>
      <c r="DEE75" s="497"/>
      <c r="DEF75" s="497"/>
      <c r="DEG75" s="497"/>
      <c r="DEH75" s="497"/>
      <c r="DEI75" s="497"/>
      <c r="DEJ75" s="497"/>
      <c r="DEK75" s="497"/>
      <c r="DEL75" s="497"/>
      <c r="DEM75" s="497"/>
      <c r="DEN75" s="497"/>
      <c r="DEO75" s="497"/>
      <c r="DEP75" s="497"/>
      <c r="DEQ75" s="497"/>
      <c r="DER75" s="497"/>
      <c r="DES75" s="497"/>
      <c r="DET75" s="497"/>
      <c r="DEU75" s="497"/>
      <c r="DEV75" s="497"/>
      <c r="DEW75" s="497"/>
      <c r="DEX75" s="497"/>
      <c r="DEY75" s="497"/>
      <c r="DEZ75" s="497"/>
      <c r="DFA75" s="497"/>
      <c r="DFB75" s="497"/>
      <c r="DFC75" s="497"/>
      <c r="DFD75" s="497"/>
      <c r="DFE75" s="497"/>
      <c r="DFF75" s="497"/>
      <c r="DFG75" s="497"/>
      <c r="DFH75" s="497"/>
      <c r="DFI75" s="497"/>
      <c r="DFJ75" s="497"/>
      <c r="DFK75" s="497"/>
      <c r="DFL75" s="497"/>
      <c r="DFM75" s="497"/>
      <c r="DFN75" s="497"/>
      <c r="DFO75" s="497"/>
      <c r="DFP75" s="497"/>
      <c r="DFQ75" s="497"/>
      <c r="DFR75" s="497"/>
      <c r="DFS75" s="497"/>
      <c r="DFT75" s="497"/>
      <c r="DFU75" s="497"/>
      <c r="DFV75" s="497"/>
      <c r="DFW75" s="497"/>
      <c r="DFX75" s="497"/>
      <c r="DFY75" s="497"/>
      <c r="DFZ75" s="497"/>
      <c r="DGA75" s="497"/>
      <c r="DGB75" s="497"/>
      <c r="DGC75" s="497"/>
      <c r="DGD75" s="497"/>
      <c r="DGE75" s="497"/>
      <c r="DGF75" s="497"/>
      <c r="DGG75" s="497"/>
      <c r="DGH75" s="497"/>
      <c r="DGI75" s="497"/>
      <c r="DGJ75" s="497"/>
      <c r="DGK75" s="497"/>
      <c r="DGL75" s="497"/>
      <c r="DGM75" s="497"/>
      <c r="DGN75" s="497"/>
      <c r="DGO75" s="497"/>
      <c r="DGP75" s="497"/>
      <c r="DGQ75" s="497"/>
      <c r="DGR75" s="497"/>
      <c r="DGS75" s="497"/>
      <c r="DGT75" s="497"/>
      <c r="DGU75" s="497"/>
      <c r="DGV75" s="497"/>
      <c r="DGW75" s="497"/>
      <c r="DGX75" s="497"/>
      <c r="DGY75" s="497"/>
      <c r="DGZ75" s="497"/>
      <c r="DHA75" s="497"/>
      <c r="DHB75" s="497"/>
      <c r="DHC75" s="497"/>
      <c r="DHD75" s="497"/>
      <c r="DHE75" s="497"/>
      <c r="DHF75" s="497"/>
      <c r="DHG75" s="497"/>
      <c r="DHH75" s="497"/>
      <c r="DHI75" s="497"/>
      <c r="DHJ75" s="497"/>
      <c r="DHK75" s="497"/>
      <c r="DHL75" s="497"/>
      <c r="DHM75" s="497"/>
      <c r="DHN75" s="497"/>
      <c r="DHO75" s="497"/>
      <c r="DHP75" s="497"/>
      <c r="DHQ75" s="497"/>
      <c r="DHR75" s="497"/>
      <c r="DHS75" s="497"/>
      <c r="DHT75" s="497"/>
      <c r="DHU75" s="497"/>
      <c r="DHV75" s="497"/>
      <c r="DHW75" s="497"/>
      <c r="DHX75" s="497"/>
      <c r="DHY75" s="497"/>
      <c r="DHZ75" s="497"/>
      <c r="DIA75" s="497"/>
      <c r="DIB75" s="497"/>
      <c r="DIC75" s="497"/>
      <c r="DID75" s="497"/>
      <c r="DIE75" s="497"/>
      <c r="DIF75" s="497"/>
      <c r="DIG75" s="497"/>
      <c r="DIH75" s="497"/>
      <c r="DII75" s="497"/>
      <c r="DIJ75" s="497"/>
      <c r="DIK75" s="497"/>
      <c r="DIL75" s="497"/>
      <c r="DIM75" s="497"/>
      <c r="DIN75" s="497"/>
      <c r="DIO75" s="497"/>
      <c r="DIP75" s="497"/>
      <c r="DIQ75" s="497"/>
      <c r="DIR75" s="497"/>
      <c r="DIS75" s="497"/>
      <c r="DIT75" s="497"/>
      <c r="DIU75" s="497"/>
      <c r="DIV75" s="497"/>
      <c r="DIW75" s="497"/>
      <c r="DIX75" s="497"/>
      <c r="DIY75" s="497"/>
      <c r="DIZ75" s="497"/>
      <c r="DJA75" s="497"/>
      <c r="DJB75" s="497"/>
      <c r="DJC75" s="497"/>
      <c r="DJD75" s="497"/>
      <c r="DJE75" s="497"/>
      <c r="DJF75" s="497"/>
      <c r="DJG75" s="497"/>
      <c r="DJH75" s="497"/>
      <c r="DJI75" s="497"/>
      <c r="DJJ75" s="497"/>
      <c r="DJK75" s="497"/>
      <c r="DJL75" s="497"/>
      <c r="DJM75" s="497"/>
      <c r="DJN75" s="497"/>
      <c r="DJO75" s="497"/>
      <c r="DJP75" s="497"/>
      <c r="DJQ75" s="497"/>
      <c r="DJR75" s="497"/>
      <c r="DJS75" s="497"/>
      <c r="DJT75" s="497"/>
      <c r="DJU75" s="497"/>
      <c r="DJV75" s="497"/>
      <c r="DJW75" s="497"/>
      <c r="DJX75" s="497"/>
      <c r="DJY75" s="497"/>
      <c r="DJZ75" s="497"/>
      <c r="DKA75" s="497"/>
      <c r="DKB75" s="497"/>
      <c r="DKC75" s="497"/>
      <c r="DKD75" s="497"/>
      <c r="DKE75" s="497"/>
      <c r="DKF75" s="497"/>
      <c r="DKG75" s="497"/>
      <c r="DKH75" s="497"/>
      <c r="DKI75" s="497"/>
      <c r="DKJ75" s="497"/>
      <c r="DKK75" s="497"/>
      <c r="DKL75" s="497"/>
      <c r="DKM75" s="497"/>
      <c r="DKN75" s="497"/>
      <c r="DKO75" s="497"/>
      <c r="DKP75" s="497"/>
      <c r="DKQ75" s="497"/>
      <c r="DKR75" s="497"/>
      <c r="DKS75" s="497"/>
      <c r="DKT75" s="497"/>
      <c r="DKU75" s="497"/>
      <c r="DKV75" s="497"/>
      <c r="DKW75" s="497"/>
      <c r="DKX75" s="497"/>
      <c r="DKY75" s="497"/>
      <c r="DKZ75" s="497"/>
      <c r="DLA75" s="497"/>
      <c r="DLB75" s="497"/>
      <c r="DLC75" s="497"/>
      <c r="DLD75" s="497"/>
      <c r="DLE75" s="497"/>
      <c r="DLF75" s="497"/>
      <c r="DLG75" s="497"/>
      <c r="DLH75" s="497"/>
      <c r="DLI75" s="497"/>
      <c r="DLJ75" s="497"/>
      <c r="DLK75" s="497"/>
      <c r="DLL75" s="497"/>
      <c r="DLM75" s="497"/>
      <c r="DLN75" s="497"/>
      <c r="DLO75" s="497"/>
      <c r="DLP75" s="497"/>
      <c r="DLQ75" s="497"/>
      <c r="DLR75" s="497"/>
      <c r="DLS75" s="497"/>
      <c r="DLT75" s="497"/>
      <c r="DLU75" s="497"/>
      <c r="DLV75" s="497"/>
      <c r="DLW75" s="497"/>
      <c r="DLX75" s="497"/>
      <c r="DLY75" s="497"/>
      <c r="DLZ75" s="497"/>
      <c r="DMA75" s="497"/>
      <c r="DMB75" s="497"/>
      <c r="DMC75" s="497"/>
      <c r="DMD75" s="497"/>
      <c r="DME75" s="497"/>
      <c r="DMF75" s="497"/>
      <c r="DMG75" s="497"/>
      <c r="DMH75" s="497"/>
      <c r="DMI75" s="497"/>
      <c r="DMJ75" s="497"/>
      <c r="DMK75" s="497"/>
      <c r="DML75" s="497"/>
      <c r="DMM75" s="497"/>
      <c r="DMN75" s="497"/>
      <c r="DMO75" s="497"/>
      <c r="DMP75" s="497"/>
      <c r="DMQ75" s="497"/>
      <c r="DMR75" s="497"/>
      <c r="DMS75" s="497"/>
      <c r="DMT75" s="497"/>
      <c r="DMU75" s="497"/>
      <c r="DMV75" s="497"/>
      <c r="DMW75" s="497"/>
      <c r="DMX75" s="497"/>
      <c r="DMY75" s="497"/>
      <c r="DMZ75" s="497"/>
      <c r="DNA75" s="497"/>
      <c r="DNB75" s="497"/>
      <c r="DNC75" s="497"/>
      <c r="DND75" s="497"/>
      <c r="DNE75" s="497"/>
      <c r="DNF75" s="497"/>
      <c r="DNG75" s="497"/>
      <c r="DNH75" s="497"/>
      <c r="DNI75" s="497"/>
      <c r="DNJ75" s="497"/>
      <c r="DNK75" s="497"/>
      <c r="DNL75" s="497"/>
      <c r="DNM75" s="497"/>
      <c r="DNN75" s="497"/>
      <c r="DNO75" s="497"/>
      <c r="DNP75" s="497"/>
      <c r="DNQ75" s="497"/>
      <c r="DNR75" s="497"/>
      <c r="DNS75" s="497"/>
      <c r="DNT75" s="497"/>
      <c r="DNU75" s="497"/>
      <c r="DNV75" s="497"/>
      <c r="DNW75" s="497"/>
      <c r="DNX75" s="497"/>
      <c r="DNY75" s="497"/>
      <c r="DNZ75" s="497"/>
      <c r="DOA75" s="497"/>
      <c r="DOB75" s="497"/>
      <c r="DOC75" s="497"/>
      <c r="DOD75" s="497"/>
      <c r="DOE75" s="497"/>
      <c r="DOF75" s="497"/>
      <c r="DOG75" s="497"/>
      <c r="DOH75" s="497"/>
      <c r="DOI75" s="497"/>
      <c r="DOJ75" s="497"/>
      <c r="DOK75" s="497"/>
      <c r="DOL75" s="497"/>
      <c r="DOM75" s="497"/>
      <c r="DON75" s="497"/>
      <c r="DOO75" s="497"/>
      <c r="DOP75" s="497"/>
      <c r="DOQ75" s="497"/>
      <c r="DOR75" s="497"/>
      <c r="DOS75" s="497"/>
      <c r="DOT75" s="497"/>
      <c r="DOU75" s="497"/>
      <c r="DOV75" s="497"/>
      <c r="DOW75" s="497"/>
      <c r="DOX75" s="497"/>
      <c r="DOY75" s="497"/>
      <c r="DOZ75" s="497"/>
      <c r="DPA75" s="497"/>
      <c r="DPB75" s="497"/>
      <c r="DPC75" s="497"/>
      <c r="DPD75" s="497"/>
      <c r="DPE75" s="497"/>
      <c r="DPF75" s="497"/>
      <c r="DPG75" s="497"/>
      <c r="DPH75" s="497"/>
      <c r="DPI75" s="497"/>
      <c r="DPJ75" s="497"/>
      <c r="DPK75" s="497"/>
      <c r="DPL75" s="497"/>
      <c r="DPM75" s="497"/>
      <c r="DPN75" s="497"/>
      <c r="DPO75" s="497"/>
      <c r="DPP75" s="497"/>
      <c r="DPQ75" s="497"/>
      <c r="DPR75" s="497"/>
      <c r="DPS75" s="497"/>
      <c r="DPT75" s="497"/>
      <c r="DPU75" s="497"/>
      <c r="DPV75" s="497"/>
      <c r="DPW75" s="497"/>
      <c r="DPX75" s="497"/>
      <c r="DPY75" s="497"/>
      <c r="DPZ75" s="497"/>
      <c r="DQA75" s="497"/>
      <c r="DQB75" s="497"/>
      <c r="DQC75" s="497"/>
      <c r="DQD75" s="497"/>
      <c r="DQE75" s="497"/>
      <c r="DQF75" s="497"/>
      <c r="DQG75" s="497"/>
      <c r="DQH75" s="497"/>
      <c r="DQI75" s="497"/>
      <c r="DQJ75" s="497"/>
      <c r="DQK75" s="497"/>
      <c r="DQL75" s="497"/>
      <c r="DQM75" s="497"/>
      <c r="DQN75" s="497"/>
      <c r="DQO75" s="497"/>
      <c r="DQP75" s="497"/>
      <c r="DQQ75" s="497"/>
      <c r="DQR75" s="497"/>
      <c r="DQS75" s="497"/>
      <c r="DQT75" s="497"/>
      <c r="DQU75" s="497"/>
      <c r="DQV75" s="497"/>
      <c r="DQW75" s="497"/>
      <c r="DQX75" s="497"/>
      <c r="DQY75" s="497"/>
      <c r="DQZ75" s="497"/>
      <c r="DRA75" s="497"/>
      <c r="DRB75" s="497"/>
      <c r="DRC75" s="497"/>
      <c r="DRD75" s="497"/>
      <c r="DRE75" s="497"/>
      <c r="DRF75" s="497"/>
      <c r="DRG75" s="497"/>
      <c r="DRH75" s="497"/>
      <c r="DRI75" s="497"/>
      <c r="DRJ75" s="497"/>
      <c r="DRK75" s="497"/>
      <c r="DRL75" s="497"/>
      <c r="DRM75" s="497"/>
      <c r="DRN75" s="497"/>
      <c r="DRO75" s="497"/>
      <c r="DRP75" s="497"/>
      <c r="DRQ75" s="497"/>
      <c r="DRR75" s="497"/>
      <c r="DRS75" s="497"/>
      <c r="DRT75" s="497"/>
      <c r="DRU75" s="497"/>
      <c r="DRV75" s="497"/>
      <c r="DRW75" s="497"/>
      <c r="DRX75" s="497"/>
      <c r="DRY75" s="497"/>
      <c r="DRZ75" s="497"/>
      <c r="DSA75" s="497"/>
      <c r="DSB75" s="497"/>
      <c r="DSC75" s="497"/>
      <c r="DSD75" s="497"/>
      <c r="DSE75" s="497"/>
      <c r="DSF75" s="497"/>
      <c r="DSG75" s="497"/>
      <c r="DSH75" s="497"/>
      <c r="DSI75" s="497"/>
      <c r="DSJ75" s="497"/>
      <c r="DSK75" s="497"/>
      <c r="DSL75" s="497"/>
      <c r="DSM75" s="497"/>
      <c r="DSN75" s="497"/>
      <c r="DSO75" s="497"/>
      <c r="DSP75" s="497"/>
      <c r="DSQ75" s="497"/>
      <c r="DSR75" s="497"/>
      <c r="DSS75" s="497"/>
      <c r="DST75" s="497"/>
      <c r="DSU75" s="497"/>
      <c r="DSV75" s="497"/>
      <c r="DSW75" s="497"/>
      <c r="DSX75" s="497"/>
      <c r="DSY75" s="497"/>
      <c r="DSZ75" s="497"/>
      <c r="DTA75" s="497"/>
      <c r="DTB75" s="497"/>
      <c r="DTC75" s="497"/>
      <c r="DTD75" s="497"/>
      <c r="DTE75" s="497"/>
      <c r="DTF75" s="497"/>
      <c r="DTG75" s="497"/>
      <c r="DTH75" s="497"/>
      <c r="DTI75" s="497"/>
      <c r="DTJ75" s="497"/>
      <c r="DTK75" s="497"/>
      <c r="DTL75" s="497"/>
      <c r="DTM75" s="497"/>
      <c r="DTN75" s="497"/>
      <c r="DTO75" s="497"/>
      <c r="DTP75" s="497"/>
      <c r="DTQ75" s="497"/>
      <c r="DTR75" s="497"/>
      <c r="DTS75" s="497"/>
      <c r="DTT75" s="497"/>
      <c r="DTU75" s="497"/>
      <c r="DTV75" s="497"/>
      <c r="DTW75" s="497"/>
      <c r="DTX75" s="497"/>
      <c r="DTY75" s="497"/>
      <c r="DTZ75" s="497"/>
      <c r="DUA75" s="497"/>
      <c r="DUB75" s="497"/>
      <c r="DUC75" s="497"/>
      <c r="DUD75" s="497"/>
      <c r="DUE75" s="497"/>
      <c r="DUF75" s="497"/>
      <c r="DUG75" s="497"/>
      <c r="DUH75" s="497"/>
      <c r="DUI75" s="497"/>
      <c r="DUJ75" s="497"/>
      <c r="DUK75" s="497"/>
      <c r="DUL75" s="497"/>
      <c r="DUM75" s="497"/>
      <c r="DUN75" s="497"/>
      <c r="DUO75" s="497"/>
      <c r="DUP75" s="497"/>
      <c r="DUQ75" s="497"/>
      <c r="DUR75" s="497"/>
      <c r="DUS75" s="497"/>
      <c r="DUT75" s="497"/>
      <c r="DUU75" s="497"/>
      <c r="DUV75" s="497"/>
      <c r="DUW75" s="497"/>
      <c r="DUX75" s="497"/>
      <c r="DUY75" s="497"/>
      <c r="DUZ75" s="497"/>
      <c r="DVA75" s="497"/>
      <c r="DVB75" s="497"/>
      <c r="DVC75" s="497"/>
      <c r="DVD75" s="497"/>
      <c r="DVE75" s="497"/>
      <c r="DVF75" s="497"/>
      <c r="DVG75" s="497"/>
      <c r="DVH75" s="497"/>
      <c r="DVI75" s="497"/>
      <c r="DVJ75" s="497"/>
      <c r="DVK75" s="497"/>
      <c r="DVL75" s="497"/>
      <c r="DVM75" s="497"/>
      <c r="DVN75" s="497"/>
      <c r="DVO75" s="497"/>
      <c r="DVP75" s="497"/>
      <c r="DVQ75" s="497"/>
      <c r="DVR75" s="497"/>
      <c r="DVS75" s="497"/>
      <c r="DVT75" s="497"/>
      <c r="DVU75" s="497"/>
      <c r="DVV75" s="497"/>
      <c r="DVW75" s="497"/>
      <c r="DVX75" s="497"/>
      <c r="DVY75" s="497"/>
      <c r="DVZ75" s="497"/>
      <c r="DWA75" s="497"/>
      <c r="DWB75" s="497"/>
      <c r="DWC75" s="497"/>
      <c r="DWD75" s="497"/>
      <c r="DWE75" s="497"/>
      <c r="DWF75" s="497"/>
      <c r="DWG75" s="497"/>
      <c r="DWH75" s="497"/>
      <c r="DWI75" s="497"/>
      <c r="DWJ75" s="497"/>
      <c r="DWK75" s="497"/>
      <c r="DWL75" s="497"/>
      <c r="DWM75" s="497"/>
      <c r="DWN75" s="497"/>
      <c r="DWO75" s="497"/>
      <c r="DWP75" s="497"/>
      <c r="DWQ75" s="497"/>
      <c r="DWR75" s="497"/>
      <c r="DWS75" s="497"/>
      <c r="DWT75" s="497"/>
      <c r="DWU75" s="497"/>
      <c r="DWV75" s="497"/>
      <c r="DWW75" s="497"/>
      <c r="DWX75" s="497"/>
      <c r="DWY75" s="497"/>
      <c r="DWZ75" s="497"/>
      <c r="DXA75" s="497"/>
      <c r="DXB75" s="497"/>
      <c r="DXC75" s="497"/>
      <c r="DXD75" s="497"/>
      <c r="DXE75" s="497"/>
      <c r="DXF75" s="497"/>
      <c r="DXG75" s="497"/>
      <c r="DXH75" s="497"/>
      <c r="DXI75" s="497"/>
      <c r="DXJ75" s="497"/>
      <c r="DXK75" s="497"/>
      <c r="DXL75" s="497"/>
      <c r="DXM75" s="497"/>
      <c r="DXN75" s="497"/>
      <c r="DXO75" s="497"/>
      <c r="DXP75" s="497"/>
      <c r="DXQ75" s="497"/>
      <c r="DXR75" s="497"/>
      <c r="DXS75" s="497"/>
      <c r="DXT75" s="497"/>
      <c r="DXU75" s="497"/>
      <c r="DXV75" s="497"/>
      <c r="DXW75" s="497"/>
      <c r="DXX75" s="497"/>
      <c r="DXY75" s="497"/>
      <c r="DXZ75" s="497"/>
      <c r="DYA75" s="497"/>
      <c r="DYB75" s="497"/>
      <c r="DYC75" s="497"/>
      <c r="DYD75" s="497"/>
      <c r="DYE75" s="497"/>
      <c r="DYF75" s="497"/>
      <c r="DYG75" s="497"/>
      <c r="DYH75" s="497"/>
      <c r="DYI75" s="497"/>
      <c r="DYJ75" s="497"/>
      <c r="DYK75" s="497"/>
      <c r="DYL75" s="497"/>
      <c r="DYM75" s="497"/>
      <c r="DYN75" s="497"/>
      <c r="DYO75" s="497"/>
      <c r="DYP75" s="497"/>
      <c r="DYQ75" s="497"/>
      <c r="DYR75" s="497"/>
      <c r="DYS75" s="497"/>
      <c r="DYT75" s="497"/>
      <c r="DYU75" s="497"/>
      <c r="DYV75" s="497"/>
      <c r="DYW75" s="497"/>
      <c r="DYX75" s="497"/>
      <c r="DYY75" s="497"/>
      <c r="DYZ75" s="497"/>
      <c r="DZA75" s="497"/>
      <c r="DZB75" s="497"/>
      <c r="DZC75" s="497"/>
      <c r="DZD75" s="497"/>
      <c r="DZE75" s="497"/>
      <c r="DZF75" s="497"/>
      <c r="DZG75" s="497"/>
      <c r="DZH75" s="497"/>
      <c r="DZI75" s="497"/>
      <c r="DZJ75" s="497"/>
      <c r="DZK75" s="497"/>
      <c r="DZL75" s="497"/>
      <c r="DZM75" s="497"/>
      <c r="DZN75" s="497"/>
      <c r="DZO75" s="497"/>
      <c r="DZP75" s="497"/>
      <c r="DZQ75" s="497"/>
      <c r="DZR75" s="497"/>
      <c r="DZS75" s="497"/>
      <c r="DZT75" s="497"/>
      <c r="DZU75" s="497"/>
      <c r="DZV75" s="497"/>
      <c r="DZW75" s="497"/>
      <c r="DZX75" s="497"/>
      <c r="DZY75" s="497"/>
      <c r="DZZ75" s="497"/>
      <c r="EAA75" s="497"/>
      <c r="EAB75" s="497"/>
      <c r="EAC75" s="497"/>
      <c r="EAD75" s="497"/>
      <c r="EAE75" s="497"/>
      <c r="EAF75" s="497"/>
      <c r="EAG75" s="497"/>
      <c r="EAH75" s="497"/>
      <c r="EAI75" s="497"/>
      <c r="EAJ75" s="497"/>
      <c r="EAK75" s="497"/>
      <c r="EAL75" s="497"/>
      <c r="EAM75" s="497"/>
      <c r="EAN75" s="497"/>
      <c r="EAO75" s="497"/>
      <c r="EAP75" s="497"/>
      <c r="EAQ75" s="497"/>
      <c r="EAR75" s="497"/>
      <c r="EAS75" s="497"/>
      <c r="EAT75" s="497"/>
      <c r="EAU75" s="497"/>
      <c r="EAV75" s="497"/>
      <c r="EAW75" s="497"/>
      <c r="EAX75" s="497"/>
      <c r="EAY75" s="497"/>
      <c r="EAZ75" s="497"/>
      <c r="EBA75" s="497"/>
      <c r="EBB75" s="497"/>
      <c r="EBC75" s="497"/>
      <c r="EBD75" s="497"/>
      <c r="EBE75" s="497"/>
      <c r="EBF75" s="497"/>
      <c r="EBG75" s="497"/>
      <c r="EBH75" s="497"/>
      <c r="EBI75" s="497"/>
      <c r="EBJ75" s="497"/>
      <c r="EBK75" s="497"/>
      <c r="EBL75" s="497"/>
      <c r="EBM75" s="497"/>
      <c r="EBN75" s="497"/>
      <c r="EBO75" s="497"/>
      <c r="EBP75" s="497"/>
      <c r="EBQ75" s="497"/>
      <c r="EBR75" s="497"/>
      <c r="EBS75" s="497"/>
      <c r="EBT75" s="497"/>
      <c r="EBU75" s="497"/>
      <c r="EBV75" s="497"/>
      <c r="EBW75" s="497"/>
      <c r="EBX75" s="497"/>
      <c r="EBY75" s="497"/>
      <c r="EBZ75" s="497"/>
      <c r="ECA75" s="497"/>
      <c r="ECB75" s="497"/>
      <c r="ECC75" s="497"/>
      <c r="ECD75" s="497"/>
      <c r="ECE75" s="497"/>
      <c r="ECF75" s="497"/>
      <c r="ECG75" s="497"/>
      <c r="ECH75" s="497"/>
      <c r="ECI75" s="497"/>
      <c r="ECJ75" s="497"/>
      <c r="ECK75" s="497"/>
      <c r="ECL75" s="497"/>
      <c r="ECM75" s="497"/>
      <c r="ECN75" s="497"/>
      <c r="ECO75" s="497"/>
      <c r="ECP75" s="497"/>
      <c r="ECQ75" s="497"/>
      <c r="ECR75" s="497"/>
      <c r="ECS75" s="497"/>
      <c r="ECT75" s="497"/>
      <c r="ECU75" s="497"/>
      <c r="ECV75" s="497"/>
      <c r="ECW75" s="497"/>
      <c r="ECX75" s="497"/>
      <c r="ECY75" s="497"/>
      <c r="ECZ75" s="497"/>
      <c r="EDA75" s="497"/>
      <c r="EDB75" s="497"/>
      <c r="EDC75" s="497"/>
      <c r="EDD75" s="497"/>
      <c r="EDE75" s="497"/>
      <c r="EDF75" s="497"/>
      <c r="EDG75" s="497"/>
      <c r="EDH75" s="497"/>
      <c r="EDI75" s="497"/>
      <c r="EDJ75" s="497"/>
      <c r="EDK75" s="497"/>
      <c r="EDL75" s="497"/>
      <c r="EDM75" s="497"/>
      <c r="EDN75" s="497"/>
      <c r="EDO75" s="497"/>
      <c r="EDP75" s="497"/>
      <c r="EDQ75" s="497"/>
      <c r="EDR75" s="497"/>
      <c r="EDS75" s="497"/>
      <c r="EDT75" s="497"/>
      <c r="EDU75" s="497"/>
      <c r="EDV75" s="497"/>
      <c r="EDW75" s="497"/>
      <c r="EDX75" s="497"/>
      <c r="EDY75" s="497"/>
      <c r="EDZ75" s="497"/>
      <c r="EEA75" s="497"/>
      <c r="EEB75" s="497"/>
      <c r="EEC75" s="497"/>
      <c r="EED75" s="497"/>
      <c r="EEE75" s="497"/>
      <c r="EEF75" s="497"/>
      <c r="EEG75" s="497"/>
      <c r="EEH75" s="497"/>
      <c r="EEI75" s="497"/>
      <c r="EEJ75" s="497"/>
      <c r="EEK75" s="497"/>
      <c r="EEL75" s="497"/>
      <c r="EEM75" s="497"/>
      <c r="EEN75" s="497"/>
      <c r="EEO75" s="497"/>
      <c r="EEP75" s="497"/>
      <c r="EEQ75" s="497"/>
      <c r="EER75" s="497"/>
      <c r="EES75" s="497"/>
      <c r="EET75" s="497"/>
      <c r="EEU75" s="497"/>
      <c r="EEV75" s="497"/>
      <c r="EEW75" s="497"/>
      <c r="EEX75" s="497"/>
      <c r="EEY75" s="497"/>
      <c r="EEZ75" s="497"/>
      <c r="EFA75" s="497"/>
      <c r="EFB75" s="497"/>
      <c r="EFC75" s="497"/>
      <c r="EFD75" s="497"/>
      <c r="EFE75" s="497"/>
      <c r="EFF75" s="497"/>
      <c r="EFG75" s="497"/>
      <c r="EFH75" s="497"/>
      <c r="EFI75" s="497"/>
      <c r="EFJ75" s="497"/>
      <c r="EFK75" s="497"/>
      <c r="EFL75" s="497"/>
      <c r="EFM75" s="497"/>
      <c r="EFN75" s="497"/>
      <c r="EFO75" s="497"/>
      <c r="EFP75" s="497"/>
      <c r="EFQ75" s="497"/>
      <c r="EFR75" s="497"/>
      <c r="EFS75" s="497"/>
      <c r="EFT75" s="497"/>
      <c r="EFU75" s="497"/>
      <c r="EFV75" s="497"/>
      <c r="EFW75" s="497"/>
      <c r="EFX75" s="497"/>
      <c r="EFY75" s="497"/>
      <c r="EFZ75" s="497"/>
      <c r="EGA75" s="497"/>
      <c r="EGB75" s="497"/>
      <c r="EGC75" s="497"/>
      <c r="EGD75" s="497"/>
      <c r="EGE75" s="497"/>
      <c r="EGF75" s="497"/>
      <c r="EGG75" s="497"/>
      <c r="EGH75" s="497"/>
      <c r="EGI75" s="497"/>
      <c r="EGJ75" s="497"/>
      <c r="EGK75" s="497"/>
      <c r="EGL75" s="497"/>
      <c r="EGM75" s="497"/>
      <c r="EGN75" s="497"/>
      <c r="EGO75" s="497"/>
      <c r="EGP75" s="497"/>
      <c r="EGQ75" s="497"/>
      <c r="EGR75" s="497"/>
      <c r="EGS75" s="497"/>
      <c r="EGT75" s="497"/>
      <c r="EGU75" s="497"/>
      <c r="EGV75" s="497"/>
      <c r="EGW75" s="497"/>
      <c r="EGX75" s="497"/>
      <c r="EGY75" s="497"/>
      <c r="EGZ75" s="497"/>
      <c r="EHA75" s="497"/>
      <c r="EHB75" s="497"/>
      <c r="EHC75" s="497"/>
      <c r="EHD75" s="497"/>
      <c r="EHE75" s="497"/>
      <c r="EHF75" s="497"/>
      <c r="EHG75" s="497"/>
      <c r="EHH75" s="497"/>
      <c r="EHI75" s="497"/>
      <c r="EHJ75" s="497"/>
      <c r="EHK75" s="497"/>
      <c r="EHL75" s="497"/>
      <c r="EHM75" s="497"/>
      <c r="EHN75" s="497"/>
      <c r="EHO75" s="497"/>
      <c r="EHP75" s="497"/>
      <c r="EHQ75" s="497"/>
      <c r="EHR75" s="497"/>
      <c r="EHS75" s="497"/>
      <c r="EHT75" s="497"/>
      <c r="EHU75" s="497"/>
      <c r="EHV75" s="497"/>
      <c r="EHW75" s="497"/>
      <c r="EHX75" s="497"/>
      <c r="EHY75" s="497"/>
      <c r="EHZ75" s="497"/>
      <c r="EIA75" s="497"/>
      <c r="EIB75" s="497"/>
      <c r="EIC75" s="497"/>
      <c r="EID75" s="497"/>
      <c r="EIE75" s="497"/>
      <c r="EIF75" s="497"/>
      <c r="EIG75" s="497"/>
      <c r="EIH75" s="497"/>
      <c r="EII75" s="497"/>
      <c r="EIJ75" s="497"/>
      <c r="EIK75" s="497"/>
      <c r="EIL75" s="497"/>
      <c r="EIM75" s="497"/>
      <c r="EIN75" s="497"/>
      <c r="EIO75" s="497"/>
      <c r="EIP75" s="497"/>
      <c r="EIQ75" s="497"/>
      <c r="EIR75" s="497"/>
      <c r="EIS75" s="497"/>
      <c r="EIT75" s="497"/>
      <c r="EIU75" s="497"/>
      <c r="EIV75" s="497"/>
      <c r="EIW75" s="497"/>
      <c r="EIX75" s="497"/>
      <c r="EIY75" s="497"/>
      <c r="EIZ75" s="497"/>
      <c r="EJA75" s="497"/>
      <c r="EJB75" s="497"/>
      <c r="EJC75" s="497"/>
      <c r="EJD75" s="497"/>
      <c r="EJE75" s="497"/>
      <c r="EJF75" s="497"/>
      <c r="EJG75" s="497"/>
      <c r="EJH75" s="497"/>
      <c r="EJI75" s="497"/>
      <c r="EJJ75" s="497"/>
      <c r="EJK75" s="497"/>
      <c r="EJL75" s="497"/>
      <c r="EJM75" s="497"/>
      <c r="EJN75" s="497"/>
      <c r="EJO75" s="497"/>
      <c r="EJP75" s="497"/>
      <c r="EJQ75" s="497"/>
      <c r="EJR75" s="497"/>
      <c r="EJS75" s="497"/>
      <c r="EJT75" s="497"/>
      <c r="EJU75" s="497"/>
      <c r="EJV75" s="497"/>
      <c r="EJW75" s="497"/>
      <c r="EJX75" s="497"/>
      <c r="EJY75" s="497"/>
      <c r="EJZ75" s="497"/>
      <c r="EKA75" s="497"/>
      <c r="EKB75" s="497"/>
      <c r="EKC75" s="497"/>
      <c r="EKD75" s="497"/>
      <c r="EKE75" s="497"/>
      <c r="EKF75" s="497"/>
      <c r="EKG75" s="497"/>
      <c r="EKH75" s="497"/>
      <c r="EKI75" s="497"/>
      <c r="EKJ75" s="497"/>
      <c r="EKK75" s="497"/>
      <c r="EKL75" s="497"/>
      <c r="EKM75" s="497"/>
      <c r="EKN75" s="497"/>
      <c r="EKO75" s="497"/>
      <c r="EKP75" s="497"/>
      <c r="EKQ75" s="497"/>
      <c r="EKR75" s="497"/>
      <c r="EKS75" s="497"/>
      <c r="EKT75" s="497"/>
      <c r="EKU75" s="497"/>
      <c r="EKV75" s="497"/>
      <c r="EKW75" s="497"/>
      <c r="EKX75" s="497"/>
      <c r="EKY75" s="497"/>
      <c r="EKZ75" s="497"/>
      <c r="ELA75" s="497"/>
      <c r="ELB75" s="497"/>
      <c r="ELC75" s="497"/>
      <c r="ELD75" s="497"/>
      <c r="ELE75" s="497"/>
      <c r="ELF75" s="497"/>
      <c r="ELG75" s="497"/>
      <c r="ELH75" s="497"/>
      <c r="ELI75" s="497"/>
      <c r="ELJ75" s="497"/>
      <c r="ELK75" s="497"/>
      <c r="ELL75" s="497"/>
      <c r="ELM75" s="497"/>
      <c r="ELN75" s="497"/>
      <c r="ELO75" s="497"/>
      <c r="ELP75" s="497"/>
      <c r="ELQ75" s="497"/>
      <c r="ELR75" s="497"/>
      <c r="ELS75" s="497"/>
      <c r="ELT75" s="497"/>
      <c r="ELU75" s="497"/>
      <c r="ELV75" s="497"/>
      <c r="ELW75" s="497"/>
      <c r="ELX75" s="497"/>
      <c r="ELY75" s="497"/>
      <c r="ELZ75" s="497"/>
      <c r="EMA75" s="497"/>
      <c r="EMB75" s="497"/>
      <c r="EMC75" s="497"/>
      <c r="EMD75" s="497"/>
      <c r="EME75" s="497"/>
      <c r="EMF75" s="497"/>
      <c r="EMG75" s="497"/>
      <c r="EMH75" s="497"/>
      <c r="EMI75" s="497"/>
      <c r="EMJ75" s="497"/>
      <c r="EMK75" s="497"/>
      <c r="EML75" s="497"/>
      <c r="EMM75" s="497"/>
      <c r="EMN75" s="497"/>
      <c r="EMO75" s="497"/>
      <c r="EMP75" s="497"/>
      <c r="EMQ75" s="497"/>
      <c r="EMR75" s="497"/>
      <c r="EMS75" s="497"/>
      <c r="EMT75" s="497"/>
      <c r="EMU75" s="497"/>
      <c r="EMV75" s="497"/>
      <c r="EMW75" s="497"/>
      <c r="EMX75" s="497"/>
      <c r="EMY75" s="497"/>
      <c r="EMZ75" s="497"/>
      <c r="ENA75" s="497"/>
      <c r="ENB75" s="497"/>
      <c r="ENC75" s="497"/>
      <c r="END75" s="497"/>
      <c r="ENE75" s="497"/>
      <c r="ENF75" s="497"/>
      <c r="ENG75" s="497"/>
      <c r="ENH75" s="497"/>
      <c r="ENI75" s="497"/>
      <c r="ENJ75" s="497"/>
      <c r="ENK75" s="497"/>
      <c r="ENL75" s="497"/>
      <c r="ENM75" s="497"/>
      <c r="ENN75" s="497"/>
      <c r="ENO75" s="497"/>
      <c r="ENP75" s="497"/>
      <c r="ENQ75" s="497"/>
      <c r="ENR75" s="497"/>
      <c r="ENS75" s="497"/>
      <c r="ENT75" s="497"/>
      <c r="ENU75" s="497"/>
      <c r="ENV75" s="497"/>
      <c r="ENW75" s="497"/>
      <c r="ENX75" s="497"/>
      <c r="ENY75" s="497"/>
      <c r="ENZ75" s="497"/>
      <c r="EOA75" s="497"/>
      <c r="EOB75" s="497"/>
      <c r="EOC75" s="497"/>
      <c r="EOD75" s="497"/>
      <c r="EOE75" s="497"/>
      <c r="EOF75" s="497"/>
      <c r="EOG75" s="497"/>
      <c r="EOH75" s="497"/>
      <c r="EOI75" s="497"/>
      <c r="EOJ75" s="497"/>
      <c r="EOK75" s="497"/>
      <c r="EOL75" s="497"/>
      <c r="EOM75" s="497"/>
      <c r="EON75" s="497"/>
      <c r="EOO75" s="497"/>
      <c r="EOP75" s="497"/>
      <c r="EOQ75" s="497"/>
      <c r="EOR75" s="497"/>
      <c r="EOS75" s="497"/>
      <c r="EOT75" s="497"/>
      <c r="EOU75" s="497"/>
      <c r="EOV75" s="497"/>
      <c r="EOW75" s="497"/>
      <c r="EOX75" s="497"/>
      <c r="EOY75" s="497"/>
      <c r="EOZ75" s="497"/>
      <c r="EPA75" s="497"/>
      <c r="EPB75" s="497"/>
      <c r="EPC75" s="497"/>
      <c r="EPD75" s="497"/>
      <c r="EPE75" s="497"/>
      <c r="EPF75" s="497"/>
      <c r="EPG75" s="497"/>
      <c r="EPH75" s="497"/>
      <c r="EPI75" s="497"/>
      <c r="EPJ75" s="497"/>
      <c r="EPK75" s="497"/>
      <c r="EPL75" s="497"/>
      <c r="EPM75" s="497"/>
      <c r="EPN75" s="497"/>
      <c r="EPO75" s="497"/>
      <c r="EPP75" s="497"/>
      <c r="EPQ75" s="497"/>
      <c r="EPR75" s="497"/>
      <c r="EPS75" s="497"/>
      <c r="EPT75" s="497"/>
      <c r="EPU75" s="497"/>
      <c r="EPV75" s="497"/>
      <c r="EPW75" s="497"/>
      <c r="EPX75" s="497"/>
      <c r="EPY75" s="497"/>
      <c r="EPZ75" s="497"/>
      <c r="EQA75" s="497"/>
      <c r="EQB75" s="497"/>
      <c r="EQC75" s="497"/>
      <c r="EQD75" s="497"/>
      <c r="EQE75" s="497"/>
      <c r="EQF75" s="497"/>
      <c r="EQG75" s="497"/>
      <c r="EQH75" s="497"/>
      <c r="EQI75" s="497"/>
      <c r="EQJ75" s="497"/>
      <c r="EQK75" s="497"/>
      <c r="EQL75" s="497"/>
      <c r="EQM75" s="497"/>
      <c r="EQN75" s="497"/>
      <c r="EQO75" s="497"/>
      <c r="EQP75" s="497"/>
      <c r="EQQ75" s="497"/>
      <c r="EQR75" s="497"/>
      <c r="EQS75" s="497"/>
      <c r="EQT75" s="497"/>
      <c r="EQU75" s="497"/>
      <c r="EQV75" s="497"/>
      <c r="EQW75" s="497"/>
      <c r="EQX75" s="497"/>
      <c r="EQY75" s="497"/>
      <c r="EQZ75" s="497"/>
      <c r="ERA75" s="497"/>
      <c r="ERB75" s="497"/>
      <c r="ERC75" s="497"/>
      <c r="ERD75" s="497"/>
      <c r="ERE75" s="497"/>
      <c r="ERF75" s="497"/>
      <c r="ERG75" s="497"/>
      <c r="ERH75" s="497"/>
      <c r="ERI75" s="497"/>
      <c r="ERJ75" s="497"/>
      <c r="ERK75" s="497"/>
      <c r="ERL75" s="497"/>
      <c r="ERM75" s="497"/>
      <c r="ERN75" s="497"/>
      <c r="ERO75" s="497"/>
      <c r="ERP75" s="497"/>
      <c r="ERQ75" s="497"/>
      <c r="ERR75" s="497"/>
      <c r="ERS75" s="497"/>
      <c r="ERT75" s="497"/>
      <c r="ERU75" s="497"/>
      <c r="ERV75" s="497"/>
      <c r="ERW75" s="497"/>
      <c r="ERX75" s="497"/>
      <c r="ERY75" s="497"/>
      <c r="ERZ75" s="497"/>
      <c r="ESA75" s="497"/>
      <c r="ESB75" s="497"/>
      <c r="ESC75" s="497"/>
      <c r="ESD75" s="497"/>
      <c r="ESE75" s="497"/>
      <c r="ESF75" s="497"/>
      <c r="ESG75" s="497"/>
      <c r="ESH75" s="497"/>
      <c r="ESI75" s="497"/>
      <c r="ESJ75" s="497"/>
      <c r="ESK75" s="497"/>
      <c r="ESL75" s="497"/>
      <c r="ESM75" s="497"/>
      <c r="ESN75" s="497"/>
      <c r="ESO75" s="497"/>
      <c r="ESP75" s="497"/>
      <c r="ESQ75" s="497"/>
      <c r="ESR75" s="497"/>
      <c r="ESS75" s="497"/>
      <c r="EST75" s="497"/>
      <c r="ESU75" s="497"/>
      <c r="ESV75" s="497"/>
      <c r="ESW75" s="497"/>
      <c r="ESX75" s="497"/>
      <c r="ESY75" s="497"/>
      <c r="ESZ75" s="497"/>
      <c r="ETA75" s="497"/>
      <c r="ETB75" s="497"/>
      <c r="ETC75" s="497"/>
      <c r="ETD75" s="497"/>
      <c r="ETE75" s="497"/>
      <c r="ETF75" s="497"/>
      <c r="ETG75" s="497"/>
      <c r="ETH75" s="497"/>
      <c r="ETI75" s="497"/>
      <c r="ETJ75" s="497"/>
      <c r="ETK75" s="497"/>
      <c r="ETL75" s="497"/>
      <c r="ETM75" s="497"/>
      <c r="ETN75" s="497"/>
      <c r="ETO75" s="497"/>
      <c r="ETP75" s="497"/>
      <c r="ETQ75" s="497"/>
      <c r="ETR75" s="497"/>
      <c r="ETS75" s="497"/>
      <c r="ETT75" s="497"/>
      <c r="ETU75" s="497"/>
      <c r="ETV75" s="497"/>
      <c r="ETW75" s="497"/>
      <c r="ETX75" s="497"/>
      <c r="ETY75" s="497"/>
      <c r="ETZ75" s="497"/>
      <c r="EUA75" s="497"/>
      <c r="EUB75" s="497"/>
      <c r="EUC75" s="497"/>
      <c r="EUD75" s="497"/>
      <c r="EUE75" s="497"/>
      <c r="EUF75" s="497"/>
      <c r="EUG75" s="497"/>
      <c r="EUH75" s="497"/>
      <c r="EUI75" s="497"/>
      <c r="EUJ75" s="497"/>
      <c r="EUK75" s="497"/>
      <c r="EUL75" s="497"/>
      <c r="EUM75" s="497"/>
      <c r="EUN75" s="497"/>
      <c r="EUO75" s="497"/>
      <c r="EUP75" s="497"/>
      <c r="EUQ75" s="497"/>
      <c r="EUR75" s="497"/>
      <c r="EUS75" s="497"/>
      <c r="EUT75" s="497"/>
      <c r="EUU75" s="497"/>
      <c r="EUV75" s="497"/>
      <c r="EUW75" s="497"/>
      <c r="EUX75" s="497"/>
      <c r="EUY75" s="497"/>
      <c r="EUZ75" s="497"/>
      <c r="EVA75" s="497"/>
      <c r="EVB75" s="497"/>
      <c r="EVC75" s="497"/>
      <c r="EVD75" s="497"/>
      <c r="EVE75" s="497"/>
      <c r="EVF75" s="497"/>
      <c r="EVG75" s="497"/>
      <c r="EVH75" s="497"/>
      <c r="EVI75" s="497"/>
      <c r="EVJ75" s="497"/>
      <c r="EVK75" s="497"/>
      <c r="EVL75" s="497"/>
      <c r="EVM75" s="497"/>
      <c r="EVN75" s="497"/>
      <c r="EVO75" s="497"/>
      <c r="EVP75" s="497"/>
      <c r="EVQ75" s="497"/>
      <c r="EVR75" s="497"/>
      <c r="EVS75" s="497"/>
      <c r="EVT75" s="497"/>
      <c r="EVU75" s="497"/>
      <c r="EVV75" s="497"/>
      <c r="EVW75" s="497"/>
      <c r="EVX75" s="497"/>
      <c r="EVY75" s="497"/>
      <c r="EVZ75" s="497"/>
      <c r="EWA75" s="497"/>
      <c r="EWB75" s="497"/>
      <c r="EWC75" s="497"/>
      <c r="EWD75" s="497"/>
      <c r="EWE75" s="497"/>
      <c r="EWF75" s="497"/>
      <c r="EWG75" s="497"/>
      <c r="EWH75" s="497"/>
      <c r="EWI75" s="497"/>
      <c r="EWJ75" s="497"/>
      <c r="EWK75" s="497"/>
      <c r="EWL75" s="497"/>
      <c r="EWM75" s="497"/>
      <c r="EWN75" s="497"/>
      <c r="EWO75" s="497"/>
      <c r="EWP75" s="497"/>
      <c r="EWQ75" s="497"/>
      <c r="EWR75" s="497"/>
      <c r="EWS75" s="497"/>
      <c r="EWT75" s="497"/>
      <c r="EWU75" s="497"/>
      <c r="EWV75" s="497"/>
      <c r="EWW75" s="497"/>
      <c r="EWX75" s="497"/>
      <c r="EWY75" s="497"/>
      <c r="EWZ75" s="497"/>
      <c r="EXA75" s="497"/>
      <c r="EXB75" s="497"/>
      <c r="EXC75" s="497"/>
      <c r="EXD75" s="497"/>
      <c r="EXE75" s="497"/>
      <c r="EXF75" s="497"/>
      <c r="EXG75" s="497"/>
      <c r="EXH75" s="497"/>
      <c r="EXI75" s="497"/>
      <c r="EXJ75" s="497"/>
      <c r="EXK75" s="497"/>
      <c r="EXL75" s="497"/>
      <c r="EXM75" s="497"/>
      <c r="EXN75" s="497"/>
      <c r="EXO75" s="497"/>
      <c r="EXP75" s="497"/>
      <c r="EXQ75" s="497"/>
      <c r="EXR75" s="497"/>
      <c r="EXS75" s="497"/>
      <c r="EXT75" s="497"/>
      <c r="EXU75" s="497"/>
      <c r="EXV75" s="497"/>
      <c r="EXW75" s="497"/>
      <c r="EXX75" s="497"/>
      <c r="EXY75" s="497"/>
      <c r="EXZ75" s="497"/>
      <c r="EYA75" s="497"/>
      <c r="EYB75" s="497"/>
      <c r="EYC75" s="497"/>
      <c r="EYD75" s="497"/>
      <c r="EYE75" s="497"/>
      <c r="EYF75" s="497"/>
      <c r="EYG75" s="497"/>
      <c r="EYH75" s="497"/>
      <c r="EYI75" s="497"/>
      <c r="EYJ75" s="497"/>
      <c r="EYK75" s="497"/>
      <c r="EYL75" s="497"/>
      <c r="EYM75" s="497"/>
      <c r="EYN75" s="497"/>
      <c r="EYO75" s="497"/>
      <c r="EYP75" s="497"/>
      <c r="EYQ75" s="497"/>
      <c r="EYR75" s="497"/>
      <c r="EYS75" s="497"/>
      <c r="EYT75" s="497"/>
      <c r="EYU75" s="497"/>
      <c r="EYV75" s="497"/>
      <c r="EYW75" s="497"/>
      <c r="EYX75" s="497"/>
      <c r="EYY75" s="497"/>
      <c r="EYZ75" s="497"/>
      <c r="EZA75" s="497"/>
      <c r="EZB75" s="497"/>
      <c r="EZC75" s="497"/>
      <c r="EZD75" s="497"/>
      <c r="EZE75" s="497"/>
      <c r="EZF75" s="497"/>
      <c r="EZG75" s="497"/>
      <c r="EZH75" s="497"/>
      <c r="EZI75" s="497"/>
      <c r="EZJ75" s="497"/>
      <c r="EZK75" s="497"/>
      <c r="EZL75" s="497"/>
      <c r="EZM75" s="497"/>
      <c r="EZN75" s="497"/>
      <c r="EZO75" s="497"/>
      <c r="EZP75" s="497"/>
      <c r="EZQ75" s="497"/>
      <c r="EZR75" s="497"/>
      <c r="EZS75" s="497"/>
      <c r="EZT75" s="497"/>
      <c r="EZU75" s="497"/>
      <c r="EZV75" s="497"/>
      <c r="EZW75" s="497"/>
      <c r="EZX75" s="497"/>
      <c r="EZY75" s="497"/>
      <c r="EZZ75" s="497"/>
      <c r="FAA75" s="497"/>
      <c r="FAB75" s="497"/>
      <c r="FAC75" s="497"/>
      <c r="FAD75" s="497"/>
      <c r="FAE75" s="497"/>
      <c r="FAF75" s="497"/>
      <c r="FAG75" s="497"/>
      <c r="FAH75" s="497"/>
      <c r="FAI75" s="497"/>
      <c r="FAJ75" s="497"/>
      <c r="FAK75" s="497"/>
      <c r="FAL75" s="497"/>
      <c r="FAM75" s="497"/>
      <c r="FAN75" s="497"/>
      <c r="FAO75" s="497"/>
      <c r="FAP75" s="497"/>
      <c r="FAQ75" s="497"/>
      <c r="FAR75" s="497"/>
      <c r="FAS75" s="497"/>
      <c r="FAT75" s="497"/>
      <c r="FAU75" s="497"/>
      <c r="FAV75" s="497"/>
      <c r="FAW75" s="497"/>
      <c r="FAX75" s="497"/>
      <c r="FAY75" s="497"/>
      <c r="FAZ75" s="497"/>
      <c r="FBA75" s="497"/>
      <c r="FBB75" s="497"/>
      <c r="FBC75" s="497"/>
      <c r="FBD75" s="497"/>
      <c r="FBE75" s="497"/>
      <c r="FBF75" s="497"/>
      <c r="FBG75" s="497"/>
      <c r="FBH75" s="497"/>
      <c r="FBI75" s="497"/>
      <c r="FBJ75" s="497"/>
      <c r="FBK75" s="497"/>
      <c r="FBL75" s="497"/>
      <c r="FBM75" s="497"/>
      <c r="FBN75" s="497"/>
      <c r="FBO75" s="497"/>
      <c r="FBP75" s="497"/>
      <c r="FBQ75" s="497"/>
      <c r="FBR75" s="497"/>
      <c r="FBS75" s="497"/>
      <c r="FBT75" s="497"/>
      <c r="FBU75" s="497"/>
      <c r="FBV75" s="497"/>
      <c r="FBW75" s="497"/>
      <c r="FBX75" s="497"/>
      <c r="FBY75" s="497"/>
      <c r="FBZ75" s="497"/>
      <c r="FCA75" s="497"/>
      <c r="FCB75" s="497"/>
      <c r="FCC75" s="497"/>
      <c r="FCD75" s="497"/>
      <c r="FCE75" s="497"/>
      <c r="FCF75" s="497"/>
      <c r="FCG75" s="497"/>
      <c r="FCH75" s="497"/>
      <c r="FCI75" s="497"/>
      <c r="FCJ75" s="497"/>
      <c r="FCK75" s="497"/>
      <c r="FCL75" s="497"/>
      <c r="FCM75" s="497"/>
      <c r="FCN75" s="497"/>
      <c r="FCO75" s="497"/>
      <c r="FCP75" s="497"/>
      <c r="FCQ75" s="497"/>
      <c r="FCR75" s="497"/>
      <c r="FCS75" s="497"/>
      <c r="FCT75" s="497"/>
      <c r="FCU75" s="497"/>
      <c r="FCV75" s="497"/>
      <c r="FCW75" s="497"/>
      <c r="FCX75" s="497"/>
      <c r="FCY75" s="497"/>
      <c r="FCZ75" s="497"/>
      <c r="FDA75" s="497"/>
      <c r="FDB75" s="497"/>
      <c r="FDC75" s="497"/>
      <c r="FDD75" s="497"/>
      <c r="FDE75" s="497"/>
      <c r="FDF75" s="497"/>
      <c r="FDG75" s="497"/>
      <c r="FDH75" s="497"/>
      <c r="FDI75" s="497"/>
      <c r="FDJ75" s="497"/>
      <c r="FDK75" s="497"/>
      <c r="FDL75" s="497"/>
      <c r="FDM75" s="497"/>
      <c r="FDN75" s="497"/>
      <c r="FDO75" s="497"/>
      <c r="FDP75" s="497"/>
      <c r="FDQ75" s="497"/>
      <c r="FDR75" s="497"/>
      <c r="FDS75" s="497"/>
      <c r="FDT75" s="497"/>
      <c r="FDU75" s="497"/>
      <c r="FDV75" s="497"/>
      <c r="FDW75" s="497"/>
      <c r="FDX75" s="497"/>
      <c r="FDY75" s="497"/>
      <c r="FDZ75" s="497"/>
      <c r="FEA75" s="497"/>
      <c r="FEB75" s="497"/>
      <c r="FEC75" s="497"/>
      <c r="FED75" s="497"/>
      <c r="FEE75" s="497"/>
      <c r="FEF75" s="497"/>
      <c r="FEG75" s="497"/>
      <c r="FEH75" s="497"/>
      <c r="FEI75" s="497"/>
      <c r="FEJ75" s="497"/>
      <c r="FEK75" s="497"/>
      <c r="FEL75" s="497"/>
      <c r="FEM75" s="497"/>
      <c r="FEN75" s="497"/>
      <c r="FEO75" s="497"/>
      <c r="FEP75" s="497"/>
      <c r="FEQ75" s="497"/>
      <c r="FER75" s="497"/>
      <c r="FES75" s="497"/>
      <c r="FET75" s="497"/>
      <c r="FEU75" s="497"/>
      <c r="FEV75" s="497"/>
      <c r="FEW75" s="497"/>
      <c r="FEX75" s="497"/>
      <c r="FEY75" s="497"/>
      <c r="FEZ75" s="497"/>
      <c r="FFA75" s="497"/>
      <c r="FFB75" s="497"/>
      <c r="FFC75" s="497"/>
      <c r="FFD75" s="497"/>
      <c r="FFE75" s="497"/>
      <c r="FFF75" s="497"/>
      <c r="FFG75" s="497"/>
      <c r="FFH75" s="497"/>
      <c r="FFI75" s="497"/>
      <c r="FFJ75" s="497"/>
      <c r="FFK75" s="497"/>
      <c r="FFL75" s="497"/>
      <c r="FFM75" s="497"/>
      <c r="FFN75" s="497"/>
      <c r="FFO75" s="497"/>
      <c r="FFP75" s="497"/>
      <c r="FFQ75" s="497"/>
      <c r="FFR75" s="497"/>
      <c r="FFS75" s="497"/>
      <c r="FFT75" s="497"/>
      <c r="FFU75" s="497"/>
      <c r="FFV75" s="497"/>
      <c r="FFW75" s="497"/>
      <c r="FFX75" s="497"/>
      <c r="FFY75" s="497"/>
      <c r="FFZ75" s="497"/>
      <c r="FGA75" s="497"/>
      <c r="FGB75" s="497"/>
      <c r="FGC75" s="497"/>
      <c r="FGD75" s="497"/>
      <c r="FGE75" s="497"/>
      <c r="FGF75" s="497"/>
      <c r="FGG75" s="497"/>
      <c r="FGH75" s="497"/>
      <c r="FGI75" s="497"/>
      <c r="FGJ75" s="497"/>
      <c r="FGK75" s="497"/>
      <c r="FGL75" s="497"/>
      <c r="FGM75" s="497"/>
      <c r="FGN75" s="497"/>
      <c r="FGO75" s="497"/>
      <c r="FGP75" s="497"/>
      <c r="FGQ75" s="497"/>
      <c r="FGR75" s="497"/>
      <c r="FGS75" s="497"/>
      <c r="FGT75" s="497"/>
      <c r="FGU75" s="497"/>
      <c r="FGV75" s="497"/>
      <c r="FGW75" s="497"/>
      <c r="FGX75" s="497"/>
      <c r="FGY75" s="497"/>
      <c r="FGZ75" s="497"/>
      <c r="FHA75" s="497"/>
      <c r="FHB75" s="497"/>
      <c r="FHC75" s="497"/>
      <c r="FHD75" s="497"/>
      <c r="FHE75" s="497"/>
      <c r="FHF75" s="497"/>
      <c r="FHG75" s="497"/>
      <c r="FHH75" s="497"/>
      <c r="FHI75" s="497"/>
      <c r="FHJ75" s="497"/>
      <c r="FHK75" s="497"/>
      <c r="FHL75" s="497"/>
      <c r="FHM75" s="497"/>
      <c r="FHN75" s="497"/>
      <c r="FHO75" s="497"/>
      <c r="FHP75" s="497"/>
      <c r="FHQ75" s="497"/>
      <c r="FHR75" s="497"/>
      <c r="FHS75" s="497"/>
      <c r="FHT75" s="497"/>
      <c r="FHU75" s="497"/>
      <c r="FHV75" s="497"/>
      <c r="FHW75" s="497"/>
      <c r="FHX75" s="497"/>
      <c r="FHY75" s="497"/>
      <c r="FHZ75" s="497"/>
      <c r="FIA75" s="497"/>
      <c r="FIB75" s="497"/>
      <c r="FIC75" s="497"/>
      <c r="FID75" s="497"/>
      <c r="FIE75" s="497"/>
      <c r="FIF75" s="497"/>
      <c r="FIG75" s="497"/>
      <c r="FIH75" s="497"/>
      <c r="FII75" s="497"/>
      <c r="FIJ75" s="497"/>
      <c r="FIK75" s="497"/>
      <c r="FIL75" s="497"/>
      <c r="FIM75" s="497"/>
      <c r="FIN75" s="497"/>
      <c r="FIO75" s="497"/>
      <c r="FIP75" s="497"/>
      <c r="FIQ75" s="497"/>
      <c r="FIR75" s="497"/>
      <c r="FIS75" s="497"/>
      <c r="FIT75" s="497"/>
      <c r="FIU75" s="497"/>
      <c r="FIV75" s="497"/>
      <c r="FIW75" s="497"/>
      <c r="FIX75" s="497"/>
      <c r="FIY75" s="497"/>
      <c r="FIZ75" s="497"/>
      <c r="FJA75" s="497"/>
      <c r="FJB75" s="497"/>
      <c r="FJC75" s="497"/>
      <c r="FJD75" s="497"/>
      <c r="FJE75" s="497"/>
      <c r="FJF75" s="497"/>
      <c r="FJG75" s="497"/>
      <c r="FJH75" s="497"/>
      <c r="FJI75" s="497"/>
      <c r="FJJ75" s="497"/>
      <c r="FJK75" s="497"/>
      <c r="FJL75" s="497"/>
      <c r="FJM75" s="497"/>
      <c r="FJN75" s="497"/>
      <c r="FJO75" s="497"/>
      <c r="FJP75" s="497"/>
      <c r="FJQ75" s="497"/>
      <c r="FJR75" s="497"/>
      <c r="FJS75" s="497"/>
      <c r="FJT75" s="497"/>
      <c r="FJU75" s="497"/>
      <c r="FJV75" s="497"/>
      <c r="FJW75" s="497"/>
      <c r="FJX75" s="497"/>
      <c r="FJY75" s="497"/>
      <c r="FJZ75" s="497"/>
      <c r="FKA75" s="497"/>
      <c r="FKB75" s="497"/>
      <c r="FKC75" s="497"/>
      <c r="FKD75" s="497"/>
      <c r="FKE75" s="497"/>
      <c r="FKF75" s="497"/>
      <c r="FKG75" s="497"/>
      <c r="FKH75" s="497"/>
      <c r="FKI75" s="497"/>
      <c r="FKJ75" s="497"/>
      <c r="FKK75" s="497"/>
      <c r="FKL75" s="497"/>
      <c r="FKM75" s="497"/>
      <c r="FKN75" s="497"/>
      <c r="FKO75" s="497"/>
      <c r="FKP75" s="497"/>
      <c r="FKQ75" s="497"/>
      <c r="FKR75" s="497"/>
      <c r="FKS75" s="497"/>
      <c r="FKT75" s="497"/>
      <c r="FKU75" s="497"/>
      <c r="FKV75" s="497"/>
      <c r="FKW75" s="497"/>
      <c r="FKX75" s="497"/>
      <c r="FKY75" s="497"/>
      <c r="FKZ75" s="497"/>
      <c r="FLA75" s="497"/>
      <c r="FLB75" s="497"/>
      <c r="FLC75" s="497"/>
      <c r="FLD75" s="497"/>
      <c r="FLE75" s="497"/>
      <c r="FLF75" s="497"/>
      <c r="FLG75" s="497"/>
      <c r="FLH75" s="497"/>
      <c r="FLI75" s="497"/>
      <c r="FLJ75" s="497"/>
      <c r="FLK75" s="497"/>
      <c r="FLL75" s="497"/>
      <c r="FLM75" s="497"/>
      <c r="FLN75" s="497"/>
      <c r="FLO75" s="497"/>
      <c r="FLP75" s="497"/>
      <c r="FLQ75" s="497"/>
      <c r="FLR75" s="497"/>
      <c r="FLS75" s="497"/>
      <c r="FLT75" s="497"/>
      <c r="FLU75" s="497"/>
      <c r="FLV75" s="497"/>
      <c r="FLW75" s="497"/>
      <c r="FLX75" s="497"/>
      <c r="FLY75" s="497"/>
      <c r="FLZ75" s="497"/>
      <c r="FMA75" s="497"/>
      <c r="FMB75" s="497"/>
      <c r="FMC75" s="497"/>
      <c r="FMD75" s="497"/>
      <c r="FME75" s="497"/>
      <c r="FMF75" s="497"/>
      <c r="FMG75" s="497"/>
      <c r="FMH75" s="497"/>
      <c r="FMI75" s="497"/>
      <c r="FMJ75" s="497"/>
      <c r="FMK75" s="497"/>
      <c r="FML75" s="497"/>
      <c r="FMM75" s="497"/>
      <c r="FMN75" s="497"/>
      <c r="FMO75" s="497"/>
      <c r="FMP75" s="497"/>
      <c r="FMQ75" s="497"/>
      <c r="FMR75" s="497"/>
      <c r="FMS75" s="497"/>
      <c r="FMT75" s="497"/>
      <c r="FMU75" s="497"/>
      <c r="FMV75" s="497"/>
      <c r="FMW75" s="497"/>
      <c r="FMX75" s="497"/>
      <c r="FMY75" s="497"/>
      <c r="FMZ75" s="497"/>
      <c r="FNA75" s="497"/>
      <c r="FNB75" s="497"/>
      <c r="FNC75" s="497"/>
      <c r="FND75" s="497"/>
      <c r="FNE75" s="497"/>
      <c r="FNF75" s="497"/>
      <c r="FNG75" s="497"/>
      <c r="FNH75" s="497"/>
      <c r="FNI75" s="497"/>
      <c r="FNJ75" s="497"/>
      <c r="FNK75" s="497"/>
      <c r="FNL75" s="497"/>
      <c r="FNM75" s="497"/>
      <c r="FNN75" s="497"/>
      <c r="FNO75" s="497"/>
      <c r="FNP75" s="497"/>
      <c r="FNQ75" s="497"/>
      <c r="FNR75" s="497"/>
      <c r="FNS75" s="497"/>
      <c r="FNT75" s="497"/>
      <c r="FNU75" s="497"/>
      <c r="FNV75" s="497"/>
      <c r="FNW75" s="497"/>
      <c r="FNX75" s="497"/>
      <c r="FNY75" s="497"/>
      <c r="FNZ75" s="497"/>
      <c r="FOA75" s="497"/>
      <c r="FOB75" s="497"/>
      <c r="FOC75" s="497"/>
      <c r="FOD75" s="497"/>
      <c r="FOE75" s="497"/>
      <c r="FOF75" s="497"/>
      <c r="FOG75" s="497"/>
      <c r="FOH75" s="497"/>
      <c r="FOI75" s="497"/>
      <c r="FOJ75" s="497"/>
      <c r="FOK75" s="497"/>
      <c r="FOL75" s="497"/>
      <c r="FOM75" s="497"/>
      <c r="FON75" s="497"/>
      <c r="FOO75" s="497"/>
      <c r="FOP75" s="497"/>
      <c r="FOQ75" s="497"/>
      <c r="FOR75" s="497"/>
      <c r="FOS75" s="497"/>
      <c r="FOT75" s="497"/>
      <c r="FOU75" s="497"/>
      <c r="FOV75" s="497"/>
      <c r="FOW75" s="497"/>
      <c r="FOX75" s="497"/>
      <c r="FOY75" s="497"/>
      <c r="FOZ75" s="497"/>
      <c r="FPA75" s="497"/>
      <c r="FPB75" s="497"/>
      <c r="FPC75" s="497"/>
      <c r="FPD75" s="497"/>
      <c r="FPE75" s="497"/>
      <c r="FPF75" s="497"/>
      <c r="FPG75" s="497"/>
      <c r="FPH75" s="497"/>
      <c r="FPI75" s="497"/>
      <c r="FPJ75" s="497"/>
      <c r="FPK75" s="497"/>
      <c r="FPL75" s="497"/>
      <c r="FPM75" s="497"/>
      <c r="FPN75" s="497"/>
      <c r="FPO75" s="497"/>
      <c r="FPP75" s="497"/>
      <c r="FPQ75" s="497"/>
      <c r="FPR75" s="497"/>
      <c r="FPS75" s="497"/>
      <c r="FPT75" s="497"/>
      <c r="FPU75" s="497"/>
      <c r="FPV75" s="497"/>
      <c r="FPW75" s="497"/>
      <c r="FPX75" s="497"/>
      <c r="FPY75" s="497"/>
      <c r="FPZ75" s="497"/>
      <c r="FQA75" s="497"/>
      <c r="FQB75" s="497"/>
      <c r="FQC75" s="497"/>
      <c r="FQD75" s="497"/>
      <c r="FQE75" s="497"/>
      <c r="FQF75" s="497"/>
      <c r="FQG75" s="497"/>
      <c r="FQH75" s="497"/>
      <c r="FQI75" s="497"/>
      <c r="FQJ75" s="497"/>
      <c r="FQK75" s="497"/>
      <c r="FQL75" s="497"/>
      <c r="FQM75" s="497"/>
      <c r="FQN75" s="497"/>
      <c r="FQO75" s="497"/>
      <c r="FQP75" s="497"/>
      <c r="FQQ75" s="497"/>
      <c r="FQR75" s="497"/>
      <c r="FQS75" s="497"/>
      <c r="FQT75" s="497"/>
      <c r="FQU75" s="497"/>
      <c r="FQV75" s="497"/>
      <c r="FQW75" s="497"/>
      <c r="FQX75" s="497"/>
      <c r="FQY75" s="497"/>
      <c r="FQZ75" s="497"/>
      <c r="FRA75" s="497"/>
      <c r="FRB75" s="497"/>
      <c r="FRC75" s="497"/>
      <c r="FRD75" s="497"/>
      <c r="FRE75" s="497"/>
      <c r="FRF75" s="497"/>
      <c r="FRG75" s="497"/>
      <c r="FRH75" s="497"/>
      <c r="FRI75" s="497"/>
      <c r="FRJ75" s="497"/>
      <c r="FRK75" s="497"/>
      <c r="FRL75" s="497"/>
      <c r="FRM75" s="497"/>
      <c r="FRN75" s="497"/>
      <c r="FRO75" s="497"/>
      <c r="FRP75" s="497"/>
      <c r="FRQ75" s="497"/>
      <c r="FRR75" s="497"/>
      <c r="FRS75" s="497"/>
      <c r="FRT75" s="497"/>
      <c r="FRU75" s="497"/>
      <c r="FRV75" s="497"/>
      <c r="FRW75" s="497"/>
      <c r="FRX75" s="497"/>
      <c r="FRY75" s="497"/>
      <c r="FRZ75" s="497"/>
      <c r="FSA75" s="497"/>
      <c r="FSB75" s="497"/>
      <c r="FSC75" s="497"/>
      <c r="FSD75" s="497"/>
      <c r="FSE75" s="497"/>
      <c r="FSF75" s="497"/>
      <c r="FSG75" s="497"/>
      <c r="FSH75" s="497"/>
      <c r="FSI75" s="497"/>
      <c r="FSJ75" s="497"/>
      <c r="FSK75" s="497"/>
      <c r="FSL75" s="497"/>
      <c r="FSM75" s="497"/>
      <c r="FSN75" s="497"/>
      <c r="FSO75" s="497"/>
      <c r="FSP75" s="497"/>
      <c r="FSQ75" s="497"/>
      <c r="FSR75" s="497"/>
      <c r="FSS75" s="497"/>
      <c r="FST75" s="497"/>
      <c r="FSU75" s="497"/>
      <c r="FSV75" s="497"/>
      <c r="FSW75" s="497"/>
      <c r="FSX75" s="497"/>
      <c r="FSY75" s="497"/>
      <c r="FSZ75" s="497"/>
      <c r="FTA75" s="497"/>
      <c r="FTB75" s="497"/>
      <c r="FTC75" s="497"/>
      <c r="FTD75" s="497"/>
      <c r="FTE75" s="497"/>
      <c r="FTF75" s="497"/>
      <c r="FTG75" s="497"/>
      <c r="FTH75" s="497"/>
      <c r="FTI75" s="497"/>
      <c r="FTJ75" s="497"/>
      <c r="FTK75" s="497"/>
      <c r="FTL75" s="497"/>
      <c r="FTM75" s="497"/>
      <c r="FTN75" s="497"/>
      <c r="FTO75" s="497"/>
      <c r="FTP75" s="497"/>
      <c r="FTQ75" s="497"/>
      <c r="FTR75" s="497"/>
      <c r="FTS75" s="497"/>
      <c r="FTT75" s="497"/>
      <c r="FTU75" s="497"/>
      <c r="FTV75" s="497"/>
      <c r="FTW75" s="497"/>
      <c r="FTX75" s="497"/>
      <c r="FTY75" s="497"/>
      <c r="FTZ75" s="497"/>
      <c r="FUA75" s="497"/>
      <c r="FUB75" s="497"/>
      <c r="FUC75" s="497"/>
      <c r="FUD75" s="497"/>
      <c r="FUE75" s="497"/>
      <c r="FUF75" s="497"/>
      <c r="FUG75" s="497"/>
      <c r="FUH75" s="497"/>
      <c r="FUI75" s="497"/>
      <c r="FUJ75" s="497"/>
      <c r="FUK75" s="497"/>
      <c r="FUL75" s="497"/>
      <c r="FUM75" s="497"/>
      <c r="FUN75" s="497"/>
      <c r="FUO75" s="497"/>
      <c r="FUP75" s="497"/>
      <c r="FUQ75" s="497"/>
      <c r="FUR75" s="497"/>
      <c r="FUS75" s="497"/>
      <c r="FUT75" s="497"/>
      <c r="FUU75" s="497"/>
      <c r="FUV75" s="497"/>
      <c r="FUW75" s="497"/>
      <c r="FUX75" s="497"/>
      <c r="FUY75" s="497"/>
      <c r="FUZ75" s="497"/>
      <c r="FVA75" s="497"/>
      <c r="FVB75" s="497"/>
      <c r="FVC75" s="497"/>
      <c r="FVD75" s="497"/>
      <c r="FVE75" s="497"/>
      <c r="FVF75" s="497"/>
      <c r="FVG75" s="497"/>
      <c r="FVH75" s="497"/>
      <c r="FVI75" s="497"/>
      <c r="FVJ75" s="497"/>
      <c r="FVK75" s="497"/>
      <c r="FVL75" s="497"/>
      <c r="FVM75" s="497"/>
      <c r="FVN75" s="497"/>
      <c r="FVO75" s="497"/>
      <c r="FVP75" s="497"/>
      <c r="FVQ75" s="497"/>
      <c r="FVR75" s="497"/>
      <c r="FVS75" s="497"/>
      <c r="FVT75" s="497"/>
      <c r="FVU75" s="497"/>
      <c r="FVV75" s="497"/>
      <c r="FVW75" s="497"/>
      <c r="FVX75" s="497"/>
      <c r="FVY75" s="497"/>
      <c r="FVZ75" s="497"/>
      <c r="FWA75" s="497"/>
      <c r="FWB75" s="497"/>
      <c r="FWC75" s="497"/>
      <c r="FWD75" s="497"/>
      <c r="FWE75" s="497"/>
      <c r="FWF75" s="497"/>
      <c r="FWG75" s="497"/>
      <c r="FWH75" s="497"/>
      <c r="FWI75" s="497"/>
      <c r="FWJ75" s="497"/>
      <c r="FWK75" s="497"/>
      <c r="FWL75" s="497"/>
      <c r="FWM75" s="497"/>
      <c r="FWN75" s="497"/>
      <c r="FWO75" s="497"/>
      <c r="FWP75" s="497"/>
      <c r="FWQ75" s="497"/>
      <c r="FWR75" s="497"/>
      <c r="FWS75" s="497"/>
      <c r="FWT75" s="497"/>
      <c r="FWU75" s="497"/>
      <c r="FWV75" s="497"/>
      <c r="FWW75" s="497"/>
      <c r="FWX75" s="497"/>
      <c r="FWY75" s="497"/>
      <c r="FWZ75" s="497"/>
      <c r="FXA75" s="497"/>
      <c r="FXB75" s="497"/>
      <c r="FXC75" s="497"/>
      <c r="FXD75" s="497"/>
      <c r="FXE75" s="497"/>
      <c r="FXF75" s="497"/>
      <c r="FXG75" s="497"/>
      <c r="FXH75" s="497"/>
      <c r="FXI75" s="497"/>
      <c r="FXJ75" s="497"/>
      <c r="FXK75" s="497"/>
      <c r="FXL75" s="497"/>
      <c r="FXM75" s="497"/>
      <c r="FXN75" s="497"/>
      <c r="FXO75" s="497"/>
      <c r="FXP75" s="497"/>
      <c r="FXQ75" s="497"/>
      <c r="FXR75" s="497"/>
      <c r="FXS75" s="497"/>
      <c r="FXT75" s="497"/>
      <c r="FXU75" s="497"/>
      <c r="FXV75" s="497"/>
      <c r="FXW75" s="497"/>
      <c r="FXX75" s="497"/>
      <c r="FXY75" s="497"/>
      <c r="FXZ75" s="497"/>
      <c r="FYA75" s="497"/>
      <c r="FYB75" s="497"/>
      <c r="FYC75" s="497"/>
      <c r="FYD75" s="497"/>
      <c r="FYE75" s="497"/>
      <c r="FYF75" s="497"/>
      <c r="FYG75" s="497"/>
      <c r="FYH75" s="497"/>
      <c r="FYI75" s="497"/>
      <c r="FYJ75" s="497"/>
      <c r="FYK75" s="497"/>
      <c r="FYL75" s="497"/>
      <c r="FYM75" s="497"/>
      <c r="FYN75" s="497"/>
      <c r="FYO75" s="497"/>
      <c r="FYP75" s="497"/>
      <c r="FYQ75" s="497"/>
      <c r="FYR75" s="497"/>
      <c r="FYS75" s="497"/>
      <c r="FYT75" s="497"/>
      <c r="FYU75" s="497"/>
      <c r="FYV75" s="497"/>
      <c r="FYW75" s="497"/>
      <c r="FYX75" s="497"/>
      <c r="FYY75" s="497"/>
      <c r="FYZ75" s="497"/>
      <c r="FZA75" s="497"/>
      <c r="FZB75" s="497"/>
      <c r="FZC75" s="497"/>
      <c r="FZD75" s="497"/>
      <c r="FZE75" s="497"/>
      <c r="FZF75" s="497"/>
      <c r="FZG75" s="497"/>
      <c r="FZH75" s="497"/>
      <c r="FZI75" s="497"/>
      <c r="FZJ75" s="497"/>
      <c r="FZK75" s="497"/>
      <c r="FZL75" s="497"/>
      <c r="FZM75" s="497"/>
      <c r="FZN75" s="497"/>
      <c r="FZO75" s="497"/>
      <c r="FZP75" s="497"/>
      <c r="FZQ75" s="497"/>
      <c r="FZR75" s="497"/>
      <c r="FZS75" s="497"/>
      <c r="FZT75" s="497"/>
      <c r="FZU75" s="497"/>
      <c r="FZV75" s="497"/>
      <c r="FZW75" s="497"/>
      <c r="FZX75" s="497"/>
      <c r="FZY75" s="497"/>
      <c r="FZZ75" s="497"/>
      <c r="GAA75" s="497"/>
      <c r="GAB75" s="497"/>
      <c r="GAC75" s="497"/>
      <c r="GAD75" s="497"/>
      <c r="GAE75" s="497"/>
      <c r="GAF75" s="497"/>
      <c r="GAG75" s="497"/>
      <c r="GAH75" s="497"/>
      <c r="GAI75" s="497"/>
      <c r="GAJ75" s="497"/>
      <c r="GAK75" s="497"/>
      <c r="GAL75" s="497"/>
      <c r="GAM75" s="497"/>
      <c r="GAN75" s="497"/>
      <c r="GAO75" s="497"/>
      <c r="GAP75" s="497"/>
      <c r="GAQ75" s="497"/>
      <c r="GAR75" s="497"/>
      <c r="GAS75" s="497"/>
      <c r="GAT75" s="497"/>
      <c r="GAU75" s="497"/>
      <c r="GAV75" s="497"/>
      <c r="GAW75" s="497"/>
      <c r="GAX75" s="497"/>
      <c r="GAY75" s="497"/>
      <c r="GAZ75" s="497"/>
      <c r="GBA75" s="497"/>
      <c r="GBB75" s="497"/>
      <c r="GBC75" s="497"/>
      <c r="GBD75" s="497"/>
      <c r="GBE75" s="497"/>
      <c r="GBF75" s="497"/>
      <c r="GBG75" s="497"/>
      <c r="GBH75" s="497"/>
      <c r="GBI75" s="497"/>
      <c r="GBJ75" s="497"/>
      <c r="GBK75" s="497"/>
      <c r="GBL75" s="497"/>
      <c r="GBM75" s="497"/>
      <c r="GBN75" s="497"/>
      <c r="GBO75" s="497"/>
      <c r="GBP75" s="497"/>
      <c r="GBQ75" s="497"/>
      <c r="GBR75" s="497"/>
      <c r="GBS75" s="497"/>
      <c r="GBT75" s="497"/>
      <c r="GBU75" s="497"/>
      <c r="GBV75" s="497"/>
      <c r="GBW75" s="497"/>
      <c r="GBX75" s="497"/>
      <c r="GBY75" s="497"/>
      <c r="GBZ75" s="497"/>
      <c r="GCA75" s="497"/>
      <c r="GCB75" s="497"/>
      <c r="GCC75" s="497"/>
      <c r="GCD75" s="497"/>
      <c r="GCE75" s="497"/>
      <c r="GCF75" s="497"/>
      <c r="GCG75" s="497"/>
      <c r="GCH75" s="497"/>
      <c r="GCI75" s="497"/>
      <c r="GCJ75" s="497"/>
      <c r="GCK75" s="497"/>
      <c r="GCL75" s="497"/>
      <c r="GCM75" s="497"/>
      <c r="GCN75" s="497"/>
      <c r="GCO75" s="497"/>
      <c r="GCP75" s="497"/>
      <c r="GCQ75" s="497"/>
      <c r="GCR75" s="497"/>
      <c r="GCS75" s="497"/>
      <c r="GCT75" s="497"/>
      <c r="GCU75" s="497"/>
      <c r="GCV75" s="497"/>
      <c r="GCW75" s="497"/>
      <c r="GCX75" s="497"/>
      <c r="GCY75" s="497"/>
      <c r="GCZ75" s="497"/>
      <c r="GDA75" s="497"/>
      <c r="GDB75" s="497"/>
      <c r="GDC75" s="497"/>
      <c r="GDD75" s="497"/>
      <c r="GDE75" s="497"/>
      <c r="GDF75" s="497"/>
      <c r="GDG75" s="497"/>
      <c r="GDH75" s="497"/>
      <c r="GDI75" s="497"/>
      <c r="GDJ75" s="497"/>
      <c r="GDK75" s="497"/>
      <c r="GDL75" s="497"/>
      <c r="GDM75" s="497"/>
      <c r="GDN75" s="497"/>
      <c r="GDO75" s="497"/>
      <c r="GDP75" s="497"/>
      <c r="GDQ75" s="497"/>
      <c r="GDR75" s="497"/>
      <c r="GDS75" s="497"/>
      <c r="GDT75" s="497"/>
      <c r="GDU75" s="497"/>
      <c r="GDV75" s="497"/>
      <c r="GDW75" s="497"/>
      <c r="GDX75" s="497"/>
      <c r="GDY75" s="497"/>
      <c r="GDZ75" s="497"/>
      <c r="GEA75" s="497"/>
      <c r="GEB75" s="497"/>
      <c r="GEC75" s="497"/>
      <c r="GED75" s="497"/>
      <c r="GEE75" s="497"/>
      <c r="GEF75" s="497"/>
      <c r="GEG75" s="497"/>
      <c r="GEH75" s="497"/>
      <c r="GEI75" s="497"/>
      <c r="GEJ75" s="497"/>
      <c r="GEK75" s="497"/>
      <c r="GEL75" s="497"/>
      <c r="GEM75" s="497"/>
      <c r="GEN75" s="497"/>
      <c r="GEO75" s="497"/>
      <c r="GEP75" s="497"/>
      <c r="GEQ75" s="497"/>
      <c r="GER75" s="497"/>
      <c r="GES75" s="497"/>
      <c r="GET75" s="497"/>
      <c r="GEU75" s="497"/>
      <c r="GEV75" s="497"/>
      <c r="GEW75" s="497"/>
      <c r="GEX75" s="497"/>
      <c r="GEY75" s="497"/>
      <c r="GEZ75" s="497"/>
      <c r="GFA75" s="497"/>
      <c r="GFB75" s="497"/>
      <c r="GFC75" s="497"/>
      <c r="GFD75" s="497"/>
      <c r="GFE75" s="497"/>
      <c r="GFF75" s="497"/>
      <c r="GFG75" s="497"/>
      <c r="GFH75" s="497"/>
      <c r="GFI75" s="497"/>
      <c r="GFJ75" s="497"/>
      <c r="GFK75" s="497"/>
      <c r="GFL75" s="497"/>
      <c r="GFM75" s="497"/>
      <c r="GFN75" s="497"/>
      <c r="GFO75" s="497"/>
      <c r="GFP75" s="497"/>
      <c r="GFQ75" s="497"/>
      <c r="GFR75" s="497"/>
      <c r="GFS75" s="497"/>
      <c r="GFT75" s="497"/>
      <c r="GFU75" s="497"/>
      <c r="GFV75" s="497"/>
      <c r="GFW75" s="497"/>
      <c r="GFX75" s="497"/>
      <c r="GFY75" s="497"/>
      <c r="GFZ75" s="497"/>
      <c r="GGA75" s="497"/>
      <c r="GGB75" s="497"/>
      <c r="GGC75" s="497"/>
      <c r="GGD75" s="497"/>
      <c r="GGE75" s="497"/>
      <c r="GGF75" s="497"/>
      <c r="GGG75" s="497"/>
      <c r="GGH75" s="497"/>
      <c r="GGI75" s="497"/>
      <c r="GGJ75" s="497"/>
      <c r="GGK75" s="497"/>
      <c r="GGL75" s="497"/>
      <c r="GGM75" s="497"/>
      <c r="GGN75" s="497"/>
      <c r="GGO75" s="497"/>
      <c r="GGP75" s="497"/>
      <c r="GGQ75" s="497"/>
      <c r="GGR75" s="497"/>
      <c r="GGS75" s="497"/>
      <c r="GGT75" s="497"/>
      <c r="GGU75" s="497"/>
      <c r="GGV75" s="497"/>
      <c r="GGW75" s="497"/>
      <c r="GGX75" s="497"/>
      <c r="GGY75" s="497"/>
      <c r="GGZ75" s="497"/>
      <c r="GHA75" s="497"/>
      <c r="GHB75" s="497"/>
      <c r="GHC75" s="497"/>
      <c r="GHD75" s="497"/>
      <c r="GHE75" s="497"/>
      <c r="GHF75" s="497"/>
      <c r="GHG75" s="497"/>
      <c r="GHH75" s="497"/>
      <c r="GHI75" s="497"/>
      <c r="GHJ75" s="497"/>
      <c r="GHK75" s="497"/>
      <c r="GHL75" s="497"/>
      <c r="GHM75" s="497"/>
      <c r="GHN75" s="497"/>
      <c r="GHO75" s="497"/>
      <c r="GHP75" s="497"/>
      <c r="GHQ75" s="497"/>
      <c r="GHR75" s="497"/>
      <c r="GHS75" s="497"/>
      <c r="GHT75" s="497"/>
      <c r="GHU75" s="497"/>
      <c r="GHV75" s="497"/>
      <c r="GHW75" s="497"/>
      <c r="GHX75" s="497"/>
      <c r="GHY75" s="497"/>
      <c r="GHZ75" s="497"/>
      <c r="GIA75" s="497"/>
      <c r="GIB75" s="497"/>
      <c r="GIC75" s="497"/>
      <c r="GID75" s="497"/>
      <c r="GIE75" s="497"/>
      <c r="GIF75" s="497"/>
      <c r="GIG75" s="497"/>
      <c r="GIH75" s="497"/>
      <c r="GII75" s="497"/>
      <c r="GIJ75" s="497"/>
      <c r="GIK75" s="497"/>
      <c r="GIL75" s="497"/>
      <c r="GIM75" s="497"/>
      <c r="GIN75" s="497"/>
      <c r="GIO75" s="497"/>
      <c r="GIP75" s="497"/>
      <c r="GIQ75" s="497"/>
      <c r="GIR75" s="497"/>
      <c r="GIS75" s="497"/>
      <c r="GIT75" s="497"/>
      <c r="GIU75" s="497"/>
      <c r="GIV75" s="497"/>
      <c r="GIW75" s="497"/>
      <c r="GIX75" s="497"/>
      <c r="GIY75" s="497"/>
      <c r="GIZ75" s="497"/>
      <c r="GJA75" s="497"/>
      <c r="GJB75" s="497"/>
      <c r="GJC75" s="497"/>
      <c r="GJD75" s="497"/>
      <c r="GJE75" s="497"/>
      <c r="GJF75" s="497"/>
      <c r="GJG75" s="497"/>
      <c r="GJH75" s="497"/>
      <c r="GJI75" s="497"/>
      <c r="GJJ75" s="497"/>
      <c r="GJK75" s="497"/>
      <c r="GJL75" s="497"/>
      <c r="GJM75" s="497"/>
      <c r="GJN75" s="497"/>
      <c r="GJO75" s="497"/>
      <c r="GJP75" s="497"/>
      <c r="GJQ75" s="497"/>
      <c r="GJR75" s="497"/>
      <c r="GJS75" s="497"/>
      <c r="GJT75" s="497"/>
      <c r="GJU75" s="497"/>
      <c r="GJV75" s="497"/>
      <c r="GJW75" s="497"/>
      <c r="GJX75" s="497"/>
      <c r="GJY75" s="497"/>
      <c r="GJZ75" s="497"/>
      <c r="GKA75" s="497"/>
      <c r="GKB75" s="497"/>
      <c r="GKC75" s="497"/>
      <c r="GKD75" s="497"/>
      <c r="GKE75" s="497"/>
      <c r="GKF75" s="497"/>
      <c r="GKG75" s="497"/>
      <c r="GKH75" s="497"/>
      <c r="GKI75" s="497"/>
      <c r="GKJ75" s="497"/>
      <c r="GKK75" s="497"/>
      <c r="GKL75" s="497"/>
      <c r="GKM75" s="497"/>
      <c r="GKN75" s="497"/>
      <c r="GKO75" s="497"/>
      <c r="GKP75" s="497"/>
      <c r="GKQ75" s="497"/>
      <c r="GKR75" s="497"/>
      <c r="GKS75" s="497"/>
      <c r="GKT75" s="497"/>
      <c r="GKU75" s="497"/>
      <c r="GKV75" s="497"/>
      <c r="GKW75" s="497"/>
      <c r="GKX75" s="497"/>
      <c r="GKY75" s="497"/>
      <c r="GKZ75" s="497"/>
      <c r="GLA75" s="497"/>
      <c r="GLB75" s="497"/>
      <c r="GLC75" s="497"/>
      <c r="GLD75" s="497"/>
      <c r="GLE75" s="497"/>
      <c r="GLF75" s="497"/>
      <c r="GLG75" s="497"/>
      <c r="GLH75" s="497"/>
      <c r="GLI75" s="497"/>
      <c r="GLJ75" s="497"/>
      <c r="GLK75" s="497"/>
      <c r="GLL75" s="497"/>
      <c r="GLM75" s="497"/>
      <c r="GLN75" s="497"/>
      <c r="GLO75" s="497"/>
      <c r="GLP75" s="497"/>
      <c r="GLQ75" s="497"/>
      <c r="GLR75" s="497"/>
      <c r="GLS75" s="497"/>
      <c r="GLT75" s="497"/>
      <c r="GLU75" s="497"/>
      <c r="GLV75" s="497"/>
      <c r="GLW75" s="497"/>
      <c r="GLX75" s="497"/>
      <c r="GLY75" s="497"/>
      <c r="GLZ75" s="497"/>
      <c r="GMA75" s="497"/>
      <c r="GMB75" s="497"/>
      <c r="GMC75" s="497"/>
      <c r="GMD75" s="497"/>
      <c r="GME75" s="497"/>
      <c r="GMF75" s="497"/>
      <c r="GMG75" s="497"/>
      <c r="GMH75" s="497"/>
      <c r="GMI75" s="497"/>
      <c r="GMJ75" s="497"/>
      <c r="GMK75" s="497"/>
      <c r="GML75" s="497"/>
      <c r="GMM75" s="497"/>
      <c r="GMN75" s="497"/>
      <c r="GMO75" s="497"/>
      <c r="GMP75" s="497"/>
      <c r="GMQ75" s="497"/>
      <c r="GMR75" s="497"/>
      <c r="GMS75" s="497"/>
      <c r="GMT75" s="497"/>
      <c r="GMU75" s="497"/>
      <c r="GMV75" s="497"/>
      <c r="GMW75" s="497"/>
      <c r="GMX75" s="497"/>
      <c r="GMY75" s="497"/>
      <c r="GMZ75" s="497"/>
      <c r="GNA75" s="497"/>
      <c r="GNB75" s="497"/>
      <c r="GNC75" s="497"/>
      <c r="GND75" s="497"/>
      <c r="GNE75" s="497"/>
      <c r="GNF75" s="497"/>
      <c r="GNG75" s="497"/>
      <c r="GNH75" s="497"/>
      <c r="GNI75" s="497"/>
      <c r="GNJ75" s="497"/>
      <c r="GNK75" s="497"/>
      <c r="GNL75" s="497"/>
      <c r="GNM75" s="497"/>
      <c r="GNN75" s="497"/>
      <c r="GNO75" s="497"/>
      <c r="GNP75" s="497"/>
      <c r="GNQ75" s="497"/>
      <c r="GNR75" s="497"/>
      <c r="GNS75" s="497"/>
      <c r="GNT75" s="497"/>
      <c r="GNU75" s="497"/>
      <c r="GNV75" s="497"/>
      <c r="GNW75" s="497"/>
      <c r="GNX75" s="497"/>
      <c r="GNY75" s="497"/>
      <c r="GNZ75" s="497"/>
      <c r="GOA75" s="497"/>
      <c r="GOB75" s="497"/>
      <c r="GOC75" s="497"/>
      <c r="GOD75" s="497"/>
      <c r="GOE75" s="497"/>
      <c r="GOF75" s="497"/>
      <c r="GOG75" s="497"/>
      <c r="GOH75" s="497"/>
      <c r="GOI75" s="497"/>
      <c r="GOJ75" s="497"/>
      <c r="GOK75" s="497"/>
      <c r="GOL75" s="497"/>
      <c r="GOM75" s="497"/>
      <c r="GON75" s="497"/>
      <c r="GOO75" s="497"/>
      <c r="GOP75" s="497"/>
      <c r="GOQ75" s="497"/>
      <c r="GOR75" s="497"/>
      <c r="GOS75" s="497"/>
      <c r="GOT75" s="497"/>
      <c r="GOU75" s="497"/>
      <c r="GOV75" s="497"/>
      <c r="GOW75" s="497"/>
      <c r="GOX75" s="497"/>
      <c r="GOY75" s="497"/>
      <c r="GOZ75" s="497"/>
      <c r="GPA75" s="497"/>
      <c r="GPB75" s="497"/>
      <c r="GPC75" s="497"/>
      <c r="GPD75" s="497"/>
      <c r="GPE75" s="497"/>
      <c r="GPF75" s="497"/>
      <c r="GPG75" s="497"/>
      <c r="GPH75" s="497"/>
      <c r="GPI75" s="497"/>
      <c r="GPJ75" s="497"/>
      <c r="GPK75" s="497"/>
      <c r="GPL75" s="497"/>
      <c r="GPM75" s="497"/>
      <c r="GPN75" s="497"/>
      <c r="GPO75" s="497"/>
      <c r="GPP75" s="497"/>
      <c r="GPQ75" s="497"/>
      <c r="GPR75" s="497"/>
      <c r="GPS75" s="497"/>
      <c r="GPT75" s="497"/>
      <c r="GPU75" s="497"/>
      <c r="GPV75" s="497"/>
      <c r="GPW75" s="497"/>
      <c r="GPX75" s="497"/>
      <c r="GPY75" s="497"/>
      <c r="GPZ75" s="497"/>
      <c r="GQA75" s="497"/>
      <c r="GQB75" s="497"/>
      <c r="GQC75" s="497"/>
      <c r="GQD75" s="497"/>
      <c r="GQE75" s="497"/>
      <c r="GQF75" s="497"/>
      <c r="GQG75" s="497"/>
      <c r="GQH75" s="497"/>
      <c r="GQI75" s="497"/>
      <c r="GQJ75" s="497"/>
      <c r="GQK75" s="497"/>
      <c r="GQL75" s="497"/>
      <c r="GQM75" s="497"/>
      <c r="GQN75" s="497"/>
      <c r="GQO75" s="497"/>
      <c r="GQP75" s="497"/>
      <c r="GQQ75" s="497"/>
      <c r="GQR75" s="497"/>
      <c r="GQS75" s="497"/>
      <c r="GQT75" s="497"/>
      <c r="GQU75" s="497"/>
      <c r="GQV75" s="497"/>
      <c r="GQW75" s="497"/>
      <c r="GQX75" s="497"/>
      <c r="GQY75" s="497"/>
      <c r="GQZ75" s="497"/>
      <c r="GRA75" s="497"/>
      <c r="GRB75" s="497"/>
      <c r="GRC75" s="497"/>
      <c r="GRD75" s="497"/>
      <c r="GRE75" s="497"/>
      <c r="GRF75" s="497"/>
      <c r="GRG75" s="497"/>
      <c r="GRH75" s="497"/>
      <c r="GRI75" s="497"/>
      <c r="GRJ75" s="497"/>
      <c r="GRK75" s="497"/>
      <c r="GRL75" s="497"/>
      <c r="GRM75" s="497"/>
      <c r="GRN75" s="497"/>
      <c r="GRO75" s="497"/>
      <c r="GRP75" s="497"/>
      <c r="GRQ75" s="497"/>
      <c r="GRR75" s="497"/>
      <c r="GRS75" s="497"/>
      <c r="GRT75" s="497"/>
      <c r="GRU75" s="497"/>
      <c r="GRV75" s="497"/>
      <c r="GRW75" s="497"/>
      <c r="GRX75" s="497"/>
      <c r="GRY75" s="497"/>
      <c r="GRZ75" s="497"/>
      <c r="GSA75" s="497"/>
      <c r="GSB75" s="497"/>
      <c r="GSC75" s="497"/>
      <c r="GSD75" s="497"/>
      <c r="GSE75" s="497"/>
      <c r="GSF75" s="497"/>
      <c r="GSG75" s="497"/>
      <c r="GSH75" s="497"/>
      <c r="GSI75" s="497"/>
      <c r="GSJ75" s="497"/>
      <c r="GSK75" s="497"/>
      <c r="GSL75" s="497"/>
      <c r="GSM75" s="497"/>
      <c r="GSN75" s="497"/>
      <c r="GSO75" s="497"/>
      <c r="GSP75" s="497"/>
      <c r="GSQ75" s="497"/>
      <c r="GSR75" s="497"/>
      <c r="GSS75" s="497"/>
      <c r="GST75" s="497"/>
      <c r="GSU75" s="497"/>
      <c r="GSV75" s="497"/>
      <c r="GSW75" s="497"/>
      <c r="GSX75" s="497"/>
      <c r="GSY75" s="497"/>
      <c r="GSZ75" s="497"/>
      <c r="GTA75" s="497"/>
      <c r="GTB75" s="497"/>
      <c r="GTC75" s="497"/>
      <c r="GTD75" s="497"/>
      <c r="GTE75" s="497"/>
      <c r="GTF75" s="497"/>
      <c r="GTG75" s="497"/>
      <c r="GTH75" s="497"/>
      <c r="GTI75" s="497"/>
      <c r="GTJ75" s="497"/>
      <c r="GTK75" s="497"/>
      <c r="GTL75" s="497"/>
      <c r="GTM75" s="497"/>
      <c r="GTN75" s="497"/>
      <c r="GTO75" s="497"/>
      <c r="GTP75" s="497"/>
      <c r="GTQ75" s="497"/>
      <c r="GTR75" s="497"/>
      <c r="GTS75" s="497"/>
      <c r="GTT75" s="497"/>
      <c r="GTU75" s="497"/>
      <c r="GTV75" s="497"/>
      <c r="GTW75" s="497"/>
      <c r="GTX75" s="497"/>
      <c r="GTY75" s="497"/>
      <c r="GTZ75" s="497"/>
      <c r="GUA75" s="497"/>
      <c r="GUB75" s="497"/>
      <c r="GUC75" s="497"/>
      <c r="GUD75" s="497"/>
      <c r="GUE75" s="497"/>
      <c r="GUF75" s="497"/>
      <c r="GUG75" s="497"/>
      <c r="GUH75" s="497"/>
      <c r="GUI75" s="497"/>
      <c r="GUJ75" s="497"/>
      <c r="GUK75" s="497"/>
      <c r="GUL75" s="497"/>
      <c r="GUM75" s="497"/>
      <c r="GUN75" s="497"/>
      <c r="GUO75" s="497"/>
      <c r="GUP75" s="497"/>
      <c r="GUQ75" s="497"/>
      <c r="GUR75" s="497"/>
      <c r="GUS75" s="497"/>
      <c r="GUT75" s="497"/>
      <c r="GUU75" s="497"/>
      <c r="GUV75" s="497"/>
      <c r="GUW75" s="497"/>
      <c r="GUX75" s="497"/>
      <c r="GUY75" s="497"/>
      <c r="GUZ75" s="497"/>
      <c r="GVA75" s="497"/>
      <c r="GVB75" s="497"/>
      <c r="GVC75" s="497"/>
      <c r="GVD75" s="497"/>
      <c r="GVE75" s="497"/>
      <c r="GVF75" s="497"/>
      <c r="GVG75" s="497"/>
      <c r="GVH75" s="497"/>
      <c r="GVI75" s="497"/>
      <c r="GVJ75" s="497"/>
      <c r="GVK75" s="497"/>
      <c r="GVL75" s="497"/>
      <c r="GVM75" s="497"/>
      <c r="GVN75" s="497"/>
      <c r="GVO75" s="497"/>
      <c r="GVP75" s="497"/>
      <c r="GVQ75" s="497"/>
      <c r="GVR75" s="497"/>
      <c r="GVS75" s="497"/>
      <c r="GVT75" s="497"/>
      <c r="GVU75" s="497"/>
      <c r="GVV75" s="497"/>
      <c r="GVW75" s="497"/>
      <c r="GVX75" s="497"/>
      <c r="GVY75" s="497"/>
      <c r="GVZ75" s="497"/>
      <c r="GWA75" s="497"/>
      <c r="GWB75" s="497"/>
      <c r="GWC75" s="497"/>
      <c r="GWD75" s="497"/>
      <c r="GWE75" s="497"/>
      <c r="GWF75" s="497"/>
      <c r="GWG75" s="497"/>
      <c r="GWH75" s="497"/>
      <c r="GWI75" s="497"/>
      <c r="GWJ75" s="497"/>
      <c r="GWK75" s="497"/>
      <c r="GWL75" s="497"/>
      <c r="GWM75" s="497"/>
      <c r="GWN75" s="497"/>
      <c r="GWO75" s="497"/>
      <c r="GWP75" s="497"/>
      <c r="GWQ75" s="497"/>
      <c r="GWR75" s="497"/>
      <c r="GWS75" s="497"/>
      <c r="GWT75" s="497"/>
      <c r="GWU75" s="497"/>
      <c r="GWV75" s="497"/>
      <c r="GWW75" s="497"/>
      <c r="GWX75" s="497"/>
      <c r="GWY75" s="497"/>
      <c r="GWZ75" s="497"/>
      <c r="GXA75" s="497"/>
      <c r="GXB75" s="497"/>
      <c r="GXC75" s="497"/>
      <c r="GXD75" s="497"/>
      <c r="GXE75" s="497"/>
      <c r="GXF75" s="497"/>
      <c r="GXG75" s="497"/>
      <c r="GXH75" s="497"/>
      <c r="GXI75" s="497"/>
      <c r="GXJ75" s="497"/>
      <c r="GXK75" s="497"/>
      <c r="GXL75" s="497"/>
      <c r="GXM75" s="497"/>
      <c r="GXN75" s="497"/>
      <c r="GXO75" s="497"/>
      <c r="GXP75" s="497"/>
      <c r="GXQ75" s="497"/>
      <c r="GXR75" s="497"/>
      <c r="GXS75" s="497"/>
      <c r="GXT75" s="497"/>
      <c r="GXU75" s="497"/>
      <c r="GXV75" s="497"/>
      <c r="GXW75" s="497"/>
      <c r="GXX75" s="497"/>
      <c r="GXY75" s="497"/>
      <c r="GXZ75" s="497"/>
      <c r="GYA75" s="497"/>
      <c r="GYB75" s="497"/>
      <c r="GYC75" s="497"/>
      <c r="GYD75" s="497"/>
      <c r="GYE75" s="497"/>
      <c r="GYF75" s="497"/>
      <c r="GYG75" s="497"/>
      <c r="GYH75" s="497"/>
      <c r="GYI75" s="497"/>
      <c r="GYJ75" s="497"/>
      <c r="GYK75" s="497"/>
      <c r="GYL75" s="497"/>
      <c r="GYM75" s="497"/>
      <c r="GYN75" s="497"/>
      <c r="GYO75" s="497"/>
      <c r="GYP75" s="497"/>
      <c r="GYQ75" s="497"/>
      <c r="GYR75" s="497"/>
      <c r="GYS75" s="497"/>
      <c r="GYT75" s="497"/>
      <c r="GYU75" s="497"/>
      <c r="GYV75" s="497"/>
      <c r="GYW75" s="497"/>
      <c r="GYX75" s="497"/>
      <c r="GYY75" s="497"/>
      <c r="GYZ75" s="497"/>
      <c r="GZA75" s="497"/>
      <c r="GZB75" s="497"/>
      <c r="GZC75" s="497"/>
      <c r="GZD75" s="497"/>
      <c r="GZE75" s="497"/>
      <c r="GZF75" s="497"/>
      <c r="GZG75" s="497"/>
      <c r="GZH75" s="497"/>
      <c r="GZI75" s="497"/>
      <c r="GZJ75" s="497"/>
      <c r="GZK75" s="497"/>
      <c r="GZL75" s="497"/>
      <c r="GZM75" s="497"/>
      <c r="GZN75" s="497"/>
      <c r="GZO75" s="497"/>
      <c r="GZP75" s="497"/>
      <c r="GZQ75" s="497"/>
      <c r="GZR75" s="497"/>
      <c r="GZS75" s="497"/>
      <c r="GZT75" s="497"/>
      <c r="GZU75" s="497"/>
      <c r="GZV75" s="497"/>
      <c r="GZW75" s="497"/>
      <c r="GZX75" s="497"/>
      <c r="GZY75" s="497"/>
      <c r="GZZ75" s="497"/>
      <c r="HAA75" s="497"/>
      <c r="HAB75" s="497"/>
      <c r="HAC75" s="497"/>
      <c r="HAD75" s="497"/>
      <c r="HAE75" s="497"/>
      <c r="HAF75" s="497"/>
      <c r="HAG75" s="497"/>
      <c r="HAH75" s="497"/>
      <c r="HAI75" s="497"/>
      <c r="HAJ75" s="497"/>
      <c r="HAK75" s="497"/>
      <c r="HAL75" s="497"/>
      <c r="HAM75" s="497"/>
      <c r="HAN75" s="497"/>
      <c r="HAO75" s="497"/>
      <c r="HAP75" s="497"/>
      <c r="HAQ75" s="497"/>
      <c r="HAR75" s="497"/>
      <c r="HAS75" s="497"/>
      <c r="HAT75" s="497"/>
      <c r="HAU75" s="497"/>
      <c r="HAV75" s="497"/>
      <c r="HAW75" s="497"/>
      <c r="HAX75" s="497"/>
      <c r="HAY75" s="497"/>
      <c r="HAZ75" s="497"/>
      <c r="HBA75" s="497"/>
      <c r="HBB75" s="497"/>
      <c r="HBC75" s="497"/>
      <c r="HBD75" s="497"/>
      <c r="HBE75" s="497"/>
      <c r="HBF75" s="497"/>
      <c r="HBG75" s="497"/>
      <c r="HBH75" s="497"/>
      <c r="HBI75" s="497"/>
      <c r="HBJ75" s="497"/>
      <c r="HBK75" s="497"/>
      <c r="HBL75" s="497"/>
      <c r="HBM75" s="497"/>
      <c r="HBN75" s="497"/>
      <c r="HBO75" s="497"/>
      <c r="HBP75" s="497"/>
      <c r="HBQ75" s="497"/>
      <c r="HBR75" s="497"/>
      <c r="HBS75" s="497"/>
      <c r="HBT75" s="497"/>
      <c r="HBU75" s="497"/>
      <c r="HBV75" s="497"/>
      <c r="HBW75" s="497"/>
      <c r="HBX75" s="497"/>
      <c r="HBY75" s="497"/>
      <c r="HBZ75" s="497"/>
      <c r="HCA75" s="497"/>
      <c r="HCB75" s="497"/>
      <c r="HCC75" s="497"/>
      <c r="HCD75" s="497"/>
      <c r="HCE75" s="497"/>
      <c r="HCF75" s="497"/>
      <c r="HCG75" s="497"/>
      <c r="HCH75" s="497"/>
      <c r="HCI75" s="497"/>
      <c r="HCJ75" s="497"/>
      <c r="HCK75" s="497"/>
      <c r="HCL75" s="497"/>
      <c r="HCM75" s="497"/>
      <c r="HCN75" s="497"/>
      <c r="HCO75" s="497"/>
      <c r="HCP75" s="497"/>
      <c r="HCQ75" s="497"/>
      <c r="HCR75" s="497"/>
      <c r="HCS75" s="497"/>
      <c r="HCT75" s="497"/>
      <c r="HCU75" s="497"/>
      <c r="HCV75" s="497"/>
      <c r="HCW75" s="497"/>
      <c r="HCX75" s="497"/>
      <c r="HCY75" s="497"/>
      <c r="HCZ75" s="497"/>
      <c r="HDA75" s="497"/>
      <c r="HDB75" s="497"/>
      <c r="HDC75" s="497"/>
      <c r="HDD75" s="497"/>
      <c r="HDE75" s="497"/>
      <c r="HDF75" s="497"/>
      <c r="HDG75" s="497"/>
      <c r="HDH75" s="497"/>
      <c r="HDI75" s="497"/>
      <c r="HDJ75" s="497"/>
      <c r="HDK75" s="497"/>
      <c r="HDL75" s="497"/>
      <c r="HDM75" s="497"/>
      <c r="HDN75" s="497"/>
      <c r="HDO75" s="497"/>
      <c r="HDP75" s="497"/>
      <c r="HDQ75" s="497"/>
      <c r="HDR75" s="497"/>
      <c r="HDS75" s="497"/>
      <c r="HDT75" s="497"/>
      <c r="HDU75" s="497"/>
      <c r="HDV75" s="497"/>
      <c r="HDW75" s="497"/>
      <c r="HDX75" s="497"/>
      <c r="HDY75" s="497"/>
      <c r="HDZ75" s="497"/>
      <c r="HEA75" s="497"/>
      <c r="HEB75" s="497"/>
      <c r="HEC75" s="497"/>
      <c r="HED75" s="497"/>
      <c r="HEE75" s="497"/>
      <c r="HEF75" s="497"/>
      <c r="HEG75" s="497"/>
      <c r="HEH75" s="497"/>
      <c r="HEI75" s="497"/>
      <c r="HEJ75" s="497"/>
      <c r="HEK75" s="497"/>
      <c r="HEL75" s="497"/>
      <c r="HEM75" s="497"/>
      <c r="HEN75" s="497"/>
      <c r="HEO75" s="497"/>
      <c r="HEP75" s="497"/>
      <c r="HEQ75" s="497"/>
      <c r="HER75" s="497"/>
      <c r="HES75" s="497"/>
      <c r="HET75" s="497"/>
      <c r="HEU75" s="497"/>
      <c r="HEV75" s="497"/>
      <c r="HEW75" s="497"/>
      <c r="HEX75" s="497"/>
      <c r="HEY75" s="497"/>
      <c r="HEZ75" s="497"/>
      <c r="HFA75" s="497"/>
      <c r="HFB75" s="497"/>
      <c r="HFC75" s="497"/>
      <c r="HFD75" s="497"/>
      <c r="HFE75" s="497"/>
      <c r="HFF75" s="497"/>
      <c r="HFG75" s="497"/>
      <c r="HFH75" s="497"/>
      <c r="HFI75" s="497"/>
      <c r="HFJ75" s="497"/>
      <c r="HFK75" s="497"/>
      <c r="HFL75" s="497"/>
      <c r="HFM75" s="497"/>
      <c r="HFN75" s="497"/>
      <c r="HFO75" s="497"/>
      <c r="HFP75" s="497"/>
      <c r="HFQ75" s="497"/>
      <c r="HFR75" s="497"/>
      <c r="HFS75" s="497"/>
      <c r="HFT75" s="497"/>
      <c r="HFU75" s="497"/>
      <c r="HFV75" s="497"/>
      <c r="HFW75" s="497"/>
      <c r="HFX75" s="497"/>
      <c r="HFY75" s="497"/>
      <c r="HFZ75" s="497"/>
      <c r="HGA75" s="497"/>
      <c r="HGB75" s="497"/>
      <c r="HGC75" s="497"/>
      <c r="HGD75" s="497"/>
      <c r="HGE75" s="497"/>
      <c r="HGF75" s="497"/>
      <c r="HGG75" s="497"/>
      <c r="HGH75" s="497"/>
      <c r="HGI75" s="497"/>
      <c r="HGJ75" s="497"/>
      <c r="HGK75" s="497"/>
      <c r="HGL75" s="497"/>
      <c r="HGM75" s="497"/>
      <c r="HGN75" s="497"/>
      <c r="HGO75" s="497"/>
      <c r="HGP75" s="497"/>
      <c r="HGQ75" s="497"/>
      <c r="HGR75" s="497"/>
      <c r="HGS75" s="497"/>
      <c r="HGT75" s="497"/>
      <c r="HGU75" s="497"/>
      <c r="HGV75" s="497"/>
      <c r="HGW75" s="497"/>
      <c r="HGX75" s="497"/>
      <c r="HGY75" s="497"/>
      <c r="HGZ75" s="497"/>
      <c r="HHA75" s="497"/>
      <c r="HHB75" s="497"/>
      <c r="HHC75" s="497"/>
      <c r="HHD75" s="497"/>
      <c r="HHE75" s="497"/>
      <c r="HHF75" s="497"/>
      <c r="HHG75" s="497"/>
      <c r="HHH75" s="497"/>
      <c r="HHI75" s="497"/>
      <c r="HHJ75" s="497"/>
      <c r="HHK75" s="497"/>
      <c r="HHL75" s="497"/>
      <c r="HHM75" s="497"/>
      <c r="HHN75" s="497"/>
      <c r="HHO75" s="497"/>
      <c r="HHP75" s="497"/>
      <c r="HHQ75" s="497"/>
      <c r="HHR75" s="497"/>
      <c r="HHS75" s="497"/>
      <c r="HHT75" s="497"/>
      <c r="HHU75" s="497"/>
      <c r="HHV75" s="497"/>
      <c r="HHW75" s="497"/>
      <c r="HHX75" s="497"/>
      <c r="HHY75" s="497"/>
      <c r="HHZ75" s="497"/>
      <c r="HIA75" s="497"/>
      <c r="HIB75" s="497"/>
      <c r="HIC75" s="497"/>
      <c r="HID75" s="497"/>
      <c r="HIE75" s="497"/>
      <c r="HIF75" s="497"/>
      <c r="HIG75" s="497"/>
      <c r="HIH75" s="497"/>
      <c r="HII75" s="497"/>
      <c r="HIJ75" s="497"/>
      <c r="HIK75" s="497"/>
      <c r="HIL75" s="497"/>
      <c r="HIM75" s="497"/>
      <c r="HIN75" s="497"/>
      <c r="HIO75" s="497"/>
      <c r="HIP75" s="497"/>
      <c r="HIQ75" s="497"/>
      <c r="HIR75" s="497"/>
      <c r="HIS75" s="497"/>
      <c r="HIT75" s="497"/>
      <c r="HIU75" s="497"/>
      <c r="HIV75" s="497"/>
      <c r="HIW75" s="497"/>
      <c r="HIX75" s="497"/>
      <c r="HIY75" s="497"/>
      <c r="HIZ75" s="497"/>
      <c r="HJA75" s="497"/>
      <c r="HJB75" s="497"/>
      <c r="HJC75" s="497"/>
      <c r="HJD75" s="497"/>
      <c r="HJE75" s="497"/>
      <c r="HJF75" s="497"/>
      <c r="HJG75" s="497"/>
      <c r="HJH75" s="497"/>
      <c r="HJI75" s="497"/>
      <c r="HJJ75" s="497"/>
      <c r="HJK75" s="497"/>
      <c r="HJL75" s="497"/>
      <c r="HJM75" s="497"/>
      <c r="HJN75" s="497"/>
      <c r="HJO75" s="497"/>
      <c r="HJP75" s="497"/>
      <c r="HJQ75" s="497"/>
      <c r="HJR75" s="497"/>
      <c r="HJS75" s="497"/>
      <c r="HJT75" s="497"/>
      <c r="HJU75" s="497"/>
      <c r="HJV75" s="497"/>
      <c r="HJW75" s="497"/>
      <c r="HJX75" s="497"/>
      <c r="HJY75" s="497"/>
      <c r="HJZ75" s="497"/>
      <c r="HKA75" s="497"/>
      <c r="HKB75" s="497"/>
      <c r="HKC75" s="497"/>
      <c r="HKD75" s="497"/>
      <c r="HKE75" s="497"/>
      <c r="HKF75" s="497"/>
      <c r="HKG75" s="497"/>
      <c r="HKH75" s="497"/>
      <c r="HKI75" s="497"/>
      <c r="HKJ75" s="497"/>
      <c r="HKK75" s="497"/>
      <c r="HKL75" s="497"/>
      <c r="HKM75" s="497"/>
      <c r="HKN75" s="497"/>
      <c r="HKO75" s="497"/>
      <c r="HKP75" s="497"/>
      <c r="HKQ75" s="497"/>
      <c r="HKR75" s="497"/>
      <c r="HKS75" s="497"/>
      <c r="HKT75" s="497"/>
      <c r="HKU75" s="497"/>
      <c r="HKV75" s="497"/>
      <c r="HKW75" s="497"/>
      <c r="HKX75" s="497"/>
      <c r="HKY75" s="497"/>
      <c r="HKZ75" s="497"/>
      <c r="HLA75" s="497"/>
      <c r="HLB75" s="497"/>
      <c r="HLC75" s="497"/>
      <c r="HLD75" s="497"/>
      <c r="HLE75" s="497"/>
      <c r="HLF75" s="497"/>
      <c r="HLG75" s="497"/>
      <c r="HLH75" s="497"/>
      <c r="HLI75" s="497"/>
      <c r="HLJ75" s="497"/>
      <c r="HLK75" s="497"/>
      <c r="HLL75" s="497"/>
      <c r="HLM75" s="497"/>
      <c r="HLN75" s="497"/>
      <c r="HLO75" s="497"/>
      <c r="HLP75" s="497"/>
      <c r="HLQ75" s="497"/>
      <c r="HLR75" s="497"/>
      <c r="HLS75" s="497"/>
      <c r="HLT75" s="497"/>
      <c r="HLU75" s="497"/>
      <c r="HLV75" s="497"/>
      <c r="HLW75" s="497"/>
      <c r="HLX75" s="497"/>
      <c r="HLY75" s="497"/>
      <c r="HLZ75" s="497"/>
      <c r="HMA75" s="497"/>
      <c r="HMB75" s="497"/>
      <c r="HMC75" s="497"/>
      <c r="HMD75" s="497"/>
      <c r="HME75" s="497"/>
      <c r="HMF75" s="497"/>
      <c r="HMG75" s="497"/>
      <c r="HMH75" s="497"/>
      <c r="HMI75" s="497"/>
      <c r="HMJ75" s="497"/>
      <c r="HMK75" s="497"/>
      <c r="HML75" s="497"/>
      <c r="HMM75" s="497"/>
      <c r="HMN75" s="497"/>
      <c r="HMO75" s="497"/>
      <c r="HMP75" s="497"/>
      <c r="HMQ75" s="497"/>
      <c r="HMR75" s="497"/>
      <c r="HMS75" s="497"/>
      <c r="HMT75" s="497"/>
      <c r="HMU75" s="497"/>
      <c r="HMV75" s="497"/>
      <c r="HMW75" s="497"/>
      <c r="HMX75" s="497"/>
      <c r="HMY75" s="497"/>
      <c r="HMZ75" s="497"/>
      <c r="HNA75" s="497"/>
      <c r="HNB75" s="497"/>
      <c r="HNC75" s="497"/>
      <c r="HND75" s="497"/>
      <c r="HNE75" s="497"/>
      <c r="HNF75" s="497"/>
      <c r="HNG75" s="497"/>
      <c r="HNH75" s="497"/>
      <c r="HNI75" s="497"/>
      <c r="HNJ75" s="497"/>
      <c r="HNK75" s="497"/>
      <c r="HNL75" s="497"/>
      <c r="HNM75" s="497"/>
      <c r="HNN75" s="497"/>
      <c r="HNO75" s="497"/>
      <c r="HNP75" s="497"/>
      <c r="HNQ75" s="497"/>
      <c r="HNR75" s="497"/>
      <c r="HNS75" s="497"/>
      <c r="HNT75" s="497"/>
      <c r="HNU75" s="497"/>
      <c r="HNV75" s="497"/>
      <c r="HNW75" s="497"/>
      <c r="HNX75" s="497"/>
      <c r="HNY75" s="497"/>
      <c r="HNZ75" s="497"/>
      <c r="HOA75" s="497"/>
      <c r="HOB75" s="497"/>
      <c r="HOC75" s="497"/>
      <c r="HOD75" s="497"/>
      <c r="HOE75" s="497"/>
      <c r="HOF75" s="497"/>
      <c r="HOG75" s="497"/>
      <c r="HOH75" s="497"/>
      <c r="HOI75" s="497"/>
      <c r="HOJ75" s="497"/>
      <c r="HOK75" s="497"/>
      <c r="HOL75" s="497"/>
      <c r="HOM75" s="497"/>
      <c r="HON75" s="497"/>
      <c r="HOO75" s="497"/>
      <c r="HOP75" s="497"/>
      <c r="HOQ75" s="497"/>
      <c r="HOR75" s="497"/>
      <c r="HOS75" s="497"/>
      <c r="HOT75" s="497"/>
      <c r="HOU75" s="497"/>
      <c r="HOV75" s="497"/>
      <c r="HOW75" s="497"/>
      <c r="HOX75" s="497"/>
      <c r="HOY75" s="497"/>
      <c r="HOZ75" s="497"/>
      <c r="HPA75" s="497"/>
      <c r="HPB75" s="497"/>
      <c r="HPC75" s="497"/>
      <c r="HPD75" s="497"/>
      <c r="HPE75" s="497"/>
      <c r="HPF75" s="497"/>
      <c r="HPG75" s="497"/>
      <c r="HPH75" s="497"/>
      <c r="HPI75" s="497"/>
      <c r="HPJ75" s="497"/>
      <c r="HPK75" s="497"/>
      <c r="HPL75" s="497"/>
      <c r="HPM75" s="497"/>
      <c r="HPN75" s="497"/>
      <c r="HPO75" s="497"/>
      <c r="HPP75" s="497"/>
      <c r="HPQ75" s="497"/>
      <c r="HPR75" s="497"/>
      <c r="HPS75" s="497"/>
      <c r="HPT75" s="497"/>
      <c r="HPU75" s="497"/>
      <c r="HPV75" s="497"/>
      <c r="HPW75" s="497"/>
      <c r="HPX75" s="497"/>
      <c r="HPY75" s="497"/>
      <c r="HPZ75" s="497"/>
      <c r="HQA75" s="497"/>
      <c r="HQB75" s="497"/>
      <c r="HQC75" s="497"/>
      <c r="HQD75" s="497"/>
      <c r="HQE75" s="497"/>
      <c r="HQF75" s="497"/>
      <c r="HQG75" s="497"/>
      <c r="HQH75" s="497"/>
      <c r="HQI75" s="497"/>
      <c r="HQJ75" s="497"/>
      <c r="HQK75" s="497"/>
      <c r="HQL75" s="497"/>
      <c r="HQM75" s="497"/>
      <c r="HQN75" s="497"/>
      <c r="HQO75" s="497"/>
      <c r="HQP75" s="497"/>
      <c r="HQQ75" s="497"/>
      <c r="HQR75" s="497"/>
      <c r="HQS75" s="497"/>
      <c r="HQT75" s="497"/>
      <c r="HQU75" s="497"/>
      <c r="HQV75" s="497"/>
      <c r="HQW75" s="497"/>
      <c r="HQX75" s="497"/>
      <c r="HQY75" s="497"/>
      <c r="HQZ75" s="497"/>
      <c r="HRA75" s="497"/>
      <c r="HRB75" s="497"/>
      <c r="HRC75" s="497"/>
      <c r="HRD75" s="497"/>
      <c r="HRE75" s="497"/>
      <c r="HRF75" s="497"/>
      <c r="HRG75" s="497"/>
      <c r="HRH75" s="497"/>
      <c r="HRI75" s="497"/>
      <c r="HRJ75" s="497"/>
      <c r="HRK75" s="497"/>
      <c r="HRL75" s="497"/>
      <c r="HRM75" s="497"/>
      <c r="HRN75" s="497"/>
      <c r="HRO75" s="497"/>
      <c r="HRP75" s="497"/>
      <c r="HRQ75" s="497"/>
      <c r="HRR75" s="497"/>
      <c r="HRS75" s="497"/>
      <c r="HRT75" s="497"/>
      <c r="HRU75" s="497"/>
      <c r="HRV75" s="497"/>
      <c r="HRW75" s="497"/>
      <c r="HRX75" s="497"/>
      <c r="HRY75" s="497"/>
      <c r="HRZ75" s="497"/>
      <c r="HSA75" s="497"/>
      <c r="HSB75" s="497"/>
      <c r="HSC75" s="497"/>
      <c r="HSD75" s="497"/>
      <c r="HSE75" s="497"/>
      <c r="HSF75" s="497"/>
      <c r="HSG75" s="497"/>
      <c r="HSH75" s="497"/>
      <c r="HSI75" s="497"/>
      <c r="HSJ75" s="497"/>
      <c r="HSK75" s="497"/>
      <c r="HSL75" s="497"/>
      <c r="HSM75" s="497"/>
      <c r="HSN75" s="497"/>
      <c r="HSO75" s="497"/>
      <c r="HSP75" s="497"/>
      <c r="HSQ75" s="497"/>
      <c r="HSR75" s="497"/>
      <c r="HSS75" s="497"/>
      <c r="HST75" s="497"/>
      <c r="HSU75" s="497"/>
      <c r="HSV75" s="497"/>
      <c r="HSW75" s="497"/>
      <c r="HSX75" s="497"/>
      <c r="HSY75" s="497"/>
      <c r="HSZ75" s="497"/>
      <c r="HTA75" s="497"/>
      <c r="HTB75" s="497"/>
      <c r="HTC75" s="497"/>
      <c r="HTD75" s="497"/>
      <c r="HTE75" s="497"/>
      <c r="HTF75" s="497"/>
      <c r="HTG75" s="497"/>
      <c r="HTH75" s="497"/>
      <c r="HTI75" s="497"/>
      <c r="HTJ75" s="497"/>
      <c r="HTK75" s="497"/>
      <c r="HTL75" s="497"/>
      <c r="HTM75" s="497"/>
      <c r="HTN75" s="497"/>
      <c r="HTO75" s="497"/>
      <c r="HTP75" s="497"/>
      <c r="HTQ75" s="497"/>
      <c r="HTR75" s="497"/>
      <c r="HTS75" s="497"/>
      <c r="HTT75" s="497"/>
      <c r="HTU75" s="497"/>
      <c r="HTV75" s="497"/>
      <c r="HTW75" s="497"/>
      <c r="HTX75" s="497"/>
      <c r="HTY75" s="497"/>
      <c r="HTZ75" s="497"/>
      <c r="HUA75" s="497"/>
      <c r="HUB75" s="497"/>
      <c r="HUC75" s="497"/>
      <c r="HUD75" s="497"/>
      <c r="HUE75" s="497"/>
      <c r="HUF75" s="497"/>
      <c r="HUG75" s="497"/>
      <c r="HUH75" s="497"/>
      <c r="HUI75" s="497"/>
      <c r="HUJ75" s="497"/>
      <c r="HUK75" s="497"/>
      <c r="HUL75" s="497"/>
      <c r="HUM75" s="497"/>
      <c r="HUN75" s="497"/>
      <c r="HUO75" s="497"/>
      <c r="HUP75" s="497"/>
      <c r="HUQ75" s="497"/>
      <c r="HUR75" s="497"/>
      <c r="HUS75" s="497"/>
      <c r="HUT75" s="497"/>
      <c r="HUU75" s="497"/>
      <c r="HUV75" s="497"/>
      <c r="HUW75" s="497"/>
      <c r="HUX75" s="497"/>
      <c r="HUY75" s="497"/>
      <c r="HUZ75" s="497"/>
      <c r="HVA75" s="497"/>
      <c r="HVB75" s="497"/>
      <c r="HVC75" s="497"/>
      <c r="HVD75" s="497"/>
      <c r="HVE75" s="497"/>
      <c r="HVF75" s="497"/>
      <c r="HVG75" s="497"/>
      <c r="HVH75" s="497"/>
      <c r="HVI75" s="497"/>
      <c r="HVJ75" s="497"/>
      <c r="HVK75" s="497"/>
      <c r="HVL75" s="497"/>
      <c r="HVM75" s="497"/>
      <c r="HVN75" s="497"/>
      <c r="HVO75" s="497"/>
      <c r="HVP75" s="497"/>
      <c r="HVQ75" s="497"/>
      <c r="HVR75" s="497"/>
      <c r="HVS75" s="497"/>
      <c r="HVT75" s="497"/>
      <c r="HVU75" s="497"/>
      <c r="HVV75" s="497"/>
      <c r="HVW75" s="497"/>
      <c r="HVX75" s="497"/>
      <c r="HVY75" s="497"/>
      <c r="HVZ75" s="497"/>
      <c r="HWA75" s="497"/>
      <c r="HWB75" s="497"/>
      <c r="HWC75" s="497"/>
      <c r="HWD75" s="497"/>
      <c r="HWE75" s="497"/>
      <c r="HWF75" s="497"/>
      <c r="HWG75" s="497"/>
      <c r="HWH75" s="497"/>
      <c r="HWI75" s="497"/>
      <c r="HWJ75" s="497"/>
      <c r="HWK75" s="497"/>
      <c r="HWL75" s="497"/>
      <c r="HWM75" s="497"/>
      <c r="HWN75" s="497"/>
      <c r="HWO75" s="497"/>
      <c r="HWP75" s="497"/>
      <c r="HWQ75" s="497"/>
      <c r="HWR75" s="497"/>
      <c r="HWS75" s="497"/>
      <c r="HWT75" s="497"/>
      <c r="HWU75" s="497"/>
      <c r="HWV75" s="497"/>
      <c r="HWW75" s="497"/>
      <c r="HWX75" s="497"/>
      <c r="HWY75" s="497"/>
      <c r="HWZ75" s="497"/>
      <c r="HXA75" s="497"/>
      <c r="HXB75" s="497"/>
      <c r="HXC75" s="497"/>
      <c r="HXD75" s="497"/>
      <c r="HXE75" s="497"/>
      <c r="HXF75" s="497"/>
      <c r="HXG75" s="497"/>
      <c r="HXH75" s="497"/>
      <c r="HXI75" s="497"/>
      <c r="HXJ75" s="497"/>
      <c r="HXK75" s="497"/>
      <c r="HXL75" s="497"/>
      <c r="HXM75" s="497"/>
      <c r="HXN75" s="497"/>
      <c r="HXO75" s="497"/>
      <c r="HXP75" s="497"/>
      <c r="HXQ75" s="497"/>
      <c r="HXR75" s="497"/>
      <c r="HXS75" s="497"/>
      <c r="HXT75" s="497"/>
      <c r="HXU75" s="497"/>
      <c r="HXV75" s="497"/>
      <c r="HXW75" s="497"/>
      <c r="HXX75" s="497"/>
      <c r="HXY75" s="497"/>
      <c r="HXZ75" s="497"/>
      <c r="HYA75" s="497"/>
      <c r="HYB75" s="497"/>
      <c r="HYC75" s="497"/>
      <c r="HYD75" s="497"/>
      <c r="HYE75" s="497"/>
      <c r="HYF75" s="497"/>
      <c r="HYG75" s="497"/>
      <c r="HYH75" s="497"/>
      <c r="HYI75" s="497"/>
      <c r="HYJ75" s="497"/>
      <c r="HYK75" s="497"/>
      <c r="HYL75" s="497"/>
      <c r="HYM75" s="497"/>
      <c r="HYN75" s="497"/>
      <c r="HYO75" s="497"/>
      <c r="HYP75" s="497"/>
      <c r="HYQ75" s="497"/>
      <c r="HYR75" s="497"/>
      <c r="HYS75" s="497"/>
      <c r="HYT75" s="497"/>
      <c r="HYU75" s="497"/>
      <c r="HYV75" s="497"/>
      <c r="HYW75" s="497"/>
      <c r="HYX75" s="497"/>
      <c r="HYY75" s="497"/>
      <c r="HYZ75" s="497"/>
      <c r="HZA75" s="497"/>
      <c r="HZB75" s="497"/>
      <c r="HZC75" s="497"/>
      <c r="HZD75" s="497"/>
      <c r="HZE75" s="497"/>
      <c r="HZF75" s="497"/>
      <c r="HZG75" s="497"/>
      <c r="HZH75" s="497"/>
      <c r="HZI75" s="497"/>
      <c r="HZJ75" s="497"/>
      <c r="HZK75" s="497"/>
      <c r="HZL75" s="497"/>
      <c r="HZM75" s="497"/>
      <c r="HZN75" s="497"/>
      <c r="HZO75" s="497"/>
      <c r="HZP75" s="497"/>
      <c r="HZQ75" s="497"/>
      <c r="HZR75" s="497"/>
      <c r="HZS75" s="497"/>
      <c r="HZT75" s="497"/>
      <c r="HZU75" s="497"/>
      <c r="HZV75" s="497"/>
      <c r="HZW75" s="497"/>
      <c r="HZX75" s="497"/>
      <c r="HZY75" s="497"/>
      <c r="HZZ75" s="497"/>
      <c r="IAA75" s="497"/>
      <c r="IAB75" s="497"/>
      <c r="IAC75" s="497"/>
      <c r="IAD75" s="497"/>
      <c r="IAE75" s="497"/>
      <c r="IAF75" s="497"/>
      <c r="IAG75" s="497"/>
      <c r="IAH75" s="497"/>
      <c r="IAI75" s="497"/>
      <c r="IAJ75" s="497"/>
      <c r="IAK75" s="497"/>
      <c r="IAL75" s="497"/>
      <c r="IAM75" s="497"/>
      <c r="IAN75" s="497"/>
      <c r="IAO75" s="497"/>
      <c r="IAP75" s="497"/>
      <c r="IAQ75" s="497"/>
      <c r="IAR75" s="497"/>
      <c r="IAS75" s="497"/>
      <c r="IAT75" s="497"/>
      <c r="IAU75" s="497"/>
      <c r="IAV75" s="497"/>
      <c r="IAW75" s="497"/>
      <c r="IAX75" s="497"/>
      <c r="IAY75" s="497"/>
      <c r="IAZ75" s="497"/>
      <c r="IBA75" s="497"/>
      <c r="IBB75" s="497"/>
      <c r="IBC75" s="497"/>
      <c r="IBD75" s="497"/>
      <c r="IBE75" s="497"/>
      <c r="IBF75" s="497"/>
      <c r="IBG75" s="497"/>
      <c r="IBH75" s="497"/>
      <c r="IBI75" s="497"/>
      <c r="IBJ75" s="497"/>
      <c r="IBK75" s="497"/>
      <c r="IBL75" s="497"/>
      <c r="IBM75" s="497"/>
      <c r="IBN75" s="497"/>
      <c r="IBO75" s="497"/>
      <c r="IBP75" s="497"/>
      <c r="IBQ75" s="497"/>
      <c r="IBR75" s="497"/>
      <c r="IBS75" s="497"/>
      <c r="IBT75" s="497"/>
      <c r="IBU75" s="497"/>
      <c r="IBV75" s="497"/>
      <c r="IBW75" s="497"/>
      <c r="IBX75" s="497"/>
      <c r="IBY75" s="497"/>
      <c r="IBZ75" s="497"/>
      <c r="ICA75" s="497"/>
      <c r="ICB75" s="497"/>
      <c r="ICC75" s="497"/>
      <c r="ICD75" s="497"/>
      <c r="ICE75" s="497"/>
      <c r="ICF75" s="497"/>
      <c r="ICG75" s="497"/>
      <c r="ICH75" s="497"/>
      <c r="ICI75" s="497"/>
      <c r="ICJ75" s="497"/>
      <c r="ICK75" s="497"/>
      <c r="ICL75" s="497"/>
      <c r="ICM75" s="497"/>
      <c r="ICN75" s="497"/>
      <c r="ICO75" s="497"/>
      <c r="ICP75" s="497"/>
      <c r="ICQ75" s="497"/>
      <c r="ICR75" s="497"/>
      <c r="ICS75" s="497"/>
      <c r="ICT75" s="497"/>
      <c r="ICU75" s="497"/>
      <c r="ICV75" s="497"/>
      <c r="ICW75" s="497"/>
      <c r="ICX75" s="497"/>
      <c r="ICY75" s="497"/>
      <c r="ICZ75" s="497"/>
      <c r="IDA75" s="497"/>
      <c r="IDB75" s="497"/>
      <c r="IDC75" s="497"/>
      <c r="IDD75" s="497"/>
      <c r="IDE75" s="497"/>
      <c r="IDF75" s="497"/>
      <c r="IDG75" s="497"/>
      <c r="IDH75" s="497"/>
      <c r="IDI75" s="497"/>
      <c r="IDJ75" s="497"/>
      <c r="IDK75" s="497"/>
      <c r="IDL75" s="497"/>
      <c r="IDM75" s="497"/>
      <c r="IDN75" s="497"/>
      <c r="IDO75" s="497"/>
      <c r="IDP75" s="497"/>
      <c r="IDQ75" s="497"/>
      <c r="IDR75" s="497"/>
      <c r="IDS75" s="497"/>
      <c r="IDT75" s="497"/>
      <c r="IDU75" s="497"/>
      <c r="IDV75" s="497"/>
      <c r="IDW75" s="497"/>
      <c r="IDX75" s="497"/>
      <c r="IDY75" s="497"/>
      <c r="IDZ75" s="497"/>
      <c r="IEA75" s="497"/>
      <c r="IEB75" s="497"/>
      <c r="IEC75" s="497"/>
      <c r="IED75" s="497"/>
      <c r="IEE75" s="497"/>
      <c r="IEF75" s="497"/>
      <c r="IEG75" s="497"/>
      <c r="IEH75" s="497"/>
      <c r="IEI75" s="497"/>
      <c r="IEJ75" s="497"/>
      <c r="IEK75" s="497"/>
      <c r="IEL75" s="497"/>
      <c r="IEM75" s="497"/>
      <c r="IEN75" s="497"/>
      <c r="IEO75" s="497"/>
      <c r="IEP75" s="497"/>
      <c r="IEQ75" s="497"/>
      <c r="IER75" s="497"/>
      <c r="IES75" s="497"/>
      <c r="IET75" s="497"/>
      <c r="IEU75" s="497"/>
      <c r="IEV75" s="497"/>
      <c r="IEW75" s="497"/>
      <c r="IEX75" s="497"/>
      <c r="IEY75" s="497"/>
      <c r="IEZ75" s="497"/>
      <c r="IFA75" s="497"/>
      <c r="IFB75" s="497"/>
      <c r="IFC75" s="497"/>
      <c r="IFD75" s="497"/>
      <c r="IFE75" s="497"/>
      <c r="IFF75" s="497"/>
      <c r="IFG75" s="497"/>
      <c r="IFH75" s="497"/>
      <c r="IFI75" s="497"/>
      <c r="IFJ75" s="497"/>
      <c r="IFK75" s="497"/>
      <c r="IFL75" s="497"/>
      <c r="IFM75" s="497"/>
      <c r="IFN75" s="497"/>
      <c r="IFO75" s="497"/>
      <c r="IFP75" s="497"/>
      <c r="IFQ75" s="497"/>
      <c r="IFR75" s="497"/>
      <c r="IFS75" s="497"/>
      <c r="IFT75" s="497"/>
      <c r="IFU75" s="497"/>
      <c r="IFV75" s="497"/>
      <c r="IFW75" s="497"/>
      <c r="IFX75" s="497"/>
      <c r="IFY75" s="497"/>
      <c r="IFZ75" s="497"/>
      <c r="IGA75" s="497"/>
      <c r="IGB75" s="497"/>
      <c r="IGC75" s="497"/>
      <c r="IGD75" s="497"/>
      <c r="IGE75" s="497"/>
      <c r="IGF75" s="497"/>
      <c r="IGG75" s="497"/>
      <c r="IGH75" s="497"/>
      <c r="IGI75" s="497"/>
      <c r="IGJ75" s="497"/>
      <c r="IGK75" s="497"/>
      <c r="IGL75" s="497"/>
      <c r="IGM75" s="497"/>
      <c r="IGN75" s="497"/>
      <c r="IGO75" s="497"/>
      <c r="IGP75" s="497"/>
      <c r="IGQ75" s="497"/>
      <c r="IGR75" s="497"/>
      <c r="IGS75" s="497"/>
      <c r="IGT75" s="497"/>
      <c r="IGU75" s="497"/>
      <c r="IGV75" s="497"/>
      <c r="IGW75" s="497"/>
      <c r="IGX75" s="497"/>
      <c r="IGY75" s="497"/>
      <c r="IGZ75" s="497"/>
      <c r="IHA75" s="497"/>
      <c r="IHB75" s="497"/>
      <c r="IHC75" s="497"/>
      <c r="IHD75" s="497"/>
      <c r="IHE75" s="497"/>
      <c r="IHF75" s="497"/>
      <c r="IHG75" s="497"/>
      <c r="IHH75" s="497"/>
      <c r="IHI75" s="497"/>
      <c r="IHJ75" s="497"/>
      <c r="IHK75" s="497"/>
      <c r="IHL75" s="497"/>
      <c r="IHM75" s="497"/>
      <c r="IHN75" s="497"/>
      <c r="IHO75" s="497"/>
      <c r="IHP75" s="497"/>
      <c r="IHQ75" s="497"/>
      <c r="IHR75" s="497"/>
      <c r="IHS75" s="497"/>
      <c r="IHT75" s="497"/>
      <c r="IHU75" s="497"/>
      <c r="IHV75" s="497"/>
      <c r="IHW75" s="497"/>
      <c r="IHX75" s="497"/>
      <c r="IHY75" s="497"/>
      <c r="IHZ75" s="497"/>
      <c r="IIA75" s="497"/>
      <c r="IIB75" s="497"/>
      <c r="IIC75" s="497"/>
      <c r="IID75" s="497"/>
      <c r="IIE75" s="497"/>
      <c r="IIF75" s="497"/>
      <c r="IIG75" s="497"/>
      <c r="IIH75" s="497"/>
      <c r="III75" s="497"/>
      <c r="IIJ75" s="497"/>
      <c r="IIK75" s="497"/>
      <c r="IIL75" s="497"/>
      <c r="IIM75" s="497"/>
      <c r="IIN75" s="497"/>
      <c r="IIO75" s="497"/>
      <c r="IIP75" s="497"/>
      <c r="IIQ75" s="497"/>
      <c r="IIR75" s="497"/>
      <c r="IIS75" s="497"/>
      <c r="IIT75" s="497"/>
      <c r="IIU75" s="497"/>
      <c r="IIV75" s="497"/>
      <c r="IIW75" s="497"/>
      <c r="IIX75" s="497"/>
      <c r="IIY75" s="497"/>
      <c r="IIZ75" s="497"/>
      <c r="IJA75" s="497"/>
      <c r="IJB75" s="497"/>
      <c r="IJC75" s="497"/>
      <c r="IJD75" s="497"/>
      <c r="IJE75" s="497"/>
      <c r="IJF75" s="497"/>
      <c r="IJG75" s="497"/>
      <c r="IJH75" s="497"/>
      <c r="IJI75" s="497"/>
      <c r="IJJ75" s="497"/>
      <c r="IJK75" s="497"/>
      <c r="IJL75" s="497"/>
      <c r="IJM75" s="497"/>
      <c r="IJN75" s="497"/>
      <c r="IJO75" s="497"/>
      <c r="IJP75" s="497"/>
      <c r="IJQ75" s="497"/>
      <c r="IJR75" s="497"/>
      <c r="IJS75" s="497"/>
      <c r="IJT75" s="497"/>
      <c r="IJU75" s="497"/>
      <c r="IJV75" s="497"/>
      <c r="IJW75" s="497"/>
      <c r="IJX75" s="497"/>
      <c r="IJY75" s="497"/>
      <c r="IJZ75" s="497"/>
      <c r="IKA75" s="497"/>
      <c r="IKB75" s="497"/>
      <c r="IKC75" s="497"/>
      <c r="IKD75" s="497"/>
      <c r="IKE75" s="497"/>
      <c r="IKF75" s="497"/>
      <c r="IKG75" s="497"/>
      <c r="IKH75" s="497"/>
      <c r="IKI75" s="497"/>
      <c r="IKJ75" s="497"/>
      <c r="IKK75" s="497"/>
      <c r="IKL75" s="497"/>
      <c r="IKM75" s="497"/>
      <c r="IKN75" s="497"/>
      <c r="IKO75" s="497"/>
      <c r="IKP75" s="497"/>
      <c r="IKQ75" s="497"/>
      <c r="IKR75" s="497"/>
      <c r="IKS75" s="497"/>
      <c r="IKT75" s="497"/>
      <c r="IKU75" s="497"/>
      <c r="IKV75" s="497"/>
      <c r="IKW75" s="497"/>
      <c r="IKX75" s="497"/>
      <c r="IKY75" s="497"/>
      <c r="IKZ75" s="497"/>
      <c r="ILA75" s="497"/>
      <c r="ILB75" s="497"/>
      <c r="ILC75" s="497"/>
      <c r="ILD75" s="497"/>
      <c r="ILE75" s="497"/>
      <c r="ILF75" s="497"/>
      <c r="ILG75" s="497"/>
      <c r="ILH75" s="497"/>
      <c r="ILI75" s="497"/>
      <c r="ILJ75" s="497"/>
      <c r="ILK75" s="497"/>
      <c r="ILL75" s="497"/>
      <c r="ILM75" s="497"/>
      <c r="ILN75" s="497"/>
      <c r="ILO75" s="497"/>
      <c r="ILP75" s="497"/>
      <c r="ILQ75" s="497"/>
      <c r="ILR75" s="497"/>
      <c r="ILS75" s="497"/>
      <c r="ILT75" s="497"/>
      <c r="ILU75" s="497"/>
      <c r="ILV75" s="497"/>
      <c r="ILW75" s="497"/>
      <c r="ILX75" s="497"/>
      <c r="ILY75" s="497"/>
      <c r="ILZ75" s="497"/>
      <c r="IMA75" s="497"/>
      <c r="IMB75" s="497"/>
      <c r="IMC75" s="497"/>
      <c r="IMD75" s="497"/>
      <c r="IME75" s="497"/>
      <c r="IMF75" s="497"/>
      <c r="IMG75" s="497"/>
      <c r="IMH75" s="497"/>
      <c r="IMI75" s="497"/>
      <c r="IMJ75" s="497"/>
      <c r="IMK75" s="497"/>
      <c r="IML75" s="497"/>
      <c r="IMM75" s="497"/>
      <c r="IMN75" s="497"/>
      <c r="IMO75" s="497"/>
      <c r="IMP75" s="497"/>
      <c r="IMQ75" s="497"/>
      <c r="IMR75" s="497"/>
      <c r="IMS75" s="497"/>
      <c r="IMT75" s="497"/>
      <c r="IMU75" s="497"/>
      <c r="IMV75" s="497"/>
      <c r="IMW75" s="497"/>
      <c r="IMX75" s="497"/>
      <c r="IMY75" s="497"/>
      <c r="IMZ75" s="497"/>
      <c r="INA75" s="497"/>
      <c r="INB75" s="497"/>
      <c r="INC75" s="497"/>
      <c r="IND75" s="497"/>
      <c r="INE75" s="497"/>
      <c r="INF75" s="497"/>
      <c r="ING75" s="497"/>
      <c r="INH75" s="497"/>
      <c r="INI75" s="497"/>
      <c r="INJ75" s="497"/>
      <c r="INK75" s="497"/>
      <c r="INL75" s="497"/>
      <c r="INM75" s="497"/>
      <c r="INN75" s="497"/>
      <c r="INO75" s="497"/>
      <c r="INP75" s="497"/>
      <c r="INQ75" s="497"/>
      <c r="INR75" s="497"/>
      <c r="INS75" s="497"/>
      <c r="INT75" s="497"/>
      <c r="INU75" s="497"/>
      <c r="INV75" s="497"/>
      <c r="INW75" s="497"/>
      <c r="INX75" s="497"/>
      <c r="INY75" s="497"/>
      <c r="INZ75" s="497"/>
      <c r="IOA75" s="497"/>
      <c r="IOB75" s="497"/>
      <c r="IOC75" s="497"/>
      <c r="IOD75" s="497"/>
      <c r="IOE75" s="497"/>
      <c r="IOF75" s="497"/>
      <c r="IOG75" s="497"/>
      <c r="IOH75" s="497"/>
      <c r="IOI75" s="497"/>
      <c r="IOJ75" s="497"/>
      <c r="IOK75" s="497"/>
      <c r="IOL75" s="497"/>
      <c r="IOM75" s="497"/>
      <c r="ION75" s="497"/>
      <c r="IOO75" s="497"/>
      <c r="IOP75" s="497"/>
      <c r="IOQ75" s="497"/>
      <c r="IOR75" s="497"/>
      <c r="IOS75" s="497"/>
      <c r="IOT75" s="497"/>
      <c r="IOU75" s="497"/>
      <c r="IOV75" s="497"/>
      <c r="IOW75" s="497"/>
      <c r="IOX75" s="497"/>
      <c r="IOY75" s="497"/>
      <c r="IOZ75" s="497"/>
      <c r="IPA75" s="497"/>
      <c r="IPB75" s="497"/>
      <c r="IPC75" s="497"/>
      <c r="IPD75" s="497"/>
      <c r="IPE75" s="497"/>
      <c r="IPF75" s="497"/>
      <c r="IPG75" s="497"/>
      <c r="IPH75" s="497"/>
      <c r="IPI75" s="497"/>
      <c r="IPJ75" s="497"/>
      <c r="IPK75" s="497"/>
      <c r="IPL75" s="497"/>
      <c r="IPM75" s="497"/>
      <c r="IPN75" s="497"/>
      <c r="IPO75" s="497"/>
      <c r="IPP75" s="497"/>
      <c r="IPQ75" s="497"/>
      <c r="IPR75" s="497"/>
      <c r="IPS75" s="497"/>
      <c r="IPT75" s="497"/>
      <c r="IPU75" s="497"/>
      <c r="IPV75" s="497"/>
      <c r="IPW75" s="497"/>
      <c r="IPX75" s="497"/>
      <c r="IPY75" s="497"/>
      <c r="IPZ75" s="497"/>
      <c r="IQA75" s="497"/>
      <c r="IQB75" s="497"/>
      <c r="IQC75" s="497"/>
      <c r="IQD75" s="497"/>
      <c r="IQE75" s="497"/>
      <c r="IQF75" s="497"/>
      <c r="IQG75" s="497"/>
      <c r="IQH75" s="497"/>
      <c r="IQI75" s="497"/>
      <c r="IQJ75" s="497"/>
      <c r="IQK75" s="497"/>
      <c r="IQL75" s="497"/>
      <c r="IQM75" s="497"/>
      <c r="IQN75" s="497"/>
      <c r="IQO75" s="497"/>
      <c r="IQP75" s="497"/>
      <c r="IQQ75" s="497"/>
      <c r="IQR75" s="497"/>
      <c r="IQS75" s="497"/>
      <c r="IQT75" s="497"/>
      <c r="IQU75" s="497"/>
      <c r="IQV75" s="497"/>
      <c r="IQW75" s="497"/>
      <c r="IQX75" s="497"/>
      <c r="IQY75" s="497"/>
      <c r="IQZ75" s="497"/>
      <c r="IRA75" s="497"/>
      <c r="IRB75" s="497"/>
      <c r="IRC75" s="497"/>
      <c r="IRD75" s="497"/>
      <c r="IRE75" s="497"/>
      <c r="IRF75" s="497"/>
      <c r="IRG75" s="497"/>
      <c r="IRH75" s="497"/>
      <c r="IRI75" s="497"/>
      <c r="IRJ75" s="497"/>
      <c r="IRK75" s="497"/>
      <c r="IRL75" s="497"/>
      <c r="IRM75" s="497"/>
      <c r="IRN75" s="497"/>
      <c r="IRO75" s="497"/>
      <c r="IRP75" s="497"/>
      <c r="IRQ75" s="497"/>
      <c r="IRR75" s="497"/>
      <c r="IRS75" s="497"/>
      <c r="IRT75" s="497"/>
      <c r="IRU75" s="497"/>
      <c r="IRV75" s="497"/>
      <c r="IRW75" s="497"/>
      <c r="IRX75" s="497"/>
      <c r="IRY75" s="497"/>
      <c r="IRZ75" s="497"/>
      <c r="ISA75" s="497"/>
      <c r="ISB75" s="497"/>
      <c r="ISC75" s="497"/>
      <c r="ISD75" s="497"/>
      <c r="ISE75" s="497"/>
      <c r="ISF75" s="497"/>
      <c r="ISG75" s="497"/>
      <c r="ISH75" s="497"/>
      <c r="ISI75" s="497"/>
      <c r="ISJ75" s="497"/>
      <c r="ISK75" s="497"/>
      <c r="ISL75" s="497"/>
      <c r="ISM75" s="497"/>
      <c r="ISN75" s="497"/>
      <c r="ISO75" s="497"/>
      <c r="ISP75" s="497"/>
      <c r="ISQ75" s="497"/>
      <c r="ISR75" s="497"/>
      <c r="ISS75" s="497"/>
      <c r="IST75" s="497"/>
      <c r="ISU75" s="497"/>
      <c r="ISV75" s="497"/>
      <c r="ISW75" s="497"/>
      <c r="ISX75" s="497"/>
      <c r="ISY75" s="497"/>
      <c r="ISZ75" s="497"/>
      <c r="ITA75" s="497"/>
      <c r="ITB75" s="497"/>
      <c r="ITC75" s="497"/>
      <c r="ITD75" s="497"/>
      <c r="ITE75" s="497"/>
      <c r="ITF75" s="497"/>
      <c r="ITG75" s="497"/>
      <c r="ITH75" s="497"/>
      <c r="ITI75" s="497"/>
      <c r="ITJ75" s="497"/>
      <c r="ITK75" s="497"/>
      <c r="ITL75" s="497"/>
      <c r="ITM75" s="497"/>
      <c r="ITN75" s="497"/>
      <c r="ITO75" s="497"/>
      <c r="ITP75" s="497"/>
      <c r="ITQ75" s="497"/>
      <c r="ITR75" s="497"/>
      <c r="ITS75" s="497"/>
      <c r="ITT75" s="497"/>
      <c r="ITU75" s="497"/>
      <c r="ITV75" s="497"/>
      <c r="ITW75" s="497"/>
      <c r="ITX75" s="497"/>
      <c r="ITY75" s="497"/>
      <c r="ITZ75" s="497"/>
      <c r="IUA75" s="497"/>
      <c r="IUB75" s="497"/>
      <c r="IUC75" s="497"/>
      <c r="IUD75" s="497"/>
      <c r="IUE75" s="497"/>
      <c r="IUF75" s="497"/>
      <c r="IUG75" s="497"/>
      <c r="IUH75" s="497"/>
      <c r="IUI75" s="497"/>
      <c r="IUJ75" s="497"/>
      <c r="IUK75" s="497"/>
      <c r="IUL75" s="497"/>
      <c r="IUM75" s="497"/>
      <c r="IUN75" s="497"/>
      <c r="IUO75" s="497"/>
      <c r="IUP75" s="497"/>
      <c r="IUQ75" s="497"/>
      <c r="IUR75" s="497"/>
      <c r="IUS75" s="497"/>
      <c r="IUT75" s="497"/>
      <c r="IUU75" s="497"/>
      <c r="IUV75" s="497"/>
      <c r="IUW75" s="497"/>
      <c r="IUX75" s="497"/>
      <c r="IUY75" s="497"/>
      <c r="IUZ75" s="497"/>
      <c r="IVA75" s="497"/>
      <c r="IVB75" s="497"/>
      <c r="IVC75" s="497"/>
      <c r="IVD75" s="497"/>
      <c r="IVE75" s="497"/>
      <c r="IVF75" s="497"/>
      <c r="IVG75" s="497"/>
      <c r="IVH75" s="497"/>
      <c r="IVI75" s="497"/>
      <c r="IVJ75" s="497"/>
      <c r="IVK75" s="497"/>
      <c r="IVL75" s="497"/>
      <c r="IVM75" s="497"/>
      <c r="IVN75" s="497"/>
      <c r="IVO75" s="497"/>
      <c r="IVP75" s="497"/>
      <c r="IVQ75" s="497"/>
      <c r="IVR75" s="497"/>
      <c r="IVS75" s="497"/>
      <c r="IVT75" s="497"/>
      <c r="IVU75" s="497"/>
      <c r="IVV75" s="497"/>
      <c r="IVW75" s="497"/>
      <c r="IVX75" s="497"/>
      <c r="IVY75" s="497"/>
      <c r="IVZ75" s="497"/>
      <c r="IWA75" s="497"/>
      <c r="IWB75" s="497"/>
      <c r="IWC75" s="497"/>
      <c r="IWD75" s="497"/>
      <c r="IWE75" s="497"/>
      <c r="IWF75" s="497"/>
      <c r="IWG75" s="497"/>
      <c r="IWH75" s="497"/>
      <c r="IWI75" s="497"/>
      <c r="IWJ75" s="497"/>
      <c r="IWK75" s="497"/>
      <c r="IWL75" s="497"/>
      <c r="IWM75" s="497"/>
      <c r="IWN75" s="497"/>
      <c r="IWO75" s="497"/>
      <c r="IWP75" s="497"/>
      <c r="IWQ75" s="497"/>
      <c r="IWR75" s="497"/>
      <c r="IWS75" s="497"/>
      <c r="IWT75" s="497"/>
      <c r="IWU75" s="497"/>
      <c r="IWV75" s="497"/>
      <c r="IWW75" s="497"/>
      <c r="IWX75" s="497"/>
      <c r="IWY75" s="497"/>
      <c r="IWZ75" s="497"/>
      <c r="IXA75" s="497"/>
      <c r="IXB75" s="497"/>
      <c r="IXC75" s="497"/>
      <c r="IXD75" s="497"/>
      <c r="IXE75" s="497"/>
      <c r="IXF75" s="497"/>
      <c r="IXG75" s="497"/>
      <c r="IXH75" s="497"/>
      <c r="IXI75" s="497"/>
      <c r="IXJ75" s="497"/>
      <c r="IXK75" s="497"/>
      <c r="IXL75" s="497"/>
      <c r="IXM75" s="497"/>
      <c r="IXN75" s="497"/>
      <c r="IXO75" s="497"/>
      <c r="IXP75" s="497"/>
      <c r="IXQ75" s="497"/>
      <c r="IXR75" s="497"/>
      <c r="IXS75" s="497"/>
      <c r="IXT75" s="497"/>
      <c r="IXU75" s="497"/>
      <c r="IXV75" s="497"/>
      <c r="IXW75" s="497"/>
      <c r="IXX75" s="497"/>
      <c r="IXY75" s="497"/>
      <c r="IXZ75" s="497"/>
      <c r="IYA75" s="497"/>
      <c r="IYB75" s="497"/>
      <c r="IYC75" s="497"/>
      <c r="IYD75" s="497"/>
      <c r="IYE75" s="497"/>
      <c r="IYF75" s="497"/>
      <c r="IYG75" s="497"/>
      <c r="IYH75" s="497"/>
      <c r="IYI75" s="497"/>
      <c r="IYJ75" s="497"/>
      <c r="IYK75" s="497"/>
      <c r="IYL75" s="497"/>
      <c r="IYM75" s="497"/>
      <c r="IYN75" s="497"/>
      <c r="IYO75" s="497"/>
      <c r="IYP75" s="497"/>
      <c r="IYQ75" s="497"/>
      <c r="IYR75" s="497"/>
      <c r="IYS75" s="497"/>
      <c r="IYT75" s="497"/>
      <c r="IYU75" s="497"/>
      <c r="IYV75" s="497"/>
      <c r="IYW75" s="497"/>
      <c r="IYX75" s="497"/>
      <c r="IYY75" s="497"/>
      <c r="IYZ75" s="497"/>
      <c r="IZA75" s="497"/>
      <c r="IZB75" s="497"/>
      <c r="IZC75" s="497"/>
      <c r="IZD75" s="497"/>
      <c r="IZE75" s="497"/>
      <c r="IZF75" s="497"/>
      <c r="IZG75" s="497"/>
      <c r="IZH75" s="497"/>
      <c r="IZI75" s="497"/>
      <c r="IZJ75" s="497"/>
      <c r="IZK75" s="497"/>
      <c r="IZL75" s="497"/>
      <c r="IZM75" s="497"/>
      <c r="IZN75" s="497"/>
      <c r="IZO75" s="497"/>
      <c r="IZP75" s="497"/>
      <c r="IZQ75" s="497"/>
      <c r="IZR75" s="497"/>
      <c r="IZS75" s="497"/>
      <c r="IZT75" s="497"/>
      <c r="IZU75" s="497"/>
      <c r="IZV75" s="497"/>
      <c r="IZW75" s="497"/>
      <c r="IZX75" s="497"/>
      <c r="IZY75" s="497"/>
      <c r="IZZ75" s="497"/>
      <c r="JAA75" s="497"/>
      <c r="JAB75" s="497"/>
      <c r="JAC75" s="497"/>
      <c r="JAD75" s="497"/>
      <c r="JAE75" s="497"/>
      <c r="JAF75" s="497"/>
      <c r="JAG75" s="497"/>
      <c r="JAH75" s="497"/>
      <c r="JAI75" s="497"/>
      <c r="JAJ75" s="497"/>
      <c r="JAK75" s="497"/>
      <c r="JAL75" s="497"/>
      <c r="JAM75" s="497"/>
      <c r="JAN75" s="497"/>
      <c r="JAO75" s="497"/>
      <c r="JAP75" s="497"/>
      <c r="JAQ75" s="497"/>
      <c r="JAR75" s="497"/>
      <c r="JAS75" s="497"/>
      <c r="JAT75" s="497"/>
      <c r="JAU75" s="497"/>
      <c r="JAV75" s="497"/>
      <c r="JAW75" s="497"/>
      <c r="JAX75" s="497"/>
      <c r="JAY75" s="497"/>
      <c r="JAZ75" s="497"/>
      <c r="JBA75" s="497"/>
      <c r="JBB75" s="497"/>
      <c r="JBC75" s="497"/>
      <c r="JBD75" s="497"/>
      <c r="JBE75" s="497"/>
      <c r="JBF75" s="497"/>
      <c r="JBG75" s="497"/>
      <c r="JBH75" s="497"/>
      <c r="JBI75" s="497"/>
      <c r="JBJ75" s="497"/>
      <c r="JBK75" s="497"/>
      <c r="JBL75" s="497"/>
      <c r="JBM75" s="497"/>
      <c r="JBN75" s="497"/>
      <c r="JBO75" s="497"/>
      <c r="JBP75" s="497"/>
      <c r="JBQ75" s="497"/>
      <c r="JBR75" s="497"/>
      <c r="JBS75" s="497"/>
      <c r="JBT75" s="497"/>
      <c r="JBU75" s="497"/>
      <c r="JBV75" s="497"/>
      <c r="JBW75" s="497"/>
      <c r="JBX75" s="497"/>
      <c r="JBY75" s="497"/>
      <c r="JBZ75" s="497"/>
      <c r="JCA75" s="497"/>
      <c r="JCB75" s="497"/>
      <c r="JCC75" s="497"/>
      <c r="JCD75" s="497"/>
      <c r="JCE75" s="497"/>
      <c r="JCF75" s="497"/>
      <c r="JCG75" s="497"/>
      <c r="JCH75" s="497"/>
      <c r="JCI75" s="497"/>
      <c r="JCJ75" s="497"/>
      <c r="JCK75" s="497"/>
      <c r="JCL75" s="497"/>
      <c r="JCM75" s="497"/>
      <c r="JCN75" s="497"/>
      <c r="JCO75" s="497"/>
      <c r="JCP75" s="497"/>
      <c r="JCQ75" s="497"/>
      <c r="JCR75" s="497"/>
      <c r="JCS75" s="497"/>
      <c r="JCT75" s="497"/>
      <c r="JCU75" s="497"/>
      <c r="JCV75" s="497"/>
      <c r="JCW75" s="497"/>
      <c r="JCX75" s="497"/>
      <c r="JCY75" s="497"/>
      <c r="JCZ75" s="497"/>
      <c r="JDA75" s="497"/>
      <c r="JDB75" s="497"/>
      <c r="JDC75" s="497"/>
      <c r="JDD75" s="497"/>
      <c r="JDE75" s="497"/>
      <c r="JDF75" s="497"/>
      <c r="JDG75" s="497"/>
      <c r="JDH75" s="497"/>
      <c r="JDI75" s="497"/>
      <c r="JDJ75" s="497"/>
      <c r="JDK75" s="497"/>
      <c r="JDL75" s="497"/>
      <c r="JDM75" s="497"/>
      <c r="JDN75" s="497"/>
      <c r="JDO75" s="497"/>
      <c r="JDP75" s="497"/>
      <c r="JDQ75" s="497"/>
      <c r="JDR75" s="497"/>
      <c r="JDS75" s="497"/>
      <c r="JDT75" s="497"/>
      <c r="JDU75" s="497"/>
      <c r="JDV75" s="497"/>
      <c r="JDW75" s="497"/>
      <c r="JDX75" s="497"/>
      <c r="JDY75" s="497"/>
      <c r="JDZ75" s="497"/>
      <c r="JEA75" s="497"/>
      <c r="JEB75" s="497"/>
      <c r="JEC75" s="497"/>
      <c r="JED75" s="497"/>
      <c r="JEE75" s="497"/>
      <c r="JEF75" s="497"/>
      <c r="JEG75" s="497"/>
      <c r="JEH75" s="497"/>
      <c r="JEI75" s="497"/>
      <c r="JEJ75" s="497"/>
      <c r="JEK75" s="497"/>
      <c r="JEL75" s="497"/>
      <c r="JEM75" s="497"/>
      <c r="JEN75" s="497"/>
      <c r="JEO75" s="497"/>
      <c r="JEP75" s="497"/>
      <c r="JEQ75" s="497"/>
      <c r="JER75" s="497"/>
      <c r="JES75" s="497"/>
      <c r="JET75" s="497"/>
      <c r="JEU75" s="497"/>
      <c r="JEV75" s="497"/>
      <c r="JEW75" s="497"/>
      <c r="JEX75" s="497"/>
      <c r="JEY75" s="497"/>
      <c r="JEZ75" s="497"/>
      <c r="JFA75" s="497"/>
      <c r="JFB75" s="497"/>
      <c r="JFC75" s="497"/>
      <c r="JFD75" s="497"/>
      <c r="JFE75" s="497"/>
      <c r="JFF75" s="497"/>
      <c r="JFG75" s="497"/>
      <c r="JFH75" s="497"/>
      <c r="JFI75" s="497"/>
      <c r="JFJ75" s="497"/>
      <c r="JFK75" s="497"/>
      <c r="JFL75" s="497"/>
      <c r="JFM75" s="497"/>
      <c r="JFN75" s="497"/>
      <c r="JFO75" s="497"/>
      <c r="JFP75" s="497"/>
      <c r="JFQ75" s="497"/>
      <c r="JFR75" s="497"/>
      <c r="JFS75" s="497"/>
      <c r="JFT75" s="497"/>
      <c r="JFU75" s="497"/>
      <c r="JFV75" s="497"/>
      <c r="JFW75" s="497"/>
      <c r="JFX75" s="497"/>
      <c r="JFY75" s="497"/>
      <c r="JFZ75" s="497"/>
      <c r="JGA75" s="497"/>
      <c r="JGB75" s="497"/>
      <c r="JGC75" s="497"/>
      <c r="JGD75" s="497"/>
      <c r="JGE75" s="497"/>
      <c r="JGF75" s="497"/>
      <c r="JGG75" s="497"/>
      <c r="JGH75" s="497"/>
      <c r="JGI75" s="497"/>
      <c r="JGJ75" s="497"/>
      <c r="JGK75" s="497"/>
      <c r="JGL75" s="497"/>
      <c r="JGM75" s="497"/>
      <c r="JGN75" s="497"/>
      <c r="JGO75" s="497"/>
      <c r="JGP75" s="497"/>
      <c r="JGQ75" s="497"/>
      <c r="JGR75" s="497"/>
      <c r="JGS75" s="497"/>
      <c r="JGT75" s="497"/>
      <c r="JGU75" s="497"/>
      <c r="JGV75" s="497"/>
      <c r="JGW75" s="497"/>
      <c r="JGX75" s="497"/>
      <c r="JGY75" s="497"/>
      <c r="JGZ75" s="497"/>
      <c r="JHA75" s="497"/>
      <c r="JHB75" s="497"/>
      <c r="JHC75" s="497"/>
      <c r="JHD75" s="497"/>
      <c r="JHE75" s="497"/>
      <c r="JHF75" s="497"/>
      <c r="JHG75" s="497"/>
      <c r="JHH75" s="497"/>
      <c r="JHI75" s="497"/>
      <c r="JHJ75" s="497"/>
      <c r="JHK75" s="497"/>
      <c r="JHL75" s="497"/>
      <c r="JHM75" s="497"/>
      <c r="JHN75" s="497"/>
      <c r="JHO75" s="497"/>
      <c r="JHP75" s="497"/>
      <c r="JHQ75" s="497"/>
      <c r="JHR75" s="497"/>
      <c r="JHS75" s="497"/>
      <c r="JHT75" s="497"/>
      <c r="JHU75" s="497"/>
      <c r="JHV75" s="497"/>
      <c r="JHW75" s="497"/>
      <c r="JHX75" s="497"/>
      <c r="JHY75" s="497"/>
      <c r="JHZ75" s="497"/>
      <c r="JIA75" s="497"/>
      <c r="JIB75" s="497"/>
      <c r="JIC75" s="497"/>
      <c r="JID75" s="497"/>
      <c r="JIE75" s="497"/>
      <c r="JIF75" s="497"/>
      <c r="JIG75" s="497"/>
      <c r="JIH75" s="497"/>
      <c r="JII75" s="497"/>
      <c r="JIJ75" s="497"/>
      <c r="JIK75" s="497"/>
      <c r="JIL75" s="497"/>
      <c r="JIM75" s="497"/>
      <c r="JIN75" s="497"/>
      <c r="JIO75" s="497"/>
      <c r="JIP75" s="497"/>
      <c r="JIQ75" s="497"/>
      <c r="JIR75" s="497"/>
      <c r="JIS75" s="497"/>
      <c r="JIT75" s="497"/>
      <c r="JIU75" s="497"/>
      <c r="JIV75" s="497"/>
      <c r="JIW75" s="497"/>
      <c r="JIX75" s="497"/>
      <c r="JIY75" s="497"/>
      <c r="JIZ75" s="497"/>
      <c r="JJA75" s="497"/>
      <c r="JJB75" s="497"/>
      <c r="JJC75" s="497"/>
      <c r="JJD75" s="497"/>
      <c r="JJE75" s="497"/>
      <c r="JJF75" s="497"/>
      <c r="JJG75" s="497"/>
      <c r="JJH75" s="497"/>
      <c r="JJI75" s="497"/>
      <c r="JJJ75" s="497"/>
      <c r="JJK75" s="497"/>
      <c r="JJL75" s="497"/>
      <c r="JJM75" s="497"/>
      <c r="JJN75" s="497"/>
      <c r="JJO75" s="497"/>
      <c r="JJP75" s="497"/>
      <c r="JJQ75" s="497"/>
      <c r="JJR75" s="497"/>
      <c r="JJS75" s="497"/>
      <c r="JJT75" s="497"/>
      <c r="JJU75" s="497"/>
      <c r="JJV75" s="497"/>
      <c r="JJW75" s="497"/>
      <c r="JJX75" s="497"/>
      <c r="JJY75" s="497"/>
      <c r="JJZ75" s="497"/>
      <c r="JKA75" s="497"/>
      <c r="JKB75" s="497"/>
      <c r="JKC75" s="497"/>
      <c r="JKD75" s="497"/>
      <c r="JKE75" s="497"/>
      <c r="JKF75" s="497"/>
      <c r="JKG75" s="497"/>
      <c r="JKH75" s="497"/>
      <c r="JKI75" s="497"/>
      <c r="JKJ75" s="497"/>
      <c r="JKK75" s="497"/>
      <c r="JKL75" s="497"/>
      <c r="JKM75" s="497"/>
      <c r="JKN75" s="497"/>
      <c r="JKO75" s="497"/>
      <c r="JKP75" s="497"/>
      <c r="JKQ75" s="497"/>
      <c r="JKR75" s="497"/>
      <c r="JKS75" s="497"/>
      <c r="JKT75" s="497"/>
      <c r="JKU75" s="497"/>
      <c r="JKV75" s="497"/>
      <c r="JKW75" s="497"/>
      <c r="JKX75" s="497"/>
      <c r="JKY75" s="497"/>
      <c r="JKZ75" s="497"/>
      <c r="JLA75" s="497"/>
      <c r="JLB75" s="497"/>
      <c r="JLC75" s="497"/>
      <c r="JLD75" s="497"/>
      <c r="JLE75" s="497"/>
      <c r="JLF75" s="497"/>
      <c r="JLG75" s="497"/>
      <c r="JLH75" s="497"/>
      <c r="JLI75" s="497"/>
      <c r="JLJ75" s="497"/>
      <c r="JLK75" s="497"/>
      <c r="JLL75" s="497"/>
      <c r="JLM75" s="497"/>
      <c r="JLN75" s="497"/>
      <c r="JLO75" s="497"/>
      <c r="JLP75" s="497"/>
      <c r="JLQ75" s="497"/>
      <c r="JLR75" s="497"/>
      <c r="JLS75" s="497"/>
      <c r="JLT75" s="497"/>
      <c r="JLU75" s="497"/>
      <c r="JLV75" s="497"/>
      <c r="JLW75" s="497"/>
      <c r="JLX75" s="497"/>
      <c r="JLY75" s="497"/>
      <c r="JLZ75" s="497"/>
      <c r="JMA75" s="497"/>
      <c r="JMB75" s="497"/>
      <c r="JMC75" s="497"/>
      <c r="JMD75" s="497"/>
      <c r="JME75" s="497"/>
      <c r="JMF75" s="497"/>
      <c r="JMG75" s="497"/>
      <c r="JMH75" s="497"/>
      <c r="JMI75" s="497"/>
      <c r="JMJ75" s="497"/>
      <c r="JMK75" s="497"/>
      <c r="JML75" s="497"/>
      <c r="JMM75" s="497"/>
      <c r="JMN75" s="497"/>
      <c r="JMO75" s="497"/>
      <c r="JMP75" s="497"/>
      <c r="JMQ75" s="497"/>
      <c r="JMR75" s="497"/>
      <c r="JMS75" s="497"/>
      <c r="JMT75" s="497"/>
      <c r="JMU75" s="497"/>
      <c r="JMV75" s="497"/>
      <c r="JMW75" s="497"/>
      <c r="JMX75" s="497"/>
      <c r="JMY75" s="497"/>
      <c r="JMZ75" s="497"/>
      <c r="JNA75" s="497"/>
      <c r="JNB75" s="497"/>
      <c r="JNC75" s="497"/>
      <c r="JND75" s="497"/>
      <c r="JNE75" s="497"/>
      <c r="JNF75" s="497"/>
      <c r="JNG75" s="497"/>
      <c r="JNH75" s="497"/>
      <c r="JNI75" s="497"/>
      <c r="JNJ75" s="497"/>
      <c r="JNK75" s="497"/>
      <c r="JNL75" s="497"/>
      <c r="JNM75" s="497"/>
      <c r="JNN75" s="497"/>
      <c r="JNO75" s="497"/>
      <c r="JNP75" s="497"/>
      <c r="JNQ75" s="497"/>
      <c r="JNR75" s="497"/>
      <c r="JNS75" s="497"/>
      <c r="JNT75" s="497"/>
      <c r="JNU75" s="497"/>
      <c r="JNV75" s="497"/>
      <c r="JNW75" s="497"/>
      <c r="JNX75" s="497"/>
      <c r="JNY75" s="497"/>
      <c r="JNZ75" s="497"/>
      <c r="JOA75" s="497"/>
      <c r="JOB75" s="497"/>
      <c r="JOC75" s="497"/>
      <c r="JOD75" s="497"/>
      <c r="JOE75" s="497"/>
      <c r="JOF75" s="497"/>
      <c r="JOG75" s="497"/>
      <c r="JOH75" s="497"/>
      <c r="JOI75" s="497"/>
      <c r="JOJ75" s="497"/>
      <c r="JOK75" s="497"/>
      <c r="JOL75" s="497"/>
      <c r="JOM75" s="497"/>
      <c r="JON75" s="497"/>
      <c r="JOO75" s="497"/>
      <c r="JOP75" s="497"/>
      <c r="JOQ75" s="497"/>
      <c r="JOR75" s="497"/>
      <c r="JOS75" s="497"/>
      <c r="JOT75" s="497"/>
      <c r="JOU75" s="497"/>
      <c r="JOV75" s="497"/>
      <c r="JOW75" s="497"/>
      <c r="JOX75" s="497"/>
      <c r="JOY75" s="497"/>
      <c r="JOZ75" s="497"/>
      <c r="JPA75" s="497"/>
      <c r="JPB75" s="497"/>
      <c r="JPC75" s="497"/>
      <c r="JPD75" s="497"/>
      <c r="JPE75" s="497"/>
      <c r="JPF75" s="497"/>
      <c r="JPG75" s="497"/>
      <c r="JPH75" s="497"/>
      <c r="JPI75" s="497"/>
      <c r="JPJ75" s="497"/>
      <c r="JPK75" s="497"/>
      <c r="JPL75" s="497"/>
      <c r="JPM75" s="497"/>
      <c r="JPN75" s="497"/>
      <c r="JPO75" s="497"/>
      <c r="JPP75" s="497"/>
      <c r="JPQ75" s="497"/>
      <c r="JPR75" s="497"/>
      <c r="JPS75" s="497"/>
      <c r="JPT75" s="497"/>
      <c r="JPU75" s="497"/>
      <c r="JPV75" s="497"/>
      <c r="JPW75" s="497"/>
      <c r="JPX75" s="497"/>
      <c r="JPY75" s="497"/>
      <c r="JPZ75" s="497"/>
      <c r="JQA75" s="497"/>
      <c r="JQB75" s="497"/>
      <c r="JQC75" s="497"/>
      <c r="JQD75" s="497"/>
      <c r="JQE75" s="497"/>
      <c r="JQF75" s="497"/>
      <c r="JQG75" s="497"/>
      <c r="JQH75" s="497"/>
      <c r="JQI75" s="497"/>
      <c r="JQJ75" s="497"/>
      <c r="JQK75" s="497"/>
      <c r="JQL75" s="497"/>
      <c r="JQM75" s="497"/>
      <c r="JQN75" s="497"/>
      <c r="JQO75" s="497"/>
      <c r="JQP75" s="497"/>
      <c r="JQQ75" s="497"/>
      <c r="JQR75" s="497"/>
      <c r="JQS75" s="497"/>
      <c r="JQT75" s="497"/>
      <c r="JQU75" s="497"/>
      <c r="JQV75" s="497"/>
      <c r="JQW75" s="497"/>
      <c r="JQX75" s="497"/>
      <c r="JQY75" s="497"/>
      <c r="JQZ75" s="497"/>
      <c r="JRA75" s="497"/>
      <c r="JRB75" s="497"/>
      <c r="JRC75" s="497"/>
      <c r="JRD75" s="497"/>
      <c r="JRE75" s="497"/>
      <c r="JRF75" s="497"/>
      <c r="JRG75" s="497"/>
      <c r="JRH75" s="497"/>
      <c r="JRI75" s="497"/>
      <c r="JRJ75" s="497"/>
      <c r="JRK75" s="497"/>
      <c r="JRL75" s="497"/>
      <c r="JRM75" s="497"/>
      <c r="JRN75" s="497"/>
      <c r="JRO75" s="497"/>
      <c r="JRP75" s="497"/>
      <c r="JRQ75" s="497"/>
      <c r="JRR75" s="497"/>
      <c r="JRS75" s="497"/>
      <c r="JRT75" s="497"/>
      <c r="JRU75" s="497"/>
      <c r="JRV75" s="497"/>
      <c r="JRW75" s="497"/>
      <c r="JRX75" s="497"/>
      <c r="JRY75" s="497"/>
      <c r="JRZ75" s="497"/>
      <c r="JSA75" s="497"/>
      <c r="JSB75" s="497"/>
      <c r="JSC75" s="497"/>
      <c r="JSD75" s="497"/>
      <c r="JSE75" s="497"/>
      <c r="JSF75" s="497"/>
      <c r="JSG75" s="497"/>
      <c r="JSH75" s="497"/>
      <c r="JSI75" s="497"/>
      <c r="JSJ75" s="497"/>
      <c r="JSK75" s="497"/>
      <c r="JSL75" s="497"/>
      <c r="JSM75" s="497"/>
      <c r="JSN75" s="497"/>
      <c r="JSO75" s="497"/>
      <c r="JSP75" s="497"/>
      <c r="JSQ75" s="497"/>
      <c r="JSR75" s="497"/>
      <c r="JSS75" s="497"/>
      <c r="JST75" s="497"/>
      <c r="JSU75" s="497"/>
      <c r="JSV75" s="497"/>
      <c r="JSW75" s="497"/>
      <c r="JSX75" s="497"/>
      <c r="JSY75" s="497"/>
      <c r="JSZ75" s="497"/>
      <c r="JTA75" s="497"/>
      <c r="JTB75" s="497"/>
      <c r="JTC75" s="497"/>
      <c r="JTD75" s="497"/>
      <c r="JTE75" s="497"/>
      <c r="JTF75" s="497"/>
      <c r="JTG75" s="497"/>
      <c r="JTH75" s="497"/>
      <c r="JTI75" s="497"/>
      <c r="JTJ75" s="497"/>
      <c r="JTK75" s="497"/>
      <c r="JTL75" s="497"/>
      <c r="JTM75" s="497"/>
      <c r="JTN75" s="497"/>
      <c r="JTO75" s="497"/>
      <c r="JTP75" s="497"/>
      <c r="JTQ75" s="497"/>
      <c r="JTR75" s="497"/>
      <c r="JTS75" s="497"/>
      <c r="JTT75" s="497"/>
      <c r="JTU75" s="497"/>
      <c r="JTV75" s="497"/>
      <c r="JTW75" s="497"/>
      <c r="JTX75" s="497"/>
      <c r="JTY75" s="497"/>
      <c r="JTZ75" s="497"/>
      <c r="JUA75" s="497"/>
      <c r="JUB75" s="497"/>
      <c r="JUC75" s="497"/>
      <c r="JUD75" s="497"/>
      <c r="JUE75" s="497"/>
      <c r="JUF75" s="497"/>
      <c r="JUG75" s="497"/>
      <c r="JUH75" s="497"/>
      <c r="JUI75" s="497"/>
      <c r="JUJ75" s="497"/>
      <c r="JUK75" s="497"/>
      <c r="JUL75" s="497"/>
      <c r="JUM75" s="497"/>
      <c r="JUN75" s="497"/>
      <c r="JUO75" s="497"/>
      <c r="JUP75" s="497"/>
      <c r="JUQ75" s="497"/>
      <c r="JUR75" s="497"/>
      <c r="JUS75" s="497"/>
      <c r="JUT75" s="497"/>
      <c r="JUU75" s="497"/>
      <c r="JUV75" s="497"/>
      <c r="JUW75" s="497"/>
      <c r="JUX75" s="497"/>
      <c r="JUY75" s="497"/>
      <c r="JUZ75" s="497"/>
      <c r="JVA75" s="497"/>
      <c r="JVB75" s="497"/>
      <c r="JVC75" s="497"/>
      <c r="JVD75" s="497"/>
      <c r="JVE75" s="497"/>
      <c r="JVF75" s="497"/>
      <c r="JVG75" s="497"/>
      <c r="JVH75" s="497"/>
      <c r="JVI75" s="497"/>
      <c r="JVJ75" s="497"/>
      <c r="JVK75" s="497"/>
      <c r="JVL75" s="497"/>
      <c r="JVM75" s="497"/>
      <c r="JVN75" s="497"/>
      <c r="JVO75" s="497"/>
      <c r="JVP75" s="497"/>
      <c r="JVQ75" s="497"/>
      <c r="JVR75" s="497"/>
      <c r="JVS75" s="497"/>
      <c r="JVT75" s="497"/>
      <c r="JVU75" s="497"/>
      <c r="JVV75" s="497"/>
      <c r="JVW75" s="497"/>
      <c r="JVX75" s="497"/>
      <c r="JVY75" s="497"/>
      <c r="JVZ75" s="497"/>
      <c r="JWA75" s="497"/>
      <c r="JWB75" s="497"/>
      <c r="JWC75" s="497"/>
      <c r="JWD75" s="497"/>
      <c r="JWE75" s="497"/>
      <c r="JWF75" s="497"/>
      <c r="JWG75" s="497"/>
      <c r="JWH75" s="497"/>
      <c r="JWI75" s="497"/>
      <c r="JWJ75" s="497"/>
      <c r="JWK75" s="497"/>
      <c r="JWL75" s="497"/>
      <c r="JWM75" s="497"/>
      <c r="JWN75" s="497"/>
      <c r="JWO75" s="497"/>
      <c r="JWP75" s="497"/>
      <c r="JWQ75" s="497"/>
      <c r="JWR75" s="497"/>
      <c r="JWS75" s="497"/>
      <c r="JWT75" s="497"/>
      <c r="JWU75" s="497"/>
      <c r="JWV75" s="497"/>
      <c r="JWW75" s="497"/>
      <c r="JWX75" s="497"/>
      <c r="JWY75" s="497"/>
      <c r="JWZ75" s="497"/>
      <c r="JXA75" s="497"/>
      <c r="JXB75" s="497"/>
      <c r="JXC75" s="497"/>
      <c r="JXD75" s="497"/>
      <c r="JXE75" s="497"/>
      <c r="JXF75" s="497"/>
      <c r="JXG75" s="497"/>
      <c r="JXH75" s="497"/>
      <c r="JXI75" s="497"/>
      <c r="JXJ75" s="497"/>
      <c r="JXK75" s="497"/>
      <c r="JXL75" s="497"/>
      <c r="JXM75" s="497"/>
      <c r="JXN75" s="497"/>
      <c r="JXO75" s="497"/>
      <c r="JXP75" s="497"/>
      <c r="JXQ75" s="497"/>
      <c r="JXR75" s="497"/>
      <c r="JXS75" s="497"/>
      <c r="JXT75" s="497"/>
      <c r="JXU75" s="497"/>
      <c r="JXV75" s="497"/>
      <c r="JXW75" s="497"/>
      <c r="JXX75" s="497"/>
      <c r="JXY75" s="497"/>
      <c r="JXZ75" s="497"/>
      <c r="JYA75" s="497"/>
      <c r="JYB75" s="497"/>
      <c r="JYC75" s="497"/>
      <c r="JYD75" s="497"/>
      <c r="JYE75" s="497"/>
      <c r="JYF75" s="497"/>
      <c r="JYG75" s="497"/>
      <c r="JYH75" s="497"/>
      <c r="JYI75" s="497"/>
      <c r="JYJ75" s="497"/>
      <c r="JYK75" s="497"/>
      <c r="JYL75" s="497"/>
      <c r="JYM75" s="497"/>
      <c r="JYN75" s="497"/>
      <c r="JYO75" s="497"/>
      <c r="JYP75" s="497"/>
      <c r="JYQ75" s="497"/>
      <c r="JYR75" s="497"/>
      <c r="JYS75" s="497"/>
      <c r="JYT75" s="497"/>
      <c r="JYU75" s="497"/>
      <c r="JYV75" s="497"/>
      <c r="JYW75" s="497"/>
      <c r="JYX75" s="497"/>
      <c r="JYY75" s="497"/>
      <c r="JYZ75" s="497"/>
      <c r="JZA75" s="497"/>
      <c r="JZB75" s="497"/>
      <c r="JZC75" s="497"/>
      <c r="JZD75" s="497"/>
      <c r="JZE75" s="497"/>
      <c r="JZF75" s="497"/>
      <c r="JZG75" s="497"/>
      <c r="JZH75" s="497"/>
      <c r="JZI75" s="497"/>
      <c r="JZJ75" s="497"/>
      <c r="JZK75" s="497"/>
      <c r="JZL75" s="497"/>
      <c r="JZM75" s="497"/>
      <c r="JZN75" s="497"/>
      <c r="JZO75" s="497"/>
      <c r="JZP75" s="497"/>
      <c r="JZQ75" s="497"/>
      <c r="JZR75" s="497"/>
      <c r="JZS75" s="497"/>
      <c r="JZT75" s="497"/>
      <c r="JZU75" s="497"/>
      <c r="JZV75" s="497"/>
      <c r="JZW75" s="497"/>
      <c r="JZX75" s="497"/>
      <c r="JZY75" s="497"/>
      <c r="JZZ75" s="497"/>
      <c r="KAA75" s="497"/>
      <c r="KAB75" s="497"/>
      <c r="KAC75" s="497"/>
      <c r="KAD75" s="497"/>
      <c r="KAE75" s="497"/>
      <c r="KAF75" s="497"/>
      <c r="KAG75" s="497"/>
      <c r="KAH75" s="497"/>
      <c r="KAI75" s="497"/>
      <c r="KAJ75" s="497"/>
      <c r="KAK75" s="497"/>
      <c r="KAL75" s="497"/>
      <c r="KAM75" s="497"/>
      <c r="KAN75" s="497"/>
      <c r="KAO75" s="497"/>
      <c r="KAP75" s="497"/>
      <c r="KAQ75" s="497"/>
      <c r="KAR75" s="497"/>
      <c r="KAS75" s="497"/>
      <c r="KAT75" s="497"/>
      <c r="KAU75" s="497"/>
      <c r="KAV75" s="497"/>
      <c r="KAW75" s="497"/>
      <c r="KAX75" s="497"/>
      <c r="KAY75" s="497"/>
      <c r="KAZ75" s="497"/>
      <c r="KBA75" s="497"/>
      <c r="KBB75" s="497"/>
      <c r="KBC75" s="497"/>
      <c r="KBD75" s="497"/>
      <c r="KBE75" s="497"/>
      <c r="KBF75" s="497"/>
      <c r="KBG75" s="497"/>
      <c r="KBH75" s="497"/>
      <c r="KBI75" s="497"/>
      <c r="KBJ75" s="497"/>
      <c r="KBK75" s="497"/>
      <c r="KBL75" s="497"/>
      <c r="KBM75" s="497"/>
      <c r="KBN75" s="497"/>
      <c r="KBO75" s="497"/>
      <c r="KBP75" s="497"/>
      <c r="KBQ75" s="497"/>
      <c r="KBR75" s="497"/>
      <c r="KBS75" s="497"/>
      <c r="KBT75" s="497"/>
      <c r="KBU75" s="497"/>
      <c r="KBV75" s="497"/>
      <c r="KBW75" s="497"/>
      <c r="KBX75" s="497"/>
      <c r="KBY75" s="497"/>
      <c r="KBZ75" s="497"/>
      <c r="KCA75" s="497"/>
      <c r="KCB75" s="497"/>
      <c r="KCC75" s="497"/>
      <c r="KCD75" s="497"/>
      <c r="KCE75" s="497"/>
      <c r="KCF75" s="497"/>
      <c r="KCG75" s="497"/>
      <c r="KCH75" s="497"/>
      <c r="KCI75" s="497"/>
      <c r="KCJ75" s="497"/>
      <c r="KCK75" s="497"/>
      <c r="KCL75" s="497"/>
      <c r="KCM75" s="497"/>
      <c r="KCN75" s="497"/>
      <c r="KCO75" s="497"/>
      <c r="KCP75" s="497"/>
      <c r="KCQ75" s="497"/>
      <c r="KCR75" s="497"/>
      <c r="KCS75" s="497"/>
      <c r="KCT75" s="497"/>
      <c r="KCU75" s="497"/>
      <c r="KCV75" s="497"/>
      <c r="KCW75" s="497"/>
      <c r="KCX75" s="497"/>
      <c r="KCY75" s="497"/>
      <c r="KCZ75" s="497"/>
      <c r="KDA75" s="497"/>
      <c r="KDB75" s="497"/>
      <c r="KDC75" s="497"/>
      <c r="KDD75" s="497"/>
      <c r="KDE75" s="497"/>
      <c r="KDF75" s="497"/>
      <c r="KDG75" s="497"/>
      <c r="KDH75" s="497"/>
      <c r="KDI75" s="497"/>
      <c r="KDJ75" s="497"/>
      <c r="KDK75" s="497"/>
      <c r="KDL75" s="497"/>
      <c r="KDM75" s="497"/>
      <c r="KDN75" s="497"/>
      <c r="KDO75" s="497"/>
      <c r="KDP75" s="497"/>
      <c r="KDQ75" s="497"/>
      <c r="KDR75" s="497"/>
      <c r="KDS75" s="497"/>
      <c r="KDT75" s="497"/>
      <c r="KDU75" s="497"/>
      <c r="KDV75" s="497"/>
      <c r="KDW75" s="497"/>
      <c r="KDX75" s="497"/>
      <c r="KDY75" s="497"/>
      <c r="KDZ75" s="497"/>
      <c r="KEA75" s="497"/>
      <c r="KEB75" s="497"/>
      <c r="KEC75" s="497"/>
      <c r="KED75" s="497"/>
      <c r="KEE75" s="497"/>
      <c r="KEF75" s="497"/>
      <c r="KEG75" s="497"/>
      <c r="KEH75" s="497"/>
      <c r="KEI75" s="497"/>
      <c r="KEJ75" s="497"/>
      <c r="KEK75" s="497"/>
      <c r="KEL75" s="497"/>
      <c r="KEM75" s="497"/>
      <c r="KEN75" s="497"/>
      <c r="KEO75" s="497"/>
      <c r="KEP75" s="497"/>
      <c r="KEQ75" s="497"/>
      <c r="KER75" s="497"/>
      <c r="KES75" s="497"/>
      <c r="KET75" s="497"/>
      <c r="KEU75" s="497"/>
      <c r="KEV75" s="497"/>
      <c r="KEW75" s="497"/>
      <c r="KEX75" s="497"/>
      <c r="KEY75" s="497"/>
      <c r="KEZ75" s="497"/>
      <c r="KFA75" s="497"/>
      <c r="KFB75" s="497"/>
      <c r="KFC75" s="497"/>
      <c r="KFD75" s="497"/>
      <c r="KFE75" s="497"/>
      <c r="KFF75" s="497"/>
      <c r="KFG75" s="497"/>
      <c r="KFH75" s="497"/>
      <c r="KFI75" s="497"/>
      <c r="KFJ75" s="497"/>
      <c r="KFK75" s="497"/>
      <c r="KFL75" s="497"/>
      <c r="KFM75" s="497"/>
      <c r="KFN75" s="497"/>
      <c r="KFO75" s="497"/>
      <c r="KFP75" s="497"/>
      <c r="KFQ75" s="497"/>
      <c r="KFR75" s="497"/>
      <c r="KFS75" s="497"/>
      <c r="KFT75" s="497"/>
      <c r="KFU75" s="497"/>
      <c r="KFV75" s="497"/>
      <c r="KFW75" s="497"/>
      <c r="KFX75" s="497"/>
      <c r="KFY75" s="497"/>
      <c r="KFZ75" s="497"/>
      <c r="KGA75" s="497"/>
      <c r="KGB75" s="497"/>
      <c r="KGC75" s="497"/>
      <c r="KGD75" s="497"/>
      <c r="KGE75" s="497"/>
      <c r="KGF75" s="497"/>
      <c r="KGG75" s="497"/>
      <c r="KGH75" s="497"/>
      <c r="KGI75" s="497"/>
      <c r="KGJ75" s="497"/>
      <c r="KGK75" s="497"/>
      <c r="KGL75" s="497"/>
      <c r="KGM75" s="497"/>
      <c r="KGN75" s="497"/>
      <c r="KGO75" s="497"/>
      <c r="KGP75" s="497"/>
      <c r="KGQ75" s="497"/>
      <c r="KGR75" s="497"/>
      <c r="KGS75" s="497"/>
      <c r="KGT75" s="497"/>
      <c r="KGU75" s="497"/>
      <c r="KGV75" s="497"/>
      <c r="KGW75" s="497"/>
      <c r="KGX75" s="497"/>
      <c r="KGY75" s="497"/>
      <c r="KGZ75" s="497"/>
      <c r="KHA75" s="497"/>
      <c r="KHB75" s="497"/>
      <c r="KHC75" s="497"/>
      <c r="KHD75" s="497"/>
      <c r="KHE75" s="497"/>
      <c r="KHF75" s="497"/>
      <c r="KHG75" s="497"/>
      <c r="KHH75" s="497"/>
      <c r="KHI75" s="497"/>
      <c r="KHJ75" s="497"/>
      <c r="KHK75" s="497"/>
      <c r="KHL75" s="497"/>
      <c r="KHM75" s="497"/>
      <c r="KHN75" s="497"/>
      <c r="KHO75" s="497"/>
      <c r="KHP75" s="497"/>
      <c r="KHQ75" s="497"/>
      <c r="KHR75" s="497"/>
      <c r="KHS75" s="497"/>
      <c r="KHT75" s="497"/>
      <c r="KHU75" s="497"/>
      <c r="KHV75" s="497"/>
      <c r="KHW75" s="497"/>
      <c r="KHX75" s="497"/>
      <c r="KHY75" s="497"/>
      <c r="KHZ75" s="497"/>
      <c r="KIA75" s="497"/>
      <c r="KIB75" s="497"/>
      <c r="KIC75" s="497"/>
      <c r="KID75" s="497"/>
      <c r="KIE75" s="497"/>
      <c r="KIF75" s="497"/>
      <c r="KIG75" s="497"/>
      <c r="KIH75" s="497"/>
      <c r="KII75" s="497"/>
      <c r="KIJ75" s="497"/>
      <c r="KIK75" s="497"/>
      <c r="KIL75" s="497"/>
      <c r="KIM75" s="497"/>
      <c r="KIN75" s="497"/>
      <c r="KIO75" s="497"/>
      <c r="KIP75" s="497"/>
      <c r="KIQ75" s="497"/>
      <c r="KIR75" s="497"/>
      <c r="KIS75" s="497"/>
      <c r="KIT75" s="497"/>
      <c r="KIU75" s="497"/>
      <c r="KIV75" s="497"/>
      <c r="KIW75" s="497"/>
      <c r="KIX75" s="497"/>
      <c r="KIY75" s="497"/>
      <c r="KIZ75" s="497"/>
      <c r="KJA75" s="497"/>
      <c r="KJB75" s="497"/>
      <c r="KJC75" s="497"/>
      <c r="KJD75" s="497"/>
      <c r="KJE75" s="497"/>
      <c r="KJF75" s="497"/>
      <c r="KJG75" s="497"/>
      <c r="KJH75" s="497"/>
      <c r="KJI75" s="497"/>
      <c r="KJJ75" s="497"/>
      <c r="KJK75" s="497"/>
      <c r="KJL75" s="497"/>
      <c r="KJM75" s="497"/>
      <c r="KJN75" s="497"/>
      <c r="KJO75" s="497"/>
      <c r="KJP75" s="497"/>
      <c r="KJQ75" s="497"/>
      <c r="KJR75" s="497"/>
      <c r="KJS75" s="497"/>
      <c r="KJT75" s="497"/>
      <c r="KJU75" s="497"/>
      <c r="KJV75" s="497"/>
      <c r="KJW75" s="497"/>
      <c r="KJX75" s="497"/>
      <c r="KJY75" s="497"/>
      <c r="KJZ75" s="497"/>
      <c r="KKA75" s="497"/>
      <c r="KKB75" s="497"/>
      <c r="KKC75" s="497"/>
      <c r="KKD75" s="497"/>
      <c r="KKE75" s="497"/>
      <c r="KKF75" s="497"/>
      <c r="KKG75" s="497"/>
      <c r="KKH75" s="497"/>
      <c r="KKI75" s="497"/>
      <c r="KKJ75" s="497"/>
      <c r="KKK75" s="497"/>
      <c r="KKL75" s="497"/>
      <c r="KKM75" s="497"/>
      <c r="KKN75" s="497"/>
      <c r="KKO75" s="497"/>
      <c r="KKP75" s="497"/>
      <c r="KKQ75" s="497"/>
      <c r="KKR75" s="497"/>
      <c r="KKS75" s="497"/>
      <c r="KKT75" s="497"/>
      <c r="KKU75" s="497"/>
      <c r="KKV75" s="497"/>
      <c r="KKW75" s="497"/>
      <c r="KKX75" s="497"/>
      <c r="KKY75" s="497"/>
      <c r="KKZ75" s="497"/>
      <c r="KLA75" s="497"/>
      <c r="KLB75" s="497"/>
      <c r="KLC75" s="497"/>
      <c r="KLD75" s="497"/>
      <c r="KLE75" s="497"/>
      <c r="KLF75" s="497"/>
      <c r="KLG75" s="497"/>
      <c r="KLH75" s="497"/>
      <c r="KLI75" s="497"/>
      <c r="KLJ75" s="497"/>
      <c r="KLK75" s="497"/>
      <c r="KLL75" s="497"/>
      <c r="KLM75" s="497"/>
      <c r="KLN75" s="497"/>
      <c r="KLO75" s="497"/>
      <c r="KLP75" s="497"/>
      <c r="KLQ75" s="497"/>
      <c r="KLR75" s="497"/>
      <c r="KLS75" s="497"/>
      <c r="KLT75" s="497"/>
      <c r="KLU75" s="497"/>
      <c r="KLV75" s="497"/>
      <c r="KLW75" s="497"/>
      <c r="KLX75" s="497"/>
      <c r="KLY75" s="497"/>
      <c r="KLZ75" s="497"/>
      <c r="KMA75" s="497"/>
      <c r="KMB75" s="497"/>
      <c r="KMC75" s="497"/>
      <c r="KMD75" s="497"/>
      <c r="KME75" s="497"/>
      <c r="KMF75" s="497"/>
      <c r="KMG75" s="497"/>
      <c r="KMH75" s="497"/>
      <c r="KMI75" s="497"/>
      <c r="KMJ75" s="497"/>
      <c r="KMK75" s="497"/>
      <c r="KML75" s="497"/>
      <c r="KMM75" s="497"/>
      <c r="KMN75" s="497"/>
      <c r="KMO75" s="497"/>
      <c r="KMP75" s="497"/>
      <c r="KMQ75" s="497"/>
      <c r="KMR75" s="497"/>
      <c r="KMS75" s="497"/>
      <c r="KMT75" s="497"/>
      <c r="KMU75" s="497"/>
      <c r="KMV75" s="497"/>
      <c r="KMW75" s="497"/>
      <c r="KMX75" s="497"/>
      <c r="KMY75" s="497"/>
      <c r="KMZ75" s="497"/>
      <c r="KNA75" s="497"/>
      <c r="KNB75" s="497"/>
      <c r="KNC75" s="497"/>
      <c r="KND75" s="497"/>
      <c r="KNE75" s="497"/>
      <c r="KNF75" s="497"/>
      <c r="KNG75" s="497"/>
      <c r="KNH75" s="497"/>
      <c r="KNI75" s="497"/>
      <c r="KNJ75" s="497"/>
      <c r="KNK75" s="497"/>
      <c r="KNL75" s="497"/>
      <c r="KNM75" s="497"/>
      <c r="KNN75" s="497"/>
      <c r="KNO75" s="497"/>
      <c r="KNP75" s="497"/>
      <c r="KNQ75" s="497"/>
      <c r="KNR75" s="497"/>
      <c r="KNS75" s="497"/>
      <c r="KNT75" s="497"/>
      <c r="KNU75" s="497"/>
      <c r="KNV75" s="497"/>
      <c r="KNW75" s="497"/>
      <c r="KNX75" s="497"/>
      <c r="KNY75" s="497"/>
      <c r="KNZ75" s="497"/>
      <c r="KOA75" s="497"/>
      <c r="KOB75" s="497"/>
      <c r="KOC75" s="497"/>
      <c r="KOD75" s="497"/>
      <c r="KOE75" s="497"/>
      <c r="KOF75" s="497"/>
      <c r="KOG75" s="497"/>
      <c r="KOH75" s="497"/>
      <c r="KOI75" s="497"/>
      <c r="KOJ75" s="497"/>
      <c r="KOK75" s="497"/>
      <c r="KOL75" s="497"/>
      <c r="KOM75" s="497"/>
      <c r="KON75" s="497"/>
      <c r="KOO75" s="497"/>
      <c r="KOP75" s="497"/>
      <c r="KOQ75" s="497"/>
      <c r="KOR75" s="497"/>
      <c r="KOS75" s="497"/>
      <c r="KOT75" s="497"/>
      <c r="KOU75" s="497"/>
      <c r="KOV75" s="497"/>
      <c r="KOW75" s="497"/>
      <c r="KOX75" s="497"/>
      <c r="KOY75" s="497"/>
      <c r="KOZ75" s="497"/>
      <c r="KPA75" s="497"/>
      <c r="KPB75" s="497"/>
      <c r="KPC75" s="497"/>
      <c r="KPD75" s="497"/>
      <c r="KPE75" s="497"/>
      <c r="KPF75" s="497"/>
      <c r="KPG75" s="497"/>
      <c r="KPH75" s="497"/>
      <c r="KPI75" s="497"/>
      <c r="KPJ75" s="497"/>
      <c r="KPK75" s="497"/>
      <c r="KPL75" s="497"/>
      <c r="KPM75" s="497"/>
      <c r="KPN75" s="497"/>
      <c r="KPO75" s="497"/>
      <c r="KPP75" s="497"/>
      <c r="KPQ75" s="497"/>
      <c r="KPR75" s="497"/>
      <c r="KPS75" s="497"/>
      <c r="KPT75" s="497"/>
      <c r="KPU75" s="497"/>
      <c r="KPV75" s="497"/>
      <c r="KPW75" s="497"/>
      <c r="KPX75" s="497"/>
      <c r="KPY75" s="497"/>
      <c r="KPZ75" s="497"/>
      <c r="KQA75" s="497"/>
      <c r="KQB75" s="497"/>
      <c r="KQC75" s="497"/>
      <c r="KQD75" s="497"/>
      <c r="KQE75" s="497"/>
      <c r="KQF75" s="497"/>
      <c r="KQG75" s="497"/>
      <c r="KQH75" s="497"/>
      <c r="KQI75" s="497"/>
      <c r="KQJ75" s="497"/>
      <c r="KQK75" s="497"/>
      <c r="KQL75" s="497"/>
      <c r="KQM75" s="497"/>
      <c r="KQN75" s="497"/>
      <c r="KQO75" s="497"/>
      <c r="KQP75" s="497"/>
      <c r="KQQ75" s="497"/>
      <c r="KQR75" s="497"/>
      <c r="KQS75" s="497"/>
      <c r="KQT75" s="497"/>
      <c r="KQU75" s="497"/>
      <c r="KQV75" s="497"/>
      <c r="KQW75" s="497"/>
      <c r="KQX75" s="497"/>
      <c r="KQY75" s="497"/>
      <c r="KQZ75" s="497"/>
      <c r="KRA75" s="497"/>
      <c r="KRB75" s="497"/>
      <c r="KRC75" s="497"/>
      <c r="KRD75" s="497"/>
      <c r="KRE75" s="497"/>
      <c r="KRF75" s="497"/>
      <c r="KRG75" s="497"/>
      <c r="KRH75" s="497"/>
      <c r="KRI75" s="497"/>
      <c r="KRJ75" s="497"/>
      <c r="KRK75" s="497"/>
      <c r="KRL75" s="497"/>
      <c r="KRM75" s="497"/>
      <c r="KRN75" s="497"/>
      <c r="KRO75" s="497"/>
      <c r="KRP75" s="497"/>
      <c r="KRQ75" s="497"/>
      <c r="KRR75" s="497"/>
      <c r="KRS75" s="497"/>
      <c r="KRT75" s="497"/>
      <c r="KRU75" s="497"/>
      <c r="KRV75" s="497"/>
      <c r="KRW75" s="497"/>
      <c r="KRX75" s="497"/>
      <c r="KRY75" s="497"/>
      <c r="KRZ75" s="497"/>
      <c r="KSA75" s="497"/>
      <c r="KSB75" s="497"/>
      <c r="KSC75" s="497"/>
      <c r="KSD75" s="497"/>
      <c r="KSE75" s="497"/>
      <c r="KSF75" s="497"/>
      <c r="KSG75" s="497"/>
      <c r="KSH75" s="497"/>
      <c r="KSI75" s="497"/>
      <c r="KSJ75" s="497"/>
      <c r="KSK75" s="497"/>
      <c r="KSL75" s="497"/>
      <c r="KSM75" s="497"/>
      <c r="KSN75" s="497"/>
      <c r="KSO75" s="497"/>
      <c r="KSP75" s="497"/>
      <c r="KSQ75" s="497"/>
      <c r="KSR75" s="497"/>
      <c r="KSS75" s="497"/>
      <c r="KST75" s="497"/>
      <c r="KSU75" s="497"/>
      <c r="KSV75" s="497"/>
      <c r="KSW75" s="497"/>
      <c r="KSX75" s="497"/>
      <c r="KSY75" s="497"/>
      <c r="KSZ75" s="497"/>
      <c r="KTA75" s="497"/>
      <c r="KTB75" s="497"/>
      <c r="KTC75" s="497"/>
      <c r="KTD75" s="497"/>
      <c r="KTE75" s="497"/>
      <c r="KTF75" s="497"/>
      <c r="KTG75" s="497"/>
      <c r="KTH75" s="497"/>
      <c r="KTI75" s="497"/>
      <c r="KTJ75" s="497"/>
      <c r="KTK75" s="497"/>
      <c r="KTL75" s="497"/>
      <c r="KTM75" s="497"/>
      <c r="KTN75" s="497"/>
      <c r="KTO75" s="497"/>
      <c r="KTP75" s="497"/>
      <c r="KTQ75" s="497"/>
      <c r="KTR75" s="497"/>
      <c r="KTS75" s="497"/>
      <c r="KTT75" s="497"/>
      <c r="KTU75" s="497"/>
      <c r="KTV75" s="497"/>
      <c r="KTW75" s="497"/>
      <c r="KTX75" s="497"/>
      <c r="KTY75" s="497"/>
      <c r="KTZ75" s="497"/>
      <c r="KUA75" s="497"/>
      <c r="KUB75" s="497"/>
      <c r="KUC75" s="497"/>
      <c r="KUD75" s="497"/>
      <c r="KUE75" s="497"/>
      <c r="KUF75" s="497"/>
      <c r="KUG75" s="497"/>
      <c r="KUH75" s="497"/>
      <c r="KUI75" s="497"/>
      <c r="KUJ75" s="497"/>
      <c r="KUK75" s="497"/>
      <c r="KUL75" s="497"/>
      <c r="KUM75" s="497"/>
      <c r="KUN75" s="497"/>
      <c r="KUO75" s="497"/>
      <c r="KUP75" s="497"/>
      <c r="KUQ75" s="497"/>
      <c r="KUR75" s="497"/>
      <c r="KUS75" s="497"/>
      <c r="KUT75" s="497"/>
      <c r="KUU75" s="497"/>
      <c r="KUV75" s="497"/>
      <c r="KUW75" s="497"/>
      <c r="KUX75" s="497"/>
      <c r="KUY75" s="497"/>
      <c r="KUZ75" s="497"/>
      <c r="KVA75" s="497"/>
      <c r="KVB75" s="497"/>
      <c r="KVC75" s="497"/>
      <c r="KVD75" s="497"/>
      <c r="KVE75" s="497"/>
      <c r="KVF75" s="497"/>
      <c r="KVG75" s="497"/>
      <c r="KVH75" s="497"/>
      <c r="KVI75" s="497"/>
      <c r="KVJ75" s="497"/>
      <c r="KVK75" s="497"/>
      <c r="KVL75" s="497"/>
      <c r="KVM75" s="497"/>
      <c r="KVN75" s="497"/>
      <c r="KVO75" s="497"/>
      <c r="KVP75" s="497"/>
      <c r="KVQ75" s="497"/>
      <c r="KVR75" s="497"/>
      <c r="KVS75" s="497"/>
      <c r="KVT75" s="497"/>
      <c r="KVU75" s="497"/>
      <c r="KVV75" s="497"/>
      <c r="KVW75" s="497"/>
      <c r="KVX75" s="497"/>
      <c r="KVY75" s="497"/>
      <c r="KVZ75" s="497"/>
      <c r="KWA75" s="497"/>
      <c r="KWB75" s="497"/>
      <c r="KWC75" s="497"/>
      <c r="KWD75" s="497"/>
      <c r="KWE75" s="497"/>
      <c r="KWF75" s="497"/>
      <c r="KWG75" s="497"/>
      <c r="KWH75" s="497"/>
      <c r="KWI75" s="497"/>
      <c r="KWJ75" s="497"/>
      <c r="KWK75" s="497"/>
      <c r="KWL75" s="497"/>
      <c r="KWM75" s="497"/>
      <c r="KWN75" s="497"/>
      <c r="KWO75" s="497"/>
      <c r="KWP75" s="497"/>
      <c r="KWQ75" s="497"/>
      <c r="KWR75" s="497"/>
      <c r="KWS75" s="497"/>
      <c r="KWT75" s="497"/>
      <c r="KWU75" s="497"/>
      <c r="KWV75" s="497"/>
      <c r="KWW75" s="497"/>
      <c r="KWX75" s="497"/>
      <c r="KWY75" s="497"/>
      <c r="KWZ75" s="497"/>
      <c r="KXA75" s="497"/>
      <c r="KXB75" s="497"/>
      <c r="KXC75" s="497"/>
      <c r="KXD75" s="497"/>
      <c r="KXE75" s="497"/>
      <c r="KXF75" s="497"/>
      <c r="KXG75" s="497"/>
      <c r="KXH75" s="497"/>
      <c r="KXI75" s="497"/>
      <c r="KXJ75" s="497"/>
      <c r="KXK75" s="497"/>
      <c r="KXL75" s="497"/>
      <c r="KXM75" s="497"/>
      <c r="KXN75" s="497"/>
      <c r="KXO75" s="497"/>
      <c r="KXP75" s="497"/>
      <c r="KXQ75" s="497"/>
      <c r="KXR75" s="497"/>
      <c r="KXS75" s="497"/>
      <c r="KXT75" s="497"/>
      <c r="KXU75" s="497"/>
      <c r="KXV75" s="497"/>
      <c r="KXW75" s="497"/>
      <c r="KXX75" s="497"/>
      <c r="KXY75" s="497"/>
      <c r="KXZ75" s="497"/>
      <c r="KYA75" s="497"/>
      <c r="KYB75" s="497"/>
      <c r="KYC75" s="497"/>
      <c r="KYD75" s="497"/>
      <c r="KYE75" s="497"/>
      <c r="KYF75" s="497"/>
      <c r="KYG75" s="497"/>
      <c r="KYH75" s="497"/>
      <c r="KYI75" s="497"/>
      <c r="KYJ75" s="497"/>
      <c r="KYK75" s="497"/>
      <c r="KYL75" s="497"/>
      <c r="KYM75" s="497"/>
      <c r="KYN75" s="497"/>
      <c r="KYO75" s="497"/>
      <c r="KYP75" s="497"/>
      <c r="KYQ75" s="497"/>
      <c r="KYR75" s="497"/>
      <c r="KYS75" s="497"/>
      <c r="KYT75" s="497"/>
      <c r="KYU75" s="497"/>
      <c r="KYV75" s="497"/>
      <c r="KYW75" s="497"/>
      <c r="KYX75" s="497"/>
      <c r="KYY75" s="497"/>
      <c r="KYZ75" s="497"/>
      <c r="KZA75" s="497"/>
      <c r="KZB75" s="497"/>
      <c r="KZC75" s="497"/>
      <c r="KZD75" s="497"/>
      <c r="KZE75" s="497"/>
      <c r="KZF75" s="497"/>
      <c r="KZG75" s="497"/>
      <c r="KZH75" s="497"/>
      <c r="KZI75" s="497"/>
      <c r="KZJ75" s="497"/>
      <c r="KZK75" s="497"/>
      <c r="KZL75" s="497"/>
      <c r="KZM75" s="497"/>
      <c r="KZN75" s="497"/>
      <c r="KZO75" s="497"/>
      <c r="KZP75" s="497"/>
      <c r="KZQ75" s="497"/>
      <c r="KZR75" s="497"/>
      <c r="KZS75" s="497"/>
      <c r="KZT75" s="497"/>
      <c r="KZU75" s="497"/>
      <c r="KZV75" s="497"/>
      <c r="KZW75" s="497"/>
      <c r="KZX75" s="497"/>
      <c r="KZY75" s="497"/>
      <c r="KZZ75" s="497"/>
      <c r="LAA75" s="497"/>
      <c r="LAB75" s="497"/>
      <c r="LAC75" s="497"/>
      <c r="LAD75" s="497"/>
      <c r="LAE75" s="497"/>
      <c r="LAF75" s="497"/>
      <c r="LAG75" s="497"/>
      <c r="LAH75" s="497"/>
      <c r="LAI75" s="497"/>
      <c r="LAJ75" s="497"/>
      <c r="LAK75" s="497"/>
      <c r="LAL75" s="497"/>
      <c r="LAM75" s="497"/>
      <c r="LAN75" s="497"/>
      <c r="LAO75" s="497"/>
      <c r="LAP75" s="497"/>
      <c r="LAQ75" s="497"/>
      <c r="LAR75" s="497"/>
      <c r="LAS75" s="497"/>
      <c r="LAT75" s="497"/>
      <c r="LAU75" s="497"/>
      <c r="LAV75" s="497"/>
      <c r="LAW75" s="497"/>
      <c r="LAX75" s="497"/>
      <c r="LAY75" s="497"/>
      <c r="LAZ75" s="497"/>
      <c r="LBA75" s="497"/>
      <c r="LBB75" s="497"/>
      <c r="LBC75" s="497"/>
      <c r="LBD75" s="497"/>
      <c r="LBE75" s="497"/>
      <c r="LBF75" s="497"/>
      <c r="LBG75" s="497"/>
      <c r="LBH75" s="497"/>
      <c r="LBI75" s="497"/>
      <c r="LBJ75" s="497"/>
      <c r="LBK75" s="497"/>
      <c r="LBL75" s="497"/>
      <c r="LBM75" s="497"/>
      <c r="LBN75" s="497"/>
      <c r="LBO75" s="497"/>
      <c r="LBP75" s="497"/>
      <c r="LBQ75" s="497"/>
      <c r="LBR75" s="497"/>
      <c r="LBS75" s="497"/>
      <c r="LBT75" s="497"/>
      <c r="LBU75" s="497"/>
      <c r="LBV75" s="497"/>
      <c r="LBW75" s="497"/>
      <c r="LBX75" s="497"/>
      <c r="LBY75" s="497"/>
      <c r="LBZ75" s="497"/>
      <c r="LCA75" s="497"/>
      <c r="LCB75" s="497"/>
      <c r="LCC75" s="497"/>
      <c r="LCD75" s="497"/>
      <c r="LCE75" s="497"/>
      <c r="LCF75" s="497"/>
      <c r="LCG75" s="497"/>
      <c r="LCH75" s="497"/>
      <c r="LCI75" s="497"/>
      <c r="LCJ75" s="497"/>
      <c r="LCK75" s="497"/>
      <c r="LCL75" s="497"/>
      <c r="LCM75" s="497"/>
      <c r="LCN75" s="497"/>
      <c r="LCO75" s="497"/>
      <c r="LCP75" s="497"/>
      <c r="LCQ75" s="497"/>
      <c r="LCR75" s="497"/>
      <c r="LCS75" s="497"/>
      <c r="LCT75" s="497"/>
      <c r="LCU75" s="497"/>
      <c r="LCV75" s="497"/>
      <c r="LCW75" s="497"/>
      <c r="LCX75" s="497"/>
      <c r="LCY75" s="497"/>
      <c r="LCZ75" s="497"/>
      <c r="LDA75" s="497"/>
      <c r="LDB75" s="497"/>
      <c r="LDC75" s="497"/>
      <c r="LDD75" s="497"/>
      <c r="LDE75" s="497"/>
      <c r="LDF75" s="497"/>
      <c r="LDG75" s="497"/>
      <c r="LDH75" s="497"/>
      <c r="LDI75" s="497"/>
      <c r="LDJ75" s="497"/>
      <c r="LDK75" s="497"/>
      <c r="LDL75" s="497"/>
      <c r="LDM75" s="497"/>
      <c r="LDN75" s="497"/>
      <c r="LDO75" s="497"/>
      <c r="LDP75" s="497"/>
      <c r="LDQ75" s="497"/>
      <c r="LDR75" s="497"/>
      <c r="LDS75" s="497"/>
      <c r="LDT75" s="497"/>
      <c r="LDU75" s="497"/>
      <c r="LDV75" s="497"/>
      <c r="LDW75" s="497"/>
      <c r="LDX75" s="497"/>
      <c r="LDY75" s="497"/>
      <c r="LDZ75" s="497"/>
      <c r="LEA75" s="497"/>
      <c r="LEB75" s="497"/>
      <c r="LEC75" s="497"/>
      <c r="LED75" s="497"/>
      <c r="LEE75" s="497"/>
      <c r="LEF75" s="497"/>
      <c r="LEG75" s="497"/>
      <c r="LEH75" s="497"/>
      <c r="LEI75" s="497"/>
      <c r="LEJ75" s="497"/>
      <c r="LEK75" s="497"/>
      <c r="LEL75" s="497"/>
      <c r="LEM75" s="497"/>
      <c r="LEN75" s="497"/>
      <c r="LEO75" s="497"/>
      <c r="LEP75" s="497"/>
      <c r="LEQ75" s="497"/>
      <c r="LER75" s="497"/>
      <c r="LES75" s="497"/>
      <c r="LET75" s="497"/>
      <c r="LEU75" s="497"/>
      <c r="LEV75" s="497"/>
      <c r="LEW75" s="497"/>
      <c r="LEX75" s="497"/>
      <c r="LEY75" s="497"/>
      <c r="LEZ75" s="497"/>
      <c r="LFA75" s="497"/>
      <c r="LFB75" s="497"/>
      <c r="LFC75" s="497"/>
      <c r="LFD75" s="497"/>
      <c r="LFE75" s="497"/>
      <c r="LFF75" s="497"/>
      <c r="LFG75" s="497"/>
      <c r="LFH75" s="497"/>
      <c r="LFI75" s="497"/>
      <c r="LFJ75" s="497"/>
      <c r="LFK75" s="497"/>
      <c r="LFL75" s="497"/>
      <c r="LFM75" s="497"/>
      <c r="LFN75" s="497"/>
      <c r="LFO75" s="497"/>
      <c r="LFP75" s="497"/>
      <c r="LFQ75" s="497"/>
      <c r="LFR75" s="497"/>
      <c r="LFS75" s="497"/>
      <c r="LFT75" s="497"/>
      <c r="LFU75" s="497"/>
      <c r="LFV75" s="497"/>
      <c r="LFW75" s="497"/>
      <c r="LFX75" s="497"/>
      <c r="LFY75" s="497"/>
      <c r="LFZ75" s="497"/>
      <c r="LGA75" s="497"/>
      <c r="LGB75" s="497"/>
      <c r="LGC75" s="497"/>
      <c r="LGD75" s="497"/>
      <c r="LGE75" s="497"/>
      <c r="LGF75" s="497"/>
      <c r="LGG75" s="497"/>
      <c r="LGH75" s="497"/>
      <c r="LGI75" s="497"/>
      <c r="LGJ75" s="497"/>
      <c r="LGK75" s="497"/>
      <c r="LGL75" s="497"/>
      <c r="LGM75" s="497"/>
      <c r="LGN75" s="497"/>
      <c r="LGO75" s="497"/>
      <c r="LGP75" s="497"/>
      <c r="LGQ75" s="497"/>
      <c r="LGR75" s="497"/>
      <c r="LGS75" s="497"/>
      <c r="LGT75" s="497"/>
      <c r="LGU75" s="497"/>
      <c r="LGV75" s="497"/>
      <c r="LGW75" s="497"/>
      <c r="LGX75" s="497"/>
      <c r="LGY75" s="497"/>
      <c r="LGZ75" s="497"/>
      <c r="LHA75" s="497"/>
      <c r="LHB75" s="497"/>
      <c r="LHC75" s="497"/>
      <c r="LHD75" s="497"/>
      <c r="LHE75" s="497"/>
      <c r="LHF75" s="497"/>
      <c r="LHG75" s="497"/>
      <c r="LHH75" s="497"/>
      <c r="LHI75" s="497"/>
      <c r="LHJ75" s="497"/>
      <c r="LHK75" s="497"/>
      <c r="LHL75" s="497"/>
      <c r="LHM75" s="497"/>
      <c r="LHN75" s="497"/>
      <c r="LHO75" s="497"/>
      <c r="LHP75" s="497"/>
      <c r="LHQ75" s="497"/>
      <c r="LHR75" s="497"/>
      <c r="LHS75" s="497"/>
      <c r="LHT75" s="497"/>
      <c r="LHU75" s="497"/>
      <c r="LHV75" s="497"/>
      <c r="LHW75" s="497"/>
      <c r="LHX75" s="497"/>
      <c r="LHY75" s="497"/>
      <c r="LHZ75" s="497"/>
      <c r="LIA75" s="497"/>
      <c r="LIB75" s="497"/>
      <c r="LIC75" s="497"/>
      <c r="LID75" s="497"/>
      <c r="LIE75" s="497"/>
      <c r="LIF75" s="497"/>
      <c r="LIG75" s="497"/>
      <c r="LIH75" s="497"/>
      <c r="LII75" s="497"/>
      <c r="LIJ75" s="497"/>
      <c r="LIK75" s="497"/>
      <c r="LIL75" s="497"/>
      <c r="LIM75" s="497"/>
      <c r="LIN75" s="497"/>
      <c r="LIO75" s="497"/>
      <c r="LIP75" s="497"/>
      <c r="LIQ75" s="497"/>
      <c r="LIR75" s="497"/>
      <c r="LIS75" s="497"/>
      <c r="LIT75" s="497"/>
      <c r="LIU75" s="497"/>
      <c r="LIV75" s="497"/>
      <c r="LIW75" s="497"/>
      <c r="LIX75" s="497"/>
      <c r="LIY75" s="497"/>
      <c r="LIZ75" s="497"/>
      <c r="LJA75" s="497"/>
      <c r="LJB75" s="497"/>
      <c r="LJC75" s="497"/>
      <c r="LJD75" s="497"/>
      <c r="LJE75" s="497"/>
      <c r="LJF75" s="497"/>
      <c r="LJG75" s="497"/>
      <c r="LJH75" s="497"/>
      <c r="LJI75" s="497"/>
      <c r="LJJ75" s="497"/>
      <c r="LJK75" s="497"/>
      <c r="LJL75" s="497"/>
      <c r="LJM75" s="497"/>
      <c r="LJN75" s="497"/>
      <c r="LJO75" s="497"/>
      <c r="LJP75" s="497"/>
      <c r="LJQ75" s="497"/>
      <c r="LJR75" s="497"/>
      <c r="LJS75" s="497"/>
      <c r="LJT75" s="497"/>
      <c r="LJU75" s="497"/>
      <c r="LJV75" s="497"/>
      <c r="LJW75" s="497"/>
      <c r="LJX75" s="497"/>
      <c r="LJY75" s="497"/>
      <c r="LJZ75" s="497"/>
      <c r="LKA75" s="497"/>
      <c r="LKB75" s="497"/>
      <c r="LKC75" s="497"/>
      <c r="LKD75" s="497"/>
      <c r="LKE75" s="497"/>
      <c r="LKF75" s="497"/>
      <c r="LKG75" s="497"/>
      <c r="LKH75" s="497"/>
      <c r="LKI75" s="497"/>
      <c r="LKJ75" s="497"/>
      <c r="LKK75" s="497"/>
      <c r="LKL75" s="497"/>
      <c r="LKM75" s="497"/>
      <c r="LKN75" s="497"/>
      <c r="LKO75" s="497"/>
      <c r="LKP75" s="497"/>
      <c r="LKQ75" s="497"/>
      <c r="LKR75" s="497"/>
      <c r="LKS75" s="497"/>
      <c r="LKT75" s="497"/>
      <c r="LKU75" s="497"/>
      <c r="LKV75" s="497"/>
      <c r="LKW75" s="497"/>
      <c r="LKX75" s="497"/>
      <c r="LKY75" s="497"/>
      <c r="LKZ75" s="497"/>
      <c r="LLA75" s="497"/>
      <c r="LLB75" s="497"/>
      <c r="LLC75" s="497"/>
      <c r="LLD75" s="497"/>
      <c r="LLE75" s="497"/>
      <c r="LLF75" s="497"/>
      <c r="LLG75" s="497"/>
      <c r="LLH75" s="497"/>
      <c r="LLI75" s="497"/>
      <c r="LLJ75" s="497"/>
      <c r="LLK75" s="497"/>
      <c r="LLL75" s="497"/>
      <c r="LLM75" s="497"/>
      <c r="LLN75" s="497"/>
      <c r="LLO75" s="497"/>
      <c r="LLP75" s="497"/>
      <c r="LLQ75" s="497"/>
      <c r="LLR75" s="497"/>
      <c r="LLS75" s="497"/>
      <c r="LLT75" s="497"/>
      <c r="LLU75" s="497"/>
      <c r="LLV75" s="497"/>
      <c r="LLW75" s="497"/>
      <c r="LLX75" s="497"/>
      <c r="LLY75" s="497"/>
      <c r="LLZ75" s="497"/>
      <c r="LMA75" s="497"/>
      <c r="LMB75" s="497"/>
      <c r="LMC75" s="497"/>
      <c r="LMD75" s="497"/>
      <c r="LME75" s="497"/>
      <c r="LMF75" s="497"/>
      <c r="LMG75" s="497"/>
      <c r="LMH75" s="497"/>
      <c r="LMI75" s="497"/>
      <c r="LMJ75" s="497"/>
      <c r="LMK75" s="497"/>
      <c r="LML75" s="497"/>
      <c r="LMM75" s="497"/>
      <c r="LMN75" s="497"/>
      <c r="LMO75" s="497"/>
      <c r="LMP75" s="497"/>
      <c r="LMQ75" s="497"/>
      <c r="LMR75" s="497"/>
      <c r="LMS75" s="497"/>
      <c r="LMT75" s="497"/>
      <c r="LMU75" s="497"/>
      <c r="LMV75" s="497"/>
      <c r="LMW75" s="497"/>
      <c r="LMX75" s="497"/>
      <c r="LMY75" s="497"/>
      <c r="LMZ75" s="497"/>
      <c r="LNA75" s="497"/>
      <c r="LNB75" s="497"/>
      <c r="LNC75" s="497"/>
      <c r="LND75" s="497"/>
      <c r="LNE75" s="497"/>
      <c r="LNF75" s="497"/>
      <c r="LNG75" s="497"/>
      <c r="LNH75" s="497"/>
      <c r="LNI75" s="497"/>
      <c r="LNJ75" s="497"/>
      <c r="LNK75" s="497"/>
      <c r="LNL75" s="497"/>
      <c r="LNM75" s="497"/>
      <c r="LNN75" s="497"/>
      <c r="LNO75" s="497"/>
      <c r="LNP75" s="497"/>
      <c r="LNQ75" s="497"/>
      <c r="LNR75" s="497"/>
      <c r="LNS75" s="497"/>
      <c r="LNT75" s="497"/>
      <c r="LNU75" s="497"/>
      <c r="LNV75" s="497"/>
      <c r="LNW75" s="497"/>
      <c r="LNX75" s="497"/>
      <c r="LNY75" s="497"/>
      <c r="LNZ75" s="497"/>
      <c r="LOA75" s="497"/>
      <c r="LOB75" s="497"/>
      <c r="LOC75" s="497"/>
      <c r="LOD75" s="497"/>
      <c r="LOE75" s="497"/>
      <c r="LOF75" s="497"/>
      <c r="LOG75" s="497"/>
      <c r="LOH75" s="497"/>
      <c r="LOI75" s="497"/>
      <c r="LOJ75" s="497"/>
      <c r="LOK75" s="497"/>
      <c r="LOL75" s="497"/>
      <c r="LOM75" s="497"/>
      <c r="LON75" s="497"/>
      <c r="LOO75" s="497"/>
      <c r="LOP75" s="497"/>
      <c r="LOQ75" s="497"/>
      <c r="LOR75" s="497"/>
      <c r="LOS75" s="497"/>
      <c r="LOT75" s="497"/>
      <c r="LOU75" s="497"/>
      <c r="LOV75" s="497"/>
      <c r="LOW75" s="497"/>
      <c r="LOX75" s="497"/>
      <c r="LOY75" s="497"/>
      <c r="LOZ75" s="497"/>
      <c r="LPA75" s="497"/>
      <c r="LPB75" s="497"/>
      <c r="LPC75" s="497"/>
      <c r="LPD75" s="497"/>
      <c r="LPE75" s="497"/>
      <c r="LPF75" s="497"/>
      <c r="LPG75" s="497"/>
      <c r="LPH75" s="497"/>
      <c r="LPI75" s="497"/>
      <c r="LPJ75" s="497"/>
      <c r="LPK75" s="497"/>
      <c r="LPL75" s="497"/>
      <c r="LPM75" s="497"/>
      <c r="LPN75" s="497"/>
      <c r="LPO75" s="497"/>
      <c r="LPP75" s="497"/>
      <c r="LPQ75" s="497"/>
      <c r="LPR75" s="497"/>
      <c r="LPS75" s="497"/>
      <c r="LPT75" s="497"/>
      <c r="LPU75" s="497"/>
      <c r="LPV75" s="497"/>
      <c r="LPW75" s="497"/>
      <c r="LPX75" s="497"/>
      <c r="LPY75" s="497"/>
      <c r="LPZ75" s="497"/>
      <c r="LQA75" s="497"/>
      <c r="LQB75" s="497"/>
      <c r="LQC75" s="497"/>
      <c r="LQD75" s="497"/>
      <c r="LQE75" s="497"/>
      <c r="LQF75" s="497"/>
      <c r="LQG75" s="497"/>
      <c r="LQH75" s="497"/>
      <c r="LQI75" s="497"/>
      <c r="LQJ75" s="497"/>
      <c r="LQK75" s="497"/>
      <c r="LQL75" s="497"/>
      <c r="LQM75" s="497"/>
      <c r="LQN75" s="497"/>
      <c r="LQO75" s="497"/>
      <c r="LQP75" s="497"/>
      <c r="LQQ75" s="497"/>
      <c r="LQR75" s="497"/>
      <c r="LQS75" s="497"/>
      <c r="LQT75" s="497"/>
      <c r="LQU75" s="497"/>
      <c r="LQV75" s="497"/>
      <c r="LQW75" s="497"/>
      <c r="LQX75" s="497"/>
      <c r="LQY75" s="497"/>
      <c r="LQZ75" s="497"/>
      <c r="LRA75" s="497"/>
      <c r="LRB75" s="497"/>
      <c r="LRC75" s="497"/>
      <c r="LRD75" s="497"/>
      <c r="LRE75" s="497"/>
      <c r="LRF75" s="497"/>
      <c r="LRG75" s="497"/>
      <c r="LRH75" s="497"/>
      <c r="LRI75" s="497"/>
      <c r="LRJ75" s="497"/>
      <c r="LRK75" s="497"/>
      <c r="LRL75" s="497"/>
      <c r="LRM75" s="497"/>
      <c r="LRN75" s="497"/>
      <c r="LRO75" s="497"/>
      <c r="LRP75" s="497"/>
      <c r="LRQ75" s="497"/>
      <c r="LRR75" s="497"/>
      <c r="LRS75" s="497"/>
      <c r="LRT75" s="497"/>
      <c r="LRU75" s="497"/>
      <c r="LRV75" s="497"/>
      <c r="LRW75" s="497"/>
      <c r="LRX75" s="497"/>
      <c r="LRY75" s="497"/>
      <c r="LRZ75" s="497"/>
      <c r="LSA75" s="497"/>
      <c r="LSB75" s="497"/>
      <c r="LSC75" s="497"/>
      <c r="LSD75" s="497"/>
      <c r="LSE75" s="497"/>
      <c r="LSF75" s="497"/>
      <c r="LSG75" s="497"/>
      <c r="LSH75" s="497"/>
      <c r="LSI75" s="497"/>
      <c r="LSJ75" s="497"/>
      <c r="LSK75" s="497"/>
      <c r="LSL75" s="497"/>
      <c r="LSM75" s="497"/>
      <c r="LSN75" s="497"/>
      <c r="LSO75" s="497"/>
      <c r="LSP75" s="497"/>
      <c r="LSQ75" s="497"/>
      <c r="LSR75" s="497"/>
      <c r="LSS75" s="497"/>
      <c r="LST75" s="497"/>
      <c r="LSU75" s="497"/>
      <c r="LSV75" s="497"/>
      <c r="LSW75" s="497"/>
      <c r="LSX75" s="497"/>
      <c r="LSY75" s="497"/>
      <c r="LSZ75" s="497"/>
      <c r="LTA75" s="497"/>
      <c r="LTB75" s="497"/>
      <c r="LTC75" s="497"/>
      <c r="LTD75" s="497"/>
      <c r="LTE75" s="497"/>
      <c r="LTF75" s="497"/>
      <c r="LTG75" s="497"/>
      <c r="LTH75" s="497"/>
      <c r="LTI75" s="497"/>
      <c r="LTJ75" s="497"/>
      <c r="LTK75" s="497"/>
      <c r="LTL75" s="497"/>
      <c r="LTM75" s="497"/>
      <c r="LTN75" s="497"/>
      <c r="LTO75" s="497"/>
      <c r="LTP75" s="497"/>
      <c r="LTQ75" s="497"/>
      <c r="LTR75" s="497"/>
      <c r="LTS75" s="497"/>
      <c r="LTT75" s="497"/>
      <c r="LTU75" s="497"/>
      <c r="LTV75" s="497"/>
      <c r="LTW75" s="497"/>
      <c r="LTX75" s="497"/>
      <c r="LTY75" s="497"/>
      <c r="LTZ75" s="497"/>
      <c r="LUA75" s="497"/>
      <c r="LUB75" s="497"/>
      <c r="LUC75" s="497"/>
      <c r="LUD75" s="497"/>
      <c r="LUE75" s="497"/>
      <c r="LUF75" s="497"/>
      <c r="LUG75" s="497"/>
      <c r="LUH75" s="497"/>
      <c r="LUI75" s="497"/>
      <c r="LUJ75" s="497"/>
      <c r="LUK75" s="497"/>
      <c r="LUL75" s="497"/>
      <c r="LUM75" s="497"/>
      <c r="LUN75" s="497"/>
      <c r="LUO75" s="497"/>
      <c r="LUP75" s="497"/>
      <c r="LUQ75" s="497"/>
      <c r="LUR75" s="497"/>
      <c r="LUS75" s="497"/>
      <c r="LUT75" s="497"/>
      <c r="LUU75" s="497"/>
      <c r="LUV75" s="497"/>
      <c r="LUW75" s="497"/>
      <c r="LUX75" s="497"/>
      <c r="LUY75" s="497"/>
      <c r="LUZ75" s="497"/>
      <c r="LVA75" s="497"/>
      <c r="LVB75" s="497"/>
      <c r="LVC75" s="497"/>
      <c r="LVD75" s="497"/>
      <c r="LVE75" s="497"/>
      <c r="LVF75" s="497"/>
      <c r="LVG75" s="497"/>
      <c r="LVH75" s="497"/>
      <c r="LVI75" s="497"/>
      <c r="LVJ75" s="497"/>
      <c r="LVK75" s="497"/>
      <c r="LVL75" s="497"/>
      <c r="LVM75" s="497"/>
      <c r="LVN75" s="497"/>
      <c r="LVO75" s="497"/>
      <c r="LVP75" s="497"/>
      <c r="LVQ75" s="497"/>
      <c r="LVR75" s="497"/>
      <c r="LVS75" s="497"/>
      <c r="LVT75" s="497"/>
      <c r="LVU75" s="497"/>
      <c r="LVV75" s="497"/>
      <c r="LVW75" s="497"/>
      <c r="LVX75" s="497"/>
      <c r="LVY75" s="497"/>
      <c r="LVZ75" s="497"/>
      <c r="LWA75" s="497"/>
      <c r="LWB75" s="497"/>
      <c r="LWC75" s="497"/>
      <c r="LWD75" s="497"/>
      <c r="LWE75" s="497"/>
      <c r="LWF75" s="497"/>
      <c r="LWG75" s="497"/>
      <c r="LWH75" s="497"/>
      <c r="LWI75" s="497"/>
      <c r="LWJ75" s="497"/>
      <c r="LWK75" s="497"/>
      <c r="LWL75" s="497"/>
      <c r="LWM75" s="497"/>
      <c r="LWN75" s="497"/>
      <c r="LWO75" s="497"/>
      <c r="LWP75" s="497"/>
      <c r="LWQ75" s="497"/>
      <c r="LWR75" s="497"/>
      <c r="LWS75" s="497"/>
      <c r="LWT75" s="497"/>
      <c r="LWU75" s="497"/>
      <c r="LWV75" s="497"/>
      <c r="LWW75" s="497"/>
      <c r="LWX75" s="497"/>
      <c r="LWY75" s="497"/>
      <c r="LWZ75" s="497"/>
      <c r="LXA75" s="497"/>
      <c r="LXB75" s="497"/>
      <c r="LXC75" s="497"/>
      <c r="LXD75" s="497"/>
      <c r="LXE75" s="497"/>
      <c r="LXF75" s="497"/>
      <c r="LXG75" s="497"/>
      <c r="LXH75" s="497"/>
      <c r="LXI75" s="497"/>
      <c r="LXJ75" s="497"/>
      <c r="LXK75" s="497"/>
      <c r="LXL75" s="497"/>
      <c r="LXM75" s="497"/>
      <c r="LXN75" s="497"/>
      <c r="LXO75" s="497"/>
      <c r="LXP75" s="497"/>
      <c r="LXQ75" s="497"/>
      <c r="LXR75" s="497"/>
      <c r="LXS75" s="497"/>
      <c r="LXT75" s="497"/>
      <c r="LXU75" s="497"/>
      <c r="LXV75" s="497"/>
      <c r="LXW75" s="497"/>
      <c r="LXX75" s="497"/>
      <c r="LXY75" s="497"/>
      <c r="LXZ75" s="497"/>
      <c r="LYA75" s="497"/>
      <c r="LYB75" s="497"/>
      <c r="LYC75" s="497"/>
      <c r="LYD75" s="497"/>
      <c r="LYE75" s="497"/>
      <c r="LYF75" s="497"/>
      <c r="LYG75" s="497"/>
      <c r="LYH75" s="497"/>
      <c r="LYI75" s="497"/>
      <c r="LYJ75" s="497"/>
      <c r="LYK75" s="497"/>
      <c r="LYL75" s="497"/>
      <c r="LYM75" s="497"/>
      <c r="LYN75" s="497"/>
      <c r="LYO75" s="497"/>
      <c r="LYP75" s="497"/>
      <c r="LYQ75" s="497"/>
      <c r="LYR75" s="497"/>
      <c r="LYS75" s="497"/>
      <c r="LYT75" s="497"/>
      <c r="LYU75" s="497"/>
      <c r="LYV75" s="497"/>
      <c r="LYW75" s="497"/>
      <c r="LYX75" s="497"/>
      <c r="LYY75" s="497"/>
      <c r="LYZ75" s="497"/>
      <c r="LZA75" s="497"/>
      <c r="LZB75" s="497"/>
      <c r="LZC75" s="497"/>
      <c r="LZD75" s="497"/>
      <c r="LZE75" s="497"/>
      <c r="LZF75" s="497"/>
      <c r="LZG75" s="497"/>
      <c r="LZH75" s="497"/>
      <c r="LZI75" s="497"/>
      <c r="LZJ75" s="497"/>
      <c r="LZK75" s="497"/>
      <c r="LZL75" s="497"/>
      <c r="LZM75" s="497"/>
      <c r="LZN75" s="497"/>
      <c r="LZO75" s="497"/>
      <c r="LZP75" s="497"/>
      <c r="LZQ75" s="497"/>
      <c r="LZR75" s="497"/>
      <c r="LZS75" s="497"/>
      <c r="LZT75" s="497"/>
      <c r="LZU75" s="497"/>
      <c r="LZV75" s="497"/>
      <c r="LZW75" s="497"/>
      <c r="LZX75" s="497"/>
      <c r="LZY75" s="497"/>
      <c r="LZZ75" s="497"/>
      <c r="MAA75" s="497"/>
      <c r="MAB75" s="497"/>
      <c r="MAC75" s="497"/>
      <c r="MAD75" s="497"/>
      <c r="MAE75" s="497"/>
      <c r="MAF75" s="497"/>
      <c r="MAG75" s="497"/>
      <c r="MAH75" s="497"/>
      <c r="MAI75" s="497"/>
      <c r="MAJ75" s="497"/>
      <c r="MAK75" s="497"/>
      <c r="MAL75" s="497"/>
      <c r="MAM75" s="497"/>
      <c r="MAN75" s="497"/>
      <c r="MAO75" s="497"/>
      <c r="MAP75" s="497"/>
      <c r="MAQ75" s="497"/>
      <c r="MAR75" s="497"/>
      <c r="MAS75" s="497"/>
      <c r="MAT75" s="497"/>
      <c r="MAU75" s="497"/>
      <c r="MAV75" s="497"/>
      <c r="MAW75" s="497"/>
      <c r="MAX75" s="497"/>
      <c r="MAY75" s="497"/>
      <c r="MAZ75" s="497"/>
      <c r="MBA75" s="497"/>
      <c r="MBB75" s="497"/>
      <c r="MBC75" s="497"/>
      <c r="MBD75" s="497"/>
      <c r="MBE75" s="497"/>
      <c r="MBF75" s="497"/>
      <c r="MBG75" s="497"/>
      <c r="MBH75" s="497"/>
      <c r="MBI75" s="497"/>
      <c r="MBJ75" s="497"/>
      <c r="MBK75" s="497"/>
      <c r="MBL75" s="497"/>
      <c r="MBM75" s="497"/>
      <c r="MBN75" s="497"/>
      <c r="MBO75" s="497"/>
      <c r="MBP75" s="497"/>
      <c r="MBQ75" s="497"/>
      <c r="MBR75" s="497"/>
      <c r="MBS75" s="497"/>
      <c r="MBT75" s="497"/>
      <c r="MBU75" s="497"/>
      <c r="MBV75" s="497"/>
      <c r="MBW75" s="497"/>
      <c r="MBX75" s="497"/>
      <c r="MBY75" s="497"/>
      <c r="MBZ75" s="497"/>
      <c r="MCA75" s="497"/>
      <c r="MCB75" s="497"/>
      <c r="MCC75" s="497"/>
      <c r="MCD75" s="497"/>
      <c r="MCE75" s="497"/>
      <c r="MCF75" s="497"/>
      <c r="MCG75" s="497"/>
      <c r="MCH75" s="497"/>
      <c r="MCI75" s="497"/>
      <c r="MCJ75" s="497"/>
      <c r="MCK75" s="497"/>
      <c r="MCL75" s="497"/>
      <c r="MCM75" s="497"/>
      <c r="MCN75" s="497"/>
      <c r="MCO75" s="497"/>
      <c r="MCP75" s="497"/>
      <c r="MCQ75" s="497"/>
      <c r="MCR75" s="497"/>
      <c r="MCS75" s="497"/>
      <c r="MCT75" s="497"/>
      <c r="MCU75" s="497"/>
      <c r="MCV75" s="497"/>
      <c r="MCW75" s="497"/>
      <c r="MCX75" s="497"/>
      <c r="MCY75" s="497"/>
      <c r="MCZ75" s="497"/>
      <c r="MDA75" s="497"/>
      <c r="MDB75" s="497"/>
      <c r="MDC75" s="497"/>
      <c r="MDD75" s="497"/>
      <c r="MDE75" s="497"/>
      <c r="MDF75" s="497"/>
      <c r="MDG75" s="497"/>
      <c r="MDH75" s="497"/>
      <c r="MDI75" s="497"/>
      <c r="MDJ75" s="497"/>
      <c r="MDK75" s="497"/>
      <c r="MDL75" s="497"/>
      <c r="MDM75" s="497"/>
      <c r="MDN75" s="497"/>
      <c r="MDO75" s="497"/>
      <c r="MDP75" s="497"/>
      <c r="MDQ75" s="497"/>
      <c r="MDR75" s="497"/>
      <c r="MDS75" s="497"/>
      <c r="MDT75" s="497"/>
      <c r="MDU75" s="497"/>
      <c r="MDV75" s="497"/>
      <c r="MDW75" s="497"/>
      <c r="MDX75" s="497"/>
      <c r="MDY75" s="497"/>
      <c r="MDZ75" s="497"/>
      <c r="MEA75" s="497"/>
      <c r="MEB75" s="497"/>
      <c r="MEC75" s="497"/>
      <c r="MED75" s="497"/>
      <c r="MEE75" s="497"/>
      <c r="MEF75" s="497"/>
      <c r="MEG75" s="497"/>
      <c r="MEH75" s="497"/>
      <c r="MEI75" s="497"/>
      <c r="MEJ75" s="497"/>
      <c r="MEK75" s="497"/>
      <c r="MEL75" s="497"/>
      <c r="MEM75" s="497"/>
      <c r="MEN75" s="497"/>
      <c r="MEO75" s="497"/>
      <c r="MEP75" s="497"/>
      <c r="MEQ75" s="497"/>
      <c r="MER75" s="497"/>
      <c r="MES75" s="497"/>
      <c r="MET75" s="497"/>
      <c r="MEU75" s="497"/>
      <c r="MEV75" s="497"/>
      <c r="MEW75" s="497"/>
      <c r="MEX75" s="497"/>
      <c r="MEY75" s="497"/>
      <c r="MEZ75" s="497"/>
      <c r="MFA75" s="497"/>
      <c r="MFB75" s="497"/>
      <c r="MFC75" s="497"/>
      <c r="MFD75" s="497"/>
      <c r="MFE75" s="497"/>
      <c r="MFF75" s="497"/>
      <c r="MFG75" s="497"/>
      <c r="MFH75" s="497"/>
      <c r="MFI75" s="497"/>
      <c r="MFJ75" s="497"/>
      <c r="MFK75" s="497"/>
      <c r="MFL75" s="497"/>
      <c r="MFM75" s="497"/>
      <c r="MFN75" s="497"/>
      <c r="MFO75" s="497"/>
      <c r="MFP75" s="497"/>
      <c r="MFQ75" s="497"/>
      <c r="MFR75" s="497"/>
      <c r="MFS75" s="497"/>
      <c r="MFT75" s="497"/>
      <c r="MFU75" s="497"/>
      <c r="MFV75" s="497"/>
      <c r="MFW75" s="497"/>
      <c r="MFX75" s="497"/>
      <c r="MFY75" s="497"/>
      <c r="MFZ75" s="497"/>
      <c r="MGA75" s="497"/>
      <c r="MGB75" s="497"/>
      <c r="MGC75" s="497"/>
      <c r="MGD75" s="497"/>
      <c r="MGE75" s="497"/>
      <c r="MGF75" s="497"/>
      <c r="MGG75" s="497"/>
      <c r="MGH75" s="497"/>
      <c r="MGI75" s="497"/>
      <c r="MGJ75" s="497"/>
      <c r="MGK75" s="497"/>
      <c r="MGL75" s="497"/>
      <c r="MGM75" s="497"/>
      <c r="MGN75" s="497"/>
      <c r="MGO75" s="497"/>
      <c r="MGP75" s="497"/>
      <c r="MGQ75" s="497"/>
      <c r="MGR75" s="497"/>
      <c r="MGS75" s="497"/>
      <c r="MGT75" s="497"/>
      <c r="MGU75" s="497"/>
      <c r="MGV75" s="497"/>
      <c r="MGW75" s="497"/>
      <c r="MGX75" s="497"/>
      <c r="MGY75" s="497"/>
      <c r="MGZ75" s="497"/>
      <c r="MHA75" s="497"/>
      <c r="MHB75" s="497"/>
      <c r="MHC75" s="497"/>
      <c r="MHD75" s="497"/>
      <c r="MHE75" s="497"/>
      <c r="MHF75" s="497"/>
      <c r="MHG75" s="497"/>
      <c r="MHH75" s="497"/>
      <c r="MHI75" s="497"/>
      <c r="MHJ75" s="497"/>
      <c r="MHK75" s="497"/>
      <c r="MHL75" s="497"/>
      <c r="MHM75" s="497"/>
      <c r="MHN75" s="497"/>
      <c r="MHO75" s="497"/>
      <c r="MHP75" s="497"/>
      <c r="MHQ75" s="497"/>
      <c r="MHR75" s="497"/>
      <c r="MHS75" s="497"/>
      <c r="MHT75" s="497"/>
      <c r="MHU75" s="497"/>
      <c r="MHV75" s="497"/>
      <c r="MHW75" s="497"/>
      <c r="MHX75" s="497"/>
      <c r="MHY75" s="497"/>
      <c r="MHZ75" s="497"/>
      <c r="MIA75" s="497"/>
      <c r="MIB75" s="497"/>
      <c r="MIC75" s="497"/>
      <c r="MID75" s="497"/>
      <c r="MIE75" s="497"/>
      <c r="MIF75" s="497"/>
      <c r="MIG75" s="497"/>
      <c r="MIH75" s="497"/>
      <c r="MII75" s="497"/>
      <c r="MIJ75" s="497"/>
      <c r="MIK75" s="497"/>
      <c r="MIL75" s="497"/>
      <c r="MIM75" s="497"/>
      <c r="MIN75" s="497"/>
      <c r="MIO75" s="497"/>
      <c r="MIP75" s="497"/>
      <c r="MIQ75" s="497"/>
      <c r="MIR75" s="497"/>
      <c r="MIS75" s="497"/>
      <c r="MIT75" s="497"/>
      <c r="MIU75" s="497"/>
      <c r="MIV75" s="497"/>
      <c r="MIW75" s="497"/>
      <c r="MIX75" s="497"/>
      <c r="MIY75" s="497"/>
      <c r="MIZ75" s="497"/>
      <c r="MJA75" s="497"/>
      <c r="MJB75" s="497"/>
      <c r="MJC75" s="497"/>
      <c r="MJD75" s="497"/>
      <c r="MJE75" s="497"/>
      <c r="MJF75" s="497"/>
      <c r="MJG75" s="497"/>
      <c r="MJH75" s="497"/>
      <c r="MJI75" s="497"/>
      <c r="MJJ75" s="497"/>
      <c r="MJK75" s="497"/>
      <c r="MJL75" s="497"/>
      <c r="MJM75" s="497"/>
      <c r="MJN75" s="497"/>
      <c r="MJO75" s="497"/>
      <c r="MJP75" s="497"/>
      <c r="MJQ75" s="497"/>
      <c r="MJR75" s="497"/>
      <c r="MJS75" s="497"/>
      <c r="MJT75" s="497"/>
      <c r="MJU75" s="497"/>
      <c r="MJV75" s="497"/>
      <c r="MJW75" s="497"/>
      <c r="MJX75" s="497"/>
      <c r="MJY75" s="497"/>
      <c r="MJZ75" s="497"/>
      <c r="MKA75" s="497"/>
      <c r="MKB75" s="497"/>
      <c r="MKC75" s="497"/>
      <c r="MKD75" s="497"/>
      <c r="MKE75" s="497"/>
      <c r="MKF75" s="497"/>
      <c r="MKG75" s="497"/>
      <c r="MKH75" s="497"/>
      <c r="MKI75" s="497"/>
      <c r="MKJ75" s="497"/>
      <c r="MKK75" s="497"/>
      <c r="MKL75" s="497"/>
      <c r="MKM75" s="497"/>
      <c r="MKN75" s="497"/>
      <c r="MKO75" s="497"/>
      <c r="MKP75" s="497"/>
      <c r="MKQ75" s="497"/>
      <c r="MKR75" s="497"/>
      <c r="MKS75" s="497"/>
      <c r="MKT75" s="497"/>
      <c r="MKU75" s="497"/>
      <c r="MKV75" s="497"/>
      <c r="MKW75" s="497"/>
      <c r="MKX75" s="497"/>
      <c r="MKY75" s="497"/>
      <c r="MKZ75" s="497"/>
      <c r="MLA75" s="497"/>
      <c r="MLB75" s="497"/>
      <c r="MLC75" s="497"/>
      <c r="MLD75" s="497"/>
      <c r="MLE75" s="497"/>
      <c r="MLF75" s="497"/>
      <c r="MLG75" s="497"/>
      <c r="MLH75" s="497"/>
      <c r="MLI75" s="497"/>
      <c r="MLJ75" s="497"/>
      <c r="MLK75" s="497"/>
      <c r="MLL75" s="497"/>
      <c r="MLM75" s="497"/>
      <c r="MLN75" s="497"/>
      <c r="MLO75" s="497"/>
      <c r="MLP75" s="497"/>
      <c r="MLQ75" s="497"/>
      <c r="MLR75" s="497"/>
      <c r="MLS75" s="497"/>
      <c r="MLT75" s="497"/>
      <c r="MLU75" s="497"/>
      <c r="MLV75" s="497"/>
      <c r="MLW75" s="497"/>
      <c r="MLX75" s="497"/>
      <c r="MLY75" s="497"/>
      <c r="MLZ75" s="497"/>
      <c r="MMA75" s="497"/>
      <c r="MMB75" s="497"/>
      <c r="MMC75" s="497"/>
      <c r="MMD75" s="497"/>
      <c r="MME75" s="497"/>
      <c r="MMF75" s="497"/>
      <c r="MMG75" s="497"/>
      <c r="MMH75" s="497"/>
      <c r="MMI75" s="497"/>
      <c r="MMJ75" s="497"/>
      <c r="MMK75" s="497"/>
      <c r="MML75" s="497"/>
      <c r="MMM75" s="497"/>
      <c r="MMN75" s="497"/>
      <c r="MMO75" s="497"/>
      <c r="MMP75" s="497"/>
      <c r="MMQ75" s="497"/>
      <c r="MMR75" s="497"/>
      <c r="MMS75" s="497"/>
      <c r="MMT75" s="497"/>
      <c r="MMU75" s="497"/>
      <c r="MMV75" s="497"/>
      <c r="MMW75" s="497"/>
      <c r="MMX75" s="497"/>
      <c r="MMY75" s="497"/>
      <c r="MMZ75" s="497"/>
      <c r="MNA75" s="497"/>
      <c r="MNB75" s="497"/>
      <c r="MNC75" s="497"/>
      <c r="MND75" s="497"/>
      <c r="MNE75" s="497"/>
      <c r="MNF75" s="497"/>
      <c r="MNG75" s="497"/>
      <c r="MNH75" s="497"/>
      <c r="MNI75" s="497"/>
      <c r="MNJ75" s="497"/>
      <c r="MNK75" s="497"/>
      <c r="MNL75" s="497"/>
      <c r="MNM75" s="497"/>
      <c r="MNN75" s="497"/>
      <c r="MNO75" s="497"/>
      <c r="MNP75" s="497"/>
      <c r="MNQ75" s="497"/>
      <c r="MNR75" s="497"/>
      <c r="MNS75" s="497"/>
      <c r="MNT75" s="497"/>
      <c r="MNU75" s="497"/>
      <c r="MNV75" s="497"/>
      <c r="MNW75" s="497"/>
      <c r="MNX75" s="497"/>
      <c r="MNY75" s="497"/>
      <c r="MNZ75" s="497"/>
      <c r="MOA75" s="497"/>
      <c r="MOB75" s="497"/>
      <c r="MOC75" s="497"/>
      <c r="MOD75" s="497"/>
      <c r="MOE75" s="497"/>
      <c r="MOF75" s="497"/>
      <c r="MOG75" s="497"/>
      <c r="MOH75" s="497"/>
      <c r="MOI75" s="497"/>
      <c r="MOJ75" s="497"/>
      <c r="MOK75" s="497"/>
      <c r="MOL75" s="497"/>
      <c r="MOM75" s="497"/>
      <c r="MON75" s="497"/>
      <c r="MOO75" s="497"/>
      <c r="MOP75" s="497"/>
      <c r="MOQ75" s="497"/>
      <c r="MOR75" s="497"/>
      <c r="MOS75" s="497"/>
      <c r="MOT75" s="497"/>
      <c r="MOU75" s="497"/>
      <c r="MOV75" s="497"/>
      <c r="MOW75" s="497"/>
      <c r="MOX75" s="497"/>
      <c r="MOY75" s="497"/>
      <c r="MOZ75" s="497"/>
      <c r="MPA75" s="497"/>
      <c r="MPB75" s="497"/>
      <c r="MPC75" s="497"/>
      <c r="MPD75" s="497"/>
      <c r="MPE75" s="497"/>
      <c r="MPF75" s="497"/>
      <c r="MPG75" s="497"/>
      <c r="MPH75" s="497"/>
      <c r="MPI75" s="497"/>
      <c r="MPJ75" s="497"/>
      <c r="MPK75" s="497"/>
      <c r="MPL75" s="497"/>
      <c r="MPM75" s="497"/>
      <c r="MPN75" s="497"/>
      <c r="MPO75" s="497"/>
      <c r="MPP75" s="497"/>
      <c r="MPQ75" s="497"/>
      <c r="MPR75" s="497"/>
      <c r="MPS75" s="497"/>
      <c r="MPT75" s="497"/>
      <c r="MPU75" s="497"/>
      <c r="MPV75" s="497"/>
      <c r="MPW75" s="497"/>
      <c r="MPX75" s="497"/>
      <c r="MPY75" s="497"/>
      <c r="MPZ75" s="497"/>
      <c r="MQA75" s="497"/>
      <c r="MQB75" s="497"/>
      <c r="MQC75" s="497"/>
      <c r="MQD75" s="497"/>
      <c r="MQE75" s="497"/>
      <c r="MQF75" s="497"/>
      <c r="MQG75" s="497"/>
      <c r="MQH75" s="497"/>
      <c r="MQI75" s="497"/>
      <c r="MQJ75" s="497"/>
      <c r="MQK75" s="497"/>
      <c r="MQL75" s="497"/>
      <c r="MQM75" s="497"/>
      <c r="MQN75" s="497"/>
      <c r="MQO75" s="497"/>
      <c r="MQP75" s="497"/>
      <c r="MQQ75" s="497"/>
      <c r="MQR75" s="497"/>
      <c r="MQS75" s="497"/>
      <c r="MQT75" s="497"/>
      <c r="MQU75" s="497"/>
      <c r="MQV75" s="497"/>
      <c r="MQW75" s="497"/>
      <c r="MQX75" s="497"/>
      <c r="MQY75" s="497"/>
      <c r="MQZ75" s="497"/>
      <c r="MRA75" s="497"/>
      <c r="MRB75" s="497"/>
      <c r="MRC75" s="497"/>
      <c r="MRD75" s="497"/>
      <c r="MRE75" s="497"/>
      <c r="MRF75" s="497"/>
      <c r="MRG75" s="497"/>
      <c r="MRH75" s="497"/>
      <c r="MRI75" s="497"/>
      <c r="MRJ75" s="497"/>
      <c r="MRK75" s="497"/>
      <c r="MRL75" s="497"/>
      <c r="MRM75" s="497"/>
      <c r="MRN75" s="497"/>
      <c r="MRO75" s="497"/>
      <c r="MRP75" s="497"/>
      <c r="MRQ75" s="497"/>
      <c r="MRR75" s="497"/>
      <c r="MRS75" s="497"/>
      <c r="MRT75" s="497"/>
      <c r="MRU75" s="497"/>
      <c r="MRV75" s="497"/>
      <c r="MRW75" s="497"/>
      <c r="MRX75" s="497"/>
      <c r="MRY75" s="497"/>
      <c r="MRZ75" s="497"/>
      <c r="MSA75" s="497"/>
      <c r="MSB75" s="497"/>
      <c r="MSC75" s="497"/>
      <c r="MSD75" s="497"/>
      <c r="MSE75" s="497"/>
      <c r="MSF75" s="497"/>
      <c r="MSG75" s="497"/>
      <c r="MSH75" s="497"/>
      <c r="MSI75" s="497"/>
      <c r="MSJ75" s="497"/>
      <c r="MSK75" s="497"/>
      <c r="MSL75" s="497"/>
      <c r="MSM75" s="497"/>
      <c r="MSN75" s="497"/>
      <c r="MSO75" s="497"/>
      <c r="MSP75" s="497"/>
      <c r="MSQ75" s="497"/>
      <c r="MSR75" s="497"/>
      <c r="MSS75" s="497"/>
      <c r="MST75" s="497"/>
      <c r="MSU75" s="497"/>
      <c r="MSV75" s="497"/>
      <c r="MSW75" s="497"/>
      <c r="MSX75" s="497"/>
      <c r="MSY75" s="497"/>
      <c r="MSZ75" s="497"/>
      <c r="MTA75" s="497"/>
      <c r="MTB75" s="497"/>
      <c r="MTC75" s="497"/>
      <c r="MTD75" s="497"/>
      <c r="MTE75" s="497"/>
      <c r="MTF75" s="497"/>
      <c r="MTG75" s="497"/>
      <c r="MTH75" s="497"/>
      <c r="MTI75" s="497"/>
      <c r="MTJ75" s="497"/>
      <c r="MTK75" s="497"/>
      <c r="MTL75" s="497"/>
      <c r="MTM75" s="497"/>
      <c r="MTN75" s="497"/>
      <c r="MTO75" s="497"/>
      <c r="MTP75" s="497"/>
      <c r="MTQ75" s="497"/>
      <c r="MTR75" s="497"/>
      <c r="MTS75" s="497"/>
      <c r="MTT75" s="497"/>
      <c r="MTU75" s="497"/>
      <c r="MTV75" s="497"/>
      <c r="MTW75" s="497"/>
      <c r="MTX75" s="497"/>
      <c r="MTY75" s="497"/>
      <c r="MTZ75" s="497"/>
      <c r="MUA75" s="497"/>
      <c r="MUB75" s="497"/>
      <c r="MUC75" s="497"/>
      <c r="MUD75" s="497"/>
      <c r="MUE75" s="497"/>
      <c r="MUF75" s="497"/>
      <c r="MUG75" s="497"/>
      <c r="MUH75" s="497"/>
      <c r="MUI75" s="497"/>
      <c r="MUJ75" s="497"/>
      <c r="MUK75" s="497"/>
      <c r="MUL75" s="497"/>
      <c r="MUM75" s="497"/>
      <c r="MUN75" s="497"/>
      <c r="MUO75" s="497"/>
      <c r="MUP75" s="497"/>
      <c r="MUQ75" s="497"/>
      <c r="MUR75" s="497"/>
      <c r="MUS75" s="497"/>
      <c r="MUT75" s="497"/>
      <c r="MUU75" s="497"/>
      <c r="MUV75" s="497"/>
      <c r="MUW75" s="497"/>
      <c r="MUX75" s="497"/>
      <c r="MUY75" s="497"/>
      <c r="MUZ75" s="497"/>
      <c r="MVA75" s="497"/>
      <c r="MVB75" s="497"/>
      <c r="MVC75" s="497"/>
      <c r="MVD75" s="497"/>
      <c r="MVE75" s="497"/>
      <c r="MVF75" s="497"/>
      <c r="MVG75" s="497"/>
      <c r="MVH75" s="497"/>
      <c r="MVI75" s="497"/>
      <c r="MVJ75" s="497"/>
      <c r="MVK75" s="497"/>
      <c r="MVL75" s="497"/>
      <c r="MVM75" s="497"/>
      <c r="MVN75" s="497"/>
      <c r="MVO75" s="497"/>
      <c r="MVP75" s="497"/>
      <c r="MVQ75" s="497"/>
      <c r="MVR75" s="497"/>
      <c r="MVS75" s="497"/>
      <c r="MVT75" s="497"/>
      <c r="MVU75" s="497"/>
      <c r="MVV75" s="497"/>
      <c r="MVW75" s="497"/>
      <c r="MVX75" s="497"/>
      <c r="MVY75" s="497"/>
      <c r="MVZ75" s="497"/>
      <c r="MWA75" s="497"/>
      <c r="MWB75" s="497"/>
      <c r="MWC75" s="497"/>
      <c r="MWD75" s="497"/>
      <c r="MWE75" s="497"/>
      <c r="MWF75" s="497"/>
      <c r="MWG75" s="497"/>
      <c r="MWH75" s="497"/>
      <c r="MWI75" s="497"/>
      <c r="MWJ75" s="497"/>
      <c r="MWK75" s="497"/>
      <c r="MWL75" s="497"/>
      <c r="MWM75" s="497"/>
      <c r="MWN75" s="497"/>
      <c r="MWO75" s="497"/>
      <c r="MWP75" s="497"/>
      <c r="MWQ75" s="497"/>
      <c r="MWR75" s="497"/>
      <c r="MWS75" s="497"/>
      <c r="MWT75" s="497"/>
      <c r="MWU75" s="497"/>
      <c r="MWV75" s="497"/>
      <c r="MWW75" s="497"/>
      <c r="MWX75" s="497"/>
      <c r="MWY75" s="497"/>
      <c r="MWZ75" s="497"/>
      <c r="MXA75" s="497"/>
      <c r="MXB75" s="497"/>
      <c r="MXC75" s="497"/>
      <c r="MXD75" s="497"/>
      <c r="MXE75" s="497"/>
      <c r="MXF75" s="497"/>
      <c r="MXG75" s="497"/>
      <c r="MXH75" s="497"/>
      <c r="MXI75" s="497"/>
      <c r="MXJ75" s="497"/>
      <c r="MXK75" s="497"/>
      <c r="MXL75" s="497"/>
      <c r="MXM75" s="497"/>
      <c r="MXN75" s="497"/>
      <c r="MXO75" s="497"/>
      <c r="MXP75" s="497"/>
      <c r="MXQ75" s="497"/>
      <c r="MXR75" s="497"/>
      <c r="MXS75" s="497"/>
      <c r="MXT75" s="497"/>
      <c r="MXU75" s="497"/>
      <c r="MXV75" s="497"/>
      <c r="MXW75" s="497"/>
      <c r="MXX75" s="497"/>
      <c r="MXY75" s="497"/>
      <c r="MXZ75" s="497"/>
      <c r="MYA75" s="497"/>
      <c r="MYB75" s="497"/>
      <c r="MYC75" s="497"/>
      <c r="MYD75" s="497"/>
      <c r="MYE75" s="497"/>
      <c r="MYF75" s="497"/>
      <c r="MYG75" s="497"/>
      <c r="MYH75" s="497"/>
      <c r="MYI75" s="497"/>
      <c r="MYJ75" s="497"/>
      <c r="MYK75" s="497"/>
      <c r="MYL75" s="497"/>
      <c r="MYM75" s="497"/>
      <c r="MYN75" s="497"/>
      <c r="MYO75" s="497"/>
      <c r="MYP75" s="497"/>
      <c r="MYQ75" s="497"/>
      <c r="MYR75" s="497"/>
      <c r="MYS75" s="497"/>
      <c r="MYT75" s="497"/>
      <c r="MYU75" s="497"/>
      <c r="MYV75" s="497"/>
      <c r="MYW75" s="497"/>
      <c r="MYX75" s="497"/>
      <c r="MYY75" s="497"/>
      <c r="MYZ75" s="497"/>
      <c r="MZA75" s="497"/>
      <c r="MZB75" s="497"/>
      <c r="MZC75" s="497"/>
      <c r="MZD75" s="497"/>
      <c r="MZE75" s="497"/>
      <c r="MZF75" s="497"/>
      <c r="MZG75" s="497"/>
      <c r="MZH75" s="497"/>
      <c r="MZI75" s="497"/>
      <c r="MZJ75" s="497"/>
      <c r="MZK75" s="497"/>
      <c r="MZL75" s="497"/>
      <c r="MZM75" s="497"/>
      <c r="MZN75" s="497"/>
      <c r="MZO75" s="497"/>
      <c r="MZP75" s="497"/>
      <c r="MZQ75" s="497"/>
      <c r="MZR75" s="497"/>
      <c r="MZS75" s="497"/>
      <c r="MZT75" s="497"/>
      <c r="MZU75" s="497"/>
      <c r="MZV75" s="497"/>
      <c r="MZW75" s="497"/>
      <c r="MZX75" s="497"/>
      <c r="MZY75" s="497"/>
      <c r="MZZ75" s="497"/>
      <c r="NAA75" s="497"/>
      <c r="NAB75" s="497"/>
      <c r="NAC75" s="497"/>
      <c r="NAD75" s="497"/>
      <c r="NAE75" s="497"/>
      <c r="NAF75" s="497"/>
      <c r="NAG75" s="497"/>
      <c r="NAH75" s="497"/>
      <c r="NAI75" s="497"/>
      <c r="NAJ75" s="497"/>
      <c r="NAK75" s="497"/>
      <c r="NAL75" s="497"/>
      <c r="NAM75" s="497"/>
      <c r="NAN75" s="497"/>
      <c r="NAO75" s="497"/>
      <c r="NAP75" s="497"/>
      <c r="NAQ75" s="497"/>
      <c r="NAR75" s="497"/>
      <c r="NAS75" s="497"/>
      <c r="NAT75" s="497"/>
      <c r="NAU75" s="497"/>
      <c r="NAV75" s="497"/>
      <c r="NAW75" s="497"/>
      <c r="NAX75" s="497"/>
      <c r="NAY75" s="497"/>
      <c r="NAZ75" s="497"/>
      <c r="NBA75" s="497"/>
      <c r="NBB75" s="497"/>
      <c r="NBC75" s="497"/>
      <c r="NBD75" s="497"/>
      <c r="NBE75" s="497"/>
      <c r="NBF75" s="497"/>
      <c r="NBG75" s="497"/>
      <c r="NBH75" s="497"/>
      <c r="NBI75" s="497"/>
      <c r="NBJ75" s="497"/>
      <c r="NBK75" s="497"/>
      <c r="NBL75" s="497"/>
      <c r="NBM75" s="497"/>
      <c r="NBN75" s="497"/>
      <c r="NBO75" s="497"/>
      <c r="NBP75" s="497"/>
      <c r="NBQ75" s="497"/>
      <c r="NBR75" s="497"/>
      <c r="NBS75" s="497"/>
      <c r="NBT75" s="497"/>
      <c r="NBU75" s="497"/>
      <c r="NBV75" s="497"/>
      <c r="NBW75" s="497"/>
      <c r="NBX75" s="497"/>
      <c r="NBY75" s="497"/>
      <c r="NBZ75" s="497"/>
      <c r="NCA75" s="497"/>
      <c r="NCB75" s="497"/>
      <c r="NCC75" s="497"/>
      <c r="NCD75" s="497"/>
      <c r="NCE75" s="497"/>
      <c r="NCF75" s="497"/>
      <c r="NCG75" s="497"/>
      <c r="NCH75" s="497"/>
      <c r="NCI75" s="497"/>
      <c r="NCJ75" s="497"/>
      <c r="NCK75" s="497"/>
      <c r="NCL75" s="497"/>
      <c r="NCM75" s="497"/>
      <c r="NCN75" s="497"/>
      <c r="NCO75" s="497"/>
      <c r="NCP75" s="497"/>
      <c r="NCQ75" s="497"/>
      <c r="NCR75" s="497"/>
      <c r="NCS75" s="497"/>
      <c r="NCT75" s="497"/>
      <c r="NCU75" s="497"/>
      <c r="NCV75" s="497"/>
      <c r="NCW75" s="497"/>
      <c r="NCX75" s="497"/>
      <c r="NCY75" s="497"/>
      <c r="NCZ75" s="497"/>
      <c r="NDA75" s="497"/>
      <c r="NDB75" s="497"/>
      <c r="NDC75" s="497"/>
      <c r="NDD75" s="497"/>
      <c r="NDE75" s="497"/>
      <c r="NDF75" s="497"/>
      <c r="NDG75" s="497"/>
      <c r="NDH75" s="497"/>
      <c r="NDI75" s="497"/>
      <c r="NDJ75" s="497"/>
      <c r="NDK75" s="497"/>
      <c r="NDL75" s="497"/>
      <c r="NDM75" s="497"/>
      <c r="NDN75" s="497"/>
      <c r="NDO75" s="497"/>
      <c r="NDP75" s="497"/>
      <c r="NDQ75" s="497"/>
      <c r="NDR75" s="497"/>
      <c r="NDS75" s="497"/>
      <c r="NDT75" s="497"/>
      <c r="NDU75" s="497"/>
      <c r="NDV75" s="497"/>
      <c r="NDW75" s="497"/>
      <c r="NDX75" s="497"/>
      <c r="NDY75" s="497"/>
      <c r="NDZ75" s="497"/>
      <c r="NEA75" s="497"/>
      <c r="NEB75" s="497"/>
      <c r="NEC75" s="497"/>
      <c r="NED75" s="497"/>
      <c r="NEE75" s="497"/>
      <c r="NEF75" s="497"/>
      <c r="NEG75" s="497"/>
      <c r="NEH75" s="497"/>
      <c r="NEI75" s="497"/>
      <c r="NEJ75" s="497"/>
      <c r="NEK75" s="497"/>
      <c r="NEL75" s="497"/>
      <c r="NEM75" s="497"/>
      <c r="NEN75" s="497"/>
      <c r="NEO75" s="497"/>
      <c r="NEP75" s="497"/>
      <c r="NEQ75" s="497"/>
      <c r="NER75" s="497"/>
      <c r="NES75" s="497"/>
      <c r="NET75" s="497"/>
      <c r="NEU75" s="497"/>
      <c r="NEV75" s="497"/>
      <c r="NEW75" s="497"/>
      <c r="NEX75" s="497"/>
      <c r="NEY75" s="497"/>
      <c r="NEZ75" s="497"/>
      <c r="NFA75" s="497"/>
      <c r="NFB75" s="497"/>
      <c r="NFC75" s="497"/>
      <c r="NFD75" s="497"/>
      <c r="NFE75" s="497"/>
      <c r="NFF75" s="497"/>
      <c r="NFG75" s="497"/>
      <c r="NFH75" s="497"/>
      <c r="NFI75" s="497"/>
      <c r="NFJ75" s="497"/>
      <c r="NFK75" s="497"/>
      <c r="NFL75" s="497"/>
      <c r="NFM75" s="497"/>
      <c r="NFN75" s="497"/>
      <c r="NFO75" s="497"/>
      <c r="NFP75" s="497"/>
      <c r="NFQ75" s="497"/>
      <c r="NFR75" s="497"/>
      <c r="NFS75" s="497"/>
      <c r="NFT75" s="497"/>
      <c r="NFU75" s="497"/>
      <c r="NFV75" s="497"/>
      <c r="NFW75" s="497"/>
      <c r="NFX75" s="497"/>
      <c r="NFY75" s="497"/>
      <c r="NFZ75" s="497"/>
      <c r="NGA75" s="497"/>
      <c r="NGB75" s="497"/>
      <c r="NGC75" s="497"/>
      <c r="NGD75" s="497"/>
      <c r="NGE75" s="497"/>
      <c r="NGF75" s="497"/>
      <c r="NGG75" s="497"/>
      <c r="NGH75" s="497"/>
      <c r="NGI75" s="497"/>
      <c r="NGJ75" s="497"/>
      <c r="NGK75" s="497"/>
      <c r="NGL75" s="497"/>
      <c r="NGM75" s="497"/>
      <c r="NGN75" s="497"/>
      <c r="NGO75" s="497"/>
      <c r="NGP75" s="497"/>
      <c r="NGQ75" s="497"/>
      <c r="NGR75" s="497"/>
      <c r="NGS75" s="497"/>
      <c r="NGT75" s="497"/>
      <c r="NGU75" s="497"/>
      <c r="NGV75" s="497"/>
      <c r="NGW75" s="497"/>
      <c r="NGX75" s="497"/>
      <c r="NGY75" s="497"/>
      <c r="NGZ75" s="497"/>
      <c r="NHA75" s="497"/>
      <c r="NHB75" s="497"/>
      <c r="NHC75" s="497"/>
      <c r="NHD75" s="497"/>
      <c r="NHE75" s="497"/>
      <c r="NHF75" s="497"/>
      <c r="NHG75" s="497"/>
      <c r="NHH75" s="497"/>
      <c r="NHI75" s="497"/>
      <c r="NHJ75" s="497"/>
      <c r="NHK75" s="497"/>
      <c r="NHL75" s="497"/>
      <c r="NHM75" s="497"/>
      <c r="NHN75" s="497"/>
      <c r="NHO75" s="497"/>
      <c r="NHP75" s="497"/>
      <c r="NHQ75" s="497"/>
      <c r="NHR75" s="497"/>
      <c r="NHS75" s="497"/>
      <c r="NHT75" s="497"/>
      <c r="NHU75" s="497"/>
      <c r="NHV75" s="497"/>
      <c r="NHW75" s="497"/>
      <c r="NHX75" s="497"/>
      <c r="NHY75" s="497"/>
      <c r="NHZ75" s="497"/>
      <c r="NIA75" s="497"/>
      <c r="NIB75" s="497"/>
      <c r="NIC75" s="497"/>
      <c r="NID75" s="497"/>
      <c r="NIE75" s="497"/>
      <c r="NIF75" s="497"/>
      <c r="NIG75" s="497"/>
      <c r="NIH75" s="497"/>
      <c r="NII75" s="497"/>
      <c r="NIJ75" s="497"/>
      <c r="NIK75" s="497"/>
      <c r="NIL75" s="497"/>
      <c r="NIM75" s="497"/>
      <c r="NIN75" s="497"/>
      <c r="NIO75" s="497"/>
      <c r="NIP75" s="497"/>
      <c r="NIQ75" s="497"/>
      <c r="NIR75" s="497"/>
      <c r="NIS75" s="497"/>
      <c r="NIT75" s="497"/>
      <c r="NIU75" s="497"/>
      <c r="NIV75" s="497"/>
      <c r="NIW75" s="497"/>
      <c r="NIX75" s="497"/>
      <c r="NIY75" s="497"/>
      <c r="NIZ75" s="497"/>
      <c r="NJA75" s="497"/>
      <c r="NJB75" s="497"/>
      <c r="NJC75" s="497"/>
      <c r="NJD75" s="497"/>
      <c r="NJE75" s="497"/>
      <c r="NJF75" s="497"/>
      <c r="NJG75" s="497"/>
      <c r="NJH75" s="497"/>
      <c r="NJI75" s="497"/>
      <c r="NJJ75" s="497"/>
      <c r="NJK75" s="497"/>
      <c r="NJL75" s="497"/>
      <c r="NJM75" s="497"/>
      <c r="NJN75" s="497"/>
      <c r="NJO75" s="497"/>
      <c r="NJP75" s="497"/>
      <c r="NJQ75" s="497"/>
      <c r="NJR75" s="497"/>
      <c r="NJS75" s="497"/>
      <c r="NJT75" s="497"/>
      <c r="NJU75" s="497"/>
      <c r="NJV75" s="497"/>
      <c r="NJW75" s="497"/>
      <c r="NJX75" s="497"/>
      <c r="NJY75" s="497"/>
      <c r="NJZ75" s="497"/>
      <c r="NKA75" s="497"/>
      <c r="NKB75" s="497"/>
      <c r="NKC75" s="497"/>
      <c r="NKD75" s="497"/>
      <c r="NKE75" s="497"/>
      <c r="NKF75" s="497"/>
      <c r="NKG75" s="497"/>
      <c r="NKH75" s="497"/>
      <c r="NKI75" s="497"/>
      <c r="NKJ75" s="497"/>
      <c r="NKK75" s="497"/>
      <c r="NKL75" s="497"/>
      <c r="NKM75" s="497"/>
      <c r="NKN75" s="497"/>
      <c r="NKO75" s="497"/>
      <c r="NKP75" s="497"/>
      <c r="NKQ75" s="497"/>
      <c r="NKR75" s="497"/>
      <c r="NKS75" s="497"/>
      <c r="NKT75" s="497"/>
      <c r="NKU75" s="497"/>
      <c r="NKV75" s="497"/>
      <c r="NKW75" s="497"/>
      <c r="NKX75" s="497"/>
      <c r="NKY75" s="497"/>
      <c r="NKZ75" s="497"/>
      <c r="NLA75" s="497"/>
      <c r="NLB75" s="497"/>
      <c r="NLC75" s="497"/>
      <c r="NLD75" s="497"/>
      <c r="NLE75" s="497"/>
      <c r="NLF75" s="497"/>
      <c r="NLG75" s="497"/>
      <c r="NLH75" s="497"/>
      <c r="NLI75" s="497"/>
      <c r="NLJ75" s="497"/>
      <c r="NLK75" s="497"/>
      <c r="NLL75" s="497"/>
      <c r="NLM75" s="497"/>
      <c r="NLN75" s="497"/>
      <c r="NLO75" s="497"/>
      <c r="NLP75" s="497"/>
      <c r="NLQ75" s="497"/>
      <c r="NLR75" s="497"/>
      <c r="NLS75" s="497"/>
      <c r="NLT75" s="497"/>
      <c r="NLU75" s="497"/>
      <c r="NLV75" s="497"/>
      <c r="NLW75" s="497"/>
      <c r="NLX75" s="497"/>
      <c r="NLY75" s="497"/>
      <c r="NLZ75" s="497"/>
      <c r="NMA75" s="497"/>
      <c r="NMB75" s="497"/>
      <c r="NMC75" s="497"/>
      <c r="NMD75" s="497"/>
      <c r="NME75" s="497"/>
      <c r="NMF75" s="497"/>
      <c r="NMG75" s="497"/>
      <c r="NMH75" s="497"/>
      <c r="NMI75" s="497"/>
      <c r="NMJ75" s="497"/>
      <c r="NMK75" s="497"/>
      <c r="NML75" s="497"/>
      <c r="NMM75" s="497"/>
      <c r="NMN75" s="497"/>
      <c r="NMO75" s="497"/>
      <c r="NMP75" s="497"/>
      <c r="NMQ75" s="497"/>
      <c r="NMR75" s="497"/>
      <c r="NMS75" s="497"/>
      <c r="NMT75" s="497"/>
      <c r="NMU75" s="497"/>
      <c r="NMV75" s="497"/>
      <c r="NMW75" s="497"/>
      <c r="NMX75" s="497"/>
      <c r="NMY75" s="497"/>
      <c r="NMZ75" s="497"/>
      <c r="NNA75" s="497"/>
      <c r="NNB75" s="497"/>
      <c r="NNC75" s="497"/>
      <c r="NND75" s="497"/>
      <c r="NNE75" s="497"/>
      <c r="NNF75" s="497"/>
      <c r="NNG75" s="497"/>
      <c r="NNH75" s="497"/>
      <c r="NNI75" s="497"/>
      <c r="NNJ75" s="497"/>
      <c r="NNK75" s="497"/>
      <c r="NNL75" s="497"/>
      <c r="NNM75" s="497"/>
      <c r="NNN75" s="497"/>
      <c r="NNO75" s="497"/>
      <c r="NNP75" s="497"/>
      <c r="NNQ75" s="497"/>
      <c r="NNR75" s="497"/>
      <c r="NNS75" s="497"/>
      <c r="NNT75" s="497"/>
      <c r="NNU75" s="497"/>
      <c r="NNV75" s="497"/>
      <c r="NNW75" s="497"/>
      <c r="NNX75" s="497"/>
      <c r="NNY75" s="497"/>
      <c r="NNZ75" s="497"/>
      <c r="NOA75" s="497"/>
      <c r="NOB75" s="497"/>
      <c r="NOC75" s="497"/>
      <c r="NOD75" s="497"/>
      <c r="NOE75" s="497"/>
      <c r="NOF75" s="497"/>
      <c r="NOG75" s="497"/>
      <c r="NOH75" s="497"/>
      <c r="NOI75" s="497"/>
      <c r="NOJ75" s="497"/>
      <c r="NOK75" s="497"/>
      <c r="NOL75" s="497"/>
      <c r="NOM75" s="497"/>
      <c r="NON75" s="497"/>
      <c r="NOO75" s="497"/>
      <c r="NOP75" s="497"/>
      <c r="NOQ75" s="497"/>
      <c r="NOR75" s="497"/>
      <c r="NOS75" s="497"/>
      <c r="NOT75" s="497"/>
      <c r="NOU75" s="497"/>
      <c r="NOV75" s="497"/>
      <c r="NOW75" s="497"/>
      <c r="NOX75" s="497"/>
      <c r="NOY75" s="497"/>
      <c r="NOZ75" s="497"/>
      <c r="NPA75" s="497"/>
      <c r="NPB75" s="497"/>
      <c r="NPC75" s="497"/>
      <c r="NPD75" s="497"/>
      <c r="NPE75" s="497"/>
      <c r="NPF75" s="497"/>
      <c r="NPG75" s="497"/>
      <c r="NPH75" s="497"/>
      <c r="NPI75" s="497"/>
      <c r="NPJ75" s="497"/>
      <c r="NPK75" s="497"/>
      <c r="NPL75" s="497"/>
      <c r="NPM75" s="497"/>
      <c r="NPN75" s="497"/>
      <c r="NPO75" s="497"/>
      <c r="NPP75" s="497"/>
      <c r="NPQ75" s="497"/>
      <c r="NPR75" s="497"/>
      <c r="NPS75" s="497"/>
      <c r="NPT75" s="497"/>
      <c r="NPU75" s="497"/>
      <c r="NPV75" s="497"/>
      <c r="NPW75" s="497"/>
      <c r="NPX75" s="497"/>
      <c r="NPY75" s="497"/>
      <c r="NPZ75" s="497"/>
      <c r="NQA75" s="497"/>
      <c r="NQB75" s="497"/>
      <c r="NQC75" s="497"/>
      <c r="NQD75" s="497"/>
      <c r="NQE75" s="497"/>
      <c r="NQF75" s="497"/>
      <c r="NQG75" s="497"/>
      <c r="NQH75" s="497"/>
      <c r="NQI75" s="497"/>
      <c r="NQJ75" s="497"/>
      <c r="NQK75" s="497"/>
      <c r="NQL75" s="497"/>
      <c r="NQM75" s="497"/>
      <c r="NQN75" s="497"/>
      <c r="NQO75" s="497"/>
      <c r="NQP75" s="497"/>
      <c r="NQQ75" s="497"/>
      <c r="NQR75" s="497"/>
      <c r="NQS75" s="497"/>
      <c r="NQT75" s="497"/>
      <c r="NQU75" s="497"/>
      <c r="NQV75" s="497"/>
      <c r="NQW75" s="497"/>
      <c r="NQX75" s="497"/>
      <c r="NQY75" s="497"/>
      <c r="NQZ75" s="497"/>
      <c r="NRA75" s="497"/>
      <c r="NRB75" s="497"/>
      <c r="NRC75" s="497"/>
      <c r="NRD75" s="497"/>
      <c r="NRE75" s="497"/>
      <c r="NRF75" s="497"/>
      <c r="NRG75" s="497"/>
      <c r="NRH75" s="497"/>
      <c r="NRI75" s="497"/>
      <c r="NRJ75" s="497"/>
      <c r="NRK75" s="497"/>
      <c r="NRL75" s="497"/>
      <c r="NRM75" s="497"/>
      <c r="NRN75" s="497"/>
      <c r="NRO75" s="497"/>
      <c r="NRP75" s="497"/>
      <c r="NRQ75" s="497"/>
      <c r="NRR75" s="497"/>
      <c r="NRS75" s="497"/>
      <c r="NRT75" s="497"/>
      <c r="NRU75" s="497"/>
      <c r="NRV75" s="497"/>
      <c r="NRW75" s="497"/>
      <c r="NRX75" s="497"/>
      <c r="NRY75" s="497"/>
      <c r="NRZ75" s="497"/>
      <c r="NSA75" s="497"/>
      <c r="NSB75" s="497"/>
      <c r="NSC75" s="497"/>
      <c r="NSD75" s="497"/>
      <c r="NSE75" s="497"/>
      <c r="NSF75" s="497"/>
      <c r="NSG75" s="497"/>
      <c r="NSH75" s="497"/>
      <c r="NSI75" s="497"/>
      <c r="NSJ75" s="497"/>
      <c r="NSK75" s="497"/>
      <c r="NSL75" s="497"/>
      <c r="NSM75" s="497"/>
      <c r="NSN75" s="497"/>
      <c r="NSO75" s="497"/>
      <c r="NSP75" s="497"/>
      <c r="NSQ75" s="497"/>
      <c r="NSR75" s="497"/>
      <c r="NSS75" s="497"/>
      <c r="NST75" s="497"/>
      <c r="NSU75" s="497"/>
      <c r="NSV75" s="497"/>
      <c r="NSW75" s="497"/>
      <c r="NSX75" s="497"/>
      <c r="NSY75" s="497"/>
      <c r="NSZ75" s="497"/>
      <c r="NTA75" s="497"/>
      <c r="NTB75" s="497"/>
      <c r="NTC75" s="497"/>
      <c r="NTD75" s="497"/>
      <c r="NTE75" s="497"/>
      <c r="NTF75" s="497"/>
      <c r="NTG75" s="497"/>
      <c r="NTH75" s="497"/>
      <c r="NTI75" s="497"/>
      <c r="NTJ75" s="497"/>
      <c r="NTK75" s="497"/>
      <c r="NTL75" s="497"/>
      <c r="NTM75" s="497"/>
      <c r="NTN75" s="497"/>
      <c r="NTO75" s="497"/>
      <c r="NTP75" s="497"/>
      <c r="NTQ75" s="497"/>
      <c r="NTR75" s="497"/>
      <c r="NTS75" s="497"/>
      <c r="NTT75" s="497"/>
      <c r="NTU75" s="497"/>
      <c r="NTV75" s="497"/>
      <c r="NTW75" s="497"/>
      <c r="NTX75" s="497"/>
      <c r="NTY75" s="497"/>
      <c r="NTZ75" s="497"/>
      <c r="NUA75" s="497"/>
      <c r="NUB75" s="497"/>
      <c r="NUC75" s="497"/>
      <c r="NUD75" s="497"/>
      <c r="NUE75" s="497"/>
      <c r="NUF75" s="497"/>
      <c r="NUG75" s="497"/>
      <c r="NUH75" s="497"/>
      <c r="NUI75" s="497"/>
      <c r="NUJ75" s="497"/>
      <c r="NUK75" s="497"/>
      <c r="NUL75" s="497"/>
      <c r="NUM75" s="497"/>
      <c r="NUN75" s="497"/>
      <c r="NUO75" s="497"/>
      <c r="NUP75" s="497"/>
      <c r="NUQ75" s="497"/>
      <c r="NUR75" s="497"/>
      <c r="NUS75" s="497"/>
      <c r="NUT75" s="497"/>
      <c r="NUU75" s="497"/>
      <c r="NUV75" s="497"/>
      <c r="NUW75" s="497"/>
      <c r="NUX75" s="497"/>
      <c r="NUY75" s="497"/>
      <c r="NUZ75" s="497"/>
      <c r="NVA75" s="497"/>
      <c r="NVB75" s="497"/>
      <c r="NVC75" s="497"/>
      <c r="NVD75" s="497"/>
      <c r="NVE75" s="497"/>
      <c r="NVF75" s="497"/>
      <c r="NVG75" s="497"/>
      <c r="NVH75" s="497"/>
      <c r="NVI75" s="497"/>
      <c r="NVJ75" s="497"/>
      <c r="NVK75" s="497"/>
      <c r="NVL75" s="497"/>
      <c r="NVM75" s="497"/>
      <c r="NVN75" s="497"/>
      <c r="NVO75" s="497"/>
      <c r="NVP75" s="497"/>
      <c r="NVQ75" s="497"/>
      <c r="NVR75" s="497"/>
      <c r="NVS75" s="497"/>
      <c r="NVT75" s="497"/>
      <c r="NVU75" s="497"/>
      <c r="NVV75" s="497"/>
      <c r="NVW75" s="497"/>
      <c r="NVX75" s="497"/>
      <c r="NVY75" s="497"/>
      <c r="NVZ75" s="497"/>
      <c r="NWA75" s="497"/>
      <c r="NWB75" s="497"/>
      <c r="NWC75" s="497"/>
      <c r="NWD75" s="497"/>
      <c r="NWE75" s="497"/>
      <c r="NWF75" s="497"/>
      <c r="NWG75" s="497"/>
      <c r="NWH75" s="497"/>
      <c r="NWI75" s="497"/>
      <c r="NWJ75" s="497"/>
      <c r="NWK75" s="497"/>
      <c r="NWL75" s="497"/>
      <c r="NWM75" s="497"/>
      <c r="NWN75" s="497"/>
      <c r="NWO75" s="497"/>
      <c r="NWP75" s="497"/>
      <c r="NWQ75" s="497"/>
      <c r="NWR75" s="497"/>
      <c r="NWS75" s="497"/>
      <c r="NWT75" s="497"/>
      <c r="NWU75" s="497"/>
      <c r="NWV75" s="497"/>
      <c r="NWW75" s="497"/>
      <c r="NWX75" s="497"/>
      <c r="NWY75" s="497"/>
      <c r="NWZ75" s="497"/>
      <c r="NXA75" s="497"/>
      <c r="NXB75" s="497"/>
      <c r="NXC75" s="497"/>
      <c r="NXD75" s="497"/>
      <c r="NXE75" s="497"/>
      <c r="NXF75" s="497"/>
      <c r="NXG75" s="497"/>
      <c r="NXH75" s="497"/>
      <c r="NXI75" s="497"/>
      <c r="NXJ75" s="497"/>
      <c r="NXK75" s="497"/>
      <c r="NXL75" s="497"/>
      <c r="NXM75" s="497"/>
      <c r="NXN75" s="497"/>
      <c r="NXO75" s="497"/>
      <c r="NXP75" s="497"/>
      <c r="NXQ75" s="497"/>
      <c r="NXR75" s="497"/>
      <c r="NXS75" s="497"/>
      <c r="NXT75" s="497"/>
      <c r="NXU75" s="497"/>
      <c r="NXV75" s="497"/>
      <c r="NXW75" s="497"/>
      <c r="NXX75" s="497"/>
      <c r="NXY75" s="497"/>
      <c r="NXZ75" s="497"/>
      <c r="NYA75" s="497"/>
      <c r="NYB75" s="497"/>
      <c r="NYC75" s="497"/>
      <c r="NYD75" s="497"/>
      <c r="NYE75" s="497"/>
      <c r="NYF75" s="497"/>
      <c r="NYG75" s="497"/>
      <c r="NYH75" s="497"/>
      <c r="NYI75" s="497"/>
      <c r="NYJ75" s="497"/>
      <c r="NYK75" s="497"/>
      <c r="NYL75" s="497"/>
      <c r="NYM75" s="497"/>
      <c r="NYN75" s="497"/>
      <c r="NYO75" s="497"/>
      <c r="NYP75" s="497"/>
      <c r="NYQ75" s="497"/>
      <c r="NYR75" s="497"/>
      <c r="NYS75" s="497"/>
      <c r="NYT75" s="497"/>
      <c r="NYU75" s="497"/>
      <c r="NYV75" s="497"/>
      <c r="NYW75" s="497"/>
      <c r="NYX75" s="497"/>
      <c r="NYY75" s="497"/>
      <c r="NYZ75" s="497"/>
      <c r="NZA75" s="497"/>
      <c r="NZB75" s="497"/>
      <c r="NZC75" s="497"/>
      <c r="NZD75" s="497"/>
      <c r="NZE75" s="497"/>
      <c r="NZF75" s="497"/>
      <c r="NZG75" s="497"/>
      <c r="NZH75" s="497"/>
      <c r="NZI75" s="497"/>
      <c r="NZJ75" s="497"/>
      <c r="NZK75" s="497"/>
      <c r="NZL75" s="497"/>
      <c r="NZM75" s="497"/>
      <c r="NZN75" s="497"/>
      <c r="NZO75" s="497"/>
      <c r="NZP75" s="497"/>
      <c r="NZQ75" s="497"/>
      <c r="NZR75" s="497"/>
      <c r="NZS75" s="497"/>
      <c r="NZT75" s="497"/>
      <c r="NZU75" s="497"/>
      <c r="NZV75" s="497"/>
      <c r="NZW75" s="497"/>
      <c r="NZX75" s="497"/>
      <c r="NZY75" s="497"/>
      <c r="NZZ75" s="497"/>
      <c r="OAA75" s="497"/>
      <c r="OAB75" s="497"/>
      <c r="OAC75" s="497"/>
      <c r="OAD75" s="497"/>
      <c r="OAE75" s="497"/>
      <c r="OAF75" s="497"/>
      <c r="OAG75" s="497"/>
      <c r="OAH75" s="497"/>
      <c r="OAI75" s="497"/>
      <c r="OAJ75" s="497"/>
      <c r="OAK75" s="497"/>
      <c r="OAL75" s="497"/>
      <c r="OAM75" s="497"/>
      <c r="OAN75" s="497"/>
      <c r="OAO75" s="497"/>
      <c r="OAP75" s="497"/>
      <c r="OAQ75" s="497"/>
      <c r="OAR75" s="497"/>
      <c r="OAS75" s="497"/>
      <c r="OAT75" s="497"/>
      <c r="OAU75" s="497"/>
      <c r="OAV75" s="497"/>
      <c r="OAW75" s="497"/>
      <c r="OAX75" s="497"/>
      <c r="OAY75" s="497"/>
      <c r="OAZ75" s="497"/>
      <c r="OBA75" s="497"/>
      <c r="OBB75" s="497"/>
      <c r="OBC75" s="497"/>
      <c r="OBD75" s="497"/>
      <c r="OBE75" s="497"/>
      <c r="OBF75" s="497"/>
      <c r="OBG75" s="497"/>
      <c r="OBH75" s="497"/>
      <c r="OBI75" s="497"/>
      <c r="OBJ75" s="497"/>
      <c r="OBK75" s="497"/>
      <c r="OBL75" s="497"/>
      <c r="OBM75" s="497"/>
      <c r="OBN75" s="497"/>
      <c r="OBO75" s="497"/>
      <c r="OBP75" s="497"/>
      <c r="OBQ75" s="497"/>
      <c r="OBR75" s="497"/>
      <c r="OBS75" s="497"/>
      <c r="OBT75" s="497"/>
      <c r="OBU75" s="497"/>
      <c r="OBV75" s="497"/>
      <c r="OBW75" s="497"/>
      <c r="OBX75" s="497"/>
      <c r="OBY75" s="497"/>
      <c r="OBZ75" s="497"/>
      <c r="OCA75" s="497"/>
      <c r="OCB75" s="497"/>
      <c r="OCC75" s="497"/>
      <c r="OCD75" s="497"/>
      <c r="OCE75" s="497"/>
      <c r="OCF75" s="497"/>
      <c r="OCG75" s="497"/>
      <c r="OCH75" s="497"/>
      <c r="OCI75" s="497"/>
      <c r="OCJ75" s="497"/>
      <c r="OCK75" s="497"/>
      <c r="OCL75" s="497"/>
      <c r="OCM75" s="497"/>
      <c r="OCN75" s="497"/>
      <c r="OCO75" s="497"/>
      <c r="OCP75" s="497"/>
      <c r="OCQ75" s="497"/>
      <c r="OCR75" s="497"/>
      <c r="OCS75" s="497"/>
      <c r="OCT75" s="497"/>
      <c r="OCU75" s="497"/>
      <c r="OCV75" s="497"/>
      <c r="OCW75" s="497"/>
      <c r="OCX75" s="497"/>
      <c r="OCY75" s="497"/>
      <c r="OCZ75" s="497"/>
      <c r="ODA75" s="497"/>
      <c r="ODB75" s="497"/>
      <c r="ODC75" s="497"/>
      <c r="ODD75" s="497"/>
      <c r="ODE75" s="497"/>
      <c r="ODF75" s="497"/>
      <c r="ODG75" s="497"/>
      <c r="ODH75" s="497"/>
      <c r="ODI75" s="497"/>
      <c r="ODJ75" s="497"/>
      <c r="ODK75" s="497"/>
      <c r="ODL75" s="497"/>
      <c r="ODM75" s="497"/>
      <c r="ODN75" s="497"/>
      <c r="ODO75" s="497"/>
      <c r="ODP75" s="497"/>
      <c r="ODQ75" s="497"/>
      <c r="ODR75" s="497"/>
      <c r="ODS75" s="497"/>
      <c r="ODT75" s="497"/>
      <c r="ODU75" s="497"/>
      <c r="ODV75" s="497"/>
      <c r="ODW75" s="497"/>
      <c r="ODX75" s="497"/>
      <c r="ODY75" s="497"/>
      <c r="ODZ75" s="497"/>
      <c r="OEA75" s="497"/>
      <c r="OEB75" s="497"/>
      <c r="OEC75" s="497"/>
      <c r="OED75" s="497"/>
      <c r="OEE75" s="497"/>
      <c r="OEF75" s="497"/>
      <c r="OEG75" s="497"/>
      <c r="OEH75" s="497"/>
      <c r="OEI75" s="497"/>
      <c r="OEJ75" s="497"/>
      <c r="OEK75" s="497"/>
      <c r="OEL75" s="497"/>
      <c r="OEM75" s="497"/>
      <c r="OEN75" s="497"/>
      <c r="OEO75" s="497"/>
      <c r="OEP75" s="497"/>
      <c r="OEQ75" s="497"/>
      <c r="OER75" s="497"/>
      <c r="OES75" s="497"/>
      <c r="OET75" s="497"/>
      <c r="OEU75" s="497"/>
      <c r="OEV75" s="497"/>
      <c r="OEW75" s="497"/>
      <c r="OEX75" s="497"/>
      <c r="OEY75" s="497"/>
      <c r="OEZ75" s="497"/>
      <c r="OFA75" s="497"/>
      <c r="OFB75" s="497"/>
      <c r="OFC75" s="497"/>
      <c r="OFD75" s="497"/>
      <c r="OFE75" s="497"/>
      <c r="OFF75" s="497"/>
      <c r="OFG75" s="497"/>
      <c r="OFH75" s="497"/>
      <c r="OFI75" s="497"/>
      <c r="OFJ75" s="497"/>
      <c r="OFK75" s="497"/>
      <c r="OFL75" s="497"/>
      <c r="OFM75" s="497"/>
      <c r="OFN75" s="497"/>
      <c r="OFO75" s="497"/>
      <c r="OFP75" s="497"/>
      <c r="OFQ75" s="497"/>
      <c r="OFR75" s="497"/>
      <c r="OFS75" s="497"/>
      <c r="OFT75" s="497"/>
      <c r="OFU75" s="497"/>
      <c r="OFV75" s="497"/>
      <c r="OFW75" s="497"/>
      <c r="OFX75" s="497"/>
      <c r="OFY75" s="497"/>
      <c r="OFZ75" s="497"/>
      <c r="OGA75" s="497"/>
      <c r="OGB75" s="497"/>
      <c r="OGC75" s="497"/>
      <c r="OGD75" s="497"/>
      <c r="OGE75" s="497"/>
      <c r="OGF75" s="497"/>
      <c r="OGG75" s="497"/>
      <c r="OGH75" s="497"/>
      <c r="OGI75" s="497"/>
      <c r="OGJ75" s="497"/>
      <c r="OGK75" s="497"/>
      <c r="OGL75" s="497"/>
      <c r="OGM75" s="497"/>
      <c r="OGN75" s="497"/>
      <c r="OGO75" s="497"/>
      <c r="OGP75" s="497"/>
      <c r="OGQ75" s="497"/>
      <c r="OGR75" s="497"/>
      <c r="OGS75" s="497"/>
      <c r="OGT75" s="497"/>
      <c r="OGU75" s="497"/>
      <c r="OGV75" s="497"/>
      <c r="OGW75" s="497"/>
      <c r="OGX75" s="497"/>
      <c r="OGY75" s="497"/>
      <c r="OGZ75" s="497"/>
      <c r="OHA75" s="497"/>
      <c r="OHB75" s="497"/>
      <c r="OHC75" s="497"/>
      <c r="OHD75" s="497"/>
      <c r="OHE75" s="497"/>
      <c r="OHF75" s="497"/>
      <c r="OHG75" s="497"/>
      <c r="OHH75" s="497"/>
      <c r="OHI75" s="497"/>
      <c r="OHJ75" s="497"/>
      <c r="OHK75" s="497"/>
      <c r="OHL75" s="497"/>
      <c r="OHM75" s="497"/>
      <c r="OHN75" s="497"/>
      <c r="OHO75" s="497"/>
      <c r="OHP75" s="497"/>
      <c r="OHQ75" s="497"/>
      <c r="OHR75" s="497"/>
      <c r="OHS75" s="497"/>
      <c r="OHT75" s="497"/>
      <c r="OHU75" s="497"/>
      <c r="OHV75" s="497"/>
      <c r="OHW75" s="497"/>
      <c r="OHX75" s="497"/>
      <c r="OHY75" s="497"/>
      <c r="OHZ75" s="497"/>
      <c r="OIA75" s="497"/>
      <c r="OIB75" s="497"/>
      <c r="OIC75" s="497"/>
      <c r="OID75" s="497"/>
      <c r="OIE75" s="497"/>
      <c r="OIF75" s="497"/>
      <c r="OIG75" s="497"/>
      <c r="OIH75" s="497"/>
      <c r="OII75" s="497"/>
      <c r="OIJ75" s="497"/>
      <c r="OIK75" s="497"/>
      <c r="OIL75" s="497"/>
      <c r="OIM75" s="497"/>
      <c r="OIN75" s="497"/>
      <c r="OIO75" s="497"/>
      <c r="OIP75" s="497"/>
      <c r="OIQ75" s="497"/>
      <c r="OIR75" s="497"/>
      <c r="OIS75" s="497"/>
      <c r="OIT75" s="497"/>
      <c r="OIU75" s="497"/>
      <c r="OIV75" s="497"/>
      <c r="OIW75" s="497"/>
      <c r="OIX75" s="497"/>
      <c r="OIY75" s="497"/>
      <c r="OIZ75" s="497"/>
      <c r="OJA75" s="497"/>
      <c r="OJB75" s="497"/>
      <c r="OJC75" s="497"/>
      <c r="OJD75" s="497"/>
      <c r="OJE75" s="497"/>
      <c r="OJF75" s="497"/>
      <c r="OJG75" s="497"/>
      <c r="OJH75" s="497"/>
      <c r="OJI75" s="497"/>
      <c r="OJJ75" s="497"/>
      <c r="OJK75" s="497"/>
      <c r="OJL75" s="497"/>
      <c r="OJM75" s="497"/>
      <c r="OJN75" s="497"/>
      <c r="OJO75" s="497"/>
      <c r="OJP75" s="497"/>
      <c r="OJQ75" s="497"/>
      <c r="OJR75" s="497"/>
      <c r="OJS75" s="497"/>
      <c r="OJT75" s="497"/>
      <c r="OJU75" s="497"/>
      <c r="OJV75" s="497"/>
      <c r="OJW75" s="497"/>
      <c r="OJX75" s="497"/>
      <c r="OJY75" s="497"/>
      <c r="OJZ75" s="497"/>
      <c r="OKA75" s="497"/>
      <c r="OKB75" s="497"/>
      <c r="OKC75" s="497"/>
      <c r="OKD75" s="497"/>
      <c r="OKE75" s="497"/>
      <c r="OKF75" s="497"/>
      <c r="OKG75" s="497"/>
      <c r="OKH75" s="497"/>
      <c r="OKI75" s="497"/>
      <c r="OKJ75" s="497"/>
      <c r="OKK75" s="497"/>
      <c r="OKL75" s="497"/>
      <c r="OKM75" s="497"/>
      <c r="OKN75" s="497"/>
      <c r="OKO75" s="497"/>
      <c r="OKP75" s="497"/>
      <c r="OKQ75" s="497"/>
      <c r="OKR75" s="497"/>
      <c r="OKS75" s="497"/>
      <c r="OKT75" s="497"/>
      <c r="OKU75" s="497"/>
      <c r="OKV75" s="497"/>
      <c r="OKW75" s="497"/>
      <c r="OKX75" s="497"/>
      <c r="OKY75" s="497"/>
      <c r="OKZ75" s="497"/>
      <c r="OLA75" s="497"/>
      <c r="OLB75" s="497"/>
      <c r="OLC75" s="497"/>
      <c r="OLD75" s="497"/>
      <c r="OLE75" s="497"/>
      <c r="OLF75" s="497"/>
      <c r="OLG75" s="497"/>
      <c r="OLH75" s="497"/>
      <c r="OLI75" s="497"/>
      <c r="OLJ75" s="497"/>
      <c r="OLK75" s="497"/>
      <c r="OLL75" s="497"/>
      <c r="OLM75" s="497"/>
      <c r="OLN75" s="497"/>
      <c r="OLO75" s="497"/>
      <c r="OLP75" s="497"/>
      <c r="OLQ75" s="497"/>
      <c r="OLR75" s="497"/>
      <c r="OLS75" s="497"/>
      <c r="OLT75" s="497"/>
      <c r="OLU75" s="497"/>
      <c r="OLV75" s="497"/>
      <c r="OLW75" s="497"/>
      <c r="OLX75" s="497"/>
      <c r="OLY75" s="497"/>
      <c r="OLZ75" s="497"/>
      <c r="OMA75" s="497"/>
      <c r="OMB75" s="497"/>
      <c r="OMC75" s="497"/>
      <c r="OMD75" s="497"/>
      <c r="OME75" s="497"/>
      <c r="OMF75" s="497"/>
      <c r="OMG75" s="497"/>
      <c r="OMH75" s="497"/>
      <c r="OMI75" s="497"/>
      <c r="OMJ75" s="497"/>
      <c r="OMK75" s="497"/>
      <c r="OML75" s="497"/>
      <c r="OMM75" s="497"/>
      <c r="OMN75" s="497"/>
      <c r="OMO75" s="497"/>
      <c r="OMP75" s="497"/>
      <c r="OMQ75" s="497"/>
      <c r="OMR75" s="497"/>
      <c r="OMS75" s="497"/>
      <c r="OMT75" s="497"/>
      <c r="OMU75" s="497"/>
      <c r="OMV75" s="497"/>
      <c r="OMW75" s="497"/>
      <c r="OMX75" s="497"/>
      <c r="OMY75" s="497"/>
      <c r="OMZ75" s="497"/>
      <c r="ONA75" s="497"/>
      <c r="ONB75" s="497"/>
      <c r="ONC75" s="497"/>
      <c r="OND75" s="497"/>
      <c r="ONE75" s="497"/>
      <c r="ONF75" s="497"/>
      <c r="ONG75" s="497"/>
      <c r="ONH75" s="497"/>
      <c r="ONI75" s="497"/>
      <c r="ONJ75" s="497"/>
      <c r="ONK75" s="497"/>
      <c r="ONL75" s="497"/>
      <c r="ONM75" s="497"/>
      <c r="ONN75" s="497"/>
      <c r="ONO75" s="497"/>
      <c r="ONP75" s="497"/>
      <c r="ONQ75" s="497"/>
      <c r="ONR75" s="497"/>
      <c r="ONS75" s="497"/>
      <c r="ONT75" s="497"/>
      <c r="ONU75" s="497"/>
      <c r="ONV75" s="497"/>
      <c r="ONW75" s="497"/>
      <c r="ONX75" s="497"/>
      <c r="ONY75" s="497"/>
      <c r="ONZ75" s="497"/>
      <c r="OOA75" s="497"/>
      <c r="OOB75" s="497"/>
      <c r="OOC75" s="497"/>
      <c r="OOD75" s="497"/>
      <c r="OOE75" s="497"/>
      <c r="OOF75" s="497"/>
      <c r="OOG75" s="497"/>
      <c r="OOH75" s="497"/>
      <c r="OOI75" s="497"/>
      <c r="OOJ75" s="497"/>
      <c r="OOK75" s="497"/>
      <c r="OOL75" s="497"/>
      <c r="OOM75" s="497"/>
      <c r="OON75" s="497"/>
      <c r="OOO75" s="497"/>
      <c r="OOP75" s="497"/>
      <c r="OOQ75" s="497"/>
      <c r="OOR75" s="497"/>
      <c r="OOS75" s="497"/>
      <c r="OOT75" s="497"/>
      <c r="OOU75" s="497"/>
      <c r="OOV75" s="497"/>
      <c r="OOW75" s="497"/>
      <c r="OOX75" s="497"/>
      <c r="OOY75" s="497"/>
      <c r="OOZ75" s="497"/>
      <c r="OPA75" s="497"/>
      <c r="OPB75" s="497"/>
      <c r="OPC75" s="497"/>
      <c r="OPD75" s="497"/>
      <c r="OPE75" s="497"/>
      <c r="OPF75" s="497"/>
      <c r="OPG75" s="497"/>
      <c r="OPH75" s="497"/>
      <c r="OPI75" s="497"/>
      <c r="OPJ75" s="497"/>
      <c r="OPK75" s="497"/>
      <c r="OPL75" s="497"/>
      <c r="OPM75" s="497"/>
      <c r="OPN75" s="497"/>
      <c r="OPO75" s="497"/>
      <c r="OPP75" s="497"/>
      <c r="OPQ75" s="497"/>
      <c r="OPR75" s="497"/>
      <c r="OPS75" s="497"/>
      <c r="OPT75" s="497"/>
      <c r="OPU75" s="497"/>
      <c r="OPV75" s="497"/>
      <c r="OPW75" s="497"/>
      <c r="OPX75" s="497"/>
      <c r="OPY75" s="497"/>
      <c r="OPZ75" s="497"/>
      <c r="OQA75" s="497"/>
      <c r="OQB75" s="497"/>
      <c r="OQC75" s="497"/>
      <c r="OQD75" s="497"/>
      <c r="OQE75" s="497"/>
      <c r="OQF75" s="497"/>
      <c r="OQG75" s="497"/>
      <c r="OQH75" s="497"/>
      <c r="OQI75" s="497"/>
      <c r="OQJ75" s="497"/>
      <c r="OQK75" s="497"/>
      <c r="OQL75" s="497"/>
      <c r="OQM75" s="497"/>
      <c r="OQN75" s="497"/>
      <c r="OQO75" s="497"/>
      <c r="OQP75" s="497"/>
      <c r="OQQ75" s="497"/>
      <c r="OQR75" s="497"/>
      <c r="OQS75" s="497"/>
      <c r="OQT75" s="497"/>
      <c r="OQU75" s="497"/>
      <c r="OQV75" s="497"/>
      <c r="OQW75" s="497"/>
      <c r="OQX75" s="497"/>
      <c r="OQY75" s="497"/>
      <c r="OQZ75" s="497"/>
      <c r="ORA75" s="497"/>
      <c r="ORB75" s="497"/>
      <c r="ORC75" s="497"/>
      <c r="ORD75" s="497"/>
      <c r="ORE75" s="497"/>
      <c r="ORF75" s="497"/>
      <c r="ORG75" s="497"/>
      <c r="ORH75" s="497"/>
      <c r="ORI75" s="497"/>
      <c r="ORJ75" s="497"/>
      <c r="ORK75" s="497"/>
      <c r="ORL75" s="497"/>
      <c r="ORM75" s="497"/>
      <c r="ORN75" s="497"/>
      <c r="ORO75" s="497"/>
      <c r="ORP75" s="497"/>
      <c r="ORQ75" s="497"/>
      <c r="ORR75" s="497"/>
      <c r="ORS75" s="497"/>
      <c r="ORT75" s="497"/>
      <c r="ORU75" s="497"/>
      <c r="ORV75" s="497"/>
      <c r="ORW75" s="497"/>
      <c r="ORX75" s="497"/>
      <c r="ORY75" s="497"/>
      <c r="ORZ75" s="497"/>
      <c r="OSA75" s="497"/>
      <c r="OSB75" s="497"/>
      <c r="OSC75" s="497"/>
      <c r="OSD75" s="497"/>
      <c r="OSE75" s="497"/>
      <c r="OSF75" s="497"/>
      <c r="OSG75" s="497"/>
      <c r="OSH75" s="497"/>
      <c r="OSI75" s="497"/>
      <c r="OSJ75" s="497"/>
      <c r="OSK75" s="497"/>
      <c r="OSL75" s="497"/>
      <c r="OSM75" s="497"/>
      <c r="OSN75" s="497"/>
      <c r="OSO75" s="497"/>
      <c r="OSP75" s="497"/>
      <c r="OSQ75" s="497"/>
      <c r="OSR75" s="497"/>
      <c r="OSS75" s="497"/>
      <c r="OST75" s="497"/>
      <c r="OSU75" s="497"/>
      <c r="OSV75" s="497"/>
      <c r="OSW75" s="497"/>
      <c r="OSX75" s="497"/>
      <c r="OSY75" s="497"/>
      <c r="OSZ75" s="497"/>
      <c r="OTA75" s="497"/>
      <c r="OTB75" s="497"/>
      <c r="OTC75" s="497"/>
      <c r="OTD75" s="497"/>
      <c r="OTE75" s="497"/>
      <c r="OTF75" s="497"/>
      <c r="OTG75" s="497"/>
      <c r="OTH75" s="497"/>
      <c r="OTI75" s="497"/>
      <c r="OTJ75" s="497"/>
      <c r="OTK75" s="497"/>
      <c r="OTL75" s="497"/>
      <c r="OTM75" s="497"/>
      <c r="OTN75" s="497"/>
      <c r="OTO75" s="497"/>
      <c r="OTP75" s="497"/>
      <c r="OTQ75" s="497"/>
      <c r="OTR75" s="497"/>
      <c r="OTS75" s="497"/>
      <c r="OTT75" s="497"/>
      <c r="OTU75" s="497"/>
      <c r="OTV75" s="497"/>
      <c r="OTW75" s="497"/>
      <c r="OTX75" s="497"/>
      <c r="OTY75" s="497"/>
      <c r="OTZ75" s="497"/>
      <c r="OUA75" s="497"/>
      <c r="OUB75" s="497"/>
      <c r="OUC75" s="497"/>
      <c r="OUD75" s="497"/>
      <c r="OUE75" s="497"/>
      <c r="OUF75" s="497"/>
      <c r="OUG75" s="497"/>
      <c r="OUH75" s="497"/>
      <c r="OUI75" s="497"/>
      <c r="OUJ75" s="497"/>
      <c r="OUK75" s="497"/>
      <c r="OUL75" s="497"/>
      <c r="OUM75" s="497"/>
      <c r="OUN75" s="497"/>
      <c r="OUO75" s="497"/>
      <c r="OUP75" s="497"/>
      <c r="OUQ75" s="497"/>
      <c r="OUR75" s="497"/>
      <c r="OUS75" s="497"/>
      <c r="OUT75" s="497"/>
      <c r="OUU75" s="497"/>
      <c r="OUV75" s="497"/>
      <c r="OUW75" s="497"/>
      <c r="OUX75" s="497"/>
      <c r="OUY75" s="497"/>
      <c r="OUZ75" s="497"/>
      <c r="OVA75" s="497"/>
      <c r="OVB75" s="497"/>
      <c r="OVC75" s="497"/>
      <c r="OVD75" s="497"/>
      <c r="OVE75" s="497"/>
      <c r="OVF75" s="497"/>
      <c r="OVG75" s="497"/>
      <c r="OVH75" s="497"/>
      <c r="OVI75" s="497"/>
      <c r="OVJ75" s="497"/>
      <c r="OVK75" s="497"/>
      <c r="OVL75" s="497"/>
      <c r="OVM75" s="497"/>
      <c r="OVN75" s="497"/>
      <c r="OVO75" s="497"/>
      <c r="OVP75" s="497"/>
      <c r="OVQ75" s="497"/>
      <c r="OVR75" s="497"/>
      <c r="OVS75" s="497"/>
      <c r="OVT75" s="497"/>
      <c r="OVU75" s="497"/>
      <c r="OVV75" s="497"/>
      <c r="OVW75" s="497"/>
      <c r="OVX75" s="497"/>
      <c r="OVY75" s="497"/>
      <c r="OVZ75" s="497"/>
      <c r="OWA75" s="497"/>
      <c r="OWB75" s="497"/>
      <c r="OWC75" s="497"/>
      <c r="OWD75" s="497"/>
      <c r="OWE75" s="497"/>
      <c r="OWF75" s="497"/>
      <c r="OWG75" s="497"/>
      <c r="OWH75" s="497"/>
      <c r="OWI75" s="497"/>
      <c r="OWJ75" s="497"/>
      <c r="OWK75" s="497"/>
      <c r="OWL75" s="497"/>
      <c r="OWM75" s="497"/>
      <c r="OWN75" s="497"/>
      <c r="OWO75" s="497"/>
      <c r="OWP75" s="497"/>
      <c r="OWQ75" s="497"/>
      <c r="OWR75" s="497"/>
      <c r="OWS75" s="497"/>
      <c r="OWT75" s="497"/>
      <c r="OWU75" s="497"/>
      <c r="OWV75" s="497"/>
      <c r="OWW75" s="497"/>
      <c r="OWX75" s="497"/>
      <c r="OWY75" s="497"/>
      <c r="OWZ75" s="497"/>
      <c r="OXA75" s="497"/>
      <c r="OXB75" s="497"/>
      <c r="OXC75" s="497"/>
      <c r="OXD75" s="497"/>
      <c r="OXE75" s="497"/>
      <c r="OXF75" s="497"/>
      <c r="OXG75" s="497"/>
      <c r="OXH75" s="497"/>
      <c r="OXI75" s="497"/>
      <c r="OXJ75" s="497"/>
      <c r="OXK75" s="497"/>
      <c r="OXL75" s="497"/>
      <c r="OXM75" s="497"/>
      <c r="OXN75" s="497"/>
      <c r="OXO75" s="497"/>
      <c r="OXP75" s="497"/>
      <c r="OXQ75" s="497"/>
      <c r="OXR75" s="497"/>
      <c r="OXS75" s="497"/>
      <c r="OXT75" s="497"/>
      <c r="OXU75" s="497"/>
      <c r="OXV75" s="497"/>
      <c r="OXW75" s="497"/>
      <c r="OXX75" s="497"/>
      <c r="OXY75" s="497"/>
      <c r="OXZ75" s="497"/>
      <c r="OYA75" s="497"/>
      <c r="OYB75" s="497"/>
      <c r="OYC75" s="497"/>
      <c r="OYD75" s="497"/>
      <c r="OYE75" s="497"/>
      <c r="OYF75" s="497"/>
      <c r="OYG75" s="497"/>
      <c r="OYH75" s="497"/>
      <c r="OYI75" s="497"/>
      <c r="OYJ75" s="497"/>
      <c r="OYK75" s="497"/>
      <c r="OYL75" s="497"/>
      <c r="OYM75" s="497"/>
      <c r="OYN75" s="497"/>
      <c r="OYO75" s="497"/>
      <c r="OYP75" s="497"/>
      <c r="OYQ75" s="497"/>
      <c r="OYR75" s="497"/>
      <c r="OYS75" s="497"/>
      <c r="OYT75" s="497"/>
      <c r="OYU75" s="497"/>
      <c r="OYV75" s="497"/>
      <c r="OYW75" s="497"/>
      <c r="OYX75" s="497"/>
      <c r="OYY75" s="497"/>
      <c r="OYZ75" s="497"/>
      <c r="OZA75" s="497"/>
      <c r="OZB75" s="497"/>
      <c r="OZC75" s="497"/>
      <c r="OZD75" s="497"/>
      <c r="OZE75" s="497"/>
      <c r="OZF75" s="497"/>
      <c r="OZG75" s="497"/>
      <c r="OZH75" s="497"/>
      <c r="OZI75" s="497"/>
      <c r="OZJ75" s="497"/>
      <c r="OZK75" s="497"/>
      <c r="OZL75" s="497"/>
      <c r="OZM75" s="497"/>
      <c r="OZN75" s="497"/>
      <c r="OZO75" s="497"/>
      <c r="OZP75" s="497"/>
      <c r="OZQ75" s="497"/>
      <c r="OZR75" s="497"/>
      <c r="OZS75" s="497"/>
      <c r="OZT75" s="497"/>
      <c r="OZU75" s="497"/>
      <c r="OZV75" s="497"/>
      <c r="OZW75" s="497"/>
      <c r="OZX75" s="497"/>
      <c r="OZY75" s="497"/>
      <c r="OZZ75" s="497"/>
      <c r="PAA75" s="497"/>
      <c r="PAB75" s="497"/>
      <c r="PAC75" s="497"/>
      <c r="PAD75" s="497"/>
      <c r="PAE75" s="497"/>
      <c r="PAF75" s="497"/>
      <c r="PAG75" s="497"/>
      <c r="PAH75" s="497"/>
      <c r="PAI75" s="497"/>
      <c r="PAJ75" s="497"/>
      <c r="PAK75" s="497"/>
      <c r="PAL75" s="497"/>
      <c r="PAM75" s="497"/>
      <c r="PAN75" s="497"/>
      <c r="PAO75" s="497"/>
      <c r="PAP75" s="497"/>
      <c r="PAQ75" s="497"/>
      <c r="PAR75" s="497"/>
      <c r="PAS75" s="497"/>
      <c r="PAT75" s="497"/>
      <c r="PAU75" s="497"/>
      <c r="PAV75" s="497"/>
      <c r="PAW75" s="497"/>
      <c r="PAX75" s="497"/>
      <c r="PAY75" s="497"/>
      <c r="PAZ75" s="497"/>
      <c r="PBA75" s="497"/>
      <c r="PBB75" s="497"/>
      <c r="PBC75" s="497"/>
      <c r="PBD75" s="497"/>
      <c r="PBE75" s="497"/>
      <c r="PBF75" s="497"/>
      <c r="PBG75" s="497"/>
      <c r="PBH75" s="497"/>
      <c r="PBI75" s="497"/>
      <c r="PBJ75" s="497"/>
      <c r="PBK75" s="497"/>
      <c r="PBL75" s="497"/>
      <c r="PBM75" s="497"/>
      <c r="PBN75" s="497"/>
      <c r="PBO75" s="497"/>
      <c r="PBP75" s="497"/>
      <c r="PBQ75" s="497"/>
      <c r="PBR75" s="497"/>
      <c r="PBS75" s="497"/>
      <c r="PBT75" s="497"/>
      <c r="PBU75" s="497"/>
      <c r="PBV75" s="497"/>
      <c r="PBW75" s="497"/>
      <c r="PBX75" s="497"/>
      <c r="PBY75" s="497"/>
      <c r="PBZ75" s="497"/>
      <c r="PCA75" s="497"/>
      <c r="PCB75" s="497"/>
      <c r="PCC75" s="497"/>
      <c r="PCD75" s="497"/>
      <c r="PCE75" s="497"/>
      <c r="PCF75" s="497"/>
      <c r="PCG75" s="497"/>
      <c r="PCH75" s="497"/>
      <c r="PCI75" s="497"/>
      <c r="PCJ75" s="497"/>
      <c r="PCK75" s="497"/>
      <c r="PCL75" s="497"/>
      <c r="PCM75" s="497"/>
      <c r="PCN75" s="497"/>
      <c r="PCO75" s="497"/>
      <c r="PCP75" s="497"/>
      <c r="PCQ75" s="497"/>
      <c r="PCR75" s="497"/>
      <c r="PCS75" s="497"/>
      <c r="PCT75" s="497"/>
      <c r="PCU75" s="497"/>
      <c r="PCV75" s="497"/>
      <c r="PCW75" s="497"/>
      <c r="PCX75" s="497"/>
      <c r="PCY75" s="497"/>
      <c r="PCZ75" s="497"/>
      <c r="PDA75" s="497"/>
      <c r="PDB75" s="497"/>
      <c r="PDC75" s="497"/>
      <c r="PDD75" s="497"/>
      <c r="PDE75" s="497"/>
      <c r="PDF75" s="497"/>
      <c r="PDG75" s="497"/>
      <c r="PDH75" s="497"/>
      <c r="PDI75" s="497"/>
      <c r="PDJ75" s="497"/>
      <c r="PDK75" s="497"/>
      <c r="PDL75" s="497"/>
      <c r="PDM75" s="497"/>
      <c r="PDN75" s="497"/>
      <c r="PDO75" s="497"/>
      <c r="PDP75" s="497"/>
      <c r="PDQ75" s="497"/>
      <c r="PDR75" s="497"/>
      <c r="PDS75" s="497"/>
      <c r="PDT75" s="497"/>
      <c r="PDU75" s="497"/>
      <c r="PDV75" s="497"/>
      <c r="PDW75" s="497"/>
      <c r="PDX75" s="497"/>
      <c r="PDY75" s="497"/>
      <c r="PDZ75" s="497"/>
      <c r="PEA75" s="497"/>
      <c r="PEB75" s="497"/>
      <c r="PEC75" s="497"/>
      <c r="PED75" s="497"/>
      <c r="PEE75" s="497"/>
      <c r="PEF75" s="497"/>
      <c r="PEG75" s="497"/>
      <c r="PEH75" s="497"/>
      <c r="PEI75" s="497"/>
      <c r="PEJ75" s="497"/>
      <c r="PEK75" s="497"/>
      <c r="PEL75" s="497"/>
      <c r="PEM75" s="497"/>
      <c r="PEN75" s="497"/>
      <c r="PEO75" s="497"/>
      <c r="PEP75" s="497"/>
      <c r="PEQ75" s="497"/>
      <c r="PER75" s="497"/>
      <c r="PES75" s="497"/>
      <c r="PET75" s="497"/>
      <c r="PEU75" s="497"/>
      <c r="PEV75" s="497"/>
      <c r="PEW75" s="497"/>
      <c r="PEX75" s="497"/>
      <c r="PEY75" s="497"/>
      <c r="PEZ75" s="497"/>
      <c r="PFA75" s="497"/>
      <c r="PFB75" s="497"/>
      <c r="PFC75" s="497"/>
      <c r="PFD75" s="497"/>
      <c r="PFE75" s="497"/>
      <c r="PFF75" s="497"/>
      <c r="PFG75" s="497"/>
      <c r="PFH75" s="497"/>
      <c r="PFI75" s="497"/>
      <c r="PFJ75" s="497"/>
      <c r="PFK75" s="497"/>
      <c r="PFL75" s="497"/>
      <c r="PFM75" s="497"/>
      <c r="PFN75" s="497"/>
      <c r="PFO75" s="497"/>
      <c r="PFP75" s="497"/>
      <c r="PFQ75" s="497"/>
      <c r="PFR75" s="497"/>
      <c r="PFS75" s="497"/>
      <c r="PFT75" s="497"/>
      <c r="PFU75" s="497"/>
      <c r="PFV75" s="497"/>
      <c r="PFW75" s="497"/>
      <c r="PFX75" s="497"/>
      <c r="PFY75" s="497"/>
      <c r="PFZ75" s="497"/>
      <c r="PGA75" s="497"/>
      <c r="PGB75" s="497"/>
      <c r="PGC75" s="497"/>
      <c r="PGD75" s="497"/>
      <c r="PGE75" s="497"/>
      <c r="PGF75" s="497"/>
      <c r="PGG75" s="497"/>
      <c r="PGH75" s="497"/>
      <c r="PGI75" s="497"/>
      <c r="PGJ75" s="497"/>
      <c r="PGK75" s="497"/>
      <c r="PGL75" s="497"/>
      <c r="PGM75" s="497"/>
      <c r="PGN75" s="497"/>
      <c r="PGO75" s="497"/>
      <c r="PGP75" s="497"/>
      <c r="PGQ75" s="497"/>
      <c r="PGR75" s="497"/>
      <c r="PGS75" s="497"/>
      <c r="PGT75" s="497"/>
      <c r="PGU75" s="497"/>
      <c r="PGV75" s="497"/>
      <c r="PGW75" s="497"/>
      <c r="PGX75" s="497"/>
      <c r="PGY75" s="497"/>
      <c r="PGZ75" s="497"/>
      <c r="PHA75" s="497"/>
      <c r="PHB75" s="497"/>
      <c r="PHC75" s="497"/>
      <c r="PHD75" s="497"/>
      <c r="PHE75" s="497"/>
      <c r="PHF75" s="497"/>
      <c r="PHG75" s="497"/>
      <c r="PHH75" s="497"/>
      <c r="PHI75" s="497"/>
      <c r="PHJ75" s="497"/>
      <c r="PHK75" s="497"/>
      <c r="PHL75" s="497"/>
      <c r="PHM75" s="497"/>
      <c r="PHN75" s="497"/>
      <c r="PHO75" s="497"/>
      <c r="PHP75" s="497"/>
      <c r="PHQ75" s="497"/>
      <c r="PHR75" s="497"/>
      <c r="PHS75" s="497"/>
      <c r="PHT75" s="497"/>
      <c r="PHU75" s="497"/>
      <c r="PHV75" s="497"/>
      <c r="PHW75" s="497"/>
      <c r="PHX75" s="497"/>
      <c r="PHY75" s="497"/>
      <c r="PHZ75" s="497"/>
      <c r="PIA75" s="497"/>
      <c r="PIB75" s="497"/>
      <c r="PIC75" s="497"/>
      <c r="PID75" s="497"/>
      <c r="PIE75" s="497"/>
      <c r="PIF75" s="497"/>
      <c r="PIG75" s="497"/>
      <c r="PIH75" s="497"/>
      <c r="PII75" s="497"/>
      <c r="PIJ75" s="497"/>
      <c r="PIK75" s="497"/>
      <c r="PIL75" s="497"/>
      <c r="PIM75" s="497"/>
      <c r="PIN75" s="497"/>
      <c r="PIO75" s="497"/>
      <c r="PIP75" s="497"/>
      <c r="PIQ75" s="497"/>
      <c r="PIR75" s="497"/>
      <c r="PIS75" s="497"/>
      <c r="PIT75" s="497"/>
      <c r="PIU75" s="497"/>
      <c r="PIV75" s="497"/>
      <c r="PIW75" s="497"/>
      <c r="PIX75" s="497"/>
      <c r="PIY75" s="497"/>
      <c r="PIZ75" s="497"/>
      <c r="PJA75" s="497"/>
      <c r="PJB75" s="497"/>
      <c r="PJC75" s="497"/>
      <c r="PJD75" s="497"/>
      <c r="PJE75" s="497"/>
      <c r="PJF75" s="497"/>
      <c r="PJG75" s="497"/>
      <c r="PJH75" s="497"/>
      <c r="PJI75" s="497"/>
      <c r="PJJ75" s="497"/>
      <c r="PJK75" s="497"/>
      <c r="PJL75" s="497"/>
      <c r="PJM75" s="497"/>
      <c r="PJN75" s="497"/>
      <c r="PJO75" s="497"/>
      <c r="PJP75" s="497"/>
      <c r="PJQ75" s="497"/>
      <c r="PJR75" s="497"/>
      <c r="PJS75" s="497"/>
      <c r="PJT75" s="497"/>
      <c r="PJU75" s="497"/>
      <c r="PJV75" s="497"/>
      <c r="PJW75" s="497"/>
      <c r="PJX75" s="497"/>
      <c r="PJY75" s="497"/>
      <c r="PJZ75" s="497"/>
      <c r="PKA75" s="497"/>
      <c r="PKB75" s="497"/>
      <c r="PKC75" s="497"/>
      <c r="PKD75" s="497"/>
      <c r="PKE75" s="497"/>
      <c r="PKF75" s="497"/>
      <c r="PKG75" s="497"/>
      <c r="PKH75" s="497"/>
      <c r="PKI75" s="497"/>
      <c r="PKJ75" s="497"/>
      <c r="PKK75" s="497"/>
      <c r="PKL75" s="497"/>
      <c r="PKM75" s="497"/>
      <c r="PKN75" s="497"/>
      <c r="PKO75" s="497"/>
      <c r="PKP75" s="497"/>
      <c r="PKQ75" s="497"/>
      <c r="PKR75" s="497"/>
      <c r="PKS75" s="497"/>
      <c r="PKT75" s="497"/>
      <c r="PKU75" s="497"/>
      <c r="PKV75" s="497"/>
      <c r="PKW75" s="497"/>
      <c r="PKX75" s="497"/>
      <c r="PKY75" s="497"/>
      <c r="PKZ75" s="497"/>
      <c r="PLA75" s="497"/>
      <c r="PLB75" s="497"/>
      <c r="PLC75" s="497"/>
      <c r="PLD75" s="497"/>
      <c r="PLE75" s="497"/>
      <c r="PLF75" s="497"/>
      <c r="PLG75" s="497"/>
      <c r="PLH75" s="497"/>
      <c r="PLI75" s="497"/>
      <c r="PLJ75" s="497"/>
      <c r="PLK75" s="497"/>
      <c r="PLL75" s="497"/>
      <c r="PLM75" s="497"/>
      <c r="PLN75" s="497"/>
      <c r="PLO75" s="497"/>
      <c r="PLP75" s="497"/>
      <c r="PLQ75" s="497"/>
      <c r="PLR75" s="497"/>
      <c r="PLS75" s="497"/>
      <c r="PLT75" s="497"/>
      <c r="PLU75" s="497"/>
      <c r="PLV75" s="497"/>
      <c r="PLW75" s="497"/>
      <c r="PLX75" s="497"/>
      <c r="PLY75" s="497"/>
      <c r="PLZ75" s="497"/>
      <c r="PMA75" s="497"/>
      <c r="PMB75" s="497"/>
      <c r="PMC75" s="497"/>
      <c r="PMD75" s="497"/>
      <c r="PME75" s="497"/>
      <c r="PMF75" s="497"/>
      <c r="PMG75" s="497"/>
      <c r="PMH75" s="497"/>
      <c r="PMI75" s="497"/>
      <c r="PMJ75" s="497"/>
      <c r="PMK75" s="497"/>
      <c r="PML75" s="497"/>
      <c r="PMM75" s="497"/>
      <c r="PMN75" s="497"/>
      <c r="PMO75" s="497"/>
      <c r="PMP75" s="497"/>
      <c r="PMQ75" s="497"/>
      <c r="PMR75" s="497"/>
      <c r="PMS75" s="497"/>
      <c r="PMT75" s="497"/>
      <c r="PMU75" s="497"/>
      <c r="PMV75" s="497"/>
      <c r="PMW75" s="497"/>
      <c r="PMX75" s="497"/>
      <c r="PMY75" s="497"/>
      <c r="PMZ75" s="497"/>
      <c r="PNA75" s="497"/>
      <c r="PNB75" s="497"/>
      <c r="PNC75" s="497"/>
      <c r="PND75" s="497"/>
      <c r="PNE75" s="497"/>
      <c r="PNF75" s="497"/>
      <c r="PNG75" s="497"/>
      <c r="PNH75" s="497"/>
      <c r="PNI75" s="497"/>
      <c r="PNJ75" s="497"/>
      <c r="PNK75" s="497"/>
      <c r="PNL75" s="497"/>
      <c r="PNM75" s="497"/>
      <c r="PNN75" s="497"/>
      <c r="PNO75" s="497"/>
      <c r="PNP75" s="497"/>
      <c r="PNQ75" s="497"/>
      <c r="PNR75" s="497"/>
      <c r="PNS75" s="497"/>
      <c r="PNT75" s="497"/>
      <c r="PNU75" s="497"/>
      <c r="PNV75" s="497"/>
      <c r="PNW75" s="497"/>
      <c r="PNX75" s="497"/>
      <c r="PNY75" s="497"/>
      <c r="PNZ75" s="497"/>
      <c r="POA75" s="497"/>
      <c r="POB75" s="497"/>
      <c r="POC75" s="497"/>
      <c r="POD75" s="497"/>
      <c r="POE75" s="497"/>
      <c r="POF75" s="497"/>
      <c r="POG75" s="497"/>
      <c r="POH75" s="497"/>
      <c r="POI75" s="497"/>
      <c r="POJ75" s="497"/>
      <c r="POK75" s="497"/>
      <c r="POL75" s="497"/>
      <c r="POM75" s="497"/>
      <c r="PON75" s="497"/>
      <c r="POO75" s="497"/>
      <c r="POP75" s="497"/>
      <c r="POQ75" s="497"/>
      <c r="POR75" s="497"/>
      <c r="POS75" s="497"/>
      <c r="POT75" s="497"/>
      <c r="POU75" s="497"/>
      <c r="POV75" s="497"/>
      <c r="POW75" s="497"/>
      <c r="POX75" s="497"/>
      <c r="POY75" s="497"/>
      <c r="POZ75" s="497"/>
      <c r="PPA75" s="497"/>
      <c r="PPB75" s="497"/>
      <c r="PPC75" s="497"/>
      <c r="PPD75" s="497"/>
      <c r="PPE75" s="497"/>
      <c r="PPF75" s="497"/>
      <c r="PPG75" s="497"/>
      <c r="PPH75" s="497"/>
      <c r="PPI75" s="497"/>
      <c r="PPJ75" s="497"/>
      <c r="PPK75" s="497"/>
      <c r="PPL75" s="497"/>
      <c r="PPM75" s="497"/>
      <c r="PPN75" s="497"/>
      <c r="PPO75" s="497"/>
      <c r="PPP75" s="497"/>
      <c r="PPQ75" s="497"/>
      <c r="PPR75" s="497"/>
      <c r="PPS75" s="497"/>
      <c r="PPT75" s="497"/>
      <c r="PPU75" s="497"/>
      <c r="PPV75" s="497"/>
      <c r="PPW75" s="497"/>
      <c r="PPX75" s="497"/>
      <c r="PPY75" s="497"/>
      <c r="PPZ75" s="497"/>
      <c r="PQA75" s="497"/>
      <c r="PQB75" s="497"/>
      <c r="PQC75" s="497"/>
      <c r="PQD75" s="497"/>
      <c r="PQE75" s="497"/>
      <c r="PQF75" s="497"/>
      <c r="PQG75" s="497"/>
      <c r="PQH75" s="497"/>
      <c r="PQI75" s="497"/>
      <c r="PQJ75" s="497"/>
      <c r="PQK75" s="497"/>
      <c r="PQL75" s="497"/>
      <c r="PQM75" s="497"/>
      <c r="PQN75" s="497"/>
      <c r="PQO75" s="497"/>
      <c r="PQP75" s="497"/>
      <c r="PQQ75" s="497"/>
      <c r="PQR75" s="497"/>
      <c r="PQS75" s="497"/>
      <c r="PQT75" s="497"/>
      <c r="PQU75" s="497"/>
      <c r="PQV75" s="497"/>
      <c r="PQW75" s="497"/>
      <c r="PQX75" s="497"/>
      <c r="PQY75" s="497"/>
      <c r="PQZ75" s="497"/>
      <c r="PRA75" s="497"/>
      <c r="PRB75" s="497"/>
      <c r="PRC75" s="497"/>
      <c r="PRD75" s="497"/>
      <c r="PRE75" s="497"/>
      <c r="PRF75" s="497"/>
      <c r="PRG75" s="497"/>
      <c r="PRH75" s="497"/>
      <c r="PRI75" s="497"/>
      <c r="PRJ75" s="497"/>
      <c r="PRK75" s="497"/>
      <c r="PRL75" s="497"/>
      <c r="PRM75" s="497"/>
      <c r="PRN75" s="497"/>
      <c r="PRO75" s="497"/>
      <c r="PRP75" s="497"/>
      <c r="PRQ75" s="497"/>
      <c r="PRR75" s="497"/>
      <c r="PRS75" s="497"/>
      <c r="PRT75" s="497"/>
      <c r="PRU75" s="497"/>
      <c r="PRV75" s="497"/>
      <c r="PRW75" s="497"/>
      <c r="PRX75" s="497"/>
      <c r="PRY75" s="497"/>
      <c r="PRZ75" s="497"/>
      <c r="PSA75" s="497"/>
      <c r="PSB75" s="497"/>
      <c r="PSC75" s="497"/>
      <c r="PSD75" s="497"/>
      <c r="PSE75" s="497"/>
      <c r="PSF75" s="497"/>
      <c r="PSG75" s="497"/>
      <c r="PSH75" s="497"/>
      <c r="PSI75" s="497"/>
      <c r="PSJ75" s="497"/>
      <c r="PSK75" s="497"/>
      <c r="PSL75" s="497"/>
      <c r="PSM75" s="497"/>
      <c r="PSN75" s="497"/>
      <c r="PSO75" s="497"/>
      <c r="PSP75" s="497"/>
      <c r="PSQ75" s="497"/>
      <c r="PSR75" s="497"/>
      <c r="PSS75" s="497"/>
      <c r="PST75" s="497"/>
      <c r="PSU75" s="497"/>
      <c r="PSV75" s="497"/>
      <c r="PSW75" s="497"/>
      <c r="PSX75" s="497"/>
      <c r="PSY75" s="497"/>
      <c r="PSZ75" s="497"/>
      <c r="PTA75" s="497"/>
      <c r="PTB75" s="497"/>
      <c r="PTC75" s="497"/>
      <c r="PTD75" s="497"/>
      <c r="PTE75" s="497"/>
      <c r="PTF75" s="497"/>
      <c r="PTG75" s="497"/>
      <c r="PTH75" s="497"/>
      <c r="PTI75" s="497"/>
      <c r="PTJ75" s="497"/>
      <c r="PTK75" s="497"/>
      <c r="PTL75" s="497"/>
      <c r="PTM75" s="497"/>
      <c r="PTN75" s="497"/>
      <c r="PTO75" s="497"/>
      <c r="PTP75" s="497"/>
      <c r="PTQ75" s="497"/>
      <c r="PTR75" s="497"/>
      <c r="PTS75" s="497"/>
      <c r="PTT75" s="497"/>
      <c r="PTU75" s="497"/>
      <c r="PTV75" s="497"/>
      <c r="PTW75" s="497"/>
      <c r="PTX75" s="497"/>
      <c r="PTY75" s="497"/>
      <c r="PTZ75" s="497"/>
      <c r="PUA75" s="497"/>
      <c r="PUB75" s="497"/>
      <c r="PUC75" s="497"/>
      <c r="PUD75" s="497"/>
      <c r="PUE75" s="497"/>
      <c r="PUF75" s="497"/>
      <c r="PUG75" s="497"/>
      <c r="PUH75" s="497"/>
      <c r="PUI75" s="497"/>
      <c r="PUJ75" s="497"/>
      <c r="PUK75" s="497"/>
      <c r="PUL75" s="497"/>
      <c r="PUM75" s="497"/>
      <c r="PUN75" s="497"/>
      <c r="PUO75" s="497"/>
      <c r="PUP75" s="497"/>
      <c r="PUQ75" s="497"/>
      <c r="PUR75" s="497"/>
      <c r="PUS75" s="497"/>
      <c r="PUT75" s="497"/>
      <c r="PUU75" s="497"/>
      <c r="PUV75" s="497"/>
      <c r="PUW75" s="497"/>
      <c r="PUX75" s="497"/>
      <c r="PUY75" s="497"/>
      <c r="PUZ75" s="497"/>
      <c r="PVA75" s="497"/>
      <c r="PVB75" s="497"/>
      <c r="PVC75" s="497"/>
      <c r="PVD75" s="497"/>
      <c r="PVE75" s="497"/>
      <c r="PVF75" s="497"/>
      <c r="PVG75" s="497"/>
      <c r="PVH75" s="497"/>
      <c r="PVI75" s="497"/>
      <c r="PVJ75" s="497"/>
      <c r="PVK75" s="497"/>
      <c r="PVL75" s="497"/>
      <c r="PVM75" s="497"/>
      <c r="PVN75" s="497"/>
      <c r="PVO75" s="497"/>
      <c r="PVP75" s="497"/>
      <c r="PVQ75" s="497"/>
      <c r="PVR75" s="497"/>
      <c r="PVS75" s="497"/>
      <c r="PVT75" s="497"/>
      <c r="PVU75" s="497"/>
      <c r="PVV75" s="497"/>
      <c r="PVW75" s="497"/>
      <c r="PVX75" s="497"/>
      <c r="PVY75" s="497"/>
      <c r="PVZ75" s="497"/>
      <c r="PWA75" s="497"/>
      <c r="PWB75" s="497"/>
      <c r="PWC75" s="497"/>
      <c r="PWD75" s="497"/>
      <c r="PWE75" s="497"/>
      <c r="PWF75" s="497"/>
      <c r="PWG75" s="497"/>
      <c r="PWH75" s="497"/>
      <c r="PWI75" s="497"/>
      <c r="PWJ75" s="497"/>
      <c r="PWK75" s="497"/>
      <c r="PWL75" s="497"/>
      <c r="PWM75" s="497"/>
      <c r="PWN75" s="497"/>
      <c r="PWO75" s="497"/>
      <c r="PWP75" s="497"/>
      <c r="PWQ75" s="497"/>
      <c r="PWR75" s="497"/>
      <c r="PWS75" s="497"/>
      <c r="PWT75" s="497"/>
      <c r="PWU75" s="497"/>
      <c r="PWV75" s="497"/>
      <c r="PWW75" s="497"/>
      <c r="PWX75" s="497"/>
      <c r="PWY75" s="497"/>
      <c r="PWZ75" s="497"/>
      <c r="PXA75" s="497"/>
      <c r="PXB75" s="497"/>
      <c r="PXC75" s="497"/>
      <c r="PXD75" s="497"/>
      <c r="PXE75" s="497"/>
      <c r="PXF75" s="497"/>
      <c r="PXG75" s="497"/>
      <c r="PXH75" s="497"/>
      <c r="PXI75" s="497"/>
      <c r="PXJ75" s="497"/>
      <c r="PXK75" s="497"/>
      <c r="PXL75" s="497"/>
      <c r="PXM75" s="497"/>
      <c r="PXN75" s="497"/>
      <c r="PXO75" s="497"/>
      <c r="PXP75" s="497"/>
      <c r="PXQ75" s="497"/>
      <c r="PXR75" s="497"/>
      <c r="PXS75" s="497"/>
      <c r="PXT75" s="497"/>
      <c r="PXU75" s="497"/>
      <c r="PXV75" s="497"/>
      <c r="PXW75" s="497"/>
      <c r="PXX75" s="497"/>
      <c r="PXY75" s="497"/>
      <c r="PXZ75" s="497"/>
      <c r="PYA75" s="497"/>
      <c r="PYB75" s="497"/>
      <c r="PYC75" s="497"/>
      <c r="PYD75" s="497"/>
      <c r="PYE75" s="497"/>
      <c r="PYF75" s="497"/>
      <c r="PYG75" s="497"/>
      <c r="PYH75" s="497"/>
      <c r="PYI75" s="497"/>
      <c r="PYJ75" s="497"/>
      <c r="PYK75" s="497"/>
      <c r="PYL75" s="497"/>
      <c r="PYM75" s="497"/>
      <c r="PYN75" s="497"/>
      <c r="PYO75" s="497"/>
      <c r="PYP75" s="497"/>
      <c r="PYQ75" s="497"/>
      <c r="PYR75" s="497"/>
      <c r="PYS75" s="497"/>
      <c r="PYT75" s="497"/>
      <c r="PYU75" s="497"/>
      <c r="PYV75" s="497"/>
      <c r="PYW75" s="497"/>
      <c r="PYX75" s="497"/>
      <c r="PYY75" s="497"/>
      <c r="PYZ75" s="497"/>
      <c r="PZA75" s="497"/>
      <c r="PZB75" s="497"/>
      <c r="PZC75" s="497"/>
      <c r="PZD75" s="497"/>
      <c r="PZE75" s="497"/>
      <c r="PZF75" s="497"/>
      <c r="PZG75" s="497"/>
      <c r="PZH75" s="497"/>
      <c r="PZI75" s="497"/>
      <c r="PZJ75" s="497"/>
      <c r="PZK75" s="497"/>
      <c r="PZL75" s="497"/>
      <c r="PZM75" s="497"/>
      <c r="PZN75" s="497"/>
      <c r="PZO75" s="497"/>
      <c r="PZP75" s="497"/>
      <c r="PZQ75" s="497"/>
      <c r="PZR75" s="497"/>
      <c r="PZS75" s="497"/>
      <c r="PZT75" s="497"/>
      <c r="PZU75" s="497"/>
      <c r="PZV75" s="497"/>
      <c r="PZW75" s="497"/>
      <c r="PZX75" s="497"/>
      <c r="PZY75" s="497"/>
      <c r="PZZ75" s="497"/>
      <c r="QAA75" s="497"/>
      <c r="QAB75" s="497"/>
      <c r="QAC75" s="497"/>
      <c r="QAD75" s="497"/>
      <c r="QAE75" s="497"/>
      <c r="QAF75" s="497"/>
      <c r="QAG75" s="497"/>
      <c r="QAH75" s="497"/>
      <c r="QAI75" s="497"/>
      <c r="QAJ75" s="497"/>
      <c r="QAK75" s="497"/>
      <c r="QAL75" s="497"/>
      <c r="QAM75" s="497"/>
      <c r="QAN75" s="497"/>
      <c r="QAO75" s="497"/>
      <c r="QAP75" s="497"/>
      <c r="QAQ75" s="497"/>
      <c r="QAR75" s="497"/>
      <c r="QAS75" s="497"/>
      <c r="QAT75" s="497"/>
      <c r="QAU75" s="497"/>
      <c r="QAV75" s="497"/>
      <c r="QAW75" s="497"/>
      <c r="QAX75" s="497"/>
      <c r="QAY75" s="497"/>
      <c r="QAZ75" s="497"/>
      <c r="QBA75" s="497"/>
      <c r="QBB75" s="497"/>
      <c r="QBC75" s="497"/>
      <c r="QBD75" s="497"/>
      <c r="QBE75" s="497"/>
      <c r="QBF75" s="497"/>
      <c r="QBG75" s="497"/>
      <c r="QBH75" s="497"/>
      <c r="QBI75" s="497"/>
      <c r="QBJ75" s="497"/>
      <c r="QBK75" s="497"/>
      <c r="QBL75" s="497"/>
      <c r="QBM75" s="497"/>
      <c r="QBN75" s="497"/>
      <c r="QBO75" s="497"/>
      <c r="QBP75" s="497"/>
      <c r="QBQ75" s="497"/>
      <c r="QBR75" s="497"/>
      <c r="QBS75" s="497"/>
      <c r="QBT75" s="497"/>
      <c r="QBU75" s="497"/>
      <c r="QBV75" s="497"/>
      <c r="QBW75" s="497"/>
      <c r="QBX75" s="497"/>
      <c r="QBY75" s="497"/>
      <c r="QBZ75" s="497"/>
      <c r="QCA75" s="497"/>
      <c r="QCB75" s="497"/>
      <c r="QCC75" s="497"/>
      <c r="QCD75" s="497"/>
      <c r="QCE75" s="497"/>
      <c r="QCF75" s="497"/>
      <c r="QCG75" s="497"/>
      <c r="QCH75" s="497"/>
      <c r="QCI75" s="497"/>
      <c r="QCJ75" s="497"/>
      <c r="QCK75" s="497"/>
      <c r="QCL75" s="497"/>
      <c r="QCM75" s="497"/>
      <c r="QCN75" s="497"/>
      <c r="QCO75" s="497"/>
      <c r="QCP75" s="497"/>
      <c r="QCQ75" s="497"/>
      <c r="QCR75" s="497"/>
      <c r="QCS75" s="497"/>
      <c r="QCT75" s="497"/>
      <c r="QCU75" s="497"/>
      <c r="QCV75" s="497"/>
      <c r="QCW75" s="497"/>
      <c r="QCX75" s="497"/>
      <c r="QCY75" s="497"/>
      <c r="QCZ75" s="497"/>
      <c r="QDA75" s="497"/>
      <c r="QDB75" s="497"/>
      <c r="QDC75" s="497"/>
      <c r="QDD75" s="497"/>
      <c r="QDE75" s="497"/>
      <c r="QDF75" s="497"/>
      <c r="QDG75" s="497"/>
      <c r="QDH75" s="497"/>
      <c r="QDI75" s="497"/>
      <c r="QDJ75" s="497"/>
      <c r="QDK75" s="497"/>
      <c r="QDL75" s="497"/>
      <c r="QDM75" s="497"/>
      <c r="QDN75" s="497"/>
      <c r="QDO75" s="497"/>
      <c r="QDP75" s="497"/>
      <c r="QDQ75" s="497"/>
      <c r="QDR75" s="497"/>
      <c r="QDS75" s="497"/>
      <c r="QDT75" s="497"/>
      <c r="QDU75" s="497"/>
      <c r="QDV75" s="497"/>
      <c r="QDW75" s="497"/>
      <c r="QDX75" s="497"/>
      <c r="QDY75" s="497"/>
      <c r="QDZ75" s="497"/>
      <c r="QEA75" s="497"/>
      <c r="QEB75" s="497"/>
      <c r="QEC75" s="497"/>
      <c r="QED75" s="497"/>
      <c r="QEE75" s="497"/>
      <c r="QEF75" s="497"/>
      <c r="QEG75" s="497"/>
      <c r="QEH75" s="497"/>
      <c r="QEI75" s="497"/>
      <c r="QEJ75" s="497"/>
      <c r="QEK75" s="497"/>
      <c r="QEL75" s="497"/>
      <c r="QEM75" s="497"/>
      <c r="QEN75" s="497"/>
      <c r="QEO75" s="497"/>
      <c r="QEP75" s="497"/>
      <c r="QEQ75" s="497"/>
      <c r="QER75" s="497"/>
      <c r="QES75" s="497"/>
      <c r="QET75" s="497"/>
      <c r="QEU75" s="497"/>
      <c r="QEV75" s="497"/>
      <c r="QEW75" s="497"/>
      <c r="QEX75" s="497"/>
      <c r="QEY75" s="497"/>
      <c r="QEZ75" s="497"/>
      <c r="QFA75" s="497"/>
      <c r="QFB75" s="497"/>
      <c r="QFC75" s="497"/>
      <c r="QFD75" s="497"/>
      <c r="QFE75" s="497"/>
      <c r="QFF75" s="497"/>
      <c r="QFG75" s="497"/>
      <c r="QFH75" s="497"/>
      <c r="QFI75" s="497"/>
      <c r="QFJ75" s="497"/>
      <c r="QFK75" s="497"/>
      <c r="QFL75" s="497"/>
      <c r="QFM75" s="497"/>
      <c r="QFN75" s="497"/>
      <c r="QFO75" s="497"/>
      <c r="QFP75" s="497"/>
      <c r="QFQ75" s="497"/>
      <c r="QFR75" s="497"/>
      <c r="QFS75" s="497"/>
      <c r="QFT75" s="497"/>
      <c r="QFU75" s="497"/>
      <c r="QFV75" s="497"/>
      <c r="QFW75" s="497"/>
      <c r="QFX75" s="497"/>
      <c r="QFY75" s="497"/>
      <c r="QFZ75" s="497"/>
      <c r="QGA75" s="497"/>
      <c r="QGB75" s="497"/>
      <c r="QGC75" s="497"/>
      <c r="QGD75" s="497"/>
      <c r="QGE75" s="497"/>
      <c r="QGF75" s="497"/>
      <c r="QGG75" s="497"/>
      <c r="QGH75" s="497"/>
      <c r="QGI75" s="497"/>
      <c r="QGJ75" s="497"/>
      <c r="QGK75" s="497"/>
      <c r="QGL75" s="497"/>
      <c r="QGM75" s="497"/>
      <c r="QGN75" s="497"/>
      <c r="QGO75" s="497"/>
      <c r="QGP75" s="497"/>
      <c r="QGQ75" s="497"/>
      <c r="QGR75" s="497"/>
      <c r="QGS75" s="497"/>
      <c r="QGT75" s="497"/>
      <c r="QGU75" s="497"/>
      <c r="QGV75" s="497"/>
      <c r="QGW75" s="497"/>
      <c r="QGX75" s="497"/>
      <c r="QGY75" s="497"/>
      <c r="QGZ75" s="497"/>
      <c r="QHA75" s="497"/>
      <c r="QHB75" s="497"/>
      <c r="QHC75" s="497"/>
      <c r="QHD75" s="497"/>
      <c r="QHE75" s="497"/>
      <c r="QHF75" s="497"/>
      <c r="QHG75" s="497"/>
      <c r="QHH75" s="497"/>
      <c r="QHI75" s="497"/>
      <c r="QHJ75" s="497"/>
      <c r="QHK75" s="497"/>
      <c r="QHL75" s="497"/>
      <c r="QHM75" s="497"/>
      <c r="QHN75" s="497"/>
      <c r="QHO75" s="497"/>
      <c r="QHP75" s="497"/>
      <c r="QHQ75" s="497"/>
      <c r="QHR75" s="497"/>
      <c r="QHS75" s="497"/>
      <c r="QHT75" s="497"/>
      <c r="QHU75" s="497"/>
      <c r="QHV75" s="497"/>
      <c r="QHW75" s="497"/>
      <c r="QHX75" s="497"/>
      <c r="QHY75" s="497"/>
      <c r="QHZ75" s="497"/>
      <c r="QIA75" s="497"/>
      <c r="QIB75" s="497"/>
      <c r="QIC75" s="497"/>
      <c r="QID75" s="497"/>
      <c r="QIE75" s="497"/>
      <c r="QIF75" s="497"/>
      <c r="QIG75" s="497"/>
      <c r="QIH75" s="497"/>
      <c r="QII75" s="497"/>
      <c r="QIJ75" s="497"/>
      <c r="QIK75" s="497"/>
      <c r="QIL75" s="497"/>
      <c r="QIM75" s="497"/>
      <c r="QIN75" s="497"/>
      <c r="QIO75" s="497"/>
      <c r="QIP75" s="497"/>
      <c r="QIQ75" s="497"/>
      <c r="QIR75" s="497"/>
      <c r="QIS75" s="497"/>
      <c r="QIT75" s="497"/>
      <c r="QIU75" s="497"/>
      <c r="QIV75" s="497"/>
      <c r="QIW75" s="497"/>
      <c r="QIX75" s="497"/>
      <c r="QIY75" s="497"/>
      <c r="QIZ75" s="497"/>
      <c r="QJA75" s="497"/>
      <c r="QJB75" s="497"/>
      <c r="QJC75" s="497"/>
      <c r="QJD75" s="497"/>
      <c r="QJE75" s="497"/>
      <c r="QJF75" s="497"/>
      <c r="QJG75" s="497"/>
      <c r="QJH75" s="497"/>
      <c r="QJI75" s="497"/>
      <c r="QJJ75" s="497"/>
      <c r="QJK75" s="497"/>
      <c r="QJL75" s="497"/>
      <c r="QJM75" s="497"/>
      <c r="QJN75" s="497"/>
      <c r="QJO75" s="497"/>
      <c r="QJP75" s="497"/>
      <c r="QJQ75" s="497"/>
      <c r="QJR75" s="497"/>
      <c r="QJS75" s="497"/>
      <c r="QJT75" s="497"/>
      <c r="QJU75" s="497"/>
      <c r="QJV75" s="497"/>
      <c r="QJW75" s="497"/>
      <c r="QJX75" s="497"/>
      <c r="QJY75" s="497"/>
      <c r="QJZ75" s="497"/>
      <c r="QKA75" s="497"/>
      <c r="QKB75" s="497"/>
      <c r="QKC75" s="497"/>
      <c r="QKD75" s="497"/>
      <c r="QKE75" s="497"/>
      <c r="QKF75" s="497"/>
      <c r="QKG75" s="497"/>
      <c r="QKH75" s="497"/>
      <c r="QKI75" s="497"/>
      <c r="QKJ75" s="497"/>
      <c r="QKK75" s="497"/>
      <c r="QKL75" s="497"/>
      <c r="QKM75" s="497"/>
      <c r="QKN75" s="497"/>
      <c r="QKO75" s="497"/>
      <c r="QKP75" s="497"/>
      <c r="QKQ75" s="497"/>
      <c r="QKR75" s="497"/>
      <c r="QKS75" s="497"/>
      <c r="QKT75" s="497"/>
      <c r="QKU75" s="497"/>
      <c r="QKV75" s="497"/>
      <c r="QKW75" s="497"/>
      <c r="QKX75" s="497"/>
      <c r="QKY75" s="497"/>
      <c r="QKZ75" s="497"/>
      <c r="QLA75" s="497"/>
      <c r="QLB75" s="497"/>
      <c r="QLC75" s="497"/>
      <c r="QLD75" s="497"/>
      <c r="QLE75" s="497"/>
      <c r="QLF75" s="497"/>
      <c r="QLG75" s="497"/>
      <c r="QLH75" s="497"/>
      <c r="QLI75" s="497"/>
      <c r="QLJ75" s="497"/>
      <c r="QLK75" s="497"/>
      <c r="QLL75" s="497"/>
      <c r="QLM75" s="497"/>
      <c r="QLN75" s="497"/>
      <c r="QLO75" s="497"/>
      <c r="QLP75" s="497"/>
      <c r="QLQ75" s="497"/>
      <c r="QLR75" s="497"/>
      <c r="QLS75" s="497"/>
      <c r="QLT75" s="497"/>
      <c r="QLU75" s="497"/>
      <c r="QLV75" s="497"/>
      <c r="QLW75" s="497"/>
      <c r="QLX75" s="497"/>
      <c r="QLY75" s="497"/>
      <c r="QLZ75" s="497"/>
      <c r="QMA75" s="497"/>
      <c r="QMB75" s="497"/>
      <c r="QMC75" s="497"/>
      <c r="QMD75" s="497"/>
      <c r="QME75" s="497"/>
      <c r="QMF75" s="497"/>
      <c r="QMG75" s="497"/>
      <c r="QMH75" s="497"/>
      <c r="QMI75" s="497"/>
      <c r="QMJ75" s="497"/>
      <c r="QMK75" s="497"/>
      <c r="QML75" s="497"/>
      <c r="QMM75" s="497"/>
      <c r="QMN75" s="497"/>
      <c r="QMO75" s="497"/>
      <c r="QMP75" s="497"/>
      <c r="QMQ75" s="497"/>
      <c r="QMR75" s="497"/>
      <c r="QMS75" s="497"/>
      <c r="QMT75" s="497"/>
      <c r="QMU75" s="497"/>
      <c r="QMV75" s="497"/>
      <c r="QMW75" s="497"/>
      <c r="QMX75" s="497"/>
      <c r="QMY75" s="497"/>
      <c r="QMZ75" s="497"/>
      <c r="QNA75" s="497"/>
      <c r="QNB75" s="497"/>
      <c r="QNC75" s="497"/>
      <c r="QND75" s="497"/>
      <c r="QNE75" s="497"/>
      <c r="QNF75" s="497"/>
      <c r="QNG75" s="497"/>
      <c r="QNH75" s="497"/>
      <c r="QNI75" s="497"/>
      <c r="QNJ75" s="497"/>
      <c r="QNK75" s="497"/>
      <c r="QNL75" s="497"/>
      <c r="QNM75" s="497"/>
      <c r="QNN75" s="497"/>
      <c r="QNO75" s="497"/>
      <c r="QNP75" s="497"/>
      <c r="QNQ75" s="497"/>
      <c r="QNR75" s="497"/>
      <c r="QNS75" s="497"/>
      <c r="QNT75" s="497"/>
      <c r="QNU75" s="497"/>
      <c r="QNV75" s="497"/>
      <c r="QNW75" s="497"/>
      <c r="QNX75" s="497"/>
      <c r="QNY75" s="497"/>
      <c r="QNZ75" s="497"/>
      <c r="QOA75" s="497"/>
      <c r="QOB75" s="497"/>
      <c r="QOC75" s="497"/>
      <c r="QOD75" s="497"/>
      <c r="QOE75" s="497"/>
      <c r="QOF75" s="497"/>
      <c r="QOG75" s="497"/>
      <c r="QOH75" s="497"/>
      <c r="QOI75" s="497"/>
      <c r="QOJ75" s="497"/>
      <c r="QOK75" s="497"/>
      <c r="QOL75" s="497"/>
      <c r="QOM75" s="497"/>
      <c r="QON75" s="497"/>
      <c r="QOO75" s="497"/>
      <c r="QOP75" s="497"/>
      <c r="QOQ75" s="497"/>
      <c r="QOR75" s="497"/>
      <c r="QOS75" s="497"/>
      <c r="QOT75" s="497"/>
      <c r="QOU75" s="497"/>
      <c r="QOV75" s="497"/>
      <c r="QOW75" s="497"/>
      <c r="QOX75" s="497"/>
      <c r="QOY75" s="497"/>
      <c r="QOZ75" s="497"/>
      <c r="QPA75" s="497"/>
      <c r="QPB75" s="497"/>
      <c r="QPC75" s="497"/>
      <c r="QPD75" s="497"/>
      <c r="QPE75" s="497"/>
      <c r="QPF75" s="497"/>
      <c r="QPG75" s="497"/>
      <c r="QPH75" s="497"/>
      <c r="QPI75" s="497"/>
      <c r="QPJ75" s="497"/>
      <c r="QPK75" s="497"/>
      <c r="QPL75" s="497"/>
      <c r="QPM75" s="497"/>
      <c r="QPN75" s="497"/>
      <c r="QPO75" s="497"/>
      <c r="QPP75" s="497"/>
      <c r="QPQ75" s="497"/>
      <c r="QPR75" s="497"/>
      <c r="QPS75" s="497"/>
      <c r="QPT75" s="497"/>
      <c r="QPU75" s="497"/>
      <c r="QPV75" s="497"/>
      <c r="QPW75" s="497"/>
      <c r="QPX75" s="497"/>
      <c r="QPY75" s="497"/>
      <c r="QPZ75" s="497"/>
      <c r="QQA75" s="497"/>
      <c r="QQB75" s="497"/>
      <c r="QQC75" s="497"/>
      <c r="QQD75" s="497"/>
      <c r="QQE75" s="497"/>
      <c r="QQF75" s="497"/>
      <c r="QQG75" s="497"/>
      <c r="QQH75" s="497"/>
      <c r="QQI75" s="497"/>
      <c r="QQJ75" s="497"/>
      <c r="QQK75" s="497"/>
      <c r="QQL75" s="497"/>
      <c r="QQM75" s="497"/>
      <c r="QQN75" s="497"/>
      <c r="QQO75" s="497"/>
      <c r="QQP75" s="497"/>
      <c r="QQQ75" s="497"/>
      <c r="QQR75" s="497"/>
      <c r="QQS75" s="497"/>
      <c r="QQT75" s="497"/>
      <c r="QQU75" s="497"/>
      <c r="QQV75" s="497"/>
      <c r="QQW75" s="497"/>
      <c r="QQX75" s="497"/>
      <c r="QQY75" s="497"/>
      <c r="QQZ75" s="497"/>
      <c r="QRA75" s="497"/>
      <c r="QRB75" s="497"/>
      <c r="QRC75" s="497"/>
      <c r="QRD75" s="497"/>
      <c r="QRE75" s="497"/>
      <c r="QRF75" s="497"/>
      <c r="QRG75" s="497"/>
      <c r="QRH75" s="497"/>
      <c r="QRI75" s="497"/>
      <c r="QRJ75" s="497"/>
      <c r="QRK75" s="497"/>
      <c r="QRL75" s="497"/>
      <c r="QRM75" s="497"/>
      <c r="QRN75" s="497"/>
      <c r="QRO75" s="497"/>
      <c r="QRP75" s="497"/>
      <c r="QRQ75" s="497"/>
      <c r="QRR75" s="497"/>
      <c r="QRS75" s="497"/>
      <c r="QRT75" s="497"/>
      <c r="QRU75" s="497"/>
      <c r="QRV75" s="497"/>
      <c r="QRW75" s="497"/>
      <c r="QRX75" s="497"/>
      <c r="QRY75" s="497"/>
      <c r="QRZ75" s="497"/>
      <c r="QSA75" s="497"/>
      <c r="QSB75" s="497"/>
      <c r="QSC75" s="497"/>
      <c r="QSD75" s="497"/>
      <c r="QSE75" s="497"/>
      <c r="QSF75" s="497"/>
      <c r="QSG75" s="497"/>
      <c r="QSH75" s="497"/>
      <c r="QSI75" s="497"/>
      <c r="QSJ75" s="497"/>
      <c r="QSK75" s="497"/>
      <c r="QSL75" s="497"/>
      <c r="QSM75" s="497"/>
      <c r="QSN75" s="497"/>
      <c r="QSO75" s="497"/>
      <c r="QSP75" s="497"/>
      <c r="QSQ75" s="497"/>
      <c r="QSR75" s="497"/>
      <c r="QSS75" s="497"/>
      <c r="QST75" s="497"/>
      <c r="QSU75" s="497"/>
      <c r="QSV75" s="497"/>
      <c r="QSW75" s="497"/>
      <c r="QSX75" s="497"/>
      <c r="QSY75" s="497"/>
      <c r="QSZ75" s="497"/>
      <c r="QTA75" s="497"/>
      <c r="QTB75" s="497"/>
      <c r="QTC75" s="497"/>
      <c r="QTD75" s="497"/>
      <c r="QTE75" s="497"/>
      <c r="QTF75" s="497"/>
      <c r="QTG75" s="497"/>
      <c r="QTH75" s="497"/>
      <c r="QTI75" s="497"/>
      <c r="QTJ75" s="497"/>
      <c r="QTK75" s="497"/>
      <c r="QTL75" s="497"/>
      <c r="QTM75" s="497"/>
      <c r="QTN75" s="497"/>
      <c r="QTO75" s="497"/>
      <c r="QTP75" s="497"/>
      <c r="QTQ75" s="497"/>
      <c r="QTR75" s="497"/>
      <c r="QTS75" s="497"/>
      <c r="QTT75" s="497"/>
      <c r="QTU75" s="497"/>
      <c r="QTV75" s="497"/>
      <c r="QTW75" s="497"/>
      <c r="QTX75" s="497"/>
      <c r="QTY75" s="497"/>
      <c r="QTZ75" s="497"/>
      <c r="QUA75" s="497"/>
      <c r="QUB75" s="497"/>
      <c r="QUC75" s="497"/>
      <c r="QUD75" s="497"/>
      <c r="QUE75" s="497"/>
      <c r="QUF75" s="497"/>
      <c r="QUG75" s="497"/>
      <c r="QUH75" s="497"/>
      <c r="QUI75" s="497"/>
      <c r="QUJ75" s="497"/>
      <c r="QUK75" s="497"/>
      <c r="QUL75" s="497"/>
      <c r="QUM75" s="497"/>
      <c r="QUN75" s="497"/>
      <c r="QUO75" s="497"/>
      <c r="QUP75" s="497"/>
      <c r="QUQ75" s="497"/>
      <c r="QUR75" s="497"/>
      <c r="QUS75" s="497"/>
      <c r="QUT75" s="497"/>
      <c r="QUU75" s="497"/>
      <c r="QUV75" s="497"/>
      <c r="QUW75" s="497"/>
      <c r="QUX75" s="497"/>
      <c r="QUY75" s="497"/>
      <c r="QUZ75" s="497"/>
      <c r="QVA75" s="497"/>
      <c r="QVB75" s="497"/>
      <c r="QVC75" s="497"/>
      <c r="QVD75" s="497"/>
      <c r="QVE75" s="497"/>
      <c r="QVF75" s="497"/>
      <c r="QVG75" s="497"/>
      <c r="QVH75" s="497"/>
      <c r="QVI75" s="497"/>
      <c r="QVJ75" s="497"/>
      <c r="QVK75" s="497"/>
      <c r="QVL75" s="497"/>
      <c r="QVM75" s="497"/>
      <c r="QVN75" s="497"/>
      <c r="QVO75" s="497"/>
      <c r="QVP75" s="497"/>
      <c r="QVQ75" s="497"/>
      <c r="QVR75" s="497"/>
      <c r="QVS75" s="497"/>
      <c r="QVT75" s="497"/>
      <c r="QVU75" s="497"/>
      <c r="QVV75" s="497"/>
      <c r="QVW75" s="497"/>
      <c r="QVX75" s="497"/>
      <c r="QVY75" s="497"/>
      <c r="QVZ75" s="497"/>
      <c r="QWA75" s="497"/>
      <c r="QWB75" s="497"/>
      <c r="QWC75" s="497"/>
      <c r="QWD75" s="497"/>
      <c r="QWE75" s="497"/>
      <c r="QWF75" s="497"/>
      <c r="QWG75" s="497"/>
      <c r="QWH75" s="497"/>
      <c r="QWI75" s="497"/>
      <c r="QWJ75" s="497"/>
      <c r="QWK75" s="497"/>
      <c r="QWL75" s="497"/>
      <c r="QWM75" s="497"/>
      <c r="QWN75" s="497"/>
      <c r="QWO75" s="497"/>
      <c r="QWP75" s="497"/>
      <c r="QWQ75" s="497"/>
      <c r="QWR75" s="497"/>
      <c r="QWS75" s="497"/>
      <c r="QWT75" s="497"/>
      <c r="QWU75" s="497"/>
      <c r="QWV75" s="497"/>
      <c r="QWW75" s="497"/>
      <c r="QWX75" s="497"/>
      <c r="QWY75" s="497"/>
      <c r="QWZ75" s="497"/>
      <c r="QXA75" s="497"/>
      <c r="QXB75" s="497"/>
      <c r="QXC75" s="497"/>
      <c r="QXD75" s="497"/>
      <c r="QXE75" s="497"/>
      <c r="QXF75" s="497"/>
      <c r="QXG75" s="497"/>
      <c r="QXH75" s="497"/>
      <c r="QXI75" s="497"/>
      <c r="QXJ75" s="497"/>
      <c r="QXK75" s="497"/>
      <c r="QXL75" s="497"/>
      <c r="QXM75" s="497"/>
      <c r="QXN75" s="497"/>
      <c r="QXO75" s="497"/>
      <c r="QXP75" s="497"/>
      <c r="QXQ75" s="497"/>
      <c r="QXR75" s="497"/>
      <c r="QXS75" s="497"/>
      <c r="QXT75" s="497"/>
      <c r="QXU75" s="497"/>
      <c r="QXV75" s="497"/>
      <c r="QXW75" s="497"/>
      <c r="QXX75" s="497"/>
      <c r="QXY75" s="497"/>
      <c r="QXZ75" s="497"/>
      <c r="QYA75" s="497"/>
      <c r="QYB75" s="497"/>
      <c r="QYC75" s="497"/>
      <c r="QYD75" s="497"/>
      <c r="QYE75" s="497"/>
      <c r="QYF75" s="497"/>
      <c r="QYG75" s="497"/>
      <c r="QYH75" s="497"/>
      <c r="QYI75" s="497"/>
      <c r="QYJ75" s="497"/>
      <c r="QYK75" s="497"/>
      <c r="QYL75" s="497"/>
      <c r="QYM75" s="497"/>
      <c r="QYN75" s="497"/>
      <c r="QYO75" s="497"/>
      <c r="QYP75" s="497"/>
      <c r="QYQ75" s="497"/>
      <c r="QYR75" s="497"/>
      <c r="QYS75" s="497"/>
      <c r="QYT75" s="497"/>
      <c r="QYU75" s="497"/>
      <c r="QYV75" s="497"/>
      <c r="QYW75" s="497"/>
      <c r="QYX75" s="497"/>
      <c r="QYY75" s="497"/>
      <c r="QYZ75" s="497"/>
      <c r="QZA75" s="497"/>
      <c r="QZB75" s="497"/>
      <c r="QZC75" s="497"/>
      <c r="QZD75" s="497"/>
      <c r="QZE75" s="497"/>
      <c r="QZF75" s="497"/>
      <c r="QZG75" s="497"/>
      <c r="QZH75" s="497"/>
      <c r="QZI75" s="497"/>
      <c r="QZJ75" s="497"/>
      <c r="QZK75" s="497"/>
      <c r="QZL75" s="497"/>
      <c r="QZM75" s="497"/>
      <c r="QZN75" s="497"/>
      <c r="QZO75" s="497"/>
      <c r="QZP75" s="497"/>
      <c r="QZQ75" s="497"/>
      <c r="QZR75" s="497"/>
      <c r="QZS75" s="497"/>
      <c r="QZT75" s="497"/>
      <c r="QZU75" s="497"/>
      <c r="QZV75" s="497"/>
      <c r="QZW75" s="497"/>
      <c r="QZX75" s="497"/>
      <c r="QZY75" s="497"/>
      <c r="QZZ75" s="497"/>
      <c r="RAA75" s="497"/>
      <c r="RAB75" s="497"/>
      <c r="RAC75" s="497"/>
      <c r="RAD75" s="497"/>
      <c r="RAE75" s="497"/>
      <c r="RAF75" s="497"/>
      <c r="RAG75" s="497"/>
      <c r="RAH75" s="497"/>
      <c r="RAI75" s="497"/>
      <c r="RAJ75" s="497"/>
      <c r="RAK75" s="497"/>
      <c r="RAL75" s="497"/>
      <c r="RAM75" s="497"/>
      <c r="RAN75" s="497"/>
      <c r="RAO75" s="497"/>
      <c r="RAP75" s="497"/>
      <c r="RAQ75" s="497"/>
      <c r="RAR75" s="497"/>
      <c r="RAS75" s="497"/>
      <c r="RAT75" s="497"/>
      <c r="RAU75" s="497"/>
      <c r="RAV75" s="497"/>
      <c r="RAW75" s="497"/>
      <c r="RAX75" s="497"/>
      <c r="RAY75" s="497"/>
      <c r="RAZ75" s="497"/>
      <c r="RBA75" s="497"/>
      <c r="RBB75" s="497"/>
      <c r="RBC75" s="497"/>
      <c r="RBD75" s="497"/>
      <c r="RBE75" s="497"/>
      <c r="RBF75" s="497"/>
      <c r="RBG75" s="497"/>
      <c r="RBH75" s="497"/>
      <c r="RBI75" s="497"/>
      <c r="RBJ75" s="497"/>
      <c r="RBK75" s="497"/>
      <c r="RBL75" s="497"/>
      <c r="RBM75" s="497"/>
      <c r="RBN75" s="497"/>
      <c r="RBO75" s="497"/>
      <c r="RBP75" s="497"/>
      <c r="RBQ75" s="497"/>
      <c r="RBR75" s="497"/>
      <c r="RBS75" s="497"/>
      <c r="RBT75" s="497"/>
      <c r="RBU75" s="497"/>
      <c r="RBV75" s="497"/>
      <c r="RBW75" s="497"/>
      <c r="RBX75" s="497"/>
      <c r="RBY75" s="497"/>
      <c r="RBZ75" s="497"/>
      <c r="RCA75" s="497"/>
      <c r="RCB75" s="497"/>
      <c r="RCC75" s="497"/>
      <c r="RCD75" s="497"/>
      <c r="RCE75" s="497"/>
      <c r="RCF75" s="497"/>
      <c r="RCG75" s="497"/>
      <c r="RCH75" s="497"/>
      <c r="RCI75" s="497"/>
      <c r="RCJ75" s="497"/>
      <c r="RCK75" s="497"/>
      <c r="RCL75" s="497"/>
      <c r="RCM75" s="497"/>
      <c r="RCN75" s="497"/>
      <c r="RCO75" s="497"/>
      <c r="RCP75" s="497"/>
      <c r="RCQ75" s="497"/>
      <c r="RCR75" s="497"/>
      <c r="RCS75" s="497"/>
      <c r="RCT75" s="497"/>
      <c r="RCU75" s="497"/>
      <c r="RCV75" s="497"/>
      <c r="RCW75" s="497"/>
      <c r="RCX75" s="497"/>
      <c r="RCY75" s="497"/>
      <c r="RCZ75" s="497"/>
      <c r="RDA75" s="497"/>
      <c r="RDB75" s="497"/>
      <c r="RDC75" s="497"/>
      <c r="RDD75" s="497"/>
      <c r="RDE75" s="497"/>
      <c r="RDF75" s="497"/>
      <c r="RDG75" s="497"/>
      <c r="RDH75" s="497"/>
      <c r="RDI75" s="497"/>
      <c r="RDJ75" s="497"/>
      <c r="RDK75" s="497"/>
      <c r="RDL75" s="497"/>
      <c r="RDM75" s="497"/>
      <c r="RDN75" s="497"/>
      <c r="RDO75" s="497"/>
      <c r="RDP75" s="497"/>
      <c r="RDQ75" s="497"/>
      <c r="RDR75" s="497"/>
      <c r="RDS75" s="497"/>
      <c r="RDT75" s="497"/>
      <c r="RDU75" s="497"/>
      <c r="RDV75" s="497"/>
      <c r="RDW75" s="497"/>
      <c r="RDX75" s="497"/>
      <c r="RDY75" s="497"/>
      <c r="RDZ75" s="497"/>
      <c r="REA75" s="497"/>
      <c r="REB75" s="497"/>
      <c r="REC75" s="497"/>
      <c r="RED75" s="497"/>
      <c r="REE75" s="497"/>
      <c r="REF75" s="497"/>
      <c r="REG75" s="497"/>
      <c r="REH75" s="497"/>
      <c r="REI75" s="497"/>
      <c r="REJ75" s="497"/>
      <c r="REK75" s="497"/>
      <c r="REL75" s="497"/>
      <c r="REM75" s="497"/>
      <c r="REN75" s="497"/>
      <c r="REO75" s="497"/>
      <c r="REP75" s="497"/>
      <c r="REQ75" s="497"/>
      <c r="RER75" s="497"/>
      <c r="RES75" s="497"/>
      <c r="RET75" s="497"/>
      <c r="REU75" s="497"/>
      <c r="REV75" s="497"/>
      <c r="REW75" s="497"/>
      <c r="REX75" s="497"/>
      <c r="REY75" s="497"/>
      <c r="REZ75" s="497"/>
      <c r="RFA75" s="497"/>
      <c r="RFB75" s="497"/>
      <c r="RFC75" s="497"/>
      <c r="RFD75" s="497"/>
      <c r="RFE75" s="497"/>
      <c r="RFF75" s="497"/>
      <c r="RFG75" s="497"/>
      <c r="RFH75" s="497"/>
      <c r="RFI75" s="497"/>
      <c r="RFJ75" s="497"/>
      <c r="RFK75" s="497"/>
      <c r="RFL75" s="497"/>
      <c r="RFM75" s="497"/>
      <c r="RFN75" s="497"/>
      <c r="RFO75" s="497"/>
      <c r="RFP75" s="497"/>
      <c r="RFQ75" s="497"/>
      <c r="RFR75" s="497"/>
      <c r="RFS75" s="497"/>
      <c r="RFT75" s="497"/>
      <c r="RFU75" s="497"/>
      <c r="RFV75" s="497"/>
      <c r="RFW75" s="497"/>
      <c r="RFX75" s="497"/>
      <c r="RFY75" s="497"/>
      <c r="RFZ75" s="497"/>
      <c r="RGA75" s="497"/>
      <c r="RGB75" s="497"/>
      <c r="RGC75" s="497"/>
      <c r="RGD75" s="497"/>
      <c r="RGE75" s="497"/>
      <c r="RGF75" s="497"/>
      <c r="RGG75" s="497"/>
      <c r="RGH75" s="497"/>
      <c r="RGI75" s="497"/>
      <c r="RGJ75" s="497"/>
      <c r="RGK75" s="497"/>
      <c r="RGL75" s="497"/>
      <c r="RGM75" s="497"/>
      <c r="RGN75" s="497"/>
      <c r="RGO75" s="497"/>
      <c r="RGP75" s="497"/>
      <c r="RGQ75" s="497"/>
      <c r="RGR75" s="497"/>
      <c r="RGS75" s="497"/>
      <c r="RGT75" s="497"/>
      <c r="RGU75" s="497"/>
      <c r="RGV75" s="497"/>
      <c r="RGW75" s="497"/>
      <c r="RGX75" s="497"/>
      <c r="RGY75" s="497"/>
      <c r="RGZ75" s="497"/>
      <c r="RHA75" s="497"/>
      <c r="RHB75" s="497"/>
      <c r="RHC75" s="497"/>
      <c r="RHD75" s="497"/>
      <c r="RHE75" s="497"/>
      <c r="RHF75" s="497"/>
      <c r="RHG75" s="497"/>
      <c r="RHH75" s="497"/>
      <c r="RHI75" s="497"/>
      <c r="RHJ75" s="497"/>
      <c r="RHK75" s="497"/>
      <c r="RHL75" s="497"/>
      <c r="RHM75" s="497"/>
      <c r="RHN75" s="497"/>
      <c r="RHO75" s="497"/>
      <c r="RHP75" s="497"/>
      <c r="RHQ75" s="497"/>
      <c r="RHR75" s="497"/>
      <c r="RHS75" s="497"/>
      <c r="RHT75" s="497"/>
      <c r="RHU75" s="497"/>
      <c r="RHV75" s="497"/>
      <c r="RHW75" s="497"/>
      <c r="RHX75" s="497"/>
      <c r="RHY75" s="497"/>
      <c r="RHZ75" s="497"/>
      <c r="RIA75" s="497"/>
      <c r="RIB75" s="497"/>
      <c r="RIC75" s="497"/>
      <c r="RID75" s="497"/>
      <c r="RIE75" s="497"/>
      <c r="RIF75" s="497"/>
      <c r="RIG75" s="497"/>
      <c r="RIH75" s="497"/>
      <c r="RII75" s="497"/>
      <c r="RIJ75" s="497"/>
      <c r="RIK75" s="497"/>
      <c r="RIL75" s="497"/>
      <c r="RIM75" s="497"/>
      <c r="RIN75" s="497"/>
      <c r="RIO75" s="497"/>
      <c r="RIP75" s="497"/>
      <c r="RIQ75" s="497"/>
      <c r="RIR75" s="497"/>
      <c r="RIS75" s="497"/>
      <c r="RIT75" s="497"/>
      <c r="RIU75" s="497"/>
      <c r="RIV75" s="497"/>
      <c r="RIW75" s="497"/>
      <c r="RIX75" s="497"/>
      <c r="RIY75" s="497"/>
      <c r="RIZ75" s="497"/>
      <c r="RJA75" s="497"/>
      <c r="RJB75" s="497"/>
      <c r="RJC75" s="497"/>
      <c r="RJD75" s="497"/>
      <c r="RJE75" s="497"/>
      <c r="RJF75" s="497"/>
      <c r="RJG75" s="497"/>
      <c r="RJH75" s="497"/>
      <c r="RJI75" s="497"/>
      <c r="RJJ75" s="497"/>
      <c r="RJK75" s="497"/>
      <c r="RJL75" s="497"/>
      <c r="RJM75" s="497"/>
      <c r="RJN75" s="497"/>
      <c r="RJO75" s="497"/>
      <c r="RJP75" s="497"/>
      <c r="RJQ75" s="497"/>
      <c r="RJR75" s="497"/>
      <c r="RJS75" s="497"/>
      <c r="RJT75" s="497"/>
      <c r="RJU75" s="497"/>
      <c r="RJV75" s="497"/>
      <c r="RJW75" s="497"/>
      <c r="RJX75" s="497"/>
      <c r="RJY75" s="497"/>
      <c r="RJZ75" s="497"/>
      <c r="RKA75" s="497"/>
      <c r="RKB75" s="497"/>
      <c r="RKC75" s="497"/>
      <c r="RKD75" s="497"/>
      <c r="RKE75" s="497"/>
      <c r="RKF75" s="497"/>
      <c r="RKG75" s="497"/>
      <c r="RKH75" s="497"/>
      <c r="RKI75" s="497"/>
      <c r="RKJ75" s="497"/>
      <c r="RKK75" s="497"/>
      <c r="RKL75" s="497"/>
      <c r="RKM75" s="497"/>
      <c r="RKN75" s="497"/>
      <c r="RKO75" s="497"/>
      <c r="RKP75" s="497"/>
      <c r="RKQ75" s="497"/>
      <c r="RKR75" s="497"/>
      <c r="RKS75" s="497"/>
      <c r="RKT75" s="497"/>
      <c r="RKU75" s="497"/>
      <c r="RKV75" s="497"/>
      <c r="RKW75" s="497"/>
      <c r="RKX75" s="497"/>
      <c r="RKY75" s="497"/>
      <c r="RKZ75" s="497"/>
      <c r="RLA75" s="497"/>
      <c r="RLB75" s="497"/>
      <c r="RLC75" s="497"/>
      <c r="RLD75" s="497"/>
      <c r="RLE75" s="497"/>
      <c r="RLF75" s="497"/>
      <c r="RLG75" s="497"/>
      <c r="RLH75" s="497"/>
      <c r="RLI75" s="497"/>
      <c r="RLJ75" s="497"/>
      <c r="RLK75" s="497"/>
      <c r="RLL75" s="497"/>
      <c r="RLM75" s="497"/>
      <c r="RLN75" s="497"/>
      <c r="RLO75" s="497"/>
      <c r="RLP75" s="497"/>
      <c r="RLQ75" s="497"/>
      <c r="RLR75" s="497"/>
      <c r="RLS75" s="497"/>
      <c r="RLT75" s="497"/>
      <c r="RLU75" s="497"/>
      <c r="RLV75" s="497"/>
      <c r="RLW75" s="497"/>
      <c r="RLX75" s="497"/>
      <c r="RLY75" s="497"/>
      <c r="RLZ75" s="497"/>
      <c r="RMA75" s="497"/>
      <c r="RMB75" s="497"/>
      <c r="RMC75" s="497"/>
      <c r="RMD75" s="497"/>
      <c r="RME75" s="497"/>
      <c r="RMF75" s="497"/>
      <c r="RMG75" s="497"/>
      <c r="RMH75" s="497"/>
      <c r="RMI75" s="497"/>
      <c r="RMJ75" s="497"/>
      <c r="RMK75" s="497"/>
      <c r="RML75" s="497"/>
      <c r="RMM75" s="497"/>
      <c r="RMN75" s="497"/>
      <c r="RMO75" s="497"/>
      <c r="RMP75" s="497"/>
      <c r="RMQ75" s="497"/>
      <c r="RMR75" s="497"/>
      <c r="RMS75" s="497"/>
      <c r="RMT75" s="497"/>
      <c r="RMU75" s="497"/>
      <c r="RMV75" s="497"/>
      <c r="RMW75" s="497"/>
      <c r="RMX75" s="497"/>
      <c r="RMY75" s="497"/>
      <c r="RMZ75" s="497"/>
      <c r="RNA75" s="497"/>
      <c r="RNB75" s="497"/>
      <c r="RNC75" s="497"/>
      <c r="RND75" s="497"/>
      <c r="RNE75" s="497"/>
      <c r="RNF75" s="497"/>
      <c r="RNG75" s="497"/>
      <c r="RNH75" s="497"/>
      <c r="RNI75" s="497"/>
      <c r="RNJ75" s="497"/>
      <c r="RNK75" s="497"/>
      <c r="RNL75" s="497"/>
      <c r="RNM75" s="497"/>
      <c r="RNN75" s="497"/>
      <c r="RNO75" s="497"/>
      <c r="RNP75" s="497"/>
      <c r="RNQ75" s="497"/>
      <c r="RNR75" s="497"/>
      <c r="RNS75" s="497"/>
      <c r="RNT75" s="497"/>
      <c r="RNU75" s="497"/>
      <c r="RNV75" s="497"/>
      <c r="RNW75" s="497"/>
      <c r="RNX75" s="497"/>
      <c r="RNY75" s="497"/>
      <c r="RNZ75" s="497"/>
      <c r="ROA75" s="497"/>
      <c r="ROB75" s="497"/>
      <c r="ROC75" s="497"/>
      <c r="ROD75" s="497"/>
      <c r="ROE75" s="497"/>
      <c r="ROF75" s="497"/>
      <c r="ROG75" s="497"/>
      <c r="ROH75" s="497"/>
      <c r="ROI75" s="497"/>
      <c r="ROJ75" s="497"/>
      <c r="ROK75" s="497"/>
      <c r="ROL75" s="497"/>
      <c r="ROM75" s="497"/>
      <c r="RON75" s="497"/>
      <c r="ROO75" s="497"/>
      <c r="ROP75" s="497"/>
      <c r="ROQ75" s="497"/>
      <c r="ROR75" s="497"/>
      <c r="ROS75" s="497"/>
      <c r="ROT75" s="497"/>
      <c r="ROU75" s="497"/>
      <c r="ROV75" s="497"/>
      <c r="ROW75" s="497"/>
      <c r="ROX75" s="497"/>
      <c r="ROY75" s="497"/>
      <c r="ROZ75" s="497"/>
      <c r="RPA75" s="497"/>
      <c r="RPB75" s="497"/>
      <c r="RPC75" s="497"/>
      <c r="RPD75" s="497"/>
      <c r="RPE75" s="497"/>
      <c r="RPF75" s="497"/>
      <c r="RPG75" s="497"/>
      <c r="RPH75" s="497"/>
      <c r="RPI75" s="497"/>
      <c r="RPJ75" s="497"/>
      <c r="RPK75" s="497"/>
      <c r="RPL75" s="497"/>
      <c r="RPM75" s="497"/>
      <c r="RPN75" s="497"/>
      <c r="RPO75" s="497"/>
      <c r="RPP75" s="497"/>
      <c r="RPQ75" s="497"/>
      <c r="RPR75" s="497"/>
      <c r="RPS75" s="497"/>
      <c r="RPT75" s="497"/>
      <c r="RPU75" s="497"/>
      <c r="RPV75" s="497"/>
      <c r="RPW75" s="497"/>
      <c r="RPX75" s="497"/>
      <c r="RPY75" s="497"/>
      <c r="RPZ75" s="497"/>
      <c r="RQA75" s="497"/>
      <c r="RQB75" s="497"/>
      <c r="RQC75" s="497"/>
      <c r="RQD75" s="497"/>
      <c r="RQE75" s="497"/>
      <c r="RQF75" s="497"/>
      <c r="RQG75" s="497"/>
      <c r="RQH75" s="497"/>
      <c r="RQI75" s="497"/>
      <c r="RQJ75" s="497"/>
      <c r="RQK75" s="497"/>
      <c r="RQL75" s="497"/>
      <c r="RQM75" s="497"/>
      <c r="RQN75" s="497"/>
      <c r="RQO75" s="497"/>
      <c r="RQP75" s="497"/>
      <c r="RQQ75" s="497"/>
      <c r="RQR75" s="497"/>
      <c r="RQS75" s="497"/>
      <c r="RQT75" s="497"/>
      <c r="RQU75" s="497"/>
      <c r="RQV75" s="497"/>
      <c r="RQW75" s="497"/>
      <c r="RQX75" s="497"/>
      <c r="RQY75" s="497"/>
      <c r="RQZ75" s="497"/>
      <c r="RRA75" s="497"/>
      <c r="RRB75" s="497"/>
      <c r="RRC75" s="497"/>
      <c r="RRD75" s="497"/>
      <c r="RRE75" s="497"/>
      <c r="RRF75" s="497"/>
      <c r="RRG75" s="497"/>
      <c r="RRH75" s="497"/>
      <c r="RRI75" s="497"/>
      <c r="RRJ75" s="497"/>
      <c r="RRK75" s="497"/>
      <c r="RRL75" s="497"/>
      <c r="RRM75" s="497"/>
      <c r="RRN75" s="497"/>
      <c r="RRO75" s="497"/>
      <c r="RRP75" s="497"/>
      <c r="RRQ75" s="497"/>
      <c r="RRR75" s="497"/>
      <c r="RRS75" s="497"/>
      <c r="RRT75" s="497"/>
      <c r="RRU75" s="497"/>
      <c r="RRV75" s="497"/>
      <c r="RRW75" s="497"/>
      <c r="RRX75" s="497"/>
      <c r="RRY75" s="497"/>
      <c r="RRZ75" s="497"/>
      <c r="RSA75" s="497"/>
      <c r="RSB75" s="497"/>
      <c r="RSC75" s="497"/>
      <c r="RSD75" s="497"/>
      <c r="RSE75" s="497"/>
      <c r="RSF75" s="497"/>
      <c r="RSG75" s="497"/>
      <c r="RSH75" s="497"/>
      <c r="RSI75" s="497"/>
      <c r="RSJ75" s="497"/>
      <c r="RSK75" s="497"/>
      <c r="RSL75" s="497"/>
      <c r="RSM75" s="497"/>
      <c r="RSN75" s="497"/>
      <c r="RSO75" s="497"/>
      <c r="RSP75" s="497"/>
      <c r="RSQ75" s="497"/>
      <c r="RSR75" s="497"/>
      <c r="RSS75" s="497"/>
      <c r="RST75" s="497"/>
      <c r="RSU75" s="497"/>
      <c r="RSV75" s="497"/>
      <c r="RSW75" s="497"/>
      <c r="RSX75" s="497"/>
      <c r="RSY75" s="497"/>
      <c r="RSZ75" s="497"/>
      <c r="RTA75" s="497"/>
      <c r="RTB75" s="497"/>
      <c r="RTC75" s="497"/>
      <c r="RTD75" s="497"/>
      <c r="RTE75" s="497"/>
      <c r="RTF75" s="497"/>
      <c r="RTG75" s="497"/>
      <c r="RTH75" s="497"/>
      <c r="RTI75" s="497"/>
      <c r="RTJ75" s="497"/>
      <c r="RTK75" s="497"/>
      <c r="RTL75" s="497"/>
      <c r="RTM75" s="497"/>
      <c r="RTN75" s="497"/>
      <c r="RTO75" s="497"/>
      <c r="RTP75" s="497"/>
      <c r="RTQ75" s="497"/>
      <c r="RTR75" s="497"/>
      <c r="RTS75" s="497"/>
      <c r="RTT75" s="497"/>
      <c r="RTU75" s="497"/>
      <c r="RTV75" s="497"/>
      <c r="RTW75" s="497"/>
      <c r="RTX75" s="497"/>
      <c r="RTY75" s="497"/>
      <c r="RTZ75" s="497"/>
      <c r="RUA75" s="497"/>
      <c r="RUB75" s="497"/>
      <c r="RUC75" s="497"/>
      <c r="RUD75" s="497"/>
      <c r="RUE75" s="497"/>
      <c r="RUF75" s="497"/>
      <c r="RUG75" s="497"/>
      <c r="RUH75" s="497"/>
      <c r="RUI75" s="497"/>
      <c r="RUJ75" s="497"/>
      <c r="RUK75" s="497"/>
      <c r="RUL75" s="497"/>
      <c r="RUM75" s="497"/>
      <c r="RUN75" s="497"/>
      <c r="RUO75" s="497"/>
      <c r="RUP75" s="497"/>
      <c r="RUQ75" s="497"/>
      <c r="RUR75" s="497"/>
      <c r="RUS75" s="497"/>
      <c r="RUT75" s="497"/>
      <c r="RUU75" s="497"/>
      <c r="RUV75" s="497"/>
      <c r="RUW75" s="497"/>
      <c r="RUX75" s="497"/>
      <c r="RUY75" s="497"/>
      <c r="RUZ75" s="497"/>
      <c r="RVA75" s="497"/>
      <c r="RVB75" s="497"/>
      <c r="RVC75" s="497"/>
      <c r="RVD75" s="497"/>
      <c r="RVE75" s="497"/>
      <c r="RVF75" s="497"/>
      <c r="RVG75" s="497"/>
      <c r="RVH75" s="497"/>
      <c r="RVI75" s="497"/>
      <c r="RVJ75" s="497"/>
      <c r="RVK75" s="497"/>
      <c r="RVL75" s="497"/>
      <c r="RVM75" s="497"/>
      <c r="RVN75" s="497"/>
      <c r="RVO75" s="497"/>
      <c r="RVP75" s="497"/>
      <c r="RVQ75" s="497"/>
      <c r="RVR75" s="497"/>
      <c r="RVS75" s="497"/>
      <c r="RVT75" s="497"/>
      <c r="RVU75" s="497"/>
      <c r="RVV75" s="497"/>
      <c r="RVW75" s="497"/>
      <c r="RVX75" s="497"/>
      <c r="RVY75" s="497"/>
      <c r="RVZ75" s="497"/>
      <c r="RWA75" s="497"/>
      <c r="RWB75" s="497"/>
      <c r="RWC75" s="497"/>
      <c r="RWD75" s="497"/>
      <c r="RWE75" s="497"/>
      <c r="RWF75" s="497"/>
      <c r="RWG75" s="497"/>
      <c r="RWH75" s="497"/>
      <c r="RWI75" s="497"/>
      <c r="RWJ75" s="497"/>
      <c r="RWK75" s="497"/>
      <c r="RWL75" s="497"/>
      <c r="RWM75" s="497"/>
      <c r="RWN75" s="497"/>
      <c r="RWO75" s="497"/>
      <c r="RWP75" s="497"/>
      <c r="RWQ75" s="497"/>
      <c r="RWR75" s="497"/>
      <c r="RWS75" s="497"/>
      <c r="RWT75" s="497"/>
      <c r="RWU75" s="497"/>
      <c r="RWV75" s="497"/>
      <c r="RWW75" s="497"/>
      <c r="RWX75" s="497"/>
      <c r="RWY75" s="497"/>
      <c r="RWZ75" s="497"/>
      <c r="RXA75" s="497"/>
      <c r="RXB75" s="497"/>
      <c r="RXC75" s="497"/>
      <c r="RXD75" s="497"/>
      <c r="RXE75" s="497"/>
      <c r="RXF75" s="497"/>
      <c r="RXG75" s="497"/>
      <c r="RXH75" s="497"/>
      <c r="RXI75" s="497"/>
      <c r="RXJ75" s="497"/>
      <c r="RXK75" s="497"/>
      <c r="RXL75" s="497"/>
      <c r="RXM75" s="497"/>
      <c r="RXN75" s="497"/>
      <c r="RXO75" s="497"/>
      <c r="RXP75" s="497"/>
      <c r="RXQ75" s="497"/>
      <c r="RXR75" s="497"/>
      <c r="RXS75" s="497"/>
      <c r="RXT75" s="497"/>
      <c r="RXU75" s="497"/>
      <c r="RXV75" s="497"/>
      <c r="RXW75" s="497"/>
      <c r="RXX75" s="497"/>
      <c r="RXY75" s="497"/>
      <c r="RXZ75" s="497"/>
      <c r="RYA75" s="497"/>
      <c r="RYB75" s="497"/>
      <c r="RYC75" s="497"/>
      <c r="RYD75" s="497"/>
      <c r="RYE75" s="497"/>
      <c r="RYF75" s="497"/>
      <c r="RYG75" s="497"/>
      <c r="RYH75" s="497"/>
      <c r="RYI75" s="497"/>
      <c r="RYJ75" s="497"/>
      <c r="RYK75" s="497"/>
      <c r="RYL75" s="497"/>
      <c r="RYM75" s="497"/>
      <c r="RYN75" s="497"/>
      <c r="RYO75" s="497"/>
      <c r="RYP75" s="497"/>
      <c r="RYQ75" s="497"/>
      <c r="RYR75" s="497"/>
      <c r="RYS75" s="497"/>
      <c r="RYT75" s="497"/>
      <c r="RYU75" s="497"/>
      <c r="RYV75" s="497"/>
      <c r="RYW75" s="497"/>
      <c r="RYX75" s="497"/>
      <c r="RYY75" s="497"/>
      <c r="RYZ75" s="497"/>
      <c r="RZA75" s="497"/>
      <c r="RZB75" s="497"/>
      <c r="RZC75" s="497"/>
      <c r="RZD75" s="497"/>
      <c r="RZE75" s="497"/>
      <c r="RZF75" s="497"/>
      <c r="RZG75" s="497"/>
      <c r="RZH75" s="497"/>
      <c r="RZI75" s="497"/>
      <c r="RZJ75" s="497"/>
      <c r="RZK75" s="497"/>
      <c r="RZL75" s="497"/>
      <c r="RZM75" s="497"/>
      <c r="RZN75" s="497"/>
      <c r="RZO75" s="497"/>
      <c r="RZP75" s="497"/>
      <c r="RZQ75" s="497"/>
      <c r="RZR75" s="497"/>
      <c r="RZS75" s="497"/>
      <c r="RZT75" s="497"/>
      <c r="RZU75" s="497"/>
      <c r="RZV75" s="497"/>
      <c r="RZW75" s="497"/>
      <c r="RZX75" s="497"/>
      <c r="RZY75" s="497"/>
      <c r="RZZ75" s="497"/>
      <c r="SAA75" s="497"/>
      <c r="SAB75" s="497"/>
      <c r="SAC75" s="497"/>
      <c r="SAD75" s="497"/>
      <c r="SAE75" s="497"/>
      <c r="SAF75" s="497"/>
      <c r="SAG75" s="497"/>
      <c r="SAH75" s="497"/>
      <c r="SAI75" s="497"/>
      <c r="SAJ75" s="497"/>
      <c r="SAK75" s="497"/>
      <c r="SAL75" s="497"/>
      <c r="SAM75" s="497"/>
      <c r="SAN75" s="497"/>
      <c r="SAO75" s="497"/>
      <c r="SAP75" s="497"/>
      <c r="SAQ75" s="497"/>
      <c r="SAR75" s="497"/>
      <c r="SAS75" s="497"/>
      <c r="SAT75" s="497"/>
      <c r="SAU75" s="497"/>
      <c r="SAV75" s="497"/>
      <c r="SAW75" s="497"/>
      <c r="SAX75" s="497"/>
      <c r="SAY75" s="497"/>
      <c r="SAZ75" s="497"/>
      <c r="SBA75" s="497"/>
      <c r="SBB75" s="497"/>
      <c r="SBC75" s="497"/>
      <c r="SBD75" s="497"/>
      <c r="SBE75" s="497"/>
      <c r="SBF75" s="497"/>
      <c r="SBG75" s="497"/>
      <c r="SBH75" s="497"/>
      <c r="SBI75" s="497"/>
      <c r="SBJ75" s="497"/>
      <c r="SBK75" s="497"/>
      <c r="SBL75" s="497"/>
      <c r="SBM75" s="497"/>
      <c r="SBN75" s="497"/>
      <c r="SBO75" s="497"/>
      <c r="SBP75" s="497"/>
      <c r="SBQ75" s="497"/>
      <c r="SBR75" s="497"/>
      <c r="SBS75" s="497"/>
      <c r="SBT75" s="497"/>
      <c r="SBU75" s="497"/>
      <c r="SBV75" s="497"/>
      <c r="SBW75" s="497"/>
      <c r="SBX75" s="497"/>
      <c r="SBY75" s="497"/>
      <c r="SBZ75" s="497"/>
      <c r="SCA75" s="497"/>
      <c r="SCB75" s="497"/>
      <c r="SCC75" s="497"/>
      <c r="SCD75" s="497"/>
      <c r="SCE75" s="497"/>
      <c r="SCF75" s="497"/>
      <c r="SCG75" s="497"/>
      <c r="SCH75" s="497"/>
      <c r="SCI75" s="497"/>
      <c r="SCJ75" s="497"/>
      <c r="SCK75" s="497"/>
      <c r="SCL75" s="497"/>
      <c r="SCM75" s="497"/>
      <c r="SCN75" s="497"/>
      <c r="SCO75" s="497"/>
      <c r="SCP75" s="497"/>
      <c r="SCQ75" s="497"/>
      <c r="SCR75" s="497"/>
      <c r="SCS75" s="497"/>
      <c r="SCT75" s="497"/>
      <c r="SCU75" s="497"/>
      <c r="SCV75" s="497"/>
      <c r="SCW75" s="497"/>
      <c r="SCX75" s="497"/>
      <c r="SCY75" s="497"/>
      <c r="SCZ75" s="497"/>
      <c r="SDA75" s="497"/>
      <c r="SDB75" s="497"/>
      <c r="SDC75" s="497"/>
      <c r="SDD75" s="497"/>
      <c r="SDE75" s="497"/>
      <c r="SDF75" s="497"/>
      <c r="SDG75" s="497"/>
      <c r="SDH75" s="497"/>
      <c r="SDI75" s="497"/>
      <c r="SDJ75" s="497"/>
      <c r="SDK75" s="497"/>
      <c r="SDL75" s="497"/>
      <c r="SDM75" s="497"/>
      <c r="SDN75" s="497"/>
      <c r="SDO75" s="497"/>
      <c r="SDP75" s="497"/>
      <c r="SDQ75" s="497"/>
      <c r="SDR75" s="497"/>
      <c r="SDS75" s="497"/>
      <c r="SDT75" s="497"/>
      <c r="SDU75" s="497"/>
      <c r="SDV75" s="497"/>
      <c r="SDW75" s="497"/>
      <c r="SDX75" s="497"/>
      <c r="SDY75" s="497"/>
      <c r="SDZ75" s="497"/>
      <c r="SEA75" s="497"/>
      <c r="SEB75" s="497"/>
      <c r="SEC75" s="497"/>
      <c r="SED75" s="497"/>
      <c r="SEE75" s="497"/>
      <c r="SEF75" s="497"/>
      <c r="SEG75" s="497"/>
      <c r="SEH75" s="497"/>
      <c r="SEI75" s="497"/>
      <c r="SEJ75" s="497"/>
      <c r="SEK75" s="497"/>
      <c r="SEL75" s="497"/>
      <c r="SEM75" s="497"/>
      <c r="SEN75" s="497"/>
      <c r="SEO75" s="497"/>
      <c r="SEP75" s="497"/>
      <c r="SEQ75" s="497"/>
      <c r="SER75" s="497"/>
      <c r="SES75" s="497"/>
      <c r="SET75" s="497"/>
      <c r="SEU75" s="497"/>
      <c r="SEV75" s="497"/>
      <c r="SEW75" s="497"/>
      <c r="SEX75" s="497"/>
      <c r="SEY75" s="497"/>
      <c r="SEZ75" s="497"/>
      <c r="SFA75" s="497"/>
      <c r="SFB75" s="497"/>
      <c r="SFC75" s="497"/>
      <c r="SFD75" s="497"/>
      <c r="SFE75" s="497"/>
      <c r="SFF75" s="497"/>
      <c r="SFG75" s="497"/>
      <c r="SFH75" s="497"/>
      <c r="SFI75" s="497"/>
      <c r="SFJ75" s="497"/>
      <c r="SFK75" s="497"/>
      <c r="SFL75" s="497"/>
      <c r="SFM75" s="497"/>
      <c r="SFN75" s="497"/>
      <c r="SFO75" s="497"/>
      <c r="SFP75" s="497"/>
      <c r="SFQ75" s="497"/>
      <c r="SFR75" s="497"/>
      <c r="SFS75" s="497"/>
      <c r="SFT75" s="497"/>
      <c r="SFU75" s="497"/>
      <c r="SFV75" s="497"/>
      <c r="SFW75" s="497"/>
      <c r="SFX75" s="497"/>
      <c r="SFY75" s="497"/>
      <c r="SFZ75" s="497"/>
      <c r="SGA75" s="497"/>
      <c r="SGB75" s="497"/>
      <c r="SGC75" s="497"/>
      <c r="SGD75" s="497"/>
      <c r="SGE75" s="497"/>
      <c r="SGF75" s="497"/>
      <c r="SGG75" s="497"/>
      <c r="SGH75" s="497"/>
      <c r="SGI75" s="497"/>
      <c r="SGJ75" s="497"/>
      <c r="SGK75" s="497"/>
      <c r="SGL75" s="497"/>
      <c r="SGM75" s="497"/>
      <c r="SGN75" s="497"/>
      <c r="SGO75" s="497"/>
      <c r="SGP75" s="497"/>
      <c r="SGQ75" s="497"/>
      <c r="SGR75" s="497"/>
      <c r="SGS75" s="497"/>
      <c r="SGT75" s="497"/>
      <c r="SGU75" s="497"/>
      <c r="SGV75" s="497"/>
      <c r="SGW75" s="497"/>
      <c r="SGX75" s="497"/>
      <c r="SGY75" s="497"/>
      <c r="SGZ75" s="497"/>
      <c r="SHA75" s="497"/>
      <c r="SHB75" s="497"/>
      <c r="SHC75" s="497"/>
      <c r="SHD75" s="497"/>
      <c r="SHE75" s="497"/>
      <c r="SHF75" s="497"/>
      <c r="SHG75" s="497"/>
      <c r="SHH75" s="497"/>
      <c r="SHI75" s="497"/>
      <c r="SHJ75" s="497"/>
      <c r="SHK75" s="497"/>
      <c r="SHL75" s="497"/>
      <c r="SHM75" s="497"/>
      <c r="SHN75" s="497"/>
      <c r="SHO75" s="497"/>
      <c r="SHP75" s="497"/>
      <c r="SHQ75" s="497"/>
      <c r="SHR75" s="497"/>
      <c r="SHS75" s="497"/>
      <c r="SHT75" s="497"/>
      <c r="SHU75" s="497"/>
      <c r="SHV75" s="497"/>
      <c r="SHW75" s="497"/>
      <c r="SHX75" s="497"/>
      <c r="SHY75" s="497"/>
      <c r="SHZ75" s="497"/>
      <c r="SIA75" s="497"/>
      <c r="SIB75" s="497"/>
      <c r="SIC75" s="497"/>
      <c r="SID75" s="497"/>
      <c r="SIE75" s="497"/>
      <c r="SIF75" s="497"/>
      <c r="SIG75" s="497"/>
      <c r="SIH75" s="497"/>
      <c r="SII75" s="497"/>
      <c r="SIJ75" s="497"/>
      <c r="SIK75" s="497"/>
      <c r="SIL75" s="497"/>
      <c r="SIM75" s="497"/>
      <c r="SIN75" s="497"/>
      <c r="SIO75" s="497"/>
      <c r="SIP75" s="497"/>
      <c r="SIQ75" s="497"/>
      <c r="SIR75" s="497"/>
      <c r="SIS75" s="497"/>
      <c r="SIT75" s="497"/>
      <c r="SIU75" s="497"/>
      <c r="SIV75" s="497"/>
      <c r="SIW75" s="497"/>
      <c r="SIX75" s="497"/>
      <c r="SIY75" s="497"/>
      <c r="SIZ75" s="497"/>
      <c r="SJA75" s="497"/>
      <c r="SJB75" s="497"/>
      <c r="SJC75" s="497"/>
      <c r="SJD75" s="497"/>
      <c r="SJE75" s="497"/>
      <c r="SJF75" s="497"/>
      <c r="SJG75" s="497"/>
      <c r="SJH75" s="497"/>
      <c r="SJI75" s="497"/>
      <c r="SJJ75" s="497"/>
      <c r="SJK75" s="497"/>
      <c r="SJL75" s="497"/>
      <c r="SJM75" s="497"/>
      <c r="SJN75" s="497"/>
      <c r="SJO75" s="497"/>
      <c r="SJP75" s="497"/>
      <c r="SJQ75" s="497"/>
      <c r="SJR75" s="497"/>
      <c r="SJS75" s="497"/>
      <c r="SJT75" s="497"/>
      <c r="SJU75" s="497"/>
      <c r="SJV75" s="497"/>
      <c r="SJW75" s="497"/>
      <c r="SJX75" s="497"/>
      <c r="SJY75" s="497"/>
      <c r="SJZ75" s="497"/>
      <c r="SKA75" s="497"/>
      <c r="SKB75" s="497"/>
      <c r="SKC75" s="497"/>
      <c r="SKD75" s="497"/>
      <c r="SKE75" s="497"/>
      <c r="SKF75" s="497"/>
      <c r="SKG75" s="497"/>
      <c r="SKH75" s="497"/>
      <c r="SKI75" s="497"/>
      <c r="SKJ75" s="497"/>
      <c r="SKK75" s="497"/>
      <c r="SKL75" s="497"/>
      <c r="SKM75" s="497"/>
      <c r="SKN75" s="497"/>
      <c r="SKO75" s="497"/>
      <c r="SKP75" s="497"/>
      <c r="SKQ75" s="497"/>
      <c r="SKR75" s="497"/>
      <c r="SKS75" s="497"/>
      <c r="SKT75" s="497"/>
      <c r="SKU75" s="497"/>
      <c r="SKV75" s="497"/>
      <c r="SKW75" s="497"/>
      <c r="SKX75" s="497"/>
      <c r="SKY75" s="497"/>
      <c r="SKZ75" s="497"/>
      <c r="SLA75" s="497"/>
      <c r="SLB75" s="497"/>
      <c r="SLC75" s="497"/>
      <c r="SLD75" s="497"/>
      <c r="SLE75" s="497"/>
      <c r="SLF75" s="497"/>
      <c r="SLG75" s="497"/>
      <c r="SLH75" s="497"/>
      <c r="SLI75" s="497"/>
      <c r="SLJ75" s="497"/>
      <c r="SLK75" s="497"/>
      <c r="SLL75" s="497"/>
      <c r="SLM75" s="497"/>
      <c r="SLN75" s="497"/>
      <c r="SLO75" s="497"/>
      <c r="SLP75" s="497"/>
      <c r="SLQ75" s="497"/>
      <c r="SLR75" s="497"/>
      <c r="SLS75" s="497"/>
      <c r="SLT75" s="497"/>
      <c r="SLU75" s="497"/>
      <c r="SLV75" s="497"/>
      <c r="SLW75" s="497"/>
      <c r="SLX75" s="497"/>
      <c r="SLY75" s="497"/>
      <c r="SLZ75" s="497"/>
      <c r="SMA75" s="497"/>
      <c r="SMB75" s="497"/>
      <c r="SMC75" s="497"/>
      <c r="SMD75" s="497"/>
      <c r="SME75" s="497"/>
      <c r="SMF75" s="497"/>
      <c r="SMG75" s="497"/>
      <c r="SMH75" s="497"/>
      <c r="SMI75" s="497"/>
      <c r="SMJ75" s="497"/>
      <c r="SMK75" s="497"/>
      <c r="SML75" s="497"/>
      <c r="SMM75" s="497"/>
      <c r="SMN75" s="497"/>
      <c r="SMO75" s="497"/>
      <c r="SMP75" s="497"/>
      <c r="SMQ75" s="497"/>
      <c r="SMR75" s="497"/>
      <c r="SMS75" s="497"/>
      <c r="SMT75" s="497"/>
      <c r="SMU75" s="497"/>
      <c r="SMV75" s="497"/>
      <c r="SMW75" s="497"/>
      <c r="SMX75" s="497"/>
      <c r="SMY75" s="497"/>
      <c r="SMZ75" s="497"/>
      <c r="SNA75" s="497"/>
      <c r="SNB75" s="497"/>
      <c r="SNC75" s="497"/>
      <c r="SND75" s="497"/>
      <c r="SNE75" s="497"/>
      <c r="SNF75" s="497"/>
      <c r="SNG75" s="497"/>
      <c r="SNH75" s="497"/>
      <c r="SNI75" s="497"/>
      <c r="SNJ75" s="497"/>
      <c r="SNK75" s="497"/>
      <c r="SNL75" s="497"/>
      <c r="SNM75" s="497"/>
      <c r="SNN75" s="497"/>
      <c r="SNO75" s="497"/>
      <c r="SNP75" s="497"/>
      <c r="SNQ75" s="497"/>
      <c r="SNR75" s="497"/>
      <c r="SNS75" s="497"/>
      <c r="SNT75" s="497"/>
      <c r="SNU75" s="497"/>
      <c r="SNV75" s="497"/>
      <c r="SNW75" s="497"/>
      <c r="SNX75" s="497"/>
      <c r="SNY75" s="497"/>
      <c r="SNZ75" s="497"/>
      <c r="SOA75" s="497"/>
      <c r="SOB75" s="497"/>
      <c r="SOC75" s="497"/>
      <c r="SOD75" s="497"/>
      <c r="SOE75" s="497"/>
      <c r="SOF75" s="497"/>
      <c r="SOG75" s="497"/>
      <c r="SOH75" s="497"/>
      <c r="SOI75" s="497"/>
      <c r="SOJ75" s="497"/>
      <c r="SOK75" s="497"/>
      <c r="SOL75" s="497"/>
      <c r="SOM75" s="497"/>
      <c r="SON75" s="497"/>
      <c r="SOO75" s="497"/>
      <c r="SOP75" s="497"/>
      <c r="SOQ75" s="497"/>
      <c r="SOR75" s="497"/>
      <c r="SOS75" s="497"/>
      <c r="SOT75" s="497"/>
      <c r="SOU75" s="497"/>
      <c r="SOV75" s="497"/>
      <c r="SOW75" s="497"/>
      <c r="SOX75" s="497"/>
      <c r="SOY75" s="497"/>
      <c r="SOZ75" s="497"/>
      <c r="SPA75" s="497"/>
      <c r="SPB75" s="497"/>
      <c r="SPC75" s="497"/>
      <c r="SPD75" s="497"/>
      <c r="SPE75" s="497"/>
      <c r="SPF75" s="497"/>
      <c r="SPG75" s="497"/>
      <c r="SPH75" s="497"/>
      <c r="SPI75" s="497"/>
      <c r="SPJ75" s="497"/>
      <c r="SPK75" s="497"/>
      <c r="SPL75" s="497"/>
      <c r="SPM75" s="497"/>
      <c r="SPN75" s="497"/>
      <c r="SPO75" s="497"/>
      <c r="SPP75" s="497"/>
      <c r="SPQ75" s="497"/>
      <c r="SPR75" s="497"/>
      <c r="SPS75" s="497"/>
      <c r="SPT75" s="497"/>
      <c r="SPU75" s="497"/>
      <c r="SPV75" s="497"/>
      <c r="SPW75" s="497"/>
      <c r="SPX75" s="497"/>
      <c r="SPY75" s="497"/>
      <c r="SPZ75" s="497"/>
      <c r="SQA75" s="497"/>
      <c r="SQB75" s="497"/>
      <c r="SQC75" s="497"/>
      <c r="SQD75" s="497"/>
      <c r="SQE75" s="497"/>
      <c r="SQF75" s="497"/>
      <c r="SQG75" s="497"/>
      <c r="SQH75" s="497"/>
      <c r="SQI75" s="497"/>
      <c r="SQJ75" s="497"/>
      <c r="SQK75" s="497"/>
      <c r="SQL75" s="497"/>
      <c r="SQM75" s="497"/>
      <c r="SQN75" s="497"/>
      <c r="SQO75" s="497"/>
      <c r="SQP75" s="497"/>
      <c r="SQQ75" s="497"/>
      <c r="SQR75" s="497"/>
      <c r="SQS75" s="497"/>
      <c r="SQT75" s="497"/>
      <c r="SQU75" s="497"/>
      <c r="SQV75" s="497"/>
      <c r="SQW75" s="497"/>
      <c r="SQX75" s="497"/>
      <c r="SQY75" s="497"/>
      <c r="SQZ75" s="497"/>
      <c r="SRA75" s="497"/>
      <c r="SRB75" s="497"/>
      <c r="SRC75" s="497"/>
      <c r="SRD75" s="497"/>
      <c r="SRE75" s="497"/>
      <c r="SRF75" s="497"/>
      <c r="SRG75" s="497"/>
      <c r="SRH75" s="497"/>
      <c r="SRI75" s="497"/>
      <c r="SRJ75" s="497"/>
      <c r="SRK75" s="497"/>
      <c r="SRL75" s="497"/>
      <c r="SRM75" s="497"/>
      <c r="SRN75" s="497"/>
      <c r="SRO75" s="497"/>
      <c r="SRP75" s="497"/>
      <c r="SRQ75" s="497"/>
      <c r="SRR75" s="497"/>
      <c r="SRS75" s="497"/>
      <c r="SRT75" s="497"/>
      <c r="SRU75" s="497"/>
      <c r="SRV75" s="497"/>
      <c r="SRW75" s="497"/>
      <c r="SRX75" s="497"/>
      <c r="SRY75" s="497"/>
      <c r="SRZ75" s="497"/>
      <c r="SSA75" s="497"/>
      <c r="SSB75" s="497"/>
      <c r="SSC75" s="497"/>
      <c r="SSD75" s="497"/>
      <c r="SSE75" s="497"/>
      <c r="SSF75" s="497"/>
      <c r="SSG75" s="497"/>
      <c r="SSH75" s="497"/>
      <c r="SSI75" s="497"/>
      <c r="SSJ75" s="497"/>
      <c r="SSK75" s="497"/>
      <c r="SSL75" s="497"/>
      <c r="SSM75" s="497"/>
      <c r="SSN75" s="497"/>
      <c r="SSO75" s="497"/>
      <c r="SSP75" s="497"/>
      <c r="SSQ75" s="497"/>
      <c r="SSR75" s="497"/>
      <c r="SSS75" s="497"/>
      <c r="SST75" s="497"/>
      <c r="SSU75" s="497"/>
      <c r="SSV75" s="497"/>
      <c r="SSW75" s="497"/>
      <c r="SSX75" s="497"/>
      <c r="SSY75" s="497"/>
      <c r="SSZ75" s="497"/>
      <c r="STA75" s="497"/>
      <c r="STB75" s="497"/>
      <c r="STC75" s="497"/>
      <c r="STD75" s="497"/>
      <c r="STE75" s="497"/>
      <c r="STF75" s="497"/>
      <c r="STG75" s="497"/>
      <c r="STH75" s="497"/>
      <c r="STI75" s="497"/>
      <c r="STJ75" s="497"/>
      <c r="STK75" s="497"/>
      <c r="STL75" s="497"/>
      <c r="STM75" s="497"/>
      <c r="STN75" s="497"/>
      <c r="STO75" s="497"/>
      <c r="STP75" s="497"/>
      <c r="STQ75" s="497"/>
      <c r="STR75" s="497"/>
      <c r="STS75" s="497"/>
      <c r="STT75" s="497"/>
      <c r="STU75" s="497"/>
      <c r="STV75" s="497"/>
      <c r="STW75" s="497"/>
      <c r="STX75" s="497"/>
      <c r="STY75" s="497"/>
      <c r="STZ75" s="497"/>
      <c r="SUA75" s="497"/>
      <c r="SUB75" s="497"/>
      <c r="SUC75" s="497"/>
      <c r="SUD75" s="497"/>
      <c r="SUE75" s="497"/>
      <c r="SUF75" s="497"/>
      <c r="SUG75" s="497"/>
      <c r="SUH75" s="497"/>
      <c r="SUI75" s="497"/>
      <c r="SUJ75" s="497"/>
      <c r="SUK75" s="497"/>
      <c r="SUL75" s="497"/>
      <c r="SUM75" s="497"/>
      <c r="SUN75" s="497"/>
      <c r="SUO75" s="497"/>
      <c r="SUP75" s="497"/>
      <c r="SUQ75" s="497"/>
      <c r="SUR75" s="497"/>
      <c r="SUS75" s="497"/>
      <c r="SUT75" s="497"/>
      <c r="SUU75" s="497"/>
      <c r="SUV75" s="497"/>
      <c r="SUW75" s="497"/>
      <c r="SUX75" s="497"/>
      <c r="SUY75" s="497"/>
      <c r="SUZ75" s="497"/>
      <c r="SVA75" s="497"/>
      <c r="SVB75" s="497"/>
      <c r="SVC75" s="497"/>
      <c r="SVD75" s="497"/>
      <c r="SVE75" s="497"/>
      <c r="SVF75" s="497"/>
      <c r="SVG75" s="497"/>
      <c r="SVH75" s="497"/>
      <c r="SVI75" s="497"/>
      <c r="SVJ75" s="497"/>
      <c r="SVK75" s="497"/>
      <c r="SVL75" s="497"/>
      <c r="SVM75" s="497"/>
      <c r="SVN75" s="497"/>
      <c r="SVO75" s="497"/>
      <c r="SVP75" s="497"/>
      <c r="SVQ75" s="497"/>
      <c r="SVR75" s="497"/>
      <c r="SVS75" s="497"/>
      <c r="SVT75" s="497"/>
      <c r="SVU75" s="497"/>
      <c r="SVV75" s="497"/>
      <c r="SVW75" s="497"/>
      <c r="SVX75" s="497"/>
      <c r="SVY75" s="497"/>
      <c r="SVZ75" s="497"/>
      <c r="SWA75" s="497"/>
      <c r="SWB75" s="497"/>
      <c r="SWC75" s="497"/>
      <c r="SWD75" s="497"/>
      <c r="SWE75" s="497"/>
      <c r="SWF75" s="497"/>
      <c r="SWG75" s="497"/>
      <c r="SWH75" s="497"/>
      <c r="SWI75" s="497"/>
      <c r="SWJ75" s="497"/>
      <c r="SWK75" s="497"/>
      <c r="SWL75" s="497"/>
      <c r="SWM75" s="497"/>
      <c r="SWN75" s="497"/>
      <c r="SWO75" s="497"/>
      <c r="SWP75" s="497"/>
      <c r="SWQ75" s="497"/>
      <c r="SWR75" s="497"/>
      <c r="SWS75" s="497"/>
      <c r="SWT75" s="497"/>
      <c r="SWU75" s="497"/>
      <c r="SWV75" s="497"/>
      <c r="SWW75" s="497"/>
      <c r="SWX75" s="497"/>
      <c r="SWY75" s="497"/>
      <c r="SWZ75" s="497"/>
      <c r="SXA75" s="497"/>
      <c r="SXB75" s="497"/>
      <c r="SXC75" s="497"/>
      <c r="SXD75" s="497"/>
      <c r="SXE75" s="497"/>
      <c r="SXF75" s="497"/>
      <c r="SXG75" s="497"/>
      <c r="SXH75" s="497"/>
      <c r="SXI75" s="497"/>
      <c r="SXJ75" s="497"/>
      <c r="SXK75" s="497"/>
      <c r="SXL75" s="497"/>
      <c r="SXM75" s="497"/>
      <c r="SXN75" s="497"/>
      <c r="SXO75" s="497"/>
      <c r="SXP75" s="497"/>
      <c r="SXQ75" s="497"/>
      <c r="SXR75" s="497"/>
      <c r="SXS75" s="497"/>
      <c r="SXT75" s="497"/>
      <c r="SXU75" s="497"/>
      <c r="SXV75" s="497"/>
      <c r="SXW75" s="497"/>
      <c r="SXX75" s="497"/>
      <c r="SXY75" s="497"/>
      <c r="SXZ75" s="497"/>
      <c r="SYA75" s="497"/>
      <c r="SYB75" s="497"/>
      <c r="SYC75" s="497"/>
      <c r="SYD75" s="497"/>
      <c r="SYE75" s="497"/>
      <c r="SYF75" s="497"/>
      <c r="SYG75" s="497"/>
      <c r="SYH75" s="497"/>
      <c r="SYI75" s="497"/>
      <c r="SYJ75" s="497"/>
      <c r="SYK75" s="497"/>
      <c r="SYL75" s="497"/>
      <c r="SYM75" s="497"/>
      <c r="SYN75" s="497"/>
      <c r="SYO75" s="497"/>
      <c r="SYP75" s="497"/>
      <c r="SYQ75" s="497"/>
      <c r="SYR75" s="497"/>
      <c r="SYS75" s="497"/>
      <c r="SYT75" s="497"/>
      <c r="SYU75" s="497"/>
      <c r="SYV75" s="497"/>
      <c r="SYW75" s="497"/>
      <c r="SYX75" s="497"/>
      <c r="SYY75" s="497"/>
      <c r="SYZ75" s="497"/>
      <c r="SZA75" s="497"/>
      <c r="SZB75" s="497"/>
      <c r="SZC75" s="497"/>
      <c r="SZD75" s="497"/>
      <c r="SZE75" s="497"/>
      <c r="SZF75" s="497"/>
      <c r="SZG75" s="497"/>
      <c r="SZH75" s="497"/>
      <c r="SZI75" s="497"/>
      <c r="SZJ75" s="497"/>
      <c r="SZK75" s="497"/>
      <c r="SZL75" s="497"/>
      <c r="SZM75" s="497"/>
      <c r="SZN75" s="497"/>
      <c r="SZO75" s="497"/>
      <c r="SZP75" s="497"/>
      <c r="SZQ75" s="497"/>
      <c r="SZR75" s="497"/>
      <c r="SZS75" s="497"/>
      <c r="SZT75" s="497"/>
      <c r="SZU75" s="497"/>
      <c r="SZV75" s="497"/>
      <c r="SZW75" s="497"/>
      <c r="SZX75" s="497"/>
      <c r="SZY75" s="497"/>
      <c r="SZZ75" s="497"/>
      <c r="TAA75" s="497"/>
      <c r="TAB75" s="497"/>
      <c r="TAC75" s="497"/>
      <c r="TAD75" s="497"/>
      <c r="TAE75" s="497"/>
      <c r="TAF75" s="497"/>
      <c r="TAG75" s="497"/>
      <c r="TAH75" s="497"/>
      <c r="TAI75" s="497"/>
      <c r="TAJ75" s="497"/>
      <c r="TAK75" s="497"/>
      <c r="TAL75" s="497"/>
      <c r="TAM75" s="497"/>
      <c r="TAN75" s="497"/>
      <c r="TAO75" s="497"/>
      <c r="TAP75" s="497"/>
      <c r="TAQ75" s="497"/>
      <c r="TAR75" s="497"/>
      <c r="TAS75" s="497"/>
      <c r="TAT75" s="497"/>
      <c r="TAU75" s="497"/>
      <c r="TAV75" s="497"/>
      <c r="TAW75" s="497"/>
      <c r="TAX75" s="497"/>
      <c r="TAY75" s="497"/>
      <c r="TAZ75" s="497"/>
      <c r="TBA75" s="497"/>
      <c r="TBB75" s="497"/>
      <c r="TBC75" s="497"/>
      <c r="TBD75" s="497"/>
      <c r="TBE75" s="497"/>
      <c r="TBF75" s="497"/>
      <c r="TBG75" s="497"/>
      <c r="TBH75" s="497"/>
      <c r="TBI75" s="497"/>
      <c r="TBJ75" s="497"/>
      <c r="TBK75" s="497"/>
      <c r="TBL75" s="497"/>
      <c r="TBM75" s="497"/>
      <c r="TBN75" s="497"/>
      <c r="TBO75" s="497"/>
      <c r="TBP75" s="497"/>
      <c r="TBQ75" s="497"/>
      <c r="TBR75" s="497"/>
      <c r="TBS75" s="497"/>
      <c r="TBT75" s="497"/>
      <c r="TBU75" s="497"/>
      <c r="TBV75" s="497"/>
      <c r="TBW75" s="497"/>
      <c r="TBX75" s="497"/>
      <c r="TBY75" s="497"/>
      <c r="TBZ75" s="497"/>
      <c r="TCA75" s="497"/>
      <c r="TCB75" s="497"/>
      <c r="TCC75" s="497"/>
      <c r="TCD75" s="497"/>
      <c r="TCE75" s="497"/>
      <c r="TCF75" s="497"/>
      <c r="TCG75" s="497"/>
      <c r="TCH75" s="497"/>
      <c r="TCI75" s="497"/>
      <c r="TCJ75" s="497"/>
      <c r="TCK75" s="497"/>
      <c r="TCL75" s="497"/>
      <c r="TCM75" s="497"/>
      <c r="TCN75" s="497"/>
      <c r="TCO75" s="497"/>
      <c r="TCP75" s="497"/>
      <c r="TCQ75" s="497"/>
      <c r="TCR75" s="497"/>
      <c r="TCS75" s="497"/>
      <c r="TCT75" s="497"/>
      <c r="TCU75" s="497"/>
      <c r="TCV75" s="497"/>
      <c r="TCW75" s="497"/>
      <c r="TCX75" s="497"/>
      <c r="TCY75" s="497"/>
      <c r="TCZ75" s="497"/>
      <c r="TDA75" s="497"/>
      <c r="TDB75" s="497"/>
      <c r="TDC75" s="497"/>
      <c r="TDD75" s="497"/>
      <c r="TDE75" s="497"/>
      <c r="TDF75" s="497"/>
      <c r="TDG75" s="497"/>
      <c r="TDH75" s="497"/>
      <c r="TDI75" s="497"/>
      <c r="TDJ75" s="497"/>
      <c r="TDK75" s="497"/>
      <c r="TDL75" s="497"/>
      <c r="TDM75" s="497"/>
      <c r="TDN75" s="497"/>
      <c r="TDO75" s="497"/>
      <c r="TDP75" s="497"/>
      <c r="TDQ75" s="497"/>
      <c r="TDR75" s="497"/>
      <c r="TDS75" s="497"/>
      <c r="TDT75" s="497"/>
      <c r="TDU75" s="497"/>
      <c r="TDV75" s="497"/>
      <c r="TDW75" s="497"/>
      <c r="TDX75" s="497"/>
      <c r="TDY75" s="497"/>
      <c r="TDZ75" s="497"/>
      <c r="TEA75" s="497"/>
      <c r="TEB75" s="497"/>
      <c r="TEC75" s="497"/>
      <c r="TED75" s="497"/>
      <c r="TEE75" s="497"/>
      <c r="TEF75" s="497"/>
      <c r="TEG75" s="497"/>
      <c r="TEH75" s="497"/>
      <c r="TEI75" s="497"/>
      <c r="TEJ75" s="497"/>
      <c r="TEK75" s="497"/>
      <c r="TEL75" s="497"/>
      <c r="TEM75" s="497"/>
      <c r="TEN75" s="497"/>
      <c r="TEO75" s="497"/>
      <c r="TEP75" s="497"/>
      <c r="TEQ75" s="497"/>
      <c r="TER75" s="497"/>
      <c r="TES75" s="497"/>
      <c r="TET75" s="497"/>
      <c r="TEU75" s="497"/>
      <c r="TEV75" s="497"/>
      <c r="TEW75" s="497"/>
      <c r="TEX75" s="497"/>
      <c r="TEY75" s="497"/>
      <c r="TEZ75" s="497"/>
      <c r="TFA75" s="497"/>
      <c r="TFB75" s="497"/>
      <c r="TFC75" s="497"/>
      <c r="TFD75" s="497"/>
      <c r="TFE75" s="497"/>
      <c r="TFF75" s="497"/>
      <c r="TFG75" s="497"/>
      <c r="TFH75" s="497"/>
      <c r="TFI75" s="497"/>
      <c r="TFJ75" s="497"/>
      <c r="TFK75" s="497"/>
      <c r="TFL75" s="497"/>
      <c r="TFM75" s="497"/>
      <c r="TFN75" s="497"/>
      <c r="TFO75" s="497"/>
      <c r="TFP75" s="497"/>
      <c r="TFQ75" s="497"/>
      <c r="TFR75" s="497"/>
      <c r="TFS75" s="497"/>
      <c r="TFT75" s="497"/>
      <c r="TFU75" s="497"/>
      <c r="TFV75" s="497"/>
      <c r="TFW75" s="497"/>
      <c r="TFX75" s="497"/>
      <c r="TFY75" s="497"/>
      <c r="TFZ75" s="497"/>
      <c r="TGA75" s="497"/>
      <c r="TGB75" s="497"/>
      <c r="TGC75" s="497"/>
      <c r="TGD75" s="497"/>
      <c r="TGE75" s="497"/>
      <c r="TGF75" s="497"/>
      <c r="TGG75" s="497"/>
      <c r="TGH75" s="497"/>
      <c r="TGI75" s="497"/>
      <c r="TGJ75" s="497"/>
      <c r="TGK75" s="497"/>
      <c r="TGL75" s="497"/>
      <c r="TGM75" s="497"/>
      <c r="TGN75" s="497"/>
      <c r="TGO75" s="497"/>
      <c r="TGP75" s="497"/>
      <c r="TGQ75" s="497"/>
      <c r="TGR75" s="497"/>
      <c r="TGS75" s="497"/>
      <c r="TGT75" s="497"/>
      <c r="TGU75" s="497"/>
      <c r="TGV75" s="497"/>
      <c r="TGW75" s="497"/>
      <c r="TGX75" s="497"/>
      <c r="TGY75" s="497"/>
      <c r="TGZ75" s="497"/>
      <c r="THA75" s="497"/>
      <c r="THB75" s="497"/>
      <c r="THC75" s="497"/>
      <c r="THD75" s="497"/>
      <c r="THE75" s="497"/>
      <c r="THF75" s="497"/>
      <c r="THG75" s="497"/>
      <c r="THH75" s="497"/>
      <c r="THI75" s="497"/>
      <c r="THJ75" s="497"/>
      <c r="THK75" s="497"/>
      <c r="THL75" s="497"/>
      <c r="THM75" s="497"/>
      <c r="THN75" s="497"/>
      <c r="THO75" s="497"/>
      <c r="THP75" s="497"/>
      <c r="THQ75" s="497"/>
      <c r="THR75" s="497"/>
      <c r="THS75" s="497"/>
      <c r="THT75" s="497"/>
      <c r="THU75" s="497"/>
      <c r="THV75" s="497"/>
      <c r="THW75" s="497"/>
      <c r="THX75" s="497"/>
      <c r="THY75" s="497"/>
      <c r="THZ75" s="497"/>
      <c r="TIA75" s="497"/>
      <c r="TIB75" s="497"/>
      <c r="TIC75" s="497"/>
      <c r="TID75" s="497"/>
      <c r="TIE75" s="497"/>
      <c r="TIF75" s="497"/>
      <c r="TIG75" s="497"/>
      <c r="TIH75" s="497"/>
      <c r="TII75" s="497"/>
      <c r="TIJ75" s="497"/>
      <c r="TIK75" s="497"/>
      <c r="TIL75" s="497"/>
      <c r="TIM75" s="497"/>
      <c r="TIN75" s="497"/>
      <c r="TIO75" s="497"/>
      <c r="TIP75" s="497"/>
      <c r="TIQ75" s="497"/>
      <c r="TIR75" s="497"/>
      <c r="TIS75" s="497"/>
      <c r="TIT75" s="497"/>
      <c r="TIU75" s="497"/>
      <c r="TIV75" s="497"/>
      <c r="TIW75" s="497"/>
      <c r="TIX75" s="497"/>
      <c r="TIY75" s="497"/>
      <c r="TIZ75" s="497"/>
      <c r="TJA75" s="497"/>
      <c r="TJB75" s="497"/>
      <c r="TJC75" s="497"/>
      <c r="TJD75" s="497"/>
      <c r="TJE75" s="497"/>
      <c r="TJF75" s="497"/>
      <c r="TJG75" s="497"/>
      <c r="TJH75" s="497"/>
      <c r="TJI75" s="497"/>
      <c r="TJJ75" s="497"/>
      <c r="TJK75" s="497"/>
      <c r="TJL75" s="497"/>
      <c r="TJM75" s="497"/>
      <c r="TJN75" s="497"/>
      <c r="TJO75" s="497"/>
      <c r="TJP75" s="497"/>
      <c r="TJQ75" s="497"/>
      <c r="TJR75" s="497"/>
      <c r="TJS75" s="497"/>
      <c r="TJT75" s="497"/>
      <c r="TJU75" s="497"/>
      <c r="TJV75" s="497"/>
      <c r="TJW75" s="497"/>
      <c r="TJX75" s="497"/>
      <c r="TJY75" s="497"/>
      <c r="TJZ75" s="497"/>
      <c r="TKA75" s="497"/>
      <c r="TKB75" s="497"/>
      <c r="TKC75" s="497"/>
      <c r="TKD75" s="497"/>
      <c r="TKE75" s="497"/>
      <c r="TKF75" s="497"/>
      <c r="TKG75" s="497"/>
      <c r="TKH75" s="497"/>
      <c r="TKI75" s="497"/>
      <c r="TKJ75" s="497"/>
      <c r="TKK75" s="497"/>
      <c r="TKL75" s="497"/>
      <c r="TKM75" s="497"/>
      <c r="TKN75" s="497"/>
      <c r="TKO75" s="497"/>
      <c r="TKP75" s="497"/>
      <c r="TKQ75" s="497"/>
      <c r="TKR75" s="497"/>
      <c r="TKS75" s="497"/>
      <c r="TKT75" s="497"/>
      <c r="TKU75" s="497"/>
      <c r="TKV75" s="497"/>
      <c r="TKW75" s="497"/>
      <c r="TKX75" s="497"/>
      <c r="TKY75" s="497"/>
      <c r="TKZ75" s="497"/>
      <c r="TLA75" s="497"/>
      <c r="TLB75" s="497"/>
      <c r="TLC75" s="497"/>
      <c r="TLD75" s="497"/>
      <c r="TLE75" s="497"/>
      <c r="TLF75" s="497"/>
      <c r="TLG75" s="497"/>
      <c r="TLH75" s="497"/>
      <c r="TLI75" s="497"/>
      <c r="TLJ75" s="497"/>
      <c r="TLK75" s="497"/>
      <c r="TLL75" s="497"/>
      <c r="TLM75" s="497"/>
      <c r="TLN75" s="497"/>
      <c r="TLO75" s="497"/>
      <c r="TLP75" s="497"/>
      <c r="TLQ75" s="497"/>
      <c r="TLR75" s="497"/>
      <c r="TLS75" s="497"/>
      <c r="TLT75" s="497"/>
      <c r="TLU75" s="497"/>
      <c r="TLV75" s="497"/>
      <c r="TLW75" s="497"/>
      <c r="TLX75" s="497"/>
      <c r="TLY75" s="497"/>
      <c r="TLZ75" s="497"/>
      <c r="TMA75" s="497"/>
      <c r="TMB75" s="497"/>
      <c r="TMC75" s="497"/>
      <c r="TMD75" s="497"/>
      <c r="TME75" s="497"/>
      <c r="TMF75" s="497"/>
      <c r="TMG75" s="497"/>
      <c r="TMH75" s="497"/>
      <c r="TMI75" s="497"/>
      <c r="TMJ75" s="497"/>
      <c r="TMK75" s="497"/>
      <c r="TML75" s="497"/>
      <c r="TMM75" s="497"/>
      <c r="TMN75" s="497"/>
      <c r="TMO75" s="497"/>
      <c r="TMP75" s="497"/>
      <c r="TMQ75" s="497"/>
      <c r="TMR75" s="497"/>
      <c r="TMS75" s="497"/>
      <c r="TMT75" s="497"/>
      <c r="TMU75" s="497"/>
      <c r="TMV75" s="497"/>
      <c r="TMW75" s="497"/>
      <c r="TMX75" s="497"/>
      <c r="TMY75" s="497"/>
      <c r="TMZ75" s="497"/>
      <c r="TNA75" s="497"/>
      <c r="TNB75" s="497"/>
      <c r="TNC75" s="497"/>
      <c r="TND75" s="497"/>
      <c r="TNE75" s="497"/>
      <c r="TNF75" s="497"/>
      <c r="TNG75" s="497"/>
      <c r="TNH75" s="497"/>
      <c r="TNI75" s="497"/>
      <c r="TNJ75" s="497"/>
      <c r="TNK75" s="497"/>
      <c r="TNL75" s="497"/>
      <c r="TNM75" s="497"/>
      <c r="TNN75" s="497"/>
      <c r="TNO75" s="497"/>
      <c r="TNP75" s="497"/>
      <c r="TNQ75" s="497"/>
      <c r="TNR75" s="497"/>
      <c r="TNS75" s="497"/>
      <c r="TNT75" s="497"/>
      <c r="TNU75" s="497"/>
      <c r="TNV75" s="497"/>
      <c r="TNW75" s="497"/>
      <c r="TNX75" s="497"/>
      <c r="TNY75" s="497"/>
      <c r="TNZ75" s="497"/>
      <c r="TOA75" s="497"/>
      <c r="TOB75" s="497"/>
      <c r="TOC75" s="497"/>
      <c r="TOD75" s="497"/>
      <c r="TOE75" s="497"/>
      <c r="TOF75" s="497"/>
      <c r="TOG75" s="497"/>
      <c r="TOH75" s="497"/>
      <c r="TOI75" s="497"/>
      <c r="TOJ75" s="497"/>
      <c r="TOK75" s="497"/>
      <c r="TOL75" s="497"/>
      <c r="TOM75" s="497"/>
      <c r="TON75" s="497"/>
      <c r="TOO75" s="497"/>
      <c r="TOP75" s="497"/>
      <c r="TOQ75" s="497"/>
      <c r="TOR75" s="497"/>
      <c r="TOS75" s="497"/>
      <c r="TOT75" s="497"/>
      <c r="TOU75" s="497"/>
      <c r="TOV75" s="497"/>
      <c r="TOW75" s="497"/>
      <c r="TOX75" s="497"/>
      <c r="TOY75" s="497"/>
      <c r="TOZ75" s="497"/>
      <c r="TPA75" s="497"/>
      <c r="TPB75" s="497"/>
      <c r="TPC75" s="497"/>
      <c r="TPD75" s="497"/>
      <c r="TPE75" s="497"/>
      <c r="TPF75" s="497"/>
      <c r="TPG75" s="497"/>
      <c r="TPH75" s="497"/>
      <c r="TPI75" s="497"/>
      <c r="TPJ75" s="497"/>
      <c r="TPK75" s="497"/>
      <c r="TPL75" s="497"/>
      <c r="TPM75" s="497"/>
      <c r="TPN75" s="497"/>
      <c r="TPO75" s="497"/>
      <c r="TPP75" s="497"/>
      <c r="TPQ75" s="497"/>
      <c r="TPR75" s="497"/>
      <c r="TPS75" s="497"/>
      <c r="TPT75" s="497"/>
      <c r="TPU75" s="497"/>
      <c r="TPV75" s="497"/>
      <c r="TPW75" s="497"/>
      <c r="TPX75" s="497"/>
      <c r="TPY75" s="497"/>
      <c r="TPZ75" s="497"/>
      <c r="TQA75" s="497"/>
      <c r="TQB75" s="497"/>
      <c r="TQC75" s="497"/>
      <c r="TQD75" s="497"/>
      <c r="TQE75" s="497"/>
      <c r="TQF75" s="497"/>
      <c r="TQG75" s="497"/>
      <c r="TQH75" s="497"/>
      <c r="TQI75" s="497"/>
      <c r="TQJ75" s="497"/>
      <c r="TQK75" s="497"/>
      <c r="TQL75" s="497"/>
      <c r="TQM75" s="497"/>
      <c r="TQN75" s="497"/>
      <c r="TQO75" s="497"/>
      <c r="TQP75" s="497"/>
      <c r="TQQ75" s="497"/>
      <c r="TQR75" s="497"/>
      <c r="TQS75" s="497"/>
      <c r="TQT75" s="497"/>
      <c r="TQU75" s="497"/>
      <c r="TQV75" s="497"/>
      <c r="TQW75" s="497"/>
      <c r="TQX75" s="497"/>
      <c r="TQY75" s="497"/>
      <c r="TQZ75" s="497"/>
      <c r="TRA75" s="497"/>
      <c r="TRB75" s="497"/>
      <c r="TRC75" s="497"/>
      <c r="TRD75" s="497"/>
      <c r="TRE75" s="497"/>
      <c r="TRF75" s="497"/>
      <c r="TRG75" s="497"/>
      <c r="TRH75" s="497"/>
      <c r="TRI75" s="497"/>
      <c r="TRJ75" s="497"/>
      <c r="TRK75" s="497"/>
      <c r="TRL75" s="497"/>
      <c r="TRM75" s="497"/>
      <c r="TRN75" s="497"/>
      <c r="TRO75" s="497"/>
      <c r="TRP75" s="497"/>
      <c r="TRQ75" s="497"/>
      <c r="TRR75" s="497"/>
      <c r="TRS75" s="497"/>
      <c r="TRT75" s="497"/>
      <c r="TRU75" s="497"/>
      <c r="TRV75" s="497"/>
      <c r="TRW75" s="497"/>
      <c r="TRX75" s="497"/>
      <c r="TRY75" s="497"/>
      <c r="TRZ75" s="497"/>
      <c r="TSA75" s="497"/>
      <c r="TSB75" s="497"/>
      <c r="TSC75" s="497"/>
      <c r="TSD75" s="497"/>
      <c r="TSE75" s="497"/>
      <c r="TSF75" s="497"/>
      <c r="TSG75" s="497"/>
      <c r="TSH75" s="497"/>
      <c r="TSI75" s="497"/>
      <c r="TSJ75" s="497"/>
      <c r="TSK75" s="497"/>
      <c r="TSL75" s="497"/>
      <c r="TSM75" s="497"/>
      <c r="TSN75" s="497"/>
      <c r="TSO75" s="497"/>
      <c r="TSP75" s="497"/>
      <c r="TSQ75" s="497"/>
      <c r="TSR75" s="497"/>
      <c r="TSS75" s="497"/>
      <c r="TST75" s="497"/>
      <c r="TSU75" s="497"/>
      <c r="TSV75" s="497"/>
      <c r="TSW75" s="497"/>
      <c r="TSX75" s="497"/>
      <c r="TSY75" s="497"/>
      <c r="TSZ75" s="497"/>
      <c r="TTA75" s="497"/>
      <c r="TTB75" s="497"/>
      <c r="TTC75" s="497"/>
      <c r="TTD75" s="497"/>
      <c r="TTE75" s="497"/>
      <c r="TTF75" s="497"/>
      <c r="TTG75" s="497"/>
      <c r="TTH75" s="497"/>
      <c r="TTI75" s="497"/>
      <c r="TTJ75" s="497"/>
      <c r="TTK75" s="497"/>
      <c r="TTL75" s="497"/>
      <c r="TTM75" s="497"/>
      <c r="TTN75" s="497"/>
      <c r="TTO75" s="497"/>
      <c r="TTP75" s="497"/>
      <c r="TTQ75" s="497"/>
      <c r="TTR75" s="497"/>
      <c r="TTS75" s="497"/>
      <c r="TTT75" s="497"/>
      <c r="TTU75" s="497"/>
      <c r="TTV75" s="497"/>
      <c r="TTW75" s="497"/>
      <c r="TTX75" s="497"/>
      <c r="TTY75" s="497"/>
      <c r="TTZ75" s="497"/>
      <c r="TUA75" s="497"/>
      <c r="TUB75" s="497"/>
      <c r="TUC75" s="497"/>
      <c r="TUD75" s="497"/>
      <c r="TUE75" s="497"/>
      <c r="TUF75" s="497"/>
      <c r="TUG75" s="497"/>
      <c r="TUH75" s="497"/>
      <c r="TUI75" s="497"/>
      <c r="TUJ75" s="497"/>
      <c r="TUK75" s="497"/>
      <c r="TUL75" s="497"/>
      <c r="TUM75" s="497"/>
      <c r="TUN75" s="497"/>
      <c r="TUO75" s="497"/>
      <c r="TUP75" s="497"/>
      <c r="TUQ75" s="497"/>
      <c r="TUR75" s="497"/>
      <c r="TUS75" s="497"/>
      <c r="TUT75" s="497"/>
      <c r="TUU75" s="497"/>
      <c r="TUV75" s="497"/>
      <c r="TUW75" s="497"/>
      <c r="TUX75" s="497"/>
      <c r="TUY75" s="497"/>
      <c r="TUZ75" s="497"/>
      <c r="TVA75" s="497"/>
      <c r="TVB75" s="497"/>
      <c r="TVC75" s="497"/>
      <c r="TVD75" s="497"/>
      <c r="TVE75" s="497"/>
      <c r="TVF75" s="497"/>
      <c r="TVG75" s="497"/>
      <c r="TVH75" s="497"/>
      <c r="TVI75" s="497"/>
      <c r="TVJ75" s="497"/>
      <c r="TVK75" s="497"/>
      <c r="TVL75" s="497"/>
      <c r="TVM75" s="497"/>
      <c r="TVN75" s="497"/>
      <c r="TVO75" s="497"/>
      <c r="TVP75" s="497"/>
      <c r="TVQ75" s="497"/>
      <c r="TVR75" s="497"/>
      <c r="TVS75" s="497"/>
      <c r="TVT75" s="497"/>
      <c r="TVU75" s="497"/>
      <c r="TVV75" s="497"/>
      <c r="TVW75" s="497"/>
      <c r="TVX75" s="497"/>
      <c r="TVY75" s="497"/>
      <c r="TVZ75" s="497"/>
      <c r="TWA75" s="497"/>
      <c r="TWB75" s="497"/>
      <c r="TWC75" s="497"/>
      <c r="TWD75" s="497"/>
      <c r="TWE75" s="497"/>
      <c r="TWF75" s="497"/>
      <c r="TWG75" s="497"/>
      <c r="TWH75" s="497"/>
      <c r="TWI75" s="497"/>
      <c r="TWJ75" s="497"/>
      <c r="TWK75" s="497"/>
      <c r="TWL75" s="497"/>
      <c r="TWM75" s="497"/>
      <c r="TWN75" s="497"/>
      <c r="TWO75" s="497"/>
      <c r="TWP75" s="497"/>
      <c r="TWQ75" s="497"/>
      <c r="TWR75" s="497"/>
      <c r="TWS75" s="497"/>
      <c r="TWT75" s="497"/>
      <c r="TWU75" s="497"/>
      <c r="TWV75" s="497"/>
      <c r="TWW75" s="497"/>
      <c r="TWX75" s="497"/>
      <c r="TWY75" s="497"/>
      <c r="TWZ75" s="497"/>
      <c r="TXA75" s="497"/>
      <c r="TXB75" s="497"/>
      <c r="TXC75" s="497"/>
      <c r="TXD75" s="497"/>
      <c r="TXE75" s="497"/>
      <c r="TXF75" s="497"/>
      <c r="TXG75" s="497"/>
      <c r="TXH75" s="497"/>
      <c r="TXI75" s="497"/>
      <c r="TXJ75" s="497"/>
      <c r="TXK75" s="497"/>
      <c r="TXL75" s="497"/>
      <c r="TXM75" s="497"/>
      <c r="TXN75" s="497"/>
      <c r="TXO75" s="497"/>
      <c r="TXP75" s="497"/>
      <c r="TXQ75" s="497"/>
      <c r="TXR75" s="497"/>
      <c r="TXS75" s="497"/>
      <c r="TXT75" s="497"/>
      <c r="TXU75" s="497"/>
      <c r="TXV75" s="497"/>
      <c r="TXW75" s="497"/>
      <c r="TXX75" s="497"/>
      <c r="TXY75" s="497"/>
      <c r="TXZ75" s="497"/>
      <c r="TYA75" s="497"/>
      <c r="TYB75" s="497"/>
      <c r="TYC75" s="497"/>
      <c r="TYD75" s="497"/>
      <c r="TYE75" s="497"/>
      <c r="TYF75" s="497"/>
      <c r="TYG75" s="497"/>
      <c r="TYH75" s="497"/>
      <c r="TYI75" s="497"/>
      <c r="TYJ75" s="497"/>
      <c r="TYK75" s="497"/>
      <c r="TYL75" s="497"/>
      <c r="TYM75" s="497"/>
      <c r="TYN75" s="497"/>
      <c r="TYO75" s="497"/>
      <c r="TYP75" s="497"/>
      <c r="TYQ75" s="497"/>
      <c r="TYR75" s="497"/>
      <c r="TYS75" s="497"/>
      <c r="TYT75" s="497"/>
      <c r="TYU75" s="497"/>
      <c r="TYV75" s="497"/>
      <c r="TYW75" s="497"/>
      <c r="TYX75" s="497"/>
      <c r="TYY75" s="497"/>
      <c r="TYZ75" s="497"/>
      <c r="TZA75" s="497"/>
      <c r="TZB75" s="497"/>
      <c r="TZC75" s="497"/>
      <c r="TZD75" s="497"/>
      <c r="TZE75" s="497"/>
      <c r="TZF75" s="497"/>
      <c r="TZG75" s="497"/>
      <c r="TZH75" s="497"/>
      <c r="TZI75" s="497"/>
      <c r="TZJ75" s="497"/>
      <c r="TZK75" s="497"/>
      <c r="TZL75" s="497"/>
      <c r="TZM75" s="497"/>
      <c r="TZN75" s="497"/>
      <c r="TZO75" s="497"/>
      <c r="TZP75" s="497"/>
      <c r="TZQ75" s="497"/>
      <c r="TZR75" s="497"/>
      <c r="TZS75" s="497"/>
      <c r="TZT75" s="497"/>
      <c r="TZU75" s="497"/>
      <c r="TZV75" s="497"/>
      <c r="TZW75" s="497"/>
      <c r="TZX75" s="497"/>
      <c r="TZY75" s="497"/>
      <c r="TZZ75" s="497"/>
      <c r="UAA75" s="497"/>
      <c r="UAB75" s="497"/>
      <c r="UAC75" s="497"/>
      <c r="UAD75" s="497"/>
      <c r="UAE75" s="497"/>
      <c r="UAF75" s="497"/>
      <c r="UAG75" s="497"/>
      <c r="UAH75" s="497"/>
      <c r="UAI75" s="497"/>
      <c r="UAJ75" s="497"/>
      <c r="UAK75" s="497"/>
      <c r="UAL75" s="497"/>
      <c r="UAM75" s="497"/>
      <c r="UAN75" s="497"/>
      <c r="UAO75" s="497"/>
      <c r="UAP75" s="497"/>
      <c r="UAQ75" s="497"/>
      <c r="UAR75" s="497"/>
      <c r="UAS75" s="497"/>
      <c r="UAT75" s="497"/>
      <c r="UAU75" s="497"/>
      <c r="UAV75" s="497"/>
      <c r="UAW75" s="497"/>
      <c r="UAX75" s="497"/>
      <c r="UAY75" s="497"/>
      <c r="UAZ75" s="497"/>
      <c r="UBA75" s="497"/>
      <c r="UBB75" s="497"/>
      <c r="UBC75" s="497"/>
      <c r="UBD75" s="497"/>
      <c r="UBE75" s="497"/>
      <c r="UBF75" s="497"/>
      <c r="UBG75" s="497"/>
      <c r="UBH75" s="497"/>
      <c r="UBI75" s="497"/>
      <c r="UBJ75" s="497"/>
      <c r="UBK75" s="497"/>
      <c r="UBL75" s="497"/>
      <c r="UBM75" s="497"/>
      <c r="UBN75" s="497"/>
      <c r="UBO75" s="497"/>
      <c r="UBP75" s="497"/>
      <c r="UBQ75" s="497"/>
      <c r="UBR75" s="497"/>
      <c r="UBS75" s="497"/>
      <c r="UBT75" s="497"/>
      <c r="UBU75" s="497"/>
      <c r="UBV75" s="497"/>
      <c r="UBW75" s="497"/>
      <c r="UBX75" s="497"/>
      <c r="UBY75" s="497"/>
      <c r="UBZ75" s="497"/>
      <c r="UCA75" s="497"/>
      <c r="UCB75" s="497"/>
      <c r="UCC75" s="497"/>
      <c r="UCD75" s="497"/>
      <c r="UCE75" s="497"/>
      <c r="UCF75" s="497"/>
      <c r="UCG75" s="497"/>
      <c r="UCH75" s="497"/>
      <c r="UCI75" s="497"/>
      <c r="UCJ75" s="497"/>
      <c r="UCK75" s="497"/>
      <c r="UCL75" s="497"/>
      <c r="UCM75" s="497"/>
      <c r="UCN75" s="497"/>
      <c r="UCO75" s="497"/>
      <c r="UCP75" s="497"/>
      <c r="UCQ75" s="497"/>
      <c r="UCR75" s="497"/>
      <c r="UCS75" s="497"/>
      <c r="UCT75" s="497"/>
      <c r="UCU75" s="497"/>
      <c r="UCV75" s="497"/>
      <c r="UCW75" s="497"/>
      <c r="UCX75" s="497"/>
      <c r="UCY75" s="497"/>
      <c r="UCZ75" s="497"/>
      <c r="UDA75" s="497"/>
      <c r="UDB75" s="497"/>
      <c r="UDC75" s="497"/>
      <c r="UDD75" s="497"/>
      <c r="UDE75" s="497"/>
      <c r="UDF75" s="497"/>
      <c r="UDG75" s="497"/>
      <c r="UDH75" s="497"/>
      <c r="UDI75" s="497"/>
      <c r="UDJ75" s="497"/>
      <c r="UDK75" s="497"/>
      <c r="UDL75" s="497"/>
      <c r="UDM75" s="497"/>
      <c r="UDN75" s="497"/>
      <c r="UDO75" s="497"/>
      <c r="UDP75" s="497"/>
      <c r="UDQ75" s="497"/>
      <c r="UDR75" s="497"/>
      <c r="UDS75" s="497"/>
      <c r="UDT75" s="497"/>
      <c r="UDU75" s="497"/>
      <c r="UDV75" s="497"/>
      <c r="UDW75" s="497"/>
      <c r="UDX75" s="497"/>
      <c r="UDY75" s="497"/>
      <c r="UDZ75" s="497"/>
      <c r="UEA75" s="497"/>
      <c r="UEB75" s="497"/>
      <c r="UEC75" s="497"/>
      <c r="UED75" s="497"/>
      <c r="UEE75" s="497"/>
      <c r="UEF75" s="497"/>
      <c r="UEG75" s="497"/>
      <c r="UEH75" s="497"/>
      <c r="UEI75" s="497"/>
      <c r="UEJ75" s="497"/>
      <c r="UEK75" s="497"/>
      <c r="UEL75" s="497"/>
      <c r="UEM75" s="497"/>
      <c r="UEN75" s="497"/>
      <c r="UEO75" s="497"/>
      <c r="UEP75" s="497"/>
      <c r="UEQ75" s="497"/>
      <c r="UER75" s="497"/>
      <c r="UES75" s="497"/>
      <c r="UET75" s="497"/>
      <c r="UEU75" s="497"/>
      <c r="UEV75" s="497"/>
      <c r="UEW75" s="497"/>
      <c r="UEX75" s="497"/>
      <c r="UEY75" s="497"/>
      <c r="UEZ75" s="497"/>
      <c r="UFA75" s="497"/>
      <c r="UFB75" s="497"/>
      <c r="UFC75" s="497"/>
      <c r="UFD75" s="497"/>
      <c r="UFE75" s="497"/>
      <c r="UFF75" s="497"/>
      <c r="UFG75" s="497"/>
      <c r="UFH75" s="497"/>
      <c r="UFI75" s="497"/>
      <c r="UFJ75" s="497"/>
      <c r="UFK75" s="497"/>
      <c r="UFL75" s="497"/>
      <c r="UFM75" s="497"/>
      <c r="UFN75" s="497"/>
      <c r="UFO75" s="497"/>
      <c r="UFP75" s="497"/>
      <c r="UFQ75" s="497"/>
      <c r="UFR75" s="497"/>
      <c r="UFS75" s="497"/>
      <c r="UFT75" s="497"/>
      <c r="UFU75" s="497"/>
      <c r="UFV75" s="497"/>
      <c r="UFW75" s="497"/>
      <c r="UFX75" s="497"/>
      <c r="UFY75" s="497"/>
      <c r="UFZ75" s="497"/>
      <c r="UGA75" s="497"/>
      <c r="UGB75" s="497"/>
      <c r="UGC75" s="497"/>
      <c r="UGD75" s="497"/>
      <c r="UGE75" s="497"/>
      <c r="UGF75" s="497"/>
      <c r="UGG75" s="497"/>
      <c r="UGH75" s="497"/>
      <c r="UGI75" s="497"/>
      <c r="UGJ75" s="497"/>
      <c r="UGK75" s="497"/>
      <c r="UGL75" s="497"/>
      <c r="UGM75" s="497"/>
      <c r="UGN75" s="497"/>
      <c r="UGO75" s="497"/>
      <c r="UGP75" s="497"/>
      <c r="UGQ75" s="497"/>
      <c r="UGR75" s="497"/>
      <c r="UGS75" s="497"/>
      <c r="UGT75" s="497"/>
      <c r="UGU75" s="497"/>
      <c r="UGV75" s="497"/>
      <c r="UGW75" s="497"/>
      <c r="UGX75" s="497"/>
      <c r="UGY75" s="497"/>
      <c r="UGZ75" s="497"/>
      <c r="UHA75" s="497"/>
      <c r="UHB75" s="497"/>
      <c r="UHC75" s="497"/>
      <c r="UHD75" s="497"/>
      <c r="UHE75" s="497"/>
      <c r="UHF75" s="497"/>
      <c r="UHG75" s="497"/>
      <c r="UHH75" s="497"/>
      <c r="UHI75" s="497"/>
      <c r="UHJ75" s="497"/>
      <c r="UHK75" s="497"/>
      <c r="UHL75" s="497"/>
      <c r="UHM75" s="497"/>
      <c r="UHN75" s="497"/>
      <c r="UHO75" s="497"/>
      <c r="UHP75" s="497"/>
      <c r="UHQ75" s="497"/>
      <c r="UHR75" s="497"/>
      <c r="UHS75" s="497"/>
      <c r="UHT75" s="497"/>
      <c r="UHU75" s="497"/>
      <c r="UHV75" s="497"/>
      <c r="UHW75" s="497"/>
      <c r="UHX75" s="497"/>
      <c r="UHY75" s="497"/>
      <c r="UHZ75" s="497"/>
      <c r="UIA75" s="497"/>
      <c r="UIB75" s="497"/>
      <c r="UIC75" s="497"/>
      <c r="UID75" s="497"/>
      <c r="UIE75" s="497"/>
      <c r="UIF75" s="497"/>
      <c r="UIG75" s="497"/>
      <c r="UIH75" s="497"/>
      <c r="UII75" s="497"/>
      <c r="UIJ75" s="497"/>
      <c r="UIK75" s="497"/>
      <c r="UIL75" s="497"/>
      <c r="UIM75" s="497"/>
      <c r="UIN75" s="497"/>
      <c r="UIO75" s="497"/>
      <c r="UIP75" s="497"/>
      <c r="UIQ75" s="497"/>
      <c r="UIR75" s="497"/>
      <c r="UIS75" s="497"/>
      <c r="UIT75" s="497"/>
      <c r="UIU75" s="497"/>
      <c r="UIV75" s="497"/>
      <c r="UIW75" s="497"/>
      <c r="UIX75" s="497"/>
      <c r="UIY75" s="497"/>
      <c r="UIZ75" s="497"/>
      <c r="UJA75" s="497"/>
      <c r="UJB75" s="497"/>
      <c r="UJC75" s="497"/>
      <c r="UJD75" s="497"/>
      <c r="UJE75" s="497"/>
      <c r="UJF75" s="497"/>
      <c r="UJG75" s="497"/>
      <c r="UJH75" s="497"/>
      <c r="UJI75" s="497"/>
      <c r="UJJ75" s="497"/>
      <c r="UJK75" s="497"/>
      <c r="UJL75" s="497"/>
      <c r="UJM75" s="497"/>
      <c r="UJN75" s="497"/>
      <c r="UJO75" s="497"/>
      <c r="UJP75" s="497"/>
      <c r="UJQ75" s="497"/>
      <c r="UJR75" s="497"/>
      <c r="UJS75" s="497"/>
      <c r="UJT75" s="497"/>
      <c r="UJU75" s="497"/>
      <c r="UJV75" s="497"/>
      <c r="UJW75" s="497"/>
      <c r="UJX75" s="497"/>
      <c r="UJY75" s="497"/>
      <c r="UJZ75" s="497"/>
      <c r="UKA75" s="497"/>
      <c r="UKB75" s="497"/>
      <c r="UKC75" s="497"/>
      <c r="UKD75" s="497"/>
      <c r="UKE75" s="497"/>
      <c r="UKF75" s="497"/>
      <c r="UKG75" s="497"/>
      <c r="UKH75" s="497"/>
      <c r="UKI75" s="497"/>
      <c r="UKJ75" s="497"/>
      <c r="UKK75" s="497"/>
      <c r="UKL75" s="497"/>
      <c r="UKM75" s="497"/>
      <c r="UKN75" s="497"/>
      <c r="UKO75" s="497"/>
      <c r="UKP75" s="497"/>
      <c r="UKQ75" s="497"/>
      <c r="UKR75" s="497"/>
      <c r="UKS75" s="497"/>
      <c r="UKT75" s="497"/>
      <c r="UKU75" s="497"/>
      <c r="UKV75" s="497"/>
      <c r="UKW75" s="497"/>
      <c r="UKX75" s="497"/>
      <c r="UKY75" s="497"/>
      <c r="UKZ75" s="497"/>
      <c r="ULA75" s="497"/>
      <c r="ULB75" s="497"/>
      <c r="ULC75" s="497"/>
      <c r="ULD75" s="497"/>
      <c r="ULE75" s="497"/>
      <c r="ULF75" s="497"/>
      <c r="ULG75" s="497"/>
      <c r="ULH75" s="497"/>
      <c r="ULI75" s="497"/>
      <c r="ULJ75" s="497"/>
      <c r="ULK75" s="497"/>
      <c r="ULL75" s="497"/>
      <c r="ULM75" s="497"/>
      <c r="ULN75" s="497"/>
      <c r="ULO75" s="497"/>
      <c r="ULP75" s="497"/>
      <c r="ULQ75" s="497"/>
      <c r="ULR75" s="497"/>
      <c r="ULS75" s="497"/>
      <c r="ULT75" s="497"/>
      <c r="ULU75" s="497"/>
      <c r="ULV75" s="497"/>
      <c r="ULW75" s="497"/>
      <c r="ULX75" s="497"/>
      <c r="ULY75" s="497"/>
      <c r="ULZ75" s="497"/>
      <c r="UMA75" s="497"/>
      <c r="UMB75" s="497"/>
      <c r="UMC75" s="497"/>
      <c r="UMD75" s="497"/>
      <c r="UME75" s="497"/>
      <c r="UMF75" s="497"/>
      <c r="UMG75" s="497"/>
      <c r="UMH75" s="497"/>
      <c r="UMI75" s="497"/>
      <c r="UMJ75" s="497"/>
      <c r="UMK75" s="497"/>
      <c r="UML75" s="497"/>
      <c r="UMM75" s="497"/>
      <c r="UMN75" s="497"/>
      <c r="UMO75" s="497"/>
      <c r="UMP75" s="497"/>
      <c r="UMQ75" s="497"/>
      <c r="UMR75" s="497"/>
      <c r="UMS75" s="497"/>
      <c r="UMT75" s="497"/>
      <c r="UMU75" s="497"/>
      <c r="UMV75" s="497"/>
      <c r="UMW75" s="497"/>
      <c r="UMX75" s="497"/>
      <c r="UMY75" s="497"/>
      <c r="UMZ75" s="497"/>
      <c r="UNA75" s="497"/>
      <c r="UNB75" s="497"/>
      <c r="UNC75" s="497"/>
      <c r="UND75" s="497"/>
      <c r="UNE75" s="497"/>
      <c r="UNF75" s="497"/>
      <c r="UNG75" s="497"/>
      <c r="UNH75" s="497"/>
      <c r="UNI75" s="497"/>
      <c r="UNJ75" s="497"/>
      <c r="UNK75" s="497"/>
      <c r="UNL75" s="497"/>
      <c r="UNM75" s="497"/>
      <c r="UNN75" s="497"/>
      <c r="UNO75" s="497"/>
      <c r="UNP75" s="497"/>
      <c r="UNQ75" s="497"/>
      <c r="UNR75" s="497"/>
      <c r="UNS75" s="497"/>
      <c r="UNT75" s="497"/>
      <c r="UNU75" s="497"/>
      <c r="UNV75" s="497"/>
      <c r="UNW75" s="497"/>
      <c r="UNX75" s="497"/>
      <c r="UNY75" s="497"/>
      <c r="UNZ75" s="497"/>
      <c r="UOA75" s="497"/>
      <c r="UOB75" s="497"/>
      <c r="UOC75" s="497"/>
      <c r="UOD75" s="497"/>
      <c r="UOE75" s="497"/>
      <c r="UOF75" s="497"/>
      <c r="UOG75" s="497"/>
      <c r="UOH75" s="497"/>
      <c r="UOI75" s="497"/>
      <c r="UOJ75" s="497"/>
      <c r="UOK75" s="497"/>
      <c r="UOL75" s="497"/>
      <c r="UOM75" s="497"/>
      <c r="UON75" s="497"/>
      <c r="UOO75" s="497"/>
      <c r="UOP75" s="497"/>
      <c r="UOQ75" s="497"/>
      <c r="UOR75" s="497"/>
      <c r="UOS75" s="497"/>
      <c r="UOT75" s="497"/>
      <c r="UOU75" s="497"/>
      <c r="UOV75" s="497"/>
      <c r="UOW75" s="497"/>
      <c r="UOX75" s="497"/>
      <c r="UOY75" s="497"/>
      <c r="UOZ75" s="497"/>
      <c r="UPA75" s="497"/>
      <c r="UPB75" s="497"/>
      <c r="UPC75" s="497"/>
      <c r="UPD75" s="497"/>
      <c r="UPE75" s="497"/>
      <c r="UPF75" s="497"/>
      <c r="UPG75" s="497"/>
      <c r="UPH75" s="497"/>
      <c r="UPI75" s="497"/>
      <c r="UPJ75" s="497"/>
      <c r="UPK75" s="497"/>
      <c r="UPL75" s="497"/>
      <c r="UPM75" s="497"/>
      <c r="UPN75" s="497"/>
      <c r="UPO75" s="497"/>
      <c r="UPP75" s="497"/>
      <c r="UPQ75" s="497"/>
      <c r="UPR75" s="497"/>
      <c r="UPS75" s="497"/>
      <c r="UPT75" s="497"/>
      <c r="UPU75" s="497"/>
      <c r="UPV75" s="497"/>
      <c r="UPW75" s="497"/>
      <c r="UPX75" s="497"/>
      <c r="UPY75" s="497"/>
      <c r="UPZ75" s="497"/>
      <c r="UQA75" s="497"/>
      <c r="UQB75" s="497"/>
      <c r="UQC75" s="497"/>
      <c r="UQD75" s="497"/>
      <c r="UQE75" s="497"/>
      <c r="UQF75" s="497"/>
      <c r="UQG75" s="497"/>
      <c r="UQH75" s="497"/>
      <c r="UQI75" s="497"/>
      <c r="UQJ75" s="497"/>
      <c r="UQK75" s="497"/>
      <c r="UQL75" s="497"/>
      <c r="UQM75" s="497"/>
      <c r="UQN75" s="497"/>
      <c r="UQO75" s="497"/>
      <c r="UQP75" s="497"/>
      <c r="UQQ75" s="497"/>
      <c r="UQR75" s="497"/>
      <c r="UQS75" s="497"/>
      <c r="UQT75" s="497"/>
      <c r="UQU75" s="497"/>
      <c r="UQV75" s="497"/>
      <c r="UQW75" s="497"/>
      <c r="UQX75" s="497"/>
      <c r="UQY75" s="497"/>
      <c r="UQZ75" s="497"/>
      <c r="URA75" s="497"/>
      <c r="URB75" s="497"/>
      <c r="URC75" s="497"/>
      <c r="URD75" s="497"/>
      <c r="URE75" s="497"/>
      <c r="URF75" s="497"/>
      <c r="URG75" s="497"/>
      <c r="URH75" s="497"/>
      <c r="URI75" s="497"/>
      <c r="URJ75" s="497"/>
      <c r="URK75" s="497"/>
      <c r="URL75" s="497"/>
      <c r="URM75" s="497"/>
      <c r="URN75" s="497"/>
      <c r="URO75" s="497"/>
      <c r="URP75" s="497"/>
      <c r="URQ75" s="497"/>
      <c r="URR75" s="497"/>
      <c r="URS75" s="497"/>
      <c r="URT75" s="497"/>
      <c r="URU75" s="497"/>
      <c r="URV75" s="497"/>
      <c r="URW75" s="497"/>
      <c r="URX75" s="497"/>
      <c r="URY75" s="497"/>
      <c r="URZ75" s="497"/>
      <c r="USA75" s="497"/>
      <c r="USB75" s="497"/>
      <c r="USC75" s="497"/>
      <c r="USD75" s="497"/>
      <c r="USE75" s="497"/>
      <c r="USF75" s="497"/>
      <c r="USG75" s="497"/>
      <c r="USH75" s="497"/>
      <c r="USI75" s="497"/>
      <c r="USJ75" s="497"/>
      <c r="USK75" s="497"/>
      <c r="USL75" s="497"/>
      <c r="USM75" s="497"/>
      <c r="USN75" s="497"/>
      <c r="USO75" s="497"/>
      <c r="USP75" s="497"/>
      <c r="USQ75" s="497"/>
      <c r="USR75" s="497"/>
      <c r="USS75" s="497"/>
      <c r="UST75" s="497"/>
      <c r="USU75" s="497"/>
      <c r="USV75" s="497"/>
      <c r="USW75" s="497"/>
      <c r="USX75" s="497"/>
      <c r="USY75" s="497"/>
      <c r="USZ75" s="497"/>
      <c r="UTA75" s="497"/>
      <c r="UTB75" s="497"/>
      <c r="UTC75" s="497"/>
      <c r="UTD75" s="497"/>
      <c r="UTE75" s="497"/>
      <c r="UTF75" s="497"/>
      <c r="UTG75" s="497"/>
      <c r="UTH75" s="497"/>
      <c r="UTI75" s="497"/>
      <c r="UTJ75" s="497"/>
      <c r="UTK75" s="497"/>
      <c r="UTL75" s="497"/>
      <c r="UTM75" s="497"/>
      <c r="UTN75" s="497"/>
      <c r="UTO75" s="497"/>
      <c r="UTP75" s="497"/>
      <c r="UTQ75" s="497"/>
      <c r="UTR75" s="497"/>
      <c r="UTS75" s="497"/>
      <c r="UTT75" s="497"/>
      <c r="UTU75" s="497"/>
      <c r="UTV75" s="497"/>
      <c r="UTW75" s="497"/>
      <c r="UTX75" s="497"/>
      <c r="UTY75" s="497"/>
      <c r="UTZ75" s="497"/>
      <c r="UUA75" s="497"/>
      <c r="UUB75" s="497"/>
      <c r="UUC75" s="497"/>
      <c r="UUD75" s="497"/>
      <c r="UUE75" s="497"/>
      <c r="UUF75" s="497"/>
      <c r="UUG75" s="497"/>
      <c r="UUH75" s="497"/>
      <c r="UUI75" s="497"/>
      <c r="UUJ75" s="497"/>
      <c r="UUK75" s="497"/>
      <c r="UUL75" s="497"/>
      <c r="UUM75" s="497"/>
      <c r="UUN75" s="497"/>
      <c r="UUO75" s="497"/>
      <c r="UUP75" s="497"/>
      <c r="UUQ75" s="497"/>
      <c r="UUR75" s="497"/>
      <c r="UUS75" s="497"/>
      <c r="UUT75" s="497"/>
      <c r="UUU75" s="497"/>
      <c r="UUV75" s="497"/>
      <c r="UUW75" s="497"/>
      <c r="UUX75" s="497"/>
      <c r="UUY75" s="497"/>
      <c r="UUZ75" s="497"/>
      <c r="UVA75" s="497"/>
      <c r="UVB75" s="497"/>
      <c r="UVC75" s="497"/>
      <c r="UVD75" s="497"/>
      <c r="UVE75" s="497"/>
      <c r="UVF75" s="497"/>
      <c r="UVG75" s="497"/>
      <c r="UVH75" s="497"/>
      <c r="UVI75" s="497"/>
      <c r="UVJ75" s="497"/>
      <c r="UVK75" s="497"/>
      <c r="UVL75" s="497"/>
      <c r="UVM75" s="497"/>
      <c r="UVN75" s="497"/>
      <c r="UVO75" s="497"/>
      <c r="UVP75" s="497"/>
      <c r="UVQ75" s="497"/>
      <c r="UVR75" s="497"/>
      <c r="UVS75" s="497"/>
      <c r="UVT75" s="497"/>
      <c r="UVU75" s="497"/>
      <c r="UVV75" s="497"/>
      <c r="UVW75" s="497"/>
      <c r="UVX75" s="497"/>
      <c r="UVY75" s="497"/>
      <c r="UVZ75" s="497"/>
      <c r="UWA75" s="497"/>
      <c r="UWB75" s="497"/>
      <c r="UWC75" s="497"/>
      <c r="UWD75" s="497"/>
      <c r="UWE75" s="497"/>
      <c r="UWF75" s="497"/>
      <c r="UWG75" s="497"/>
      <c r="UWH75" s="497"/>
      <c r="UWI75" s="497"/>
      <c r="UWJ75" s="497"/>
      <c r="UWK75" s="497"/>
      <c r="UWL75" s="497"/>
      <c r="UWM75" s="497"/>
      <c r="UWN75" s="497"/>
      <c r="UWO75" s="497"/>
      <c r="UWP75" s="497"/>
      <c r="UWQ75" s="497"/>
      <c r="UWR75" s="497"/>
      <c r="UWS75" s="497"/>
      <c r="UWT75" s="497"/>
      <c r="UWU75" s="497"/>
      <c r="UWV75" s="497"/>
      <c r="UWW75" s="497"/>
      <c r="UWX75" s="497"/>
      <c r="UWY75" s="497"/>
      <c r="UWZ75" s="497"/>
      <c r="UXA75" s="497"/>
      <c r="UXB75" s="497"/>
      <c r="UXC75" s="497"/>
      <c r="UXD75" s="497"/>
      <c r="UXE75" s="497"/>
      <c r="UXF75" s="497"/>
      <c r="UXG75" s="497"/>
      <c r="UXH75" s="497"/>
      <c r="UXI75" s="497"/>
      <c r="UXJ75" s="497"/>
      <c r="UXK75" s="497"/>
      <c r="UXL75" s="497"/>
      <c r="UXM75" s="497"/>
      <c r="UXN75" s="497"/>
      <c r="UXO75" s="497"/>
      <c r="UXP75" s="497"/>
      <c r="UXQ75" s="497"/>
      <c r="UXR75" s="497"/>
      <c r="UXS75" s="497"/>
      <c r="UXT75" s="497"/>
      <c r="UXU75" s="497"/>
      <c r="UXV75" s="497"/>
      <c r="UXW75" s="497"/>
      <c r="UXX75" s="497"/>
      <c r="UXY75" s="497"/>
      <c r="UXZ75" s="497"/>
      <c r="UYA75" s="497"/>
      <c r="UYB75" s="497"/>
      <c r="UYC75" s="497"/>
      <c r="UYD75" s="497"/>
      <c r="UYE75" s="497"/>
      <c r="UYF75" s="497"/>
      <c r="UYG75" s="497"/>
      <c r="UYH75" s="497"/>
      <c r="UYI75" s="497"/>
      <c r="UYJ75" s="497"/>
      <c r="UYK75" s="497"/>
      <c r="UYL75" s="497"/>
      <c r="UYM75" s="497"/>
      <c r="UYN75" s="497"/>
      <c r="UYO75" s="497"/>
      <c r="UYP75" s="497"/>
      <c r="UYQ75" s="497"/>
      <c r="UYR75" s="497"/>
      <c r="UYS75" s="497"/>
      <c r="UYT75" s="497"/>
      <c r="UYU75" s="497"/>
      <c r="UYV75" s="497"/>
      <c r="UYW75" s="497"/>
      <c r="UYX75" s="497"/>
      <c r="UYY75" s="497"/>
      <c r="UYZ75" s="497"/>
      <c r="UZA75" s="497"/>
      <c r="UZB75" s="497"/>
      <c r="UZC75" s="497"/>
      <c r="UZD75" s="497"/>
      <c r="UZE75" s="497"/>
      <c r="UZF75" s="497"/>
      <c r="UZG75" s="497"/>
      <c r="UZH75" s="497"/>
      <c r="UZI75" s="497"/>
      <c r="UZJ75" s="497"/>
      <c r="UZK75" s="497"/>
      <c r="UZL75" s="497"/>
      <c r="UZM75" s="497"/>
      <c r="UZN75" s="497"/>
      <c r="UZO75" s="497"/>
      <c r="UZP75" s="497"/>
      <c r="UZQ75" s="497"/>
      <c r="UZR75" s="497"/>
      <c r="UZS75" s="497"/>
      <c r="UZT75" s="497"/>
      <c r="UZU75" s="497"/>
      <c r="UZV75" s="497"/>
      <c r="UZW75" s="497"/>
      <c r="UZX75" s="497"/>
      <c r="UZY75" s="497"/>
      <c r="UZZ75" s="497"/>
      <c r="VAA75" s="497"/>
      <c r="VAB75" s="497"/>
      <c r="VAC75" s="497"/>
      <c r="VAD75" s="497"/>
      <c r="VAE75" s="497"/>
      <c r="VAF75" s="497"/>
      <c r="VAG75" s="497"/>
      <c r="VAH75" s="497"/>
      <c r="VAI75" s="497"/>
      <c r="VAJ75" s="497"/>
      <c r="VAK75" s="497"/>
      <c r="VAL75" s="497"/>
      <c r="VAM75" s="497"/>
      <c r="VAN75" s="497"/>
      <c r="VAO75" s="497"/>
      <c r="VAP75" s="497"/>
      <c r="VAQ75" s="497"/>
      <c r="VAR75" s="497"/>
      <c r="VAS75" s="497"/>
      <c r="VAT75" s="497"/>
      <c r="VAU75" s="497"/>
      <c r="VAV75" s="497"/>
      <c r="VAW75" s="497"/>
      <c r="VAX75" s="497"/>
      <c r="VAY75" s="497"/>
      <c r="VAZ75" s="497"/>
      <c r="VBA75" s="497"/>
      <c r="VBB75" s="497"/>
      <c r="VBC75" s="497"/>
      <c r="VBD75" s="497"/>
      <c r="VBE75" s="497"/>
      <c r="VBF75" s="497"/>
      <c r="VBG75" s="497"/>
      <c r="VBH75" s="497"/>
      <c r="VBI75" s="497"/>
      <c r="VBJ75" s="497"/>
      <c r="VBK75" s="497"/>
      <c r="VBL75" s="497"/>
      <c r="VBM75" s="497"/>
      <c r="VBN75" s="497"/>
      <c r="VBO75" s="497"/>
      <c r="VBP75" s="497"/>
      <c r="VBQ75" s="497"/>
      <c r="VBR75" s="497"/>
      <c r="VBS75" s="497"/>
      <c r="VBT75" s="497"/>
      <c r="VBU75" s="497"/>
      <c r="VBV75" s="497"/>
      <c r="VBW75" s="497"/>
      <c r="VBX75" s="497"/>
      <c r="VBY75" s="497"/>
      <c r="VBZ75" s="497"/>
      <c r="VCA75" s="497"/>
      <c r="VCB75" s="497"/>
      <c r="VCC75" s="497"/>
      <c r="VCD75" s="497"/>
      <c r="VCE75" s="497"/>
      <c r="VCF75" s="497"/>
      <c r="VCG75" s="497"/>
      <c r="VCH75" s="497"/>
      <c r="VCI75" s="497"/>
      <c r="VCJ75" s="497"/>
      <c r="VCK75" s="497"/>
      <c r="VCL75" s="497"/>
      <c r="VCM75" s="497"/>
      <c r="VCN75" s="497"/>
      <c r="VCO75" s="497"/>
      <c r="VCP75" s="497"/>
      <c r="VCQ75" s="497"/>
      <c r="VCR75" s="497"/>
      <c r="VCS75" s="497"/>
      <c r="VCT75" s="497"/>
      <c r="VCU75" s="497"/>
      <c r="VCV75" s="497"/>
      <c r="VCW75" s="497"/>
      <c r="VCX75" s="497"/>
      <c r="VCY75" s="497"/>
      <c r="VCZ75" s="497"/>
      <c r="VDA75" s="497"/>
      <c r="VDB75" s="497"/>
      <c r="VDC75" s="497"/>
      <c r="VDD75" s="497"/>
      <c r="VDE75" s="497"/>
      <c r="VDF75" s="497"/>
      <c r="VDG75" s="497"/>
      <c r="VDH75" s="497"/>
      <c r="VDI75" s="497"/>
      <c r="VDJ75" s="497"/>
      <c r="VDK75" s="497"/>
      <c r="VDL75" s="497"/>
      <c r="VDM75" s="497"/>
      <c r="VDN75" s="497"/>
      <c r="VDO75" s="497"/>
      <c r="VDP75" s="497"/>
      <c r="VDQ75" s="497"/>
      <c r="VDR75" s="497"/>
      <c r="VDS75" s="497"/>
      <c r="VDT75" s="497"/>
      <c r="VDU75" s="497"/>
      <c r="VDV75" s="497"/>
      <c r="VDW75" s="497"/>
      <c r="VDX75" s="497"/>
      <c r="VDY75" s="497"/>
      <c r="VDZ75" s="497"/>
      <c r="VEA75" s="497"/>
      <c r="VEB75" s="497"/>
      <c r="VEC75" s="497"/>
      <c r="VED75" s="497"/>
      <c r="VEE75" s="497"/>
      <c r="VEF75" s="497"/>
      <c r="VEG75" s="497"/>
      <c r="VEH75" s="497"/>
      <c r="VEI75" s="497"/>
      <c r="VEJ75" s="497"/>
      <c r="VEK75" s="497"/>
      <c r="VEL75" s="497"/>
      <c r="VEM75" s="497"/>
      <c r="VEN75" s="497"/>
      <c r="VEO75" s="497"/>
      <c r="VEP75" s="497"/>
      <c r="VEQ75" s="497"/>
      <c r="VER75" s="497"/>
      <c r="VES75" s="497"/>
      <c r="VET75" s="497"/>
      <c r="VEU75" s="497"/>
      <c r="VEV75" s="497"/>
      <c r="VEW75" s="497"/>
      <c r="VEX75" s="497"/>
      <c r="VEY75" s="497"/>
      <c r="VEZ75" s="497"/>
      <c r="VFA75" s="497"/>
      <c r="VFB75" s="497"/>
      <c r="VFC75" s="497"/>
      <c r="VFD75" s="497"/>
      <c r="VFE75" s="497"/>
      <c r="VFF75" s="497"/>
      <c r="VFG75" s="497"/>
      <c r="VFH75" s="497"/>
      <c r="VFI75" s="497"/>
      <c r="VFJ75" s="497"/>
      <c r="VFK75" s="497"/>
      <c r="VFL75" s="497"/>
      <c r="VFM75" s="497"/>
      <c r="VFN75" s="497"/>
      <c r="VFO75" s="497"/>
      <c r="VFP75" s="497"/>
      <c r="VFQ75" s="497"/>
      <c r="VFR75" s="497"/>
      <c r="VFS75" s="497"/>
      <c r="VFT75" s="497"/>
      <c r="VFU75" s="497"/>
      <c r="VFV75" s="497"/>
      <c r="VFW75" s="497"/>
      <c r="VFX75" s="497"/>
      <c r="VFY75" s="497"/>
      <c r="VFZ75" s="497"/>
      <c r="VGA75" s="497"/>
      <c r="VGB75" s="497"/>
      <c r="VGC75" s="497"/>
      <c r="VGD75" s="497"/>
      <c r="VGE75" s="497"/>
      <c r="VGF75" s="497"/>
      <c r="VGG75" s="497"/>
      <c r="VGH75" s="497"/>
      <c r="VGI75" s="497"/>
      <c r="VGJ75" s="497"/>
      <c r="VGK75" s="497"/>
      <c r="VGL75" s="497"/>
      <c r="VGM75" s="497"/>
      <c r="VGN75" s="497"/>
      <c r="VGO75" s="497"/>
      <c r="VGP75" s="497"/>
      <c r="VGQ75" s="497"/>
      <c r="VGR75" s="497"/>
      <c r="VGS75" s="497"/>
      <c r="VGT75" s="497"/>
      <c r="VGU75" s="497"/>
      <c r="VGV75" s="497"/>
      <c r="VGW75" s="497"/>
      <c r="VGX75" s="497"/>
      <c r="VGY75" s="497"/>
      <c r="VGZ75" s="497"/>
      <c r="VHA75" s="497"/>
      <c r="VHB75" s="497"/>
      <c r="VHC75" s="497"/>
      <c r="VHD75" s="497"/>
      <c r="VHE75" s="497"/>
      <c r="VHF75" s="497"/>
      <c r="VHG75" s="497"/>
      <c r="VHH75" s="497"/>
      <c r="VHI75" s="497"/>
      <c r="VHJ75" s="497"/>
      <c r="VHK75" s="497"/>
      <c r="VHL75" s="497"/>
      <c r="VHM75" s="497"/>
      <c r="VHN75" s="497"/>
      <c r="VHO75" s="497"/>
      <c r="VHP75" s="497"/>
      <c r="VHQ75" s="497"/>
      <c r="VHR75" s="497"/>
      <c r="VHS75" s="497"/>
      <c r="VHT75" s="497"/>
      <c r="VHU75" s="497"/>
      <c r="VHV75" s="497"/>
      <c r="VHW75" s="497"/>
      <c r="VHX75" s="497"/>
      <c r="VHY75" s="497"/>
      <c r="VHZ75" s="497"/>
      <c r="VIA75" s="497"/>
      <c r="VIB75" s="497"/>
      <c r="VIC75" s="497"/>
      <c r="VID75" s="497"/>
      <c r="VIE75" s="497"/>
      <c r="VIF75" s="497"/>
      <c r="VIG75" s="497"/>
      <c r="VIH75" s="497"/>
      <c r="VII75" s="497"/>
      <c r="VIJ75" s="497"/>
      <c r="VIK75" s="497"/>
      <c r="VIL75" s="497"/>
      <c r="VIM75" s="497"/>
      <c r="VIN75" s="497"/>
      <c r="VIO75" s="497"/>
      <c r="VIP75" s="497"/>
      <c r="VIQ75" s="497"/>
      <c r="VIR75" s="497"/>
      <c r="VIS75" s="497"/>
      <c r="VIT75" s="497"/>
      <c r="VIU75" s="497"/>
      <c r="VIV75" s="497"/>
      <c r="VIW75" s="497"/>
      <c r="VIX75" s="497"/>
      <c r="VIY75" s="497"/>
      <c r="VIZ75" s="497"/>
      <c r="VJA75" s="497"/>
      <c r="VJB75" s="497"/>
      <c r="VJC75" s="497"/>
      <c r="VJD75" s="497"/>
      <c r="VJE75" s="497"/>
      <c r="VJF75" s="497"/>
      <c r="VJG75" s="497"/>
      <c r="VJH75" s="497"/>
      <c r="VJI75" s="497"/>
      <c r="VJJ75" s="497"/>
      <c r="VJK75" s="497"/>
      <c r="VJL75" s="497"/>
      <c r="VJM75" s="497"/>
      <c r="VJN75" s="497"/>
      <c r="VJO75" s="497"/>
      <c r="VJP75" s="497"/>
      <c r="VJQ75" s="497"/>
      <c r="VJR75" s="497"/>
      <c r="VJS75" s="497"/>
      <c r="VJT75" s="497"/>
      <c r="VJU75" s="497"/>
      <c r="VJV75" s="497"/>
      <c r="VJW75" s="497"/>
      <c r="VJX75" s="497"/>
      <c r="VJY75" s="497"/>
      <c r="VJZ75" s="497"/>
      <c r="VKA75" s="497"/>
      <c r="VKB75" s="497"/>
      <c r="VKC75" s="497"/>
      <c r="VKD75" s="497"/>
      <c r="VKE75" s="497"/>
      <c r="VKF75" s="497"/>
      <c r="VKG75" s="497"/>
      <c r="VKH75" s="497"/>
      <c r="VKI75" s="497"/>
      <c r="VKJ75" s="497"/>
      <c r="VKK75" s="497"/>
      <c r="VKL75" s="497"/>
      <c r="VKM75" s="497"/>
      <c r="VKN75" s="497"/>
      <c r="VKO75" s="497"/>
      <c r="VKP75" s="497"/>
      <c r="VKQ75" s="497"/>
      <c r="VKR75" s="497"/>
      <c r="VKS75" s="497"/>
      <c r="VKT75" s="497"/>
      <c r="VKU75" s="497"/>
      <c r="VKV75" s="497"/>
      <c r="VKW75" s="497"/>
      <c r="VKX75" s="497"/>
      <c r="VKY75" s="497"/>
      <c r="VKZ75" s="497"/>
      <c r="VLA75" s="497"/>
      <c r="VLB75" s="497"/>
      <c r="VLC75" s="497"/>
      <c r="VLD75" s="497"/>
      <c r="VLE75" s="497"/>
      <c r="VLF75" s="497"/>
      <c r="VLG75" s="497"/>
      <c r="VLH75" s="497"/>
      <c r="VLI75" s="497"/>
      <c r="VLJ75" s="497"/>
      <c r="VLK75" s="497"/>
      <c r="VLL75" s="497"/>
      <c r="VLM75" s="497"/>
      <c r="VLN75" s="497"/>
      <c r="VLO75" s="497"/>
      <c r="VLP75" s="497"/>
      <c r="VLQ75" s="497"/>
      <c r="VLR75" s="497"/>
      <c r="VLS75" s="497"/>
      <c r="VLT75" s="497"/>
      <c r="VLU75" s="497"/>
      <c r="VLV75" s="497"/>
      <c r="VLW75" s="497"/>
      <c r="VLX75" s="497"/>
      <c r="VLY75" s="497"/>
      <c r="VLZ75" s="497"/>
      <c r="VMA75" s="497"/>
      <c r="VMB75" s="497"/>
      <c r="VMC75" s="497"/>
      <c r="VMD75" s="497"/>
      <c r="VME75" s="497"/>
      <c r="VMF75" s="497"/>
      <c r="VMG75" s="497"/>
      <c r="VMH75" s="497"/>
      <c r="VMI75" s="497"/>
      <c r="VMJ75" s="497"/>
      <c r="VMK75" s="497"/>
      <c r="VML75" s="497"/>
      <c r="VMM75" s="497"/>
      <c r="VMN75" s="497"/>
      <c r="VMO75" s="497"/>
      <c r="VMP75" s="497"/>
      <c r="VMQ75" s="497"/>
      <c r="VMR75" s="497"/>
      <c r="VMS75" s="497"/>
      <c r="VMT75" s="497"/>
      <c r="VMU75" s="497"/>
      <c r="VMV75" s="497"/>
      <c r="VMW75" s="497"/>
      <c r="VMX75" s="497"/>
      <c r="VMY75" s="497"/>
      <c r="VMZ75" s="497"/>
      <c r="VNA75" s="497"/>
      <c r="VNB75" s="497"/>
      <c r="VNC75" s="497"/>
      <c r="VND75" s="497"/>
      <c r="VNE75" s="497"/>
      <c r="VNF75" s="497"/>
      <c r="VNG75" s="497"/>
      <c r="VNH75" s="497"/>
      <c r="VNI75" s="497"/>
      <c r="VNJ75" s="497"/>
      <c r="VNK75" s="497"/>
      <c r="VNL75" s="497"/>
      <c r="VNM75" s="497"/>
      <c r="VNN75" s="497"/>
      <c r="VNO75" s="497"/>
      <c r="VNP75" s="497"/>
      <c r="VNQ75" s="497"/>
      <c r="VNR75" s="497"/>
      <c r="VNS75" s="497"/>
      <c r="VNT75" s="497"/>
      <c r="VNU75" s="497"/>
      <c r="VNV75" s="497"/>
      <c r="VNW75" s="497"/>
      <c r="VNX75" s="497"/>
      <c r="VNY75" s="497"/>
      <c r="VNZ75" s="497"/>
      <c r="VOA75" s="497"/>
      <c r="VOB75" s="497"/>
      <c r="VOC75" s="497"/>
      <c r="VOD75" s="497"/>
      <c r="VOE75" s="497"/>
      <c r="VOF75" s="497"/>
      <c r="VOG75" s="497"/>
      <c r="VOH75" s="497"/>
      <c r="VOI75" s="497"/>
      <c r="VOJ75" s="497"/>
      <c r="VOK75" s="497"/>
      <c r="VOL75" s="497"/>
      <c r="VOM75" s="497"/>
      <c r="VON75" s="497"/>
      <c r="VOO75" s="497"/>
      <c r="VOP75" s="497"/>
      <c r="VOQ75" s="497"/>
      <c r="VOR75" s="497"/>
      <c r="VOS75" s="497"/>
      <c r="VOT75" s="497"/>
      <c r="VOU75" s="497"/>
      <c r="VOV75" s="497"/>
      <c r="VOW75" s="497"/>
      <c r="VOX75" s="497"/>
      <c r="VOY75" s="497"/>
      <c r="VOZ75" s="497"/>
      <c r="VPA75" s="497"/>
      <c r="VPB75" s="497"/>
      <c r="VPC75" s="497"/>
      <c r="VPD75" s="497"/>
      <c r="VPE75" s="497"/>
      <c r="VPF75" s="497"/>
      <c r="VPG75" s="497"/>
      <c r="VPH75" s="497"/>
      <c r="VPI75" s="497"/>
      <c r="VPJ75" s="497"/>
      <c r="VPK75" s="497"/>
      <c r="VPL75" s="497"/>
      <c r="VPM75" s="497"/>
      <c r="VPN75" s="497"/>
      <c r="VPO75" s="497"/>
      <c r="VPP75" s="497"/>
      <c r="VPQ75" s="497"/>
      <c r="VPR75" s="497"/>
      <c r="VPS75" s="497"/>
      <c r="VPT75" s="497"/>
      <c r="VPU75" s="497"/>
      <c r="VPV75" s="497"/>
      <c r="VPW75" s="497"/>
      <c r="VPX75" s="497"/>
      <c r="VPY75" s="497"/>
      <c r="VPZ75" s="497"/>
      <c r="VQA75" s="497"/>
      <c r="VQB75" s="497"/>
      <c r="VQC75" s="497"/>
      <c r="VQD75" s="497"/>
      <c r="VQE75" s="497"/>
      <c r="VQF75" s="497"/>
      <c r="VQG75" s="497"/>
      <c r="VQH75" s="497"/>
      <c r="VQI75" s="497"/>
      <c r="VQJ75" s="497"/>
      <c r="VQK75" s="497"/>
      <c r="VQL75" s="497"/>
      <c r="VQM75" s="497"/>
      <c r="VQN75" s="497"/>
      <c r="VQO75" s="497"/>
      <c r="VQP75" s="497"/>
      <c r="VQQ75" s="497"/>
      <c r="VQR75" s="497"/>
      <c r="VQS75" s="497"/>
      <c r="VQT75" s="497"/>
      <c r="VQU75" s="497"/>
      <c r="VQV75" s="497"/>
      <c r="VQW75" s="497"/>
      <c r="VQX75" s="497"/>
      <c r="VQY75" s="497"/>
      <c r="VQZ75" s="497"/>
      <c r="VRA75" s="497"/>
      <c r="VRB75" s="497"/>
      <c r="VRC75" s="497"/>
      <c r="VRD75" s="497"/>
      <c r="VRE75" s="497"/>
      <c r="VRF75" s="497"/>
      <c r="VRG75" s="497"/>
      <c r="VRH75" s="497"/>
      <c r="VRI75" s="497"/>
      <c r="VRJ75" s="497"/>
      <c r="VRK75" s="497"/>
      <c r="VRL75" s="497"/>
      <c r="VRM75" s="497"/>
      <c r="VRN75" s="497"/>
      <c r="VRO75" s="497"/>
      <c r="VRP75" s="497"/>
      <c r="VRQ75" s="497"/>
      <c r="VRR75" s="497"/>
      <c r="VRS75" s="497"/>
      <c r="VRT75" s="497"/>
      <c r="VRU75" s="497"/>
      <c r="VRV75" s="497"/>
      <c r="VRW75" s="497"/>
      <c r="VRX75" s="497"/>
      <c r="VRY75" s="497"/>
      <c r="VRZ75" s="497"/>
      <c r="VSA75" s="497"/>
      <c r="VSB75" s="497"/>
      <c r="VSC75" s="497"/>
      <c r="VSD75" s="497"/>
      <c r="VSE75" s="497"/>
      <c r="VSF75" s="497"/>
      <c r="VSG75" s="497"/>
      <c r="VSH75" s="497"/>
      <c r="VSI75" s="497"/>
      <c r="VSJ75" s="497"/>
      <c r="VSK75" s="497"/>
      <c r="VSL75" s="497"/>
      <c r="VSM75" s="497"/>
      <c r="VSN75" s="497"/>
      <c r="VSO75" s="497"/>
      <c r="VSP75" s="497"/>
      <c r="VSQ75" s="497"/>
      <c r="VSR75" s="497"/>
      <c r="VSS75" s="497"/>
      <c r="VST75" s="497"/>
      <c r="VSU75" s="497"/>
      <c r="VSV75" s="497"/>
      <c r="VSW75" s="497"/>
      <c r="VSX75" s="497"/>
      <c r="VSY75" s="497"/>
      <c r="VSZ75" s="497"/>
      <c r="VTA75" s="497"/>
      <c r="VTB75" s="497"/>
      <c r="VTC75" s="497"/>
      <c r="VTD75" s="497"/>
      <c r="VTE75" s="497"/>
      <c r="VTF75" s="497"/>
      <c r="VTG75" s="497"/>
      <c r="VTH75" s="497"/>
      <c r="VTI75" s="497"/>
      <c r="VTJ75" s="497"/>
      <c r="VTK75" s="497"/>
      <c r="VTL75" s="497"/>
      <c r="VTM75" s="497"/>
      <c r="VTN75" s="497"/>
      <c r="VTO75" s="497"/>
      <c r="VTP75" s="497"/>
      <c r="VTQ75" s="497"/>
      <c r="VTR75" s="497"/>
      <c r="VTS75" s="497"/>
      <c r="VTT75" s="497"/>
      <c r="VTU75" s="497"/>
      <c r="VTV75" s="497"/>
      <c r="VTW75" s="497"/>
      <c r="VTX75" s="497"/>
      <c r="VTY75" s="497"/>
      <c r="VTZ75" s="497"/>
      <c r="VUA75" s="497"/>
      <c r="VUB75" s="497"/>
      <c r="VUC75" s="497"/>
      <c r="VUD75" s="497"/>
      <c r="VUE75" s="497"/>
      <c r="VUF75" s="497"/>
      <c r="VUG75" s="497"/>
      <c r="VUH75" s="497"/>
      <c r="VUI75" s="497"/>
      <c r="VUJ75" s="497"/>
      <c r="VUK75" s="497"/>
      <c r="VUL75" s="497"/>
      <c r="VUM75" s="497"/>
      <c r="VUN75" s="497"/>
      <c r="VUO75" s="497"/>
      <c r="VUP75" s="497"/>
      <c r="VUQ75" s="497"/>
      <c r="VUR75" s="497"/>
      <c r="VUS75" s="497"/>
      <c r="VUT75" s="497"/>
      <c r="VUU75" s="497"/>
      <c r="VUV75" s="497"/>
      <c r="VUW75" s="497"/>
      <c r="VUX75" s="497"/>
      <c r="VUY75" s="497"/>
      <c r="VUZ75" s="497"/>
      <c r="VVA75" s="497"/>
      <c r="VVB75" s="497"/>
      <c r="VVC75" s="497"/>
      <c r="VVD75" s="497"/>
      <c r="VVE75" s="497"/>
      <c r="VVF75" s="497"/>
      <c r="VVG75" s="497"/>
      <c r="VVH75" s="497"/>
      <c r="VVI75" s="497"/>
      <c r="VVJ75" s="497"/>
      <c r="VVK75" s="497"/>
      <c r="VVL75" s="497"/>
      <c r="VVM75" s="497"/>
      <c r="VVN75" s="497"/>
      <c r="VVO75" s="497"/>
      <c r="VVP75" s="497"/>
      <c r="VVQ75" s="497"/>
      <c r="VVR75" s="497"/>
      <c r="VVS75" s="497"/>
      <c r="VVT75" s="497"/>
      <c r="VVU75" s="497"/>
      <c r="VVV75" s="497"/>
      <c r="VVW75" s="497"/>
      <c r="VVX75" s="497"/>
      <c r="VVY75" s="497"/>
      <c r="VVZ75" s="497"/>
      <c r="VWA75" s="497"/>
      <c r="VWB75" s="497"/>
      <c r="VWC75" s="497"/>
      <c r="VWD75" s="497"/>
      <c r="VWE75" s="497"/>
      <c r="VWF75" s="497"/>
      <c r="VWG75" s="497"/>
      <c r="VWH75" s="497"/>
      <c r="VWI75" s="497"/>
      <c r="VWJ75" s="497"/>
      <c r="VWK75" s="497"/>
      <c r="VWL75" s="497"/>
      <c r="VWM75" s="497"/>
      <c r="VWN75" s="497"/>
      <c r="VWO75" s="497"/>
      <c r="VWP75" s="497"/>
      <c r="VWQ75" s="497"/>
      <c r="VWR75" s="497"/>
      <c r="VWS75" s="497"/>
      <c r="VWT75" s="497"/>
      <c r="VWU75" s="497"/>
      <c r="VWV75" s="497"/>
      <c r="VWW75" s="497"/>
      <c r="VWX75" s="497"/>
      <c r="VWY75" s="497"/>
      <c r="VWZ75" s="497"/>
      <c r="VXA75" s="497"/>
      <c r="VXB75" s="497"/>
      <c r="VXC75" s="497"/>
      <c r="VXD75" s="497"/>
      <c r="VXE75" s="497"/>
      <c r="VXF75" s="497"/>
      <c r="VXG75" s="497"/>
      <c r="VXH75" s="497"/>
      <c r="VXI75" s="497"/>
      <c r="VXJ75" s="497"/>
      <c r="VXK75" s="497"/>
      <c r="VXL75" s="497"/>
      <c r="VXM75" s="497"/>
      <c r="VXN75" s="497"/>
      <c r="VXO75" s="497"/>
      <c r="VXP75" s="497"/>
      <c r="VXQ75" s="497"/>
      <c r="VXR75" s="497"/>
      <c r="VXS75" s="497"/>
      <c r="VXT75" s="497"/>
      <c r="VXU75" s="497"/>
      <c r="VXV75" s="497"/>
      <c r="VXW75" s="497"/>
      <c r="VXX75" s="497"/>
      <c r="VXY75" s="497"/>
      <c r="VXZ75" s="497"/>
      <c r="VYA75" s="497"/>
      <c r="VYB75" s="497"/>
      <c r="VYC75" s="497"/>
      <c r="VYD75" s="497"/>
      <c r="VYE75" s="497"/>
      <c r="VYF75" s="497"/>
      <c r="VYG75" s="497"/>
      <c r="VYH75" s="497"/>
      <c r="VYI75" s="497"/>
      <c r="VYJ75" s="497"/>
      <c r="VYK75" s="497"/>
      <c r="VYL75" s="497"/>
      <c r="VYM75" s="497"/>
      <c r="VYN75" s="497"/>
      <c r="VYO75" s="497"/>
      <c r="VYP75" s="497"/>
      <c r="VYQ75" s="497"/>
      <c r="VYR75" s="497"/>
      <c r="VYS75" s="497"/>
      <c r="VYT75" s="497"/>
      <c r="VYU75" s="497"/>
      <c r="VYV75" s="497"/>
      <c r="VYW75" s="497"/>
      <c r="VYX75" s="497"/>
      <c r="VYY75" s="497"/>
      <c r="VYZ75" s="497"/>
      <c r="VZA75" s="497"/>
      <c r="VZB75" s="497"/>
      <c r="VZC75" s="497"/>
      <c r="VZD75" s="497"/>
      <c r="VZE75" s="497"/>
      <c r="VZF75" s="497"/>
      <c r="VZG75" s="497"/>
      <c r="VZH75" s="497"/>
      <c r="VZI75" s="497"/>
      <c r="VZJ75" s="497"/>
      <c r="VZK75" s="497"/>
      <c r="VZL75" s="497"/>
      <c r="VZM75" s="497"/>
      <c r="VZN75" s="497"/>
      <c r="VZO75" s="497"/>
      <c r="VZP75" s="497"/>
      <c r="VZQ75" s="497"/>
      <c r="VZR75" s="497"/>
      <c r="VZS75" s="497"/>
      <c r="VZT75" s="497"/>
      <c r="VZU75" s="497"/>
      <c r="VZV75" s="497"/>
      <c r="VZW75" s="497"/>
      <c r="VZX75" s="497"/>
      <c r="VZY75" s="497"/>
      <c r="VZZ75" s="497"/>
      <c r="WAA75" s="497"/>
      <c r="WAB75" s="497"/>
      <c r="WAC75" s="497"/>
      <c r="WAD75" s="497"/>
      <c r="WAE75" s="497"/>
      <c r="WAF75" s="497"/>
      <c r="WAG75" s="497"/>
      <c r="WAH75" s="497"/>
      <c r="WAI75" s="497"/>
      <c r="WAJ75" s="497"/>
      <c r="WAK75" s="497"/>
      <c r="WAL75" s="497"/>
      <c r="WAM75" s="497"/>
      <c r="WAN75" s="497"/>
      <c r="WAO75" s="497"/>
      <c r="WAP75" s="497"/>
      <c r="WAQ75" s="497"/>
      <c r="WAR75" s="497"/>
      <c r="WAS75" s="497"/>
      <c r="WAT75" s="497"/>
      <c r="WAU75" s="497"/>
      <c r="WAV75" s="497"/>
      <c r="WAW75" s="497"/>
      <c r="WAX75" s="497"/>
      <c r="WAY75" s="497"/>
      <c r="WAZ75" s="497"/>
      <c r="WBA75" s="497"/>
      <c r="WBB75" s="497"/>
      <c r="WBC75" s="497"/>
      <c r="WBD75" s="497"/>
      <c r="WBE75" s="497"/>
      <c r="WBF75" s="497"/>
      <c r="WBG75" s="497"/>
      <c r="WBH75" s="497"/>
      <c r="WBI75" s="497"/>
      <c r="WBJ75" s="497"/>
      <c r="WBK75" s="497"/>
      <c r="WBL75" s="497"/>
      <c r="WBM75" s="497"/>
      <c r="WBN75" s="497"/>
      <c r="WBO75" s="497"/>
      <c r="WBP75" s="497"/>
      <c r="WBQ75" s="497"/>
      <c r="WBR75" s="497"/>
      <c r="WBS75" s="497"/>
      <c r="WBT75" s="497"/>
      <c r="WBU75" s="497"/>
      <c r="WBV75" s="497"/>
      <c r="WBW75" s="497"/>
      <c r="WBX75" s="497"/>
      <c r="WBY75" s="497"/>
      <c r="WBZ75" s="497"/>
      <c r="WCA75" s="497"/>
      <c r="WCB75" s="497"/>
      <c r="WCC75" s="497"/>
      <c r="WCD75" s="497"/>
      <c r="WCE75" s="497"/>
      <c r="WCF75" s="497"/>
      <c r="WCG75" s="497"/>
      <c r="WCH75" s="497"/>
      <c r="WCI75" s="497"/>
      <c r="WCJ75" s="497"/>
      <c r="WCK75" s="497"/>
      <c r="WCL75" s="497"/>
      <c r="WCM75" s="497"/>
      <c r="WCN75" s="497"/>
      <c r="WCO75" s="497"/>
      <c r="WCP75" s="497"/>
      <c r="WCQ75" s="497"/>
      <c r="WCR75" s="497"/>
      <c r="WCS75" s="497"/>
      <c r="WCT75" s="497"/>
      <c r="WCU75" s="497"/>
      <c r="WCV75" s="497"/>
      <c r="WCW75" s="497"/>
      <c r="WCX75" s="497"/>
      <c r="WCY75" s="497"/>
      <c r="WCZ75" s="497"/>
      <c r="WDA75" s="497"/>
      <c r="WDB75" s="497"/>
      <c r="WDC75" s="497"/>
      <c r="WDD75" s="497"/>
      <c r="WDE75" s="497"/>
      <c r="WDF75" s="497"/>
      <c r="WDG75" s="497"/>
      <c r="WDH75" s="497"/>
      <c r="WDI75" s="497"/>
      <c r="WDJ75" s="497"/>
      <c r="WDK75" s="497"/>
      <c r="WDL75" s="497"/>
      <c r="WDM75" s="497"/>
      <c r="WDN75" s="497"/>
      <c r="WDO75" s="497"/>
      <c r="WDP75" s="497"/>
      <c r="WDQ75" s="497"/>
      <c r="WDR75" s="497"/>
      <c r="WDS75" s="497"/>
      <c r="WDT75" s="497"/>
      <c r="WDU75" s="497"/>
      <c r="WDV75" s="497"/>
      <c r="WDW75" s="497"/>
      <c r="WDX75" s="497"/>
      <c r="WDY75" s="497"/>
      <c r="WDZ75" s="497"/>
      <c r="WEA75" s="497"/>
      <c r="WEB75" s="497"/>
      <c r="WEC75" s="497"/>
      <c r="WED75" s="497"/>
      <c r="WEE75" s="497"/>
      <c r="WEF75" s="497"/>
      <c r="WEG75" s="497"/>
      <c r="WEH75" s="497"/>
      <c r="WEI75" s="497"/>
      <c r="WEJ75" s="497"/>
      <c r="WEK75" s="497"/>
      <c r="WEL75" s="497"/>
      <c r="WEM75" s="497"/>
      <c r="WEN75" s="497"/>
      <c r="WEO75" s="497"/>
      <c r="WEP75" s="497"/>
      <c r="WEQ75" s="497"/>
      <c r="WER75" s="497"/>
      <c r="WES75" s="497"/>
      <c r="WET75" s="497"/>
      <c r="WEU75" s="497"/>
      <c r="WEV75" s="497"/>
      <c r="WEW75" s="497"/>
      <c r="WEX75" s="497"/>
      <c r="WEY75" s="497"/>
      <c r="WEZ75" s="497"/>
      <c r="WFA75" s="497"/>
      <c r="WFB75" s="497"/>
      <c r="WFC75" s="497"/>
      <c r="WFD75" s="497"/>
      <c r="WFE75" s="497"/>
      <c r="WFF75" s="497"/>
      <c r="WFG75" s="497"/>
      <c r="WFH75" s="497"/>
      <c r="WFI75" s="497"/>
      <c r="WFJ75" s="497"/>
      <c r="WFK75" s="497"/>
      <c r="WFL75" s="497"/>
      <c r="WFM75" s="497"/>
      <c r="WFN75" s="497"/>
      <c r="WFO75" s="497"/>
      <c r="WFP75" s="497"/>
      <c r="WFQ75" s="497"/>
      <c r="WFR75" s="497"/>
      <c r="WFS75" s="497"/>
      <c r="WFT75" s="497"/>
      <c r="WFU75" s="497"/>
      <c r="WFV75" s="497"/>
      <c r="WFW75" s="497"/>
      <c r="WFX75" s="497"/>
      <c r="WFY75" s="497"/>
      <c r="WFZ75" s="497"/>
      <c r="WGA75" s="497"/>
      <c r="WGB75" s="497"/>
      <c r="WGC75" s="497"/>
      <c r="WGD75" s="497"/>
      <c r="WGE75" s="497"/>
      <c r="WGF75" s="497"/>
      <c r="WGG75" s="497"/>
      <c r="WGH75" s="497"/>
      <c r="WGI75" s="497"/>
      <c r="WGJ75" s="497"/>
      <c r="WGK75" s="497"/>
      <c r="WGL75" s="497"/>
      <c r="WGM75" s="497"/>
      <c r="WGN75" s="497"/>
      <c r="WGO75" s="497"/>
      <c r="WGP75" s="497"/>
      <c r="WGQ75" s="497"/>
      <c r="WGR75" s="497"/>
      <c r="WGS75" s="497"/>
      <c r="WGT75" s="497"/>
      <c r="WGU75" s="497"/>
      <c r="WGV75" s="497"/>
      <c r="WGW75" s="497"/>
      <c r="WGX75" s="497"/>
      <c r="WGY75" s="497"/>
      <c r="WGZ75" s="497"/>
      <c r="WHA75" s="497"/>
      <c r="WHB75" s="497"/>
      <c r="WHC75" s="497"/>
      <c r="WHD75" s="497"/>
      <c r="WHE75" s="497"/>
      <c r="WHF75" s="497"/>
      <c r="WHG75" s="497"/>
      <c r="WHH75" s="497"/>
      <c r="WHI75" s="497"/>
      <c r="WHJ75" s="497"/>
      <c r="WHK75" s="497"/>
      <c r="WHL75" s="497"/>
      <c r="WHM75" s="497"/>
      <c r="WHN75" s="497"/>
      <c r="WHO75" s="497"/>
      <c r="WHP75" s="497"/>
      <c r="WHQ75" s="497"/>
      <c r="WHR75" s="497"/>
      <c r="WHS75" s="497"/>
      <c r="WHT75" s="497"/>
      <c r="WHU75" s="497"/>
      <c r="WHV75" s="497"/>
      <c r="WHW75" s="497"/>
      <c r="WHX75" s="497"/>
      <c r="WHY75" s="497"/>
      <c r="WHZ75" s="497"/>
      <c r="WIA75" s="497"/>
      <c r="WIB75" s="497"/>
      <c r="WIC75" s="497"/>
      <c r="WID75" s="497"/>
      <c r="WIE75" s="497"/>
      <c r="WIF75" s="497"/>
      <c r="WIG75" s="497"/>
      <c r="WIH75" s="497"/>
      <c r="WII75" s="497"/>
      <c r="WIJ75" s="497"/>
      <c r="WIK75" s="497"/>
      <c r="WIL75" s="497"/>
      <c r="WIM75" s="497"/>
      <c r="WIN75" s="497"/>
      <c r="WIO75" s="497"/>
      <c r="WIP75" s="497"/>
      <c r="WIQ75" s="497"/>
      <c r="WIR75" s="497"/>
      <c r="WIS75" s="497"/>
      <c r="WIT75" s="497"/>
      <c r="WIU75" s="497"/>
      <c r="WIV75" s="497"/>
      <c r="WIW75" s="497"/>
      <c r="WIX75" s="497"/>
      <c r="WIY75" s="497"/>
      <c r="WIZ75" s="497"/>
      <c r="WJA75" s="497"/>
      <c r="WJB75" s="497"/>
      <c r="WJC75" s="497"/>
      <c r="WJD75" s="497"/>
      <c r="WJE75" s="497"/>
      <c r="WJF75" s="497"/>
      <c r="WJG75" s="497"/>
      <c r="WJH75" s="497"/>
      <c r="WJI75" s="497"/>
      <c r="WJJ75" s="497"/>
      <c r="WJK75" s="497"/>
      <c r="WJL75" s="497"/>
      <c r="WJM75" s="497"/>
      <c r="WJN75" s="497"/>
      <c r="WJO75" s="497"/>
      <c r="WJP75" s="497"/>
      <c r="WJQ75" s="497"/>
      <c r="WJR75" s="497"/>
      <c r="WJS75" s="497"/>
      <c r="WJT75" s="497"/>
      <c r="WJU75" s="497"/>
      <c r="WJV75" s="497"/>
      <c r="WJW75" s="497"/>
      <c r="WJX75" s="497"/>
      <c r="WJY75" s="497"/>
      <c r="WJZ75" s="497"/>
      <c r="WKA75" s="497"/>
      <c r="WKB75" s="497"/>
      <c r="WKC75" s="497"/>
      <c r="WKD75" s="497"/>
      <c r="WKE75" s="497"/>
      <c r="WKF75" s="497"/>
      <c r="WKG75" s="497"/>
      <c r="WKH75" s="497"/>
      <c r="WKI75" s="497"/>
      <c r="WKJ75" s="497"/>
      <c r="WKK75" s="497"/>
      <c r="WKL75" s="497"/>
      <c r="WKM75" s="497"/>
      <c r="WKN75" s="497"/>
      <c r="WKO75" s="497"/>
      <c r="WKP75" s="497"/>
      <c r="WKQ75" s="497"/>
      <c r="WKR75" s="497"/>
      <c r="WKS75" s="497"/>
      <c r="WKT75" s="497"/>
      <c r="WKU75" s="497"/>
      <c r="WKV75" s="497"/>
      <c r="WKW75" s="497"/>
      <c r="WKX75" s="497"/>
      <c r="WKY75" s="497"/>
      <c r="WKZ75" s="497"/>
      <c r="WLA75" s="497"/>
      <c r="WLB75" s="497"/>
      <c r="WLC75" s="497"/>
      <c r="WLD75" s="497"/>
      <c r="WLE75" s="497"/>
      <c r="WLF75" s="497"/>
      <c r="WLG75" s="497"/>
      <c r="WLH75" s="497"/>
      <c r="WLI75" s="497"/>
      <c r="WLJ75" s="497"/>
      <c r="WLK75" s="497"/>
      <c r="WLL75" s="497"/>
      <c r="WLM75" s="497"/>
      <c r="WLN75" s="497"/>
      <c r="WLO75" s="497"/>
      <c r="WLP75" s="497"/>
      <c r="WLQ75" s="497"/>
      <c r="WLR75" s="497"/>
      <c r="WLS75" s="497"/>
      <c r="WLT75" s="497"/>
      <c r="WLU75" s="497"/>
      <c r="WLV75" s="497"/>
      <c r="WLW75" s="497"/>
      <c r="WLX75" s="497"/>
      <c r="WLY75" s="497"/>
      <c r="WLZ75" s="497"/>
      <c r="WMA75" s="497"/>
      <c r="WMB75" s="497"/>
      <c r="WMC75" s="497"/>
      <c r="WMD75" s="497"/>
      <c r="WME75" s="497"/>
      <c r="WMF75" s="497"/>
      <c r="WMG75" s="497"/>
      <c r="WMH75" s="497"/>
      <c r="WMI75" s="497"/>
      <c r="WMJ75" s="497"/>
      <c r="WMK75" s="497"/>
      <c r="WML75" s="497"/>
      <c r="WMM75" s="497"/>
      <c r="WMN75" s="497"/>
      <c r="WMO75" s="497"/>
      <c r="WMP75" s="497"/>
      <c r="WMQ75" s="497"/>
      <c r="WMR75" s="497"/>
      <c r="WMS75" s="497"/>
      <c r="WMT75" s="497"/>
      <c r="WMU75" s="497"/>
      <c r="WMV75" s="497"/>
      <c r="WMW75" s="497"/>
      <c r="WMX75" s="497"/>
      <c r="WMY75" s="497"/>
      <c r="WMZ75" s="497"/>
      <c r="WNA75" s="497"/>
      <c r="WNB75" s="497"/>
      <c r="WNC75" s="497"/>
      <c r="WND75" s="497"/>
      <c r="WNE75" s="497"/>
      <c r="WNF75" s="497"/>
      <c r="WNG75" s="497"/>
      <c r="WNH75" s="497"/>
      <c r="WNI75" s="497"/>
      <c r="WNJ75" s="497"/>
      <c r="WNK75" s="497"/>
      <c r="WNL75" s="497"/>
      <c r="WNM75" s="497"/>
      <c r="WNN75" s="497"/>
      <c r="WNO75" s="497"/>
      <c r="WNP75" s="497"/>
      <c r="WNQ75" s="497"/>
      <c r="WNR75" s="497"/>
      <c r="WNS75" s="497"/>
      <c r="WNT75" s="497"/>
      <c r="WNU75" s="497"/>
      <c r="WNV75" s="497"/>
      <c r="WNW75" s="497"/>
      <c r="WNX75" s="497"/>
      <c r="WNY75" s="497"/>
      <c r="WNZ75" s="497"/>
      <c r="WOA75" s="497"/>
      <c r="WOB75" s="497"/>
      <c r="WOC75" s="497"/>
      <c r="WOD75" s="497"/>
      <c r="WOE75" s="497"/>
      <c r="WOF75" s="497"/>
      <c r="WOG75" s="497"/>
      <c r="WOH75" s="497"/>
      <c r="WOI75" s="497"/>
      <c r="WOJ75" s="497"/>
      <c r="WOK75" s="497"/>
      <c r="WOL75" s="497"/>
      <c r="WOM75" s="497"/>
      <c r="WON75" s="497"/>
      <c r="WOO75" s="497"/>
      <c r="WOP75" s="497"/>
      <c r="WOQ75" s="497"/>
      <c r="WOR75" s="497"/>
      <c r="WOS75" s="497"/>
      <c r="WOT75" s="497"/>
      <c r="WOU75" s="497"/>
      <c r="WOV75" s="497"/>
      <c r="WOW75" s="497"/>
      <c r="WOX75" s="497"/>
      <c r="WOY75" s="497"/>
      <c r="WOZ75" s="497"/>
      <c r="WPA75" s="497"/>
      <c r="WPB75" s="497"/>
      <c r="WPC75" s="497"/>
      <c r="WPD75" s="497"/>
      <c r="WPE75" s="497"/>
      <c r="WPF75" s="497"/>
      <c r="WPG75" s="497"/>
      <c r="WPH75" s="497"/>
      <c r="WPI75" s="497"/>
      <c r="WPJ75" s="497"/>
      <c r="WPK75" s="497"/>
      <c r="WPL75" s="497"/>
      <c r="WPM75" s="497"/>
      <c r="WPN75" s="497"/>
      <c r="WPO75" s="497"/>
      <c r="WPP75" s="497"/>
      <c r="WPQ75" s="497"/>
      <c r="WPR75" s="497"/>
      <c r="WPS75" s="497"/>
      <c r="WPT75" s="497"/>
      <c r="WPU75" s="497"/>
      <c r="WPV75" s="497"/>
      <c r="WPW75" s="497"/>
      <c r="WPX75" s="497"/>
      <c r="WPY75" s="497"/>
      <c r="WPZ75" s="497"/>
      <c r="WQA75" s="497"/>
      <c r="WQB75" s="497"/>
      <c r="WQC75" s="497"/>
      <c r="WQD75" s="497"/>
      <c r="WQE75" s="497"/>
      <c r="WQF75" s="497"/>
      <c r="WQG75" s="497"/>
      <c r="WQH75" s="497"/>
      <c r="WQI75" s="497"/>
      <c r="WQJ75" s="497"/>
      <c r="WQK75" s="497"/>
      <c r="WQL75" s="497"/>
      <c r="WQM75" s="497"/>
      <c r="WQN75" s="497"/>
      <c r="WQO75" s="497"/>
      <c r="WQP75" s="497"/>
      <c r="WQQ75" s="497"/>
      <c r="WQR75" s="497"/>
      <c r="WQS75" s="497"/>
      <c r="WQT75" s="497"/>
      <c r="WQU75" s="497"/>
      <c r="WQV75" s="497"/>
      <c r="WQW75" s="497"/>
      <c r="WQX75" s="497"/>
      <c r="WQY75" s="497"/>
      <c r="WQZ75" s="497"/>
      <c r="WRA75" s="497"/>
      <c r="WRB75" s="497"/>
      <c r="WRC75" s="497"/>
      <c r="WRD75" s="497"/>
      <c r="WRE75" s="497"/>
      <c r="WRF75" s="497"/>
      <c r="WRG75" s="497"/>
      <c r="WRH75" s="497"/>
      <c r="WRI75" s="497"/>
      <c r="WRJ75" s="497"/>
      <c r="WRK75" s="497"/>
      <c r="WRL75" s="497"/>
      <c r="WRM75" s="497"/>
      <c r="WRN75" s="497"/>
      <c r="WRO75" s="497"/>
      <c r="WRP75" s="497"/>
      <c r="WRQ75" s="497"/>
      <c r="WRR75" s="497"/>
      <c r="WRS75" s="497"/>
      <c r="WRT75" s="497"/>
      <c r="WRU75" s="497"/>
      <c r="WRV75" s="497"/>
      <c r="WRW75" s="497"/>
      <c r="WRX75" s="497"/>
      <c r="WRY75" s="497"/>
      <c r="WRZ75" s="497"/>
      <c r="WSA75" s="497"/>
      <c r="WSB75" s="497"/>
      <c r="WSC75" s="497"/>
      <c r="WSD75" s="497"/>
      <c r="WSE75" s="497"/>
      <c r="WSF75" s="497"/>
      <c r="WSG75" s="497"/>
      <c r="WSH75" s="497"/>
      <c r="WSI75" s="497"/>
      <c r="WSJ75" s="497"/>
      <c r="WSK75" s="497"/>
      <c r="WSL75" s="497"/>
      <c r="WSM75" s="497"/>
      <c r="WSN75" s="497"/>
      <c r="WSO75" s="497"/>
      <c r="WSP75" s="497"/>
      <c r="WSQ75" s="497"/>
      <c r="WSR75" s="497"/>
      <c r="WSS75" s="497"/>
      <c r="WST75" s="497"/>
      <c r="WSU75" s="497"/>
      <c r="WSV75" s="497"/>
      <c r="WSW75" s="497"/>
      <c r="WSX75" s="497"/>
      <c r="WSY75" s="497"/>
      <c r="WSZ75" s="497"/>
      <c r="WTA75" s="497"/>
      <c r="WTB75" s="497"/>
      <c r="WTC75" s="497"/>
      <c r="WTD75" s="497"/>
      <c r="WTE75" s="497"/>
      <c r="WTF75" s="497"/>
      <c r="WTG75" s="497"/>
      <c r="WTH75" s="497"/>
      <c r="WTI75" s="497"/>
      <c r="WTJ75" s="497"/>
      <c r="WTK75" s="497"/>
      <c r="WTL75" s="497"/>
      <c r="WTM75" s="497"/>
      <c r="WTN75" s="497"/>
      <c r="WTO75" s="497"/>
      <c r="WTP75" s="497"/>
      <c r="WTQ75" s="497"/>
      <c r="WTR75" s="497"/>
      <c r="WTS75" s="497"/>
      <c r="WTT75" s="497"/>
      <c r="WTU75" s="497"/>
      <c r="WTV75" s="497"/>
      <c r="WTW75" s="497"/>
      <c r="WTX75" s="497"/>
      <c r="WTY75" s="497"/>
      <c r="WTZ75" s="497"/>
      <c r="WUA75" s="497"/>
      <c r="WUB75" s="497"/>
      <c r="WUC75" s="497"/>
      <c r="WUD75" s="497"/>
      <c r="WUE75" s="497"/>
      <c r="WUF75" s="497"/>
      <c r="WUG75" s="497"/>
      <c r="WUH75" s="497"/>
      <c r="WUI75" s="497"/>
      <c r="WUJ75" s="497"/>
      <c r="WUK75" s="497"/>
      <c r="WUL75" s="497"/>
      <c r="WUM75" s="497"/>
      <c r="WUN75" s="497"/>
      <c r="WUO75" s="497"/>
      <c r="WUP75" s="497"/>
      <c r="WUQ75" s="497"/>
      <c r="WUR75" s="497"/>
      <c r="WUS75" s="497"/>
      <c r="WUT75" s="497"/>
      <c r="WUU75" s="497"/>
      <c r="WUV75" s="497"/>
      <c r="WUW75" s="497"/>
      <c r="WUX75" s="497"/>
      <c r="WUY75" s="497"/>
      <c r="WUZ75" s="497"/>
      <c r="WVA75" s="497"/>
      <c r="WVB75" s="497"/>
      <c r="WVC75" s="497"/>
      <c r="WVD75" s="497"/>
      <c r="WVE75" s="497"/>
      <c r="WVF75" s="497"/>
      <c r="WVG75" s="497"/>
      <c r="WVH75" s="497"/>
      <c r="WVI75" s="497"/>
      <c r="WVJ75" s="497"/>
      <c r="WVK75" s="497"/>
      <c r="WVL75" s="497"/>
      <c r="WVM75" s="497"/>
      <c r="WVN75" s="497"/>
      <c r="WVO75" s="497"/>
      <c r="WVP75" s="497"/>
      <c r="WVQ75" s="497"/>
      <c r="WVR75" s="497"/>
      <c r="WVS75" s="497"/>
      <c r="WVT75" s="497"/>
      <c r="WVU75" s="497"/>
      <c r="WVV75" s="497"/>
      <c r="WVW75" s="497"/>
      <c r="WVX75" s="497"/>
      <c r="WVY75" s="497"/>
      <c r="WVZ75" s="497"/>
      <c r="WWA75" s="497"/>
      <c r="WWB75" s="497"/>
      <c r="WWC75" s="497"/>
      <c r="WWD75" s="497"/>
      <c r="WWE75" s="497"/>
      <c r="WWF75" s="497"/>
      <c r="WWG75" s="497"/>
      <c r="WWH75" s="497"/>
      <c r="WWI75" s="497"/>
      <c r="WWJ75" s="497"/>
      <c r="WWK75" s="497"/>
      <c r="WWL75" s="497"/>
      <c r="WWM75" s="497"/>
      <c r="WWN75" s="497"/>
      <c r="WWO75" s="497"/>
      <c r="WWP75" s="497"/>
      <c r="WWQ75" s="497"/>
      <c r="WWR75" s="497"/>
      <c r="WWS75" s="497"/>
      <c r="WWT75" s="497"/>
      <c r="WWU75" s="497"/>
      <c r="WWV75" s="497"/>
      <c r="WWW75" s="497"/>
      <c r="WWX75" s="497"/>
      <c r="WWY75" s="497"/>
      <c r="WWZ75" s="497"/>
      <c r="WXA75" s="497"/>
      <c r="WXB75" s="497"/>
      <c r="WXC75" s="497"/>
      <c r="WXD75" s="497"/>
      <c r="WXE75" s="497"/>
      <c r="WXF75" s="497"/>
      <c r="WXG75" s="497"/>
      <c r="WXH75" s="497"/>
      <c r="WXI75" s="497"/>
      <c r="WXJ75" s="497"/>
      <c r="WXK75" s="497"/>
      <c r="WXL75" s="497"/>
      <c r="WXM75" s="497"/>
      <c r="WXN75" s="497"/>
      <c r="WXO75" s="497"/>
      <c r="WXP75" s="497"/>
      <c r="WXQ75" s="497"/>
      <c r="WXR75" s="497"/>
      <c r="WXS75" s="497"/>
      <c r="WXT75" s="497"/>
      <c r="WXU75" s="497"/>
      <c r="WXV75" s="497"/>
      <c r="WXW75" s="497"/>
      <c r="WXX75" s="497"/>
      <c r="WXY75" s="497"/>
      <c r="WXZ75" s="497"/>
      <c r="WYA75" s="497"/>
      <c r="WYB75" s="497"/>
      <c r="WYC75" s="497"/>
      <c r="WYD75" s="497"/>
      <c r="WYE75" s="497"/>
      <c r="WYF75" s="497"/>
      <c r="WYG75" s="497"/>
      <c r="WYH75" s="497"/>
      <c r="WYI75" s="497"/>
      <c r="WYJ75" s="497"/>
      <c r="WYK75" s="497"/>
      <c r="WYL75" s="497"/>
      <c r="WYM75" s="497"/>
      <c r="WYN75" s="497"/>
      <c r="WYO75" s="497"/>
      <c r="WYP75" s="497"/>
      <c r="WYQ75" s="497"/>
      <c r="WYR75" s="497"/>
      <c r="WYS75" s="497"/>
      <c r="WYT75" s="497"/>
      <c r="WYU75" s="497"/>
      <c r="WYV75" s="497"/>
      <c r="WYW75" s="497"/>
      <c r="WYX75" s="497"/>
      <c r="WYY75" s="497"/>
      <c r="WYZ75" s="497"/>
      <c r="WZA75" s="497"/>
      <c r="WZB75" s="497"/>
      <c r="WZC75" s="497"/>
      <c r="WZD75" s="497"/>
      <c r="WZE75" s="497"/>
      <c r="WZF75" s="497"/>
      <c r="WZG75" s="497"/>
      <c r="WZH75" s="497"/>
      <c r="WZI75" s="497"/>
      <c r="WZJ75" s="497"/>
      <c r="WZK75" s="497"/>
      <c r="WZL75" s="497"/>
      <c r="WZM75" s="497"/>
      <c r="WZN75" s="497"/>
      <c r="WZO75" s="497"/>
      <c r="WZP75" s="497"/>
      <c r="WZQ75" s="497"/>
      <c r="WZR75" s="497"/>
      <c r="WZS75" s="497"/>
      <c r="WZT75" s="497"/>
      <c r="WZU75" s="497"/>
      <c r="WZV75" s="497"/>
      <c r="WZW75" s="497"/>
      <c r="WZX75" s="497"/>
      <c r="WZY75" s="497"/>
      <c r="WZZ75" s="497"/>
      <c r="XAA75" s="497"/>
      <c r="XAB75" s="497"/>
      <c r="XAC75" s="497"/>
      <c r="XAD75" s="497"/>
      <c r="XAE75" s="497"/>
      <c r="XAF75" s="497"/>
      <c r="XAG75" s="497"/>
      <c r="XAH75" s="497"/>
      <c r="XAI75" s="497"/>
      <c r="XAJ75" s="497"/>
      <c r="XAK75" s="497"/>
      <c r="XAL75" s="497"/>
      <c r="XAM75" s="497"/>
      <c r="XAN75" s="497"/>
      <c r="XAO75" s="497"/>
      <c r="XAP75" s="497"/>
      <c r="XAQ75" s="497"/>
      <c r="XAR75" s="497"/>
      <c r="XAS75" s="497"/>
      <c r="XAT75" s="497"/>
      <c r="XAU75" s="497"/>
      <c r="XAV75" s="497"/>
      <c r="XAW75" s="497"/>
      <c r="XAX75" s="497"/>
      <c r="XAY75" s="497"/>
      <c r="XAZ75" s="497"/>
      <c r="XBA75" s="497"/>
      <c r="XBB75" s="497"/>
      <c r="XBC75" s="497"/>
      <c r="XBD75" s="497"/>
      <c r="XBE75" s="497"/>
      <c r="XBF75" s="497"/>
      <c r="XBG75" s="497"/>
      <c r="XBH75" s="497"/>
      <c r="XBI75" s="497"/>
      <c r="XBJ75" s="497"/>
      <c r="XBK75" s="497"/>
      <c r="XBL75" s="497"/>
      <c r="XBM75" s="497"/>
      <c r="XBN75" s="497"/>
      <c r="XBO75" s="497"/>
      <c r="XBP75" s="497"/>
      <c r="XBQ75" s="497"/>
      <c r="XBR75" s="497"/>
      <c r="XBS75" s="497"/>
      <c r="XBT75" s="497"/>
      <c r="XBU75" s="497"/>
      <c r="XBV75" s="497"/>
      <c r="XBW75" s="497"/>
      <c r="XBX75" s="497"/>
      <c r="XBY75" s="497"/>
      <c r="XBZ75" s="497"/>
      <c r="XCA75" s="497"/>
      <c r="XCB75" s="497"/>
      <c r="XCC75" s="497"/>
      <c r="XCD75" s="497"/>
      <c r="XCE75" s="497"/>
      <c r="XCF75" s="497"/>
      <c r="XCG75" s="497"/>
      <c r="XCH75" s="497"/>
      <c r="XCI75" s="497"/>
      <c r="XCJ75" s="497"/>
      <c r="XCK75" s="497"/>
      <c r="XCL75" s="497"/>
      <c r="XCM75" s="497"/>
      <c r="XCN75" s="497"/>
      <c r="XCO75" s="497"/>
      <c r="XCP75" s="497"/>
      <c r="XCQ75" s="497"/>
      <c r="XCR75" s="497"/>
      <c r="XCS75" s="497"/>
      <c r="XCT75" s="497"/>
      <c r="XCU75" s="497"/>
      <c r="XCV75" s="497"/>
      <c r="XCW75" s="497"/>
      <c r="XCX75" s="497"/>
      <c r="XCY75" s="497"/>
      <c r="XCZ75" s="497"/>
      <c r="XDA75" s="497"/>
      <c r="XDB75" s="497"/>
      <c r="XDC75" s="497"/>
      <c r="XDD75" s="497"/>
      <c r="XDE75" s="497"/>
      <c r="XDF75" s="497"/>
      <c r="XDG75" s="497"/>
      <c r="XDH75" s="497"/>
      <c r="XDI75" s="497"/>
      <c r="XDJ75" s="497"/>
      <c r="XDK75" s="497"/>
      <c r="XDL75" s="497"/>
      <c r="XDM75" s="497"/>
      <c r="XDN75" s="497"/>
      <c r="XDO75" s="497"/>
      <c r="XDP75" s="497"/>
      <c r="XDQ75" s="497"/>
      <c r="XDR75" s="497"/>
      <c r="XDS75" s="497"/>
      <c r="XDT75" s="497"/>
      <c r="XDU75" s="497"/>
      <c r="XDV75" s="497"/>
      <c r="XDW75" s="497"/>
      <c r="XDX75" s="497"/>
      <c r="XDY75" s="497"/>
      <c r="XDZ75" s="497"/>
      <c r="XEA75" s="497"/>
      <c r="XEB75" s="497"/>
      <c r="XEC75" s="497"/>
      <c r="XED75" s="497"/>
      <c r="XEE75" s="497"/>
      <c r="XEF75" s="497"/>
      <c r="XEG75" s="497"/>
      <c r="XEH75" s="497"/>
      <c r="XEI75" s="497"/>
      <c r="XEJ75" s="497"/>
      <c r="XEK75" s="497"/>
      <c r="XEL75" s="497"/>
      <c r="XEM75" s="497"/>
      <c r="XEN75" s="497"/>
      <c r="XEO75" s="497"/>
      <c r="XEP75" s="497"/>
      <c r="XEQ75" s="497"/>
      <c r="XER75" s="497"/>
      <c r="XES75" s="497"/>
      <c r="XET75" s="497"/>
      <c r="XEU75" s="497"/>
      <c r="XEV75" s="497"/>
      <c r="XEW75" s="497"/>
      <c r="XEX75" s="497"/>
      <c r="XEY75" s="497"/>
      <c r="XEZ75" s="497"/>
      <c r="XFA75" s="497"/>
      <c r="XFB75" s="497"/>
      <c r="XFC75" s="497"/>
      <c r="XFD75" s="497"/>
    </row>
    <row r="76" spans="1:16384" s="497" customFormat="1">
      <c r="A76" s="2239" t="s">
        <v>1104</v>
      </c>
      <c r="B76" s="1177" t="e">
        <f ca="1">House!B44</f>
        <v>#REF!</v>
      </c>
      <c r="C76" s="2073" t="e">
        <f ca="1">House!C44</f>
        <v>#REF!</v>
      </c>
      <c r="D76" s="2073" t="e">
        <f ca="1">House!D44</f>
        <v>#REF!</v>
      </c>
      <c r="E76" s="2073" t="e">
        <f ca="1">House!E44</f>
        <v>#REF!</v>
      </c>
      <c r="F76" s="2073" t="e">
        <f ca="1">House!F44</f>
        <v>#REF!</v>
      </c>
      <c r="G76" s="2073" t="e">
        <f ca="1">House!G44</f>
        <v>#REF!</v>
      </c>
      <c r="H76" s="2073" t="e">
        <f ca="1">House!H44</f>
        <v>#REF!</v>
      </c>
      <c r="I76" s="2073" t="e">
        <f ca="1">House!I44</f>
        <v>#REF!</v>
      </c>
      <c r="J76" s="2073" t="e">
        <f ca="1">House!J44</f>
        <v>#REF!</v>
      </c>
      <c r="K76" s="2073" t="e">
        <f ca="1">House!K44</f>
        <v>#REF!</v>
      </c>
      <c r="L76" s="510"/>
      <c r="M76" s="510"/>
      <c r="N76" s="510"/>
      <c r="O76" s="510"/>
      <c r="P76" s="510"/>
      <c r="Q76" s="510"/>
      <c r="R76" s="510"/>
      <c r="S76" s="510"/>
      <c r="T76" s="510"/>
      <c r="U76" s="510"/>
      <c r="V76" s="510"/>
      <c r="W76" s="510"/>
      <c r="X76" s="510"/>
      <c r="Y76" s="510"/>
      <c r="Z76" s="510"/>
      <c r="AA76" s="510"/>
      <c r="AB76" s="510"/>
      <c r="AC76" s="510"/>
      <c r="AD76" s="510"/>
      <c r="AE76" s="510"/>
      <c r="AF76" s="510"/>
      <c r="AG76" s="510"/>
      <c r="AH76" s="510"/>
      <c r="AI76" s="510"/>
      <c r="AJ76" s="1340"/>
    </row>
    <row r="77" spans="1:16384" s="497" customFormat="1">
      <c r="A77" s="2091" t="s">
        <v>1094</v>
      </c>
      <c r="B77" s="2072" t="e">
        <f ca="1">mirror*ROUND(House!B45*COS($H$6)-House!B46*SIN($H$6),3)</f>
        <v>#REF!</v>
      </c>
      <c r="C77" s="2072" t="e">
        <f ca="1">mirror*ROUND(House!C45*COS($H$6)-House!C46*SIN($H$6),3)</f>
        <v>#REF!</v>
      </c>
      <c r="D77" s="2069" t="e">
        <f ca="1">mirror*ROUND(House!D45*COS($H$6)-House!D46*SIN($H$6),3)</f>
        <v>#REF!</v>
      </c>
      <c r="E77" s="2069" t="e">
        <f ca="1">mirror*ROUND(House!E45*COS($H$6)-House!E46*SIN($H$6),3)</f>
        <v>#REF!</v>
      </c>
      <c r="F77" s="2069" t="e">
        <f ca="1">mirror*ROUND(House!F45*COS($H$6)-House!F46*SIN($H$6),3)</f>
        <v>#REF!</v>
      </c>
      <c r="G77" s="2069" t="e">
        <f ca="1">mirror*ROUND(House!G45*COS($H$6)-House!G46*SIN($H$6),3)</f>
        <v>#REF!</v>
      </c>
      <c r="H77" s="2069" t="e">
        <f ca="1">mirror*ROUND(House!H45*COS($H$6)-House!H46*SIN($H$6),3)</f>
        <v>#REF!</v>
      </c>
      <c r="I77" s="2069" t="e">
        <f ca="1">mirror*ROUND(House!I45*COS($H$6)-House!I46*SIN($H$6),3)</f>
        <v>#REF!</v>
      </c>
      <c r="J77" s="2069" t="e">
        <f ca="1">mirror*ROUND(House!J45*COS($H$6)-House!J46*SIN($H$6),3)</f>
        <v>#REF!</v>
      </c>
      <c r="K77" s="2069" t="e">
        <f ca="1">mirror*ROUND(House!K45*COS($H$6)-House!K46*SIN($H$6),3)</f>
        <v>#REF!</v>
      </c>
      <c r="L77" s="685"/>
      <c r="M77" s="685"/>
      <c r="N77" s="685"/>
      <c r="O77" s="685"/>
      <c r="P77" s="685"/>
      <c r="Q77" s="685"/>
      <c r="R77" s="685"/>
      <c r="S77" s="685"/>
      <c r="T77" s="685"/>
      <c r="U77" s="685"/>
      <c r="V77" s="685"/>
      <c r="W77" s="685"/>
      <c r="X77" s="685"/>
      <c r="Y77" s="2058"/>
      <c r="Z77" s="2058"/>
      <c r="AA77" s="685"/>
      <c r="AB77" s="685"/>
      <c r="AC77" s="685"/>
      <c r="AD77" s="685"/>
      <c r="AE77" s="685"/>
      <c r="AF77" s="685"/>
      <c r="AG77" s="685"/>
      <c r="AH77" s="685"/>
      <c r="AI77" s="685"/>
      <c r="AJ77" s="2342"/>
      <c r="AK77" s="685"/>
      <c r="AL77" s="685"/>
      <c r="AM77" s="685"/>
      <c r="AN77" s="685"/>
      <c r="AO77" s="685"/>
      <c r="AP77" s="685"/>
      <c r="AQ77" s="685"/>
      <c r="AR77" s="685"/>
      <c r="AS77" s="685"/>
      <c r="AT77" s="685"/>
      <c r="AU77" s="685"/>
      <c r="AV77" s="685"/>
      <c r="AW77" s="685"/>
      <c r="AX77" s="685"/>
      <c r="AY77" s="685"/>
      <c r="AZ77" s="685"/>
      <c r="BA77" s="685"/>
      <c r="BB77" s="685"/>
      <c r="BC77" s="685"/>
      <c r="BD77" s="685"/>
      <c r="BE77" s="685"/>
      <c r="BF77" s="685"/>
      <c r="BG77" s="685"/>
      <c r="BH77" s="685"/>
      <c r="BI77" s="685"/>
      <c r="BJ77" s="685"/>
      <c r="BK77" s="685"/>
      <c r="BL77" s="685"/>
      <c r="BM77" s="685"/>
      <c r="BN77" s="685"/>
      <c r="BO77" s="685"/>
      <c r="BP77" s="685"/>
      <c r="BQ77" s="685"/>
      <c r="BR77" s="685"/>
      <c r="BS77" s="685"/>
      <c r="BT77" s="685"/>
      <c r="BU77" s="685"/>
      <c r="BV77" s="685"/>
      <c r="BW77" s="685"/>
      <c r="BX77" s="685"/>
      <c r="BY77" s="685"/>
      <c r="BZ77" s="685"/>
      <c r="CA77" s="685"/>
      <c r="CB77" s="685"/>
      <c r="CC77" s="685"/>
      <c r="CD77" s="685"/>
      <c r="CE77" s="685"/>
      <c r="CF77" s="685"/>
      <c r="CG77" s="685"/>
      <c r="CH77" s="685"/>
      <c r="CI77" s="685"/>
      <c r="CJ77" s="685"/>
      <c r="CK77" s="685"/>
      <c r="CL77" s="685"/>
      <c r="CM77" s="685"/>
      <c r="CN77" s="685"/>
      <c r="CO77" s="685"/>
      <c r="CP77" s="685"/>
      <c r="CQ77" s="685"/>
      <c r="CR77" s="685"/>
      <c r="CS77" s="685"/>
      <c r="CT77" s="685"/>
      <c r="CU77" s="685"/>
      <c r="CV77" s="685"/>
      <c r="CW77" s="685"/>
      <c r="CX77" s="685"/>
      <c r="CY77" s="685"/>
      <c r="CZ77" s="685"/>
      <c r="DA77" s="685"/>
      <c r="DB77" s="685"/>
      <c r="DC77" s="685"/>
      <c r="DD77" s="685"/>
      <c r="DE77" s="685"/>
      <c r="DF77" s="685"/>
      <c r="DG77" s="685"/>
      <c r="DH77" s="685"/>
      <c r="DI77" s="685"/>
      <c r="DJ77" s="685"/>
      <c r="DK77" s="685"/>
      <c r="DL77" s="685"/>
      <c r="DM77" s="685"/>
      <c r="DN77" s="685"/>
      <c r="DO77" s="685"/>
      <c r="DP77" s="685"/>
      <c r="DQ77" s="685"/>
      <c r="DR77" s="685"/>
      <c r="DS77" s="685"/>
      <c r="DT77" s="685"/>
      <c r="DU77" s="685"/>
      <c r="DV77" s="685"/>
      <c r="DW77" s="685"/>
      <c r="DX77" s="685"/>
      <c r="DY77" s="685"/>
      <c r="DZ77" s="685"/>
      <c r="EA77" s="685"/>
      <c r="EB77" s="685"/>
      <c r="EC77" s="685"/>
      <c r="ED77" s="685"/>
      <c r="EE77" s="685"/>
      <c r="EF77" s="685"/>
      <c r="EG77" s="685"/>
      <c r="EH77" s="685"/>
      <c r="EI77" s="685"/>
      <c r="EJ77" s="685"/>
      <c r="EK77" s="685"/>
      <c r="EL77" s="685"/>
      <c r="EM77" s="685"/>
      <c r="EN77" s="685"/>
      <c r="EO77" s="685"/>
      <c r="EP77" s="685"/>
      <c r="EQ77" s="685"/>
      <c r="ER77" s="685"/>
      <c r="ES77" s="685"/>
      <c r="ET77" s="685"/>
      <c r="EU77" s="685"/>
      <c r="EV77" s="685"/>
      <c r="EW77" s="685"/>
      <c r="EX77" s="685"/>
      <c r="EY77" s="685"/>
      <c r="EZ77" s="685"/>
      <c r="FA77" s="685"/>
      <c r="FB77" s="685"/>
      <c r="FC77" s="685"/>
      <c r="FD77" s="685"/>
      <c r="FE77" s="685"/>
      <c r="FF77" s="685"/>
      <c r="FG77" s="685"/>
      <c r="FH77" s="685"/>
      <c r="FI77" s="685"/>
      <c r="FJ77" s="685"/>
      <c r="FK77" s="685"/>
      <c r="FL77" s="685"/>
      <c r="FM77" s="685"/>
      <c r="FN77" s="685"/>
      <c r="FO77" s="685"/>
      <c r="FP77" s="685"/>
      <c r="FQ77" s="685"/>
      <c r="FR77" s="685"/>
      <c r="FS77" s="685"/>
      <c r="FT77" s="685"/>
      <c r="FU77" s="685"/>
      <c r="FV77" s="685"/>
      <c r="FW77" s="685"/>
      <c r="FX77" s="685"/>
      <c r="FY77" s="685"/>
      <c r="FZ77" s="685"/>
      <c r="GA77" s="685"/>
      <c r="GB77" s="685"/>
      <c r="GC77" s="685"/>
      <c r="GD77" s="685"/>
      <c r="GE77" s="685"/>
      <c r="GF77" s="685"/>
      <c r="GG77" s="685"/>
      <c r="GH77" s="685"/>
      <c r="GI77" s="685"/>
      <c r="GJ77" s="685"/>
      <c r="GK77" s="685"/>
      <c r="GL77" s="685"/>
      <c r="GM77" s="685"/>
      <c r="GN77" s="685"/>
      <c r="GO77" s="685"/>
      <c r="GP77" s="685"/>
      <c r="GQ77" s="685"/>
      <c r="GR77" s="685"/>
      <c r="GS77" s="685"/>
      <c r="GT77" s="685"/>
      <c r="GU77" s="685"/>
      <c r="GV77" s="685"/>
      <c r="GW77" s="685"/>
      <c r="GX77" s="685"/>
      <c r="GY77" s="685"/>
      <c r="GZ77" s="685"/>
      <c r="HA77" s="685"/>
      <c r="HB77" s="685"/>
      <c r="HC77" s="685"/>
      <c r="HD77" s="685"/>
      <c r="HE77" s="685"/>
      <c r="HF77" s="685"/>
      <c r="HG77" s="685"/>
      <c r="HH77" s="685"/>
      <c r="HI77" s="685"/>
      <c r="HJ77" s="685"/>
      <c r="HK77" s="685"/>
      <c r="HL77" s="685"/>
      <c r="HM77" s="685"/>
      <c r="HN77" s="685"/>
      <c r="HO77" s="685"/>
      <c r="HP77" s="685"/>
      <c r="HQ77" s="685"/>
      <c r="HR77" s="685"/>
      <c r="HS77" s="685"/>
      <c r="HT77" s="685"/>
      <c r="HU77" s="685"/>
      <c r="HV77" s="685"/>
      <c r="HW77" s="685"/>
      <c r="HX77" s="685"/>
      <c r="HY77" s="685"/>
      <c r="HZ77" s="685"/>
      <c r="IA77" s="685"/>
      <c r="IB77" s="685"/>
      <c r="IC77" s="685"/>
      <c r="ID77" s="685"/>
      <c r="IE77" s="685"/>
      <c r="IF77" s="685"/>
      <c r="IG77" s="685"/>
      <c r="IH77" s="685"/>
      <c r="II77" s="685"/>
      <c r="IJ77" s="685"/>
      <c r="IK77" s="685"/>
      <c r="IL77" s="685"/>
      <c r="IM77" s="685"/>
      <c r="IN77" s="685"/>
      <c r="IO77" s="685"/>
      <c r="IP77" s="685"/>
      <c r="IQ77" s="685"/>
      <c r="IR77" s="685"/>
      <c r="IS77" s="685"/>
      <c r="IT77" s="685"/>
      <c r="IU77" s="685"/>
      <c r="IV77" s="685"/>
      <c r="IW77" s="685"/>
      <c r="IX77" s="685"/>
      <c r="IY77" s="685"/>
      <c r="IZ77" s="685"/>
      <c r="JA77" s="685"/>
      <c r="JB77" s="685"/>
      <c r="JC77" s="685"/>
      <c r="JD77" s="685"/>
      <c r="JE77" s="685"/>
      <c r="JF77" s="685"/>
      <c r="JG77" s="685"/>
      <c r="JH77" s="685"/>
      <c r="JI77" s="685"/>
      <c r="JJ77" s="685"/>
      <c r="JK77" s="685"/>
      <c r="JL77" s="685"/>
      <c r="JM77" s="685"/>
      <c r="JN77" s="685"/>
      <c r="JO77" s="685"/>
      <c r="JP77" s="685"/>
      <c r="JQ77" s="685"/>
      <c r="JR77" s="685"/>
      <c r="JS77" s="685"/>
      <c r="JT77" s="685"/>
      <c r="JU77" s="685"/>
      <c r="JV77" s="685"/>
      <c r="JW77" s="685"/>
      <c r="JX77" s="685"/>
      <c r="JY77" s="685"/>
      <c r="JZ77" s="685"/>
      <c r="KA77" s="685"/>
      <c r="KB77" s="685"/>
      <c r="KC77" s="685"/>
      <c r="KD77" s="685"/>
      <c r="KE77" s="685"/>
      <c r="KF77" s="685"/>
      <c r="KG77" s="685"/>
      <c r="KH77" s="685"/>
      <c r="KI77" s="685"/>
      <c r="KJ77" s="685"/>
      <c r="KK77" s="685"/>
      <c r="KL77" s="685"/>
      <c r="KM77" s="685"/>
      <c r="KN77" s="685"/>
      <c r="KO77" s="685"/>
      <c r="KP77" s="685"/>
      <c r="KQ77" s="685"/>
      <c r="KR77" s="685"/>
      <c r="KS77" s="685"/>
      <c r="KT77" s="685"/>
      <c r="KU77" s="685"/>
      <c r="KV77" s="685"/>
      <c r="KW77" s="685"/>
      <c r="KX77" s="685"/>
      <c r="KY77" s="685"/>
      <c r="KZ77" s="685"/>
      <c r="LA77" s="685"/>
      <c r="LB77" s="685"/>
      <c r="LC77" s="685"/>
      <c r="LD77" s="685"/>
      <c r="LE77" s="685"/>
      <c r="LF77" s="685"/>
      <c r="LG77" s="685"/>
      <c r="LH77" s="685"/>
      <c r="LI77" s="685"/>
      <c r="LJ77" s="685"/>
      <c r="LK77" s="685"/>
      <c r="LL77" s="685"/>
      <c r="LM77" s="685"/>
      <c r="LN77" s="685"/>
      <c r="LO77" s="685"/>
      <c r="LP77" s="685"/>
      <c r="LQ77" s="685"/>
      <c r="LR77" s="685"/>
      <c r="LS77" s="685"/>
      <c r="LT77" s="685"/>
      <c r="LU77" s="685"/>
      <c r="LV77" s="685"/>
      <c r="LW77" s="685"/>
      <c r="LX77" s="685"/>
      <c r="LY77" s="685"/>
      <c r="LZ77" s="685"/>
      <c r="MA77" s="685"/>
      <c r="MB77" s="685"/>
      <c r="MC77" s="685"/>
      <c r="MD77" s="685"/>
      <c r="ME77" s="685"/>
      <c r="MF77" s="685"/>
      <c r="MG77" s="685"/>
      <c r="MH77" s="685"/>
      <c r="MI77" s="685"/>
      <c r="MJ77" s="685"/>
      <c r="MK77" s="685"/>
      <c r="ML77" s="685"/>
      <c r="MM77" s="685"/>
      <c r="MN77" s="685"/>
      <c r="MO77" s="685"/>
      <c r="MP77" s="685"/>
      <c r="MQ77" s="685"/>
      <c r="MR77" s="685"/>
      <c r="MS77" s="685"/>
      <c r="MT77" s="685"/>
      <c r="MU77" s="685"/>
      <c r="MV77" s="685"/>
      <c r="MW77" s="685"/>
      <c r="MX77" s="685"/>
      <c r="MY77" s="685"/>
      <c r="MZ77" s="685"/>
      <c r="NA77" s="685"/>
      <c r="NB77" s="685"/>
      <c r="NC77" s="685"/>
      <c r="ND77" s="685"/>
      <c r="NE77" s="685"/>
      <c r="NF77" s="685"/>
      <c r="NG77" s="685"/>
      <c r="NH77" s="685"/>
      <c r="NI77" s="685"/>
      <c r="NJ77" s="685"/>
      <c r="NK77" s="685"/>
      <c r="NL77" s="685"/>
      <c r="NM77" s="685"/>
      <c r="NN77" s="685"/>
      <c r="NO77" s="685"/>
      <c r="NP77" s="685"/>
      <c r="NQ77" s="685"/>
      <c r="NR77" s="685"/>
      <c r="NS77" s="685"/>
      <c r="NT77" s="685"/>
      <c r="NU77" s="685"/>
      <c r="NV77" s="685"/>
      <c r="NW77" s="685"/>
      <c r="NX77" s="685"/>
      <c r="NY77" s="685"/>
      <c r="NZ77" s="685"/>
      <c r="OA77" s="685"/>
      <c r="OB77" s="685"/>
      <c r="OC77" s="685"/>
      <c r="OD77" s="685"/>
      <c r="OE77" s="685"/>
      <c r="OF77" s="685"/>
      <c r="OG77" s="685"/>
      <c r="OH77" s="685"/>
      <c r="OI77" s="685"/>
      <c r="OJ77" s="685"/>
      <c r="OK77" s="685"/>
      <c r="OL77" s="685"/>
      <c r="OM77" s="685"/>
      <c r="ON77" s="685"/>
      <c r="OO77" s="685"/>
      <c r="OP77" s="685"/>
      <c r="OQ77" s="685"/>
      <c r="OR77" s="685"/>
      <c r="OS77" s="685"/>
      <c r="OT77" s="685"/>
      <c r="OU77" s="685"/>
      <c r="OV77" s="685"/>
      <c r="OW77" s="685"/>
      <c r="OX77" s="685"/>
      <c r="OY77" s="685"/>
      <c r="OZ77" s="685"/>
      <c r="PA77" s="685"/>
      <c r="PB77" s="685"/>
      <c r="PC77" s="685"/>
      <c r="PD77" s="685"/>
      <c r="PE77" s="685"/>
      <c r="PF77" s="685"/>
      <c r="PG77" s="685"/>
      <c r="PH77" s="685"/>
      <c r="PI77" s="685"/>
      <c r="PJ77" s="685"/>
      <c r="PK77" s="685"/>
      <c r="PL77" s="685"/>
      <c r="PM77" s="685"/>
      <c r="PN77" s="685"/>
      <c r="PO77" s="685"/>
      <c r="PP77" s="685"/>
      <c r="PQ77" s="685"/>
      <c r="PR77" s="685"/>
      <c r="PS77" s="685"/>
      <c r="PT77" s="685"/>
      <c r="PU77" s="685"/>
      <c r="PV77" s="685"/>
      <c r="PW77" s="685"/>
      <c r="PX77" s="685"/>
      <c r="PY77" s="685"/>
      <c r="PZ77" s="685"/>
      <c r="QA77" s="685"/>
      <c r="QB77" s="685"/>
      <c r="QC77" s="685"/>
      <c r="QD77" s="685"/>
      <c r="QE77" s="685"/>
      <c r="QF77" s="685"/>
      <c r="QG77" s="685"/>
      <c r="QH77" s="685"/>
      <c r="QI77" s="685"/>
      <c r="QJ77" s="685"/>
      <c r="QK77" s="685"/>
      <c r="QL77" s="685"/>
      <c r="QM77" s="685"/>
      <c r="QN77" s="685"/>
      <c r="QO77" s="685"/>
      <c r="QP77" s="685"/>
      <c r="QQ77" s="685"/>
      <c r="QR77" s="685"/>
      <c r="QS77" s="685"/>
      <c r="QT77" s="685"/>
      <c r="QU77" s="685"/>
      <c r="QV77" s="685"/>
      <c r="QW77" s="685"/>
      <c r="QX77" s="685"/>
      <c r="QY77" s="685"/>
      <c r="QZ77" s="685"/>
      <c r="RA77" s="685"/>
      <c r="RB77" s="685"/>
      <c r="RC77" s="685"/>
      <c r="RD77" s="685"/>
      <c r="RE77" s="685"/>
      <c r="RF77" s="685"/>
      <c r="RG77" s="685"/>
      <c r="RH77" s="685"/>
      <c r="RI77" s="685"/>
      <c r="RJ77" s="685"/>
      <c r="RK77" s="685"/>
      <c r="RL77" s="685"/>
      <c r="RM77" s="685"/>
      <c r="RN77" s="685"/>
      <c r="RO77" s="685"/>
      <c r="RP77" s="685"/>
      <c r="RQ77" s="685"/>
      <c r="RR77" s="685"/>
      <c r="RS77" s="685"/>
      <c r="RT77" s="685"/>
      <c r="RU77" s="685"/>
      <c r="RV77" s="685"/>
      <c r="RW77" s="685"/>
      <c r="RX77" s="685"/>
      <c r="RY77" s="685"/>
      <c r="RZ77" s="685"/>
      <c r="SA77" s="685"/>
      <c r="SB77" s="685"/>
      <c r="SC77" s="685"/>
      <c r="SD77" s="685"/>
      <c r="SE77" s="685"/>
      <c r="SF77" s="685"/>
      <c r="SG77" s="685"/>
      <c r="SH77" s="685"/>
      <c r="SI77" s="685"/>
      <c r="SJ77" s="685"/>
      <c r="SK77" s="685"/>
      <c r="SL77" s="685"/>
      <c r="SM77" s="685"/>
      <c r="SN77" s="685"/>
      <c r="SO77" s="685"/>
      <c r="SP77" s="685"/>
      <c r="SQ77" s="685"/>
      <c r="SR77" s="685"/>
      <c r="SS77" s="685"/>
      <c r="ST77" s="685"/>
      <c r="SU77" s="685"/>
      <c r="SV77" s="685"/>
      <c r="SW77" s="685"/>
      <c r="SX77" s="685"/>
      <c r="SY77" s="685"/>
      <c r="SZ77" s="685"/>
      <c r="TA77" s="685"/>
      <c r="TB77" s="685"/>
      <c r="TC77" s="685"/>
      <c r="TD77" s="685"/>
      <c r="TE77" s="685"/>
      <c r="TF77" s="685"/>
      <c r="TG77" s="685"/>
      <c r="TH77" s="685"/>
      <c r="TI77" s="685"/>
      <c r="TJ77" s="685"/>
      <c r="TK77" s="685"/>
      <c r="TL77" s="685"/>
      <c r="TM77" s="685"/>
      <c r="TN77" s="685"/>
      <c r="TO77" s="685"/>
      <c r="TP77" s="685"/>
      <c r="TQ77" s="685"/>
      <c r="TR77" s="685"/>
      <c r="TS77" s="685"/>
      <c r="TT77" s="685"/>
      <c r="TU77" s="685"/>
      <c r="TV77" s="685"/>
      <c r="TW77" s="685"/>
      <c r="TX77" s="685"/>
      <c r="TY77" s="685"/>
      <c r="TZ77" s="685"/>
      <c r="UA77" s="685"/>
      <c r="UB77" s="685"/>
      <c r="UC77" s="685"/>
      <c r="UD77" s="685"/>
      <c r="UE77" s="685"/>
      <c r="UF77" s="685"/>
      <c r="UG77" s="685"/>
      <c r="UH77" s="685"/>
      <c r="UI77" s="685"/>
      <c r="UJ77" s="685"/>
      <c r="UK77" s="685"/>
      <c r="UL77" s="685"/>
      <c r="UM77" s="685"/>
      <c r="UN77" s="685"/>
      <c r="UO77" s="685"/>
      <c r="UP77" s="685"/>
      <c r="UQ77" s="685"/>
      <c r="UR77" s="685"/>
      <c r="US77" s="685"/>
      <c r="UT77" s="685"/>
      <c r="UU77" s="685"/>
      <c r="UV77" s="685"/>
      <c r="UW77" s="685"/>
      <c r="UX77" s="685"/>
      <c r="UY77" s="685"/>
      <c r="UZ77" s="685"/>
      <c r="VA77" s="685"/>
      <c r="VB77" s="685"/>
      <c r="VC77" s="685"/>
      <c r="VD77" s="685"/>
      <c r="VE77" s="685"/>
      <c r="VF77" s="685"/>
      <c r="VG77" s="685"/>
      <c r="VH77" s="685"/>
      <c r="VI77" s="685"/>
      <c r="VJ77" s="685"/>
      <c r="VK77" s="685"/>
      <c r="VL77" s="685"/>
      <c r="VM77" s="685"/>
      <c r="VN77" s="685"/>
      <c r="VO77" s="685"/>
      <c r="VP77" s="685"/>
      <c r="VQ77" s="685"/>
      <c r="VR77" s="685"/>
      <c r="VS77" s="685"/>
      <c r="VT77" s="685"/>
      <c r="VU77" s="685"/>
      <c r="VV77" s="685"/>
      <c r="VW77" s="685"/>
      <c r="VX77" s="685"/>
      <c r="VY77" s="685"/>
      <c r="VZ77" s="685"/>
      <c r="WA77" s="685"/>
      <c r="WB77" s="685"/>
      <c r="WC77" s="685"/>
      <c r="WD77" s="685"/>
      <c r="WE77" s="685"/>
      <c r="WF77" s="685"/>
      <c r="WG77" s="685"/>
      <c r="WH77" s="685"/>
      <c r="WI77" s="685"/>
      <c r="WJ77" s="685"/>
      <c r="WK77" s="685"/>
      <c r="WL77" s="685"/>
      <c r="WM77" s="685"/>
      <c r="WN77" s="685"/>
      <c r="WO77" s="685"/>
      <c r="WP77" s="685"/>
      <c r="WQ77" s="685"/>
      <c r="WR77" s="685"/>
      <c r="WS77" s="685"/>
      <c r="WT77" s="685"/>
      <c r="WU77" s="685"/>
      <c r="WV77" s="685"/>
      <c r="WW77" s="685"/>
      <c r="WX77" s="685"/>
      <c r="WY77" s="685"/>
      <c r="WZ77" s="685"/>
      <c r="XA77" s="685"/>
      <c r="XB77" s="685"/>
      <c r="XC77" s="685"/>
      <c r="XD77" s="685"/>
      <c r="XE77" s="685"/>
      <c r="XF77" s="685"/>
      <c r="XG77" s="685"/>
      <c r="XH77" s="685"/>
      <c r="XI77" s="685"/>
      <c r="XJ77" s="685"/>
      <c r="XK77" s="685"/>
      <c r="XL77" s="685"/>
      <c r="XM77" s="685"/>
      <c r="XN77" s="685"/>
      <c r="XO77" s="685"/>
      <c r="XP77" s="685"/>
      <c r="XQ77" s="685"/>
      <c r="XR77" s="685"/>
      <c r="XS77" s="685"/>
      <c r="XT77" s="685"/>
      <c r="XU77" s="685"/>
      <c r="XV77" s="685"/>
      <c r="XW77" s="685"/>
      <c r="XX77" s="685"/>
      <c r="XY77" s="685"/>
      <c r="XZ77" s="685"/>
      <c r="YA77" s="685"/>
      <c r="YB77" s="685"/>
      <c r="YC77" s="685"/>
      <c r="YD77" s="685"/>
      <c r="YE77" s="685"/>
      <c r="YF77" s="685"/>
      <c r="YG77" s="685"/>
      <c r="YH77" s="685"/>
      <c r="YI77" s="685"/>
      <c r="YJ77" s="685"/>
      <c r="YK77" s="685"/>
      <c r="YL77" s="685"/>
      <c r="YM77" s="685"/>
      <c r="YN77" s="685"/>
      <c r="YO77" s="685"/>
      <c r="YP77" s="685"/>
      <c r="YQ77" s="685"/>
      <c r="YR77" s="685"/>
      <c r="YS77" s="685"/>
      <c r="YT77" s="685"/>
      <c r="YU77" s="685"/>
      <c r="YV77" s="685"/>
      <c r="YW77" s="685"/>
      <c r="YX77" s="685"/>
      <c r="YY77" s="685"/>
      <c r="YZ77" s="685"/>
      <c r="ZA77" s="685"/>
      <c r="ZB77" s="685"/>
      <c r="ZC77" s="685"/>
      <c r="ZD77" s="685"/>
      <c r="ZE77" s="685"/>
      <c r="ZF77" s="685"/>
      <c r="ZG77" s="685"/>
      <c r="ZH77" s="685"/>
      <c r="ZI77" s="685"/>
      <c r="ZJ77" s="685"/>
      <c r="ZK77" s="685"/>
      <c r="ZL77" s="685"/>
      <c r="ZM77" s="685"/>
      <c r="ZN77" s="685"/>
      <c r="ZO77" s="685"/>
      <c r="ZP77" s="685"/>
      <c r="ZQ77" s="685"/>
      <c r="ZR77" s="685"/>
      <c r="ZS77" s="685"/>
      <c r="ZT77" s="685"/>
      <c r="ZU77" s="685"/>
      <c r="ZV77" s="685"/>
      <c r="ZW77" s="685"/>
      <c r="ZX77" s="685"/>
      <c r="ZY77" s="685"/>
      <c r="ZZ77" s="685"/>
      <c r="AAA77" s="685"/>
      <c r="AAB77" s="685"/>
      <c r="AAC77" s="685"/>
      <c r="AAD77" s="685"/>
      <c r="AAE77" s="685"/>
      <c r="AAF77" s="685"/>
      <c r="AAG77" s="685"/>
      <c r="AAH77" s="685"/>
      <c r="AAI77" s="685"/>
      <c r="AAJ77" s="685"/>
      <c r="AAK77" s="685"/>
      <c r="AAL77" s="685"/>
      <c r="AAM77" s="685"/>
      <c r="AAN77" s="685"/>
      <c r="AAO77" s="685"/>
      <c r="AAP77" s="685"/>
      <c r="AAQ77" s="685"/>
      <c r="AAR77" s="685"/>
      <c r="AAS77" s="685"/>
      <c r="AAT77" s="685"/>
      <c r="AAU77" s="685"/>
      <c r="AAV77" s="685"/>
      <c r="AAW77" s="685"/>
      <c r="AAX77" s="685"/>
      <c r="AAY77" s="685"/>
      <c r="AAZ77" s="685"/>
      <c r="ABA77" s="685"/>
      <c r="ABB77" s="685"/>
      <c r="ABC77" s="685"/>
      <c r="ABD77" s="685"/>
      <c r="ABE77" s="685"/>
      <c r="ABF77" s="685"/>
      <c r="ABG77" s="685"/>
      <c r="ABH77" s="685"/>
      <c r="ABI77" s="685"/>
      <c r="ABJ77" s="685"/>
      <c r="ABK77" s="685"/>
      <c r="ABL77" s="685"/>
      <c r="ABM77" s="685"/>
      <c r="ABN77" s="685"/>
      <c r="ABO77" s="685"/>
      <c r="ABP77" s="685"/>
      <c r="ABQ77" s="685"/>
      <c r="ABR77" s="685"/>
      <c r="ABS77" s="685"/>
      <c r="ABT77" s="685"/>
      <c r="ABU77" s="685"/>
      <c r="ABV77" s="685"/>
      <c r="ABW77" s="685"/>
      <c r="ABX77" s="685"/>
      <c r="ABY77" s="685"/>
      <c r="ABZ77" s="685"/>
      <c r="ACA77" s="685"/>
      <c r="ACB77" s="685"/>
      <c r="ACC77" s="685"/>
      <c r="ACD77" s="685"/>
      <c r="ACE77" s="685"/>
      <c r="ACF77" s="685"/>
      <c r="ACG77" s="685"/>
      <c r="ACH77" s="685"/>
      <c r="ACI77" s="685"/>
      <c r="ACJ77" s="685"/>
      <c r="ACK77" s="685"/>
      <c r="ACL77" s="685"/>
      <c r="ACM77" s="685"/>
      <c r="ACN77" s="685"/>
      <c r="ACO77" s="685"/>
      <c r="ACP77" s="685"/>
      <c r="ACQ77" s="685"/>
      <c r="ACR77" s="685"/>
      <c r="ACS77" s="685"/>
      <c r="ACT77" s="685"/>
      <c r="ACU77" s="685"/>
      <c r="ACV77" s="685"/>
      <c r="ACW77" s="685"/>
      <c r="ACX77" s="685"/>
      <c r="ACY77" s="685"/>
      <c r="ACZ77" s="685"/>
      <c r="ADA77" s="685"/>
      <c r="ADB77" s="685"/>
      <c r="ADC77" s="685"/>
      <c r="ADD77" s="685"/>
      <c r="ADE77" s="685"/>
      <c r="ADF77" s="685"/>
      <c r="ADG77" s="685"/>
      <c r="ADH77" s="685"/>
      <c r="ADI77" s="685"/>
      <c r="ADJ77" s="685"/>
      <c r="ADK77" s="685"/>
      <c r="ADL77" s="685"/>
      <c r="ADM77" s="685"/>
      <c r="ADN77" s="685"/>
      <c r="ADO77" s="685"/>
      <c r="ADP77" s="685"/>
      <c r="ADQ77" s="685"/>
      <c r="ADR77" s="685"/>
      <c r="ADS77" s="685"/>
      <c r="ADT77" s="685"/>
      <c r="ADU77" s="685"/>
      <c r="ADV77" s="685"/>
      <c r="ADW77" s="685"/>
      <c r="ADX77" s="685"/>
      <c r="ADY77" s="685"/>
      <c r="ADZ77" s="685"/>
      <c r="AEA77" s="685"/>
      <c r="AEB77" s="685"/>
      <c r="AEC77" s="685"/>
      <c r="AED77" s="685"/>
      <c r="AEE77" s="685"/>
      <c r="AEF77" s="685"/>
      <c r="AEG77" s="685"/>
      <c r="AEH77" s="685"/>
      <c r="AEI77" s="685"/>
      <c r="AEJ77" s="685"/>
      <c r="AEK77" s="685"/>
      <c r="AEL77" s="685"/>
      <c r="AEM77" s="685"/>
      <c r="AEN77" s="685"/>
      <c r="AEO77" s="685"/>
      <c r="AEP77" s="685"/>
      <c r="AEQ77" s="685"/>
      <c r="AER77" s="685"/>
      <c r="AES77" s="685"/>
      <c r="AET77" s="685"/>
      <c r="AEU77" s="685"/>
      <c r="AEV77" s="685"/>
      <c r="AEW77" s="685"/>
      <c r="AEX77" s="685"/>
      <c r="AEY77" s="685"/>
      <c r="AEZ77" s="685"/>
      <c r="AFA77" s="685"/>
      <c r="AFB77" s="685"/>
      <c r="AFC77" s="685"/>
      <c r="AFD77" s="685"/>
      <c r="AFE77" s="685"/>
      <c r="AFF77" s="685"/>
      <c r="AFG77" s="685"/>
      <c r="AFH77" s="685"/>
      <c r="AFI77" s="685"/>
      <c r="AFJ77" s="685"/>
      <c r="AFK77" s="685"/>
      <c r="AFL77" s="685"/>
      <c r="AFM77" s="685"/>
      <c r="AFN77" s="685"/>
      <c r="AFO77" s="685"/>
      <c r="AFP77" s="685"/>
      <c r="AFQ77" s="685"/>
      <c r="AFR77" s="685"/>
      <c r="AFS77" s="685"/>
      <c r="AFT77" s="685"/>
      <c r="AFU77" s="685"/>
      <c r="AFV77" s="685"/>
      <c r="AFW77" s="685"/>
      <c r="AFX77" s="685"/>
      <c r="AFY77" s="685"/>
      <c r="AFZ77" s="685"/>
      <c r="AGA77" s="685"/>
      <c r="AGB77" s="685"/>
      <c r="AGC77" s="685"/>
      <c r="AGD77" s="685"/>
      <c r="AGE77" s="685"/>
      <c r="AGF77" s="685"/>
      <c r="AGG77" s="685"/>
      <c r="AGH77" s="685"/>
      <c r="AGI77" s="685"/>
      <c r="AGJ77" s="685"/>
      <c r="AGK77" s="685"/>
      <c r="AGL77" s="685"/>
      <c r="AGM77" s="685"/>
      <c r="AGN77" s="685"/>
      <c r="AGO77" s="685"/>
      <c r="AGP77" s="685"/>
      <c r="AGQ77" s="685"/>
      <c r="AGR77" s="685"/>
      <c r="AGS77" s="685"/>
      <c r="AGT77" s="685"/>
      <c r="AGU77" s="685"/>
      <c r="AGV77" s="685"/>
      <c r="AGW77" s="685"/>
      <c r="AGX77" s="685"/>
      <c r="AGY77" s="685"/>
      <c r="AGZ77" s="685"/>
      <c r="AHA77" s="685"/>
      <c r="AHB77" s="685"/>
      <c r="AHC77" s="685"/>
      <c r="AHD77" s="685"/>
      <c r="AHE77" s="685"/>
      <c r="AHF77" s="685"/>
      <c r="AHG77" s="685"/>
      <c r="AHH77" s="685"/>
      <c r="AHI77" s="685"/>
      <c r="AHJ77" s="685"/>
      <c r="AHK77" s="685"/>
      <c r="AHL77" s="685"/>
      <c r="AHM77" s="685"/>
      <c r="AHN77" s="685"/>
      <c r="AHO77" s="685"/>
      <c r="AHP77" s="685"/>
      <c r="AHQ77" s="685"/>
      <c r="AHR77" s="685"/>
      <c r="AHS77" s="685"/>
      <c r="AHT77" s="685"/>
      <c r="AHU77" s="685"/>
      <c r="AHV77" s="685"/>
      <c r="AHW77" s="685"/>
      <c r="AHX77" s="685"/>
      <c r="AHY77" s="685"/>
      <c r="AHZ77" s="685"/>
      <c r="AIA77" s="685"/>
      <c r="AIB77" s="685"/>
      <c r="AIC77" s="685"/>
      <c r="AID77" s="685"/>
      <c r="AIE77" s="685"/>
      <c r="AIF77" s="685"/>
      <c r="AIG77" s="685"/>
      <c r="AIH77" s="685"/>
      <c r="AII77" s="685"/>
      <c r="AIJ77" s="685"/>
      <c r="AIK77" s="685"/>
      <c r="AIL77" s="685"/>
      <c r="AIM77" s="685"/>
      <c r="AIN77" s="685"/>
      <c r="AIO77" s="685"/>
      <c r="AIP77" s="685"/>
      <c r="AIQ77" s="685"/>
      <c r="AIR77" s="685"/>
      <c r="AIS77" s="685"/>
      <c r="AIT77" s="685"/>
      <c r="AIU77" s="685"/>
      <c r="AIV77" s="685"/>
      <c r="AIW77" s="685"/>
      <c r="AIX77" s="685"/>
      <c r="AIY77" s="685"/>
      <c r="AIZ77" s="685"/>
      <c r="AJA77" s="685"/>
      <c r="AJB77" s="685"/>
      <c r="AJC77" s="685"/>
      <c r="AJD77" s="685"/>
      <c r="AJE77" s="685"/>
      <c r="AJF77" s="685"/>
      <c r="AJG77" s="685"/>
      <c r="AJH77" s="685"/>
      <c r="AJI77" s="685"/>
      <c r="AJJ77" s="685"/>
      <c r="AJK77" s="685"/>
      <c r="AJL77" s="685"/>
      <c r="AJM77" s="685"/>
      <c r="AJN77" s="685"/>
      <c r="AJO77" s="685"/>
      <c r="AJP77" s="685"/>
      <c r="AJQ77" s="685"/>
      <c r="AJR77" s="685"/>
      <c r="AJS77" s="685"/>
      <c r="AJT77" s="685"/>
      <c r="AJU77" s="685"/>
      <c r="AJV77" s="685"/>
      <c r="AJW77" s="685"/>
      <c r="AJX77" s="685"/>
      <c r="AJY77" s="685"/>
      <c r="AJZ77" s="685"/>
      <c r="AKA77" s="685"/>
      <c r="AKB77" s="685"/>
      <c r="AKC77" s="685"/>
      <c r="AKD77" s="685"/>
      <c r="AKE77" s="685"/>
      <c r="AKF77" s="685"/>
      <c r="AKG77" s="685"/>
      <c r="AKH77" s="685"/>
      <c r="AKI77" s="685"/>
      <c r="AKJ77" s="685"/>
      <c r="AKK77" s="685"/>
      <c r="AKL77" s="685"/>
      <c r="AKM77" s="685"/>
      <c r="AKN77" s="685"/>
      <c r="AKO77" s="685"/>
      <c r="AKP77" s="685"/>
      <c r="AKQ77" s="685"/>
      <c r="AKR77" s="685"/>
      <c r="AKS77" s="685"/>
      <c r="AKT77" s="685"/>
      <c r="AKU77" s="685"/>
      <c r="AKV77" s="685"/>
      <c r="AKW77" s="685"/>
      <c r="AKX77" s="685"/>
      <c r="AKY77" s="685"/>
      <c r="AKZ77" s="685"/>
      <c r="ALA77" s="685"/>
      <c r="ALB77" s="685"/>
      <c r="ALC77" s="685"/>
      <c r="ALD77" s="685"/>
      <c r="ALE77" s="685"/>
      <c r="ALF77" s="685"/>
      <c r="ALG77" s="685"/>
      <c r="ALH77" s="685"/>
      <c r="ALI77" s="685"/>
      <c r="ALJ77" s="685"/>
      <c r="ALK77" s="685"/>
      <c r="ALL77" s="685"/>
      <c r="ALM77" s="685"/>
      <c r="ALN77" s="685"/>
      <c r="ALO77" s="685"/>
      <c r="ALP77" s="685"/>
      <c r="ALQ77" s="685"/>
      <c r="ALR77" s="685"/>
      <c r="ALS77" s="685"/>
      <c r="ALT77" s="685"/>
      <c r="ALU77" s="685"/>
      <c r="ALV77" s="685"/>
      <c r="ALW77" s="685"/>
      <c r="ALX77" s="685"/>
      <c r="ALY77" s="685"/>
      <c r="ALZ77" s="685"/>
      <c r="AMA77" s="685"/>
      <c r="AMB77" s="685"/>
      <c r="AMC77" s="685"/>
      <c r="AMD77" s="685"/>
      <c r="AME77" s="685"/>
      <c r="AMF77" s="685"/>
      <c r="AMG77" s="685"/>
      <c r="AMH77" s="685"/>
      <c r="AMI77" s="685"/>
      <c r="AMJ77" s="685"/>
      <c r="AMK77" s="685"/>
      <c r="AML77" s="685"/>
      <c r="AMM77" s="685"/>
      <c r="AMN77" s="685"/>
      <c r="AMO77" s="685"/>
      <c r="AMP77" s="685"/>
      <c r="AMQ77" s="685"/>
      <c r="AMR77" s="685"/>
      <c r="AMS77" s="685"/>
      <c r="AMT77" s="685"/>
      <c r="AMU77" s="685"/>
      <c r="AMV77" s="685"/>
      <c r="AMW77" s="685"/>
      <c r="AMX77" s="685"/>
      <c r="AMY77" s="685"/>
      <c r="AMZ77" s="685"/>
      <c r="ANA77" s="685"/>
      <c r="ANB77" s="685"/>
      <c r="ANC77" s="685"/>
      <c r="AND77" s="685"/>
      <c r="ANE77" s="685"/>
      <c r="ANF77" s="685"/>
      <c r="ANG77" s="685"/>
      <c r="ANH77" s="685"/>
      <c r="ANI77" s="685"/>
      <c r="ANJ77" s="685"/>
      <c r="ANK77" s="685"/>
      <c r="ANL77" s="685"/>
      <c r="ANM77" s="685"/>
      <c r="ANN77" s="685"/>
      <c r="ANO77" s="685"/>
      <c r="ANP77" s="685"/>
      <c r="ANQ77" s="685"/>
      <c r="ANR77" s="685"/>
      <c r="ANS77" s="685"/>
      <c r="ANT77" s="685"/>
      <c r="ANU77" s="685"/>
      <c r="ANV77" s="685"/>
      <c r="ANW77" s="685"/>
      <c r="ANX77" s="685"/>
      <c r="ANY77" s="685"/>
      <c r="ANZ77" s="685"/>
      <c r="AOA77" s="685"/>
      <c r="AOB77" s="685"/>
      <c r="AOC77" s="685"/>
      <c r="AOD77" s="685"/>
      <c r="AOE77" s="685"/>
      <c r="AOF77" s="685"/>
      <c r="AOG77" s="685"/>
      <c r="AOH77" s="685"/>
      <c r="AOI77" s="685"/>
      <c r="AOJ77" s="685"/>
      <c r="AOK77" s="685"/>
      <c r="AOL77" s="685"/>
      <c r="AOM77" s="685"/>
      <c r="AON77" s="685"/>
      <c r="AOO77" s="685"/>
      <c r="AOP77" s="685"/>
      <c r="AOQ77" s="685"/>
      <c r="AOR77" s="685"/>
      <c r="AOS77" s="685"/>
      <c r="AOT77" s="685"/>
      <c r="AOU77" s="685"/>
      <c r="AOV77" s="685"/>
      <c r="AOW77" s="685"/>
      <c r="AOX77" s="685"/>
      <c r="AOY77" s="685"/>
      <c r="AOZ77" s="685"/>
      <c r="APA77" s="685"/>
      <c r="APB77" s="685"/>
      <c r="APC77" s="685"/>
      <c r="APD77" s="685"/>
      <c r="APE77" s="685"/>
      <c r="APF77" s="685"/>
      <c r="APG77" s="685"/>
      <c r="APH77" s="685"/>
      <c r="API77" s="685"/>
      <c r="APJ77" s="685"/>
      <c r="APK77" s="685"/>
      <c r="APL77" s="685"/>
      <c r="APM77" s="685"/>
      <c r="APN77" s="685"/>
      <c r="APO77" s="685"/>
      <c r="APP77" s="685"/>
      <c r="APQ77" s="685"/>
      <c r="APR77" s="685"/>
      <c r="APS77" s="685"/>
      <c r="APT77" s="685"/>
      <c r="APU77" s="685"/>
      <c r="APV77" s="685"/>
      <c r="APW77" s="685"/>
      <c r="APX77" s="685"/>
      <c r="APY77" s="685"/>
      <c r="APZ77" s="685"/>
      <c r="AQA77" s="685"/>
      <c r="AQB77" s="685"/>
      <c r="AQC77" s="685"/>
      <c r="AQD77" s="685"/>
      <c r="AQE77" s="685"/>
      <c r="AQF77" s="685"/>
      <c r="AQG77" s="685"/>
      <c r="AQH77" s="685"/>
      <c r="AQI77" s="685"/>
      <c r="AQJ77" s="685"/>
      <c r="AQK77" s="685"/>
      <c r="AQL77" s="685"/>
      <c r="AQM77" s="685"/>
      <c r="AQN77" s="685"/>
      <c r="AQO77" s="685"/>
      <c r="AQP77" s="685"/>
      <c r="AQQ77" s="685"/>
      <c r="AQR77" s="685"/>
      <c r="AQS77" s="685"/>
      <c r="AQT77" s="685"/>
      <c r="AQU77" s="685"/>
      <c r="AQV77" s="685"/>
      <c r="AQW77" s="685"/>
      <c r="AQX77" s="685"/>
      <c r="AQY77" s="685"/>
      <c r="AQZ77" s="685"/>
      <c r="ARA77" s="685"/>
      <c r="ARB77" s="685"/>
      <c r="ARC77" s="685"/>
      <c r="ARD77" s="685"/>
      <c r="ARE77" s="685"/>
      <c r="ARF77" s="685"/>
      <c r="ARG77" s="685"/>
      <c r="ARH77" s="685"/>
      <c r="ARI77" s="685"/>
      <c r="ARJ77" s="685"/>
      <c r="ARK77" s="685"/>
      <c r="ARL77" s="685"/>
      <c r="ARM77" s="685"/>
      <c r="ARN77" s="685"/>
      <c r="ARO77" s="685"/>
      <c r="ARP77" s="685"/>
      <c r="ARQ77" s="685"/>
      <c r="ARR77" s="685"/>
      <c r="ARS77" s="685"/>
      <c r="ART77" s="685"/>
      <c r="ARU77" s="685"/>
      <c r="ARV77" s="685"/>
      <c r="ARW77" s="685"/>
      <c r="ARX77" s="685"/>
      <c r="ARY77" s="685"/>
      <c r="ARZ77" s="685"/>
      <c r="ASA77" s="685"/>
      <c r="ASB77" s="685"/>
      <c r="ASC77" s="685"/>
      <c r="ASD77" s="685"/>
      <c r="ASE77" s="685"/>
      <c r="ASF77" s="685"/>
      <c r="ASG77" s="685"/>
      <c r="ASH77" s="685"/>
      <c r="ASI77" s="685"/>
      <c r="ASJ77" s="685"/>
      <c r="ASK77" s="685"/>
      <c r="ASL77" s="685"/>
      <c r="ASM77" s="685"/>
      <c r="ASN77" s="685"/>
      <c r="ASO77" s="685"/>
      <c r="ASP77" s="685"/>
      <c r="ASQ77" s="685"/>
      <c r="ASR77" s="685"/>
      <c r="ASS77" s="685"/>
      <c r="AST77" s="685"/>
      <c r="ASU77" s="685"/>
      <c r="ASV77" s="685"/>
      <c r="ASW77" s="685"/>
      <c r="ASX77" s="685"/>
      <c r="ASY77" s="685"/>
      <c r="ASZ77" s="685"/>
      <c r="ATA77" s="685"/>
      <c r="ATB77" s="685"/>
      <c r="ATC77" s="685"/>
      <c r="ATD77" s="685"/>
      <c r="ATE77" s="685"/>
      <c r="ATF77" s="685"/>
      <c r="ATG77" s="685"/>
      <c r="ATH77" s="685"/>
      <c r="ATI77" s="685"/>
      <c r="ATJ77" s="685"/>
      <c r="ATK77" s="685"/>
      <c r="ATL77" s="685"/>
      <c r="ATM77" s="685"/>
      <c r="ATN77" s="685"/>
      <c r="ATO77" s="685"/>
      <c r="ATP77" s="685"/>
      <c r="ATQ77" s="685"/>
      <c r="ATR77" s="685"/>
      <c r="ATS77" s="685"/>
      <c r="ATT77" s="685"/>
      <c r="ATU77" s="685"/>
      <c r="ATV77" s="685"/>
      <c r="ATW77" s="685"/>
      <c r="ATX77" s="685"/>
      <c r="ATY77" s="685"/>
      <c r="ATZ77" s="685"/>
      <c r="AUA77" s="685"/>
      <c r="AUB77" s="685"/>
      <c r="AUC77" s="685"/>
      <c r="AUD77" s="685"/>
      <c r="AUE77" s="685"/>
      <c r="AUF77" s="685"/>
      <c r="AUG77" s="685"/>
      <c r="AUH77" s="685"/>
      <c r="AUI77" s="685"/>
      <c r="AUJ77" s="685"/>
      <c r="AUK77" s="685"/>
      <c r="AUL77" s="685"/>
      <c r="AUM77" s="685"/>
      <c r="AUN77" s="685"/>
      <c r="AUO77" s="685"/>
      <c r="AUP77" s="685"/>
      <c r="AUQ77" s="685"/>
      <c r="AUR77" s="685"/>
      <c r="AUS77" s="685"/>
      <c r="AUT77" s="685"/>
      <c r="AUU77" s="685"/>
      <c r="AUV77" s="685"/>
      <c r="AUW77" s="685"/>
      <c r="AUX77" s="685"/>
      <c r="AUY77" s="685"/>
      <c r="AUZ77" s="685"/>
      <c r="AVA77" s="685"/>
      <c r="AVB77" s="685"/>
      <c r="AVC77" s="685"/>
      <c r="AVD77" s="685"/>
      <c r="AVE77" s="685"/>
      <c r="AVF77" s="685"/>
      <c r="AVG77" s="685"/>
      <c r="AVH77" s="685"/>
      <c r="AVI77" s="685"/>
      <c r="AVJ77" s="685"/>
      <c r="AVK77" s="685"/>
      <c r="AVL77" s="685"/>
      <c r="AVM77" s="685"/>
      <c r="AVN77" s="685"/>
      <c r="AVO77" s="685"/>
      <c r="AVP77" s="685"/>
      <c r="AVQ77" s="685"/>
      <c r="AVR77" s="685"/>
      <c r="AVS77" s="685"/>
      <c r="AVT77" s="685"/>
      <c r="AVU77" s="685"/>
      <c r="AVV77" s="685"/>
      <c r="AVW77" s="685"/>
      <c r="AVX77" s="685"/>
      <c r="AVY77" s="685"/>
      <c r="AVZ77" s="685"/>
      <c r="AWA77" s="685"/>
      <c r="AWB77" s="685"/>
      <c r="AWC77" s="685"/>
      <c r="AWD77" s="685"/>
      <c r="AWE77" s="685"/>
      <c r="AWF77" s="685"/>
      <c r="AWG77" s="685"/>
      <c r="AWH77" s="685"/>
      <c r="AWI77" s="685"/>
      <c r="AWJ77" s="685"/>
      <c r="AWK77" s="685"/>
      <c r="AWL77" s="685"/>
      <c r="AWM77" s="685"/>
      <c r="AWN77" s="685"/>
      <c r="AWO77" s="685"/>
      <c r="AWP77" s="685"/>
      <c r="AWQ77" s="685"/>
      <c r="AWR77" s="685"/>
      <c r="AWS77" s="685"/>
      <c r="AWT77" s="685"/>
      <c r="AWU77" s="685"/>
      <c r="AWV77" s="685"/>
      <c r="AWW77" s="685"/>
      <c r="AWX77" s="685"/>
      <c r="AWY77" s="685"/>
      <c r="AWZ77" s="685"/>
      <c r="AXA77" s="685"/>
      <c r="AXB77" s="685"/>
      <c r="AXC77" s="685"/>
      <c r="AXD77" s="685"/>
      <c r="AXE77" s="685"/>
      <c r="AXF77" s="685"/>
      <c r="AXG77" s="685"/>
      <c r="AXH77" s="685"/>
      <c r="AXI77" s="685"/>
      <c r="AXJ77" s="685"/>
      <c r="AXK77" s="685"/>
      <c r="AXL77" s="685"/>
      <c r="AXM77" s="685"/>
      <c r="AXN77" s="685"/>
      <c r="AXO77" s="685"/>
      <c r="AXP77" s="685"/>
      <c r="AXQ77" s="685"/>
      <c r="AXR77" s="685"/>
      <c r="AXS77" s="685"/>
      <c r="AXT77" s="685"/>
      <c r="AXU77" s="685"/>
      <c r="AXV77" s="685"/>
      <c r="AXW77" s="685"/>
      <c r="AXX77" s="685"/>
      <c r="AXY77" s="685"/>
      <c r="AXZ77" s="685"/>
      <c r="AYA77" s="685"/>
      <c r="AYB77" s="685"/>
      <c r="AYC77" s="685"/>
      <c r="AYD77" s="685"/>
      <c r="AYE77" s="685"/>
      <c r="AYF77" s="685"/>
      <c r="AYG77" s="685"/>
      <c r="AYH77" s="685"/>
      <c r="AYI77" s="685"/>
      <c r="AYJ77" s="685"/>
      <c r="AYK77" s="685"/>
      <c r="AYL77" s="685"/>
      <c r="AYM77" s="685"/>
      <c r="AYN77" s="685"/>
      <c r="AYO77" s="685"/>
      <c r="AYP77" s="685"/>
      <c r="AYQ77" s="685"/>
      <c r="AYR77" s="685"/>
      <c r="AYS77" s="685"/>
      <c r="AYT77" s="685"/>
      <c r="AYU77" s="685"/>
      <c r="AYV77" s="685"/>
      <c r="AYW77" s="685"/>
      <c r="AYX77" s="685"/>
      <c r="AYY77" s="685"/>
      <c r="AYZ77" s="685"/>
      <c r="AZA77" s="685"/>
      <c r="AZB77" s="685"/>
      <c r="AZC77" s="685"/>
      <c r="AZD77" s="685"/>
      <c r="AZE77" s="685"/>
      <c r="AZF77" s="685"/>
      <c r="AZG77" s="685"/>
      <c r="AZH77" s="685"/>
      <c r="AZI77" s="685"/>
      <c r="AZJ77" s="685"/>
      <c r="AZK77" s="685"/>
      <c r="AZL77" s="685"/>
      <c r="AZM77" s="685"/>
      <c r="AZN77" s="685"/>
      <c r="AZO77" s="685"/>
      <c r="AZP77" s="685"/>
      <c r="AZQ77" s="685"/>
      <c r="AZR77" s="685"/>
      <c r="AZS77" s="685"/>
      <c r="AZT77" s="685"/>
      <c r="AZU77" s="685"/>
      <c r="AZV77" s="685"/>
      <c r="AZW77" s="685"/>
      <c r="AZX77" s="685"/>
      <c r="AZY77" s="685"/>
      <c r="AZZ77" s="685"/>
      <c r="BAA77" s="685"/>
      <c r="BAB77" s="685"/>
      <c r="BAC77" s="685"/>
      <c r="BAD77" s="685"/>
      <c r="BAE77" s="685"/>
      <c r="BAF77" s="685"/>
      <c r="BAG77" s="685"/>
      <c r="BAH77" s="685"/>
      <c r="BAI77" s="685"/>
      <c r="BAJ77" s="685"/>
      <c r="BAK77" s="685"/>
      <c r="BAL77" s="685"/>
      <c r="BAM77" s="685"/>
      <c r="BAN77" s="685"/>
      <c r="BAO77" s="685"/>
      <c r="BAP77" s="685"/>
      <c r="BAQ77" s="685"/>
      <c r="BAR77" s="685"/>
      <c r="BAS77" s="685"/>
      <c r="BAT77" s="685"/>
      <c r="BAU77" s="685"/>
      <c r="BAV77" s="685"/>
      <c r="BAW77" s="685"/>
      <c r="BAX77" s="685"/>
      <c r="BAY77" s="685"/>
      <c r="BAZ77" s="685"/>
      <c r="BBA77" s="685"/>
      <c r="BBB77" s="685"/>
      <c r="BBC77" s="685"/>
      <c r="BBD77" s="685"/>
      <c r="BBE77" s="685"/>
      <c r="BBF77" s="685"/>
      <c r="BBG77" s="685"/>
      <c r="BBH77" s="685"/>
      <c r="BBI77" s="685"/>
      <c r="BBJ77" s="685"/>
      <c r="BBK77" s="685"/>
      <c r="BBL77" s="685"/>
      <c r="BBM77" s="685"/>
      <c r="BBN77" s="685"/>
      <c r="BBO77" s="685"/>
      <c r="BBP77" s="685"/>
      <c r="BBQ77" s="685"/>
      <c r="BBR77" s="685"/>
      <c r="BBS77" s="685"/>
      <c r="BBT77" s="685"/>
      <c r="BBU77" s="685"/>
      <c r="BBV77" s="685"/>
      <c r="BBW77" s="685"/>
      <c r="BBX77" s="685"/>
      <c r="BBY77" s="685"/>
      <c r="BBZ77" s="685"/>
      <c r="BCA77" s="685"/>
      <c r="BCB77" s="685"/>
      <c r="BCC77" s="685"/>
      <c r="BCD77" s="685"/>
      <c r="BCE77" s="685"/>
      <c r="BCF77" s="685"/>
      <c r="BCG77" s="685"/>
      <c r="BCH77" s="685"/>
      <c r="BCI77" s="685"/>
      <c r="BCJ77" s="685"/>
      <c r="BCK77" s="685"/>
      <c r="BCL77" s="685"/>
      <c r="BCM77" s="685"/>
      <c r="BCN77" s="685"/>
      <c r="BCO77" s="685"/>
      <c r="BCP77" s="685"/>
      <c r="BCQ77" s="685"/>
      <c r="BCR77" s="685"/>
      <c r="BCS77" s="685"/>
      <c r="BCT77" s="685"/>
      <c r="BCU77" s="685"/>
      <c r="BCV77" s="685"/>
      <c r="BCW77" s="685"/>
      <c r="BCX77" s="685"/>
      <c r="BCY77" s="685"/>
      <c r="BCZ77" s="685"/>
      <c r="BDA77" s="685"/>
      <c r="BDB77" s="685"/>
      <c r="BDC77" s="685"/>
      <c r="BDD77" s="685"/>
      <c r="BDE77" s="685"/>
      <c r="BDF77" s="685"/>
      <c r="BDG77" s="685"/>
      <c r="BDH77" s="685"/>
      <c r="BDI77" s="685"/>
      <c r="BDJ77" s="685"/>
      <c r="BDK77" s="685"/>
      <c r="BDL77" s="685"/>
      <c r="BDM77" s="685"/>
      <c r="BDN77" s="685"/>
      <c r="BDO77" s="685"/>
      <c r="BDP77" s="685"/>
      <c r="BDQ77" s="685"/>
      <c r="BDR77" s="685"/>
      <c r="BDS77" s="685"/>
      <c r="BDT77" s="685"/>
      <c r="BDU77" s="685"/>
      <c r="BDV77" s="685"/>
      <c r="BDW77" s="685"/>
      <c r="BDX77" s="685"/>
      <c r="BDY77" s="685"/>
      <c r="BDZ77" s="685"/>
      <c r="BEA77" s="685"/>
      <c r="BEB77" s="685"/>
      <c r="BEC77" s="685"/>
      <c r="BED77" s="685"/>
      <c r="BEE77" s="685"/>
      <c r="BEF77" s="685"/>
      <c r="BEG77" s="685"/>
      <c r="BEH77" s="685"/>
      <c r="BEI77" s="685"/>
      <c r="BEJ77" s="685"/>
      <c r="BEK77" s="685"/>
      <c r="BEL77" s="685"/>
      <c r="BEM77" s="685"/>
      <c r="BEN77" s="685"/>
      <c r="BEO77" s="685"/>
      <c r="BEP77" s="685"/>
      <c r="BEQ77" s="685"/>
      <c r="BER77" s="685"/>
      <c r="BES77" s="685"/>
      <c r="BET77" s="685"/>
      <c r="BEU77" s="685"/>
      <c r="BEV77" s="685"/>
      <c r="BEW77" s="685"/>
      <c r="BEX77" s="685"/>
      <c r="BEY77" s="685"/>
      <c r="BEZ77" s="685"/>
      <c r="BFA77" s="685"/>
      <c r="BFB77" s="685"/>
      <c r="BFC77" s="685"/>
      <c r="BFD77" s="685"/>
      <c r="BFE77" s="685"/>
      <c r="BFF77" s="685"/>
      <c r="BFG77" s="685"/>
      <c r="BFH77" s="685"/>
      <c r="BFI77" s="685"/>
      <c r="BFJ77" s="685"/>
      <c r="BFK77" s="685"/>
      <c r="BFL77" s="685"/>
      <c r="BFM77" s="685"/>
      <c r="BFN77" s="685"/>
      <c r="BFO77" s="685"/>
      <c r="BFP77" s="685"/>
      <c r="BFQ77" s="685"/>
      <c r="BFR77" s="685"/>
      <c r="BFS77" s="685"/>
      <c r="BFT77" s="685"/>
      <c r="BFU77" s="685"/>
      <c r="BFV77" s="685"/>
      <c r="BFW77" s="685"/>
      <c r="BFX77" s="685"/>
      <c r="BFY77" s="685"/>
      <c r="BFZ77" s="685"/>
      <c r="BGA77" s="685"/>
      <c r="BGB77" s="685"/>
      <c r="BGC77" s="685"/>
      <c r="BGD77" s="685"/>
      <c r="BGE77" s="685"/>
      <c r="BGF77" s="685"/>
      <c r="BGG77" s="685"/>
      <c r="BGH77" s="685"/>
      <c r="BGI77" s="685"/>
      <c r="BGJ77" s="685"/>
      <c r="BGK77" s="685"/>
      <c r="BGL77" s="685"/>
      <c r="BGM77" s="685"/>
      <c r="BGN77" s="685"/>
      <c r="BGO77" s="685"/>
      <c r="BGP77" s="685"/>
      <c r="BGQ77" s="685"/>
      <c r="BGR77" s="685"/>
      <c r="BGS77" s="685"/>
      <c r="BGT77" s="685"/>
      <c r="BGU77" s="685"/>
      <c r="BGV77" s="685"/>
      <c r="BGW77" s="685"/>
      <c r="BGX77" s="685"/>
      <c r="BGY77" s="685"/>
      <c r="BGZ77" s="685"/>
      <c r="BHA77" s="685"/>
      <c r="BHB77" s="685"/>
      <c r="BHC77" s="685"/>
      <c r="BHD77" s="685"/>
      <c r="BHE77" s="685"/>
      <c r="BHF77" s="685"/>
      <c r="BHG77" s="685"/>
      <c r="BHH77" s="685"/>
      <c r="BHI77" s="685"/>
      <c r="BHJ77" s="685"/>
      <c r="BHK77" s="685"/>
      <c r="BHL77" s="685"/>
      <c r="BHM77" s="685"/>
      <c r="BHN77" s="685"/>
      <c r="BHO77" s="685"/>
      <c r="BHP77" s="685"/>
      <c r="BHQ77" s="685"/>
      <c r="BHR77" s="685"/>
      <c r="BHS77" s="685"/>
      <c r="BHT77" s="685"/>
      <c r="BHU77" s="685"/>
      <c r="BHV77" s="685"/>
      <c r="BHW77" s="685"/>
      <c r="BHX77" s="685"/>
      <c r="BHY77" s="685"/>
      <c r="BHZ77" s="685"/>
      <c r="BIA77" s="685"/>
      <c r="BIB77" s="685"/>
      <c r="BIC77" s="685"/>
      <c r="BID77" s="685"/>
      <c r="BIE77" s="685"/>
      <c r="BIF77" s="685"/>
      <c r="BIG77" s="685"/>
      <c r="BIH77" s="685"/>
      <c r="BII77" s="685"/>
      <c r="BIJ77" s="685"/>
      <c r="BIK77" s="685"/>
      <c r="BIL77" s="685"/>
      <c r="BIM77" s="685"/>
      <c r="BIN77" s="685"/>
      <c r="BIO77" s="685"/>
      <c r="BIP77" s="685"/>
      <c r="BIQ77" s="685"/>
      <c r="BIR77" s="685"/>
      <c r="BIS77" s="685"/>
      <c r="BIT77" s="685"/>
      <c r="BIU77" s="685"/>
      <c r="BIV77" s="685"/>
      <c r="BIW77" s="685"/>
      <c r="BIX77" s="685"/>
      <c r="BIY77" s="685"/>
      <c r="BIZ77" s="685"/>
      <c r="BJA77" s="685"/>
      <c r="BJB77" s="685"/>
      <c r="BJC77" s="685"/>
      <c r="BJD77" s="685"/>
      <c r="BJE77" s="685"/>
      <c r="BJF77" s="685"/>
      <c r="BJG77" s="685"/>
      <c r="BJH77" s="685"/>
      <c r="BJI77" s="685"/>
      <c r="BJJ77" s="685"/>
      <c r="BJK77" s="685"/>
      <c r="BJL77" s="685"/>
      <c r="BJM77" s="685"/>
      <c r="BJN77" s="685"/>
      <c r="BJO77" s="685"/>
      <c r="BJP77" s="685"/>
      <c r="BJQ77" s="685"/>
      <c r="BJR77" s="685"/>
      <c r="BJS77" s="685"/>
      <c r="BJT77" s="685"/>
      <c r="BJU77" s="685"/>
      <c r="BJV77" s="685"/>
      <c r="BJW77" s="685"/>
      <c r="BJX77" s="685"/>
      <c r="BJY77" s="685"/>
      <c r="BJZ77" s="685"/>
      <c r="BKA77" s="685"/>
      <c r="BKB77" s="685"/>
      <c r="BKC77" s="685"/>
      <c r="BKD77" s="685"/>
      <c r="BKE77" s="685"/>
      <c r="BKF77" s="685"/>
      <c r="BKG77" s="685"/>
      <c r="BKH77" s="685"/>
      <c r="BKI77" s="685"/>
      <c r="BKJ77" s="685"/>
      <c r="BKK77" s="685"/>
      <c r="BKL77" s="685"/>
      <c r="BKM77" s="685"/>
      <c r="BKN77" s="685"/>
      <c r="BKO77" s="685"/>
      <c r="BKP77" s="685"/>
      <c r="BKQ77" s="685"/>
      <c r="BKR77" s="685"/>
      <c r="BKS77" s="685"/>
      <c r="BKT77" s="685"/>
      <c r="BKU77" s="685"/>
      <c r="BKV77" s="685"/>
      <c r="BKW77" s="685"/>
      <c r="BKX77" s="685"/>
      <c r="BKY77" s="685"/>
      <c r="BKZ77" s="685"/>
      <c r="BLA77" s="685"/>
      <c r="BLB77" s="685"/>
      <c r="BLC77" s="685"/>
      <c r="BLD77" s="685"/>
      <c r="BLE77" s="685"/>
      <c r="BLF77" s="685"/>
      <c r="BLG77" s="685"/>
      <c r="BLH77" s="685"/>
      <c r="BLI77" s="685"/>
      <c r="BLJ77" s="685"/>
      <c r="BLK77" s="685"/>
      <c r="BLL77" s="685"/>
      <c r="BLM77" s="685"/>
      <c r="BLN77" s="685"/>
      <c r="BLO77" s="685"/>
      <c r="BLP77" s="685"/>
      <c r="BLQ77" s="685"/>
      <c r="BLR77" s="685"/>
      <c r="BLS77" s="685"/>
      <c r="BLT77" s="685"/>
      <c r="BLU77" s="685"/>
      <c r="BLV77" s="685"/>
      <c r="BLW77" s="685"/>
      <c r="BLX77" s="685"/>
      <c r="BLY77" s="685"/>
      <c r="BLZ77" s="685"/>
      <c r="BMA77" s="685"/>
      <c r="BMB77" s="685"/>
      <c r="BMC77" s="685"/>
      <c r="BMD77" s="685"/>
      <c r="BME77" s="685"/>
      <c r="BMF77" s="685"/>
      <c r="BMG77" s="685"/>
      <c r="BMH77" s="685"/>
      <c r="BMI77" s="685"/>
      <c r="BMJ77" s="685"/>
      <c r="BMK77" s="685"/>
      <c r="BML77" s="685"/>
      <c r="BMM77" s="685"/>
      <c r="BMN77" s="685"/>
      <c r="BMO77" s="685"/>
      <c r="BMP77" s="685"/>
      <c r="BMQ77" s="685"/>
      <c r="BMR77" s="685"/>
      <c r="BMS77" s="685"/>
      <c r="BMT77" s="685"/>
      <c r="BMU77" s="685"/>
      <c r="BMV77" s="685"/>
      <c r="BMW77" s="685"/>
      <c r="BMX77" s="685"/>
      <c r="BMY77" s="685"/>
      <c r="BMZ77" s="685"/>
      <c r="BNA77" s="685"/>
      <c r="BNB77" s="685"/>
      <c r="BNC77" s="685"/>
      <c r="BND77" s="685"/>
      <c r="BNE77" s="685"/>
      <c r="BNF77" s="685"/>
      <c r="BNG77" s="685"/>
      <c r="BNH77" s="685"/>
      <c r="BNI77" s="685"/>
      <c r="BNJ77" s="685"/>
      <c r="BNK77" s="685"/>
      <c r="BNL77" s="685"/>
      <c r="BNM77" s="685"/>
      <c r="BNN77" s="685"/>
      <c r="BNO77" s="685"/>
      <c r="BNP77" s="685"/>
      <c r="BNQ77" s="685"/>
      <c r="BNR77" s="685"/>
      <c r="BNS77" s="685"/>
      <c r="BNT77" s="685"/>
      <c r="BNU77" s="685"/>
      <c r="BNV77" s="685"/>
      <c r="BNW77" s="685"/>
      <c r="BNX77" s="685"/>
      <c r="BNY77" s="685"/>
      <c r="BNZ77" s="685"/>
      <c r="BOA77" s="685"/>
      <c r="BOB77" s="685"/>
      <c r="BOC77" s="685"/>
      <c r="BOD77" s="685"/>
      <c r="BOE77" s="685"/>
      <c r="BOF77" s="685"/>
      <c r="BOG77" s="685"/>
      <c r="BOH77" s="685"/>
      <c r="BOI77" s="685"/>
      <c r="BOJ77" s="685"/>
      <c r="BOK77" s="685"/>
      <c r="BOL77" s="685"/>
      <c r="BOM77" s="685"/>
      <c r="BON77" s="685"/>
      <c r="BOO77" s="685"/>
      <c r="BOP77" s="685"/>
      <c r="BOQ77" s="685"/>
      <c r="BOR77" s="685"/>
      <c r="BOS77" s="685"/>
      <c r="BOT77" s="685"/>
      <c r="BOU77" s="685"/>
      <c r="BOV77" s="685"/>
      <c r="BOW77" s="685"/>
      <c r="BOX77" s="685"/>
      <c r="BOY77" s="685"/>
      <c r="BOZ77" s="685"/>
      <c r="BPA77" s="685"/>
      <c r="BPB77" s="685"/>
      <c r="BPC77" s="685"/>
      <c r="BPD77" s="685"/>
      <c r="BPE77" s="685"/>
      <c r="BPF77" s="685"/>
      <c r="BPG77" s="685"/>
      <c r="BPH77" s="685"/>
      <c r="BPI77" s="685"/>
      <c r="BPJ77" s="685"/>
      <c r="BPK77" s="685"/>
      <c r="BPL77" s="685"/>
      <c r="BPM77" s="685"/>
      <c r="BPN77" s="685"/>
      <c r="BPO77" s="685"/>
      <c r="BPP77" s="685"/>
      <c r="BPQ77" s="685"/>
      <c r="BPR77" s="685"/>
      <c r="BPS77" s="685"/>
      <c r="BPT77" s="685"/>
      <c r="BPU77" s="685"/>
      <c r="BPV77" s="685"/>
      <c r="BPW77" s="685"/>
      <c r="BPX77" s="685"/>
      <c r="BPY77" s="685"/>
      <c r="BPZ77" s="685"/>
      <c r="BQA77" s="685"/>
      <c r="BQB77" s="685"/>
      <c r="BQC77" s="685"/>
      <c r="BQD77" s="685"/>
      <c r="BQE77" s="685"/>
      <c r="BQF77" s="685"/>
      <c r="BQG77" s="685"/>
      <c r="BQH77" s="685"/>
      <c r="BQI77" s="685"/>
      <c r="BQJ77" s="685"/>
      <c r="BQK77" s="685"/>
      <c r="BQL77" s="685"/>
      <c r="BQM77" s="685"/>
      <c r="BQN77" s="685"/>
      <c r="BQO77" s="685"/>
      <c r="BQP77" s="685"/>
      <c r="BQQ77" s="685"/>
      <c r="BQR77" s="685"/>
      <c r="BQS77" s="685"/>
      <c r="BQT77" s="685"/>
      <c r="BQU77" s="685"/>
      <c r="BQV77" s="685"/>
      <c r="BQW77" s="685"/>
      <c r="BQX77" s="685"/>
      <c r="BQY77" s="685"/>
      <c r="BQZ77" s="685"/>
      <c r="BRA77" s="685"/>
      <c r="BRB77" s="685"/>
      <c r="BRC77" s="685"/>
      <c r="BRD77" s="685"/>
      <c r="BRE77" s="685"/>
      <c r="BRF77" s="685"/>
      <c r="BRG77" s="685"/>
      <c r="BRH77" s="685"/>
      <c r="BRI77" s="685"/>
      <c r="BRJ77" s="685"/>
      <c r="BRK77" s="685"/>
      <c r="BRL77" s="685"/>
      <c r="BRM77" s="685"/>
      <c r="BRN77" s="685"/>
      <c r="BRO77" s="685"/>
      <c r="BRP77" s="685"/>
      <c r="BRQ77" s="685"/>
      <c r="BRR77" s="685"/>
      <c r="BRS77" s="685"/>
      <c r="BRT77" s="685"/>
      <c r="BRU77" s="685"/>
      <c r="BRV77" s="685"/>
      <c r="BRW77" s="685"/>
      <c r="BRX77" s="685"/>
      <c r="BRY77" s="685"/>
      <c r="BRZ77" s="685"/>
      <c r="BSA77" s="685"/>
      <c r="BSB77" s="685"/>
      <c r="BSC77" s="685"/>
      <c r="BSD77" s="685"/>
      <c r="BSE77" s="685"/>
      <c r="BSF77" s="685"/>
      <c r="BSG77" s="685"/>
      <c r="BSH77" s="685"/>
      <c r="BSI77" s="685"/>
      <c r="BSJ77" s="685"/>
      <c r="BSK77" s="685"/>
      <c r="BSL77" s="685"/>
      <c r="BSM77" s="685"/>
      <c r="BSN77" s="685"/>
      <c r="BSO77" s="685"/>
      <c r="BSP77" s="685"/>
      <c r="BSQ77" s="685"/>
      <c r="BSR77" s="685"/>
      <c r="BSS77" s="685"/>
      <c r="BST77" s="685"/>
      <c r="BSU77" s="685"/>
      <c r="BSV77" s="685"/>
      <c r="BSW77" s="685"/>
      <c r="BSX77" s="685"/>
      <c r="BSY77" s="685"/>
      <c r="BSZ77" s="685"/>
      <c r="BTA77" s="685"/>
      <c r="BTB77" s="685"/>
      <c r="BTC77" s="685"/>
      <c r="BTD77" s="685"/>
      <c r="BTE77" s="685"/>
      <c r="BTF77" s="685"/>
      <c r="BTG77" s="685"/>
      <c r="BTH77" s="685"/>
      <c r="BTI77" s="685"/>
      <c r="BTJ77" s="685"/>
      <c r="BTK77" s="685"/>
      <c r="BTL77" s="685"/>
      <c r="BTM77" s="685"/>
      <c r="BTN77" s="685"/>
      <c r="BTO77" s="685"/>
      <c r="BTP77" s="685"/>
      <c r="BTQ77" s="685"/>
      <c r="BTR77" s="685"/>
      <c r="BTS77" s="685"/>
      <c r="BTT77" s="685"/>
      <c r="BTU77" s="685"/>
      <c r="BTV77" s="685"/>
      <c r="BTW77" s="685"/>
      <c r="BTX77" s="685"/>
      <c r="BTY77" s="685"/>
      <c r="BTZ77" s="685"/>
      <c r="BUA77" s="685"/>
      <c r="BUB77" s="685"/>
      <c r="BUC77" s="685"/>
      <c r="BUD77" s="685"/>
      <c r="BUE77" s="685"/>
      <c r="BUF77" s="685"/>
      <c r="BUG77" s="685"/>
      <c r="BUH77" s="685"/>
      <c r="BUI77" s="685"/>
      <c r="BUJ77" s="685"/>
      <c r="BUK77" s="685"/>
      <c r="BUL77" s="685"/>
      <c r="BUM77" s="685"/>
      <c r="BUN77" s="685"/>
      <c r="BUO77" s="685"/>
      <c r="BUP77" s="685"/>
      <c r="BUQ77" s="685"/>
      <c r="BUR77" s="685"/>
      <c r="BUS77" s="685"/>
      <c r="BUT77" s="685"/>
      <c r="BUU77" s="685"/>
      <c r="BUV77" s="685"/>
      <c r="BUW77" s="685"/>
      <c r="BUX77" s="685"/>
      <c r="BUY77" s="685"/>
      <c r="BUZ77" s="685"/>
      <c r="BVA77" s="685"/>
      <c r="BVB77" s="685"/>
      <c r="BVC77" s="685"/>
      <c r="BVD77" s="685"/>
      <c r="BVE77" s="685"/>
      <c r="BVF77" s="685"/>
      <c r="BVG77" s="685"/>
      <c r="BVH77" s="685"/>
      <c r="BVI77" s="685"/>
      <c r="BVJ77" s="685"/>
      <c r="BVK77" s="685"/>
      <c r="BVL77" s="685"/>
      <c r="BVM77" s="685"/>
      <c r="BVN77" s="685"/>
      <c r="BVO77" s="685"/>
      <c r="BVP77" s="685"/>
      <c r="BVQ77" s="685"/>
      <c r="BVR77" s="685"/>
      <c r="BVS77" s="685"/>
      <c r="BVT77" s="685"/>
      <c r="BVU77" s="685"/>
      <c r="BVV77" s="685"/>
      <c r="BVW77" s="685"/>
      <c r="BVX77" s="685"/>
      <c r="BVY77" s="685"/>
      <c r="BVZ77" s="685"/>
      <c r="BWA77" s="685"/>
      <c r="BWB77" s="685"/>
      <c r="BWC77" s="685"/>
      <c r="BWD77" s="685"/>
      <c r="BWE77" s="685"/>
      <c r="BWF77" s="685"/>
      <c r="BWG77" s="685"/>
      <c r="BWH77" s="685"/>
      <c r="BWI77" s="685"/>
      <c r="BWJ77" s="685"/>
      <c r="BWK77" s="685"/>
      <c r="BWL77" s="685"/>
      <c r="BWM77" s="685"/>
      <c r="BWN77" s="685"/>
      <c r="BWO77" s="685"/>
      <c r="BWP77" s="685"/>
      <c r="BWQ77" s="685"/>
      <c r="BWR77" s="685"/>
      <c r="BWS77" s="685"/>
      <c r="BWT77" s="685"/>
      <c r="BWU77" s="685"/>
      <c r="BWV77" s="685"/>
      <c r="BWW77" s="685"/>
      <c r="BWX77" s="685"/>
      <c r="BWY77" s="685"/>
      <c r="BWZ77" s="685"/>
      <c r="BXA77" s="685"/>
      <c r="BXB77" s="685"/>
      <c r="BXC77" s="685"/>
      <c r="BXD77" s="685"/>
      <c r="BXE77" s="685"/>
      <c r="BXF77" s="685"/>
      <c r="BXG77" s="685"/>
      <c r="BXH77" s="685"/>
      <c r="BXI77" s="685"/>
      <c r="BXJ77" s="685"/>
      <c r="BXK77" s="685"/>
      <c r="BXL77" s="685"/>
      <c r="BXM77" s="685"/>
      <c r="BXN77" s="685"/>
      <c r="BXO77" s="685"/>
      <c r="BXP77" s="685"/>
      <c r="BXQ77" s="685"/>
      <c r="BXR77" s="685"/>
      <c r="BXS77" s="685"/>
      <c r="BXT77" s="685"/>
      <c r="BXU77" s="685"/>
      <c r="BXV77" s="685"/>
      <c r="BXW77" s="685"/>
      <c r="BXX77" s="685"/>
      <c r="BXY77" s="685"/>
      <c r="BXZ77" s="685"/>
      <c r="BYA77" s="685"/>
      <c r="BYB77" s="685"/>
      <c r="BYC77" s="685"/>
      <c r="BYD77" s="685"/>
      <c r="BYE77" s="685"/>
      <c r="BYF77" s="685"/>
      <c r="BYG77" s="685"/>
      <c r="BYH77" s="685"/>
      <c r="BYI77" s="685"/>
      <c r="BYJ77" s="685"/>
      <c r="BYK77" s="685"/>
      <c r="BYL77" s="685"/>
      <c r="BYM77" s="685"/>
      <c r="BYN77" s="685"/>
      <c r="BYO77" s="685"/>
      <c r="BYP77" s="685"/>
      <c r="BYQ77" s="685"/>
      <c r="BYR77" s="685"/>
      <c r="BYS77" s="685"/>
      <c r="BYT77" s="685"/>
      <c r="BYU77" s="685"/>
      <c r="BYV77" s="685"/>
      <c r="BYW77" s="685"/>
      <c r="BYX77" s="685"/>
      <c r="BYY77" s="685"/>
      <c r="BYZ77" s="685"/>
      <c r="BZA77" s="685"/>
      <c r="BZB77" s="685"/>
      <c r="BZC77" s="685"/>
      <c r="BZD77" s="685"/>
      <c r="BZE77" s="685"/>
      <c r="BZF77" s="685"/>
      <c r="BZG77" s="685"/>
      <c r="BZH77" s="685"/>
      <c r="BZI77" s="685"/>
      <c r="BZJ77" s="685"/>
      <c r="BZK77" s="685"/>
      <c r="BZL77" s="685"/>
      <c r="BZM77" s="685"/>
      <c r="BZN77" s="685"/>
      <c r="BZO77" s="685"/>
      <c r="BZP77" s="685"/>
      <c r="BZQ77" s="685"/>
      <c r="BZR77" s="685"/>
      <c r="BZS77" s="685"/>
      <c r="BZT77" s="685"/>
      <c r="BZU77" s="685"/>
      <c r="BZV77" s="685"/>
      <c r="BZW77" s="685"/>
      <c r="BZX77" s="685"/>
      <c r="BZY77" s="685"/>
      <c r="BZZ77" s="685"/>
      <c r="CAA77" s="685"/>
      <c r="CAB77" s="685"/>
      <c r="CAC77" s="685"/>
      <c r="CAD77" s="685"/>
      <c r="CAE77" s="685"/>
      <c r="CAF77" s="685"/>
      <c r="CAG77" s="685"/>
      <c r="CAH77" s="685"/>
      <c r="CAI77" s="685"/>
      <c r="CAJ77" s="685"/>
      <c r="CAK77" s="685"/>
      <c r="CAL77" s="685"/>
      <c r="CAM77" s="685"/>
      <c r="CAN77" s="685"/>
      <c r="CAO77" s="685"/>
      <c r="CAP77" s="685"/>
      <c r="CAQ77" s="685"/>
      <c r="CAR77" s="685"/>
      <c r="CAS77" s="685"/>
      <c r="CAT77" s="685"/>
      <c r="CAU77" s="685"/>
      <c r="CAV77" s="685"/>
      <c r="CAW77" s="685"/>
      <c r="CAX77" s="685"/>
      <c r="CAY77" s="685"/>
      <c r="CAZ77" s="685"/>
      <c r="CBA77" s="685"/>
      <c r="CBB77" s="685"/>
      <c r="CBC77" s="685"/>
      <c r="CBD77" s="685"/>
      <c r="CBE77" s="685"/>
      <c r="CBF77" s="685"/>
      <c r="CBG77" s="685"/>
      <c r="CBH77" s="685"/>
      <c r="CBI77" s="685"/>
      <c r="CBJ77" s="685"/>
      <c r="CBK77" s="685"/>
      <c r="CBL77" s="685"/>
      <c r="CBM77" s="685"/>
      <c r="CBN77" s="685"/>
      <c r="CBO77" s="685"/>
      <c r="CBP77" s="685"/>
      <c r="CBQ77" s="685"/>
      <c r="CBR77" s="685"/>
      <c r="CBS77" s="685"/>
      <c r="CBT77" s="685"/>
      <c r="CBU77" s="685"/>
      <c r="CBV77" s="685"/>
      <c r="CBW77" s="685"/>
      <c r="CBX77" s="685"/>
      <c r="CBY77" s="685"/>
      <c r="CBZ77" s="685"/>
      <c r="CCA77" s="685"/>
      <c r="CCB77" s="685"/>
      <c r="CCC77" s="685"/>
      <c r="CCD77" s="685"/>
      <c r="CCE77" s="685"/>
      <c r="CCF77" s="685"/>
      <c r="CCG77" s="685"/>
      <c r="CCH77" s="685"/>
      <c r="CCI77" s="685"/>
      <c r="CCJ77" s="685"/>
      <c r="CCK77" s="685"/>
      <c r="CCL77" s="685"/>
      <c r="CCM77" s="685"/>
      <c r="CCN77" s="685"/>
      <c r="CCO77" s="685"/>
      <c r="CCP77" s="685"/>
      <c r="CCQ77" s="685"/>
      <c r="CCR77" s="685"/>
      <c r="CCS77" s="685"/>
      <c r="CCT77" s="685"/>
      <c r="CCU77" s="685"/>
      <c r="CCV77" s="685"/>
      <c r="CCW77" s="685"/>
      <c r="CCX77" s="685"/>
      <c r="CCY77" s="685"/>
      <c r="CCZ77" s="685"/>
      <c r="CDA77" s="685"/>
      <c r="CDB77" s="685"/>
      <c r="CDC77" s="685"/>
      <c r="CDD77" s="685"/>
      <c r="CDE77" s="685"/>
      <c r="CDF77" s="685"/>
      <c r="CDG77" s="685"/>
      <c r="CDH77" s="685"/>
      <c r="CDI77" s="685"/>
      <c r="CDJ77" s="685"/>
      <c r="CDK77" s="685"/>
      <c r="CDL77" s="685"/>
      <c r="CDM77" s="685"/>
      <c r="CDN77" s="685"/>
      <c r="CDO77" s="685"/>
      <c r="CDP77" s="685"/>
      <c r="CDQ77" s="685"/>
      <c r="CDR77" s="685"/>
      <c r="CDS77" s="685"/>
      <c r="CDT77" s="685"/>
      <c r="CDU77" s="685"/>
      <c r="CDV77" s="685"/>
      <c r="CDW77" s="685"/>
      <c r="CDX77" s="685"/>
      <c r="CDY77" s="685"/>
      <c r="CDZ77" s="685"/>
      <c r="CEA77" s="685"/>
      <c r="CEB77" s="685"/>
      <c r="CEC77" s="685"/>
      <c r="CED77" s="685"/>
      <c r="CEE77" s="685"/>
      <c r="CEF77" s="685"/>
      <c r="CEG77" s="685"/>
      <c r="CEH77" s="685"/>
      <c r="CEI77" s="685"/>
      <c r="CEJ77" s="685"/>
      <c r="CEK77" s="685"/>
      <c r="CEL77" s="685"/>
      <c r="CEM77" s="685"/>
      <c r="CEN77" s="685"/>
      <c r="CEO77" s="685"/>
      <c r="CEP77" s="685"/>
      <c r="CEQ77" s="685"/>
      <c r="CER77" s="685"/>
      <c r="CES77" s="685"/>
      <c r="CET77" s="685"/>
      <c r="CEU77" s="685"/>
      <c r="CEV77" s="685"/>
      <c r="CEW77" s="685"/>
      <c r="CEX77" s="685"/>
      <c r="CEY77" s="685"/>
      <c r="CEZ77" s="685"/>
      <c r="CFA77" s="685"/>
      <c r="CFB77" s="685"/>
      <c r="CFC77" s="685"/>
      <c r="CFD77" s="685"/>
      <c r="CFE77" s="685"/>
      <c r="CFF77" s="685"/>
      <c r="CFG77" s="685"/>
      <c r="CFH77" s="685"/>
      <c r="CFI77" s="685"/>
      <c r="CFJ77" s="685"/>
      <c r="CFK77" s="685"/>
      <c r="CFL77" s="685"/>
      <c r="CFM77" s="685"/>
      <c r="CFN77" s="685"/>
      <c r="CFO77" s="685"/>
      <c r="CFP77" s="685"/>
      <c r="CFQ77" s="685"/>
      <c r="CFR77" s="685"/>
      <c r="CFS77" s="685"/>
      <c r="CFT77" s="685"/>
      <c r="CFU77" s="685"/>
      <c r="CFV77" s="685"/>
      <c r="CFW77" s="685"/>
      <c r="CFX77" s="685"/>
      <c r="CFY77" s="685"/>
      <c r="CFZ77" s="685"/>
      <c r="CGA77" s="685"/>
      <c r="CGB77" s="685"/>
      <c r="CGC77" s="685"/>
      <c r="CGD77" s="685"/>
      <c r="CGE77" s="685"/>
      <c r="CGF77" s="685"/>
      <c r="CGG77" s="685"/>
      <c r="CGH77" s="685"/>
      <c r="CGI77" s="685"/>
      <c r="CGJ77" s="685"/>
      <c r="CGK77" s="685"/>
      <c r="CGL77" s="685"/>
      <c r="CGM77" s="685"/>
      <c r="CGN77" s="685"/>
      <c r="CGO77" s="685"/>
      <c r="CGP77" s="685"/>
      <c r="CGQ77" s="685"/>
      <c r="CGR77" s="685"/>
      <c r="CGS77" s="685"/>
      <c r="CGT77" s="685"/>
      <c r="CGU77" s="685"/>
      <c r="CGV77" s="685"/>
      <c r="CGW77" s="685"/>
      <c r="CGX77" s="685"/>
      <c r="CGY77" s="685"/>
      <c r="CGZ77" s="685"/>
      <c r="CHA77" s="685"/>
      <c r="CHB77" s="685"/>
      <c r="CHC77" s="685"/>
      <c r="CHD77" s="685"/>
      <c r="CHE77" s="685"/>
      <c r="CHF77" s="685"/>
      <c r="CHG77" s="685"/>
      <c r="CHH77" s="685"/>
      <c r="CHI77" s="685"/>
      <c r="CHJ77" s="685"/>
      <c r="CHK77" s="685"/>
      <c r="CHL77" s="685"/>
      <c r="CHM77" s="685"/>
      <c r="CHN77" s="685"/>
      <c r="CHO77" s="685"/>
      <c r="CHP77" s="685"/>
      <c r="CHQ77" s="685"/>
      <c r="CHR77" s="685"/>
      <c r="CHS77" s="685"/>
      <c r="CHT77" s="685"/>
      <c r="CHU77" s="685"/>
      <c r="CHV77" s="685"/>
      <c r="CHW77" s="685"/>
      <c r="CHX77" s="685"/>
      <c r="CHY77" s="685"/>
      <c r="CHZ77" s="685"/>
      <c r="CIA77" s="685"/>
      <c r="CIB77" s="685"/>
      <c r="CIC77" s="685"/>
      <c r="CID77" s="685"/>
      <c r="CIE77" s="685"/>
      <c r="CIF77" s="685"/>
      <c r="CIG77" s="685"/>
      <c r="CIH77" s="685"/>
      <c r="CII77" s="685"/>
      <c r="CIJ77" s="685"/>
      <c r="CIK77" s="685"/>
      <c r="CIL77" s="685"/>
      <c r="CIM77" s="685"/>
      <c r="CIN77" s="685"/>
      <c r="CIO77" s="685"/>
      <c r="CIP77" s="685"/>
      <c r="CIQ77" s="685"/>
      <c r="CIR77" s="685"/>
      <c r="CIS77" s="685"/>
      <c r="CIT77" s="685"/>
      <c r="CIU77" s="685"/>
      <c r="CIV77" s="685"/>
      <c r="CIW77" s="685"/>
      <c r="CIX77" s="685"/>
      <c r="CIY77" s="685"/>
      <c r="CIZ77" s="685"/>
      <c r="CJA77" s="685"/>
      <c r="CJB77" s="685"/>
      <c r="CJC77" s="685"/>
      <c r="CJD77" s="685"/>
      <c r="CJE77" s="685"/>
      <c r="CJF77" s="685"/>
      <c r="CJG77" s="685"/>
      <c r="CJH77" s="685"/>
      <c r="CJI77" s="685"/>
      <c r="CJJ77" s="685"/>
      <c r="CJK77" s="685"/>
      <c r="CJL77" s="685"/>
      <c r="CJM77" s="685"/>
      <c r="CJN77" s="685"/>
      <c r="CJO77" s="685"/>
      <c r="CJP77" s="685"/>
      <c r="CJQ77" s="685"/>
      <c r="CJR77" s="685"/>
      <c r="CJS77" s="685"/>
      <c r="CJT77" s="685"/>
      <c r="CJU77" s="685"/>
      <c r="CJV77" s="685"/>
      <c r="CJW77" s="685"/>
      <c r="CJX77" s="685"/>
      <c r="CJY77" s="685"/>
      <c r="CJZ77" s="685"/>
      <c r="CKA77" s="685"/>
      <c r="CKB77" s="685"/>
      <c r="CKC77" s="685"/>
      <c r="CKD77" s="685"/>
      <c r="CKE77" s="685"/>
      <c r="CKF77" s="685"/>
      <c r="CKG77" s="685"/>
      <c r="CKH77" s="685"/>
      <c r="CKI77" s="685"/>
      <c r="CKJ77" s="685"/>
      <c r="CKK77" s="685"/>
      <c r="CKL77" s="685"/>
      <c r="CKM77" s="685"/>
      <c r="CKN77" s="685"/>
      <c r="CKO77" s="685"/>
      <c r="CKP77" s="685"/>
      <c r="CKQ77" s="685"/>
      <c r="CKR77" s="685"/>
      <c r="CKS77" s="685"/>
      <c r="CKT77" s="685"/>
      <c r="CKU77" s="685"/>
      <c r="CKV77" s="685"/>
      <c r="CKW77" s="685"/>
      <c r="CKX77" s="685"/>
      <c r="CKY77" s="685"/>
      <c r="CKZ77" s="685"/>
      <c r="CLA77" s="685"/>
      <c r="CLB77" s="685"/>
      <c r="CLC77" s="685"/>
      <c r="CLD77" s="685"/>
      <c r="CLE77" s="685"/>
      <c r="CLF77" s="685"/>
      <c r="CLG77" s="685"/>
      <c r="CLH77" s="685"/>
      <c r="CLI77" s="685"/>
      <c r="CLJ77" s="685"/>
      <c r="CLK77" s="685"/>
      <c r="CLL77" s="685"/>
      <c r="CLM77" s="685"/>
      <c r="CLN77" s="685"/>
      <c r="CLO77" s="685"/>
      <c r="CLP77" s="685"/>
      <c r="CLQ77" s="685"/>
      <c r="CLR77" s="685"/>
      <c r="CLS77" s="685"/>
      <c r="CLT77" s="685"/>
      <c r="CLU77" s="685"/>
      <c r="CLV77" s="685"/>
      <c r="CLW77" s="685"/>
      <c r="CLX77" s="685"/>
      <c r="CLY77" s="685"/>
      <c r="CLZ77" s="685"/>
      <c r="CMA77" s="685"/>
      <c r="CMB77" s="685"/>
      <c r="CMC77" s="685"/>
      <c r="CMD77" s="685"/>
      <c r="CME77" s="685"/>
      <c r="CMF77" s="685"/>
      <c r="CMG77" s="685"/>
      <c r="CMH77" s="685"/>
      <c r="CMI77" s="685"/>
      <c r="CMJ77" s="685"/>
      <c r="CMK77" s="685"/>
      <c r="CML77" s="685"/>
      <c r="CMM77" s="685"/>
      <c r="CMN77" s="685"/>
      <c r="CMO77" s="685"/>
      <c r="CMP77" s="685"/>
      <c r="CMQ77" s="685"/>
      <c r="CMR77" s="685"/>
      <c r="CMS77" s="685"/>
      <c r="CMT77" s="685"/>
      <c r="CMU77" s="685"/>
      <c r="CMV77" s="685"/>
      <c r="CMW77" s="685"/>
      <c r="CMX77" s="685"/>
      <c r="CMY77" s="685"/>
      <c r="CMZ77" s="685"/>
      <c r="CNA77" s="685"/>
      <c r="CNB77" s="685"/>
      <c r="CNC77" s="685"/>
      <c r="CND77" s="685"/>
      <c r="CNE77" s="685"/>
      <c r="CNF77" s="685"/>
      <c r="CNG77" s="685"/>
      <c r="CNH77" s="685"/>
      <c r="CNI77" s="685"/>
      <c r="CNJ77" s="685"/>
      <c r="CNK77" s="685"/>
      <c r="CNL77" s="685"/>
      <c r="CNM77" s="685"/>
      <c r="CNN77" s="685"/>
      <c r="CNO77" s="685"/>
      <c r="CNP77" s="685"/>
      <c r="CNQ77" s="685"/>
      <c r="CNR77" s="685"/>
      <c r="CNS77" s="685"/>
      <c r="CNT77" s="685"/>
      <c r="CNU77" s="685"/>
      <c r="CNV77" s="685"/>
      <c r="CNW77" s="685"/>
      <c r="CNX77" s="685"/>
      <c r="CNY77" s="685"/>
      <c r="CNZ77" s="685"/>
      <c r="COA77" s="685"/>
      <c r="COB77" s="685"/>
      <c r="COC77" s="685"/>
      <c r="COD77" s="685"/>
      <c r="COE77" s="685"/>
      <c r="COF77" s="685"/>
      <c r="COG77" s="685"/>
      <c r="COH77" s="685"/>
      <c r="COI77" s="685"/>
      <c r="COJ77" s="685"/>
      <c r="COK77" s="685"/>
      <c r="COL77" s="685"/>
      <c r="COM77" s="685"/>
      <c r="CON77" s="685"/>
      <c r="COO77" s="685"/>
      <c r="COP77" s="685"/>
      <c r="COQ77" s="685"/>
      <c r="COR77" s="685"/>
      <c r="COS77" s="685"/>
      <c r="COT77" s="685"/>
      <c r="COU77" s="685"/>
      <c r="COV77" s="685"/>
      <c r="COW77" s="685"/>
      <c r="COX77" s="685"/>
      <c r="COY77" s="685"/>
      <c r="COZ77" s="685"/>
      <c r="CPA77" s="685"/>
      <c r="CPB77" s="685"/>
      <c r="CPC77" s="685"/>
      <c r="CPD77" s="685"/>
      <c r="CPE77" s="685"/>
      <c r="CPF77" s="685"/>
      <c r="CPG77" s="685"/>
      <c r="CPH77" s="685"/>
      <c r="CPI77" s="685"/>
      <c r="CPJ77" s="685"/>
      <c r="CPK77" s="685"/>
      <c r="CPL77" s="685"/>
      <c r="CPM77" s="685"/>
      <c r="CPN77" s="685"/>
      <c r="CPO77" s="685"/>
      <c r="CPP77" s="685"/>
      <c r="CPQ77" s="685"/>
      <c r="CPR77" s="685"/>
      <c r="CPS77" s="685"/>
      <c r="CPT77" s="685"/>
      <c r="CPU77" s="685"/>
      <c r="CPV77" s="685"/>
      <c r="CPW77" s="685"/>
      <c r="CPX77" s="685"/>
      <c r="CPY77" s="685"/>
      <c r="CPZ77" s="685"/>
      <c r="CQA77" s="685"/>
      <c r="CQB77" s="685"/>
      <c r="CQC77" s="685"/>
      <c r="CQD77" s="685"/>
      <c r="CQE77" s="685"/>
      <c r="CQF77" s="685"/>
      <c r="CQG77" s="685"/>
      <c r="CQH77" s="685"/>
      <c r="CQI77" s="685"/>
      <c r="CQJ77" s="685"/>
      <c r="CQK77" s="685"/>
      <c r="CQL77" s="685"/>
      <c r="CQM77" s="685"/>
      <c r="CQN77" s="685"/>
      <c r="CQO77" s="685"/>
      <c r="CQP77" s="685"/>
      <c r="CQQ77" s="685"/>
      <c r="CQR77" s="685"/>
      <c r="CQS77" s="685"/>
      <c r="CQT77" s="685"/>
      <c r="CQU77" s="685"/>
      <c r="CQV77" s="685"/>
      <c r="CQW77" s="685"/>
      <c r="CQX77" s="685"/>
      <c r="CQY77" s="685"/>
      <c r="CQZ77" s="685"/>
      <c r="CRA77" s="685"/>
      <c r="CRB77" s="685"/>
      <c r="CRC77" s="685"/>
      <c r="CRD77" s="685"/>
      <c r="CRE77" s="685"/>
      <c r="CRF77" s="685"/>
      <c r="CRG77" s="685"/>
      <c r="CRH77" s="685"/>
      <c r="CRI77" s="685"/>
      <c r="CRJ77" s="685"/>
      <c r="CRK77" s="685"/>
      <c r="CRL77" s="685"/>
      <c r="CRM77" s="685"/>
      <c r="CRN77" s="685"/>
      <c r="CRO77" s="685"/>
      <c r="CRP77" s="685"/>
      <c r="CRQ77" s="685"/>
      <c r="CRR77" s="685"/>
      <c r="CRS77" s="685"/>
      <c r="CRT77" s="685"/>
      <c r="CRU77" s="685"/>
      <c r="CRV77" s="685"/>
      <c r="CRW77" s="685"/>
      <c r="CRX77" s="685"/>
      <c r="CRY77" s="685"/>
      <c r="CRZ77" s="685"/>
      <c r="CSA77" s="685"/>
      <c r="CSB77" s="685"/>
      <c r="CSC77" s="685"/>
      <c r="CSD77" s="685"/>
      <c r="CSE77" s="685"/>
      <c r="CSF77" s="685"/>
      <c r="CSG77" s="685"/>
      <c r="CSH77" s="685"/>
      <c r="CSI77" s="685"/>
      <c r="CSJ77" s="685"/>
      <c r="CSK77" s="685"/>
      <c r="CSL77" s="685"/>
      <c r="CSM77" s="685"/>
      <c r="CSN77" s="685"/>
      <c r="CSO77" s="685"/>
      <c r="CSP77" s="685"/>
      <c r="CSQ77" s="685"/>
      <c r="CSR77" s="685"/>
      <c r="CSS77" s="685"/>
      <c r="CST77" s="685"/>
      <c r="CSU77" s="685"/>
      <c r="CSV77" s="685"/>
      <c r="CSW77" s="685"/>
      <c r="CSX77" s="685"/>
      <c r="CSY77" s="685"/>
      <c r="CSZ77" s="685"/>
      <c r="CTA77" s="685"/>
      <c r="CTB77" s="685"/>
      <c r="CTC77" s="685"/>
      <c r="CTD77" s="685"/>
      <c r="CTE77" s="685"/>
      <c r="CTF77" s="685"/>
      <c r="CTG77" s="685"/>
      <c r="CTH77" s="685"/>
      <c r="CTI77" s="685"/>
      <c r="CTJ77" s="685"/>
      <c r="CTK77" s="685"/>
      <c r="CTL77" s="685"/>
      <c r="CTM77" s="685"/>
      <c r="CTN77" s="685"/>
      <c r="CTO77" s="685"/>
      <c r="CTP77" s="685"/>
      <c r="CTQ77" s="685"/>
      <c r="CTR77" s="685"/>
      <c r="CTS77" s="685"/>
      <c r="CTT77" s="685"/>
      <c r="CTU77" s="685"/>
      <c r="CTV77" s="685"/>
      <c r="CTW77" s="685"/>
      <c r="CTX77" s="685"/>
      <c r="CTY77" s="685"/>
      <c r="CTZ77" s="685"/>
      <c r="CUA77" s="685"/>
      <c r="CUB77" s="685"/>
      <c r="CUC77" s="685"/>
      <c r="CUD77" s="685"/>
      <c r="CUE77" s="685"/>
      <c r="CUF77" s="685"/>
      <c r="CUG77" s="685"/>
      <c r="CUH77" s="685"/>
      <c r="CUI77" s="685"/>
      <c r="CUJ77" s="685"/>
      <c r="CUK77" s="685"/>
      <c r="CUL77" s="685"/>
      <c r="CUM77" s="685"/>
      <c r="CUN77" s="685"/>
      <c r="CUO77" s="685"/>
      <c r="CUP77" s="685"/>
      <c r="CUQ77" s="685"/>
      <c r="CUR77" s="685"/>
      <c r="CUS77" s="685"/>
      <c r="CUT77" s="685"/>
      <c r="CUU77" s="685"/>
      <c r="CUV77" s="685"/>
      <c r="CUW77" s="685"/>
      <c r="CUX77" s="685"/>
      <c r="CUY77" s="685"/>
      <c r="CUZ77" s="685"/>
      <c r="CVA77" s="685"/>
      <c r="CVB77" s="685"/>
      <c r="CVC77" s="685"/>
      <c r="CVD77" s="685"/>
      <c r="CVE77" s="685"/>
      <c r="CVF77" s="685"/>
      <c r="CVG77" s="685"/>
      <c r="CVH77" s="685"/>
      <c r="CVI77" s="685"/>
      <c r="CVJ77" s="685"/>
      <c r="CVK77" s="685"/>
      <c r="CVL77" s="685"/>
      <c r="CVM77" s="685"/>
      <c r="CVN77" s="685"/>
      <c r="CVO77" s="685"/>
      <c r="CVP77" s="685"/>
      <c r="CVQ77" s="685"/>
      <c r="CVR77" s="685"/>
      <c r="CVS77" s="685"/>
      <c r="CVT77" s="685"/>
      <c r="CVU77" s="685"/>
      <c r="CVV77" s="685"/>
      <c r="CVW77" s="685"/>
      <c r="CVX77" s="685"/>
      <c r="CVY77" s="685"/>
      <c r="CVZ77" s="685"/>
      <c r="CWA77" s="685"/>
      <c r="CWB77" s="685"/>
      <c r="CWC77" s="685"/>
      <c r="CWD77" s="685"/>
      <c r="CWE77" s="685"/>
      <c r="CWF77" s="685"/>
      <c r="CWG77" s="685"/>
      <c r="CWH77" s="685"/>
      <c r="CWI77" s="685"/>
      <c r="CWJ77" s="685"/>
      <c r="CWK77" s="685"/>
      <c r="CWL77" s="685"/>
      <c r="CWM77" s="685"/>
      <c r="CWN77" s="685"/>
      <c r="CWO77" s="685"/>
      <c r="CWP77" s="685"/>
      <c r="CWQ77" s="685"/>
      <c r="CWR77" s="685"/>
      <c r="CWS77" s="685"/>
      <c r="CWT77" s="685"/>
      <c r="CWU77" s="685"/>
      <c r="CWV77" s="685"/>
      <c r="CWW77" s="685"/>
      <c r="CWX77" s="685"/>
      <c r="CWY77" s="685"/>
      <c r="CWZ77" s="685"/>
      <c r="CXA77" s="685"/>
      <c r="CXB77" s="685"/>
      <c r="CXC77" s="685"/>
      <c r="CXD77" s="685"/>
      <c r="CXE77" s="685"/>
      <c r="CXF77" s="685"/>
      <c r="CXG77" s="685"/>
      <c r="CXH77" s="685"/>
      <c r="CXI77" s="685"/>
      <c r="CXJ77" s="685"/>
      <c r="CXK77" s="685"/>
      <c r="CXL77" s="685"/>
      <c r="CXM77" s="685"/>
      <c r="CXN77" s="685"/>
      <c r="CXO77" s="685"/>
      <c r="CXP77" s="685"/>
      <c r="CXQ77" s="685"/>
      <c r="CXR77" s="685"/>
      <c r="CXS77" s="685"/>
      <c r="CXT77" s="685"/>
      <c r="CXU77" s="685"/>
      <c r="CXV77" s="685"/>
      <c r="CXW77" s="685"/>
      <c r="CXX77" s="685"/>
      <c r="CXY77" s="685"/>
      <c r="CXZ77" s="685"/>
      <c r="CYA77" s="685"/>
      <c r="CYB77" s="685"/>
      <c r="CYC77" s="685"/>
      <c r="CYD77" s="685"/>
      <c r="CYE77" s="685"/>
      <c r="CYF77" s="685"/>
      <c r="CYG77" s="685"/>
      <c r="CYH77" s="685"/>
      <c r="CYI77" s="685"/>
      <c r="CYJ77" s="685"/>
      <c r="CYK77" s="685"/>
      <c r="CYL77" s="685"/>
      <c r="CYM77" s="685"/>
      <c r="CYN77" s="685"/>
      <c r="CYO77" s="685"/>
      <c r="CYP77" s="685"/>
      <c r="CYQ77" s="685"/>
      <c r="CYR77" s="685"/>
      <c r="CYS77" s="685"/>
      <c r="CYT77" s="685"/>
      <c r="CYU77" s="685"/>
      <c r="CYV77" s="685"/>
      <c r="CYW77" s="685"/>
      <c r="CYX77" s="685"/>
      <c r="CYY77" s="685"/>
      <c r="CYZ77" s="685"/>
      <c r="CZA77" s="685"/>
      <c r="CZB77" s="685"/>
      <c r="CZC77" s="685"/>
      <c r="CZD77" s="685"/>
      <c r="CZE77" s="685"/>
      <c r="CZF77" s="685"/>
      <c r="CZG77" s="685"/>
      <c r="CZH77" s="685"/>
      <c r="CZI77" s="685"/>
      <c r="CZJ77" s="685"/>
      <c r="CZK77" s="685"/>
      <c r="CZL77" s="685"/>
      <c r="CZM77" s="685"/>
      <c r="CZN77" s="685"/>
      <c r="CZO77" s="685"/>
      <c r="CZP77" s="685"/>
      <c r="CZQ77" s="685"/>
      <c r="CZR77" s="685"/>
      <c r="CZS77" s="685"/>
      <c r="CZT77" s="685"/>
      <c r="CZU77" s="685"/>
      <c r="CZV77" s="685"/>
      <c r="CZW77" s="685"/>
      <c r="CZX77" s="685"/>
      <c r="CZY77" s="685"/>
      <c r="CZZ77" s="685"/>
      <c r="DAA77" s="685"/>
      <c r="DAB77" s="685"/>
      <c r="DAC77" s="685"/>
      <c r="DAD77" s="685"/>
      <c r="DAE77" s="685"/>
      <c r="DAF77" s="685"/>
      <c r="DAG77" s="685"/>
      <c r="DAH77" s="685"/>
      <c r="DAI77" s="685"/>
      <c r="DAJ77" s="685"/>
      <c r="DAK77" s="685"/>
      <c r="DAL77" s="685"/>
      <c r="DAM77" s="685"/>
      <c r="DAN77" s="685"/>
      <c r="DAO77" s="685"/>
      <c r="DAP77" s="685"/>
      <c r="DAQ77" s="685"/>
      <c r="DAR77" s="685"/>
      <c r="DAS77" s="685"/>
      <c r="DAT77" s="685"/>
      <c r="DAU77" s="685"/>
      <c r="DAV77" s="685"/>
      <c r="DAW77" s="685"/>
      <c r="DAX77" s="685"/>
      <c r="DAY77" s="685"/>
      <c r="DAZ77" s="685"/>
      <c r="DBA77" s="685"/>
      <c r="DBB77" s="685"/>
      <c r="DBC77" s="685"/>
      <c r="DBD77" s="685"/>
      <c r="DBE77" s="685"/>
      <c r="DBF77" s="685"/>
      <c r="DBG77" s="685"/>
      <c r="DBH77" s="685"/>
      <c r="DBI77" s="685"/>
      <c r="DBJ77" s="685"/>
      <c r="DBK77" s="685"/>
      <c r="DBL77" s="685"/>
      <c r="DBM77" s="685"/>
      <c r="DBN77" s="685"/>
      <c r="DBO77" s="685"/>
      <c r="DBP77" s="685"/>
      <c r="DBQ77" s="685"/>
      <c r="DBR77" s="685"/>
      <c r="DBS77" s="685"/>
      <c r="DBT77" s="685"/>
      <c r="DBU77" s="685"/>
      <c r="DBV77" s="685"/>
      <c r="DBW77" s="685"/>
      <c r="DBX77" s="685"/>
      <c r="DBY77" s="685"/>
      <c r="DBZ77" s="685"/>
      <c r="DCA77" s="685"/>
      <c r="DCB77" s="685"/>
      <c r="DCC77" s="685"/>
      <c r="DCD77" s="685"/>
      <c r="DCE77" s="685"/>
      <c r="DCF77" s="685"/>
      <c r="DCG77" s="685"/>
      <c r="DCH77" s="685"/>
      <c r="DCI77" s="685"/>
      <c r="DCJ77" s="685"/>
      <c r="DCK77" s="685"/>
      <c r="DCL77" s="685"/>
      <c r="DCM77" s="685"/>
      <c r="DCN77" s="685"/>
      <c r="DCO77" s="685"/>
      <c r="DCP77" s="685"/>
      <c r="DCQ77" s="685"/>
      <c r="DCR77" s="685"/>
      <c r="DCS77" s="685"/>
      <c r="DCT77" s="685"/>
      <c r="DCU77" s="685"/>
      <c r="DCV77" s="685"/>
      <c r="DCW77" s="685"/>
      <c r="DCX77" s="685"/>
      <c r="DCY77" s="685"/>
      <c r="DCZ77" s="685"/>
      <c r="DDA77" s="685"/>
      <c r="DDB77" s="685"/>
      <c r="DDC77" s="685"/>
      <c r="DDD77" s="685"/>
      <c r="DDE77" s="685"/>
      <c r="DDF77" s="685"/>
      <c r="DDG77" s="685"/>
      <c r="DDH77" s="685"/>
      <c r="DDI77" s="685"/>
      <c r="DDJ77" s="685"/>
      <c r="DDK77" s="685"/>
      <c r="DDL77" s="685"/>
      <c r="DDM77" s="685"/>
      <c r="DDN77" s="685"/>
      <c r="DDO77" s="685"/>
      <c r="DDP77" s="685"/>
      <c r="DDQ77" s="685"/>
      <c r="DDR77" s="685"/>
      <c r="DDS77" s="685"/>
      <c r="DDT77" s="685"/>
      <c r="DDU77" s="685"/>
      <c r="DDV77" s="685"/>
      <c r="DDW77" s="685"/>
      <c r="DDX77" s="685"/>
      <c r="DDY77" s="685"/>
      <c r="DDZ77" s="685"/>
      <c r="DEA77" s="685"/>
      <c r="DEB77" s="685"/>
      <c r="DEC77" s="685"/>
      <c r="DED77" s="685"/>
      <c r="DEE77" s="685"/>
      <c r="DEF77" s="685"/>
      <c r="DEG77" s="685"/>
      <c r="DEH77" s="685"/>
      <c r="DEI77" s="685"/>
      <c r="DEJ77" s="685"/>
      <c r="DEK77" s="685"/>
      <c r="DEL77" s="685"/>
      <c r="DEM77" s="685"/>
      <c r="DEN77" s="685"/>
      <c r="DEO77" s="685"/>
      <c r="DEP77" s="685"/>
      <c r="DEQ77" s="685"/>
      <c r="DER77" s="685"/>
      <c r="DES77" s="685"/>
      <c r="DET77" s="685"/>
      <c r="DEU77" s="685"/>
      <c r="DEV77" s="685"/>
      <c r="DEW77" s="685"/>
      <c r="DEX77" s="685"/>
      <c r="DEY77" s="685"/>
      <c r="DEZ77" s="685"/>
      <c r="DFA77" s="685"/>
      <c r="DFB77" s="685"/>
      <c r="DFC77" s="685"/>
      <c r="DFD77" s="685"/>
      <c r="DFE77" s="685"/>
      <c r="DFF77" s="685"/>
      <c r="DFG77" s="685"/>
      <c r="DFH77" s="685"/>
      <c r="DFI77" s="685"/>
      <c r="DFJ77" s="685"/>
      <c r="DFK77" s="685"/>
      <c r="DFL77" s="685"/>
      <c r="DFM77" s="685"/>
      <c r="DFN77" s="685"/>
      <c r="DFO77" s="685"/>
      <c r="DFP77" s="685"/>
      <c r="DFQ77" s="685"/>
      <c r="DFR77" s="685"/>
      <c r="DFS77" s="685"/>
      <c r="DFT77" s="685"/>
      <c r="DFU77" s="685"/>
      <c r="DFV77" s="685"/>
      <c r="DFW77" s="685"/>
      <c r="DFX77" s="685"/>
      <c r="DFY77" s="685"/>
      <c r="DFZ77" s="685"/>
      <c r="DGA77" s="685"/>
      <c r="DGB77" s="685"/>
      <c r="DGC77" s="685"/>
      <c r="DGD77" s="685"/>
      <c r="DGE77" s="685"/>
      <c r="DGF77" s="685"/>
      <c r="DGG77" s="685"/>
      <c r="DGH77" s="685"/>
      <c r="DGI77" s="685"/>
      <c r="DGJ77" s="685"/>
      <c r="DGK77" s="685"/>
      <c r="DGL77" s="685"/>
      <c r="DGM77" s="685"/>
      <c r="DGN77" s="685"/>
      <c r="DGO77" s="685"/>
      <c r="DGP77" s="685"/>
      <c r="DGQ77" s="685"/>
      <c r="DGR77" s="685"/>
      <c r="DGS77" s="685"/>
      <c r="DGT77" s="685"/>
      <c r="DGU77" s="685"/>
      <c r="DGV77" s="685"/>
      <c r="DGW77" s="685"/>
      <c r="DGX77" s="685"/>
      <c r="DGY77" s="685"/>
      <c r="DGZ77" s="685"/>
      <c r="DHA77" s="685"/>
      <c r="DHB77" s="685"/>
      <c r="DHC77" s="685"/>
      <c r="DHD77" s="685"/>
      <c r="DHE77" s="685"/>
      <c r="DHF77" s="685"/>
      <c r="DHG77" s="685"/>
      <c r="DHH77" s="685"/>
      <c r="DHI77" s="685"/>
      <c r="DHJ77" s="685"/>
      <c r="DHK77" s="685"/>
      <c r="DHL77" s="685"/>
      <c r="DHM77" s="685"/>
      <c r="DHN77" s="685"/>
      <c r="DHO77" s="685"/>
      <c r="DHP77" s="685"/>
      <c r="DHQ77" s="685"/>
      <c r="DHR77" s="685"/>
      <c r="DHS77" s="685"/>
      <c r="DHT77" s="685"/>
      <c r="DHU77" s="685"/>
      <c r="DHV77" s="685"/>
      <c r="DHW77" s="685"/>
      <c r="DHX77" s="685"/>
      <c r="DHY77" s="685"/>
      <c r="DHZ77" s="685"/>
      <c r="DIA77" s="685"/>
      <c r="DIB77" s="685"/>
      <c r="DIC77" s="685"/>
      <c r="DID77" s="685"/>
      <c r="DIE77" s="685"/>
      <c r="DIF77" s="685"/>
      <c r="DIG77" s="685"/>
      <c r="DIH77" s="685"/>
      <c r="DII77" s="685"/>
      <c r="DIJ77" s="685"/>
      <c r="DIK77" s="685"/>
      <c r="DIL77" s="685"/>
      <c r="DIM77" s="685"/>
      <c r="DIN77" s="685"/>
      <c r="DIO77" s="685"/>
      <c r="DIP77" s="685"/>
      <c r="DIQ77" s="685"/>
      <c r="DIR77" s="685"/>
      <c r="DIS77" s="685"/>
      <c r="DIT77" s="685"/>
      <c r="DIU77" s="685"/>
      <c r="DIV77" s="685"/>
      <c r="DIW77" s="685"/>
      <c r="DIX77" s="685"/>
      <c r="DIY77" s="685"/>
      <c r="DIZ77" s="685"/>
      <c r="DJA77" s="685"/>
      <c r="DJB77" s="685"/>
      <c r="DJC77" s="685"/>
      <c r="DJD77" s="685"/>
      <c r="DJE77" s="685"/>
      <c r="DJF77" s="685"/>
      <c r="DJG77" s="685"/>
      <c r="DJH77" s="685"/>
      <c r="DJI77" s="685"/>
      <c r="DJJ77" s="685"/>
      <c r="DJK77" s="685"/>
      <c r="DJL77" s="685"/>
      <c r="DJM77" s="685"/>
      <c r="DJN77" s="685"/>
      <c r="DJO77" s="685"/>
      <c r="DJP77" s="685"/>
      <c r="DJQ77" s="685"/>
      <c r="DJR77" s="685"/>
      <c r="DJS77" s="685"/>
      <c r="DJT77" s="685"/>
      <c r="DJU77" s="685"/>
      <c r="DJV77" s="685"/>
      <c r="DJW77" s="685"/>
      <c r="DJX77" s="685"/>
      <c r="DJY77" s="685"/>
      <c r="DJZ77" s="685"/>
      <c r="DKA77" s="685"/>
      <c r="DKB77" s="685"/>
      <c r="DKC77" s="685"/>
      <c r="DKD77" s="685"/>
      <c r="DKE77" s="685"/>
      <c r="DKF77" s="685"/>
      <c r="DKG77" s="685"/>
      <c r="DKH77" s="685"/>
      <c r="DKI77" s="685"/>
      <c r="DKJ77" s="685"/>
      <c r="DKK77" s="685"/>
      <c r="DKL77" s="685"/>
      <c r="DKM77" s="685"/>
      <c r="DKN77" s="685"/>
      <c r="DKO77" s="685"/>
      <c r="DKP77" s="685"/>
      <c r="DKQ77" s="685"/>
      <c r="DKR77" s="685"/>
      <c r="DKS77" s="685"/>
      <c r="DKT77" s="685"/>
      <c r="DKU77" s="685"/>
      <c r="DKV77" s="685"/>
      <c r="DKW77" s="685"/>
      <c r="DKX77" s="685"/>
      <c r="DKY77" s="685"/>
      <c r="DKZ77" s="685"/>
      <c r="DLA77" s="685"/>
      <c r="DLB77" s="685"/>
      <c r="DLC77" s="685"/>
      <c r="DLD77" s="685"/>
      <c r="DLE77" s="685"/>
      <c r="DLF77" s="685"/>
      <c r="DLG77" s="685"/>
      <c r="DLH77" s="685"/>
      <c r="DLI77" s="685"/>
      <c r="DLJ77" s="685"/>
      <c r="DLK77" s="685"/>
      <c r="DLL77" s="685"/>
      <c r="DLM77" s="685"/>
      <c r="DLN77" s="685"/>
      <c r="DLO77" s="685"/>
      <c r="DLP77" s="685"/>
      <c r="DLQ77" s="685"/>
      <c r="DLR77" s="685"/>
      <c r="DLS77" s="685"/>
      <c r="DLT77" s="685"/>
      <c r="DLU77" s="685"/>
      <c r="DLV77" s="685"/>
      <c r="DLW77" s="685"/>
      <c r="DLX77" s="685"/>
      <c r="DLY77" s="685"/>
      <c r="DLZ77" s="685"/>
      <c r="DMA77" s="685"/>
      <c r="DMB77" s="685"/>
      <c r="DMC77" s="685"/>
      <c r="DMD77" s="685"/>
      <c r="DME77" s="685"/>
      <c r="DMF77" s="685"/>
      <c r="DMG77" s="685"/>
      <c r="DMH77" s="685"/>
      <c r="DMI77" s="685"/>
      <c r="DMJ77" s="685"/>
      <c r="DMK77" s="685"/>
      <c r="DML77" s="685"/>
      <c r="DMM77" s="685"/>
      <c r="DMN77" s="685"/>
      <c r="DMO77" s="685"/>
      <c r="DMP77" s="685"/>
      <c r="DMQ77" s="685"/>
      <c r="DMR77" s="685"/>
      <c r="DMS77" s="685"/>
      <c r="DMT77" s="685"/>
      <c r="DMU77" s="685"/>
      <c r="DMV77" s="685"/>
      <c r="DMW77" s="685"/>
      <c r="DMX77" s="685"/>
      <c r="DMY77" s="685"/>
      <c r="DMZ77" s="685"/>
      <c r="DNA77" s="685"/>
      <c r="DNB77" s="685"/>
      <c r="DNC77" s="685"/>
      <c r="DND77" s="685"/>
      <c r="DNE77" s="685"/>
      <c r="DNF77" s="685"/>
      <c r="DNG77" s="685"/>
      <c r="DNH77" s="685"/>
      <c r="DNI77" s="685"/>
      <c r="DNJ77" s="685"/>
      <c r="DNK77" s="685"/>
      <c r="DNL77" s="685"/>
      <c r="DNM77" s="685"/>
      <c r="DNN77" s="685"/>
      <c r="DNO77" s="685"/>
      <c r="DNP77" s="685"/>
      <c r="DNQ77" s="685"/>
      <c r="DNR77" s="685"/>
      <c r="DNS77" s="685"/>
      <c r="DNT77" s="685"/>
      <c r="DNU77" s="685"/>
      <c r="DNV77" s="685"/>
      <c r="DNW77" s="685"/>
      <c r="DNX77" s="685"/>
      <c r="DNY77" s="685"/>
      <c r="DNZ77" s="685"/>
      <c r="DOA77" s="685"/>
      <c r="DOB77" s="685"/>
      <c r="DOC77" s="685"/>
      <c r="DOD77" s="685"/>
      <c r="DOE77" s="685"/>
      <c r="DOF77" s="685"/>
      <c r="DOG77" s="685"/>
      <c r="DOH77" s="685"/>
      <c r="DOI77" s="685"/>
      <c r="DOJ77" s="685"/>
      <c r="DOK77" s="685"/>
      <c r="DOL77" s="685"/>
      <c r="DOM77" s="685"/>
      <c r="DON77" s="685"/>
      <c r="DOO77" s="685"/>
      <c r="DOP77" s="685"/>
      <c r="DOQ77" s="685"/>
      <c r="DOR77" s="685"/>
      <c r="DOS77" s="685"/>
      <c r="DOT77" s="685"/>
      <c r="DOU77" s="685"/>
      <c r="DOV77" s="685"/>
      <c r="DOW77" s="685"/>
      <c r="DOX77" s="685"/>
      <c r="DOY77" s="685"/>
      <c r="DOZ77" s="685"/>
      <c r="DPA77" s="685"/>
      <c r="DPB77" s="685"/>
      <c r="DPC77" s="685"/>
      <c r="DPD77" s="685"/>
      <c r="DPE77" s="685"/>
      <c r="DPF77" s="685"/>
      <c r="DPG77" s="685"/>
      <c r="DPH77" s="685"/>
      <c r="DPI77" s="685"/>
      <c r="DPJ77" s="685"/>
      <c r="DPK77" s="685"/>
      <c r="DPL77" s="685"/>
      <c r="DPM77" s="685"/>
      <c r="DPN77" s="685"/>
      <c r="DPO77" s="685"/>
      <c r="DPP77" s="685"/>
      <c r="DPQ77" s="685"/>
      <c r="DPR77" s="685"/>
      <c r="DPS77" s="685"/>
      <c r="DPT77" s="685"/>
      <c r="DPU77" s="685"/>
      <c r="DPV77" s="685"/>
      <c r="DPW77" s="685"/>
      <c r="DPX77" s="685"/>
      <c r="DPY77" s="685"/>
      <c r="DPZ77" s="685"/>
      <c r="DQA77" s="685"/>
      <c r="DQB77" s="685"/>
      <c r="DQC77" s="685"/>
      <c r="DQD77" s="685"/>
      <c r="DQE77" s="685"/>
      <c r="DQF77" s="685"/>
      <c r="DQG77" s="685"/>
      <c r="DQH77" s="685"/>
      <c r="DQI77" s="685"/>
      <c r="DQJ77" s="685"/>
      <c r="DQK77" s="685"/>
      <c r="DQL77" s="685"/>
      <c r="DQM77" s="685"/>
      <c r="DQN77" s="685"/>
      <c r="DQO77" s="685"/>
      <c r="DQP77" s="685"/>
      <c r="DQQ77" s="685"/>
      <c r="DQR77" s="685"/>
      <c r="DQS77" s="685"/>
      <c r="DQT77" s="685"/>
      <c r="DQU77" s="685"/>
      <c r="DQV77" s="685"/>
      <c r="DQW77" s="685"/>
      <c r="DQX77" s="685"/>
      <c r="DQY77" s="685"/>
      <c r="DQZ77" s="685"/>
      <c r="DRA77" s="685"/>
      <c r="DRB77" s="685"/>
      <c r="DRC77" s="685"/>
      <c r="DRD77" s="685"/>
      <c r="DRE77" s="685"/>
      <c r="DRF77" s="685"/>
      <c r="DRG77" s="685"/>
      <c r="DRH77" s="685"/>
      <c r="DRI77" s="685"/>
      <c r="DRJ77" s="685"/>
      <c r="DRK77" s="685"/>
      <c r="DRL77" s="685"/>
      <c r="DRM77" s="685"/>
      <c r="DRN77" s="685"/>
      <c r="DRO77" s="685"/>
      <c r="DRP77" s="685"/>
      <c r="DRQ77" s="685"/>
      <c r="DRR77" s="685"/>
      <c r="DRS77" s="685"/>
      <c r="DRT77" s="685"/>
      <c r="DRU77" s="685"/>
      <c r="DRV77" s="685"/>
      <c r="DRW77" s="685"/>
      <c r="DRX77" s="685"/>
      <c r="DRY77" s="685"/>
      <c r="DRZ77" s="685"/>
      <c r="DSA77" s="685"/>
      <c r="DSB77" s="685"/>
      <c r="DSC77" s="685"/>
      <c r="DSD77" s="685"/>
      <c r="DSE77" s="685"/>
      <c r="DSF77" s="685"/>
      <c r="DSG77" s="685"/>
      <c r="DSH77" s="685"/>
      <c r="DSI77" s="685"/>
      <c r="DSJ77" s="685"/>
      <c r="DSK77" s="685"/>
      <c r="DSL77" s="685"/>
      <c r="DSM77" s="685"/>
      <c r="DSN77" s="685"/>
      <c r="DSO77" s="685"/>
      <c r="DSP77" s="685"/>
      <c r="DSQ77" s="685"/>
      <c r="DSR77" s="685"/>
      <c r="DSS77" s="685"/>
      <c r="DST77" s="685"/>
      <c r="DSU77" s="685"/>
      <c r="DSV77" s="685"/>
      <c r="DSW77" s="685"/>
      <c r="DSX77" s="685"/>
      <c r="DSY77" s="685"/>
      <c r="DSZ77" s="685"/>
      <c r="DTA77" s="685"/>
      <c r="DTB77" s="685"/>
      <c r="DTC77" s="685"/>
      <c r="DTD77" s="685"/>
      <c r="DTE77" s="685"/>
      <c r="DTF77" s="685"/>
      <c r="DTG77" s="685"/>
      <c r="DTH77" s="685"/>
      <c r="DTI77" s="685"/>
      <c r="DTJ77" s="685"/>
      <c r="DTK77" s="685"/>
      <c r="DTL77" s="685"/>
      <c r="DTM77" s="685"/>
      <c r="DTN77" s="685"/>
      <c r="DTO77" s="685"/>
      <c r="DTP77" s="685"/>
      <c r="DTQ77" s="685"/>
      <c r="DTR77" s="685"/>
      <c r="DTS77" s="685"/>
      <c r="DTT77" s="685"/>
      <c r="DTU77" s="685"/>
      <c r="DTV77" s="685"/>
      <c r="DTW77" s="685"/>
      <c r="DTX77" s="685"/>
      <c r="DTY77" s="685"/>
      <c r="DTZ77" s="685"/>
      <c r="DUA77" s="685"/>
      <c r="DUB77" s="685"/>
      <c r="DUC77" s="685"/>
      <c r="DUD77" s="685"/>
      <c r="DUE77" s="685"/>
      <c r="DUF77" s="685"/>
      <c r="DUG77" s="685"/>
      <c r="DUH77" s="685"/>
      <c r="DUI77" s="685"/>
      <c r="DUJ77" s="685"/>
      <c r="DUK77" s="685"/>
      <c r="DUL77" s="685"/>
      <c r="DUM77" s="685"/>
      <c r="DUN77" s="685"/>
      <c r="DUO77" s="685"/>
      <c r="DUP77" s="685"/>
      <c r="DUQ77" s="685"/>
      <c r="DUR77" s="685"/>
      <c r="DUS77" s="685"/>
      <c r="DUT77" s="685"/>
      <c r="DUU77" s="685"/>
      <c r="DUV77" s="685"/>
      <c r="DUW77" s="685"/>
      <c r="DUX77" s="685"/>
      <c r="DUY77" s="685"/>
      <c r="DUZ77" s="685"/>
      <c r="DVA77" s="685"/>
      <c r="DVB77" s="685"/>
      <c r="DVC77" s="685"/>
      <c r="DVD77" s="685"/>
      <c r="DVE77" s="685"/>
      <c r="DVF77" s="685"/>
      <c r="DVG77" s="685"/>
      <c r="DVH77" s="685"/>
      <c r="DVI77" s="685"/>
      <c r="DVJ77" s="685"/>
      <c r="DVK77" s="685"/>
      <c r="DVL77" s="685"/>
      <c r="DVM77" s="685"/>
      <c r="DVN77" s="685"/>
      <c r="DVO77" s="685"/>
      <c r="DVP77" s="685"/>
      <c r="DVQ77" s="685"/>
      <c r="DVR77" s="685"/>
      <c r="DVS77" s="685"/>
      <c r="DVT77" s="685"/>
      <c r="DVU77" s="685"/>
      <c r="DVV77" s="685"/>
      <c r="DVW77" s="685"/>
      <c r="DVX77" s="685"/>
      <c r="DVY77" s="685"/>
      <c r="DVZ77" s="685"/>
      <c r="DWA77" s="685"/>
      <c r="DWB77" s="685"/>
      <c r="DWC77" s="685"/>
      <c r="DWD77" s="685"/>
      <c r="DWE77" s="685"/>
      <c r="DWF77" s="685"/>
      <c r="DWG77" s="685"/>
      <c r="DWH77" s="685"/>
      <c r="DWI77" s="685"/>
      <c r="DWJ77" s="685"/>
      <c r="DWK77" s="685"/>
      <c r="DWL77" s="685"/>
      <c r="DWM77" s="685"/>
      <c r="DWN77" s="685"/>
      <c r="DWO77" s="685"/>
      <c r="DWP77" s="685"/>
      <c r="DWQ77" s="685"/>
      <c r="DWR77" s="685"/>
      <c r="DWS77" s="685"/>
      <c r="DWT77" s="685"/>
      <c r="DWU77" s="685"/>
      <c r="DWV77" s="685"/>
      <c r="DWW77" s="685"/>
      <c r="DWX77" s="685"/>
      <c r="DWY77" s="685"/>
      <c r="DWZ77" s="685"/>
      <c r="DXA77" s="685"/>
      <c r="DXB77" s="685"/>
      <c r="DXC77" s="685"/>
      <c r="DXD77" s="685"/>
      <c r="DXE77" s="685"/>
      <c r="DXF77" s="685"/>
      <c r="DXG77" s="685"/>
      <c r="DXH77" s="685"/>
      <c r="DXI77" s="685"/>
      <c r="DXJ77" s="685"/>
      <c r="DXK77" s="685"/>
      <c r="DXL77" s="685"/>
      <c r="DXM77" s="685"/>
      <c r="DXN77" s="685"/>
      <c r="DXO77" s="685"/>
      <c r="DXP77" s="685"/>
      <c r="DXQ77" s="685"/>
      <c r="DXR77" s="685"/>
      <c r="DXS77" s="685"/>
      <c r="DXT77" s="685"/>
      <c r="DXU77" s="685"/>
      <c r="DXV77" s="685"/>
      <c r="DXW77" s="685"/>
      <c r="DXX77" s="685"/>
      <c r="DXY77" s="685"/>
      <c r="DXZ77" s="685"/>
      <c r="DYA77" s="685"/>
      <c r="DYB77" s="685"/>
      <c r="DYC77" s="685"/>
      <c r="DYD77" s="685"/>
      <c r="DYE77" s="685"/>
      <c r="DYF77" s="685"/>
      <c r="DYG77" s="685"/>
      <c r="DYH77" s="685"/>
      <c r="DYI77" s="685"/>
      <c r="DYJ77" s="685"/>
      <c r="DYK77" s="685"/>
      <c r="DYL77" s="685"/>
      <c r="DYM77" s="685"/>
      <c r="DYN77" s="685"/>
      <c r="DYO77" s="685"/>
      <c r="DYP77" s="685"/>
      <c r="DYQ77" s="685"/>
      <c r="DYR77" s="685"/>
      <c r="DYS77" s="685"/>
      <c r="DYT77" s="685"/>
      <c r="DYU77" s="685"/>
      <c r="DYV77" s="685"/>
      <c r="DYW77" s="685"/>
      <c r="DYX77" s="685"/>
      <c r="DYY77" s="685"/>
      <c r="DYZ77" s="685"/>
      <c r="DZA77" s="685"/>
      <c r="DZB77" s="685"/>
      <c r="DZC77" s="685"/>
      <c r="DZD77" s="685"/>
      <c r="DZE77" s="685"/>
      <c r="DZF77" s="685"/>
      <c r="DZG77" s="685"/>
      <c r="DZH77" s="685"/>
      <c r="DZI77" s="685"/>
      <c r="DZJ77" s="685"/>
      <c r="DZK77" s="685"/>
      <c r="DZL77" s="685"/>
      <c r="DZM77" s="685"/>
      <c r="DZN77" s="685"/>
      <c r="DZO77" s="685"/>
      <c r="DZP77" s="685"/>
      <c r="DZQ77" s="685"/>
      <c r="DZR77" s="685"/>
      <c r="DZS77" s="685"/>
      <c r="DZT77" s="685"/>
      <c r="DZU77" s="685"/>
      <c r="DZV77" s="685"/>
      <c r="DZW77" s="685"/>
      <c r="DZX77" s="685"/>
      <c r="DZY77" s="685"/>
      <c r="DZZ77" s="685"/>
      <c r="EAA77" s="685"/>
      <c r="EAB77" s="685"/>
      <c r="EAC77" s="685"/>
      <c r="EAD77" s="685"/>
      <c r="EAE77" s="685"/>
      <c r="EAF77" s="685"/>
      <c r="EAG77" s="685"/>
      <c r="EAH77" s="685"/>
      <c r="EAI77" s="685"/>
      <c r="EAJ77" s="685"/>
      <c r="EAK77" s="685"/>
      <c r="EAL77" s="685"/>
      <c r="EAM77" s="685"/>
      <c r="EAN77" s="685"/>
      <c r="EAO77" s="685"/>
      <c r="EAP77" s="685"/>
      <c r="EAQ77" s="685"/>
      <c r="EAR77" s="685"/>
      <c r="EAS77" s="685"/>
      <c r="EAT77" s="685"/>
      <c r="EAU77" s="685"/>
      <c r="EAV77" s="685"/>
      <c r="EAW77" s="685"/>
      <c r="EAX77" s="685"/>
      <c r="EAY77" s="685"/>
      <c r="EAZ77" s="685"/>
      <c r="EBA77" s="685"/>
      <c r="EBB77" s="685"/>
      <c r="EBC77" s="685"/>
      <c r="EBD77" s="685"/>
      <c r="EBE77" s="685"/>
      <c r="EBF77" s="685"/>
      <c r="EBG77" s="685"/>
      <c r="EBH77" s="685"/>
      <c r="EBI77" s="685"/>
      <c r="EBJ77" s="685"/>
      <c r="EBK77" s="685"/>
      <c r="EBL77" s="685"/>
      <c r="EBM77" s="685"/>
      <c r="EBN77" s="685"/>
      <c r="EBO77" s="685"/>
      <c r="EBP77" s="685"/>
      <c r="EBQ77" s="685"/>
      <c r="EBR77" s="685"/>
      <c r="EBS77" s="685"/>
      <c r="EBT77" s="685"/>
      <c r="EBU77" s="685"/>
      <c r="EBV77" s="685"/>
      <c r="EBW77" s="685"/>
      <c r="EBX77" s="685"/>
      <c r="EBY77" s="685"/>
      <c r="EBZ77" s="685"/>
      <c r="ECA77" s="685"/>
      <c r="ECB77" s="685"/>
      <c r="ECC77" s="685"/>
      <c r="ECD77" s="685"/>
      <c r="ECE77" s="685"/>
      <c r="ECF77" s="685"/>
      <c r="ECG77" s="685"/>
      <c r="ECH77" s="685"/>
      <c r="ECI77" s="685"/>
      <c r="ECJ77" s="685"/>
      <c r="ECK77" s="685"/>
      <c r="ECL77" s="685"/>
      <c r="ECM77" s="685"/>
      <c r="ECN77" s="685"/>
      <c r="ECO77" s="685"/>
      <c r="ECP77" s="685"/>
      <c r="ECQ77" s="685"/>
      <c r="ECR77" s="685"/>
      <c r="ECS77" s="685"/>
      <c r="ECT77" s="685"/>
      <c r="ECU77" s="685"/>
      <c r="ECV77" s="685"/>
      <c r="ECW77" s="685"/>
      <c r="ECX77" s="685"/>
      <c r="ECY77" s="685"/>
      <c r="ECZ77" s="685"/>
      <c r="EDA77" s="685"/>
      <c r="EDB77" s="685"/>
      <c r="EDC77" s="685"/>
      <c r="EDD77" s="685"/>
      <c r="EDE77" s="685"/>
      <c r="EDF77" s="685"/>
      <c r="EDG77" s="685"/>
      <c r="EDH77" s="685"/>
      <c r="EDI77" s="685"/>
      <c r="EDJ77" s="685"/>
      <c r="EDK77" s="685"/>
      <c r="EDL77" s="685"/>
      <c r="EDM77" s="685"/>
      <c r="EDN77" s="685"/>
      <c r="EDO77" s="685"/>
      <c r="EDP77" s="685"/>
      <c r="EDQ77" s="685"/>
      <c r="EDR77" s="685"/>
      <c r="EDS77" s="685"/>
      <c r="EDT77" s="685"/>
      <c r="EDU77" s="685"/>
      <c r="EDV77" s="685"/>
      <c r="EDW77" s="685"/>
      <c r="EDX77" s="685"/>
      <c r="EDY77" s="685"/>
      <c r="EDZ77" s="685"/>
      <c r="EEA77" s="685"/>
      <c r="EEB77" s="685"/>
      <c r="EEC77" s="685"/>
      <c r="EED77" s="685"/>
      <c r="EEE77" s="685"/>
      <c r="EEF77" s="685"/>
      <c r="EEG77" s="685"/>
      <c r="EEH77" s="685"/>
      <c r="EEI77" s="685"/>
      <c r="EEJ77" s="685"/>
      <c r="EEK77" s="685"/>
      <c r="EEL77" s="685"/>
      <c r="EEM77" s="685"/>
      <c r="EEN77" s="685"/>
      <c r="EEO77" s="685"/>
      <c r="EEP77" s="685"/>
      <c r="EEQ77" s="685"/>
      <c r="EER77" s="685"/>
      <c r="EES77" s="685"/>
      <c r="EET77" s="685"/>
      <c r="EEU77" s="685"/>
      <c r="EEV77" s="685"/>
      <c r="EEW77" s="685"/>
      <c r="EEX77" s="685"/>
      <c r="EEY77" s="685"/>
      <c r="EEZ77" s="685"/>
      <c r="EFA77" s="685"/>
      <c r="EFB77" s="685"/>
      <c r="EFC77" s="685"/>
      <c r="EFD77" s="685"/>
      <c r="EFE77" s="685"/>
      <c r="EFF77" s="685"/>
      <c r="EFG77" s="685"/>
      <c r="EFH77" s="685"/>
      <c r="EFI77" s="685"/>
      <c r="EFJ77" s="685"/>
      <c r="EFK77" s="685"/>
      <c r="EFL77" s="685"/>
      <c r="EFM77" s="685"/>
      <c r="EFN77" s="685"/>
      <c r="EFO77" s="685"/>
      <c r="EFP77" s="685"/>
      <c r="EFQ77" s="685"/>
      <c r="EFR77" s="685"/>
      <c r="EFS77" s="685"/>
      <c r="EFT77" s="685"/>
      <c r="EFU77" s="685"/>
      <c r="EFV77" s="685"/>
      <c r="EFW77" s="685"/>
      <c r="EFX77" s="685"/>
      <c r="EFY77" s="685"/>
      <c r="EFZ77" s="685"/>
      <c r="EGA77" s="685"/>
      <c r="EGB77" s="685"/>
      <c r="EGC77" s="685"/>
      <c r="EGD77" s="685"/>
      <c r="EGE77" s="685"/>
      <c r="EGF77" s="685"/>
      <c r="EGG77" s="685"/>
      <c r="EGH77" s="685"/>
      <c r="EGI77" s="685"/>
      <c r="EGJ77" s="685"/>
      <c r="EGK77" s="685"/>
      <c r="EGL77" s="685"/>
      <c r="EGM77" s="685"/>
      <c r="EGN77" s="685"/>
      <c r="EGO77" s="685"/>
      <c r="EGP77" s="685"/>
      <c r="EGQ77" s="685"/>
      <c r="EGR77" s="685"/>
      <c r="EGS77" s="685"/>
      <c r="EGT77" s="685"/>
      <c r="EGU77" s="685"/>
      <c r="EGV77" s="685"/>
      <c r="EGW77" s="685"/>
      <c r="EGX77" s="685"/>
      <c r="EGY77" s="685"/>
      <c r="EGZ77" s="685"/>
      <c r="EHA77" s="685"/>
      <c r="EHB77" s="685"/>
      <c r="EHC77" s="685"/>
      <c r="EHD77" s="685"/>
      <c r="EHE77" s="685"/>
      <c r="EHF77" s="685"/>
      <c r="EHG77" s="685"/>
      <c r="EHH77" s="685"/>
      <c r="EHI77" s="685"/>
      <c r="EHJ77" s="685"/>
      <c r="EHK77" s="685"/>
      <c r="EHL77" s="685"/>
      <c r="EHM77" s="685"/>
      <c r="EHN77" s="685"/>
      <c r="EHO77" s="685"/>
      <c r="EHP77" s="685"/>
      <c r="EHQ77" s="685"/>
      <c r="EHR77" s="685"/>
      <c r="EHS77" s="685"/>
      <c r="EHT77" s="685"/>
      <c r="EHU77" s="685"/>
      <c r="EHV77" s="685"/>
      <c r="EHW77" s="685"/>
      <c r="EHX77" s="685"/>
      <c r="EHY77" s="685"/>
      <c r="EHZ77" s="685"/>
      <c r="EIA77" s="685"/>
      <c r="EIB77" s="685"/>
      <c r="EIC77" s="685"/>
      <c r="EID77" s="685"/>
      <c r="EIE77" s="685"/>
      <c r="EIF77" s="685"/>
      <c r="EIG77" s="685"/>
      <c r="EIH77" s="685"/>
      <c r="EII77" s="685"/>
      <c r="EIJ77" s="685"/>
      <c r="EIK77" s="685"/>
      <c r="EIL77" s="685"/>
      <c r="EIM77" s="685"/>
      <c r="EIN77" s="685"/>
      <c r="EIO77" s="685"/>
      <c r="EIP77" s="685"/>
      <c r="EIQ77" s="685"/>
      <c r="EIR77" s="685"/>
      <c r="EIS77" s="685"/>
      <c r="EIT77" s="685"/>
      <c r="EIU77" s="685"/>
      <c r="EIV77" s="685"/>
      <c r="EIW77" s="685"/>
      <c r="EIX77" s="685"/>
      <c r="EIY77" s="685"/>
      <c r="EIZ77" s="685"/>
      <c r="EJA77" s="685"/>
      <c r="EJB77" s="685"/>
      <c r="EJC77" s="685"/>
      <c r="EJD77" s="685"/>
      <c r="EJE77" s="685"/>
      <c r="EJF77" s="685"/>
      <c r="EJG77" s="685"/>
      <c r="EJH77" s="685"/>
      <c r="EJI77" s="685"/>
      <c r="EJJ77" s="685"/>
      <c r="EJK77" s="685"/>
      <c r="EJL77" s="685"/>
      <c r="EJM77" s="685"/>
      <c r="EJN77" s="685"/>
      <c r="EJO77" s="685"/>
      <c r="EJP77" s="685"/>
      <c r="EJQ77" s="685"/>
      <c r="EJR77" s="685"/>
      <c r="EJS77" s="685"/>
      <c r="EJT77" s="685"/>
      <c r="EJU77" s="685"/>
      <c r="EJV77" s="685"/>
      <c r="EJW77" s="685"/>
      <c r="EJX77" s="685"/>
      <c r="EJY77" s="685"/>
      <c r="EJZ77" s="685"/>
      <c r="EKA77" s="685"/>
      <c r="EKB77" s="685"/>
      <c r="EKC77" s="685"/>
      <c r="EKD77" s="685"/>
      <c r="EKE77" s="685"/>
      <c r="EKF77" s="685"/>
      <c r="EKG77" s="685"/>
      <c r="EKH77" s="685"/>
      <c r="EKI77" s="685"/>
      <c r="EKJ77" s="685"/>
      <c r="EKK77" s="685"/>
      <c r="EKL77" s="685"/>
      <c r="EKM77" s="685"/>
      <c r="EKN77" s="685"/>
      <c r="EKO77" s="685"/>
      <c r="EKP77" s="685"/>
      <c r="EKQ77" s="685"/>
      <c r="EKR77" s="685"/>
      <c r="EKS77" s="685"/>
      <c r="EKT77" s="685"/>
      <c r="EKU77" s="685"/>
      <c r="EKV77" s="685"/>
      <c r="EKW77" s="685"/>
      <c r="EKX77" s="685"/>
      <c r="EKY77" s="685"/>
      <c r="EKZ77" s="685"/>
      <c r="ELA77" s="685"/>
      <c r="ELB77" s="685"/>
      <c r="ELC77" s="685"/>
      <c r="ELD77" s="685"/>
      <c r="ELE77" s="685"/>
      <c r="ELF77" s="685"/>
      <c r="ELG77" s="685"/>
      <c r="ELH77" s="685"/>
      <c r="ELI77" s="685"/>
      <c r="ELJ77" s="685"/>
      <c r="ELK77" s="685"/>
      <c r="ELL77" s="685"/>
      <c r="ELM77" s="685"/>
      <c r="ELN77" s="685"/>
      <c r="ELO77" s="685"/>
      <c r="ELP77" s="685"/>
      <c r="ELQ77" s="685"/>
      <c r="ELR77" s="685"/>
      <c r="ELS77" s="685"/>
      <c r="ELT77" s="685"/>
      <c r="ELU77" s="685"/>
      <c r="ELV77" s="685"/>
      <c r="ELW77" s="685"/>
      <c r="ELX77" s="685"/>
      <c r="ELY77" s="685"/>
      <c r="ELZ77" s="685"/>
      <c r="EMA77" s="685"/>
      <c r="EMB77" s="685"/>
      <c r="EMC77" s="685"/>
      <c r="EMD77" s="685"/>
      <c r="EME77" s="685"/>
      <c r="EMF77" s="685"/>
      <c r="EMG77" s="685"/>
      <c r="EMH77" s="685"/>
      <c r="EMI77" s="685"/>
      <c r="EMJ77" s="685"/>
      <c r="EMK77" s="685"/>
      <c r="EML77" s="685"/>
      <c r="EMM77" s="685"/>
      <c r="EMN77" s="685"/>
      <c r="EMO77" s="685"/>
      <c r="EMP77" s="685"/>
      <c r="EMQ77" s="685"/>
      <c r="EMR77" s="685"/>
      <c r="EMS77" s="685"/>
      <c r="EMT77" s="685"/>
      <c r="EMU77" s="685"/>
      <c r="EMV77" s="685"/>
      <c r="EMW77" s="685"/>
      <c r="EMX77" s="685"/>
      <c r="EMY77" s="685"/>
      <c r="EMZ77" s="685"/>
      <c r="ENA77" s="685"/>
      <c r="ENB77" s="685"/>
      <c r="ENC77" s="685"/>
      <c r="END77" s="685"/>
      <c r="ENE77" s="685"/>
      <c r="ENF77" s="685"/>
      <c r="ENG77" s="685"/>
      <c r="ENH77" s="685"/>
      <c r="ENI77" s="685"/>
      <c r="ENJ77" s="685"/>
      <c r="ENK77" s="685"/>
      <c r="ENL77" s="685"/>
      <c r="ENM77" s="685"/>
      <c r="ENN77" s="685"/>
      <c r="ENO77" s="685"/>
      <c r="ENP77" s="685"/>
      <c r="ENQ77" s="685"/>
      <c r="ENR77" s="685"/>
      <c r="ENS77" s="685"/>
      <c r="ENT77" s="685"/>
      <c r="ENU77" s="685"/>
      <c r="ENV77" s="685"/>
      <c r="ENW77" s="685"/>
      <c r="ENX77" s="685"/>
      <c r="ENY77" s="685"/>
      <c r="ENZ77" s="685"/>
      <c r="EOA77" s="685"/>
      <c r="EOB77" s="685"/>
      <c r="EOC77" s="685"/>
      <c r="EOD77" s="685"/>
      <c r="EOE77" s="685"/>
      <c r="EOF77" s="685"/>
      <c r="EOG77" s="685"/>
      <c r="EOH77" s="685"/>
      <c r="EOI77" s="685"/>
      <c r="EOJ77" s="685"/>
      <c r="EOK77" s="685"/>
      <c r="EOL77" s="685"/>
      <c r="EOM77" s="685"/>
      <c r="EON77" s="685"/>
      <c r="EOO77" s="685"/>
      <c r="EOP77" s="685"/>
      <c r="EOQ77" s="685"/>
      <c r="EOR77" s="685"/>
      <c r="EOS77" s="685"/>
      <c r="EOT77" s="685"/>
      <c r="EOU77" s="685"/>
      <c r="EOV77" s="685"/>
      <c r="EOW77" s="685"/>
      <c r="EOX77" s="685"/>
      <c r="EOY77" s="685"/>
      <c r="EOZ77" s="685"/>
      <c r="EPA77" s="685"/>
      <c r="EPB77" s="685"/>
      <c r="EPC77" s="685"/>
      <c r="EPD77" s="685"/>
      <c r="EPE77" s="685"/>
      <c r="EPF77" s="685"/>
      <c r="EPG77" s="685"/>
      <c r="EPH77" s="685"/>
      <c r="EPI77" s="685"/>
      <c r="EPJ77" s="685"/>
      <c r="EPK77" s="685"/>
      <c r="EPL77" s="685"/>
      <c r="EPM77" s="685"/>
      <c r="EPN77" s="685"/>
      <c r="EPO77" s="685"/>
      <c r="EPP77" s="685"/>
      <c r="EPQ77" s="685"/>
      <c r="EPR77" s="685"/>
      <c r="EPS77" s="685"/>
      <c r="EPT77" s="685"/>
      <c r="EPU77" s="685"/>
      <c r="EPV77" s="685"/>
      <c r="EPW77" s="685"/>
      <c r="EPX77" s="685"/>
      <c r="EPY77" s="685"/>
      <c r="EPZ77" s="685"/>
      <c r="EQA77" s="685"/>
      <c r="EQB77" s="685"/>
      <c r="EQC77" s="685"/>
      <c r="EQD77" s="685"/>
      <c r="EQE77" s="685"/>
      <c r="EQF77" s="685"/>
      <c r="EQG77" s="685"/>
      <c r="EQH77" s="685"/>
      <c r="EQI77" s="685"/>
      <c r="EQJ77" s="685"/>
      <c r="EQK77" s="685"/>
      <c r="EQL77" s="685"/>
      <c r="EQM77" s="685"/>
      <c r="EQN77" s="685"/>
      <c r="EQO77" s="685"/>
      <c r="EQP77" s="685"/>
      <c r="EQQ77" s="685"/>
      <c r="EQR77" s="685"/>
      <c r="EQS77" s="685"/>
      <c r="EQT77" s="685"/>
      <c r="EQU77" s="685"/>
      <c r="EQV77" s="685"/>
      <c r="EQW77" s="685"/>
      <c r="EQX77" s="685"/>
      <c r="EQY77" s="685"/>
      <c r="EQZ77" s="685"/>
      <c r="ERA77" s="685"/>
      <c r="ERB77" s="685"/>
      <c r="ERC77" s="685"/>
      <c r="ERD77" s="685"/>
      <c r="ERE77" s="685"/>
      <c r="ERF77" s="685"/>
      <c r="ERG77" s="685"/>
      <c r="ERH77" s="685"/>
      <c r="ERI77" s="685"/>
      <c r="ERJ77" s="685"/>
      <c r="ERK77" s="685"/>
      <c r="ERL77" s="685"/>
      <c r="ERM77" s="685"/>
      <c r="ERN77" s="685"/>
      <c r="ERO77" s="685"/>
      <c r="ERP77" s="685"/>
      <c r="ERQ77" s="685"/>
      <c r="ERR77" s="685"/>
      <c r="ERS77" s="685"/>
      <c r="ERT77" s="685"/>
      <c r="ERU77" s="685"/>
      <c r="ERV77" s="685"/>
      <c r="ERW77" s="685"/>
      <c r="ERX77" s="685"/>
      <c r="ERY77" s="685"/>
      <c r="ERZ77" s="685"/>
      <c r="ESA77" s="685"/>
      <c r="ESB77" s="685"/>
      <c r="ESC77" s="685"/>
      <c r="ESD77" s="685"/>
      <c r="ESE77" s="685"/>
      <c r="ESF77" s="685"/>
      <c r="ESG77" s="685"/>
      <c r="ESH77" s="685"/>
      <c r="ESI77" s="685"/>
      <c r="ESJ77" s="685"/>
      <c r="ESK77" s="685"/>
      <c r="ESL77" s="685"/>
      <c r="ESM77" s="685"/>
      <c r="ESN77" s="685"/>
      <c r="ESO77" s="685"/>
      <c r="ESP77" s="685"/>
      <c r="ESQ77" s="685"/>
      <c r="ESR77" s="685"/>
      <c r="ESS77" s="685"/>
      <c r="EST77" s="685"/>
      <c r="ESU77" s="685"/>
      <c r="ESV77" s="685"/>
      <c r="ESW77" s="685"/>
      <c r="ESX77" s="685"/>
      <c r="ESY77" s="685"/>
      <c r="ESZ77" s="685"/>
      <c r="ETA77" s="685"/>
      <c r="ETB77" s="685"/>
      <c r="ETC77" s="685"/>
      <c r="ETD77" s="685"/>
      <c r="ETE77" s="685"/>
      <c r="ETF77" s="685"/>
      <c r="ETG77" s="685"/>
      <c r="ETH77" s="685"/>
      <c r="ETI77" s="685"/>
      <c r="ETJ77" s="685"/>
      <c r="ETK77" s="685"/>
      <c r="ETL77" s="685"/>
      <c r="ETM77" s="685"/>
      <c r="ETN77" s="685"/>
      <c r="ETO77" s="685"/>
      <c r="ETP77" s="685"/>
      <c r="ETQ77" s="685"/>
      <c r="ETR77" s="685"/>
      <c r="ETS77" s="685"/>
      <c r="ETT77" s="685"/>
      <c r="ETU77" s="685"/>
      <c r="ETV77" s="685"/>
      <c r="ETW77" s="685"/>
      <c r="ETX77" s="685"/>
      <c r="ETY77" s="685"/>
      <c r="ETZ77" s="685"/>
      <c r="EUA77" s="685"/>
      <c r="EUB77" s="685"/>
      <c r="EUC77" s="685"/>
      <c r="EUD77" s="685"/>
      <c r="EUE77" s="685"/>
      <c r="EUF77" s="685"/>
      <c r="EUG77" s="685"/>
      <c r="EUH77" s="685"/>
      <c r="EUI77" s="685"/>
      <c r="EUJ77" s="685"/>
      <c r="EUK77" s="685"/>
      <c r="EUL77" s="685"/>
      <c r="EUM77" s="685"/>
      <c r="EUN77" s="685"/>
      <c r="EUO77" s="685"/>
      <c r="EUP77" s="685"/>
      <c r="EUQ77" s="685"/>
      <c r="EUR77" s="685"/>
      <c r="EUS77" s="685"/>
      <c r="EUT77" s="685"/>
      <c r="EUU77" s="685"/>
      <c r="EUV77" s="685"/>
      <c r="EUW77" s="685"/>
      <c r="EUX77" s="685"/>
      <c r="EUY77" s="685"/>
      <c r="EUZ77" s="685"/>
      <c r="EVA77" s="685"/>
      <c r="EVB77" s="685"/>
      <c r="EVC77" s="685"/>
      <c r="EVD77" s="685"/>
      <c r="EVE77" s="685"/>
      <c r="EVF77" s="685"/>
      <c r="EVG77" s="685"/>
      <c r="EVH77" s="685"/>
      <c r="EVI77" s="685"/>
      <c r="EVJ77" s="685"/>
      <c r="EVK77" s="685"/>
      <c r="EVL77" s="685"/>
      <c r="EVM77" s="685"/>
      <c r="EVN77" s="685"/>
      <c r="EVO77" s="685"/>
      <c r="EVP77" s="685"/>
      <c r="EVQ77" s="685"/>
      <c r="EVR77" s="685"/>
      <c r="EVS77" s="685"/>
      <c r="EVT77" s="685"/>
      <c r="EVU77" s="685"/>
      <c r="EVV77" s="685"/>
      <c r="EVW77" s="685"/>
      <c r="EVX77" s="685"/>
      <c r="EVY77" s="685"/>
      <c r="EVZ77" s="685"/>
      <c r="EWA77" s="685"/>
      <c r="EWB77" s="685"/>
      <c r="EWC77" s="685"/>
      <c r="EWD77" s="685"/>
      <c r="EWE77" s="685"/>
      <c r="EWF77" s="685"/>
      <c r="EWG77" s="685"/>
      <c r="EWH77" s="685"/>
      <c r="EWI77" s="685"/>
      <c r="EWJ77" s="685"/>
      <c r="EWK77" s="685"/>
      <c r="EWL77" s="685"/>
      <c r="EWM77" s="685"/>
      <c r="EWN77" s="685"/>
      <c r="EWO77" s="685"/>
      <c r="EWP77" s="685"/>
      <c r="EWQ77" s="685"/>
      <c r="EWR77" s="685"/>
      <c r="EWS77" s="685"/>
      <c r="EWT77" s="685"/>
      <c r="EWU77" s="685"/>
      <c r="EWV77" s="685"/>
      <c r="EWW77" s="685"/>
      <c r="EWX77" s="685"/>
      <c r="EWY77" s="685"/>
      <c r="EWZ77" s="685"/>
      <c r="EXA77" s="685"/>
      <c r="EXB77" s="685"/>
      <c r="EXC77" s="685"/>
      <c r="EXD77" s="685"/>
      <c r="EXE77" s="685"/>
      <c r="EXF77" s="685"/>
      <c r="EXG77" s="685"/>
      <c r="EXH77" s="685"/>
      <c r="EXI77" s="685"/>
      <c r="EXJ77" s="685"/>
      <c r="EXK77" s="685"/>
      <c r="EXL77" s="685"/>
      <c r="EXM77" s="685"/>
      <c r="EXN77" s="685"/>
      <c r="EXO77" s="685"/>
      <c r="EXP77" s="685"/>
      <c r="EXQ77" s="685"/>
      <c r="EXR77" s="685"/>
      <c r="EXS77" s="685"/>
      <c r="EXT77" s="685"/>
      <c r="EXU77" s="685"/>
      <c r="EXV77" s="685"/>
      <c r="EXW77" s="685"/>
      <c r="EXX77" s="685"/>
      <c r="EXY77" s="685"/>
      <c r="EXZ77" s="685"/>
      <c r="EYA77" s="685"/>
      <c r="EYB77" s="685"/>
      <c r="EYC77" s="685"/>
      <c r="EYD77" s="685"/>
      <c r="EYE77" s="685"/>
      <c r="EYF77" s="685"/>
      <c r="EYG77" s="685"/>
      <c r="EYH77" s="685"/>
      <c r="EYI77" s="685"/>
      <c r="EYJ77" s="685"/>
      <c r="EYK77" s="685"/>
      <c r="EYL77" s="685"/>
      <c r="EYM77" s="685"/>
      <c r="EYN77" s="685"/>
      <c r="EYO77" s="685"/>
      <c r="EYP77" s="685"/>
      <c r="EYQ77" s="685"/>
      <c r="EYR77" s="685"/>
      <c r="EYS77" s="685"/>
      <c r="EYT77" s="685"/>
      <c r="EYU77" s="685"/>
      <c r="EYV77" s="685"/>
      <c r="EYW77" s="685"/>
      <c r="EYX77" s="685"/>
      <c r="EYY77" s="685"/>
      <c r="EYZ77" s="685"/>
      <c r="EZA77" s="685"/>
      <c r="EZB77" s="685"/>
      <c r="EZC77" s="685"/>
      <c r="EZD77" s="685"/>
      <c r="EZE77" s="685"/>
      <c r="EZF77" s="685"/>
      <c r="EZG77" s="685"/>
      <c r="EZH77" s="685"/>
      <c r="EZI77" s="685"/>
      <c r="EZJ77" s="685"/>
      <c r="EZK77" s="685"/>
      <c r="EZL77" s="685"/>
      <c r="EZM77" s="685"/>
      <c r="EZN77" s="685"/>
      <c r="EZO77" s="685"/>
      <c r="EZP77" s="685"/>
      <c r="EZQ77" s="685"/>
      <c r="EZR77" s="685"/>
      <c r="EZS77" s="685"/>
      <c r="EZT77" s="685"/>
      <c r="EZU77" s="685"/>
      <c r="EZV77" s="685"/>
      <c r="EZW77" s="685"/>
      <c r="EZX77" s="685"/>
      <c r="EZY77" s="685"/>
      <c r="EZZ77" s="685"/>
      <c r="FAA77" s="685"/>
      <c r="FAB77" s="685"/>
      <c r="FAC77" s="685"/>
      <c r="FAD77" s="685"/>
      <c r="FAE77" s="685"/>
      <c r="FAF77" s="685"/>
      <c r="FAG77" s="685"/>
      <c r="FAH77" s="685"/>
      <c r="FAI77" s="685"/>
      <c r="FAJ77" s="685"/>
      <c r="FAK77" s="685"/>
      <c r="FAL77" s="685"/>
      <c r="FAM77" s="685"/>
      <c r="FAN77" s="685"/>
      <c r="FAO77" s="685"/>
      <c r="FAP77" s="685"/>
      <c r="FAQ77" s="685"/>
      <c r="FAR77" s="685"/>
      <c r="FAS77" s="685"/>
      <c r="FAT77" s="685"/>
      <c r="FAU77" s="685"/>
      <c r="FAV77" s="685"/>
      <c r="FAW77" s="685"/>
      <c r="FAX77" s="685"/>
      <c r="FAY77" s="685"/>
      <c r="FAZ77" s="685"/>
      <c r="FBA77" s="685"/>
      <c r="FBB77" s="685"/>
      <c r="FBC77" s="685"/>
      <c r="FBD77" s="685"/>
      <c r="FBE77" s="685"/>
      <c r="FBF77" s="685"/>
      <c r="FBG77" s="685"/>
      <c r="FBH77" s="685"/>
      <c r="FBI77" s="685"/>
      <c r="FBJ77" s="685"/>
      <c r="FBK77" s="685"/>
      <c r="FBL77" s="685"/>
      <c r="FBM77" s="685"/>
      <c r="FBN77" s="685"/>
      <c r="FBO77" s="685"/>
      <c r="FBP77" s="685"/>
      <c r="FBQ77" s="685"/>
      <c r="FBR77" s="685"/>
      <c r="FBS77" s="685"/>
      <c r="FBT77" s="685"/>
      <c r="FBU77" s="685"/>
      <c r="FBV77" s="685"/>
      <c r="FBW77" s="685"/>
      <c r="FBX77" s="685"/>
      <c r="FBY77" s="685"/>
      <c r="FBZ77" s="685"/>
      <c r="FCA77" s="685"/>
      <c r="FCB77" s="685"/>
      <c r="FCC77" s="685"/>
      <c r="FCD77" s="685"/>
      <c r="FCE77" s="685"/>
      <c r="FCF77" s="685"/>
      <c r="FCG77" s="685"/>
      <c r="FCH77" s="685"/>
      <c r="FCI77" s="685"/>
      <c r="FCJ77" s="685"/>
      <c r="FCK77" s="685"/>
      <c r="FCL77" s="685"/>
      <c r="FCM77" s="685"/>
      <c r="FCN77" s="685"/>
      <c r="FCO77" s="685"/>
      <c r="FCP77" s="685"/>
      <c r="FCQ77" s="685"/>
      <c r="FCR77" s="685"/>
      <c r="FCS77" s="685"/>
      <c r="FCT77" s="685"/>
      <c r="FCU77" s="685"/>
      <c r="FCV77" s="685"/>
      <c r="FCW77" s="685"/>
      <c r="FCX77" s="685"/>
      <c r="FCY77" s="685"/>
      <c r="FCZ77" s="685"/>
      <c r="FDA77" s="685"/>
      <c r="FDB77" s="685"/>
      <c r="FDC77" s="685"/>
      <c r="FDD77" s="685"/>
      <c r="FDE77" s="685"/>
      <c r="FDF77" s="685"/>
      <c r="FDG77" s="685"/>
      <c r="FDH77" s="685"/>
      <c r="FDI77" s="685"/>
      <c r="FDJ77" s="685"/>
      <c r="FDK77" s="685"/>
      <c r="FDL77" s="685"/>
      <c r="FDM77" s="685"/>
      <c r="FDN77" s="685"/>
      <c r="FDO77" s="685"/>
      <c r="FDP77" s="685"/>
      <c r="FDQ77" s="685"/>
      <c r="FDR77" s="685"/>
      <c r="FDS77" s="685"/>
      <c r="FDT77" s="685"/>
      <c r="FDU77" s="685"/>
      <c r="FDV77" s="685"/>
      <c r="FDW77" s="685"/>
      <c r="FDX77" s="685"/>
      <c r="FDY77" s="685"/>
      <c r="FDZ77" s="685"/>
      <c r="FEA77" s="685"/>
      <c r="FEB77" s="685"/>
      <c r="FEC77" s="685"/>
      <c r="FED77" s="685"/>
      <c r="FEE77" s="685"/>
      <c r="FEF77" s="685"/>
      <c r="FEG77" s="685"/>
      <c r="FEH77" s="685"/>
      <c r="FEI77" s="685"/>
      <c r="FEJ77" s="685"/>
      <c r="FEK77" s="685"/>
      <c r="FEL77" s="685"/>
      <c r="FEM77" s="685"/>
      <c r="FEN77" s="685"/>
      <c r="FEO77" s="685"/>
      <c r="FEP77" s="685"/>
      <c r="FEQ77" s="685"/>
      <c r="FER77" s="685"/>
      <c r="FES77" s="685"/>
      <c r="FET77" s="685"/>
      <c r="FEU77" s="685"/>
      <c r="FEV77" s="685"/>
      <c r="FEW77" s="685"/>
      <c r="FEX77" s="685"/>
      <c r="FEY77" s="685"/>
      <c r="FEZ77" s="685"/>
      <c r="FFA77" s="685"/>
      <c r="FFB77" s="685"/>
      <c r="FFC77" s="685"/>
      <c r="FFD77" s="685"/>
      <c r="FFE77" s="685"/>
      <c r="FFF77" s="685"/>
      <c r="FFG77" s="685"/>
      <c r="FFH77" s="685"/>
      <c r="FFI77" s="685"/>
      <c r="FFJ77" s="685"/>
      <c r="FFK77" s="685"/>
      <c r="FFL77" s="685"/>
      <c r="FFM77" s="685"/>
      <c r="FFN77" s="685"/>
      <c r="FFO77" s="685"/>
      <c r="FFP77" s="685"/>
      <c r="FFQ77" s="685"/>
      <c r="FFR77" s="685"/>
      <c r="FFS77" s="685"/>
      <c r="FFT77" s="685"/>
      <c r="FFU77" s="685"/>
      <c r="FFV77" s="685"/>
      <c r="FFW77" s="685"/>
      <c r="FFX77" s="685"/>
      <c r="FFY77" s="685"/>
      <c r="FFZ77" s="685"/>
      <c r="FGA77" s="685"/>
      <c r="FGB77" s="685"/>
      <c r="FGC77" s="685"/>
      <c r="FGD77" s="685"/>
      <c r="FGE77" s="685"/>
      <c r="FGF77" s="685"/>
      <c r="FGG77" s="685"/>
      <c r="FGH77" s="685"/>
      <c r="FGI77" s="685"/>
      <c r="FGJ77" s="685"/>
      <c r="FGK77" s="685"/>
      <c r="FGL77" s="685"/>
      <c r="FGM77" s="685"/>
      <c r="FGN77" s="685"/>
      <c r="FGO77" s="685"/>
      <c r="FGP77" s="685"/>
      <c r="FGQ77" s="685"/>
      <c r="FGR77" s="685"/>
      <c r="FGS77" s="685"/>
      <c r="FGT77" s="685"/>
      <c r="FGU77" s="685"/>
      <c r="FGV77" s="685"/>
      <c r="FGW77" s="685"/>
      <c r="FGX77" s="685"/>
      <c r="FGY77" s="685"/>
      <c r="FGZ77" s="685"/>
      <c r="FHA77" s="685"/>
      <c r="FHB77" s="685"/>
      <c r="FHC77" s="685"/>
      <c r="FHD77" s="685"/>
      <c r="FHE77" s="685"/>
      <c r="FHF77" s="685"/>
      <c r="FHG77" s="685"/>
      <c r="FHH77" s="685"/>
      <c r="FHI77" s="685"/>
      <c r="FHJ77" s="685"/>
      <c r="FHK77" s="685"/>
      <c r="FHL77" s="685"/>
      <c r="FHM77" s="685"/>
      <c r="FHN77" s="685"/>
      <c r="FHO77" s="685"/>
      <c r="FHP77" s="685"/>
      <c r="FHQ77" s="685"/>
      <c r="FHR77" s="685"/>
      <c r="FHS77" s="685"/>
      <c r="FHT77" s="685"/>
      <c r="FHU77" s="685"/>
      <c r="FHV77" s="685"/>
      <c r="FHW77" s="685"/>
      <c r="FHX77" s="685"/>
      <c r="FHY77" s="685"/>
      <c r="FHZ77" s="685"/>
      <c r="FIA77" s="685"/>
      <c r="FIB77" s="685"/>
      <c r="FIC77" s="685"/>
      <c r="FID77" s="685"/>
      <c r="FIE77" s="685"/>
      <c r="FIF77" s="685"/>
      <c r="FIG77" s="685"/>
      <c r="FIH77" s="685"/>
      <c r="FII77" s="685"/>
      <c r="FIJ77" s="685"/>
      <c r="FIK77" s="685"/>
      <c r="FIL77" s="685"/>
      <c r="FIM77" s="685"/>
      <c r="FIN77" s="685"/>
      <c r="FIO77" s="685"/>
      <c r="FIP77" s="685"/>
      <c r="FIQ77" s="685"/>
      <c r="FIR77" s="685"/>
      <c r="FIS77" s="685"/>
      <c r="FIT77" s="685"/>
      <c r="FIU77" s="685"/>
      <c r="FIV77" s="685"/>
      <c r="FIW77" s="685"/>
      <c r="FIX77" s="685"/>
      <c r="FIY77" s="685"/>
      <c r="FIZ77" s="685"/>
      <c r="FJA77" s="685"/>
      <c r="FJB77" s="685"/>
      <c r="FJC77" s="685"/>
      <c r="FJD77" s="685"/>
      <c r="FJE77" s="685"/>
      <c r="FJF77" s="685"/>
      <c r="FJG77" s="685"/>
      <c r="FJH77" s="685"/>
      <c r="FJI77" s="685"/>
      <c r="FJJ77" s="685"/>
      <c r="FJK77" s="685"/>
      <c r="FJL77" s="685"/>
      <c r="FJM77" s="685"/>
      <c r="FJN77" s="685"/>
      <c r="FJO77" s="685"/>
      <c r="FJP77" s="685"/>
      <c r="FJQ77" s="685"/>
      <c r="FJR77" s="685"/>
      <c r="FJS77" s="685"/>
      <c r="FJT77" s="685"/>
      <c r="FJU77" s="685"/>
      <c r="FJV77" s="685"/>
      <c r="FJW77" s="685"/>
      <c r="FJX77" s="685"/>
      <c r="FJY77" s="685"/>
      <c r="FJZ77" s="685"/>
      <c r="FKA77" s="685"/>
      <c r="FKB77" s="685"/>
      <c r="FKC77" s="685"/>
      <c r="FKD77" s="685"/>
      <c r="FKE77" s="685"/>
      <c r="FKF77" s="685"/>
      <c r="FKG77" s="685"/>
      <c r="FKH77" s="685"/>
      <c r="FKI77" s="685"/>
      <c r="FKJ77" s="685"/>
      <c r="FKK77" s="685"/>
      <c r="FKL77" s="685"/>
      <c r="FKM77" s="685"/>
      <c r="FKN77" s="685"/>
      <c r="FKO77" s="685"/>
      <c r="FKP77" s="685"/>
      <c r="FKQ77" s="685"/>
      <c r="FKR77" s="685"/>
      <c r="FKS77" s="685"/>
      <c r="FKT77" s="685"/>
      <c r="FKU77" s="685"/>
      <c r="FKV77" s="685"/>
      <c r="FKW77" s="685"/>
      <c r="FKX77" s="685"/>
      <c r="FKY77" s="685"/>
      <c r="FKZ77" s="685"/>
      <c r="FLA77" s="685"/>
      <c r="FLB77" s="685"/>
      <c r="FLC77" s="685"/>
      <c r="FLD77" s="685"/>
      <c r="FLE77" s="685"/>
      <c r="FLF77" s="685"/>
      <c r="FLG77" s="685"/>
      <c r="FLH77" s="685"/>
      <c r="FLI77" s="685"/>
      <c r="FLJ77" s="685"/>
      <c r="FLK77" s="685"/>
      <c r="FLL77" s="685"/>
      <c r="FLM77" s="685"/>
      <c r="FLN77" s="685"/>
      <c r="FLO77" s="685"/>
      <c r="FLP77" s="685"/>
      <c r="FLQ77" s="685"/>
      <c r="FLR77" s="685"/>
      <c r="FLS77" s="685"/>
      <c r="FLT77" s="685"/>
      <c r="FLU77" s="685"/>
      <c r="FLV77" s="685"/>
      <c r="FLW77" s="685"/>
      <c r="FLX77" s="685"/>
      <c r="FLY77" s="685"/>
      <c r="FLZ77" s="685"/>
      <c r="FMA77" s="685"/>
      <c r="FMB77" s="685"/>
      <c r="FMC77" s="685"/>
      <c r="FMD77" s="685"/>
      <c r="FME77" s="685"/>
      <c r="FMF77" s="685"/>
      <c r="FMG77" s="685"/>
      <c r="FMH77" s="685"/>
      <c r="FMI77" s="685"/>
      <c r="FMJ77" s="685"/>
      <c r="FMK77" s="685"/>
      <c r="FML77" s="685"/>
      <c r="FMM77" s="685"/>
      <c r="FMN77" s="685"/>
      <c r="FMO77" s="685"/>
      <c r="FMP77" s="685"/>
      <c r="FMQ77" s="685"/>
      <c r="FMR77" s="685"/>
      <c r="FMS77" s="685"/>
      <c r="FMT77" s="685"/>
      <c r="FMU77" s="685"/>
      <c r="FMV77" s="685"/>
      <c r="FMW77" s="685"/>
      <c r="FMX77" s="685"/>
      <c r="FMY77" s="685"/>
      <c r="FMZ77" s="685"/>
      <c r="FNA77" s="685"/>
      <c r="FNB77" s="685"/>
      <c r="FNC77" s="685"/>
      <c r="FND77" s="685"/>
      <c r="FNE77" s="685"/>
      <c r="FNF77" s="685"/>
      <c r="FNG77" s="685"/>
      <c r="FNH77" s="685"/>
      <c r="FNI77" s="685"/>
      <c r="FNJ77" s="685"/>
      <c r="FNK77" s="685"/>
      <c r="FNL77" s="685"/>
      <c r="FNM77" s="685"/>
      <c r="FNN77" s="685"/>
      <c r="FNO77" s="685"/>
      <c r="FNP77" s="685"/>
      <c r="FNQ77" s="685"/>
      <c r="FNR77" s="685"/>
      <c r="FNS77" s="685"/>
      <c r="FNT77" s="685"/>
      <c r="FNU77" s="685"/>
      <c r="FNV77" s="685"/>
      <c r="FNW77" s="685"/>
      <c r="FNX77" s="685"/>
      <c r="FNY77" s="685"/>
      <c r="FNZ77" s="685"/>
      <c r="FOA77" s="685"/>
      <c r="FOB77" s="685"/>
      <c r="FOC77" s="685"/>
      <c r="FOD77" s="685"/>
      <c r="FOE77" s="685"/>
      <c r="FOF77" s="685"/>
      <c r="FOG77" s="685"/>
      <c r="FOH77" s="685"/>
      <c r="FOI77" s="685"/>
      <c r="FOJ77" s="685"/>
      <c r="FOK77" s="685"/>
      <c r="FOL77" s="685"/>
      <c r="FOM77" s="685"/>
      <c r="FON77" s="685"/>
      <c r="FOO77" s="685"/>
      <c r="FOP77" s="685"/>
      <c r="FOQ77" s="685"/>
      <c r="FOR77" s="685"/>
      <c r="FOS77" s="685"/>
      <c r="FOT77" s="685"/>
      <c r="FOU77" s="685"/>
      <c r="FOV77" s="685"/>
      <c r="FOW77" s="685"/>
      <c r="FOX77" s="685"/>
      <c r="FOY77" s="685"/>
      <c r="FOZ77" s="685"/>
      <c r="FPA77" s="685"/>
      <c r="FPB77" s="685"/>
      <c r="FPC77" s="685"/>
      <c r="FPD77" s="685"/>
      <c r="FPE77" s="685"/>
      <c r="FPF77" s="685"/>
      <c r="FPG77" s="685"/>
      <c r="FPH77" s="685"/>
      <c r="FPI77" s="685"/>
      <c r="FPJ77" s="685"/>
      <c r="FPK77" s="685"/>
      <c r="FPL77" s="685"/>
      <c r="FPM77" s="685"/>
      <c r="FPN77" s="685"/>
      <c r="FPO77" s="685"/>
      <c r="FPP77" s="685"/>
      <c r="FPQ77" s="685"/>
      <c r="FPR77" s="685"/>
      <c r="FPS77" s="685"/>
      <c r="FPT77" s="685"/>
      <c r="FPU77" s="685"/>
      <c r="FPV77" s="685"/>
      <c r="FPW77" s="685"/>
      <c r="FPX77" s="685"/>
      <c r="FPY77" s="685"/>
      <c r="FPZ77" s="685"/>
      <c r="FQA77" s="685"/>
      <c r="FQB77" s="685"/>
      <c r="FQC77" s="685"/>
      <c r="FQD77" s="685"/>
      <c r="FQE77" s="685"/>
      <c r="FQF77" s="685"/>
      <c r="FQG77" s="685"/>
      <c r="FQH77" s="685"/>
      <c r="FQI77" s="685"/>
      <c r="FQJ77" s="685"/>
      <c r="FQK77" s="685"/>
      <c r="FQL77" s="685"/>
      <c r="FQM77" s="685"/>
      <c r="FQN77" s="685"/>
      <c r="FQO77" s="685"/>
      <c r="FQP77" s="685"/>
      <c r="FQQ77" s="685"/>
      <c r="FQR77" s="685"/>
      <c r="FQS77" s="685"/>
      <c r="FQT77" s="685"/>
      <c r="FQU77" s="685"/>
      <c r="FQV77" s="685"/>
      <c r="FQW77" s="685"/>
      <c r="FQX77" s="685"/>
      <c r="FQY77" s="685"/>
      <c r="FQZ77" s="685"/>
      <c r="FRA77" s="685"/>
      <c r="FRB77" s="685"/>
      <c r="FRC77" s="685"/>
      <c r="FRD77" s="685"/>
      <c r="FRE77" s="685"/>
      <c r="FRF77" s="685"/>
      <c r="FRG77" s="685"/>
      <c r="FRH77" s="685"/>
      <c r="FRI77" s="685"/>
      <c r="FRJ77" s="685"/>
      <c r="FRK77" s="685"/>
      <c r="FRL77" s="685"/>
      <c r="FRM77" s="685"/>
      <c r="FRN77" s="685"/>
      <c r="FRO77" s="685"/>
      <c r="FRP77" s="685"/>
      <c r="FRQ77" s="685"/>
      <c r="FRR77" s="685"/>
      <c r="FRS77" s="685"/>
      <c r="FRT77" s="685"/>
      <c r="FRU77" s="685"/>
      <c r="FRV77" s="685"/>
      <c r="FRW77" s="685"/>
      <c r="FRX77" s="685"/>
      <c r="FRY77" s="685"/>
      <c r="FRZ77" s="685"/>
      <c r="FSA77" s="685"/>
      <c r="FSB77" s="685"/>
      <c r="FSC77" s="685"/>
      <c r="FSD77" s="685"/>
      <c r="FSE77" s="685"/>
      <c r="FSF77" s="685"/>
      <c r="FSG77" s="685"/>
      <c r="FSH77" s="685"/>
      <c r="FSI77" s="685"/>
      <c r="FSJ77" s="685"/>
      <c r="FSK77" s="685"/>
      <c r="FSL77" s="685"/>
      <c r="FSM77" s="685"/>
      <c r="FSN77" s="685"/>
      <c r="FSO77" s="685"/>
      <c r="FSP77" s="685"/>
      <c r="FSQ77" s="685"/>
      <c r="FSR77" s="685"/>
      <c r="FSS77" s="685"/>
      <c r="FST77" s="685"/>
      <c r="FSU77" s="685"/>
      <c r="FSV77" s="685"/>
      <c r="FSW77" s="685"/>
      <c r="FSX77" s="685"/>
      <c r="FSY77" s="685"/>
      <c r="FSZ77" s="685"/>
      <c r="FTA77" s="685"/>
      <c r="FTB77" s="685"/>
      <c r="FTC77" s="685"/>
      <c r="FTD77" s="685"/>
      <c r="FTE77" s="685"/>
      <c r="FTF77" s="685"/>
      <c r="FTG77" s="685"/>
      <c r="FTH77" s="685"/>
      <c r="FTI77" s="685"/>
      <c r="FTJ77" s="685"/>
      <c r="FTK77" s="685"/>
      <c r="FTL77" s="685"/>
      <c r="FTM77" s="685"/>
      <c r="FTN77" s="685"/>
      <c r="FTO77" s="685"/>
      <c r="FTP77" s="685"/>
      <c r="FTQ77" s="685"/>
      <c r="FTR77" s="685"/>
      <c r="FTS77" s="685"/>
      <c r="FTT77" s="685"/>
      <c r="FTU77" s="685"/>
      <c r="FTV77" s="685"/>
      <c r="FTW77" s="685"/>
      <c r="FTX77" s="685"/>
      <c r="FTY77" s="685"/>
      <c r="FTZ77" s="685"/>
      <c r="FUA77" s="685"/>
      <c r="FUB77" s="685"/>
      <c r="FUC77" s="685"/>
      <c r="FUD77" s="685"/>
      <c r="FUE77" s="685"/>
      <c r="FUF77" s="685"/>
      <c r="FUG77" s="685"/>
      <c r="FUH77" s="685"/>
      <c r="FUI77" s="685"/>
      <c r="FUJ77" s="685"/>
      <c r="FUK77" s="685"/>
      <c r="FUL77" s="685"/>
      <c r="FUM77" s="685"/>
      <c r="FUN77" s="685"/>
      <c r="FUO77" s="685"/>
      <c r="FUP77" s="685"/>
      <c r="FUQ77" s="685"/>
      <c r="FUR77" s="685"/>
      <c r="FUS77" s="685"/>
      <c r="FUT77" s="685"/>
      <c r="FUU77" s="685"/>
      <c r="FUV77" s="685"/>
      <c r="FUW77" s="685"/>
      <c r="FUX77" s="685"/>
      <c r="FUY77" s="685"/>
      <c r="FUZ77" s="685"/>
      <c r="FVA77" s="685"/>
      <c r="FVB77" s="685"/>
      <c r="FVC77" s="685"/>
      <c r="FVD77" s="685"/>
      <c r="FVE77" s="685"/>
      <c r="FVF77" s="685"/>
      <c r="FVG77" s="685"/>
      <c r="FVH77" s="685"/>
      <c r="FVI77" s="685"/>
      <c r="FVJ77" s="685"/>
      <c r="FVK77" s="685"/>
      <c r="FVL77" s="685"/>
      <c r="FVM77" s="685"/>
      <c r="FVN77" s="685"/>
      <c r="FVO77" s="685"/>
      <c r="FVP77" s="685"/>
      <c r="FVQ77" s="685"/>
      <c r="FVR77" s="685"/>
      <c r="FVS77" s="685"/>
      <c r="FVT77" s="685"/>
      <c r="FVU77" s="685"/>
      <c r="FVV77" s="685"/>
      <c r="FVW77" s="685"/>
      <c r="FVX77" s="685"/>
      <c r="FVY77" s="685"/>
      <c r="FVZ77" s="685"/>
      <c r="FWA77" s="685"/>
      <c r="FWB77" s="685"/>
      <c r="FWC77" s="685"/>
      <c r="FWD77" s="685"/>
      <c r="FWE77" s="685"/>
      <c r="FWF77" s="685"/>
      <c r="FWG77" s="685"/>
      <c r="FWH77" s="685"/>
      <c r="FWI77" s="685"/>
      <c r="FWJ77" s="685"/>
      <c r="FWK77" s="685"/>
      <c r="FWL77" s="685"/>
      <c r="FWM77" s="685"/>
      <c r="FWN77" s="685"/>
      <c r="FWO77" s="685"/>
      <c r="FWP77" s="685"/>
      <c r="FWQ77" s="685"/>
      <c r="FWR77" s="685"/>
      <c r="FWS77" s="685"/>
      <c r="FWT77" s="685"/>
      <c r="FWU77" s="685"/>
      <c r="FWV77" s="685"/>
      <c r="FWW77" s="685"/>
      <c r="FWX77" s="685"/>
      <c r="FWY77" s="685"/>
      <c r="FWZ77" s="685"/>
      <c r="FXA77" s="685"/>
      <c r="FXB77" s="685"/>
      <c r="FXC77" s="685"/>
      <c r="FXD77" s="685"/>
      <c r="FXE77" s="685"/>
      <c r="FXF77" s="685"/>
      <c r="FXG77" s="685"/>
      <c r="FXH77" s="685"/>
      <c r="FXI77" s="685"/>
      <c r="FXJ77" s="685"/>
      <c r="FXK77" s="685"/>
      <c r="FXL77" s="685"/>
      <c r="FXM77" s="685"/>
      <c r="FXN77" s="685"/>
      <c r="FXO77" s="685"/>
      <c r="FXP77" s="685"/>
      <c r="FXQ77" s="685"/>
      <c r="FXR77" s="685"/>
      <c r="FXS77" s="685"/>
      <c r="FXT77" s="685"/>
      <c r="FXU77" s="685"/>
      <c r="FXV77" s="685"/>
      <c r="FXW77" s="685"/>
      <c r="FXX77" s="685"/>
      <c r="FXY77" s="685"/>
      <c r="FXZ77" s="685"/>
      <c r="FYA77" s="685"/>
      <c r="FYB77" s="685"/>
      <c r="FYC77" s="685"/>
      <c r="FYD77" s="685"/>
      <c r="FYE77" s="685"/>
      <c r="FYF77" s="685"/>
      <c r="FYG77" s="685"/>
      <c r="FYH77" s="685"/>
      <c r="FYI77" s="685"/>
      <c r="FYJ77" s="685"/>
      <c r="FYK77" s="685"/>
      <c r="FYL77" s="685"/>
      <c r="FYM77" s="685"/>
      <c r="FYN77" s="685"/>
      <c r="FYO77" s="685"/>
      <c r="FYP77" s="685"/>
      <c r="FYQ77" s="685"/>
      <c r="FYR77" s="685"/>
      <c r="FYS77" s="685"/>
      <c r="FYT77" s="685"/>
      <c r="FYU77" s="685"/>
      <c r="FYV77" s="685"/>
      <c r="FYW77" s="685"/>
      <c r="FYX77" s="685"/>
      <c r="FYY77" s="685"/>
      <c r="FYZ77" s="685"/>
      <c r="FZA77" s="685"/>
      <c r="FZB77" s="685"/>
      <c r="FZC77" s="685"/>
      <c r="FZD77" s="685"/>
      <c r="FZE77" s="685"/>
      <c r="FZF77" s="685"/>
      <c r="FZG77" s="685"/>
      <c r="FZH77" s="685"/>
      <c r="FZI77" s="685"/>
      <c r="FZJ77" s="685"/>
      <c r="FZK77" s="685"/>
      <c r="FZL77" s="685"/>
      <c r="FZM77" s="685"/>
      <c r="FZN77" s="685"/>
      <c r="FZO77" s="685"/>
      <c r="FZP77" s="685"/>
      <c r="FZQ77" s="685"/>
      <c r="FZR77" s="685"/>
      <c r="FZS77" s="685"/>
      <c r="FZT77" s="685"/>
      <c r="FZU77" s="685"/>
      <c r="FZV77" s="685"/>
      <c r="FZW77" s="685"/>
      <c r="FZX77" s="685"/>
      <c r="FZY77" s="685"/>
      <c r="FZZ77" s="685"/>
      <c r="GAA77" s="685"/>
      <c r="GAB77" s="685"/>
      <c r="GAC77" s="685"/>
      <c r="GAD77" s="685"/>
      <c r="GAE77" s="685"/>
      <c r="GAF77" s="685"/>
      <c r="GAG77" s="685"/>
      <c r="GAH77" s="685"/>
      <c r="GAI77" s="685"/>
      <c r="GAJ77" s="685"/>
      <c r="GAK77" s="685"/>
      <c r="GAL77" s="685"/>
      <c r="GAM77" s="685"/>
      <c r="GAN77" s="685"/>
      <c r="GAO77" s="685"/>
      <c r="GAP77" s="685"/>
      <c r="GAQ77" s="685"/>
      <c r="GAR77" s="685"/>
      <c r="GAS77" s="685"/>
      <c r="GAT77" s="685"/>
      <c r="GAU77" s="685"/>
      <c r="GAV77" s="685"/>
      <c r="GAW77" s="685"/>
      <c r="GAX77" s="685"/>
      <c r="GAY77" s="685"/>
      <c r="GAZ77" s="685"/>
      <c r="GBA77" s="685"/>
      <c r="GBB77" s="685"/>
      <c r="GBC77" s="685"/>
      <c r="GBD77" s="685"/>
      <c r="GBE77" s="685"/>
      <c r="GBF77" s="685"/>
      <c r="GBG77" s="685"/>
      <c r="GBH77" s="685"/>
      <c r="GBI77" s="685"/>
      <c r="GBJ77" s="685"/>
      <c r="GBK77" s="685"/>
      <c r="GBL77" s="685"/>
      <c r="GBM77" s="685"/>
      <c r="GBN77" s="685"/>
      <c r="GBO77" s="685"/>
      <c r="GBP77" s="685"/>
      <c r="GBQ77" s="685"/>
      <c r="GBR77" s="685"/>
      <c r="GBS77" s="685"/>
      <c r="GBT77" s="685"/>
      <c r="GBU77" s="685"/>
      <c r="GBV77" s="685"/>
      <c r="GBW77" s="685"/>
      <c r="GBX77" s="685"/>
      <c r="GBY77" s="685"/>
      <c r="GBZ77" s="685"/>
      <c r="GCA77" s="685"/>
      <c r="GCB77" s="685"/>
      <c r="GCC77" s="685"/>
      <c r="GCD77" s="685"/>
      <c r="GCE77" s="685"/>
      <c r="GCF77" s="685"/>
      <c r="GCG77" s="685"/>
      <c r="GCH77" s="685"/>
      <c r="GCI77" s="685"/>
      <c r="GCJ77" s="685"/>
      <c r="GCK77" s="685"/>
      <c r="GCL77" s="685"/>
      <c r="GCM77" s="685"/>
      <c r="GCN77" s="685"/>
      <c r="GCO77" s="685"/>
      <c r="GCP77" s="685"/>
      <c r="GCQ77" s="685"/>
      <c r="GCR77" s="685"/>
      <c r="GCS77" s="685"/>
      <c r="GCT77" s="685"/>
      <c r="GCU77" s="685"/>
      <c r="GCV77" s="685"/>
      <c r="GCW77" s="685"/>
      <c r="GCX77" s="685"/>
      <c r="GCY77" s="685"/>
      <c r="GCZ77" s="685"/>
      <c r="GDA77" s="685"/>
      <c r="GDB77" s="685"/>
      <c r="GDC77" s="685"/>
      <c r="GDD77" s="685"/>
      <c r="GDE77" s="685"/>
      <c r="GDF77" s="685"/>
      <c r="GDG77" s="685"/>
      <c r="GDH77" s="685"/>
      <c r="GDI77" s="685"/>
      <c r="GDJ77" s="685"/>
      <c r="GDK77" s="685"/>
      <c r="GDL77" s="685"/>
      <c r="GDM77" s="685"/>
      <c r="GDN77" s="685"/>
      <c r="GDO77" s="685"/>
      <c r="GDP77" s="685"/>
      <c r="GDQ77" s="685"/>
      <c r="GDR77" s="685"/>
      <c r="GDS77" s="685"/>
      <c r="GDT77" s="685"/>
      <c r="GDU77" s="685"/>
      <c r="GDV77" s="685"/>
      <c r="GDW77" s="685"/>
      <c r="GDX77" s="685"/>
      <c r="GDY77" s="685"/>
      <c r="GDZ77" s="685"/>
      <c r="GEA77" s="685"/>
      <c r="GEB77" s="685"/>
      <c r="GEC77" s="685"/>
      <c r="GED77" s="685"/>
      <c r="GEE77" s="685"/>
      <c r="GEF77" s="685"/>
      <c r="GEG77" s="685"/>
      <c r="GEH77" s="685"/>
      <c r="GEI77" s="685"/>
      <c r="GEJ77" s="685"/>
      <c r="GEK77" s="685"/>
      <c r="GEL77" s="685"/>
      <c r="GEM77" s="685"/>
      <c r="GEN77" s="685"/>
      <c r="GEO77" s="685"/>
      <c r="GEP77" s="685"/>
      <c r="GEQ77" s="685"/>
      <c r="GER77" s="685"/>
      <c r="GES77" s="685"/>
      <c r="GET77" s="685"/>
      <c r="GEU77" s="685"/>
      <c r="GEV77" s="685"/>
      <c r="GEW77" s="685"/>
      <c r="GEX77" s="685"/>
      <c r="GEY77" s="685"/>
      <c r="GEZ77" s="685"/>
      <c r="GFA77" s="685"/>
      <c r="GFB77" s="685"/>
      <c r="GFC77" s="685"/>
      <c r="GFD77" s="685"/>
      <c r="GFE77" s="685"/>
      <c r="GFF77" s="685"/>
      <c r="GFG77" s="685"/>
      <c r="GFH77" s="685"/>
      <c r="GFI77" s="685"/>
      <c r="GFJ77" s="685"/>
      <c r="GFK77" s="685"/>
      <c r="GFL77" s="685"/>
      <c r="GFM77" s="685"/>
      <c r="GFN77" s="685"/>
      <c r="GFO77" s="685"/>
      <c r="GFP77" s="685"/>
      <c r="GFQ77" s="685"/>
      <c r="GFR77" s="685"/>
      <c r="GFS77" s="685"/>
      <c r="GFT77" s="685"/>
      <c r="GFU77" s="685"/>
      <c r="GFV77" s="685"/>
      <c r="GFW77" s="685"/>
      <c r="GFX77" s="685"/>
      <c r="GFY77" s="685"/>
      <c r="GFZ77" s="685"/>
      <c r="GGA77" s="685"/>
      <c r="GGB77" s="685"/>
      <c r="GGC77" s="685"/>
      <c r="GGD77" s="685"/>
      <c r="GGE77" s="685"/>
      <c r="GGF77" s="685"/>
      <c r="GGG77" s="685"/>
      <c r="GGH77" s="685"/>
      <c r="GGI77" s="685"/>
      <c r="GGJ77" s="685"/>
      <c r="GGK77" s="685"/>
      <c r="GGL77" s="685"/>
      <c r="GGM77" s="685"/>
      <c r="GGN77" s="685"/>
      <c r="GGO77" s="685"/>
      <c r="GGP77" s="685"/>
      <c r="GGQ77" s="685"/>
      <c r="GGR77" s="685"/>
      <c r="GGS77" s="685"/>
      <c r="GGT77" s="685"/>
      <c r="GGU77" s="685"/>
      <c r="GGV77" s="685"/>
      <c r="GGW77" s="685"/>
      <c r="GGX77" s="685"/>
      <c r="GGY77" s="685"/>
      <c r="GGZ77" s="685"/>
      <c r="GHA77" s="685"/>
      <c r="GHB77" s="685"/>
      <c r="GHC77" s="685"/>
      <c r="GHD77" s="685"/>
      <c r="GHE77" s="685"/>
      <c r="GHF77" s="685"/>
      <c r="GHG77" s="685"/>
      <c r="GHH77" s="685"/>
      <c r="GHI77" s="685"/>
      <c r="GHJ77" s="685"/>
      <c r="GHK77" s="685"/>
      <c r="GHL77" s="685"/>
      <c r="GHM77" s="685"/>
      <c r="GHN77" s="685"/>
      <c r="GHO77" s="685"/>
      <c r="GHP77" s="685"/>
      <c r="GHQ77" s="685"/>
      <c r="GHR77" s="685"/>
      <c r="GHS77" s="685"/>
      <c r="GHT77" s="685"/>
      <c r="GHU77" s="685"/>
      <c r="GHV77" s="685"/>
      <c r="GHW77" s="685"/>
      <c r="GHX77" s="685"/>
      <c r="GHY77" s="685"/>
      <c r="GHZ77" s="685"/>
      <c r="GIA77" s="685"/>
      <c r="GIB77" s="685"/>
      <c r="GIC77" s="685"/>
      <c r="GID77" s="685"/>
      <c r="GIE77" s="685"/>
      <c r="GIF77" s="685"/>
      <c r="GIG77" s="685"/>
      <c r="GIH77" s="685"/>
      <c r="GII77" s="685"/>
      <c r="GIJ77" s="685"/>
      <c r="GIK77" s="685"/>
      <c r="GIL77" s="685"/>
      <c r="GIM77" s="685"/>
      <c r="GIN77" s="685"/>
      <c r="GIO77" s="685"/>
      <c r="GIP77" s="685"/>
      <c r="GIQ77" s="685"/>
      <c r="GIR77" s="685"/>
      <c r="GIS77" s="685"/>
      <c r="GIT77" s="685"/>
      <c r="GIU77" s="685"/>
      <c r="GIV77" s="685"/>
      <c r="GIW77" s="685"/>
      <c r="GIX77" s="685"/>
      <c r="GIY77" s="685"/>
      <c r="GIZ77" s="685"/>
      <c r="GJA77" s="685"/>
      <c r="GJB77" s="685"/>
      <c r="GJC77" s="685"/>
      <c r="GJD77" s="685"/>
      <c r="GJE77" s="685"/>
      <c r="GJF77" s="685"/>
      <c r="GJG77" s="685"/>
      <c r="GJH77" s="685"/>
      <c r="GJI77" s="685"/>
      <c r="GJJ77" s="685"/>
      <c r="GJK77" s="685"/>
      <c r="GJL77" s="685"/>
      <c r="GJM77" s="685"/>
      <c r="GJN77" s="685"/>
      <c r="GJO77" s="685"/>
      <c r="GJP77" s="685"/>
      <c r="GJQ77" s="685"/>
      <c r="GJR77" s="685"/>
      <c r="GJS77" s="685"/>
      <c r="GJT77" s="685"/>
      <c r="GJU77" s="685"/>
      <c r="GJV77" s="685"/>
      <c r="GJW77" s="685"/>
      <c r="GJX77" s="685"/>
      <c r="GJY77" s="685"/>
      <c r="GJZ77" s="685"/>
      <c r="GKA77" s="685"/>
      <c r="GKB77" s="685"/>
      <c r="GKC77" s="685"/>
      <c r="GKD77" s="685"/>
      <c r="GKE77" s="685"/>
      <c r="GKF77" s="685"/>
      <c r="GKG77" s="685"/>
      <c r="GKH77" s="685"/>
      <c r="GKI77" s="685"/>
      <c r="GKJ77" s="685"/>
      <c r="GKK77" s="685"/>
      <c r="GKL77" s="685"/>
      <c r="GKM77" s="685"/>
      <c r="GKN77" s="685"/>
      <c r="GKO77" s="685"/>
      <c r="GKP77" s="685"/>
      <c r="GKQ77" s="685"/>
      <c r="GKR77" s="685"/>
      <c r="GKS77" s="685"/>
      <c r="GKT77" s="685"/>
      <c r="GKU77" s="685"/>
      <c r="GKV77" s="685"/>
      <c r="GKW77" s="685"/>
      <c r="GKX77" s="685"/>
      <c r="GKY77" s="685"/>
      <c r="GKZ77" s="685"/>
      <c r="GLA77" s="685"/>
      <c r="GLB77" s="685"/>
      <c r="GLC77" s="685"/>
      <c r="GLD77" s="685"/>
      <c r="GLE77" s="685"/>
      <c r="GLF77" s="685"/>
      <c r="GLG77" s="685"/>
      <c r="GLH77" s="685"/>
      <c r="GLI77" s="685"/>
      <c r="GLJ77" s="685"/>
      <c r="GLK77" s="685"/>
      <c r="GLL77" s="685"/>
      <c r="GLM77" s="685"/>
      <c r="GLN77" s="685"/>
      <c r="GLO77" s="685"/>
      <c r="GLP77" s="685"/>
      <c r="GLQ77" s="685"/>
      <c r="GLR77" s="685"/>
      <c r="GLS77" s="685"/>
      <c r="GLT77" s="685"/>
      <c r="GLU77" s="685"/>
      <c r="GLV77" s="685"/>
      <c r="GLW77" s="685"/>
      <c r="GLX77" s="685"/>
      <c r="GLY77" s="685"/>
      <c r="GLZ77" s="685"/>
      <c r="GMA77" s="685"/>
      <c r="GMB77" s="685"/>
      <c r="GMC77" s="685"/>
      <c r="GMD77" s="685"/>
      <c r="GME77" s="685"/>
      <c r="GMF77" s="685"/>
      <c r="GMG77" s="685"/>
      <c r="GMH77" s="685"/>
      <c r="GMI77" s="685"/>
      <c r="GMJ77" s="685"/>
      <c r="GMK77" s="685"/>
      <c r="GML77" s="685"/>
      <c r="GMM77" s="685"/>
      <c r="GMN77" s="685"/>
      <c r="GMO77" s="685"/>
      <c r="GMP77" s="685"/>
      <c r="GMQ77" s="685"/>
      <c r="GMR77" s="685"/>
      <c r="GMS77" s="685"/>
      <c r="GMT77" s="685"/>
      <c r="GMU77" s="685"/>
      <c r="GMV77" s="685"/>
      <c r="GMW77" s="685"/>
      <c r="GMX77" s="685"/>
      <c r="GMY77" s="685"/>
      <c r="GMZ77" s="685"/>
      <c r="GNA77" s="685"/>
      <c r="GNB77" s="685"/>
      <c r="GNC77" s="685"/>
      <c r="GND77" s="685"/>
      <c r="GNE77" s="685"/>
      <c r="GNF77" s="685"/>
      <c r="GNG77" s="685"/>
      <c r="GNH77" s="685"/>
      <c r="GNI77" s="685"/>
      <c r="GNJ77" s="685"/>
      <c r="GNK77" s="685"/>
      <c r="GNL77" s="685"/>
      <c r="GNM77" s="685"/>
      <c r="GNN77" s="685"/>
      <c r="GNO77" s="685"/>
      <c r="GNP77" s="685"/>
      <c r="GNQ77" s="685"/>
      <c r="GNR77" s="685"/>
      <c r="GNS77" s="685"/>
      <c r="GNT77" s="685"/>
      <c r="GNU77" s="685"/>
      <c r="GNV77" s="685"/>
      <c r="GNW77" s="685"/>
      <c r="GNX77" s="685"/>
      <c r="GNY77" s="685"/>
      <c r="GNZ77" s="685"/>
      <c r="GOA77" s="685"/>
      <c r="GOB77" s="685"/>
      <c r="GOC77" s="685"/>
      <c r="GOD77" s="685"/>
      <c r="GOE77" s="685"/>
      <c r="GOF77" s="685"/>
      <c r="GOG77" s="685"/>
      <c r="GOH77" s="685"/>
      <c r="GOI77" s="685"/>
      <c r="GOJ77" s="685"/>
      <c r="GOK77" s="685"/>
      <c r="GOL77" s="685"/>
      <c r="GOM77" s="685"/>
      <c r="GON77" s="685"/>
      <c r="GOO77" s="685"/>
      <c r="GOP77" s="685"/>
      <c r="GOQ77" s="685"/>
      <c r="GOR77" s="685"/>
      <c r="GOS77" s="685"/>
      <c r="GOT77" s="685"/>
      <c r="GOU77" s="685"/>
      <c r="GOV77" s="685"/>
      <c r="GOW77" s="685"/>
      <c r="GOX77" s="685"/>
      <c r="GOY77" s="685"/>
      <c r="GOZ77" s="685"/>
      <c r="GPA77" s="685"/>
      <c r="GPB77" s="685"/>
      <c r="GPC77" s="685"/>
      <c r="GPD77" s="685"/>
      <c r="GPE77" s="685"/>
      <c r="GPF77" s="685"/>
      <c r="GPG77" s="685"/>
      <c r="GPH77" s="685"/>
      <c r="GPI77" s="685"/>
      <c r="GPJ77" s="685"/>
      <c r="GPK77" s="685"/>
      <c r="GPL77" s="685"/>
      <c r="GPM77" s="685"/>
      <c r="GPN77" s="685"/>
      <c r="GPO77" s="685"/>
      <c r="GPP77" s="685"/>
      <c r="GPQ77" s="685"/>
      <c r="GPR77" s="685"/>
      <c r="GPS77" s="685"/>
      <c r="GPT77" s="685"/>
      <c r="GPU77" s="685"/>
      <c r="GPV77" s="685"/>
      <c r="GPW77" s="685"/>
      <c r="GPX77" s="685"/>
      <c r="GPY77" s="685"/>
      <c r="GPZ77" s="685"/>
      <c r="GQA77" s="685"/>
      <c r="GQB77" s="685"/>
      <c r="GQC77" s="685"/>
      <c r="GQD77" s="685"/>
      <c r="GQE77" s="685"/>
      <c r="GQF77" s="685"/>
      <c r="GQG77" s="685"/>
      <c r="GQH77" s="685"/>
      <c r="GQI77" s="685"/>
      <c r="GQJ77" s="685"/>
      <c r="GQK77" s="685"/>
      <c r="GQL77" s="685"/>
      <c r="GQM77" s="685"/>
      <c r="GQN77" s="685"/>
      <c r="GQO77" s="685"/>
      <c r="GQP77" s="685"/>
      <c r="GQQ77" s="685"/>
      <c r="GQR77" s="685"/>
      <c r="GQS77" s="685"/>
      <c r="GQT77" s="685"/>
      <c r="GQU77" s="685"/>
      <c r="GQV77" s="685"/>
      <c r="GQW77" s="685"/>
      <c r="GQX77" s="685"/>
      <c r="GQY77" s="685"/>
      <c r="GQZ77" s="685"/>
      <c r="GRA77" s="685"/>
      <c r="GRB77" s="685"/>
      <c r="GRC77" s="685"/>
      <c r="GRD77" s="685"/>
      <c r="GRE77" s="685"/>
      <c r="GRF77" s="685"/>
      <c r="GRG77" s="685"/>
      <c r="GRH77" s="685"/>
      <c r="GRI77" s="685"/>
      <c r="GRJ77" s="685"/>
      <c r="GRK77" s="685"/>
      <c r="GRL77" s="685"/>
      <c r="GRM77" s="685"/>
      <c r="GRN77" s="685"/>
      <c r="GRO77" s="685"/>
      <c r="GRP77" s="685"/>
      <c r="GRQ77" s="685"/>
      <c r="GRR77" s="685"/>
      <c r="GRS77" s="685"/>
      <c r="GRT77" s="685"/>
      <c r="GRU77" s="685"/>
      <c r="GRV77" s="685"/>
      <c r="GRW77" s="685"/>
      <c r="GRX77" s="685"/>
      <c r="GRY77" s="685"/>
      <c r="GRZ77" s="685"/>
      <c r="GSA77" s="685"/>
      <c r="GSB77" s="685"/>
      <c r="GSC77" s="685"/>
      <c r="GSD77" s="685"/>
      <c r="GSE77" s="685"/>
      <c r="GSF77" s="685"/>
      <c r="GSG77" s="685"/>
      <c r="GSH77" s="685"/>
      <c r="GSI77" s="685"/>
      <c r="GSJ77" s="685"/>
      <c r="GSK77" s="685"/>
      <c r="GSL77" s="685"/>
      <c r="GSM77" s="685"/>
      <c r="GSN77" s="685"/>
      <c r="GSO77" s="685"/>
      <c r="GSP77" s="685"/>
      <c r="GSQ77" s="685"/>
      <c r="GSR77" s="685"/>
      <c r="GSS77" s="685"/>
      <c r="GST77" s="685"/>
      <c r="GSU77" s="685"/>
      <c r="GSV77" s="685"/>
      <c r="GSW77" s="685"/>
      <c r="GSX77" s="685"/>
      <c r="GSY77" s="685"/>
      <c r="GSZ77" s="685"/>
      <c r="GTA77" s="685"/>
      <c r="GTB77" s="685"/>
      <c r="GTC77" s="685"/>
      <c r="GTD77" s="685"/>
      <c r="GTE77" s="685"/>
      <c r="GTF77" s="685"/>
      <c r="GTG77" s="685"/>
      <c r="GTH77" s="685"/>
      <c r="GTI77" s="685"/>
      <c r="GTJ77" s="685"/>
      <c r="GTK77" s="685"/>
      <c r="GTL77" s="685"/>
      <c r="GTM77" s="685"/>
      <c r="GTN77" s="685"/>
      <c r="GTO77" s="685"/>
      <c r="GTP77" s="685"/>
      <c r="GTQ77" s="685"/>
      <c r="GTR77" s="685"/>
      <c r="GTS77" s="685"/>
      <c r="GTT77" s="685"/>
      <c r="GTU77" s="685"/>
      <c r="GTV77" s="685"/>
      <c r="GTW77" s="685"/>
      <c r="GTX77" s="685"/>
      <c r="GTY77" s="685"/>
      <c r="GTZ77" s="685"/>
      <c r="GUA77" s="685"/>
      <c r="GUB77" s="685"/>
      <c r="GUC77" s="685"/>
      <c r="GUD77" s="685"/>
      <c r="GUE77" s="685"/>
      <c r="GUF77" s="685"/>
      <c r="GUG77" s="685"/>
      <c r="GUH77" s="685"/>
      <c r="GUI77" s="685"/>
      <c r="GUJ77" s="685"/>
      <c r="GUK77" s="685"/>
      <c r="GUL77" s="685"/>
      <c r="GUM77" s="685"/>
      <c r="GUN77" s="685"/>
      <c r="GUO77" s="685"/>
      <c r="GUP77" s="685"/>
      <c r="GUQ77" s="685"/>
      <c r="GUR77" s="685"/>
      <c r="GUS77" s="685"/>
      <c r="GUT77" s="685"/>
      <c r="GUU77" s="685"/>
      <c r="GUV77" s="685"/>
      <c r="GUW77" s="685"/>
      <c r="GUX77" s="685"/>
      <c r="GUY77" s="685"/>
      <c r="GUZ77" s="685"/>
      <c r="GVA77" s="685"/>
      <c r="GVB77" s="685"/>
      <c r="GVC77" s="685"/>
      <c r="GVD77" s="685"/>
      <c r="GVE77" s="685"/>
      <c r="GVF77" s="685"/>
      <c r="GVG77" s="685"/>
      <c r="GVH77" s="685"/>
      <c r="GVI77" s="685"/>
      <c r="GVJ77" s="685"/>
      <c r="GVK77" s="685"/>
      <c r="GVL77" s="685"/>
      <c r="GVM77" s="685"/>
      <c r="GVN77" s="685"/>
      <c r="GVO77" s="685"/>
      <c r="GVP77" s="685"/>
      <c r="GVQ77" s="685"/>
      <c r="GVR77" s="685"/>
      <c r="GVS77" s="685"/>
      <c r="GVT77" s="685"/>
      <c r="GVU77" s="685"/>
      <c r="GVV77" s="685"/>
      <c r="GVW77" s="685"/>
      <c r="GVX77" s="685"/>
      <c r="GVY77" s="685"/>
      <c r="GVZ77" s="685"/>
      <c r="GWA77" s="685"/>
      <c r="GWB77" s="685"/>
      <c r="GWC77" s="685"/>
      <c r="GWD77" s="685"/>
      <c r="GWE77" s="685"/>
      <c r="GWF77" s="685"/>
      <c r="GWG77" s="685"/>
      <c r="GWH77" s="685"/>
      <c r="GWI77" s="685"/>
      <c r="GWJ77" s="685"/>
      <c r="GWK77" s="685"/>
      <c r="GWL77" s="685"/>
      <c r="GWM77" s="685"/>
      <c r="GWN77" s="685"/>
      <c r="GWO77" s="685"/>
      <c r="GWP77" s="685"/>
      <c r="GWQ77" s="685"/>
      <c r="GWR77" s="685"/>
      <c r="GWS77" s="685"/>
      <c r="GWT77" s="685"/>
      <c r="GWU77" s="685"/>
      <c r="GWV77" s="685"/>
      <c r="GWW77" s="685"/>
      <c r="GWX77" s="685"/>
      <c r="GWY77" s="685"/>
      <c r="GWZ77" s="685"/>
      <c r="GXA77" s="685"/>
      <c r="GXB77" s="685"/>
      <c r="GXC77" s="685"/>
      <c r="GXD77" s="685"/>
      <c r="GXE77" s="685"/>
      <c r="GXF77" s="685"/>
      <c r="GXG77" s="685"/>
      <c r="GXH77" s="685"/>
      <c r="GXI77" s="685"/>
      <c r="GXJ77" s="685"/>
      <c r="GXK77" s="685"/>
      <c r="GXL77" s="685"/>
      <c r="GXM77" s="685"/>
      <c r="GXN77" s="685"/>
      <c r="GXO77" s="685"/>
      <c r="GXP77" s="685"/>
      <c r="GXQ77" s="685"/>
      <c r="GXR77" s="685"/>
      <c r="GXS77" s="685"/>
      <c r="GXT77" s="685"/>
      <c r="GXU77" s="685"/>
      <c r="GXV77" s="685"/>
      <c r="GXW77" s="685"/>
      <c r="GXX77" s="685"/>
      <c r="GXY77" s="685"/>
      <c r="GXZ77" s="685"/>
      <c r="GYA77" s="685"/>
      <c r="GYB77" s="685"/>
      <c r="GYC77" s="685"/>
      <c r="GYD77" s="685"/>
      <c r="GYE77" s="685"/>
      <c r="GYF77" s="685"/>
      <c r="GYG77" s="685"/>
      <c r="GYH77" s="685"/>
      <c r="GYI77" s="685"/>
      <c r="GYJ77" s="685"/>
      <c r="GYK77" s="685"/>
      <c r="GYL77" s="685"/>
      <c r="GYM77" s="685"/>
      <c r="GYN77" s="685"/>
      <c r="GYO77" s="685"/>
      <c r="GYP77" s="685"/>
      <c r="GYQ77" s="685"/>
      <c r="GYR77" s="685"/>
      <c r="GYS77" s="685"/>
      <c r="GYT77" s="685"/>
      <c r="GYU77" s="685"/>
      <c r="GYV77" s="685"/>
      <c r="GYW77" s="685"/>
      <c r="GYX77" s="685"/>
      <c r="GYY77" s="685"/>
      <c r="GYZ77" s="685"/>
      <c r="GZA77" s="685"/>
      <c r="GZB77" s="685"/>
      <c r="GZC77" s="685"/>
      <c r="GZD77" s="685"/>
      <c r="GZE77" s="685"/>
      <c r="GZF77" s="685"/>
      <c r="GZG77" s="685"/>
      <c r="GZH77" s="685"/>
      <c r="GZI77" s="685"/>
      <c r="GZJ77" s="685"/>
      <c r="GZK77" s="685"/>
      <c r="GZL77" s="685"/>
      <c r="GZM77" s="685"/>
      <c r="GZN77" s="685"/>
      <c r="GZO77" s="685"/>
      <c r="GZP77" s="685"/>
      <c r="GZQ77" s="685"/>
      <c r="GZR77" s="685"/>
      <c r="GZS77" s="685"/>
      <c r="GZT77" s="685"/>
      <c r="GZU77" s="685"/>
      <c r="GZV77" s="685"/>
      <c r="GZW77" s="685"/>
      <c r="GZX77" s="685"/>
      <c r="GZY77" s="685"/>
      <c r="GZZ77" s="685"/>
      <c r="HAA77" s="685"/>
      <c r="HAB77" s="685"/>
      <c r="HAC77" s="685"/>
      <c r="HAD77" s="685"/>
      <c r="HAE77" s="685"/>
      <c r="HAF77" s="685"/>
      <c r="HAG77" s="685"/>
      <c r="HAH77" s="685"/>
      <c r="HAI77" s="685"/>
      <c r="HAJ77" s="685"/>
      <c r="HAK77" s="685"/>
      <c r="HAL77" s="685"/>
      <c r="HAM77" s="685"/>
      <c r="HAN77" s="685"/>
      <c r="HAO77" s="685"/>
      <c r="HAP77" s="685"/>
      <c r="HAQ77" s="685"/>
      <c r="HAR77" s="685"/>
      <c r="HAS77" s="685"/>
      <c r="HAT77" s="685"/>
      <c r="HAU77" s="685"/>
      <c r="HAV77" s="685"/>
      <c r="HAW77" s="685"/>
      <c r="HAX77" s="685"/>
      <c r="HAY77" s="685"/>
      <c r="HAZ77" s="685"/>
      <c r="HBA77" s="685"/>
      <c r="HBB77" s="685"/>
      <c r="HBC77" s="685"/>
      <c r="HBD77" s="685"/>
      <c r="HBE77" s="685"/>
      <c r="HBF77" s="685"/>
      <c r="HBG77" s="685"/>
      <c r="HBH77" s="685"/>
      <c r="HBI77" s="685"/>
      <c r="HBJ77" s="685"/>
      <c r="HBK77" s="685"/>
      <c r="HBL77" s="685"/>
      <c r="HBM77" s="685"/>
      <c r="HBN77" s="685"/>
      <c r="HBO77" s="685"/>
      <c r="HBP77" s="685"/>
      <c r="HBQ77" s="685"/>
      <c r="HBR77" s="685"/>
      <c r="HBS77" s="685"/>
      <c r="HBT77" s="685"/>
      <c r="HBU77" s="685"/>
      <c r="HBV77" s="685"/>
      <c r="HBW77" s="685"/>
      <c r="HBX77" s="685"/>
      <c r="HBY77" s="685"/>
      <c r="HBZ77" s="685"/>
      <c r="HCA77" s="685"/>
      <c r="HCB77" s="685"/>
      <c r="HCC77" s="685"/>
      <c r="HCD77" s="685"/>
      <c r="HCE77" s="685"/>
      <c r="HCF77" s="685"/>
      <c r="HCG77" s="685"/>
      <c r="HCH77" s="685"/>
      <c r="HCI77" s="685"/>
      <c r="HCJ77" s="685"/>
      <c r="HCK77" s="685"/>
      <c r="HCL77" s="685"/>
      <c r="HCM77" s="685"/>
      <c r="HCN77" s="685"/>
      <c r="HCO77" s="685"/>
      <c r="HCP77" s="685"/>
      <c r="HCQ77" s="685"/>
      <c r="HCR77" s="685"/>
      <c r="HCS77" s="685"/>
      <c r="HCT77" s="685"/>
      <c r="HCU77" s="685"/>
      <c r="HCV77" s="685"/>
      <c r="HCW77" s="685"/>
      <c r="HCX77" s="685"/>
      <c r="HCY77" s="685"/>
      <c r="HCZ77" s="685"/>
      <c r="HDA77" s="685"/>
      <c r="HDB77" s="685"/>
      <c r="HDC77" s="685"/>
      <c r="HDD77" s="685"/>
      <c r="HDE77" s="685"/>
      <c r="HDF77" s="685"/>
      <c r="HDG77" s="685"/>
      <c r="HDH77" s="685"/>
      <c r="HDI77" s="685"/>
      <c r="HDJ77" s="685"/>
      <c r="HDK77" s="685"/>
      <c r="HDL77" s="685"/>
      <c r="HDM77" s="685"/>
      <c r="HDN77" s="685"/>
      <c r="HDO77" s="685"/>
      <c r="HDP77" s="685"/>
      <c r="HDQ77" s="685"/>
      <c r="HDR77" s="685"/>
      <c r="HDS77" s="685"/>
      <c r="HDT77" s="685"/>
      <c r="HDU77" s="685"/>
      <c r="HDV77" s="685"/>
      <c r="HDW77" s="685"/>
      <c r="HDX77" s="685"/>
      <c r="HDY77" s="685"/>
      <c r="HDZ77" s="685"/>
      <c r="HEA77" s="685"/>
      <c r="HEB77" s="685"/>
      <c r="HEC77" s="685"/>
      <c r="HED77" s="685"/>
      <c r="HEE77" s="685"/>
      <c r="HEF77" s="685"/>
      <c r="HEG77" s="685"/>
      <c r="HEH77" s="685"/>
      <c r="HEI77" s="685"/>
      <c r="HEJ77" s="685"/>
      <c r="HEK77" s="685"/>
      <c r="HEL77" s="685"/>
      <c r="HEM77" s="685"/>
      <c r="HEN77" s="685"/>
      <c r="HEO77" s="685"/>
      <c r="HEP77" s="685"/>
      <c r="HEQ77" s="685"/>
      <c r="HER77" s="685"/>
      <c r="HES77" s="685"/>
      <c r="HET77" s="685"/>
      <c r="HEU77" s="685"/>
      <c r="HEV77" s="685"/>
      <c r="HEW77" s="685"/>
      <c r="HEX77" s="685"/>
      <c r="HEY77" s="685"/>
      <c r="HEZ77" s="685"/>
      <c r="HFA77" s="685"/>
      <c r="HFB77" s="685"/>
      <c r="HFC77" s="685"/>
      <c r="HFD77" s="685"/>
      <c r="HFE77" s="685"/>
      <c r="HFF77" s="685"/>
      <c r="HFG77" s="685"/>
      <c r="HFH77" s="685"/>
      <c r="HFI77" s="685"/>
      <c r="HFJ77" s="685"/>
      <c r="HFK77" s="685"/>
      <c r="HFL77" s="685"/>
      <c r="HFM77" s="685"/>
      <c r="HFN77" s="685"/>
      <c r="HFO77" s="685"/>
      <c r="HFP77" s="685"/>
      <c r="HFQ77" s="685"/>
      <c r="HFR77" s="685"/>
      <c r="HFS77" s="685"/>
      <c r="HFT77" s="685"/>
      <c r="HFU77" s="685"/>
      <c r="HFV77" s="685"/>
      <c r="HFW77" s="685"/>
      <c r="HFX77" s="685"/>
      <c r="HFY77" s="685"/>
      <c r="HFZ77" s="685"/>
      <c r="HGA77" s="685"/>
      <c r="HGB77" s="685"/>
      <c r="HGC77" s="685"/>
      <c r="HGD77" s="685"/>
      <c r="HGE77" s="685"/>
      <c r="HGF77" s="685"/>
      <c r="HGG77" s="685"/>
      <c r="HGH77" s="685"/>
      <c r="HGI77" s="685"/>
      <c r="HGJ77" s="685"/>
      <c r="HGK77" s="685"/>
      <c r="HGL77" s="685"/>
      <c r="HGM77" s="685"/>
      <c r="HGN77" s="685"/>
      <c r="HGO77" s="685"/>
      <c r="HGP77" s="685"/>
      <c r="HGQ77" s="685"/>
      <c r="HGR77" s="685"/>
      <c r="HGS77" s="685"/>
      <c r="HGT77" s="685"/>
      <c r="HGU77" s="685"/>
      <c r="HGV77" s="685"/>
      <c r="HGW77" s="685"/>
      <c r="HGX77" s="685"/>
      <c r="HGY77" s="685"/>
      <c r="HGZ77" s="685"/>
      <c r="HHA77" s="685"/>
      <c r="HHB77" s="685"/>
      <c r="HHC77" s="685"/>
      <c r="HHD77" s="685"/>
      <c r="HHE77" s="685"/>
      <c r="HHF77" s="685"/>
      <c r="HHG77" s="685"/>
      <c r="HHH77" s="685"/>
      <c r="HHI77" s="685"/>
      <c r="HHJ77" s="685"/>
      <c r="HHK77" s="685"/>
      <c r="HHL77" s="685"/>
      <c r="HHM77" s="685"/>
      <c r="HHN77" s="685"/>
      <c r="HHO77" s="685"/>
      <c r="HHP77" s="685"/>
      <c r="HHQ77" s="685"/>
      <c r="HHR77" s="685"/>
      <c r="HHS77" s="685"/>
      <c r="HHT77" s="685"/>
      <c r="HHU77" s="685"/>
      <c r="HHV77" s="685"/>
      <c r="HHW77" s="685"/>
      <c r="HHX77" s="685"/>
      <c r="HHY77" s="685"/>
      <c r="HHZ77" s="685"/>
      <c r="HIA77" s="685"/>
      <c r="HIB77" s="685"/>
      <c r="HIC77" s="685"/>
      <c r="HID77" s="685"/>
      <c r="HIE77" s="685"/>
      <c r="HIF77" s="685"/>
      <c r="HIG77" s="685"/>
      <c r="HIH77" s="685"/>
      <c r="HII77" s="685"/>
      <c r="HIJ77" s="685"/>
      <c r="HIK77" s="685"/>
      <c r="HIL77" s="685"/>
      <c r="HIM77" s="685"/>
      <c r="HIN77" s="685"/>
      <c r="HIO77" s="685"/>
      <c r="HIP77" s="685"/>
      <c r="HIQ77" s="685"/>
      <c r="HIR77" s="685"/>
      <c r="HIS77" s="685"/>
      <c r="HIT77" s="685"/>
      <c r="HIU77" s="685"/>
      <c r="HIV77" s="685"/>
      <c r="HIW77" s="685"/>
      <c r="HIX77" s="685"/>
      <c r="HIY77" s="685"/>
      <c r="HIZ77" s="685"/>
      <c r="HJA77" s="685"/>
      <c r="HJB77" s="685"/>
      <c r="HJC77" s="685"/>
      <c r="HJD77" s="685"/>
      <c r="HJE77" s="685"/>
      <c r="HJF77" s="685"/>
      <c r="HJG77" s="685"/>
      <c r="HJH77" s="685"/>
      <c r="HJI77" s="685"/>
      <c r="HJJ77" s="685"/>
      <c r="HJK77" s="685"/>
      <c r="HJL77" s="685"/>
      <c r="HJM77" s="685"/>
      <c r="HJN77" s="685"/>
      <c r="HJO77" s="685"/>
      <c r="HJP77" s="685"/>
      <c r="HJQ77" s="685"/>
      <c r="HJR77" s="685"/>
      <c r="HJS77" s="685"/>
      <c r="HJT77" s="685"/>
      <c r="HJU77" s="685"/>
      <c r="HJV77" s="685"/>
      <c r="HJW77" s="685"/>
      <c r="HJX77" s="685"/>
      <c r="HJY77" s="685"/>
      <c r="HJZ77" s="685"/>
      <c r="HKA77" s="685"/>
      <c r="HKB77" s="685"/>
      <c r="HKC77" s="685"/>
      <c r="HKD77" s="685"/>
      <c r="HKE77" s="685"/>
      <c r="HKF77" s="685"/>
      <c r="HKG77" s="685"/>
      <c r="HKH77" s="685"/>
      <c r="HKI77" s="685"/>
      <c r="HKJ77" s="685"/>
      <c r="HKK77" s="685"/>
      <c r="HKL77" s="685"/>
      <c r="HKM77" s="685"/>
      <c r="HKN77" s="685"/>
      <c r="HKO77" s="685"/>
      <c r="HKP77" s="685"/>
      <c r="HKQ77" s="685"/>
      <c r="HKR77" s="685"/>
      <c r="HKS77" s="685"/>
      <c r="HKT77" s="685"/>
      <c r="HKU77" s="685"/>
      <c r="HKV77" s="685"/>
      <c r="HKW77" s="685"/>
      <c r="HKX77" s="685"/>
      <c r="HKY77" s="685"/>
      <c r="HKZ77" s="685"/>
      <c r="HLA77" s="685"/>
      <c r="HLB77" s="685"/>
      <c r="HLC77" s="685"/>
      <c r="HLD77" s="685"/>
      <c r="HLE77" s="685"/>
      <c r="HLF77" s="685"/>
      <c r="HLG77" s="685"/>
      <c r="HLH77" s="685"/>
      <c r="HLI77" s="685"/>
      <c r="HLJ77" s="685"/>
      <c r="HLK77" s="685"/>
      <c r="HLL77" s="685"/>
      <c r="HLM77" s="685"/>
      <c r="HLN77" s="685"/>
      <c r="HLO77" s="685"/>
      <c r="HLP77" s="685"/>
      <c r="HLQ77" s="685"/>
      <c r="HLR77" s="685"/>
      <c r="HLS77" s="685"/>
      <c r="HLT77" s="685"/>
      <c r="HLU77" s="685"/>
      <c r="HLV77" s="685"/>
      <c r="HLW77" s="685"/>
      <c r="HLX77" s="685"/>
      <c r="HLY77" s="685"/>
      <c r="HLZ77" s="685"/>
      <c r="HMA77" s="685"/>
      <c r="HMB77" s="685"/>
      <c r="HMC77" s="685"/>
      <c r="HMD77" s="685"/>
      <c r="HME77" s="685"/>
      <c r="HMF77" s="685"/>
      <c r="HMG77" s="685"/>
      <c r="HMH77" s="685"/>
      <c r="HMI77" s="685"/>
      <c r="HMJ77" s="685"/>
      <c r="HMK77" s="685"/>
      <c r="HML77" s="685"/>
      <c r="HMM77" s="685"/>
      <c r="HMN77" s="685"/>
      <c r="HMO77" s="685"/>
      <c r="HMP77" s="685"/>
      <c r="HMQ77" s="685"/>
      <c r="HMR77" s="685"/>
      <c r="HMS77" s="685"/>
      <c r="HMT77" s="685"/>
      <c r="HMU77" s="685"/>
      <c r="HMV77" s="685"/>
      <c r="HMW77" s="685"/>
      <c r="HMX77" s="685"/>
      <c r="HMY77" s="685"/>
      <c r="HMZ77" s="685"/>
      <c r="HNA77" s="685"/>
      <c r="HNB77" s="685"/>
      <c r="HNC77" s="685"/>
      <c r="HND77" s="685"/>
      <c r="HNE77" s="685"/>
      <c r="HNF77" s="685"/>
      <c r="HNG77" s="685"/>
      <c r="HNH77" s="685"/>
      <c r="HNI77" s="685"/>
      <c r="HNJ77" s="685"/>
      <c r="HNK77" s="685"/>
      <c r="HNL77" s="685"/>
      <c r="HNM77" s="685"/>
      <c r="HNN77" s="685"/>
      <c r="HNO77" s="685"/>
      <c r="HNP77" s="685"/>
      <c r="HNQ77" s="685"/>
      <c r="HNR77" s="685"/>
      <c r="HNS77" s="685"/>
      <c r="HNT77" s="685"/>
      <c r="HNU77" s="685"/>
      <c r="HNV77" s="685"/>
      <c r="HNW77" s="685"/>
      <c r="HNX77" s="685"/>
      <c r="HNY77" s="685"/>
      <c r="HNZ77" s="685"/>
      <c r="HOA77" s="685"/>
      <c r="HOB77" s="685"/>
      <c r="HOC77" s="685"/>
      <c r="HOD77" s="685"/>
      <c r="HOE77" s="685"/>
      <c r="HOF77" s="685"/>
      <c r="HOG77" s="685"/>
      <c r="HOH77" s="685"/>
      <c r="HOI77" s="685"/>
      <c r="HOJ77" s="685"/>
      <c r="HOK77" s="685"/>
      <c r="HOL77" s="685"/>
      <c r="HOM77" s="685"/>
      <c r="HON77" s="685"/>
      <c r="HOO77" s="685"/>
      <c r="HOP77" s="685"/>
      <c r="HOQ77" s="685"/>
      <c r="HOR77" s="685"/>
      <c r="HOS77" s="685"/>
      <c r="HOT77" s="685"/>
      <c r="HOU77" s="685"/>
      <c r="HOV77" s="685"/>
      <c r="HOW77" s="685"/>
      <c r="HOX77" s="685"/>
      <c r="HOY77" s="685"/>
      <c r="HOZ77" s="685"/>
      <c r="HPA77" s="685"/>
      <c r="HPB77" s="685"/>
      <c r="HPC77" s="685"/>
      <c r="HPD77" s="685"/>
      <c r="HPE77" s="685"/>
      <c r="HPF77" s="685"/>
      <c r="HPG77" s="685"/>
      <c r="HPH77" s="685"/>
      <c r="HPI77" s="685"/>
      <c r="HPJ77" s="685"/>
      <c r="HPK77" s="685"/>
      <c r="HPL77" s="685"/>
      <c r="HPM77" s="685"/>
      <c r="HPN77" s="685"/>
      <c r="HPO77" s="685"/>
      <c r="HPP77" s="685"/>
      <c r="HPQ77" s="685"/>
      <c r="HPR77" s="685"/>
      <c r="HPS77" s="685"/>
      <c r="HPT77" s="685"/>
      <c r="HPU77" s="685"/>
      <c r="HPV77" s="685"/>
      <c r="HPW77" s="685"/>
      <c r="HPX77" s="685"/>
      <c r="HPY77" s="685"/>
      <c r="HPZ77" s="685"/>
      <c r="HQA77" s="685"/>
      <c r="HQB77" s="685"/>
      <c r="HQC77" s="685"/>
      <c r="HQD77" s="685"/>
      <c r="HQE77" s="685"/>
      <c r="HQF77" s="685"/>
      <c r="HQG77" s="685"/>
      <c r="HQH77" s="685"/>
      <c r="HQI77" s="685"/>
      <c r="HQJ77" s="685"/>
      <c r="HQK77" s="685"/>
      <c r="HQL77" s="685"/>
      <c r="HQM77" s="685"/>
      <c r="HQN77" s="685"/>
      <c r="HQO77" s="685"/>
      <c r="HQP77" s="685"/>
      <c r="HQQ77" s="685"/>
      <c r="HQR77" s="685"/>
      <c r="HQS77" s="685"/>
      <c r="HQT77" s="685"/>
      <c r="HQU77" s="685"/>
      <c r="HQV77" s="685"/>
      <c r="HQW77" s="685"/>
      <c r="HQX77" s="685"/>
      <c r="HQY77" s="685"/>
      <c r="HQZ77" s="685"/>
      <c r="HRA77" s="685"/>
      <c r="HRB77" s="685"/>
      <c r="HRC77" s="685"/>
      <c r="HRD77" s="685"/>
      <c r="HRE77" s="685"/>
      <c r="HRF77" s="685"/>
      <c r="HRG77" s="685"/>
      <c r="HRH77" s="685"/>
      <c r="HRI77" s="685"/>
      <c r="HRJ77" s="685"/>
      <c r="HRK77" s="685"/>
      <c r="HRL77" s="685"/>
      <c r="HRM77" s="685"/>
      <c r="HRN77" s="685"/>
      <c r="HRO77" s="685"/>
      <c r="HRP77" s="685"/>
      <c r="HRQ77" s="685"/>
      <c r="HRR77" s="685"/>
      <c r="HRS77" s="685"/>
      <c r="HRT77" s="685"/>
      <c r="HRU77" s="685"/>
      <c r="HRV77" s="685"/>
      <c r="HRW77" s="685"/>
      <c r="HRX77" s="685"/>
      <c r="HRY77" s="685"/>
      <c r="HRZ77" s="685"/>
      <c r="HSA77" s="685"/>
      <c r="HSB77" s="685"/>
      <c r="HSC77" s="685"/>
      <c r="HSD77" s="685"/>
      <c r="HSE77" s="685"/>
      <c r="HSF77" s="685"/>
      <c r="HSG77" s="685"/>
      <c r="HSH77" s="685"/>
      <c r="HSI77" s="685"/>
      <c r="HSJ77" s="685"/>
      <c r="HSK77" s="685"/>
      <c r="HSL77" s="685"/>
      <c r="HSM77" s="685"/>
      <c r="HSN77" s="685"/>
      <c r="HSO77" s="685"/>
      <c r="HSP77" s="685"/>
      <c r="HSQ77" s="685"/>
      <c r="HSR77" s="685"/>
      <c r="HSS77" s="685"/>
      <c r="HST77" s="685"/>
      <c r="HSU77" s="685"/>
      <c r="HSV77" s="685"/>
      <c r="HSW77" s="685"/>
      <c r="HSX77" s="685"/>
      <c r="HSY77" s="685"/>
      <c r="HSZ77" s="685"/>
      <c r="HTA77" s="685"/>
      <c r="HTB77" s="685"/>
      <c r="HTC77" s="685"/>
      <c r="HTD77" s="685"/>
      <c r="HTE77" s="685"/>
      <c r="HTF77" s="685"/>
      <c r="HTG77" s="685"/>
      <c r="HTH77" s="685"/>
      <c r="HTI77" s="685"/>
      <c r="HTJ77" s="685"/>
      <c r="HTK77" s="685"/>
      <c r="HTL77" s="685"/>
      <c r="HTM77" s="685"/>
      <c r="HTN77" s="685"/>
      <c r="HTO77" s="685"/>
      <c r="HTP77" s="685"/>
      <c r="HTQ77" s="685"/>
      <c r="HTR77" s="685"/>
      <c r="HTS77" s="685"/>
      <c r="HTT77" s="685"/>
      <c r="HTU77" s="685"/>
      <c r="HTV77" s="685"/>
      <c r="HTW77" s="685"/>
      <c r="HTX77" s="685"/>
      <c r="HTY77" s="685"/>
      <c r="HTZ77" s="685"/>
      <c r="HUA77" s="685"/>
      <c r="HUB77" s="685"/>
      <c r="HUC77" s="685"/>
      <c r="HUD77" s="685"/>
      <c r="HUE77" s="685"/>
      <c r="HUF77" s="685"/>
      <c r="HUG77" s="685"/>
      <c r="HUH77" s="685"/>
      <c r="HUI77" s="685"/>
      <c r="HUJ77" s="685"/>
      <c r="HUK77" s="685"/>
      <c r="HUL77" s="685"/>
      <c r="HUM77" s="685"/>
      <c r="HUN77" s="685"/>
      <c r="HUO77" s="685"/>
      <c r="HUP77" s="685"/>
      <c r="HUQ77" s="685"/>
      <c r="HUR77" s="685"/>
      <c r="HUS77" s="685"/>
      <c r="HUT77" s="685"/>
      <c r="HUU77" s="685"/>
      <c r="HUV77" s="685"/>
      <c r="HUW77" s="685"/>
      <c r="HUX77" s="685"/>
      <c r="HUY77" s="685"/>
      <c r="HUZ77" s="685"/>
      <c r="HVA77" s="685"/>
      <c r="HVB77" s="685"/>
      <c r="HVC77" s="685"/>
      <c r="HVD77" s="685"/>
      <c r="HVE77" s="685"/>
      <c r="HVF77" s="685"/>
      <c r="HVG77" s="685"/>
      <c r="HVH77" s="685"/>
      <c r="HVI77" s="685"/>
      <c r="HVJ77" s="685"/>
      <c r="HVK77" s="685"/>
      <c r="HVL77" s="685"/>
      <c r="HVM77" s="685"/>
      <c r="HVN77" s="685"/>
      <c r="HVO77" s="685"/>
      <c r="HVP77" s="685"/>
      <c r="HVQ77" s="685"/>
      <c r="HVR77" s="685"/>
      <c r="HVS77" s="685"/>
      <c r="HVT77" s="685"/>
      <c r="HVU77" s="685"/>
      <c r="HVV77" s="685"/>
      <c r="HVW77" s="685"/>
      <c r="HVX77" s="685"/>
      <c r="HVY77" s="685"/>
      <c r="HVZ77" s="685"/>
      <c r="HWA77" s="685"/>
      <c r="HWB77" s="685"/>
      <c r="HWC77" s="685"/>
      <c r="HWD77" s="685"/>
      <c r="HWE77" s="685"/>
      <c r="HWF77" s="685"/>
      <c r="HWG77" s="685"/>
      <c r="HWH77" s="685"/>
      <c r="HWI77" s="685"/>
      <c r="HWJ77" s="685"/>
      <c r="HWK77" s="685"/>
      <c r="HWL77" s="685"/>
      <c r="HWM77" s="685"/>
      <c r="HWN77" s="685"/>
      <c r="HWO77" s="685"/>
      <c r="HWP77" s="685"/>
      <c r="HWQ77" s="685"/>
      <c r="HWR77" s="685"/>
      <c r="HWS77" s="685"/>
      <c r="HWT77" s="685"/>
      <c r="HWU77" s="685"/>
      <c r="HWV77" s="685"/>
      <c r="HWW77" s="685"/>
      <c r="HWX77" s="685"/>
      <c r="HWY77" s="685"/>
      <c r="HWZ77" s="685"/>
      <c r="HXA77" s="685"/>
      <c r="HXB77" s="685"/>
      <c r="HXC77" s="685"/>
      <c r="HXD77" s="685"/>
      <c r="HXE77" s="685"/>
      <c r="HXF77" s="685"/>
      <c r="HXG77" s="685"/>
      <c r="HXH77" s="685"/>
      <c r="HXI77" s="685"/>
      <c r="HXJ77" s="685"/>
      <c r="HXK77" s="685"/>
      <c r="HXL77" s="685"/>
      <c r="HXM77" s="685"/>
      <c r="HXN77" s="685"/>
      <c r="HXO77" s="685"/>
      <c r="HXP77" s="685"/>
      <c r="HXQ77" s="685"/>
      <c r="HXR77" s="685"/>
      <c r="HXS77" s="685"/>
      <c r="HXT77" s="685"/>
      <c r="HXU77" s="685"/>
      <c r="HXV77" s="685"/>
      <c r="HXW77" s="685"/>
      <c r="HXX77" s="685"/>
      <c r="HXY77" s="685"/>
      <c r="HXZ77" s="685"/>
      <c r="HYA77" s="685"/>
      <c r="HYB77" s="685"/>
      <c r="HYC77" s="685"/>
      <c r="HYD77" s="685"/>
      <c r="HYE77" s="685"/>
      <c r="HYF77" s="685"/>
      <c r="HYG77" s="685"/>
      <c r="HYH77" s="685"/>
      <c r="HYI77" s="685"/>
      <c r="HYJ77" s="685"/>
      <c r="HYK77" s="685"/>
      <c r="HYL77" s="685"/>
      <c r="HYM77" s="685"/>
      <c r="HYN77" s="685"/>
      <c r="HYO77" s="685"/>
      <c r="HYP77" s="685"/>
      <c r="HYQ77" s="685"/>
      <c r="HYR77" s="685"/>
      <c r="HYS77" s="685"/>
      <c r="HYT77" s="685"/>
      <c r="HYU77" s="685"/>
      <c r="HYV77" s="685"/>
      <c r="HYW77" s="685"/>
      <c r="HYX77" s="685"/>
      <c r="HYY77" s="685"/>
      <c r="HYZ77" s="685"/>
      <c r="HZA77" s="685"/>
      <c r="HZB77" s="685"/>
      <c r="HZC77" s="685"/>
      <c r="HZD77" s="685"/>
      <c r="HZE77" s="685"/>
      <c r="HZF77" s="685"/>
      <c r="HZG77" s="685"/>
      <c r="HZH77" s="685"/>
      <c r="HZI77" s="685"/>
      <c r="HZJ77" s="685"/>
      <c r="HZK77" s="685"/>
      <c r="HZL77" s="685"/>
      <c r="HZM77" s="685"/>
      <c r="HZN77" s="685"/>
      <c r="HZO77" s="685"/>
      <c r="HZP77" s="685"/>
      <c r="HZQ77" s="685"/>
      <c r="HZR77" s="685"/>
      <c r="HZS77" s="685"/>
      <c r="HZT77" s="685"/>
      <c r="HZU77" s="685"/>
      <c r="HZV77" s="685"/>
      <c r="HZW77" s="685"/>
      <c r="HZX77" s="685"/>
      <c r="HZY77" s="685"/>
      <c r="HZZ77" s="685"/>
      <c r="IAA77" s="685"/>
      <c r="IAB77" s="685"/>
      <c r="IAC77" s="685"/>
      <c r="IAD77" s="685"/>
      <c r="IAE77" s="685"/>
      <c r="IAF77" s="685"/>
      <c r="IAG77" s="685"/>
      <c r="IAH77" s="685"/>
      <c r="IAI77" s="685"/>
      <c r="IAJ77" s="685"/>
      <c r="IAK77" s="685"/>
      <c r="IAL77" s="685"/>
      <c r="IAM77" s="685"/>
      <c r="IAN77" s="685"/>
      <c r="IAO77" s="685"/>
      <c r="IAP77" s="685"/>
      <c r="IAQ77" s="685"/>
      <c r="IAR77" s="685"/>
      <c r="IAS77" s="685"/>
      <c r="IAT77" s="685"/>
      <c r="IAU77" s="685"/>
      <c r="IAV77" s="685"/>
      <c r="IAW77" s="685"/>
      <c r="IAX77" s="685"/>
      <c r="IAY77" s="685"/>
      <c r="IAZ77" s="685"/>
      <c r="IBA77" s="685"/>
      <c r="IBB77" s="685"/>
      <c r="IBC77" s="685"/>
      <c r="IBD77" s="685"/>
      <c r="IBE77" s="685"/>
      <c r="IBF77" s="685"/>
      <c r="IBG77" s="685"/>
      <c r="IBH77" s="685"/>
      <c r="IBI77" s="685"/>
      <c r="IBJ77" s="685"/>
      <c r="IBK77" s="685"/>
      <c r="IBL77" s="685"/>
      <c r="IBM77" s="685"/>
      <c r="IBN77" s="685"/>
      <c r="IBO77" s="685"/>
      <c r="IBP77" s="685"/>
      <c r="IBQ77" s="685"/>
      <c r="IBR77" s="685"/>
      <c r="IBS77" s="685"/>
      <c r="IBT77" s="685"/>
      <c r="IBU77" s="685"/>
      <c r="IBV77" s="685"/>
      <c r="IBW77" s="685"/>
      <c r="IBX77" s="685"/>
      <c r="IBY77" s="685"/>
      <c r="IBZ77" s="685"/>
      <c r="ICA77" s="685"/>
      <c r="ICB77" s="685"/>
      <c r="ICC77" s="685"/>
      <c r="ICD77" s="685"/>
      <c r="ICE77" s="685"/>
      <c r="ICF77" s="685"/>
      <c r="ICG77" s="685"/>
      <c r="ICH77" s="685"/>
      <c r="ICI77" s="685"/>
      <c r="ICJ77" s="685"/>
      <c r="ICK77" s="685"/>
      <c r="ICL77" s="685"/>
      <c r="ICM77" s="685"/>
      <c r="ICN77" s="685"/>
      <c r="ICO77" s="685"/>
      <c r="ICP77" s="685"/>
      <c r="ICQ77" s="685"/>
      <c r="ICR77" s="685"/>
      <c r="ICS77" s="685"/>
      <c r="ICT77" s="685"/>
      <c r="ICU77" s="685"/>
      <c r="ICV77" s="685"/>
      <c r="ICW77" s="685"/>
      <c r="ICX77" s="685"/>
      <c r="ICY77" s="685"/>
      <c r="ICZ77" s="685"/>
      <c r="IDA77" s="685"/>
      <c r="IDB77" s="685"/>
      <c r="IDC77" s="685"/>
      <c r="IDD77" s="685"/>
      <c r="IDE77" s="685"/>
      <c r="IDF77" s="685"/>
      <c r="IDG77" s="685"/>
      <c r="IDH77" s="685"/>
      <c r="IDI77" s="685"/>
      <c r="IDJ77" s="685"/>
      <c r="IDK77" s="685"/>
      <c r="IDL77" s="685"/>
      <c r="IDM77" s="685"/>
      <c r="IDN77" s="685"/>
      <c r="IDO77" s="685"/>
      <c r="IDP77" s="685"/>
      <c r="IDQ77" s="685"/>
      <c r="IDR77" s="685"/>
      <c r="IDS77" s="685"/>
      <c r="IDT77" s="685"/>
      <c r="IDU77" s="685"/>
      <c r="IDV77" s="685"/>
      <c r="IDW77" s="685"/>
      <c r="IDX77" s="685"/>
      <c r="IDY77" s="685"/>
      <c r="IDZ77" s="685"/>
      <c r="IEA77" s="685"/>
      <c r="IEB77" s="685"/>
      <c r="IEC77" s="685"/>
      <c r="IED77" s="685"/>
      <c r="IEE77" s="685"/>
      <c r="IEF77" s="685"/>
      <c r="IEG77" s="685"/>
      <c r="IEH77" s="685"/>
      <c r="IEI77" s="685"/>
      <c r="IEJ77" s="685"/>
      <c r="IEK77" s="685"/>
      <c r="IEL77" s="685"/>
      <c r="IEM77" s="685"/>
      <c r="IEN77" s="685"/>
      <c r="IEO77" s="685"/>
      <c r="IEP77" s="685"/>
      <c r="IEQ77" s="685"/>
      <c r="IER77" s="685"/>
      <c r="IES77" s="685"/>
      <c r="IET77" s="685"/>
      <c r="IEU77" s="685"/>
      <c r="IEV77" s="685"/>
      <c r="IEW77" s="685"/>
      <c r="IEX77" s="685"/>
      <c r="IEY77" s="685"/>
      <c r="IEZ77" s="685"/>
      <c r="IFA77" s="685"/>
      <c r="IFB77" s="685"/>
      <c r="IFC77" s="685"/>
      <c r="IFD77" s="685"/>
      <c r="IFE77" s="685"/>
      <c r="IFF77" s="685"/>
      <c r="IFG77" s="685"/>
      <c r="IFH77" s="685"/>
      <c r="IFI77" s="685"/>
      <c r="IFJ77" s="685"/>
      <c r="IFK77" s="685"/>
      <c r="IFL77" s="685"/>
      <c r="IFM77" s="685"/>
      <c r="IFN77" s="685"/>
      <c r="IFO77" s="685"/>
      <c r="IFP77" s="685"/>
      <c r="IFQ77" s="685"/>
      <c r="IFR77" s="685"/>
      <c r="IFS77" s="685"/>
      <c r="IFT77" s="685"/>
      <c r="IFU77" s="685"/>
      <c r="IFV77" s="685"/>
      <c r="IFW77" s="685"/>
      <c r="IFX77" s="685"/>
      <c r="IFY77" s="685"/>
      <c r="IFZ77" s="685"/>
      <c r="IGA77" s="685"/>
      <c r="IGB77" s="685"/>
      <c r="IGC77" s="685"/>
      <c r="IGD77" s="685"/>
      <c r="IGE77" s="685"/>
      <c r="IGF77" s="685"/>
      <c r="IGG77" s="685"/>
      <c r="IGH77" s="685"/>
      <c r="IGI77" s="685"/>
      <c r="IGJ77" s="685"/>
      <c r="IGK77" s="685"/>
      <c r="IGL77" s="685"/>
      <c r="IGM77" s="685"/>
      <c r="IGN77" s="685"/>
      <c r="IGO77" s="685"/>
      <c r="IGP77" s="685"/>
      <c r="IGQ77" s="685"/>
      <c r="IGR77" s="685"/>
      <c r="IGS77" s="685"/>
      <c r="IGT77" s="685"/>
      <c r="IGU77" s="685"/>
      <c r="IGV77" s="685"/>
      <c r="IGW77" s="685"/>
      <c r="IGX77" s="685"/>
      <c r="IGY77" s="685"/>
      <c r="IGZ77" s="685"/>
      <c r="IHA77" s="685"/>
      <c r="IHB77" s="685"/>
      <c r="IHC77" s="685"/>
      <c r="IHD77" s="685"/>
      <c r="IHE77" s="685"/>
      <c r="IHF77" s="685"/>
      <c r="IHG77" s="685"/>
      <c r="IHH77" s="685"/>
      <c r="IHI77" s="685"/>
      <c r="IHJ77" s="685"/>
      <c r="IHK77" s="685"/>
      <c r="IHL77" s="685"/>
      <c r="IHM77" s="685"/>
      <c r="IHN77" s="685"/>
      <c r="IHO77" s="685"/>
      <c r="IHP77" s="685"/>
      <c r="IHQ77" s="685"/>
      <c r="IHR77" s="685"/>
      <c r="IHS77" s="685"/>
      <c r="IHT77" s="685"/>
      <c r="IHU77" s="685"/>
      <c r="IHV77" s="685"/>
      <c r="IHW77" s="685"/>
      <c r="IHX77" s="685"/>
      <c r="IHY77" s="685"/>
      <c r="IHZ77" s="685"/>
      <c r="IIA77" s="685"/>
      <c r="IIB77" s="685"/>
      <c r="IIC77" s="685"/>
      <c r="IID77" s="685"/>
      <c r="IIE77" s="685"/>
      <c r="IIF77" s="685"/>
      <c r="IIG77" s="685"/>
      <c r="IIH77" s="685"/>
      <c r="III77" s="685"/>
      <c r="IIJ77" s="685"/>
      <c r="IIK77" s="685"/>
      <c r="IIL77" s="685"/>
      <c r="IIM77" s="685"/>
      <c r="IIN77" s="685"/>
      <c r="IIO77" s="685"/>
      <c r="IIP77" s="685"/>
      <c r="IIQ77" s="685"/>
      <c r="IIR77" s="685"/>
      <c r="IIS77" s="685"/>
      <c r="IIT77" s="685"/>
      <c r="IIU77" s="685"/>
      <c r="IIV77" s="685"/>
      <c r="IIW77" s="685"/>
      <c r="IIX77" s="685"/>
      <c r="IIY77" s="685"/>
      <c r="IIZ77" s="685"/>
      <c r="IJA77" s="685"/>
      <c r="IJB77" s="685"/>
      <c r="IJC77" s="685"/>
      <c r="IJD77" s="685"/>
      <c r="IJE77" s="685"/>
      <c r="IJF77" s="685"/>
      <c r="IJG77" s="685"/>
      <c r="IJH77" s="685"/>
      <c r="IJI77" s="685"/>
      <c r="IJJ77" s="685"/>
      <c r="IJK77" s="685"/>
      <c r="IJL77" s="685"/>
      <c r="IJM77" s="685"/>
      <c r="IJN77" s="685"/>
      <c r="IJO77" s="685"/>
      <c r="IJP77" s="685"/>
      <c r="IJQ77" s="685"/>
      <c r="IJR77" s="685"/>
      <c r="IJS77" s="685"/>
      <c r="IJT77" s="685"/>
      <c r="IJU77" s="685"/>
      <c r="IJV77" s="685"/>
      <c r="IJW77" s="685"/>
      <c r="IJX77" s="685"/>
      <c r="IJY77" s="685"/>
      <c r="IJZ77" s="685"/>
      <c r="IKA77" s="685"/>
      <c r="IKB77" s="685"/>
      <c r="IKC77" s="685"/>
      <c r="IKD77" s="685"/>
      <c r="IKE77" s="685"/>
      <c r="IKF77" s="685"/>
      <c r="IKG77" s="685"/>
      <c r="IKH77" s="685"/>
      <c r="IKI77" s="685"/>
      <c r="IKJ77" s="685"/>
      <c r="IKK77" s="685"/>
      <c r="IKL77" s="685"/>
      <c r="IKM77" s="685"/>
      <c r="IKN77" s="685"/>
      <c r="IKO77" s="685"/>
      <c r="IKP77" s="685"/>
      <c r="IKQ77" s="685"/>
      <c r="IKR77" s="685"/>
      <c r="IKS77" s="685"/>
      <c r="IKT77" s="685"/>
      <c r="IKU77" s="685"/>
      <c r="IKV77" s="685"/>
      <c r="IKW77" s="685"/>
      <c r="IKX77" s="685"/>
      <c r="IKY77" s="685"/>
      <c r="IKZ77" s="685"/>
      <c r="ILA77" s="685"/>
      <c r="ILB77" s="685"/>
      <c r="ILC77" s="685"/>
      <c r="ILD77" s="685"/>
      <c r="ILE77" s="685"/>
      <c r="ILF77" s="685"/>
      <c r="ILG77" s="685"/>
      <c r="ILH77" s="685"/>
      <c r="ILI77" s="685"/>
      <c r="ILJ77" s="685"/>
      <c r="ILK77" s="685"/>
      <c r="ILL77" s="685"/>
      <c r="ILM77" s="685"/>
      <c r="ILN77" s="685"/>
      <c r="ILO77" s="685"/>
      <c r="ILP77" s="685"/>
      <c r="ILQ77" s="685"/>
      <c r="ILR77" s="685"/>
      <c r="ILS77" s="685"/>
      <c r="ILT77" s="685"/>
      <c r="ILU77" s="685"/>
      <c r="ILV77" s="685"/>
      <c r="ILW77" s="685"/>
      <c r="ILX77" s="685"/>
      <c r="ILY77" s="685"/>
      <c r="ILZ77" s="685"/>
      <c r="IMA77" s="685"/>
      <c r="IMB77" s="685"/>
      <c r="IMC77" s="685"/>
      <c r="IMD77" s="685"/>
      <c r="IME77" s="685"/>
      <c r="IMF77" s="685"/>
      <c r="IMG77" s="685"/>
      <c r="IMH77" s="685"/>
      <c r="IMI77" s="685"/>
      <c r="IMJ77" s="685"/>
      <c r="IMK77" s="685"/>
      <c r="IML77" s="685"/>
      <c r="IMM77" s="685"/>
      <c r="IMN77" s="685"/>
      <c r="IMO77" s="685"/>
      <c r="IMP77" s="685"/>
      <c r="IMQ77" s="685"/>
      <c r="IMR77" s="685"/>
      <c r="IMS77" s="685"/>
      <c r="IMT77" s="685"/>
      <c r="IMU77" s="685"/>
      <c r="IMV77" s="685"/>
      <c r="IMW77" s="685"/>
      <c r="IMX77" s="685"/>
      <c r="IMY77" s="685"/>
      <c r="IMZ77" s="685"/>
      <c r="INA77" s="685"/>
      <c r="INB77" s="685"/>
      <c r="INC77" s="685"/>
      <c r="IND77" s="685"/>
      <c r="INE77" s="685"/>
      <c r="INF77" s="685"/>
      <c r="ING77" s="685"/>
      <c r="INH77" s="685"/>
      <c r="INI77" s="685"/>
      <c r="INJ77" s="685"/>
      <c r="INK77" s="685"/>
      <c r="INL77" s="685"/>
      <c r="INM77" s="685"/>
      <c r="INN77" s="685"/>
      <c r="INO77" s="685"/>
      <c r="INP77" s="685"/>
      <c r="INQ77" s="685"/>
      <c r="INR77" s="685"/>
      <c r="INS77" s="685"/>
      <c r="INT77" s="685"/>
      <c r="INU77" s="685"/>
      <c r="INV77" s="685"/>
      <c r="INW77" s="685"/>
      <c r="INX77" s="685"/>
      <c r="INY77" s="685"/>
      <c r="INZ77" s="685"/>
      <c r="IOA77" s="685"/>
      <c r="IOB77" s="685"/>
      <c r="IOC77" s="685"/>
      <c r="IOD77" s="685"/>
      <c r="IOE77" s="685"/>
      <c r="IOF77" s="685"/>
      <c r="IOG77" s="685"/>
      <c r="IOH77" s="685"/>
      <c r="IOI77" s="685"/>
      <c r="IOJ77" s="685"/>
      <c r="IOK77" s="685"/>
      <c r="IOL77" s="685"/>
      <c r="IOM77" s="685"/>
      <c r="ION77" s="685"/>
      <c r="IOO77" s="685"/>
      <c r="IOP77" s="685"/>
      <c r="IOQ77" s="685"/>
      <c r="IOR77" s="685"/>
      <c r="IOS77" s="685"/>
      <c r="IOT77" s="685"/>
      <c r="IOU77" s="685"/>
      <c r="IOV77" s="685"/>
      <c r="IOW77" s="685"/>
      <c r="IOX77" s="685"/>
      <c r="IOY77" s="685"/>
      <c r="IOZ77" s="685"/>
      <c r="IPA77" s="685"/>
      <c r="IPB77" s="685"/>
      <c r="IPC77" s="685"/>
      <c r="IPD77" s="685"/>
      <c r="IPE77" s="685"/>
      <c r="IPF77" s="685"/>
      <c r="IPG77" s="685"/>
      <c r="IPH77" s="685"/>
      <c r="IPI77" s="685"/>
      <c r="IPJ77" s="685"/>
      <c r="IPK77" s="685"/>
      <c r="IPL77" s="685"/>
      <c r="IPM77" s="685"/>
      <c r="IPN77" s="685"/>
      <c r="IPO77" s="685"/>
      <c r="IPP77" s="685"/>
      <c r="IPQ77" s="685"/>
      <c r="IPR77" s="685"/>
      <c r="IPS77" s="685"/>
      <c r="IPT77" s="685"/>
      <c r="IPU77" s="685"/>
      <c r="IPV77" s="685"/>
      <c r="IPW77" s="685"/>
      <c r="IPX77" s="685"/>
      <c r="IPY77" s="685"/>
      <c r="IPZ77" s="685"/>
      <c r="IQA77" s="685"/>
      <c r="IQB77" s="685"/>
      <c r="IQC77" s="685"/>
      <c r="IQD77" s="685"/>
      <c r="IQE77" s="685"/>
      <c r="IQF77" s="685"/>
      <c r="IQG77" s="685"/>
      <c r="IQH77" s="685"/>
      <c r="IQI77" s="685"/>
      <c r="IQJ77" s="685"/>
      <c r="IQK77" s="685"/>
      <c r="IQL77" s="685"/>
      <c r="IQM77" s="685"/>
      <c r="IQN77" s="685"/>
      <c r="IQO77" s="685"/>
      <c r="IQP77" s="685"/>
      <c r="IQQ77" s="685"/>
      <c r="IQR77" s="685"/>
      <c r="IQS77" s="685"/>
      <c r="IQT77" s="685"/>
      <c r="IQU77" s="685"/>
      <c r="IQV77" s="685"/>
      <c r="IQW77" s="685"/>
      <c r="IQX77" s="685"/>
      <c r="IQY77" s="685"/>
      <c r="IQZ77" s="685"/>
      <c r="IRA77" s="685"/>
      <c r="IRB77" s="685"/>
      <c r="IRC77" s="685"/>
      <c r="IRD77" s="685"/>
      <c r="IRE77" s="685"/>
      <c r="IRF77" s="685"/>
      <c r="IRG77" s="685"/>
      <c r="IRH77" s="685"/>
      <c r="IRI77" s="685"/>
      <c r="IRJ77" s="685"/>
      <c r="IRK77" s="685"/>
      <c r="IRL77" s="685"/>
      <c r="IRM77" s="685"/>
      <c r="IRN77" s="685"/>
      <c r="IRO77" s="685"/>
      <c r="IRP77" s="685"/>
      <c r="IRQ77" s="685"/>
      <c r="IRR77" s="685"/>
      <c r="IRS77" s="685"/>
      <c r="IRT77" s="685"/>
      <c r="IRU77" s="685"/>
      <c r="IRV77" s="685"/>
      <c r="IRW77" s="685"/>
      <c r="IRX77" s="685"/>
      <c r="IRY77" s="685"/>
      <c r="IRZ77" s="685"/>
      <c r="ISA77" s="685"/>
      <c r="ISB77" s="685"/>
      <c r="ISC77" s="685"/>
      <c r="ISD77" s="685"/>
      <c r="ISE77" s="685"/>
      <c r="ISF77" s="685"/>
      <c r="ISG77" s="685"/>
      <c r="ISH77" s="685"/>
      <c r="ISI77" s="685"/>
      <c r="ISJ77" s="685"/>
      <c r="ISK77" s="685"/>
      <c r="ISL77" s="685"/>
      <c r="ISM77" s="685"/>
      <c r="ISN77" s="685"/>
      <c r="ISO77" s="685"/>
      <c r="ISP77" s="685"/>
      <c r="ISQ77" s="685"/>
      <c r="ISR77" s="685"/>
      <c r="ISS77" s="685"/>
      <c r="IST77" s="685"/>
      <c r="ISU77" s="685"/>
      <c r="ISV77" s="685"/>
      <c r="ISW77" s="685"/>
      <c r="ISX77" s="685"/>
      <c r="ISY77" s="685"/>
      <c r="ISZ77" s="685"/>
      <c r="ITA77" s="685"/>
      <c r="ITB77" s="685"/>
      <c r="ITC77" s="685"/>
      <c r="ITD77" s="685"/>
      <c r="ITE77" s="685"/>
      <c r="ITF77" s="685"/>
      <c r="ITG77" s="685"/>
      <c r="ITH77" s="685"/>
      <c r="ITI77" s="685"/>
      <c r="ITJ77" s="685"/>
      <c r="ITK77" s="685"/>
      <c r="ITL77" s="685"/>
      <c r="ITM77" s="685"/>
      <c r="ITN77" s="685"/>
      <c r="ITO77" s="685"/>
      <c r="ITP77" s="685"/>
      <c r="ITQ77" s="685"/>
      <c r="ITR77" s="685"/>
      <c r="ITS77" s="685"/>
      <c r="ITT77" s="685"/>
      <c r="ITU77" s="685"/>
      <c r="ITV77" s="685"/>
      <c r="ITW77" s="685"/>
      <c r="ITX77" s="685"/>
      <c r="ITY77" s="685"/>
      <c r="ITZ77" s="685"/>
      <c r="IUA77" s="685"/>
      <c r="IUB77" s="685"/>
      <c r="IUC77" s="685"/>
      <c r="IUD77" s="685"/>
      <c r="IUE77" s="685"/>
      <c r="IUF77" s="685"/>
      <c r="IUG77" s="685"/>
      <c r="IUH77" s="685"/>
      <c r="IUI77" s="685"/>
      <c r="IUJ77" s="685"/>
      <c r="IUK77" s="685"/>
      <c r="IUL77" s="685"/>
      <c r="IUM77" s="685"/>
      <c r="IUN77" s="685"/>
      <c r="IUO77" s="685"/>
      <c r="IUP77" s="685"/>
      <c r="IUQ77" s="685"/>
      <c r="IUR77" s="685"/>
      <c r="IUS77" s="685"/>
      <c r="IUT77" s="685"/>
      <c r="IUU77" s="685"/>
      <c r="IUV77" s="685"/>
      <c r="IUW77" s="685"/>
      <c r="IUX77" s="685"/>
      <c r="IUY77" s="685"/>
      <c r="IUZ77" s="685"/>
      <c r="IVA77" s="685"/>
      <c r="IVB77" s="685"/>
      <c r="IVC77" s="685"/>
      <c r="IVD77" s="685"/>
      <c r="IVE77" s="685"/>
      <c r="IVF77" s="685"/>
      <c r="IVG77" s="685"/>
      <c r="IVH77" s="685"/>
      <c r="IVI77" s="685"/>
      <c r="IVJ77" s="685"/>
      <c r="IVK77" s="685"/>
      <c r="IVL77" s="685"/>
      <c r="IVM77" s="685"/>
      <c r="IVN77" s="685"/>
      <c r="IVO77" s="685"/>
      <c r="IVP77" s="685"/>
      <c r="IVQ77" s="685"/>
      <c r="IVR77" s="685"/>
      <c r="IVS77" s="685"/>
      <c r="IVT77" s="685"/>
      <c r="IVU77" s="685"/>
      <c r="IVV77" s="685"/>
      <c r="IVW77" s="685"/>
      <c r="IVX77" s="685"/>
      <c r="IVY77" s="685"/>
      <c r="IVZ77" s="685"/>
      <c r="IWA77" s="685"/>
      <c r="IWB77" s="685"/>
      <c r="IWC77" s="685"/>
      <c r="IWD77" s="685"/>
      <c r="IWE77" s="685"/>
      <c r="IWF77" s="685"/>
      <c r="IWG77" s="685"/>
      <c r="IWH77" s="685"/>
      <c r="IWI77" s="685"/>
      <c r="IWJ77" s="685"/>
      <c r="IWK77" s="685"/>
      <c r="IWL77" s="685"/>
      <c r="IWM77" s="685"/>
      <c r="IWN77" s="685"/>
      <c r="IWO77" s="685"/>
      <c r="IWP77" s="685"/>
      <c r="IWQ77" s="685"/>
      <c r="IWR77" s="685"/>
      <c r="IWS77" s="685"/>
      <c r="IWT77" s="685"/>
      <c r="IWU77" s="685"/>
      <c r="IWV77" s="685"/>
      <c r="IWW77" s="685"/>
      <c r="IWX77" s="685"/>
      <c r="IWY77" s="685"/>
      <c r="IWZ77" s="685"/>
      <c r="IXA77" s="685"/>
      <c r="IXB77" s="685"/>
      <c r="IXC77" s="685"/>
      <c r="IXD77" s="685"/>
      <c r="IXE77" s="685"/>
      <c r="IXF77" s="685"/>
      <c r="IXG77" s="685"/>
      <c r="IXH77" s="685"/>
      <c r="IXI77" s="685"/>
      <c r="IXJ77" s="685"/>
      <c r="IXK77" s="685"/>
      <c r="IXL77" s="685"/>
      <c r="IXM77" s="685"/>
      <c r="IXN77" s="685"/>
      <c r="IXO77" s="685"/>
      <c r="IXP77" s="685"/>
      <c r="IXQ77" s="685"/>
      <c r="IXR77" s="685"/>
      <c r="IXS77" s="685"/>
      <c r="IXT77" s="685"/>
      <c r="IXU77" s="685"/>
      <c r="IXV77" s="685"/>
      <c r="IXW77" s="685"/>
      <c r="IXX77" s="685"/>
      <c r="IXY77" s="685"/>
      <c r="IXZ77" s="685"/>
      <c r="IYA77" s="685"/>
      <c r="IYB77" s="685"/>
      <c r="IYC77" s="685"/>
      <c r="IYD77" s="685"/>
      <c r="IYE77" s="685"/>
      <c r="IYF77" s="685"/>
      <c r="IYG77" s="685"/>
      <c r="IYH77" s="685"/>
      <c r="IYI77" s="685"/>
      <c r="IYJ77" s="685"/>
      <c r="IYK77" s="685"/>
      <c r="IYL77" s="685"/>
      <c r="IYM77" s="685"/>
      <c r="IYN77" s="685"/>
      <c r="IYO77" s="685"/>
      <c r="IYP77" s="685"/>
      <c r="IYQ77" s="685"/>
      <c r="IYR77" s="685"/>
      <c r="IYS77" s="685"/>
      <c r="IYT77" s="685"/>
      <c r="IYU77" s="685"/>
      <c r="IYV77" s="685"/>
      <c r="IYW77" s="685"/>
      <c r="IYX77" s="685"/>
      <c r="IYY77" s="685"/>
      <c r="IYZ77" s="685"/>
      <c r="IZA77" s="685"/>
      <c r="IZB77" s="685"/>
      <c r="IZC77" s="685"/>
      <c r="IZD77" s="685"/>
      <c r="IZE77" s="685"/>
      <c r="IZF77" s="685"/>
      <c r="IZG77" s="685"/>
      <c r="IZH77" s="685"/>
      <c r="IZI77" s="685"/>
      <c r="IZJ77" s="685"/>
      <c r="IZK77" s="685"/>
      <c r="IZL77" s="685"/>
      <c r="IZM77" s="685"/>
      <c r="IZN77" s="685"/>
      <c r="IZO77" s="685"/>
      <c r="IZP77" s="685"/>
      <c r="IZQ77" s="685"/>
      <c r="IZR77" s="685"/>
      <c r="IZS77" s="685"/>
      <c r="IZT77" s="685"/>
      <c r="IZU77" s="685"/>
      <c r="IZV77" s="685"/>
      <c r="IZW77" s="685"/>
      <c r="IZX77" s="685"/>
      <c r="IZY77" s="685"/>
      <c r="IZZ77" s="685"/>
      <c r="JAA77" s="685"/>
      <c r="JAB77" s="685"/>
      <c r="JAC77" s="685"/>
      <c r="JAD77" s="685"/>
      <c r="JAE77" s="685"/>
      <c r="JAF77" s="685"/>
      <c r="JAG77" s="685"/>
      <c r="JAH77" s="685"/>
      <c r="JAI77" s="685"/>
      <c r="JAJ77" s="685"/>
      <c r="JAK77" s="685"/>
      <c r="JAL77" s="685"/>
      <c r="JAM77" s="685"/>
      <c r="JAN77" s="685"/>
      <c r="JAO77" s="685"/>
      <c r="JAP77" s="685"/>
      <c r="JAQ77" s="685"/>
      <c r="JAR77" s="685"/>
      <c r="JAS77" s="685"/>
      <c r="JAT77" s="685"/>
      <c r="JAU77" s="685"/>
      <c r="JAV77" s="685"/>
      <c r="JAW77" s="685"/>
      <c r="JAX77" s="685"/>
      <c r="JAY77" s="685"/>
      <c r="JAZ77" s="685"/>
      <c r="JBA77" s="685"/>
      <c r="JBB77" s="685"/>
      <c r="JBC77" s="685"/>
      <c r="JBD77" s="685"/>
      <c r="JBE77" s="685"/>
      <c r="JBF77" s="685"/>
      <c r="JBG77" s="685"/>
      <c r="JBH77" s="685"/>
      <c r="JBI77" s="685"/>
      <c r="JBJ77" s="685"/>
      <c r="JBK77" s="685"/>
      <c r="JBL77" s="685"/>
      <c r="JBM77" s="685"/>
      <c r="JBN77" s="685"/>
      <c r="JBO77" s="685"/>
      <c r="JBP77" s="685"/>
      <c r="JBQ77" s="685"/>
      <c r="JBR77" s="685"/>
      <c r="JBS77" s="685"/>
      <c r="JBT77" s="685"/>
      <c r="JBU77" s="685"/>
      <c r="JBV77" s="685"/>
      <c r="JBW77" s="685"/>
      <c r="JBX77" s="685"/>
      <c r="JBY77" s="685"/>
      <c r="JBZ77" s="685"/>
      <c r="JCA77" s="685"/>
      <c r="JCB77" s="685"/>
      <c r="JCC77" s="685"/>
      <c r="JCD77" s="685"/>
      <c r="JCE77" s="685"/>
      <c r="JCF77" s="685"/>
      <c r="JCG77" s="685"/>
      <c r="JCH77" s="685"/>
      <c r="JCI77" s="685"/>
      <c r="JCJ77" s="685"/>
      <c r="JCK77" s="685"/>
      <c r="JCL77" s="685"/>
      <c r="JCM77" s="685"/>
      <c r="JCN77" s="685"/>
      <c r="JCO77" s="685"/>
      <c r="JCP77" s="685"/>
      <c r="JCQ77" s="685"/>
      <c r="JCR77" s="685"/>
      <c r="JCS77" s="685"/>
      <c r="JCT77" s="685"/>
      <c r="JCU77" s="685"/>
      <c r="JCV77" s="685"/>
      <c r="JCW77" s="685"/>
      <c r="JCX77" s="685"/>
      <c r="JCY77" s="685"/>
      <c r="JCZ77" s="685"/>
      <c r="JDA77" s="685"/>
      <c r="JDB77" s="685"/>
      <c r="JDC77" s="685"/>
      <c r="JDD77" s="685"/>
      <c r="JDE77" s="685"/>
      <c r="JDF77" s="685"/>
      <c r="JDG77" s="685"/>
      <c r="JDH77" s="685"/>
      <c r="JDI77" s="685"/>
      <c r="JDJ77" s="685"/>
      <c r="JDK77" s="685"/>
      <c r="JDL77" s="685"/>
      <c r="JDM77" s="685"/>
      <c r="JDN77" s="685"/>
      <c r="JDO77" s="685"/>
      <c r="JDP77" s="685"/>
      <c r="JDQ77" s="685"/>
      <c r="JDR77" s="685"/>
      <c r="JDS77" s="685"/>
      <c r="JDT77" s="685"/>
      <c r="JDU77" s="685"/>
      <c r="JDV77" s="685"/>
      <c r="JDW77" s="685"/>
      <c r="JDX77" s="685"/>
      <c r="JDY77" s="685"/>
      <c r="JDZ77" s="685"/>
      <c r="JEA77" s="685"/>
      <c r="JEB77" s="685"/>
      <c r="JEC77" s="685"/>
      <c r="JED77" s="685"/>
      <c r="JEE77" s="685"/>
      <c r="JEF77" s="685"/>
      <c r="JEG77" s="685"/>
      <c r="JEH77" s="685"/>
      <c r="JEI77" s="685"/>
      <c r="JEJ77" s="685"/>
      <c r="JEK77" s="685"/>
      <c r="JEL77" s="685"/>
      <c r="JEM77" s="685"/>
      <c r="JEN77" s="685"/>
      <c r="JEO77" s="685"/>
      <c r="JEP77" s="685"/>
      <c r="JEQ77" s="685"/>
      <c r="JER77" s="685"/>
      <c r="JES77" s="685"/>
      <c r="JET77" s="685"/>
      <c r="JEU77" s="685"/>
      <c r="JEV77" s="685"/>
      <c r="JEW77" s="685"/>
      <c r="JEX77" s="685"/>
      <c r="JEY77" s="685"/>
      <c r="JEZ77" s="685"/>
      <c r="JFA77" s="685"/>
      <c r="JFB77" s="685"/>
      <c r="JFC77" s="685"/>
      <c r="JFD77" s="685"/>
      <c r="JFE77" s="685"/>
      <c r="JFF77" s="685"/>
      <c r="JFG77" s="685"/>
      <c r="JFH77" s="685"/>
      <c r="JFI77" s="685"/>
      <c r="JFJ77" s="685"/>
      <c r="JFK77" s="685"/>
      <c r="JFL77" s="685"/>
      <c r="JFM77" s="685"/>
      <c r="JFN77" s="685"/>
      <c r="JFO77" s="685"/>
      <c r="JFP77" s="685"/>
      <c r="JFQ77" s="685"/>
      <c r="JFR77" s="685"/>
      <c r="JFS77" s="685"/>
      <c r="JFT77" s="685"/>
      <c r="JFU77" s="685"/>
      <c r="JFV77" s="685"/>
      <c r="JFW77" s="685"/>
      <c r="JFX77" s="685"/>
      <c r="JFY77" s="685"/>
      <c r="JFZ77" s="685"/>
      <c r="JGA77" s="685"/>
      <c r="JGB77" s="685"/>
      <c r="JGC77" s="685"/>
      <c r="JGD77" s="685"/>
      <c r="JGE77" s="685"/>
      <c r="JGF77" s="685"/>
      <c r="JGG77" s="685"/>
      <c r="JGH77" s="685"/>
      <c r="JGI77" s="685"/>
      <c r="JGJ77" s="685"/>
      <c r="JGK77" s="685"/>
      <c r="JGL77" s="685"/>
      <c r="JGM77" s="685"/>
      <c r="JGN77" s="685"/>
      <c r="JGO77" s="685"/>
      <c r="JGP77" s="685"/>
      <c r="JGQ77" s="685"/>
      <c r="JGR77" s="685"/>
      <c r="JGS77" s="685"/>
      <c r="JGT77" s="685"/>
      <c r="JGU77" s="685"/>
      <c r="JGV77" s="685"/>
      <c r="JGW77" s="685"/>
      <c r="JGX77" s="685"/>
      <c r="JGY77" s="685"/>
      <c r="JGZ77" s="685"/>
      <c r="JHA77" s="685"/>
      <c r="JHB77" s="685"/>
      <c r="JHC77" s="685"/>
      <c r="JHD77" s="685"/>
      <c r="JHE77" s="685"/>
      <c r="JHF77" s="685"/>
      <c r="JHG77" s="685"/>
      <c r="JHH77" s="685"/>
      <c r="JHI77" s="685"/>
      <c r="JHJ77" s="685"/>
      <c r="JHK77" s="685"/>
      <c r="JHL77" s="685"/>
      <c r="JHM77" s="685"/>
      <c r="JHN77" s="685"/>
      <c r="JHO77" s="685"/>
      <c r="JHP77" s="685"/>
      <c r="JHQ77" s="685"/>
      <c r="JHR77" s="685"/>
      <c r="JHS77" s="685"/>
      <c r="JHT77" s="685"/>
      <c r="JHU77" s="685"/>
      <c r="JHV77" s="685"/>
      <c r="JHW77" s="685"/>
      <c r="JHX77" s="685"/>
      <c r="JHY77" s="685"/>
      <c r="JHZ77" s="685"/>
      <c r="JIA77" s="685"/>
      <c r="JIB77" s="685"/>
      <c r="JIC77" s="685"/>
      <c r="JID77" s="685"/>
      <c r="JIE77" s="685"/>
      <c r="JIF77" s="685"/>
      <c r="JIG77" s="685"/>
      <c r="JIH77" s="685"/>
      <c r="JII77" s="685"/>
      <c r="JIJ77" s="685"/>
      <c r="JIK77" s="685"/>
      <c r="JIL77" s="685"/>
      <c r="JIM77" s="685"/>
      <c r="JIN77" s="685"/>
      <c r="JIO77" s="685"/>
      <c r="JIP77" s="685"/>
      <c r="JIQ77" s="685"/>
      <c r="JIR77" s="685"/>
      <c r="JIS77" s="685"/>
      <c r="JIT77" s="685"/>
      <c r="JIU77" s="685"/>
      <c r="JIV77" s="685"/>
      <c r="JIW77" s="685"/>
      <c r="JIX77" s="685"/>
      <c r="JIY77" s="685"/>
      <c r="JIZ77" s="685"/>
      <c r="JJA77" s="685"/>
      <c r="JJB77" s="685"/>
      <c r="JJC77" s="685"/>
      <c r="JJD77" s="685"/>
      <c r="JJE77" s="685"/>
      <c r="JJF77" s="685"/>
      <c r="JJG77" s="685"/>
      <c r="JJH77" s="685"/>
      <c r="JJI77" s="685"/>
      <c r="JJJ77" s="685"/>
      <c r="JJK77" s="685"/>
      <c r="JJL77" s="685"/>
      <c r="JJM77" s="685"/>
      <c r="JJN77" s="685"/>
      <c r="JJO77" s="685"/>
      <c r="JJP77" s="685"/>
      <c r="JJQ77" s="685"/>
      <c r="JJR77" s="685"/>
      <c r="JJS77" s="685"/>
      <c r="JJT77" s="685"/>
      <c r="JJU77" s="685"/>
      <c r="JJV77" s="685"/>
      <c r="JJW77" s="685"/>
      <c r="JJX77" s="685"/>
      <c r="JJY77" s="685"/>
      <c r="JJZ77" s="685"/>
      <c r="JKA77" s="685"/>
      <c r="JKB77" s="685"/>
      <c r="JKC77" s="685"/>
      <c r="JKD77" s="685"/>
      <c r="JKE77" s="685"/>
      <c r="JKF77" s="685"/>
      <c r="JKG77" s="685"/>
      <c r="JKH77" s="685"/>
      <c r="JKI77" s="685"/>
      <c r="JKJ77" s="685"/>
      <c r="JKK77" s="685"/>
      <c r="JKL77" s="685"/>
      <c r="JKM77" s="685"/>
      <c r="JKN77" s="685"/>
      <c r="JKO77" s="685"/>
      <c r="JKP77" s="685"/>
      <c r="JKQ77" s="685"/>
      <c r="JKR77" s="685"/>
      <c r="JKS77" s="685"/>
      <c r="JKT77" s="685"/>
      <c r="JKU77" s="685"/>
      <c r="JKV77" s="685"/>
      <c r="JKW77" s="685"/>
      <c r="JKX77" s="685"/>
      <c r="JKY77" s="685"/>
      <c r="JKZ77" s="685"/>
      <c r="JLA77" s="685"/>
      <c r="JLB77" s="685"/>
      <c r="JLC77" s="685"/>
      <c r="JLD77" s="685"/>
      <c r="JLE77" s="685"/>
      <c r="JLF77" s="685"/>
      <c r="JLG77" s="685"/>
      <c r="JLH77" s="685"/>
      <c r="JLI77" s="685"/>
      <c r="JLJ77" s="685"/>
      <c r="JLK77" s="685"/>
      <c r="JLL77" s="685"/>
      <c r="JLM77" s="685"/>
      <c r="JLN77" s="685"/>
      <c r="JLO77" s="685"/>
      <c r="JLP77" s="685"/>
      <c r="JLQ77" s="685"/>
      <c r="JLR77" s="685"/>
      <c r="JLS77" s="685"/>
      <c r="JLT77" s="685"/>
      <c r="JLU77" s="685"/>
      <c r="JLV77" s="685"/>
      <c r="JLW77" s="685"/>
      <c r="JLX77" s="685"/>
      <c r="JLY77" s="685"/>
      <c r="JLZ77" s="685"/>
      <c r="JMA77" s="685"/>
      <c r="JMB77" s="685"/>
      <c r="JMC77" s="685"/>
      <c r="JMD77" s="685"/>
      <c r="JME77" s="685"/>
      <c r="JMF77" s="685"/>
      <c r="JMG77" s="685"/>
      <c r="JMH77" s="685"/>
      <c r="JMI77" s="685"/>
      <c r="JMJ77" s="685"/>
      <c r="JMK77" s="685"/>
      <c r="JML77" s="685"/>
      <c r="JMM77" s="685"/>
      <c r="JMN77" s="685"/>
      <c r="JMO77" s="685"/>
      <c r="JMP77" s="685"/>
      <c r="JMQ77" s="685"/>
      <c r="JMR77" s="685"/>
      <c r="JMS77" s="685"/>
      <c r="JMT77" s="685"/>
      <c r="JMU77" s="685"/>
      <c r="JMV77" s="685"/>
      <c r="JMW77" s="685"/>
      <c r="JMX77" s="685"/>
      <c r="JMY77" s="685"/>
      <c r="JMZ77" s="685"/>
      <c r="JNA77" s="685"/>
      <c r="JNB77" s="685"/>
      <c r="JNC77" s="685"/>
      <c r="JND77" s="685"/>
      <c r="JNE77" s="685"/>
      <c r="JNF77" s="685"/>
      <c r="JNG77" s="685"/>
      <c r="JNH77" s="685"/>
      <c r="JNI77" s="685"/>
      <c r="JNJ77" s="685"/>
      <c r="JNK77" s="685"/>
      <c r="JNL77" s="685"/>
      <c r="JNM77" s="685"/>
      <c r="JNN77" s="685"/>
      <c r="JNO77" s="685"/>
      <c r="JNP77" s="685"/>
      <c r="JNQ77" s="685"/>
      <c r="JNR77" s="685"/>
      <c r="JNS77" s="685"/>
      <c r="JNT77" s="685"/>
      <c r="JNU77" s="685"/>
      <c r="JNV77" s="685"/>
      <c r="JNW77" s="685"/>
      <c r="JNX77" s="685"/>
      <c r="JNY77" s="685"/>
      <c r="JNZ77" s="685"/>
      <c r="JOA77" s="685"/>
      <c r="JOB77" s="685"/>
      <c r="JOC77" s="685"/>
      <c r="JOD77" s="685"/>
      <c r="JOE77" s="685"/>
      <c r="JOF77" s="685"/>
      <c r="JOG77" s="685"/>
      <c r="JOH77" s="685"/>
      <c r="JOI77" s="685"/>
      <c r="JOJ77" s="685"/>
      <c r="JOK77" s="685"/>
      <c r="JOL77" s="685"/>
      <c r="JOM77" s="685"/>
      <c r="JON77" s="685"/>
      <c r="JOO77" s="685"/>
      <c r="JOP77" s="685"/>
      <c r="JOQ77" s="685"/>
      <c r="JOR77" s="685"/>
      <c r="JOS77" s="685"/>
      <c r="JOT77" s="685"/>
      <c r="JOU77" s="685"/>
      <c r="JOV77" s="685"/>
      <c r="JOW77" s="685"/>
      <c r="JOX77" s="685"/>
      <c r="JOY77" s="685"/>
      <c r="JOZ77" s="685"/>
      <c r="JPA77" s="685"/>
      <c r="JPB77" s="685"/>
      <c r="JPC77" s="685"/>
      <c r="JPD77" s="685"/>
      <c r="JPE77" s="685"/>
      <c r="JPF77" s="685"/>
      <c r="JPG77" s="685"/>
      <c r="JPH77" s="685"/>
      <c r="JPI77" s="685"/>
      <c r="JPJ77" s="685"/>
      <c r="JPK77" s="685"/>
      <c r="JPL77" s="685"/>
      <c r="JPM77" s="685"/>
      <c r="JPN77" s="685"/>
      <c r="JPO77" s="685"/>
      <c r="JPP77" s="685"/>
      <c r="JPQ77" s="685"/>
      <c r="JPR77" s="685"/>
      <c r="JPS77" s="685"/>
      <c r="JPT77" s="685"/>
      <c r="JPU77" s="685"/>
      <c r="JPV77" s="685"/>
      <c r="JPW77" s="685"/>
      <c r="JPX77" s="685"/>
      <c r="JPY77" s="685"/>
      <c r="JPZ77" s="685"/>
      <c r="JQA77" s="685"/>
      <c r="JQB77" s="685"/>
      <c r="JQC77" s="685"/>
      <c r="JQD77" s="685"/>
      <c r="JQE77" s="685"/>
      <c r="JQF77" s="685"/>
      <c r="JQG77" s="685"/>
      <c r="JQH77" s="685"/>
      <c r="JQI77" s="685"/>
      <c r="JQJ77" s="685"/>
      <c r="JQK77" s="685"/>
      <c r="JQL77" s="685"/>
      <c r="JQM77" s="685"/>
      <c r="JQN77" s="685"/>
      <c r="JQO77" s="685"/>
      <c r="JQP77" s="685"/>
      <c r="JQQ77" s="685"/>
      <c r="JQR77" s="685"/>
      <c r="JQS77" s="685"/>
      <c r="JQT77" s="685"/>
      <c r="JQU77" s="685"/>
      <c r="JQV77" s="685"/>
      <c r="JQW77" s="685"/>
      <c r="JQX77" s="685"/>
      <c r="JQY77" s="685"/>
      <c r="JQZ77" s="685"/>
      <c r="JRA77" s="685"/>
      <c r="JRB77" s="685"/>
      <c r="JRC77" s="685"/>
      <c r="JRD77" s="685"/>
      <c r="JRE77" s="685"/>
      <c r="JRF77" s="685"/>
      <c r="JRG77" s="685"/>
      <c r="JRH77" s="685"/>
      <c r="JRI77" s="685"/>
      <c r="JRJ77" s="685"/>
      <c r="JRK77" s="685"/>
      <c r="JRL77" s="685"/>
      <c r="JRM77" s="685"/>
      <c r="JRN77" s="685"/>
      <c r="JRO77" s="685"/>
      <c r="JRP77" s="685"/>
      <c r="JRQ77" s="685"/>
      <c r="JRR77" s="685"/>
      <c r="JRS77" s="685"/>
      <c r="JRT77" s="685"/>
      <c r="JRU77" s="685"/>
      <c r="JRV77" s="685"/>
      <c r="JRW77" s="685"/>
      <c r="JRX77" s="685"/>
      <c r="JRY77" s="685"/>
      <c r="JRZ77" s="685"/>
      <c r="JSA77" s="685"/>
      <c r="JSB77" s="685"/>
      <c r="JSC77" s="685"/>
      <c r="JSD77" s="685"/>
      <c r="JSE77" s="685"/>
      <c r="JSF77" s="685"/>
      <c r="JSG77" s="685"/>
      <c r="JSH77" s="685"/>
      <c r="JSI77" s="685"/>
      <c r="JSJ77" s="685"/>
      <c r="JSK77" s="685"/>
      <c r="JSL77" s="685"/>
      <c r="JSM77" s="685"/>
      <c r="JSN77" s="685"/>
      <c r="JSO77" s="685"/>
      <c r="JSP77" s="685"/>
      <c r="JSQ77" s="685"/>
      <c r="JSR77" s="685"/>
      <c r="JSS77" s="685"/>
      <c r="JST77" s="685"/>
      <c r="JSU77" s="685"/>
      <c r="JSV77" s="685"/>
      <c r="JSW77" s="685"/>
      <c r="JSX77" s="685"/>
      <c r="JSY77" s="685"/>
      <c r="JSZ77" s="685"/>
      <c r="JTA77" s="685"/>
      <c r="JTB77" s="685"/>
      <c r="JTC77" s="685"/>
      <c r="JTD77" s="685"/>
      <c r="JTE77" s="685"/>
      <c r="JTF77" s="685"/>
      <c r="JTG77" s="685"/>
      <c r="JTH77" s="685"/>
      <c r="JTI77" s="685"/>
      <c r="JTJ77" s="685"/>
      <c r="JTK77" s="685"/>
      <c r="JTL77" s="685"/>
      <c r="JTM77" s="685"/>
      <c r="JTN77" s="685"/>
      <c r="JTO77" s="685"/>
      <c r="JTP77" s="685"/>
      <c r="JTQ77" s="685"/>
      <c r="JTR77" s="685"/>
      <c r="JTS77" s="685"/>
      <c r="JTT77" s="685"/>
      <c r="JTU77" s="685"/>
      <c r="JTV77" s="685"/>
      <c r="JTW77" s="685"/>
      <c r="JTX77" s="685"/>
      <c r="JTY77" s="685"/>
      <c r="JTZ77" s="685"/>
      <c r="JUA77" s="685"/>
      <c r="JUB77" s="685"/>
      <c r="JUC77" s="685"/>
      <c r="JUD77" s="685"/>
      <c r="JUE77" s="685"/>
      <c r="JUF77" s="685"/>
      <c r="JUG77" s="685"/>
      <c r="JUH77" s="685"/>
      <c r="JUI77" s="685"/>
      <c r="JUJ77" s="685"/>
      <c r="JUK77" s="685"/>
      <c r="JUL77" s="685"/>
      <c r="JUM77" s="685"/>
      <c r="JUN77" s="685"/>
      <c r="JUO77" s="685"/>
      <c r="JUP77" s="685"/>
      <c r="JUQ77" s="685"/>
      <c r="JUR77" s="685"/>
      <c r="JUS77" s="685"/>
      <c r="JUT77" s="685"/>
      <c r="JUU77" s="685"/>
      <c r="JUV77" s="685"/>
      <c r="JUW77" s="685"/>
      <c r="JUX77" s="685"/>
      <c r="JUY77" s="685"/>
      <c r="JUZ77" s="685"/>
      <c r="JVA77" s="685"/>
      <c r="JVB77" s="685"/>
      <c r="JVC77" s="685"/>
      <c r="JVD77" s="685"/>
      <c r="JVE77" s="685"/>
      <c r="JVF77" s="685"/>
      <c r="JVG77" s="685"/>
      <c r="JVH77" s="685"/>
      <c r="JVI77" s="685"/>
      <c r="JVJ77" s="685"/>
      <c r="JVK77" s="685"/>
      <c r="JVL77" s="685"/>
      <c r="JVM77" s="685"/>
      <c r="JVN77" s="685"/>
      <c r="JVO77" s="685"/>
      <c r="JVP77" s="685"/>
      <c r="JVQ77" s="685"/>
      <c r="JVR77" s="685"/>
      <c r="JVS77" s="685"/>
      <c r="JVT77" s="685"/>
      <c r="JVU77" s="685"/>
      <c r="JVV77" s="685"/>
      <c r="JVW77" s="685"/>
      <c r="JVX77" s="685"/>
      <c r="JVY77" s="685"/>
      <c r="JVZ77" s="685"/>
      <c r="JWA77" s="685"/>
      <c r="JWB77" s="685"/>
      <c r="JWC77" s="685"/>
      <c r="JWD77" s="685"/>
      <c r="JWE77" s="685"/>
      <c r="JWF77" s="685"/>
      <c r="JWG77" s="685"/>
      <c r="JWH77" s="685"/>
      <c r="JWI77" s="685"/>
      <c r="JWJ77" s="685"/>
      <c r="JWK77" s="685"/>
      <c r="JWL77" s="685"/>
      <c r="JWM77" s="685"/>
      <c r="JWN77" s="685"/>
      <c r="JWO77" s="685"/>
      <c r="JWP77" s="685"/>
      <c r="JWQ77" s="685"/>
      <c r="JWR77" s="685"/>
      <c r="JWS77" s="685"/>
      <c r="JWT77" s="685"/>
      <c r="JWU77" s="685"/>
      <c r="JWV77" s="685"/>
      <c r="JWW77" s="685"/>
      <c r="JWX77" s="685"/>
      <c r="JWY77" s="685"/>
      <c r="JWZ77" s="685"/>
      <c r="JXA77" s="685"/>
      <c r="JXB77" s="685"/>
      <c r="JXC77" s="685"/>
      <c r="JXD77" s="685"/>
      <c r="JXE77" s="685"/>
      <c r="JXF77" s="685"/>
      <c r="JXG77" s="685"/>
      <c r="JXH77" s="685"/>
      <c r="JXI77" s="685"/>
      <c r="JXJ77" s="685"/>
      <c r="JXK77" s="685"/>
      <c r="JXL77" s="685"/>
      <c r="JXM77" s="685"/>
      <c r="JXN77" s="685"/>
      <c r="JXO77" s="685"/>
      <c r="JXP77" s="685"/>
      <c r="JXQ77" s="685"/>
      <c r="JXR77" s="685"/>
      <c r="JXS77" s="685"/>
      <c r="JXT77" s="685"/>
      <c r="JXU77" s="685"/>
      <c r="JXV77" s="685"/>
      <c r="JXW77" s="685"/>
      <c r="JXX77" s="685"/>
      <c r="JXY77" s="685"/>
      <c r="JXZ77" s="685"/>
      <c r="JYA77" s="685"/>
      <c r="JYB77" s="685"/>
      <c r="JYC77" s="685"/>
      <c r="JYD77" s="685"/>
      <c r="JYE77" s="685"/>
      <c r="JYF77" s="685"/>
      <c r="JYG77" s="685"/>
      <c r="JYH77" s="685"/>
      <c r="JYI77" s="685"/>
      <c r="JYJ77" s="685"/>
      <c r="JYK77" s="685"/>
      <c r="JYL77" s="685"/>
      <c r="JYM77" s="685"/>
      <c r="JYN77" s="685"/>
      <c r="JYO77" s="685"/>
      <c r="JYP77" s="685"/>
      <c r="JYQ77" s="685"/>
      <c r="JYR77" s="685"/>
      <c r="JYS77" s="685"/>
      <c r="JYT77" s="685"/>
      <c r="JYU77" s="685"/>
      <c r="JYV77" s="685"/>
      <c r="JYW77" s="685"/>
      <c r="JYX77" s="685"/>
      <c r="JYY77" s="685"/>
      <c r="JYZ77" s="685"/>
      <c r="JZA77" s="685"/>
      <c r="JZB77" s="685"/>
      <c r="JZC77" s="685"/>
      <c r="JZD77" s="685"/>
      <c r="JZE77" s="685"/>
      <c r="JZF77" s="685"/>
      <c r="JZG77" s="685"/>
      <c r="JZH77" s="685"/>
      <c r="JZI77" s="685"/>
      <c r="JZJ77" s="685"/>
      <c r="JZK77" s="685"/>
      <c r="JZL77" s="685"/>
      <c r="JZM77" s="685"/>
      <c r="JZN77" s="685"/>
      <c r="JZO77" s="685"/>
      <c r="JZP77" s="685"/>
      <c r="JZQ77" s="685"/>
      <c r="JZR77" s="685"/>
      <c r="JZS77" s="685"/>
      <c r="JZT77" s="685"/>
      <c r="JZU77" s="685"/>
      <c r="JZV77" s="685"/>
      <c r="JZW77" s="685"/>
      <c r="JZX77" s="685"/>
      <c r="JZY77" s="685"/>
      <c r="JZZ77" s="685"/>
      <c r="KAA77" s="685"/>
      <c r="KAB77" s="685"/>
      <c r="KAC77" s="685"/>
      <c r="KAD77" s="685"/>
      <c r="KAE77" s="685"/>
      <c r="KAF77" s="685"/>
      <c r="KAG77" s="685"/>
      <c r="KAH77" s="685"/>
      <c r="KAI77" s="685"/>
      <c r="KAJ77" s="685"/>
      <c r="KAK77" s="685"/>
      <c r="KAL77" s="685"/>
      <c r="KAM77" s="685"/>
      <c r="KAN77" s="685"/>
      <c r="KAO77" s="685"/>
      <c r="KAP77" s="685"/>
      <c r="KAQ77" s="685"/>
      <c r="KAR77" s="685"/>
      <c r="KAS77" s="685"/>
      <c r="KAT77" s="685"/>
      <c r="KAU77" s="685"/>
      <c r="KAV77" s="685"/>
      <c r="KAW77" s="685"/>
      <c r="KAX77" s="685"/>
      <c r="KAY77" s="685"/>
      <c r="KAZ77" s="685"/>
      <c r="KBA77" s="685"/>
      <c r="KBB77" s="685"/>
      <c r="KBC77" s="685"/>
      <c r="KBD77" s="685"/>
      <c r="KBE77" s="685"/>
      <c r="KBF77" s="685"/>
      <c r="KBG77" s="685"/>
      <c r="KBH77" s="685"/>
      <c r="KBI77" s="685"/>
      <c r="KBJ77" s="685"/>
      <c r="KBK77" s="685"/>
      <c r="KBL77" s="685"/>
      <c r="KBM77" s="685"/>
      <c r="KBN77" s="685"/>
      <c r="KBO77" s="685"/>
      <c r="KBP77" s="685"/>
      <c r="KBQ77" s="685"/>
      <c r="KBR77" s="685"/>
      <c r="KBS77" s="685"/>
      <c r="KBT77" s="685"/>
      <c r="KBU77" s="685"/>
      <c r="KBV77" s="685"/>
      <c r="KBW77" s="685"/>
      <c r="KBX77" s="685"/>
      <c r="KBY77" s="685"/>
      <c r="KBZ77" s="685"/>
      <c r="KCA77" s="685"/>
      <c r="KCB77" s="685"/>
      <c r="KCC77" s="685"/>
      <c r="KCD77" s="685"/>
      <c r="KCE77" s="685"/>
      <c r="KCF77" s="685"/>
      <c r="KCG77" s="685"/>
      <c r="KCH77" s="685"/>
      <c r="KCI77" s="685"/>
      <c r="KCJ77" s="685"/>
      <c r="KCK77" s="685"/>
      <c r="KCL77" s="685"/>
      <c r="KCM77" s="685"/>
      <c r="KCN77" s="685"/>
      <c r="KCO77" s="685"/>
      <c r="KCP77" s="685"/>
      <c r="KCQ77" s="685"/>
      <c r="KCR77" s="685"/>
      <c r="KCS77" s="685"/>
      <c r="KCT77" s="685"/>
      <c r="KCU77" s="685"/>
      <c r="KCV77" s="685"/>
      <c r="KCW77" s="685"/>
      <c r="KCX77" s="685"/>
      <c r="KCY77" s="685"/>
      <c r="KCZ77" s="685"/>
      <c r="KDA77" s="685"/>
      <c r="KDB77" s="685"/>
      <c r="KDC77" s="685"/>
      <c r="KDD77" s="685"/>
      <c r="KDE77" s="685"/>
      <c r="KDF77" s="685"/>
      <c r="KDG77" s="685"/>
      <c r="KDH77" s="685"/>
      <c r="KDI77" s="685"/>
      <c r="KDJ77" s="685"/>
      <c r="KDK77" s="685"/>
      <c r="KDL77" s="685"/>
      <c r="KDM77" s="685"/>
      <c r="KDN77" s="685"/>
      <c r="KDO77" s="685"/>
      <c r="KDP77" s="685"/>
      <c r="KDQ77" s="685"/>
      <c r="KDR77" s="685"/>
      <c r="KDS77" s="685"/>
      <c r="KDT77" s="685"/>
      <c r="KDU77" s="685"/>
      <c r="KDV77" s="685"/>
      <c r="KDW77" s="685"/>
      <c r="KDX77" s="685"/>
      <c r="KDY77" s="685"/>
      <c r="KDZ77" s="685"/>
      <c r="KEA77" s="685"/>
      <c r="KEB77" s="685"/>
      <c r="KEC77" s="685"/>
      <c r="KED77" s="685"/>
      <c r="KEE77" s="685"/>
      <c r="KEF77" s="685"/>
      <c r="KEG77" s="685"/>
      <c r="KEH77" s="685"/>
      <c r="KEI77" s="685"/>
      <c r="KEJ77" s="685"/>
      <c r="KEK77" s="685"/>
      <c r="KEL77" s="685"/>
      <c r="KEM77" s="685"/>
      <c r="KEN77" s="685"/>
      <c r="KEO77" s="685"/>
      <c r="KEP77" s="685"/>
      <c r="KEQ77" s="685"/>
      <c r="KER77" s="685"/>
      <c r="KES77" s="685"/>
      <c r="KET77" s="685"/>
      <c r="KEU77" s="685"/>
      <c r="KEV77" s="685"/>
      <c r="KEW77" s="685"/>
      <c r="KEX77" s="685"/>
      <c r="KEY77" s="685"/>
      <c r="KEZ77" s="685"/>
      <c r="KFA77" s="685"/>
      <c r="KFB77" s="685"/>
      <c r="KFC77" s="685"/>
      <c r="KFD77" s="685"/>
      <c r="KFE77" s="685"/>
      <c r="KFF77" s="685"/>
      <c r="KFG77" s="685"/>
      <c r="KFH77" s="685"/>
      <c r="KFI77" s="685"/>
      <c r="KFJ77" s="685"/>
      <c r="KFK77" s="685"/>
      <c r="KFL77" s="685"/>
      <c r="KFM77" s="685"/>
      <c r="KFN77" s="685"/>
      <c r="KFO77" s="685"/>
      <c r="KFP77" s="685"/>
      <c r="KFQ77" s="685"/>
      <c r="KFR77" s="685"/>
      <c r="KFS77" s="685"/>
      <c r="KFT77" s="685"/>
      <c r="KFU77" s="685"/>
      <c r="KFV77" s="685"/>
      <c r="KFW77" s="685"/>
      <c r="KFX77" s="685"/>
      <c r="KFY77" s="685"/>
      <c r="KFZ77" s="685"/>
      <c r="KGA77" s="685"/>
      <c r="KGB77" s="685"/>
      <c r="KGC77" s="685"/>
      <c r="KGD77" s="685"/>
      <c r="KGE77" s="685"/>
      <c r="KGF77" s="685"/>
      <c r="KGG77" s="685"/>
      <c r="KGH77" s="685"/>
      <c r="KGI77" s="685"/>
      <c r="KGJ77" s="685"/>
      <c r="KGK77" s="685"/>
      <c r="KGL77" s="685"/>
      <c r="KGM77" s="685"/>
      <c r="KGN77" s="685"/>
      <c r="KGO77" s="685"/>
      <c r="KGP77" s="685"/>
      <c r="KGQ77" s="685"/>
      <c r="KGR77" s="685"/>
      <c r="KGS77" s="685"/>
      <c r="KGT77" s="685"/>
      <c r="KGU77" s="685"/>
      <c r="KGV77" s="685"/>
      <c r="KGW77" s="685"/>
      <c r="KGX77" s="685"/>
      <c r="KGY77" s="685"/>
      <c r="KGZ77" s="685"/>
      <c r="KHA77" s="685"/>
      <c r="KHB77" s="685"/>
      <c r="KHC77" s="685"/>
      <c r="KHD77" s="685"/>
      <c r="KHE77" s="685"/>
      <c r="KHF77" s="685"/>
      <c r="KHG77" s="685"/>
      <c r="KHH77" s="685"/>
      <c r="KHI77" s="685"/>
      <c r="KHJ77" s="685"/>
      <c r="KHK77" s="685"/>
      <c r="KHL77" s="685"/>
      <c r="KHM77" s="685"/>
      <c r="KHN77" s="685"/>
      <c r="KHO77" s="685"/>
      <c r="KHP77" s="685"/>
      <c r="KHQ77" s="685"/>
      <c r="KHR77" s="685"/>
      <c r="KHS77" s="685"/>
      <c r="KHT77" s="685"/>
      <c r="KHU77" s="685"/>
      <c r="KHV77" s="685"/>
      <c r="KHW77" s="685"/>
      <c r="KHX77" s="685"/>
      <c r="KHY77" s="685"/>
      <c r="KHZ77" s="685"/>
      <c r="KIA77" s="685"/>
      <c r="KIB77" s="685"/>
      <c r="KIC77" s="685"/>
      <c r="KID77" s="685"/>
      <c r="KIE77" s="685"/>
      <c r="KIF77" s="685"/>
      <c r="KIG77" s="685"/>
      <c r="KIH77" s="685"/>
      <c r="KII77" s="685"/>
      <c r="KIJ77" s="685"/>
      <c r="KIK77" s="685"/>
      <c r="KIL77" s="685"/>
      <c r="KIM77" s="685"/>
      <c r="KIN77" s="685"/>
      <c r="KIO77" s="685"/>
      <c r="KIP77" s="685"/>
      <c r="KIQ77" s="685"/>
      <c r="KIR77" s="685"/>
      <c r="KIS77" s="685"/>
      <c r="KIT77" s="685"/>
      <c r="KIU77" s="685"/>
      <c r="KIV77" s="685"/>
      <c r="KIW77" s="685"/>
      <c r="KIX77" s="685"/>
      <c r="KIY77" s="685"/>
      <c r="KIZ77" s="685"/>
      <c r="KJA77" s="685"/>
      <c r="KJB77" s="685"/>
      <c r="KJC77" s="685"/>
      <c r="KJD77" s="685"/>
      <c r="KJE77" s="685"/>
      <c r="KJF77" s="685"/>
      <c r="KJG77" s="685"/>
      <c r="KJH77" s="685"/>
      <c r="KJI77" s="685"/>
      <c r="KJJ77" s="685"/>
      <c r="KJK77" s="685"/>
      <c r="KJL77" s="685"/>
      <c r="KJM77" s="685"/>
      <c r="KJN77" s="685"/>
      <c r="KJO77" s="685"/>
      <c r="KJP77" s="685"/>
      <c r="KJQ77" s="685"/>
      <c r="KJR77" s="685"/>
      <c r="KJS77" s="685"/>
      <c r="KJT77" s="685"/>
      <c r="KJU77" s="685"/>
      <c r="KJV77" s="685"/>
      <c r="KJW77" s="685"/>
      <c r="KJX77" s="685"/>
      <c r="KJY77" s="685"/>
      <c r="KJZ77" s="685"/>
      <c r="KKA77" s="685"/>
      <c r="KKB77" s="685"/>
      <c r="KKC77" s="685"/>
      <c r="KKD77" s="685"/>
      <c r="KKE77" s="685"/>
      <c r="KKF77" s="685"/>
      <c r="KKG77" s="685"/>
      <c r="KKH77" s="685"/>
      <c r="KKI77" s="685"/>
      <c r="KKJ77" s="685"/>
      <c r="KKK77" s="685"/>
      <c r="KKL77" s="685"/>
      <c r="KKM77" s="685"/>
      <c r="KKN77" s="685"/>
      <c r="KKO77" s="685"/>
      <c r="KKP77" s="685"/>
      <c r="KKQ77" s="685"/>
      <c r="KKR77" s="685"/>
      <c r="KKS77" s="685"/>
      <c r="KKT77" s="685"/>
      <c r="KKU77" s="685"/>
      <c r="KKV77" s="685"/>
      <c r="KKW77" s="685"/>
      <c r="KKX77" s="685"/>
      <c r="KKY77" s="685"/>
      <c r="KKZ77" s="685"/>
      <c r="KLA77" s="685"/>
      <c r="KLB77" s="685"/>
      <c r="KLC77" s="685"/>
      <c r="KLD77" s="685"/>
      <c r="KLE77" s="685"/>
      <c r="KLF77" s="685"/>
      <c r="KLG77" s="685"/>
      <c r="KLH77" s="685"/>
      <c r="KLI77" s="685"/>
      <c r="KLJ77" s="685"/>
      <c r="KLK77" s="685"/>
      <c r="KLL77" s="685"/>
      <c r="KLM77" s="685"/>
      <c r="KLN77" s="685"/>
      <c r="KLO77" s="685"/>
      <c r="KLP77" s="685"/>
      <c r="KLQ77" s="685"/>
      <c r="KLR77" s="685"/>
      <c r="KLS77" s="685"/>
      <c r="KLT77" s="685"/>
      <c r="KLU77" s="685"/>
      <c r="KLV77" s="685"/>
      <c r="KLW77" s="685"/>
      <c r="KLX77" s="685"/>
      <c r="KLY77" s="685"/>
      <c r="KLZ77" s="685"/>
      <c r="KMA77" s="685"/>
      <c r="KMB77" s="685"/>
      <c r="KMC77" s="685"/>
      <c r="KMD77" s="685"/>
      <c r="KME77" s="685"/>
      <c r="KMF77" s="685"/>
      <c r="KMG77" s="685"/>
      <c r="KMH77" s="685"/>
      <c r="KMI77" s="685"/>
      <c r="KMJ77" s="685"/>
      <c r="KMK77" s="685"/>
      <c r="KML77" s="685"/>
      <c r="KMM77" s="685"/>
      <c r="KMN77" s="685"/>
      <c r="KMO77" s="685"/>
      <c r="KMP77" s="685"/>
      <c r="KMQ77" s="685"/>
      <c r="KMR77" s="685"/>
      <c r="KMS77" s="685"/>
      <c r="KMT77" s="685"/>
      <c r="KMU77" s="685"/>
      <c r="KMV77" s="685"/>
      <c r="KMW77" s="685"/>
      <c r="KMX77" s="685"/>
      <c r="KMY77" s="685"/>
      <c r="KMZ77" s="685"/>
      <c r="KNA77" s="685"/>
      <c r="KNB77" s="685"/>
      <c r="KNC77" s="685"/>
      <c r="KND77" s="685"/>
      <c r="KNE77" s="685"/>
      <c r="KNF77" s="685"/>
      <c r="KNG77" s="685"/>
      <c r="KNH77" s="685"/>
      <c r="KNI77" s="685"/>
      <c r="KNJ77" s="685"/>
      <c r="KNK77" s="685"/>
      <c r="KNL77" s="685"/>
      <c r="KNM77" s="685"/>
      <c r="KNN77" s="685"/>
      <c r="KNO77" s="685"/>
      <c r="KNP77" s="685"/>
      <c r="KNQ77" s="685"/>
      <c r="KNR77" s="685"/>
      <c r="KNS77" s="685"/>
      <c r="KNT77" s="685"/>
      <c r="KNU77" s="685"/>
      <c r="KNV77" s="685"/>
      <c r="KNW77" s="685"/>
      <c r="KNX77" s="685"/>
      <c r="KNY77" s="685"/>
      <c r="KNZ77" s="685"/>
      <c r="KOA77" s="685"/>
      <c r="KOB77" s="685"/>
      <c r="KOC77" s="685"/>
      <c r="KOD77" s="685"/>
      <c r="KOE77" s="685"/>
      <c r="KOF77" s="685"/>
      <c r="KOG77" s="685"/>
      <c r="KOH77" s="685"/>
      <c r="KOI77" s="685"/>
      <c r="KOJ77" s="685"/>
      <c r="KOK77" s="685"/>
      <c r="KOL77" s="685"/>
      <c r="KOM77" s="685"/>
      <c r="KON77" s="685"/>
      <c r="KOO77" s="685"/>
      <c r="KOP77" s="685"/>
      <c r="KOQ77" s="685"/>
      <c r="KOR77" s="685"/>
      <c r="KOS77" s="685"/>
      <c r="KOT77" s="685"/>
      <c r="KOU77" s="685"/>
      <c r="KOV77" s="685"/>
      <c r="KOW77" s="685"/>
      <c r="KOX77" s="685"/>
      <c r="KOY77" s="685"/>
      <c r="KOZ77" s="685"/>
      <c r="KPA77" s="685"/>
      <c r="KPB77" s="685"/>
      <c r="KPC77" s="685"/>
      <c r="KPD77" s="685"/>
      <c r="KPE77" s="685"/>
      <c r="KPF77" s="685"/>
      <c r="KPG77" s="685"/>
      <c r="KPH77" s="685"/>
      <c r="KPI77" s="685"/>
      <c r="KPJ77" s="685"/>
      <c r="KPK77" s="685"/>
      <c r="KPL77" s="685"/>
      <c r="KPM77" s="685"/>
      <c r="KPN77" s="685"/>
      <c r="KPO77" s="685"/>
      <c r="KPP77" s="685"/>
      <c r="KPQ77" s="685"/>
      <c r="KPR77" s="685"/>
      <c r="KPS77" s="685"/>
      <c r="KPT77" s="685"/>
      <c r="KPU77" s="685"/>
      <c r="KPV77" s="685"/>
      <c r="KPW77" s="685"/>
      <c r="KPX77" s="685"/>
      <c r="KPY77" s="685"/>
      <c r="KPZ77" s="685"/>
      <c r="KQA77" s="685"/>
      <c r="KQB77" s="685"/>
      <c r="KQC77" s="685"/>
      <c r="KQD77" s="685"/>
      <c r="KQE77" s="685"/>
      <c r="KQF77" s="685"/>
      <c r="KQG77" s="685"/>
      <c r="KQH77" s="685"/>
      <c r="KQI77" s="685"/>
      <c r="KQJ77" s="685"/>
      <c r="KQK77" s="685"/>
      <c r="KQL77" s="685"/>
      <c r="KQM77" s="685"/>
      <c r="KQN77" s="685"/>
      <c r="KQO77" s="685"/>
      <c r="KQP77" s="685"/>
      <c r="KQQ77" s="685"/>
      <c r="KQR77" s="685"/>
      <c r="KQS77" s="685"/>
      <c r="KQT77" s="685"/>
      <c r="KQU77" s="685"/>
      <c r="KQV77" s="685"/>
      <c r="KQW77" s="685"/>
      <c r="KQX77" s="685"/>
      <c r="KQY77" s="685"/>
      <c r="KQZ77" s="685"/>
      <c r="KRA77" s="685"/>
      <c r="KRB77" s="685"/>
      <c r="KRC77" s="685"/>
      <c r="KRD77" s="685"/>
      <c r="KRE77" s="685"/>
      <c r="KRF77" s="685"/>
      <c r="KRG77" s="685"/>
      <c r="KRH77" s="685"/>
      <c r="KRI77" s="685"/>
      <c r="KRJ77" s="685"/>
      <c r="KRK77" s="685"/>
      <c r="KRL77" s="685"/>
      <c r="KRM77" s="685"/>
      <c r="KRN77" s="685"/>
      <c r="KRO77" s="685"/>
      <c r="KRP77" s="685"/>
      <c r="KRQ77" s="685"/>
      <c r="KRR77" s="685"/>
      <c r="KRS77" s="685"/>
      <c r="KRT77" s="685"/>
      <c r="KRU77" s="685"/>
      <c r="KRV77" s="685"/>
      <c r="KRW77" s="685"/>
      <c r="KRX77" s="685"/>
      <c r="KRY77" s="685"/>
      <c r="KRZ77" s="685"/>
      <c r="KSA77" s="685"/>
      <c r="KSB77" s="685"/>
      <c r="KSC77" s="685"/>
      <c r="KSD77" s="685"/>
      <c r="KSE77" s="685"/>
      <c r="KSF77" s="685"/>
      <c r="KSG77" s="685"/>
      <c r="KSH77" s="685"/>
      <c r="KSI77" s="685"/>
      <c r="KSJ77" s="685"/>
      <c r="KSK77" s="685"/>
      <c r="KSL77" s="685"/>
      <c r="KSM77" s="685"/>
      <c r="KSN77" s="685"/>
      <c r="KSO77" s="685"/>
      <c r="KSP77" s="685"/>
      <c r="KSQ77" s="685"/>
      <c r="KSR77" s="685"/>
      <c r="KSS77" s="685"/>
      <c r="KST77" s="685"/>
      <c r="KSU77" s="685"/>
      <c r="KSV77" s="685"/>
      <c r="KSW77" s="685"/>
      <c r="KSX77" s="685"/>
      <c r="KSY77" s="685"/>
      <c r="KSZ77" s="685"/>
      <c r="KTA77" s="685"/>
      <c r="KTB77" s="685"/>
      <c r="KTC77" s="685"/>
      <c r="KTD77" s="685"/>
      <c r="KTE77" s="685"/>
      <c r="KTF77" s="685"/>
      <c r="KTG77" s="685"/>
      <c r="KTH77" s="685"/>
      <c r="KTI77" s="685"/>
      <c r="KTJ77" s="685"/>
      <c r="KTK77" s="685"/>
      <c r="KTL77" s="685"/>
      <c r="KTM77" s="685"/>
      <c r="KTN77" s="685"/>
      <c r="KTO77" s="685"/>
      <c r="KTP77" s="685"/>
      <c r="KTQ77" s="685"/>
      <c r="KTR77" s="685"/>
      <c r="KTS77" s="685"/>
      <c r="KTT77" s="685"/>
      <c r="KTU77" s="685"/>
      <c r="KTV77" s="685"/>
      <c r="KTW77" s="685"/>
      <c r="KTX77" s="685"/>
      <c r="KTY77" s="685"/>
      <c r="KTZ77" s="685"/>
      <c r="KUA77" s="685"/>
      <c r="KUB77" s="685"/>
      <c r="KUC77" s="685"/>
      <c r="KUD77" s="685"/>
      <c r="KUE77" s="685"/>
      <c r="KUF77" s="685"/>
      <c r="KUG77" s="685"/>
      <c r="KUH77" s="685"/>
      <c r="KUI77" s="685"/>
      <c r="KUJ77" s="685"/>
      <c r="KUK77" s="685"/>
      <c r="KUL77" s="685"/>
      <c r="KUM77" s="685"/>
      <c r="KUN77" s="685"/>
      <c r="KUO77" s="685"/>
      <c r="KUP77" s="685"/>
      <c r="KUQ77" s="685"/>
      <c r="KUR77" s="685"/>
      <c r="KUS77" s="685"/>
      <c r="KUT77" s="685"/>
      <c r="KUU77" s="685"/>
      <c r="KUV77" s="685"/>
      <c r="KUW77" s="685"/>
      <c r="KUX77" s="685"/>
      <c r="KUY77" s="685"/>
      <c r="KUZ77" s="685"/>
      <c r="KVA77" s="685"/>
      <c r="KVB77" s="685"/>
      <c r="KVC77" s="685"/>
      <c r="KVD77" s="685"/>
      <c r="KVE77" s="685"/>
      <c r="KVF77" s="685"/>
      <c r="KVG77" s="685"/>
      <c r="KVH77" s="685"/>
      <c r="KVI77" s="685"/>
      <c r="KVJ77" s="685"/>
      <c r="KVK77" s="685"/>
      <c r="KVL77" s="685"/>
      <c r="KVM77" s="685"/>
      <c r="KVN77" s="685"/>
      <c r="KVO77" s="685"/>
      <c r="KVP77" s="685"/>
      <c r="KVQ77" s="685"/>
      <c r="KVR77" s="685"/>
      <c r="KVS77" s="685"/>
      <c r="KVT77" s="685"/>
      <c r="KVU77" s="685"/>
      <c r="KVV77" s="685"/>
      <c r="KVW77" s="685"/>
      <c r="KVX77" s="685"/>
      <c r="KVY77" s="685"/>
      <c r="KVZ77" s="685"/>
      <c r="KWA77" s="685"/>
      <c r="KWB77" s="685"/>
      <c r="KWC77" s="685"/>
      <c r="KWD77" s="685"/>
      <c r="KWE77" s="685"/>
      <c r="KWF77" s="685"/>
      <c r="KWG77" s="685"/>
      <c r="KWH77" s="685"/>
      <c r="KWI77" s="685"/>
      <c r="KWJ77" s="685"/>
      <c r="KWK77" s="685"/>
      <c r="KWL77" s="685"/>
      <c r="KWM77" s="685"/>
      <c r="KWN77" s="685"/>
      <c r="KWO77" s="685"/>
      <c r="KWP77" s="685"/>
      <c r="KWQ77" s="685"/>
      <c r="KWR77" s="685"/>
      <c r="KWS77" s="685"/>
      <c r="KWT77" s="685"/>
      <c r="KWU77" s="685"/>
      <c r="KWV77" s="685"/>
      <c r="KWW77" s="685"/>
      <c r="KWX77" s="685"/>
      <c r="KWY77" s="685"/>
      <c r="KWZ77" s="685"/>
      <c r="KXA77" s="685"/>
      <c r="KXB77" s="685"/>
      <c r="KXC77" s="685"/>
      <c r="KXD77" s="685"/>
      <c r="KXE77" s="685"/>
      <c r="KXF77" s="685"/>
      <c r="KXG77" s="685"/>
      <c r="KXH77" s="685"/>
      <c r="KXI77" s="685"/>
      <c r="KXJ77" s="685"/>
      <c r="KXK77" s="685"/>
      <c r="KXL77" s="685"/>
      <c r="KXM77" s="685"/>
      <c r="KXN77" s="685"/>
      <c r="KXO77" s="685"/>
      <c r="KXP77" s="685"/>
      <c r="KXQ77" s="685"/>
      <c r="KXR77" s="685"/>
      <c r="KXS77" s="685"/>
      <c r="KXT77" s="685"/>
      <c r="KXU77" s="685"/>
      <c r="KXV77" s="685"/>
      <c r="KXW77" s="685"/>
      <c r="KXX77" s="685"/>
      <c r="KXY77" s="685"/>
      <c r="KXZ77" s="685"/>
      <c r="KYA77" s="685"/>
      <c r="KYB77" s="685"/>
      <c r="KYC77" s="685"/>
      <c r="KYD77" s="685"/>
      <c r="KYE77" s="685"/>
      <c r="KYF77" s="685"/>
      <c r="KYG77" s="685"/>
      <c r="KYH77" s="685"/>
      <c r="KYI77" s="685"/>
      <c r="KYJ77" s="685"/>
      <c r="KYK77" s="685"/>
      <c r="KYL77" s="685"/>
      <c r="KYM77" s="685"/>
      <c r="KYN77" s="685"/>
      <c r="KYO77" s="685"/>
      <c r="KYP77" s="685"/>
      <c r="KYQ77" s="685"/>
      <c r="KYR77" s="685"/>
      <c r="KYS77" s="685"/>
      <c r="KYT77" s="685"/>
      <c r="KYU77" s="685"/>
      <c r="KYV77" s="685"/>
      <c r="KYW77" s="685"/>
      <c r="KYX77" s="685"/>
      <c r="KYY77" s="685"/>
      <c r="KYZ77" s="685"/>
      <c r="KZA77" s="685"/>
      <c r="KZB77" s="685"/>
      <c r="KZC77" s="685"/>
      <c r="KZD77" s="685"/>
      <c r="KZE77" s="685"/>
      <c r="KZF77" s="685"/>
      <c r="KZG77" s="685"/>
      <c r="KZH77" s="685"/>
      <c r="KZI77" s="685"/>
      <c r="KZJ77" s="685"/>
      <c r="KZK77" s="685"/>
      <c r="KZL77" s="685"/>
      <c r="KZM77" s="685"/>
      <c r="KZN77" s="685"/>
      <c r="KZO77" s="685"/>
      <c r="KZP77" s="685"/>
      <c r="KZQ77" s="685"/>
      <c r="KZR77" s="685"/>
      <c r="KZS77" s="685"/>
      <c r="KZT77" s="685"/>
      <c r="KZU77" s="685"/>
      <c r="KZV77" s="685"/>
      <c r="KZW77" s="685"/>
      <c r="KZX77" s="685"/>
      <c r="KZY77" s="685"/>
      <c r="KZZ77" s="685"/>
      <c r="LAA77" s="685"/>
      <c r="LAB77" s="685"/>
      <c r="LAC77" s="685"/>
      <c r="LAD77" s="685"/>
      <c r="LAE77" s="685"/>
      <c r="LAF77" s="685"/>
      <c r="LAG77" s="685"/>
      <c r="LAH77" s="685"/>
      <c r="LAI77" s="685"/>
      <c r="LAJ77" s="685"/>
      <c r="LAK77" s="685"/>
      <c r="LAL77" s="685"/>
      <c r="LAM77" s="685"/>
      <c r="LAN77" s="685"/>
      <c r="LAO77" s="685"/>
      <c r="LAP77" s="685"/>
      <c r="LAQ77" s="685"/>
      <c r="LAR77" s="685"/>
      <c r="LAS77" s="685"/>
      <c r="LAT77" s="685"/>
      <c r="LAU77" s="685"/>
      <c r="LAV77" s="685"/>
      <c r="LAW77" s="685"/>
      <c r="LAX77" s="685"/>
      <c r="LAY77" s="685"/>
      <c r="LAZ77" s="685"/>
      <c r="LBA77" s="685"/>
      <c r="LBB77" s="685"/>
      <c r="LBC77" s="685"/>
      <c r="LBD77" s="685"/>
      <c r="LBE77" s="685"/>
      <c r="LBF77" s="685"/>
      <c r="LBG77" s="685"/>
      <c r="LBH77" s="685"/>
      <c r="LBI77" s="685"/>
      <c r="LBJ77" s="685"/>
      <c r="LBK77" s="685"/>
      <c r="LBL77" s="685"/>
      <c r="LBM77" s="685"/>
      <c r="LBN77" s="685"/>
      <c r="LBO77" s="685"/>
      <c r="LBP77" s="685"/>
      <c r="LBQ77" s="685"/>
      <c r="LBR77" s="685"/>
      <c r="LBS77" s="685"/>
      <c r="LBT77" s="685"/>
      <c r="LBU77" s="685"/>
      <c r="LBV77" s="685"/>
      <c r="LBW77" s="685"/>
      <c r="LBX77" s="685"/>
      <c r="LBY77" s="685"/>
      <c r="LBZ77" s="685"/>
      <c r="LCA77" s="685"/>
      <c r="LCB77" s="685"/>
      <c r="LCC77" s="685"/>
      <c r="LCD77" s="685"/>
      <c r="LCE77" s="685"/>
      <c r="LCF77" s="685"/>
      <c r="LCG77" s="685"/>
      <c r="LCH77" s="685"/>
      <c r="LCI77" s="685"/>
      <c r="LCJ77" s="685"/>
      <c r="LCK77" s="685"/>
      <c r="LCL77" s="685"/>
      <c r="LCM77" s="685"/>
      <c r="LCN77" s="685"/>
      <c r="LCO77" s="685"/>
      <c r="LCP77" s="685"/>
      <c r="LCQ77" s="685"/>
      <c r="LCR77" s="685"/>
      <c r="LCS77" s="685"/>
      <c r="LCT77" s="685"/>
      <c r="LCU77" s="685"/>
      <c r="LCV77" s="685"/>
      <c r="LCW77" s="685"/>
      <c r="LCX77" s="685"/>
      <c r="LCY77" s="685"/>
      <c r="LCZ77" s="685"/>
      <c r="LDA77" s="685"/>
      <c r="LDB77" s="685"/>
      <c r="LDC77" s="685"/>
      <c r="LDD77" s="685"/>
      <c r="LDE77" s="685"/>
      <c r="LDF77" s="685"/>
      <c r="LDG77" s="685"/>
      <c r="LDH77" s="685"/>
      <c r="LDI77" s="685"/>
      <c r="LDJ77" s="685"/>
      <c r="LDK77" s="685"/>
      <c r="LDL77" s="685"/>
      <c r="LDM77" s="685"/>
      <c r="LDN77" s="685"/>
      <c r="LDO77" s="685"/>
      <c r="LDP77" s="685"/>
      <c r="LDQ77" s="685"/>
      <c r="LDR77" s="685"/>
      <c r="LDS77" s="685"/>
      <c r="LDT77" s="685"/>
      <c r="LDU77" s="685"/>
      <c r="LDV77" s="685"/>
      <c r="LDW77" s="685"/>
      <c r="LDX77" s="685"/>
      <c r="LDY77" s="685"/>
      <c r="LDZ77" s="685"/>
      <c r="LEA77" s="685"/>
      <c r="LEB77" s="685"/>
      <c r="LEC77" s="685"/>
      <c r="LED77" s="685"/>
      <c r="LEE77" s="685"/>
      <c r="LEF77" s="685"/>
      <c r="LEG77" s="685"/>
      <c r="LEH77" s="685"/>
      <c r="LEI77" s="685"/>
      <c r="LEJ77" s="685"/>
      <c r="LEK77" s="685"/>
      <c r="LEL77" s="685"/>
      <c r="LEM77" s="685"/>
      <c r="LEN77" s="685"/>
      <c r="LEO77" s="685"/>
      <c r="LEP77" s="685"/>
      <c r="LEQ77" s="685"/>
      <c r="LER77" s="685"/>
      <c r="LES77" s="685"/>
      <c r="LET77" s="685"/>
      <c r="LEU77" s="685"/>
      <c r="LEV77" s="685"/>
      <c r="LEW77" s="685"/>
      <c r="LEX77" s="685"/>
      <c r="LEY77" s="685"/>
      <c r="LEZ77" s="685"/>
      <c r="LFA77" s="685"/>
      <c r="LFB77" s="685"/>
      <c r="LFC77" s="685"/>
      <c r="LFD77" s="685"/>
      <c r="LFE77" s="685"/>
      <c r="LFF77" s="685"/>
      <c r="LFG77" s="685"/>
      <c r="LFH77" s="685"/>
      <c r="LFI77" s="685"/>
      <c r="LFJ77" s="685"/>
      <c r="LFK77" s="685"/>
      <c r="LFL77" s="685"/>
      <c r="LFM77" s="685"/>
      <c r="LFN77" s="685"/>
      <c r="LFO77" s="685"/>
      <c r="LFP77" s="685"/>
      <c r="LFQ77" s="685"/>
      <c r="LFR77" s="685"/>
      <c r="LFS77" s="685"/>
      <c r="LFT77" s="685"/>
      <c r="LFU77" s="685"/>
      <c r="LFV77" s="685"/>
      <c r="LFW77" s="685"/>
      <c r="LFX77" s="685"/>
      <c r="LFY77" s="685"/>
      <c r="LFZ77" s="685"/>
      <c r="LGA77" s="685"/>
      <c r="LGB77" s="685"/>
      <c r="LGC77" s="685"/>
      <c r="LGD77" s="685"/>
      <c r="LGE77" s="685"/>
      <c r="LGF77" s="685"/>
      <c r="LGG77" s="685"/>
      <c r="LGH77" s="685"/>
      <c r="LGI77" s="685"/>
      <c r="LGJ77" s="685"/>
      <c r="LGK77" s="685"/>
      <c r="LGL77" s="685"/>
      <c r="LGM77" s="685"/>
      <c r="LGN77" s="685"/>
      <c r="LGO77" s="685"/>
      <c r="LGP77" s="685"/>
      <c r="LGQ77" s="685"/>
      <c r="LGR77" s="685"/>
      <c r="LGS77" s="685"/>
      <c r="LGT77" s="685"/>
      <c r="LGU77" s="685"/>
      <c r="LGV77" s="685"/>
      <c r="LGW77" s="685"/>
      <c r="LGX77" s="685"/>
      <c r="LGY77" s="685"/>
      <c r="LGZ77" s="685"/>
      <c r="LHA77" s="685"/>
      <c r="LHB77" s="685"/>
      <c r="LHC77" s="685"/>
      <c r="LHD77" s="685"/>
      <c r="LHE77" s="685"/>
      <c r="LHF77" s="685"/>
      <c r="LHG77" s="685"/>
      <c r="LHH77" s="685"/>
      <c r="LHI77" s="685"/>
      <c r="LHJ77" s="685"/>
      <c r="LHK77" s="685"/>
      <c r="LHL77" s="685"/>
      <c r="LHM77" s="685"/>
      <c r="LHN77" s="685"/>
      <c r="LHO77" s="685"/>
      <c r="LHP77" s="685"/>
      <c r="LHQ77" s="685"/>
      <c r="LHR77" s="685"/>
      <c r="LHS77" s="685"/>
      <c r="LHT77" s="685"/>
      <c r="LHU77" s="685"/>
      <c r="LHV77" s="685"/>
      <c r="LHW77" s="685"/>
      <c r="LHX77" s="685"/>
      <c r="LHY77" s="685"/>
      <c r="LHZ77" s="685"/>
      <c r="LIA77" s="685"/>
      <c r="LIB77" s="685"/>
      <c r="LIC77" s="685"/>
      <c r="LID77" s="685"/>
      <c r="LIE77" s="685"/>
      <c r="LIF77" s="685"/>
      <c r="LIG77" s="685"/>
      <c r="LIH77" s="685"/>
      <c r="LII77" s="685"/>
      <c r="LIJ77" s="685"/>
      <c r="LIK77" s="685"/>
      <c r="LIL77" s="685"/>
      <c r="LIM77" s="685"/>
      <c r="LIN77" s="685"/>
      <c r="LIO77" s="685"/>
      <c r="LIP77" s="685"/>
      <c r="LIQ77" s="685"/>
      <c r="LIR77" s="685"/>
      <c r="LIS77" s="685"/>
      <c r="LIT77" s="685"/>
      <c r="LIU77" s="685"/>
      <c r="LIV77" s="685"/>
      <c r="LIW77" s="685"/>
      <c r="LIX77" s="685"/>
      <c r="LIY77" s="685"/>
      <c r="LIZ77" s="685"/>
      <c r="LJA77" s="685"/>
      <c r="LJB77" s="685"/>
      <c r="LJC77" s="685"/>
      <c r="LJD77" s="685"/>
      <c r="LJE77" s="685"/>
      <c r="LJF77" s="685"/>
      <c r="LJG77" s="685"/>
      <c r="LJH77" s="685"/>
      <c r="LJI77" s="685"/>
      <c r="LJJ77" s="685"/>
      <c r="LJK77" s="685"/>
      <c r="LJL77" s="685"/>
      <c r="LJM77" s="685"/>
      <c r="LJN77" s="685"/>
      <c r="LJO77" s="685"/>
      <c r="LJP77" s="685"/>
      <c r="LJQ77" s="685"/>
      <c r="LJR77" s="685"/>
      <c r="LJS77" s="685"/>
      <c r="LJT77" s="685"/>
      <c r="LJU77" s="685"/>
      <c r="LJV77" s="685"/>
      <c r="LJW77" s="685"/>
      <c r="LJX77" s="685"/>
      <c r="LJY77" s="685"/>
      <c r="LJZ77" s="685"/>
      <c r="LKA77" s="685"/>
      <c r="LKB77" s="685"/>
      <c r="LKC77" s="685"/>
      <c r="LKD77" s="685"/>
      <c r="LKE77" s="685"/>
      <c r="LKF77" s="685"/>
      <c r="LKG77" s="685"/>
      <c r="LKH77" s="685"/>
      <c r="LKI77" s="685"/>
      <c r="LKJ77" s="685"/>
      <c r="LKK77" s="685"/>
      <c r="LKL77" s="685"/>
      <c r="LKM77" s="685"/>
      <c r="LKN77" s="685"/>
      <c r="LKO77" s="685"/>
      <c r="LKP77" s="685"/>
      <c r="LKQ77" s="685"/>
      <c r="LKR77" s="685"/>
      <c r="LKS77" s="685"/>
      <c r="LKT77" s="685"/>
      <c r="LKU77" s="685"/>
      <c r="LKV77" s="685"/>
      <c r="LKW77" s="685"/>
      <c r="LKX77" s="685"/>
      <c r="LKY77" s="685"/>
      <c r="LKZ77" s="685"/>
      <c r="LLA77" s="685"/>
      <c r="LLB77" s="685"/>
      <c r="LLC77" s="685"/>
      <c r="LLD77" s="685"/>
      <c r="LLE77" s="685"/>
      <c r="LLF77" s="685"/>
      <c r="LLG77" s="685"/>
      <c r="LLH77" s="685"/>
      <c r="LLI77" s="685"/>
      <c r="LLJ77" s="685"/>
      <c r="LLK77" s="685"/>
      <c r="LLL77" s="685"/>
      <c r="LLM77" s="685"/>
      <c r="LLN77" s="685"/>
      <c r="LLO77" s="685"/>
      <c r="LLP77" s="685"/>
      <c r="LLQ77" s="685"/>
      <c r="LLR77" s="685"/>
      <c r="LLS77" s="685"/>
      <c r="LLT77" s="685"/>
      <c r="LLU77" s="685"/>
      <c r="LLV77" s="685"/>
      <c r="LLW77" s="685"/>
      <c r="LLX77" s="685"/>
      <c r="LLY77" s="685"/>
      <c r="LLZ77" s="685"/>
      <c r="LMA77" s="685"/>
      <c r="LMB77" s="685"/>
      <c r="LMC77" s="685"/>
      <c r="LMD77" s="685"/>
      <c r="LME77" s="685"/>
      <c r="LMF77" s="685"/>
      <c r="LMG77" s="685"/>
      <c r="LMH77" s="685"/>
      <c r="LMI77" s="685"/>
      <c r="LMJ77" s="685"/>
      <c r="LMK77" s="685"/>
      <c r="LML77" s="685"/>
      <c r="LMM77" s="685"/>
      <c r="LMN77" s="685"/>
      <c r="LMO77" s="685"/>
      <c r="LMP77" s="685"/>
      <c r="LMQ77" s="685"/>
      <c r="LMR77" s="685"/>
      <c r="LMS77" s="685"/>
      <c r="LMT77" s="685"/>
      <c r="LMU77" s="685"/>
      <c r="LMV77" s="685"/>
      <c r="LMW77" s="685"/>
      <c r="LMX77" s="685"/>
      <c r="LMY77" s="685"/>
      <c r="LMZ77" s="685"/>
      <c r="LNA77" s="685"/>
      <c r="LNB77" s="685"/>
      <c r="LNC77" s="685"/>
      <c r="LND77" s="685"/>
      <c r="LNE77" s="685"/>
      <c r="LNF77" s="685"/>
      <c r="LNG77" s="685"/>
      <c r="LNH77" s="685"/>
      <c r="LNI77" s="685"/>
      <c r="LNJ77" s="685"/>
      <c r="LNK77" s="685"/>
      <c r="LNL77" s="685"/>
      <c r="LNM77" s="685"/>
      <c r="LNN77" s="685"/>
      <c r="LNO77" s="685"/>
      <c r="LNP77" s="685"/>
      <c r="LNQ77" s="685"/>
      <c r="LNR77" s="685"/>
      <c r="LNS77" s="685"/>
      <c r="LNT77" s="685"/>
      <c r="LNU77" s="685"/>
      <c r="LNV77" s="685"/>
      <c r="LNW77" s="685"/>
      <c r="LNX77" s="685"/>
      <c r="LNY77" s="685"/>
      <c r="LNZ77" s="685"/>
      <c r="LOA77" s="685"/>
      <c r="LOB77" s="685"/>
      <c r="LOC77" s="685"/>
      <c r="LOD77" s="685"/>
      <c r="LOE77" s="685"/>
      <c r="LOF77" s="685"/>
      <c r="LOG77" s="685"/>
      <c r="LOH77" s="685"/>
      <c r="LOI77" s="685"/>
      <c r="LOJ77" s="685"/>
      <c r="LOK77" s="685"/>
      <c r="LOL77" s="685"/>
      <c r="LOM77" s="685"/>
      <c r="LON77" s="685"/>
      <c r="LOO77" s="685"/>
      <c r="LOP77" s="685"/>
      <c r="LOQ77" s="685"/>
      <c r="LOR77" s="685"/>
      <c r="LOS77" s="685"/>
      <c r="LOT77" s="685"/>
      <c r="LOU77" s="685"/>
      <c r="LOV77" s="685"/>
      <c r="LOW77" s="685"/>
      <c r="LOX77" s="685"/>
      <c r="LOY77" s="685"/>
      <c r="LOZ77" s="685"/>
      <c r="LPA77" s="685"/>
      <c r="LPB77" s="685"/>
      <c r="LPC77" s="685"/>
      <c r="LPD77" s="685"/>
      <c r="LPE77" s="685"/>
      <c r="LPF77" s="685"/>
      <c r="LPG77" s="685"/>
      <c r="LPH77" s="685"/>
      <c r="LPI77" s="685"/>
      <c r="LPJ77" s="685"/>
      <c r="LPK77" s="685"/>
      <c r="LPL77" s="685"/>
      <c r="LPM77" s="685"/>
      <c r="LPN77" s="685"/>
      <c r="LPO77" s="685"/>
      <c r="LPP77" s="685"/>
      <c r="LPQ77" s="685"/>
      <c r="LPR77" s="685"/>
      <c r="LPS77" s="685"/>
      <c r="LPT77" s="685"/>
      <c r="LPU77" s="685"/>
      <c r="LPV77" s="685"/>
      <c r="LPW77" s="685"/>
      <c r="LPX77" s="685"/>
      <c r="LPY77" s="685"/>
      <c r="LPZ77" s="685"/>
      <c r="LQA77" s="685"/>
      <c r="LQB77" s="685"/>
      <c r="LQC77" s="685"/>
      <c r="LQD77" s="685"/>
      <c r="LQE77" s="685"/>
      <c r="LQF77" s="685"/>
      <c r="LQG77" s="685"/>
      <c r="LQH77" s="685"/>
      <c r="LQI77" s="685"/>
      <c r="LQJ77" s="685"/>
      <c r="LQK77" s="685"/>
      <c r="LQL77" s="685"/>
      <c r="LQM77" s="685"/>
      <c r="LQN77" s="685"/>
      <c r="LQO77" s="685"/>
      <c r="LQP77" s="685"/>
      <c r="LQQ77" s="685"/>
      <c r="LQR77" s="685"/>
      <c r="LQS77" s="685"/>
      <c r="LQT77" s="685"/>
      <c r="LQU77" s="685"/>
      <c r="LQV77" s="685"/>
      <c r="LQW77" s="685"/>
      <c r="LQX77" s="685"/>
      <c r="LQY77" s="685"/>
      <c r="LQZ77" s="685"/>
      <c r="LRA77" s="685"/>
      <c r="LRB77" s="685"/>
      <c r="LRC77" s="685"/>
      <c r="LRD77" s="685"/>
      <c r="LRE77" s="685"/>
      <c r="LRF77" s="685"/>
      <c r="LRG77" s="685"/>
      <c r="LRH77" s="685"/>
      <c r="LRI77" s="685"/>
      <c r="LRJ77" s="685"/>
      <c r="LRK77" s="685"/>
      <c r="LRL77" s="685"/>
      <c r="LRM77" s="685"/>
      <c r="LRN77" s="685"/>
      <c r="LRO77" s="685"/>
      <c r="LRP77" s="685"/>
      <c r="LRQ77" s="685"/>
      <c r="LRR77" s="685"/>
      <c r="LRS77" s="685"/>
      <c r="LRT77" s="685"/>
      <c r="LRU77" s="685"/>
      <c r="LRV77" s="685"/>
      <c r="LRW77" s="685"/>
      <c r="LRX77" s="685"/>
      <c r="LRY77" s="685"/>
      <c r="LRZ77" s="685"/>
      <c r="LSA77" s="685"/>
      <c r="LSB77" s="685"/>
      <c r="LSC77" s="685"/>
      <c r="LSD77" s="685"/>
      <c r="LSE77" s="685"/>
      <c r="LSF77" s="685"/>
      <c r="LSG77" s="685"/>
      <c r="LSH77" s="685"/>
      <c r="LSI77" s="685"/>
      <c r="LSJ77" s="685"/>
      <c r="LSK77" s="685"/>
      <c r="LSL77" s="685"/>
      <c r="LSM77" s="685"/>
      <c r="LSN77" s="685"/>
      <c r="LSO77" s="685"/>
      <c r="LSP77" s="685"/>
      <c r="LSQ77" s="685"/>
      <c r="LSR77" s="685"/>
      <c r="LSS77" s="685"/>
      <c r="LST77" s="685"/>
      <c r="LSU77" s="685"/>
      <c r="LSV77" s="685"/>
      <c r="LSW77" s="685"/>
      <c r="LSX77" s="685"/>
      <c r="LSY77" s="685"/>
      <c r="LSZ77" s="685"/>
      <c r="LTA77" s="685"/>
      <c r="LTB77" s="685"/>
      <c r="LTC77" s="685"/>
      <c r="LTD77" s="685"/>
      <c r="LTE77" s="685"/>
      <c r="LTF77" s="685"/>
      <c r="LTG77" s="685"/>
      <c r="LTH77" s="685"/>
      <c r="LTI77" s="685"/>
      <c r="LTJ77" s="685"/>
      <c r="LTK77" s="685"/>
      <c r="LTL77" s="685"/>
      <c r="LTM77" s="685"/>
      <c r="LTN77" s="685"/>
      <c r="LTO77" s="685"/>
      <c r="LTP77" s="685"/>
      <c r="LTQ77" s="685"/>
      <c r="LTR77" s="685"/>
      <c r="LTS77" s="685"/>
      <c r="LTT77" s="685"/>
      <c r="LTU77" s="685"/>
      <c r="LTV77" s="685"/>
      <c r="LTW77" s="685"/>
      <c r="LTX77" s="685"/>
      <c r="LTY77" s="685"/>
      <c r="LTZ77" s="685"/>
      <c r="LUA77" s="685"/>
      <c r="LUB77" s="685"/>
      <c r="LUC77" s="685"/>
      <c r="LUD77" s="685"/>
      <c r="LUE77" s="685"/>
      <c r="LUF77" s="685"/>
      <c r="LUG77" s="685"/>
      <c r="LUH77" s="685"/>
      <c r="LUI77" s="685"/>
      <c r="LUJ77" s="685"/>
      <c r="LUK77" s="685"/>
      <c r="LUL77" s="685"/>
      <c r="LUM77" s="685"/>
      <c r="LUN77" s="685"/>
      <c r="LUO77" s="685"/>
      <c r="LUP77" s="685"/>
      <c r="LUQ77" s="685"/>
      <c r="LUR77" s="685"/>
      <c r="LUS77" s="685"/>
      <c r="LUT77" s="685"/>
      <c r="LUU77" s="685"/>
      <c r="LUV77" s="685"/>
      <c r="LUW77" s="685"/>
      <c r="LUX77" s="685"/>
      <c r="LUY77" s="685"/>
      <c r="LUZ77" s="685"/>
      <c r="LVA77" s="685"/>
      <c r="LVB77" s="685"/>
      <c r="LVC77" s="685"/>
      <c r="LVD77" s="685"/>
      <c r="LVE77" s="685"/>
      <c r="LVF77" s="685"/>
      <c r="LVG77" s="685"/>
      <c r="LVH77" s="685"/>
      <c r="LVI77" s="685"/>
      <c r="LVJ77" s="685"/>
      <c r="LVK77" s="685"/>
      <c r="LVL77" s="685"/>
      <c r="LVM77" s="685"/>
      <c r="LVN77" s="685"/>
      <c r="LVO77" s="685"/>
      <c r="LVP77" s="685"/>
      <c r="LVQ77" s="685"/>
      <c r="LVR77" s="685"/>
      <c r="LVS77" s="685"/>
      <c r="LVT77" s="685"/>
      <c r="LVU77" s="685"/>
      <c r="LVV77" s="685"/>
      <c r="LVW77" s="685"/>
      <c r="LVX77" s="685"/>
      <c r="LVY77" s="685"/>
      <c r="LVZ77" s="685"/>
      <c r="LWA77" s="685"/>
      <c r="LWB77" s="685"/>
      <c r="LWC77" s="685"/>
      <c r="LWD77" s="685"/>
      <c r="LWE77" s="685"/>
      <c r="LWF77" s="685"/>
      <c r="LWG77" s="685"/>
      <c r="LWH77" s="685"/>
      <c r="LWI77" s="685"/>
      <c r="LWJ77" s="685"/>
      <c r="LWK77" s="685"/>
      <c r="LWL77" s="685"/>
      <c r="LWM77" s="685"/>
      <c r="LWN77" s="685"/>
      <c r="LWO77" s="685"/>
      <c r="LWP77" s="685"/>
      <c r="LWQ77" s="685"/>
      <c r="LWR77" s="685"/>
      <c r="LWS77" s="685"/>
      <c r="LWT77" s="685"/>
      <c r="LWU77" s="685"/>
      <c r="LWV77" s="685"/>
      <c r="LWW77" s="685"/>
      <c r="LWX77" s="685"/>
      <c r="LWY77" s="685"/>
      <c r="LWZ77" s="685"/>
      <c r="LXA77" s="685"/>
      <c r="LXB77" s="685"/>
      <c r="LXC77" s="685"/>
      <c r="LXD77" s="685"/>
      <c r="LXE77" s="685"/>
      <c r="LXF77" s="685"/>
      <c r="LXG77" s="685"/>
      <c r="LXH77" s="685"/>
      <c r="LXI77" s="685"/>
      <c r="LXJ77" s="685"/>
      <c r="LXK77" s="685"/>
      <c r="LXL77" s="685"/>
      <c r="LXM77" s="685"/>
      <c r="LXN77" s="685"/>
      <c r="LXO77" s="685"/>
      <c r="LXP77" s="685"/>
      <c r="LXQ77" s="685"/>
      <c r="LXR77" s="685"/>
      <c r="LXS77" s="685"/>
      <c r="LXT77" s="685"/>
      <c r="LXU77" s="685"/>
      <c r="LXV77" s="685"/>
      <c r="LXW77" s="685"/>
      <c r="LXX77" s="685"/>
      <c r="LXY77" s="685"/>
      <c r="LXZ77" s="685"/>
      <c r="LYA77" s="685"/>
      <c r="LYB77" s="685"/>
      <c r="LYC77" s="685"/>
      <c r="LYD77" s="685"/>
      <c r="LYE77" s="685"/>
      <c r="LYF77" s="685"/>
      <c r="LYG77" s="685"/>
      <c r="LYH77" s="685"/>
      <c r="LYI77" s="685"/>
      <c r="LYJ77" s="685"/>
      <c r="LYK77" s="685"/>
      <c r="LYL77" s="685"/>
      <c r="LYM77" s="685"/>
      <c r="LYN77" s="685"/>
      <c r="LYO77" s="685"/>
      <c r="LYP77" s="685"/>
      <c r="LYQ77" s="685"/>
      <c r="LYR77" s="685"/>
      <c r="LYS77" s="685"/>
      <c r="LYT77" s="685"/>
      <c r="LYU77" s="685"/>
      <c r="LYV77" s="685"/>
      <c r="LYW77" s="685"/>
      <c r="LYX77" s="685"/>
      <c r="LYY77" s="685"/>
      <c r="LYZ77" s="685"/>
      <c r="LZA77" s="685"/>
      <c r="LZB77" s="685"/>
      <c r="LZC77" s="685"/>
      <c r="LZD77" s="685"/>
      <c r="LZE77" s="685"/>
      <c r="LZF77" s="685"/>
      <c r="LZG77" s="685"/>
      <c r="LZH77" s="685"/>
      <c r="LZI77" s="685"/>
      <c r="LZJ77" s="685"/>
      <c r="LZK77" s="685"/>
      <c r="LZL77" s="685"/>
      <c r="LZM77" s="685"/>
      <c r="LZN77" s="685"/>
      <c r="LZO77" s="685"/>
      <c r="LZP77" s="685"/>
      <c r="LZQ77" s="685"/>
      <c r="LZR77" s="685"/>
      <c r="LZS77" s="685"/>
      <c r="LZT77" s="685"/>
      <c r="LZU77" s="685"/>
      <c r="LZV77" s="685"/>
      <c r="LZW77" s="685"/>
      <c r="LZX77" s="685"/>
      <c r="LZY77" s="685"/>
      <c r="LZZ77" s="685"/>
      <c r="MAA77" s="685"/>
      <c r="MAB77" s="685"/>
      <c r="MAC77" s="685"/>
      <c r="MAD77" s="685"/>
      <c r="MAE77" s="685"/>
      <c r="MAF77" s="685"/>
      <c r="MAG77" s="685"/>
      <c r="MAH77" s="685"/>
      <c r="MAI77" s="685"/>
      <c r="MAJ77" s="685"/>
      <c r="MAK77" s="685"/>
      <c r="MAL77" s="685"/>
      <c r="MAM77" s="685"/>
      <c r="MAN77" s="685"/>
      <c r="MAO77" s="685"/>
      <c r="MAP77" s="685"/>
      <c r="MAQ77" s="685"/>
      <c r="MAR77" s="685"/>
      <c r="MAS77" s="685"/>
      <c r="MAT77" s="685"/>
      <c r="MAU77" s="685"/>
      <c r="MAV77" s="685"/>
      <c r="MAW77" s="685"/>
      <c r="MAX77" s="685"/>
      <c r="MAY77" s="685"/>
      <c r="MAZ77" s="685"/>
      <c r="MBA77" s="685"/>
      <c r="MBB77" s="685"/>
      <c r="MBC77" s="685"/>
      <c r="MBD77" s="685"/>
      <c r="MBE77" s="685"/>
      <c r="MBF77" s="685"/>
      <c r="MBG77" s="685"/>
      <c r="MBH77" s="685"/>
      <c r="MBI77" s="685"/>
      <c r="MBJ77" s="685"/>
      <c r="MBK77" s="685"/>
      <c r="MBL77" s="685"/>
      <c r="MBM77" s="685"/>
      <c r="MBN77" s="685"/>
      <c r="MBO77" s="685"/>
      <c r="MBP77" s="685"/>
      <c r="MBQ77" s="685"/>
      <c r="MBR77" s="685"/>
      <c r="MBS77" s="685"/>
      <c r="MBT77" s="685"/>
      <c r="MBU77" s="685"/>
      <c r="MBV77" s="685"/>
      <c r="MBW77" s="685"/>
      <c r="MBX77" s="685"/>
      <c r="MBY77" s="685"/>
      <c r="MBZ77" s="685"/>
      <c r="MCA77" s="685"/>
      <c r="MCB77" s="685"/>
      <c r="MCC77" s="685"/>
      <c r="MCD77" s="685"/>
      <c r="MCE77" s="685"/>
      <c r="MCF77" s="685"/>
      <c r="MCG77" s="685"/>
      <c r="MCH77" s="685"/>
      <c r="MCI77" s="685"/>
      <c r="MCJ77" s="685"/>
      <c r="MCK77" s="685"/>
      <c r="MCL77" s="685"/>
      <c r="MCM77" s="685"/>
      <c r="MCN77" s="685"/>
      <c r="MCO77" s="685"/>
      <c r="MCP77" s="685"/>
      <c r="MCQ77" s="685"/>
      <c r="MCR77" s="685"/>
      <c r="MCS77" s="685"/>
      <c r="MCT77" s="685"/>
      <c r="MCU77" s="685"/>
      <c r="MCV77" s="685"/>
      <c r="MCW77" s="685"/>
      <c r="MCX77" s="685"/>
      <c r="MCY77" s="685"/>
      <c r="MCZ77" s="685"/>
      <c r="MDA77" s="685"/>
      <c r="MDB77" s="685"/>
      <c r="MDC77" s="685"/>
      <c r="MDD77" s="685"/>
      <c r="MDE77" s="685"/>
      <c r="MDF77" s="685"/>
      <c r="MDG77" s="685"/>
      <c r="MDH77" s="685"/>
      <c r="MDI77" s="685"/>
      <c r="MDJ77" s="685"/>
      <c r="MDK77" s="685"/>
      <c r="MDL77" s="685"/>
      <c r="MDM77" s="685"/>
      <c r="MDN77" s="685"/>
      <c r="MDO77" s="685"/>
      <c r="MDP77" s="685"/>
      <c r="MDQ77" s="685"/>
      <c r="MDR77" s="685"/>
      <c r="MDS77" s="685"/>
      <c r="MDT77" s="685"/>
      <c r="MDU77" s="685"/>
      <c r="MDV77" s="685"/>
      <c r="MDW77" s="685"/>
      <c r="MDX77" s="685"/>
      <c r="MDY77" s="685"/>
      <c r="MDZ77" s="685"/>
      <c r="MEA77" s="685"/>
      <c r="MEB77" s="685"/>
      <c r="MEC77" s="685"/>
      <c r="MED77" s="685"/>
      <c r="MEE77" s="685"/>
      <c r="MEF77" s="685"/>
      <c r="MEG77" s="685"/>
      <c r="MEH77" s="685"/>
      <c r="MEI77" s="685"/>
      <c r="MEJ77" s="685"/>
      <c r="MEK77" s="685"/>
      <c r="MEL77" s="685"/>
      <c r="MEM77" s="685"/>
      <c r="MEN77" s="685"/>
      <c r="MEO77" s="685"/>
      <c r="MEP77" s="685"/>
      <c r="MEQ77" s="685"/>
      <c r="MER77" s="685"/>
      <c r="MES77" s="685"/>
      <c r="MET77" s="685"/>
      <c r="MEU77" s="685"/>
      <c r="MEV77" s="685"/>
      <c r="MEW77" s="685"/>
      <c r="MEX77" s="685"/>
      <c r="MEY77" s="685"/>
      <c r="MEZ77" s="685"/>
      <c r="MFA77" s="685"/>
      <c r="MFB77" s="685"/>
      <c r="MFC77" s="685"/>
      <c r="MFD77" s="685"/>
      <c r="MFE77" s="685"/>
      <c r="MFF77" s="685"/>
      <c r="MFG77" s="685"/>
      <c r="MFH77" s="685"/>
      <c r="MFI77" s="685"/>
      <c r="MFJ77" s="685"/>
      <c r="MFK77" s="685"/>
      <c r="MFL77" s="685"/>
      <c r="MFM77" s="685"/>
      <c r="MFN77" s="685"/>
      <c r="MFO77" s="685"/>
      <c r="MFP77" s="685"/>
      <c r="MFQ77" s="685"/>
      <c r="MFR77" s="685"/>
      <c r="MFS77" s="685"/>
      <c r="MFT77" s="685"/>
      <c r="MFU77" s="685"/>
      <c r="MFV77" s="685"/>
      <c r="MFW77" s="685"/>
      <c r="MFX77" s="685"/>
      <c r="MFY77" s="685"/>
      <c r="MFZ77" s="685"/>
      <c r="MGA77" s="685"/>
      <c r="MGB77" s="685"/>
      <c r="MGC77" s="685"/>
      <c r="MGD77" s="685"/>
      <c r="MGE77" s="685"/>
      <c r="MGF77" s="685"/>
      <c r="MGG77" s="685"/>
      <c r="MGH77" s="685"/>
      <c r="MGI77" s="685"/>
      <c r="MGJ77" s="685"/>
      <c r="MGK77" s="685"/>
      <c r="MGL77" s="685"/>
      <c r="MGM77" s="685"/>
      <c r="MGN77" s="685"/>
      <c r="MGO77" s="685"/>
      <c r="MGP77" s="685"/>
      <c r="MGQ77" s="685"/>
      <c r="MGR77" s="685"/>
      <c r="MGS77" s="685"/>
      <c r="MGT77" s="685"/>
      <c r="MGU77" s="685"/>
      <c r="MGV77" s="685"/>
      <c r="MGW77" s="685"/>
      <c r="MGX77" s="685"/>
      <c r="MGY77" s="685"/>
      <c r="MGZ77" s="685"/>
      <c r="MHA77" s="685"/>
      <c r="MHB77" s="685"/>
      <c r="MHC77" s="685"/>
      <c r="MHD77" s="685"/>
      <c r="MHE77" s="685"/>
      <c r="MHF77" s="685"/>
      <c r="MHG77" s="685"/>
      <c r="MHH77" s="685"/>
      <c r="MHI77" s="685"/>
      <c r="MHJ77" s="685"/>
      <c r="MHK77" s="685"/>
      <c r="MHL77" s="685"/>
      <c r="MHM77" s="685"/>
      <c r="MHN77" s="685"/>
      <c r="MHO77" s="685"/>
      <c r="MHP77" s="685"/>
      <c r="MHQ77" s="685"/>
      <c r="MHR77" s="685"/>
      <c r="MHS77" s="685"/>
      <c r="MHT77" s="685"/>
      <c r="MHU77" s="685"/>
      <c r="MHV77" s="685"/>
      <c r="MHW77" s="685"/>
      <c r="MHX77" s="685"/>
      <c r="MHY77" s="685"/>
      <c r="MHZ77" s="685"/>
      <c r="MIA77" s="685"/>
      <c r="MIB77" s="685"/>
      <c r="MIC77" s="685"/>
      <c r="MID77" s="685"/>
      <c r="MIE77" s="685"/>
      <c r="MIF77" s="685"/>
      <c r="MIG77" s="685"/>
      <c r="MIH77" s="685"/>
      <c r="MII77" s="685"/>
      <c r="MIJ77" s="685"/>
      <c r="MIK77" s="685"/>
      <c r="MIL77" s="685"/>
      <c r="MIM77" s="685"/>
      <c r="MIN77" s="685"/>
      <c r="MIO77" s="685"/>
      <c r="MIP77" s="685"/>
      <c r="MIQ77" s="685"/>
      <c r="MIR77" s="685"/>
      <c r="MIS77" s="685"/>
      <c r="MIT77" s="685"/>
      <c r="MIU77" s="685"/>
      <c r="MIV77" s="685"/>
      <c r="MIW77" s="685"/>
      <c r="MIX77" s="685"/>
      <c r="MIY77" s="685"/>
      <c r="MIZ77" s="685"/>
      <c r="MJA77" s="685"/>
      <c r="MJB77" s="685"/>
      <c r="MJC77" s="685"/>
      <c r="MJD77" s="685"/>
      <c r="MJE77" s="685"/>
      <c r="MJF77" s="685"/>
      <c r="MJG77" s="685"/>
      <c r="MJH77" s="685"/>
      <c r="MJI77" s="685"/>
      <c r="MJJ77" s="685"/>
      <c r="MJK77" s="685"/>
      <c r="MJL77" s="685"/>
      <c r="MJM77" s="685"/>
      <c r="MJN77" s="685"/>
      <c r="MJO77" s="685"/>
      <c r="MJP77" s="685"/>
      <c r="MJQ77" s="685"/>
      <c r="MJR77" s="685"/>
      <c r="MJS77" s="685"/>
      <c r="MJT77" s="685"/>
      <c r="MJU77" s="685"/>
      <c r="MJV77" s="685"/>
      <c r="MJW77" s="685"/>
      <c r="MJX77" s="685"/>
      <c r="MJY77" s="685"/>
      <c r="MJZ77" s="685"/>
      <c r="MKA77" s="685"/>
      <c r="MKB77" s="685"/>
      <c r="MKC77" s="685"/>
      <c r="MKD77" s="685"/>
      <c r="MKE77" s="685"/>
      <c r="MKF77" s="685"/>
      <c r="MKG77" s="685"/>
      <c r="MKH77" s="685"/>
      <c r="MKI77" s="685"/>
      <c r="MKJ77" s="685"/>
      <c r="MKK77" s="685"/>
      <c r="MKL77" s="685"/>
      <c r="MKM77" s="685"/>
      <c r="MKN77" s="685"/>
      <c r="MKO77" s="685"/>
      <c r="MKP77" s="685"/>
      <c r="MKQ77" s="685"/>
      <c r="MKR77" s="685"/>
      <c r="MKS77" s="685"/>
      <c r="MKT77" s="685"/>
      <c r="MKU77" s="685"/>
      <c r="MKV77" s="685"/>
      <c r="MKW77" s="685"/>
      <c r="MKX77" s="685"/>
      <c r="MKY77" s="685"/>
      <c r="MKZ77" s="685"/>
      <c r="MLA77" s="685"/>
      <c r="MLB77" s="685"/>
      <c r="MLC77" s="685"/>
      <c r="MLD77" s="685"/>
      <c r="MLE77" s="685"/>
      <c r="MLF77" s="685"/>
      <c r="MLG77" s="685"/>
      <c r="MLH77" s="685"/>
      <c r="MLI77" s="685"/>
      <c r="MLJ77" s="685"/>
      <c r="MLK77" s="685"/>
      <c r="MLL77" s="685"/>
      <c r="MLM77" s="685"/>
      <c r="MLN77" s="685"/>
      <c r="MLO77" s="685"/>
      <c r="MLP77" s="685"/>
      <c r="MLQ77" s="685"/>
      <c r="MLR77" s="685"/>
      <c r="MLS77" s="685"/>
      <c r="MLT77" s="685"/>
      <c r="MLU77" s="685"/>
      <c r="MLV77" s="685"/>
      <c r="MLW77" s="685"/>
      <c r="MLX77" s="685"/>
      <c r="MLY77" s="685"/>
      <c r="MLZ77" s="685"/>
      <c r="MMA77" s="685"/>
      <c r="MMB77" s="685"/>
      <c r="MMC77" s="685"/>
      <c r="MMD77" s="685"/>
      <c r="MME77" s="685"/>
      <c r="MMF77" s="685"/>
      <c r="MMG77" s="685"/>
      <c r="MMH77" s="685"/>
      <c r="MMI77" s="685"/>
      <c r="MMJ77" s="685"/>
      <c r="MMK77" s="685"/>
      <c r="MML77" s="685"/>
      <c r="MMM77" s="685"/>
      <c r="MMN77" s="685"/>
      <c r="MMO77" s="685"/>
      <c r="MMP77" s="685"/>
      <c r="MMQ77" s="685"/>
      <c r="MMR77" s="685"/>
      <c r="MMS77" s="685"/>
      <c r="MMT77" s="685"/>
      <c r="MMU77" s="685"/>
      <c r="MMV77" s="685"/>
      <c r="MMW77" s="685"/>
      <c r="MMX77" s="685"/>
      <c r="MMY77" s="685"/>
      <c r="MMZ77" s="685"/>
      <c r="MNA77" s="685"/>
      <c r="MNB77" s="685"/>
      <c r="MNC77" s="685"/>
      <c r="MND77" s="685"/>
      <c r="MNE77" s="685"/>
      <c r="MNF77" s="685"/>
      <c r="MNG77" s="685"/>
      <c r="MNH77" s="685"/>
      <c r="MNI77" s="685"/>
      <c r="MNJ77" s="685"/>
      <c r="MNK77" s="685"/>
      <c r="MNL77" s="685"/>
      <c r="MNM77" s="685"/>
      <c r="MNN77" s="685"/>
      <c r="MNO77" s="685"/>
      <c r="MNP77" s="685"/>
      <c r="MNQ77" s="685"/>
      <c r="MNR77" s="685"/>
      <c r="MNS77" s="685"/>
      <c r="MNT77" s="685"/>
      <c r="MNU77" s="685"/>
      <c r="MNV77" s="685"/>
      <c r="MNW77" s="685"/>
      <c r="MNX77" s="685"/>
      <c r="MNY77" s="685"/>
      <c r="MNZ77" s="685"/>
      <c r="MOA77" s="685"/>
      <c r="MOB77" s="685"/>
      <c r="MOC77" s="685"/>
      <c r="MOD77" s="685"/>
      <c r="MOE77" s="685"/>
      <c r="MOF77" s="685"/>
      <c r="MOG77" s="685"/>
      <c r="MOH77" s="685"/>
      <c r="MOI77" s="685"/>
      <c r="MOJ77" s="685"/>
      <c r="MOK77" s="685"/>
      <c r="MOL77" s="685"/>
      <c r="MOM77" s="685"/>
      <c r="MON77" s="685"/>
      <c r="MOO77" s="685"/>
      <c r="MOP77" s="685"/>
      <c r="MOQ77" s="685"/>
      <c r="MOR77" s="685"/>
      <c r="MOS77" s="685"/>
      <c r="MOT77" s="685"/>
      <c r="MOU77" s="685"/>
      <c r="MOV77" s="685"/>
      <c r="MOW77" s="685"/>
      <c r="MOX77" s="685"/>
      <c r="MOY77" s="685"/>
      <c r="MOZ77" s="685"/>
      <c r="MPA77" s="685"/>
      <c r="MPB77" s="685"/>
      <c r="MPC77" s="685"/>
      <c r="MPD77" s="685"/>
      <c r="MPE77" s="685"/>
      <c r="MPF77" s="685"/>
      <c r="MPG77" s="685"/>
      <c r="MPH77" s="685"/>
      <c r="MPI77" s="685"/>
      <c r="MPJ77" s="685"/>
      <c r="MPK77" s="685"/>
      <c r="MPL77" s="685"/>
      <c r="MPM77" s="685"/>
      <c r="MPN77" s="685"/>
      <c r="MPO77" s="685"/>
      <c r="MPP77" s="685"/>
      <c r="MPQ77" s="685"/>
      <c r="MPR77" s="685"/>
      <c r="MPS77" s="685"/>
      <c r="MPT77" s="685"/>
      <c r="MPU77" s="685"/>
      <c r="MPV77" s="685"/>
      <c r="MPW77" s="685"/>
      <c r="MPX77" s="685"/>
      <c r="MPY77" s="685"/>
      <c r="MPZ77" s="685"/>
      <c r="MQA77" s="685"/>
      <c r="MQB77" s="685"/>
      <c r="MQC77" s="685"/>
      <c r="MQD77" s="685"/>
      <c r="MQE77" s="685"/>
      <c r="MQF77" s="685"/>
      <c r="MQG77" s="685"/>
      <c r="MQH77" s="685"/>
      <c r="MQI77" s="685"/>
      <c r="MQJ77" s="685"/>
      <c r="MQK77" s="685"/>
      <c r="MQL77" s="685"/>
      <c r="MQM77" s="685"/>
      <c r="MQN77" s="685"/>
      <c r="MQO77" s="685"/>
      <c r="MQP77" s="685"/>
      <c r="MQQ77" s="685"/>
      <c r="MQR77" s="685"/>
      <c r="MQS77" s="685"/>
      <c r="MQT77" s="685"/>
      <c r="MQU77" s="685"/>
      <c r="MQV77" s="685"/>
      <c r="MQW77" s="685"/>
      <c r="MQX77" s="685"/>
      <c r="MQY77" s="685"/>
      <c r="MQZ77" s="685"/>
      <c r="MRA77" s="685"/>
      <c r="MRB77" s="685"/>
      <c r="MRC77" s="685"/>
      <c r="MRD77" s="685"/>
      <c r="MRE77" s="685"/>
      <c r="MRF77" s="685"/>
      <c r="MRG77" s="685"/>
      <c r="MRH77" s="685"/>
      <c r="MRI77" s="685"/>
      <c r="MRJ77" s="685"/>
      <c r="MRK77" s="685"/>
      <c r="MRL77" s="685"/>
      <c r="MRM77" s="685"/>
      <c r="MRN77" s="685"/>
      <c r="MRO77" s="685"/>
      <c r="MRP77" s="685"/>
      <c r="MRQ77" s="685"/>
      <c r="MRR77" s="685"/>
      <c r="MRS77" s="685"/>
      <c r="MRT77" s="685"/>
      <c r="MRU77" s="685"/>
      <c r="MRV77" s="685"/>
      <c r="MRW77" s="685"/>
      <c r="MRX77" s="685"/>
      <c r="MRY77" s="685"/>
      <c r="MRZ77" s="685"/>
      <c r="MSA77" s="685"/>
      <c r="MSB77" s="685"/>
      <c r="MSC77" s="685"/>
      <c r="MSD77" s="685"/>
      <c r="MSE77" s="685"/>
      <c r="MSF77" s="685"/>
      <c r="MSG77" s="685"/>
      <c r="MSH77" s="685"/>
      <c r="MSI77" s="685"/>
      <c r="MSJ77" s="685"/>
      <c r="MSK77" s="685"/>
      <c r="MSL77" s="685"/>
      <c r="MSM77" s="685"/>
      <c r="MSN77" s="685"/>
      <c r="MSO77" s="685"/>
      <c r="MSP77" s="685"/>
      <c r="MSQ77" s="685"/>
      <c r="MSR77" s="685"/>
      <c r="MSS77" s="685"/>
      <c r="MST77" s="685"/>
      <c r="MSU77" s="685"/>
      <c r="MSV77" s="685"/>
      <c r="MSW77" s="685"/>
      <c r="MSX77" s="685"/>
      <c r="MSY77" s="685"/>
      <c r="MSZ77" s="685"/>
      <c r="MTA77" s="685"/>
      <c r="MTB77" s="685"/>
      <c r="MTC77" s="685"/>
      <c r="MTD77" s="685"/>
      <c r="MTE77" s="685"/>
      <c r="MTF77" s="685"/>
      <c r="MTG77" s="685"/>
      <c r="MTH77" s="685"/>
      <c r="MTI77" s="685"/>
      <c r="MTJ77" s="685"/>
      <c r="MTK77" s="685"/>
      <c r="MTL77" s="685"/>
      <c r="MTM77" s="685"/>
      <c r="MTN77" s="685"/>
      <c r="MTO77" s="685"/>
      <c r="MTP77" s="685"/>
      <c r="MTQ77" s="685"/>
      <c r="MTR77" s="685"/>
      <c r="MTS77" s="685"/>
      <c r="MTT77" s="685"/>
      <c r="MTU77" s="685"/>
      <c r="MTV77" s="685"/>
      <c r="MTW77" s="685"/>
      <c r="MTX77" s="685"/>
      <c r="MTY77" s="685"/>
      <c r="MTZ77" s="685"/>
      <c r="MUA77" s="685"/>
      <c r="MUB77" s="685"/>
      <c r="MUC77" s="685"/>
      <c r="MUD77" s="685"/>
      <c r="MUE77" s="685"/>
      <c r="MUF77" s="685"/>
      <c r="MUG77" s="685"/>
      <c r="MUH77" s="685"/>
      <c r="MUI77" s="685"/>
      <c r="MUJ77" s="685"/>
      <c r="MUK77" s="685"/>
      <c r="MUL77" s="685"/>
      <c r="MUM77" s="685"/>
      <c r="MUN77" s="685"/>
      <c r="MUO77" s="685"/>
      <c r="MUP77" s="685"/>
      <c r="MUQ77" s="685"/>
      <c r="MUR77" s="685"/>
      <c r="MUS77" s="685"/>
      <c r="MUT77" s="685"/>
      <c r="MUU77" s="685"/>
      <c r="MUV77" s="685"/>
      <c r="MUW77" s="685"/>
      <c r="MUX77" s="685"/>
      <c r="MUY77" s="685"/>
      <c r="MUZ77" s="685"/>
      <c r="MVA77" s="685"/>
      <c r="MVB77" s="685"/>
      <c r="MVC77" s="685"/>
      <c r="MVD77" s="685"/>
      <c r="MVE77" s="685"/>
      <c r="MVF77" s="685"/>
      <c r="MVG77" s="685"/>
      <c r="MVH77" s="685"/>
      <c r="MVI77" s="685"/>
      <c r="MVJ77" s="685"/>
      <c r="MVK77" s="685"/>
      <c r="MVL77" s="685"/>
      <c r="MVM77" s="685"/>
      <c r="MVN77" s="685"/>
      <c r="MVO77" s="685"/>
      <c r="MVP77" s="685"/>
      <c r="MVQ77" s="685"/>
      <c r="MVR77" s="685"/>
      <c r="MVS77" s="685"/>
      <c r="MVT77" s="685"/>
      <c r="MVU77" s="685"/>
      <c r="MVV77" s="685"/>
      <c r="MVW77" s="685"/>
      <c r="MVX77" s="685"/>
      <c r="MVY77" s="685"/>
      <c r="MVZ77" s="685"/>
      <c r="MWA77" s="685"/>
      <c r="MWB77" s="685"/>
      <c r="MWC77" s="685"/>
      <c r="MWD77" s="685"/>
      <c r="MWE77" s="685"/>
      <c r="MWF77" s="685"/>
      <c r="MWG77" s="685"/>
      <c r="MWH77" s="685"/>
      <c r="MWI77" s="685"/>
      <c r="MWJ77" s="685"/>
      <c r="MWK77" s="685"/>
      <c r="MWL77" s="685"/>
      <c r="MWM77" s="685"/>
      <c r="MWN77" s="685"/>
      <c r="MWO77" s="685"/>
      <c r="MWP77" s="685"/>
      <c r="MWQ77" s="685"/>
      <c r="MWR77" s="685"/>
      <c r="MWS77" s="685"/>
      <c r="MWT77" s="685"/>
      <c r="MWU77" s="685"/>
      <c r="MWV77" s="685"/>
      <c r="MWW77" s="685"/>
      <c r="MWX77" s="685"/>
      <c r="MWY77" s="685"/>
      <c r="MWZ77" s="685"/>
      <c r="MXA77" s="685"/>
      <c r="MXB77" s="685"/>
      <c r="MXC77" s="685"/>
      <c r="MXD77" s="685"/>
      <c r="MXE77" s="685"/>
      <c r="MXF77" s="685"/>
      <c r="MXG77" s="685"/>
      <c r="MXH77" s="685"/>
      <c r="MXI77" s="685"/>
      <c r="MXJ77" s="685"/>
      <c r="MXK77" s="685"/>
      <c r="MXL77" s="685"/>
      <c r="MXM77" s="685"/>
      <c r="MXN77" s="685"/>
      <c r="MXO77" s="685"/>
      <c r="MXP77" s="685"/>
      <c r="MXQ77" s="685"/>
      <c r="MXR77" s="685"/>
      <c r="MXS77" s="685"/>
      <c r="MXT77" s="685"/>
      <c r="MXU77" s="685"/>
      <c r="MXV77" s="685"/>
      <c r="MXW77" s="685"/>
      <c r="MXX77" s="685"/>
      <c r="MXY77" s="685"/>
      <c r="MXZ77" s="685"/>
      <c r="MYA77" s="685"/>
      <c r="MYB77" s="685"/>
      <c r="MYC77" s="685"/>
      <c r="MYD77" s="685"/>
      <c r="MYE77" s="685"/>
      <c r="MYF77" s="685"/>
      <c r="MYG77" s="685"/>
      <c r="MYH77" s="685"/>
      <c r="MYI77" s="685"/>
      <c r="MYJ77" s="685"/>
      <c r="MYK77" s="685"/>
      <c r="MYL77" s="685"/>
      <c r="MYM77" s="685"/>
      <c r="MYN77" s="685"/>
      <c r="MYO77" s="685"/>
      <c r="MYP77" s="685"/>
      <c r="MYQ77" s="685"/>
      <c r="MYR77" s="685"/>
      <c r="MYS77" s="685"/>
      <c r="MYT77" s="685"/>
      <c r="MYU77" s="685"/>
      <c r="MYV77" s="685"/>
      <c r="MYW77" s="685"/>
      <c r="MYX77" s="685"/>
      <c r="MYY77" s="685"/>
      <c r="MYZ77" s="685"/>
      <c r="MZA77" s="685"/>
      <c r="MZB77" s="685"/>
      <c r="MZC77" s="685"/>
      <c r="MZD77" s="685"/>
      <c r="MZE77" s="685"/>
      <c r="MZF77" s="685"/>
      <c r="MZG77" s="685"/>
      <c r="MZH77" s="685"/>
      <c r="MZI77" s="685"/>
      <c r="MZJ77" s="685"/>
      <c r="MZK77" s="685"/>
      <c r="MZL77" s="685"/>
      <c r="MZM77" s="685"/>
      <c r="MZN77" s="685"/>
      <c r="MZO77" s="685"/>
      <c r="MZP77" s="685"/>
      <c r="MZQ77" s="685"/>
      <c r="MZR77" s="685"/>
      <c r="MZS77" s="685"/>
      <c r="MZT77" s="685"/>
      <c r="MZU77" s="685"/>
      <c r="MZV77" s="685"/>
      <c r="MZW77" s="685"/>
      <c r="MZX77" s="685"/>
      <c r="MZY77" s="685"/>
      <c r="MZZ77" s="685"/>
      <c r="NAA77" s="685"/>
      <c r="NAB77" s="685"/>
      <c r="NAC77" s="685"/>
      <c r="NAD77" s="685"/>
      <c r="NAE77" s="685"/>
      <c r="NAF77" s="685"/>
      <c r="NAG77" s="685"/>
      <c r="NAH77" s="685"/>
      <c r="NAI77" s="685"/>
      <c r="NAJ77" s="685"/>
      <c r="NAK77" s="685"/>
      <c r="NAL77" s="685"/>
      <c r="NAM77" s="685"/>
      <c r="NAN77" s="685"/>
      <c r="NAO77" s="685"/>
      <c r="NAP77" s="685"/>
      <c r="NAQ77" s="685"/>
      <c r="NAR77" s="685"/>
      <c r="NAS77" s="685"/>
      <c r="NAT77" s="685"/>
      <c r="NAU77" s="685"/>
      <c r="NAV77" s="685"/>
      <c r="NAW77" s="685"/>
      <c r="NAX77" s="685"/>
      <c r="NAY77" s="685"/>
      <c r="NAZ77" s="685"/>
      <c r="NBA77" s="685"/>
      <c r="NBB77" s="685"/>
      <c r="NBC77" s="685"/>
      <c r="NBD77" s="685"/>
      <c r="NBE77" s="685"/>
      <c r="NBF77" s="685"/>
      <c r="NBG77" s="685"/>
      <c r="NBH77" s="685"/>
      <c r="NBI77" s="685"/>
      <c r="NBJ77" s="685"/>
      <c r="NBK77" s="685"/>
      <c r="NBL77" s="685"/>
      <c r="NBM77" s="685"/>
      <c r="NBN77" s="685"/>
      <c r="NBO77" s="685"/>
      <c r="NBP77" s="685"/>
      <c r="NBQ77" s="685"/>
      <c r="NBR77" s="685"/>
      <c r="NBS77" s="685"/>
      <c r="NBT77" s="685"/>
      <c r="NBU77" s="685"/>
      <c r="NBV77" s="685"/>
      <c r="NBW77" s="685"/>
      <c r="NBX77" s="685"/>
      <c r="NBY77" s="685"/>
      <c r="NBZ77" s="685"/>
      <c r="NCA77" s="685"/>
      <c r="NCB77" s="685"/>
      <c r="NCC77" s="685"/>
      <c r="NCD77" s="685"/>
      <c r="NCE77" s="685"/>
      <c r="NCF77" s="685"/>
      <c r="NCG77" s="685"/>
      <c r="NCH77" s="685"/>
      <c r="NCI77" s="685"/>
      <c r="NCJ77" s="685"/>
      <c r="NCK77" s="685"/>
      <c r="NCL77" s="685"/>
      <c r="NCM77" s="685"/>
      <c r="NCN77" s="685"/>
      <c r="NCO77" s="685"/>
      <c r="NCP77" s="685"/>
      <c r="NCQ77" s="685"/>
      <c r="NCR77" s="685"/>
      <c r="NCS77" s="685"/>
      <c r="NCT77" s="685"/>
      <c r="NCU77" s="685"/>
      <c r="NCV77" s="685"/>
      <c r="NCW77" s="685"/>
      <c r="NCX77" s="685"/>
      <c r="NCY77" s="685"/>
      <c r="NCZ77" s="685"/>
      <c r="NDA77" s="685"/>
      <c r="NDB77" s="685"/>
      <c r="NDC77" s="685"/>
      <c r="NDD77" s="685"/>
      <c r="NDE77" s="685"/>
      <c r="NDF77" s="685"/>
      <c r="NDG77" s="685"/>
      <c r="NDH77" s="685"/>
      <c r="NDI77" s="685"/>
      <c r="NDJ77" s="685"/>
      <c r="NDK77" s="685"/>
      <c r="NDL77" s="685"/>
      <c r="NDM77" s="685"/>
      <c r="NDN77" s="685"/>
      <c r="NDO77" s="685"/>
      <c r="NDP77" s="685"/>
      <c r="NDQ77" s="685"/>
      <c r="NDR77" s="685"/>
      <c r="NDS77" s="685"/>
      <c r="NDT77" s="685"/>
      <c r="NDU77" s="685"/>
      <c r="NDV77" s="685"/>
      <c r="NDW77" s="685"/>
      <c r="NDX77" s="685"/>
      <c r="NDY77" s="685"/>
      <c r="NDZ77" s="685"/>
      <c r="NEA77" s="685"/>
      <c r="NEB77" s="685"/>
      <c r="NEC77" s="685"/>
      <c r="NED77" s="685"/>
      <c r="NEE77" s="685"/>
      <c r="NEF77" s="685"/>
      <c r="NEG77" s="685"/>
      <c r="NEH77" s="685"/>
      <c r="NEI77" s="685"/>
      <c r="NEJ77" s="685"/>
      <c r="NEK77" s="685"/>
      <c r="NEL77" s="685"/>
      <c r="NEM77" s="685"/>
      <c r="NEN77" s="685"/>
      <c r="NEO77" s="685"/>
      <c r="NEP77" s="685"/>
      <c r="NEQ77" s="685"/>
      <c r="NER77" s="685"/>
      <c r="NES77" s="685"/>
      <c r="NET77" s="685"/>
      <c r="NEU77" s="685"/>
      <c r="NEV77" s="685"/>
      <c r="NEW77" s="685"/>
      <c r="NEX77" s="685"/>
      <c r="NEY77" s="685"/>
      <c r="NEZ77" s="685"/>
      <c r="NFA77" s="685"/>
      <c r="NFB77" s="685"/>
      <c r="NFC77" s="685"/>
      <c r="NFD77" s="685"/>
      <c r="NFE77" s="685"/>
      <c r="NFF77" s="685"/>
      <c r="NFG77" s="685"/>
      <c r="NFH77" s="685"/>
      <c r="NFI77" s="685"/>
      <c r="NFJ77" s="685"/>
      <c r="NFK77" s="685"/>
      <c r="NFL77" s="685"/>
      <c r="NFM77" s="685"/>
      <c r="NFN77" s="685"/>
      <c r="NFO77" s="685"/>
      <c r="NFP77" s="685"/>
      <c r="NFQ77" s="685"/>
      <c r="NFR77" s="685"/>
      <c r="NFS77" s="685"/>
      <c r="NFT77" s="685"/>
      <c r="NFU77" s="685"/>
      <c r="NFV77" s="685"/>
      <c r="NFW77" s="685"/>
      <c r="NFX77" s="685"/>
      <c r="NFY77" s="685"/>
      <c r="NFZ77" s="685"/>
      <c r="NGA77" s="685"/>
      <c r="NGB77" s="685"/>
      <c r="NGC77" s="685"/>
      <c r="NGD77" s="685"/>
      <c r="NGE77" s="685"/>
      <c r="NGF77" s="685"/>
      <c r="NGG77" s="685"/>
      <c r="NGH77" s="685"/>
      <c r="NGI77" s="685"/>
      <c r="NGJ77" s="685"/>
      <c r="NGK77" s="685"/>
      <c r="NGL77" s="685"/>
      <c r="NGM77" s="685"/>
      <c r="NGN77" s="685"/>
      <c r="NGO77" s="685"/>
      <c r="NGP77" s="685"/>
      <c r="NGQ77" s="685"/>
      <c r="NGR77" s="685"/>
      <c r="NGS77" s="685"/>
      <c r="NGT77" s="685"/>
      <c r="NGU77" s="685"/>
      <c r="NGV77" s="685"/>
      <c r="NGW77" s="685"/>
      <c r="NGX77" s="685"/>
      <c r="NGY77" s="685"/>
      <c r="NGZ77" s="685"/>
      <c r="NHA77" s="685"/>
      <c r="NHB77" s="685"/>
      <c r="NHC77" s="685"/>
      <c r="NHD77" s="685"/>
      <c r="NHE77" s="685"/>
      <c r="NHF77" s="685"/>
      <c r="NHG77" s="685"/>
      <c r="NHH77" s="685"/>
      <c r="NHI77" s="685"/>
      <c r="NHJ77" s="685"/>
      <c r="NHK77" s="685"/>
      <c r="NHL77" s="685"/>
      <c r="NHM77" s="685"/>
      <c r="NHN77" s="685"/>
      <c r="NHO77" s="685"/>
      <c r="NHP77" s="685"/>
      <c r="NHQ77" s="685"/>
      <c r="NHR77" s="685"/>
      <c r="NHS77" s="685"/>
      <c r="NHT77" s="685"/>
      <c r="NHU77" s="685"/>
      <c r="NHV77" s="685"/>
      <c r="NHW77" s="685"/>
      <c r="NHX77" s="685"/>
      <c r="NHY77" s="685"/>
      <c r="NHZ77" s="685"/>
      <c r="NIA77" s="685"/>
      <c r="NIB77" s="685"/>
      <c r="NIC77" s="685"/>
      <c r="NID77" s="685"/>
      <c r="NIE77" s="685"/>
      <c r="NIF77" s="685"/>
      <c r="NIG77" s="685"/>
      <c r="NIH77" s="685"/>
      <c r="NII77" s="685"/>
      <c r="NIJ77" s="685"/>
      <c r="NIK77" s="685"/>
      <c r="NIL77" s="685"/>
      <c r="NIM77" s="685"/>
      <c r="NIN77" s="685"/>
      <c r="NIO77" s="685"/>
      <c r="NIP77" s="685"/>
      <c r="NIQ77" s="685"/>
      <c r="NIR77" s="685"/>
      <c r="NIS77" s="685"/>
      <c r="NIT77" s="685"/>
      <c r="NIU77" s="685"/>
      <c r="NIV77" s="685"/>
      <c r="NIW77" s="685"/>
      <c r="NIX77" s="685"/>
      <c r="NIY77" s="685"/>
      <c r="NIZ77" s="685"/>
      <c r="NJA77" s="685"/>
      <c r="NJB77" s="685"/>
      <c r="NJC77" s="685"/>
      <c r="NJD77" s="685"/>
      <c r="NJE77" s="685"/>
      <c r="NJF77" s="685"/>
      <c r="NJG77" s="685"/>
      <c r="NJH77" s="685"/>
      <c r="NJI77" s="685"/>
      <c r="NJJ77" s="685"/>
      <c r="NJK77" s="685"/>
      <c r="NJL77" s="685"/>
      <c r="NJM77" s="685"/>
      <c r="NJN77" s="685"/>
      <c r="NJO77" s="685"/>
      <c r="NJP77" s="685"/>
      <c r="NJQ77" s="685"/>
      <c r="NJR77" s="685"/>
      <c r="NJS77" s="685"/>
      <c r="NJT77" s="685"/>
      <c r="NJU77" s="685"/>
      <c r="NJV77" s="685"/>
      <c r="NJW77" s="685"/>
      <c r="NJX77" s="685"/>
      <c r="NJY77" s="685"/>
      <c r="NJZ77" s="685"/>
      <c r="NKA77" s="685"/>
      <c r="NKB77" s="685"/>
      <c r="NKC77" s="685"/>
      <c r="NKD77" s="685"/>
      <c r="NKE77" s="685"/>
      <c r="NKF77" s="685"/>
      <c r="NKG77" s="685"/>
      <c r="NKH77" s="685"/>
      <c r="NKI77" s="685"/>
      <c r="NKJ77" s="685"/>
      <c r="NKK77" s="685"/>
      <c r="NKL77" s="685"/>
      <c r="NKM77" s="685"/>
      <c r="NKN77" s="685"/>
      <c r="NKO77" s="685"/>
      <c r="NKP77" s="685"/>
      <c r="NKQ77" s="685"/>
      <c r="NKR77" s="685"/>
      <c r="NKS77" s="685"/>
      <c r="NKT77" s="685"/>
      <c r="NKU77" s="685"/>
      <c r="NKV77" s="685"/>
      <c r="NKW77" s="685"/>
      <c r="NKX77" s="685"/>
      <c r="NKY77" s="685"/>
      <c r="NKZ77" s="685"/>
      <c r="NLA77" s="685"/>
      <c r="NLB77" s="685"/>
      <c r="NLC77" s="685"/>
      <c r="NLD77" s="685"/>
      <c r="NLE77" s="685"/>
      <c r="NLF77" s="685"/>
      <c r="NLG77" s="685"/>
      <c r="NLH77" s="685"/>
      <c r="NLI77" s="685"/>
      <c r="NLJ77" s="685"/>
      <c r="NLK77" s="685"/>
      <c r="NLL77" s="685"/>
      <c r="NLM77" s="685"/>
      <c r="NLN77" s="685"/>
      <c r="NLO77" s="685"/>
      <c r="NLP77" s="685"/>
      <c r="NLQ77" s="685"/>
      <c r="NLR77" s="685"/>
      <c r="NLS77" s="685"/>
      <c r="NLT77" s="685"/>
      <c r="NLU77" s="685"/>
      <c r="NLV77" s="685"/>
      <c r="NLW77" s="685"/>
      <c r="NLX77" s="685"/>
      <c r="NLY77" s="685"/>
      <c r="NLZ77" s="685"/>
      <c r="NMA77" s="685"/>
      <c r="NMB77" s="685"/>
      <c r="NMC77" s="685"/>
      <c r="NMD77" s="685"/>
      <c r="NME77" s="685"/>
      <c r="NMF77" s="685"/>
      <c r="NMG77" s="685"/>
      <c r="NMH77" s="685"/>
      <c r="NMI77" s="685"/>
      <c r="NMJ77" s="685"/>
      <c r="NMK77" s="685"/>
      <c r="NML77" s="685"/>
      <c r="NMM77" s="685"/>
      <c r="NMN77" s="685"/>
      <c r="NMO77" s="685"/>
      <c r="NMP77" s="685"/>
      <c r="NMQ77" s="685"/>
      <c r="NMR77" s="685"/>
      <c r="NMS77" s="685"/>
      <c r="NMT77" s="685"/>
      <c r="NMU77" s="685"/>
      <c r="NMV77" s="685"/>
      <c r="NMW77" s="685"/>
      <c r="NMX77" s="685"/>
      <c r="NMY77" s="685"/>
      <c r="NMZ77" s="685"/>
      <c r="NNA77" s="685"/>
      <c r="NNB77" s="685"/>
      <c r="NNC77" s="685"/>
      <c r="NND77" s="685"/>
      <c r="NNE77" s="685"/>
      <c r="NNF77" s="685"/>
      <c r="NNG77" s="685"/>
      <c r="NNH77" s="685"/>
      <c r="NNI77" s="685"/>
      <c r="NNJ77" s="685"/>
      <c r="NNK77" s="685"/>
      <c r="NNL77" s="685"/>
      <c r="NNM77" s="685"/>
      <c r="NNN77" s="685"/>
      <c r="NNO77" s="685"/>
      <c r="NNP77" s="685"/>
      <c r="NNQ77" s="685"/>
      <c r="NNR77" s="685"/>
      <c r="NNS77" s="685"/>
      <c r="NNT77" s="685"/>
      <c r="NNU77" s="685"/>
      <c r="NNV77" s="685"/>
      <c r="NNW77" s="685"/>
      <c r="NNX77" s="685"/>
      <c r="NNY77" s="685"/>
      <c r="NNZ77" s="685"/>
      <c r="NOA77" s="685"/>
      <c r="NOB77" s="685"/>
      <c r="NOC77" s="685"/>
      <c r="NOD77" s="685"/>
      <c r="NOE77" s="685"/>
      <c r="NOF77" s="685"/>
      <c r="NOG77" s="685"/>
      <c r="NOH77" s="685"/>
      <c r="NOI77" s="685"/>
      <c r="NOJ77" s="685"/>
      <c r="NOK77" s="685"/>
      <c r="NOL77" s="685"/>
      <c r="NOM77" s="685"/>
      <c r="NON77" s="685"/>
      <c r="NOO77" s="685"/>
      <c r="NOP77" s="685"/>
      <c r="NOQ77" s="685"/>
      <c r="NOR77" s="685"/>
      <c r="NOS77" s="685"/>
      <c r="NOT77" s="685"/>
      <c r="NOU77" s="685"/>
      <c r="NOV77" s="685"/>
      <c r="NOW77" s="685"/>
      <c r="NOX77" s="685"/>
      <c r="NOY77" s="685"/>
      <c r="NOZ77" s="685"/>
      <c r="NPA77" s="685"/>
      <c r="NPB77" s="685"/>
      <c r="NPC77" s="685"/>
      <c r="NPD77" s="685"/>
      <c r="NPE77" s="685"/>
      <c r="NPF77" s="685"/>
      <c r="NPG77" s="685"/>
      <c r="NPH77" s="685"/>
      <c r="NPI77" s="685"/>
      <c r="NPJ77" s="685"/>
      <c r="NPK77" s="685"/>
      <c r="NPL77" s="685"/>
      <c r="NPM77" s="685"/>
      <c r="NPN77" s="685"/>
      <c r="NPO77" s="685"/>
      <c r="NPP77" s="685"/>
      <c r="NPQ77" s="685"/>
      <c r="NPR77" s="685"/>
      <c r="NPS77" s="685"/>
      <c r="NPT77" s="685"/>
      <c r="NPU77" s="685"/>
      <c r="NPV77" s="685"/>
      <c r="NPW77" s="685"/>
      <c r="NPX77" s="685"/>
      <c r="NPY77" s="685"/>
      <c r="NPZ77" s="685"/>
      <c r="NQA77" s="685"/>
      <c r="NQB77" s="685"/>
      <c r="NQC77" s="685"/>
      <c r="NQD77" s="685"/>
      <c r="NQE77" s="685"/>
      <c r="NQF77" s="685"/>
      <c r="NQG77" s="685"/>
      <c r="NQH77" s="685"/>
      <c r="NQI77" s="685"/>
      <c r="NQJ77" s="685"/>
      <c r="NQK77" s="685"/>
      <c r="NQL77" s="685"/>
      <c r="NQM77" s="685"/>
      <c r="NQN77" s="685"/>
      <c r="NQO77" s="685"/>
      <c r="NQP77" s="685"/>
      <c r="NQQ77" s="685"/>
      <c r="NQR77" s="685"/>
      <c r="NQS77" s="685"/>
      <c r="NQT77" s="685"/>
      <c r="NQU77" s="685"/>
      <c r="NQV77" s="685"/>
      <c r="NQW77" s="685"/>
      <c r="NQX77" s="685"/>
      <c r="NQY77" s="685"/>
      <c r="NQZ77" s="685"/>
      <c r="NRA77" s="685"/>
      <c r="NRB77" s="685"/>
      <c r="NRC77" s="685"/>
      <c r="NRD77" s="685"/>
      <c r="NRE77" s="685"/>
      <c r="NRF77" s="685"/>
      <c r="NRG77" s="685"/>
      <c r="NRH77" s="685"/>
      <c r="NRI77" s="685"/>
      <c r="NRJ77" s="685"/>
      <c r="NRK77" s="685"/>
      <c r="NRL77" s="685"/>
      <c r="NRM77" s="685"/>
      <c r="NRN77" s="685"/>
      <c r="NRO77" s="685"/>
      <c r="NRP77" s="685"/>
      <c r="NRQ77" s="685"/>
      <c r="NRR77" s="685"/>
      <c r="NRS77" s="685"/>
      <c r="NRT77" s="685"/>
      <c r="NRU77" s="685"/>
      <c r="NRV77" s="685"/>
      <c r="NRW77" s="685"/>
      <c r="NRX77" s="685"/>
      <c r="NRY77" s="685"/>
      <c r="NRZ77" s="685"/>
      <c r="NSA77" s="685"/>
      <c r="NSB77" s="685"/>
      <c r="NSC77" s="685"/>
      <c r="NSD77" s="685"/>
      <c r="NSE77" s="685"/>
      <c r="NSF77" s="685"/>
      <c r="NSG77" s="685"/>
      <c r="NSH77" s="685"/>
      <c r="NSI77" s="685"/>
      <c r="NSJ77" s="685"/>
      <c r="NSK77" s="685"/>
      <c r="NSL77" s="685"/>
      <c r="NSM77" s="685"/>
      <c r="NSN77" s="685"/>
      <c r="NSO77" s="685"/>
      <c r="NSP77" s="685"/>
      <c r="NSQ77" s="685"/>
      <c r="NSR77" s="685"/>
      <c r="NSS77" s="685"/>
      <c r="NST77" s="685"/>
      <c r="NSU77" s="685"/>
      <c r="NSV77" s="685"/>
      <c r="NSW77" s="685"/>
      <c r="NSX77" s="685"/>
      <c r="NSY77" s="685"/>
      <c r="NSZ77" s="685"/>
      <c r="NTA77" s="685"/>
      <c r="NTB77" s="685"/>
      <c r="NTC77" s="685"/>
      <c r="NTD77" s="685"/>
      <c r="NTE77" s="685"/>
      <c r="NTF77" s="685"/>
      <c r="NTG77" s="685"/>
      <c r="NTH77" s="685"/>
      <c r="NTI77" s="685"/>
      <c r="NTJ77" s="685"/>
      <c r="NTK77" s="685"/>
      <c r="NTL77" s="685"/>
      <c r="NTM77" s="685"/>
      <c r="NTN77" s="685"/>
      <c r="NTO77" s="685"/>
      <c r="NTP77" s="685"/>
      <c r="NTQ77" s="685"/>
      <c r="NTR77" s="685"/>
      <c r="NTS77" s="685"/>
      <c r="NTT77" s="685"/>
      <c r="NTU77" s="685"/>
      <c r="NTV77" s="685"/>
      <c r="NTW77" s="685"/>
      <c r="NTX77" s="685"/>
      <c r="NTY77" s="685"/>
      <c r="NTZ77" s="685"/>
      <c r="NUA77" s="685"/>
      <c r="NUB77" s="685"/>
      <c r="NUC77" s="685"/>
      <c r="NUD77" s="685"/>
      <c r="NUE77" s="685"/>
      <c r="NUF77" s="685"/>
      <c r="NUG77" s="685"/>
      <c r="NUH77" s="685"/>
      <c r="NUI77" s="685"/>
      <c r="NUJ77" s="685"/>
      <c r="NUK77" s="685"/>
      <c r="NUL77" s="685"/>
      <c r="NUM77" s="685"/>
      <c r="NUN77" s="685"/>
      <c r="NUO77" s="685"/>
      <c r="NUP77" s="685"/>
      <c r="NUQ77" s="685"/>
      <c r="NUR77" s="685"/>
      <c r="NUS77" s="685"/>
      <c r="NUT77" s="685"/>
      <c r="NUU77" s="685"/>
      <c r="NUV77" s="685"/>
      <c r="NUW77" s="685"/>
      <c r="NUX77" s="685"/>
      <c r="NUY77" s="685"/>
      <c r="NUZ77" s="685"/>
      <c r="NVA77" s="685"/>
      <c r="NVB77" s="685"/>
      <c r="NVC77" s="685"/>
      <c r="NVD77" s="685"/>
      <c r="NVE77" s="685"/>
      <c r="NVF77" s="685"/>
      <c r="NVG77" s="685"/>
      <c r="NVH77" s="685"/>
      <c r="NVI77" s="685"/>
      <c r="NVJ77" s="685"/>
      <c r="NVK77" s="685"/>
      <c r="NVL77" s="685"/>
      <c r="NVM77" s="685"/>
      <c r="NVN77" s="685"/>
      <c r="NVO77" s="685"/>
      <c r="NVP77" s="685"/>
      <c r="NVQ77" s="685"/>
      <c r="NVR77" s="685"/>
      <c r="NVS77" s="685"/>
      <c r="NVT77" s="685"/>
      <c r="NVU77" s="685"/>
      <c r="NVV77" s="685"/>
      <c r="NVW77" s="685"/>
      <c r="NVX77" s="685"/>
      <c r="NVY77" s="685"/>
      <c r="NVZ77" s="685"/>
      <c r="NWA77" s="685"/>
      <c r="NWB77" s="685"/>
      <c r="NWC77" s="685"/>
      <c r="NWD77" s="685"/>
      <c r="NWE77" s="685"/>
      <c r="NWF77" s="685"/>
      <c r="NWG77" s="685"/>
      <c r="NWH77" s="685"/>
      <c r="NWI77" s="685"/>
      <c r="NWJ77" s="685"/>
      <c r="NWK77" s="685"/>
      <c r="NWL77" s="685"/>
      <c r="NWM77" s="685"/>
      <c r="NWN77" s="685"/>
      <c r="NWO77" s="685"/>
      <c r="NWP77" s="685"/>
      <c r="NWQ77" s="685"/>
      <c r="NWR77" s="685"/>
      <c r="NWS77" s="685"/>
      <c r="NWT77" s="685"/>
      <c r="NWU77" s="685"/>
      <c r="NWV77" s="685"/>
      <c r="NWW77" s="685"/>
      <c r="NWX77" s="685"/>
      <c r="NWY77" s="685"/>
      <c r="NWZ77" s="685"/>
      <c r="NXA77" s="685"/>
      <c r="NXB77" s="685"/>
      <c r="NXC77" s="685"/>
      <c r="NXD77" s="685"/>
      <c r="NXE77" s="685"/>
      <c r="NXF77" s="685"/>
      <c r="NXG77" s="685"/>
      <c r="NXH77" s="685"/>
      <c r="NXI77" s="685"/>
      <c r="NXJ77" s="685"/>
      <c r="NXK77" s="685"/>
      <c r="NXL77" s="685"/>
      <c r="NXM77" s="685"/>
      <c r="NXN77" s="685"/>
      <c r="NXO77" s="685"/>
      <c r="NXP77" s="685"/>
      <c r="NXQ77" s="685"/>
      <c r="NXR77" s="685"/>
      <c r="NXS77" s="685"/>
      <c r="NXT77" s="685"/>
      <c r="NXU77" s="685"/>
      <c r="NXV77" s="685"/>
      <c r="NXW77" s="685"/>
      <c r="NXX77" s="685"/>
      <c r="NXY77" s="685"/>
      <c r="NXZ77" s="685"/>
      <c r="NYA77" s="685"/>
      <c r="NYB77" s="685"/>
      <c r="NYC77" s="685"/>
      <c r="NYD77" s="685"/>
      <c r="NYE77" s="685"/>
      <c r="NYF77" s="685"/>
      <c r="NYG77" s="685"/>
      <c r="NYH77" s="685"/>
      <c r="NYI77" s="685"/>
      <c r="NYJ77" s="685"/>
      <c r="NYK77" s="685"/>
      <c r="NYL77" s="685"/>
      <c r="NYM77" s="685"/>
      <c r="NYN77" s="685"/>
      <c r="NYO77" s="685"/>
      <c r="NYP77" s="685"/>
      <c r="NYQ77" s="685"/>
      <c r="NYR77" s="685"/>
      <c r="NYS77" s="685"/>
      <c r="NYT77" s="685"/>
      <c r="NYU77" s="685"/>
      <c r="NYV77" s="685"/>
      <c r="NYW77" s="685"/>
      <c r="NYX77" s="685"/>
      <c r="NYY77" s="685"/>
      <c r="NYZ77" s="685"/>
      <c r="NZA77" s="685"/>
      <c r="NZB77" s="685"/>
      <c r="NZC77" s="685"/>
      <c r="NZD77" s="685"/>
      <c r="NZE77" s="685"/>
      <c r="NZF77" s="685"/>
      <c r="NZG77" s="685"/>
      <c r="NZH77" s="685"/>
      <c r="NZI77" s="685"/>
      <c r="NZJ77" s="685"/>
      <c r="NZK77" s="685"/>
      <c r="NZL77" s="685"/>
      <c r="NZM77" s="685"/>
      <c r="NZN77" s="685"/>
      <c r="NZO77" s="685"/>
      <c r="NZP77" s="685"/>
      <c r="NZQ77" s="685"/>
      <c r="NZR77" s="685"/>
      <c r="NZS77" s="685"/>
      <c r="NZT77" s="685"/>
      <c r="NZU77" s="685"/>
      <c r="NZV77" s="685"/>
      <c r="NZW77" s="685"/>
      <c r="NZX77" s="685"/>
      <c r="NZY77" s="685"/>
      <c r="NZZ77" s="685"/>
      <c r="OAA77" s="685"/>
      <c r="OAB77" s="685"/>
      <c r="OAC77" s="685"/>
      <c r="OAD77" s="685"/>
      <c r="OAE77" s="685"/>
      <c r="OAF77" s="685"/>
      <c r="OAG77" s="685"/>
      <c r="OAH77" s="685"/>
      <c r="OAI77" s="685"/>
      <c r="OAJ77" s="685"/>
      <c r="OAK77" s="685"/>
      <c r="OAL77" s="685"/>
      <c r="OAM77" s="685"/>
      <c r="OAN77" s="685"/>
      <c r="OAO77" s="685"/>
      <c r="OAP77" s="685"/>
      <c r="OAQ77" s="685"/>
      <c r="OAR77" s="685"/>
      <c r="OAS77" s="685"/>
      <c r="OAT77" s="685"/>
      <c r="OAU77" s="685"/>
      <c r="OAV77" s="685"/>
      <c r="OAW77" s="685"/>
      <c r="OAX77" s="685"/>
      <c r="OAY77" s="685"/>
      <c r="OAZ77" s="685"/>
      <c r="OBA77" s="685"/>
      <c r="OBB77" s="685"/>
      <c r="OBC77" s="685"/>
      <c r="OBD77" s="685"/>
      <c r="OBE77" s="685"/>
      <c r="OBF77" s="685"/>
      <c r="OBG77" s="685"/>
      <c r="OBH77" s="685"/>
      <c r="OBI77" s="685"/>
      <c r="OBJ77" s="685"/>
      <c r="OBK77" s="685"/>
      <c r="OBL77" s="685"/>
      <c r="OBM77" s="685"/>
      <c r="OBN77" s="685"/>
      <c r="OBO77" s="685"/>
      <c r="OBP77" s="685"/>
      <c r="OBQ77" s="685"/>
      <c r="OBR77" s="685"/>
      <c r="OBS77" s="685"/>
      <c r="OBT77" s="685"/>
      <c r="OBU77" s="685"/>
      <c r="OBV77" s="685"/>
      <c r="OBW77" s="685"/>
      <c r="OBX77" s="685"/>
      <c r="OBY77" s="685"/>
      <c r="OBZ77" s="685"/>
      <c r="OCA77" s="685"/>
      <c r="OCB77" s="685"/>
      <c r="OCC77" s="685"/>
      <c r="OCD77" s="685"/>
      <c r="OCE77" s="685"/>
      <c r="OCF77" s="685"/>
      <c r="OCG77" s="685"/>
      <c r="OCH77" s="685"/>
      <c r="OCI77" s="685"/>
      <c r="OCJ77" s="685"/>
      <c r="OCK77" s="685"/>
      <c r="OCL77" s="685"/>
      <c r="OCM77" s="685"/>
      <c r="OCN77" s="685"/>
      <c r="OCO77" s="685"/>
      <c r="OCP77" s="685"/>
      <c r="OCQ77" s="685"/>
      <c r="OCR77" s="685"/>
      <c r="OCS77" s="685"/>
      <c r="OCT77" s="685"/>
      <c r="OCU77" s="685"/>
      <c r="OCV77" s="685"/>
      <c r="OCW77" s="685"/>
      <c r="OCX77" s="685"/>
      <c r="OCY77" s="685"/>
      <c r="OCZ77" s="685"/>
      <c r="ODA77" s="685"/>
      <c r="ODB77" s="685"/>
      <c r="ODC77" s="685"/>
      <c r="ODD77" s="685"/>
      <c r="ODE77" s="685"/>
      <c r="ODF77" s="685"/>
      <c r="ODG77" s="685"/>
      <c r="ODH77" s="685"/>
      <c r="ODI77" s="685"/>
      <c r="ODJ77" s="685"/>
      <c r="ODK77" s="685"/>
      <c r="ODL77" s="685"/>
      <c r="ODM77" s="685"/>
      <c r="ODN77" s="685"/>
      <c r="ODO77" s="685"/>
      <c r="ODP77" s="685"/>
      <c r="ODQ77" s="685"/>
      <c r="ODR77" s="685"/>
      <c r="ODS77" s="685"/>
      <c r="ODT77" s="685"/>
      <c r="ODU77" s="685"/>
      <c r="ODV77" s="685"/>
      <c r="ODW77" s="685"/>
      <c r="ODX77" s="685"/>
      <c r="ODY77" s="685"/>
      <c r="ODZ77" s="685"/>
      <c r="OEA77" s="685"/>
      <c r="OEB77" s="685"/>
      <c r="OEC77" s="685"/>
      <c r="OED77" s="685"/>
      <c r="OEE77" s="685"/>
      <c r="OEF77" s="685"/>
      <c r="OEG77" s="685"/>
      <c r="OEH77" s="685"/>
      <c r="OEI77" s="685"/>
      <c r="OEJ77" s="685"/>
      <c r="OEK77" s="685"/>
      <c r="OEL77" s="685"/>
      <c r="OEM77" s="685"/>
      <c r="OEN77" s="685"/>
      <c r="OEO77" s="685"/>
      <c r="OEP77" s="685"/>
      <c r="OEQ77" s="685"/>
      <c r="OER77" s="685"/>
      <c r="OES77" s="685"/>
      <c r="OET77" s="685"/>
      <c r="OEU77" s="685"/>
      <c r="OEV77" s="685"/>
      <c r="OEW77" s="685"/>
      <c r="OEX77" s="685"/>
      <c r="OEY77" s="685"/>
      <c r="OEZ77" s="685"/>
      <c r="OFA77" s="685"/>
      <c r="OFB77" s="685"/>
      <c r="OFC77" s="685"/>
      <c r="OFD77" s="685"/>
      <c r="OFE77" s="685"/>
      <c r="OFF77" s="685"/>
      <c r="OFG77" s="685"/>
      <c r="OFH77" s="685"/>
      <c r="OFI77" s="685"/>
      <c r="OFJ77" s="685"/>
      <c r="OFK77" s="685"/>
      <c r="OFL77" s="685"/>
      <c r="OFM77" s="685"/>
      <c r="OFN77" s="685"/>
      <c r="OFO77" s="685"/>
      <c r="OFP77" s="685"/>
      <c r="OFQ77" s="685"/>
      <c r="OFR77" s="685"/>
      <c r="OFS77" s="685"/>
      <c r="OFT77" s="685"/>
      <c r="OFU77" s="685"/>
      <c r="OFV77" s="685"/>
      <c r="OFW77" s="685"/>
      <c r="OFX77" s="685"/>
      <c r="OFY77" s="685"/>
      <c r="OFZ77" s="685"/>
      <c r="OGA77" s="685"/>
      <c r="OGB77" s="685"/>
      <c r="OGC77" s="685"/>
      <c r="OGD77" s="685"/>
      <c r="OGE77" s="685"/>
      <c r="OGF77" s="685"/>
      <c r="OGG77" s="685"/>
      <c r="OGH77" s="685"/>
      <c r="OGI77" s="685"/>
      <c r="OGJ77" s="685"/>
      <c r="OGK77" s="685"/>
      <c r="OGL77" s="685"/>
      <c r="OGM77" s="685"/>
      <c r="OGN77" s="685"/>
      <c r="OGO77" s="685"/>
      <c r="OGP77" s="685"/>
      <c r="OGQ77" s="685"/>
      <c r="OGR77" s="685"/>
      <c r="OGS77" s="685"/>
      <c r="OGT77" s="685"/>
      <c r="OGU77" s="685"/>
      <c r="OGV77" s="685"/>
      <c r="OGW77" s="685"/>
      <c r="OGX77" s="685"/>
      <c r="OGY77" s="685"/>
      <c r="OGZ77" s="685"/>
      <c r="OHA77" s="685"/>
      <c r="OHB77" s="685"/>
      <c r="OHC77" s="685"/>
      <c r="OHD77" s="685"/>
      <c r="OHE77" s="685"/>
      <c r="OHF77" s="685"/>
      <c r="OHG77" s="685"/>
      <c r="OHH77" s="685"/>
      <c r="OHI77" s="685"/>
      <c r="OHJ77" s="685"/>
      <c r="OHK77" s="685"/>
      <c r="OHL77" s="685"/>
      <c r="OHM77" s="685"/>
      <c r="OHN77" s="685"/>
      <c r="OHO77" s="685"/>
      <c r="OHP77" s="685"/>
      <c r="OHQ77" s="685"/>
      <c r="OHR77" s="685"/>
      <c r="OHS77" s="685"/>
      <c r="OHT77" s="685"/>
      <c r="OHU77" s="685"/>
      <c r="OHV77" s="685"/>
      <c r="OHW77" s="685"/>
      <c r="OHX77" s="685"/>
      <c r="OHY77" s="685"/>
      <c r="OHZ77" s="685"/>
      <c r="OIA77" s="685"/>
      <c r="OIB77" s="685"/>
      <c r="OIC77" s="685"/>
      <c r="OID77" s="685"/>
      <c r="OIE77" s="685"/>
      <c r="OIF77" s="685"/>
      <c r="OIG77" s="685"/>
      <c r="OIH77" s="685"/>
      <c r="OII77" s="685"/>
      <c r="OIJ77" s="685"/>
      <c r="OIK77" s="685"/>
      <c r="OIL77" s="685"/>
      <c r="OIM77" s="685"/>
      <c r="OIN77" s="685"/>
      <c r="OIO77" s="685"/>
      <c r="OIP77" s="685"/>
      <c r="OIQ77" s="685"/>
      <c r="OIR77" s="685"/>
      <c r="OIS77" s="685"/>
      <c r="OIT77" s="685"/>
      <c r="OIU77" s="685"/>
      <c r="OIV77" s="685"/>
      <c r="OIW77" s="685"/>
      <c r="OIX77" s="685"/>
      <c r="OIY77" s="685"/>
      <c r="OIZ77" s="685"/>
      <c r="OJA77" s="685"/>
      <c r="OJB77" s="685"/>
      <c r="OJC77" s="685"/>
      <c r="OJD77" s="685"/>
      <c r="OJE77" s="685"/>
      <c r="OJF77" s="685"/>
      <c r="OJG77" s="685"/>
      <c r="OJH77" s="685"/>
      <c r="OJI77" s="685"/>
      <c r="OJJ77" s="685"/>
      <c r="OJK77" s="685"/>
      <c r="OJL77" s="685"/>
      <c r="OJM77" s="685"/>
      <c r="OJN77" s="685"/>
      <c r="OJO77" s="685"/>
      <c r="OJP77" s="685"/>
      <c r="OJQ77" s="685"/>
      <c r="OJR77" s="685"/>
      <c r="OJS77" s="685"/>
      <c r="OJT77" s="685"/>
      <c r="OJU77" s="685"/>
      <c r="OJV77" s="685"/>
      <c r="OJW77" s="685"/>
      <c r="OJX77" s="685"/>
      <c r="OJY77" s="685"/>
      <c r="OJZ77" s="685"/>
      <c r="OKA77" s="685"/>
      <c r="OKB77" s="685"/>
      <c r="OKC77" s="685"/>
      <c r="OKD77" s="685"/>
      <c r="OKE77" s="685"/>
      <c r="OKF77" s="685"/>
      <c r="OKG77" s="685"/>
      <c r="OKH77" s="685"/>
      <c r="OKI77" s="685"/>
      <c r="OKJ77" s="685"/>
      <c r="OKK77" s="685"/>
      <c r="OKL77" s="685"/>
      <c r="OKM77" s="685"/>
      <c r="OKN77" s="685"/>
      <c r="OKO77" s="685"/>
      <c r="OKP77" s="685"/>
      <c r="OKQ77" s="685"/>
      <c r="OKR77" s="685"/>
      <c r="OKS77" s="685"/>
      <c r="OKT77" s="685"/>
      <c r="OKU77" s="685"/>
      <c r="OKV77" s="685"/>
      <c r="OKW77" s="685"/>
      <c r="OKX77" s="685"/>
      <c r="OKY77" s="685"/>
      <c r="OKZ77" s="685"/>
      <c r="OLA77" s="685"/>
      <c r="OLB77" s="685"/>
      <c r="OLC77" s="685"/>
      <c r="OLD77" s="685"/>
      <c r="OLE77" s="685"/>
      <c r="OLF77" s="685"/>
      <c r="OLG77" s="685"/>
      <c r="OLH77" s="685"/>
      <c r="OLI77" s="685"/>
      <c r="OLJ77" s="685"/>
      <c r="OLK77" s="685"/>
      <c r="OLL77" s="685"/>
      <c r="OLM77" s="685"/>
      <c r="OLN77" s="685"/>
      <c r="OLO77" s="685"/>
      <c r="OLP77" s="685"/>
      <c r="OLQ77" s="685"/>
      <c r="OLR77" s="685"/>
      <c r="OLS77" s="685"/>
      <c r="OLT77" s="685"/>
      <c r="OLU77" s="685"/>
      <c r="OLV77" s="685"/>
      <c r="OLW77" s="685"/>
      <c r="OLX77" s="685"/>
      <c r="OLY77" s="685"/>
      <c r="OLZ77" s="685"/>
      <c r="OMA77" s="685"/>
      <c r="OMB77" s="685"/>
      <c r="OMC77" s="685"/>
      <c r="OMD77" s="685"/>
      <c r="OME77" s="685"/>
      <c r="OMF77" s="685"/>
      <c r="OMG77" s="685"/>
      <c r="OMH77" s="685"/>
      <c r="OMI77" s="685"/>
      <c r="OMJ77" s="685"/>
      <c r="OMK77" s="685"/>
      <c r="OML77" s="685"/>
      <c r="OMM77" s="685"/>
      <c r="OMN77" s="685"/>
      <c r="OMO77" s="685"/>
      <c r="OMP77" s="685"/>
      <c r="OMQ77" s="685"/>
      <c r="OMR77" s="685"/>
      <c r="OMS77" s="685"/>
      <c r="OMT77" s="685"/>
      <c r="OMU77" s="685"/>
      <c r="OMV77" s="685"/>
      <c r="OMW77" s="685"/>
      <c r="OMX77" s="685"/>
      <c r="OMY77" s="685"/>
      <c r="OMZ77" s="685"/>
      <c r="ONA77" s="685"/>
      <c r="ONB77" s="685"/>
      <c r="ONC77" s="685"/>
      <c r="OND77" s="685"/>
      <c r="ONE77" s="685"/>
      <c r="ONF77" s="685"/>
      <c r="ONG77" s="685"/>
      <c r="ONH77" s="685"/>
      <c r="ONI77" s="685"/>
      <c r="ONJ77" s="685"/>
      <c r="ONK77" s="685"/>
      <c r="ONL77" s="685"/>
      <c r="ONM77" s="685"/>
      <c r="ONN77" s="685"/>
      <c r="ONO77" s="685"/>
      <c r="ONP77" s="685"/>
      <c r="ONQ77" s="685"/>
      <c r="ONR77" s="685"/>
      <c r="ONS77" s="685"/>
      <c r="ONT77" s="685"/>
      <c r="ONU77" s="685"/>
      <c r="ONV77" s="685"/>
      <c r="ONW77" s="685"/>
      <c r="ONX77" s="685"/>
      <c r="ONY77" s="685"/>
      <c r="ONZ77" s="685"/>
      <c r="OOA77" s="685"/>
      <c r="OOB77" s="685"/>
      <c r="OOC77" s="685"/>
      <c r="OOD77" s="685"/>
      <c r="OOE77" s="685"/>
      <c r="OOF77" s="685"/>
      <c r="OOG77" s="685"/>
      <c r="OOH77" s="685"/>
      <c r="OOI77" s="685"/>
      <c r="OOJ77" s="685"/>
      <c r="OOK77" s="685"/>
      <c r="OOL77" s="685"/>
      <c r="OOM77" s="685"/>
      <c r="OON77" s="685"/>
      <c r="OOO77" s="685"/>
      <c r="OOP77" s="685"/>
      <c r="OOQ77" s="685"/>
      <c r="OOR77" s="685"/>
      <c r="OOS77" s="685"/>
      <c r="OOT77" s="685"/>
      <c r="OOU77" s="685"/>
      <c r="OOV77" s="685"/>
      <c r="OOW77" s="685"/>
      <c r="OOX77" s="685"/>
      <c r="OOY77" s="685"/>
      <c r="OOZ77" s="685"/>
      <c r="OPA77" s="685"/>
      <c r="OPB77" s="685"/>
      <c r="OPC77" s="685"/>
      <c r="OPD77" s="685"/>
      <c r="OPE77" s="685"/>
      <c r="OPF77" s="685"/>
      <c r="OPG77" s="685"/>
      <c r="OPH77" s="685"/>
      <c r="OPI77" s="685"/>
      <c r="OPJ77" s="685"/>
      <c r="OPK77" s="685"/>
      <c r="OPL77" s="685"/>
      <c r="OPM77" s="685"/>
      <c r="OPN77" s="685"/>
      <c r="OPO77" s="685"/>
      <c r="OPP77" s="685"/>
      <c r="OPQ77" s="685"/>
      <c r="OPR77" s="685"/>
      <c r="OPS77" s="685"/>
      <c r="OPT77" s="685"/>
      <c r="OPU77" s="685"/>
      <c r="OPV77" s="685"/>
      <c r="OPW77" s="685"/>
      <c r="OPX77" s="685"/>
      <c r="OPY77" s="685"/>
      <c r="OPZ77" s="685"/>
      <c r="OQA77" s="685"/>
      <c r="OQB77" s="685"/>
      <c r="OQC77" s="685"/>
      <c r="OQD77" s="685"/>
      <c r="OQE77" s="685"/>
      <c r="OQF77" s="685"/>
      <c r="OQG77" s="685"/>
      <c r="OQH77" s="685"/>
      <c r="OQI77" s="685"/>
      <c r="OQJ77" s="685"/>
      <c r="OQK77" s="685"/>
      <c r="OQL77" s="685"/>
      <c r="OQM77" s="685"/>
      <c r="OQN77" s="685"/>
      <c r="OQO77" s="685"/>
      <c r="OQP77" s="685"/>
      <c r="OQQ77" s="685"/>
      <c r="OQR77" s="685"/>
      <c r="OQS77" s="685"/>
      <c r="OQT77" s="685"/>
      <c r="OQU77" s="685"/>
      <c r="OQV77" s="685"/>
      <c r="OQW77" s="685"/>
      <c r="OQX77" s="685"/>
      <c r="OQY77" s="685"/>
      <c r="OQZ77" s="685"/>
      <c r="ORA77" s="685"/>
      <c r="ORB77" s="685"/>
      <c r="ORC77" s="685"/>
      <c r="ORD77" s="685"/>
      <c r="ORE77" s="685"/>
      <c r="ORF77" s="685"/>
      <c r="ORG77" s="685"/>
      <c r="ORH77" s="685"/>
      <c r="ORI77" s="685"/>
      <c r="ORJ77" s="685"/>
      <c r="ORK77" s="685"/>
      <c r="ORL77" s="685"/>
      <c r="ORM77" s="685"/>
      <c r="ORN77" s="685"/>
      <c r="ORO77" s="685"/>
      <c r="ORP77" s="685"/>
      <c r="ORQ77" s="685"/>
      <c r="ORR77" s="685"/>
      <c r="ORS77" s="685"/>
      <c r="ORT77" s="685"/>
      <c r="ORU77" s="685"/>
      <c r="ORV77" s="685"/>
      <c r="ORW77" s="685"/>
      <c r="ORX77" s="685"/>
      <c r="ORY77" s="685"/>
      <c r="ORZ77" s="685"/>
      <c r="OSA77" s="685"/>
      <c r="OSB77" s="685"/>
      <c r="OSC77" s="685"/>
      <c r="OSD77" s="685"/>
      <c r="OSE77" s="685"/>
      <c r="OSF77" s="685"/>
      <c r="OSG77" s="685"/>
      <c r="OSH77" s="685"/>
      <c r="OSI77" s="685"/>
      <c r="OSJ77" s="685"/>
      <c r="OSK77" s="685"/>
      <c r="OSL77" s="685"/>
      <c r="OSM77" s="685"/>
      <c r="OSN77" s="685"/>
      <c r="OSO77" s="685"/>
      <c r="OSP77" s="685"/>
      <c r="OSQ77" s="685"/>
      <c r="OSR77" s="685"/>
      <c r="OSS77" s="685"/>
      <c r="OST77" s="685"/>
      <c r="OSU77" s="685"/>
      <c r="OSV77" s="685"/>
      <c r="OSW77" s="685"/>
      <c r="OSX77" s="685"/>
      <c r="OSY77" s="685"/>
      <c r="OSZ77" s="685"/>
      <c r="OTA77" s="685"/>
      <c r="OTB77" s="685"/>
      <c r="OTC77" s="685"/>
      <c r="OTD77" s="685"/>
      <c r="OTE77" s="685"/>
      <c r="OTF77" s="685"/>
      <c r="OTG77" s="685"/>
      <c r="OTH77" s="685"/>
      <c r="OTI77" s="685"/>
      <c r="OTJ77" s="685"/>
      <c r="OTK77" s="685"/>
      <c r="OTL77" s="685"/>
      <c r="OTM77" s="685"/>
      <c r="OTN77" s="685"/>
      <c r="OTO77" s="685"/>
      <c r="OTP77" s="685"/>
      <c r="OTQ77" s="685"/>
      <c r="OTR77" s="685"/>
      <c r="OTS77" s="685"/>
      <c r="OTT77" s="685"/>
      <c r="OTU77" s="685"/>
      <c r="OTV77" s="685"/>
      <c r="OTW77" s="685"/>
      <c r="OTX77" s="685"/>
      <c r="OTY77" s="685"/>
      <c r="OTZ77" s="685"/>
      <c r="OUA77" s="685"/>
      <c r="OUB77" s="685"/>
      <c r="OUC77" s="685"/>
      <c r="OUD77" s="685"/>
      <c r="OUE77" s="685"/>
      <c r="OUF77" s="685"/>
      <c r="OUG77" s="685"/>
      <c r="OUH77" s="685"/>
      <c r="OUI77" s="685"/>
      <c r="OUJ77" s="685"/>
      <c r="OUK77" s="685"/>
      <c r="OUL77" s="685"/>
      <c r="OUM77" s="685"/>
      <c r="OUN77" s="685"/>
      <c r="OUO77" s="685"/>
      <c r="OUP77" s="685"/>
      <c r="OUQ77" s="685"/>
      <c r="OUR77" s="685"/>
      <c r="OUS77" s="685"/>
      <c r="OUT77" s="685"/>
      <c r="OUU77" s="685"/>
      <c r="OUV77" s="685"/>
      <c r="OUW77" s="685"/>
      <c r="OUX77" s="685"/>
      <c r="OUY77" s="685"/>
      <c r="OUZ77" s="685"/>
      <c r="OVA77" s="685"/>
      <c r="OVB77" s="685"/>
      <c r="OVC77" s="685"/>
      <c r="OVD77" s="685"/>
      <c r="OVE77" s="685"/>
      <c r="OVF77" s="685"/>
      <c r="OVG77" s="685"/>
      <c r="OVH77" s="685"/>
      <c r="OVI77" s="685"/>
      <c r="OVJ77" s="685"/>
      <c r="OVK77" s="685"/>
      <c r="OVL77" s="685"/>
      <c r="OVM77" s="685"/>
      <c r="OVN77" s="685"/>
      <c r="OVO77" s="685"/>
      <c r="OVP77" s="685"/>
      <c r="OVQ77" s="685"/>
      <c r="OVR77" s="685"/>
      <c r="OVS77" s="685"/>
      <c r="OVT77" s="685"/>
      <c r="OVU77" s="685"/>
      <c r="OVV77" s="685"/>
      <c r="OVW77" s="685"/>
      <c r="OVX77" s="685"/>
      <c r="OVY77" s="685"/>
      <c r="OVZ77" s="685"/>
      <c r="OWA77" s="685"/>
      <c r="OWB77" s="685"/>
      <c r="OWC77" s="685"/>
      <c r="OWD77" s="685"/>
      <c r="OWE77" s="685"/>
      <c r="OWF77" s="685"/>
      <c r="OWG77" s="685"/>
      <c r="OWH77" s="685"/>
      <c r="OWI77" s="685"/>
      <c r="OWJ77" s="685"/>
      <c r="OWK77" s="685"/>
      <c r="OWL77" s="685"/>
      <c r="OWM77" s="685"/>
      <c r="OWN77" s="685"/>
      <c r="OWO77" s="685"/>
      <c r="OWP77" s="685"/>
      <c r="OWQ77" s="685"/>
      <c r="OWR77" s="685"/>
      <c r="OWS77" s="685"/>
      <c r="OWT77" s="685"/>
      <c r="OWU77" s="685"/>
      <c r="OWV77" s="685"/>
      <c r="OWW77" s="685"/>
      <c r="OWX77" s="685"/>
      <c r="OWY77" s="685"/>
      <c r="OWZ77" s="685"/>
      <c r="OXA77" s="685"/>
      <c r="OXB77" s="685"/>
      <c r="OXC77" s="685"/>
      <c r="OXD77" s="685"/>
      <c r="OXE77" s="685"/>
      <c r="OXF77" s="685"/>
      <c r="OXG77" s="685"/>
      <c r="OXH77" s="685"/>
      <c r="OXI77" s="685"/>
      <c r="OXJ77" s="685"/>
      <c r="OXK77" s="685"/>
      <c r="OXL77" s="685"/>
      <c r="OXM77" s="685"/>
      <c r="OXN77" s="685"/>
      <c r="OXO77" s="685"/>
      <c r="OXP77" s="685"/>
      <c r="OXQ77" s="685"/>
      <c r="OXR77" s="685"/>
      <c r="OXS77" s="685"/>
      <c r="OXT77" s="685"/>
      <c r="OXU77" s="685"/>
      <c r="OXV77" s="685"/>
      <c r="OXW77" s="685"/>
      <c r="OXX77" s="685"/>
      <c r="OXY77" s="685"/>
      <c r="OXZ77" s="685"/>
      <c r="OYA77" s="685"/>
      <c r="OYB77" s="685"/>
      <c r="OYC77" s="685"/>
      <c r="OYD77" s="685"/>
      <c r="OYE77" s="685"/>
      <c r="OYF77" s="685"/>
      <c r="OYG77" s="685"/>
      <c r="OYH77" s="685"/>
      <c r="OYI77" s="685"/>
      <c r="OYJ77" s="685"/>
      <c r="OYK77" s="685"/>
      <c r="OYL77" s="685"/>
      <c r="OYM77" s="685"/>
      <c r="OYN77" s="685"/>
      <c r="OYO77" s="685"/>
      <c r="OYP77" s="685"/>
      <c r="OYQ77" s="685"/>
      <c r="OYR77" s="685"/>
      <c r="OYS77" s="685"/>
      <c r="OYT77" s="685"/>
      <c r="OYU77" s="685"/>
      <c r="OYV77" s="685"/>
      <c r="OYW77" s="685"/>
      <c r="OYX77" s="685"/>
      <c r="OYY77" s="685"/>
      <c r="OYZ77" s="685"/>
      <c r="OZA77" s="685"/>
      <c r="OZB77" s="685"/>
      <c r="OZC77" s="685"/>
      <c r="OZD77" s="685"/>
      <c r="OZE77" s="685"/>
      <c r="OZF77" s="685"/>
      <c r="OZG77" s="685"/>
      <c r="OZH77" s="685"/>
      <c r="OZI77" s="685"/>
      <c r="OZJ77" s="685"/>
      <c r="OZK77" s="685"/>
      <c r="OZL77" s="685"/>
      <c r="OZM77" s="685"/>
      <c r="OZN77" s="685"/>
      <c r="OZO77" s="685"/>
      <c r="OZP77" s="685"/>
      <c r="OZQ77" s="685"/>
      <c r="OZR77" s="685"/>
      <c r="OZS77" s="685"/>
      <c r="OZT77" s="685"/>
      <c r="OZU77" s="685"/>
      <c r="OZV77" s="685"/>
      <c r="OZW77" s="685"/>
      <c r="OZX77" s="685"/>
      <c r="OZY77" s="685"/>
      <c r="OZZ77" s="685"/>
      <c r="PAA77" s="685"/>
      <c r="PAB77" s="685"/>
      <c r="PAC77" s="685"/>
      <c r="PAD77" s="685"/>
      <c r="PAE77" s="685"/>
      <c r="PAF77" s="685"/>
      <c r="PAG77" s="685"/>
      <c r="PAH77" s="685"/>
      <c r="PAI77" s="685"/>
      <c r="PAJ77" s="685"/>
      <c r="PAK77" s="685"/>
      <c r="PAL77" s="685"/>
      <c r="PAM77" s="685"/>
      <c r="PAN77" s="685"/>
      <c r="PAO77" s="685"/>
      <c r="PAP77" s="685"/>
      <c r="PAQ77" s="685"/>
      <c r="PAR77" s="685"/>
      <c r="PAS77" s="685"/>
      <c r="PAT77" s="685"/>
      <c r="PAU77" s="685"/>
      <c r="PAV77" s="685"/>
      <c r="PAW77" s="685"/>
      <c r="PAX77" s="685"/>
      <c r="PAY77" s="685"/>
      <c r="PAZ77" s="685"/>
      <c r="PBA77" s="685"/>
      <c r="PBB77" s="685"/>
      <c r="PBC77" s="685"/>
      <c r="PBD77" s="685"/>
      <c r="PBE77" s="685"/>
      <c r="PBF77" s="685"/>
      <c r="PBG77" s="685"/>
      <c r="PBH77" s="685"/>
      <c r="PBI77" s="685"/>
      <c r="PBJ77" s="685"/>
      <c r="PBK77" s="685"/>
      <c r="PBL77" s="685"/>
      <c r="PBM77" s="685"/>
      <c r="PBN77" s="685"/>
      <c r="PBO77" s="685"/>
      <c r="PBP77" s="685"/>
      <c r="PBQ77" s="685"/>
      <c r="PBR77" s="685"/>
      <c r="PBS77" s="685"/>
      <c r="PBT77" s="685"/>
      <c r="PBU77" s="685"/>
      <c r="PBV77" s="685"/>
      <c r="PBW77" s="685"/>
      <c r="PBX77" s="685"/>
      <c r="PBY77" s="685"/>
      <c r="PBZ77" s="685"/>
      <c r="PCA77" s="685"/>
      <c r="PCB77" s="685"/>
      <c r="PCC77" s="685"/>
      <c r="PCD77" s="685"/>
      <c r="PCE77" s="685"/>
      <c r="PCF77" s="685"/>
      <c r="PCG77" s="685"/>
      <c r="PCH77" s="685"/>
      <c r="PCI77" s="685"/>
      <c r="PCJ77" s="685"/>
      <c r="PCK77" s="685"/>
      <c r="PCL77" s="685"/>
      <c r="PCM77" s="685"/>
      <c r="PCN77" s="685"/>
      <c r="PCO77" s="685"/>
      <c r="PCP77" s="685"/>
      <c r="PCQ77" s="685"/>
      <c r="PCR77" s="685"/>
      <c r="PCS77" s="685"/>
      <c r="PCT77" s="685"/>
      <c r="PCU77" s="685"/>
      <c r="PCV77" s="685"/>
      <c r="PCW77" s="685"/>
      <c r="PCX77" s="685"/>
      <c r="PCY77" s="685"/>
      <c r="PCZ77" s="685"/>
      <c r="PDA77" s="685"/>
      <c r="PDB77" s="685"/>
      <c r="PDC77" s="685"/>
      <c r="PDD77" s="685"/>
      <c r="PDE77" s="685"/>
      <c r="PDF77" s="685"/>
      <c r="PDG77" s="685"/>
      <c r="PDH77" s="685"/>
      <c r="PDI77" s="685"/>
      <c r="PDJ77" s="685"/>
      <c r="PDK77" s="685"/>
      <c r="PDL77" s="685"/>
      <c r="PDM77" s="685"/>
      <c r="PDN77" s="685"/>
      <c r="PDO77" s="685"/>
      <c r="PDP77" s="685"/>
      <c r="PDQ77" s="685"/>
      <c r="PDR77" s="685"/>
      <c r="PDS77" s="685"/>
      <c r="PDT77" s="685"/>
      <c r="PDU77" s="685"/>
      <c r="PDV77" s="685"/>
      <c r="PDW77" s="685"/>
      <c r="PDX77" s="685"/>
      <c r="PDY77" s="685"/>
      <c r="PDZ77" s="685"/>
      <c r="PEA77" s="685"/>
      <c r="PEB77" s="685"/>
      <c r="PEC77" s="685"/>
      <c r="PED77" s="685"/>
      <c r="PEE77" s="685"/>
      <c r="PEF77" s="685"/>
      <c r="PEG77" s="685"/>
      <c r="PEH77" s="685"/>
      <c r="PEI77" s="685"/>
      <c r="PEJ77" s="685"/>
      <c r="PEK77" s="685"/>
      <c r="PEL77" s="685"/>
      <c r="PEM77" s="685"/>
      <c r="PEN77" s="685"/>
      <c r="PEO77" s="685"/>
      <c r="PEP77" s="685"/>
      <c r="PEQ77" s="685"/>
      <c r="PER77" s="685"/>
      <c r="PES77" s="685"/>
      <c r="PET77" s="685"/>
      <c r="PEU77" s="685"/>
      <c r="PEV77" s="685"/>
      <c r="PEW77" s="685"/>
      <c r="PEX77" s="685"/>
      <c r="PEY77" s="685"/>
      <c r="PEZ77" s="685"/>
      <c r="PFA77" s="685"/>
      <c r="PFB77" s="685"/>
      <c r="PFC77" s="685"/>
      <c r="PFD77" s="685"/>
      <c r="PFE77" s="685"/>
      <c r="PFF77" s="685"/>
      <c r="PFG77" s="685"/>
      <c r="PFH77" s="685"/>
      <c r="PFI77" s="685"/>
      <c r="PFJ77" s="685"/>
      <c r="PFK77" s="685"/>
      <c r="PFL77" s="685"/>
      <c r="PFM77" s="685"/>
      <c r="PFN77" s="685"/>
      <c r="PFO77" s="685"/>
      <c r="PFP77" s="685"/>
      <c r="PFQ77" s="685"/>
      <c r="PFR77" s="685"/>
      <c r="PFS77" s="685"/>
      <c r="PFT77" s="685"/>
      <c r="PFU77" s="685"/>
      <c r="PFV77" s="685"/>
      <c r="PFW77" s="685"/>
      <c r="PFX77" s="685"/>
      <c r="PFY77" s="685"/>
      <c r="PFZ77" s="685"/>
      <c r="PGA77" s="685"/>
      <c r="PGB77" s="685"/>
      <c r="PGC77" s="685"/>
      <c r="PGD77" s="685"/>
      <c r="PGE77" s="685"/>
      <c r="PGF77" s="685"/>
      <c r="PGG77" s="685"/>
      <c r="PGH77" s="685"/>
      <c r="PGI77" s="685"/>
      <c r="PGJ77" s="685"/>
      <c r="PGK77" s="685"/>
      <c r="PGL77" s="685"/>
      <c r="PGM77" s="685"/>
      <c r="PGN77" s="685"/>
      <c r="PGO77" s="685"/>
      <c r="PGP77" s="685"/>
      <c r="PGQ77" s="685"/>
      <c r="PGR77" s="685"/>
      <c r="PGS77" s="685"/>
      <c r="PGT77" s="685"/>
      <c r="PGU77" s="685"/>
      <c r="PGV77" s="685"/>
      <c r="PGW77" s="685"/>
      <c r="PGX77" s="685"/>
      <c r="PGY77" s="685"/>
      <c r="PGZ77" s="685"/>
      <c r="PHA77" s="685"/>
      <c r="PHB77" s="685"/>
      <c r="PHC77" s="685"/>
      <c r="PHD77" s="685"/>
      <c r="PHE77" s="685"/>
      <c r="PHF77" s="685"/>
      <c r="PHG77" s="685"/>
      <c r="PHH77" s="685"/>
      <c r="PHI77" s="685"/>
      <c r="PHJ77" s="685"/>
      <c r="PHK77" s="685"/>
      <c r="PHL77" s="685"/>
      <c r="PHM77" s="685"/>
      <c r="PHN77" s="685"/>
      <c r="PHO77" s="685"/>
      <c r="PHP77" s="685"/>
      <c r="PHQ77" s="685"/>
      <c r="PHR77" s="685"/>
      <c r="PHS77" s="685"/>
      <c r="PHT77" s="685"/>
      <c r="PHU77" s="685"/>
      <c r="PHV77" s="685"/>
      <c r="PHW77" s="685"/>
      <c r="PHX77" s="685"/>
      <c r="PHY77" s="685"/>
      <c r="PHZ77" s="685"/>
      <c r="PIA77" s="685"/>
      <c r="PIB77" s="685"/>
      <c r="PIC77" s="685"/>
      <c r="PID77" s="685"/>
      <c r="PIE77" s="685"/>
      <c r="PIF77" s="685"/>
      <c r="PIG77" s="685"/>
      <c r="PIH77" s="685"/>
      <c r="PII77" s="685"/>
      <c r="PIJ77" s="685"/>
      <c r="PIK77" s="685"/>
      <c r="PIL77" s="685"/>
      <c r="PIM77" s="685"/>
      <c r="PIN77" s="685"/>
      <c r="PIO77" s="685"/>
      <c r="PIP77" s="685"/>
      <c r="PIQ77" s="685"/>
      <c r="PIR77" s="685"/>
      <c r="PIS77" s="685"/>
      <c r="PIT77" s="685"/>
      <c r="PIU77" s="685"/>
      <c r="PIV77" s="685"/>
      <c r="PIW77" s="685"/>
      <c r="PIX77" s="685"/>
      <c r="PIY77" s="685"/>
      <c r="PIZ77" s="685"/>
      <c r="PJA77" s="685"/>
      <c r="PJB77" s="685"/>
      <c r="PJC77" s="685"/>
      <c r="PJD77" s="685"/>
      <c r="PJE77" s="685"/>
      <c r="PJF77" s="685"/>
      <c r="PJG77" s="685"/>
      <c r="PJH77" s="685"/>
      <c r="PJI77" s="685"/>
      <c r="PJJ77" s="685"/>
      <c r="PJK77" s="685"/>
      <c r="PJL77" s="685"/>
      <c r="PJM77" s="685"/>
      <c r="PJN77" s="685"/>
      <c r="PJO77" s="685"/>
      <c r="PJP77" s="685"/>
      <c r="PJQ77" s="685"/>
      <c r="PJR77" s="685"/>
      <c r="PJS77" s="685"/>
      <c r="PJT77" s="685"/>
      <c r="PJU77" s="685"/>
      <c r="PJV77" s="685"/>
      <c r="PJW77" s="685"/>
      <c r="PJX77" s="685"/>
      <c r="PJY77" s="685"/>
      <c r="PJZ77" s="685"/>
      <c r="PKA77" s="685"/>
      <c r="PKB77" s="685"/>
      <c r="PKC77" s="685"/>
      <c r="PKD77" s="685"/>
      <c r="PKE77" s="685"/>
      <c r="PKF77" s="685"/>
      <c r="PKG77" s="685"/>
      <c r="PKH77" s="685"/>
      <c r="PKI77" s="685"/>
      <c r="PKJ77" s="685"/>
      <c r="PKK77" s="685"/>
      <c r="PKL77" s="685"/>
      <c r="PKM77" s="685"/>
      <c r="PKN77" s="685"/>
      <c r="PKO77" s="685"/>
      <c r="PKP77" s="685"/>
      <c r="PKQ77" s="685"/>
      <c r="PKR77" s="685"/>
      <c r="PKS77" s="685"/>
      <c r="PKT77" s="685"/>
      <c r="PKU77" s="685"/>
      <c r="PKV77" s="685"/>
      <c r="PKW77" s="685"/>
      <c r="PKX77" s="685"/>
      <c r="PKY77" s="685"/>
      <c r="PKZ77" s="685"/>
      <c r="PLA77" s="685"/>
      <c r="PLB77" s="685"/>
      <c r="PLC77" s="685"/>
      <c r="PLD77" s="685"/>
      <c r="PLE77" s="685"/>
      <c r="PLF77" s="685"/>
      <c r="PLG77" s="685"/>
      <c r="PLH77" s="685"/>
      <c r="PLI77" s="685"/>
      <c r="PLJ77" s="685"/>
      <c r="PLK77" s="685"/>
      <c r="PLL77" s="685"/>
      <c r="PLM77" s="685"/>
      <c r="PLN77" s="685"/>
      <c r="PLO77" s="685"/>
      <c r="PLP77" s="685"/>
      <c r="PLQ77" s="685"/>
      <c r="PLR77" s="685"/>
      <c r="PLS77" s="685"/>
      <c r="PLT77" s="685"/>
      <c r="PLU77" s="685"/>
      <c r="PLV77" s="685"/>
      <c r="PLW77" s="685"/>
      <c r="PLX77" s="685"/>
      <c r="PLY77" s="685"/>
      <c r="PLZ77" s="685"/>
      <c r="PMA77" s="685"/>
      <c r="PMB77" s="685"/>
      <c r="PMC77" s="685"/>
      <c r="PMD77" s="685"/>
      <c r="PME77" s="685"/>
      <c r="PMF77" s="685"/>
      <c r="PMG77" s="685"/>
      <c r="PMH77" s="685"/>
      <c r="PMI77" s="685"/>
      <c r="PMJ77" s="685"/>
      <c r="PMK77" s="685"/>
      <c r="PML77" s="685"/>
      <c r="PMM77" s="685"/>
      <c r="PMN77" s="685"/>
      <c r="PMO77" s="685"/>
      <c r="PMP77" s="685"/>
      <c r="PMQ77" s="685"/>
      <c r="PMR77" s="685"/>
      <c r="PMS77" s="685"/>
      <c r="PMT77" s="685"/>
      <c r="PMU77" s="685"/>
      <c r="PMV77" s="685"/>
      <c r="PMW77" s="685"/>
      <c r="PMX77" s="685"/>
      <c r="PMY77" s="685"/>
      <c r="PMZ77" s="685"/>
      <c r="PNA77" s="685"/>
      <c r="PNB77" s="685"/>
      <c r="PNC77" s="685"/>
      <c r="PND77" s="685"/>
      <c r="PNE77" s="685"/>
      <c r="PNF77" s="685"/>
      <c r="PNG77" s="685"/>
      <c r="PNH77" s="685"/>
      <c r="PNI77" s="685"/>
      <c r="PNJ77" s="685"/>
      <c r="PNK77" s="685"/>
      <c r="PNL77" s="685"/>
      <c r="PNM77" s="685"/>
      <c r="PNN77" s="685"/>
      <c r="PNO77" s="685"/>
      <c r="PNP77" s="685"/>
      <c r="PNQ77" s="685"/>
      <c r="PNR77" s="685"/>
      <c r="PNS77" s="685"/>
      <c r="PNT77" s="685"/>
      <c r="PNU77" s="685"/>
      <c r="PNV77" s="685"/>
      <c r="PNW77" s="685"/>
      <c r="PNX77" s="685"/>
      <c r="PNY77" s="685"/>
      <c r="PNZ77" s="685"/>
      <c r="POA77" s="685"/>
      <c r="POB77" s="685"/>
      <c r="POC77" s="685"/>
      <c r="POD77" s="685"/>
      <c r="POE77" s="685"/>
      <c r="POF77" s="685"/>
      <c r="POG77" s="685"/>
      <c r="POH77" s="685"/>
      <c r="POI77" s="685"/>
      <c r="POJ77" s="685"/>
      <c r="POK77" s="685"/>
      <c r="POL77" s="685"/>
      <c r="POM77" s="685"/>
      <c r="PON77" s="685"/>
      <c r="POO77" s="685"/>
      <c r="POP77" s="685"/>
      <c r="POQ77" s="685"/>
      <c r="POR77" s="685"/>
      <c r="POS77" s="685"/>
      <c r="POT77" s="685"/>
      <c r="POU77" s="685"/>
      <c r="POV77" s="685"/>
      <c r="POW77" s="685"/>
      <c r="POX77" s="685"/>
      <c r="POY77" s="685"/>
      <c r="POZ77" s="685"/>
      <c r="PPA77" s="685"/>
      <c r="PPB77" s="685"/>
      <c r="PPC77" s="685"/>
      <c r="PPD77" s="685"/>
      <c r="PPE77" s="685"/>
      <c r="PPF77" s="685"/>
      <c r="PPG77" s="685"/>
      <c r="PPH77" s="685"/>
      <c r="PPI77" s="685"/>
      <c r="PPJ77" s="685"/>
      <c r="PPK77" s="685"/>
      <c r="PPL77" s="685"/>
      <c r="PPM77" s="685"/>
      <c r="PPN77" s="685"/>
      <c r="PPO77" s="685"/>
      <c r="PPP77" s="685"/>
      <c r="PPQ77" s="685"/>
      <c r="PPR77" s="685"/>
      <c r="PPS77" s="685"/>
      <c r="PPT77" s="685"/>
      <c r="PPU77" s="685"/>
      <c r="PPV77" s="685"/>
      <c r="PPW77" s="685"/>
      <c r="PPX77" s="685"/>
      <c r="PPY77" s="685"/>
      <c r="PPZ77" s="685"/>
      <c r="PQA77" s="685"/>
      <c r="PQB77" s="685"/>
      <c r="PQC77" s="685"/>
      <c r="PQD77" s="685"/>
      <c r="PQE77" s="685"/>
      <c r="PQF77" s="685"/>
      <c r="PQG77" s="685"/>
      <c r="PQH77" s="685"/>
      <c r="PQI77" s="685"/>
      <c r="PQJ77" s="685"/>
      <c r="PQK77" s="685"/>
      <c r="PQL77" s="685"/>
      <c r="PQM77" s="685"/>
      <c r="PQN77" s="685"/>
      <c r="PQO77" s="685"/>
      <c r="PQP77" s="685"/>
      <c r="PQQ77" s="685"/>
      <c r="PQR77" s="685"/>
      <c r="PQS77" s="685"/>
      <c r="PQT77" s="685"/>
      <c r="PQU77" s="685"/>
      <c r="PQV77" s="685"/>
      <c r="PQW77" s="685"/>
      <c r="PQX77" s="685"/>
      <c r="PQY77" s="685"/>
      <c r="PQZ77" s="685"/>
      <c r="PRA77" s="685"/>
      <c r="PRB77" s="685"/>
      <c r="PRC77" s="685"/>
      <c r="PRD77" s="685"/>
      <c r="PRE77" s="685"/>
      <c r="PRF77" s="685"/>
      <c r="PRG77" s="685"/>
      <c r="PRH77" s="685"/>
      <c r="PRI77" s="685"/>
      <c r="PRJ77" s="685"/>
      <c r="PRK77" s="685"/>
      <c r="PRL77" s="685"/>
      <c r="PRM77" s="685"/>
      <c r="PRN77" s="685"/>
      <c r="PRO77" s="685"/>
      <c r="PRP77" s="685"/>
      <c r="PRQ77" s="685"/>
      <c r="PRR77" s="685"/>
      <c r="PRS77" s="685"/>
      <c r="PRT77" s="685"/>
      <c r="PRU77" s="685"/>
      <c r="PRV77" s="685"/>
      <c r="PRW77" s="685"/>
      <c r="PRX77" s="685"/>
      <c r="PRY77" s="685"/>
      <c r="PRZ77" s="685"/>
      <c r="PSA77" s="685"/>
      <c r="PSB77" s="685"/>
      <c r="PSC77" s="685"/>
      <c r="PSD77" s="685"/>
      <c r="PSE77" s="685"/>
      <c r="PSF77" s="685"/>
      <c r="PSG77" s="685"/>
      <c r="PSH77" s="685"/>
      <c r="PSI77" s="685"/>
      <c r="PSJ77" s="685"/>
      <c r="PSK77" s="685"/>
      <c r="PSL77" s="685"/>
      <c r="PSM77" s="685"/>
      <c r="PSN77" s="685"/>
      <c r="PSO77" s="685"/>
      <c r="PSP77" s="685"/>
      <c r="PSQ77" s="685"/>
      <c r="PSR77" s="685"/>
      <c r="PSS77" s="685"/>
      <c r="PST77" s="685"/>
      <c r="PSU77" s="685"/>
      <c r="PSV77" s="685"/>
      <c r="PSW77" s="685"/>
      <c r="PSX77" s="685"/>
      <c r="PSY77" s="685"/>
      <c r="PSZ77" s="685"/>
      <c r="PTA77" s="685"/>
      <c r="PTB77" s="685"/>
      <c r="PTC77" s="685"/>
      <c r="PTD77" s="685"/>
      <c r="PTE77" s="685"/>
      <c r="PTF77" s="685"/>
      <c r="PTG77" s="685"/>
      <c r="PTH77" s="685"/>
      <c r="PTI77" s="685"/>
      <c r="PTJ77" s="685"/>
      <c r="PTK77" s="685"/>
      <c r="PTL77" s="685"/>
      <c r="PTM77" s="685"/>
      <c r="PTN77" s="685"/>
      <c r="PTO77" s="685"/>
      <c r="PTP77" s="685"/>
      <c r="PTQ77" s="685"/>
      <c r="PTR77" s="685"/>
      <c r="PTS77" s="685"/>
      <c r="PTT77" s="685"/>
      <c r="PTU77" s="685"/>
      <c r="PTV77" s="685"/>
      <c r="PTW77" s="685"/>
      <c r="PTX77" s="685"/>
      <c r="PTY77" s="685"/>
      <c r="PTZ77" s="685"/>
      <c r="PUA77" s="685"/>
      <c r="PUB77" s="685"/>
      <c r="PUC77" s="685"/>
      <c r="PUD77" s="685"/>
      <c r="PUE77" s="685"/>
      <c r="PUF77" s="685"/>
      <c r="PUG77" s="685"/>
      <c r="PUH77" s="685"/>
      <c r="PUI77" s="685"/>
      <c r="PUJ77" s="685"/>
      <c r="PUK77" s="685"/>
      <c r="PUL77" s="685"/>
      <c r="PUM77" s="685"/>
      <c r="PUN77" s="685"/>
      <c r="PUO77" s="685"/>
      <c r="PUP77" s="685"/>
      <c r="PUQ77" s="685"/>
      <c r="PUR77" s="685"/>
      <c r="PUS77" s="685"/>
      <c r="PUT77" s="685"/>
      <c r="PUU77" s="685"/>
      <c r="PUV77" s="685"/>
      <c r="PUW77" s="685"/>
      <c r="PUX77" s="685"/>
      <c r="PUY77" s="685"/>
      <c r="PUZ77" s="685"/>
      <c r="PVA77" s="685"/>
      <c r="PVB77" s="685"/>
      <c r="PVC77" s="685"/>
      <c r="PVD77" s="685"/>
      <c r="PVE77" s="685"/>
      <c r="PVF77" s="685"/>
      <c r="PVG77" s="685"/>
      <c r="PVH77" s="685"/>
      <c r="PVI77" s="685"/>
      <c r="PVJ77" s="685"/>
      <c r="PVK77" s="685"/>
      <c r="PVL77" s="685"/>
      <c r="PVM77" s="685"/>
      <c r="PVN77" s="685"/>
      <c r="PVO77" s="685"/>
      <c r="PVP77" s="685"/>
      <c r="PVQ77" s="685"/>
      <c r="PVR77" s="685"/>
      <c r="PVS77" s="685"/>
      <c r="PVT77" s="685"/>
      <c r="PVU77" s="685"/>
      <c r="PVV77" s="685"/>
      <c r="PVW77" s="685"/>
      <c r="PVX77" s="685"/>
      <c r="PVY77" s="685"/>
      <c r="PVZ77" s="685"/>
      <c r="PWA77" s="685"/>
      <c r="PWB77" s="685"/>
      <c r="PWC77" s="685"/>
      <c r="PWD77" s="685"/>
      <c r="PWE77" s="685"/>
      <c r="PWF77" s="685"/>
      <c r="PWG77" s="685"/>
      <c r="PWH77" s="685"/>
      <c r="PWI77" s="685"/>
      <c r="PWJ77" s="685"/>
      <c r="PWK77" s="685"/>
      <c r="PWL77" s="685"/>
      <c r="PWM77" s="685"/>
      <c r="PWN77" s="685"/>
      <c r="PWO77" s="685"/>
      <c r="PWP77" s="685"/>
      <c r="PWQ77" s="685"/>
      <c r="PWR77" s="685"/>
      <c r="PWS77" s="685"/>
      <c r="PWT77" s="685"/>
      <c r="PWU77" s="685"/>
      <c r="PWV77" s="685"/>
      <c r="PWW77" s="685"/>
      <c r="PWX77" s="685"/>
      <c r="PWY77" s="685"/>
      <c r="PWZ77" s="685"/>
      <c r="PXA77" s="685"/>
      <c r="PXB77" s="685"/>
      <c r="PXC77" s="685"/>
      <c r="PXD77" s="685"/>
      <c r="PXE77" s="685"/>
      <c r="PXF77" s="685"/>
      <c r="PXG77" s="685"/>
      <c r="PXH77" s="685"/>
      <c r="PXI77" s="685"/>
      <c r="PXJ77" s="685"/>
      <c r="PXK77" s="685"/>
      <c r="PXL77" s="685"/>
      <c r="PXM77" s="685"/>
      <c r="PXN77" s="685"/>
      <c r="PXO77" s="685"/>
      <c r="PXP77" s="685"/>
      <c r="PXQ77" s="685"/>
      <c r="PXR77" s="685"/>
      <c r="PXS77" s="685"/>
      <c r="PXT77" s="685"/>
      <c r="PXU77" s="685"/>
      <c r="PXV77" s="685"/>
      <c r="PXW77" s="685"/>
      <c r="PXX77" s="685"/>
      <c r="PXY77" s="685"/>
      <c r="PXZ77" s="685"/>
      <c r="PYA77" s="685"/>
      <c r="PYB77" s="685"/>
      <c r="PYC77" s="685"/>
      <c r="PYD77" s="685"/>
      <c r="PYE77" s="685"/>
      <c r="PYF77" s="685"/>
      <c r="PYG77" s="685"/>
      <c r="PYH77" s="685"/>
      <c r="PYI77" s="685"/>
      <c r="PYJ77" s="685"/>
      <c r="PYK77" s="685"/>
      <c r="PYL77" s="685"/>
      <c r="PYM77" s="685"/>
      <c r="PYN77" s="685"/>
      <c r="PYO77" s="685"/>
      <c r="PYP77" s="685"/>
      <c r="PYQ77" s="685"/>
      <c r="PYR77" s="685"/>
      <c r="PYS77" s="685"/>
      <c r="PYT77" s="685"/>
      <c r="PYU77" s="685"/>
      <c r="PYV77" s="685"/>
      <c r="PYW77" s="685"/>
      <c r="PYX77" s="685"/>
      <c r="PYY77" s="685"/>
      <c r="PYZ77" s="685"/>
      <c r="PZA77" s="685"/>
      <c r="PZB77" s="685"/>
      <c r="PZC77" s="685"/>
      <c r="PZD77" s="685"/>
      <c r="PZE77" s="685"/>
      <c r="PZF77" s="685"/>
      <c r="PZG77" s="685"/>
      <c r="PZH77" s="685"/>
      <c r="PZI77" s="685"/>
      <c r="PZJ77" s="685"/>
      <c r="PZK77" s="685"/>
      <c r="PZL77" s="685"/>
      <c r="PZM77" s="685"/>
      <c r="PZN77" s="685"/>
      <c r="PZO77" s="685"/>
      <c r="PZP77" s="685"/>
      <c r="PZQ77" s="685"/>
      <c r="PZR77" s="685"/>
      <c r="PZS77" s="685"/>
      <c r="PZT77" s="685"/>
      <c r="PZU77" s="685"/>
      <c r="PZV77" s="685"/>
      <c r="PZW77" s="685"/>
      <c r="PZX77" s="685"/>
      <c r="PZY77" s="685"/>
      <c r="PZZ77" s="685"/>
      <c r="QAA77" s="685"/>
      <c r="QAB77" s="685"/>
      <c r="QAC77" s="685"/>
      <c r="QAD77" s="685"/>
      <c r="QAE77" s="685"/>
      <c r="QAF77" s="685"/>
      <c r="QAG77" s="685"/>
      <c r="QAH77" s="685"/>
      <c r="QAI77" s="685"/>
      <c r="QAJ77" s="685"/>
      <c r="QAK77" s="685"/>
      <c r="QAL77" s="685"/>
      <c r="QAM77" s="685"/>
      <c r="QAN77" s="685"/>
      <c r="QAO77" s="685"/>
      <c r="QAP77" s="685"/>
      <c r="QAQ77" s="685"/>
      <c r="QAR77" s="685"/>
      <c r="QAS77" s="685"/>
      <c r="QAT77" s="685"/>
      <c r="QAU77" s="685"/>
      <c r="QAV77" s="685"/>
      <c r="QAW77" s="685"/>
      <c r="QAX77" s="685"/>
      <c r="QAY77" s="685"/>
      <c r="QAZ77" s="685"/>
      <c r="QBA77" s="685"/>
      <c r="QBB77" s="685"/>
      <c r="QBC77" s="685"/>
      <c r="QBD77" s="685"/>
      <c r="QBE77" s="685"/>
      <c r="QBF77" s="685"/>
      <c r="QBG77" s="685"/>
      <c r="QBH77" s="685"/>
      <c r="QBI77" s="685"/>
      <c r="QBJ77" s="685"/>
      <c r="QBK77" s="685"/>
      <c r="QBL77" s="685"/>
      <c r="QBM77" s="685"/>
      <c r="QBN77" s="685"/>
      <c r="QBO77" s="685"/>
      <c r="QBP77" s="685"/>
      <c r="QBQ77" s="685"/>
      <c r="QBR77" s="685"/>
      <c r="QBS77" s="685"/>
      <c r="QBT77" s="685"/>
      <c r="QBU77" s="685"/>
      <c r="QBV77" s="685"/>
      <c r="QBW77" s="685"/>
      <c r="QBX77" s="685"/>
      <c r="QBY77" s="685"/>
      <c r="QBZ77" s="685"/>
      <c r="QCA77" s="685"/>
      <c r="QCB77" s="685"/>
      <c r="QCC77" s="685"/>
      <c r="QCD77" s="685"/>
      <c r="QCE77" s="685"/>
      <c r="QCF77" s="685"/>
      <c r="QCG77" s="685"/>
      <c r="QCH77" s="685"/>
      <c r="QCI77" s="685"/>
      <c r="QCJ77" s="685"/>
      <c r="QCK77" s="685"/>
      <c r="QCL77" s="685"/>
      <c r="QCM77" s="685"/>
      <c r="QCN77" s="685"/>
      <c r="QCO77" s="685"/>
      <c r="QCP77" s="685"/>
      <c r="QCQ77" s="685"/>
      <c r="QCR77" s="685"/>
      <c r="QCS77" s="685"/>
      <c r="QCT77" s="685"/>
      <c r="QCU77" s="685"/>
      <c r="QCV77" s="685"/>
      <c r="QCW77" s="685"/>
      <c r="QCX77" s="685"/>
      <c r="QCY77" s="685"/>
      <c r="QCZ77" s="685"/>
      <c r="QDA77" s="685"/>
      <c r="QDB77" s="685"/>
      <c r="QDC77" s="685"/>
      <c r="QDD77" s="685"/>
      <c r="QDE77" s="685"/>
      <c r="QDF77" s="685"/>
      <c r="QDG77" s="685"/>
      <c r="QDH77" s="685"/>
      <c r="QDI77" s="685"/>
      <c r="QDJ77" s="685"/>
      <c r="QDK77" s="685"/>
      <c r="QDL77" s="685"/>
      <c r="QDM77" s="685"/>
      <c r="QDN77" s="685"/>
      <c r="QDO77" s="685"/>
      <c r="QDP77" s="685"/>
      <c r="QDQ77" s="685"/>
      <c r="QDR77" s="685"/>
      <c r="QDS77" s="685"/>
      <c r="QDT77" s="685"/>
      <c r="QDU77" s="685"/>
      <c r="QDV77" s="685"/>
      <c r="QDW77" s="685"/>
      <c r="QDX77" s="685"/>
      <c r="QDY77" s="685"/>
      <c r="QDZ77" s="685"/>
      <c r="QEA77" s="685"/>
      <c r="QEB77" s="685"/>
      <c r="QEC77" s="685"/>
      <c r="QED77" s="685"/>
      <c r="QEE77" s="685"/>
      <c r="QEF77" s="685"/>
      <c r="QEG77" s="685"/>
      <c r="QEH77" s="685"/>
      <c r="QEI77" s="685"/>
      <c r="QEJ77" s="685"/>
      <c r="QEK77" s="685"/>
      <c r="QEL77" s="685"/>
      <c r="QEM77" s="685"/>
      <c r="QEN77" s="685"/>
      <c r="QEO77" s="685"/>
      <c r="QEP77" s="685"/>
      <c r="QEQ77" s="685"/>
      <c r="QER77" s="685"/>
      <c r="QES77" s="685"/>
      <c r="QET77" s="685"/>
      <c r="QEU77" s="685"/>
      <c r="QEV77" s="685"/>
      <c r="QEW77" s="685"/>
      <c r="QEX77" s="685"/>
      <c r="QEY77" s="685"/>
      <c r="QEZ77" s="685"/>
      <c r="QFA77" s="685"/>
      <c r="QFB77" s="685"/>
      <c r="QFC77" s="685"/>
      <c r="QFD77" s="685"/>
      <c r="QFE77" s="685"/>
      <c r="QFF77" s="685"/>
      <c r="QFG77" s="685"/>
      <c r="QFH77" s="685"/>
      <c r="QFI77" s="685"/>
      <c r="QFJ77" s="685"/>
      <c r="QFK77" s="685"/>
      <c r="QFL77" s="685"/>
      <c r="QFM77" s="685"/>
      <c r="QFN77" s="685"/>
      <c r="QFO77" s="685"/>
      <c r="QFP77" s="685"/>
      <c r="QFQ77" s="685"/>
      <c r="QFR77" s="685"/>
      <c r="QFS77" s="685"/>
      <c r="QFT77" s="685"/>
      <c r="QFU77" s="685"/>
      <c r="QFV77" s="685"/>
      <c r="QFW77" s="685"/>
      <c r="QFX77" s="685"/>
      <c r="QFY77" s="685"/>
      <c r="QFZ77" s="685"/>
      <c r="QGA77" s="685"/>
      <c r="QGB77" s="685"/>
      <c r="QGC77" s="685"/>
      <c r="QGD77" s="685"/>
      <c r="QGE77" s="685"/>
      <c r="QGF77" s="685"/>
      <c r="QGG77" s="685"/>
      <c r="QGH77" s="685"/>
      <c r="QGI77" s="685"/>
      <c r="QGJ77" s="685"/>
      <c r="QGK77" s="685"/>
      <c r="QGL77" s="685"/>
      <c r="QGM77" s="685"/>
      <c r="QGN77" s="685"/>
      <c r="QGO77" s="685"/>
      <c r="QGP77" s="685"/>
      <c r="QGQ77" s="685"/>
      <c r="QGR77" s="685"/>
      <c r="QGS77" s="685"/>
      <c r="QGT77" s="685"/>
      <c r="QGU77" s="685"/>
      <c r="QGV77" s="685"/>
      <c r="QGW77" s="685"/>
      <c r="QGX77" s="685"/>
      <c r="QGY77" s="685"/>
      <c r="QGZ77" s="685"/>
      <c r="QHA77" s="685"/>
      <c r="QHB77" s="685"/>
      <c r="QHC77" s="685"/>
      <c r="QHD77" s="685"/>
      <c r="QHE77" s="685"/>
      <c r="QHF77" s="685"/>
      <c r="QHG77" s="685"/>
      <c r="QHH77" s="685"/>
      <c r="QHI77" s="685"/>
      <c r="QHJ77" s="685"/>
      <c r="QHK77" s="685"/>
      <c r="QHL77" s="685"/>
      <c r="QHM77" s="685"/>
      <c r="QHN77" s="685"/>
      <c r="QHO77" s="685"/>
      <c r="QHP77" s="685"/>
      <c r="QHQ77" s="685"/>
      <c r="QHR77" s="685"/>
      <c r="QHS77" s="685"/>
      <c r="QHT77" s="685"/>
      <c r="QHU77" s="685"/>
      <c r="QHV77" s="685"/>
      <c r="QHW77" s="685"/>
      <c r="QHX77" s="685"/>
      <c r="QHY77" s="685"/>
      <c r="QHZ77" s="685"/>
      <c r="QIA77" s="685"/>
      <c r="QIB77" s="685"/>
      <c r="QIC77" s="685"/>
      <c r="QID77" s="685"/>
      <c r="QIE77" s="685"/>
      <c r="QIF77" s="685"/>
      <c r="QIG77" s="685"/>
      <c r="QIH77" s="685"/>
      <c r="QII77" s="685"/>
      <c r="QIJ77" s="685"/>
      <c r="QIK77" s="685"/>
      <c r="QIL77" s="685"/>
      <c r="QIM77" s="685"/>
      <c r="QIN77" s="685"/>
      <c r="QIO77" s="685"/>
      <c r="QIP77" s="685"/>
      <c r="QIQ77" s="685"/>
      <c r="QIR77" s="685"/>
      <c r="QIS77" s="685"/>
      <c r="QIT77" s="685"/>
      <c r="QIU77" s="685"/>
      <c r="QIV77" s="685"/>
      <c r="QIW77" s="685"/>
      <c r="QIX77" s="685"/>
      <c r="QIY77" s="685"/>
      <c r="QIZ77" s="685"/>
      <c r="QJA77" s="685"/>
      <c r="QJB77" s="685"/>
      <c r="QJC77" s="685"/>
      <c r="QJD77" s="685"/>
      <c r="QJE77" s="685"/>
      <c r="QJF77" s="685"/>
      <c r="QJG77" s="685"/>
      <c r="QJH77" s="685"/>
      <c r="QJI77" s="685"/>
      <c r="QJJ77" s="685"/>
      <c r="QJK77" s="685"/>
      <c r="QJL77" s="685"/>
      <c r="QJM77" s="685"/>
      <c r="QJN77" s="685"/>
      <c r="QJO77" s="685"/>
      <c r="QJP77" s="685"/>
      <c r="QJQ77" s="685"/>
      <c r="QJR77" s="685"/>
      <c r="QJS77" s="685"/>
      <c r="QJT77" s="685"/>
      <c r="QJU77" s="685"/>
      <c r="QJV77" s="685"/>
      <c r="QJW77" s="685"/>
      <c r="QJX77" s="685"/>
      <c r="QJY77" s="685"/>
      <c r="QJZ77" s="685"/>
      <c r="QKA77" s="685"/>
      <c r="QKB77" s="685"/>
      <c r="QKC77" s="685"/>
      <c r="QKD77" s="685"/>
      <c r="QKE77" s="685"/>
      <c r="QKF77" s="685"/>
      <c r="QKG77" s="685"/>
      <c r="QKH77" s="685"/>
      <c r="QKI77" s="685"/>
      <c r="QKJ77" s="685"/>
      <c r="QKK77" s="685"/>
      <c r="QKL77" s="685"/>
      <c r="QKM77" s="685"/>
      <c r="QKN77" s="685"/>
      <c r="QKO77" s="685"/>
      <c r="QKP77" s="685"/>
      <c r="QKQ77" s="685"/>
      <c r="QKR77" s="685"/>
      <c r="QKS77" s="685"/>
      <c r="QKT77" s="685"/>
      <c r="QKU77" s="685"/>
      <c r="QKV77" s="685"/>
      <c r="QKW77" s="685"/>
      <c r="QKX77" s="685"/>
      <c r="QKY77" s="685"/>
      <c r="QKZ77" s="685"/>
      <c r="QLA77" s="685"/>
      <c r="QLB77" s="685"/>
      <c r="QLC77" s="685"/>
      <c r="QLD77" s="685"/>
      <c r="QLE77" s="685"/>
      <c r="QLF77" s="685"/>
      <c r="QLG77" s="685"/>
      <c r="QLH77" s="685"/>
      <c r="QLI77" s="685"/>
      <c r="QLJ77" s="685"/>
      <c r="QLK77" s="685"/>
      <c r="QLL77" s="685"/>
      <c r="QLM77" s="685"/>
      <c r="QLN77" s="685"/>
      <c r="QLO77" s="685"/>
      <c r="QLP77" s="685"/>
      <c r="QLQ77" s="685"/>
      <c r="QLR77" s="685"/>
      <c r="QLS77" s="685"/>
      <c r="QLT77" s="685"/>
      <c r="QLU77" s="685"/>
      <c r="QLV77" s="685"/>
      <c r="QLW77" s="685"/>
      <c r="QLX77" s="685"/>
      <c r="QLY77" s="685"/>
      <c r="QLZ77" s="685"/>
      <c r="QMA77" s="685"/>
      <c r="QMB77" s="685"/>
      <c r="QMC77" s="685"/>
      <c r="QMD77" s="685"/>
      <c r="QME77" s="685"/>
      <c r="QMF77" s="685"/>
      <c r="QMG77" s="685"/>
      <c r="QMH77" s="685"/>
      <c r="QMI77" s="685"/>
      <c r="QMJ77" s="685"/>
      <c r="QMK77" s="685"/>
      <c r="QML77" s="685"/>
      <c r="QMM77" s="685"/>
      <c r="QMN77" s="685"/>
      <c r="QMO77" s="685"/>
      <c r="QMP77" s="685"/>
      <c r="QMQ77" s="685"/>
      <c r="QMR77" s="685"/>
      <c r="QMS77" s="685"/>
      <c r="QMT77" s="685"/>
      <c r="QMU77" s="685"/>
      <c r="QMV77" s="685"/>
      <c r="QMW77" s="685"/>
      <c r="QMX77" s="685"/>
      <c r="QMY77" s="685"/>
      <c r="QMZ77" s="685"/>
      <c r="QNA77" s="685"/>
      <c r="QNB77" s="685"/>
      <c r="QNC77" s="685"/>
      <c r="QND77" s="685"/>
      <c r="QNE77" s="685"/>
      <c r="QNF77" s="685"/>
      <c r="QNG77" s="685"/>
      <c r="QNH77" s="685"/>
      <c r="QNI77" s="685"/>
      <c r="QNJ77" s="685"/>
      <c r="QNK77" s="685"/>
      <c r="QNL77" s="685"/>
      <c r="QNM77" s="685"/>
      <c r="QNN77" s="685"/>
      <c r="QNO77" s="685"/>
      <c r="QNP77" s="685"/>
      <c r="QNQ77" s="685"/>
      <c r="QNR77" s="685"/>
      <c r="QNS77" s="685"/>
      <c r="QNT77" s="685"/>
      <c r="QNU77" s="685"/>
      <c r="QNV77" s="685"/>
      <c r="QNW77" s="685"/>
      <c r="QNX77" s="685"/>
      <c r="QNY77" s="685"/>
      <c r="QNZ77" s="685"/>
      <c r="QOA77" s="685"/>
      <c r="QOB77" s="685"/>
      <c r="QOC77" s="685"/>
      <c r="QOD77" s="685"/>
      <c r="QOE77" s="685"/>
      <c r="QOF77" s="685"/>
      <c r="QOG77" s="685"/>
      <c r="QOH77" s="685"/>
      <c r="QOI77" s="685"/>
      <c r="QOJ77" s="685"/>
      <c r="QOK77" s="685"/>
      <c r="QOL77" s="685"/>
      <c r="QOM77" s="685"/>
      <c r="QON77" s="685"/>
      <c r="QOO77" s="685"/>
      <c r="QOP77" s="685"/>
      <c r="QOQ77" s="685"/>
      <c r="QOR77" s="685"/>
      <c r="QOS77" s="685"/>
      <c r="QOT77" s="685"/>
      <c r="QOU77" s="685"/>
      <c r="QOV77" s="685"/>
      <c r="QOW77" s="685"/>
      <c r="QOX77" s="685"/>
      <c r="QOY77" s="685"/>
      <c r="QOZ77" s="685"/>
      <c r="QPA77" s="685"/>
      <c r="QPB77" s="685"/>
      <c r="QPC77" s="685"/>
      <c r="QPD77" s="685"/>
      <c r="QPE77" s="685"/>
      <c r="QPF77" s="685"/>
      <c r="QPG77" s="685"/>
      <c r="QPH77" s="685"/>
      <c r="QPI77" s="685"/>
      <c r="QPJ77" s="685"/>
      <c r="QPK77" s="685"/>
      <c r="QPL77" s="685"/>
      <c r="QPM77" s="685"/>
      <c r="QPN77" s="685"/>
      <c r="QPO77" s="685"/>
      <c r="QPP77" s="685"/>
      <c r="QPQ77" s="685"/>
      <c r="QPR77" s="685"/>
      <c r="QPS77" s="685"/>
      <c r="QPT77" s="685"/>
      <c r="QPU77" s="685"/>
      <c r="QPV77" s="685"/>
      <c r="QPW77" s="685"/>
      <c r="QPX77" s="685"/>
      <c r="QPY77" s="685"/>
      <c r="QPZ77" s="685"/>
      <c r="QQA77" s="685"/>
      <c r="QQB77" s="685"/>
      <c r="QQC77" s="685"/>
      <c r="QQD77" s="685"/>
      <c r="QQE77" s="685"/>
      <c r="QQF77" s="685"/>
      <c r="QQG77" s="685"/>
      <c r="QQH77" s="685"/>
      <c r="QQI77" s="685"/>
      <c r="QQJ77" s="685"/>
      <c r="QQK77" s="685"/>
      <c r="QQL77" s="685"/>
      <c r="QQM77" s="685"/>
      <c r="QQN77" s="685"/>
      <c r="QQO77" s="685"/>
      <c r="QQP77" s="685"/>
      <c r="QQQ77" s="685"/>
      <c r="QQR77" s="685"/>
      <c r="QQS77" s="685"/>
      <c r="QQT77" s="685"/>
      <c r="QQU77" s="685"/>
      <c r="QQV77" s="685"/>
      <c r="QQW77" s="685"/>
      <c r="QQX77" s="685"/>
      <c r="QQY77" s="685"/>
      <c r="QQZ77" s="685"/>
      <c r="QRA77" s="685"/>
      <c r="QRB77" s="685"/>
      <c r="QRC77" s="685"/>
      <c r="QRD77" s="685"/>
      <c r="QRE77" s="685"/>
      <c r="QRF77" s="685"/>
      <c r="QRG77" s="685"/>
      <c r="QRH77" s="685"/>
      <c r="QRI77" s="685"/>
      <c r="QRJ77" s="685"/>
      <c r="QRK77" s="685"/>
      <c r="QRL77" s="685"/>
      <c r="QRM77" s="685"/>
      <c r="QRN77" s="685"/>
      <c r="QRO77" s="685"/>
      <c r="QRP77" s="685"/>
      <c r="QRQ77" s="685"/>
      <c r="QRR77" s="685"/>
      <c r="QRS77" s="685"/>
      <c r="QRT77" s="685"/>
      <c r="QRU77" s="685"/>
      <c r="QRV77" s="685"/>
      <c r="QRW77" s="685"/>
      <c r="QRX77" s="685"/>
      <c r="QRY77" s="685"/>
      <c r="QRZ77" s="685"/>
      <c r="QSA77" s="685"/>
      <c r="QSB77" s="685"/>
      <c r="QSC77" s="685"/>
      <c r="QSD77" s="685"/>
      <c r="QSE77" s="685"/>
      <c r="QSF77" s="685"/>
      <c r="QSG77" s="685"/>
      <c r="QSH77" s="685"/>
      <c r="QSI77" s="685"/>
      <c r="QSJ77" s="685"/>
      <c r="QSK77" s="685"/>
      <c r="QSL77" s="685"/>
      <c r="QSM77" s="685"/>
      <c r="QSN77" s="685"/>
      <c r="QSO77" s="685"/>
      <c r="QSP77" s="685"/>
      <c r="QSQ77" s="685"/>
      <c r="QSR77" s="685"/>
      <c r="QSS77" s="685"/>
      <c r="QST77" s="685"/>
      <c r="QSU77" s="685"/>
      <c r="QSV77" s="685"/>
      <c r="QSW77" s="685"/>
      <c r="QSX77" s="685"/>
      <c r="QSY77" s="685"/>
      <c r="QSZ77" s="685"/>
      <c r="QTA77" s="685"/>
      <c r="QTB77" s="685"/>
      <c r="QTC77" s="685"/>
      <c r="QTD77" s="685"/>
      <c r="QTE77" s="685"/>
      <c r="QTF77" s="685"/>
      <c r="QTG77" s="685"/>
      <c r="QTH77" s="685"/>
      <c r="QTI77" s="685"/>
      <c r="QTJ77" s="685"/>
      <c r="QTK77" s="685"/>
      <c r="QTL77" s="685"/>
      <c r="QTM77" s="685"/>
      <c r="QTN77" s="685"/>
      <c r="QTO77" s="685"/>
      <c r="QTP77" s="685"/>
      <c r="QTQ77" s="685"/>
      <c r="QTR77" s="685"/>
      <c r="QTS77" s="685"/>
      <c r="QTT77" s="685"/>
      <c r="QTU77" s="685"/>
      <c r="QTV77" s="685"/>
      <c r="QTW77" s="685"/>
      <c r="QTX77" s="685"/>
      <c r="QTY77" s="685"/>
      <c r="QTZ77" s="685"/>
      <c r="QUA77" s="685"/>
      <c r="QUB77" s="685"/>
      <c r="QUC77" s="685"/>
      <c r="QUD77" s="685"/>
      <c r="QUE77" s="685"/>
      <c r="QUF77" s="685"/>
      <c r="QUG77" s="685"/>
      <c r="QUH77" s="685"/>
      <c r="QUI77" s="685"/>
      <c r="QUJ77" s="685"/>
      <c r="QUK77" s="685"/>
      <c r="QUL77" s="685"/>
      <c r="QUM77" s="685"/>
      <c r="QUN77" s="685"/>
      <c r="QUO77" s="685"/>
      <c r="QUP77" s="685"/>
      <c r="QUQ77" s="685"/>
      <c r="QUR77" s="685"/>
      <c r="QUS77" s="685"/>
      <c r="QUT77" s="685"/>
      <c r="QUU77" s="685"/>
      <c r="QUV77" s="685"/>
      <c r="QUW77" s="685"/>
      <c r="QUX77" s="685"/>
      <c r="QUY77" s="685"/>
      <c r="QUZ77" s="685"/>
      <c r="QVA77" s="685"/>
      <c r="QVB77" s="685"/>
      <c r="QVC77" s="685"/>
      <c r="QVD77" s="685"/>
      <c r="QVE77" s="685"/>
      <c r="QVF77" s="685"/>
      <c r="QVG77" s="685"/>
      <c r="QVH77" s="685"/>
      <c r="QVI77" s="685"/>
      <c r="QVJ77" s="685"/>
      <c r="QVK77" s="685"/>
      <c r="QVL77" s="685"/>
      <c r="QVM77" s="685"/>
      <c r="QVN77" s="685"/>
      <c r="QVO77" s="685"/>
      <c r="QVP77" s="685"/>
      <c r="QVQ77" s="685"/>
      <c r="QVR77" s="685"/>
      <c r="QVS77" s="685"/>
      <c r="QVT77" s="685"/>
      <c r="QVU77" s="685"/>
      <c r="QVV77" s="685"/>
      <c r="QVW77" s="685"/>
      <c r="QVX77" s="685"/>
      <c r="QVY77" s="685"/>
      <c r="QVZ77" s="685"/>
      <c r="QWA77" s="685"/>
      <c r="QWB77" s="685"/>
      <c r="QWC77" s="685"/>
      <c r="QWD77" s="685"/>
      <c r="QWE77" s="685"/>
      <c r="QWF77" s="685"/>
      <c r="QWG77" s="685"/>
      <c r="QWH77" s="685"/>
      <c r="QWI77" s="685"/>
      <c r="QWJ77" s="685"/>
      <c r="QWK77" s="685"/>
      <c r="QWL77" s="685"/>
      <c r="QWM77" s="685"/>
      <c r="QWN77" s="685"/>
      <c r="QWO77" s="685"/>
      <c r="QWP77" s="685"/>
      <c r="QWQ77" s="685"/>
      <c r="QWR77" s="685"/>
      <c r="QWS77" s="685"/>
      <c r="QWT77" s="685"/>
      <c r="QWU77" s="685"/>
      <c r="QWV77" s="685"/>
      <c r="QWW77" s="685"/>
      <c r="QWX77" s="685"/>
      <c r="QWY77" s="685"/>
      <c r="QWZ77" s="685"/>
      <c r="QXA77" s="685"/>
      <c r="QXB77" s="685"/>
      <c r="QXC77" s="685"/>
      <c r="QXD77" s="685"/>
      <c r="QXE77" s="685"/>
      <c r="QXF77" s="685"/>
      <c r="QXG77" s="685"/>
      <c r="QXH77" s="685"/>
      <c r="QXI77" s="685"/>
      <c r="QXJ77" s="685"/>
      <c r="QXK77" s="685"/>
      <c r="QXL77" s="685"/>
      <c r="QXM77" s="685"/>
      <c r="QXN77" s="685"/>
      <c r="QXO77" s="685"/>
      <c r="QXP77" s="685"/>
      <c r="QXQ77" s="685"/>
      <c r="QXR77" s="685"/>
      <c r="QXS77" s="685"/>
      <c r="QXT77" s="685"/>
      <c r="QXU77" s="685"/>
      <c r="QXV77" s="685"/>
      <c r="QXW77" s="685"/>
      <c r="QXX77" s="685"/>
      <c r="QXY77" s="685"/>
      <c r="QXZ77" s="685"/>
      <c r="QYA77" s="685"/>
      <c r="QYB77" s="685"/>
      <c r="QYC77" s="685"/>
      <c r="QYD77" s="685"/>
      <c r="QYE77" s="685"/>
      <c r="QYF77" s="685"/>
      <c r="QYG77" s="685"/>
      <c r="QYH77" s="685"/>
      <c r="QYI77" s="685"/>
      <c r="QYJ77" s="685"/>
      <c r="QYK77" s="685"/>
      <c r="QYL77" s="685"/>
      <c r="QYM77" s="685"/>
      <c r="QYN77" s="685"/>
      <c r="QYO77" s="685"/>
      <c r="QYP77" s="685"/>
      <c r="QYQ77" s="685"/>
      <c r="QYR77" s="685"/>
      <c r="QYS77" s="685"/>
      <c r="QYT77" s="685"/>
      <c r="QYU77" s="685"/>
      <c r="QYV77" s="685"/>
      <c r="QYW77" s="685"/>
      <c r="QYX77" s="685"/>
      <c r="QYY77" s="685"/>
      <c r="QYZ77" s="685"/>
      <c r="QZA77" s="685"/>
      <c r="QZB77" s="685"/>
      <c r="QZC77" s="685"/>
      <c r="QZD77" s="685"/>
      <c r="QZE77" s="685"/>
      <c r="QZF77" s="685"/>
      <c r="QZG77" s="685"/>
      <c r="QZH77" s="685"/>
      <c r="QZI77" s="685"/>
      <c r="QZJ77" s="685"/>
      <c r="QZK77" s="685"/>
      <c r="QZL77" s="685"/>
      <c r="QZM77" s="685"/>
      <c r="QZN77" s="685"/>
      <c r="QZO77" s="685"/>
      <c r="QZP77" s="685"/>
      <c r="QZQ77" s="685"/>
      <c r="QZR77" s="685"/>
      <c r="QZS77" s="685"/>
      <c r="QZT77" s="685"/>
      <c r="QZU77" s="685"/>
      <c r="QZV77" s="685"/>
      <c r="QZW77" s="685"/>
      <c r="QZX77" s="685"/>
      <c r="QZY77" s="685"/>
      <c r="QZZ77" s="685"/>
      <c r="RAA77" s="685"/>
      <c r="RAB77" s="685"/>
      <c r="RAC77" s="685"/>
      <c r="RAD77" s="685"/>
      <c r="RAE77" s="685"/>
      <c r="RAF77" s="685"/>
      <c r="RAG77" s="685"/>
      <c r="RAH77" s="685"/>
      <c r="RAI77" s="685"/>
      <c r="RAJ77" s="685"/>
      <c r="RAK77" s="685"/>
      <c r="RAL77" s="685"/>
      <c r="RAM77" s="685"/>
      <c r="RAN77" s="685"/>
      <c r="RAO77" s="685"/>
      <c r="RAP77" s="685"/>
      <c r="RAQ77" s="685"/>
      <c r="RAR77" s="685"/>
      <c r="RAS77" s="685"/>
      <c r="RAT77" s="685"/>
      <c r="RAU77" s="685"/>
      <c r="RAV77" s="685"/>
      <c r="RAW77" s="685"/>
      <c r="RAX77" s="685"/>
      <c r="RAY77" s="685"/>
      <c r="RAZ77" s="685"/>
      <c r="RBA77" s="685"/>
      <c r="RBB77" s="685"/>
      <c r="RBC77" s="685"/>
      <c r="RBD77" s="685"/>
      <c r="RBE77" s="685"/>
      <c r="RBF77" s="685"/>
      <c r="RBG77" s="685"/>
      <c r="RBH77" s="685"/>
      <c r="RBI77" s="685"/>
      <c r="RBJ77" s="685"/>
      <c r="RBK77" s="685"/>
      <c r="RBL77" s="685"/>
      <c r="RBM77" s="685"/>
      <c r="RBN77" s="685"/>
      <c r="RBO77" s="685"/>
      <c r="RBP77" s="685"/>
      <c r="RBQ77" s="685"/>
      <c r="RBR77" s="685"/>
      <c r="RBS77" s="685"/>
      <c r="RBT77" s="685"/>
      <c r="RBU77" s="685"/>
      <c r="RBV77" s="685"/>
      <c r="RBW77" s="685"/>
      <c r="RBX77" s="685"/>
      <c r="RBY77" s="685"/>
      <c r="RBZ77" s="685"/>
      <c r="RCA77" s="685"/>
      <c r="RCB77" s="685"/>
      <c r="RCC77" s="685"/>
      <c r="RCD77" s="685"/>
      <c r="RCE77" s="685"/>
      <c r="RCF77" s="685"/>
      <c r="RCG77" s="685"/>
      <c r="RCH77" s="685"/>
      <c r="RCI77" s="685"/>
      <c r="RCJ77" s="685"/>
      <c r="RCK77" s="685"/>
      <c r="RCL77" s="685"/>
      <c r="RCM77" s="685"/>
      <c r="RCN77" s="685"/>
      <c r="RCO77" s="685"/>
      <c r="RCP77" s="685"/>
      <c r="RCQ77" s="685"/>
      <c r="RCR77" s="685"/>
      <c r="RCS77" s="685"/>
      <c r="RCT77" s="685"/>
      <c r="RCU77" s="685"/>
      <c r="RCV77" s="685"/>
      <c r="RCW77" s="685"/>
      <c r="RCX77" s="685"/>
      <c r="RCY77" s="685"/>
      <c r="RCZ77" s="685"/>
      <c r="RDA77" s="685"/>
      <c r="RDB77" s="685"/>
      <c r="RDC77" s="685"/>
      <c r="RDD77" s="685"/>
      <c r="RDE77" s="685"/>
      <c r="RDF77" s="685"/>
      <c r="RDG77" s="685"/>
      <c r="RDH77" s="685"/>
      <c r="RDI77" s="685"/>
      <c r="RDJ77" s="685"/>
      <c r="RDK77" s="685"/>
      <c r="RDL77" s="685"/>
      <c r="RDM77" s="685"/>
      <c r="RDN77" s="685"/>
      <c r="RDO77" s="685"/>
      <c r="RDP77" s="685"/>
      <c r="RDQ77" s="685"/>
      <c r="RDR77" s="685"/>
      <c r="RDS77" s="685"/>
      <c r="RDT77" s="685"/>
      <c r="RDU77" s="685"/>
      <c r="RDV77" s="685"/>
      <c r="RDW77" s="685"/>
      <c r="RDX77" s="685"/>
      <c r="RDY77" s="685"/>
      <c r="RDZ77" s="685"/>
      <c r="REA77" s="685"/>
      <c r="REB77" s="685"/>
      <c r="REC77" s="685"/>
      <c r="RED77" s="685"/>
      <c r="REE77" s="685"/>
      <c r="REF77" s="685"/>
      <c r="REG77" s="685"/>
      <c r="REH77" s="685"/>
      <c r="REI77" s="685"/>
      <c r="REJ77" s="685"/>
      <c r="REK77" s="685"/>
      <c r="REL77" s="685"/>
      <c r="REM77" s="685"/>
      <c r="REN77" s="685"/>
      <c r="REO77" s="685"/>
      <c r="REP77" s="685"/>
      <c r="REQ77" s="685"/>
      <c r="RER77" s="685"/>
      <c r="RES77" s="685"/>
      <c r="RET77" s="685"/>
      <c r="REU77" s="685"/>
      <c r="REV77" s="685"/>
      <c r="REW77" s="685"/>
      <c r="REX77" s="685"/>
      <c r="REY77" s="685"/>
      <c r="REZ77" s="685"/>
      <c r="RFA77" s="685"/>
      <c r="RFB77" s="685"/>
      <c r="RFC77" s="685"/>
      <c r="RFD77" s="685"/>
      <c r="RFE77" s="685"/>
      <c r="RFF77" s="685"/>
      <c r="RFG77" s="685"/>
      <c r="RFH77" s="685"/>
      <c r="RFI77" s="685"/>
      <c r="RFJ77" s="685"/>
      <c r="RFK77" s="685"/>
      <c r="RFL77" s="685"/>
      <c r="RFM77" s="685"/>
      <c r="RFN77" s="685"/>
      <c r="RFO77" s="685"/>
      <c r="RFP77" s="685"/>
      <c r="RFQ77" s="685"/>
      <c r="RFR77" s="685"/>
      <c r="RFS77" s="685"/>
      <c r="RFT77" s="685"/>
      <c r="RFU77" s="685"/>
      <c r="RFV77" s="685"/>
      <c r="RFW77" s="685"/>
      <c r="RFX77" s="685"/>
      <c r="RFY77" s="685"/>
      <c r="RFZ77" s="685"/>
      <c r="RGA77" s="685"/>
      <c r="RGB77" s="685"/>
      <c r="RGC77" s="685"/>
      <c r="RGD77" s="685"/>
      <c r="RGE77" s="685"/>
      <c r="RGF77" s="685"/>
      <c r="RGG77" s="685"/>
      <c r="RGH77" s="685"/>
      <c r="RGI77" s="685"/>
      <c r="RGJ77" s="685"/>
      <c r="RGK77" s="685"/>
      <c r="RGL77" s="685"/>
      <c r="RGM77" s="685"/>
      <c r="RGN77" s="685"/>
      <c r="RGO77" s="685"/>
      <c r="RGP77" s="685"/>
      <c r="RGQ77" s="685"/>
      <c r="RGR77" s="685"/>
      <c r="RGS77" s="685"/>
      <c r="RGT77" s="685"/>
      <c r="RGU77" s="685"/>
      <c r="RGV77" s="685"/>
      <c r="RGW77" s="685"/>
      <c r="RGX77" s="685"/>
      <c r="RGY77" s="685"/>
      <c r="RGZ77" s="685"/>
      <c r="RHA77" s="685"/>
      <c r="RHB77" s="685"/>
      <c r="RHC77" s="685"/>
      <c r="RHD77" s="685"/>
      <c r="RHE77" s="685"/>
      <c r="RHF77" s="685"/>
      <c r="RHG77" s="685"/>
      <c r="RHH77" s="685"/>
      <c r="RHI77" s="685"/>
      <c r="RHJ77" s="685"/>
      <c r="RHK77" s="685"/>
      <c r="RHL77" s="685"/>
      <c r="RHM77" s="685"/>
      <c r="RHN77" s="685"/>
      <c r="RHO77" s="685"/>
      <c r="RHP77" s="685"/>
      <c r="RHQ77" s="685"/>
      <c r="RHR77" s="685"/>
      <c r="RHS77" s="685"/>
      <c r="RHT77" s="685"/>
      <c r="RHU77" s="685"/>
      <c r="RHV77" s="685"/>
      <c r="RHW77" s="685"/>
      <c r="RHX77" s="685"/>
      <c r="RHY77" s="685"/>
      <c r="RHZ77" s="685"/>
      <c r="RIA77" s="685"/>
      <c r="RIB77" s="685"/>
      <c r="RIC77" s="685"/>
      <c r="RID77" s="685"/>
      <c r="RIE77" s="685"/>
      <c r="RIF77" s="685"/>
      <c r="RIG77" s="685"/>
      <c r="RIH77" s="685"/>
      <c r="RII77" s="685"/>
      <c r="RIJ77" s="685"/>
      <c r="RIK77" s="685"/>
      <c r="RIL77" s="685"/>
      <c r="RIM77" s="685"/>
      <c r="RIN77" s="685"/>
      <c r="RIO77" s="685"/>
      <c r="RIP77" s="685"/>
      <c r="RIQ77" s="685"/>
      <c r="RIR77" s="685"/>
      <c r="RIS77" s="685"/>
      <c r="RIT77" s="685"/>
      <c r="RIU77" s="685"/>
      <c r="RIV77" s="685"/>
      <c r="RIW77" s="685"/>
      <c r="RIX77" s="685"/>
      <c r="RIY77" s="685"/>
      <c r="RIZ77" s="685"/>
      <c r="RJA77" s="685"/>
      <c r="RJB77" s="685"/>
      <c r="RJC77" s="685"/>
      <c r="RJD77" s="685"/>
      <c r="RJE77" s="685"/>
      <c r="RJF77" s="685"/>
      <c r="RJG77" s="685"/>
      <c r="RJH77" s="685"/>
      <c r="RJI77" s="685"/>
      <c r="RJJ77" s="685"/>
      <c r="RJK77" s="685"/>
      <c r="RJL77" s="685"/>
      <c r="RJM77" s="685"/>
      <c r="RJN77" s="685"/>
      <c r="RJO77" s="685"/>
      <c r="RJP77" s="685"/>
      <c r="RJQ77" s="685"/>
      <c r="RJR77" s="685"/>
      <c r="RJS77" s="685"/>
      <c r="RJT77" s="685"/>
      <c r="RJU77" s="685"/>
      <c r="RJV77" s="685"/>
      <c r="RJW77" s="685"/>
      <c r="RJX77" s="685"/>
      <c r="RJY77" s="685"/>
      <c r="RJZ77" s="685"/>
      <c r="RKA77" s="685"/>
      <c r="RKB77" s="685"/>
      <c r="RKC77" s="685"/>
      <c r="RKD77" s="685"/>
      <c r="RKE77" s="685"/>
      <c r="RKF77" s="685"/>
      <c r="RKG77" s="685"/>
      <c r="RKH77" s="685"/>
      <c r="RKI77" s="685"/>
      <c r="RKJ77" s="685"/>
      <c r="RKK77" s="685"/>
      <c r="RKL77" s="685"/>
      <c r="RKM77" s="685"/>
      <c r="RKN77" s="685"/>
      <c r="RKO77" s="685"/>
      <c r="RKP77" s="685"/>
      <c r="RKQ77" s="685"/>
      <c r="RKR77" s="685"/>
      <c r="RKS77" s="685"/>
      <c r="RKT77" s="685"/>
      <c r="RKU77" s="685"/>
      <c r="RKV77" s="685"/>
      <c r="RKW77" s="685"/>
      <c r="RKX77" s="685"/>
      <c r="RKY77" s="685"/>
      <c r="RKZ77" s="685"/>
      <c r="RLA77" s="685"/>
      <c r="RLB77" s="685"/>
      <c r="RLC77" s="685"/>
      <c r="RLD77" s="685"/>
      <c r="RLE77" s="685"/>
      <c r="RLF77" s="685"/>
      <c r="RLG77" s="685"/>
      <c r="RLH77" s="685"/>
      <c r="RLI77" s="685"/>
      <c r="RLJ77" s="685"/>
      <c r="RLK77" s="685"/>
      <c r="RLL77" s="685"/>
      <c r="RLM77" s="685"/>
      <c r="RLN77" s="685"/>
      <c r="RLO77" s="685"/>
      <c r="RLP77" s="685"/>
      <c r="RLQ77" s="685"/>
      <c r="RLR77" s="685"/>
      <c r="RLS77" s="685"/>
      <c r="RLT77" s="685"/>
      <c r="RLU77" s="685"/>
      <c r="RLV77" s="685"/>
      <c r="RLW77" s="685"/>
      <c r="RLX77" s="685"/>
      <c r="RLY77" s="685"/>
      <c r="RLZ77" s="685"/>
      <c r="RMA77" s="685"/>
      <c r="RMB77" s="685"/>
      <c r="RMC77" s="685"/>
      <c r="RMD77" s="685"/>
      <c r="RME77" s="685"/>
      <c r="RMF77" s="685"/>
      <c r="RMG77" s="685"/>
      <c r="RMH77" s="685"/>
      <c r="RMI77" s="685"/>
      <c r="RMJ77" s="685"/>
      <c r="RMK77" s="685"/>
      <c r="RML77" s="685"/>
      <c r="RMM77" s="685"/>
      <c r="RMN77" s="685"/>
      <c r="RMO77" s="685"/>
      <c r="RMP77" s="685"/>
      <c r="RMQ77" s="685"/>
      <c r="RMR77" s="685"/>
      <c r="RMS77" s="685"/>
      <c r="RMT77" s="685"/>
      <c r="RMU77" s="685"/>
      <c r="RMV77" s="685"/>
      <c r="RMW77" s="685"/>
      <c r="RMX77" s="685"/>
      <c r="RMY77" s="685"/>
      <c r="RMZ77" s="685"/>
      <c r="RNA77" s="685"/>
      <c r="RNB77" s="685"/>
      <c r="RNC77" s="685"/>
      <c r="RND77" s="685"/>
      <c r="RNE77" s="685"/>
      <c r="RNF77" s="685"/>
      <c r="RNG77" s="685"/>
      <c r="RNH77" s="685"/>
      <c r="RNI77" s="685"/>
      <c r="RNJ77" s="685"/>
      <c r="RNK77" s="685"/>
      <c r="RNL77" s="685"/>
      <c r="RNM77" s="685"/>
      <c r="RNN77" s="685"/>
      <c r="RNO77" s="685"/>
      <c r="RNP77" s="685"/>
      <c r="RNQ77" s="685"/>
      <c r="RNR77" s="685"/>
      <c r="RNS77" s="685"/>
      <c r="RNT77" s="685"/>
      <c r="RNU77" s="685"/>
      <c r="RNV77" s="685"/>
      <c r="RNW77" s="685"/>
      <c r="RNX77" s="685"/>
      <c r="RNY77" s="685"/>
      <c r="RNZ77" s="685"/>
      <c r="ROA77" s="685"/>
      <c r="ROB77" s="685"/>
      <c r="ROC77" s="685"/>
      <c r="ROD77" s="685"/>
      <c r="ROE77" s="685"/>
      <c r="ROF77" s="685"/>
      <c r="ROG77" s="685"/>
      <c r="ROH77" s="685"/>
      <c r="ROI77" s="685"/>
      <c r="ROJ77" s="685"/>
      <c r="ROK77" s="685"/>
      <c r="ROL77" s="685"/>
      <c r="ROM77" s="685"/>
      <c r="RON77" s="685"/>
      <c r="ROO77" s="685"/>
      <c r="ROP77" s="685"/>
      <c r="ROQ77" s="685"/>
      <c r="ROR77" s="685"/>
      <c r="ROS77" s="685"/>
      <c r="ROT77" s="685"/>
      <c r="ROU77" s="685"/>
      <c r="ROV77" s="685"/>
      <c r="ROW77" s="685"/>
      <c r="ROX77" s="685"/>
      <c r="ROY77" s="685"/>
      <c r="ROZ77" s="685"/>
      <c r="RPA77" s="685"/>
      <c r="RPB77" s="685"/>
      <c r="RPC77" s="685"/>
      <c r="RPD77" s="685"/>
      <c r="RPE77" s="685"/>
      <c r="RPF77" s="685"/>
      <c r="RPG77" s="685"/>
      <c r="RPH77" s="685"/>
      <c r="RPI77" s="685"/>
      <c r="RPJ77" s="685"/>
      <c r="RPK77" s="685"/>
      <c r="RPL77" s="685"/>
      <c r="RPM77" s="685"/>
      <c r="RPN77" s="685"/>
      <c r="RPO77" s="685"/>
      <c r="RPP77" s="685"/>
      <c r="RPQ77" s="685"/>
      <c r="RPR77" s="685"/>
      <c r="RPS77" s="685"/>
      <c r="RPT77" s="685"/>
      <c r="RPU77" s="685"/>
      <c r="RPV77" s="685"/>
      <c r="RPW77" s="685"/>
      <c r="RPX77" s="685"/>
      <c r="RPY77" s="685"/>
      <c r="RPZ77" s="685"/>
      <c r="RQA77" s="685"/>
      <c r="RQB77" s="685"/>
      <c r="RQC77" s="685"/>
      <c r="RQD77" s="685"/>
      <c r="RQE77" s="685"/>
      <c r="RQF77" s="685"/>
      <c r="RQG77" s="685"/>
      <c r="RQH77" s="685"/>
      <c r="RQI77" s="685"/>
      <c r="RQJ77" s="685"/>
      <c r="RQK77" s="685"/>
      <c r="RQL77" s="685"/>
      <c r="RQM77" s="685"/>
      <c r="RQN77" s="685"/>
      <c r="RQO77" s="685"/>
      <c r="RQP77" s="685"/>
      <c r="RQQ77" s="685"/>
      <c r="RQR77" s="685"/>
      <c r="RQS77" s="685"/>
      <c r="RQT77" s="685"/>
      <c r="RQU77" s="685"/>
      <c r="RQV77" s="685"/>
      <c r="RQW77" s="685"/>
      <c r="RQX77" s="685"/>
      <c r="RQY77" s="685"/>
      <c r="RQZ77" s="685"/>
      <c r="RRA77" s="685"/>
      <c r="RRB77" s="685"/>
      <c r="RRC77" s="685"/>
      <c r="RRD77" s="685"/>
      <c r="RRE77" s="685"/>
      <c r="RRF77" s="685"/>
      <c r="RRG77" s="685"/>
      <c r="RRH77" s="685"/>
      <c r="RRI77" s="685"/>
      <c r="RRJ77" s="685"/>
      <c r="RRK77" s="685"/>
      <c r="RRL77" s="685"/>
      <c r="RRM77" s="685"/>
      <c r="RRN77" s="685"/>
      <c r="RRO77" s="685"/>
      <c r="RRP77" s="685"/>
      <c r="RRQ77" s="685"/>
      <c r="RRR77" s="685"/>
      <c r="RRS77" s="685"/>
      <c r="RRT77" s="685"/>
      <c r="RRU77" s="685"/>
      <c r="RRV77" s="685"/>
      <c r="RRW77" s="685"/>
      <c r="RRX77" s="685"/>
      <c r="RRY77" s="685"/>
      <c r="RRZ77" s="685"/>
      <c r="RSA77" s="685"/>
      <c r="RSB77" s="685"/>
      <c r="RSC77" s="685"/>
      <c r="RSD77" s="685"/>
      <c r="RSE77" s="685"/>
      <c r="RSF77" s="685"/>
      <c r="RSG77" s="685"/>
      <c r="RSH77" s="685"/>
      <c r="RSI77" s="685"/>
      <c r="RSJ77" s="685"/>
      <c r="RSK77" s="685"/>
      <c r="RSL77" s="685"/>
      <c r="RSM77" s="685"/>
      <c r="RSN77" s="685"/>
      <c r="RSO77" s="685"/>
      <c r="RSP77" s="685"/>
      <c r="RSQ77" s="685"/>
      <c r="RSR77" s="685"/>
      <c r="RSS77" s="685"/>
      <c r="RST77" s="685"/>
      <c r="RSU77" s="685"/>
      <c r="RSV77" s="685"/>
      <c r="RSW77" s="685"/>
      <c r="RSX77" s="685"/>
      <c r="RSY77" s="685"/>
      <c r="RSZ77" s="685"/>
      <c r="RTA77" s="685"/>
      <c r="RTB77" s="685"/>
      <c r="RTC77" s="685"/>
      <c r="RTD77" s="685"/>
      <c r="RTE77" s="685"/>
      <c r="RTF77" s="685"/>
      <c r="RTG77" s="685"/>
      <c r="RTH77" s="685"/>
      <c r="RTI77" s="685"/>
      <c r="RTJ77" s="685"/>
      <c r="RTK77" s="685"/>
      <c r="RTL77" s="685"/>
      <c r="RTM77" s="685"/>
      <c r="RTN77" s="685"/>
      <c r="RTO77" s="685"/>
      <c r="RTP77" s="685"/>
      <c r="RTQ77" s="685"/>
      <c r="RTR77" s="685"/>
      <c r="RTS77" s="685"/>
      <c r="RTT77" s="685"/>
      <c r="RTU77" s="685"/>
      <c r="RTV77" s="685"/>
      <c r="RTW77" s="685"/>
      <c r="RTX77" s="685"/>
      <c r="RTY77" s="685"/>
      <c r="RTZ77" s="685"/>
      <c r="RUA77" s="685"/>
      <c r="RUB77" s="685"/>
      <c r="RUC77" s="685"/>
      <c r="RUD77" s="685"/>
      <c r="RUE77" s="685"/>
      <c r="RUF77" s="685"/>
      <c r="RUG77" s="685"/>
      <c r="RUH77" s="685"/>
      <c r="RUI77" s="685"/>
      <c r="RUJ77" s="685"/>
      <c r="RUK77" s="685"/>
      <c r="RUL77" s="685"/>
      <c r="RUM77" s="685"/>
      <c r="RUN77" s="685"/>
      <c r="RUO77" s="685"/>
      <c r="RUP77" s="685"/>
      <c r="RUQ77" s="685"/>
      <c r="RUR77" s="685"/>
      <c r="RUS77" s="685"/>
      <c r="RUT77" s="685"/>
      <c r="RUU77" s="685"/>
      <c r="RUV77" s="685"/>
      <c r="RUW77" s="685"/>
      <c r="RUX77" s="685"/>
      <c r="RUY77" s="685"/>
      <c r="RUZ77" s="685"/>
      <c r="RVA77" s="685"/>
      <c r="RVB77" s="685"/>
      <c r="RVC77" s="685"/>
      <c r="RVD77" s="685"/>
      <c r="RVE77" s="685"/>
      <c r="RVF77" s="685"/>
      <c r="RVG77" s="685"/>
      <c r="RVH77" s="685"/>
      <c r="RVI77" s="685"/>
      <c r="RVJ77" s="685"/>
      <c r="RVK77" s="685"/>
      <c r="RVL77" s="685"/>
      <c r="RVM77" s="685"/>
      <c r="RVN77" s="685"/>
      <c r="RVO77" s="685"/>
      <c r="RVP77" s="685"/>
      <c r="RVQ77" s="685"/>
      <c r="RVR77" s="685"/>
      <c r="RVS77" s="685"/>
      <c r="RVT77" s="685"/>
      <c r="RVU77" s="685"/>
      <c r="RVV77" s="685"/>
      <c r="RVW77" s="685"/>
      <c r="RVX77" s="685"/>
      <c r="RVY77" s="685"/>
      <c r="RVZ77" s="685"/>
      <c r="RWA77" s="685"/>
      <c r="RWB77" s="685"/>
      <c r="RWC77" s="685"/>
      <c r="RWD77" s="685"/>
      <c r="RWE77" s="685"/>
      <c r="RWF77" s="685"/>
      <c r="RWG77" s="685"/>
      <c r="RWH77" s="685"/>
      <c r="RWI77" s="685"/>
      <c r="RWJ77" s="685"/>
      <c r="RWK77" s="685"/>
      <c r="RWL77" s="685"/>
      <c r="RWM77" s="685"/>
      <c r="RWN77" s="685"/>
      <c r="RWO77" s="685"/>
      <c r="RWP77" s="685"/>
      <c r="RWQ77" s="685"/>
      <c r="RWR77" s="685"/>
      <c r="RWS77" s="685"/>
      <c r="RWT77" s="685"/>
      <c r="RWU77" s="685"/>
      <c r="RWV77" s="685"/>
      <c r="RWW77" s="685"/>
      <c r="RWX77" s="685"/>
      <c r="RWY77" s="685"/>
      <c r="RWZ77" s="685"/>
      <c r="RXA77" s="685"/>
      <c r="RXB77" s="685"/>
      <c r="RXC77" s="685"/>
      <c r="RXD77" s="685"/>
      <c r="RXE77" s="685"/>
      <c r="RXF77" s="685"/>
      <c r="RXG77" s="685"/>
      <c r="RXH77" s="685"/>
      <c r="RXI77" s="685"/>
      <c r="RXJ77" s="685"/>
      <c r="RXK77" s="685"/>
      <c r="RXL77" s="685"/>
      <c r="RXM77" s="685"/>
      <c r="RXN77" s="685"/>
      <c r="RXO77" s="685"/>
      <c r="RXP77" s="685"/>
      <c r="RXQ77" s="685"/>
      <c r="RXR77" s="685"/>
      <c r="RXS77" s="685"/>
      <c r="RXT77" s="685"/>
      <c r="RXU77" s="685"/>
      <c r="RXV77" s="685"/>
      <c r="RXW77" s="685"/>
      <c r="RXX77" s="685"/>
      <c r="RXY77" s="685"/>
      <c r="RXZ77" s="685"/>
      <c r="RYA77" s="685"/>
      <c r="RYB77" s="685"/>
      <c r="RYC77" s="685"/>
      <c r="RYD77" s="685"/>
      <c r="RYE77" s="685"/>
      <c r="RYF77" s="685"/>
      <c r="RYG77" s="685"/>
      <c r="RYH77" s="685"/>
      <c r="RYI77" s="685"/>
      <c r="RYJ77" s="685"/>
      <c r="RYK77" s="685"/>
      <c r="RYL77" s="685"/>
      <c r="RYM77" s="685"/>
      <c r="RYN77" s="685"/>
      <c r="RYO77" s="685"/>
      <c r="RYP77" s="685"/>
      <c r="RYQ77" s="685"/>
      <c r="RYR77" s="685"/>
      <c r="RYS77" s="685"/>
      <c r="RYT77" s="685"/>
      <c r="RYU77" s="685"/>
      <c r="RYV77" s="685"/>
      <c r="RYW77" s="685"/>
      <c r="RYX77" s="685"/>
      <c r="RYY77" s="685"/>
      <c r="RYZ77" s="685"/>
      <c r="RZA77" s="685"/>
      <c r="RZB77" s="685"/>
      <c r="RZC77" s="685"/>
      <c r="RZD77" s="685"/>
      <c r="RZE77" s="685"/>
      <c r="RZF77" s="685"/>
      <c r="RZG77" s="685"/>
      <c r="RZH77" s="685"/>
      <c r="RZI77" s="685"/>
      <c r="RZJ77" s="685"/>
      <c r="RZK77" s="685"/>
      <c r="RZL77" s="685"/>
      <c r="RZM77" s="685"/>
      <c r="RZN77" s="685"/>
      <c r="RZO77" s="685"/>
      <c r="RZP77" s="685"/>
      <c r="RZQ77" s="685"/>
      <c r="RZR77" s="685"/>
      <c r="RZS77" s="685"/>
      <c r="RZT77" s="685"/>
      <c r="RZU77" s="685"/>
      <c r="RZV77" s="685"/>
      <c r="RZW77" s="685"/>
      <c r="RZX77" s="685"/>
      <c r="RZY77" s="685"/>
      <c r="RZZ77" s="685"/>
      <c r="SAA77" s="685"/>
      <c r="SAB77" s="685"/>
      <c r="SAC77" s="685"/>
      <c r="SAD77" s="685"/>
      <c r="SAE77" s="685"/>
      <c r="SAF77" s="685"/>
      <c r="SAG77" s="685"/>
      <c r="SAH77" s="685"/>
      <c r="SAI77" s="685"/>
      <c r="SAJ77" s="685"/>
      <c r="SAK77" s="685"/>
      <c r="SAL77" s="685"/>
      <c r="SAM77" s="685"/>
      <c r="SAN77" s="685"/>
      <c r="SAO77" s="685"/>
      <c r="SAP77" s="685"/>
      <c r="SAQ77" s="685"/>
      <c r="SAR77" s="685"/>
      <c r="SAS77" s="685"/>
      <c r="SAT77" s="685"/>
      <c r="SAU77" s="685"/>
      <c r="SAV77" s="685"/>
      <c r="SAW77" s="685"/>
      <c r="SAX77" s="685"/>
      <c r="SAY77" s="685"/>
      <c r="SAZ77" s="685"/>
      <c r="SBA77" s="685"/>
      <c r="SBB77" s="685"/>
      <c r="SBC77" s="685"/>
      <c r="SBD77" s="685"/>
      <c r="SBE77" s="685"/>
      <c r="SBF77" s="685"/>
      <c r="SBG77" s="685"/>
      <c r="SBH77" s="685"/>
      <c r="SBI77" s="685"/>
      <c r="SBJ77" s="685"/>
      <c r="SBK77" s="685"/>
      <c r="SBL77" s="685"/>
      <c r="SBM77" s="685"/>
      <c r="SBN77" s="685"/>
      <c r="SBO77" s="685"/>
      <c r="SBP77" s="685"/>
      <c r="SBQ77" s="685"/>
      <c r="SBR77" s="685"/>
      <c r="SBS77" s="685"/>
      <c r="SBT77" s="685"/>
      <c r="SBU77" s="685"/>
      <c r="SBV77" s="685"/>
      <c r="SBW77" s="685"/>
      <c r="SBX77" s="685"/>
      <c r="SBY77" s="685"/>
      <c r="SBZ77" s="685"/>
      <c r="SCA77" s="685"/>
      <c r="SCB77" s="685"/>
      <c r="SCC77" s="685"/>
      <c r="SCD77" s="685"/>
      <c r="SCE77" s="685"/>
      <c r="SCF77" s="685"/>
      <c r="SCG77" s="685"/>
      <c r="SCH77" s="685"/>
      <c r="SCI77" s="685"/>
      <c r="SCJ77" s="685"/>
      <c r="SCK77" s="685"/>
      <c r="SCL77" s="685"/>
      <c r="SCM77" s="685"/>
      <c r="SCN77" s="685"/>
      <c r="SCO77" s="685"/>
      <c r="SCP77" s="685"/>
      <c r="SCQ77" s="685"/>
      <c r="SCR77" s="685"/>
      <c r="SCS77" s="685"/>
      <c r="SCT77" s="685"/>
      <c r="SCU77" s="685"/>
      <c r="SCV77" s="685"/>
      <c r="SCW77" s="685"/>
      <c r="SCX77" s="685"/>
      <c r="SCY77" s="685"/>
      <c r="SCZ77" s="685"/>
      <c r="SDA77" s="685"/>
      <c r="SDB77" s="685"/>
      <c r="SDC77" s="685"/>
      <c r="SDD77" s="685"/>
      <c r="SDE77" s="685"/>
      <c r="SDF77" s="685"/>
      <c r="SDG77" s="685"/>
      <c r="SDH77" s="685"/>
      <c r="SDI77" s="685"/>
      <c r="SDJ77" s="685"/>
      <c r="SDK77" s="685"/>
      <c r="SDL77" s="685"/>
      <c r="SDM77" s="685"/>
      <c r="SDN77" s="685"/>
      <c r="SDO77" s="685"/>
      <c r="SDP77" s="685"/>
      <c r="SDQ77" s="685"/>
      <c r="SDR77" s="685"/>
      <c r="SDS77" s="685"/>
      <c r="SDT77" s="685"/>
      <c r="SDU77" s="685"/>
      <c r="SDV77" s="685"/>
      <c r="SDW77" s="685"/>
      <c r="SDX77" s="685"/>
      <c r="SDY77" s="685"/>
      <c r="SDZ77" s="685"/>
      <c r="SEA77" s="685"/>
      <c r="SEB77" s="685"/>
      <c r="SEC77" s="685"/>
      <c r="SED77" s="685"/>
      <c r="SEE77" s="685"/>
      <c r="SEF77" s="685"/>
      <c r="SEG77" s="685"/>
      <c r="SEH77" s="685"/>
      <c r="SEI77" s="685"/>
      <c r="SEJ77" s="685"/>
      <c r="SEK77" s="685"/>
      <c r="SEL77" s="685"/>
      <c r="SEM77" s="685"/>
      <c r="SEN77" s="685"/>
      <c r="SEO77" s="685"/>
      <c r="SEP77" s="685"/>
      <c r="SEQ77" s="685"/>
      <c r="SER77" s="685"/>
      <c r="SES77" s="685"/>
      <c r="SET77" s="685"/>
      <c r="SEU77" s="685"/>
      <c r="SEV77" s="685"/>
      <c r="SEW77" s="685"/>
      <c r="SEX77" s="685"/>
      <c r="SEY77" s="685"/>
      <c r="SEZ77" s="685"/>
      <c r="SFA77" s="685"/>
      <c r="SFB77" s="685"/>
      <c r="SFC77" s="685"/>
      <c r="SFD77" s="685"/>
      <c r="SFE77" s="685"/>
      <c r="SFF77" s="685"/>
      <c r="SFG77" s="685"/>
      <c r="SFH77" s="685"/>
      <c r="SFI77" s="685"/>
      <c r="SFJ77" s="685"/>
      <c r="SFK77" s="685"/>
      <c r="SFL77" s="685"/>
      <c r="SFM77" s="685"/>
      <c r="SFN77" s="685"/>
      <c r="SFO77" s="685"/>
      <c r="SFP77" s="685"/>
      <c r="SFQ77" s="685"/>
      <c r="SFR77" s="685"/>
      <c r="SFS77" s="685"/>
      <c r="SFT77" s="685"/>
      <c r="SFU77" s="685"/>
      <c r="SFV77" s="685"/>
      <c r="SFW77" s="685"/>
      <c r="SFX77" s="685"/>
      <c r="SFY77" s="685"/>
      <c r="SFZ77" s="685"/>
      <c r="SGA77" s="685"/>
      <c r="SGB77" s="685"/>
      <c r="SGC77" s="685"/>
      <c r="SGD77" s="685"/>
      <c r="SGE77" s="685"/>
      <c r="SGF77" s="685"/>
      <c r="SGG77" s="685"/>
      <c r="SGH77" s="685"/>
      <c r="SGI77" s="685"/>
      <c r="SGJ77" s="685"/>
      <c r="SGK77" s="685"/>
      <c r="SGL77" s="685"/>
      <c r="SGM77" s="685"/>
      <c r="SGN77" s="685"/>
      <c r="SGO77" s="685"/>
      <c r="SGP77" s="685"/>
      <c r="SGQ77" s="685"/>
      <c r="SGR77" s="685"/>
      <c r="SGS77" s="685"/>
      <c r="SGT77" s="685"/>
      <c r="SGU77" s="685"/>
      <c r="SGV77" s="685"/>
      <c r="SGW77" s="685"/>
      <c r="SGX77" s="685"/>
      <c r="SGY77" s="685"/>
      <c r="SGZ77" s="685"/>
      <c r="SHA77" s="685"/>
      <c r="SHB77" s="685"/>
      <c r="SHC77" s="685"/>
      <c r="SHD77" s="685"/>
      <c r="SHE77" s="685"/>
      <c r="SHF77" s="685"/>
      <c r="SHG77" s="685"/>
      <c r="SHH77" s="685"/>
      <c r="SHI77" s="685"/>
      <c r="SHJ77" s="685"/>
      <c r="SHK77" s="685"/>
      <c r="SHL77" s="685"/>
      <c r="SHM77" s="685"/>
      <c r="SHN77" s="685"/>
      <c r="SHO77" s="685"/>
      <c r="SHP77" s="685"/>
      <c r="SHQ77" s="685"/>
      <c r="SHR77" s="685"/>
      <c r="SHS77" s="685"/>
      <c r="SHT77" s="685"/>
      <c r="SHU77" s="685"/>
      <c r="SHV77" s="685"/>
      <c r="SHW77" s="685"/>
      <c r="SHX77" s="685"/>
      <c r="SHY77" s="685"/>
      <c r="SHZ77" s="685"/>
      <c r="SIA77" s="685"/>
      <c r="SIB77" s="685"/>
      <c r="SIC77" s="685"/>
      <c r="SID77" s="685"/>
      <c r="SIE77" s="685"/>
      <c r="SIF77" s="685"/>
      <c r="SIG77" s="685"/>
      <c r="SIH77" s="685"/>
      <c r="SII77" s="685"/>
      <c r="SIJ77" s="685"/>
      <c r="SIK77" s="685"/>
      <c r="SIL77" s="685"/>
      <c r="SIM77" s="685"/>
      <c r="SIN77" s="685"/>
      <c r="SIO77" s="685"/>
      <c r="SIP77" s="685"/>
      <c r="SIQ77" s="685"/>
      <c r="SIR77" s="685"/>
      <c r="SIS77" s="685"/>
      <c r="SIT77" s="685"/>
      <c r="SIU77" s="685"/>
      <c r="SIV77" s="685"/>
      <c r="SIW77" s="685"/>
      <c r="SIX77" s="685"/>
      <c r="SIY77" s="685"/>
      <c r="SIZ77" s="685"/>
      <c r="SJA77" s="685"/>
      <c r="SJB77" s="685"/>
      <c r="SJC77" s="685"/>
      <c r="SJD77" s="685"/>
      <c r="SJE77" s="685"/>
      <c r="SJF77" s="685"/>
      <c r="SJG77" s="685"/>
      <c r="SJH77" s="685"/>
      <c r="SJI77" s="685"/>
      <c r="SJJ77" s="685"/>
      <c r="SJK77" s="685"/>
      <c r="SJL77" s="685"/>
      <c r="SJM77" s="685"/>
      <c r="SJN77" s="685"/>
      <c r="SJO77" s="685"/>
      <c r="SJP77" s="685"/>
      <c r="SJQ77" s="685"/>
      <c r="SJR77" s="685"/>
      <c r="SJS77" s="685"/>
      <c r="SJT77" s="685"/>
      <c r="SJU77" s="685"/>
      <c r="SJV77" s="685"/>
      <c r="SJW77" s="685"/>
      <c r="SJX77" s="685"/>
      <c r="SJY77" s="685"/>
      <c r="SJZ77" s="685"/>
      <c r="SKA77" s="685"/>
      <c r="SKB77" s="685"/>
      <c r="SKC77" s="685"/>
      <c r="SKD77" s="685"/>
      <c r="SKE77" s="685"/>
      <c r="SKF77" s="685"/>
      <c r="SKG77" s="685"/>
      <c r="SKH77" s="685"/>
      <c r="SKI77" s="685"/>
      <c r="SKJ77" s="685"/>
      <c r="SKK77" s="685"/>
      <c r="SKL77" s="685"/>
      <c r="SKM77" s="685"/>
      <c r="SKN77" s="685"/>
      <c r="SKO77" s="685"/>
      <c r="SKP77" s="685"/>
      <c r="SKQ77" s="685"/>
      <c r="SKR77" s="685"/>
      <c r="SKS77" s="685"/>
      <c r="SKT77" s="685"/>
      <c r="SKU77" s="685"/>
      <c r="SKV77" s="685"/>
      <c r="SKW77" s="685"/>
      <c r="SKX77" s="685"/>
      <c r="SKY77" s="685"/>
      <c r="SKZ77" s="685"/>
      <c r="SLA77" s="685"/>
      <c r="SLB77" s="685"/>
      <c r="SLC77" s="685"/>
      <c r="SLD77" s="685"/>
      <c r="SLE77" s="685"/>
      <c r="SLF77" s="685"/>
      <c r="SLG77" s="685"/>
      <c r="SLH77" s="685"/>
      <c r="SLI77" s="685"/>
      <c r="SLJ77" s="685"/>
      <c r="SLK77" s="685"/>
      <c r="SLL77" s="685"/>
      <c r="SLM77" s="685"/>
      <c r="SLN77" s="685"/>
      <c r="SLO77" s="685"/>
      <c r="SLP77" s="685"/>
      <c r="SLQ77" s="685"/>
      <c r="SLR77" s="685"/>
      <c r="SLS77" s="685"/>
      <c r="SLT77" s="685"/>
      <c r="SLU77" s="685"/>
      <c r="SLV77" s="685"/>
      <c r="SLW77" s="685"/>
      <c r="SLX77" s="685"/>
      <c r="SLY77" s="685"/>
      <c r="SLZ77" s="685"/>
      <c r="SMA77" s="685"/>
      <c r="SMB77" s="685"/>
      <c r="SMC77" s="685"/>
      <c r="SMD77" s="685"/>
      <c r="SME77" s="685"/>
      <c r="SMF77" s="685"/>
      <c r="SMG77" s="685"/>
      <c r="SMH77" s="685"/>
      <c r="SMI77" s="685"/>
      <c r="SMJ77" s="685"/>
      <c r="SMK77" s="685"/>
      <c r="SML77" s="685"/>
      <c r="SMM77" s="685"/>
      <c r="SMN77" s="685"/>
      <c r="SMO77" s="685"/>
      <c r="SMP77" s="685"/>
      <c r="SMQ77" s="685"/>
      <c r="SMR77" s="685"/>
      <c r="SMS77" s="685"/>
      <c r="SMT77" s="685"/>
      <c r="SMU77" s="685"/>
      <c r="SMV77" s="685"/>
      <c r="SMW77" s="685"/>
      <c r="SMX77" s="685"/>
      <c r="SMY77" s="685"/>
      <c r="SMZ77" s="685"/>
      <c r="SNA77" s="685"/>
      <c r="SNB77" s="685"/>
      <c r="SNC77" s="685"/>
      <c r="SND77" s="685"/>
      <c r="SNE77" s="685"/>
      <c r="SNF77" s="685"/>
      <c r="SNG77" s="685"/>
      <c r="SNH77" s="685"/>
      <c r="SNI77" s="685"/>
      <c r="SNJ77" s="685"/>
      <c r="SNK77" s="685"/>
      <c r="SNL77" s="685"/>
      <c r="SNM77" s="685"/>
      <c r="SNN77" s="685"/>
      <c r="SNO77" s="685"/>
      <c r="SNP77" s="685"/>
      <c r="SNQ77" s="685"/>
      <c r="SNR77" s="685"/>
      <c r="SNS77" s="685"/>
      <c r="SNT77" s="685"/>
      <c r="SNU77" s="685"/>
      <c r="SNV77" s="685"/>
      <c r="SNW77" s="685"/>
      <c r="SNX77" s="685"/>
      <c r="SNY77" s="685"/>
      <c r="SNZ77" s="685"/>
      <c r="SOA77" s="685"/>
      <c r="SOB77" s="685"/>
      <c r="SOC77" s="685"/>
      <c r="SOD77" s="685"/>
      <c r="SOE77" s="685"/>
      <c r="SOF77" s="685"/>
      <c r="SOG77" s="685"/>
      <c r="SOH77" s="685"/>
      <c r="SOI77" s="685"/>
      <c r="SOJ77" s="685"/>
      <c r="SOK77" s="685"/>
      <c r="SOL77" s="685"/>
      <c r="SOM77" s="685"/>
      <c r="SON77" s="685"/>
      <c r="SOO77" s="685"/>
      <c r="SOP77" s="685"/>
      <c r="SOQ77" s="685"/>
      <c r="SOR77" s="685"/>
      <c r="SOS77" s="685"/>
      <c r="SOT77" s="685"/>
      <c r="SOU77" s="685"/>
      <c r="SOV77" s="685"/>
      <c r="SOW77" s="685"/>
      <c r="SOX77" s="685"/>
      <c r="SOY77" s="685"/>
      <c r="SOZ77" s="685"/>
      <c r="SPA77" s="685"/>
      <c r="SPB77" s="685"/>
      <c r="SPC77" s="685"/>
      <c r="SPD77" s="685"/>
      <c r="SPE77" s="685"/>
      <c r="SPF77" s="685"/>
      <c r="SPG77" s="685"/>
      <c r="SPH77" s="685"/>
      <c r="SPI77" s="685"/>
      <c r="SPJ77" s="685"/>
      <c r="SPK77" s="685"/>
      <c r="SPL77" s="685"/>
      <c r="SPM77" s="685"/>
      <c r="SPN77" s="685"/>
      <c r="SPO77" s="685"/>
      <c r="SPP77" s="685"/>
      <c r="SPQ77" s="685"/>
      <c r="SPR77" s="685"/>
      <c r="SPS77" s="685"/>
      <c r="SPT77" s="685"/>
      <c r="SPU77" s="685"/>
      <c r="SPV77" s="685"/>
      <c r="SPW77" s="685"/>
      <c r="SPX77" s="685"/>
      <c r="SPY77" s="685"/>
      <c r="SPZ77" s="685"/>
      <c r="SQA77" s="685"/>
      <c r="SQB77" s="685"/>
      <c r="SQC77" s="685"/>
      <c r="SQD77" s="685"/>
      <c r="SQE77" s="685"/>
      <c r="SQF77" s="685"/>
      <c r="SQG77" s="685"/>
      <c r="SQH77" s="685"/>
      <c r="SQI77" s="685"/>
      <c r="SQJ77" s="685"/>
      <c r="SQK77" s="685"/>
      <c r="SQL77" s="685"/>
      <c r="SQM77" s="685"/>
      <c r="SQN77" s="685"/>
      <c r="SQO77" s="685"/>
      <c r="SQP77" s="685"/>
      <c r="SQQ77" s="685"/>
      <c r="SQR77" s="685"/>
      <c r="SQS77" s="685"/>
      <c r="SQT77" s="685"/>
      <c r="SQU77" s="685"/>
      <c r="SQV77" s="685"/>
      <c r="SQW77" s="685"/>
      <c r="SQX77" s="685"/>
      <c r="SQY77" s="685"/>
      <c r="SQZ77" s="685"/>
      <c r="SRA77" s="685"/>
      <c r="SRB77" s="685"/>
      <c r="SRC77" s="685"/>
      <c r="SRD77" s="685"/>
      <c r="SRE77" s="685"/>
      <c r="SRF77" s="685"/>
      <c r="SRG77" s="685"/>
      <c r="SRH77" s="685"/>
      <c r="SRI77" s="685"/>
      <c r="SRJ77" s="685"/>
      <c r="SRK77" s="685"/>
      <c r="SRL77" s="685"/>
      <c r="SRM77" s="685"/>
      <c r="SRN77" s="685"/>
      <c r="SRO77" s="685"/>
      <c r="SRP77" s="685"/>
      <c r="SRQ77" s="685"/>
      <c r="SRR77" s="685"/>
      <c r="SRS77" s="685"/>
      <c r="SRT77" s="685"/>
      <c r="SRU77" s="685"/>
      <c r="SRV77" s="685"/>
      <c r="SRW77" s="685"/>
      <c r="SRX77" s="685"/>
      <c r="SRY77" s="685"/>
      <c r="SRZ77" s="685"/>
      <c r="SSA77" s="685"/>
      <c r="SSB77" s="685"/>
      <c r="SSC77" s="685"/>
      <c r="SSD77" s="685"/>
      <c r="SSE77" s="685"/>
      <c r="SSF77" s="685"/>
      <c r="SSG77" s="685"/>
      <c r="SSH77" s="685"/>
      <c r="SSI77" s="685"/>
      <c r="SSJ77" s="685"/>
      <c r="SSK77" s="685"/>
      <c r="SSL77" s="685"/>
      <c r="SSM77" s="685"/>
      <c r="SSN77" s="685"/>
      <c r="SSO77" s="685"/>
      <c r="SSP77" s="685"/>
      <c r="SSQ77" s="685"/>
      <c r="SSR77" s="685"/>
      <c r="SSS77" s="685"/>
      <c r="SST77" s="685"/>
      <c r="SSU77" s="685"/>
      <c r="SSV77" s="685"/>
      <c r="SSW77" s="685"/>
      <c r="SSX77" s="685"/>
      <c r="SSY77" s="685"/>
      <c r="SSZ77" s="685"/>
      <c r="STA77" s="685"/>
      <c r="STB77" s="685"/>
      <c r="STC77" s="685"/>
      <c r="STD77" s="685"/>
      <c r="STE77" s="685"/>
      <c r="STF77" s="685"/>
      <c r="STG77" s="685"/>
      <c r="STH77" s="685"/>
      <c r="STI77" s="685"/>
      <c r="STJ77" s="685"/>
      <c r="STK77" s="685"/>
      <c r="STL77" s="685"/>
      <c r="STM77" s="685"/>
      <c r="STN77" s="685"/>
      <c r="STO77" s="685"/>
      <c r="STP77" s="685"/>
      <c r="STQ77" s="685"/>
      <c r="STR77" s="685"/>
      <c r="STS77" s="685"/>
      <c r="STT77" s="685"/>
      <c r="STU77" s="685"/>
      <c r="STV77" s="685"/>
      <c r="STW77" s="685"/>
      <c r="STX77" s="685"/>
      <c r="STY77" s="685"/>
      <c r="STZ77" s="685"/>
      <c r="SUA77" s="685"/>
      <c r="SUB77" s="685"/>
      <c r="SUC77" s="685"/>
      <c r="SUD77" s="685"/>
      <c r="SUE77" s="685"/>
      <c r="SUF77" s="685"/>
      <c r="SUG77" s="685"/>
      <c r="SUH77" s="685"/>
      <c r="SUI77" s="685"/>
      <c r="SUJ77" s="685"/>
      <c r="SUK77" s="685"/>
      <c r="SUL77" s="685"/>
      <c r="SUM77" s="685"/>
      <c r="SUN77" s="685"/>
      <c r="SUO77" s="685"/>
      <c r="SUP77" s="685"/>
      <c r="SUQ77" s="685"/>
      <c r="SUR77" s="685"/>
      <c r="SUS77" s="685"/>
      <c r="SUT77" s="685"/>
      <c r="SUU77" s="685"/>
      <c r="SUV77" s="685"/>
      <c r="SUW77" s="685"/>
      <c r="SUX77" s="685"/>
      <c r="SUY77" s="685"/>
      <c r="SUZ77" s="685"/>
      <c r="SVA77" s="685"/>
      <c r="SVB77" s="685"/>
      <c r="SVC77" s="685"/>
      <c r="SVD77" s="685"/>
      <c r="SVE77" s="685"/>
      <c r="SVF77" s="685"/>
      <c r="SVG77" s="685"/>
      <c r="SVH77" s="685"/>
      <c r="SVI77" s="685"/>
      <c r="SVJ77" s="685"/>
      <c r="SVK77" s="685"/>
      <c r="SVL77" s="685"/>
      <c r="SVM77" s="685"/>
      <c r="SVN77" s="685"/>
      <c r="SVO77" s="685"/>
      <c r="SVP77" s="685"/>
      <c r="SVQ77" s="685"/>
      <c r="SVR77" s="685"/>
      <c r="SVS77" s="685"/>
      <c r="SVT77" s="685"/>
      <c r="SVU77" s="685"/>
      <c r="SVV77" s="685"/>
      <c r="SVW77" s="685"/>
      <c r="SVX77" s="685"/>
      <c r="SVY77" s="685"/>
      <c r="SVZ77" s="685"/>
      <c r="SWA77" s="685"/>
      <c r="SWB77" s="685"/>
      <c r="SWC77" s="685"/>
      <c r="SWD77" s="685"/>
      <c r="SWE77" s="685"/>
      <c r="SWF77" s="685"/>
      <c r="SWG77" s="685"/>
      <c r="SWH77" s="685"/>
      <c r="SWI77" s="685"/>
      <c r="SWJ77" s="685"/>
      <c r="SWK77" s="685"/>
      <c r="SWL77" s="685"/>
      <c r="SWM77" s="685"/>
      <c r="SWN77" s="685"/>
      <c r="SWO77" s="685"/>
      <c r="SWP77" s="685"/>
      <c r="SWQ77" s="685"/>
      <c r="SWR77" s="685"/>
      <c r="SWS77" s="685"/>
      <c r="SWT77" s="685"/>
      <c r="SWU77" s="685"/>
      <c r="SWV77" s="685"/>
      <c r="SWW77" s="685"/>
      <c r="SWX77" s="685"/>
      <c r="SWY77" s="685"/>
      <c r="SWZ77" s="685"/>
      <c r="SXA77" s="685"/>
      <c r="SXB77" s="685"/>
      <c r="SXC77" s="685"/>
      <c r="SXD77" s="685"/>
      <c r="SXE77" s="685"/>
      <c r="SXF77" s="685"/>
      <c r="SXG77" s="685"/>
      <c r="SXH77" s="685"/>
      <c r="SXI77" s="685"/>
      <c r="SXJ77" s="685"/>
      <c r="SXK77" s="685"/>
      <c r="SXL77" s="685"/>
      <c r="SXM77" s="685"/>
      <c r="SXN77" s="685"/>
      <c r="SXO77" s="685"/>
      <c r="SXP77" s="685"/>
      <c r="SXQ77" s="685"/>
      <c r="SXR77" s="685"/>
      <c r="SXS77" s="685"/>
      <c r="SXT77" s="685"/>
      <c r="SXU77" s="685"/>
      <c r="SXV77" s="685"/>
      <c r="SXW77" s="685"/>
      <c r="SXX77" s="685"/>
      <c r="SXY77" s="685"/>
      <c r="SXZ77" s="685"/>
      <c r="SYA77" s="685"/>
      <c r="SYB77" s="685"/>
      <c r="SYC77" s="685"/>
      <c r="SYD77" s="685"/>
      <c r="SYE77" s="685"/>
      <c r="SYF77" s="685"/>
      <c r="SYG77" s="685"/>
      <c r="SYH77" s="685"/>
      <c r="SYI77" s="685"/>
      <c r="SYJ77" s="685"/>
      <c r="SYK77" s="685"/>
      <c r="SYL77" s="685"/>
      <c r="SYM77" s="685"/>
      <c r="SYN77" s="685"/>
      <c r="SYO77" s="685"/>
      <c r="SYP77" s="685"/>
      <c r="SYQ77" s="685"/>
      <c r="SYR77" s="685"/>
      <c r="SYS77" s="685"/>
      <c r="SYT77" s="685"/>
      <c r="SYU77" s="685"/>
      <c r="SYV77" s="685"/>
      <c r="SYW77" s="685"/>
      <c r="SYX77" s="685"/>
      <c r="SYY77" s="685"/>
      <c r="SYZ77" s="685"/>
      <c r="SZA77" s="685"/>
      <c r="SZB77" s="685"/>
      <c r="SZC77" s="685"/>
      <c r="SZD77" s="685"/>
      <c r="SZE77" s="685"/>
      <c r="SZF77" s="685"/>
      <c r="SZG77" s="685"/>
      <c r="SZH77" s="685"/>
      <c r="SZI77" s="685"/>
      <c r="SZJ77" s="685"/>
      <c r="SZK77" s="685"/>
      <c r="SZL77" s="685"/>
      <c r="SZM77" s="685"/>
      <c r="SZN77" s="685"/>
      <c r="SZO77" s="685"/>
      <c r="SZP77" s="685"/>
      <c r="SZQ77" s="685"/>
      <c r="SZR77" s="685"/>
      <c r="SZS77" s="685"/>
      <c r="SZT77" s="685"/>
      <c r="SZU77" s="685"/>
      <c r="SZV77" s="685"/>
      <c r="SZW77" s="685"/>
      <c r="SZX77" s="685"/>
      <c r="SZY77" s="685"/>
      <c r="SZZ77" s="685"/>
      <c r="TAA77" s="685"/>
      <c r="TAB77" s="685"/>
      <c r="TAC77" s="685"/>
      <c r="TAD77" s="685"/>
      <c r="TAE77" s="685"/>
      <c r="TAF77" s="685"/>
      <c r="TAG77" s="685"/>
      <c r="TAH77" s="685"/>
      <c r="TAI77" s="685"/>
      <c r="TAJ77" s="685"/>
      <c r="TAK77" s="685"/>
      <c r="TAL77" s="685"/>
      <c r="TAM77" s="685"/>
      <c r="TAN77" s="685"/>
      <c r="TAO77" s="685"/>
      <c r="TAP77" s="685"/>
      <c r="TAQ77" s="685"/>
      <c r="TAR77" s="685"/>
      <c r="TAS77" s="685"/>
      <c r="TAT77" s="685"/>
      <c r="TAU77" s="685"/>
      <c r="TAV77" s="685"/>
      <c r="TAW77" s="685"/>
      <c r="TAX77" s="685"/>
      <c r="TAY77" s="685"/>
      <c r="TAZ77" s="685"/>
      <c r="TBA77" s="685"/>
      <c r="TBB77" s="685"/>
      <c r="TBC77" s="685"/>
      <c r="TBD77" s="685"/>
      <c r="TBE77" s="685"/>
      <c r="TBF77" s="685"/>
      <c r="TBG77" s="685"/>
      <c r="TBH77" s="685"/>
      <c r="TBI77" s="685"/>
      <c r="TBJ77" s="685"/>
      <c r="TBK77" s="685"/>
      <c r="TBL77" s="685"/>
      <c r="TBM77" s="685"/>
      <c r="TBN77" s="685"/>
      <c r="TBO77" s="685"/>
      <c r="TBP77" s="685"/>
      <c r="TBQ77" s="685"/>
      <c r="TBR77" s="685"/>
      <c r="TBS77" s="685"/>
      <c r="TBT77" s="685"/>
      <c r="TBU77" s="685"/>
      <c r="TBV77" s="685"/>
      <c r="TBW77" s="685"/>
      <c r="TBX77" s="685"/>
      <c r="TBY77" s="685"/>
      <c r="TBZ77" s="685"/>
      <c r="TCA77" s="685"/>
      <c r="TCB77" s="685"/>
      <c r="TCC77" s="685"/>
      <c r="TCD77" s="685"/>
      <c r="TCE77" s="685"/>
      <c r="TCF77" s="685"/>
      <c r="TCG77" s="685"/>
      <c r="TCH77" s="685"/>
      <c r="TCI77" s="685"/>
      <c r="TCJ77" s="685"/>
      <c r="TCK77" s="685"/>
      <c r="TCL77" s="685"/>
      <c r="TCM77" s="685"/>
      <c r="TCN77" s="685"/>
      <c r="TCO77" s="685"/>
      <c r="TCP77" s="685"/>
      <c r="TCQ77" s="685"/>
      <c r="TCR77" s="685"/>
      <c r="TCS77" s="685"/>
      <c r="TCT77" s="685"/>
      <c r="TCU77" s="685"/>
      <c r="TCV77" s="685"/>
      <c r="TCW77" s="685"/>
      <c r="TCX77" s="685"/>
      <c r="TCY77" s="685"/>
      <c r="TCZ77" s="685"/>
      <c r="TDA77" s="685"/>
      <c r="TDB77" s="685"/>
      <c r="TDC77" s="685"/>
      <c r="TDD77" s="685"/>
      <c r="TDE77" s="685"/>
      <c r="TDF77" s="685"/>
      <c r="TDG77" s="685"/>
      <c r="TDH77" s="685"/>
      <c r="TDI77" s="685"/>
      <c r="TDJ77" s="685"/>
      <c r="TDK77" s="685"/>
      <c r="TDL77" s="685"/>
      <c r="TDM77" s="685"/>
      <c r="TDN77" s="685"/>
      <c r="TDO77" s="685"/>
      <c r="TDP77" s="685"/>
      <c r="TDQ77" s="685"/>
      <c r="TDR77" s="685"/>
      <c r="TDS77" s="685"/>
      <c r="TDT77" s="685"/>
      <c r="TDU77" s="685"/>
      <c r="TDV77" s="685"/>
      <c r="TDW77" s="685"/>
      <c r="TDX77" s="685"/>
      <c r="TDY77" s="685"/>
      <c r="TDZ77" s="685"/>
      <c r="TEA77" s="685"/>
      <c r="TEB77" s="685"/>
      <c r="TEC77" s="685"/>
      <c r="TED77" s="685"/>
      <c r="TEE77" s="685"/>
      <c r="TEF77" s="685"/>
      <c r="TEG77" s="685"/>
      <c r="TEH77" s="685"/>
      <c r="TEI77" s="685"/>
      <c r="TEJ77" s="685"/>
      <c r="TEK77" s="685"/>
      <c r="TEL77" s="685"/>
      <c r="TEM77" s="685"/>
      <c r="TEN77" s="685"/>
      <c r="TEO77" s="685"/>
      <c r="TEP77" s="685"/>
      <c r="TEQ77" s="685"/>
      <c r="TER77" s="685"/>
      <c r="TES77" s="685"/>
      <c r="TET77" s="685"/>
      <c r="TEU77" s="685"/>
      <c r="TEV77" s="685"/>
      <c r="TEW77" s="685"/>
      <c r="TEX77" s="685"/>
      <c r="TEY77" s="685"/>
      <c r="TEZ77" s="685"/>
      <c r="TFA77" s="685"/>
      <c r="TFB77" s="685"/>
      <c r="TFC77" s="685"/>
      <c r="TFD77" s="685"/>
      <c r="TFE77" s="685"/>
      <c r="TFF77" s="685"/>
      <c r="TFG77" s="685"/>
      <c r="TFH77" s="685"/>
      <c r="TFI77" s="685"/>
      <c r="TFJ77" s="685"/>
      <c r="TFK77" s="685"/>
      <c r="TFL77" s="685"/>
      <c r="TFM77" s="685"/>
      <c r="TFN77" s="685"/>
      <c r="TFO77" s="685"/>
      <c r="TFP77" s="685"/>
      <c r="TFQ77" s="685"/>
      <c r="TFR77" s="685"/>
      <c r="TFS77" s="685"/>
      <c r="TFT77" s="685"/>
      <c r="TFU77" s="685"/>
      <c r="TFV77" s="685"/>
      <c r="TFW77" s="685"/>
      <c r="TFX77" s="685"/>
      <c r="TFY77" s="685"/>
      <c r="TFZ77" s="685"/>
      <c r="TGA77" s="685"/>
      <c r="TGB77" s="685"/>
      <c r="TGC77" s="685"/>
      <c r="TGD77" s="685"/>
      <c r="TGE77" s="685"/>
      <c r="TGF77" s="685"/>
      <c r="TGG77" s="685"/>
      <c r="TGH77" s="685"/>
      <c r="TGI77" s="685"/>
      <c r="TGJ77" s="685"/>
      <c r="TGK77" s="685"/>
      <c r="TGL77" s="685"/>
      <c r="TGM77" s="685"/>
      <c r="TGN77" s="685"/>
      <c r="TGO77" s="685"/>
      <c r="TGP77" s="685"/>
      <c r="TGQ77" s="685"/>
      <c r="TGR77" s="685"/>
      <c r="TGS77" s="685"/>
      <c r="TGT77" s="685"/>
      <c r="TGU77" s="685"/>
      <c r="TGV77" s="685"/>
      <c r="TGW77" s="685"/>
      <c r="TGX77" s="685"/>
      <c r="TGY77" s="685"/>
      <c r="TGZ77" s="685"/>
      <c r="THA77" s="685"/>
      <c r="THB77" s="685"/>
      <c r="THC77" s="685"/>
      <c r="THD77" s="685"/>
      <c r="THE77" s="685"/>
      <c r="THF77" s="685"/>
      <c r="THG77" s="685"/>
      <c r="THH77" s="685"/>
      <c r="THI77" s="685"/>
      <c r="THJ77" s="685"/>
      <c r="THK77" s="685"/>
      <c r="THL77" s="685"/>
      <c r="THM77" s="685"/>
      <c r="THN77" s="685"/>
      <c r="THO77" s="685"/>
      <c r="THP77" s="685"/>
      <c r="THQ77" s="685"/>
      <c r="THR77" s="685"/>
      <c r="THS77" s="685"/>
      <c r="THT77" s="685"/>
      <c r="THU77" s="685"/>
      <c r="THV77" s="685"/>
      <c r="THW77" s="685"/>
      <c r="THX77" s="685"/>
      <c r="THY77" s="685"/>
      <c r="THZ77" s="685"/>
      <c r="TIA77" s="685"/>
      <c r="TIB77" s="685"/>
      <c r="TIC77" s="685"/>
      <c r="TID77" s="685"/>
      <c r="TIE77" s="685"/>
      <c r="TIF77" s="685"/>
      <c r="TIG77" s="685"/>
      <c r="TIH77" s="685"/>
      <c r="TII77" s="685"/>
      <c r="TIJ77" s="685"/>
      <c r="TIK77" s="685"/>
      <c r="TIL77" s="685"/>
      <c r="TIM77" s="685"/>
      <c r="TIN77" s="685"/>
      <c r="TIO77" s="685"/>
      <c r="TIP77" s="685"/>
      <c r="TIQ77" s="685"/>
      <c r="TIR77" s="685"/>
      <c r="TIS77" s="685"/>
      <c r="TIT77" s="685"/>
      <c r="TIU77" s="685"/>
      <c r="TIV77" s="685"/>
      <c r="TIW77" s="685"/>
      <c r="TIX77" s="685"/>
      <c r="TIY77" s="685"/>
      <c r="TIZ77" s="685"/>
      <c r="TJA77" s="685"/>
      <c r="TJB77" s="685"/>
      <c r="TJC77" s="685"/>
      <c r="TJD77" s="685"/>
      <c r="TJE77" s="685"/>
      <c r="TJF77" s="685"/>
      <c r="TJG77" s="685"/>
      <c r="TJH77" s="685"/>
      <c r="TJI77" s="685"/>
      <c r="TJJ77" s="685"/>
      <c r="TJK77" s="685"/>
      <c r="TJL77" s="685"/>
      <c r="TJM77" s="685"/>
      <c r="TJN77" s="685"/>
      <c r="TJO77" s="685"/>
      <c r="TJP77" s="685"/>
      <c r="TJQ77" s="685"/>
      <c r="TJR77" s="685"/>
      <c r="TJS77" s="685"/>
      <c r="TJT77" s="685"/>
      <c r="TJU77" s="685"/>
      <c r="TJV77" s="685"/>
      <c r="TJW77" s="685"/>
      <c r="TJX77" s="685"/>
      <c r="TJY77" s="685"/>
      <c r="TJZ77" s="685"/>
      <c r="TKA77" s="685"/>
      <c r="TKB77" s="685"/>
      <c r="TKC77" s="685"/>
      <c r="TKD77" s="685"/>
      <c r="TKE77" s="685"/>
      <c r="TKF77" s="685"/>
      <c r="TKG77" s="685"/>
      <c r="TKH77" s="685"/>
      <c r="TKI77" s="685"/>
      <c r="TKJ77" s="685"/>
      <c r="TKK77" s="685"/>
      <c r="TKL77" s="685"/>
      <c r="TKM77" s="685"/>
      <c r="TKN77" s="685"/>
      <c r="TKO77" s="685"/>
      <c r="TKP77" s="685"/>
      <c r="TKQ77" s="685"/>
      <c r="TKR77" s="685"/>
      <c r="TKS77" s="685"/>
      <c r="TKT77" s="685"/>
      <c r="TKU77" s="685"/>
      <c r="TKV77" s="685"/>
      <c r="TKW77" s="685"/>
      <c r="TKX77" s="685"/>
      <c r="TKY77" s="685"/>
      <c r="TKZ77" s="685"/>
      <c r="TLA77" s="685"/>
      <c r="TLB77" s="685"/>
      <c r="TLC77" s="685"/>
      <c r="TLD77" s="685"/>
      <c r="TLE77" s="685"/>
      <c r="TLF77" s="685"/>
      <c r="TLG77" s="685"/>
      <c r="TLH77" s="685"/>
      <c r="TLI77" s="685"/>
      <c r="TLJ77" s="685"/>
      <c r="TLK77" s="685"/>
      <c r="TLL77" s="685"/>
      <c r="TLM77" s="685"/>
      <c r="TLN77" s="685"/>
      <c r="TLO77" s="685"/>
      <c r="TLP77" s="685"/>
      <c r="TLQ77" s="685"/>
      <c r="TLR77" s="685"/>
      <c r="TLS77" s="685"/>
      <c r="TLT77" s="685"/>
      <c r="TLU77" s="685"/>
      <c r="TLV77" s="685"/>
      <c r="TLW77" s="685"/>
      <c r="TLX77" s="685"/>
      <c r="TLY77" s="685"/>
      <c r="TLZ77" s="685"/>
      <c r="TMA77" s="685"/>
      <c r="TMB77" s="685"/>
      <c r="TMC77" s="685"/>
      <c r="TMD77" s="685"/>
      <c r="TME77" s="685"/>
      <c r="TMF77" s="685"/>
      <c r="TMG77" s="685"/>
      <c r="TMH77" s="685"/>
      <c r="TMI77" s="685"/>
      <c r="TMJ77" s="685"/>
      <c r="TMK77" s="685"/>
      <c r="TML77" s="685"/>
      <c r="TMM77" s="685"/>
      <c r="TMN77" s="685"/>
      <c r="TMO77" s="685"/>
      <c r="TMP77" s="685"/>
      <c r="TMQ77" s="685"/>
      <c r="TMR77" s="685"/>
      <c r="TMS77" s="685"/>
      <c r="TMT77" s="685"/>
      <c r="TMU77" s="685"/>
      <c r="TMV77" s="685"/>
      <c r="TMW77" s="685"/>
      <c r="TMX77" s="685"/>
      <c r="TMY77" s="685"/>
      <c r="TMZ77" s="685"/>
      <c r="TNA77" s="685"/>
      <c r="TNB77" s="685"/>
      <c r="TNC77" s="685"/>
      <c r="TND77" s="685"/>
      <c r="TNE77" s="685"/>
      <c r="TNF77" s="685"/>
      <c r="TNG77" s="685"/>
      <c r="TNH77" s="685"/>
      <c r="TNI77" s="685"/>
      <c r="TNJ77" s="685"/>
      <c r="TNK77" s="685"/>
      <c r="TNL77" s="685"/>
      <c r="TNM77" s="685"/>
      <c r="TNN77" s="685"/>
      <c r="TNO77" s="685"/>
      <c r="TNP77" s="685"/>
      <c r="TNQ77" s="685"/>
      <c r="TNR77" s="685"/>
      <c r="TNS77" s="685"/>
      <c r="TNT77" s="685"/>
      <c r="TNU77" s="685"/>
      <c r="TNV77" s="685"/>
      <c r="TNW77" s="685"/>
      <c r="TNX77" s="685"/>
      <c r="TNY77" s="685"/>
      <c r="TNZ77" s="685"/>
      <c r="TOA77" s="685"/>
      <c r="TOB77" s="685"/>
      <c r="TOC77" s="685"/>
      <c r="TOD77" s="685"/>
      <c r="TOE77" s="685"/>
      <c r="TOF77" s="685"/>
      <c r="TOG77" s="685"/>
      <c r="TOH77" s="685"/>
      <c r="TOI77" s="685"/>
      <c r="TOJ77" s="685"/>
      <c r="TOK77" s="685"/>
      <c r="TOL77" s="685"/>
      <c r="TOM77" s="685"/>
      <c r="TON77" s="685"/>
      <c r="TOO77" s="685"/>
      <c r="TOP77" s="685"/>
      <c r="TOQ77" s="685"/>
      <c r="TOR77" s="685"/>
      <c r="TOS77" s="685"/>
      <c r="TOT77" s="685"/>
      <c r="TOU77" s="685"/>
      <c r="TOV77" s="685"/>
      <c r="TOW77" s="685"/>
      <c r="TOX77" s="685"/>
      <c r="TOY77" s="685"/>
      <c r="TOZ77" s="685"/>
      <c r="TPA77" s="685"/>
      <c r="TPB77" s="685"/>
      <c r="TPC77" s="685"/>
      <c r="TPD77" s="685"/>
      <c r="TPE77" s="685"/>
      <c r="TPF77" s="685"/>
      <c r="TPG77" s="685"/>
      <c r="TPH77" s="685"/>
      <c r="TPI77" s="685"/>
      <c r="TPJ77" s="685"/>
      <c r="TPK77" s="685"/>
      <c r="TPL77" s="685"/>
      <c r="TPM77" s="685"/>
      <c r="TPN77" s="685"/>
      <c r="TPO77" s="685"/>
      <c r="TPP77" s="685"/>
      <c r="TPQ77" s="685"/>
      <c r="TPR77" s="685"/>
      <c r="TPS77" s="685"/>
      <c r="TPT77" s="685"/>
      <c r="TPU77" s="685"/>
      <c r="TPV77" s="685"/>
      <c r="TPW77" s="685"/>
      <c r="TPX77" s="685"/>
      <c r="TPY77" s="685"/>
      <c r="TPZ77" s="685"/>
      <c r="TQA77" s="685"/>
      <c r="TQB77" s="685"/>
      <c r="TQC77" s="685"/>
      <c r="TQD77" s="685"/>
      <c r="TQE77" s="685"/>
      <c r="TQF77" s="685"/>
      <c r="TQG77" s="685"/>
      <c r="TQH77" s="685"/>
      <c r="TQI77" s="685"/>
      <c r="TQJ77" s="685"/>
      <c r="TQK77" s="685"/>
      <c r="TQL77" s="685"/>
      <c r="TQM77" s="685"/>
      <c r="TQN77" s="685"/>
      <c r="TQO77" s="685"/>
      <c r="TQP77" s="685"/>
      <c r="TQQ77" s="685"/>
      <c r="TQR77" s="685"/>
      <c r="TQS77" s="685"/>
      <c r="TQT77" s="685"/>
      <c r="TQU77" s="685"/>
      <c r="TQV77" s="685"/>
      <c r="TQW77" s="685"/>
      <c r="TQX77" s="685"/>
      <c r="TQY77" s="685"/>
      <c r="TQZ77" s="685"/>
      <c r="TRA77" s="685"/>
      <c r="TRB77" s="685"/>
      <c r="TRC77" s="685"/>
      <c r="TRD77" s="685"/>
      <c r="TRE77" s="685"/>
      <c r="TRF77" s="685"/>
      <c r="TRG77" s="685"/>
      <c r="TRH77" s="685"/>
      <c r="TRI77" s="685"/>
      <c r="TRJ77" s="685"/>
      <c r="TRK77" s="685"/>
      <c r="TRL77" s="685"/>
      <c r="TRM77" s="685"/>
      <c r="TRN77" s="685"/>
      <c r="TRO77" s="685"/>
      <c r="TRP77" s="685"/>
      <c r="TRQ77" s="685"/>
      <c r="TRR77" s="685"/>
      <c r="TRS77" s="685"/>
      <c r="TRT77" s="685"/>
      <c r="TRU77" s="685"/>
      <c r="TRV77" s="685"/>
      <c r="TRW77" s="685"/>
      <c r="TRX77" s="685"/>
      <c r="TRY77" s="685"/>
      <c r="TRZ77" s="685"/>
      <c r="TSA77" s="685"/>
      <c r="TSB77" s="685"/>
      <c r="TSC77" s="685"/>
      <c r="TSD77" s="685"/>
      <c r="TSE77" s="685"/>
      <c r="TSF77" s="685"/>
      <c r="TSG77" s="685"/>
      <c r="TSH77" s="685"/>
      <c r="TSI77" s="685"/>
      <c r="TSJ77" s="685"/>
      <c r="TSK77" s="685"/>
      <c r="TSL77" s="685"/>
      <c r="TSM77" s="685"/>
      <c r="TSN77" s="685"/>
      <c r="TSO77" s="685"/>
      <c r="TSP77" s="685"/>
      <c r="TSQ77" s="685"/>
      <c r="TSR77" s="685"/>
      <c r="TSS77" s="685"/>
      <c r="TST77" s="685"/>
      <c r="TSU77" s="685"/>
      <c r="TSV77" s="685"/>
      <c r="TSW77" s="685"/>
      <c r="TSX77" s="685"/>
      <c r="TSY77" s="685"/>
      <c r="TSZ77" s="685"/>
      <c r="TTA77" s="685"/>
      <c r="TTB77" s="685"/>
      <c r="TTC77" s="685"/>
      <c r="TTD77" s="685"/>
      <c r="TTE77" s="685"/>
      <c r="TTF77" s="685"/>
      <c r="TTG77" s="685"/>
      <c r="TTH77" s="685"/>
      <c r="TTI77" s="685"/>
      <c r="TTJ77" s="685"/>
      <c r="TTK77" s="685"/>
      <c r="TTL77" s="685"/>
      <c r="TTM77" s="685"/>
      <c r="TTN77" s="685"/>
      <c r="TTO77" s="685"/>
      <c r="TTP77" s="685"/>
      <c r="TTQ77" s="685"/>
      <c r="TTR77" s="685"/>
      <c r="TTS77" s="685"/>
      <c r="TTT77" s="685"/>
      <c r="TTU77" s="685"/>
      <c r="TTV77" s="685"/>
      <c r="TTW77" s="685"/>
      <c r="TTX77" s="685"/>
      <c r="TTY77" s="685"/>
      <c r="TTZ77" s="685"/>
      <c r="TUA77" s="685"/>
      <c r="TUB77" s="685"/>
      <c r="TUC77" s="685"/>
      <c r="TUD77" s="685"/>
      <c r="TUE77" s="685"/>
      <c r="TUF77" s="685"/>
      <c r="TUG77" s="685"/>
      <c r="TUH77" s="685"/>
      <c r="TUI77" s="685"/>
      <c r="TUJ77" s="685"/>
      <c r="TUK77" s="685"/>
      <c r="TUL77" s="685"/>
      <c r="TUM77" s="685"/>
      <c r="TUN77" s="685"/>
      <c r="TUO77" s="685"/>
      <c r="TUP77" s="685"/>
      <c r="TUQ77" s="685"/>
      <c r="TUR77" s="685"/>
      <c r="TUS77" s="685"/>
      <c r="TUT77" s="685"/>
      <c r="TUU77" s="685"/>
      <c r="TUV77" s="685"/>
      <c r="TUW77" s="685"/>
      <c r="TUX77" s="685"/>
      <c r="TUY77" s="685"/>
      <c r="TUZ77" s="685"/>
      <c r="TVA77" s="685"/>
      <c r="TVB77" s="685"/>
      <c r="TVC77" s="685"/>
      <c r="TVD77" s="685"/>
      <c r="TVE77" s="685"/>
      <c r="TVF77" s="685"/>
      <c r="TVG77" s="685"/>
      <c r="TVH77" s="685"/>
      <c r="TVI77" s="685"/>
      <c r="TVJ77" s="685"/>
      <c r="TVK77" s="685"/>
      <c r="TVL77" s="685"/>
      <c r="TVM77" s="685"/>
      <c r="TVN77" s="685"/>
      <c r="TVO77" s="685"/>
      <c r="TVP77" s="685"/>
      <c r="TVQ77" s="685"/>
      <c r="TVR77" s="685"/>
      <c r="TVS77" s="685"/>
      <c r="TVT77" s="685"/>
      <c r="TVU77" s="685"/>
      <c r="TVV77" s="685"/>
      <c r="TVW77" s="685"/>
      <c r="TVX77" s="685"/>
      <c r="TVY77" s="685"/>
      <c r="TVZ77" s="685"/>
      <c r="TWA77" s="685"/>
      <c r="TWB77" s="685"/>
      <c r="TWC77" s="685"/>
      <c r="TWD77" s="685"/>
      <c r="TWE77" s="685"/>
      <c r="TWF77" s="685"/>
      <c r="TWG77" s="685"/>
      <c r="TWH77" s="685"/>
      <c r="TWI77" s="685"/>
      <c r="TWJ77" s="685"/>
      <c r="TWK77" s="685"/>
      <c r="TWL77" s="685"/>
      <c r="TWM77" s="685"/>
      <c r="TWN77" s="685"/>
      <c r="TWO77" s="685"/>
      <c r="TWP77" s="685"/>
      <c r="TWQ77" s="685"/>
      <c r="TWR77" s="685"/>
      <c r="TWS77" s="685"/>
      <c r="TWT77" s="685"/>
      <c r="TWU77" s="685"/>
      <c r="TWV77" s="685"/>
      <c r="TWW77" s="685"/>
      <c r="TWX77" s="685"/>
      <c r="TWY77" s="685"/>
      <c r="TWZ77" s="685"/>
      <c r="TXA77" s="685"/>
      <c r="TXB77" s="685"/>
      <c r="TXC77" s="685"/>
      <c r="TXD77" s="685"/>
      <c r="TXE77" s="685"/>
      <c r="TXF77" s="685"/>
      <c r="TXG77" s="685"/>
      <c r="TXH77" s="685"/>
      <c r="TXI77" s="685"/>
      <c r="TXJ77" s="685"/>
      <c r="TXK77" s="685"/>
      <c r="TXL77" s="685"/>
      <c r="TXM77" s="685"/>
      <c r="TXN77" s="685"/>
      <c r="TXO77" s="685"/>
      <c r="TXP77" s="685"/>
      <c r="TXQ77" s="685"/>
      <c r="TXR77" s="685"/>
      <c r="TXS77" s="685"/>
      <c r="TXT77" s="685"/>
      <c r="TXU77" s="685"/>
      <c r="TXV77" s="685"/>
      <c r="TXW77" s="685"/>
      <c r="TXX77" s="685"/>
      <c r="TXY77" s="685"/>
      <c r="TXZ77" s="685"/>
      <c r="TYA77" s="685"/>
      <c r="TYB77" s="685"/>
      <c r="TYC77" s="685"/>
      <c r="TYD77" s="685"/>
      <c r="TYE77" s="685"/>
      <c r="TYF77" s="685"/>
      <c r="TYG77" s="685"/>
      <c r="TYH77" s="685"/>
      <c r="TYI77" s="685"/>
      <c r="TYJ77" s="685"/>
      <c r="TYK77" s="685"/>
      <c r="TYL77" s="685"/>
      <c r="TYM77" s="685"/>
      <c r="TYN77" s="685"/>
      <c r="TYO77" s="685"/>
      <c r="TYP77" s="685"/>
      <c r="TYQ77" s="685"/>
      <c r="TYR77" s="685"/>
      <c r="TYS77" s="685"/>
      <c r="TYT77" s="685"/>
      <c r="TYU77" s="685"/>
      <c r="TYV77" s="685"/>
      <c r="TYW77" s="685"/>
      <c r="TYX77" s="685"/>
      <c r="TYY77" s="685"/>
      <c r="TYZ77" s="685"/>
      <c r="TZA77" s="685"/>
      <c r="TZB77" s="685"/>
      <c r="TZC77" s="685"/>
      <c r="TZD77" s="685"/>
      <c r="TZE77" s="685"/>
      <c r="TZF77" s="685"/>
      <c r="TZG77" s="685"/>
      <c r="TZH77" s="685"/>
      <c r="TZI77" s="685"/>
      <c r="TZJ77" s="685"/>
      <c r="TZK77" s="685"/>
      <c r="TZL77" s="685"/>
      <c r="TZM77" s="685"/>
      <c r="TZN77" s="685"/>
      <c r="TZO77" s="685"/>
      <c r="TZP77" s="685"/>
      <c r="TZQ77" s="685"/>
      <c r="TZR77" s="685"/>
      <c r="TZS77" s="685"/>
      <c r="TZT77" s="685"/>
      <c r="TZU77" s="685"/>
      <c r="TZV77" s="685"/>
      <c r="TZW77" s="685"/>
      <c r="TZX77" s="685"/>
      <c r="TZY77" s="685"/>
      <c r="TZZ77" s="685"/>
      <c r="UAA77" s="685"/>
      <c r="UAB77" s="685"/>
      <c r="UAC77" s="685"/>
      <c r="UAD77" s="685"/>
      <c r="UAE77" s="685"/>
      <c r="UAF77" s="685"/>
      <c r="UAG77" s="685"/>
      <c r="UAH77" s="685"/>
      <c r="UAI77" s="685"/>
      <c r="UAJ77" s="685"/>
      <c r="UAK77" s="685"/>
      <c r="UAL77" s="685"/>
      <c r="UAM77" s="685"/>
      <c r="UAN77" s="685"/>
      <c r="UAO77" s="685"/>
      <c r="UAP77" s="685"/>
      <c r="UAQ77" s="685"/>
      <c r="UAR77" s="685"/>
      <c r="UAS77" s="685"/>
      <c r="UAT77" s="685"/>
      <c r="UAU77" s="685"/>
      <c r="UAV77" s="685"/>
      <c r="UAW77" s="685"/>
      <c r="UAX77" s="685"/>
      <c r="UAY77" s="685"/>
      <c r="UAZ77" s="685"/>
      <c r="UBA77" s="685"/>
      <c r="UBB77" s="685"/>
      <c r="UBC77" s="685"/>
      <c r="UBD77" s="685"/>
      <c r="UBE77" s="685"/>
      <c r="UBF77" s="685"/>
      <c r="UBG77" s="685"/>
      <c r="UBH77" s="685"/>
      <c r="UBI77" s="685"/>
      <c r="UBJ77" s="685"/>
      <c r="UBK77" s="685"/>
      <c r="UBL77" s="685"/>
      <c r="UBM77" s="685"/>
      <c r="UBN77" s="685"/>
      <c r="UBO77" s="685"/>
      <c r="UBP77" s="685"/>
      <c r="UBQ77" s="685"/>
      <c r="UBR77" s="685"/>
      <c r="UBS77" s="685"/>
      <c r="UBT77" s="685"/>
      <c r="UBU77" s="685"/>
      <c r="UBV77" s="685"/>
      <c r="UBW77" s="685"/>
      <c r="UBX77" s="685"/>
      <c r="UBY77" s="685"/>
      <c r="UBZ77" s="685"/>
      <c r="UCA77" s="685"/>
      <c r="UCB77" s="685"/>
      <c r="UCC77" s="685"/>
      <c r="UCD77" s="685"/>
      <c r="UCE77" s="685"/>
      <c r="UCF77" s="685"/>
      <c r="UCG77" s="685"/>
      <c r="UCH77" s="685"/>
      <c r="UCI77" s="685"/>
      <c r="UCJ77" s="685"/>
      <c r="UCK77" s="685"/>
      <c r="UCL77" s="685"/>
      <c r="UCM77" s="685"/>
      <c r="UCN77" s="685"/>
      <c r="UCO77" s="685"/>
      <c r="UCP77" s="685"/>
      <c r="UCQ77" s="685"/>
      <c r="UCR77" s="685"/>
      <c r="UCS77" s="685"/>
      <c r="UCT77" s="685"/>
      <c r="UCU77" s="685"/>
      <c r="UCV77" s="685"/>
      <c r="UCW77" s="685"/>
      <c r="UCX77" s="685"/>
      <c r="UCY77" s="685"/>
      <c r="UCZ77" s="685"/>
      <c r="UDA77" s="685"/>
      <c r="UDB77" s="685"/>
      <c r="UDC77" s="685"/>
      <c r="UDD77" s="685"/>
      <c r="UDE77" s="685"/>
      <c r="UDF77" s="685"/>
      <c r="UDG77" s="685"/>
      <c r="UDH77" s="685"/>
      <c r="UDI77" s="685"/>
      <c r="UDJ77" s="685"/>
      <c r="UDK77" s="685"/>
      <c r="UDL77" s="685"/>
      <c r="UDM77" s="685"/>
      <c r="UDN77" s="685"/>
      <c r="UDO77" s="685"/>
      <c r="UDP77" s="685"/>
      <c r="UDQ77" s="685"/>
      <c r="UDR77" s="685"/>
      <c r="UDS77" s="685"/>
      <c r="UDT77" s="685"/>
      <c r="UDU77" s="685"/>
      <c r="UDV77" s="685"/>
      <c r="UDW77" s="685"/>
      <c r="UDX77" s="685"/>
      <c r="UDY77" s="685"/>
      <c r="UDZ77" s="685"/>
      <c r="UEA77" s="685"/>
      <c r="UEB77" s="685"/>
      <c r="UEC77" s="685"/>
      <c r="UED77" s="685"/>
      <c r="UEE77" s="685"/>
      <c r="UEF77" s="685"/>
      <c r="UEG77" s="685"/>
      <c r="UEH77" s="685"/>
      <c r="UEI77" s="685"/>
      <c r="UEJ77" s="685"/>
      <c r="UEK77" s="685"/>
      <c r="UEL77" s="685"/>
      <c r="UEM77" s="685"/>
      <c r="UEN77" s="685"/>
      <c r="UEO77" s="685"/>
      <c r="UEP77" s="685"/>
      <c r="UEQ77" s="685"/>
      <c r="UER77" s="685"/>
      <c r="UES77" s="685"/>
      <c r="UET77" s="685"/>
      <c r="UEU77" s="685"/>
      <c r="UEV77" s="685"/>
      <c r="UEW77" s="685"/>
      <c r="UEX77" s="685"/>
      <c r="UEY77" s="685"/>
      <c r="UEZ77" s="685"/>
      <c r="UFA77" s="685"/>
      <c r="UFB77" s="685"/>
      <c r="UFC77" s="685"/>
      <c r="UFD77" s="685"/>
      <c r="UFE77" s="685"/>
      <c r="UFF77" s="685"/>
      <c r="UFG77" s="685"/>
      <c r="UFH77" s="685"/>
      <c r="UFI77" s="685"/>
      <c r="UFJ77" s="685"/>
      <c r="UFK77" s="685"/>
      <c r="UFL77" s="685"/>
      <c r="UFM77" s="685"/>
      <c r="UFN77" s="685"/>
      <c r="UFO77" s="685"/>
      <c r="UFP77" s="685"/>
      <c r="UFQ77" s="685"/>
      <c r="UFR77" s="685"/>
      <c r="UFS77" s="685"/>
      <c r="UFT77" s="685"/>
      <c r="UFU77" s="685"/>
      <c r="UFV77" s="685"/>
      <c r="UFW77" s="685"/>
      <c r="UFX77" s="685"/>
      <c r="UFY77" s="685"/>
      <c r="UFZ77" s="685"/>
      <c r="UGA77" s="685"/>
      <c r="UGB77" s="685"/>
      <c r="UGC77" s="685"/>
      <c r="UGD77" s="685"/>
      <c r="UGE77" s="685"/>
      <c r="UGF77" s="685"/>
      <c r="UGG77" s="685"/>
      <c r="UGH77" s="685"/>
      <c r="UGI77" s="685"/>
      <c r="UGJ77" s="685"/>
      <c r="UGK77" s="685"/>
      <c r="UGL77" s="685"/>
      <c r="UGM77" s="685"/>
      <c r="UGN77" s="685"/>
      <c r="UGO77" s="685"/>
      <c r="UGP77" s="685"/>
      <c r="UGQ77" s="685"/>
      <c r="UGR77" s="685"/>
      <c r="UGS77" s="685"/>
      <c r="UGT77" s="685"/>
      <c r="UGU77" s="685"/>
      <c r="UGV77" s="685"/>
      <c r="UGW77" s="685"/>
      <c r="UGX77" s="685"/>
      <c r="UGY77" s="685"/>
      <c r="UGZ77" s="685"/>
      <c r="UHA77" s="685"/>
      <c r="UHB77" s="685"/>
      <c r="UHC77" s="685"/>
      <c r="UHD77" s="685"/>
      <c r="UHE77" s="685"/>
      <c r="UHF77" s="685"/>
      <c r="UHG77" s="685"/>
      <c r="UHH77" s="685"/>
      <c r="UHI77" s="685"/>
      <c r="UHJ77" s="685"/>
      <c r="UHK77" s="685"/>
      <c r="UHL77" s="685"/>
      <c r="UHM77" s="685"/>
      <c r="UHN77" s="685"/>
      <c r="UHO77" s="685"/>
      <c r="UHP77" s="685"/>
      <c r="UHQ77" s="685"/>
      <c r="UHR77" s="685"/>
      <c r="UHS77" s="685"/>
      <c r="UHT77" s="685"/>
      <c r="UHU77" s="685"/>
      <c r="UHV77" s="685"/>
      <c r="UHW77" s="685"/>
      <c r="UHX77" s="685"/>
      <c r="UHY77" s="685"/>
      <c r="UHZ77" s="685"/>
      <c r="UIA77" s="685"/>
      <c r="UIB77" s="685"/>
      <c r="UIC77" s="685"/>
      <c r="UID77" s="685"/>
      <c r="UIE77" s="685"/>
      <c r="UIF77" s="685"/>
      <c r="UIG77" s="685"/>
      <c r="UIH77" s="685"/>
      <c r="UII77" s="685"/>
      <c r="UIJ77" s="685"/>
      <c r="UIK77" s="685"/>
      <c r="UIL77" s="685"/>
      <c r="UIM77" s="685"/>
      <c r="UIN77" s="685"/>
      <c r="UIO77" s="685"/>
      <c r="UIP77" s="685"/>
      <c r="UIQ77" s="685"/>
      <c r="UIR77" s="685"/>
      <c r="UIS77" s="685"/>
      <c r="UIT77" s="685"/>
      <c r="UIU77" s="685"/>
      <c r="UIV77" s="685"/>
      <c r="UIW77" s="685"/>
      <c r="UIX77" s="685"/>
      <c r="UIY77" s="685"/>
      <c r="UIZ77" s="685"/>
      <c r="UJA77" s="685"/>
      <c r="UJB77" s="685"/>
      <c r="UJC77" s="685"/>
      <c r="UJD77" s="685"/>
      <c r="UJE77" s="685"/>
      <c r="UJF77" s="685"/>
      <c r="UJG77" s="685"/>
      <c r="UJH77" s="685"/>
      <c r="UJI77" s="685"/>
      <c r="UJJ77" s="685"/>
      <c r="UJK77" s="685"/>
      <c r="UJL77" s="685"/>
      <c r="UJM77" s="685"/>
      <c r="UJN77" s="685"/>
      <c r="UJO77" s="685"/>
      <c r="UJP77" s="685"/>
      <c r="UJQ77" s="685"/>
      <c r="UJR77" s="685"/>
      <c r="UJS77" s="685"/>
      <c r="UJT77" s="685"/>
      <c r="UJU77" s="685"/>
      <c r="UJV77" s="685"/>
      <c r="UJW77" s="685"/>
      <c r="UJX77" s="685"/>
      <c r="UJY77" s="685"/>
      <c r="UJZ77" s="685"/>
      <c r="UKA77" s="685"/>
      <c r="UKB77" s="685"/>
      <c r="UKC77" s="685"/>
      <c r="UKD77" s="685"/>
      <c r="UKE77" s="685"/>
      <c r="UKF77" s="685"/>
      <c r="UKG77" s="685"/>
      <c r="UKH77" s="685"/>
      <c r="UKI77" s="685"/>
      <c r="UKJ77" s="685"/>
      <c r="UKK77" s="685"/>
      <c r="UKL77" s="685"/>
      <c r="UKM77" s="685"/>
      <c r="UKN77" s="685"/>
      <c r="UKO77" s="685"/>
      <c r="UKP77" s="685"/>
      <c r="UKQ77" s="685"/>
      <c r="UKR77" s="685"/>
      <c r="UKS77" s="685"/>
      <c r="UKT77" s="685"/>
      <c r="UKU77" s="685"/>
      <c r="UKV77" s="685"/>
      <c r="UKW77" s="685"/>
      <c r="UKX77" s="685"/>
      <c r="UKY77" s="685"/>
      <c r="UKZ77" s="685"/>
      <c r="ULA77" s="685"/>
      <c r="ULB77" s="685"/>
      <c r="ULC77" s="685"/>
      <c r="ULD77" s="685"/>
      <c r="ULE77" s="685"/>
      <c r="ULF77" s="685"/>
      <c r="ULG77" s="685"/>
      <c r="ULH77" s="685"/>
      <c r="ULI77" s="685"/>
      <c r="ULJ77" s="685"/>
      <c r="ULK77" s="685"/>
      <c r="ULL77" s="685"/>
      <c r="ULM77" s="685"/>
      <c r="ULN77" s="685"/>
      <c r="ULO77" s="685"/>
      <c r="ULP77" s="685"/>
      <c r="ULQ77" s="685"/>
      <c r="ULR77" s="685"/>
      <c r="ULS77" s="685"/>
      <c r="ULT77" s="685"/>
      <c r="ULU77" s="685"/>
      <c r="ULV77" s="685"/>
      <c r="ULW77" s="685"/>
      <c r="ULX77" s="685"/>
      <c r="ULY77" s="685"/>
      <c r="ULZ77" s="685"/>
      <c r="UMA77" s="685"/>
      <c r="UMB77" s="685"/>
      <c r="UMC77" s="685"/>
      <c r="UMD77" s="685"/>
      <c r="UME77" s="685"/>
      <c r="UMF77" s="685"/>
      <c r="UMG77" s="685"/>
      <c r="UMH77" s="685"/>
      <c r="UMI77" s="685"/>
      <c r="UMJ77" s="685"/>
      <c r="UMK77" s="685"/>
      <c r="UML77" s="685"/>
      <c r="UMM77" s="685"/>
      <c r="UMN77" s="685"/>
      <c r="UMO77" s="685"/>
      <c r="UMP77" s="685"/>
      <c r="UMQ77" s="685"/>
      <c r="UMR77" s="685"/>
      <c r="UMS77" s="685"/>
      <c r="UMT77" s="685"/>
      <c r="UMU77" s="685"/>
      <c r="UMV77" s="685"/>
      <c r="UMW77" s="685"/>
      <c r="UMX77" s="685"/>
      <c r="UMY77" s="685"/>
      <c r="UMZ77" s="685"/>
      <c r="UNA77" s="685"/>
      <c r="UNB77" s="685"/>
      <c r="UNC77" s="685"/>
      <c r="UND77" s="685"/>
      <c r="UNE77" s="685"/>
      <c r="UNF77" s="685"/>
      <c r="UNG77" s="685"/>
      <c r="UNH77" s="685"/>
      <c r="UNI77" s="685"/>
      <c r="UNJ77" s="685"/>
      <c r="UNK77" s="685"/>
      <c r="UNL77" s="685"/>
      <c r="UNM77" s="685"/>
      <c r="UNN77" s="685"/>
      <c r="UNO77" s="685"/>
      <c r="UNP77" s="685"/>
      <c r="UNQ77" s="685"/>
      <c r="UNR77" s="685"/>
      <c r="UNS77" s="685"/>
      <c r="UNT77" s="685"/>
      <c r="UNU77" s="685"/>
      <c r="UNV77" s="685"/>
      <c r="UNW77" s="685"/>
      <c r="UNX77" s="685"/>
      <c r="UNY77" s="685"/>
      <c r="UNZ77" s="685"/>
      <c r="UOA77" s="685"/>
      <c r="UOB77" s="685"/>
      <c r="UOC77" s="685"/>
      <c r="UOD77" s="685"/>
      <c r="UOE77" s="685"/>
      <c r="UOF77" s="685"/>
      <c r="UOG77" s="685"/>
      <c r="UOH77" s="685"/>
      <c r="UOI77" s="685"/>
      <c r="UOJ77" s="685"/>
      <c r="UOK77" s="685"/>
      <c r="UOL77" s="685"/>
      <c r="UOM77" s="685"/>
      <c r="UON77" s="685"/>
      <c r="UOO77" s="685"/>
      <c r="UOP77" s="685"/>
      <c r="UOQ77" s="685"/>
      <c r="UOR77" s="685"/>
      <c r="UOS77" s="685"/>
      <c r="UOT77" s="685"/>
      <c r="UOU77" s="685"/>
      <c r="UOV77" s="685"/>
      <c r="UOW77" s="685"/>
      <c r="UOX77" s="685"/>
      <c r="UOY77" s="685"/>
      <c r="UOZ77" s="685"/>
      <c r="UPA77" s="685"/>
      <c r="UPB77" s="685"/>
      <c r="UPC77" s="685"/>
      <c r="UPD77" s="685"/>
      <c r="UPE77" s="685"/>
      <c r="UPF77" s="685"/>
      <c r="UPG77" s="685"/>
      <c r="UPH77" s="685"/>
      <c r="UPI77" s="685"/>
      <c r="UPJ77" s="685"/>
      <c r="UPK77" s="685"/>
      <c r="UPL77" s="685"/>
      <c r="UPM77" s="685"/>
      <c r="UPN77" s="685"/>
      <c r="UPO77" s="685"/>
      <c r="UPP77" s="685"/>
      <c r="UPQ77" s="685"/>
      <c r="UPR77" s="685"/>
      <c r="UPS77" s="685"/>
      <c r="UPT77" s="685"/>
      <c r="UPU77" s="685"/>
      <c r="UPV77" s="685"/>
      <c r="UPW77" s="685"/>
      <c r="UPX77" s="685"/>
      <c r="UPY77" s="685"/>
      <c r="UPZ77" s="685"/>
      <c r="UQA77" s="685"/>
      <c r="UQB77" s="685"/>
      <c r="UQC77" s="685"/>
      <c r="UQD77" s="685"/>
      <c r="UQE77" s="685"/>
      <c r="UQF77" s="685"/>
      <c r="UQG77" s="685"/>
      <c r="UQH77" s="685"/>
      <c r="UQI77" s="685"/>
      <c r="UQJ77" s="685"/>
      <c r="UQK77" s="685"/>
      <c r="UQL77" s="685"/>
      <c r="UQM77" s="685"/>
      <c r="UQN77" s="685"/>
      <c r="UQO77" s="685"/>
      <c r="UQP77" s="685"/>
      <c r="UQQ77" s="685"/>
      <c r="UQR77" s="685"/>
      <c r="UQS77" s="685"/>
      <c r="UQT77" s="685"/>
      <c r="UQU77" s="685"/>
      <c r="UQV77" s="685"/>
      <c r="UQW77" s="685"/>
      <c r="UQX77" s="685"/>
      <c r="UQY77" s="685"/>
      <c r="UQZ77" s="685"/>
      <c r="URA77" s="685"/>
      <c r="URB77" s="685"/>
      <c r="URC77" s="685"/>
      <c r="URD77" s="685"/>
      <c r="URE77" s="685"/>
      <c r="URF77" s="685"/>
      <c r="URG77" s="685"/>
      <c r="URH77" s="685"/>
      <c r="URI77" s="685"/>
      <c r="URJ77" s="685"/>
      <c r="URK77" s="685"/>
      <c r="URL77" s="685"/>
      <c r="URM77" s="685"/>
      <c r="URN77" s="685"/>
      <c r="URO77" s="685"/>
      <c r="URP77" s="685"/>
      <c r="URQ77" s="685"/>
      <c r="URR77" s="685"/>
      <c r="URS77" s="685"/>
      <c r="URT77" s="685"/>
      <c r="URU77" s="685"/>
      <c r="URV77" s="685"/>
      <c r="URW77" s="685"/>
      <c r="URX77" s="685"/>
      <c r="URY77" s="685"/>
      <c r="URZ77" s="685"/>
      <c r="USA77" s="685"/>
      <c r="USB77" s="685"/>
      <c r="USC77" s="685"/>
      <c r="USD77" s="685"/>
      <c r="USE77" s="685"/>
      <c r="USF77" s="685"/>
      <c r="USG77" s="685"/>
      <c r="USH77" s="685"/>
      <c r="USI77" s="685"/>
      <c r="USJ77" s="685"/>
      <c r="USK77" s="685"/>
      <c r="USL77" s="685"/>
      <c r="USM77" s="685"/>
      <c r="USN77" s="685"/>
      <c r="USO77" s="685"/>
      <c r="USP77" s="685"/>
      <c r="USQ77" s="685"/>
      <c r="USR77" s="685"/>
      <c r="USS77" s="685"/>
      <c r="UST77" s="685"/>
      <c r="USU77" s="685"/>
      <c r="USV77" s="685"/>
      <c r="USW77" s="685"/>
      <c r="USX77" s="685"/>
      <c r="USY77" s="685"/>
      <c r="USZ77" s="685"/>
      <c r="UTA77" s="685"/>
      <c r="UTB77" s="685"/>
      <c r="UTC77" s="685"/>
      <c r="UTD77" s="685"/>
      <c r="UTE77" s="685"/>
      <c r="UTF77" s="685"/>
      <c r="UTG77" s="685"/>
      <c r="UTH77" s="685"/>
      <c r="UTI77" s="685"/>
      <c r="UTJ77" s="685"/>
      <c r="UTK77" s="685"/>
      <c r="UTL77" s="685"/>
      <c r="UTM77" s="685"/>
      <c r="UTN77" s="685"/>
      <c r="UTO77" s="685"/>
      <c r="UTP77" s="685"/>
      <c r="UTQ77" s="685"/>
      <c r="UTR77" s="685"/>
      <c r="UTS77" s="685"/>
      <c r="UTT77" s="685"/>
      <c r="UTU77" s="685"/>
      <c r="UTV77" s="685"/>
      <c r="UTW77" s="685"/>
      <c r="UTX77" s="685"/>
      <c r="UTY77" s="685"/>
      <c r="UTZ77" s="685"/>
      <c r="UUA77" s="685"/>
      <c r="UUB77" s="685"/>
      <c r="UUC77" s="685"/>
      <c r="UUD77" s="685"/>
      <c r="UUE77" s="685"/>
      <c r="UUF77" s="685"/>
      <c r="UUG77" s="685"/>
      <c r="UUH77" s="685"/>
      <c r="UUI77" s="685"/>
      <c r="UUJ77" s="685"/>
      <c r="UUK77" s="685"/>
      <c r="UUL77" s="685"/>
      <c r="UUM77" s="685"/>
      <c r="UUN77" s="685"/>
      <c r="UUO77" s="685"/>
      <c r="UUP77" s="685"/>
      <c r="UUQ77" s="685"/>
      <c r="UUR77" s="685"/>
      <c r="UUS77" s="685"/>
      <c r="UUT77" s="685"/>
      <c r="UUU77" s="685"/>
      <c r="UUV77" s="685"/>
      <c r="UUW77" s="685"/>
      <c r="UUX77" s="685"/>
      <c r="UUY77" s="685"/>
      <c r="UUZ77" s="685"/>
      <c r="UVA77" s="685"/>
      <c r="UVB77" s="685"/>
      <c r="UVC77" s="685"/>
      <c r="UVD77" s="685"/>
      <c r="UVE77" s="685"/>
      <c r="UVF77" s="685"/>
      <c r="UVG77" s="685"/>
      <c r="UVH77" s="685"/>
      <c r="UVI77" s="685"/>
      <c r="UVJ77" s="685"/>
      <c r="UVK77" s="685"/>
      <c r="UVL77" s="685"/>
      <c r="UVM77" s="685"/>
      <c r="UVN77" s="685"/>
      <c r="UVO77" s="685"/>
      <c r="UVP77" s="685"/>
      <c r="UVQ77" s="685"/>
      <c r="UVR77" s="685"/>
      <c r="UVS77" s="685"/>
      <c r="UVT77" s="685"/>
      <c r="UVU77" s="685"/>
      <c r="UVV77" s="685"/>
      <c r="UVW77" s="685"/>
      <c r="UVX77" s="685"/>
      <c r="UVY77" s="685"/>
      <c r="UVZ77" s="685"/>
      <c r="UWA77" s="685"/>
      <c r="UWB77" s="685"/>
      <c r="UWC77" s="685"/>
      <c r="UWD77" s="685"/>
      <c r="UWE77" s="685"/>
      <c r="UWF77" s="685"/>
      <c r="UWG77" s="685"/>
      <c r="UWH77" s="685"/>
      <c r="UWI77" s="685"/>
      <c r="UWJ77" s="685"/>
      <c r="UWK77" s="685"/>
      <c r="UWL77" s="685"/>
      <c r="UWM77" s="685"/>
      <c r="UWN77" s="685"/>
      <c r="UWO77" s="685"/>
      <c r="UWP77" s="685"/>
      <c r="UWQ77" s="685"/>
      <c r="UWR77" s="685"/>
      <c r="UWS77" s="685"/>
      <c r="UWT77" s="685"/>
      <c r="UWU77" s="685"/>
      <c r="UWV77" s="685"/>
      <c r="UWW77" s="685"/>
      <c r="UWX77" s="685"/>
      <c r="UWY77" s="685"/>
      <c r="UWZ77" s="685"/>
      <c r="UXA77" s="685"/>
      <c r="UXB77" s="685"/>
      <c r="UXC77" s="685"/>
      <c r="UXD77" s="685"/>
      <c r="UXE77" s="685"/>
      <c r="UXF77" s="685"/>
      <c r="UXG77" s="685"/>
      <c r="UXH77" s="685"/>
      <c r="UXI77" s="685"/>
      <c r="UXJ77" s="685"/>
      <c r="UXK77" s="685"/>
      <c r="UXL77" s="685"/>
      <c r="UXM77" s="685"/>
      <c r="UXN77" s="685"/>
      <c r="UXO77" s="685"/>
      <c r="UXP77" s="685"/>
      <c r="UXQ77" s="685"/>
      <c r="UXR77" s="685"/>
      <c r="UXS77" s="685"/>
      <c r="UXT77" s="685"/>
      <c r="UXU77" s="685"/>
      <c r="UXV77" s="685"/>
      <c r="UXW77" s="685"/>
      <c r="UXX77" s="685"/>
      <c r="UXY77" s="685"/>
      <c r="UXZ77" s="685"/>
      <c r="UYA77" s="685"/>
      <c r="UYB77" s="685"/>
      <c r="UYC77" s="685"/>
      <c r="UYD77" s="685"/>
      <c r="UYE77" s="685"/>
      <c r="UYF77" s="685"/>
      <c r="UYG77" s="685"/>
      <c r="UYH77" s="685"/>
      <c r="UYI77" s="685"/>
      <c r="UYJ77" s="685"/>
      <c r="UYK77" s="685"/>
      <c r="UYL77" s="685"/>
      <c r="UYM77" s="685"/>
      <c r="UYN77" s="685"/>
      <c r="UYO77" s="685"/>
      <c r="UYP77" s="685"/>
      <c r="UYQ77" s="685"/>
      <c r="UYR77" s="685"/>
      <c r="UYS77" s="685"/>
      <c r="UYT77" s="685"/>
      <c r="UYU77" s="685"/>
      <c r="UYV77" s="685"/>
      <c r="UYW77" s="685"/>
      <c r="UYX77" s="685"/>
      <c r="UYY77" s="685"/>
      <c r="UYZ77" s="685"/>
      <c r="UZA77" s="685"/>
      <c r="UZB77" s="685"/>
      <c r="UZC77" s="685"/>
      <c r="UZD77" s="685"/>
      <c r="UZE77" s="685"/>
      <c r="UZF77" s="685"/>
      <c r="UZG77" s="685"/>
      <c r="UZH77" s="685"/>
      <c r="UZI77" s="685"/>
      <c r="UZJ77" s="685"/>
      <c r="UZK77" s="685"/>
      <c r="UZL77" s="685"/>
      <c r="UZM77" s="685"/>
      <c r="UZN77" s="685"/>
      <c r="UZO77" s="685"/>
      <c r="UZP77" s="685"/>
      <c r="UZQ77" s="685"/>
      <c r="UZR77" s="685"/>
      <c r="UZS77" s="685"/>
      <c r="UZT77" s="685"/>
      <c r="UZU77" s="685"/>
      <c r="UZV77" s="685"/>
      <c r="UZW77" s="685"/>
      <c r="UZX77" s="685"/>
      <c r="UZY77" s="685"/>
      <c r="UZZ77" s="685"/>
      <c r="VAA77" s="685"/>
      <c r="VAB77" s="685"/>
      <c r="VAC77" s="685"/>
      <c r="VAD77" s="685"/>
      <c r="VAE77" s="685"/>
      <c r="VAF77" s="685"/>
      <c r="VAG77" s="685"/>
      <c r="VAH77" s="685"/>
      <c r="VAI77" s="685"/>
      <c r="VAJ77" s="685"/>
      <c r="VAK77" s="685"/>
      <c r="VAL77" s="685"/>
      <c r="VAM77" s="685"/>
      <c r="VAN77" s="685"/>
      <c r="VAO77" s="685"/>
      <c r="VAP77" s="685"/>
      <c r="VAQ77" s="685"/>
      <c r="VAR77" s="685"/>
      <c r="VAS77" s="685"/>
      <c r="VAT77" s="685"/>
      <c r="VAU77" s="685"/>
      <c r="VAV77" s="685"/>
      <c r="VAW77" s="685"/>
      <c r="VAX77" s="685"/>
      <c r="VAY77" s="685"/>
      <c r="VAZ77" s="685"/>
      <c r="VBA77" s="685"/>
      <c r="VBB77" s="685"/>
      <c r="VBC77" s="685"/>
      <c r="VBD77" s="685"/>
      <c r="VBE77" s="685"/>
      <c r="VBF77" s="685"/>
      <c r="VBG77" s="685"/>
      <c r="VBH77" s="685"/>
      <c r="VBI77" s="685"/>
      <c r="VBJ77" s="685"/>
      <c r="VBK77" s="685"/>
      <c r="VBL77" s="685"/>
      <c r="VBM77" s="685"/>
      <c r="VBN77" s="685"/>
      <c r="VBO77" s="685"/>
      <c r="VBP77" s="685"/>
      <c r="VBQ77" s="685"/>
      <c r="VBR77" s="685"/>
      <c r="VBS77" s="685"/>
      <c r="VBT77" s="685"/>
      <c r="VBU77" s="685"/>
      <c r="VBV77" s="685"/>
      <c r="VBW77" s="685"/>
      <c r="VBX77" s="685"/>
      <c r="VBY77" s="685"/>
      <c r="VBZ77" s="685"/>
      <c r="VCA77" s="685"/>
      <c r="VCB77" s="685"/>
      <c r="VCC77" s="685"/>
      <c r="VCD77" s="685"/>
      <c r="VCE77" s="685"/>
      <c r="VCF77" s="685"/>
      <c r="VCG77" s="685"/>
      <c r="VCH77" s="685"/>
      <c r="VCI77" s="685"/>
      <c r="VCJ77" s="685"/>
      <c r="VCK77" s="685"/>
      <c r="VCL77" s="685"/>
      <c r="VCM77" s="685"/>
      <c r="VCN77" s="685"/>
      <c r="VCO77" s="685"/>
      <c r="VCP77" s="685"/>
      <c r="VCQ77" s="685"/>
      <c r="VCR77" s="685"/>
      <c r="VCS77" s="685"/>
      <c r="VCT77" s="685"/>
      <c r="VCU77" s="685"/>
      <c r="VCV77" s="685"/>
      <c r="VCW77" s="685"/>
      <c r="VCX77" s="685"/>
      <c r="VCY77" s="685"/>
      <c r="VCZ77" s="685"/>
      <c r="VDA77" s="685"/>
      <c r="VDB77" s="685"/>
      <c r="VDC77" s="685"/>
      <c r="VDD77" s="685"/>
      <c r="VDE77" s="685"/>
      <c r="VDF77" s="685"/>
      <c r="VDG77" s="685"/>
      <c r="VDH77" s="685"/>
      <c r="VDI77" s="685"/>
      <c r="VDJ77" s="685"/>
      <c r="VDK77" s="685"/>
      <c r="VDL77" s="685"/>
      <c r="VDM77" s="685"/>
      <c r="VDN77" s="685"/>
      <c r="VDO77" s="685"/>
      <c r="VDP77" s="685"/>
      <c r="VDQ77" s="685"/>
      <c r="VDR77" s="685"/>
      <c r="VDS77" s="685"/>
      <c r="VDT77" s="685"/>
      <c r="VDU77" s="685"/>
      <c r="VDV77" s="685"/>
      <c r="VDW77" s="685"/>
      <c r="VDX77" s="685"/>
      <c r="VDY77" s="685"/>
      <c r="VDZ77" s="685"/>
      <c r="VEA77" s="685"/>
      <c r="VEB77" s="685"/>
      <c r="VEC77" s="685"/>
      <c r="VED77" s="685"/>
      <c r="VEE77" s="685"/>
      <c r="VEF77" s="685"/>
      <c r="VEG77" s="685"/>
      <c r="VEH77" s="685"/>
      <c r="VEI77" s="685"/>
      <c r="VEJ77" s="685"/>
      <c r="VEK77" s="685"/>
      <c r="VEL77" s="685"/>
      <c r="VEM77" s="685"/>
      <c r="VEN77" s="685"/>
      <c r="VEO77" s="685"/>
      <c r="VEP77" s="685"/>
      <c r="VEQ77" s="685"/>
      <c r="VER77" s="685"/>
      <c r="VES77" s="685"/>
      <c r="VET77" s="685"/>
      <c r="VEU77" s="685"/>
      <c r="VEV77" s="685"/>
      <c r="VEW77" s="685"/>
      <c r="VEX77" s="685"/>
      <c r="VEY77" s="685"/>
      <c r="VEZ77" s="685"/>
      <c r="VFA77" s="685"/>
      <c r="VFB77" s="685"/>
      <c r="VFC77" s="685"/>
      <c r="VFD77" s="685"/>
      <c r="VFE77" s="685"/>
      <c r="VFF77" s="685"/>
      <c r="VFG77" s="685"/>
      <c r="VFH77" s="685"/>
      <c r="VFI77" s="685"/>
      <c r="VFJ77" s="685"/>
      <c r="VFK77" s="685"/>
      <c r="VFL77" s="685"/>
      <c r="VFM77" s="685"/>
      <c r="VFN77" s="685"/>
      <c r="VFO77" s="685"/>
      <c r="VFP77" s="685"/>
      <c r="VFQ77" s="685"/>
      <c r="VFR77" s="685"/>
      <c r="VFS77" s="685"/>
      <c r="VFT77" s="685"/>
      <c r="VFU77" s="685"/>
      <c r="VFV77" s="685"/>
      <c r="VFW77" s="685"/>
      <c r="VFX77" s="685"/>
      <c r="VFY77" s="685"/>
      <c r="VFZ77" s="685"/>
      <c r="VGA77" s="685"/>
      <c r="VGB77" s="685"/>
      <c r="VGC77" s="685"/>
      <c r="VGD77" s="685"/>
      <c r="VGE77" s="685"/>
      <c r="VGF77" s="685"/>
      <c r="VGG77" s="685"/>
      <c r="VGH77" s="685"/>
      <c r="VGI77" s="685"/>
      <c r="VGJ77" s="685"/>
      <c r="VGK77" s="685"/>
      <c r="VGL77" s="685"/>
      <c r="VGM77" s="685"/>
      <c r="VGN77" s="685"/>
      <c r="VGO77" s="685"/>
      <c r="VGP77" s="685"/>
      <c r="VGQ77" s="685"/>
      <c r="VGR77" s="685"/>
      <c r="VGS77" s="685"/>
      <c r="VGT77" s="685"/>
      <c r="VGU77" s="685"/>
      <c r="VGV77" s="685"/>
      <c r="VGW77" s="685"/>
      <c r="VGX77" s="685"/>
      <c r="VGY77" s="685"/>
      <c r="VGZ77" s="685"/>
      <c r="VHA77" s="685"/>
      <c r="VHB77" s="685"/>
      <c r="VHC77" s="685"/>
      <c r="VHD77" s="685"/>
      <c r="VHE77" s="685"/>
      <c r="VHF77" s="685"/>
      <c r="VHG77" s="685"/>
      <c r="VHH77" s="685"/>
      <c r="VHI77" s="685"/>
      <c r="VHJ77" s="685"/>
      <c r="VHK77" s="685"/>
      <c r="VHL77" s="685"/>
      <c r="VHM77" s="685"/>
      <c r="VHN77" s="685"/>
      <c r="VHO77" s="685"/>
      <c r="VHP77" s="685"/>
      <c r="VHQ77" s="685"/>
      <c r="VHR77" s="685"/>
      <c r="VHS77" s="685"/>
      <c r="VHT77" s="685"/>
      <c r="VHU77" s="685"/>
      <c r="VHV77" s="685"/>
      <c r="VHW77" s="685"/>
      <c r="VHX77" s="685"/>
      <c r="VHY77" s="685"/>
      <c r="VHZ77" s="685"/>
      <c r="VIA77" s="685"/>
      <c r="VIB77" s="685"/>
      <c r="VIC77" s="685"/>
      <c r="VID77" s="685"/>
      <c r="VIE77" s="685"/>
      <c r="VIF77" s="685"/>
      <c r="VIG77" s="685"/>
      <c r="VIH77" s="685"/>
      <c r="VII77" s="685"/>
      <c r="VIJ77" s="685"/>
      <c r="VIK77" s="685"/>
      <c r="VIL77" s="685"/>
      <c r="VIM77" s="685"/>
      <c r="VIN77" s="685"/>
      <c r="VIO77" s="685"/>
      <c r="VIP77" s="685"/>
      <c r="VIQ77" s="685"/>
      <c r="VIR77" s="685"/>
      <c r="VIS77" s="685"/>
      <c r="VIT77" s="685"/>
      <c r="VIU77" s="685"/>
      <c r="VIV77" s="685"/>
      <c r="VIW77" s="685"/>
      <c r="VIX77" s="685"/>
      <c r="VIY77" s="685"/>
      <c r="VIZ77" s="685"/>
      <c r="VJA77" s="685"/>
      <c r="VJB77" s="685"/>
      <c r="VJC77" s="685"/>
      <c r="VJD77" s="685"/>
      <c r="VJE77" s="685"/>
      <c r="VJF77" s="685"/>
      <c r="VJG77" s="685"/>
      <c r="VJH77" s="685"/>
      <c r="VJI77" s="685"/>
      <c r="VJJ77" s="685"/>
      <c r="VJK77" s="685"/>
      <c r="VJL77" s="685"/>
      <c r="VJM77" s="685"/>
      <c r="VJN77" s="685"/>
      <c r="VJO77" s="685"/>
      <c r="VJP77" s="685"/>
      <c r="VJQ77" s="685"/>
      <c r="VJR77" s="685"/>
      <c r="VJS77" s="685"/>
      <c r="VJT77" s="685"/>
      <c r="VJU77" s="685"/>
      <c r="VJV77" s="685"/>
      <c r="VJW77" s="685"/>
      <c r="VJX77" s="685"/>
      <c r="VJY77" s="685"/>
      <c r="VJZ77" s="685"/>
      <c r="VKA77" s="685"/>
      <c r="VKB77" s="685"/>
      <c r="VKC77" s="685"/>
      <c r="VKD77" s="685"/>
      <c r="VKE77" s="685"/>
      <c r="VKF77" s="685"/>
      <c r="VKG77" s="685"/>
      <c r="VKH77" s="685"/>
      <c r="VKI77" s="685"/>
      <c r="VKJ77" s="685"/>
      <c r="VKK77" s="685"/>
      <c r="VKL77" s="685"/>
      <c r="VKM77" s="685"/>
      <c r="VKN77" s="685"/>
      <c r="VKO77" s="685"/>
      <c r="VKP77" s="685"/>
      <c r="VKQ77" s="685"/>
      <c r="VKR77" s="685"/>
      <c r="VKS77" s="685"/>
      <c r="VKT77" s="685"/>
      <c r="VKU77" s="685"/>
      <c r="VKV77" s="685"/>
      <c r="VKW77" s="685"/>
      <c r="VKX77" s="685"/>
      <c r="VKY77" s="685"/>
      <c r="VKZ77" s="685"/>
      <c r="VLA77" s="685"/>
      <c r="VLB77" s="685"/>
      <c r="VLC77" s="685"/>
      <c r="VLD77" s="685"/>
      <c r="VLE77" s="685"/>
      <c r="VLF77" s="685"/>
      <c r="VLG77" s="685"/>
      <c r="VLH77" s="685"/>
      <c r="VLI77" s="685"/>
      <c r="VLJ77" s="685"/>
      <c r="VLK77" s="685"/>
      <c r="VLL77" s="685"/>
      <c r="VLM77" s="685"/>
      <c r="VLN77" s="685"/>
      <c r="VLO77" s="685"/>
      <c r="VLP77" s="685"/>
      <c r="VLQ77" s="685"/>
      <c r="VLR77" s="685"/>
      <c r="VLS77" s="685"/>
      <c r="VLT77" s="685"/>
      <c r="VLU77" s="685"/>
      <c r="VLV77" s="685"/>
      <c r="VLW77" s="685"/>
      <c r="VLX77" s="685"/>
      <c r="VLY77" s="685"/>
      <c r="VLZ77" s="685"/>
      <c r="VMA77" s="685"/>
      <c r="VMB77" s="685"/>
      <c r="VMC77" s="685"/>
      <c r="VMD77" s="685"/>
      <c r="VME77" s="685"/>
      <c r="VMF77" s="685"/>
      <c r="VMG77" s="685"/>
      <c r="VMH77" s="685"/>
      <c r="VMI77" s="685"/>
      <c r="VMJ77" s="685"/>
      <c r="VMK77" s="685"/>
      <c r="VML77" s="685"/>
      <c r="VMM77" s="685"/>
      <c r="VMN77" s="685"/>
      <c r="VMO77" s="685"/>
      <c r="VMP77" s="685"/>
      <c r="VMQ77" s="685"/>
      <c r="VMR77" s="685"/>
      <c r="VMS77" s="685"/>
      <c r="VMT77" s="685"/>
      <c r="VMU77" s="685"/>
      <c r="VMV77" s="685"/>
      <c r="VMW77" s="685"/>
      <c r="VMX77" s="685"/>
      <c r="VMY77" s="685"/>
      <c r="VMZ77" s="685"/>
      <c r="VNA77" s="685"/>
      <c r="VNB77" s="685"/>
      <c r="VNC77" s="685"/>
      <c r="VND77" s="685"/>
      <c r="VNE77" s="685"/>
      <c r="VNF77" s="685"/>
      <c r="VNG77" s="685"/>
      <c r="VNH77" s="685"/>
      <c r="VNI77" s="685"/>
      <c r="VNJ77" s="685"/>
      <c r="VNK77" s="685"/>
      <c r="VNL77" s="685"/>
      <c r="VNM77" s="685"/>
      <c r="VNN77" s="685"/>
      <c r="VNO77" s="685"/>
      <c r="VNP77" s="685"/>
      <c r="VNQ77" s="685"/>
      <c r="VNR77" s="685"/>
      <c r="VNS77" s="685"/>
      <c r="VNT77" s="685"/>
      <c r="VNU77" s="685"/>
      <c r="VNV77" s="685"/>
      <c r="VNW77" s="685"/>
      <c r="VNX77" s="685"/>
      <c r="VNY77" s="685"/>
      <c r="VNZ77" s="685"/>
      <c r="VOA77" s="685"/>
      <c r="VOB77" s="685"/>
      <c r="VOC77" s="685"/>
      <c r="VOD77" s="685"/>
      <c r="VOE77" s="685"/>
      <c r="VOF77" s="685"/>
      <c r="VOG77" s="685"/>
      <c r="VOH77" s="685"/>
      <c r="VOI77" s="685"/>
      <c r="VOJ77" s="685"/>
      <c r="VOK77" s="685"/>
      <c r="VOL77" s="685"/>
      <c r="VOM77" s="685"/>
      <c r="VON77" s="685"/>
      <c r="VOO77" s="685"/>
      <c r="VOP77" s="685"/>
      <c r="VOQ77" s="685"/>
      <c r="VOR77" s="685"/>
      <c r="VOS77" s="685"/>
      <c r="VOT77" s="685"/>
      <c r="VOU77" s="685"/>
      <c r="VOV77" s="685"/>
      <c r="VOW77" s="685"/>
      <c r="VOX77" s="685"/>
      <c r="VOY77" s="685"/>
      <c r="VOZ77" s="685"/>
      <c r="VPA77" s="685"/>
      <c r="VPB77" s="685"/>
      <c r="VPC77" s="685"/>
      <c r="VPD77" s="685"/>
      <c r="VPE77" s="685"/>
      <c r="VPF77" s="685"/>
      <c r="VPG77" s="685"/>
      <c r="VPH77" s="685"/>
      <c r="VPI77" s="685"/>
      <c r="VPJ77" s="685"/>
      <c r="VPK77" s="685"/>
      <c r="VPL77" s="685"/>
      <c r="VPM77" s="685"/>
      <c r="VPN77" s="685"/>
      <c r="VPO77" s="685"/>
      <c r="VPP77" s="685"/>
      <c r="VPQ77" s="685"/>
      <c r="VPR77" s="685"/>
      <c r="VPS77" s="685"/>
      <c r="VPT77" s="685"/>
      <c r="VPU77" s="685"/>
      <c r="VPV77" s="685"/>
      <c r="VPW77" s="685"/>
      <c r="VPX77" s="685"/>
      <c r="VPY77" s="685"/>
      <c r="VPZ77" s="685"/>
      <c r="VQA77" s="685"/>
      <c r="VQB77" s="685"/>
      <c r="VQC77" s="685"/>
      <c r="VQD77" s="685"/>
      <c r="VQE77" s="685"/>
      <c r="VQF77" s="685"/>
      <c r="VQG77" s="685"/>
      <c r="VQH77" s="685"/>
      <c r="VQI77" s="685"/>
      <c r="VQJ77" s="685"/>
      <c r="VQK77" s="685"/>
      <c r="VQL77" s="685"/>
      <c r="VQM77" s="685"/>
      <c r="VQN77" s="685"/>
      <c r="VQO77" s="685"/>
      <c r="VQP77" s="685"/>
      <c r="VQQ77" s="685"/>
      <c r="VQR77" s="685"/>
      <c r="VQS77" s="685"/>
      <c r="VQT77" s="685"/>
      <c r="VQU77" s="685"/>
      <c r="VQV77" s="685"/>
      <c r="VQW77" s="685"/>
      <c r="VQX77" s="685"/>
      <c r="VQY77" s="685"/>
      <c r="VQZ77" s="685"/>
      <c r="VRA77" s="685"/>
      <c r="VRB77" s="685"/>
      <c r="VRC77" s="685"/>
      <c r="VRD77" s="685"/>
      <c r="VRE77" s="685"/>
      <c r="VRF77" s="685"/>
      <c r="VRG77" s="685"/>
      <c r="VRH77" s="685"/>
      <c r="VRI77" s="685"/>
      <c r="VRJ77" s="685"/>
      <c r="VRK77" s="685"/>
      <c r="VRL77" s="685"/>
      <c r="VRM77" s="685"/>
      <c r="VRN77" s="685"/>
      <c r="VRO77" s="685"/>
      <c r="VRP77" s="685"/>
      <c r="VRQ77" s="685"/>
      <c r="VRR77" s="685"/>
      <c r="VRS77" s="685"/>
      <c r="VRT77" s="685"/>
      <c r="VRU77" s="685"/>
      <c r="VRV77" s="685"/>
      <c r="VRW77" s="685"/>
      <c r="VRX77" s="685"/>
      <c r="VRY77" s="685"/>
      <c r="VRZ77" s="685"/>
      <c r="VSA77" s="685"/>
      <c r="VSB77" s="685"/>
      <c r="VSC77" s="685"/>
      <c r="VSD77" s="685"/>
      <c r="VSE77" s="685"/>
      <c r="VSF77" s="685"/>
      <c r="VSG77" s="685"/>
      <c r="VSH77" s="685"/>
      <c r="VSI77" s="685"/>
      <c r="VSJ77" s="685"/>
      <c r="VSK77" s="685"/>
      <c r="VSL77" s="685"/>
      <c r="VSM77" s="685"/>
      <c r="VSN77" s="685"/>
      <c r="VSO77" s="685"/>
      <c r="VSP77" s="685"/>
      <c r="VSQ77" s="685"/>
      <c r="VSR77" s="685"/>
      <c r="VSS77" s="685"/>
      <c r="VST77" s="685"/>
      <c r="VSU77" s="685"/>
      <c r="VSV77" s="685"/>
      <c r="VSW77" s="685"/>
      <c r="VSX77" s="685"/>
      <c r="VSY77" s="685"/>
      <c r="VSZ77" s="685"/>
      <c r="VTA77" s="685"/>
      <c r="VTB77" s="685"/>
      <c r="VTC77" s="685"/>
      <c r="VTD77" s="685"/>
      <c r="VTE77" s="685"/>
      <c r="VTF77" s="685"/>
      <c r="VTG77" s="685"/>
      <c r="VTH77" s="685"/>
      <c r="VTI77" s="685"/>
      <c r="VTJ77" s="685"/>
      <c r="VTK77" s="685"/>
      <c r="VTL77" s="685"/>
      <c r="VTM77" s="685"/>
      <c r="VTN77" s="685"/>
      <c r="VTO77" s="685"/>
      <c r="VTP77" s="685"/>
      <c r="VTQ77" s="685"/>
      <c r="VTR77" s="685"/>
      <c r="VTS77" s="685"/>
      <c r="VTT77" s="685"/>
      <c r="VTU77" s="685"/>
      <c r="VTV77" s="685"/>
      <c r="VTW77" s="685"/>
      <c r="VTX77" s="685"/>
      <c r="VTY77" s="685"/>
      <c r="VTZ77" s="685"/>
      <c r="VUA77" s="685"/>
      <c r="VUB77" s="685"/>
      <c r="VUC77" s="685"/>
      <c r="VUD77" s="685"/>
      <c r="VUE77" s="685"/>
      <c r="VUF77" s="685"/>
      <c r="VUG77" s="685"/>
      <c r="VUH77" s="685"/>
      <c r="VUI77" s="685"/>
      <c r="VUJ77" s="685"/>
      <c r="VUK77" s="685"/>
      <c r="VUL77" s="685"/>
      <c r="VUM77" s="685"/>
      <c r="VUN77" s="685"/>
      <c r="VUO77" s="685"/>
      <c r="VUP77" s="685"/>
      <c r="VUQ77" s="685"/>
      <c r="VUR77" s="685"/>
      <c r="VUS77" s="685"/>
      <c r="VUT77" s="685"/>
      <c r="VUU77" s="685"/>
      <c r="VUV77" s="685"/>
      <c r="VUW77" s="685"/>
      <c r="VUX77" s="685"/>
      <c r="VUY77" s="685"/>
      <c r="VUZ77" s="685"/>
      <c r="VVA77" s="685"/>
      <c r="VVB77" s="685"/>
      <c r="VVC77" s="685"/>
      <c r="VVD77" s="685"/>
      <c r="VVE77" s="685"/>
      <c r="VVF77" s="685"/>
      <c r="VVG77" s="685"/>
      <c r="VVH77" s="685"/>
      <c r="VVI77" s="685"/>
      <c r="VVJ77" s="685"/>
      <c r="VVK77" s="685"/>
      <c r="VVL77" s="685"/>
      <c r="VVM77" s="685"/>
      <c r="VVN77" s="685"/>
      <c r="VVO77" s="685"/>
      <c r="VVP77" s="685"/>
      <c r="VVQ77" s="685"/>
      <c r="VVR77" s="685"/>
      <c r="VVS77" s="685"/>
      <c r="VVT77" s="685"/>
      <c r="VVU77" s="685"/>
      <c r="VVV77" s="685"/>
      <c r="VVW77" s="685"/>
      <c r="VVX77" s="685"/>
      <c r="VVY77" s="685"/>
      <c r="VVZ77" s="685"/>
      <c r="VWA77" s="685"/>
      <c r="VWB77" s="685"/>
      <c r="VWC77" s="685"/>
      <c r="VWD77" s="685"/>
      <c r="VWE77" s="685"/>
      <c r="VWF77" s="685"/>
      <c r="VWG77" s="685"/>
      <c r="VWH77" s="685"/>
      <c r="VWI77" s="685"/>
      <c r="VWJ77" s="685"/>
      <c r="VWK77" s="685"/>
      <c r="VWL77" s="685"/>
      <c r="VWM77" s="685"/>
      <c r="VWN77" s="685"/>
      <c r="VWO77" s="685"/>
      <c r="VWP77" s="685"/>
      <c r="VWQ77" s="685"/>
      <c r="VWR77" s="685"/>
      <c r="VWS77" s="685"/>
      <c r="VWT77" s="685"/>
      <c r="VWU77" s="685"/>
      <c r="VWV77" s="685"/>
      <c r="VWW77" s="685"/>
      <c r="VWX77" s="685"/>
      <c r="VWY77" s="685"/>
      <c r="VWZ77" s="685"/>
      <c r="VXA77" s="685"/>
      <c r="VXB77" s="685"/>
      <c r="VXC77" s="685"/>
      <c r="VXD77" s="685"/>
      <c r="VXE77" s="685"/>
      <c r="VXF77" s="685"/>
      <c r="VXG77" s="685"/>
      <c r="VXH77" s="685"/>
      <c r="VXI77" s="685"/>
      <c r="VXJ77" s="685"/>
      <c r="VXK77" s="685"/>
      <c r="VXL77" s="685"/>
      <c r="VXM77" s="685"/>
      <c r="VXN77" s="685"/>
      <c r="VXO77" s="685"/>
      <c r="VXP77" s="685"/>
      <c r="VXQ77" s="685"/>
      <c r="VXR77" s="685"/>
      <c r="VXS77" s="685"/>
      <c r="VXT77" s="685"/>
      <c r="VXU77" s="685"/>
      <c r="VXV77" s="685"/>
      <c r="VXW77" s="685"/>
      <c r="VXX77" s="685"/>
      <c r="VXY77" s="685"/>
      <c r="VXZ77" s="685"/>
      <c r="VYA77" s="685"/>
      <c r="VYB77" s="685"/>
      <c r="VYC77" s="685"/>
      <c r="VYD77" s="685"/>
      <c r="VYE77" s="685"/>
      <c r="VYF77" s="685"/>
      <c r="VYG77" s="685"/>
      <c r="VYH77" s="685"/>
      <c r="VYI77" s="685"/>
      <c r="VYJ77" s="685"/>
      <c r="VYK77" s="685"/>
      <c r="VYL77" s="685"/>
      <c r="VYM77" s="685"/>
      <c r="VYN77" s="685"/>
      <c r="VYO77" s="685"/>
      <c r="VYP77" s="685"/>
      <c r="VYQ77" s="685"/>
      <c r="VYR77" s="685"/>
      <c r="VYS77" s="685"/>
      <c r="VYT77" s="685"/>
      <c r="VYU77" s="685"/>
      <c r="VYV77" s="685"/>
      <c r="VYW77" s="685"/>
      <c r="VYX77" s="685"/>
      <c r="VYY77" s="685"/>
      <c r="VYZ77" s="685"/>
      <c r="VZA77" s="685"/>
      <c r="VZB77" s="685"/>
      <c r="VZC77" s="685"/>
      <c r="VZD77" s="685"/>
      <c r="VZE77" s="685"/>
      <c r="VZF77" s="685"/>
      <c r="VZG77" s="685"/>
      <c r="VZH77" s="685"/>
      <c r="VZI77" s="685"/>
      <c r="VZJ77" s="685"/>
      <c r="VZK77" s="685"/>
      <c r="VZL77" s="685"/>
      <c r="VZM77" s="685"/>
      <c r="VZN77" s="685"/>
      <c r="VZO77" s="685"/>
      <c r="VZP77" s="685"/>
      <c r="VZQ77" s="685"/>
      <c r="VZR77" s="685"/>
      <c r="VZS77" s="685"/>
      <c r="VZT77" s="685"/>
      <c r="VZU77" s="685"/>
      <c r="VZV77" s="685"/>
      <c r="VZW77" s="685"/>
      <c r="VZX77" s="685"/>
      <c r="VZY77" s="685"/>
      <c r="VZZ77" s="685"/>
      <c r="WAA77" s="685"/>
      <c r="WAB77" s="685"/>
      <c r="WAC77" s="685"/>
      <c r="WAD77" s="685"/>
      <c r="WAE77" s="685"/>
      <c r="WAF77" s="685"/>
      <c r="WAG77" s="685"/>
      <c r="WAH77" s="685"/>
      <c r="WAI77" s="685"/>
      <c r="WAJ77" s="685"/>
      <c r="WAK77" s="685"/>
      <c r="WAL77" s="685"/>
      <c r="WAM77" s="685"/>
      <c r="WAN77" s="685"/>
      <c r="WAO77" s="685"/>
      <c r="WAP77" s="685"/>
      <c r="WAQ77" s="685"/>
      <c r="WAR77" s="685"/>
      <c r="WAS77" s="685"/>
      <c r="WAT77" s="685"/>
      <c r="WAU77" s="685"/>
      <c r="WAV77" s="685"/>
      <c r="WAW77" s="685"/>
      <c r="WAX77" s="685"/>
      <c r="WAY77" s="685"/>
      <c r="WAZ77" s="685"/>
      <c r="WBA77" s="685"/>
      <c r="WBB77" s="685"/>
      <c r="WBC77" s="685"/>
      <c r="WBD77" s="685"/>
      <c r="WBE77" s="685"/>
      <c r="WBF77" s="685"/>
      <c r="WBG77" s="685"/>
      <c r="WBH77" s="685"/>
      <c r="WBI77" s="685"/>
      <c r="WBJ77" s="685"/>
      <c r="WBK77" s="685"/>
      <c r="WBL77" s="685"/>
      <c r="WBM77" s="685"/>
      <c r="WBN77" s="685"/>
      <c r="WBO77" s="685"/>
      <c r="WBP77" s="685"/>
      <c r="WBQ77" s="685"/>
      <c r="WBR77" s="685"/>
      <c r="WBS77" s="685"/>
      <c r="WBT77" s="685"/>
      <c r="WBU77" s="685"/>
      <c r="WBV77" s="685"/>
      <c r="WBW77" s="685"/>
      <c r="WBX77" s="685"/>
      <c r="WBY77" s="685"/>
      <c r="WBZ77" s="685"/>
      <c r="WCA77" s="685"/>
      <c r="WCB77" s="685"/>
      <c r="WCC77" s="685"/>
      <c r="WCD77" s="685"/>
      <c r="WCE77" s="685"/>
      <c r="WCF77" s="685"/>
      <c r="WCG77" s="685"/>
      <c r="WCH77" s="685"/>
      <c r="WCI77" s="685"/>
      <c r="WCJ77" s="685"/>
      <c r="WCK77" s="685"/>
      <c r="WCL77" s="685"/>
      <c r="WCM77" s="685"/>
      <c r="WCN77" s="685"/>
      <c r="WCO77" s="685"/>
      <c r="WCP77" s="685"/>
      <c r="WCQ77" s="685"/>
      <c r="WCR77" s="685"/>
      <c r="WCS77" s="685"/>
      <c r="WCT77" s="685"/>
      <c r="WCU77" s="685"/>
      <c r="WCV77" s="685"/>
      <c r="WCW77" s="685"/>
      <c r="WCX77" s="685"/>
      <c r="WCY77" s="685"/>
      <c r="WCZ77" s="685"/>
      <c r="WDA77" s="685"/>
      <c r="WDB77" s="685"/>
      <c r="WDC77" s="685"/>
      <c r="WDD77" s="685"/>
      <c r="WDE77" s="685"/>
      <c r="WDF77" s="685"/>
      <c r="WDG77" s="685"/>
      <c r="WDH77" s="685"/>
      <c r="WDI77" s="685"/>
      <c r="WDJ77" s="685"/>
      <c r="WDK77" s="685"/>
      <c r="WDL77" s="685"/>
      <c r="WDM77" s="685"/>
      <c r="WDN77" s="685"/>
      <c r="WDO77" s="685"/>
      <c r="WDP77" s="685"/>
      <c r="WDQ77" s="685"/>
      <c r="WDR77" s="685"/>
      <c r="WDS77" s="685"/>
      <c r="WDT77" s="685"/>
      <c r="WDU77" s="685"/>
      <c r="WDV77" s="685"/>
      <c r="WDW77" s="685"/>
      <c r="WDX77" s="685"/>
      <c r="WDY77" s="685"/>
      <c r="WDZ77" s="685"/>
      <c r="WEA77" s="685"/>
      <c r="WEB77" s="685"/>
      <c r="WEC77" s="685"/>
      <c r="WED77" s="685"/>
      <c r="WEE77" s="685"/>
      <c r="WEF77" s="685"/>
      <c r="WEG77" s="685"/>
      <c r="WEH77" s="685"/>
      <c r="WEI77" s="685"/>
      <c r="WEJ77" s="685"/>
      <c r="WEK77" s="685"/>
      <c r="WEL77" s="685"/>
      <c r="WEM77" s="685"/>
      <c r="WEN77" s="685"/>
      <c r="WEO77" s="685"/>
      <c r="WEP77" s="685"/>
      <c r="WEQ77" s="685"/>
      <c r="WER77" s="685"/>
      <c r="WES77" s="685"/>
      <c r="WET77" s="685"/>
      <c r="WEU77" s="685"/>
      <c r="WEV77" s="685"/>
      <c r="WEW77" s="685"/>
      <c r="WEX77" s="685"/>
      <c r="WEY77" s="685"/>
      <c r="WEZ77" s="685"/>
      <c r="WFA77" s="685"/>
      <c r="WFB77" s="685"/>
      <c r="WFC77" s="685"/>
      <c r="WFD77" s="685"/>
      <c r="WFE77" s="685"/>
      <c r="WFF77" s="685"/>
      <c r="WFG77" s="685"/>
      <c r="WFH77" s="685"/>
      <c r="WFI77" s="685"/>
      <c r="WFJ77" s="685"/>
      <c r="WFK77" s="685"/>
      <c r="WFL77" s="685"/>
      <c r="WFM77" s="685"/>
      <c r="WFN77" s="685"/>
      <c r="WFO77" s="685"/>
      <c r="WFP77" s="685"/>
      <c r="WFQ77" s="685"/>
      <c r="WFR77" s="685"/>
      <c r="WFS77" s="685"/>
      <c r="WFT77" s="685"/>
      <c r="WFU77" s="685"/>
      <c r="WFV77" s="685"/>
      <c r="WFW77" s="685"/>
      <c r="WFX77" s="685"/>
      <c r="WFY77" s="685"/>
      <c r="WFZ77" s="685"/>
      <c r="WGA77" s="685"/>
      <c r="WGB77" s="685"/>
      <c r="WGC77" s="685"/>
      <c r="WGD77" s="685"/>
      <c r="WGE77" s="685"/>
      <c r="WGF77" s="685"/>
      <c r="WGG77" s="685"/>
      <c r="WGH77" s="685"/>
      <c r="WGI77" s="685"/>
      <c r="WGJ77" s="685"/>
      <c r="WGK77" s="685"/>
      <c r="WGL77" s="685"/>
      <c r="WGM77" s="685"/>
      <c r="WGN77" s="685"/>
      <c r="WGO77" s="685"/>
      <c r="WGP77" s="685"/>
      <c r="WGQ77" s="685"/>
      <c r="WGR77" s="685"/>
      <c r="WGS77" s="685"/>
      <c r="WGT77" s="685"/>
      <c r="WGU77" s="685"/>
      <c r="WGV77" s="685"/>
      <c r="WGW77" s="685"/>
      <c r="WGX77" s="685"/>
      <c r="WGY77" s="685"/>
      <c r="WGZ77" s="685"/>
      <c r="WHA77" s="685"/>
      <c r="WHB77" s="685"/>
      <c r="WHC77" s="685"/>
      <c r="WHD77" s="685"/>
      <c r="WHE77" s="685"/>
      <c r="WHF77" s="685"/>
      <c r="WHG77" s="685"/>
      <c r="WHH77" s="685"/>
      <c r="WHI77" s="685"/>
      <c r="WHJ77" s="685"/>
      <c r="WHK77" s="685"/>
      <c r="WHL77" s="685"/>
      <c r="WHM77" s="685"/>
      <c r="WHN77" s="685"/>
      <c r="WHO77" s="685"/>
      <c r="WHP77" s="685"/>
      <c r="WHQ77" s="685"/>
      <c r="WHR77" s="685"/>
      <c r="WHS77" s="685"/>
      <c r="WHT77" s="685"/>
      <c r="WHU77" s="685"/>
      <c r="WHV77" s="685"/>
      <c r="WHW77" s="685"/>
      <c r="WHX77" s="685"/>
      <c r="WHY77" s="685"/>
      <c r="WHZ77" s="685"/>
      <c r="WIA77" s="685"/>
      <c r="WIB77" s="685"/>
      <c r="WIC77" s="685"/>
      <c r="WID77" s="685"/>
      <c r="WIE77" s="685"/>
      <c r="WIF77" s="685"/>
      <c r="WIG77" s="685"/>
      <c r="WIH77" s="685"/>
      <c r="WII77" s="685"/>
      <c r="WIJ77" s="685"/>
      <c r="WIK77" s="685"/>
      <c r="WIL77" s="685"/>
      <c r="WIM77" s="685"/>
      <c r="WIN77" s="685"/>
      <c r="WIO77" s="685"/>
      <c r="WIP77" s="685"/>
      <c r="WIQ77" s="685"/>
      <c r="WIR77" s="685"/>
      <c r="WIS77" s="685"/>
      <c r="WIT77" s="685"/>
      <c r="WIU77" s="685"/>
      <c r="WIV77" s="685"/>
      <c r="WIW77" s="685"/>
      <c r="WIX77" s="685"/>
      <c r="WIY77" s="685"/>
      <c r="WIZ77" s="685"/>
      <c r="WJA77" s="685"/>
      <c r="WJB77" s="685"/>
      <c r="WJC77" s="685"/>
      <c r="WJD77" s="685"/>
      <c r="WJE77" s="685"/>
      <c r="WJF77" s="685"/>
      <c r="WJG77" s="685"/>
      <c r="WJH77" s="685"/>
      <c r="WJI77" s="685"/>
      <c r="WJJ77" s="685"/>
      <c r="WJK77" s="685"/>
      <c r="WJL77" s="685"/>
      <c r="WJM77" s="685"/>
      <c r="WJN77" s="685"/>
      <c r="WJO77" s="685"/>
      <c r="WJP77" s="685"/>
      <c r="WJQ77" s="685"/>
      <c r="WJR77" s="685"/>
      <c r="WJS77" s="685"/>
      <c r="WJT77" s="685"/>
      <c r="WJU77" s="685"/>
      <c r="WJV77" s="685"/>
      <c r="WJW77" s="685"/>
      <c r="WJX77" s="685"/>
      <c r="WJY77" s="685"/>
      <c r="WJZ77" s="685"/>
      <c r="WKA77" s="685"/>
      <c r="WKB77" s="685"/>
      <c r="WKC77" s="685"/>
      <c r="WKD77" s="685"/>
      <c r="WKE77" s="685"/>
      <c r="WKF77" s="685"/>
      <c r="WKG77" s="685"/>
      <c r="WKH77" s="685"/>
      <c r="WKI77" s="685"/>
      <c r="WKJ77" s="685"/>
      <c r="WKK77" s="685"/>
      <c r="WKL77" s="685"/>
      <c r="WKM77" s="685"/>
      <c r="WKN77" s="685"/>
      <c r="WKO77" s="685"/>
      <c r="WKP77" s="685"/>
      <c r="WKQ77" s="685"/>
      <c r="WKR77" s="685"/>
      <c r="WKS77" s="685"/>
      <c r="WKT77" s="685"/>
      <c r="WKU77" s="685"/>
      <c r="WKV77" s="685"/>
      <c r="WKW77" s="685"/>
      <c r="WKX77" s="685"/>
      <c r="WKY77" s="685"/>
      <c r="WKZ77" s="685"/>
      <c r="WLA77" s="685"/>
      <c r="WLB77" s="685"/>
      <c r="WLC77" s="685"/>
      <c r="WLD77" s="685"/>
      <c r="WLE77" s="685"/>
      <c r="WLF77" s="685"/>
      <c r="WLG77" s="685"/>
      <c r="WLH77" s="685"/>
      <c r="WLI77" s="685"/>
      <c r="WLJ77" s="685"/>
      <c r="WLK77" s="685"/>
      <c r="WLL77" s="685"/>
      <c r="WLM77" s="685"/>
      <c r="WLN77" s="685"/>
      <c r="WLO77" s="685"/>
      <c r="WLP77" s="685"/>
      <c r="WLQ77" s="685"/>
      <c r="WLR77" s="685"/>
      <c r="WLS77" s="685"/>
      <c r="WLT77" s="685"/>
      <c r="WLU77" s="685"/>
      <c r="WLV77" s="685"/>
      <c r="WLW77" s="685"/>
      <c r="WLX77" s="685"/>
      <c r="WLY77" s="685"/>
      <c r="WLZ77" s="685"/>
      <c r="WMA77" s="685"/>
      <c r="WMB77" s="685"/>
      <c r="WMC77" s="685"/>
      <c r="WMD77" s="685"/>
      <c r="WME77" s="685"/>
      <c r="WMF77" s="685"/>
      <c r="WMG77" s="685"/>
      <c r="WMH77" s="685"/>
      <c r="WMI77" s="685"/>
      <c r="WMJ77" s="685"/>
      <c r="WMK77" s="685"/>
      <c r="WML77" s="685"/>
      <c r="WMM77" s="685"/>
      <c r="WMN77" s="685"/>
      <c r="WMO77" s="685"/>
      <c r="WMP77" s="685"/>
      <c r="WMQ77" s="685"/>
      <c r="WMR77" s="685"/>
      <c r="WMS77" s="685"/>
      <c r="WMT77" s="685"/>
      <c r="WMU77" s="685"/>
      <c r="WMV77" s="685"/>
      <c r="WMW77" s="685"/>
      <c r="WMX77" s="685"/>
      <c r="WMY77" s="685"/>
      <c r="WMZ77" s="685"/>
      <c r="WNA77" s="685"/>
      <c r="WNB77" s="685"/>
      <c r="WNC77" s="685"/>
      <c r="WND77" s="685"/>
      <c r="WNE77" s="685"/>
      <c r="WNF77" s="685"/>
      <c r="WNG77" s="685"/>
      <c r="WNH77" s="685"/>
      <c r="WNI77" s="685"/>
      <c r="WNJ77" s="685"/>
      <c r="WNK77" s="685"/>
      <c r="WNL77" s="685"/>
      <c r="WNM77" s="685"/>
      <c r="WNN77" s="685"/>
      <c r="WNO77" s="685"/>
      <c r="WNP77" s="685"/>
      <c r="WNQ77" s="685"/>
      <c r="WNR77" s="685"/>
      <c r="WNS77" s="685"/>
      <c r="WNT77" s="685"/>
      <c r="WNU77" s="685"/>
      <c r="WNV77" s="685"/>
      <c r="WNW77" s="685"/>
      <c r="WNX77" s="685"/>
      <c r="WNY77" s="685"/>
      <c r="WNZ77" s="685"/>
      <c r="WOA77" s="685"/>
      <c r="WOB77" s="685"/>
      <c r="WOC77" s="685"/>
      <c r="WOD77" s="685"/>
      <c r="WOE77" s="685"/>
      <c r="WOF77" s="685"/>
      <c r="WOG77" s="685"/>
      <c r="WOH77" s="685"/>
      <c r="WOI77" s="685"/>
      <c r="WOJ77" s="685"/>
      <c r="WOK77" s="685"/>
      <c r="WOL77" s="685"/>
      <c r="WOM77" s="685"/>
      <c r="WON77" s="685"/>
      <c r="WOO77" s="685"/>
      <c r="WOP77" s="685"/>
      <c r="WOQ77" s="685"/>
      <c r="WOR77" s="685"/>
      <c r="WOS77" s="685"/>
      <c r="WOT77" s="685"/>
      <c r="WOU77" s="685"/>
      <c r="WOV77" s="685"/>
      <c r="WOW77" s="685"/>
      <c r="WOX77" s="685"/>
      <c r="WOY77" s="685"/>
      <c r="WOZ77" s="685"/>
      <c r="WPA77" s="685"/>
      <c r="WPB77" s="685"/>
      <c r="WPC77" s="685"/>
      <c r="WPD77" s="685"/>
      <c r="WPE77" s="685"/>
      <c r="WPF77" s="685"/>
      <c r="WPG77" s="685"/>
      <c r="WPH77" s="685"/>
      <c r="WPI77" s="685"/>
      <c r="WPJ77" s="685"/>
      <c r="WPK77" s="685"/>
      <c r="WPL77" s="685"/>
      <c r="WPM77" s="685"/>
      <c r="WPN77" s="685"/>
      <c r="WPO77" s="685"/>
      <c r="WPP77" s="685"/>
      <c r="WPQ77" s="685"/>
      <c r="WPR77" s="685"/>
      <c r="WPS77" s="685"/>
      <c r="WPT77" s="685"/>
      <c r="WPU77" s="685"/>
      <c r="WPV77" s="685"/>
      <c r="WPW77" s="685"/>
      <c r="WPX77" s="685"/>
      <c r="WPY77" s="685"/>
      <c r="WPZ77" s="685"/>
      <c r="WQA77" s="685"/>
      <c r="WQB77" s="685"/>
      <c r="WQC77" s="685"/>
      <c r="WQD77" s="685"/>
      <c r="WQE77" s="685"/>
      <c r="WQF77" s="685"/>
      <c r="WQG77" s="685"/>
      <c r="WQH77" s="685"/>
      <c r="WQI77" s="685"/>
      <c r="WQJ77" s="685"/>
      <c r="WQK77" s="685"/>
      <c r="WQL77" s="685"/>
      <c r="WQM77" s="685"/>
      <c r="WQN77" s="685"/>
      <c r="WQO77" s="685"/>
      <c r="WQP77" s="685"/>
      <c r="WQQ77" s="685"/>
      <c r="WQR77" s="685"/>
      <c r="WQS77" s="685"/>
      <c r="WQT77" s="685"/>
      <c r="WQU77" s="685"/>
      <c r="WQV77" s="685"/>
      <c r="WQW77" s="685"/>
      <c r="WQX77" s="685"/>
      <c r="WQY77" s="685"/>
      <c r="WQZ77" s="685"/>
      <c r="WRA77" s="685"/>
      <c r="WRB77" s="685"/>
      <c r="WRC77" s="685"/>
      <c r="WRD77" s="685"/>
      <c r="WRE77" s="685"/>
      <c r="WRF77" s="685"/>
      <c r="WRG77" s="685"/>
      <c r="WRH77" s="685"/>
      <c r="WRI77" s="685"/>
      <c r="WRJ77" s="685"/>
      <c r="WRK77" s="685"/>
      <c r="WRL77" s="685"/>
      <c r="WRM77" s="685"/>
      <c r="WRN77" s="685"/>
      <c r="WRO77" s="685"/>
      <c r="WRP77" s="685"/>
      <c r="WRQ77" s="685"/>
      <c r="WRR77" s="685"/>
      <c r="WRS77" s="685"/>
      <c r="WRT77" s="685"/>
      <c r="WRU77" s="685"/>
      <c r="WRV77" s="685"/>
      <c r="WRW77" s="685"/>
      <c r="WRX77" s="685"/>
      <c r="WRY77" s="685"/>
      <c r="WRZ77" s="685"/>
      <c r="WSA77" s="685"/>
      <c r="WSB77" s="685"/>
      <c r="WSC77" s="685"/>
      <c r="WSD77" s="685"/>
      <c r="WSE77" s="685"/>
      <c r="WSF77" s="685"/>
      <c r="WSG77" s="685"/>
      <c r="WSH77" s="685"/>
      <c r="WSI77" s="685"/>
      <c r="WSJ77" s="685"/>
      <c r="WSK77" s="685"/>
      <c r="WSL77" s="685"/>
      <c r="WSM77" s="685"/>
      <c r="WSN77" s="685"/>
      <c r="WSO77" s="685"/>
      <c r="WSP77" s="685"/>
      <c r="WSQ77" s="685"/>
      <c r="WSR77" s="685"/>
      <c r="WSS77" s="685"/>
      <c r="WST77" s="685"/>
      <c r="WSU77" s="685"/>
      <c r="WSV77" s="685"/>
      <c r="WSW77" s="685"/>
      <c r="WSX77" s="685"/>
      <c r="WSY77" s="685"/>
      <c r="WSZ77" s="685"/>
      <c r="WTA77" s="685"/>
      <c r="WTB77" s="685"/>
      <c r="WTC77" s="685"/>
      <c r="WTD77" s="685"/>
      <c r="WTE77" s="685"/>
      <c r="WTF77" s="685"/>
      <c r="WTG77" s="685"/>
      <c r="WTH77" s="685"/>
      <c r="WTI77" s="685"/>
      <c r="WTJ77" s="685"/>
      <c r="WTK77" s="685"/>
      <c r="WTL77" s="685"/>
      <c r="WTM77" s="685"/>
      <c r="WTN77" s="685"/>
      <c r="WTO77" s="685"/>
      <c r="WTP77" s="685"/>
      <c r="WTQ77" s="685"/>
      <c r="WTR77" s="685"/>
      <c r="WTS77" s="685"/>
      <c r="WTT77" s="685"/>
      <c r="WTU77" s="685"/>
      <c r="WTV77" s="685"/>
      <c r="WTW77" s="685"/>
      <c r="WTX77" s="685"/>
      <c r="WTY77" s="685"/>
      <c r="WTZ77" s="685"/>
      <c r="WUA77" s="685"/>
      <c r="WUB77" s="685"/>
      <c r="WUC77" s="685"/>
      <c r="WUD77" s="685"/>
      <c r="WUE77" s="685"/>
      <c r="WUF77" s="685"/>
      <c r="WUG77" s="685"/>
      <c r="WUH77" s="685"/>
      <c r="WUI77" s="685"/>
      <c r="WUJ77" s="685"/>
      <c r="WUK77" s="685"/>
      <c r="WUL77" s="685"/>
      <c r="WUM77" s="685"/>
      <c r="WUN77" s="685"/>
      <c r="WUO77" s="685"/>
      <c r="WUP77" s="685"/>
      <c r="WUQ77" s="685"/>
      <c r="WUR77" s="685"/>
      <c r="WUS77" s="685"/>
      <c r="WUT77" s="685"/>
      <c r="WUU77" s="685"/>
      <c r="WUV77" s="685"/>
      <c r="WUW77" s="685"/>
      <c r="WUX77" s="685"/>
      <c r="WUY77" s="685"/>
      <c r="WUZ77" s="685"/>
      <c r="WVA77" s="685"/>
      <c r="WVB77" s="685"/>
      <c r="WVC77" s="685"/>
      <c r="WVD77" s="685"/>
      <c r="WVE77" s="685"/>
      <c r="WVF77" s="685"/>
      <c r="WVG77" s="685"/>
      <c r="WVH77" s="685"/>
      <c r="WVI77" s="685"/>
      <c r="WVJ77" s="685"/>
      <c r="WVK77" s="685"/>
      <c r="WVL77" s="685"/>
      <c r="WVM77" s="685"/>
      <c r="WVN77" s="685"/>
      <c r="WVO77" s="685"/>
      <c r="WVP77" s="685"/>
      <c r="WVQ77" s="685"/>
      <c r="WVR77" s="685"/>
      <c r="WVS77" s="685"/>
      <c r="WVT77" s="685"/>
      <c r="WVU77" s="685"/>
      <c r="WVV77" s="685"/>
      <c r="WVW77" s="685"/>
      <c r="WVX77" s="685"/>
      <c r="WVY77" s="685"/>
      <c r="WVZ77" s="685"/>
      <c r="WWA77" s="685"/>
      <c r="WWB77" s="685"/>
      <c r="WWC77" s="685"/>
      <c r="WWD77" s="685"/>
      <c r="WWE77" s="685"/>
      <c r="WWF77" s="685"/>
      <c r="WWG77" s="685"/>
      <c r="WWH77" s="685"/>
      <c r="WWI77" s="685"/>
      <c r="WWJ77" s="685"/>
      <c r="WWK77" s="685"/>
      <c r="WWL77" s="685"/>
      <c r="WWM77" s="685"/>
      <c r="WWN77" s="685"/>
      <c r="WWO77" s="685"/>
      <c r="WWP77" s="685"/>
      <c r="WWQ77" s="685"/>
      <c r="WWR77" s="685"/>
      <c r="WWS77" s="685"/>
      <c r="WWT77" s="685"/>
      <c r="WWU77" s="685"/>
      <c r="WWV77" s="685"/>
      <c r="WWW77" s="685"/>
      <c r="WWX77" s="685"/>
      <c r="WWY77" s="685"/>
      <c r="WWZ77" s="685"/>
      <c r="WXA77" s="685"/>
      <c r="WXB77" s="685"/>
      <c r="WXC77" s="685"/>
      <c r="WXD77" s="685"/>
      <c r="WXE77" s="685"/>
      <c r="WXF77" s="685"/>
      <c r="WXG77" s="685"/>
      <c r="WXH77" s="685"/>
      <c r="WXI77" s="685"/>
      <c r="WXJ77" s="685"/>
      <c r="WXK77" s="685"/>
      <c r="WXL77" s="685"/>
      <c r="WXM77" s="685"/>
      <c r="WXN77" s="685"/>
      <c r="WXO77" s="685"/>
      <c r="WXP77" s="685"/>
      <c r="WXQ77" s="685"/>
      <c r="WXR77" s="685"/>
      <c r="WXS77" s="685"/>
      <c r="WXT77" s="685"/>
      <c r="WXU77" s="685"/>
      <c r="WXV77" s="685"/>
      <c r="WXW77" s="685"/>
      <c r="WXX77" s="685"/>
      <c r="WXY77" s="685"/>
      <c r="WXZ77" s="685"/>
      <c r="WYA77" s="685"/>
      <c r="WYB77" s="685"/>
      <c r="WYC77" s="685"/>
      <c r="WYD77" s="685"/>
      <c r="WYE77" s="685"/>
      <c r="WYF77" s="685"/>
      <c r="WYG77" s="685"/>
      <c r="WYH77" s="685"/>
      <c r="WYI77" s="685"/>
      <c r="WYJ77" s="685"/>
      <c r="WYK77" s="685"/>
      <c r="WYL77" s="685"/>
      <c r="WYM77" s="685"/>
      <c r="WYN77" s="685"/>
      <c r="WYO77" s="685"/>
      <c r="WYP77" s="685"/>
      <c r="WYQ77" s="685"/>
      <c r="WYR77" s="685"/>
      <c r="WYS77" s="685"/>
      <c r="WYT77" s="685"/>
      <c r="WYU77" s="685"/>
      <c r="WYV77" s="685"/>
      <c r="WYW77" s="685"/>
      <c r="WYX77" s="685"/>
      <c r="WYY77" s="685"/>
      <c r="WYZ77" s="685"/>
      <c r="WZA77" s="685"/>
      <c r="WZB77" s="685"/>
      <c r="WZC77" s="685"/>
      <c r="WZD77" s="685"/>
      <c r="WZE77" s="685"/>
      <c r="WZF77" s="685"/>
      <c r="WZG77" s="685"/>
      <c r="WZH77" s="685"/>
      <c r="WZI77" s="685"/>
      <c r="WZJ77" s="685"/>
      <c r="WZK77" s="685"/>
      <c r="WZL77" s="685"/>
      <c r="WZM77" s="685"/>
      <c r="WZN77" s="685"/>
      <c r="WZO77" s="685"/>
      <c r="WZP77" s="685"/>
      <c r="WZQ77" s="685"/>
      <c r="WZR77" s="685"/>
      <c r="WZS77" s="685"/>
      <c r="WZT77" s="685"/>
      <c r="WZU77" s="685"/>
      <c r="WZV77" s="685"/>
      <c r="WZW77" s="685"/>
      <c r="WZX77" s="685"/>
      <c r="WZY77" s="685"/>
      <c r="WZZ77" s="685"/>
      <c r="XAA77" s="685"/>
      <c r="XAB77" s="685"/>
      <c r="XAC77" s="685"/>
      <c r="XAD77" s="685"/>
      <c r="XAE77" s="685"/>
      <c r="XAF77" s="685"/>
      <c r="XAG77" s="685"/>
      <c r="XAH77" s="685"/>
      <c r="XAI77" s="685"/>
      <c r="XAJ77" s="685"/>
      <c r="XAK77" s="685"/>
      <c r="XAL77" s="685"/>
      <c r="XAM77" s="685"/>
      <c r="XAN77" s="685"/>
      <c r="XAO77" s="685"/>
      <c r="XAP77" s="685"/>
      <c r="XAQ77" s="685"/>
      <c r="XAR77" s="685"/>
      <c r="XAS77" s="685"/>
      <c r="XAT77" s="685"/>
      <c r="XAU77" s="685"/>
      <c r="XAV77" s="685"/>
      <c r="XAW77" s="685"/>
      <c r="XAX77" s="685"/>
      <c r="XAY77" s="685"/>
      <c r="XAZ77" s="685"/>
      <c r="XBA77" s="685"/>
      <c r="XBB77" s="685"/>
      <c r="XBC77" s="685"/>
      <c r="XBD77" s="685"/>
      <c r="XBE77" s="685"/>
      <c r="XBF77" s="685"/>
      <c r="XBG77" s="685"/>
      <c r="XBH77" s="685"/>
      <c r="XBI77" s="685"/>
      <c r="XBJ77" s="685"/>
      <c r="XBK77" s="685"/>
      <c r="XBL77" s="685"/>
      <c r="XBM77" s="685"/>
      <c r="XBN77" s="685"/>
      <c r="XBO77" s="685"/>
      <c r="XBP77" s="685"/>
      <c r="XBQ77" s="685"/>
      <c r="XBR77" s="685"/>
      <c r="XBS77" s="685"/>
      <c r="XBT77" s="685"/>
      <c r="XBU77" s="685"/>
      <c r="XBV77" s="685"/>
      <c r="XBW77" s="685"/>
      <c r="XBX77" s="685"/>
      <c r="XBY77" s="685"/>
      <c r="XBZ77" s="685"/>
      <c r="XCA77" s="685"/>
      <c r="XCB77" s="685"/>
      <c r="XCC77" s="685"/>
      <c r="XCD77" s="685"/>
      <c r="XCE77" s="685"/>
      <c r="XCF77" s="685"/>
      <c r="XCG77" s="685"/>
      <c r="XCH77" s="685"/>
      <c r="XCI77" s="685"/>
      <c r="XCJ77" s="685"/>
      <c r="XCK77" s="685"/>
      <c r="XCL77" s="685"/>
      <c r="XCM77" s="685"/>
      <c r="XCN77" s="685"/>
      <c r="XCO77" s="685"/>
      <c r="XCP77" s="685"/>
      <c r="XCQ77" s="685"/>
      <c r="XCR77" s="685"/>
      <c r="XCS77" s="685"/>
      <c r="XCT77" s="685"/>
      <c r="XCU77" s="685"/>
      <c r="XCV77" s="685"/>
      <c r="XCW77" s="685"/>
      <c r="XCX77" s="685"/>
      <c r="XCY77" s="685"/>
      <c r="XCZ77" s="685"/>
      <c r="XDA77" s="685"/>
      <c r="XDB77" s="685"/>
      <c r="XDC77" s="685"/>
      <c r="XDD77" s="685"/>
      <c r="XDE77" s="685"/>
      <c r="XDF77" s="685"/>
      <c r="XDG77" s="685"/>
      <c r="XDH77" s="685"/>
      <c r="XDI77" s="685"/>
      <c r="XDJ77" s="685"/>
      <c r="XDK77" s="685"/>
      <c r="XDL77" s="685"/>
      <c r="XDM77" s="685"/>
      <c r="XDN77" s="685"/>
      <c r="XDO77" s="685"/>
      <c r="XDP77" s="685"/>
      <c r="XDQ77" s="685"/>
      <c r="XDR77" s="685"/>
      <c r="XDS77" s="685"/>
      <c r="XDT77" s="685"/>
      <c r="XDU77" s="685"/>
      <c r="XDV77" s="685"/>
      <c r="XDW77" s="685"/>
      <c r="XDX77" s="685"/>
      <c r="XDY77" s="685"/>
      <c r="XDZ77" s="685"/>
      <c r="XEA77" s="685"/>
      <c r="XEB77" s="685"/>
      <c r="XEC77" s="685"/>
      <c r="XED77" s="685"/>
      <c r="XEE77" s="685"/>
      <c r="XEF77" s="685"/>
      <c r="XEG77" s="685"/>
      <c r="XEH77" s="685"/>
      <c r="XEI77" s="685"/>
      <c r="XEJ77" s="685"/>
      <c r="XEK77" s="685"/>
      <c r="XEL77" s="685"/>
      <c r="XEM77" s="685"/>
      <c r="XEN77" s="685"/>
      <c r="XEO77" s="685"/>
      <c r="XEP77" s="685"/>
      <c r="XEQ77" s="685"/>
      <c r="XER77" s="685"/>
      <c r="XES77" s="685"/>
      <c r="XET77" s="685"/>
      <c r="XEU77" s="685"/>
      <c r="XEV77" s="685"/>
      <c r="XEW77" s="685"/>
      <c r="XEX77" s="685"/>
      <c r="XEY77" s="685"/>
      <c r="XEZ77" s="685"/>
      <c r="XFA77" s="685"/>
      <c r="XFB77" s="685"/>
      <c r="XFC77" s="685"/>
      <c r="XFD77" s="685"/>
    </row>
    <row r="78" spans="1:16384" s="685" customFormat="1">
      <c r="A78" s="2091" t="s">
        <v>1095</v>
      </c>
      <c r="B78" s="2071" t="e">
        <f ca="1">IF(B$76=0,0,ROUND(House!B45*SIN($H$6)+House!B46*COS($H$6),3)+Center_H)</f>
        <v>#REF!</v>
      </c>
      <c r="C78" s="2071" t="e">
        <f ca="1">IF(C$76=0,0,ROUND(House!C45*SIN($H$6)+House!C46*COS($H$6),3)+Center_H)</f>
        <v>#REF!</v>
      </c>
      <c r="D78" s="508" t="e">
        <f ca="1">IF(D$76=0,0,ROUND(House!D45*SIN($H$6)+House!D46*COS($H$6),3)+Center_H)</f>
        <v>#REF!</v>
      </c>
      <c r="E78" s="508" t="e">
        <f ca="1">IF(E$76=0,0,ROUND(House!E45*SIN($H$6)+House!E46*COS($H$6),3)+Center_H)</f>
        <v>#REF!</v>
      </c>
      <c r="F78" s="508" t="e">
        <f ca="1">IF(F$76=0,0,ROUND(House!F45*SIN($H$6)+House!F46*COS($H$6),3)+Center_H)</f>
        <v>#REF!</v>
      </c>
      <c r="G78" s="508" t="e">
        <f ca="1">IF(G$76=0,0,ROUND(House!G45*SIN($H$6)+House!G46*COS($H$6),3)+Center_H)</f>
        <v>#REF!</v>
      </c>
      <c r="H78" s="508" t="e">
        <f ca="1">IF(H$76=0,0,ROUND(House!H45*SIN($H$6)+House!H46*COS($H$6),3)+Center_H)</f>
        <v>#REF!</v>
      </c>
      <c r="I78" s="508" t="e">
        <f ca="1">IF(I$76=0,0,ROUND(House!I45*SIN($H$6)+House!I46*COS($H$6),3)+Center_H)</f>
        <v>#REF!</v>
      </c>
      <c r="J78" s="508" t="e">
        <f ca="1">IF(J$76=0,0,ROUND(House!J45*SIN($H$6)+House!J46*COS($H$6),3)+Center_H)</f>
        <v>#REF!</v>
      </c>
      <c r="K78" s="508" t="e">
        <f ca="1">IF(K$76=0,0,ROUND(House!K45*SIN($H$6)+House!K46*COS($H$6),3)+Center_H)</f>
        <v>#REF!</v>
      </c>
      <c r="L78" s="510"/>
      <c r="M78" s="510"/>
      <c r="N78" s="510"/>
      <c r="O78" s="510"/>
      <c r="P78" s="510"/>
      <c r="Q78" s="510"/>
      <c r="R78" s="510"/>
      <c r="S78" s="510"/>
      <c r="T78" s="510"/>
      <c r="U78" s="510"/>
      <c r="V78" s="510"/>
      <c r="W78" s="510"/>
      <c r="X78" s="510"/>
      <c r="Y78" s="510"/>
      <c r="Z78" s="510"/>
      <c r="AA78" s="510"/>
      <c r="AB78" s="510"/>
      <c r="AC78" s="510"/>
      <c r="AD78" s="510"/>
      <c r="AE78" s="510"/>
      <c r="AF78" s="510"/>
      <c r="AG78" s="510"/>
      <c r="AH78" s="510"/>
      <c r="AI78" s="510"/>
      <c r="AJ78" s="1340"/>
      <c r="AK78" s="497"/>
      <c r="AL78" s="497"/>
      <c r="AM78" s="497"/>
      <c r="AN78" s="497"/>
      <c r="AO78" s="497"/>
      <c r="AP78" s="497"/>
      <c r="AQ78" s="497"/>
      <c r="AR78" s="497"/>
      <c r="AS78" s="497"/>
      <c r="AT78" s="497"/>
      <c r="AU78" s="497"/>
      <c r="AV78" s="497"/>
      <c r="AW78" s="497"/>
      <c r="AX78" s="497"/>
      <c r="AY78" s="497"/>
      <c r="AZ78" s="497"/>
      <c r="BA78" s="497"/>
      <c r="BB78" s="497"/>
      <c r="BC78" s="497"/>
      <c r="BD78" s="497"/>
      <c r="BE78" s="497"/>
      <c r="BF78" s="497"/>
      <c r="BG78" s="497"/>
      <c r="BH78" s="497"/>
      <c r="BI78" s="497"/>
      <c r="BJ78" s="497"/>
      <c r="BK78" s="497"/>
      <c r="BL78" s="497"/>
      <c r="BM78" s="497"/>
      <c r="BN78" s="497"/>
      <c r="BO78" s="497"/>
      <c r="BP78" s="497"/>
      <c r="BQ78" s="497"/>
      <c r="BR78" s="497"/>
      <c r="BS78" s="497"/>
      <c r="BT78" s="497"/>
      <c r="BU78" s="497"/>
      <c r="BV78" s="497"/>
      <c r="BW78" s="497"/>
      <c r="BX78" s="497"/>
      <c r="BY78" s="497"/>
      <c r="BZ78" s="497"/>
      <c r="CA78" s="497"/>
      <c r="CB78" s="497"/>
      <c r="CC78" s="497"/>
      <c r="CD78" s="497"/>
      <c r="CE78" s="497"/>
      <c r="CF78" s="497"/>
      <c r="CG78" s="497"/>
      <c r="CH78" s="497"/>
      <c r="CI78" s="497"/>
      <c r="CJ78" s="497"/>
      <c r="CK78" s="497"/>
      <c r="CL78" s="497"/>
      <c r="CM78" s="497"/>
      <c r="CN78" s="497"/>
      <c r="CO78" s="497"/>
      <c r="CP78" s="497"/>
      <c r="CQ78" s="497"/>
      <c r="CR78" s="497"/>
      <c r="CS78" s="497"/>
      <c r="CT78" s="497"/>
      <c r="CU78" s="497"/>
      <c r="CV78" s="497"/>
      <c r="CW78" s="497"/>
      <c r="CX78" s="497"/>
      <c r="CY78" s="497"/>
      <c r="CZ78" s="497"/>
      <c r="DA78" s="497"/>
      <c r="DB78" s="497"/>
      <c r="DC78" s="497"/>
      <c r="DD78" s="497"/>
      <c r="DE78" s="497"/>
      <c r="DF78" s="497"/>
      <c r="DG78" s="497"/>
      <c r="DH78" s="497"/>
      <c r="DI78" s="497"/>
      <c r="DJ78" s="497"/>
      <c r="DK78" s="497"/>
      <c r="DL78" s="497"/>
      <c r="DM78" s="497"/>
      <c r="DN78" s="497"/>
      <c r="DO78" s="497"/>
      <c r="DP78" s="497"/>
      <c r="DQ78" s="497"/>
      <c r="DR78" s="497"/>
      <c r="DS78" s="497"/>
      <c r="DT78" s="497"/>
      <c r="DU78" s="497"/>
      <c r="DV78" s="497"/>
      <c r="DW78" s="497"/>
      <c r="DX78" s="497"/>
      <c r="DY78" s="497"/>
      <c r="DZ78" s="497"/>
      <c r="EA78" s="497"/>
      <c r="EB78" s="497"/>
      <c r="EC78" s="497"/>
      <c r="ED78" s="497"/>
      <c r="EE78" s="497"/>
      <c r="EF78" s="497"/>
      <c r="EG78" s="497"/>
      <c r="EH78" s="497"/>
      <c r="EI78" s="497"/>
      <c r="EJ78" s="497"/>
      <c r="EK78" s="497"/>
      <c r="EL78" s="497"/>
      <c r="EM78" s="497"/>
      <c r="EN78" s="497"/>
      <c r="EO78" s="497"/>
      <c r="EP78" s="497"/>
      <c r="EQ78" s="497"/>
      <c r="ER78" s="497"/>
      <c r="ES78" s="497"/>
      <c r="ET78" s="497"/>
      <c r="EU78" s="497"/>
      <c r="EV78" s="497"/>
      <c r="EW78" s="497"/>
      <c r="EX78" s="497"/>
      <c r="EY78" s="497"/>
      <c r="EZ78" s="497"/>
      <c r="FA78" s="497"/>
      <c r="FB78" s="497"/>
      <c r="FC78" s="497"/>
      <c r="FD78" s="497"/>
      <c r="FE78" s="497"/>
      <c r="FF78" s="497"/>
      <c r="FG78" s="497"/>
      <c r="FH78" s="497"/>
      <c r="FI78" s="497"/>
      <c r="FJ78" s="497"/>
      <c r="FK78" s="497"/>
      <c r="FL78" s="497"/>
      <c r="FM78" s="497"/>
      <c r="FN78" s="497"/>
      <c r="FO78" s="497"/>
      <c r="FP78" s="497"/>
      <c r="FQ78" s="497"/>
      <c r="FR78" s="497"/>
      <c r="FS78" s="497"/>
      <c r="FT78" s="497"/>
      <c r="FU78" s="497"/>
      <c r="FV78" s="497"/>
      <c r="FW78" s="497"/>
      <c r="FX78" s="497"/>
      <c r="FY78" s="497"/>
      <c r="FZ78" s="497"/>
      <c r="GA78" s="497"/>
      <c r="GB78" s="497"/>
      <c r="GC78" s="497"/>
      <c r="GD78" s="497"/>
      <c r="GE78" s="497"/>
      <c r="GF78" s="497"/>
      <c r="GG78" s="497"/>
      <c r="GH78" s="497"/>
      <c r="GI78" s="497"/>
      <c r="GJ78" s="497"/>
      <c r="GK78" s="497"/>
      <c r="GL78" s="497"/>
      <c r="GM78" s="497"/>
      <c r="GN78" s="497"/>
      <c r="GO78" s="497"/>
      <c r="GP78" s="497"/>
      <c r="GQ78" s="497"/>
      <c r="GR78" s="497"/>
      <c r="GS78" s="497"/>
      <c r="GT78" s="497"/>
      <c r="GU78" s="497"/>
      <c r="GV78" s="497"/>
      <c r="GW78" s="497"/>
      <c r="GX78" s="497"/>
      <c r="GY78" s="497"/>
      <c r="GZ78" s="497"/>
      <c r="HA78" s="497"/>
      <c r="HB78" s="497"/>
      <c r="HC78" s="497"/>
      <c r="HD78" s="497"/>
      <c r="HE78" s="497"/>
      <c r="HF78" s="497"/>
      <c r="HG78" s="497"/>
      <c r="HH78" s="497"/>
      <c r="HI78" s="497"/>
      <c r="HJ78" s="497"/>
      <c r="HK78" s="497"/>
      <c r="HL78" s="497"/>
      <c r="HM78" s="497"/>
      <c r="HN78" s="497"/>
      <c r="HO78" s="497"/>
      <c r="HP78" s="497"/>
      <c r="HQ78" s="497"/>
      <c r="HR78" s="497"/>
      <c r="HS78" s="497"/>
      <c r="HT78" s="497"/>
      <c r="HU78" s="497"/>
      <c r="HV78" s="497"/>
      <c r="HW78" s="497"/>
      <c r="HX78" s="497"/>
      <c r="HY78" s="497"/>
      <c r="HZ78" s="497"/>
      <c r="IA78" s="497"/>
      <c r="IB78" s="497"/>
      <c r="IC78" s="497"/>
      <c r="ID78" s="497"/>
      <c r="IE78" s="497"/>
      <c r="IF78" s="497"/>
      <c r="IG78" s="497"/>
      <c r="IH78" s="497"/>
      <c r="II78" s="497"/>
      <c r="IJ78" s="497"/>
      <c r="IK78" s="497"/>
      <c r="IL78" s="497"/>
      <c r="IM78" s="497"/>
      <c r="IN78" s="497"/>
      <c r="IO78" s="497"/>
      <c r="IP78" s="497"/>
      <c r="IQ78" s="497"/>
      <c r="IR78" s="497"/>
      <c r="IS78" s="497"/>
      <c r="IT78" s="497"/>
      <c r="IU78" s="497"/>
      <c r="IV78" s="497"/>
      <c r="IW78" s="497"/>
      <c r="IX78" s="497"/>
      <c r="IY78" s="497"/>
      <c r="IZ78" s="497"/>
      <c r="JA78" s="497"/>
      <c r="JB78" s="497"/>
      <c r="JC78" s="497"/>
      <c r="JD78" s="497"/>
      <c r="JE78" s="497"/>
      <c r="JF78" s="497"/>
      <c r="JG78" s="497"/>
      <c r="JH78" s="497"/>
      <c r="JI78" s="497"/>
      <c r="JJ78" s="497"/>
      <c r="JK78" s="497"/>
      <c r="JL78" s="497"/>
      <c r="JM78" s="497"/>
      <c r="JN78" s="497"/>
      <c r="JO78" s="497"/>
      <c r="JP78" s="497"/>
      <c r="JQ78" s="497"/>
      <c r="JR78" s="497"/>
      <c r="JS78" s="497"/>
      <c r="JT78" s="497"/>
      <c r="JU78" s="497"/>
      <c r="JV78" s="497"/>
      <c r="JW78" s="497"/>
      <c r="JX78" s="497"/>
      <c r="JY78" s="497"/>
      <c r="JZ78" s="497"/>
      <c r="KA78" s="497"/>
      <c r="KB78" s="497"/>
      <c r="KC78" s="497"/>
      <c r="KD78" s="497"/>
      <c r="KE78" s="497"/>
      <c r="KF78" s="497"/>
      <c r="KG78" s="497"/>
      <c r="KH78" s="497"/>
      <c r="KI78" s="497"/>
      <c r="KJ78" s="497"/>
      <c r="KK78" s="497"/>
      <c r="KL78" s="497"/>
      <c r="KM78" s="497"/>
      <c r="KN78" s="497"/>
      <c r="KO78" s="497"/>
      <c r="KP78" s="497"/>
      <c r="KQ78" s="497"/>
      <c r="KR78" s="497"/>
      <c r="KS78" s="497"/>
      <c r="KT78" s="497"/>
      <c r="KU78" s="497"/>
      <c r="KV78" s="497"/>
      <c r="KW78" s="497"/>
      <c r="KX78" s="497"/>
      <c r="KY78" s="497"/>
      <c r="KZ78" s="497"/>
      <c r="LA78" s="497"/>
      <c r="LB78" s="497"/>
      <c r="LC78" s="497"/>
      <c r="LD78" s="497"/>
      <c r="LE78" s="497"/>
      <c r="LF78" s="497"/>
      <c r="LG78" s="497"/>
      <c r="LH78" s="497"/>
      <c r="LI78" s="497"/>
      <c r="LJ78" s="497"/>
      <c r="LK78" s="497"/>
      <c r="LL78" s="497"/>
      <c r="LM78" s="497"/>
      <c r="LN78" s="497"/>
      <c r="LO78" s="497"/>
      <c r="LP78" s="497"/>
      <c r="LQ78" s="497"/>
      <c r="LR78" s="497"/>
      <c r="LS78" s="497"/>
      <c r="LT78" s="497"/>
      <c r="LU78" s="497"/>
      <c r="LV78" s="497"/>
      <c r="LW78" s="497"/>
      <c r="LX78" s="497"/>
      <c r="LY78" s="497"/>
      <c r="LZ78" s="497"/>
      <c r="MA78" s="497"/>
      <c r="MB78" s="497"/>
      <c r="MC78" s="497"/>
      <c r="MD78" s="497"/>
      <c r="ME78" s="497"/>
      <c r="MF78" s="497"/>
      <c r="MG78" s="497"/>
      <c r="MH78" s="497"/>
      <c r="MI78" s="497"/>
      <c r="MJ78" s="497"/>
      <c r="MK78" s="497"/>
      <c r="ML78" s="497"/>
      <c r="MM78" s="497"/>
      <c r="MN78" s="497"/>
      <c r="MO78" s="497"/>
      <c r="MP78" s="497"/>
      <c r="MQ78" s="497"/>
      <c r="MR78" s="497"/>
      <c r="MS78" s="497"/>
      <c r="MT78" s="497"/>
      <c r="MU78" s="497"/>
      <c r="MV78" s="497"/>
      <c r="MW78" s="497"/>
      <c r="MX78" s="497"/>
      <c r="MY78" s="497"/>
      <c r="MZ78" s="497"/>
      <c r="NA78" s="497"/>
      <c r="NB78" s="497"/>
      <c r="NC78" s="497"/>
      <c r="ND78" s="497"/>
      <c r="NE78" s="497"/>
      <c r="NF78" s="497"/>
      <c r="NG78" s="497"/>
      <c r="NH78" s="497"/>
      <c r="NI78" s="497"/>
      <c r="NJ78" s="497"/>
      <c r="NK78" s="497"/>
      <c r="NL78" s="497"/>
      <c r="NM78" s="497"/>
      <c r="NN78" s="497"/>
      <c r="NO78" s="497"/>
      <c r="NP78" s="497"/>
      <c r="NQ78" s="497"/>
      <c r="NR78" s="497"/>
      <c r="NS78" s="497"/>
      <c r="NT78" s="497"/>
      <c r="NU78" s="497"/>
      <c r="NV78" s="497"/>
      <c r="NW78" s="497"/>
      <c r="NX78" s="497"/>
      <c r="NY78" s="497"/>
      <c r="NZ78" s="497"/>
      <c r="OA78" s="497"/>
      <c r="OB78" s="497"/>
      <c r="OC78" s="497"/>
      <c r="OD78" s="497"/>
      <c r="OE78" s="497"/>
      <c r="OF78" s="497"/>
      <c r="OG78" s="497"/>
      <c r="OH78" s="497"/>
      <c r="OI78" s="497"/>
      <c r="OJ78" s="497"/>
      <c r="OK78" s="497"/>
      <c r="OL78" s="497"/>
      <c r="OM78" s="497"/>
      <c r="ON78" s="497"/>
      <c r="OO78" s="497"/>
      <c r="OP78" s="497"/>
      <c r="OQ78" s="497"/>
      <c r="OR78" s="497"/>
      <c r="OS78" s="497"/>
      <c r="OT78" s="497"/>
      <c r="OU78" s="497"/>
      <c r="OV78" s="497"/>
      <c r="OW78" s="497"/>
      <c r="OX78" s="497"/>
      <c r="OY78" s="497"/>
      <c r="OZ78" s="497"/>
      <c r="PA78" s="497"/>
      <c r="PB78" s="497"/>
      <c r="PC78" s="497"/>
      <c r="PD78" s="497"/>
      <c r="PE78" s="497"/>
      <c r="PF78" s="497"/>
      <c r="PG78" s="497"/>
      <c r="PH78" s="497"/>
      <c r="PI78" s="497"/>
      <c r="PJ78" s="497"/>
      <c r="PK78" s="497"/>
      <c r="PL78" s="497"/>
      <c r="PM78" s="497"/>
      <c r="PN78" s="497"/>
      <c r="PO78" s="497"/>
      <c r="PP78" s="497"/>
      <c r="PQ78" s="497"/>
      <c r="PR78" s="497"/>
      <c r="PS78" s="497"/>
      <c r="PT78" s="497"/>
      <c r="PU78" s="497"/>
      <c r="PV78" s="497"/>
      <c r="PW78" s="497"/>
      <c r="PX78" s="497"/>
      <c r="PY78" s="497"/>
      <c r="PZ78" s="497"/>
      <c r="QA78" s="497"/>
      <c r="QB78" s="497"/>
      <c r="QC78" s="497"/>
      <c r="QD78" s="497"/>
      <c r="QE78" s="497"/>
      <c r="QF78" s="497"/>
      <c r="QG78" s="497"/>
      <c r="QH78" s="497"/>
      <c r="QI78" s="497"/>
      <c r="QJ78" s="497"/>
      <c r="QK78" s="497"/>
      <c r="QL78" s="497"/>
      <c r="QM78" s="497"/>
      <c r="QN78" s="497"/>
      <c r="QO78" s="497"/>
      <c r="QP78" s="497"/>
      <c r="QQ78" s="497"/>
      <c r="QR78" s="497"/>
      <c r="QS78" s="497"/>
      <c r="QT78" s="497"/>
      <c r="QU78" s="497"/>
      <c r="QV78" s="497"/>
      <c r="QW78" s="497"/>
      <c r="QX78" s="497"/>
      <c r="QY78" s="497"/>
      <c r="QZ78" s="497"/>
      <c r="RA78" s="497"/>
      <c r="RB78" s="497"/>
      <c r="RC78" s="497"/>
      <c r="RD78" s="497"/>
      <c r="RE78" s="497"/>
      <c r="RF78" s="497"/>
      <c r="RG78" s="497"/>
      <c r="RH78" s="497"/>
      <c r="RI78" s="497"/>
      <c r="RJ78" s="497"/>
      <c r="RK78" s="497"/>
      <c r="RL78" s="497"/>
      <c r="RM78" s="497"/>
      <c r="RN78" s="497"/>
      <c r="RO78" s="497"/>
      <c r="RP78" s="497"/>
      <c r="RQ78" s="497"/>
      <c r="RR78" s="497"/>
      <c r="RS78" s="497"/>
      <c r="RT78" s="497"/>
      <c r="RU78" s="497"/>
      <c r="RV78" s="497"/>
      <c r="RW78" s="497"/>
      <c r="RX78" s="497"/>
      <c r="RY78" s="497"/>
      <c r="RZ78" s="497"/>
      <c r="SA78" s="497"/>
      <c r="SB78" s="497"/>
      <c r="SC78" s="497"/>
      <c r="SD78" s="497"/>
      <c r="SE78" s="497"/>
      <c r="SF78" s="497"/>
      <c r="SG78" s="497"/>
      <c r="SH78" s="497"/>
      <c r="SI78" s="497"/>
      <c r="SJ78" s="497"/>
      <c r="SK78" s="497"/>
      <c r="SL78" s="497"/>
      <c r="SM78" s="497"/>
      <c r="SN78" s="497"/>
      <c r="SO78" s="497"/>
      <c r="SP78" s="497"/>
      <c r="SQ78" s="497"/>
      <c r="SR78" s="497"/>
      <c r="SS78" s="497"/>
      <c r="ST78" s="497"/>
      <c r="SU78" s="497"/>
      <c r="SV78" s="497"/>
      <c r="SW78" s="497"/>
      <c r="SX78" s="497"/>
      <c r="SY78" s="497"/>
      <c r="SZ78" s="497"/>
      <c r="TA78" s="497"/>
      <c r="TB78" s="497"/>
      <c r="TC78" s="497"/>
      <c r="TD78" s="497"/>
      <c r="TE78" s="497"/>
      <c r="TF78" s="497"/>
      <c r="TG78" s="497"/>
      <c r="TH78" s="497"/>
      <c r="TI78" s="497"/>
      <c r="TJ78" s="497"/>
      <c r="TK78" s="497"/>
      <c r="TL78" s="497"/>
      <c r="TM78" s="497"/>
      <c r="TN78" s="497"/>
      <c r="TO78" s="497"/>
      <c r="TP78" s="497"/>
      <c r="TQ78" s="497"/>
      <c r="TR78" s="497"/>
      <c r="TS78" s="497"/>
      <c r="TT78" s="497"/>
      <c r="TU78" s="497"/>
      <c r="TV78" s="497"/>
      <c r="TW78" s="497"/>
      <c r="TX78" s="497"/>
      <c r="TY78" s="497"/>
      <c r="TZ78" s="497"/>
      <c r="UA78" s="497"/>
      <c r="UB78" s="497"/>
      <c r="UC78" s="497"/>
      <c r="UD78" s="497"/>
      <c r="UE78" s="497"/>
      <c r="UF78" s="497"/>
      <c r="UG78" s="497"/>
      <c r="UH78" s="497"/>
      <c r="UI78" s="497"/>
      <c r="UJ78" s="497"/>
      <c r="UK78" s="497"/>
      <c r="UL78" s="497"/>
      <c r="UM78" s="497"/>
      <c r="UN78" s="497"/>
      <c r="UO78" s="497"/>
      <c r="UP78" s="497"/>
      <c r="UQ78" s="497"/>
      <c r="UR78" s="497"/>
      <c r="US78" s="497"/>
      <c r="UT78" s="497"/>
      <c r="UU78" s="497"/>
      <c r="UV78" s="497"/>
      <c r="UW78" s="497"/>
      <c r="UX78" s="497"/>
      <c r="UY78" s="497"/>
      <c r="UZ78" s="497"/>
      <c r="VA78" s="497"/>
      <c r="VB78" s="497"/>
      <c r="VC78" s="497"/>
      <c r="VD78" s="497"/>
      <c r="VE78" s="497"/>
      <c r="VF78" s="497"/>
      <c r="VG78" s="497"/>
      <c r="VH78" s="497"/>
      <c r="VI78" s="497"/>
      <c r="VJ78" s="497"/>
      <c r="VK78" s="497"/>
      <c r="VL78" s="497"/>
      <c r="VM78" s="497"/>
      <c r="VN78" s="497"/>
      <c r="VO78" s="497"/>
      <c r="VP78" s="497"/>
      <c r="VQ78" s="497"/>
      <c r="VR78" s="497"/>
      <c r="VS78" s="497"/>
      <c r="VT78" s="497"/>
      <c r="VU78" s="497"/>
      <c r="VV78" s="497"/>
      <c r="VW78" s="497"/>
      <c r="VX78" s="497"/>
      <c r="VY78" s="497"/>
      <c r="VZ78" s="497"/>
      <c r="WA78" s="497"/>
      <c r="WB78" s="497"/>
      <c r="WC78" s="497"/>
      <c r="WD78" s="497"/>
      <c r="WE78" s="497"/>
      <c r="WF78" s="497"/>
      <c r="WG78" s="497"/>
      <c r="WH78" s="497"/>
      <c r="WI78" s="497"/>
      <c r="WJ78" s="497"/>
      <c r="WK78" s="497"/>
      <c r="WL78" s="497"/>
      <c r="WM78" s="497"/>
      <c r="WN78" s="497"/>
      <c r="WO78" s="497"/>
      <c r="WP78" s="497"/>
      <c r="WQ78" s="497"/>
      <c r="WR78" s="497"/>
      <c r="WS78" s="497"/>
      <c r="WT78" s="497"/>
      <c r="WU78" s="497"/>
      <c r="WV78" s="497"/>
      <c r="WW78" s="497"/>
      <c r="WX78" s="497"/>
      <c r="WY78" s="497"/>
      <c r="WZ78" s="497"/>
      <c r="XA78" s="497"/>
      <c r="XB78" s="497"/>
      <c r="XC78" s="497"/>
      <c r="XD78" s="497"/>
      <c r="XE78" s="497"/>
      <c r="XF78" s="497"/>
      <c r="XG78" s="497"/>
      <c r="XH78" s="497"/>
      <c r="XI78" s="497"/>
      <c r="XJ78" s="497"/>
      <c r="XK78" s="497"/>
      <c r="XL78" s="497"/>
      <c r="XM78" s="497"/>
      <c r="XN78" s="497"/>
      <c r="XO78" s="497"/>
      <c r="XP78" s="497"/>
      <c r="XQ78" s="497"/>
      <c r="XR78" s="497"/>
      <c r="XS78" s="497"/>
      <c r="XT78" s="497"/>
      <c r="XU78" s="497"/>
      <c r="XV78" s="497"/>
      <c r="XW78" s="497"/>
      <c r="XX78" s="497"/>
      <c r="XY78" s="497"/>
      <c r="XZ78" s="497"/>
      <c r="YA78" s="497"/>
      <c r="YB78" s="497"/>
      <c r="YC78" s="497"/>
      <c r="YD78" s="497"/>
      <c r="YE78" s="497"/>
      <c r="YF78" s="497"/>
      <c r="YG78" s="497"/>
      <c r="YH78" s="497"/>
      <c r="YI78" s="497"/>
      <c r="YJ78" s="497"/>
      <c r="YK78" s="497"/>
      <c r="YL78" s="497"/>
      <c r="YM78" s="497"/>
      <c r="YN78" s="497"/>
      <c r="YO78" s="497"/>
      <c r="YP78" s="497"/>
      <c r="YQ78" s="497"/>
      <c r="YR78" s="497"/>
      <c r="YS78" s="497"/>
      <c r="YT78" s="497"/>
      <c r="YU78" s="497"/>
      <c r="YV78" s="497"/>
      <c r="YW78" s="497"/>
      <c r="YX78" s="497"/>
      <c r="YY78" s="497"/>
      <c r="YZ78" s="497"/>
      <c r="ZA78" s="497"/>
      <c r="ZB78" s="497"/>
      <c r="ZC78" s="497"/>
      <c r="ZD78" s="497"/>
      <c r="ZE78" s="497"/>
      <c r="ZF78" s="497"/>
      <c r="ZG78" s="497"/>
      <c r="ZH78" s="497"/>
      <c r="ZI78" s="497"/>
      <c r="ZJ78" s="497"/>
      <c r="ZK78" s="497"/>
      <c r="ZL78" s="497"/>
      <c r="ZM78" s="497"/>
      <c r="ZN78" s="497"/>
      <c r="ZO78" s="497"/>
      <c r="ZP78" s="497"/>
      <c r="ZQ78" s="497"/>
      <c r="ZR78" s="497"/>
      <c r="ZS78" s="497"/>
      <c r="ZT78" s="497"/>
      <c r="ZU78" s="497"/>
      <c r="ZV78" s="497"/>
      <c r="ZW78" s="497"/>
      <c r="ZX78" s="497"/>
      <c r="ZY78" s="497"/>
      <c r="ZZ78" s="497"/>
      <c r="AAA78" s="497"/>
      <c r="AAB78" s="497"/>
      <c r="AAC78" s="497"/>
      <c r="AAD78" s="497"/>
      <c r="AAE78" s="497"/>
      <c r="AAF78" s="497"/>
      <c r="AAG78" s="497"/>
      <c r="AAH78" s="497"/>
      <c r="AAI78" s="497"/>
      <c r="AAJ78" s="497"/>
      <c r="AAK78" s="497"/>
      <c r="AAL78" s="497"/>
      <c r="AAM78" s="497"/>
      <c r="AAN78" s="497"/>
      <c r="AAO78" s="497"/>
      <c r="AAP78" s="497"/>
      <c r="AAQ78" s="497"/>
      <c r="AAR78" s="497"/>
      <c r="AAS78" s="497"/>
      <c r="AAT78" s="497"/>
      <c r="AAU78" s="497"/>
      <c r="AAV78" s="497"/>
      <c r="AAW78" s="497"/>
      <c r="AAX78" s="497"/>
      <c r="AAY78" s="497"/>
      <c r="AAZ78" s="497"/>
      <c r="ABA78" s="497"/>
      <c r="ABB78" s="497"/>
      <c r="ABC78" s="497"/>
      <c r="ABD78" s="497"/>
      <c r="ABE78" s="497"/>
      <c r="ABF78" s="497"/>
      <c r="ABG78" s="497"/>
      <c r="ABH78" s="497"/>
      <c r="ABI78" s="497"/>
      <c r="ABJ78" s="497"/>
      <c r="ABK78" s="497"/>
      <c r="ABL78" s="497"/>
      <c r="ABM78" s="497"/>
      <c r="ABN78" s="497"/>
      <c r="ABO78" s="497"/>
      <c r="ABP78" s="497"/>
      <c r="ABQ78" s="497"/>
      <c r="ABR78" s="497"/>
      <c r="ABS78" s="497"/>
      <c r="ABT78" s="497"/>
      <c r="ABU78" s="497"/>
      <c r="ABV78" s="497"/>
      <c r="ABW78" s="497"/>
      <c r="ABX78" s="497"/>
      <c r="ABY78" s="497"/>
      <c r="ABZ78" s="497"/>
      <c r="ACA78" s="497"/>
      <c r="ACB78" s="497"/>
      <c r="ACC78" s="497"/>
      <c r="ACD78" s="497"/>
      <c r="ACE78" s="497"/>
      <c r="ACF78" s="497"/>
      <c r="ACG78" s="497"/>
      <c r="ACH78" s="497"/>
      <c r="ACI78" s="497"/>
      <c r="ACJ78" s="497"/>
      <c r="ACK78" s="497"/>
      <c r="ACL78" s="497"/>
      <c r="ACM78" s="497"/>
      <c r="ACN78" s="497"/>
      <c r="ACO78" s="497"/>
      <c r="ACP78" s="497"/>
      <c r="ACQ78" s="497"/>
      <c r="ACR78" s="497"/>
      <c r="ACS78" s="497"/>
      <c r="ACT78" s="497"/>
      <c r="ACU78" s="497"/>
      <c r="ACV78" s="497"/>
      <c r="ACW78" s="497"/>
      <c r="ACX78" s="497"/>
      <c r="ACY78" s="497"/>
      <c r="ACZ78" s="497"/>
      <c r="ADA78" s="497"/>
      <c r="ADB78" s="497"/>
      <c r="ADC78" s="497"/>
      <c r="ADD78" s="497"/>
      <c r="ADE78" s="497"/>
      <c r="ADF78" s="497"/>
      <c r="ADG78" s="497"/>
      <c r="ADH78" s="497"/>
      <c r="ADI78" s="497"/>
      <c r="ADJ78" s="497"/>
      <c r="ADK78" s="497"/>
      <c r="ADL78" s="497"/>
      <c r="ADM78" s="497"/>
      <c r="ADN78" s="497"/>
      <c r="ADO78" s="497"/>
      <c r="ADP78" s="497"/>
      <c r="ADQ78" s="497"/>
      <c r="ADR78" s="497"/>
      <c r="ADS78" s="497"/>
      <c r="ADT78" s="497"/>
      <c r="ADU78" s="497"/>
      <c r="ADV78" s="497"/>
      <c r="ADW78" s="497"/>
      <c r="ADX78" s="497"/>
      <c r="ADY78" s="497"/>
      <c r="ADZ78" s="497"/>
      <c r="AEA78" s="497"/>
      <c r="AEB78" s="497"/>
      <c r="AEC78" s="497"/>
      <c r="AED78" s="497"/>
      <c r="AEE78" s="497"/>
      <c r="AEF78" s="497"/>
      <c r="AEG78" s="497"/>
      <c r="AEH78" s="497"/>
      <c r="AEI78" s="497"/>
      <c r="AEJ78" s="497"/>
      <c r="AEK78" s="497"/>
      <c r="AEL78" s="497"/>
      <c r="AEM78" s="497"/>
      <c r="AEN78" s="497"/>
      <c r="AEO78" s="497"/>
      <c r="AEP78" s="497"/>
      <c r="AEQ78" s="497"/>
      <c r="AER78" s="497"/>
      <c r="AES78" s="497"/>
      <c r="AET78" s="497"/>
      <c r="AEU78" s="497"/>
      <c r="AEV78" s="497"/>
      <c r="AEW78" s="497"/>
      <c r="AEX78" s="497"/>
      <c r="AEY78" s="497"/>
      <c r="AEZ78" s="497"/>
      <c r="AFA78" s="497"/>
      <c r="AFB78" s="497"/>
      <c r="AFC78" s="497"/>
      <c r="AFD78" s="497"/>
      <c r="AFE78" s="497"/>
      <c r="AFF78" s="497"/>
      <c r="AFG78" s="497"/>
      <c r="AFH78" s="497"/>
      <c r="AFI78" s="497"/>
      <c r="AFJ78" s="497"/>
      <c r="AFK78" s="497"/>
      <c r="AFL78" s="497"/>
      <c r="AFM78" s="497"/>
      <c r="AFN78" s="497"/>
      <c r="AFO78" s="497"/>
      <c r="AFP78" s="497"/>
      <c r="AFQ78" s="497"/>
      <c r="AFR78" s="497"/>
      <c r="AFS78" s="497"/>
      <c r="AFT78" s="497"/>
      <c r="AFU78" s="497"/>
      <c r="AFV78" s="497"/>
      <c r="AFW78" s="497"/>
      <c r="AFX78" s="497"/>
      <c r="AFY78" s="497"/>
      <c r="AFZ78" s="497"/>
      <c r="AGA78" s="497"/>
      <c r="AGB78" s="497"/>
      <c r="AGC78" s="497"/>
      <c r="AGD78" s="497"/>
      <c r="AGE78" s="497"/>
      <c r="AGF78" s="497"/>
      <c r="AGG78" s="497"/>
      <c r="AGH78" s="497"/>
      <c r="AGI78" s="497"/>
      <c r="AGJ78" s="497"/>
      <c r="AGK78" s="497"/>
      <c r="AGL78" s="497"/>
      <c r="AGM78" s="497"/>
      <c r="AGN78" s="497"/>
      <c r="AGO78" s="497"/>
      <c r="AGP78" s="497"/>
      <c r="AGQ78" s="497"/>
      <c r="AGR78" s="497"/>
      <c r="AGS78" s="497"/>
      <c r="AGT78" s="497"/>
      <c r="AGU78" s="497"/>
      <c r="AGV78" s="497"/>
      <c r="AGW78" s="497"/>
      <c r="AGX78" s="497"/>
      <c r="AGY78" s="497"/>
      <c r="AGZ78" s="497"/>
      <c r="AHA78" s="497"/>
      <c r="AHB78" s="497"/>
      <c r="AHC78" s="497"/>
      <c r="AHD78" s="497"/>
      <c r="AHE78" s="497"/>
      <c r="AHF78" s="497"/>
      <c r="AHG78" s="497"/>
      <c r="AHH78" s="497"/>
      <c r="AHI78" s="497"/>
      <c r="AHJ78" s="497"/>
      <c r="AHK78" s="497"/>
      <c r="AHL78" s="497"/>
      <c r="AHM78" s="497"/>
      <c r="AHN78" s="497"/>
      <c r="AHO78" s="497"/>
      <c r="AHP78" s="497"/>
      <c r="AHQ78" s="497"/>
      <c r="AHR78" s="497"/>
      <c r="AHS78" s="497"/>
      <c r="AHT78" s="497"/>
      <c r="AHU78" s="497"/>
      <c r="AHV78" s="497"/>
      <c r="AHW78" s="497"/>
      <c r="AHX78" s="497"/>
      <c r="AHY78" s="497"/>
      <c r="AHZ78" s="497"/>
      <c r="AIA78" s="497"/>
      <c r="AIB78" s="497"/>
      <c r="AIC78" s="497"/>
      <c r="AID78" s="497"/>
      <c r="AIE78" s="497"/>
      <c r="AIF78" s="497"/>
      <c r="AIG78" s="497"/>
      <c r="AIH78" s="497"/>
      <c r="AII78" s="497"/>
      <c r="AIJ78" s="497"/>
      <c r="AIK78" s="497"/>
      <c r="AIL78" s="497"/>
      <c r="AIM78" s="497"/>
      <c r="AIN78" s="497"/>
      <c r="AIO78" s="497"/>
      <c r="AIP78" s="497"/>
      <c r="AIQ78" s="497"/>
      <c r="AIR78" s="497"/>
      <c r="AIS78" s="497"/>
      <c r="AIT78" s="497"/>
      <c r="AIU78" s="497"/>
      <c r="AIV78" s="497"/>
      <c r="AIW78" s="497"/>
      <c r="AIX78" s="497"/>
      <c r="AIY78" s="497"/>
      <c r="AIZ78" s="497"/>
      <c r="AJA78" s="497"/>
      <c r="AJB78" s="497"/>
      <c r="AJC78" s="497"/>
      <c r="AJD78" s="497"/>
      <c r="AJE78" s="497"/>
      <c r="AJF78" s="497"/>
      <c r="AJG78" s="497"/>
      <c r="AJH78" s="497"/>
      <c r="AJI78" s="497"/>
      <c r="AJJ78" s="497"/>
      <c r="AJK78" s="497"/>
      <c r="AJL78" s="497"/>
      <c r="AJM78" s="497"/>
      <c r="AJN78" s="497"/>
      <c r="AJO78" s="497"/>
      <c r="AJP78" s="497"/>
      <c r="AJQ78" s="497"/>
      <c r="AJR78" s="497"/>
      <c r="AJS78" s="497"/>
      <c r="AJT78" s="497"/>
      <c r="AJU78" s="497"/>
      <c r="AJV78" s="497"/>
      <c r="AJW78" s="497"/>
      <c r="AJX78" s="497"/>
      <c r="AJY78" s="497"/>
      <c r="AJZ78" s="497"/>
      <c r="AKA78" s="497"/>
      <c r="AKB78" s="497"/>
      <c r="AKC78" s="497"/>
      <c r="AKD78" s="497"/>
      <c r="AKE78" s="497"/>
      <c r="AKF78" s="497"/>
      <c r="AKG78" s="497"/>
      <c r="AKH78" s="497"/>
      <c r="AKI78" s="497"/>
      <c r="AKJ78" s="497"/>
      <c r="AKK78" s="497"/>
      <c r="AKL78" s="497"/>
      <c r="AKM78" s="497"/>
      <c r="AKN78" s="497"/>
      <c r="AKO78" s="497"/>
      <c r="AKP78" s="497"/>
      <c r="AKQ78" s="497"/>
      <c r="AKR78" s="497"/>
      <c r="AKS78" s="497"/>
      <c r="AKT78" s="497"/>
      <c r="AKU78" s="497"/>
      <c r="AKV78" s="497"/>
      <c r="AKW78" s="497"/>
      <c r="AKX78" s="497"/>
      <c r="AKY78" s="497"/>
      <c r="AKZ78" s="497"/>
      <c r="ALA78" s="497"/>
      <c r="ALB78" s="497"/>
      <c r="ALC78" s="497"/>
      <c r="ALD78" s="497"/>
      <c r="ALE78" s="497"/>
      <c r="ALF78" s="497"/>
      <c r="ALG78" s="497"/>
      <c r="ALH78" s="497"/>
      <c r="ALI78" s="497"/>
      <c r="ALJ78" s="497"/>
      <c r="ALK78" s="497"/>
      <c r="ALL78" s="497"/>
      <c r="ALM78" s="497"/>
      <c r="ALN78" s="497"/>
      <c r="ALO78" s="497"/>
      <c r="ALP78" s="497"/>
      <c r="ALQ78" s="497"/>
      <c r="ALR78" s="497"/>
      <c r="ALS78" s="497"/>
      <c r="ALT78" s="497"/>
      <c r="ALU78" s="497"/>
      <c r="ALV78" s="497"/>
      <c r="ALW78" s="497"/>
      <c r="ALX78" s="497"/>
      <c r="ALY78" s="497"/>
      <c r="ALZ78" s="497"/>
      <c r="AMA78" s="497"/>
      <c r="AMB78" s="497"/>
      <c r="AMC78" s="497"/>
      <c r="AMD78" s="497"/>
      <c r="AME78" s="497"/>
      <c r="AMF78" s="497"/>
      <c r="AMG78" s="497"/>
      <c r="AMH78" s="497"/>
      <c r="AMI78" s="497"/>
      <c r="AMJ78" s="497"/>
      <c r="AMK78" s="497"/>
      <c r="AML78" s="497"/>
      <c r="AMM78" s="497"/>
      <c r="AMN78" s="497"/>
      <c r="AMO78" s="497"/>
      <c r="AMP78" s="497"/>
      <c r="AMQ78" s="497"/>
      <c r="AMR78" s="497"/>
      <c r="AMS78" s="497"/>
      <c r="AMT78" s="497"/>
      <c r="AMU78" s="497"/>
      <c r="AMV78" s="497"/>
      <c r="AMW78" s="497"/>
      <c r="AMX78" s="497"/>
      <c r="AMY78" s="497"/>
      <c r="AMZ78" s="497"/>
      <c r="ANA78" s="497"/>
      <c r="ANB78" s="497"/>
      <c r="ANC78" s="497"/>
      <c r="AND78" s="497"/>
      <c r="ANE78" s="497"/>
      <c r="ANF78" s="497"/>
      <c r="ANG78" s="497"/>
      <c r="ANH78" s="497"/>
      <c r="ANI78" s="497"/>
      <c r="ANJ78" s="497"/>
      <c r="ANK78" s="497"/>
      <c r="ANL78" s="497"/>
      <c r="ANM78" s="497"/>
      <c r="ANN78" s="497"/>
      <c r="ANO78" s="497"/>
      <c r="ANP78" s="497"/>
      <c r="ANQ78" s="497"/>
      <c r="ANR78" s="497"/>
      <c r="ANS78" s="497"/>
      <c r="ANT78" s="497"/>
      <c r="ANU78" s="497"/>
      <c r="ANV78" s="497"/>
      <c r="ANW78" s="497"/>
      <c r="ANX78" s="497"/>
      <c r="ANY78" s="497"/>
      <c r="ANZ78" s="497"/>
      <c r="AOA78" s="497"/>
      <c r="AOB78" s="497"/>
      <c r="AOC78" s="497"/>
      <c r="AOD78" s="497"/>
      <c r="AOE78" s="497"/>
      <c r="AOF78" s="497"/>
      <c r="AOG78" s="497"/>
      <c r="AOH78" s="497"/>
      <c r="AOI78" s="497"/>
      <c r="AOJ78" s="497"/>
      <c r="AOK78" s="497"/>
      <c r="AOL78" s="497"/>
      <c r="AOM78" s="497"/>
      <c r="AON78" s="497"/>
      <c r="AOO78" s="497"/>
      <c r="AOP78" s="497"/>
      <c r="AOQ78" s="497"/>
      <c r="AOR78" s="497"/>
      <c r="AOS78" s="497"/>
      <c r="AOT78" s="497"/>
      <c r="AOU78" s="497"/>
      <c r="AOV78" s="497"/>
      <c r="AOW78" s="497"/>
      <c r="AOX78" s="497"/>
      <c r="AOY78" s="497"/>
      <c r="AOZ78" s="497"/>
      <c r="APA78" s="497"/>
      <c r="APB78" s="497"/>
      <c r="APC78" s="497"/>
      <c r="APD78" s="497"/>
      <c r="APE78" s="497"/>
      <c r="APF78" s="497"/>
      <c r="APG78" s="497"/>
      <c r="APH78" s="497"/>
      <c r="API78" s="497"/>
      <c r="APJ78" s="497"/>
      <c r="APK78" s="497"/>
      <c r="APL78" s="497"/>
      <c r="APM78" s="497"/>
      <c r="APN78" s="497"/>
      <c r="APO78" s="497"/>
      <c r="APP78" s="497"/>
      <c r="APQ78" s="497"/>
      <c r="APR78" s="497"/>
      <c r="APS78" s="497"/>
      <c r="APT78" s="497"/>
      <c r="APU78" s="497"/>
      <c r="APV78" s="497"/>
      <c r="APW78" s="497"/>
      <c r="APX78" s="497"/>
      <c r="APY78" s="497"/>
      <c r="APZ78" s="497"/>
      <c r="AQA78" s="497"/>
      <c r="AQB78" s="497"/>
      <c r="AQC78" s="497"/>
      <c r="AQD78" s="497"/>
      <c r="AQE78" s="497"/>
      <c r="AQF78" s="497"/>
      <c r="AQG78" s="497"/>
      <c r="AQH78" s="497"/>
      <c r="AQI78" s="497"/>
      <c r="AQJ78" s="497"/>
      <c r="AQK78" s="497"/>
      <c r="AQL78" s="497"/>
      <c r="AQM78" s="497"/>
      <c r="AQN78" s="497"/>
      <c r="AQO78" s="497"/>
      <c r="AQP78" s="497"/>
      <c r="AQQ78" s="497"/>
      <c r="AQR78" s="497"/>
      <c r="AQS78" s="497"/>
      <c r="AQT78" s="497"/>
      <c r="AQU78" s="497"/>
      <c r="AQV78" s="497"/>
      <c r="AQW78" s="497"/>
      <c r="AQX78" s="497"/>
      <c r="AQY78" s="497"/>
      <c r="AQZ78" s="497"/>
      <c r="ARA78" s="497"/>
      <c r="ARB78" s="497"/>
      <c r="ARC78" s="497"/>
      <c r="ARD78" s="497"/>
      <c r="ARE78" s="497"/>
      <c r="ARF78" s="497"/>
      <c r="ARG78" s="497"/>
      <c r="ARH78" s="497"/>
      <c r="ARI78" s="497"/>
      <c r="ARJ78" s="497"/>
      <c r="ARK78" s="497"/>
      <c r="ARL78" s="497"/>
      <c r="ARM78" s="497"/>
      <c r="ARN78" s="497"/>
      <c r="ARO78" s="497"/>
      <c r="ARP78" s="497"/>
      <c r="ARQ78" s="497"/>
      <c r="ARR78" s="497"/>
      <c r="ARS78" s="497"/>
      <c r="ART78" s="497"/>
      <c r="ARU78" s="497"/>
      <c r="ARV78" s="497"/>
      <c r="ARW78" s="497"/>
      <c r="ARX78" s="497"/>
      <c r="ARY78" s="497"/>
      <c r="ARZ78" s="497"/>
      <c r="ASA78" s="497"/>
      <c r="ASB78" s="497"/>
      <c r="ASC78" s="497"/>
      <c r="ASD78" s="497"/>
      <c r="ASE78" s="497"/>
      <c r="ASF78" s="497"/>
      <c r="ASG78" s="497"/>
      <c r="ASH78" s="497"/>
      <c r="ASI78" s="497"/>
      <c r="ASJ78" s="497"/>
      <c r="ASK78" s="497"/>
      <c r="ASL78" s="497"/>
      <c r="ASM78" s="497"/>
      <c r="ASN78" s="497"/>
      <c r="ASO78" s="497"/>
      <c r="ASP78" s="497"/>
      <c r="ASQ78" s="497"/>
      <c r="ASR78" s="497"/>
      <c r="ASS78" s="497"/>
      <c r="AST78" s="497"/>
      <c r="ASU78" s="497"/>
      <c r="ASV78" s="497"/>
      <c r="ASW78" s="497"/>
      <c r="ASX78" s="497"/>
      <c r="ASY78" s="497"/>
      <c r="ASZ78" s="497"/>
      <c r="ATA78" s="497"/>
      <c r="ATB78" s="497"/>
      <c r="ATC78" s="497"/>
      <c r="ATD78" s="497"/>
      <c r="ATE78" s="497"/>
      <c r="ATF78" s="497"/>
      <c r="ATG78" s="497"/>
      <c r="ATH78" s="497"/>
      <c r="ATI78" s="497"/>
      <c r="ATJ78" s="497"/>
      <c r="ATK78" s="497"/>
      <c r="ATL78" s="497"/>
      <c r="ATM78" s="497"/>
      <c r="ATN78" s="497"/>
      <c r="ATO78" s="497"/>
      <c r="ATP78" s="497"/>
      <c r="ATQ78" s="497"/>
      <c r="ATR78" s="497"/>
      <c r="ATS78" s="497"/>
      <c r="ATT78" s="497"/>
      <c r="ATU78" s="497"/>
      <c r="ATV78" s="497"/>
      <c r="ATW78" s="497"/>
      <c r="ATX78" s="497"/>
      <c r="ATY78" s="497"/>
      <c r="ATZ78" s="497"/>
      <c r="AUA78" s="497"/>
      <c r="AUB78" s="497"/>
      <c r="AUC78" s="497"/>
      <c r="AUD78" s="497"/>
      <c r="AUE78" s="497"/>
      <c r="AUF78" s="497"/>
      <c r="AUG78" s="497"/>
      <c r="AUH78" s="497"/>
      <c r="AUI78" s="497"/>
      <c r="AUJ78" s="497"/>
      <c r="AUK78" s="497"/>
      <c r="AUL78" s="497"/>
      <c r="AUM78" s="497"/>
      <c r="AUN78" s="497"/>
      <c r="AUO78" s="497"/>
      <c r="AUP78" s="497"/>
      <c r="AUQ78" s="497"/>
      <c r="AUR78" s="497"/>
      <c r="AUS78" s="497"/>
      <c r="AUT78" s="497"/>
      <c r="AUU78" s="497"/>
      <c r="AUV78" s="497"/>
      <c r="AUW78" s="497"/>
      <c r="AUX78" s="497"/>
      <c r="AUY78" s="497"/>
      <c r="AUZ78" s="497"/>
      <c r="AVA78" s="497"/>
      <c r="AVB78" s="497"/>
      <c r="AVC78" s="497"/>
      <c r="AVD78" s="497"/>
      <c r="AVE78" s="497"/>
      <c r="AVF78" s="497"/>
      <c r="AVG78" s="497"/>
      <c r="AVH78" s="497"/>
      <c r="AVI78" s="497"/>
      <c r="AVJ78" s="497"/>
      <c r="AVK78" s="497"/>
      <c r="AVL78" s="497"/>
      <c r="AVM78" s="497"/>
      <c r="AVN78" s="497"/>
      <c r="AVO78" s="497"/>
      <c r="AVP78" s="497"/>
      <c r="AVQ78" s="497"/>
      <c r="AVR78" s="497"/>
      <c r="AVS78" s="497"/>
      <c r="AVT78" s="497"/>
      <c r="AVU78" s="497"/>
      <c r="AVV78" s="497"/>
      <c r="AVW78" s="497"/>
      <c r="AVX78" s="497"/>
      <c r="AVY78" s="497"/>
      <c r="AVZ78" s="497"/>
      <c r="AWA78" s="497"/>
      <c r="AWB78" s="497"/>
      <c r="AWC78" s="497"/>
      <c r="AWD78" s="497"/>
      <c r="AWE78" s="497"/>
      <c r="AWF78" s="497"/>
      <c r="AWG78" s="497"/>
      <c r="AWH78" s="497"/>
      <c r="AWI78" s="497"/>
      <c r="AWJ78" s="497"/>
      <c r="AWK78" s="497"/>
      <c r="AWL78" s="497"/>
      <c r="AWM78" s="497"/>
      <c r="AWN78" s="497"/>
      <c r="AWO78" s="497"/>
      <c r="AWP78" s="497"/>
      <c r="AWQ78" s="497"/>
      <c r="AWR78" s="497"/>
      <c r="AWS78" s="497"/>
      <c r="AWT78" s="497"/>
      <c r="AWU78" s="497"/>
      <c r="AWV78" s="497"/>
      <c r="AWW78" s="497"/>
      <c r="AWX78" s="497"/>
      <c r="AWY78" s="497"/>
      <c r="AWZ78" s="497"/>
      <c r="AXA78" s="497"/>
      <c r="AXB78" s="497"/>
      <c r="AXC78" s="497"/>
      <c r="AXD78" s="497"/>
      <c r="AXE78" s="497"/>
      <c r="AXF78" s="497"/>
      <c r="AXG78" s="497"/>
      <c r="AXH78" s="497"/>
      <c r="AXI78" s="497"/>
      <c r="AXJ78" s="497"/>
      <c r="AXK78" s="497"/>
      <c r="AXL78" s="497"/>
      <c r="AXM78" s="497"/>
      <c r="AXN78" s="497"/>
      <c r="AXO78" s="497"/>
      <c r="AXP78" s="497"/>
      <c r="AXQ78" s="497"/>
      <c r="AXR78" s="497"/>
      <c r="AXS78" s="497"/>
      <c r="AXT78" s="497"/>
      <c r="AXU78" s="497"/>
      <c r="AXV78" s="497"/>
      <c r="AXW78" s="497"/>
      <c r="AXX78" s="497"/>
      <c r="AXY78" s="497"/>
      <c r="AXZ78" s="497"/>
      <c r="AYA78" s="497"/>
      <c r="AYB78" s="497"/>
      <c r="AYC78" s="497"/>
      <c r="AYD78" s="497"/>
      <c r="AYE78" s="497"/>
      <c r="AYF78" s="497"/>
      <c r="AYG78" s="497"/>
      <c r="AYH78" s="497"/>
      <c r="AYI78" s="497"/>
      <c r="AYJ78" s="497"/>
      <c r="AYK78" s="497"/>
      <c r="AYL78" s="497"/>
      <c r="AYM78" s="497"/>
      <c r="AYN78" s="497"/>
      <c r="AYO78" s="497"/>
      <c r="AYP78" s="497"/>
      <c r="AYQ78" s="497"/>
      <c r="AYR78" s="497"/>
      <c r="AYS78" s="497"/>
      <c r="AYT78" s="497"/>
      <c r="AYU78" s="497"/>
      <c r="AYV78" s="497"/>
      <c r="AYW78" s="497"/>
      <c r="AYX78" s="497"/>
      <c r="AYY78" s="497"/>
      <c r="AYZ78" s="497"/>
      <c r="AZA78" s="497"/>
      <c r="AZB78" s="497"/>
      <c r="AZC78" s="497"/>
      <c r="AZD78" s="497"/>
      <c r="AZE78" s="497"/>
      <c r="AZF78" s="497"/>
      <c r="AZG78" s="497"/>
      <c r="AZH78" s="497"/>
      <c r="AZI78" s="497"/>
      <c r="AZJ78" s="497"/>
      <c r="AZK78" s="497"/>
      <c r="AZL78" s="497"/>
      <c r="AZM78" s="497"/>
      <c r="AZN78" s="497"/>
      <c r="AZO78" s="497"/>
      <c r="AZP78" s="497"/>
      <c r="AZQ78" s="497"/>
      <c r="AZR78" s="497"/>
      <c r="AZS78" s="497"/>
      <c r="AZT78" s="497"/>
      <c r="AZU78" s="497"/>
      <c r="AZV78" s="497"/>
      <c r="AZW78" s="497"/>
      <c r="AZX78" s="497"/>
      <c r="AZY78" s="497"/>
      <c r="AZZ78" s="497"/>
      <c r="BAA78" s="497"/>
      <c r="BAB78" s="497"/>
      <c r="BAC78" s="497"/>
      <c r="BAD78" s="497"/>
      <c r="BAE78" s="497"/>
      <c r="BAF78" s="497"/>
      <c r="BAG78" s="497"/>
      <c r="BAH78" s="497"/>
      <c r="BAI78" s="497"/>
      <c r="BAJ78" s="497"/>
      <c r="BAK78" s="497"/>
      <c r="BAL78" s="497"/>
      <c r="BAM78" s="497"/>
      <c r="BAN78" s="497"/>
      <c r="BAO78" s="497"/>
      <c r="BAP78" s="497"/>
      <c r="BAQ78" s="497"/>
      <c r="BAR78" s="497"/>
      <c r="BAS78" s="497"/>
      <c r="BAT78" s="497"/>
      <c r="BAU78" s="497"/>
      <c r="BAV78" s="497"/>
      <c r="BAW78" s="497"/>
      <c r="BAX78" s="497"/>
      <c r="BAY78" s="497"/>
      <c r="BAZ78" s="497"/>
      <c r="BBA78" s="497"/>
      <c r="BBB78" s="497"/>
      <c r="BBC78" s="497"/>
      <c r="BBD78" s="497"/>
      <c r="BBE78" s="497"/>
      <c r="BBF78" s="497"/>
      <c r="BBG78" s="497"/>
      <c r="BBH78" s="497"/>
      <c r="BBI78" s="497"/>
      <c r="BBJ78" s="497"/>
      <c r="BBK78" s="497"/>
      <c r="BBL78" s="497"/>
      <c r="BBM78" s="497"/>
      <c r="BBN78" s="497"/>
      <c r="BBO78" s="497"/>
      <c r="BBP78" s="497"/>
      <c r="BBQ78" s="497"/>
      <c r="BBR78" s="497"/>
      <c r="BBS78" s="497"/>
      <c r="BBT78" s="497"/>
      <c r="BBU78" s="497"/>
      <c r="BBV78" s="497"/>
      <c r="BBW78" s="497"/>
      <c r="BBX78" s="497"/>
      <c r="BBY78" s="497"/>
      <c r="BBZ78" s="497"/>
      <c r="BCA78" s="497"/>
      <c r="BCB78" s="497"/>
      <c r="BCC78" s="497"/>
      <c r="BCD78" s="497"/>
      <c r="BCE78" s="497"/>
      <c r="BCF78" s="497"/>
      <c r="BCG78" s="497"/>
      <c r="BCH78" s="497"/>
      <c r="BCI78" s="497"/>
      <c r="BCJ78" s="497"/>
      <c r="BCK78" s="497"/>
      <c r="BCL78" s="497"/>
      <c r="BCM78" s="497"/>
      <c r="BCN78" s="497"/>
      <c r="BCO78" s="497"/>
      <c r="BCP78" s="497"/>
      <c r="BCQ78" s="497"/>
      <c r="BCR78" s="497"/>
      <c r="BCS78" s="497"/>
      <c r="BCT78" s="497"/>
      <c r="BCU78" s="497"/>
      <c r="BCV78" s="497"/>
      <c r="BCW78" s="497"/>
      <c r="BCX78" s="497"/>
      <c r="BCY78" s="497"/>
      <c r="BCZ78" s="497"/>
      <c r="BDA78" s="497"/>
      <c r="BDB78" s="497"/>
      <c r="BDC78" s="497"/>
      <c r="BDD78" s="497"/>
      <c r="BDE78" s="497"/>
      <c r="BDF78" s="497"/>
      <c r="BDG78" s="497"/>
      <c r="BDH78" s="497"/>
      <c r="BDI78" s="497"/>
      <c r="BDJ78" s="497"/>
      <c r="BDK78" s="497"/>
      <c r="BDL78" s="497"/>
      <c r="BDM78" s="497"/>
      <c r="BDN78" s="497"/>
      <c r="BDO78" s="497"/>
      <c r="BDP78" s="497"/>
      <c r="BDQ78" s="497"/>
      <c r="BDR78" s="497"/>
      <c r="BDS78" s="497"/>
      <c r="BDT78" s="497"/>
      <c r="BDU78" s="497"/>
      <c r="BDV78" s="497"/>
      <c r="BDW78" s="497"/>
      <c r="BDX78" s="497"/>
      <c r="BDY78" s="497"/>
      <c r="BDZ78" s="497"/>
      <c r="BEA78" s="497"/>
      <c r="BEB78" s="497"/>
      <c r="BEC78" s="497"/>
      <c r="BED78" s="497"/>
      <c r="BEE78" s="497"/>
      <c r="BEF78" s="497"/>
      <c r="BEG78" s="497"/>
      <c r="BEH78" s="497"/>
      <c r="BEI78" s="497"/>
      <c r="BEJ78" s="497"/>
      <c r="BEK78" s="497"/>
      <c r="BEL78" s="497"/>
      <c r="BEM78" s="497"/>
      <c r="BEN78" s="497"/>
      <c r="BEO78" s="497"/>
      <c r="BEP78" s="497"/>
      <c r="BEQ78" s="497"/>
      <c r="BER78" s="497"/>
      <c r="BES78" s="497"/>
      <c r="BET78" s="497"/>
      <c r="BEU78" s="497"/>
      <c r="BEV78" s="497"/>
      <c r="BEW78" s="497"/>
      <c r="BEX78" s="497"/>
      <c r="BEY78" s="497"/>
      <c r="BEZ78" s="497"/>
      <c r="BFA78" s="497"/>
      <c r="BFB78" s="497"/>
      <c r="BFC78" s="497"/>
      <c r="BFD78" s="497"/>
      <c r="BFE78" s="497"/>
      <c r="BFF78" s="497"/>
      <c r="BFG78" s="497"/>
      <c r="BFH78" s="497"/>
      <c r="BFI78" s="497"/>
      <c r="BFJ78" s="497"/>
      <c r="BFK78" s="497"/>
      <c r="BFL78" s="497"/>
      <c r="BFM78" s="497"/>
      <c r="BFN78" s="497"/>
      <c r="BFO78" s="497"/>
      <c r="BFP78" s="497"/>
      <c r="BFQ78" s="497"/>
      <c r="BFR78" s="497"/>
      <c r="BFS78" s="497"/>
      <c r="BFT78" s="497"/>
      <c r="BFU78" s="497"/>
      <c r="BFV78" s="497"/>
      <c r="BFW78" s="497"/>
      <c r="BFX78" s="497"/>
      <c r="BFY78" s="497"/>
      <c r="BFZ78" s="497"/>
      <c r="BGA78" s="497"/>
      <c r="BGB78" s="497"/>
      <c r="BGC78" s="497"/>
      <c r="BGD78" s="497"/>
      <c r="BGE78" s="497"/>
      <c r="BGF78" s="497"/>
      <c r="BGG78" s="497"/>
      <c r="BGH78" s="497"/>
      <c r="BGI78" s="497"/>
      <c r="BGJ78" s="497"/>
      <c r="BGK78" s="497"/>
      <c r="BGL78" s="497"/>
      <c r="BGM78" s="497"/>
      <c r="BGN78" s="497"/>
      <c r="BGO78" s="497"/>
      <c r="BGP78" s="497"/>
      <c r="BGQ78" s="497"/>
      <c r="BGR78" s="497"/>
      <c r="BGS78" s="497"/>
      <c r="BGT78" s="497"/>
      <c r="BGU78" s="497"/>
      <c r="BGV78" s="497"/>
      <c r="BGW78" s="497"/>
      <c r="BGX78" s="497"/>
      <c r="BGY78" s="497"/>
      <c r="BGZ78" s="497"/>
      <c r="BHA78" s="497"/>
      <c r="BHB78" s="497"/>
      <c r="BHC78" s="497"/>
      <c r="BHD78" s="497"/>
      <c r="BHE78" s="497"/>
      <c r="BHF78" s="497"/>
      <c r="BHG78" s="497"/>
      <c r="BHH78" s="497"/>
      <c r="BHI78" s="497"/>
      <c r="BHJ78" s="497"/>
      <c r="BHK78" s="497"/>
      <c r="BHL78" s="497"/>
      <c r="BHM78" s="497"/>
      <c r="BHN78" s="497"/>
      <c r="BHO78" s="497"/>
      <c r="BHP78" s="497"/>
      <c r="BHQ78" s="497"/>
      <c r="BHR78" s="497"/>
      <c r="BHS78" s="497"/>
      <c r="BHT78" s="497"/>
      <c r="BHU78" s="497"/>
      <c r="BHV78" s="497"/>
      <c r="BHW78" s="497"/>
      <c r="BHX78" s="497"/>
      <c r="BHY78" s="497"/>
      <c r="BHZ78" s="497"/>
      <c r="BIA78" s="497"/>
      <c r="BIB78" s="497"/>
      <c r="BIC78" s="497"/>
      <c r="BID78" s="497"/>
      <c r="BIE78" s="497"/>
      <c r="BIF78" s="497"/>
      <c r="BIG78" s="497"/>
      <c r="BIH78" s="497"/>
      <c r="BII78" s="497"/>
      <c r="BIJ78" s="497"/>
      <c r="BIK78" s="497"/>
      <c r="BIL78" s="497"/>
      <c r="BIM78" s="497"/>
      <c r="BIN78" s="497"/>
      <c r="BIO78" s="497"/>
      <c r="BIP78" s="497"/>
      <c r="BIQ78" s="497"/>
      <c r="BIR78" s="497"/>
      <c r="BIS78" s="497"/>
      <c r="BIT78" s="497"/>
      <c r="BIU78" s="497"/>
      <c r="BIV78" s="497"/>
      <c r="BIW78" s="497"/>
      <c r="BIX78" s="497"/>
      <c r="BIY78" s="497"/>
      <c r="BIZ78" s="497"/>
      <c r="BJA78" s="497"/>
      <c r="BJB78" s="497"/>
      <c r="BJC78" s="497"/>
      <c r="BJD78" s="497"/>
      <c r="BJE78" s="497"/>
      <c r="BJF78" s="497"/>
      <c r="BJG78" s="497"/>
      <c r="BJH78" s="497"/>
      <c r="BJI78" s="497"/>
      <c r="BJJ78" s="497"/>
      <c r="BJK78" s="497"/>
      <c r="BJL78" s="497"/>
      <c r="BJM78" s="497"/>
      <c r="BJN78" s="497"/>
      <c r="BJO78" s="497"/>
      <c r="BJP78" s="497"/>
      <c r="BJQ78" s="497"/>
      <c r="BJR78" s="497"/>
      <c r="BJS78" s="497"/>
      <c r="BJT78" s="497"/>
      <c r="BJU78" s="497"/>
      <c r="BJV78" s="497"/>
      <c r="BJW78" s="497"/>
      <c r="BJX78" s="497"/>
      <c r="BJY78" s="497"/>
      <c r="BJZ78" s="497"/>
      <c r="BKA78" s="497"/>
      <c r="BKB78" s="497"/>
      <c r="BKC78" s="497"/>
      <c r="BKD78" s="497"/>
      <c r="BKE78" s="497"/>
      <c r="BKF78" s="497"/>
      <c r="BKG78" s="497"/>
      <c r="BKH78" s="497"/>
      <c r="BKI78" s="497"/>
      <c r="BKJ78" s="497"/>
      <c r="BKK78" s="497"/>
      <c r="BKL78" s="497"/>
      <c r="BKM78" s="497"/>
      <c r="BKN78" s="497"/>
      <c r="BKO78" s="497"/>
      <c r="BKP78" s="497"/>
      <c r="BKQ78" s="497"/>
      <c r="BKR78" s="497"/>
      <c r="BKS78" s="497"/>
      <c r="BKT78" s="497"/>
      <c r="BKU78" s="497"/>
      <c r="BKV78" s="497"/>
      <c r="BKW78" s="497"/>
      <c r="BKX78" s="497"/>
      <c r="BKY78" s="497"/>
      <c r="BKZ78" s="497"/>
      <c r="BLA78" s="497"/>
      <c r="BLB78" s="497"/>
      <c r="BLC78" s="497"/>
      <c r="BLD78" s="497"/>
      <c r="BLE78" s="497"/>
      <c r="BLF78" s="497"/>
      <c r="BLG78" s="497"/>
      <c r="BLH78" s="497"/>
      <c r="BLI78" s="497"/>
      <c r="BLJ78" s="497"/>
      <c r="BLK78" s="497"/>
      <c r="BLL78" s="497"/>
      <c r="BLM78" s="497"/>
      <c r="BLN78" s="497"/>
      <c r="BLO78" s="497"/>
      <c r="BLP78" s="497"/>
      <c r="BLQ78" s="497"/>
      <c r="BLR78" s="497"/>
      <c r="BLS78" s="497"/>
      <c r="BLT78" s="497"/>
      <c r="BLU78" s="497"/>
      <c r="BLV78" s="497"/>
      <c r="BLW78" s="497"/>
      <c r="BLX78" s="497"/>
      <c r="BLY78" s="497"/>
      <c r="BLZ78" s="497"/>
      <c r="BMA78" s="497"/>
      <c r="BMB78" s="497"/>
      <c r="BMC78" s="497"/>
      <c r="BMD78" s="497"/>
      <c r="BME78" s="497"/>
      <c r="BMF78" s="497"/>
      <c r="BMG78" s="497"/>
      <c r="BMH78" s="497"/>
      <c r="BMI78" s="497"/>
      <c r="BMJ78" s="497"/>
      <c r="BMK78" s="497"/>
      <c r="BML78" s="497"/>
      <c r="BMM78" s="497"/>
      <c r="BMN78" s="497"/>
      <c r="BMO78" s="497"/>
      <c r="BMP78" s="497"/>
      <c r="BMQ78" s="497"/>
      <c r="BMR78" s="497"/>
      <c r="BMS78" s="497"/>
      <c r="BMT78" s="497"/>
      <c r="BMU78" s="497"/>
      <c r="BMV78" s="497"/>
      <c r="BMW78" s="497"/>
      <c r="BMX78" s="497"/>
      <c r="BMY78" s="497"/>
      <c r="BMZ78" s="497"/>
      <c r="BNA78" s="497"/>
      <c r="BNB78" s="497"/>
      <c r="BNC78" s="497"/>
      <c r="BND78" s="497"/>
      <c r="BNE78" s="497"/>
      <c r="BNF78" s="497"/>
      <c r="BNG78" s="497"/>
      <c r="BNH78" s="497"/>
      <c r="BNI78" s="497"/>
      <c r="BNJ78" s="497"/>
      <c r="BNK78" s="497"/>
      <c r="BNL78" s="497"/>
      <c r="BNM78" s="497"/>
      <c r="BNN78" s="497"/>
      <c r="BNO78" s="497"/>
      <c r="BNP78" s="497"/>
      <c r="BNQ78" s="497"/>
      <c r="BNR78" s="497"/>
      <c r="BNS78" s="497"/>
      <c r="BNT78" s="497"/>
      <c r="BNU78" s="497"/>
      <c r="BNV78" s="497"/>
      <c r="BNW78" s="497"/>
      <c r="BNX78" s="497"/>
      <c r="BNY78" s="497"/>
      <c r="BNZ78" s="497"/>
      <c r="BOA78" s="497"/>
      <c r="BOB78" s="497"/>
      <c r="BOC78" s="497"/>
      <c r="BOD78" s="497"/>
      <c r="BOE78" s="497"/>
      <c r="BOF78" s="497"/>
      <c r="BOG78" s="497"/>
      <c r="BOH78" s="497"/>
      <c r="BOI78" s="497"/>
      <c r="BOJ78" s="497"/>
      <c r="BOK78" s="497"/>
      <c r="BOL78" s="497"/>
      <c r="BOM78" s="497"/>
      <c r="BON78" s="497"/>
      <c r="BOO78" s="497"/>
      <c r="BOP78" s="497"/>
      <c r="BOQ78" s="497"/>
      <c r="BOR78" s="497"/>
      <c r="BOS78" s="497"/>
      <c r="BOT78" s="497"/>
      <c r="BOU78" s="497"/>
      <c r="BOV78" s="497"/>
      <c r="BOW78" s="497"/>
      <c r="BOX78" s="497"/>
      <c r="BOY78" s="497"/>
      <c r="BOZ78" s="497"/>
      <c r="BPA78" s="497"/>
      <c r="BPB78" s="497"/>
      <c r="BPC78" s="497"/>
      <c r="BPD78" s="497"/>
      <c r="BPE78" s="497"/>
      <c r="BPF78" s="497"/>
      <c r="BPG78" s="497"/>
      <c r="BPH78" s="497"/>
      <c r="BPI78" s="497"/>
      <c r="BPJ78" s="497"/>
      <c r="BPK78" s="497"/>
      <c r="BPL78" s="497"/>
      <c r="BPM78" s="497"/>
      <c r="BPN78" s="497"/>
      <c r="BPO78" s="497"/>
      <c r="BPP78" s="497"/>
      <c r="BPQ78" s="497"/>
      <c r="BPR78" s="497"/>
      <c r="BPS78" s="497"/>
      <c r="BPT78" s="497"/>
      <c r="BPU78" s="497"/>
      <c r="BPV78" s="497"/>
      <c r="BPW78" s="497"/>
      <c r="BPX78" s="497"/>
      <c r="BPY78" s="497"/>
      <c r="BPZ78" s="497"/>
      <c r="BQA78" s="497"/>
      <c r="BQB78" s="497"/>
      <c r="BQC78" s="497"/>
      <c r="BQD78" s="497"/>
      <c r="BQE78" s="497"/>
      <c r="BQF78" s="497"/>
      <c r="BQG78" s="497"/>
      <c r="BQH78" s="497"/>
      <c r="BQI78" s="497"/>
      <c r="BQJ78" s="497"/>
      <c r="BQK78" s="497"/>
      <c r="BQL78" s="497"/>
      <c r="BQM78" s="497"/>
      <c r="BQN78" s="497"/>
      <c r="BQO78" s="497"/>
      <c r="BQP78" s="497"/>
      <c r="BQQ78" s="497"/>
      <c r="BQR78" s="497"/>
      <c r="BQS78" s="497"/>
      <c r="BQT78" s="497"/>
      <c r="BQU78" s="497"/>
      <c r="BQV78" s="497"/>
      <c r="BQW78" s="497"/>
      <c r="BQX78" s="497"/>
      <c r="BQY78" s="497"/>
      <c r="BQZ78" s="497"/>
      <c r="BRA78" s="497"/>
      <c r="BRB78" s="497"/>
      <c r="BRC78" s="497"/>
      <c r="BRD78" s="497"/>
      <c r="BRE78" s="497"/>
      <c r="BRF78" s="497"/>
      <c r="BRG78" s="497"/>
      <c r="BRH78" s="497"/>
      <c r="BRI78" s="497"/>
      <c r="BRJ78" s="497"/>
      <c r="BRK78" s="497"/>
      <c r="BRL78" s="497"/>
      <c r="BRM78" s="497"/>
      <c r="BRN78" s="497"/>
      <c r="BRO78" s="497"/>
      <c r="BRP78" s="497"/>
      <c r="BRQ78" s="497"/>
      <c r="BRR78" s="497"/>
      <c r="BRS78" s="497"/>
      <c r="BRT78" s="497"/>
      <c r="BRU78" s="497"/>
      <c r="BRV78" s="497"/>
      <c r="BRW78" s="497"/>
      <c r="BRX78" s="497"/>
      <c r="BRY78" s="497"/>
      <c r="BRZ78" s="497"/>
      <c r="BSA78" s="497"/>
      <c r="BSB78" s="497"/>
      <c r="BSC78" s="497"/>
      <c r="BSD78" s="497"/>
      <c r="BSE78" s="497"/>
      <c r="BSF78" s="497"/>
      <c r="BSG78" s="497"/>
      <c r="BSH78" s="497"/>
      <c r="BSI78" s="497"/>
      <c r="BSJ78" s="497"/>
      <c r="BSK78" s="497"/>
      <c r="BSL78" s="497"/>
      <c r="BSM78" s="497"/>
      <c r="BSN78" s="497"/>
      <c r="BSO78" s="497"/>
      <c r="BSP78" s="497"/>
      <c r="BSQ78" s="497"/>
      <c r="BSR78" s="497"/>
      <c r="BSS78" s="497"/>
      <c r="BST78" s="497"/>
      <c r="BSU78" s="497"/>
      <c r="BSV78" s="497"/>
      <c r="BSW78" s="497"/>
      <c r="BSX78" s="497"/>
      <c r="BSY78" s="497"/>
      <c r="BSZ78" s="497"/>
      <c r="BTA78" s="497"/>
      <c r="BTB78" s="497"/>
      <c r="BTC78" s="497"/>
      <c r="BTD78" s="497"/>
      <c r="BTE78" s="497"/>
      <c r="BTF78" s="497"/>
      <c r="BTG78" s="497"/>
      <c r="BTH78" s="497"/>
      <c r="BTI78" s="497"/>
      <c r="BTJ78" s="497"/>
      <c r="BTK78" s="497"/>
      <c r="BTL78" s="497"/>
      <c r="BTM78" s="497"/>
      <c r="BTN78" s="497"/>
      <c r="BTO78" s="497"/>
      <c r="BTP78" s="497"/>
      <c r="BTQ78" s="497"/>
      <c r="BTR78" s="497"/>
      <c r="BTS78" s="497"/>
      <c r="BTT78" s="497"/>
      <c r="BTU78" s="497"/>
      <c r="BTV78" s="497"/>
      <c r="BTW78" s="497"/>
      <c r="BTX78" s="497"/>
      <c r="BTY78" s="497"/>
      <c r="BTZ78" s="497"/>
      <c r="BUA78" s="497"/>
      <c r="BUB78" s="497"/>
      <c r="BUC78" s="497"/>
      <c r="BUD78" s="497"/>
      <c r="BUE78" s="497"/>
      <c r="BUF78" s="497"/>
      <c r="BUG78" s="497"/>
      <c r="BUH78" s="497"/>
      <c r="BUI78" s="497"/>
      <c r="BUJ78" s="497"/>
      <c r="BUK78" s="497"/>
      <c r="BUL78" s="497"/>
      <c r="BUM78" s="497"/>
      <c r="BUN78" s="497"/>
      <c r="BUO78" s="497"/>
      <c r="BUP78" s="497"/>
      <c r="BUQ78" s="497"/>
      <c r="BUR78" s="497"/>
      <c r="BUS78" s="497"/>
      <c r="BUT78" s="497"/>
      <c r="BUU78" s="497"/>
      <c r="BUV78" s="497"/>
      <c r="BUW78" s="497"/>
      <c r="BUX78" s="497"/>
      <c r="BUY78" s="497"/>
      <c r="BUZ78" s="497"/>
      <c r="BVA78" s="497"/>
      <c r="BVB78" s="497"/>
      <c r="BVC78" s="497"/>
      <c r="BVD78" s="497"/>
      <c r="BVE78" s="497"/>
      <c r="BVF78" s="497"/>
      <c r="BVG78" s="497"/>
      <c r="BVH78" s="497"/>
      <c r="BVI78" s="497"/>
      <c r="BVJ78" s="497"/>
      <c r="BVK78" s="497"/>
      <c r="BVL78" s="497"/>
      <c r="BVM78" s="497"/>
      <c r="BVN78" s="497"/>
      <c r="BVO78" s="497"/>
      <c r="BVP78" s="497"/>
      <c r="BVQ78" s="497"/>
      <c r="BVR78" s="497"/>
      <c r="BVS78" s="497"/>
      <c r="BVT78" s="497"/>
      <c r="BVU78" s="497"/>
      <c r="BVV78" s="497"/>
      <c r="BVW78" s="497"/>
      <c r="BVX78" s="497"/>
      <c r="BVY78" s="497"/>
      <c r="BVZ78" s="497"/>
      <c r="BWA78" s="497"/>
      <c r="BWB78" s="497"/>
      <c r="BWC78" s="497"/>
      <c r="BWD78" s="497"/>
      <c r="BWE78" s="497"/>
      <c r="BWF78" s="497"/>
      <c r="BWG78" s="497"/>
      <c r="BWH78" s="497"/>
      <c r="BWI78" s="497"/>
      <c r="BWJ78" s="497"/>
      <c r="BWK78" s="497"/>
      <c r="BWL78" s="497"/>
      <c r="BWM78" s="497"/>
      <c r="BWN78" s="497"/>
      <c r="BWO78" s="497"/>
      <c r="BWP78" s="497"/>
      <c r="BWQ78" s="497"/>
      <c r="BWR78" s="497"/>
      <c r="BWS78" s="497"/>
      <c r="BWT78" s="497"/>
      <c r="BWU78" s="497"/>
      <c r="BWV78" s="497"/>
      <c r="BWW78" s="497"/>
      <c r="BWX78" s="497"/>
      <c r="BWY78" s="497"/>
      <c r="BWZ78" s="497"/>
      <c r="BXA78" s="497"/>
      <c r="BXB78" s="497"/>
      <c r="BXC78" s="497"/>
      <c r="BXD78" s="497"/>
      <c r="BXE78" s="497"/>
      <c r="BXF78" s="497"/>
      <c r="BXG78" s="497"/>
      <c r="BXH78" s="497"/>
      <c r="BXI78" s="497"/>
      <c r="BXJ78" s="497"/>
      <c r="BXK78" s="497"/>
      <c r="BXL78" s="497"/>
      <c r="BXM78" s="497"/>
      <c r="BXN78" s="497"/>
      <c r="BXO78" s="497"/>
      <c r="BXP78" s="497"/>
      <c r="BXQ78" s="497"/>
      <c r="BXR78" s="497"/>
      <c r="BXS78" s="497"/>
      <c r="BXT78" s="497"/>
      <c r="BXU78" s="497"/>
      <c r="BXV78" s="497"/>
      <c r="BXW78" s="497"/>
      <c r="BXX78" s="497"/>
      <c r="BXY78" s="497"/>
      <c r="BXZ78" s="497"/>
      <c r="BYA78" s="497"/>
      <c r="BYB78" s="497"/>
      <c r="BYC78" s="497"/>
      <c r="BYD78" s="497"/>
      <c r="BYE78" s="497"/>
      <c r="BYF78" s="497"/>
      <c r="BYG78" s="497"/>
      <c r="BYH78" s="497"/>
      <c r="BYI78" s="497"/>
      <c r="BYJ78" s="497"/>
      <c r="BYK78" s="497"/>
      <c r="BYL78" s="497"/>
      <c r="BYM78" s="497"/>
      <c r="BYN78" s="497"/>
      <c r="BYO78" s="497"/>
      <c r="BYP78" s="497"/>
      <c r="BYQ78" s="497"/>
      <c r="BYR78" s="497"/>
      <c r="BYS78" s="497"/>
      <c r="BYT78" s="497"/>
      <c r="BYU78" s="497"/>
      <c r="BYV78" s="497"/>
      <c r="BYW78" s="497"/>
      <c r="BYX78" s="497"/>
      <c r="BYY78" s="497"/>
      <c r="BYZ78" s="497"/>
      <c r="BZA78" s="497"/>
      <c r="BZB78" s="497"/>
      <c r="BZC78" s="497"/>
      <c r="BZD78" s="497"/>
      <c r="BZE78" s="497"/>
      <c r="BZF78" s="497"/>
      <c r="BZG78" s="497"/>
      <c r="BZH78" s="497"/>
      <c r="BZI78" s="497"/>
      <c r="BZJ78" s="497"/>
      <c r="BZK78" s="497"/>
      <c r="BZL78" s="497"/>
      <c r="BZM78" s="497"/>
      <c r="BZN78" s="497"/>
      <c r="BZO78" s="497"/>
      <c r="BZP78" s="497"/>
      <c r="BZQ78" s="497"/>
      <c r="BZR78" s="497"/>
      <c r="BZS78" s="497"/>
      <c r="BZT78" s="497"/>
      <c r="BZU78" s="497"/>
      <c r="BZV78" s="497"/>
      <c r="BZW78" s="497"/>
      <c r="BZX78" s="497"/>
      <c r="BZY78" s="497"/>
      <c r="BZZ78" s="497"/>
      <c r="CAA78" s="497"/>
      <c r="CAB78" s="497"/>
      <c r="CAC78" s="497"/>
      <c r="CAD78" s="497"/>
      <c r="CAE78" s="497"/>
      <c r="CAF78" s="497"/>
      <c r="CAG78" s="497"/>
      <c r="CAH78" s="497"/>
      <c r="CAI78" s="497"/>
      <c r="CAJ78" s="497"/>
      <c r="CAK78" s="497"/>
      <c r="CAL78" s="497"/>
      <c r="CAM78" s="497"/>
      <c r="CAN78" s="497"/>
      <c r="CAO78" s="497"/>
      <c r="CAP78" s="497"/>
      <c r="CAQ78" s="497"/>
      <c r="CAR78" s="497"/>
      <c r="CAS78" s="497"/>
      <c r="CAT78" s="497"/>
      <c r="CAU78" s="497"/>
      <c r="CAV78" s="497"/>
      <c r="CAW78" s="497"/>
      <c r="CAX78" s="497"/>
      <c r="CAY78" s="497"/>
      <c r="CAZ78" s="497"/>
      <c r="CBA78" s="497"/>
      <c r="CBB78" s="497"/>
      <c r="CBC78" s="497"/>
      <c r="CBD78" s="497"/>
      <c r="CBE78" s="497"/>
      <c r="CBF78" s="497"/>
      <c r="CBG78" s="497"/>
      <c r="CBH78" s="497"/>
      <c r="CBI78" s="497"/>
      <c r="CBJ78" s="497"/>
      <c r="CBK78" s="497"/>
      <c r="CBL78" s="497"/>
      <c r="CBM78" s="497"/>
      <c r="CBN78" s="497"/>
      <c r="CBO78" s="497"/>
      <c r="CBP78" s="497"/>
      <c r="CBQ78" s="497"/>
      <c r="CBR78" s="497"/>
      <c r="CBS78" s="497"/>
      <c r="CBT78" s="497"/>
      <c r="CBU78" s="497"/>
      <c r="CBV78" s="497"/>
      <c r="CBW78" s="497"/>
      <c r="CBX78" s="497"/>
      <c r="CBY78" s="497"/>
      <c r="CBZ78" s="497"/>
      <c r="CCA78" s="497"/>
      <c r="CCB78" s="497"/>
      <c r="CCC78" s="497"/>
      <c r="CCD78" s="497"/>
      <c r="CCE78" s="497"/>
      <c r="CCF78" s="497"/>
      <c r="CCG78" s="497"/>
      <c r="CCH78" s="497"/>
      <c r="CCI78" s="497"/>
      <c r="CCJ78" s="497"/>
      <c r="CCK78" s="497"/>
      <c r="CCL78" s="497"/>
      <c r="CCM78" s="497"/>
      <c r="CCN78" s="497"/>
      <c r="CCO78" s="497"/>
      <c r="CCP78" s="497"/>
      <c r="CCQ78" s="497"/>
      <c r="CCR78" s="497"/>
      <c r="CCS78" s="497"/>
      <c r="CCT78" s="497"/>
      <c r="CCU78" s="497"/>
      <c r="CCV78" s="497"/>
      <c r="CCW78" s="497"/>
      <c r="CCX78" s="497"/>
      <c r="CCY78" s="497"/>
      <c r="CCZ78" s="497"/>
      <c r="CDA78" s="497"/>
      <c r="CDB78" s="497"/>
      <c r="CDC78" s="497"/>
      <c r="CDD78" s="497"/>
      <c r="CDE78" s="497"/>
      <c r="CDF78" s="497"/>
      <c r="CDG78" s="497"/>
      <c r="CDH78" s="497"/>
      <c r="CDI78" s="497"/>
      <c r="CDJ78" s="497"/>
      <c r="CDK78" s="497"/>
      <c r="CDL78" s="497"/>
      <c r="CDM78" s="497"/>
      <c r="CDN78" s="497"/>
      <c r="CDO78" s="497"/>
      <c r="CDP78" s="497"/>
      <c r="CDQ78" s="497"/>
      <c r="CDR78" s="497"/>
      <c r="CDS78" s="497"/>
      <c r="CDT78" s="497"/>
      <c r="CDU78" s="497"/>
      <c r="CDV78" s="497"/>
      <c r="CDW78" s="497"/>
      <c r="CDX78" s="497"/>
      <c r="CDY78" s="497"/>
      <c r="CDZ78" s="497"/>
      <c r="CEA78" s="497"/>
      <c r="CEB78" s="497"/>
      <c r="CEC78" s="497"/>
      <c r="CED78" s="497"/>
      <c r="CEE78" s="497"/>
      <c r="CEF78" s="497"/>
      <c r="CEG78" s="497"/>
      <c r="CEH78" s="497"/>
      <c r="CEI78" s="497"/>
      <c r="CEJ78" s="497"/>
      <c r="CEK78" s="497"/>
      <c r="CEL78" s="497"/>
      <c r="CEM78" s="497"/>
      <c r="CEN78" s="497"/>
      <c r="CEO78" s="497"/>
      <c r="CEP78" s="497"/>
      <c r="CEQ78" s="497"/>
      <c r="CER78" s="497"/>
      <c r="CES78" s="497"/>
      <c r="CET78" s="497"/>
      <c r="CEU78" s="497"/>
      <c r="CEV78" s="497"/>
      <c r="CEW78" s="497"/>
      <c r="CEX78" s="497"/>
      <c r="CEY78" s="497"/>
      <c r="CEZ78" s="497"/>
      <c r="CFA78" s="497"/>
      <c r="CFB78" s="497"/>
      <c r="CFC78" s="497"/>
      <c r="CFD78" s="497"/>
      <c r="CFE78" s="497"/>
      <c r="CFF78" s="497"/>
      <c r="CFG78" s="497"/>
      <c r="CFH78" s="497"/>
      <c r="CFI78" s="497"/>
      <c r="CFJ78" s="497"/>
      <c r="CFK78" s="497"/>
      <c r="CFL78" s="497"/>
      <c r="CFM78" s="497"/>
      <c r="CFN78" s="497"/>
      <c r="CFO78" s="497"/>
      <c r="CFP78" s="497"/>
      <c r="CFQ78" s="497"/>
      <c r="CFR78" s="497"/>
      <c r="CFS78" s="497"/>
      <c r="CFT78" s="497"/>
      <c r="CFU78" s="497"/>
      <c r="CFV78" s="497"/>
      <c r="CFW78" s="497"/>
      <c r="CFX78" s="497"/>
      <c r="CFY78" s="497"/>
      <c r="CFZ78" s="497"/>
      <c r="CGA78" s="497"/>
      <c r="CGB78" s="497"/>
      <c r="CGC78" s="497"/>
      <c r="CGD78" s="497"/>
      <c r="CGE78" s="497"/>
      <c r="CGF78" s="497"/>
      <c r="CGG78" s="497"/>
      <c r="CGH78" s="497"/>
      <c r="CGI78" s="497"/>
      <c r="CGJ78" s="497"/>
      <c r="CGK78" s="497"/>
      <c r="CGL78" s="497"/>
      <c r="CGM78" s="497"/>
      <c r="CGN78" s="497"/>
      <c r="CGO78" s="497"/>
      <c r="CGP78" s="497"/>
      <c r="CGQ78" s="497"/>
      <c r="CGR78" s="497"/>
      <c r="CGS78" s="497"/>
      <c r="CGT78" s="497"/>
      <c r="CGU78" s="497"/>
      <c r="CGV78" s="497"/>
      <c r="CGW78" s="497"/>
      <c r="CGX78" s="497"/>
      <c r="CGY78" s="497"/>
      <c r="CGZ78" s="497"/>
      <c r="CHA78" s="497"/>
      <c r="CHB78" s="497"/>
      <c r="CHC78" s="497"/>
      <c r="CHD78" s="497"/>
      <c r="CHE78" s="497"/>
      <c r="CHF78" s="497"/>
      <c r="CHG78" s="497"/>
      <c r="CHH78" s="497"/>
      <c r="CHI78" s="497"/>
      <c r="CHJ78" s="497"/>
      <c r="CHK78" s="497"/>
      <c r="CHL78" s="497"/>
      <c r="CHM78" s="497"/>
      <c r="CHN78" s="497"/>
      <c r="CHO78" s="497"/>
      <c r="CHP78" s="497"/>
      <c r="CHQ78" s="497"/>
      <c r="CHR78" s="497"/>
      <c r="CHS78" s="497"/>
      <c r="CHT78" s="497"/>
      <c r="CHU78" s="497"/>
      <c r="CHV78" s="497"/>
      <c r="CHW78" s="497"/>
      <c r="CHX78" s="497"/>
      <c r="CHY78" s="497"/>
      <c r="CHZ78" s="497"/>
      <c r="CIA78" s="497"/>
      <c r="CIB78" s="497"/>
      <c r="CIC78" s="497"/>
      <c r="CID78" s="497"/>
      <c r="CIE78" s="497"/>
      <c r="CIF78" s="497"/>
      <c r="CIG78" s="497"/>
      <c r="CIH78" s="497"/>
      <c r="CII78" s="497"/>
      <c r="CIJ78" s="497"/>
      <c r="CIK78" s="497"/>
      <c r="CIL78" s="497"/>
      <c r="CIM78" s="497"/>
      <c r="CIN78" s="497"/>
      <c r="CIO78" s="497"/>
      <c r="CIP78" s="497"/>
      <c r="CIQ78" s="497"/>
      <c r="CIR78" s="497"/>
      <c r="CIS78" s="497"/>
      <c r="CIT78" s="497"/>
      <c r="CIU78" s="497"/>
      <c r="CIV78" s="497"/>
      <c r="CIW78" s="497"/>
      <c r="CIX78" s="497"/>
      <c r="CIY78" s="497"/>
      <c r="CIZ78" s="497"/>
      <c r="CJA78" s="497"/>
      <c r="CJB78" s="497"/>
      <c r="CJC78" s="497"/>
      <c r="CJD78" s="497"/>
      <c r="CJE78" s="497"/>
      <c r="CJF78" s="497"/>
      <c r="CJG78" s="497"/>
      <c r="CJH78" s="497"/>
      <c r="CJI78" s="497"/>
      <c r="CJJ78" s="497"/>
      <c r="CJK78" s="497"/>
      <c r="CJL78" s="497"/>
      <c r="CJM78" s="497"/>
      <c r="CJN78" s="497"/>
      <c r="CJO78" s="497"/>
      <c r="CJP78" s="497"/>
      <c r="CJQ78" s="497"/>
      <c r="CJR78" s="497"/>
      <c r="CJS78" s="497"/>
      <c r="CJT78" s="497"/>
      <c r="CJU78" s="497"/>
      <c r="CJV78" s="497"/>
      <c r="CJW78" s="497"/>
      <c r="CJX78" s="497"/>
      <c r="CJY78" s="497"/>
      <c r="CJZ78" s="497"/>
      <c r="CKA78" s="497"/>
      <c r="CKB78" s="497"/>
      <c r="CKC78" s="497"/>
      <c r="CKD78" s="497"/>
      <c r="CKE78" s="497"/>
      <c r="CKF78" s="497"/>
      <c r="CKG78" s="497"/>
      <c r="CKH78" s="497"/>
      <c r="CKI78" s="497"/>
      <c r="CKJ78" s="497"/>
      <c r="CKK78" s="497"/>
      <c r="CKL78" s="497"/>
      <c r="CKM78" s="497"/>
      <c r="CKN78" s="497"/>
      <c r="CKO78" s="497"/>
      <c r="CKP78" s="497"/>
      <c r="CKQ78" s="497"/>
      <c r="CKR78" s="497"/>
      <c r="CKS78" s="497"/>
      <c r="CKT78" s="497"/>
      <c r="CKU78" s="497"/>
      <c r="CKV78" s="497"/>
      <c r="CKW78" s="497"/>
      <c r="CKX78" s="497"/>
      <c r="CKY78" s="497"/>
      <c r="CKZ78" s="497"/>
      <c r="CLA78" s="497"/>
      <c r="CLB78" s="497"/>
      <c r="CLC78" s="497"/>
      <c r="CLD78" s="497"/>
      <c r="CLE78" s="497"/>
      <c r="CLF78" s="497"/>
      <c r="CLG78" s="497"/>
      <c r="CLH78" s="497"/>
      <c r="CLI78" s="497"/>
      <c r="CLJ78" s="497"/>
      <c r="CLK78" s="497"/>
      <c r="CLL78" s="497"/>
      <c r="CLM78" s="497"/>
      <c r="CLN78" s="497"/>
      <c r="CLO78" s="497"/>
      <c r="CLP78" s="497"/>
      <c r="CLQ78" s="497"/>
      <c r="CLR78" s="497"/>
      <c r="CLS78" s="497"/>
      <c r="CLT78" s="497"/>
      <c r="CLU78" s="497"/>
      <c r="CLV78" s="497"/>
      <c r="CLW78" s="497"/>
      <c r="CLX78" s="497"/>
      <c r="CLY78" s="497"/>
      <c r="CLZ78" s="497"/>
      <c r="CMA78" s="497"/>
      <c r="CMB78" s="497"/>
      <c r="CMC78" s="497"/>
      <c r="CMD78" s="497"/>
      <c r="CME78" s="497"/>
      <c r="CMF78" s="497"/>
      <c r="CMG78" s="497"/>
      <c r="CMH78" s="497"/>
      <c r="CMI78" s="497"/>
      <c r="CMJ78" s="497"/>
      <c r="CMK78" s="497"/>
      <c r="CML78" s="497"/>
      <c r="CMM78" s="497"/>
      <c r="CMN78" s="497"/>
      <c r="CMO78" s="497"/>
      <c r="CMP78" s="497"/>
      <c r="CMQ78" s="497"/>
      <c r="CMR78" s="497"/>
      <c r="CMS78" s="497"/>
      <c r="CMT78" s="497"/>
      <c r="CMU78" s="497"/>
      <c r="CMV78" s="497"/>
      <c r="CMW78" s="497"/>
      <c r="CMX78" s="497"/>
      <c r="CMY78" s="497"/>
      <c r="CMZ78" s="497"/>
      <c r="CNA78" s="497"/>
      <c r="CNB78" s="497"/>
      <c r="CNC78" s="497"/>
      <c r="CND78" s="497"/>
      <c r="CNE78" s="497"/>
      <c r="CNF78" s="497"/>
      <c r="CNG78" s="497"/>
      <c r="CNH78" s="497"/>
      <c r="CNI78" s="497"/>
      <c r="CNJ78" s="497"/>
      <c r="CNK78" s="497"/>
      <c r="CNL78" s="497"/>
      <c r="CNM78" s="497"/>
      <c r="CNN78" s="497"/>
      <c r="CNO78" s="497"/>
      <c r="CNP78" s="497"/>
      <c r="CNQ78" s="497"/>
      <c r="CNR78" s="497"/>
      <c r="CNS78" s="497"/>
      <c r="CNT78" s="497"/>
      <c r="CNU78" s="497"/>
      <c r="CNV78" s="497"/>
      <c r="CNW78" s="497"/>
      <c r="CNX78" s="497"/>
      <c r="CNY78" s="497"/>
      <c r="CNZ78" s="497"/>
      <c r="COA78" s="497"/>
      <c r="COB78" s="497"/>
      <c r="COC78" s="497"/>
      <c r="COD78" s="497"/>
      <c r="COE78" s="497"/>
      <c r="COF78" s="497"/>
      <c r="COG78" s="497"/>
      <c r="COH78" s="497"/>
      <c r="COI78" s="497"/>
      <c r="COJ78" s="497"/>
      <c r="COK78" s="497"/>
      <c r="COL78" s="497"/>
      <c r="COM78" s="497"/>
      <c r="CON78" s="497"/>
      <c r="COO78" s="497"/>
      <c r="COP78" s="497"/>
      <c r="COQ78" s="497"/>
      <c r="COR78" s="497"/>
      <c r="COS78" s="497"/>
      <c r="COT78" s="497"/>
      <c r="COU78" s="497"/>
      <c r="COV78" s="497"/>
      <c r="COW78" s="497"/>
      <c r="COX78" s="497"/>
      <c r="COY78" s="497"/>
      <c r="COZ78" s="497"/>
      <c r="CPA78" s="497"/>
      <c r="CPB78" s="497"/>
      <c r="CPC78" s="497"/>
      <c r="CPD78" s="497"/>
      <c r="CPE78" s="497"/>
      <c r="CPF78" s="497"/>
      <c r="CPG78" s="497"/>
      <c r="CPH78" s="497"/>
      <c r="CPI78" s="497"/>
      <c r="CPJ78" s="497"/>
      <c r="CPK78" s="497"/>
      <c r="CPL78" s="497"/>
      <c r="CPM78" s="497"/>
      <c r="CPN78" s="497"/>
      <c r="CPO78" s="497"/>
      <c r="CPP78" s="497"/>
      <c r="CPQ78" s="497"/>
      <c r="CPR78" s="497"/>
      <c r="CPS78" s="497"/>
      <c r="CPT78" s="497"/>
      <c r="CPU78" s="497"/>
      <c r="CPV78" s="497"/>
      <c r="CPW78" s="497"/>
      <c r="CPX78" s="497"/>
      <c r="CPY78" s="497"/>
      <c r="CPZ78" s="497"/>
      <c r="CQA78" s="497"/>
      <c r="CQB78" s="497"/>
      <c r="CQC78" s="497"/>
      <c r="CQD78" s="497"/>
      <c r="CQE78" s="497"/>
      <c r="CQF78" s="497"/>
      <c r="CQG78" s="497"/>
      <c r="CQH78" s="497"/>
      <c r="CQI78" s="497"/>
      <c r="CQJ78" s="497"/>
      <c r="CQK78" s="497"/>
      <c r="CQL78" s="497"/>
      <c r="CQM78" s="497"/>
      <c r="CQN78" s="497"/>
      <c r="CQO78" s="497"/>
      <c r="CQP78" s="497"/>
      <c r="CQQ78" s="497"/>
      <c r="CQR78" s="497"/>
      <c r="CQS78" s="497"/>
      <c r="CQT78" s="497"/>
      <c r="CQU78" s="497"/>
      <c r="CQV78" s="497"/>
      <c r="CQW78" s="497"/>
      <c r="CQX78" s="497"/>
      <c r="CQY78" s="497"/>
      <c r="CQZ78" s="497"/>
      <c r="CRA78" s="497"/>
      <c r="CRB78" s="497"/>
      <c r="CRC78" s="497"/>
      <c r="CRD78" s="497"/>
      <c r="CRE78" s="497"/>
      <c r="CRF78" s="497"/>
      <c r="CRG78" s="497"/>
      <c r="CRH78" s="497"/>
      <c r="CRI78" s="497"/>
      <c r="CRJ78" s="497"/>
      <c r="CRK78" s="497"/>
      <c r="CRL78" s="497"/>
      <c r="CRM78" s="497"/>
      <c r="CRN78" s="497"/>
      <c r="CRO78" s="497"/>
      <c r="CRP78" s="497"/>
      <c r="CRQ78" s="497"/>
      <c r="CRR78" s="497"/>
      <c r="CRS78" s="497"/>
      <c r="CRT78" s="497"/>
      <c r="CRU78" s="497"/>
      <c r="CRV78" s="497"/>
      <c r="CRW78" s="497"/>
      <c r="CRX78" s="497"/>
      <c r="CRY78" s="497"/>
      <c r="CRZ78" s="497"/>
      <c r="CSA78" s="497"/>
      <c r="CSB78" s="497"/>
      <c r="CSC78" s="497"/>
      <c r="CSD78" s="497"/>
      <c r="CSE78" s="497"/>
      <c r="CSF78" s="497"/>
      <c r="CSG78" s="497"/>
      <c r="CSH78" s="497"/>
      <c r="CSI78" s="497"/>
      <c r="CSJ78" s="497"/>
      <c r="CSK78" s="497"/>
      <c r="CSL78" s="497"/>
      <c r="CSM78" s="497"/>
      <c r="CSN78" s="497"/>
      <c r="CSO78" s="497"/>
      <c r="CSP78" s="497"/>
      <c r="CSQ78" s="497"/>
      <c r="CSR78" s="497"/>
      <c r="CSS78" s="497"/>
      <c r="CST78" s="497"/>
      <c r="CSU78" s="497"/>
      <c r="CSV78" s="497"/>
      <c r="CSW78" s="497"/>
      <c r="CSX78" s="497"/>
      <c r="CSY78" s="497"/>
      <c r="CSZ78" s="497"/>
      <c r="CTA78" s="497"/>
      <c r="CTB78" s="497"/>
      <c r="CTC78" s="497"/>
      <c r="CTD78" s="497"/>
      <c r="CTE78" s="497"/>
      <c r="CTF78" s="497"/>
      <c r="CTG78" s="497"/>
      <c r="CTH78" s="497"/>
      <c r="CTI78" s="497"/>
      <c r="CTJ78" s="497"/>
      <c r="CTK78" s="497"/>
      <c r="CTL78" s="497"/>
      <c r="CTM78" s="497"/>
      <c r="CTN78" s="497"/>
      <c r="CTO78" s="497"/>
      <c r="CTP78" s="497"/>
      <c r="CTQ78" s="497"/>
      <c r="CTR78" s="497"/>
      <c r="CTS78" s="497"/>
      <c r="CTT78" s="497"/>
      <c r="CTU78" s="497"/>
      <c r="CTV78" s="497"/>
      <c r="CTW78" s="497"/>
      <c r="CTX78" s="497"/>
      <c r="CTY78" s="497"/>
      <c r="CTZ78" s="497"/>
      <c r="CUA78" s="497"/>
      <c r="CUB78" s="497"/>
      <c r="CUC78" s="497"/>
      <c r="CUD78" s="497"/>
      <c r="CUE78" s="497"/>
      <c r="CUF78" s="497"/>
      <c r="CUG78" s="497"/>
      <c r="CUH78" s="497"/>
      <c r="CUI78" s="497"/>
      <c r="CUJ78" s="497"/>
      <c r="CUK78" s="497"/>
      <c r="CUL78" s="497"/>
      <c r="CUM78" s="497"/>
      <c r="CUN78" s="497"/>
      <c r="CUO78" s="497"/>
      <c r="CUP78" s="497"/>
      <c r="CUQ78" s="497"/>
      <c r="CUR78" s="497"/>
      <c r="CUS78" s="497"/>
      <c r="CUT78" s="497"/>
      <c r="CUU78" s="497"/>
      <c r="CUV78" s="497"/>
      <c r="CUW78" s="497"/>
      <c r="CUX78" s="497"/>
      <c r="CUY78" s="497"/>
      <c r="CUZ78" s="497"/>
      <c r="CVA78" s="497"/>
      <c r="CVB78" s="497"/>
      <c r="CVC78" s="497"/>
      <c r="CVD78" s="497"/>
      <c r="CVE78" s="497"/>
      <c r="CVF78" s="497"/>
      <c r="CVG78" s="497"/>
      <c r="CVH78" s="497"/>
      <c r="CVI78" s="497"/>
      <c r="CVJ78" s="497"/>
      <c r="CVK78" s="497"/>
      <c r="CVL78" s="497"/>
      <c r="CVM78" s="497"/>
      <c r="CVN78" s="497"/>
      <c r="CVO78" s="497"/>
      <c r="CVP78" s="497"/>
      <c r="CVQ78" s="497"/>
      <c r="CVR78" s="497"/>
      <c r="CVS78" s="497"/>
      <c r="CVT78" s="497"/>
      <c r="CVU78" s="497"/>
      <c r="CVV78" s="497"/>
      <c r="CVW78" s="497"/>
      <c r="CVX78" s="497"/>
      <c r="CVY78" s="497"/>
      <c r="CVZ78" s="497"/>
      <c r="CWA78" s="497"/>
      <c r="CWB78" s="497"/>
      <c r="CWC78" s="497"/>
      <c r="CWD78" s="497"/>
      <c r="CWE78" s="497"/>
      <c r="CWF78" s="497"/>
      <c r="CWG78" s="497"/>
      <c r="CWH78" s="497"/>
      <c r="CWI78" s="497"/>
      <c r="CWJ78" s="497"/>
      <c r="CWK78" s="497"/>
      <c r="CWL78" s="497"/>
      <c r="CWM78" s="497"/>
      <c r="CWN78" s="497"/>
      <c r="CWO78" s="497"/>
      <c r="CWP78" s="497"/>
      <c r="CWQ78" s="497"/>
      <c r="CWR78" s="497"/>
      <c r="CWS78" s="497"/>
      <c r="CWT78" s="497"/>
      <c r="CWU78" s="497"/>
      <c r="CWV78" s="497"/>
      <c r="CWW78" s="497"/>
      <c r="CWX78" s="497"/>
      <c r="CWY78" s="497"/>
      <c r="CWZ78" s="497"/>
      <c r="CXA78" s="497"/>
      <c r="CXB78" s="497"/>
      <c r="CXC78" s="497"/>
      <c r="CXD78" s="497"/>
      <c r="CXE78" s="497"/>
      <c r="CXF78" s="497"/>
      <c r="CXG78" s="497"/>
      <c r="CXH78" s="497"/>
      <c r="CXI78" s="497"/>
      <c r="CXJ78" s="497"/>
      <c r="CXK78" s="497"/>
      <c r="CXL78" s="497"/>
      <c r="CXM78" s="497"/>
      <c r="CXN78" s="497"/>
      <c r="CXO78" s="497"/>
      <c r="CXP78" s="497"/>
      <c r="CXQ78" s="497"/>
      <c r="CXR78" s="497"/>
      <c r="CXS78" s="497"/>
      <c r="CXT78" s="497"/>
      <c r="CXU78" s="497"/>
      <c r="CXV78" s="497"/>
      <c r="CXW78" s="497"/>
      <c r="CXX78" s="497"/>
      <c r="CXY78" s="497"/>
      <c r="CXZ78" s="497"/>
      <c r="CYA78" s="497"/>
      <c r="CYB78" s="497"/>
      <c r="CYC78" s="497"/>
      <c r="CYD78" s="497"/>
      <c r="CYE78" s="497"/>
      <c r="CYF78" s="497"/>
      <c r="CYG78" s="497"/>
      <c r="CYH78" s="497"/>
      <c r="CYI78" s="497"/>
      <c r="CYJ78" s="497"/>
      <c r="CYK78" s="497"/>
      <c r="CYL78" s="497"/>
      <c r="CYM78" s="497"/>
      <c r="CYN78" s="497"/>
      <c r="CYO78" s="497"/>
      <c r="CYP78" s="497"/>
      <c r="CYQ78" s="497"/>
      <c r="CYR78" s="497"/>
      <c r="CYS78" s="497"/>
      <c r="CYT78" s="497"/>
      <c r="CYU78" s="497"/>
      <c r="CYV78" s="497"/>
      <c r="CYW78" s="497"/>
      <c r="CYX78" s="497"/>
      <c r="CYY78" s="497"/>
      <c r="CYZ78" s="497"/>
      <c r="CZA78" s="497"/>
      <c r="CZB78" s="497"/>
      <c r="CZC78" s="497"/>
      <c r="CZD78" s="497"/>
      <c r="CZE78" s="497"/>
      <c r="CZF78" s="497"/>
      <c r="CZG78" s="497"/>
      <c r="CZH78" s="497"/>
      <c r="CZI78" s="497"/>
      <c r="CZJ78" s="497"/>
      <c r="CZK78" s="497"/>
      <c r="CZL78" s="497"/>
      <c r="CZM78" s="497"/>
      <c r="CZN78" s="497"/>
      <c r="CZO78" s="497"/>
      <c r="CZP78" s="497"/>
      <c r="CZQ78" s="497"/>
      <c r="CZR78" s="497"/>
      <c r="CZS78" s="497"/>
      <c r="CZT78" s="497"/>
      <c r="CZU78" s="497"/>
      <c r="CZV78" s="497"/>
      <c r="CZW78" s="497"/>
      <c r="CZX78" s="497"/>
      <c r="CZY78" s="497"/>
      <c r="CZZ78" s="497"/>
      <c r="DAA78" s="497"/>
      <c r="DAB78" s="497"/>
      <c r="DAC78" s="497"/>
      <c r="DAD78" s="497"/>
      <c r="DAE78" s="497"/>
      <c r="DAF78" s="497"/>
      <c r="DAG78" s="497"/>
      <c r="DAH78" s="497"/>
      <c r="DAI78" s="497"/>
      <c r="DAJ78" s="497"/>
      <c r="DAK78" s="497"/>
      <c r="DAL78" s="497"/>
      <c r="DAM78" s="497"/>
      <c r="DAN78" s="497"/>
      <c r="DAO78" s="497"/>
      <c r="DAP78" s="497"/>
      <c r="DAQ78" s="497"/>
      <c r="DAR78" s="497"/>
      <c r="DAS78" s="497"/>
      <c r="DAT78" s="497"/>
      <c r="DAU78" s="497"/>
      <c r="DAV78" s="497"/>
      <c r="DAW78" s="497"/>
      <c r="DAX78" s="497"/>
      <c r="DAY78" s="497"/>
      <c r="DAZ78" s="497"/>
      <c r="DBA78" s="497"/>
      <c r="DBB78" s="497"/>
      <c r="DBC78" s="497"/>
      <c r="DBD78" s="497"/>
      <c r="DBE78" s="497"/>
      <c r="DBF78" s="497"/>
      <c r="DBG78" s="497"/>
      <c r="DBH78" s="497"/>
      <c r="DBI78" s="497"/>
      <c r="DBJ78" s="497"/>
      <c r="DBK78" s="497"/>
      <c r="DBL78" s="497"/>
      <c r="DBM78" s="497"/>
      <c r="DBN78" s="497"/>
      <c r="DBO78" s="497"/>
      <c r="DBP78" s="497"/>
      <c r="DBQ78" s="497"/>
      <c r="DBR78" s="497"/>
      <c r="DBS78" s="497"/>
      <c r="DBT78" s="497"/>
      <c r="DBU78" s="497"/>
      <c r="DBV78" s="497"/>
      <c r="DBW78" s="497"/>
      <c r="DBX78" s="497"/>
      <c r="DBY78" s="497"/>
      <c r="DBZ78" s="497"/>
      <c r="DCA78" s="497"/>
      <c r="DCB78" s="497"/>
      <c r="DCC78" s="497"/>
      <c r="DCD78" s="497"/>
      <c r="DCE78" s="497"/>
      <c r="DCF78" s="497"/>
      <c r="DCG78" s="497"/>
      <c r="DCH78" s="497"/>
      <c r="DCI78" s="497"/>
      <c r="DCJ78" s="497"/>
      <c r="DCK78" s="497"/>
      <c r="DCL78" s="497"/>
      <c r="DCM78" s="497"/>
      <c r="DCN78" s="497"/>
      <c r="DCO78" s="497"/>
      <c r="DCP78" s="497"/>
      <c r="DCQ78" s="497"/>
      <c r="DCR78" s="497"/>
      <c r="DCS78" s="497"/>
      <c r="DCT78" s="497"/>
      <c r="DCU78" s="497"/>
      <c r="DCV78" s="497"/>
      <c r="DCW78" s="497"/>
      <c r="DCX78" s="497"/>
      <c r="DCY78" s="497"/>
      <c r="DCZ78" s="497"/>
      <c r="DDA78" s="497"/>
      <c r="DDB78" s="497"/>
      <c r="DDC78" s="497"/>
      <c r="DDD78" s="497"/>
      <c r="DDE78" s="497"/>
      <c r="DDF78" s="497"/>
      <c r="DDG78" s="497"/>
      <c r="DDH78" s="497"/>
      <c r="DDI78" s="497"/>
      <c r="DDJ78" s="497"/>
      <c r="DDK78" s="497"/>
      <c r="DDL78" s="497"/>
      <c r="DDM78" s="497"/>
      <c r="DDN78" s="497"/>
      <c r="DDO78" s="497"/>
      <c r="DDP78" s="497"/>
      <c r="DDQ78" s="497"/>
      <c r="DDR78" s="497"/>
      <c r="DDS78" s="497"/>
      <c r="DDT78" s="497"/>
      <c r="DDU78" s="497"/>
      <c r="DDV78" s="497"/>
      <c r="DDW78" s="497"/>
      <c r="DDX78" s="497"/>
      <c r="DDY78" s="497"/>
      <c r="DDZ78" s="497"/>
      <c r="DEA78" s="497"/>
      <c r="DEB78" s="497"/>
      <c r="DEC78" s="497"/>
      <c r="DED78" s="497"/>
      <c r="DEE78" s="497"/>
      <c r="DEF78" s="497"/>
      <c r="DEG78" s="497"/>
      <c r="DEH78" s="497"/>
      <c r="DEI78" s="497"/>
      <c r="DEJ78" s="497"/>
      <c r="DEK78" s="497"/>
      <c r="DEL78" s="497"/>
      <c r="DEM78" s="497"/>
      <c r="DEN78" s="497"/>
      <c r="DEO78" s="497"/>
      <c r="DEP78" s="497"/>
      <c r="DEQ78" s="497"/>
      <c r="DER78" s="497"/>
      <c r="DES78" s="497"/>
      <c r="DET78" s="497"/>
      <c r="DEU78" s="497"/>
      <c r="DEV78" s="497"/>
      <c r="DEW78" s="497"/>
      <c r="DEX78" s="497"/>
      <c r="DEY78" s="497"/>
      <c r="DEZ78" s="497"/>
      <c r="DFA78" s="497"/>
      <c r="DFB78" s="497"/>
      <c r="DFC78" s="497"/>
      <c r="DFD78" s="497"/>
      <c r="DFE78" s="497"/>
      <c r="DFF78" s="497"/>
      <c r="DFG78" s="497"/>
      <c r="DFH78" s="497"/>
      <c r="DFI78" s="497"/>
      <c r="DFJ78" s="497"/>
      <c r="DFK78" s="497"/>
      <c r="DFL78" s="497"/>
      <c r="DFM78" s="497"/>
      <c r="DFN78" s="497"/>
      <c r="DFO78" s="497"/>
      <c r="DFP78" s="497"/>
      <c r="DFQ78" s="497"/>
      <c r="DFR78" s="497"/>
      <c r="DFS78" s="497"/>
      <c r="DFT78" s="497"/>
      <c r="DFU78" s="497"/>
      <c r="DFV78" s="497"/>
      <c r="DFW78" s="497"/>
      <c r="DFX78" s="497"/>
      <c r="DFY78" s="497"/>
      <c r="DFZ78" s="497"/>
      <c r="DGA78" s="497"/>
      <c r="DGB78" s="497"/>
      <c r="DGC78" s="497"/>
      <c r="DGD78" s="497"/>
      <c r="DGE78" s="497"/>
      <c r="DGF78" s="497"/>
      <c r="DGG78" s="497"/>
      <c r="DGH78" s="497"/>
      <c r="DGI78" s="497"/>
      <c r="DGJ78" s="497"/>
      <c r="DGK78" s="497"/>
      <c r="DGL78" s="497"/>
      <c r="DGM78" s="497"/>
      <c r="DGN78" s="497"/>
      <c r="DGO78" s="497"/>
      <c r="DGP78" s="497"/>
      <c r="DGQ78" s="497"/>
      <c r="DGR78" s="497"/>
      <c r="DGS78" s="497"/>
      <c r="DGT78" s="497"/>
      <c r="DGU78" s="497"/>
      <c r="DGV78" s="497"/>
      <c r="DGW78" s="497"/>
      <c r="DGX78" s="497"/>
      <c r="DGY78" s="497"/>
      <c r="DGZ78" s="497"/>
      <c r="DHA78" s="497"/>
      <c r="DHB78" s="497"/>
      <c r="DHC78" s="497"/>
      <c r="DHD78" s="497"/>
      <c r="DHE78" s="497"/>
      <c r="DHF78" s="497"/>
      <c r="DHG78" s="497"/>
      <c r="DHH78" s="497"/>
      <c r="DHI78" s="497"/>
      <c r="DHJ78" s="497"/>
      <c r="DHK78" s="497"/>
      <c r="DHL78" s="497"/>
      <c r="DHM78" s="497"/>
      <c r="DHN78" s="497"/>
      <c r="DHO78" s="497"/>
      <c r="DHP78" s="497"/>
      <c r="DHQ78" s="497"/>
      <c r="DHR78" s="497"/>
      <c r="DHS78" s="497"/>
      <c r="DHT78" s="497"/>
      <c r="DHU78" s="497"/>
      <c r="DHV78" s="497"/>
      <c r="DHW78" s="497"/>
      <c r="DHX78" s="497"/>
      <c r="DHY78" s="497"/>
      <c r="DHZ78" s="497"/>
      <c r="DIA78" s="497"/>
      <c r="DIB78" s="497"/>
      <c r="DIC78" s="497"/>
      <c r="DID78" s="497"/>
      <c r="DIE78" s="497"/>
      <c r="DIF78" s="497"/>
      <c r="DIG78" s="497"/>
      <c r="DIH78" s="497"/>
      <c r="DII78" s="497"/>
      <c r="DIJ78" s="497"/>
      <c r="DIK78" s="497"/>
      <c r="DIL78" s="497"/>
      <c r="DIM78" s="497"/>
      <c r="DIN78" s="497"/>
      <c r="DIO78" s="497"/>
      <c r="DIP78" s="497"/>
      <c r="DIQ78" s="497"/>
      <c r="DIR78" s="497"/>
      <c r="DIS78" s="497"/>
      <c r="DIT78" s="497"/>
      <c r="DIU78" s="497"/>
      <c r="DIV78" s="497"/>
      <c r="DIW78" s="497"/>
      <c r="DIX78" s="497"/>
      <c r="DIY78" s="497"/>
      <c r="DIZ78" s="497"/>
      <c r="DJA78" s="497"/>
      <c r="DJB78" s="497"/>
      <c r="DJC78" s="497"/>
      <c r="DJD78" s="497"/>
      <c r="DJE78" s="497"/>
      <c r="DJF78" s="497"/>
      <c r="DJG78" s="497"/>
      <c r="DJH78" s="497"/>
      <c r="DJI78" s="497"/>
      <c r="DJJ78" s="497"/>
      <c r="DJK78" s="497"/>
      <c r="DJL78" s="497"/>
      <c r="DJM78" s="497"/>
      <c r="DJN78" s="497"/>
      <c r="DJO78" s="497"/>
      <c r="DJP78" s="497"/>
      <c r="DJQ78" s="497"/>
      <c r="DJR78" s="497"/>
      <c r="DJS78" s="497"/>
      <c r="DJT78" s="497"/>
      <c r="DJU78" s="497"/>
      <c r="DJV78" s="497"/>
      <c r="DJW78" s="497"/>
      <c r="DJX78" s="497"/>
      <c r="DJY78" s="497"/>
      <c r="DJZ78" s="497"/>
      <c r="DKA78" s="497"/>
      <c r="DKB78" s="497"/>
      <c r="DKC78" s="497"/>
      <c r="DKD78" s="497"/>
      <c r="DKE78" s="497"/>
      <c r="DKF78" s="497"/>
      <c r="DKG78" s="497"/>
      <c r="DKH78" s="497"/>
      <c r="DKI78" s="497"/>
      <c r="DKJ78" s="497"/>
      <c r="DKK78" s="497"/>
      <c r="DKL78" s="497"/>
      <c r="DKM78" s="497"/>
      <c r="DKN78" s="497"/>
      <c r="DKO78" s="497"/>
      <c r="DKP78" s="497"/>
      <c r="DKQ78" s="497"/>
      <c r="DKR78" s="497"/>
      <c r="DKS78" s="497"/>
      <c r="DKT78" s="497"/>
      <c r="DKU78" s="497"/>
      <c r="DKV78" s="497"/>
      <c r="DKW78" s="497"/>
      <c r="DKX78" s="497"/>
      <c r="DKY78" s="497"/>
      <c r="DKZ78" s="497"/>
      <c r="DLA78" s="497"/>
      <c r="DLB78" s="497"/>
      <c r="DLC78" s="497"/>
      <c r="DLD78" s="497"/>
      <c r="DLE78" s="497"/>
      <c r="DLF78" s="497"/>
      <c r="DLG78" s="497"/>
      <c r="DLH78" s="497"/>
      <c r="DLI78" s="497"/>
      <c r="DLJ78" s="497"/>
      <c r="DLK78" s="497"/>
      <c r="DLL78" s="497"/>
      <c r="DLM78" s="497"/>
      <c r="DLN78" s="497"/>
      <c r="DLO78" s="497"/>
      <c r="DLP78" s="497"/>
      <c r="DLQ78" s="497"/>
      <c r="DLR78" s="497"/>
      <c r="DLS78" s="497"/>
      <c r="DLT78" s="497"/>
      <c r="DLU78" s="497"/>
      <c r="DLV78" s="497"/>
      <c r="DLW78" s="497"/>
      <c r="DLX78" s="497"/>
      <c r="DLY78" s="497"/>
      <c r="DLZ78" s="497"/>
      <c r="DMA78" s="497"/>
      <c r="DMB78" s="497"/>
      <c r="DMC78" s="497"/>
      <c r="DMD78" s="497"/>
      <c r="DME78" s="497"/>
      <c r="DMF78" s="497"/>
      <c r="DMG78" s="497"/>
      <c r="DMH78" s="497"/>
      <c r="DMI78" s="497"/>
      <c r="DMJ78" s="497"/>
      <c r="DMK78" s="497"/>
      <c r="DML78" s="497"/>
      <c r="DMM78" s="497"/>
      <c r="DMN78" s="497"/>
      <c r="DMO78" s="497"/>
      <c r="DMP78" s="497"/>
      <c r="DMQ78" s="497"/>
      <c r="DMR78" s="497"/>
      <c r="DMS78" s="497"/>
      <c r="DMT78" s="497"/>
      <c r="DMU78" s="497"/>
      <c r="DMV78" s="497"/>
      <c r="DMW78" s="497"/>
      <c r="DMX78" s="497"/>
      <c r="DMY78" s="497"/>
      <c r="DMZ78" s="497"/>
      <c r="DNA78" s="497"/>
      <c r="DNB78" s="497"/>
      <c r="DNC78" s="497"/>
      <c r="DND78" s="497"/>
      <c r="DNE78" s="497"/>
      <c r="DNF78" s="497"/>
      <c r="DNG78" s="497"/>
      <c r="DNH78" s="497"/>
      <c r="DNI78" s="497"/>
      <c r="DNJ78" s="497"/>
      <c r="DNK78" s="497"/>
      <c r="DNL78" s="497"/>
      <c r="DNM78" s="497"/>
      <c r="DNN78" s="497"/>
      <c r="DNO78" s="497"/>
      <c r="DNP78" s="497"/>
      <c r="DNQ78" s="497"/>
      <c r="DNR78" s="497"/>
      <c r="DNS78" s="497"/>
      <c r="DNT78" s="497"/>
      <c r="DNU78" s="497"/>
      <c r="DNV78" s="497"/>
      <c r="DNW78" s="497"/>
      <c r="DNX78" s="497"/>
      <c r="DNY78" s="497"/>
      <c r="DNZ78" s="497"/>
      <c r="DOA78" s="497"/>
      <c r="DOB78" s="497"/>
      <c r="DOC78" s="497"/>
      <c r="DOD78" s="497"/>
      <c r="DOE78" s="497"/>
      <c r="DOF78" s="497"/>
      <c r="DOG78" s="497"/>
      <c r="DOH78" s="497"/>
      <c r="DOI78" s="497"/>
      <c r="DOJ78" s="497"/>
      <c r="DOK78" s="497"/>
      <c r="DOL78" s="497"/>
      <c r="DOM78" s="497"/>
      <c r="DON78" s="497"/>
      <c r="DOO78" s="497"/>
      <c r="DOP78" s="497"/>
      <c r="DOQ78" s="497"/>
      <c r="DOR78" s="497"/>
      <c r="DOS78" s="497"/>
      <c r="DOT78" s="497"/>
      <c r="DOU78" s="497"/>
      <c r="DOV78" s="497"/>
      <c r="DOW78" s="497"/>
      <c r="DOX78" s="497"/>
      <c r="DOY78" s="497"/>
      <c r="DOZ78" s="497"/>
      <c r="DPA78" s="497"/>
      <c r="DPB78" s="497"/>
      <c r="DPC78" s="497"/>
      <c r="DPD78" s="497"/>
      <c r="DPE78" s="497"/>
      <c r="DPF78" s="497"/>
      <c r="DPG78" s="497"/>
      <c r="DPH78" s="497"/>
      <c r="DPI78" s="497"/>
      <c r="DPJ78" s="497"/>
      <c r="DPK78" s="497"/>
      <c r="DPL78" s="497"/>
      <c r="DPM78" s="497"/>
      <c r="DPN78" s="497"/>
      <c r="DPO78" s="497"/>
      <c r="DPP78" s="497"/>
      <c r="DPQ78" s="497"/>
      <c r="DPR78" s="497"/>
      <c r="DPS78" s="497"/>
      <c r="DPT78" s="497"/>
      <c r="DPU78" s="497"/>
      <c r="DPV78" s="497"/>
      <c r="DPW78" s="497"/>
      <c r="DPX78" s="497"/>
      <c r="DPY78" s="497"/>
      <c r="DPZ78" s="497"/>
      <c r="DQA78" s="497"/>
      <c r="DQB78" s="497"/>
      <c r="DQC78" s="497"/>
      <c r="DQD78" s="497"/>
      <c r="DQE78" s="497"/>
      <c r="DQF78" s="497"/>
      <c r="DQG78" s="497"/>
      <c r="DQH78" s="497"/>
      <c r="DQI78" s="497"/>
      <c r="DQJ78" s="497"/>
      <c r="DQK78" s="497"/>
      <c r="DQL78" s="497"/>
      <c r="DQM78" s="497"/>
      <c r="DQN78" s="497"/>
      <c r="DQO78" s="497"/>
      <c r="DQP78" s="497"/>
      <c r="DQQ78" s="497"/>
      <c r="DQR78" s="497"/>
      <c r="DQS78" s="497"/>
      <c r="DQT78" s="497"/>
      <c r="DQU78" s="497"/>
      <c r="DQV78" s="497"/>
      <c r="DQW78" s="497"/>
      <c r="DQX78" s="497"/>
      <c r="DQY78" s="497"/>
      <c r="DQZ78" s="497"/>
      <c r="DRA78" s="497"/>
      <c r="DRB78" s="497"/>
      <c r="DRC78" s="497"/>
      <c r="DRD78" s="497"/>
      <c r="DRE78" s="497"/>
      <c r="DRF78" s="497"/>
      <c r="DRG78" s="497"/>
      <c r="DRH78" s="497"/>
      <c r="DRI78" s="497"/>
      <c r="DRJ78" s="497"/>
      <c r="DRK78" s="497"/>
      <c r="DRL78" s="497"/>
      <c r="DRM78" s="497"/>
      <c r="DRN78" s="497"/>
      <c r="DRO78" s="497"/>
      <c r="DRP78" s="497"/>
      <c r="DRQ78" s="497"/>
      <c r="DRR78" s="497"/>
      <c r="DRS78" s="497"/>
      <c r="DRT78" s="497"/>
      <c r="DRU78" s="497"/>
      <c r="DRV78" s="497"/>
      <c r="DRW78" s="497"/>
      <c r="DRX78" s="497"/>
      <c r="DRY78" s="497"/>
      <c r="DRZ78" s="497"/>
      <c r="DSA78" s="497"/>
      <c r="DSB78" s="497"/>
      <c r="DSC78" s="497"/>
      <c r="DSD78" s="497"/>
      <c r="DSE78" s="497"/>
      <c r="DSF78" s="497"/>
      <c r="DSG78" s="497"/>
      <c r="DSH78" s="497"/>
      <c r="DSI78" s="497"/>
      <c r="DSJ78" s="497"/>
      <c r="DSK78" s="497"/>
      <c r="DSL78" s="497"/>
      <c r="DSM78" s="497"/>
      <c r="DSN78" s="497"/>
      <c r="DSO78" s="497"/>
      <c r="DSP78" s="497"/>
      <c r="DSQ78" s="497"/>
      <c r="DSR78" s="497"/>
      <c r="DSS78" s="497"/>
      <c r="DST78" s="497"/>
      <c r="DSU78" s="497"/>
      <c r="DSV78" s="497"/>
      <c r="DSW78" s="497"/>
      <c r="DSX78" s="497"/>
      <c r="DSY78" s="497"/>
      <c r="DSZ78" s="497"/>
      <c r="DTA78" s="497"/>
      <c r="DTB78" s="497"/>
      <c r="DTC78" s="497"/>
      <c r="DTD78" s="497"/>
      <c r="DTE78" s="497"/>
      <c r="DTF78" s="497"/>
      <c r="DTG78" s="497"/>
      <c r="DTH78" s="497"/>
      <c r="DTI78" s="497"/>
      <c r="DTJ78" s="497"/>
      <c r="DTK78" s="497"/>
      <c r="DTL78" s="497"/>
      <c r="DTM78" s="497"/>
      <c r="DTN78" s="497"/>
      <c r="DTO78" s="497"/>
      <c r="DTP78" s="497"/>
      <c r="DTQ78" s="497"/>
      <c r="DTR78" s="497"/>
      <c r="DTS78" s="497"/>
      <c r="DTT78" s="497"/>
      <c r="DTU78" s="497"/>
      <c r="DTV78" s="497"/>
      <c r="DTW78" s="497"/>
      <c r="DTX78" s="497"/>
      <c r="DTY78" s="497"/>
      <c r="DTZ78" s="497"/>
      <c r="DUA78" s="497"/>
      <c r="DUB78" s="497"/>
      <c r="DUC78" s="497"/>
      <c r="DUD78" s="497"/>
      <c r="DUE78" s="497"/>
      <c r="DUF78" s="497"/>
      <c r="DUG78" s="497"/>
      <c r="DUH78" s="497"/>
      <c r="DUI78" s="497"/>
      <c r="DUJ78" s="497"/>
      <c r="DUK78" s="497"/>
      <c r="DUL78" s="497"/>
      <c r="DUM78" s="497"/>
      <c r="DUN78" s="497"/>
      <c r="DUO78" s="497"/>
      <c r="DUP78" s="497"/>
      <c r="DUQ78" s="497"/>
      <c r="DUR78" s="497"/>
      <c r="DUS78" s="497"/>
      <c r="DUT78" s="497"/>
      <c r="DUU78" s="497"/>
      <c r="DUV78" s="497"/>
      <c r="DUW78" s="497"/>
      <c r="DUX78" s="497"/>
      <c r="DUY78" s="497"/>
      <c r="DUZ78" s="497"/>
      <c r="DVA78" s="497"/>
      <c r="DVB78" s="497"/>
      <c r="DVC78" s="497"/>
      <c r="DVD78" s="497"/>
      <c r="DVE78" s="497"/>
      <c r="DVF78" s="497"/>
      <c r="DVG78" s="497"/>
      <c r="DVH78" s="497"/>
      <c r="DVI78" s="497"/>
      <c r="DVJ78" s="497"/>
      <c r="DVK78" s="497"/>
      <c r="DVL78" s="497"/>
      <c r="DVM78" s="497"/>
      <c r="DVN78" s="497"/>
      <c r="DVO78" s="497"/>
      <c r="DVP78" s="497"/>
      <c r="DVQ78" s="497"/>
      <c r="DVR78" s="497"/>
      <c r="DVS78" s="497"/>
      <c r="DVT78" s="497"/>
      <c r="DVU78" s="497"/>
      <c r="DVV78" s="497"/>
      <c r="DVW78" s="497"/>
      <c r="DVX78" s="497"/>
      <c r="DVY78" s="497"/>
      <c r="DVZ78" s="497"/>
      <c r="DWA78" s="497"/>
      <c r="DWB78" s="497"/>
      <c r="DWC78" s="497"/>
      <c r="DWD78" s="497"/>
      <c r="DWE78" s="497"/>
      <c r="DWF78" s="497"/>
      <c r="DWG78" s="497"/>
      <c r="DWH78" s="497"/>
      <c r="DWI78" s="497"/>
      <c r="DWJ78" s="497"/>
      <c r="DWK78" s="497"/>
      <c r="DWL78" s="497"/>
      <c r="DWM78" s="497"/>
      <c r="DWN78" s="497"/>
      <c r="DWO78" s="497"/>
      <c r="DWP78" s="497"/>
      <c r="DWQ78" s="497"/>
      <c r="DWR78" s="497"/>
      <c r="DWS78" s="497"/>
      <c r="DWT78" s="497"/>
      <c r="DWU78" s="497"/>
      <c r="DWV78" s="497"/>
      <c r="DWW78" s="497"/>
      <c r="DWX78" s="497"/>
      <c r="DWY78" s="497"/>
      <c r="DWZ78" s="497"/>
      <c r="DXA78" s="497"/>
      <c r="DXB78" s="497"/>
      <c r="DXC78" s="497"/>
      <c r="DXD78" s="497"/>
      <c r="DXE78" s="497"/>
      <c r="DXF78" s="497"/>
      <c r="DXG78" s="497"/>
      <c r="DXH78" s="497"/>
      <c r="DXI78" s="497"/>
      <c r="DXJ78" s="497"/>
      <c r="DXK78" s="497"/>
      <c r="DXL78" s="497"/>
      <c r="DXM78" s="497"/>
      <c r="DXN78" s="497"/>
      <c r="DXO78" s="497"/>
      <c r="DXP78" s="497"/>
      <c r="DXQ78" s="497"/>
      <c r="DXR78" s="497"/>
      <c r="DXS78" s="497"/>
      <c r="DXT78" s="497"/>
      <c r="DXU78" s="497"/>
      <c r="DXV78" s="497"/>
      <c r="DXW78" s="497"/>
      <c r="DXX78" s="497"/>
      <c r="DXY78" s="497"/>
      <c r="DXZ78" s="497"/>
      <c r="DYA78" s="497"/>
      <c r="DYB78" s="497"/>
      <c r="DYC78" s="497"/>
      <c r="DYD78" s="497"/>
      <c r="DYE78" s="497"/>
      <c r="DYF78" s="497"/>
      <c r="DYG78" s="497"/>
      <c r="DYH78" s="497"/>
      <c r="DYI78" s="497"/>
      <c r="DYJ78" s="497"/>
      <c r="DYK78" s="497"/>
      <c r="DYL78" s="497"/>
      <c r="DYM78" s="497"/>
      <c r="DYN78" s="497"/>
      <c r="DYO78" s="497"/>
      <c r="DYP78" s="497"/>
      <c r="DYQ78" s="497"/>
      <c r="DYR78" s="497"/>
      <c r="DYS78" s="497"/>
      <c r="DYT78" s="497"/>
      <c r="DYU78" s="497"/>
      <c r="DYV78" s="497"/>
      <c r="DYW78" s="497"/>
      <c r="DYX78" s="497"/>
      <c r="DYY78" s="497"/>
      <c r="DYZ78" s="497"/>
      <c r="DZA78" s="497"/>
      <c r="DZB78" s="497"/>
      <c r="DZC78" s="497"/>
      <c r="DZD78" s="497"/>
      <c r="DZE78" s="497"/>
      <c r="DZF78" s="497"/>
      <c r="DZG78" s="497"/>
      <c r="DZH78" s="497"/>
      <c r="DZI78" s="497"/>
      <c r="DZJ78" s="497"/>
      <c r="DZK78" s="497"/>
      <c r="DZL78" s="497"/>
      <c r="DZM78" s="497"/>
      <c r="DZN78" s="497"/>
      <c r="DZO78" s="497"/>
      <c r="DZP78" s="497"/>
      <c r="DZQ78" s="497"/>
      <c r="DZR78" s="497"/>
      <c r="DZS78" s="497"/>
      <c r="DZT78" s="497"/>
      <c r="DZU78" s="497"/>
      <c r="DZV78" s="497"/>
      <c r="DZW78" s="497"/>
      <c r="DZX78" s="497"/>
      <c r="DZY78" s="497"/>
      <c r="DZZ78" s="497"/>
      <c r="EAA78" s="497"/>
      <c r="EAB78" s="497"/>
      <c r="EAC78" s="497"/>
      <c r="EAD78" s="497"/>
      <c r="EAE78" s="497"/>
      <c r="EAF78" s="497"/>
      <c r="EAG78" s="497"/>
      <c r="EAH78" s="497"/>
      <c r="EAI78" s="497"/>
      <c r="EAJ78" s="497"/>
      <c r="EAK78" s="497"/>
      <c r="EAL78" s="497"/>
      <c r="EAM78" s="497"/>
      <c r="EAN78" s="497"/>
      <c r="EAO78" s="497"/>
      <c r="EAP78" s="497"/>
      <c r="EAQ78" s="497"/>
      <c r="EAR78" s="497"/>
      <c r="EAS78" s="497"/>
      <c r="EAT78" s="497"/>
      <c r="EAU78" s="497"/>
      <c r="EAV78" s="497"/>
      <c r="EAW78" s="497"/>
      <c r="EAX78" s="497"/>
      <c r="EAY78" s="497"/>
      <c r="EAZ78" s="497"/>
      <c r="EBA78" s="497"/>
      <c r="EBB78" s="497"/>
      <c r="EBC78" s="497"/>
      <c r="EBD78" s="497"/>
      <c r="EBE78" s="497"/>
      <c r="EBF78" s="497"/>
      <c r="EBG78" s="497"/>
      <c r="EBH78" s="497"/>
      <c r="EBI78" s="497"/>
      <c r="EBJ78" s="497"/>
      <c r="EBK78" s="497"/>
      <c r="EBL78" s="497"/>
      <c r="EBM78" s="497"/>
      <c r="EBN78" s="497"/>
      <c r="EBO78" s="497"/>
      <c r="EBP78" s="497"/>
      <c r="EBQ78" s="497"/>
      <c r="EBR78" s="497"/>
      <c r="EBS78" s="497"/>
      <c r="EBT78" s="497"/>
      <c r="EBU78" s="497"/>
      <c r="EBV78" s="497"/>
      <c r="EBW78" s="497"/>
      <c r="EBX78" s="497"/>
      <c r="EBY78" s="497"/>
      <c r="EBZ78" s="497"/>
      <c r="ECA78" s="497"/>
      <c r="ECB78" s="497"/>
      <c r="ECC78" s="497"/>
      <c r="ECD78" s="497"/>
      <c r="ECE78" s="497"/>
      <c r="ECF78" s="497"/>
      <c r="ECG78" s="497"/>
      <c r="ECH78" s="497"/>
      <c r="ECI78" s="497"/>
      <c r="ECJ78" s="497"/>
      <c r="ECK78" s="497"/>
      <c r="ECL78" s="497"/>
      <c r="ECM78" s="497"/>
      <c r="ECN78" s="497"/>
      <c r="ECO78" s="497"/>
      <c r="ECP78" s="497"/>
      <c r="ECQ78" s="497"/>
      <c r="ECR78" s="497"/>
      <c r="ECS78" s="497"/>
      <c r="ECT78" s="497"/>
      <c r="ECU78" s="497"/>
      <c r="ECV78" s="497"/>
      <c r="ECW78" s="497"/>
      <c r="ECX78" s="497"/>
      <c r="ECY78" s="497"/>
      <c r="ECZ78" s="497"/>
      <c r="EDA78" s="497"/>
      <c r="EDB78" s="497"/>
      <c r="EDC78" s="497"/>
      <c r="EDD78" s="497"/>
      <c r="EDE78" s="497"/>
      <c r="EDF78" s="497"/>
      <c r="EDG78" s="497"/>
      <c r="EDH78" s="497"/>
      <c r="EDI78" s="497"/>
      <c r="EDJ78" s="497"/>
      <c r="EDK78" s="497"/>
      <c r="EDL78" s="497"/>
      <c r="EDM78" s="497"/>
      <c r="EDN78" s="497"/>
      <c r="EDO78" s="497"/>
      <c r="EDP78" s="497"/>
      <c r="EDQ78" s="497"/>
      <c r="EDR78" s="497"/>
      <c r="EDS78" s="497"/>
      <c r="EDT78" s="497"/>
      <c r="EDU78" s="497"/>
      <c r="EDV78" s="497"/>
      <c r="EDW78" s="497"/>
      <c r="EDX78" s="497"/>
      <c r="EDY78" s="497"/>
      <c r="EDZ78" s="497"/>
      <c r="EEA78" s="497"/>
      <c r="EEB78" s="497"/>
      <c r="EEC78" s="497"/>
      <c r="EED78" s="497"/>
      <c r="EEE78" s="497"/>
      <c r="EEF78" s="497"/>
      <c r="EEG78" s="497"/>
      <c r="EEH78" s="497"/>
      <c r="EEI78" s="497"/>
      <c r="EEJ78" s="497"/>
      <c r="EEK78" s="497"/>
      <c r="EEL78" s="497"/>
      <c r="EEM78" s="497"/>
      <c r="EEN78" s="497"/>
      <c r="EEO78" s="497"/>
      <c r="EEP78" s="497"/>
      <c r="EEQ78" s="497"/>
      <c r="EER78" s="497"/>
      <c r="EES78" s="497"/>
      <c r="EET78" s="497"/>
      <c r="EEU78" s="497"/>
      <c r="EEV78" s="497"/>
      <c r="EEW78" s="497"/>
      <c r="EEX78" s="497"/>
      <c r="EEY78" s="497"/>
      <c r="EEZ78" s="497"/>
      <c r="EFA78" s="497"/>
      <c r="EFB78" s="497"/>
      <c r="EFC78" s="497"/>
      <c r="EFD78" s="497"/>
      <c r="EFE78" s="497"/>
      <c r="EFF78" s="497"/>
      <c r="EFG78" s="497"/>
      <c r="EFH78" s="497"/>
      <c r="EFI78" s="497"/>
      <c r="EFJ78" s="497"/>
      <c r="EFK78" s="497"/>
      <c r="EFL78" s="497"/>
      <c r="EFM78" s="497"/>
      <c r="EFN78" s="497"/>
      <c r="EFO78" s="497"/>
      <c r="EFP78" s="497"/>
      <c r="EFQ78" s="497"/>
      <c r="EFR78" s="497"/>
      <c r="EFS78" s="497"/>
      <c r="EFT78" s="497"/>
      <c r="EFU78" s="497"/>
      <c r="EFV78" s="497"/>
      <c r="EFW78" s="497"/>
      <c r="EFX78" s="497"/>
      <c r="EFY78" s="497"/>
      <c r="EFZ78" s="497"/>
      <c r="EGA78" s="497"/>
      <c r="EGB78" s="497"/>
      <c r="EGC78" s="497"/>
      <c r="EGD78" s="497"/>
      <c r="EGE78" s="497"/>
      <c r="EGF78" s="497"/>
      <c r="EGG78" s="497"/>
      <c r="EGH78" s="497"/>
      <c r="EGI78" s="497"/>
      <c r="EGJ78" s="497"/>
      <c r="EGK78" s="497"/>
      <c r="EGL78" s="497"/>
      <c r="EGM78" s="497"/>
      <c r="EGN78" s="497"/>
      <c r="EGO78" s="497"/>
      <c r="EGP78" s="497"/>
      <c r="EGQ78" s="497"/>
      <c r="EGR78" s="497"/>
      <c r="EGS78" s="497"/>
      <c r="EGT78" s="497"/>
      <c r="EGU78" s="497"/>
      <c r="EGV78" s="497"/>
      <c r="EGW78" s="497"/>
      <c r="EGX78" s="497"/>
      <c r="EGY78" s="497"/>
      <c r="EGZ78" s="497"/>
      <c r="EHA78" s="497"/>
      <c r="EHB78" s="497"/>
      <c r="EHC78" s="497"/>
      <c r="EHD78" s="497"/>
      <c r="EHE78" s="497"/>
      <c r="EHF78" s="497"/>
      <c r="EHG78" s="497"/>
      <c r="EHH78" s="497"/>
      <c r="EHI78" s="497"/>
      <c r="EHJ78" s="497"/>
      <c r="EHK78" s="497"/>
      <c r="EHL78" s="497"/>
      <c r="EHM78" s="497"/>
      <c r="EHN78" s="497"/>
      <c r="EHO78" s="497"/>
      <c r="EHP78" s="497"/>
      <c r="EHQ78" s="497"/>
      <c r="EHR78" s="497"/>
      <c r="EHS78" s="497"/>
      <c r="EHT78" s="497"/>
      <c r="EHU78" s="497"/>
      <c r="EHV78" s="497"/>
      <c r="EHW78" s="497"/>
      <c r="EHX78" s="497"/>
      <c r="EHY78" s="497"/>
      <c r="EHZ78" s="497"/>
      <c r="EIA78" s="497"/>
      <c r="EIB78" s="497"/>
      <c r="EIC78" s="497"/>
      <c r="EID78" s="497"/>
      <c r="EIE78" s="497"/>
      <c r="EIF78" s="497"/>
      <c r="EIG78" s="497"/>
      <c r="EIH78" s="497"/>
      <c r="EII78" s="497"/>
      <c r="EIJ78" s="497"/>
      <c r="EIK78" s="497"/>
      <c r="EIL78" s="497"/>
      <c r="EIM78" s="497"/>
      <c r="EIN78" s="497"/>
      <c r="EIO78" s="497"/>
      <c r="EIP78" s="497"/>
      <c r="EIQ78" s="497"/>
      <c r="EIR78" s="497"/>
      <c r="EIS78" s="497"/>
      <c r="EIT78" s="497"/>
      <c r="EIU78" s="497"/>
      <c r="EIV78" s="497"/>
      <c r="EIW78" s="497"/>
      <c r="EIX78" s="497"/>
      <c r="EIY78" s="497"/>
      <c r="EIZ78" s="497"/>
      <c r="EJA78" s="497"/>
      <c r="EJB78" s="497"/>
      <c r="EJC78" s="497"/>
      <c r="EJD78" s="497"/>
      <c r="EJE78" s="497"/>
      <c r="EJF78" s="497"/>
      <c r="EJG78" s="497"/>
      <c r="EJH78" s="497"/>
      <c r="EJI78" s="497"/>
      <c r="EJJ78" s="497"/>
      <c r="EJK78" s="497"/>
      <c r="EJL78" s="497"/>
      <c r="EJM78" s="497"/>
      <c r="EJN78" s="497"/>
      <c r="EJO78" s="497"/>
      <c r="EJP78" s="497"/>
      <c r="EJQ78" s="497"/>
      <c r="EJR78" s="497"/>
      <c r="EJS78" s="497"/>
      <c r="EJT78" s="497"/>
      <c r="EJU78" s="497"/>
      <c r="EJV78" s="497"/>
      <c r="EJW78" s="497"/>
      <c r="EJX78" s="497"/>
      <c r="EJY78" s="497"/>
      <c r="EJZ78" s="497"/>
      <c r="EKA78" s="497"/>
      <c r="EKB78" s="497"/>
      <c r="EKC78" s="497"/>
      <c r="EKD78" s="497"/>
      <c r="EKE78" s="497"/>
      <c r="EKF78" s="497"/>
      <c r="EKG78" s="497"/>
      <c r="EKH78" s="497"/>
      <c r="EKI78" s="497"/>
      <c r="EKJ78" s="497"/>
      <c r="EKK78" s="497"/>
      <c r="EKL78" s="497"/>
      <c r="EKM78" s="497"/>
      <c r="EKN78" s="497"/>
      <c r="EKO78" s="497"/>
      <c r="EKP78" s="497"/>
      <c r="EKQ78" s="497"/>
      <c r="EKR78" s="497"/>
      <c r="EKS78" s="497"/>
      <c r="EKT78" s="497"/>
      <c r="EKU78" s="497"/>
      <c r="EKV78" s="497"/>
      <c r="EKW78" s="497"/>
      <c r="EKX78" s="497"/>
      <c r="EKY78" s="497"/>
      <c r="EKZ78" s="497"/>
      <c r="ELA78" s="497"/>
      <c r="ELB78" s="497"/>
      <c r="ELC78" s="497"/>
      <c r="ELD78" s="497"/>
      <c r="ELE78" s="497"/>
      <c r="ELF78" s="497"/>
      <c r="ELG78" s="497"/>
      <c r="ELH78" s="497"/>
      <c r="ELI78" s="497"/>
      <c r="ELJ78" s="497"/>
      <c r="ELK78" s="497"/>
      <c r="ELL78" s="497"/>
      <c r="ELM78" s="497"/>
      <c r="ELN78" s="497"/>
      <c r="ELO78" s="497"/>
      <c r="ELP78" s="497"/>
      <c r="ELQ78" s="497"/>
      <c r="ELR78" s="497"/>
      <c r="ELS78" s="497"/>
      <c r="ELT78" s="497"/>
      <c r="ELU78" s="497"/>
      <c r="ELV78" s="497"/>
      <c r="ELW78" s="497"/>
      <c r="ELX78" s="497"/>
      <c r="ELY78" s="497"/>
      <c r="ELZ78" s="497"/>
      <c r="EMA78" s="497"/>
      <c r="EMB78" s="497"/>
      <c r="EMC78" s="497"/>
      <c r="EMD78" s="497"/>
      <c r="EME78" s="497"/>
      <c r="EMF78" s="497"/>
      <c r="EMG78" s="497"/>
      <c r="EMH78" s="497"/>
      <c r="EMI78" s="497"/>
      <c r="EMJ78" s="497"/>
      <c r="EMK78" s="497"/>
      <c r="EML78" s="497"/>
      <c r="EMM78" s="497"/>
      <c r="EMN78" s="497"/>
      <c r="EMO78" s="497"/>
      <c r="EMP78" s="497"/>
      <c r="EMQ78" s="497"/>
      <c r="EMR78" s="497"/>
      <c r="EMS78" s="497"/>
      <c r="EMT78" s="497"/>
      <c r="EMU78" s="497"/>
      <c r="EMV78" s="497"/>
      <c r="EMW78" s="497"/>
      <c r="EMX78" s="497"/>
      <c r="EMY78" s="497"/>
      <c r="EMZ78" s="497"/>
      <c r="ENA78" s="497"/>
      <c r="ENB78" s="497"/>
      <c r="ENC78" s="497"/>
      <c r="END78" s="497"/>
      <c r="ENE78" s="497"/>
      <c r="ENF78" s="497"/>
      <c r="ENG78" s="497"/>
      <c r="ENH78" s="497"/>
      <c r="ENI78" s="497"/>
      <c r="ENJ78" s="497"/>
      <c r="ENK78" s="497"/>
      <c r="ENL78" s="497"/>
      <c r="ENM78" s="497"/>
      <c r="ENN78" s="497"/>
      <c r="ENO78" s="497"/>
      <c r="ENP78" s="497"/>
      <c r="ENQ78" s="497"/>
      <c r="ENR78" s="497"/>
      <c r="ENS78" s="497"/>
      <c r="ENT78" s="497"/>
      <c r="ENU78" s="497"/>
      <c r="ENV78" s="497"/>
      <c r="ENW78" s="497"/>
      <c r="ENX78" s="497"/>
      <c r="ENY78" s="497"/>
      <c r="ENZ78" s="497"/>
      <c r="EOA78" s="497"/>
      <c r="EOB78" s="497"/>
      <c r="EOC78" s="497"/>
      <c r="EOD78" s="497"/>
      <c r="EOE78" s="497"/>
      <c r="EOF78" s="497"/>
      <c r="EOG78" s="497"/>
      <c r="EOH78" s="497"/>
      <c r="EOI78" s="497"/>
      <c r="EOJ78" s="497"/>
      <c r="EOK78" s="497"/>
      <c r="EOL78" s="497"/>
      <c r="EOM78" s="497"/>
      <c r="EON78" s="497"/>
      <c r="EOO78" s="497"/>
      <c r="EOP78" s="497"/>
      <c r="EOQ78" s="497"/>
      <c r="EOR78" s="497"/>
      <c r="EOS78" s="497"/>
      <c r="EOT78" s="497"/>
      <c r="EOU78" s="497"/>
      <c r="EOV78" s="497"/>
      <c r="EOW78" s="497"/>
      <c r="EOX78" s="497"/>
      <c r="EOY78" s="497"/>
      <c r="EOZ78" s="497"/>
      <c r="EPA78" s="497"/>
      <c r="EPB78" s="497"/>
      <c r="EPC78" s="497"/>
      <c r="EPD78" s="497"/>
      <c r="EPE78" s="497"/>
      <c r="EPF78" s="497"/>
      <c r="EPG78" s="497"/>
      <c r="EPH78" s="497"/>
      <c r="EPI78" s="497"/>
      <c r="EPJ78" s="497"/>
      <c r="EPK78" s="497"/>
      <c r="EPL78" s="497"/>
      <c r="EPM78" s="497"/>
      <c r="EPN78" s="497"/>
      <c r="EPO78" s="497"/>
      <c r="EPP78" s="497"/>
      <c r="EPQ78" s="497"/>
      <c r="EPR78" s="497"/>
      <c r="EPS78" s="497"/>
      <c r="EPT78" s="497"/>
      <c r="EPU78" s="497"/>
      <c r="EPV78" s="497"/>
      <c r="EPW78" s="497"/>
      <c r="EPX78" s="497"/>
      <c r="EPY78" s="497"/>
      <c r="EPZ78" s="497"/>
      <c r="EQA78" s="497"/>
      <c r="EQB78" s="497"/>
      <c r="EQC78" s="497"/>
      <c r="EQD78" s="497"/>
      <c r="EQE78" s="497"/>
      <c r="EQF78" s="497"/>
      <c r="EQG78" s="497"/>
      <c r="EQH78" s="497"/>
      <c r="EQI78" s="497"/>
      <c r="EQJ78" s="497"/>
      <c r="EQK78" s="497"/>
      <c r="EQL78" s="497"/>
      <c r="EQM78" s="497"/>
      <c r="EQN78" s="497"/>
      <c r="EQO78" s="497"/>
      <c r="EQP78" s="497"/>
      <c r="EQQ78" s="497"/>
      <c r="EQR78" s="497"/>
      <c r="EQS78" s="497"/>
      <c r="EQT78" s="497"/>
      <c r="EQU78" s="497"/>
      <c r="EQV78" s="497"/>
      <c r="EQW78" s="497"/>
      <c r="EQX78" s="497"/>
      <c r="EQY78" s="497"/>
      <c r="EQZ78" s="497"/>
      <c r="ERA78" s="497"/>
      <c r="ERB78" s="497"/>
      <c r="ERC78" s="497"/>
      <c r="ERD78" s="497"/>
      <c r="ERE78" s="497"/>
      <c r="ERF78" s="497"/>
      <c r="ERG78" s="497"/>
      <c r="ERH78" s="497"/>
      <c r="ERI78" s="497"/>
      <c r="ERJ78" s="497"/>
      <c r="ERK78" s="497"/>
      <c r="ERL78" s="497"/>
      <c r="ERM78" s="497"/>
      <c r="ERN78" s="497"/>
      <c r="ERO78" s="497"/>
      <c r="ERP78" s="497"/>
      <c r="ERQ78" s="497"/>
      <c r="ERR78" s="497"/>
      <c r="ERS78" s="497"/>
      <c r="ERT78" s="497"/>
      <c r="ERU78" s="497"/>
      <c r="ERV78" s="497"/>
      <c r="ERW78" s="497"/>
      <c r="ERX78" s="497"/>
      <c r="ERY78" s="497"/>
      <c r="ERZ78" s="497"/>
      <c r="ESA78" s="497"/>
      <c r="ESB78" s="497"/>
      <c r="ESC78" s="497"/>
      <c r="ESD78" s="497"/>
      <c r="ESE78" s="497"/>
      <c r="ESF78" s="497"/>
      <c r="ESG78" s="497"/>
      <c r="ESH78" s="497"/>
      <c r="ESI78" s="497"/>
      <c r="ESJ78" s="497"/>
      <c r="ESK78" s="497"/>
      <c r="ESL78" s="497"/>
      <c r="ESM78" s="497"/>
      <c r="ESN78" s="497"/>
      <c r="ESO78" s="497"/>
      <c r="ESP78" s="497"/>
      <c r="ESQ78" s="497"/>
      <c r="ESR78" s="497"/>
      <c r="ESS78" s="497"/>
      <c r="EST78" s="497"/>
      <c r="ESU78" s="497"/>
      <c r="ESV78" s="497"/>
      <c r="ESW78" s="497"/>
      <c r="ESX78" s="497"/>
      <c r="ESY78" s="497"/>
      <c r="ESZ78" s="497"/>
      <c r="ETA78" s="497"/>
      <c r="ETB78" s="497"/>
      <c r="ETC78" s="497"/>
      <c r="ETD78" s="497"/>
      <c r="ETE78" s="497"/>
      <c r="ETF78" s="497"/>
      <c r="ETG78" s="497"/>
      <c r="ETH78" s="497"/>
      <c r="ETI78" s="497"/>
      <c r="ETJ78" s="497"/>
      <c r="ETK78" s="497"/>
      <c r="ETL78" s="497"/>
      <c r="ETM78" s="497"/>
      <c r="ETN78" s="497"/>
      <c r="ETO78" s="497"/>
      <c r="ETP78" s="497"/>
      <c r="ETQ78" s="497"/>
      <c r="ETR78" s="497"/>
      <c r="ETS78" s="497"/>
      <c r="ETT78" s="497"/>
      <c r="ETU78" s="497"/>
      <c r="ETV78" s="497"/>
      <c r="ETW78" s="497"/>
      <c r="ETX78" s="497"/>
      <c r="ETY78" s="497"/>
      <c r="ETZ78" s="497"/>
      <c r="EUA78" s="497"/>
      <c r="EUB78" s="497"/>
      <c r="EUC78" s="497"/>
      <c r="EUD78" s="497"/>
      <c r="EUE78" s="497"/>
      <c r="EUF78" s="497"/>
      <c r="EUG78" s="497"/>
      <c r="EUH78" s="497"/>
      <c r="EUI78" s="497"/>
      <c r="EUJ78" s="497"/>
      <c r="EUK78" s="497"/>
      <c r="EUL78" s="497"/>
      <c r="EUM78" s="497"/>
      <c r="EUN78" s="497"/>
      <c r="EUO78" s="497"/>
      <c r="EUP78" s="497"/>
      <c r="EUQ78" s="497"/>
      <c r="EUR78" s="497"/>
      <c r="EUS78" s="497"/>
      <c r="EUT78" s="497"/>
      <c r="EUU78" s="497"/>
      <c r="EUV78" s="497"/>
      <c r="EUW78" s="497"/>
      <c r="EUX78" s="497"/>
      <c r="EUY78" s="497"/>
      <c r="EUZ78" s="497"/>
      <c r="EVA78" s="497"/>
      <c r="EVB78" s="497"/>
      <c r="EVC78" s="497"/>
      <c r="EVD78" s="497"/>
      <c r="EVE78" s="497"/>
      <c r="EVF78" s="497"/>
      <c r="EVG78" s="497"/>
      <c r="EVH78" s="497"/>
      <c r="EVI78" s="497"/>
      <c r="EVJ78" s="497"/>
      <c r="EVK78" s="497"/>
      <c r="EVL78" s="497"/>
      <c r="EVM78" s="497"/>
      <c r="EVN78" s="497"/>
      <c r="EVO78" s="497"/>
      <c r="EVP78" s="497"/>
      <c r="EVQ78" s="497"/>
      <c r="EVR78" s="497"/>
      <c r="EVS78" s="497"/>
      <c r="EVT78" s="497"/>
      <c r="EVU78" s="497"/>
      <c r="EVV78" s="497"/>
      <c r="EVW78" s="497"/>
      <c r="EVX78" s="497"/>
      <c r="EVY78" s="497"/>
      <c r="EVZ78" s="497"/>
      <c r="EWA78" s="497"/>
      <c r="EWB78" s="497"/>
      <c r="EWC78" s="497"/>
      <c r="EWD78" s="497"/>
      <c r="EWE78" s="497"/>
      <c r="EWF78" s="497"/>
      <c r="EWG78" s="497"/>
      <c r="EWH78" s="497"/>
      <c r="EWI78" s="497"/>
      <c r="EWJ78" s="497"/>
      <c r="EWK78" s="497"/>
      <c r="EWL78" s="497"/>
      <c r="EWM78" s="497"/>
      <c r="EWN78" s="497"/>
      <c r="EWO78" s="497"/>
      <c r="EWP78" s="497"/>
      <c r="EWQ78" s="497"/>
      <c r="EWR78" s="497"/>
      <c r="EWS78" s="497"/>
      <c r="EWT78" s="497"/>
      <c r="EWU78" s="497"/>
      <c r="EWV78" s="497"/>
      <c r="EWW78" s="497"/>
      <c r="EWX78" s="497"/>
      <c r="EWY78" s="497"/>
      <c r="EWZ78" s="497"/>
      <c r="EXA78" s="497"/>
      <c r="EXB78" s="497"/>
      <c r="EXC78" s="497"/>
      <c r="EXD78" s="497"/>
      <c r="EXE78" s="497"/>
      <c r="EXF78" s="497"/>
      <c r="EXG78" s="497"/>
      <c r="EXH78" s="497"/>
      <c r="EXI78" s="497"/>
      <c r="EXJ78" s="497"/>
      <c r="EXK78" s="497"/>
      <c r="EXL78" s="497"/>
      <c r="EXM78" s="497"/>
      <c r="EXN78" s="497"/>
      <c r="EXO78" s="497"/>
      <c r="EXP78" s="497"/>
      <c r="EXQ78" s="497"/>
      <c r="EXR78" s="497"/>
      <c r="EXS78" s="497"/>
      <c r="EXT78" s="497"/>
      <c r="EXU78" s="497"/>
      <c r="EXV78" s="497"/>
      <c r="EXW78" s="497"/>
      <c r="EXX78" s="497"/>
      <c r="EXY78" s="497"/>
      <c r="EXZ78" s="497"/>
      <c r="EYA78" s="497"/>
      <c r="EYB78" s="497"/>
      <c r="EYC78" s="497"/>
      <c r="EYD78" s="497"/>
      <c r="EYE78" s="497"/>
      <c r="EYF78" s="497"/>
      <c r="EYG78" s="497"/>
      <c r="EYH78" s="497"/>
      <c r="EYI78" s="497"/>
      <c r="EYJ78" s="497"/>
      <c r="EYK78" s="497"/>
      <c r="EYL78" s="497"/>
      <c r="EYM78" s="497"/>
      <c r="EYN78" s="497"/>
      <c r="EYO78" s="497"/>
      <c r="EYP78" s="497"/>
      <c r="EYQ78" s="497"/>
      <c r="EYR78" s="497"/>
      <c r="EYS78" s="497"/>
      <c r="EYT78" s="497"/>
      <c r="EYU78" s="497"/>
      <c r="EYV78" s="497"/>
      <c r="EYW78" s="497"/>
      <c r="EYX78" s="497"/>
      <c r="EYY78" s="497"/>
      <c r="EYZ78" s="497"/>
      <c r="EZA78" s="497"/>
      <c r="EZB78" s="497"/>
      <c r="EZC78" s="497"/>
      <c r="EZD78" s="497"/>
      <c r="EZE78" s="497"/>
      <c r="EZF78" s="497"/>
      <c r="EZG78" s="497"/>
      <c r="EZH78" s="497"/>
      <c r="EZI78" s="497"/>
      <c r="EZJ78" s="497"/>
      <c r="EZK78" s="497"/>
      <c r="EZL78" s="497"/>
      <c r="EZM78" s="497"/>
      <c r="EZN78" s="497"/>
      <c r="EZO78" s="497"/>
      <c r="EZP78" s="497"/>
      <c r="EZQ78" s="497"/>
      <c r="EZR78" s="497"/>
      <c r="EZS78" s="497"/>
      <c r="EZT78" s="497"/>
      <c r="EZU78" s="497"/>
      <c r="EZV78" s="497"/>
      <c r="EZW78" s="497"/>
      <c r="EZX78" s="497"/>
      <c r="EZY78" s="497"/>
      <c r="EZZ78" s="497"/>
      <c r="FAA78" s="497"/>
      <c r="FAB78" s="497"/>
      <c r="FAC78" s="497"/>
      <c r="FAD78" s="497"/>
      <c r="FAE78" s="497"/>
      <c r="FAF78" s="497"/>
      <c r="FAG78" s="497"/>
      <c r="FAH78" s="497"/>
      <c r="FAI78" s="497"/>
      <c r="FAJ78" s="497"/>
      <c r="FAK78" s="497"/>
      <c r="FAL78" s="497"/>
      <c r="FAM78" s="497"/>
      <c r="FAN78" s="497"/>
      <c r="FAO78" s="497"/>
      <c r="FAP78" s="497"/>
      <c r="FAQ78" s="497"/>
      <c r="FAR78" s="497"/>
      <c r="FAS78" s="497"/>
      <c r="FAT78" s="497"/>
      <c r="FAU78" s="497"/>
      <c r="FAV78" s="497"/>
      <c r="FAW78" s="497"/>
      <c r="FAX78" s="497"/>
      <c r="FAY78" s="497"/>
      <c r="FAZ78" s="497"/>
      <c r="FBA78" s="497"/>
      <c r="FBB78" s="497"/>
      <c r="FBC78" s="497"/>
      <c r="FBD78" s="497"/>
      <c r="FBE78" s="497"/>
      <c r="FBF78" s="497"/>
      <c r="FBG78" s="497"/>
      <c r="FBH78" s="497"/>
      <c r="FBI78" s="497"/>
      <c r="FBJ78" s="497"/>
      <c r="FBK78" s="497"/>
      <c r="FBL78" s="497"/>
      <c r="FBM78" s="497"/>
      <c r="FBN78" s="497"/>
      <c r="FBO78" s="497"/>
      <c r="FBP78" s="497"/>
      <c r="FBQ78" s="497"/>
      <c r="FBR78" s="497"/>
      <c r="FBS78" s="497"/>
      <c r="FBT78" s="497"/>
      <c r="FBU78" s="497"/>
      <c r="FBV78" s="497"/>
      <c r="FBW78" s="497"/>
      <c r="FBX78" s="497"/>
      <c r="FBY78" s="497"/>
      <c r="FBZ78" s="497"/>
      <c r="FCA78" s="497"/>
      <c r="FCB78" s="497"/>
      <c r="FCC78" s="497"/>
      <c r="FCD78" s="497"/>
      <c r="FCE78" s="497"/>
      <c r="FCF78" s="497"/>
      <c r="FCG78" s="497"/>
      <c r="FCH78" s="497"/>
      <c r="FCI78" s="497"/>
      <c r="FCJ78" s="497"/>
      <c r="FCK78" s="497"/>
      <c r="FCL78" s="497"/>
      <c r="FCM78" s="497"/>
      <c r="FCN78" s="497"/>
      <c r="FCO78" s="497"/>
      <c r="FCP78" s="497"/>
      <c r="FCQ78" s="497"/>
      <c r="FCR78" s="497"/>
      <c r="FCS78" s="497"/>
      <c r="FCT78" s="497"/>
      <c r="FCU78" s="497"/>
      <c r="FCV78" s="497"/>
      <c r="FCW78" s="497"/>
      <c r="FCX78" s="497"/>
      <c r="FCY78" s="497"/>
      <c r="FCZ78" s="497"/>
      <c r="FDA78" s="497"/>
      <c r="FDB78" s="497"/>
      <c r="FDC78" s="497"/>
      <c r="FDD78" s="497"/>
      <c r="FDE78" s="497"/>
      <c r="FDF78" s="497"/>
      <c r="FDG78" s="497"/>
      <c r="FDH78" s="497"/>
      <c r="FDI78" s="497"/>
      <c r="FDJ78" s="497"/>
      <c r="FDK78" s="497"/>
      <c r="FDL78" s="497"/>
      <c r="FDM78" s="497"/>
      <c r="FDN78" s="497"/>
      <c r="FDO78" s="497"/>
      <c r="FDP78" s="497"/>
      <c r="FDQ78" s="497"/>
      <c r="FDR78" s="497"/>
      <c r="FDS78" s="497"/>
      <c r="FDT78" s="497"/>
      <c r="FDU78" s="497"/>
      <c r="FDV78" s="497"/>
      <c r="FDW78" s="497"/>
      <c r="FDX78" s="497"/>
      <c r="FDY78" s="497"/>
      <c r="FDZ78" s="497"/>
      <c r="FEA78" s="497"/>
      <c r="FEB78" s="497"/>
      <c r="FEC78" s="497"/>
      <c r="FED78" s="497"/>
      <c r="FEE78" s="497"/>
      <c r="FEF78" s="497"/>
      <c r="FEG78" s="497"/>
      <c r="FEH78" s="497"/>
      <c r="FEI78" s="497"/>
      <c r="FEJ78" s="497"/>
      <c r="FEK78" s="497"/>
      <c r="FEL78" s="497"/>
      <c r="FEM78" s="497"/>
      <c r="FEN78" s="497"/>
      <c r="FEO78" s="497"/>
      <c r="FEP78" s="497"/>
      <c r="FEQ78" s="497"/>
      <c r="FER78" s="497"/>
      <c r="FES78" s="497"/>
      <c r="FET78" s="497"/>
      <c r="FEU78" s="497"/>
      <c r="FEV78" s="497"/>
      <c r="FEW78" s="497"/>
      <c r="FEX78" s="497"/>
      <c r="FEY78" s="497"/>
      <c r="FEZ78" s="497"/>
      <c r="FFA78" s="497"/>
      <c r="FFB78" s="497"/>
      <c r="FFC78" s="497"/>
      <c r="FFD78" s="497"/>
      <c r="FFE78" s="497"/>
      <c r="FFF78" s="497"/>
      <c r="FFG78" s="497"/>
      <c r="FFH78" s="497"/>
      <c r="FFI78" s="497"/>
      <c r="FFJ78" s="497"/>
      <c r="FFK78" s="497"/>
      <c r="FFL78" s="497"/>
      <c r="FFM78" s="497"/>
      <c r="FFN78" s="497"/>
      <c r="FFO78" s="497"/>
      <c r="FFP78" s="497"/>
      <c r="FFQ78" s="497"/>
      <c r="FFR78" s="497"/>
      <c r="FFS78" s="497"/>
      <c r="FFT78" s="497"/>
      <c r="FFU78" s="497"/>
      <c r="FFV78" s="497"/>
      <c r="FFW78" s="497"/>
      <c r="FFX78" s="497"/>
      <c r="FFY78" s="497"/>
      <c r="FFZ78" s="497"/>
      <c r="FGA78" s="497"/>
      <c r="FGB78" s="497"/>
      <c r="FGC78" s="497"/>
      <c r="FGD78" s="497"/>
      <c r="FGE78" s="497"/>
      <c r="FGF78" s="497"/>
      <c r="FGG78" s="497"/>
      <c r="FGH78" s="497"/>
      <c r="FGI78" s="497"/>
      <c r="FGJ78" s="497"/>
      <c r="FGK78" s="497"/>
      <c r="FGL78" s="497"/>
      <c r="FGM78" s="497"/>
      <c r="FGN78" s="497"/>
      <c r="FGO78" s="497"/>
      <c r="FGP78" s="497"/>
      <c r="FGQ78" s="497"/>
      <c r="FGR78" s="497"/>
      <c r="FGS78" s="497"/>
      <c r="FGT78" s="497"/>
      <c r="FGU78" s="497"/>
      <c r="FGV78" s="497"/>
      <c r="FGW78" s="497"/>
      <c r="FGX78" s="497"/>
      <c r="FGY78" s="497"/>
      <c r="FGZ78" s="497"/>
      <c r="FHA78" s="497"/>
      <c r="FHB78" s="497"/>
      <c r="FHC78" s="497"/>
      <c r="FHD78" s="497"/>
      <c r="FHE78" s="497"/>
      <c r="FHF78" s="497"/>
      <c r="FHG78" s="497"/>
      <c r="FHH78" s="497"/>
      <c r="FHI78" s="497"/>
      <c r="FHJ78" s="497"/>
      <c r="FHK78" s="497"/>
      <c r="FHL78" s="497"/>
      <c r="FHM78" s="497"/>
      <c r="FHN78" s="497"/>
      <c r="FHO78" s="497"/>
      <c r="FHP78" s="497"/>
      <c r="FHQ78" s="497"/>
      <c r="FHR78" s="497"/>
      <c r="FHS78" s="497"/>
      <c r="FHT78" s="497"/>
      <c r="FHU78" s="497"/>
      <c r="FHV78" s="497"/>
      <c r="FHW78" s="497"/>
      <c r="FHX78" s="497"/>
      <c r="FHY78" s="497"/>
      <c r="FHZ78" s="497"/>
      <c r="FIA78" s="497"/>
      <c r="FIB78" s="497"/>
      <c r="FIC78" s="497"/>
      <c r="FID78" s="497"/>
      <c r="FIE78" s="497"/>
      <c r="FIF78" s="497"/>
      <c r="FIG78" s="497"/>
      <c r="FIH78" s="497"/>
      <c r="FII78" s="497"/>
      <c r="FIJ78" s="497"/>
      <c r="FIK78" s="497"/>
      <c r="FIL78" s="497"/>
      <c r="FIM78" s="497"/>
      <c r="FIN78" s="497"/>
      <c r="FIO78" s="497"/>
      <c r="FIP78" s="497"/>
      <c r="FIQ78" s="497"/>
      <c r="FIR78" s="497"/>
      <c r="FIS78" s="497"/>
      <c r="FIT78" s="497"/>
      <c r="FIU78" s="497"/>
      <c r="FIV78" s="497"/>
      <c r="FIW78" s="497"/>
      <c r="FIX78" s="497"/>
      <c r="FIY78" s="497"/>
      <c r="FIZ78" s="497"/>
      <c r="FJA78" s="497"/>
      <c r="FJB78" s="497"/>
      <c r="FJC78" s="497"/>
      <c r="FJD78" s="497"/>
      <c r="FJE78" s="497"/>
      <c r="FJF78" s="497"/>
      <c r="FJG78" s="497"/>
      <c r="FJH78" s="497"/>
      <c r="FJI78" s="497"/>
      <c r="FJJ78" s="497"/>
      <c r="FJK78" s="497"/>
      <c r="FJL78" s="497"/>
      <c r="FJM78" s="497"/>
      <c r="FJN78" s="497"/>
      <c r="FJO78" s="497"/>
      <c r="FJP78" s="497"/>
      <c r="FJQ78" s="497"/>
      <c r="FJR78" s="497"/>
      <c r="FJS78" s="497"/>
      <c r="FJT78" s="497"/>
      <c r="FJU78" s="497"/>
      <c r="FJV78" s="497"/>
      <c r="FJW78" s="497"/>
      <c r="FJX78" s="497"/>
      <c r="FJY78" s="497"/>
      <c r="FJZ78" s="497"/>
      <c r="FKA78" s="497"/>
      <c r="FKB78" s="497"/>
      <c r="FKC78" s="497"/>
      <c r="FKD78" s="497"/>
      <c r="FKE78" s="497"/>
      <c r="FKF78" s="497"/>
      <c r="FKG78" s="497"/>
      <c r="FKH78" s="497"/>
      <c r="FKI78" s="497"/>
      <c r="FKJ78" s="497"/>
      <c r="FKK78" s="497"/>
      <c r="FKL78" s="497"/>
      <c r="FKM78" s="497"/>
      <c r="FKN78" s="497"/>
      <c r="FKO78" s="497"/>
      <c r="FKP78" s="497"/>
      <c r="FKQ78" s="497"/>
      <c r="FKR78" s="497"/>
      <c r="FKS78" s="497"/>
      <c r="FKT78" s="497"/>
      <c r="FKU78" s="497"/>
      <c r="FKV78" s="497"/>
      <c r="FKW78" s="497"/>
      <c r="FKX78" s="497"/>
      <c r="FKY78" s="497"/>
      <c r="FKZ78" s="497"/>
      <c r="FLA78" s="497"/>
      <c r="FLB78" s="497"/>
      <c r="FLC78" s="497"/>
      <c r="FLD78" s="497"/>
      <c r="FLE78" s="497"/>
      <c r="FLF78" s="497"/>
      <c r="FLG78" s="497"/>
      <c r="FLH78" s="497"/>
      <c r="FLI78" s="497"/>
      <c r="FLJ78" s="497"/>
      <c r="FLK78" s="497"/>
      <c r="FLL78" s="497"/>
      <c r="FLM78" s="497"/>
      <c r="FLN78" s="497"/>
      <c r="FLO78" s="497"/>
      <c r="FLP78" s="497"/>
      <c r="FLQ78" s="497"/>
      <c r="FLR78" s="497"/>
      <c r="FLS78" s="497"/>
      <c r="FLT78" s="497"/>
      <c r="FLU78" s="497"/>
      <c r="FLV78" s="497"/>
      <c r="FLW78" s="497"/>
      <c r="FLX78" s="497"/>
      <c r="FLY78" s="497"/>
      <c r="FLZ78" s="497"/>
      <c r="FMA78" s="497"/>
      <c r="FMB78" s="497"/>
      <c r="FMC78" s="497"/>
      <c r="FMD78" s="497"/>
      <c r="FME78" s="497"/>
      <c r="FMF78" s="497"/>
      <c r="FMG78" s="497"/>
      <c r="FMH78" s="497"/>
      <c r="FMI78" s="497"/>
      <c r="FMJ78" s="497"/>
      <c r="FMK78" s="497"/>
      <c r="FML78" s="497"/>
      <c r="FMM78" s="497"/>
      <c r="FMN78" s="497"/>
      <c r="FMO78" s="497"/>
      <c r="FMP78" s="497"/>
      <c r="FMQ78" s="497"/>
      <c r="FMR78" s="497"/>
      <c r="FMS78" s="497"/>
      <c r="FMT78" s="497"/>
      <c r="FMU78" s="497"/>
      <c r="FMV78" s="497"/>
      <c r="FMW78" s="497"/>
      <c r="FMX78" s="497"/>
      <c r="FMY78" s="497"/>
      <c r="FMZ78" s="497"/>
      <c r="FNA78" s="497"/>
      <c r="FNB78" s="497"/>
      <c r="FNC78" s="497"/>
      <c r="FND78" s="497"/>
      <c r="FNE78" s="497"/>
      <c r="FNF78" s="497"/>
      <c r="FNG78" s="497"/>
      <c r="FNH78" s="497"/>
      <c r="FNI78" s="497"/>
      <c r="FNJ78" s="497"/>
      <c r="FNK78" s="497"/>
      <c r="FNL78" s="497"/>
      <c r="FNM78" s="497"/>
      <c r="FNN78" s="497"/>
      <c r="FNO78" s="497"/>
      <c r="FNP78" s="497"/>
      <c r="FNQ78" s="497"/>
      <c r="FNR78" s="497"/>
      <c r="FNS78" s="497"/>
      <c r="FNT78" s="497"/>
      <c r="FNU78" s="497"/>
      <c r="FNV78" s="497"/>
      <c r="FNW78" s="497"/>
      <c r="FNX78" s="497"/>
      <c r="FNY78" s="497"/>
      <c r="FNZ78" s="497"/>
      <c r="FOA78" s="497"/>
      <c r="FOB78" s="497"/>
      <c r="FOC78" s="497"/>
      <c r="FOD78" s="497"/>
      <c r="FOE78" s="497"/>
      <c r="FOF78" s="497"/>
      <c r="FOG78" s="497"/>
      <c r="FOH78" s="497"/>
      <c r="FOI78" s="497"/>
      <c r="FOJ78" s="497"/>
      <c r="FOK78" s="497"/>
      <c r="FOL78" s="497"/>
      <c r="FOM78" s="497"/>
      <c r="FON78" s="497"/>
      <c r="FOO78" s="497"/>
      <c r="FOP78" s="497"/>
      <c r="FOQ78" s="497"/>
      <c r="FOR78" s="497"/>
      <c r="FOS78" s="497"/>
      <c r="FOT78" s="497"/>
      <c r="FOU78" s="497"/>
      <c r="FOV78" s="497"/>
      <c r="FOW78" s="497"/>
      <c r="FOX78" s="497"/>
      <c r="FOY78" s="497"/>
      <c r="FOZ78" s="497"/>
      <c r="FPA78" s="497"/>
      <c r="FPB78" s="497"/>
      <c r="FPC78" s="497"/>
      <c r="FPD78" s="497"/>
      <c r="FPE78" s="497"/>
      <c r="FPF78" s="497"/>
      <c r="FPG78" s="497"/>
      <c r="FPH78" s="497"/>
      <c r="FPI78" s="497"/>
      <c r="FPJ78" s="497"/>
      <c r="FPK78" s="497"/>
      <c r="FPL78" s="497"/>
      <c r="FPM78" s="497"/>
      <c r="FPN78" s="497"/>
      <c r="FPO78" s="497"/>
      <c r="FPP78" s="497"/>
      <c r="FPQ78" s="497"/>
      <c r="FPR78" s="497"/>
      <c r="FPS78" s="497"/>
      <c r="FPT78" s="497"/>
      <c r="FPU78" s="497"/>
      <c r="FPV78" s="497"/>
      <c r="FPW78" s="497"/>
      <c r="FPX78" s="497"/>
      <c r="FPY78" s="497"/>
      <c r="FPZ78" s="497"/>
      <c r="FQA78" s="497"/>
      <c r="FQB78" s="497"/>
      <c r="FQC78" s="497"/>
      <c r="FQD78" s="497"/>
      <c r="FQE78" s="497"/>
      <c r="FQF78" s="497"/>
      <c r="FQG78" s="497"/>
      <c r="FQH78" s="497"/>
      <c r="FQI78" s="497"/>
      <c r="FQJ78" s="497"/>
      <c r="FQK78" s="497"/>
      <c r="FQL78" s="497"/>
      <c r="FQM78" s="497"/>
      <c r="FQN78" s="497"/>
      <c r="FQO78" s="497"/>
      <c r="FQP78" s="497"/>
      <c r="FQQ78" s="497"/>
      <c r="FQR78" s="497"/>
      <c r="FQS78" s="497"/>
      <c r="FQT78" s="497"/>
      <c r="FQU78" s="497"/>
      <c r="FQV78" s="497"/>
      <c r="FQW78" s="497"/>
      <c r="FQX78" s="497"/>
      <c r="FQY78" s="497"/>
      <c r="FQZ78" s="497"/>
      <c r="FRA78" s="497"/>
      <c r="FRB78" s="497"/>
      <c r="FRC78" s="497"/>
      <c r="FRD78" s="497"/>
      <c r="FRE78" s="497"/>
      <c r="FRF78" s="497"/>
      <c r="FRG78" s="497"/>
      <c r="FRH78" s="497"/>
      <c r="FRI78" s="497"/>
      <c r="FRJ78" s="497"/>
      <c r="FRK78" s="497"/>
      <c r="FRL78" s="497"/>
      <c r="FRM78" s="497"/>
      <c r="FRN78" s="497"/>
      <c r="FRO78" s="497"/>
      <c r="FRP78" s="497"/>
      <c r="FRQ78" s="497"/>
      <c r="FRR78" s="497"/>
      <c r="FRS78" s="497"/>
      <c r="FRT78" s="497"/>
      <c r="FRU78" s="497"/>
      <c r="FRV78" s="497"/>
      <c r="FRW78" s="497"/>
      <c r="FRX78" s="497"/>
      <c r="FRY78" s="497"/>
      <c r="FRZ78" s="497"/>
      <c r="FSA78" s="497"/>
      <c r="FSB78" s="497"/>
      <c r="FSC78" s="497"/>
      <c r="FSD78" s="497"/>
      <c r="FSE78" s="497"/>
      <c r="FSF78" s="497"/>
      <c r="FSG78" s="497"/>
      <c r="FSH78" s="497"/>
      <c r="FSI78" s="497"/>
      <c r="FSJ78" s="497"/>
      <c r="FSK78" s="497"/>
      <c r="FSL78" s="497"/>
      <c r="FSM78" s="497"/>
      <c r="FSN78" s="497"/>
      <c r="FSO78" s="497"/>
      <c r="FSP78" s="497"/>
      <c r="FSQ78" s="497"/>
      <c r="FSR78" s="497"/>
      <c r="FSS78" s="497"/>
      <c r="FST78" s="497"/>
      <c r="FSU78" s="497"/>
      <c r="FSV78" s="497"/>
      <c r="FSW78" s="497"/>
      <c r="FSX78" s="497"/>
      <c r="FSY78" s="497"/>
      <c r="FSZ78" s="497"/>
      <c r="FTA78" s="497"/>
      <c r="FTB78" s="497"/>
      <c r="FTC78" s="497"/>
      <c r="FTD78" s="497"/>
      <c r="FTE78" s="497"/>
      <c r="FTF78" s="497"/>
      <c r="FTG78" s="497"/>
      <c r="FTH78" s="497"/>
      <c r="FTI78" s="497"/>
      <c r="FTJ78" s="497"/>
      <c r="FTK78" s="497"/>
      <c r="FTL78" s="497"/>
      <c r="FTM78" s="497"/>
      <c r="FTN78" s="497"/>
      <c r="FTO78" s="497"/>
      <c r="FTP78" s="497"/>
      <c r="FTQ78" s="497"/>
      <c r="FTR78" s="497"/>
      <c r="FTS78" s="497"/>
      <c r="FTT78" s="497"/>
      <c r="FTU78" s="497"/>
      <c r="FTV78" s="497"/>
      <c r="FTW78" s="497"/>
      <c r="FTX78" s="497"/>
      <c r="FTY78" s="497"/>
      <c r="FTZ78" s="497"/>
      <c r="FUA78" s="497"/>
      <c r="FUB78" s="497"/>
      <c r="FUC78" s="497"/>
      <c r="FUD78" s="497"/>
      <c r="FUE78" s="497"/>
      <c r="FUF78" s="497"/>
      <c r="FUG78" s="497"/>
      <c r="FUH78" s="497"/>
      <c r="FUI78" s="497"/>
      <c r="FUJ78" s="497"/>
      <c r="FUK78" s="497"/>
      <c r="FUL78" s="497"/>
      <c r="FUM78" s="497"/>
      <c r="FUN78" s="497"/>
      <c r="FUO78" s="497"/>
      <c r="FUP78" s="497"/>
      <c r="FUQ78" s="497"/>
      <c r="FUR78" s="497"/>
      <c r="FUS78" s="497"/>
      <c r="FUT78" s="497"/>
      <c r="FUU78" s="497"/>
      <c r="FUV78" s="497"/>
      <c r="FUW78" s="497"/>
      <c r="FUX78" s="497"/>
      <c r="FUY78" s="497"/>
      <c r="FUZ78" s="497"/>
      <c r="FVA78" s="497"/>
      <c r="FVB78" s="497"/>
      <c r="FVC78" s="497"/>
      <c r="FVD78" s="497"/>
      <c r="FVE78" s="497"/>
      <c r="FVF78" s="497"/>
      <c r="FVG78" s="497"/>
      <c r="FVH78" s="497"/>
      <c r="FVI78" s="497"/>
      <c r="FVJ78" s="497"/>
      <c r="FVK78" s="497"/>
      <c r="FVL78" s="497"/>
      <c r="FVM78" s="497"/>
      <c r="FVN78" s="497"/>
      <c r="FVO78" s="497"/>
      <c r="FVP78" s="497"/>
      <c r="FVQ78" s="497"/>
      <c r="FVR78" s="497"/>
      <c r="FVS78" s="497"/>
      <c r="FVT78" s="497"/>
      <c r="FVU78" s="497"/>
      <c r="FVV78" s="497"/>
      <c r="FVW78" s="497"/>
      <c r="FVX78" s="497"/>
      <c r="FVY78" s="497"/>
      <c r="FVZ78" s="497"/>
      <c r="FWA78" s="497"/>
      <c r="FWB78" s="497"/>
      <c r="FWC78" s="497"/>
      <c r="FWD78" s="497"/>
      <c r="FWE78" s="497"/>
      <c r="FWF78" s="497"/>
      <c r="FWG78" s="497"/>
      <c r="FWH78" s="497"/>
      <c r="FWI78" s="497"/>
      <c r="FWJ78" s="497"/>
      <c r="FWK78" s="497"/>
      <c r="FWL78" s="497"/>
      <c r="FWM78" s="497"/>
      <c r="FWN78" s="497"/>
      <c r="FWO78" s="497"/>
      <c r="FWP78" s="497"/>
      <c r="FWQ78" s="497"/>
      <c r="FWR78" s="497"/>
      <c r="FWS78" s="497"/>
      <c r="FWT78" s="497"/>
      <c r="FWU78" s="497"/>
      <c r="FWV78" s="497"/>
      <c r="FWW78" s="497"/>
      <c r="FWX78" s="497"/>
      <c r="FWY78" s="497"/>
      <c r="FWZ78" s="497"/>
      <c r="FXA78" s="497"/>
      <c r="FXB78" s="497"/>
      <c r="FXC78" s="497"/>
      <c r="FXD78" s="497"/>
      <c r="FXE78" s="497"/>
      <c r="FXF78" s="497"/>
      <c r="FXG78" s="497"/>
      <c r="FXH78" s="497"/>
      <c r="FXI78" s="497"/>
      <c r="FXJ78" s="497"/>
      <c r="FXK78" s="497"/>
      <c r="FXL78" s="497"/>
      <c r="FXM78" s="497"/>
      <c r="FXN78" s="497"/>
      <c r="FXO78" s="497"/>
      <c r="FXP78" s="497"/>
      <c r="FXQ78" s="497"/>
      <c r="FXR78" s="497"/>
      <c r="FXS78" s="497"/>
      <c r="FXT78" s="497"/>
      <c r="FXU78" s="497"/>
      <c r="FXV78" s="497"/>
      <c r="FXW78" s="497"/>
      <c r="FXX78" s="497"/>
      <c r="FXY78" s="497"/>
      <c r="FXZ78" s="497"/>
      <c r="FYA78" s="497"/>
      <c r="FYB78" s="497"/>
      <c r="FYC78" s="497"/>
      <c r="FYD78" s="497"/>
      <c r="FYE78" s="497"/>
      <c r="FYF78" s="497"/>
      <c r="FYG78" s="497"/>
      <c r="FYH78" s="497"/>
      <c r="FYI78" s="497"/>
      <c r="FYJ78" s="497"/>
      <c r="FYK78" s="497"/>
      <c r="FYL78" s="497"/>
      <c r="FYM78" s="497"/>
      <c r="FYN78" s="497"/>
      <c r="FYO78" s="497"/>
      <c r="FYP78" s="497"/>
      <c r="FYQ78" s="497"/>
      <c r="FYR78" s="497"/>
      <c r="FYS78" s="497"/>
      <c r="FYT78" s="497"/>
      <c r="FYU78" s="497"/>
      <c r="FYV78" s="497"/>
      <c r="FYW78" s="497"/>
      <c r="FYX78" s="497"/>
      <c r="FYY78" s="497"/>
      <c r="FYZ78" s="497"/>
      <c r="FZA78" s="497"/>
      <c r="FZB78" s="497"/>
      <c r="FZC78" s="497"/>
      <c r="FZD78" s="497"/>
      <c r="FZE78" s="497"/>
      <c r="FZF78" s="497"/>
      <c r="FZG78" s="497"/>
      <c r="FZH78" s="497"/>
      <c r="FZI78" s="497"/>
      <c r="FZJ78" s="497"/>
      <c r="FZK78" s="497"/>
      <c r="FZL78" s="497"/>
      <c r="FZM78" s="497"/>
      <c r="FZN78" s="497"/>
      <c r="FZO78" s="497"/>
      <c r="FZP78" s="497"/>
      <c r="FZQ78" s="497"/>
      <c r="FZR78" s="497"/>
      <c r="FZS78" s="497"/>
      <c r="FZT78" s="497"/>
      <c r="FZU78" s="497"/>
      <c r="FZV78" s="497"/>
      <c r="FZW78" s="497"/>
      <c r="FZX78" s="497"/>
      <c r="FZY78" s="497"/>
      <c r="FZZ78" s="497"/>
      <c r="GAA78" s="497"/>
      <c r="GAB78" s="497"/>
      <c r="GAC78" s="497"/>
      <c r="GAD78" s="497"/>
      <c r="GAE78" s="497"/>
      <c r="GAF78" s="497"/>
      <c r="GAG78" s="497"/>
      <c r="GAH78" s="497"/>
      <c r="GAI78" s="497"/>
      <c r="GAJ78" s="497"/>
      <c r="GAK78" s="497"/>
      <c r="GAL78" s="497"/>
      <c r="GAM78" s="497"/>
      <c r="GAN78" s="497"/>
      <c r="GAO78" s="497"/>
      <c r="GAP78" s="497"/>
      <c r="GAQ78" s="497"/>
      <c r="GAR78" s="497"/>
      <c r="GAS78" s="497"/>
      <c r="GAT78" s="497"/>
      <c r="GAU78" s="497"/>
      <c r="GAV78" s="497"/>
      <c r="GAW78" s="497"/>
      <c r="GAX78" s="497"/>
      <c r="GAY78" s="497"/>
      <c r="GAZ78" s="497"/>
      <c r="GBA78" s="497"/>
      <c r="GBB78" s="497"/>
      <c r="GBC78" s="497"/>
      <c r="GBD78" s="497"/>
      <c r="GBE78" s="497"/>
      <c r="GBF78" s="497"/>
      <c r="GBG78" s="497"/>
      <c r="GBH78" s="497"/>
      <c r="GBI78" s="497"/>
      <c r="GBJ78" s="497"/>
      <c r="GBK78" s="497"/>
      <c r="GBL78" s="497"/>
      <c r="GBM78" s="497"/>
      <c r="GBN78" s="497"/>
      <c r="GBO78" s="497"/>
      <c r="GBP78" s="497"/>
      <c r="GBQ78" s="497"/>
      <c r="GBR78" s="497"/>
      <c r="GBS78" s="497"/>
      <c r="GBT78" s="497"/>
      <c r="GBU78" s="497"/>
      <c r="GBV78" s="497"/>
      <c r="GBW78" s="497"/>
      <c r="GBX78" s="497"/>
      <c r="GBY78" s="497"/>
      <c r="GBZ78" s="497"/>
      <c r="GCA78" s="497"/>
      <c r="GCB78" s="497"/>
      <c r="GCC78" s="497"/>
      <c r="GCD78" s="497"/>
      <c r="GCE78" s="497"/>
      <c r="GCF78" s="497"/>
      <c r="GCG78" s="497"/>
      <c r="GCH78" s="497"/>
      <c r="GCI78" s="497"/>
      <c r="GCJ78" s="497"/>
      <c r="GCK78" s="497"/>
      <c r="GCL78" s="497"/>
      <c r="GCM78" s="497"/>
      <c r="GCN78" s="497"/>
      <c r="GCO78" s="497"/>
      <c r="GCP78" s="497"/>
      <c r="GCQ78" s="497"/>
      <c r="GCR78" s="497"/>
      <c r="GCS78" s="497"/>
      <c r="GCT78" s="497"/>
      <c r="GCU78" s="497"/>
      <c r="GCV78" s="497"/>
      <c r="GCW78" s="497"/>
      <c r="GCX78" s="497"/>
      <c r="GCY78" s="497"/>
      <c r="GCZ78" s="497"/>
      <c r="GDA78" s="497"/>
      <c r="GDB78" s="497"/>
      <c r="GDC78" s="497"/>
      <c r="GDD78" s="497"/>
      <c r="GDE78" s="497"/>
      <c r="GDF78" s="497"/>
      <c r="GDG78" s="497"/>
      <c r="GDH78" s="497"/>
      <c r="GDI78" s="497"/>
      <c r="GDJ78" s="497"/>
      <c r="GDK78" s="497"/>
      <c r="GDL78" s="497"/>
      <c r="GDM78" s="497"/>
      <c r="GDN78" s="497"/>
      <c r="GDO78" s="497"/>
      <c r="GDP78" s="497"/>
      <c r="GDQ78" s="497"/>
      <c r="GDR78" s="497"/>
      <c r="GDS78" s="497"/>
      <c r="GDT78" s="497"/>
      <c r="GDU78" s="497"/>
      <c r="GDV78" s="497"/>
      <c r="GDW78" s="497"/>
      <c r="GDX78" s="497"/>
      <c r="GDY78" s="497"/>
      <c r="GDZ78" s="497"/>
      <c r="GEA78" s="497"/>
      <c r="GEB78" s="497"/>
      <c r="GEC78" s="497"/>
      <c r="GED78" s="497"/>
      <c r="GEE78" s="497"/>
      <c r="GEF78" s="497"/>
      <c r="GEG78" s="497"/>
      <c r="GEH78" s="497"/>
      <c r="GEI78" s="497"/>
      <c r="GEJ78" s="497"/>
      <c r="GEK78" s="497"/>
      <c r="GEL78" s="497"/>
      <c r="GEM78" s="497"/>
      <c r="GEN78" s="497"/>
      <c r="GEO78" s="497"/>
      <c r="GEP78" s="497"/>
      <c r="GEQ78" s="497"/>
      <c r="GER78" s="497"/>
      <c r="GES78" s="497"/>
      <c r="GET78" s="497"/>
      <c r="GEU78" s="497"/>
      <c r="GEV78" s="497"/>
      <c r="GEW78" s="497"/>
      <c r="GEX78" s="497"/>
      <c r="GEY78" s="497"/>
      <c r="GEZ78" s="497"/>
      <c r="GFA78" s="497"/>
      <c r="GFB78" s="497"/>
      <c r="GFC78" s="497"/>
      <c r="GFD78" s="497"/>
      <c r="GFE78" s="497"/>
      <c r="GFF78" s="497"/>
      <c r="GFG78" s="497"/>
      <c r="GFH78" s="497"/>
      <c r="GFI78" s="497"/>
      <c r="GFJ78" s="497"/>
      <c r="GFK78" s="497"/>
      <c r="GFL78" s="497"/>
      <c r="GFM78" s="497"/>
      <c r="GFN78" s="497"/>
      <c r="GFO78" s="497"/>
      <c r="GFP78" s="497"/>
      <c r="GFQ78" s="497"/>
      <c r="GFR78" s="497"/>
      <c r="GFS78" s="497"/>
      <c r="GFT78" s="497"/>
      <c r="GFU78" s="497"/>
      <c r="GFV78" s="497"/>
      <c r="GFW78" s="497"/>
      <c r="GFX78" s="497"/>
      <c r="GFY78" s="497"/>
      <c r="GFZ78" s="497"/>
      <c r="GGA78" s="497"/>
      <c r="GGB78" s="497"/>
      <c r="GGC78" s="497"/>
      <c r="GGD78" s="497"/>
      <c r="GGE78" s="497"/>
      <c r="GGF78" s="497"/>
      <c r="GGG78" s="497"/>
      <c r="GGH78" s="497"/>
      <c r="GGI78" s="497"/>
      <c r="GGJ78" s="497"/>
      <c r="GGK78" s="497"/>
      <c r="GGL78" s="497"/>
      <c r="GGM78" s="497"/>
      <c r="GGN78" s="497"/>
      <c r="GGO78" s="497"/>
      <c r="GGP78" s="497"/>
      <c r="GGQ78" s="497"/>
      <c r="GGR78" s="497"/>
      <c r="GGS78" s="497"/>
      <c r="GGT78" s="497"/>
      <c r="GGU78" s="497"/>
      <c r="GGV78" s="497"/>
      <c r="GGW78" s="497"/>
      <c r="GGX78" s="497"/>
      <c r="GGY78" s="497"/>
      <c r="GGZ78" s="497"/>
      <c r="GHA78" s="497"/>
      <c r="GHB78" s="497"/>
      <c r="GHC78" s="497"/>
      <c r="GHD78" s="497"/>
      <c r="GHE78" s="497"/>
      <c r="GHF78" s="497"/>
      <c r="GHG78" s="497"/>
      <c r="GHH78" s="497"/>
      <c r="GHI78" s="497"/>
      <c r="GHJ78" s="497"/>
      <c r="GHK78" s="497"/>
      <c r="GHL78" s="497"/>
      <c r="GHM78" s="497"/>
      <c r="GHN78" s="497"/>
      <c r="GHO78" s="497"/>
      <c r="GHP78" s="497"/>
      <c r="GHQ78" s="497"/>
      <c r="GHR78" s="497"/>
      <c r="GHS78" s="497"/>
      <c r="GHT78" s="497"/>
      <c r="GHU78" s="497"/>
      <c r="GHV78" s="497"/>
      <c r="GHW78" s="497"/>
      <c r="GHX78" s="497"/>
      <c r="GHY78" s="497"/>
      <c r="GHZ78" s="497"/>
      <c r="GIA78" s="497"/>
      <c r="GIB78" s="497"/>
      <c r="GIC78" s="497"/>
      <c r="GID78" s="497"/>
      <c r="GIE78" s="497"/>
      <c r="GIF78" s="497"/>
      <c r="GIG78" s="497"/>
      <c r="GIH78" s="497"/>
      <c r="GII78" s="497"/>
      <c r="GIJ78" s="497"/>
      <c r="GIK78" s="497"/>
      <c r="GIL78" s="497"/>
      <c r="GIM78" s="497"/>
      <c r="GIN78" s="497"/>
      <c r="GIO78" s="497"/>
      <c r="GIP78" s="497"/>
      <c r="GIQ78" s="497"/>
      <c r="GIR78" s="497"/>
      <c r="GIS78" s="497"/>
      <c r="GIT78" s="497"/>
      <c r="GIU78" s="497"/>
      <c r="GIV78" s="497"/>
      <c r="GIW78" s="497"/>
      <c r="GIX78" s="497"/>
      <c r="GIY78" s="497"/>
      <c r="GIZ78" s="497"/>
      <c r="GJA78" s="497"/>
      <c r="GJB78" s="497"/>
      <c r="GJC78" s="497"/>
      <c r="GJD78" s="497"/>
      <c r="GJE78" s="497"/>
      <c r="GJF78" s="497"/>
      <c r="GJG78" s="497"/>
      <c r="GJH78" s="497"/>
      <c r="GJI78" s="497"/>
      <c r="GJJ78" s="497"/>
      <c r="GJK78" s="497"/>
      <c r="GJL78" s="497"/>
      <c r="GJM78" s="497"/>
      <c r="GJN78" s="497"/>
      <c r="GJO78" s="497"/>
      <c r="GJP78" s="497"/>
      <c r="GJQ78" s="497"/>
      <c r="GJR78" s="497"/>
      <c r="GJS78" s="497"/>
      <c r="GJT78" s="497"/>
      <c r="GJU78" s="497"/>
      <c r="GJV78" s="497"/>
      <c r="GJW78" s="497"/>
      <c r="GJX78" s="497"/>
      <c r="GJY78" s="497"/>
      <c r="GJZ78" s="497"/>
      <c r="GKA78" s="497"/>
      <c r="GKB78" s="497"/>
      <c r="GKC78" s="497"/>
      <c r="GKD78" s="497"/>
      <c r="GKE78" s="497"/>
      <c r="GKF78" s="497"/>
      <c r="GKG78" s="497"/>
      <c r="GKH78" s="497"/>
      <c r="GKI78" s="497"/>
      <c r="GKJ78" s="497"/>
      <c r="GKK78" s="497"/>
      <c r="GKL78" s="497"/>
      <c r="GKM78" s="497"/>
      <c r="GKN78" s="497"/>
      <c r="GKO78" s="497"/>
      <c r="GKP78" s="497"/>
      <c r="GKQ78" s="497"/>
      <c r="GKR78" s="497"/>
      <c r="GKS78" s="497"/>
      <c r="GKT78" s="497"/>
      <c r="GKU78" s="497"/>
      <c r="GKV78" s="497"/>
      <c r="GKW78" s="497"/>
      <c r="GKX78" s="497"/>
      <c r="GKY78" s="497"/>
      <c r="GKZ78" s="497"/>
      <c r="GLA78" s="497"/>
      <c r="GLB78" s="497"/>
      <c r="GLC78" s="497"/>
      <c r="GLD78" s="497"/>
      <c r="GLE78" s="497"/>
      <c r="GLF78" s="497"/>
      <c r="GLG78" s="497"/>
      <c r="GLH78" s="497"/>
      <c r="GLI78" s="497"/>
      <c r="GLJ78" s="497"/>
      <c r="GLK78" s="497"/>
      <c r="GLL78" s="497"/>
      <c r="GLM78" s="497"/>
      <c r="GLN78" s="497"/>
      <c r="GLO78" s="497"/>
      <c r="GLP78" s="497"/>
      <c r="GLQ78" s="497"/>
      <c r="GLR78" s="497"/>
      <c r="GLS78" s="497"/>
      <c r="GLT78" s="497"/>
      <c r="GLU78" s="497"/>
      <c r="GLV78" s="497"/>
      <c r="GLW78" s="497"/>
      <c r="GLX78" s="497"/>
      <c r="GLY78" s="497"/>
      <c r="GLZ78" s="497"/>
      <c r="GMA78" s="497"/>
      <c r="GMB78" s="497"/>
      <c r="GMC78" s="497"/>
      <c r="GMD78" s="497"/>
      <c r="GME78" s="497"/>
      <c r="GMF78" s="497"/>
      <c r="GMG78" s="497"/>
      <c r="GMH78" s="497"/>
      <c r="GMI78" s="497"/>
      <c r="GMJ78" s="497"/>
      <c r="GMK78" s="497"/>
      <c r="GML78" s="497"/>
      <c r="GMM78" s="497"/>
      <c r="GMN78" s="497"/>
      <c r="GMO78" s="497"/>
      <c r="GMP78" s="497"/>
      <c r="GMQ78" s="497"/>
      <c r="GMR78" s="497"/>
      <c r="GMS78" s="497"/>
      <c r="GMT78" s="497"/>
      <c r="GMU78" s="497"/>
      <c r="GMV78" s="497"/>
      <c r="GMW78" s="497"/>
      <c r="GMX78" s="497"/>
      <c r="GMY78" s="497"/>
      <c r="GMZ78" s="497"/>
      <c r="GNA78" s="497"/>
      <c r="GNB78" s="497"/>
      <c r="GNC78" s="497"/>
      <c r="GND78" s="497"/>
      <c r="GNE78" s="497"/>
      <c r="GNF78" s="497"/>
      <c r="GNG78" s="497"/>
      <c r="GNH78" s="497"/>
      <c r="GNI78" s="497"/>
      <c r="GNJ78" s="497"/>
      <c r="GNK78" s="497"/>
      <c r="GNL78" s="497"/>
      <c r="GNM78" s="497"/>
      <c r="GNN78" s="497"/>
      <c r="GNO78" s="497"/>
      <c r="GNP78" s="497"/>
      <c r="GNQ78" s="497"/>
      <c r="GNR78" s="497"/>
      <c r="GNS78" s="497"/>
      <c r="GNT78" s="497"/>
      <c r="GNU78" s="497"/>
      <c r="GNV78" s="497"/>
      <c r="GNW78" s="497"/>
      <c r="GNX78" s="497"/>
      <c r="GNY78" s="497"/>
      <c r="GNZ78" s="497"/>
      <c r="GOA78" s="497"/>
      <c r="GOB78" s="497"/>
      <c r="GOC78" s="497"/>
      <c r="GOD78" s="497"/>
      <c r="GOE78" s="497"/>
      <c r="GOF78" s="497"/>
      <c r="GOG78" s="497"/>
      <c r="GOH78" s="497"/>
      <c r="GOI78" s="497"/>
      <c r="GOJ78" s="497"/>
      <c r="GOK78" s="497"/>
      <c r="GOL78" s="497"/>
      <c r="GOM78" s="497"/>
      <c r="GON78" s="497"/>
      <c r="GOO78" s="497"/>
      <c r="GOP78" s="497"/>
      <c r="GOQ78" s="497"/>
      <c r="GOR78" s="497"/>
      <c r="GOS78" s="497"/>
      <c r="GOT78" s="497"/>
      <c r="GOU78" s="497"/>
      <c r="GOV78" s="497"/>
      <c r="GOW78" s="497"/>
      <c r="GOX78" s="497"/>
      <c r="GOY78" s="497"/>
      <c r="GOZ78" s="497"/>
      <c r="GPA78" s="497"/>
      <c r="GPB78" s="497"/>
      <c r="GPC78" s="497"/>
      <c r="GPD78" s="497"/>
      <c r="GPE78" s="497"/>
      <c r="GPF78" s="497"/>
      <c r="GPG78" s="497"/>
      <c r="GPH78" s="497"/>
      <c r="GPI78" s="497"/>
      <c r="GPJ78" s="497"/>
      <c r="GPK78" s="497"/>
      <c r="GPL78" s="497"/>
      <c r="GPM78" s="497"/>
      <c r="GPN78" s="497"/>
      <c r="GPO78" s="497"/>
      <c r="GPP78" s="497"/>
      <c r="GPQ78" s="497"/>
      <c r="GPR78" s="497"/>
      <c r="GPS78" s="497"/>
      <c r="GPT78" s="497"/>
      <c r="GPU78" s="497"/>
      <c r="GPV78" s="497"/>
      <c r="GPW78" s="497"/>
      <c r="GPX78" s="497"/>
      <c r="GPY78" s="497"/>
      <c r="GPZ78" s="497"/>
      <c r="GQA78" s="497"/>
      <c r="GQB78" s="497"/>
      <c r="GQC78" s="497"/>
      <c r="GQD78" s="497"/>
      <c r="GQE78" s="497"/>
      <c r="GQF78" s="497"/>
      <c r="GQG78" s="497"/>
      <c r="GQH78" s="497"/>
      <c r="GQI78" s="497"/>
      <c r="GQJ78" s="497"/>
      <c r="GQK78" s="497"/>
      <c r="GQL78" s="497"/>
      <c r="GQM78" s="497"/>
      <c r="GQN78" s="497"/>
      <c r="GQO78" s="497"/>
      <c r="GQP78" s="497"/>
      <c r="GQQ78" s="497"/>
      <c r="GQR78" s="497"/>
      <c r="GQS78" s="497"/>
      <c r="GQT78" s="497"/>
      <c r="GQU78" s="497"/>
      <c r="GQV78" s="497"/>
      <c r="GQW78" s="497"/>
      <c r="GQX78" s="497"/>
      <c r="GQY78" s="497"/>
      <c r="GQZ78" s="497"/>
      <c r="GRA78" s="497"/>
      <c r="GRB78" s="497"/>
      <c r="GRC78" s="497"/>
      <c r="GRD78" s="497"/>
      <c r="GRE78" s="497"/>
      <c r="GRF78" s="497"/>
      <c r="GRG78" s="497"/>
      <c r="GRH78" s="497"/>
      <c r="GRI78" s="497"/>
      <c r="GRJ78" s="497"/>
      <c r="GRK78" s="497"/>
      <c r="GRL78" s="497"/>
      <c r="GRM78" s="497"/>
      <c r="GRN78" s="497"/>
      <c r="GRO78" s="497"/>
      <c r="GRP78" s="497"/>
      <c r="GRQ78" s="497"/>
      <c r="GRR78" s="497"/>
      <c r="GRS78" s="497"/>
      <c r="GRT78" s="497"/>
      <c r="GRU78" s="497"/>
      <c r="GRV78" s="497"/>
      <c r="GRW78" s="497"/>
      <c r="GRX78" s="497"/>
      <c r="GRY78" s="497"/>
      <c r="GRZ78" s="497"/>
      <c r="GSA78" s="497"/>
      <c r="GSB78" s="497"/>
      <c r="GSC78" s="497"/>
      <c r="GSD78" s="497"/>
      <c r="GSE78" s="497"/>
      <c r="GSF78" s="497"/>
      <c r="GSG78" s="497"/>
      <c r="GSH78" s="497"/>
      <c r="GSI78" s="497"/>
      <c r="GSJ78" s="497"/>
      <c r="GSK78" s="497"/>
      <c r="GSL78" s="497"/>
      <c r="GSM78" s="497"/>
      <c r="GSN78" s="497"/>
      <c r="GSO78" s="497"/>
      <c r="GSP78" s="497"/>
      <c r="GSQ78" s="497"/>
      <c r="GSR78" s="497"/>
      <c r="GSS78" s="497"/>
      <c r="GST78" s="497"/>
      <c r="GSU78" s="497"/>
      <c r="GSV78" s="497"/>
      <c r="GSW78" s="497"/>
      <c r="GSX78" s="497"/>
      <c r="GSY78" s="497"/>
      <c r="GSZ78" s="497"/>
      <c r="GTA78" s="497"/>
      <c r="GTB78" s="497"/>
      <c r="GTC78" s="497"/>
      <c r="GTD78" s="497"/>
      <c r="GTE78" s="497"/>
      <c r="GTF78" s="497"/>
      <c r="GTG78" s="497"/>
      <c r="GTH78" s="497"/>
      <c r="GTI78" s="497"/>
      <c r="GTJ78" s="497"/>
      <c r="GTK78" s="497"/>
      <c r="GTL78" s="497"/>
      <c r="GTM78" s="497"/>
      <c r="GTN78" s="497"/>
      <c r="GTO78" s="497"/>
      <c r="GTP78" s="497"/>
      <c r="GTQ78" s="497"/>
      <c r="GTR78" s="497"/>
      <c r="GTS78" s="497"/>
      <c r="GTT78" s="497"/>
      <c r="GTU78" s="497"/>
      <c r="GTV78" s="497"/>
      <c r="GTW78" s="497"/>
      <c r="GTX78" s="497"/>
      <c r="GTY78" s="497"/>
      <c r="GTZ78" s="497"/>
      <c r="GUA78" s="497"/>
      <c r="GUB78" s="497"/>
      <c r="GUC78" s="497"/>
      <c r="GUD78" s="497"/>
      <c r="GUE78" s="497"/>
      <c r="GUF78" s="497"/>
      <c r="GUG78" s="497"/>
      <c r="GUH78" s="497"/>
      <c r="GUI78" s="497"/>
      <c r="GUJ78" s="497"/>
      <c r="GUK78" s="497"/>
      <c r="GUL78" s="497"/>
      <c r="GUM78" s="497"/>
      <c r="GUN78" s="497"/>
      <c r="GUO78" s="497"/>
      <c r="GUP78" s="497"/>
      <c r="GUQ78" s="497"/>
      <c r="GUR78" s="497"/>
      <c r="GUS78" s="497"/>
      <c r="GUT78" s="497"/>
      <c r="GUU78" s="497"/>
      <c r="GUV78" s="497"/>
      <c r="GUW78" s="497"/>
      <c r="GUX78" s="497"/>
      <c r="GUY78" s="497"/>
      <c r="GUZ78" s="497"/>
      <c r="GVA78" s="497"/>
      <c r="GVB78" s="497"/>
      <c r="GVC78" s="497"/>
      <c r="GVD78" s="497"/>
      <c r="GVE78" s="497"/>
      <c r="GVF78" s="497"/>
      <c r="GVG78" s="497"/>
      <c r="GVH78" s="497"/>
      <c r="GVI78" s="497"/>
      <c r="GVJ78" s="497"/>
      <c r="GVK78" s="497"/>
      <c r="GVL78" s="497"/>
      <c r="GVM78" s="497"/>
      <c r="GVN78" s="497"/>
      <c r="GVO78" s="497"/>
      <c r="GVP78" s="497"/>
      <c r="GVQ78" s="497"/>
      <c r="GVR78" s="497"/>
      <c r="GVS78" s="497"/>
      <c r="GVT78" s="497"/>
      <c r="GVU78" s="497"/>
      <c r="GVV78" s="497"/>
      <c r="GVW78" s="497"/>
      <c r="GVX78" s="497"/>
      <c r="GVY78" s="497"/>
      <c r="GVZ78" s="497"/>
      <c r="GWA78" s="497"/>
      <c r="GWB78" s="497"/>
      <c r="GWC78" s="497"/>
      <c r="GWD78" s="497"/>
      <c r="GWE78" s="497"/>
      <c r="GWF78" s="497"/>
      <c r="GWG78" s="497"/>
      <c r="GWH78" s="497"/>
      <c r="GWI78" s="497"/>
      <c r="GWJ78" s="497"/>
      <c r="GWK78" s="497"/>
      <c r="GWL78" s="497"/>
      <c r="GWM78" s="497"/>
      <c r="GWN78" s="497"/>
      <c r="GWO78" s="497"/>
      <c r="GWP78" s="497"/>
      <c r="GWQ78" s="497"/>
      <c r="GWR78" s="497"/>
      <c r="GWS78" s="497"/>
      <c r="GWT78" s="497"/>
      <c r="GWU78" s="497"/>
      <c r="GWV78" s="497"/>
      <c r="GWW78" s="497"/>
      <c r="GWX78" s="497"/>
      <c r="GWY78" s="497"/>
      <c r="GWZ78" s="497"/>
      <c r="GXA78" s="497"/>
      <c r="GXB78" s="497"/>
      <c r="GXC78" s="497"/>
      <c r="GXD78" s="497"/>
      <c r="GXE78" s="497"/>
      <c r="GXF78" s="497"/>
      <c r="GXG78" s="497"/>
      <c r="GXH78" s="497"/>
      <c r="GXI78" s="497"/>
      <c r="GXJ78" s="497"/>
      <c r="GXK78" s="497"/>
      <c r="GXL78" s="497"/>
      <c r="GXM78" s="497"/>
      <c r="GXN78" s="497"/>
      <c r="GXO78" s="497"/>
      <c r="GXP78" s="497"/>
      <c r="GXQ78" s="497"/>
      <c r="GXR78" s="497"/>
      <c r="GXS78" s="497"/>
      <c r="GXT78" s="497"/>
      <c r="GXU78" s="497"/>
      <c r="GXV78" s="497"/>
      <c r="GXW78" s="497"/>
      <c r="GXX78" s="497"/>
      <c r="GXY78" s="497"/>
      <c r="GXZ78" s="497"/>
      <c r="GYA78" s="497"/>
      <c r="GYB78" s="497"/>
      <c r="GYC78" s="497"/>
      <c r="GYD78" s="497"/>
      <c r="GYE78" s="497"/>
      <c r="GYF78" s="497"/>
      <c r="GYG78" s="497"/>
      <c r="GYH78" s="497"/>
      <c r="GYI78" s="497"/>
      <c r="GYJ78" s="497"/>
      <c r="GYK78" s="497"/>
      <c r="GYL78" s="497"/>
      <c r="GYM78" s="497"/>
      <c r="GYN78" s="497"/>
      <c r="GYO78" s="497"/>
      <c r="GYP78" s="497"/>
      <c r="GYQ78" s="497"/>
      <c r="GYR78" s="497"/>
      <c r="GYS78" s="497"/>
      <c r="GYT78" s="497"/>
      <c r="GYU78" s="497"/>
      <c r="GYV78" s="497"/>
      <c r="GYW78" s="497"/>
      <c r="GYX78" s="497"/>
      <c r="GYY78" s="497"/>
      <c r="GYZ78" s="497"/>
      <c r="GZA78" s="497"/>
      <c r="GZB78" s="497"/>
      <c r="GZC78" s="497"/>
      <c r="GZD78" s="497"/>
      <c r="GZE78" s="497"/>
      <c r="GZF78" s="497"/>
      <c r="GZG78" s="497"/>
      <c r="GZH78" s="497"/>
      <c r="GZI78" s="497"/>
      <c r="GZJ78" s="497"/>
      <c r="GZK78" s="497"/>
      <c r="GZL78" s="497"/>
      <c r="GZM78" s="497"/>
      <c r="GZN78" s="497"/>
      <c r="GZO78" s="497"/>
      <c r="GZP78" s="497"/>
      <c r="GZQ78" s="497"/>
      <c r="GZR78" s="497"/>
      <c r="GZS78" s="497"/>
      <c r="GZT78" s="497"/>
      <c r="GZU78" s="497"/>
      <c r="GZV78" s="497"/>
      <c r="GZW78" s="497"/>
      <c r="GZX78" s="497"/>
      <c r="GZY78" s="497"/>
      <c r="GZZ78" s="497"/>
      <c r="HAA78" s="497"/>
      <c r="HAB78" s="497"/>
      <c r="HAC78" s="497"/>
      <c r="HAD78" s="497"/>
      <c r="HAE78" s="497"/>
      <c r="HAF78" s="497"/>
      <c r="HAG78" s="497"/>
      <c r="HAH78" s="497"/>
      <c r="HAI78" s="497"/>
      <c r="HAJ78" s="497"/>
      <c r="HAK78" s="497"/>
      <c r="HAL78" s="497"/>
      <c r="HAM78" s="497"/>
      <c r="HAN78" s="497"/>
      <c r="HAO78" s="497"/>
      <c r="HAP78" s="497"/>
      <c r="HAQ78" s="497"/>
      <c r="HAR78" s="497"/>
      <c r="HAS78" s="497"/>
      <c r="HAT78" s="497"/>
      <c r="HAU78" s="497"/>
      <c r="HAV78" s="497"/>
      <c r="HAW78" s="497"/>
      <c r="HAX78" s="497"/>
      <c r="HAY78" s="497"/>
      <c r="HAZ78" s="497"/>
      <c r="HBA78" s="497"/>
      <c r="HBB78" s="497"/>
      <c r="HBC78" s="497"/>
      <c r="HBD78" s="497"/>
      <c r="HBE78" s="497"/>
      <c r="HBF78" s="497"/>
      <c r="HBG78" s="497"/>
      <c r="HBH78" s="497"/>
      <c r="HBI78" s="497"/>
      <c r="HBJ78" s="497"/>
      <c r="HBK78" s="497"/>
      <c r="HBL78" s="497"/>
      <c r="HBM78" s="497"/>
      <c r="HBN78" s="497"/>
      <c r="HBO78" s="497"/>
      <c r="HBP78" s="497"/>
      <c r="HBQ78" s="497"/>
      <c r="HBR78" s="497"/>
      <c r="HBS78" s="497"/>
      <c r="HBT78" s="497"/>
      <c r="HBU78" s="497"/>
      <c r="HBV78" s="497"/>
      <c r="HBW78" s="497"/>
      <c r="HBX78" s="497"/>
      <c r="HBY78" s="497"/>
      <c r="HBZ78" s="497"/>
      <c r="HCA78" s="497"/>
      <c r="HCB78" s="497"/>
      <c r="HCC78" s="497"/>
      <c r="HCD78" s="497"/>
      <c r="HCE78" s="497"/>
      <c r="HCF78" s="497"/>
      <c r="HCG78" s="497"/>
      <c r="HCH78" s="497"/>
      <c r="HCI78" s="497"/>
      <c r="HCJ78" s="497"/>
      <c r="HCK78" s="497"/>
      <c r="HCL78" s="497"/>
      <c r="HCM78" s="497"/>
      <c r="HCN78" s="497"/>
      <c r="HCO78" s="497"/>
      <c r="HCP78" s="497"/>
      <c r="HCQ78" s="497"/>
      <c r="HCR78" s="497"/>
      <c r="HCS78" s="497"/>
      <c r="HCT78" s="497"/>
      <c r="HCU78" s="497"/>
      <c r="HCV78" s="497"/>
      <c r="HCW78" s="497"/>
      <c r="HCX78" s="497"/>
      <c r="HCY78" s="497"/>
      <c r="HCZ78" s="497"/>
      <c r="HDA78" s="497"/>
      <c r="HDB78" s="497"/>
      <c r="HDC78" s="497"/>
      <c r="HDD78" s="497"/>
      <c r="HDE78" s="497"/>
      <c r="HDF78" s="497"/>
      <c r="HDG78" s="497"/>
      <c r="HDH78" s="497"/>
      <c r="HDI78" s="497"/>
      <c r="HDJ78" s="497"/>
      <c r="HDK78" s="497"/>
      <c r="HDL78" s="497"/>
      <c r="HDM78" s="497"/>
      <c r="HDN78" s="497"/>
      <c r="HDO78" s="497"/>
      <c r="HDP78" s="497"/>
      <c r="HDQ78" s="497"/>
      <c r="HDR78" s="497"/>
      <c r="HDS78" s="497"/>
      <c r="HDT78" s="497"/>
      <c r="HDU78" s="497"/>
      <c r="HDV78" s="497"/>
      <c r="HDW78" s="497"/>
      <c r="HDX78" s="497"/>
      <c r="HDY78" s="497"/>
      <c r="HDZ78" s="497"/>
      <c r="HEA78" s="497"/>
      <c r="HEB78" s="497"/>
      <c r="HEC78" s="497"/>
      <c r="HED78" s="497"/>
      <c r="HEE78" s="497"/>
      <c r="HEF78" s="497"/>
      <c r="HEG78" s="497"/>
      <c r="HEH78" s="497"/>
      <c r="HEI78" s="497"/>
      <c r="HEJ78" s="497"/>
      <c r="HEK78" s="497"/>
      <c r="HEL78" s="497"/>
      <c r="HEM78" s="497"/>
      <c r="HEN78" s="497"/>
      <c r="HEO78" s="497"/>
      <c r="HEP78" s="497"/>
      <c r="HEQ78" s="497"/>
      <c r="HER78" s="497"/>
      <c r="HES78" s="497"/>
      <c r="HET78" s="497"/>
      <c r="HEU78" s="497"/>
      <c r="HEV78" s="497"/>
      <c r="HEW78" s="497"/>
      <c r="HEX78" s="497"/>
      <c r="HEY78" s="497"/>
      <c r="HEZ78" s="497"/>
      <c r="HFA78" s="497"/>
      <c r="HFB78" s="497"/>
      <c r="HFC78" s="497"/>
      <c r="HFD78" s="497"/>
      <c r="HFE78" s="497"/>
      <c r="HFF78" s="497"/>
      <c r="HFG78" s="497"/>
      <c r="HFH78" s="497"/>
      <c r="HFI78" s="497"/>
      <c r="HFJ78" s="497"/>
      <c r="HFK78" s="497"/>
      <c r="HFL78" s="497"/>
      <c r="HFM78" s="497"/>
      <c r="HFN78" s="497"/>
      <c r="HFO78" s="497"/>
      <c r="HFP78" s="497"/>
      <c r="HFQ78" s="497"/>
      <c r="HFR78" s="497"/>
      <c r="HFS78" s="497"/>
      <c r="HFT78" s="497"/>
      <c r="HFU78" s="497"/>
      <c r="HFV78" s="497"/>
      <c r="HFW78" s="497"/>
      <c r="HFX78" s="497"/>
      <c r="HFY78" s="497"/>
      <c r="HFZ78" s="497"/>
      <c r="HGA78" s="497"/>
      <c r="HGB78" s="497"/>
      <c r="HGC78" s="497"/>
      <c r="HGD78" s="497"/>
      <c r="HGE78" s="497"/>
      <c r="HGF78" s="497"/>
      <c r="HGG78" s="497"/>
      <c r="HGH78" s="497"/>
      <c r="HGI78" s="497"/>
      <c r="HGJ78" s="497"/>
      <c r="HGK78" s="497"/>
      <c r="HGL78" s="497"/>
      <c r="HGM78" s="497"/>
      <c r="HGN78" s="497"/>
      <c r="HGO78" s="497"/>
      <c r="HGP78" s="497"/>
      <c r="HGQ78" s="497"/>
      <c r="HGR78" s="497"/>
      <c r="HGS78" s="497"/>
      <c r="HGT78" s="497"/>
      <c r="HGU78" s="497"/>
      <c r="HGV78" s="497"/>
      <c r="HGW78" s="497"/>
      <c r="HGX78" s="497"/>
      <c r="HGY78" s="497"/>
      <c r="HGZ78" s="497"/>
      <c r="HHA78" s="497"/>
      <c r="HHB78" s="497"/>
      <c r="HHC78" s="497"/>
      <c r="HHD78" s="497"/>
      <c r="HHE78" s="497"/>
      <c r="HHF78" s="497"/>
      <c r="HHG78" s="497"/>
      <c r="HHH78" s="497"/>
      <c r="HHI78" s="497"/>
      <c r="HHJ78" s="497"/>
      <c r="HHK78" s="497"/>
      <c r="HHL78" s="497"/>
      <c r="HHM78" s="497"/>
      <c r="HHN78" s="497"/>
      <c r="HHO78" s="497"/>
      <c r="HHP78" s="497"/>
      <c r="HHQ78" s="497"/>
      <c r="HHR78" s="497"/>
      <c r="HHS78" s="497"/>
      <c r="HHT78" s="497"/>
      <c r="HHU78" s="497"/>
      <c r="HHV78" s="497"/>
      <c r="HHW78" s="497"/>
      <c r="HHX78" s="497"/>
      <c r="HHY78" s="497"/>
      <c r="HHZ78" s="497"/>
      <c r="HIA78" s="497"/>
      <c r="HIB78" s="497"/>
      <c r="HIC78" s="497"/>
      <c r="HID78" s="497"/>
      <c r="HIE78" s="497"/>
      <c r="HIF78" s="497"/>
      <c r="HIG78" s="497"/>
      <c r="HIH78" s="497"/>
      <c r="HII78" s="497"/>
      <c r="HIJ78" s="497"/>
      <c r="HIK78" s="497"/>
      <c r="HIL78" s="497"/>
      <c r="HIM78" s="497"/>
      <c r="HIN78" s="497"/>
      <c r="HIO78" s="497"/>
      <c r="HIP78" s="497"/>
      <c r="HIQ78" s="497"/>
      <c r="HIR78" s="497"/>
      <c r="HIS78" s="497"/>
      <c r="HIT78" s="497"/>
      <c r="HIU78" s="497"/>
      <c r="HIV78" s="497"/>
      <c r="HIW78" s="497"/>
      <c r="HIX78" s="497"/>
      <c r="HIY78" s="497"/>
      <c r="HIZ78" s="497"/>
      <c r="HJA78" s="497"/>
      <c r="HJB78" s="497"/>
      <c r="HJC78" s="497"/>
      <c r="HJD78" s="497"/>
      <c r="HJE78" s="497"/>
      <c r="HJF78" s="497"/>
      <c r="HJG78" s="497"/>
      <c r="HJH78" s="497"/>
      <c r="HJI78" s="497"/>
      <c r="HJJ78" s="497"/>
      <c r="HJK78" s="497"/>
      <c r="HJL78" s="497"/>
      <c r="HJM78" s="497"/>
      <c r="HJN78" s="497"/>
      <c r="HJO78" s="497"/>
      <c r="HJP78" s="497"/>
      <c r="HJQ78" s="497"/>
      <c r="HJR78" s="497"/>
      <c r="HJS78" s="497"/>
      <c r="HJT78" s="497"/>
      <c r="HJU78" s="497"/>
      <c r="HJV78" s="497"/>
      <c r="HJW78" s="497"/>
      <c r="HJX78" s="497"/>
      <c r="HJY78" s="497"/>
      <c r="HJZ78" s="497"/>
      <c r="HKA78" s="497"/>
      <c r="HKB78" s="497"/>
      <c r="HKC78" s="497"/>
      <c r="HKD78" s="497"/>
      <c r="HKE78" s="497"/>
      <c r="HKF78" s="497"/>
      <c r="HKG78" s="497"/>
      <c r="HKH78" s="497"/>
      <c r="HKI78" s="497"/>
      <c r="HKJ78" s="497"/>
      <c r="HKK78" s="497"/>
      <c r="HKL78" s="497"/>
      <c r="HKM78" s="497"/>
      <c r="HKN78" s="497"/>
      <c r="HKO78" s="497"/>
      <c r="HKP78" s="497"/>
      <c r="HKQ78" s="497"/>
      <c r="HKR78" s="497"/>
      <c r="HKS78" s="497"/>
      <c r="HKT78" s="497"/>
      <c r="HKU78" s="497"/>
      <c r="HKV78" s="497"/>
      <c r="HKW78" s="497"/>
      <c r="HKX78" s="497"/>
      <c r="HKY78" s="497"/>
      <c r="HKZ78" s="497"/>
      <c r="HLA78" s="497"/>
      <c r="HLB78" s="497"/>
      <c r="HLC78" s="497"/>
      <c r="HLD78" s="497"/>
      <c r="HLE78" s="497"/>
      <c r="HLF78" s="497"/>
      <c r="HLG78" s="497"/>
      <c r="HLH78" s="497"/>
      <c r="HLI78" s="497"/>
      <c r="HLJ78" s="497"/>
      <c r="HLK78" s="497"/>
      <c r="HLL78" s="497"/>
      <c r="HLM78" s="497"/>
      <c r="HLN78" s="497"/>
      <c r="HLO78" s="497"/>
      <c r="HLP78" s="497"/>
      <c r="HLQ78" s="497"/>
      <c r="HLR78" s="497"/>
      <c r="HLS78" s="497"/>
      <c r="HLT78" s="497"/>
      <c r="HLU78" s="497"/>
      <c r="HLV78" s="497"/>
      <c r="HLW78" s="497"/>
      <c r="HLX78" s="497"/>
      <c r="HLY78" s="497"/>
      <c r="HLZ78" s="497"/>
      <c r="HMA78" s="497"/>
      <c r="HMB78" s="497"/>
      <c r="HMC78" s="497"/>
      <c r="HMD78" s="497"/>
      <c r="HME78" s="497"/>
      <c r="HMF78" s="497"/>
      <c r="HMG78" s="497"/>
      <c r="HMH78" s="497"/>
      <c r="HMI78" s="497"/>
      <c r="HMJ78" s="497"/>
      <c r="HMK78" s="497"/>
      <c r="HML78" s="497"/>
      <c r="HMM78" s="497"/>
      <c r="HMN78" s="497"/>
      <c r="HMO78" s="497"/>
      <c r="HMP78" s="497"/>
      <c r="HMQ78" s="497"/>
      <c r="HMR78" s="497"/>
      <c r="HMS78" s="497"/>
      <c r="HMT78" s="497"/>
      <c r="HMU78" s="497"/>
      <c r="HMV78" s="497"/>
      <c r="HMW78" s="497"/>
      <c r="HMX78" s="497"/>
      <c r="HMY78" s="497"/>
      <c r="HMZ78" s="497"/>
      <c r="HNA78" s="497"/>
      <c r="HNB78" s="497"/>
      <c r="HNC78" s="497"/>
      <c r="HND78" s="497"/>
      <c r="HNE78" s="497"/>
      <c r="HNF78" s="497"/>
      <c r="HNG78" s="497"/>
      <c r="HNH78" s="497"/>
      <c r="HNI78" s="497"/>
      <c r="HNJ78" s="497"/>
      <c r="HNK78" s="497"/>
      <c r="HNL78" s="497"/>
      <c r="HNM78" s="497"/>
      <c r="HNN78" s="497"/>
      <c r="HNO78" s="497"/>
      <c r="HNP78" s="497"/>
      <c r="HNQ78" s="497"/>
      <c r="HNR78" s="497"/>
      <c r="HNS78" s="497"/>
      <c r="HNT78" s="497"/>
      <c r="HNU78" s="497"/>
      <c r="HNV78" s="497"/>
      <c r="HNW78" s="497"/>
      <c r="HNX78" s="497"/>
      <c r="HNY78" s="497"/>
      <c r="HNZ78" s="497"/>
      <c r="HOA78" s="497"/>
      <c r="HOB78" s="497"/>
      <c r="HOC78" s="497"/>
      <c r="HOD78" s="497"/>
      <c r="HOE78" s="497"/>
      <c r="HOF78" s="497"/>
      <c r="HOG78" s="497"/>
      <c r="HOH78" s="497"/>
      <c r="HOI78" s="497"/>
      <c r="HOJ78" s="497"/>
      <c r="HOK78" s="497"/>
      <c r="HOL78" s="497"/>
      <c r="HOM78" s="497"/>
      <c r="HON78" s="497"/>
      <c r="HOO78" s="497"/>
      <c r="HOP78" s="497"/>
      <c r="HOQ78" s="497"/>
      <c r="HOR78" s="497"/>
      <c r="HOS78" s="497"/>
      <c r="HOT78" s="497"/>
      <c r="HOU78" s="497"/>
      <c r="HOV78" s="497"/>
      <c r="HOW78" s="497"/>
      <c r="HOX78" s="497"/>
      <c r="HOY78" s="497"/>
      <c r="HOZ78" s="497"/>
      <c r="HPA78" s="497"/>
      <c r="HPB78" s="497"/>
      <c r="HPC78" s="497"/>
      <c r="HPD78" s="497"/>
      <c r="HPE78" s="497"/>
      <c r="HPF78" s="497"/>
      <c r="HPG78" s="497"/>
      <c r="HPH78" s="497"/>
      <c r="HPI78" s="497"/>
      <c r="HPJ78" s="497"/>
      <c r="HPK78" s="497"/>
      <c r="HPL78" s="497"/>
      <c r="HPM78" s="497"/>
      <c r="HPN78" s="497"/>
      <c r="HPO78" s="497"/>
      <c r="HPP78" s="497"/>
      <c r="HPQ78" s="497"/>
      <c r="HPR78" s="497"/>
      <c r="HPS78" s="497"/>
      <c r="HPT78" s="497"/>
      <c r="HPU78" s="497"/>
      <c r="HPV78" s="497"/>
      <c r="HPW78" s="497"/>
      <c r="HPX78" s="497"/>
      <c r="HPY78" s="497"/>
      <c r="HPZ78" s="497"/>
      <c r="HQA78" s="497"/>
      <c r="HQB78" s="497"/>
      <c r="HQC78" s="497"/>
      <c r="HQD78" s="497"/>
      <c r="HQE78" s="497"/>
      <c r="HQF78" s="497"/>
      <c r="HQG78" s="497"/>
      <c r="HQH78" s="497"/>
      <c r="HQI78" s="497"/>
      <c r="HQJ78" s="497"/>
      <c r="HQK78" s="497"/>
      <c r="HQL78" s="497"/>
      <c r="HQM78" s="497"/>
      <c r="HQN78" s="497"/>
      <c r="HQO78" s="497"/>
      <c r="HQP78" s="497"/>
      <c r="HQQ78" s="497"/>
      <c r="HQR78" s="497"/>
      <c r="HQS78" s="497"/>
      <c r="HQT78" s="497"/>
      <c r="HQU78" s="497"/>
      <c r="HQV78" s="497"/>
      <c r="HQW78" s="497"/>
      <c r="HQX78" s="497"/>
      <c r="HQY78" s="497"/>
      <c r="HQZ78" s="497"/>
      <c r="HRA78" s="497"/>
      <c r="HRB78" s="497"/>
      <c r="HRC78" s="497"/>
      <c r="HRD78" s="497"/>
      <c r="HRE78" s="497"/>
      <c r="HRF78" s="497"/>
      <c r="HRG78" s="497"/>
      <c r="HRH78" s="497"/>
      <c r="HRI78" s="497"/>
      <c r="HRJ78" s="497"/>
      <c r="HRK78" s="497"/>
      <c r="HRL78" s="497"/>
      <c r="HRM78" s="497"/>
      <c r="HRN78" s="497"/>
      <c r="HRO78" s="497"/>
      <c r="HRP78" s="497"/>
      <c r="HRQ78" s="497"/>
      <c r="HRR78" s="497"/>
      <c r="HRS78" s="497"/>
      <c r="HRT78" s="497"/>
      <c r="HRU78" s="497"/>
      <c r="HRV78" s="497"/>
      <c r="HRW78" s="497"/>
      <c r="HRX78" s="497"/>
      <c r="HRY78" s="497"/>
      <c r="HRZ78" s="497"/>
      <c r="HSA78" s="497"/>
      <c r="HSB78" s="497"/>
      <c r="HSC78" s="497"/>
      <c r="HSD78" s="497"/>
      <c r="HSE78" s="497"/>
      <c r="HSF78" s="497"/>
      <c r="HSG78" s="497"/>
      <c r="HSH78" s="497"/>
      <c r="HSI78" s="497"/>
      <c r="HSJ78" s="497"/>
      <c r="HSK78" s="497"/>
      <c r="HSL78" s="497"/>
      <c r="HSM78" s="497"/>
      <c r="HSN78" s="497"/>
      <c r="HSO78" s="497"/>
      <c r="HSP78" s="497"/>
      <c r="HSQ78" s="497"/>
      <c r="HSR78" s="497"/>
      <c r="HSS78" s="497"/>
      <c r="HST78" s="497"/>
      <c r="HSU78" s="497"/>
      <c r="HSV78" s="497"/>
      <c r="HSW78" s="497"/>
      <c r="HSX78" s="497"/>
      <c r="HSY78" s="497"/>
      <c r="HSZ78" s="497"/>
      <c r="HTA78" s="497"/>
      <c r="HTB78" s="497"/>
      <c r="HTC78" s="497"/>
      <c r="HTD78" s="497"/>
      <c r="HTE78" s="497"/>
      <c r="HTF78" s="497"/>
      <c r="HTG78" s="497"/>
      <c r="HTH78" s="497"/>
      <c r="HTI78" s="497"/>
      <c r="HTJ78" s="497"/>
      <c r="HTK78" s="497"/>
      <c r="HTL78" s="497"/>
      <c r="HTM78" s="497"/>
      <c r="HTN78" s="497"/>
      <c r="HTO78" s="497"/>
      <c r="HTP78" s="497"/>
      <c r="HTQ78" s="497"/>
      <c r="HTR78" s="497"/>
      <c r="HTS78" s="497"/>
      <c r="HTT78" s="497"/>
      <c r="HTU78" s="497"/>
      <c r="HTV78" s="497"/>
      <c r="HTW78" s="497"/>
      <c r="HTX78" s="497"/>
      <c r="HTY78" s="497"/>
      <c r="HTZ78" s="497"/>
      <c r="HUA78" s="497"/>
      <c r="HUB78" s="497"/>
      <c r="HUC78" s="497"/>
      <c r="HUD78" s="497"/>
      <c r="HUE78" s="497"/>
      <c r="HUF78" s="497"/>
      <c r="HUG78" s="497"/>
      <c r="HUH78" s="497"/>
      <c r="HUI78" s="497"/>
      <c r="HUJ78" s="497"/>
      <c r="HUK78" s="497"/>
      <c r="HUL78" s="497"/>
      <c r="HUM78" s="497"/>
      <c r="HUN78" s="497"/>
      <c r="HUO78" s="497"/>
      <c r="HUP78" s="497"/>
      <c r="HUQ78" s="497"/>
      <c r="HUR78" s="497"/>
      <c r="HUS78" s="497"/>
      <c r="HUT78" s="497"/>
      <c r="HUU78" s="497"/>
      <c r="HUV78" s="497"/>
      <c r="HUW78" s="497"/>
      <c r="HUX78" s="497"/>
      <c r="HUY78" s="497"/>
      <c r="HUZ78" s="497"/>
      <c r="HVA78" s="497"/>
      <c r="HVB78" s="497"/>
      <c r="HVC78" s="497"/>
      <c r="HVD78" s="497"/>
      <c r="HVE78" s="497"/>
      <c r="HVF78" s="497"/>
      <c r="HVG78" s="497"/>
      <c r="HVH78" s="497"/>
      <c r="HVI78" s="497"/>
      <c r="HVJ78" s="497"/>
      <c r="HVK78" s="497"/>
      <c r="HVL78" s="497"/>
      <c r="HVM78" s="497"/>
      <c r="HVN78" s="497"/>
      <c r="HVO78" s="497"/>
      <c r="HVP78" s="497"/>
      <c r="HVQ78" s="497"/>
      <c r="HVR78" s="497"/>
      <c r="HVS78" s="497"/>
      <c r="HVT78" s="497"/>
      <c r="HVU78" s="497"/>
      <c r="HVV78" s="497"/>
      <c r="HVW78" s="497"/>
      <c r="HVX78" s="497"/>
      <c r="HVY78" s="497"/>
      <c r="HVZ78" s="497"/>
      <c r="HWA78" s="497"/>
      <c r="HWB78" s="497"/>
      <c r="HWC78" s="497"/>
      <c r="HWD78" s="497"/>
      <c r="HWE78" s="497"/>
      <c r="HWF78" s="497"/>
      <c r="HWG78" s="497"/>
      <c r="HWH78" s="497"/>
      <c r="HWI78" s="497"/>
      <c r="HWJ78" s="497"/>
      <c r="HWK78" s="497"/>
      <c r="HWL78" s="497"/>
      <c r="HWM78" s="497"/>
      <c r="HWN78" s="497"/>
      <c r="HWO78" s="497"/>
      <c r="HWP78" s="497"/>
      <c r="HWQ78" s="497"/>
      <c r="HWR78" s="497"/>
      <c r="HWS78" s="497"/>
      <c r="HWT78" s="497"/>
      <c r="HWU78" s="497"/>
      <c r="HWV78" s="497"/>
      <c r="HWW78" s="497"/>
      <c r="HWX78" s="497"/>
      <c r="HWY78" s="497"/>
      <c r="HWZ78" s="497"/>
      <c r="HXA78" s="497"/>
      <c r="HXB78" s="497"/>
      <c r="HXC78" s="497"/>
      <c r="HXD78" s="497"/>
      <c r="HXE78" s="497"/>
      <c r="HXF78" s="497"/>
      <c r="HXG78" s="497"/>
      <c r="HXH78" s="497"/>
      <c r="HXI78" s="497"/>
      <c r="HXJ78" s="497"/>
      <c r="HXK78" s="497"/>
      <c r="HXL78" s="497"/>
      <c r="HXM78" s="497"/>
      <c r="HXN78" s="497"/>
      <c r="HXO78" s="497"/>
      <c r="HXP78" s="497"/>
      <c r="HXQ78" s="497"/>
      <c r="HXR78" s="497"/>
      <c r="HXS78" s="497"/>
      <c r="HXT78" s="497"/>
      <c r="HXU78" s="497"/>
      <c r="HXV78" s="497"/>
      <c r="HXW78" s="497"/>
      <c r="HXX78" s="497"/>
      <c r="HXY78" s="497"/>
      <c r="HXZ78" s="497"/>
      <c r="HYA78" s="497"/>
      <c r="HYB78" s="497"/>
      <c r="HYC78" s="497"/>
      <c r="HYD78" s="497"/>
      <c r="HYE78" s="497"/>
      <c r="HYF78" s="497"/>
      <c r="HYG78" s="497"/>
      <c r="HYH78" s="497"/>
      <c r="HYI78" s="497"/>
      <c r="HYJ78" s="497"/>
      <c r="HYK78" s="497"/>
      <c r="HYL78" s="497"/>
      <c r="HYM78" s="497"/>
      <c r="HYN78" s="497"/>
      <c r="HYO78" s="497"/>
      <c r="HYP78" s="497"/>
      <c r="HYQ78" s="497"/>
      <c r="HYR78" s="497"/>
      <c r="HYS78" s="497"/>
      <c r="HYT78" s="497"/>
      <c r="HYU78" s="497"/>
      <c r="HYV78" s="497"/>
      <c r="HYW78" s="497"/>
      <c r="HYX78" s="497"/>
      <c r="HYY78" s="497"/>
      <c r="HYZ78" s="497"/>
      <c r="HZA78" s="497"/>
      <c r="HZB78" s="497"/>
      <c r="HZC78" s="497"/>
      <c r="HZD78" s="497"/>
      <c r="HZE78" s="497"/>
      <c r="HZF78" s="497"/>
      <c r="HZG78" s="497"/>
      <c r="HZH78" s="497"/>
      <c r="HZI78" s="497"/>
      <c r="HZJ78" s="497"/>
      <c r="HZK78" s="497"/>
      <c r="HZL78" s="497"/>
      <c r="HZM78" s="497"/>
      <c r="HZN78" s="497"/>
      <c r="HZO78" s="497"/>
      <c r="HZP78" s="497"/>
      <c r="HZQ78" s="497"/>
      <c r="HZR78" s="497"/>
      <c r="HZS78" s="497"/>
      <c r="HZT78" s="497"/>
      <c r="HZU78" s="497"/>
      <c r="HZV78" s="497"/>
      <c r="HZW78" s="497"/>
      <c r="HZX78" s="497"/>
      <c r="HZY78" s="497"/>
      <c r="HZZ78" s="497"/>
      <c r="IAA78" s="497"/>
      <c r="IAB78" s="497"/>
      <c r="IAC78" s="497"/>
      <c r="IAD78" s="497"/>
      <c r="IAE78" s="497"/>
      <c r="IAF78" s="497"/>
      <c r="IAG78" s="497"/>
      <c r="IAH78" s="497"/>
      <c r="IAI78" s="497"/>
      <c r="IAJ78" s="497"/>
      <c r="IAK78" s="497"/>
      <c r="IAL78" s="497"/>
      <c r="IAM78" s="497"/>
      <c r="IAN78" s="497"/>
      <c r="IAO78" s="497"/>
      <c r="IAP78" s="497"/>
      <c r="IAQ78" s="497"/>
      <c r="IAR78" s="497"/>
      <c r="IAS78" s="497"/>
      <c r="IAT78" s="497"/>
      <c r="IAU78" s="497"/>
      <c r="IAV78" s="497"/>
      <c r="IAW78" s="497"/>
      <c r="IAX78" s="497"/>
      <c r="IAY78" s="497"/>
      <c r="IAZ78" s="497"/>
      <c r="IBA78" s="497"/>
      <c r="IBB78" s="497"/>
      <c r="IBC78" s="497"/>
      <c r="IBD78" s="497"/>
      <c r="IBE78" s="497"/>
      <c r="IBF78" s="497"/>
      <c r="IBG78" s="497"/>
      <c r="IBH78" s="497"/>
      <c r="IBI78" s="497"/>
      <c r="IBJ78" s="497"/>
      <c r="IBK78" s="497"/>
      <c r="IBL78" s="497"/>
      <c r="IBM78" s="497"/>
      <c r="IBN78" s="497"/>
      <c r="IBO78" s="497"/>
      <c r="IBP78" s="497"/>
      <c r="IBQ78" s="497"/>
      <c r="IBR78" s="497"/>
      <c r="IBS78" s="497"/>
      <c r="IBT78" s="497"/>
      <c r="IBU78" s="497"/>
      <c r="IBV78" s="497"/>
      <c r="IBW78" s="497"/>
      <c r="IBX78" s="497"/>
      <c r="IBY78" s="497"/>
      <c r="IBZ78" s="497"/>
      <c r="ICA78" s="497"/>
      <c r="ICB78" s="497"/>
      <c r="ICC78" s="497"/>
      <c r="ICD78" s="497"/>
      <c r="ICE78" s="497"/>
      <c r="ICF78" s="497"/>
      <c r="ICG78" s="497"/>
      <c r="ICH78" s="497"/>
      <c r="ICI78" s="497"/>
      <c r="ICJ78" s="497"/>
      <c r="ICK78" s="497"/>
      <c r="ICL78" s="497"/>
      <c r="ICM78" s="497"/>
      <c r="ICN78" s="497"/>
      <c r="ICO78" s="497"/>
      <c r="ICP78" s="497"/>
      <c r="ICQ78" s="497"/>
      <c r="ICR78" s="497"/>
      <c r="ICS78" s="497"/>
      <c r="ICT78" s="497"/>
      <c r="ICU78" s="497"/>
      <c r="ICV78" s="497"/>
      <c r="ICW78" s="497"/>
      <c r="ICX78" s="497"/>
      <c r="ICY78" s="497"/>
      <c r="ICZ78" s="497"/>
      <c r="IDA78" s="497"/>
      <c r="IDB78" s="497"/>
      <c r="IDC78" s="497"/>
      <c r="IDD78" s="497"/>
      <c r="IDE78" s="497"/>
      <c r="IDF78" s="497"/>
      <c r="IDG78" s="497"/>
      <c r="IDH78" s="497"/>
      <c r="IDI78" s="497"/>
      <c r="IDJ78" s="497"/>
      <c r="IDK78" s="497"/>
      <c r="IDL78" s="497"/>
      <c r="IDM78" s="497"/>
      <c r="IDN78" s="497"/>
      <c r="IDO78" s="497"/>
      <c r="IDP78" s="497"/>
      <c r="IDQ78" s="497"/>
      <c r="IDR78" s="497"/>
      <c r="IDS78" s="497"/>
      <c r="IDT78" s="497"/>
      <c r="IDU78" s="497"/>
      <c r="IDV78" s="497"/>
      <c r="IDW78" s="497"/>
      <c r="IDX78" s="497"/>
      <c r="IDY78" s="497"/>
      <c r="IDZ78" s="497"/>
      <c r="IEA78" s="497"/>
      <c r="IEB78" s="497"/>
      <c r="IEC78" s="497"/>
      <c r="IED78" s="497"/>
      <c r="IEE78" s="497"/>
      <c r="IEF78" s="497"/>
      <c r="IEG78" s="497"/>
      <c r="IEH78" s="497"/>
      <c r="IEI78" s="497"/>
      <c r="IEJ78" s="497"/>
      <c r="IEK78" s="497"/>
      <c r="IEL78" s="497"/>
      <c r="IEM78" s="497"/>
      <c r="IEN78" s="497"/>
      <c r="IEO78" s="497"/>
      <c r="IEP78" s="497"/>
      <c r="IEQ78" s="497"/>
      <c r="IER78" s="497"/>
      <c r="IES78" s="497"/>
      <c r="IET78" s="497"/>
      <c r="IEU78" s="497"/>
      <c r="IEV78" s="497"/>
      <c r="IEW78" s="497"/>
      <c r="IEX78" s="497"/>
      <c r="IEY78" s="497"/>
      <c r="IEZ78" s="497"/>
      <c r="IFA78" s="497"/>
      <c r="IFB78" s="497"/>
      <c r="IFC78" s="497"/>
      <c r="IFD78" s="497"/>
      <c r="IFE78" s="497"/>
      <c r="IFF78" s="497"/>
      <c r="IFG78" s="497"/>
      <c r="IFH78" s="497"/>
      <c r="IFI78" s="497"/>
      <c r="IFJ78" s="497"/>
      <c r="IFK78" s="497"/>
      <c r="IFL78" s="497"/>
      <c r="IFM78" s="497"/>
      <c r="IFN78" s="497"/>
      <c r="IFO78" s="497"/>
      <c r="IFP78" s="497"/>
      <c r="IFQ78" s="497"/>
      <c r="IFR78" s="497"/>
      <c r="IFS78" s="497"/>
      <c r="IFT78" s="497"/>
      <c r="IFU78" s="497"/>
      <c r="IFV78" s="497"/>
      <c r="IFW78" s="497"/>
      <c r="IFX78" s="497"/>
      <c r="IFY78" s="497"/>
      <c r="IFZ78" s="497"/>
      <c r="IGA78" s="497"/>
      <c r="IGB78" s="497"/>
      <c r="IGC78" s="497"/>
      <c r="IGD78" s="497"/>
      <c r="IGE78" s="497"/>
      <c r="IGF78" s="497"/>
      <c r="IGG78" s="497"/>
      <c r="IGH78" s="497"/>
      <c r="IGI78" s="497"/>
      <c r="IGJ78" s="497"/>
      <c r="IGK78" s="497"/>
      <c r="IGL78" s="497"/>
      <c r="IGM78" s="497"/>
      <c r="IGN78" s="497"/>
      <c r="IGO78" s="497"/>
      <c r="IGP78" s="497"/>
      <c r="IGQ78" s="497"/>
      <c r="IGR78" s="497"/>
      <c r="IGS78" s="497"/>
      <c r="IGT78" s="497"/>
      <c r="IGU78" s="497"/>
      <c r="IGV78" s="497"/>
      <c r="IGW78" s="497"/>
      <c r="IGX78" s="497"/>
      <c r="IGY78" s="497"/>
      <c r="IGZ78" s="497"/>
      <c r="IHA78" s="497"/>
      <c r="IHB78" s="497"/>
      <c r="IHC78" s="497"/>
      <c r="IHD78" s="497"/>
      <c r="IHE78" s="497"/>
      <c r="IHF78" s="497"/>
      <c r="IHG78" s="497"/>
      <c r="IHH78" s="497"/>
      <c r="IHI78" s="497"/>
      <c r="IHJ78" s="497"/>
      <c r="IHK78" s="497"/>
      <c r="IHL78" s="497"/>
      <c r="IHM78" s="497"/>
      <c r="IHN78" s="497"/>
      <c r="IHO78" s="497"/>
      <c r="IHP78" s="497"/>
      <c r="IHQ78" s="497"/>
      <c r="IHR78" s="497"/>
      <c r="IHS78" s="497"/>
      <c r="IHT78" s="497"/>
      <c r="IHU78" s="497"/>
      <c r="IHV78" s="497"/>
      <c r="IHW78" s="497"/>
      <c r="IHX78" s="497"/>
      <c r="IHY78" s="497"/>
      <c r="IHZ78" s="497"/>
      <c r="IIA78" s="497"/>
      <c r="IIB78" s="497"/>
      <c r="IIC78" s="497"/>
      <c r="IID78" s="497"/>
      <c r="IIE78" s="497"/>
      <c r="IIF78" s="497"/>
      <c r="IIG78" s="497"/>
      <c r="IIH78" s="497"/>
      <c r="III78" s="497"/>
      <c r="IIJ78" s="497"/>
      <c r="IIK78" s="497"/>
      <c r="IIL78" s="497"/>
      <c r="IIM78" s="497"/>
      <c r="IIN78" s="497"/>
      <c r="IIO78" s="497"/>
      <c r="IIP78" s="497"/>
      <c r="IIQ78" s="497"/>
      <c r="IIR78" s="497"/>
      <c r="IIS78" s="497"/>
      <c r="IIT78" s="497"/>
      <c r="IIU78" s="497"/>
      <c r="IIV78" s="497"/>
      <c r="IIW78" s="497"/>
      <c r="IIX78" s="497"/>
      <c r="IIY78" s="497"/>
      <c r="IIZ78" s="497"/>
      <c r="IJA78" s="497"/>
      <c r="IJB78" s="497"/>
      <c r="IJC78" s="497"/>
      <c r="IJD78" s="497"/>
      <c r="IJE78" s="497"/>
      <c r="IJF78" s="497"/>
      <c r="IJG78" s="497"/>
      <c r="IJH78" s="497"/>
      <c r="IJI78" s="497"/>
      <c r="IJJ78" s="497"/>
      <c r="IJK78" s="497"/>
      <c r="IJL78" s="497"/>
      <c r="IJM78" s="497"/>
      <c r="IJN78" s="497"/>
      <c r="IJO78" s="497"/>
      <c r="IJP78" s="497"/>
      <c r="IJQ78" s="497"/>
      <c r="IJR78" s="497"/>
      <c r="IJS78" s="497"/>
      <c r="IJT78" s="497"/>
      <c r="IJU78" s="497"/>
      <c r="IJV78" s="497"/>
      <c r="IJW78" s="497"/>
      <c r="IJX78" s="497"/>
      <c r="IJY78" s="497"/>
      <c r="IJZ78" s="497"/>
      <c r="IKA78" s="497"/>
      <c r="IKB78" s="497"/>
      <c r="IKC78" s="497"/>
      <c r="IKD78" s="497"/>
      <c r="IKE78" s="497"/>
      <c r="IKF78" s="497"/>
      <c r="IKG78" s="497"/>
      <c r="IKH78" s="497"/>
      <c r="IKI78" s="497"/>
      <c r="IKJ78" s="497"/>
      <c r="IKK78" s="497"/>
      <c r="IKL78" s="497"/>
      <c r="IKM78" s="497"/>
      <c r="IKN78" s="497"/>
      <c r="IKO78" s="497"/>
      <c r="IKP78" s="497"/>
      <c r="IKQ78" s="497"/>
      <c r="IKR78" s="497"/>
      <c r="IKS78" s="497"/>
      <c r="IKT78" s="497"/>
      <c r="IKU78" s="497"/>
      <c r="IKV78" s="497"/>
      <c r="IKW78" s="497"/>
      <c r="IKX78" s="497"/>
      <c r="IKY78" s="497"/>
      <c r="IKZ78" s="497"/>
      <c r="ILA78" s="497"/>
      <c r="ILB78" s="497"/>
      <c r="ILC78" s="497"/>
      <c r="ILD78" s="497"/>
      <c r="ILE78" s="497"/>
      <c r="ILF78" s="497"/>
      <c r="ILG78" s="497"/>
      <c r="ILH78" s="497"/>
      <c r="ILI78" s="497"/>
      <c r="ILJ78" s="497"/>
      <c r="ILK78" s="497"/>
      <c r="ILL78" s="497"/>
      <c r="ILM78" s="497"/>
      <c r="ILN78" s="497"/>
      <c r="ILO78" s="497"/>
      <c r="ILP78" s="497"/>
      <c r="ILQ78" s="497"/>
      <c r="ILR78" s="497"/>
      <c r="ILS78" s="497"/>
      <c r="ILT78" s="497"/>
      <c r="ILU78" s="497"/>
      <c r="ILV78" s="497"/>
      <c r="ILW78" s="497"/>
      <c r="ILX78" s="497"/>
      <c r="ILY78" s="497"/>
      <c r="ILZ78" s="497"/>
      <c r="IMA78" s="497"/>
      <c r="IMB78" s="497"/>
      <c r="IMC78" s="497"/>
      <c r="IMD78" s="497"/>
      <c r="IME78" s="497"/>
      <c r="IMF78" s="497"/>
      <c r="IMG78" s="497"/>
      <c r="IMH78" s="497"/>
      <c r="IMI78" s="497"/>
      <c r="IMJ78" s="497"/>
      <c r="IMK78" s="497"/>
      <c r="IML78" s="497"/>
      <c r="IMM78" s="497"/>
      <c r="IMN78" s="497"/>
      <c r="IMO78" s="497"/>
      <c r="IMP78" s="497"/>
      <c r="IMQ78" s="497"/>
      <c r="IMR78" s="497"/>
      <c r="IMS78" s="497"/>
      <c r="IMT78" s="497"/>
      <c r="IMU78" s="497"/>
      <c r="IMV78" s="497"/>
      <c r="IMW78" s="497"/>
      <c r="IMX78" s="497"/>
      <c r="IMY78" s="497"/>
      <c r="IMZ78" s="497"/>
      <c r="INA78" s="497"/>
      <c r="INB78" s="497"/>
      <c r="INC78" s="497"/>
      <c r="IND78" s="497"/>
      <c r="INE78" s="497"/>
      <c r="INF78" s="497"/>
      <c r="ING78" s="497"/>
      <c r="INH78" s="497"/>
      <c r="INI78" s="497"/>
      <c r="INJ78" s="497"/>
      <c r="INK78" s="497"/>
      <c r="INL78" s="497"/>
      <c r="INM78" s="497"/>
      <c r="INN78" s="497"/>
      <c r="INO78" s="497"/>
      <c r="INP78" s="497"/>
      <c r="INQ78" s="497"/>
      <c r="INR78" s="497"/>
      <c r="INS78" s="497"/>
      <c r="INT78" s="497"/>
      <c r="INU78" s="497"/>
      <c r="INV78" s="497"/>
      <c r="INW78" s="497"/>
      <c r="INX78" s="497"/>
      <c r="INY78" s="497"/>
      <c r="INZ78" s="497"/>
      <c r="IOA78" s="497"/>
      <c r="IOB78" s="497"/>
      <c r="IOC78" s="497"/>
      <c r="IOD78" s="497"/>
      <c r="IOE78" s="497"/>
      <c r="IOF78" s="497"/>
      <c r="IOG78" s="497"/>
      <c r="IOH78" s="497"/>
      <c r="IOI78" s="497"/>
      <c r="IOJ78" s="497"/>
      <c r="IOK78" s="497"/>
      <c r="IOL78" s="497"/>
      <c r="IOM78" s="497"/>
      <c r="ION78" s="497"/>
      <c r="IOO78" s="497"/>
      <c r="IOP78" s="497"/>
      <c r="IOQ78" s="497"/>
      <c r="IOR78" s="497"/>
      <c r="IOS78" s="497"/>
      <c r="IOT78" s="497"/>
      <c r="IOU78" s="497"/>
      <c r="IOV78" s="497"/>
      <c r="IOW78" s="497"/>
      <c r="IOX78" s="497"/>
      <c r="IOY78" s="497"/>
      <c r="IOZ78" s="497"/>
      <c r="IPA78" s="497"/>
      <c r="IPB78" s="497"/>
      <c r="IPC78" s="497"/>
      <c r="IPD78" s="497"/>
      <c r="IPE78" s="497"/>
      <c r="IPF78" s="497"/>
      <c r="IPG78" s="497"/>
      <c r="IPH78" s="497"/>
      <c r="IPI78" s="497"/>
      <c r="IPJ78" s="497"/>
      <c r="IPK78" s="497"/>
      <c r="IPL78" s="497"/>
      <c r="IPM78" s="497"/>
      <c r="IPN78" s="497"/>
      <c r="IPO78" s="497"/>
      <c r="IPP78" s="497"/>
      <c r="IPQ78" s="497"/>
      <c r="IPR78" s="497"/>
      <c r="IPS78" s="497"/>
      <c r="IPT78" s="497"/>
      <c r="IPU78" s="497"/>
      <c r="IPV78" s="497"/>
      <c r="IPW78" s="497"/>
      <c r="IPX78" s="497"/>
      <c r="IPY78" s="497"/>
      <c r="IPZ78" s="497"/>
      <c r="IQA78" s="497"/>
      <c r="IQB78" s="497"/>
      <c r="IQC78" s="497"/>
      <c r="IQD78" s="497"/>
      <c r="IQE78" s="497"/>
      <c r="IQF78" s="497"/>
      <c r="IQG78" s="497"/>
      <c r="IQH78" s="497"/>
      <c r="IQI78" s="497"/>
      <c r="IQJ78" s="497"/>
      <c r="IQK78" s="497"/>
      <c r="IQL78" s="497"/>
      <c r="IQM78" s="497"/>
      <c r="IQN78" s="497"/>
      <c r="IQO78" s="497"/>
      <c r="IQP78" s="497"/>
      <c r="IQQ78" s="497"/>
      <c r="IQR78" s="497"/>
      <c r="IQS78" s="497"/>
      <c r="IQT78" s="497"/>
      <c r="IQU78" s="497"/>
      <c r="IQV78" s="497"/>
      <c r="IQW78" s="497"/>
      <c r="IQX78" s="497"/>
      <c r="IQY78" s="497"/>
      <c r="IQZ78" s="497"/>
      <c r="IRA78" s="497"/>
      <c r="IRB78" s="497"/>
      <c r="IRC78" s="497"/>
      <c r="IRD78" s="497"/>
      <c r="IRE78" s="497"/>
      <c r="IRF78" s="497"/>
      <c r="IRG78" s="497"/>
      <c r="IRH78" s="497"/>
      <c r="IRI78" s="497"/>
      <c r="IRJ78" s="497"/>
      <c r="IRK78" s="497"/>
      <c r="IRL78" s="497"/>
      <c r="IRM78" s="497"/>
      <c r="IRN78" s="497"/>
      <c r="IRO78" s="497"/>
      <c r="IRP78" s="497"/>
      <c r="IRQ78" s="497"/>
      <c r="IRR78" s="497"/>
      <c r="IRS78" s="497"/>
      <c r="IRT78" s="497"/>
      <c r="IRU78" s="497"/>
      <c r="IRV78" s="497"/>
      <c r="IRW78" s="497"/>
      <c r="IRX78" s="497"/>
      <c r="IRY78" s="497"/>
      <c r="IRZ78" s="497"/>
      <c r="ISA78" s="497"/>
      <c r="ISB78" s="497"/>
      <c r="ISC78" s="497"/>
      <c r="ISD78" s="497"/>
      <c r="ISE78" s="497"/>
      <c r="ISF78" s="497"/>
      <c r="ISG78" s="497"/>
      <c r="ISH78" s="497"/>
      <c r="ISI78" s="497"/>
      <c r="ISJ78" s="497"/>
      <c r="ISK78" s="497"/>
      <c r="ISL78" s="497"/>
      <c r="ISM78" s="497"/>
      <c r="ISN78" s="497"/>
      <c r="ISO78" s="497"/>
      <c r="ISP78" s="497"/>
      <c r="ISQ78" s="497"/>
      <c r="ISR78" s="497"/>
      <c r="ISS78" s="497"/>
      <c r="IST78" s="497"/>
      <c r="ISU78" s="497"/>
      <c r="ISV78" s="497"/>
      <c r="ISW78" s="497"/>
      <c r="ISX78" s="497"/>
      <c r="ISY78" s="497"/>
      <c r="ISZ78" s="497"/>
      <c r="ITA78" s="497"/>
      <c r="ITB78" s="497"/>
      <c r="ITC78" s="497"/>
      <c r="ITD78" s="497"/>
      <c r="ITE78" s="497"/>
      <c r="ITF78" s="497"/>
      <c r="ITG78" s="497"/>
      <c r="ITH78" s="497"/>
      <c r="ITI78" s="497"/>
      <c r="ITJ78" s="497"/>
      <c r="ITK78" s="497"/>
      <c r="ITL78" s="497"/>
      <c r="ITM78" s="497"/>
      <c r="ITN78" s="497"/>
      <c r="ITO78" s="497"/>
      <c r="ITP78" s="497"/>
      <c r="ITQ78" s="497"/>
      <c r="ITR78" s="497"/>
      <c r="ITS78" s="497"/>
      <c r="ITT78" s="497"/>
      <c r="ITU78" s="497"/>
      <c r="ITV78" s="497"/>
      <c r="ITW78" s="497"/>
      <c r="ITX78" s="497"/>
      <c r="ITY78" s="497"/>
      <c r="ITZ78" s="497"/>
      <c r="IUA78" s="497"/>
      <c r="IUB78" s="497"/>
      <c r="IUC78" s="497"/>
      <c r="IUD78" s="497"/>
      <c r="IUE78" s="497"/>
      <c r="IUF78" s="497"/>
      <c r="IUG78" s="497"/>
      <c r="IUH78" s="497"/>
      <c r="IUI78" s="497"/>
      <c r="IUJ78" s="497"/>
      <c r="IUK78" s="497"/>
      <c r="IUL78" s="497"/>
      <c r="IUM78" s="497"/>
      <c r="IUN78" s="497"/>
      <c r="IUO78" s="497"/>
      <c r="IUP78" s="497"/>
      <c r="IUQ78" s="497"/>
      <c r="IUR78" s="497"/>
      <c r="IUS78" s="497"/>
      <c r="IUT78" s="497"/>
      <c r="IUU78" s="497"/>
      <c r="IUV78" s="497"/>
      <c r="IUW78" s="497"/>
      <c r="IUX78" s="497"/>
      <c r="IUY78" s="497"/>
      <c r="IUZ78" s="497"/>
      <c r="IVA78" s="497"/>
      <c r="IVB78" s="497"/>
      <c r="IVC78" s="497"/>
      <c r="IVD78" s="497"/>
      <c r="IVE78" s="497"/>
      <c r="IVF78" s="497"/>
      <c r="IVG78" s="497"/>
      <c r="IVH78" s="497"/>
      <c r="IVI78" s="497"/>
      <c r="IVJ78" s="497"/>
      <c r="IVK78" s="497"/>
      <c r="IVL78" s="497"/>
      <c r="IVM78" s="497"/>
      <c r="IVN78" s="497"/>
      <c r="IVO78" s="497"/>
      <c r="IVP78" s="497"/>
      <c r="IVQ78" s="497"/>
      <c r="IVR78" s="497"/>
      <c r="IVS78" s="497"/>
      <c r="IVT78" s="497"/>
      <c r="IVU78" s="497"/>
      <c r="IVV78" s="497"/>
      <c r="IVW78" s="497"/>
      <c r="IVX78" s="497"/>
      <c r="IVY78" s="497"/>
      <c r="IVZ78" s="497"/>
      <c r="IWA78" s="497"/>
      <c r="IWB78" s="497"/>
      <c r="IWC78" s="497"/>
      <c r="IWD78" s="497"/>
      <c r="IWE78" s="497"/>
      <c r="IWF78" s="497"/>
      <c r="IWG78" s="497"/>
      <c r="IWH78" s="497"/>
      <c r="IWI78" s="497"/>
      <c r="IWJ78" s="497"/>
      <c r="IWK78" s="497"/>
      <c r="IWL78" s="497"/>
      <c r="IWM78" s="497"/>
      <c r="IWN78" s="497"/>
      <c r="IWO78" s="497"/>
      <c r="IWP78" s="497"/>
      <c r="IWQ78" s="497"/>
      <c r="IWR78" s="497"/>
      <c r="IWS78" s="497"/>
      <c r="IWT78" s="497"/>
      <c r="IWU78" s="497"/>
      <c r="IWV78" s="497"/>
      <c r="IWW78" s="497"/>
      <c r="IWX78" s="497"/>
      <c r="IWY78" s="497"/>
      <c r="IWZ78" s="497"/>
      <c r="IXA78" s="497"/>
      <c r="IXB78" s="497"/>
      <c r="IXC78" s="497"/>
      <c r="IXD78" s="497"/>
      <c r="IXE78" s="497"/>
      <c r="IXF78" s="497"/>
      <c r="IXG78" s="497"/>
      <c r="IXH78" s="497"/>
      <c r="IXI78" s="497"/>
      <c r="IXJ78" s="497"/>
      <c r="IXK78" s="497"/>
      <c r="IXL78" s="497"/>
      <c r="IXM78" s="497"/>
      <c r="IXN78" s="497"/>
      <c r="IXO78" s="497"/>
      <c r="IXP78" s="497"/>
      <c r="IXQ78" s="497"/>
      <c r="IXR78" s="497"/>
      <c r="IXS78" s="497"/>
      <c r="IXT78" s="497"/>
      <c r="IXU78" s="497"/>
      <c r="IXV78" s="497"/>
      <c r="IXW78" s="497"/>
      <c r="IXX78" s="497"/>
      <c r="IXY78" s="497"/>
      <c r="IXZ78" s="497"/>
      <c r="IYA78" s="497"/>
      <c r="IYB78" s="497"/>
      <c r="IYC78" s="497"/>
      <c r="IYD78" s="497"/>
      <c r="IYE78" s="497"/>
      <c r="IYF78" s="497"/>
      <c r="IYG78" s="497"/>
      <c r="IYH78" s="497"/>
      <c r="IYI78" s="497"/>
      <c r="IYJ78" s="497"/>
      <c r="IYK78" s="497"/>
      <c r="IYL78" s="497"/>
      <c r="IYM78" s="497"/>
      <c r="IYN78" s="497"/>
      <c r="IYO78" s="497"/>
      <c r="IYP78" s="497"/>
      <c r="IYQ78" s="497"/>
      <c r="IYR78" s="497"/>
      <c r="IYS78" s="497"/>
      <c r="IYT78" s="497"/>
      <c r="IYU78" s="497"/>
      <c r="IYV78" s="497"/>
      <c r="IYW78" s="497"/>
      <c r="IYX78" s="497"/>
      <c r="IYY78" s="497"/>
      <c r="IYZ78" s="497"/>
      <c r="IZA78" s="497"/>
      <c r="IZB78" s="497"/>
      <c r="IZC78" s="497"/>
      <c r="IZD78" s="497"/>
      <c r="IZE78" s="497"/>
      <c r="IZF78" s="497"/>
      <c r="IZG78" s="497"/>
      <c r="IZH78" s="497"/>
      <c r="IZI78" s="497"/>
      <c r="IZJ78" s="497"/>
      <c r="IZK78" s="497"/>
      <c r="IZL78" s="497"/>
      <c r="IZM78" s="497"/>
      <c r="IZN78" s="497"/>
      <c r="IZO78" s="497"/>
      <c r="IZP78" s="497"/>
      <c r="IZQ78" s="497"/>
      <c r="IZR78" s="497"/>
      <c r="IZS78" s="497"/>
      <c r="IZT78" s="497"/>
      <c r="IZU78" s="497"/>
      <c r="IZV78" s="497"/>
      <c r="IZW78" s="497"/>
      <c r="IZX78" s="497"/>
      <c r="IZY78" s="497"/>
      <c r="IZZ78" s="497"/>
      <c r="JAA78" s="497"/>
      <c r="JAB78" s="497"/>
      <c r="JAC78" s="497"/>
      <c r="JAD78" s="497"/>
      <c r="JAE78" s="497"/>
      <c r="JAF78" s="497"/>
      <c r="JAG78" s="497"/>
      <c r="JAH78" s="497"/>
      <c r="JAI78" s="497"/>
      <c r="JAJ78" s="497"/>
      <c r="JAK78" s="497"/>
      <c r="JAL78" s="497"/>
      <c r="JAM78" s="497"/>
      <c r="JAN78" s="497"/>
      <c r="JAO78" s="497"/>
      <c r="JAP78" s="497"/>
      <c r="JAQ78" s="497"/>
      <c r="JAR78" s="497"/>
      <c r="JAS78" s="497"/>
      <c r="JAT78" s="497"/>
      <c r="JAU78" s="497"/>
      <c r="JAV78" s="497"/>
      <c r="JAW78" s="497"/>
      <c r="JAX78" s="497"/>
      <c r="JAY78" s="497"/>
      <c r="JAZ78" s="497"/>
      <c r="JBA78" s="497"/>
      <c r="JBB78" s="497"/>
      <c r="JBC78" s="497"/>
      <c r="JBD78" s="497"/>
      <c r="JBE78" s="497"/>
      <c r="JBF78" s="497"/>
      <c r="JBG78" s="497"/>
      <c r="JBH78" s="497"/>
      <c r="JBI78" s="497"/>
      <c r="JBJ78" s="497"/>
      <c r="JBK78" s="497"/>
      <c r="JBL78" s="497"/>
      <c r="JBM78" s="497"/>
      <c r="JBN78" s="497"/>
      <c r="JBO78" s="497"/>
      <c r="JBP78" s="497"/>
      <c r="JBQ78" s="497"/>
      <c r="JBR78" s="497"/>
      <c r="JBS78" s="497"/>
      <c r="JBT78" s="497"/>
      <c r="JBU78" s="497"/>
      <c r="JBV78" s="497"/>
      <c r="JBW78" s="497"/>
      <c r="JBX78" s="497"/>
      <c r="JBY78" s="497"/>
      <c r="JBZ78" s="497"/>
      <c r="JCA78" s="497"/>
      <c r="JCB78" s="497"/>
      <c r="JCC78" s="497"/>
      <c r="JCD78" s="497"/>
      <c r="JCE78" s="497"/>
      <c r="JCF78" s="497"/>
      <c r="JCG78" s="497"/>
      <c r="JCH78" s="497"/>
      <c r="JCI78" s="497"/>
      <c r="JCJ78" s="497"/>
      <c r="JCK78" s="497"/>
      <c r="JCL78" s="497"/>
      <c r="JCM78" s="497"/>
      <c r="JCN78" s="497"/>
      <c r="JCO78" s="497"/>
      <c r="JCP78" s="497"/>
      <c r="JCQ78" s="497"/>
      <c r="JCR78" s="497"/>
      <c r="JCS78" s="497"/>
      <c r="JCT78" s="497"/>
      <c r="JCU78" s="497"/>
      <c r="JCV78" s="497"/>
      <c r="JCW78" s="497"/>
      <c r="JCX78" s="497"/>
      <c r="JCY78" s="497"/>
      <c r="JCZ78" s="497"/>
      <c r="JDA78" s="497"/>
      <c r="JDB78" s="497"/>
      <c r="JDC78" s="497"/>
      <c r="JDD78" s="497"/>
      <c r="JDE78" s="497"/>
      <c r="JDF78" s="497"/>
      <c r="JDG78" s="497"/>
      <c r="JDH78" s="497"/>
      <c r="JDI78" s="497"/>
      <c r="JDJ78" s="497"/>
      <c r="JDK78" s="497"/>
      <c r="JDL78" s="497"/>
      <c r="JDM78" s="497"/>
      <c r="JDN78" s="497"/>
      <c r="JDO78" s="497"/>
      <c r="JDP78" s="497"/>
      <c r="JDQ78" s="497"/>
      <c r="JDR78" s="497"/>
      <c r="JDS78" s="497"/>
      <c r="JDT78" s="497"/>
      <c r="JDU78" s="497"/>
      <c r="JDV78" s="497"/>
      <c r="JDW78" s="497"/>
      <c r="JDX78" s="497"/>
      <c r="JDY78" s="497"/>
      <c r="JDZ78" s="497"/>
      <c r="JEA78" s="497"/>
      <c r="JEB78" s="497"/>
      <c r="JEC78" s="497"/>
      <c r="JED78" s="497"/>
      <c r="JEE78" s="497"/>
      <c r="JEF78" s="497"/>
      <c r="JEG78" s="497"/>
      <c r="JEH78" s="497"/>
      <c r="JEI78" s="497"/>
      <c r="JEJ78" s="497"/>
      <c r="JEK78" s="497"/>
      <c r="JEL78" s="497"/>
      <c r="JEM78" s="497"/>
      <c r="JEN78" s="497"/>
      <c r="JEO78" s="497"/>
      <c r="JEP78" s="497"/>
      <c r="JEQ78" s="497"/>
      <c r="JER78" s="497"/>
      <c r="JES78" s="497"/>
      <c r="JET78" s="497"/>
      <c r="JEU78" s="497"/>
      <c r="JEV78" s="497"/>
      <c r="JEW78" s="497"/>
      <c r="JEX78" s="497"/>
      <c r="JEY78" s="497"/>
      <c r="JEZ78" s="497"/>
      <c r="JFA78" s="497"/>
      <c r="JFB78" s="497"/>
      <c r="JFC78" s="497"/>
      <c r="JFD78" s="497"/>
      <c r="JFE78" s="497"/>
      <c r="JFF78" s="497"/>
      <c r="JFG78" s="497"/>
      <c r="JFH78" s="497"/>
      <c r="JFI78" s="497"/>
      <c r="JFJ78" s="497"/>
      <c r="JFK78" s="497"/>
      <c r="JFL78" s="497"/>
      <c r="JFM78" s="497"/>
      <c r="JFN78" s="497"/>
      <c r="JFO78" s="497"/>
      <c r="JFP78" s="497"/>
      <c r="JFQ78" s="497"/>
      <c r="JFR78" s="497"/>
      <c r="JFS78" s="497"/>
      <c r="JFT78" s="497"/>
      <c r="JFU78" s="497"/>
      <c r="JFV78" s="497"/>
      <c r="JFW78" s="497"/>
      <c r="JFX78" s="497"/>
      <c r="JFY78" s="497"/>
      <c r="JFZ78" s="497"/>
      <c r="JGA78" s="497"/>
      <c r="JGB78" s="497"/>
      <c r="JGC78" s="497"/>
      <c r="JGD78" s="497"/>
      <c r="JGE78" s="497"/>
      <c r="JGF78" s="497"/>
      <c r="JGG78" s="497"/>
      <c r="JGH78" s="497"/>
      <c r="JGI78" s="497"/>
      <c r="JGJ78" s="497"/>
      <c r="JGK78" s="497"/>
      <c r="JGL78" s="497"/>
      <c r="JGM78" s="497"/>
      <c r="JGN78" s="497"/>
      <c r="JGO78" s="497"/>
      <c r="JGP78" s="497"/>
      <c r="JGQ78" s="497"/>
      <c r="JGR78" s="497"/>
      <c r="JGS78" s="497"/>
      <c r="JGT78" s="497"/>
      <c r="JGU78" s="497"/>
      <c r="JGV78" s="497"/>
      <c r="JGW78" s="497"/>
      <c r="JGX78" s="497"/>
      <c r="JGY78" s="497"/>
      <c r="JGZ78" s="497"/>
      <c r="JHA78" s="497"/>
      <c r="JHB78" s="497"/>
      <c r="JHC78" s="497"/>
      <c r="JHD78" s="497"/>
      <c r="JHE78" s="497"/>
      <c r="JHF78" s="497"/>
      <c r="JHG78" s="497"/>
      <c r="JHH78" s="497"/>
      <c r="JHI78" s="497"/>
      <c r="JHJ78" s="497"/>
      <c r="JHK78" s="497"/>
      <c r="JHL78" s="497"/>
      <c r="JHM78" s="497"/>
      <c r="JHN78" s="497"/>
      <c r="JHO78" s="497"/>
      <c r="JHP78" s="497"/>
      <c r="JHQ78" s="497"/>
      <c r="JHR78" s="497"/>
      <c r="JHS78" s="497"/>
      <c r="JHT78" s="497"/>
      <c r="JHU78" s="497"/>
      <c r="JHV78" s="497"/>
      <c r="JHW78" s="497"/>
      <c r="JHX78" s="497"/>
      <c r="JHY78" s="497"/>
      <c r="JHZ78" s="497"/>
      <c r="JIA78" s="497"/>
      <c r="JIB78" s="497"/>
      <c r="JIC78" s="497"/>
      <c r="JID78" s="497"/>
      <c r="JIE78" s="497"/>
      <c r="JIF78" s="497"/>
      <c r="JIG78" s="497"/>
      <c r="JIH78" s="497"/>
      <c r="JII78" s="497"/>
      <c r="JIJ78" s="497"/>
      <c r="JIK78" s="497"/>
      <c r="JIL78" s="497"/>
      <c r="JIM78" s="497"/>
      <c r="JIN78" s="497"/>
      <c r="JIO78" s="497"/>
      <c r="JIP78" s="497"/>
      <c r="JIQ78" s="497"/>
      <c r="JIR78" s="497"/>
      <c r="JIS78" s="497"/>
      <c r="JIT78" s="497"/>
      <c r="JIU78" s="497"/>
      <c r="JIV78" s="497"/>
      <c r="JIW78" s="497"/>
      <c r="JIX78" s="497"/>
      <c r="JIY78" s="497"/>
      <c r="JIZ78" s="497"/>
      <c r="JJA78" s="497"/>
      <c r="JJB78" s="497"/>
      <c r="JJC78" s="497"/>
      <c r="JJD78" s="497"/>
      <c r="JJE78" s="497"/>
      <c r="JJF78" s="497"/>
      <c r="JJG78" s="497"/>
      <c r="JJH78" s="497"/>
      <c r="JJI78" s="497"/>
      <c r="JJJ78" s="497"/>
      <c r="JJK78" s="497"/>
      <c r="JJL78" s="497"/>
      <c r="JJM78" s="497"/>
      <c r="JJN78" s="497"/>
      <c r="JJO78" s="497"/>
      <c r="JJP78" s="497"/>
      <c r="JJQ78" s="497"/>
      <c r="JJR78" s="497"/>
      <c r="JJS78" s="497"/>
      <c r="JJT78" s="497"/>
      <c r="JJU78" s="497"/>
      <c r="JJV78" s="497"/>
      <c r="JJW78" s="497"/>
      <c r="JJX78" s="497"/>
      <c r="JJY78" s="497"/>
      <c r="JJZ78" s="497"/>
      <c r="JKA78" s="497"/>
      <c r="JKB78" s="497"/>
      <c r="JKC78" s="497"/>
      <c r="JKD78" s="497"/>
      <c r="JKE78" s="497"/>
      <c r="JKF78" s="497"/>
      <c r="JKG78" s="497"/>
      <c r="JKH78" s="497"/>
      <c r="JKI78" s="497"/>
      <c r="JKJ78" s="497"/>
      <c r="JKK78" s="497"/>
      <c r="JKL78" s="497"/>
      <c r="JKM78" s="497"/>
      <c r="JKN78" s="497"/>
      <c r="JKO78" s="497"/>
      <c r="JKP78" s="497"/>
      <c r="JKQ78" s="497"/>
      <c r="JKR78" s="497"/>
      <c r="JKS78" s="497"/>
      <c r="JKT78" s="497"/>
      <c r="JKU78" s="497"/>
      <c r="JKV78" s="497"/>
      <c r="JKW78" s="497"/>
      <c r="JKX78" s="497"/>
      <c r="JKY78" s="497"/>
      <c r="JKZ78" s="497"/>
      <c r="JLA78" s="497"/>
      <c r="JLB78" s="497"/>
      <c r="JLC78" s="497"/>
      <c r="JLD78" s="497"/>
      <c r="JLE78" s="497"/>
      <c r="JLF78" s="497"/>
      <c r="JLG78" s="497"/>
      <c r="JLH78" s="497"/>
      <c r="JLI78" s="497"/>
      <c r="JLJ78" s="497"/>
      <c r="JLK78" s="497"/>
      <c r="JLL78" s="497"/>
      <c r="JLM78" s="497"/>
      <c r="JLN78" s="497"/>
      <c r="JLO78" s="497"/>
      <c r="JLP78" s="497"/>
      <c r="JLQ78" s="497"/>
      <c r="JLR78" s="497"/>
      <c r="JLS78" s="497"/>
      <c r="JLT78" s="497"/>
      <c r="JLU78" s="497"/>
      <c r="JLV78" s="497"/>
      <c r="JLW78" s="497"/>
      <c r="JLX78" s="497"/>
      <c r="JLY78" s="497"/>
      <c r="JLZ78" s="497"/>
      <c r="JMA78" s="497"/>
      <c r="JMB78" s="497"/>
      <c r="JMC78" s="497"/>
      <c r="JMD78" s="497"/>
      <c r="JME78" s="497"/>
      <c r="JMF78" s="497"/>
      <c r="JMG78" s="497"/>
      <c r="JMH78" s="497"/>
      <c r="JMI78" s="497"/>
      <c r="JMJ78" s="497"/>
      <c r="JMK78" s="497"/>
      <c r="JML78" s="497"/>
      <c r="JMM78" s="497"/>
      <c r="JMN78" s="497"/>
      <c r="JMO78" s="497"/>
      <c r="JMP78" s="497"/>
      <c r="JMQ78" s="497"/>
      <c r="JMR78" s="497"/>
      <c r="JMS78" s="497"/>
      <c r="JMT78" s="497"/>
      <c r="JMU78" s="497"/>
      <c r="JMV78" s="497"/>
      <c r="JMW78" s="497"/>
      <c r="JMX78" s="497"/>
      <c r="JMY78" s="497"/>
      <c r="JMZ78" s="497"/>
      <c r="JNA78" s="497"/>
      <c r="JNB78" s="497"/>
      <c r="JNC78" s="497"/>
      <c r="JND78" s="497"/>
      <c r="JNE78" s="497"/>
      <c r="JNF78" s="497"/>
      <c r="JNG78" s="497"/>
      <c r="JNH78" s="497"/>
      <c r="JNI78" s="497"/>
      <c r="JNJ78" s="497"/>
      <c r="JNK78" s="497"/>
      <c r="JNL78" s="497"/>
      <c r="JNM78" s="497"/>
      <c r="JNN78" s="497"/>
      <c r="JNO78" s="497"/>
      <c r="JNP78" s="497"/>
      <c r="JNQ78" s="497"/>
      <c r="JNR78" s="497"/>
      <c r="JNS78" s="497"/>
      <c r="JNT78" s="497"/>
      <c r="JNU78" s="497"/>
      <c r="JNV78" s="497"/>
      <c r="JNW78" s="497"/>
      <c r="JNX78" s="497"/>
      <c r="JNY78" s="497"/>
      <c r="JNZ78" s="497"/>
      <c r="JOA78" s="497"/>
      <c r="JOB78" s="497"/>
      <c r="JOC78" s="497"/>
      <c r="JOD78" s="497"/>
      <c r="JOE78" s="497"/>
      <c r="JOF78" s="497"/>
      <c r="JOG78" s="497"/>
      <c r="JOH78" s="497"/>
      <c r="JOI78" s="497"/>
      <c r="JOJ78" s="497"/>
      <c r="JOK78" s="497"/>
      <c r="JOL78" s="497"/>
      <c r="JOM78" s="497"/>
      <c r="JON78" s="497"/>
      <c r="JOO78" s="497"/>
      <c r="JOP78" s="497"/>
      <c r="JOQ78" s="497"/>
      <c r="JOR78" s="497"/>
      <c r="JOS78" s="497"/>
      <c r="JOT78" s="497"/>
      <c r="JOU78" s="497"/>
      <c r="JOV78" s="497"/>
      <c r="JOW78" s="497"/>
      <c r="JOX78" s="497"/>
      <c r="JOY78" s="497"/>
      <c r="JOZ78" s="497"/>
      <c r="JPA78" s="497"/>
      <c r="JPB78" s="497"/>
      <c r="JPC78" s="497"/>
      <c r="JPD78" s="497"/>
      <c r="JPE78" s="497"/>
      <c r="JPF78" s="497"/>
      <c r="JPG78" s="497"/>
      <c r="JPH78" s="497"/>
      <c r="JPI78" s="497"/>
      <c r="JPJ78" s="497"/>
      <c r="JPK78" s="497"/>
      <c r="JPL78" s="497"/>
      <c r="JPM78" s="497"/>
      <c r="JPN78" s="497"/>
      <c r="JPO78" s="497"/>
      <c r="JPP78" s="497"/>
      <c r="JPQ78" s="497"/>
      <c r="JPR78" s="497"/>
      <c r="JPS78" s="497"/>
      <c r="JPT78" s="497"/>
      <c r="JPU78" s="497"/>
      <c r="JPV78" s="497"/>
      <c r="JPW78" s="497"/>
      <c r="JPX78" s="497"/>
      <c r="JPY78" s="497"/>
      <c r="JPZ78" s="497"/>
      <c r="JQA78" s="497"/>
      <c r="JQB78" s="497"/>
      <c r="JQC78" s="497"/>
      <c r="JQD78" s="497"/>
      <c r="JQE78" s="497"/>
      <c r="JQF78" s="497"/>
      <c r="JQG78" s="497"/>
      <c r="JQH78" s="497"/>
      <c r="JQI78" s="497"/>
      <c r="JQJ78" s="497"/>
      <c r="JQK78" s="497"/>
      <c r="JQL78" s="497"/>
      <c r="JQM78" s="497"/>
      <c r="JQN78" s="497"/>
      <c r="JQO78" s="497"/>
      <c r="JQP78" s="497"/>
      <c r="JQQ78" s="497"/>
      <c r="JQR78" s="497"/>
      <c r="JQS78" s="497"/>
      <c r="JQT78" s="497"/>
      <c r="JQU78" s="497"/>
      <c r="JQV78" s="497"/>
      <c r="JQW78" s="497"/>
      <c r="JQX78" s="497"/>
      <c r="JQY78" s="497"/>
      <c r="JQZ78" s="497"/>
      <c r="JRA78" s="497"/>
      <c r="JRB78" s="497"/>
      <c r="JRC78" s="497"/>
      <c r="JRD78" s="497"/>
      <c r="JRE78" s="497"/>
      <c r="JRF78" s="497"/>
      <c r="JRG78" s="497"/>
      <c r="JRH78" s="497"/>
      <c r="JRI78" s="497"/>
      <c r="JRJ78" s="497"/>
      <c r="JRK78" s="497"/>
      <c r="JRL78" s="497"/>
      <c r="JRM78" s="497"/>
      <c r="JRN78" s="497"/>
      <c r="JRO78" s="497"/>
      <c r="JRP78" s="497"/>
      <c r="JRQ78" s="497"/>
      <c r="JRR78" s="497"/>
      <c r="JRS78" s="497"/>
      <c r="JRT78" s="497"/>
      <c r="JRU78" s="497"/>
      <c r="JRV78" s="497"/>
      <c r="JRW78" s="497"/>
      <c r="JRX78" s="497"/>
      <c r="JRY78" s="497"/>
      <c r="JRZ78" s="497"/>
      <c r="JSA78" s="497"/>
      <c r="JSB78" s="497"/>
      <c r="JSC78" s="497"/>
      <c r="JSD78" s="497"/>
      <c r="JSE78" s="497"/>
      <c r="JSF78" s="497"/>
      <c r="JSG78" s="497"/>
      <c r="JSH78" s="497"/>
      <c r="JSI78" s="497"/>
      <c r="JSJ78" s="497"/>
      <c r="JSK78" s="497"/>
      <c r="JSL78" s="497"/>
      <c r="JSM78" s="497"/>
      <c r="JSN78" s="497"/>
      <c r="JSO78" s="497"/>
      <c r="JSP78" s="497"/>
      <c r="JSQ78" s="497"/>
      <c r="JSR78" s="497"/>
      <c r="JSS78" s="497"/>
      <c r="JST78" s="497"/>
      <c r="JSU78" s="497"/>
      <c r="JSV78" s="497"/>
      <c r="JSW78" s="497"/>
      <c r="JSX78" s="497"/>
      <c r="JSY78" s="497"/>
      <c r="JSZ78" s="497"/>
      <c r="JTA78" s="497"/>
      <c r="JTB78" s="497"/>
      <c r="JTC78" s="497"/>
      <c r="JTD78" s="497"/>
      <c r="JTE78" s="497"/>
      <c r="JTF78" s="497"/>
      <c r="JTG78" s="497"/>
      <c r="JTH78" s="497"/>
      <c r="JTI78" s="497"/>
      <c r="JTJ78" s="497"/>
      <c r="JTK78" s="497"/>
      <c r="JTL78" s="497"/>
      <c r="JTM78" s="497"/>
      <c r="JTN78" s="497"/>
      <c r="JTO78" s="497"/>
      <c r="JTP78" s="497"/>
      <c r="JTQ78" s="497"/>
      <c r="JTR78" s="497"/>
      <c r="JTS78" s="497"/>
      <c r="JTT78" s="497"/>
      <c r="JTU78" s="497"/>
      <c r="JTV78" s="497"/>
      <c r="JTW78" s="497"/>
      <c r="JTX78" s="497"/>
      <c r="JTY78" s="497"/>
      <c r="JTZ78" s="497"/>
      <c r="JUA78" s="497"/>
      <c r="JUB78" s="497"/>
      <c r="JUC78" s="497"/>
      <c r="JUD78" s="497"/>
      <c r="JUE78" s="497"/>
      <c r="JUF78" s="497"/>
      <c r="JUG78" s="497"/>
      <c r="JUH78" s="497"/>
      <c r="JUI78" s="497"/>
      <c r="JUJ78" s="497"/>
      <c r="JUK78" s="497"/>
      <c r="JUL78" s="497"/>
      <c r="JUM78" s="497"/>
      <c r="JUN78" s="497"/>
      <c r="JUO78" s="497"/>
      <c r="JUP78" s="497"/>
      <c r="JUQ78" s="497"/>
      <c r="JUR78" s="497"/>
      <c r="JUS78" s="497"/>
      <c r="JUT78" s="497"/>
      <c r="JUU78" s="497"/>
      <c r="JUV78" s="497"/>
      <c r="JUW78" s="497"/>
      <c r="JUX78" s="497"/>
      <c r="JUY78" s="497"/>
      <c r="JUZ78" s="497"/>
      <c r="JVA78" s="497"/>
      <c r="JVB78" s="497"/>
      <c r="JVC78" s="497"/>
      <c r="JVD78" s="497"/>
      <c r="JVE78" s="497"/>
      <c r="JVF78" s="497"/>
      <c r="JVG78" s="497"/>
      <c r="JVH78" s="497"/>
      <c r="JVI78" s="497"/>
      <c r="JVJ78" s="497"/>
      <c r="JVK78" s="497"/>
      <c r="JVL78" s="497"/>
      <c r="JVM78" s="497"/>
      <c r="JVN78" s="497"/>
      <c r="JVO78" s="497"/>
      <c r="JVP78" s="497"/>
      <c r="JVQ78" s="497"/>
      <c r="JVR78" s="497"/>
      <c r="JVS78" s="497"/>
      <c r="JVT78" s="497"/>
      <c r="JVU78" s="497"/>
      <c r="JVV78" s="497"/>
      <c r="JVW78" s="497"/>
      <c r="JVX78" s="497"/>
      <c r="JVY78" s="497"/>
      <c r="JVZ78" s="497"/>
      <c r="JWA78" s="497"/>
      <c r="JWB78" s="497"/>
      <c r="JWC78" s="497"/>
      <c r="JWD78" s="497"/>
      <c r="JWE78" s="497"/>
      <c r="JWF78" s="497"/>
      <c r="JWG78" s="497"/>
      <c r="JWH78" s="497"/>
      <c r="JWI78" s="497"/>
      <c r="JWJ78" s="497"/>
      <c r="JWK78" s="497"/>
      <c r="JWL78" s="497"/>
      <c r="JWM78" s="497"/>
      <c r="JWN78" s="497"/>
      <c r="JWO78" s="497"/>
      <c r="JWP78" s="497"/>
      <c r="JWQ78" s="497"/>
      <c r="JWR78" s="497"/>
      <c r="JWS78" s="497"/>
      <c r="JWT78" s="497"/>
      <c r="JWU78" s="497"/>
      <c r="JWV78" s="497"/>
      <c r="JWW78" s="497"/>
      <c r="JWX78" s="497"/>
      <c r="JWY78" s="497"/>
      <c r="JWZ78" s="497"/>
      <c r="JXA78" s="497"/>
      <c r="JXB78" s="497"/>
      <c r="JXC78" s="497"/>
      <c r="JXD78" s="497"/>
      <c r="JXE78" s="497"/>
      <c r="JXF78" s="497"/>
      <c r="JXG78" s="497"/>
      <c r="JXH78" s="497"/>
      <c r="JXI78" s="497"/>
      <c r="JXJ78" s="497"/>
      <c r="JXK78" s="497"/>
      <c r="JXL78" s="497"/>
      <c r="JXM78" s="497"/>
      <c r="JXN78" s="497"/>
      <c r="JXO78" s="497"/>
      <c r="JXP78" s="497"/>
      <c r="JXQ78" s="497"/>
      <c r="JXR78" s="497"/>
      <c r="JXS78" s="497"/>
      <c r="JXT78" s="497"/>
      <c r="JXU78" s="497"/>
      <c r="JXV78" s="497"/>
      <c r="JXW78" s="497"/>
      <c r="JXX78" s="497"/>
      <c r="JXY78" s="497"/>
      <c r="JXZ78" s="497"/>
      <c r="JYA78" s="497"/>
      <c r="JYB78" s="497"/>
      <c r="JYC78" s="497"/>
      <c r="JYD78" s="497"/>
      <c r="JYE78" s="497"/>
      <c r="JYF78" s="497"/>
      <c r="JYG78" s="497"/>
      <c r="JYH78" s="497"/>
      <c r="JYI78" s="497"/>
      <c r="JYJ78" s="497"/>
      <c r="JYK78" s="497"/>
      <c r="JYL78" s="497"/>
      <c r="JYM78" s="497"/>
      <c r="JYN78" s="497"/>
      <c r="JYO78" s="497"/>
      <c r="JYP78" s="497"/>
      <c r="JYQ78" s="497"/>
      <c r="JYR78" s="497"/>
      <c r="JYS78" s="497"/>
      <c r="JYT78" s="497"/>
      <c r="JYU78" s="497"/>
      <c r="JYV78" s="497"/>
      <c r="JYW78" s="497"/>
      <c r="JYX78" s="497"/>
      <c r="JYY78" s="497"/>
      <c r="JYZ78" s="497"/>
      <c r="JZA78" s="497"/>
      <c r="JZB78" s="497"/>
      <c r="JZC78" s="497"/>
      <c r="JZD78" s="497"/>
      <c r="JZE78" s="497"/>
      <c r="JZF78" s="497"/>
      <c r="JZG78" s="497"/>
      <c r="JZH78" s="497"/>
      <c r="JZI78" s="497"/>
      <c r="JZJ78" s="497"/>
      <c r="JZK78" s="497"/>
      <c r="JZL78" s="497"/>
      <c r="JZM78" s="497"/>
      <c r="JZN78" s="497"/>
      <c r="JZO78" s="497"/>
      <c r="JZP78" s="497"/>
      <c r="JZQ78" s="497"/>
      <c r="JZR78" s="497"/>
      <c r="JZS78" s="497"/>
      <c r="JZT78" s="497"/>
      <c r="JZU78" s="497"/>
      <c r="JZV78" s="497"/>
      <c r="JZW78" s="497"/>
      <c r="JZX78" s="497"/>
      <c r="JZY78" s="497"/>
      <c r="JZZ78" s="497"/>
      <c r="KAA78" s="497"/>
      <c r="KAB78" s="497"/>
      <c r="KAC78" s="497"/>
      <c r="KAD78" s="497"/>
      <c r="KAE78" s="497"/>
      <c r="KAF78" s="497"/>
      <c r="KAG78" s="497"/>
      <c r="KAH78" s="497"/>
      <c r="KAI78" s="497"/>
      <c r="KAJ78" s="497"/>
      <c r="KAK78" s="497"/>
      <c r="KAL78" s="497"/>
      <c r="KAM78" s="497"/>
      <c r="KAN78" s="497"/>
      <c r="KAO78" s="497"/>
      <c r="KAP78" s="497"/>
      <c r="KAQ78" s="497"/>
      <c r="KAR78" s="497"/>
      <c r="KAS78" s="497"/>
      <c r="KAT78" s="497"/>
      <c r="KAU78" s="497"/>
      <c r="KAV78" s="497"/>
      <c r="KAW78" s="497"/>
      <c r="KAX78" s="497"/>
      <c r="KAY78" s="497"/>
      <c r="KAZ78" s="497"/>
      <c r="KBA78" s="497"/>
      <c r="KBB78" s="497"/>
      <c r="KBC78" s="497"/>
      <c r="KBD78" s="497"/>
      <c r="KBE78" s="497"/>
      <c r="KBF78" s="497"/>
      <c r="KBG78" s="497"/>
      <c r="KBH78" s="497"/>
      <c r="KBI78" s="497"/>
      <c r="KBJ78" s="497"/>
      <c r="KBK78" s="497"/>
      <c r="KBL78" s="497"/>
      <c r="KBM78" s="497"/>
      <c r="KBN78" s="497"/>
      <c r="KBO78" s="497"/>
      <c r="KBP78" s="497"/>
      <c r="KBQ78" s="497"/>
      <c r="KBR78" s="497"/>
      <c r="KBS78" s="497"/>
      <c r="KBT78" s="497"/>
      <c r="KBU78" s="497"/>
      <c r="KBV78" s="497"/>
      <c r="KBW78" s="497"/>
      <c r="KBX78" s="497"/>
      <c r="KBY78" s="497"/>
      <c r="KBZ78" s="497"/>
      <c r="KCA78" s="497"/>
      <c r="KCB78" s="497"/>
      <c r="KCC78" s="497"/>
      <c r="KCD78" s="497"/>
      <c r="KCE78" s="497"/>
      <c r="KCF78" s="497"/>
      <c r="KCG78" s="497"/>
      <c r="KCH78" s="497"/>
      <c r="KCI78" s="497"/>
      <c r="KCJ78" s="497"/>
      <c r="KCK78" s="497"/>
      <c r="KCL78" s="497"/>
      <c r="KCM78" s="497"/>
      <c r="KCN78" s="497"/>
      <c r="KCO78" s="497"/>
      <c r="KCP78" s="497"/>
      <c r="KCQ78" s="497"/>
      <c r="KCR78" s="497"/>
      <c r="KCS78" s="497"/>
      <c r="KCT78" s="497"/>
      <c r="KCU78" s="497"/>
      <c r="KCV78" s="497"/>
      <c r="KCW78" s="497"/>
      <c r="KCX78" s="497"/>
      <c r="KCY78" s="497"/>
      <c r="KCZ78" s="497"/>
      <c r="KDA78" s="497"/>
      <c r="KDB78" s="497"/>
      <c r="KDC78" s="497"/>
      <c r="KDD78" s="497"/>
      <c r="KDE78" s="497"/>
      <c r="KDF78" s="497"/>
      <c r="KDG78" s="497"/>
      <c r="KDH78" s="497"/>
      <c r="KDI78" s="497"/>
      <c r="KDJ78" s="497"/>
      <c r="KDK78" s="497"/>
      <c r="KDL78" s="497"/>
      <c r="KDM78" s="497"/>
      <c r="KDN78" s="497"/>
      <c r="KDO78" s="497"/>
      <c r="KDP78" s="497"/>
      <c r="KDQ78" s="497"/>
      <c r="KDR78" s="497"/>
      <c r="KDS78" s="497"/>
      <c r="KDT78" s="497"/>
      <c r="KDU78" s="497"/>
      <c r="KDV78" s="497"/>
      <c r="KDW78" s="497"/>
      <c r="KDX78" s="497"/>
      <c r="KDY78" s="497"/>
      <c r="KDZ78" s="497"/>
      <c r="KEA78" s="497"/>
      <c r="KEB78" s="497"/>
      <c r="KEC78" s="497"/>
      <c r="KED78" s="497"/>
      <c r="KEE78" s="497"/>
      <c r="KEF78" s="497"/>
      <c r="KEG78" s="497"/>
      <c r="KEH78" s="497"/>
      <c r="KEI78" s="497"/>
      <c r="KEJ78" s="497"/>
      <c r="KEK78" s="497"/>
      <c r="KEL78" s="497"/>
      <c r="KEM78" s="497"/>
      <c r="KEN78" s="497"/>
      <c r="KEO78" s="497"/>
      <c r="KEP78" s="497"/>
      <c r="KEQ78" s="497"/>
      <c r="KER78" s="497"/>
      <c r="KES78" s="497"/>
      <c r="KET78" s="497"/>
      <c r="KEU78" s="497"/>
      <c r="KEV78" s="497"/>
      <c r="KEW78" s="497"/>
      <c r="KEX78" s="497"/>
      <c r="KEY78" s="497"/>
      <c r="KEZ78" s="497"/>
      <c r="KFA78" s="497"/>
      <c r="KFB78" s="497"/>
      <c r="KFC78" s="497"/>
      <c r="KFD78" s="497"/>
      <c r="KFE78" s="497"/>
      <c r="KFF78" s="497"/>
      <c r="KFG78" s="497"/>
      <c r="KFH78" s="497"/>
      <c r="KFI78" s="497"/>
      <c r="KFJ78" s="497"/>
      <c r="KFK78" s="497"/>
      <c r="KFL78" s="497"/>
      <c r="KFM78" s="497"/>
      <c r="KFN78" s="497"/>
      <c r="KFO78" s="497"/>
      <c r="KFP78" s="497"/>
      <c r="KFQ78" s="497"/>
      <c r="KFR78" s="497"/>
      <c r="KFS78" s="497"/>
      <c r="KFT78" s="497"/>
      <c r="KFU78" s="497"/>
      <c r="KFV78" s="497"/>
      <c r="KFW78" s="497"/>
      <c r="KFX78" s="497"/>
      <c r="KFY78" s="497"/>
      <c r="KFZ78" s="497"/>
      <c r="KGA78" s="497"/>
      <c r="KGB78" s="497"/>
      <c r="KGC78" s="497"/>
      <c r="KGD78" s="497"/>
      <c r="KGE78" s="497"/>
      <c r="KGF78" s="497"/>
      <c r="KGG78" s="497"/>
      <c r="KGH78" s="497"/>
      <c r="KGI78" s="497"/>
      <c r="KGJ78" s="497"/>
      <c r="KGK78" s="497"/>
      <c r="KGL78" s="497"/>
      <c r="KGM78" s="497"/>
      <c r="KGN78" s="497"/>
      <c r="KGO78" s="497"/>
      <c r="KGP78" s="497"/>
      <c r="KGQ78" s="497"/>
      <c r="KGR78" s="497"/>
      <c r="KGS78" s="497"/>
      <c r="KGT78" s="497"/>
      <c r="KGU78" s="497"/>
      <c r="KGV78" s="497"/>
      <c r="KGW78" s="497"/>
      <c r="KGX78" s="497"/>
      <c r="KGY78" s="497"/>
      <c r="KGZ78" s="497"/>
      <c r="KHA78" s="497"/>
      <c r="KHB78" s="497"/>
      <c r="KHC78" s="497"/>
      <c r="KHD78" s="497"/>
      <c r="KHE78" s="497"/>
      <c r="KHF78" s="497"/>
      <c r="KHG78" s="497"/>
      <c r="KHH78" s="497"/>
      <c r="KHI78" s="497"/>
      <c r="KHJ78" s="497"/>
      <c r="KHK78" s="497"/>
      <c r="KHL78" s="497"/>
      <c r="KHM78" s="497"/>
      <c r="KHN78" s="497"/>
      <c r="KHO78" s="497"/>
      <c r="KHP78" s="497"/>
      <c r="KHQ78" s="497"/>
      <c r="KHR78" s="497"/>
      <c r="KHS78" s="497"/>
      <c r="KHT78" s="497"/>
      <c r="KHU78" s="497"/>
      <c r="KHV78" s="497"/>
      <c r="KHW78" s="497"/>
      <c r="KHX78" s="497"/>
      <c r="KHY78" s="497"/>
      <c r="KHZ78" s="497"/>
      <c r="KIA78" s="497"/>
      <c r="KIB78" s="497"/>
      <c r="KIC78" s="497"/>
      <c r="KID78" s="497"/>
      <c r="KIE78" s="497"/>
      <c r="KIF78" s="497"/>
      <c r="KIG78" s="497"/>
      <c r="KIH78" s="497"/>
      <c r="KII78" s="497"/>
      <c r="KIJ78" s="497"/>
      <c r="KIK78" s="497"/>
      <c r="KIL78" s="497"/>
      <c r="KIM78" s="497"/>
      <c r="KIN78" s="497"/>
      <c r="KIO78" s="497"/>
      <c r="KIP78" s="497"/>
      <c r="KIQ78" s="497"/>
      <c r="KIR78" s="497"/>
      <c r="KIS78" s="497"/>
      <c r="KIT78" s="497"/>
      <c r="KIU78" s="497"/>
      <c r="KIV78" s="497"/>
      <c r="KIW78" s="497"/>
      <c r="KIX78" s="497"/>
      <c r="KIY78" s="497"/>
      <c r="KIZ78" s="497"/>
      <c r="KJA78" s="497"/>
      <c r="KJB78" s="497"/>
      <c r="KJC78" s="497"/>
      <c r="KJD78" s="497"/>
      <c r="KJE78" s="497"/>
      <c r="KJF78" s="497"/>
      <c r="KJG78" s="497"/>
      <c r="KJH78" s="497"/>
      <c r="KJI78" s="497"/>
      <c r="KJJ78" s="497"/>
      <c r="KJK78" s="497"/>
      <c r="KJL78" s="497"/>
      <c r="KJM78" s="497"/>
      <c r="KJN78" s="497"/>
      <c r="KJO78" s="497"/>
      <c r="KJP78" s="497"/>
      <c r="KJQ78" s="497"/>
      <c r="KJR78" s="497"/>
      <c r="KJS78" s="497"/>
      <c r="KJT78" s="497"/>
      <c r="KJU78" s="497"/>
      <c r="KJV78" s="497"/>
      <c r="KJW78" s="497"/>
      <c r="KJX78" s="497"/>
      <c r="KJY78" s="497"/>
      <c r="KJZ78" s="497"/>
      <c r="KKA78" s="497"/>
      <c r="KKB78" s="497"/>
      <c r="KKC78" s="497"/>
      <c r="KKD78" s="497"/>
      <c r="KKE78" s="497"/>
      <c r="KKF78" s="497"/>
      <c r="KKG78" s="497"/>
      <c r="KKH78" s="497"/>
      <c r="KKI78" s="497"/>
      <c r="KKJ78" s="497"/>
      <c r="KKK78" s="497"/>
      <c r="KKL78" s="497"/>
      <c r="KKM78" s="497"/>
      <c r="KKN78" s="497"/>
      <c r="KKO78" s="497"/>
      <c r="KKP78" s="497"/>
      <c r="KKQ78" s="497"/>
      <c r="KKR78" s="497"/>
      <c r="KKS78" s="497"/>
      <c r="KKT78" s="497"/>
      <c r="KKU78" s="497"/>
      <c r="KKV78" s="497"/>
      <c r="KKW78" s="497"/>
      <c r="KKX78" s="497"/>
      <c r="KKY78" s="497"/>
      <c r="KKZ78" s="497"/>
      <c r="KLA78" s="497"/>
      <c r="KLB78" s="497"/>
      <c r="KLC78" s="497"/>
      <c r="KLD78" s="497"/>
      <c r="KLE78" s="497"/>
      <c r="KLF78" s="497"/>
      <c r="KLG78" s="497"/>
      <c r="KLH78" s="497"/>
      <c r="KLI78" s="497"/>
      <c r="KLJ78" s="497"/>
      <c r="KLK78" s="497"/>
      <c r="KLL78" s="497"/>
      <c r="KLM78" s="497"/>
      <c r="KLN78" s="497"/>
      <c r="KLO78" s="497"/>
      <c r="KLP78" s="497"/>
      <c r="KLQ78" s="497"/>
      <c r="KLR78" s="497"/>
      <c r="KLS78" s="497"/>
      <c r="KLT78" s="497"/>
      <c r="KLU78" s="497"/>
      <c r="KLV78" s="497"/>
      <c r="KLW78" s="497"/>
      <c r="KLX78" s="497"/>
      <c r="KLY78" s="497"/>
      <c r="KLZ78" s="497"/>
      <c r="KMA78" s="497"/>
      <c r="KMB78" s="497"/>
      <c r="KMC78" s="497"/>
      <c r="KMD78" s="497"/>
      <c r="KME78" s="497"/>
      <c r="KMF78" s="497"/>
      <c r="KMG78" s="497"/>
      <c r="KMH78" s="497"/>
      <c r="KMI78" s="497"/>
      <c r="KMJ78" s="497"/>
      <c r="KMK78" s="497"/>
      <c r="KML78" s="497"/>
      <c r="KMM78" s="497"/>
      <c r="KMN78" s="497"/>
      <c r="KMO78" s="497"/>
      <c r="KMP78" s="497"/>
      <c r="KMQ78" s="497"/>
      <c r="KMR78" s="497"/>
      <c r="KMS78" s="497"/>
      <c r="KMT78" s="497"/>
      <c r="KMU78" s="497"/>
      <c r="KMV78" s="497"/>
      <c r="KMW78" s="497"/>
      <c r="KMX78" s="497"/>
      <c r="KMY78" s="497"/>
      <c r="KMZ78" s="497"/>
      <c r="KNA78" s="497"/>
      <c r="KNB78" s="497"/>
      <c r="KNC78" s="497"/>
      <c r="KND78" s="497"/>
      <c r="KNE78" s="497"/>
      <c r="KNF78" s="497"/>
      <c r="KNG78" s="497"/>
      <c r="KNH78" s="497"/>
      <c r="KNI78" s="497"/>
      <c r="KNJ78" s="497"/>
      <c r="KNK78" s="497"/>
      <c r="KNL78" s="497"/>
      <c r="KNM78" s="497"/>
      <c r="KNN78" s="497"/>
      <c r="KNO78" s="497"/>
      <c r="KNP78" s="497"/>
      <c r="KNQ78" s="497"/>
      <c r="KNR78" s="497"/>
      <c r="KNS78" s="497"/>
      <c r="KNT78" s="497"/>
      <c r="KNU78" s="497"/>
      <c r="KNV78" s="497"/>
      <c r="KNW78" s="497"/>
      <c r="KNX78" s="497"/>
      <c r="KNY78" s="497"/>
      <c r="KNZ78" s="497"/>
      <c r="KOA78" s="497"/>
      <c r="KOB78" s="497"/>
      <c r="KOC78" s="497"/>
      <c r="KOD78" s="497"/>
      <c r="KOE78" s="497"/>
      <c r="KOF78" s="497"/>
      <c r="KOG78" s="497"/>
      <c r="KOH78" s="497"/>
      <c r="KOI78" s="497"/>
      <c r="KOJ78" s="497"/>
      <c r="KOK78" s="497"/>
      <c r="KOL78" s="497"/>
      <c r="KOM78" s="497"/>
      <c r="KON78" s="497"/>
      <c r="KOO78" s="497"/>
      <c r="KOP78" s="497"/>
      <c r="KOQ78" s="497"/>
      <c r="KOR78" s="497"/>
      <c r="KOS78" s="497"/>
      <c r="KOT78" s="497"/>
      <c r="KOU78" s="497"/>
      <c r="KOV78" s="497"/>
      <c r="KOW78" s="497"/>
      <c r="KOX78" s="497"/>
      <c r="KOY78" s="497"/>
      <c r="KOZ78" s="497"/>
      <c r="KPA78" s="497"/>
      <c r="KPB78" s="497"/>
      <c r="KPC78" s="497"/>
      <c r="KPD78" s="497"/>
      <c r="KPE78" s="497"/>
      <c r="KPF78" s="497"/>
      <c r="KPG78" s="497"/>
      <c r="KPH78" s="497"/>
      <c r="KPI78" s="497"/>
      <c r="KPJ78" s="497"/>
      <c r="KPK78" s="497"/>
      <c r="KPL78" s="497"/>
      <c r="KPM78" s="497"/>
      <c r="KPN78" s="497"/>
      <c r="KPO78" s="497"/>
      <c r="KPP78" s="497"/>
      <c r="KPQ78" s="497"/>
      <c r="KPR78" s="497"/>
      <c r="KPS78" s="497"/>
      <c r="KPT78" s="497"/>
      <c r="KPU78" s="497"/>
      <c r="KPV78" s="497"/>
      <c r="KPW78" s="497"/>
      <c r="KPX78" s="497"/>
      <c r="KPY78" s="497"/>
      <c r="KPZ78" s="497"/>
      <c r="KQA78" s="497"/>
      <c r="KQB78" s="497"/>
      <c r="KQC78" s="497"/>
      <c r="KQD78" s="497"/>
      <c r="KQE78" s="497"/>
      <c r="KQF78" s="497"/>
      <c r="KQG78" s="497"/>
      <c r="KQH78" s="497"/>
      <c r="KQI78" s="497"/>
      <c r="KQJ78" s="497"/>
      <c r="KQK78" s="497"/>
      <c r="KQL78" s="497"/>
      <c r="KQM78" s="497"/>
      <c r="KQN78" s="497"/>
      <c r="KQO78" s="497"/>
      <c r="KQP78" s="497"/>
      <c r="KQQ78" s="497"/>
      <c r="KQR78" s="497"/>
      <c r="KQS78" s="497"/>
      <c r="KQT78" s="497"/>
      <c r="KQU78" s="497"/>
      <c r="KQV78" s="497"/>
      <c r="KQW78" s="497"/>
      <c r="KQX78" s="497"/>
      <c r="KQY78" s="497"/>
      <c r="KQZ78" s="497"/>
      <c r="KRA78" s="497"/>
      <c r="KRB78" s="497"/>
      <c r="KRC78" s="497"/>
      <c r="KRD78" s="497"/>
      <c r="KRE78" s="497"/>
      <c r="KRF78" s="497"/>
      <c r="KRG78" s="497"/>
      <c r="KRH78" s="497"/>
      <c r="KRI78" s="497"/>
      <c r="KRJ78" s="497"/>
      <c r="KRK78" s="497"/>
      <c r="KRL78" s="497"/>
      <c r="KRM78" s="497"/>
      <c r="KRN78" s="497"/>
      <c r="KRO78" s="497"/>
      <c r="KRP78" s="497"/>
      <c r="KRQ78" s="497"/>
      <c r="KRR78" s="497"/>
      <c r="KRS78" s="497"/>
      <c r="KRT78" s="497"/>
      <c r="KRU78" s="497"/>
      <c r="KRV78" s="497"/>
      <c r="KRW78" s="497"/>
      <c r="KRX78" s="497"/>
      <c r="KRY78" s="497"/>
      <c r="KRZ78" s="497"/>
      <c r="KSA78" s="497"/>
      <c r="KSB78" s="497"/>
      <c r="KSC78" s="497"/>
      <c r="KSD78" s="497"/>
      <c r="KSE78" s="497"/>
      <c r="KSF78" s="497"/>
      <c r="KSG78" s="497"/>
      <c r="KSH78" s="497"/>
      <c r="KSI78" s="497"/>
      <c r="KSJ78" s="497"/>
      <c r="KSK78" s="497"/>
      <c r="KSL78" s="497"/>
      <c r="KSM78" s="497"/>
      <c r="KSN78" s="497"/>
      <c r="KSO78" s="497"/>
      <c r="KSP78" s="497"/>
      <c r="KSQ78" s="497"/>
      <c r="KSR78" s="497"/>
      <c r="KSS78" s="497"/>
      <c r="KST78" s="497"/>
      <c r="KSU78" s="497"/>
      <c r="KSV78" s="497"/>
      <c r="KSW78" s="497"/>
      <c r="KSX78" s="497"/>
      <c r="KSY78" s="497"/>
      <c r="KSZ78" s="497"/>
      <c r="KTA78" s="497"/>
      <c r="KTB78" s="497"/>
      <c r="KTC78" s="497"/>
      <c r="KTD78" s="497"/>
      <c r="KTE78" s="497"/>
      <c r="KTF78" s="497"/>
      <c r="KTG78" s="497"/>
      <c r="KTH78" s="497"/>
      <c r="KTI78" s="497"/>
      <c r="KTJ78" s="497"/>
      <c r="KTK78" s="497"/>
      <c r="KTL78" s="497"/>
      <c r="KTM78" s="497"/>
      <c r="KTN78" s="497"/>
      <c r="KTO78" s="497"/>
      <c r="KTP78" s="497"/>
      <c r="KTQ78" s="497"/>
      <c r="KTR78" s="497"/>
      <c r="KTS78" s="497"/>
      <c r="KTT78" s="497"/>
      <c r="KTU78" s="497"/>
      <c r="KTV78" s="497"/>
      <c r="KTW78" s="497"/>
      <c r="KTX78" s="497"/>
      <c r="KTY78" s="497"/>
      <c r="KTZ78" s="497"/>
      <c r="KUA78" s="497"/>
      <c r="KUB78" s="497"/>
      <c r="KUC78" s="497"/>
      <c r="KUD78" s="497"/>
      <c r="KUE78" s="497"/>
      <c r="KUF78" s="497"/>
      <c r="KUG78" s="497"/>
      <c r="KUH78" s="497"/>
      <c r="KUI78" s="497"/>
      <c r="KUJ78" s="497"/>
      <c r="KUK78" s="497"/>
      <c r="KUL78" s="497"/>
      <c r="KUM78" s="497"/>
      <c r="KUN78" s="497"/>
      <c r="KUO78" s="497"/>
      <c r="KUP78" s="497"/>
      <c r="KUQ78" s="497"/>
      <c r="KUR78" s="497"/>
      <c r="KUS78" s="497"/>
      <c r="KUT78" s="497"/>
      <c r="KUU78" s="497"/>
      <c r="KUV78" s="497"/>
      <c r="KUW78" s="497"/>
      <c r="KUX78" s="497"/>
      <c r="KUY78" s="497"/>
      <c r="KUZ78" s="497"/>
      <c r="KVA78" s="497"/>
      <c r="KVB78" s="497"/>
      <c r="KVC78" s="497"/>
      <c r="KVD78" s="497"/>
      <c r="KVE78" s="497"/>
      <c r="KVF78" s="497"/>
      <c r="KVG78" s="497"/>
      <c r="KVH78" s="497"/>
      <c r="KVI78" s="497"/>
      <c r="KVJ78" s="497"/>
      <c r="KVK78" s="497"/>
      <c r="KVL78" s="497"/>
      <c r="KVM78" s="497"/>
      <c r="KVN78" s="497"/>
      <c r="KVO78" s="497"/>
      <c r="KVP78" s="497"/>
      <c r="KVQ78" s="497"/>
      <c r="KVR78" s="497"/>
      <c r="KVS78" s="497"/>
      <c r="KVT78" s="497"/>
      <c r="KVU78" s="497"/>
      <c r="KVV78" s="497"/>
      <c r="KVW78" s="497"/>
      <c r="KVX78" s="497"/>
      <c r="KVY78" s="497"/>
      <c r="KVZ78" s="497"/>
      <c r="KWA78" s="497"/>
      <c r="KWB78" s="497"/>
      <c r="KWC78" s="497"/>
      <c r="KWD78" s="497"/>
      <c r="KWE78" s="497"/>
      <c r="KWF78" s="497"/>
      <c r="KWG78" s="497"/>
      <c r="KWH78" s="497"/>
      <c r="KWI78" s="497"/>
      <c r="KWJ78" s="497"/>
      <c r="KWK78" s="497"/>
      <c r="KWL78" s="497"/>
      <c r="KWM78" s="497"/>
      <c r="KWN78" s="497"/>
      <c r="KWO78" s="497"/>
      <c r="KWP78" s="497"/>
      <c r="KWQ78" s="497"/>
      <c r="KWR78" s="497"/>
      <c r="KWS78" s="497"/>
      <c r="KWT78" s="497"/>
      <c r="KWU78" s="497"/>
      <c r="KWV78" s="497"/>
      <c r="KWW78" s="497"/>
      <c r="KWX78" s="497"/>
      <c r="KWY78" s="497"/>
      <c r="KWZ78" s="497"/>
      <c r="KXA78" s="497"/>
      <c r="KXB78" s="497"/>
      <c r="KXC78" s="497"/>
      <c r="KXD78" s="497"/>
      <c r="KXE78" s="497"/>
      <c r="KXF78" s="497"/>
      <c r="KXG78" s="497"/>
      <c r="KXH78" s="497"/>
      <c r="KXI78" s="497"/>
      <c r="KXJ78" s="497"/>
      <c r="KXK78" s="497"/>
      <c r="KXL78" s="497"/>
      <c r="KXM78" s="497"/>
      <c r="KXN78" s="497"/>
      <c r="KXO78" s="497"/>
      <c r="KXP78" s="497"/>
      <c r="KXQ78" s="497"/>
      <c r="KXR78" s="497"/>
      <c r="KXS78" s="497"/>
      <c r="KXT78" s="497"/>
      <c r="KXU78" s="497"/>
      <c r="KXV78" s="497"/>
      <c r="KXW78" s="497"/>
      <c r="KXX78" s="497"/>
      <c r="KXY78" s="497"/>
      <c r="KXZ78" s="497"/>
      <c r="KYA78" s="497"/>
      <c r="KYB78" s="497"/>
      <c r="KYC78" s="497"/>
      <c r="KYD78" s="497"/>
      <c r="KYE78" s="497"/>
      <c r="KYF78" s="497"/>
      <c r="KYG78" s="497"/>
      <c r="KYH78" s="497"/>
      <c r="KYI78" s="497"/>
      <c r="KYJ78" s="497"/>
      <c r="KYK78" s="497"/>
      <c r="KYL78" s="497"/>
      <c r="KYM78" s="497"/>
      <c r="KYN78" s="497"/>
      <c r="KYO78" s="497"/>
      <c r="KYP78" s="497"/>
      <c r="KYQ78" s="497"/>
      <c r="KYR78" s="497"/>
      <c r="KYS78" s="497"/>
      <c r="KYT78" s="497"/>
      <c r="KYU78" s="497"/>
      <c r="KYV78" s="497"/>
      <c r="KYW78" s="497"/>
      <c r="KYX78" s="497"/>
      <c r="KYY78" s="497"/>
      <c r="KYZ78" s="497"/>
      <c r="KZA78" s="497"/>
      <c r="KZB78" s="497"/>
      <c r="KZC78" s="497"/>
      <c r="KZD78" s="497"/>
      <c r="KZE78" s="497"/>
      <c r="KZF78" s="497"/>
      <c r="KZG78" s="497"/>
      <c r="KZH78" s="497"/>
      <c r="KZI78" s="497"/>
      <c r="KZJ78" s="497"/>
      <c r="KZK78" s="497"/>
      <c r="KZL78" s="497"/>
      <c r="KZM78" s="497"/>
      <c r="KZN78" s="497"/>
      <c r="KZO78" s="497"/>
      <c r="KZP78" s="497"/>
      <c r="KZQ78" s="497"/>
      <c r="KZR78" s="497"/>
      <c r="KZS78" s="497"/>
      <c r="KZT78" s="497"/>
      <c r="KZU78" s="497"/>
      <c r="KZV78" s="497"/>
      <c r="KZW78" s="497"/>
      <c r="KZX78" s="497"/>
      <c r="KZY78" s="497"/>
      <c r="KZZ78" s="497"/>
      <c r="LAA78" s="497"/>
      <c r="LAB78" s="497"/>
      <c r="LAC78" s="497"/>
      <c r="LAD78" s="497"/>
      <c r="LAE78" s="497"/>
      <c r="LAF78" s="497"/>
      <c r="LAG78" s="497"/>
      <c r="LAH78" s="497"/>
      <c r="LAI78" s="497"/>
      <c r="LAJ78" s="497"/>
      <c r="LAK78" s="497"/>
      <c r="LAL78" s="497"/>
      <c r="LAM78" s="497"/>
      <c r="LAN78" s="497"/>
      <c r="LAO78" s="497"/>
      <c r="LAP78" s="497"/>
      <c r="LAQ78" s="497"/>
      <c r="LAR78" s="497"/>
      <c r="LAS78" s="497"/>
      <c r="LAT78" s="497"/>
      <c r="LAU78" s="497"/>
      <c r="LAV78" s="497"/>
      <c r="LAW78" s="497"/>
      <c r="LAX78" s="497"/>
      <c r="LAY78" s="497"/>
      <c r="LAZ78" s="497"/>
      <c r="LBA78" s="497"/>
      <c r="LBB78" s="497"/>
      <c r="LBC78" s="497"/>
      <c r="LBD78" s="497"/>
      <c r="LBE78" s="497"/>
      <c r="LBF78" s="497"/>
      <c r="LBG78" s="497"/>
      <c r="LBH78" s="497"/>
      <c r="LBI78" s="497"/>
      <c r="LBJ78" s="497"/>
      <c r="LBK78" s="497"/>
      <c r="LBL78" s="497"/>
      <c r="LBM78" s="497"/>
      <c r="LBN78" s="497"/>
      <c r="LBO78" s="497"/>
      <c r="LBP78" s="497"/>
      <c r="LBQ78" s="497"/>
      <c r="LBR78" s="497"/>
      <c r="LBS78" s="497"/>
      <c r="LBT78" s="497"/>
      <c r="LBU78" s="497"/>
      <c r="LBV78" s="497"/>
      <c r="LBW78" s="497"/>
      <c r="LBX78" s="497"/>
      <c r="LBY78" s="497"/>
      <c r="LBZ78" s="497"/>
      <c r="LCA78" s="497"/>
      <c r="LCB78" s="497"/>
      <c r="LCC78" s="497"/>
      <c r="LCD78" s="497"/>
      <c r="LCE78" s="497"/>
      <c r="LCF78" s="497"/>
      <c r="LCG78" s="497"/>
      <c r="LCH78" s="497"/>
      <c r="LCI78" s="497"/>
      <c r="LCJ78" s="497"/>
      <c r="LCK78" s="497"/>
      <c r="LCL78" s="497"/>
      <c r="LCM78" s="497"/>
      <c r="LCN78" s="497"/>
      <c r="LCO78" s="497"/>
      <c r="LCP78" s="497"/>
      <c r="LCQ78" s="497"/>
      <c r="LCR78" s="497"/>
      <c r="LCS78" s="497"/>
      <c r="LCT78" s="497"/>
      <c r="LCU78" s="497"/>
      <c r="LCV78" s="497"/>
      <c r="LCW78" s="497"/>
      <c r="LCX78" s="497"/>
      <c r="LCY78" s="497"/>
      <c r="LCZ78" s="497"/>
      <c r="LDA78" s="497"/>
      <c r="LDB78" s="497"/>
      <c r="LDC78" s="497"/>
      <c r="LDD78" s="497"/>
      <c r="LDE78" s="497"/>
      <c r="LDF78" s="497"/>
      <c r="LDG78" s="497"/>
      <c r="LDH78" s="497"/>
      <c r="LDI78" s="497"/>
      <c r="LDJ78" s="497"/>
      <c r="LDK78" s="497"/>
      <c r="LDL78" s="497"/>
      <c r="LDM78" s="497"/>
      <c r="LDN78" s="497"/>
      <c r="LDO78" s="497"/>
      <c r="LDP78" s="497"/>
      <c r="LDQ78" s="497"/>
      <c r="LDR78" s="497"/>
      <c r="LDS78" s="497"/>
      <c r="LDT78" s="497"/>
      <c r="LDU78" s="497"/>
      <c r="LDV78" s="497"/>
      <c r="LDW78" s="497"/>
      <c r="LDX78" s="497"/>
      <c r="LDY78" s="497"/>
      <c r="LDZ78" s="497"/>
      <c r="LEA78" s="497"/>
      <c r="LEB78" s="497"/>
      <c r="LEC78" s="497"/>
      <c r="LED78" s="497"/>
      <c r="LEE78" s="497"/>
      <c r="LEF78" s="497"/>
      <c r="LEG78" s="497"/>
      <c r="LEH78" s="497"/>
      <c r="LEI78" s="497"/>
      <c r="LEJ78" s="497"/>
      <c r="LEK78" s="497"/>
      <c r="LEL78" s="497"/>
      <c r="LEM78" s="497"/>
      <c r="LEN78" s="497"/>
      <c r="LEO78" s="497"/>
      <c r="LEP78" s="497"/>
      <c r="LEQ78" s="497"/>
      <c r="LER78" s="497"/>
      <c r="LES78" s="497"/>
      <c r="LET78" s="497"/>
      <c r="LEU78" s="497"/>
      <c r="LEV78" s="497"/>
      <c r="LEW78" s="497"/>
      <c r="LEX78" s="497"/>
      <c r="LEY78" s="497"/>
      <c r="LEZ78" s="497"/>
      <c r="LFA78" s="497"/>
      <c r="LFB78" s="497"/>
      <c r="LFC78" s="497"/>
      <c r="LFD78" s="497"/>
      <c r="LFE78" s="497"/>
      <c r="LFF78" s="497"/>
      <c r="LFG78" s="497"/>
      <c r="LFH78" s="497"/>
      <c r="LFI78" s="497"/>
      <c r="LFJ78" s="497"/>
      <c r="LFK78" s="497"/>
      <c r="LFL78" s="497"/>
      <c r="LFM78" s="497"/>
      <c r="LFN78" s="497"/>
      <c r="LFO78" s="497"/>
      <c r="LFP78" s="497"/>
      <c r="LFQ78" s="497"/>
      <c r="LFR78" s="497"/>
      <c r="LFS78" s="497"/>
      <c r="LFT78" s="497"/>
      <c r="LFU78" s="497"/>
      <c r="LFV78" s="497"/>
      <c r="LFW78" s="497"/>
      <c r="LFX78" s="497"/>
      <c r="LFY78" s="497"/>
      <c r="LFZ78" s="497"/>
      <c r="LGA78" s="497"/>
      <c r="LGB78" s="497"/>
      <c r="LGC78" s="497"/>
      <c r="LGD78" s="497"/>
      <c r="LGE78" s="497"/>
      <c r="LGF78" s="497"/>
      <c r="LGG78" s="497"/>
      <c r="LGH78" s="497"/>
      <c r="LGI78" s="497"/>
      <c r="LGJ78" s="497"/>
      <c r="LGK78" s="497"/>
      <c r="LGL78" s="497"/>
      <c r="LGM78" s="497"/>
      <c r="LGN78" s="497"/>
      <c r="LGO78" s="497"/>
      <c r="LGP78" s="497"/>
      <c r="LGQ78" s="497"/>
      <c r="LGR78" s="497"/>
      <c r="LGS78" s="497"/>
      <c r="LGT78" s="497"/>
      <c r="LGU78" s="497"/>
      <c r="LGV78" s="497"/>
      <c r="LGW78" s="497"/>
      <c r="LGX78" s="497"/>
      <c r="LGY78" s="497"/>
      <c r="LGZ78" s="497"/>
      <c r="LHA78" s="497"/>
      <c r="LHB78" s="497"/>
      <c r="LHC78" s="497"/>
      <c r="LHD78" s="497"/>
      <c r="LHE78" s="497"/>
      <c r="LHF78" s="497"/>
      <c r="LHG78" s="497"/>
      <c r="LHH78" s="497"/>
      <c r="LHI78" s="497"/>
      <c r="LHJ78" s="497"/>
      <c r="LHK78" s="497"/>
      <c r="LHL78" s="497"/>
      <c r="LHM78" s="497"/>
      <c r="LHN78" s="497"/>
      <c r="LHO78" s="497"/>
      <c r="LHP78" s="497"/>
      <c r="LHQ78" s="497"/>
      <c r="LHR78" s="497"/>
      <c r="LHS78" s="497"/>
      <c r="LHT78" s="497"/>
      <c r="LHU78" s="497"/>
      <c r="LHV78" s="497"/>
      <c r="LHW78" s="497"/>
      <c r="LHX78" s="497"/>
      <c r="LHY78" s="497"/>
      <c r="LHZ78" s="497"/>
      <c r="LIA78" s="497"/>
      <c r="LIB78" s="497"/>
      <c r="LIC78" s="497"/>
      <c r="LID78" s="497"/>
      <c r="LIE78" s="497"/>
      <c r="LIF78" s="497"/>
      <c r="LIG78" s="497"/>
      <c r="LIH78" s="497"/>
      <c r="LII78" s="497"/>
      <c r="LIJ78" s="497"/>
      <c r="LIK78" s="497"/>
      <c r="LIL78" s="497"/>
      <c r="LIM78" s="497"/>
      <c r="LIN78" s="497"/>
      <c r="LIO78" s="497"/>
      <c r="LIP78" s="497"/>
      <c r="LIQ78" s="497"/>
      <c r="LIR78" s="497"/>
      <c r="LIS78" s="497"/>
      <c r="LIT78" s="497"/>
      <c r="LIU78" s="497"/>
      <c r="LIV78" s="497"/>
      <c r="LIW78" s="497"/>
      <c r="LIX78" s="497"/>
      <c r="LIY78" s="497"/>
      <c r="LIZ78" s="497"/>
      <c r="LJA78" s="497"/>
      <c r="LJB78" s="497"/>
      <c r="LJC78" s="497"/>
      <c r="LJD78" s="497"/>
      <c r="LJE78" s="497"/>
      <c r="LJF78" s="497"/>
      <c r="LJG78" s="497"/>
      <c r="LJH78" s="497"/>
      <c r="LJI78" s="497"/>
      <c r="LJJ78" s="497"/>
      <c r="LJK78" s="497"/>
      <c r="LJL78" s="497"/>
      <c r="LJM78" s="497"/>
      <c r="LJN78" s="497"/>
      <c r="LJO78" s="497"/>
      <c r="LJP78" s="497"/>
      <c r="LJQ78" s="497"/>
      <c r="LJR78" s="497"/>
      <c r="LJS78" s="497"/>
      <c r="LJT78" s="497"/>
      <c r="LJU78" s="497"/>
      <c r="LJV78" s="497"/>
      <c r="LJW78" s="497"/>
      <c r="LJX78" s="497"/>
      <c r="LJY78" s="497"/>
      <c r="LJZ78" s="497"/>
      <c r="LKA78" s="497"/>
      <c r="LKB78" s="497"/>
      <c r="LKC78" s="497"/>
      <c r="LKD78" s="497"/>
      <c r="LKE78" s="497"/>
      <c r="LKF78" s="497"/>
      <c r="LKG78" s="497"/>
      <c r="LKH78" s="497"/>
      <c r="LKI78" s="497"/>
      <c r="LKJ78" s="497"/>
      <c r="LKK78" s="497"/>
      <c r="LKL78" s="497"/>
      <c r="LKM78" s="497"/>
      <c r="LKN78" s="497"/>
      <c r="LKO78" s="497"/>
      <c r="LKP78" s="497"/>
      <c r="LKQ78" s="497"/>
      <c r="LKR78" s="497"/>
      <c r="LKS78" s="497"/>
      <c r="LKT78" s="497"/>
      <c r="LKU78" s="497"/>
      <c r="LKV78" s="497"/>
      <c r="LKW78" s="497"/>
      <c r="LKX78" s="497"/>
      <c r="LKY78" s="497"/>
      <c r="LKZ78" s="497"/>
      <c r="LLA78" s="497"/>
      <c r="LLB78" s="497"/>
      <c r="LLC78" s="497"/>
      <c r="LLD78" s="497"/>
      <c r="LLE78" s="497"/>
      <c r="LLF78" s="497"/>
      <c r="LLG78" s="497"/>
      <c r="LLH78" s="497"/>
      <c r="LLI78" s="497"/>
      <c r="LLJ78" s="497"/>
      <c r="LLK78" s="497"/>
      <c r="LLL78" s="497"/>
      <c r="LLM78" s="497"/>
      <c r="LLN78" s="497"/>
      <c r="LLO78" s="497"/>
      <c r="LLP78" s="497"/>
      <c r="LLQ78" s="497"/>
      <c r="LLR78" s="497"/>
      <c r="LLS78" s="497"/>
      <c r="LLT78" s="497"/>
      <c r="LLU78" s="497"/>
      <c r="LLV78" s="497"/>
      <c r="LLW78" s="497"/>
      <c r="LLX78" s="497"/>
      <c r="LLY78" s="497"/>
      <c r="LLZ78" s="497"/>
      <c r="LMA78" s="497"/>
      <c r="LMB78" s="497"/>
      <c r="LMC78" s="497"/>
      <c r="LMD78" s="497"/>
      <c r="LME78" s="497"/>
      <c r="LMF78" s="497"/>
      <c r="LMG78" s="497"/>
      <c r="LMH78" s="497"/>
      <c r="LMI78" s="497"/>
      <c r="LMJ78" s="497"/>
      <c r="LMK78" s="497"/>
      <c r="LML78" s="497"/>
      <c r="LMM78" s="497"/>
      <c r="LMN78" s="497"/>
      <c r="LMO78" s="497"/>
      <c r="LMP78" s="497"/>
      <c r="LMQ78" s="497"/>
      <c r="LMR78" s="497"/>
      <c r="LMS78" s="497"/>
      <c r="LMT78" s="497"/>
      <c r="LMU78" s="497"/>
      <c r="LMV78" s="497"/>
      <c r="LMW78" s="497"/>
      <c r="LMX78" s="497"/>
      <c r="LMY78" s="497"/>
      <c r="LMZ78" s="497"/>
      <c r="LNA78" s="497"/>
      <c r="LNB78" s="497"/>
      <c r="LNC78" s="497"/>
      <c r="LND78" s="497"/>
      <c r="LNE78" s="497"/>
      <c r="LNF78" s="497"/>
      <c r="LNG78" s="497"/>
      <c r="LNH78" s="497"/>
      <c r="LNI78" s="497"/>
      <c r="LNJ78" s="497"/>
      <c r="LNK78" s="497"/>
      <c r="LNL78" s="497"/>
      <c r="LNM78" s="497"/>
      <c r="LNN78" s="497"/>
      <c r="LNO78" s="497"/>
      <c r="LNP78" s="497"/>
      <c r="LNQ78" s="497"/>
      <c r="LNR78" s="497"/>
      <c r="LNS78" s="497"/>
      <c r="LNT78" s="497"/>
      <c r="LNU78" s="497"/>
      <c r="LNV78" s="497"/>
      <c r="LNW78" s="497"/>
      <c r="LNX78" s="497"/>
      <c r="LNY78" s="497"/>
      <c r="LNZ78" s="497"/>
      <c r="LOA78" s="497"/>
      <c r="LOB78" s="497"/>
      <c r="LOC78" s="497"/>
      <c r="LOD78" s="497"/>
      <c r="LOE78" s="497"/>
      <c r="LOF78" s="497"/>
      <c r="LOG78" s="497"/>
      <c r="LOH78" s="497"/>
      <c r="LOI78" s="497"/>
      <c r="LOJ78" s="497"/>
      <c r="LOK78" s="497"/>
      <c r="LOL78" s="497"/>
      <c r="LOM78" s="497"/>
      <c r="LON78" s="497"/>
      <c r="LOO78" s="497"/>
      <c r="LOP78" s="497"/>
      <c r="LOQ78" s="497"/>
      <c r="LOR78" s="497"/>
      <c r="LOS78" s="497"/>
      <c r="LOT78" s="497"/>
      <c r="LOU78" s="497"/>
      <c r="LOV78" s="497"/>
      <c r="LOW78" s="497"/>
      <c r="LOX78" s="497"/>
      <c r="LOY78" s="497"/>
      <c r="LOZ78" s="497"/>
      <c r="LPA78" s="497"/>
      <c r="LPB78" s="497"/>
      <c r="LPC78" s="497"/>
      <c r="LPD78" s="497"/>
      <c r="LPE78" s="497"/>
      <c r="LPF78" s="497"/>
      <c r="LPG78" s="497"/>
      <c r="LPH78" s="497"/>
      <c r="LPI78" s="497"/>
      <c r="LPJ78" s="497"/>
      <c r="LPK78" s="497"/>
      <c r="LPL78" s="497"/>
      <c r="LPM78" s="497"/>
      <c r="LPN78" s="497"/>
      <c r="LPO78" s="497"/>
      <c r="LPP78" s="497"/>
      <c r="LPQ78" s="497"/>
      <c r="LPR78" s="497"/>
      <c r="LPS78" s="497"/>
      <c r="LPT78" s="497"/>
      <c r="LPU78" s="497"/>
      <c r="LPV78" s="497"/>
      <c r="LPW78" s="497"/>
      <c r="LPX78" s="497"/>
      <c r="LPY78" s="497"/>
      <c r="LPZ78" s="497"/>
      <c r="LQA78" s="497"/>
      <c r="LQB78" s="497"/>
      <c r="LQC78" s="497"/>
      <c r="LQD78" s="497"/>
      <c r="LQE78" s="497"/>
      <c r="LQF78" s="497"/>
      <c r="LQG78" s="497"/>
      <c r="LQH78" s="497"/>
      <c r="LQI78" s="497"/>
      <c r="LQJ78" s="497"/>
      <c r="LQK78" s="497"/>
      <c r="LQL78" s="497"/>
      <c r="LQM78" s="497"/>
      <c r="LQN78" s="497"/>
      <c r="LQO78" s="497"/>
      <c r="LQP78" s="497"/>
      <c r="LQQ78" s="497"/>
      <c r="LQR78" s="497"/>
      <c r="LQS78" s="497"/>
      <c r="LQT78" s="497"/>
      <c r="LQU78" s="497"/>
      <c r="LQV78" s="497"/>
      <c r="LQW78" s="497"/>
      <c r="LQX78" s="497"/>
      <c r="LQY78" s="497"/>
      <c r="LQZ78" s="497"/>
      <c r="LRA78" s="497"/>
      <c r="LRB78" s="497"/>
      <c r="LRC78" s="497"/>
      <c r="LRD78" s="497"/>
      <c r="LRE78" s="497"/>
      <c r="LRF78" s="497"/>
      <c r="LRG78" s="497"/>
      <c r="LRH78" s="497"/>
      <c r="LRI78" s="497"/>
      <c r="LRJ78" s="497"/>
      <c r="LRK78" s="497"/>
      <c r="LRL78" s="497"/>
      <c r="LRM78" s="497"/>
      <c r="LRN78" s="497"/>
      <c r="LRO78" s="497"/>
      <c r="LRP78" s="497"/>
      <c r="LRQ78" s="497"/>
      <c r="LRR78" s="497"/>
      <c r="LRS78" s="497"/>
      <c r="LRT78" s="497"/>
      <c r="LRU78" s="497"/>
      <c r="LRV78" s="497"/>
      <c r="LRW78" s="497"/>
      <c r="LRX78" s="497"/>
      <c r="LRY78" s="497"/>
      <c r="LRZ78" s="497"/>
      <c r="LSA78" s="497"/>
      <c r="LSB78" s="497"/>
      <c r="LSC78" s="497"/>
      <c r="LSD78" s="497"/>
      <c r="LSE78" s="497"/>
      <c r="LSF78" s="497"/>
      <c r="LSG78" s="497"/>
      <c r="LSH78" s="497"/>
      <c r="LSI78" s="497"/>
      <c r="LSJ78" s="497"/>
      <c r="LSK78" s="497"/>
      <c r="LSL78" s="497"/>
      <c r="LSM78" s="497"/>
      <c r="LSN78" s="497"/>
      <c r="LSO78" s="497"/>
      <c r="LSP78" s="497"/>
      <c r="LSQ78" s="497"/>
      <c r="LSR78" s="497"/>
      <c r="LSS78" s="497"/>
      <c r="LST78" s="497"/>
      <c r="LSU78" s="497"/>
      <c r="LSV78" s="497"/>
      <c r="LSW78" s="497"/>
      <c r="LSX78" s="497"/>
      <c r="LSY78" s="497"/>
      <c r="LSZ78" s="497"/>
      <c r="LTA78" s="497"/>
      <c r="LTB78" s="497"/>
      <c r="LTC78" s="497"/>
      <c r="LTD78" s="497"/>
      <c r="LTE78" s="497"/>
      <c r="LTF78" s="497"/>
      <c r="LTG78" s="497"/>
      <c r="LTH78" s="497"/>
      <c r="LTI78" s="497"/>
      <c r="LTJ78" s="497"/>
      <c r="LTK78" s="497"/>
      <c r="LTL78" s="497"/>
      <c r="LTM78" s="497"/>
      <c r="LTN78" s="497"/>
      <c r="LTO78" s="497"/>
      <c r="LTP78" s="497"/>
      <c r="LTQ78" s="497"/>
      <c r="LTR78" s="497"/>
      <c r="LTS78" s="497"/>
      <c r="LTT78" s="497"/>
      <c r="LTU78" s="497"/>
      <c r="LTV78" s="497"/>
      <c r="LTW78" s="497"/>
      <c r="LTX78" s="497"/>
      <c r="LTY78" s="497"/>
      <c r="LTZ78" s="497"/>
      <c r="LUA78" s="497"/>
      <c r="LUB78" s="497"/>
      <c r="LUC78" s="497"/>
      <c r="LUD78" s="497"/>
      <c r="LUE78" s="497"/>
      <c r="LUF78" s="497"/>
      <c r="LUG78" s="497"/>
      <c r="LUH78" s="497"/>
      <c r="LUI78" s="497"/>
      <c r="LUJ78" s="497"/>
      <c r="LUK78" s="497"/>
      <c r="LUL78" s="497"/>
      <c r="LUM78" s="497"/>
      <c r="LUN78" s="497"/>
      <c r="LUO78" s="497"/>
      <c r="LUP78" s="497"/>
      <c r="LUQ78" s="497"/>
      <c r="LUR78" s="497"/>
      <c r="LUS78" s="497"/>
      <c r="LUT78" s="497"/>
      <c r="LUU78" s="497"/>
      <c r="LUV78" s="497"/>
      <c r="LUW78" s="497"/>
      <c r="LUX78" s="497"/>
      <c r="LUY78" s="497"/>
      <c r="LUZ78" s="497"/>
      <c r="LVA78" s="497"/>
      <c r="LVB78" s="497"/>
      <c r="LVC78" s="497"/>
      <c r="LVD78" s="497"/>
      <c r="LVE78" s="497"/>
      <c r="LVF78" s="497"/>
      <c r="LVG78" s="497"/>
      <c r="LVH78" s="497"/>
      <c r="LVI78" s="497"/>
      <c r="LVJ78" s="497"/>
      <c r="LVK78" s="497"/>
      <c r="LVL78" s="497"/>
      <c r="LVM78" s="497"/>
      <c r="LVN78" s="497"/>
      <c r="LVO78" s="497"/>
      <c r="LVP78" s="497"/>
      <c r="LVQ78" s="497"/>
      <c r="LVR78" s="497"/>
      <c r="LVS78" s="497"/>
      <c r="LVT78" s="497"/>
      <c r="LVU78" s="497"/>
      <c r="LVV78" s="497"/>
      <c r="LVW78" s="497"/>
      <c r="LVX78" s="497"/>
      <c r="LVY78" s="497"/>
      <c r="LVZ78" s="497"/>
      <c r="LWA78" s="497"/>
      <c r="LWB78" s="497"/>
      <c r="LWC78" s="497"/>
      <c r="LWD78" s="497"/>
      <c r="LWE78" s="497"/>
      <c r="LWF78" s="497"/>
      <c r="LWG78" s="497"/>
      <c r="LWH78" s="497"/>
      <c r="LWI78" s="497"/>
      <c r="LWJ78" s="497"/>
      <c r="LWK78" s="497"/>
      <c r="LWL78" s="497"/>
      <c r="LWM78" s="497"/>
      <c r="LWN78" s="497"/>
      <c r="LWO78" s="497"/>
      <c r="LWP78" s="497"/>
      <c r="LWQ78" s="497"/>
      <c r="LWR78" s="497"/>
      <c r="LWS78" s="497"/>
      <c r="LWT78" s="497"/>
      <c r="LWU78" s="497"/>
      <c r="LWV78" s="497"/>
      <c r="LWW78" s="497"/>
      <c r="LWX78" s="497"/>
      <c r="LWY78" s="497"/>
      <c r="LWZ78" s="497"/>
      <c r="LXA78" s="497"/>
      <c r="LXB78" s="497"/>
      <c r="LXC78" s="497"/>
      <c r="LXD78" s="497"/>
      <c r="LXE78" s="497"/>
      <c r="LXF78" s="497"/>
      <c r="LXG78" s="497"/>
      <c r="LXH78" s="497"/>
      <c r="LXI78" s="497"/>
      <c r="LXJ78" s="497"/>
      <c r="LXK78" s="497"/>
      <c r="LXL78" s="497"/>
      <c r="LXM78" s="497"/>
      <c r="LXN78" s="497"/>
      <c r="LXO78" s="497"/>
      <c r="LXP78" s="497"/>
      <c r="LXQ78" s="497"/>
      <c r="LXR78" s="497"/>
      <c r="LXS78" s="497"/>
      <c r="LXT78" s="497"/>
      <c r="LXU78" s="497"/>
      <c r="LXV78" s="497"/>
      <c r="LXW78" s="497"/>
      <c r="LXX78" s="497"/>
      <c r="LXY78" s="497"/>
      <c r="LXZ78" s="497"/>
      <c r="LYA78" s="497"/>
      <c r="LYB78" s="497"/>
      <c r="LYC78" s="497"/>
      <c r="LYD78" s="497"/>
      <c r="LYE78" s="497"/>
      <c r="LYF78" s="497"/>
      <c r="LYG78" s="497"/>
      <c r="LYH78" s="497"/>
      <c r="LYI78" s="497"/>
      <c r="LYJ78" s="497"/>
      <c r="LYK78" s="497"/>
      <c r="LYL78" s="497"/>
      <c r="LYM78" s="497"/>
      <c r="LYN78" s="497"/>
      <c r="LYO78" s="497"/>
      <c r="LYP78" s="497"/>
      <c r="LYQ78" s="497"/>
      <c r="LYR78" s="497"/>
      <c r="LYS78" s="497"/>
      <c r="LYT78" s="497"/>
      <c r="LYU78" s="497"/>
      <c r="LYV78" s="497"/>
      <c r="LYW78" s="497"/>
      <c r="LYX78" s="497"/>
      <c r="LYY78" s="497"/>
      <c r="LYZ78" s="497"/>
      <c r="LZA78" s="497"/>
      <c r="LZB78" s="497"/>
      <c r="LZC78" s="497"/>
      <c r="LZD78" s="497"/>
      <c r="LZE78" s="497"/>
      <c r="LZF78" s="497"/>
      <c r="LZG78" s="497"/>
      <c r="LZH78" s="497"/>
      <c r="LZI78" s="497"/>
      <c r="LZJ78" s="497"/>
      <c r="LZK78" s="497"/>
      <c r="LZL78" s="497"/>
      <c r="LZM78" s="497"/>
      <c r="LZN78" s="497"/>
      <c r="LZO78" s="497"/>
      <c r="LZP78" s="497"/>
      <c r="LZQ78" s="497"/>
      <c r="LZR78" s="497"/>
      <c r="LZS78" s="497"/>
      <c r="LZT78" s="497"/>
      <c r="LZU78" s="497"/>
      <c r="LZV78" s="497"/>
      <c r="LZW78" s="497"/>
      <c r="LZX78" s="497"/>
      <c r="LZY78" s="497"/>
      <c r="LZZ78" s="497"/>
      <c r="MAA78" s="497"/>
      <c r="MAB78" s="497"/>
      <c r="MAC78" s="497"/>
      <c r="MAD78" s="497"/>
      <c r="MAE78" s="497"/>
      <c r="MAF78" s="497"/>
      <c r="MAG78" s="497"/>
      <c r="MAH78" s="497"/>
      <c r="MAI78" s="497"/>
      <c r="MAJ78" s="497"/>
      <c r="MAK78" s="497"/>
      <c r="MAL78" s="497"/>
      <c r="MAM78" s="497"/>
      <c r="MAN78" s="497"/>
      <c r="MAO78" s="497"/>
      <c r="MAP78" s="497"/>
      <c r="MAQ78" s="497"/>
      <c r="MAR78" s="497"/>
      <c r="MAS78" s="497"/>
      <c r="MAT78" s="497"/>
      <c r="MAU78" s="497"/>
      <c r="MAV78" s="497"/>
      <c r="MAW78" s="497"/>
      <c r="MAX78" s="497"/>
      <c r="MAY78" s="497"/>
      <c r="MAZ78" s="497"/>
      <c r="MBA78" s="497"/>
      <c r="MBB78" s="497"/>
      <c r="MBC78" s="497"/>
      <c r="MBD78" s="497"/>
      <c r="MBE78" s="497"/>
      <c r="MBF78" s="497"/>
      <c r="MBG78" s="497"/>
      <c r="MBH78" s="497"/>
      <c r="MBI78" s="497"/>
      <c r="MBJ78" s="497"/>
      <c r="MBK78" s="497"/>
      <c r="MBL78" s="497"/>
      <c r="MBM78" s="497"/>
      <c r="MBN78" s="497"/>
      <c r="MBO78" s="497"/>
      <c r="MBP78" s="497"/>
      <c r="MBQ78" s="497"/>
      <c r="MBR78" s="497"/>
      <c r="MBS78" s="497"/>
      <c r="MBT78" s="497"/>
      <c r="MBU78" s="497"/>
      <c r="MBV78" s="497"/>
      <c r="MBW78" s="497"/>
      <c r="MBX78" s="497"/>
      <c r="MBY78" s="497"/>
      <c r="MBZ78" s="497"/>
      <c r="MCA78" s="497"/>
      <c r="MCB78" s="497"/>
      <c r="MCC78" s="497"/>
      <c r="MCD78" s="497"/>
      <c r="MCE78" s="497"/>
      <c r="MCF78" s="497"/>
      <c r="MCG78" s="497"/>
      <c r="MCH78" s="497"/>
      <c r="MCI78" s="497"/>
      <c r="MCJ78" s="497"/>
      <c r="MCK78" s="497"/>
      <c r="MCL78" s="497"/>
      <c r="MCM78" s="497"/>
      <c r="MCN78" s="497"/>
      <c r="MCO78" s="497"/>
      <c r="MCP78" s="497"/>
      <c r="MCQ78" s="497"/>
      <c r="MCR78" s="497"/>
      <c r="MCS78" s="497"/>
      <c r="MCT78" s="497"/>
      <c r="MCU78" s="497"/>
      <c r="MCV78" s="497"/>
      <c r="MCW78" s="497"/>
      <c r="MCX78" s="497"/>
      <c r="MCY78" s="497"/>
      <c r="MCZ78" s="497"/>
      <c r="MDA78" s="497"/>
      <c r="MDB78" s="497"/>
      <c r="MDC78" s="497"/>
      <c r="MDD78" s="497"/>
      <c r="MDE78" s="497"/>
      <c r="MDF78" s="497"/>
      <c r="MDG78" s="497"/>
      <c r="MDH78" s="497"/>
      <c r="MDI78" s="497"/>
      <c r="MDJ78" s="497"/>
      <c r="MDK78" s="497"/>
      <c r="MDL78" s="497"/>
      <c r="MDM78" s="497"/>
      <c r="MDN78" s="497"/>
      <c r="MDO78" s="497"/>
      <c r="MDP78" s="497"/>
      <c r="MDQ78" s="497"/>
      <c r="MDR78" s="497"/>
      <c r="MDS78" s="497"/>
      <c r="MDT78" s="497"/>
      <c r="MDU78" s="497"/>
      <c r="MDV78" s="497"/>
      <c r="MDW78" s="497"/>
      <c r="MDX78" s="497"/>
      <c r="MDY78" s="497"/>
      <c r="MDZ78" s="497"/>
      <c r="MEA78" s="497"/>
      <c r="MEB78" s="497"/>
      <c r="MEC78" s="497"/>
      <c r="MED78" s="497"/>
      <c r="MEE78" s="497"/>
      <c r="MEF78" s="497"/>
      <c r="MEG78" s="497"/>
      <c r="MEH78" s="497"/>
      <c r="MEI78" s="497"/>
      <c r="MEJ78" s="497"/>
      <c r="MEK78" s="497"/>
      <c r="MEL78" s="497"/>
      <c r="MEM78" s="497"/>
      <c r="MEN78" s="497"/>
      <c r="MEO78" s="497"/>
      <c r="MEP78" s="497"/>
      <c r="MEQ78" s="497"/>
      <c r="MER78" s="497"/>
      <c r="MES78" s="497"/>
      <c r="MET78" s="497"/>
      <c r="MEU78" s="497"/>
      <c r="MEV78" s="497"/>
      <c r="MEW78" s="497"/>
      <c r="MEX78" s="497"/>
      <c r="MEY78" s="497"/>
      <c r="MEZ78" s="497"/>
      <c r="MFA78" s="497"/>
      <c r="MFB78" s="497"/>
      <c r="MFC78" s="497"/>
      <c r="MFD78" s="497"/>
      <c r="MFE78" s="497"/>
      <c r="MFF78" s="497"/>
      <c r="MFG78" s="497"/>
      <c r="MFH78" s="497"/>
      <c r="MFI78" s="497"/>
      <c r="MFJ78" s="497"/>
      <c r="MFK78" s="497"/>
      <c r="MFL78" s="497"/>
      <c r="MFM78" s="497"/>
      <c r="MFN78" s="497"/>
      <c r="MFO78" s="497"/>
      <c r="MFP78" s="497"/>
      <c r="MFQ78" s="497"/>
      <c r="MFR78" s="497"/>
      <c r="MFS78" s="497"/>
      <c r="MFT78" s="497"/>
      <c r="MFU78" s="497"/>
      <c r="MFV78" s="497"/>
      <c r="MFW78" s="497"/>
      <c r="MFX78" s="497"/>
      <c r="MFY78" s="497"/>
      <c r="MFZ78" s="497"/>
      <c r="MGA78" s="497"/>
      <c r="MGB78" s="497"/>
      <c r="MGC78" s="497"/>
      <c r="MGD78" s="497"/>
      <c r="MGE78" s="497"/>
      <c r="MGF78" s="497"/>
      <c r="MGG78" s="497"/>
      <c r="MGH78" s="497"/>
      <c r="MGI78" s="497"/>
      <c r="MGJ78" s="497"/>
      <c r="MGK78" s="497"/>
      <c r="MGL78" s="497"/>
      <c r="MGM78" s="497"/>
      <c r="MGN78" s="497"/>
      <c r="MGO78" s="497"/>
      <c r="MGP78" s="497"/>
      <c r="MGQ78" s="497"/>
      <c r="MGR78" s="497"/>
      <c r="MGS78" s="497"/>
      <c r="MGT78" s="497"/>
      <c r="MGU78" s="497"/>
      <c r="MGV78" s="497"/>
      <c r="MGW78" s="497"/>
      <c r="MGX78" s="497"/>
      <c r="MGY78" s="497"/>
      <c r="MGZ78" s="497"/>
      <c r="MHA78" s="497"/>
      <c r="MHB78" s="497"/>
      <c r="MHC78" s="497"/>
      <c r="MHD78" s="497"/>
      <c r="MHE78" s="497"/>
      <c r="MHF78" s="497"/>
      <c r="MHG78" s="497"/>
      <c r="MHH78" s="497"/>
      <c r="MHI78" s="497"/>
      <c r="MHJ78" s="497"/>
      <c r="MHK78" s="497"/>
      <c r="MHL78" s="497"/>
      <c r="MHM78" s="497"/>
      <c r="MHN78" s="497"/>
      <c r="MHO78" s="497"/>
      <c r="MHP78" s="497"/>
      <c r="MHQ78" s="497"/>
      <c r="MHR78" s="497"/>
      <c r="MHS78" s="497"/>
      <c r="MHT78" s="497"/>
      <c r="MHU78" s="497"/>
      <c r="MHV78" s="497"/>
      <c r="MHW78" s="497"/>
      <c r="MHX78" s="497"/>
      <c r="MHY78" s="497"/>
      <c r="MHZ78" s="497"/>
      <c r="MIA78" s="497"/>
      <c r="MIB78" s="497"/>
      <c r="MIC78" s="497"/>
      <c r="MID78" s="497"/>
      <c r="MIE78" s="497"/>
      <c r="MIF78" s="497"/>
      <c r="MIG78" s="497"/>
      <c r="MIH78" s="497"/>
      <c r="MII78" s="497"/>
      <c r="MIJ78" s="497"/>
      <c r="MIK78" s="497"/>
      <c r="MIL78" s="497"/>
      <c r="MIM78" s="497"/>
      <c r="MIN78" s="497"/>
      <c r="MIO78" s="497"/>
      <c r="MIP78" s="497"/>
      <c r="MIQ78" s="497"/>
      <c r="MIR78" s="497"/>
      <c r="MIS78" s="497"/>
      <c r="MIT78" s="497"/>
      <c r="MIU78" s="497"/>
      <c r="MIV78" s="497"/>
      <c r="MIW78" s="497"/>
      <c r="MIX78" s="497"/>
      <c r="MIY78" s="497"/>
      <c r="MIZ78" s="497"/>
      <c r="MJA78" s="497"/>
      <c r="MJB78" s="497"/>
      <c r="MJC78" s="497"/>
      <c r="MJD78" s="497"/>
      <c r="MJE78" s="497"/>
      <c r="MJF78" s="497"/>
      <c r="MJG78" s="497"/>
      <c r="MJH78" s="497"/>
      <c r="MJI78" s="497"/>
      <c r="MJJ78" s="497"/>
      <c r="MJK78" s="497"/>
      <c r="MJL78" s="497"/>
      <c r="MJM78" s="497"/>
      <c r="MJN78" s="497"/>
      <c r="MJO78" s="497"/>
      <c r="MJP78" s="497"/>
      <c r="MJQ78" s="497"/>
      <c r="MJR78" s="497"/>
      <c r="MJS78" s="497"/>
      <c r="MJT78" s="497"/>
      <c r="MJU78" s="497"/>
      <c r="MJV78" s="497"/>
      <c r="MJW78" s="497"/>
      <c r="MJX78" s="497"/>
      <c r="MJY78" s="497"/>
      <c r="MJZ78" s="497"/>
      <c r="MKA78" s="497"/>
      <c r="MKB78" s="497"/>
      <c r="MKC78" s="497"/>
      <c r="MKD78" s="497"/>
      <c r="MKE78" s="497"/>
      <c r="MKF78" s="497"/>
      <c r="MKG78" s="497"/>
      <c r="MKH78" s="497"/>
      <c r="MKI78" s="497"/>
      <c r="MKJ78" s="497"/>
      <c r="MKK78" s="497"/>
      <c r="MKL78" s="497"/>
      <c r="MKM78" s="497"/>
      <c r="MKN78" s="497"/>
      <c r="MKO78" s="497"/>
      <c r="MKP78" s="497"/>
      <c r="MKQ78" s="497"/>
      <c r="MKR78" s="497"/>
      <c r="MKS78" s="497"/>
      <c r="MKT78" s="497"/>
      <c r="MKU78" s="497"/>
      <c r="MKV78" s="497"/>
      <c r="MKW78" s="497"/>
      <c r="MKX78" s="497"/>
      <c r="MKY78" s="497"/>
      <c r="MKZ78" s="497"/>
      <c r="MLA78" s="497"/>
      <c r="MLB78" s="497"/>
      <c r="MLC78" s="497"/>
      <c r="MLD78" s="497"/>
      <c r="MLE78" s="497"/>
      <c r="MLF78" s="497"/>
      <c r="MLG78" s="497"/>
      <c r="MLH78" s="497"/>
      <c r="MLI78" s="497"/>
      <c r="MLJ78" s="497"/>
      <c r="MLK78" s="497"/>
      <c r="MLL78" s="497"/>
      <c r="MLM78" s="497"/>
      <c r="MLN78" s="497"/>
      <c r="MLO78" s="497"/>
      <c r="MLP78" s="497"/>
      <c r="MLQ78" s="497"/>
      <c r="MLR78" s="497"/>
      <c r="MLS78" s="497"/>
      <c r="MLT78" s="497"/>
      <c r="MLU78" s="497"/>
      <c r="MLV78" s="497"/>
      <c r="MLW78" s="497"/>
      <c r="MLX78" s="497"/>
      <c r="MLY78" s="497"/>
      <c r="MLZ78" s="497"/>
      <c r="MMA78" s="497"/>
      <c r="MMB78" s="497"/>
      <c r="MMC78" s="497"/>
      <c r="MMD78" s="497"/>
      <c r="MME78" s="497"/>
      <c r="MMF78" s="497"/>
      <c r="MMG78" s="497"/>
      <c r="MMH78" s="497"/>
      <c r="MMI78" s="497"/>
      <c r="MMJ78" s="497"/>
      <c r="MMK78" s="497"/>
      <c r="MML78" s="497"/>
      <c r="MMM78" s="497"/>
      <c r="MMN78" s="497"/>
      <c r="MMO78" s="497"/>
      <c r="MMP78" s="497"/>
      <c r="MMQ78" s="497"/>
      <c r="MMR78" s="497"/>
      <c r="MMS78" s="497"/>
      <c r="MMT78" s="497"/>
      <c r="MMU78" s="497"/>
      <c r="MMV78" s="497"/>
      <c r="MMW78" s="497"/>
      <c r="MMX78" s="497"/>
      <c r="MMY78" s="497"/>
      <c r="MMZ78" s="497"/>
      <c r="MNA78" s="497"/>
      <c r="MNB78" s="497"/>
      <c r="MNC78" s="497"/>
      <c r="MND78" s="497"/>
      <c r="MNE78" s="497"/>
      <c r="MNF78" s="497"/>
      <c r="MNG78" s="497"/>
      <c r="MNH78" s="497"/>
      <c r="MNI78" s="497"/>
      <c r="MNJ78" s="497"/>
      <c r="MNK78" s="497"/>
      <c r="MNL78" s="497"/>
      <c r="MNM78" s="497"/>
      <c r="MNN78" s="497"/>
      <c r="MNO78" s="497"/>
      <c r="MNP78" s="497"/>
      <c r="MNQ78" s="497"/>
      <c r="MNR78" s="497"/>
      <c r="MNS78" s="497"/>
      <c r="MNT78" s="497"/>
      <c r="MNU78" s="497"/>
      <c r="MNV78" s="497"/>
      <c r="MNW78" s="497"/>
      <c r="MNX78" s="497"/>
      <c r="MNY78" s="497"/>
      <c r="MNZ78" s="497"/>
      <c r="MOA78" s="497"/>
      <c r="MOB78" s="497"/>
      <c r="MOC78" s="497"/>
      <c r="MOD78" s="497"/>
      <c r="MOE78" s="497"/>
      <c r="MOF78" s="497"/>
      <c r="MOG78" s="497"/>
      <c r="MOH78" s="497"/>
      <c r="MOI78" s="497"/>
      <c r="MOJ78" s="497"/>
      <c r="MOK78" s="497"/>
      <c r="MOL78" s="497"/>
      <c r="MOM78" s="497"/>
      <c r="MON78" s="497"/>
      <c r="MOO78" s="497"/>
      <c r="MOP78" s="497"/>
      <c r="MOQ78" s="497"/>
      <c r="MOR78" s="497"/>
      <c r="MOS78" s="497"/>
      <c r="MOT78" s="497"/>
      <c r="MOU78" s="497"/>
      <c r="MOV78" s="497"/>
      <c r="MOW78" s="497"/>
      <c r="MOX78" s="497"/>
      <c r="MOY78" s="497"/>
      <c r="MOZ78" s="497"/>
      <c r="MPA78" s="497"/>
      <c r="MPB78" s="497"/>
      <c r="MPC78" s="497"/>
      <c r="MPD78" s="497"/>
      <c r="MPE78" s="497"/>
      <c r="MPF78" s="497"/>
      <c r="MPG78" s="497"/>
      <c r="MPH78" s="497"/>
      <c r="MPI78" s="497"/>
      <c r="MPJ78" s="497"/>
      <c r="MPK78" s="497"/>
      <c r="MPL78" s="497"/>
      <c r="MPM78" s="497"/>
      <c r="MPN78" s="497"/>
      <c r="MPO78" s="497"/>
      <c r="MPP78" s="497"/>
      <c r="MPQ78" s="497"/>
      <c r="MPR78" s="497"/>
      <c r="MPS78" s="497"/>
      <c r="MPT78" s="497"/>
      <c r="MPU78" s="497"/>
      <c r="MPV78" s="497"/>
      <c r="MPW78" s="497"/>
      <c r="MPX78" s="497"/>
      <c r="MPY78" s="497"/>
      <c r="MPZ78" s="497"/>
      <c r="MQA78" s="497"/>
      <c r="MQB78" s="497"/>
      <c r="MQC78" s="497"/>
      <c r="MQD78" s="497"/>
      <c r="MQE78" s="497"/>
      <c r="MQF78" s="497"/>
      <c r="MQG78" s="497"/>
      <c r="MQH78" s="497"/>
      <c r="MQI78" s="497"/>
      <c r="MQJ78" s="497"/>
      <c r="MQK78" s="497"/>
      <c r="MQL78" s="497"/>
      <c r="MQM78" s="497"/>
      <c r="MQN78" s="497"/>
      <c r="MQO78" s="497"/>
      <c r="MQP78" s="497"/>
      <c r="MQQ78" s="497"/>
      <c r="MQR78" s="497"/>
      <c r="MQS78" s="497"/>
      <c r="MQT78" s="497"/>
      <c r="MQU78" s="497"/>
      <c r="MQV78" s="497"/>
      <c r="MQW78" s="497"/>
      <c r="MQX78" s="497"/>
      <c r="MQY78" s="497"/>
      <c r="MQZ78" s="497"/>
      <c r="MRA78" s="497"/>
      <c r="MRB78" s="497"/>
      <c r="MRC78" s="497"/>
      <c r="MRD78" s="497"/>
      <c r="MRE78" s="497"/>
      <c r="MRF78" s="497"/>
      <c r="MRG78" s="497"/>
      <c r="MRH78" s="497"/>
      <c r="MRI78" s="497"/>
      <c r="MRJ78" s="497"/>
      <c r="MRK78" s="497"/>
      <c r="MRL78" s="497"/>
      <c r="MRM78" s="497"/>
      <c r="MRN78" s="497"/>
      <c r="MRO78" s="497"/>
      <c r="MRP78" s="497"/>
      <c r="MRQ78" s="497"/>
      <c r="MRR78" s="497"/>
      <c r="MRS78" s="497"/>
      <c r="MRT78" s="497"/>
      <c r="MRU78" s="497"/>
      <c r="MRV78" s="497"/>
      <c r="MRW78" s="497"/>
      <c r="MRX78" s="497"/>
      <c r="MRY78" s="497"/>
      <c r="MRZ78" s="497"/>
      <c r="MSA78" s="497"/>
      <c r="MSB78" s="497"/>
      <c r="MSC78" s="497"/>
      <c r="MSD78" s="497"/>
      <c r="MSE78" s="497"/>
      <c r="MSF78" s="497"/>
      <c r="MSG78" s="497"/>
      <c r="MSH78" s="497"/>
      <c r="MSI78" s="497"/>
      <c r="MSJ78" s="497"/>
      <c r="MSK78" s="497"/>
      <c r="MSL78" s="497"/>
      <c r="MSM78" s="497"/>
      <c r="MSN78" s="497"/>
      <c r="MSO78" s="497"/>
      <c r="MSP78" s="497"/>
      <c r="MSQ78" s="497"/>
      <c r="MSR78" s="497"/>
      <c r="MSS78" s="497"/>
      <c r="MST78" s="497"/>
      <c r="MSU78" s="497"/>
      <c r="MSV78" s="497"/>
      <c r="MSW78" s="497"/>
      <c r="MSX78" s="497"/>
      <c r="MSY78" s="497"/>
      <c r="MSZ78" s="497"/>
      <c r="MTA78" s="497"/>
      <c r="MTB78" s="497"/>
      <c r="MTC78" s="497"/>
      <c r="MTD78" s="497"/>
      <c r="MTE78" s="497"/>
      <c r="MTF78" s="497"/>
      <c r="MTG78" s="497"/>
      <c r="MTH78" s="497"/>
      <c r="MTI78" s="497"/>
      <c r="MTJ78" s="497"/>
      <c r="MTK78" s="497"/>
      <c r="MTL78" s="497"/>
      <c r="MTM78" s="497"/>
      <c r="MTN78" s="497"/>
      <c r="MTO78" s="497"/>
      <c r="MTP78" s="497"/>
      <c r="MTQ78" s="497"/>
      <c r="MTR78" s="497"/>
      <c r="MTS78" s="497"/>
      <c r="MTT78" s="497"/>
      <c r="MTU78" s="497"/>
      <c r="MTV78" s="497"/>
      <c r="MTW78" s="497"/>
      <c r="MTX78" s="497"/>
      <c r="MTY78" s="497"/>
      <c r="MTZ78" s="497"/>
      <c r="MUA78" s="497"/>
      <c r="MUB78" s="497"/>
      <c r="MUC78" s="497"/>
      <c r="MUD78" s="497"/>
      <c r="MUE78" s="497"/>
      <c r="MUF78" s="497"/>
      <c r="MUG78" s="497"/>
      <c r="MUH78" s="497"/>
      <c r="MUI78" s="497"/>
      <c r="MUJ78" s="497"/>
      <c r="MUK78" s="497"/>
      <c r="MUL78" s="497"/>
      <c r="MUM78" s="497"/>
      <c r="MUN78" s="497"/>
      <c r="MUO78" s="497"/>
      <c r="MUP78" s="497"/>
      <c r="MUQ78" s="497"/>
      <c r="MUR78" s="497"/>
      <c r="MUS78" s="497"/>
      <c r="MUT78" s="497"/>
      <c r="MUU78" s="497"/>
      <c r="MUV78" s="497"/>
      <c r="MUW78" s="497"/>
      <c r="MUX78" s="497"/>
      <c r="MUY78" s="497"/>
      <c r="MUZ78" s="497"/>
      <c r="MVA78" s="497"/>
      <c r="MVB78" s="497"/>
      <c r="MVC78" s="497"/>
      <c r="MVD78" s="497"/>
      <c r="MVE78" s="497"/>
      <c r="MVF78" s="497"/>
      <c r="MVG78" s="497"/>
      <c r="MVH78" s="497"/>
      <c r="MVI78" s="497"/>
      <c r="MVJ78" s="497"/>
      <c r="MVK78" s="497"/>
      <c r="MVL78" s="497"/>
      <c r="MVM78" s="497"/>
      <c r="MVN78" s="497"/>
      <c r="MVO78" s="497"/>
      <c r="MVP78" s="497"/>
      <c r="MVQ78" s="497"/>
      <c r="MVR78" s="497"/>
      <c r="MVS78" s="497"/>
      <c r="MVT78" s="497"/>
      <c r="MVU78" s="497"/>
      <c r="MVV78" s="497"/>
      <c r="MVW78" s="497"/>
      <c r="MVX78" s="497"/>
      <c r="MVY78" s="497"/>
      <c r="MVZ78" s="497"/>
      <c r="MWA78" s="497"/>
      <c r="MWB78" s="497"/>
      <c r="MWC78" s="497"/>
      <c r="MWD78" s="497"/>
      <c r="MWE78" s="497"/>
      <c r="MWF78" s="497"/>
      <c r="MWG78" s="497"/>
      <c r="MWH78" s="497"/>
      <c r="MWI78" s="497"/>
      <c r="MWJ78" s="497"/>
      <c r="MWK78" s="497"/>
      <c r="MWL78" s="497"/>
      <c r="MWM78" s="497"/>
      <c r="MWN78" s="497"/>
      <c r="MWO78" s="497"/>
      <c r="MWP78" s="497"/>
      <c r="MWQ78" s="497"/>
      <c r="MWR78" s="497"/>
      <c r="MWS78" s="497"/>
      <c r="MWT78" s="497"/>
      <c r="MWU78" s="497"/>
      <c r="MWV78" s="497"/>
      <c r="MWW78" s="497"/>
      <c r="MWX78" s="497"/>
      <c r="MWY78" s="497"/>
      <c r="MWZ78" s="497"/>
      <c r="MXA78" s="497"/>
      <c r="MXB78" s="497"/>
      <c r="MXC78" s="497"/>
      <c r="MXD78" s="497"/>
      <c r="MXE78" s="497"/>
      <c r="MXF78" s="497"/>
      <c r="MXG78" s="497"/>
      <c r="MXH78" s="497"/>
      <c r="MXI78" s="497"/>
      <c r="MXJ78" s="497"/>
      <c r="MXK78" s="497"/>
      <c r="MXL78" s="497"/>
      <c r="MXM78" s="497"/>
      <c r="MXN78" s="497"/>
      <c r="MXO78" s="497"/>
      <c r="MXP78" s="497"/>
      <c r="MXQ78" s="497"/>
      <c r="MXR78" s="497"/>
      <c r="MXS78" s="497"/>
      <c r="MXT78" s="497"/>
      <c r="MXU78" s="497"/>
      <c r="MXV78" s="497"/>
      <c r="MXW78" s="497"/>
      <c r="MXX78" s="497"/>
      <c r="MXY78" s="497"/>
      <c r="MXZ78" s="497"/>
      <c r="MYA78" s="497"/>
      <c r="MYB78" s="497"/>
      <c r="MYC78" s="497"/>
      <c r="MYD78" s="497"/>
      <c r="MYE78" s="497"/>
      <c r="MYF78" s="497"/>
      <c r="MYG78" s="497"/>
      <c r="MYH78" s="497"/>
      <c r="MYI78" s="497"/>
      <c r="MYJ78" s="497"/>
      <c r="MYK78" s="497"/>
      <c r="MYL78" s="497"/>
      <c r="MYM78" s="497"/>
      <c r="MYN78" s="497"/>
      <c r="MYO78" s="497"/>
      <c r="MYP78" s="497"/>
      <c r="MYQ78" s="497"/>
      <c r="MYR78" s="497"/>
      <c r="MYS78" s="497"/>
      <c r="MYT78" s="497"/>
      <c r="MYU78" s="497"/>
      <c r="MYV78" s="497"/>
      <c r="MYW78" s="497"/>
      <c r="MYX78" s="497"/>
      <c r="MYY78" s="497"/>
      <c r="MYZ78" s="497"/>
      <c r="MZA78" s="497"/>
      <c r="MZB78" s="497"/>
      <c r="MZC78" s="497"/>
      <c r="MZD78" s="497"/>
      <c r="MZE78" s="497"/>
      <c r="MZF78" s="497"/>
      <c r="MZG78" s="497"/>
      <c r="MZH78" s="497"/>
      <c r="MZI78" s="497"/>
      <c r="MZJ78" s="497"/>
      <c r="MZK78" s="497"/>
      <c r="MZL78" s="497"/>
      <c r="MZM78" s="497"/>
      <c r="MZN78" s="497"/>
      <c r="MZO78" s="497"/>
      <c r="MZP78" s="497"/>
      <c r="MZQ78" s="497"/>
      <c r="MZR78" s="497"/>
      <c r="MZS78" s="497"/>
      <c r="MZT78" s="497"/>
      <c r="MZU78" s="497"/>
      <c r="MZV78" s="497"/>
      <c r="MZW78" s="497"/>
      <c r="MZX78" s="497"/>
      <c r="MZY78" s="497"/>
      <c r="MZZ78" s="497"/>
      <c r="NAA78" s="497"/>
      <c r="NAB78" s="497"/>
      <c r="NAC78" s="497"/>
      <c r="NAD78" s="497"/>
      <c r="NAE78" s="497"/>
      <c r="NAF78" s="497"/>
      <c r="NAG78" s="497"/>
      <c r="NAH78" s="497"/>
      <c r="NAI78" s="497"/>
      <c r="NAJ78" s="497"/>
      <c r="NAK78" s="497"/>
      <c r="NAL78" s="497"/>
      <c r="NAM78" s="497"/>
      <c r="NAN78" s="497"/>
      <c r="NAO78" s="497"/>
      <c r="NAP78" s="497"/>
      <c r="NAQ78" s="497"/>
      <c r="NAR78" s="497"/>
      <c r="NAS78" s="497"/>
      <c r="NAT78" s="497"/>
      <c r="NAU78" s="497"/>
      <c r="NAV78" s="497"/>
      <c r="NAW78" s="497"/>
      <c r="NAX78" s="497"/>
      <c r="NAY78" s="497"/>
      <c r="NAZ78" s="497"/>
      <c r="NBA78" s="497"/>
      <c r="NBB78" s="497"/>
      <c r="NBC78" s="497"/>
      <c r="NBD78" s="497"/>
      <c r="NBE78" s="497"/>
      <c r="NBF78" s="497"/>
      <c r="NBG78" s="497"/>
      <c r="NBH78" s="497"/>
      <c r="NBI78" s="497"/>
      <c r="NBJ78" s="497"/>
      <c r="NBK78" s="497"/>
      <c r="NBL78" s="497"/>
      <c r="NBM78" s="497"/>
      <c r="NBN78" s="497"/>
      <c r="NBO78" s="497"/>
      <c r="NBP78" s="497"/>
      <c r="NBQ78" s="497"/>
      <c r="NBR78" s="497"/>
      <c r="NBS78" s="497"/>
      <c r="NBT78" s="497"/>
      <c r="NBU78" s="497"/>
      <c r="NBV78" s="497"/>
      <c r="NBW78" s="497"/>
      <c r="NBX78" s="497"/>
      <c r="NBY78" s="497"/>
      <c r="NBZ78" s="497"/>
      <c r="NCA78" s="497"/>
      <c r="NCB78" s="497"/>
      <c r="NCC78" s="497"/>
      <c r="NCD78" s="497"/>
      <c r="NCE78" s="497"/>
      <c r="NCF78" s="497"/>
      <c r="NCG78" s="497"/>
      <c r="NCH78" s="497"/>
      <c r="NCI78" s="497"/>
      <c r="NCJ78" s="497"/>
      <c r="NCK78" s="497"/>
      <c r="NCL78" s="497"/>
      <c r="NCM78" s="497"/>
      <c r="NCN78" s="497"/>
      <c r="NCO78" s="497"/>
      <c r="NCP78" s="497"/>
      <c r="NCQ78" s="497"/>
      <c r="NCR78" s="497"/>
      <c r="NCS78" s="497"/>
      <c r="NCT78" s="497"/>
      <c r="NCU78" s="497"/>
      <c r="NCV78" s="497"/>
      <c r="NCW78" s="497"/>
      <c r="NCX78" s="497"/>
      <c r="NCY78" s="497"/>
      <c r="NCZ78" s="497"/>
      <c r="NDA78" s="497"/>
      <c r="NDB78" s="497"/>
      <c r="NDC78" s="497"/>
      <c r="NDD78" s="497"/>
      <c r="NDE78" s="497"/>
      <c r="NDF78" s="497"/>
      <c r="NDG78" s="497"/>
      <c r="NDH78" s="497"/>
      <c r="NDI78" s="497"/>
      <c r="NDJ78" s="497"/>
      <c r="NDK78" s="497"/>
      <c r="NDL78" s="497"/>
      <c r="NDM78" s="497"/>
      <c r="NDN78" s="497"/>
      <c r="NDO78" s="497"/>
      <c r="NDP78" s="497"/>
      <c r="NDQ78" s="497"/>
      <c r="NDR78" s="497"/>
      <c r="NDS78" s="497"/>
      <c r="NDT78" s="497"/>
      <c r="NDU78" s="497"/>
      <c r="NDV78" s="497"/>
      <c r="NDW78" s="497"/>
      <c r="NDX78" s="497"/>
      <c r="NDY78" s="497"/>
      <c r="NDZ78" s="497"/>
      <c r="NEA78" s="497"/>
      <c r="NEB78" s="497"/>
      <c r="NEC78" s="497"/>
      <c r="NED78" s="497"/>
      <c r="NEE78" s="497"/>
      <c r="NEF78" s="497"/>
      <c r="NEG78" s="497"/>
      <c r="NEH78" s="497"/>
      <c r="NEI78" s="497"/>
      <c r="NEJ78" s="497"/>
      <c r="NEK78" s="497"/>
      <c r="NEL78" s="497"/>
      <c r="NEM78" s="497"/>
      <c r="NEN78" s="497"/>
      <c r="NEO78" s="497"/>
      <c r="NEP78" s="497"/>
      <c r="NEQ78" s="497"/>
      <c r="NER78" s="497"/>
      <c r="NES78" s="497"/>
      <c r="NET78" s="497"/>
      <c r="NEU78" s="497"/>
      <c r="NEV78" s="497"/>
      <c r="NEW78" s="497"/>
      <c r="NEX78" s="497"/>
      <c r="NEY78" s="497"/>
      <c r="NEZ78" s="497"/>
      <c r="NFA78" s="497"/>
      <c r="NFB78" s="497"/>
      <c r="NFC78" s="497"/>
      <c r="NFD78" s="497"/>
      <c r="NFE78" s="497"/>
      <c r="NFF78" s="497"/>
      <c r="NFG78" s="497"/>
      <c r="NFH78" s="497"/>
      <c r="NFI78" s="497"/>
      <c r="NFJ78" s="497"/>
      <c r="NFK78" s="497"/>
      <c r="NFL78" s="497"/>
      <c r="NFM78" s="497"/>
      <c r="NFN78" s="497"/>
      <c r="NFO78" s="497"/>
      <c r="NFP78" s="497"/>
      <c r="NFQ78" s="497"/>
      <c r="NFR78" s="497"/>
      <c r="NFS78" s="497"/>
      <c r="NFT78" s="497"/>
      <c r="NFU78" s="497"/>
      <c r="NFV78" s="497"/>
      <c r="NFW78" s="497"/>
      <c r="NFX78" s="497"/>
      <c r="NFY78" s="497"/>
      <c r="NFZ78" s="497"/>
      <c r="NGA78" s="497"/>
      <c r="NGB78" s="497"/>
      <c r="NGC78" s="497"/>
      <c r="NGD78" s="497"/>
      <c r="NGE78" s="497"/>
      <c r="NGF78" s="497"/>
      <c r="NGG78" s="497"/>
      <c r="NGH78" s="497"/>
      <c r="NGI78" s="497"/>
      <c r="NGJ78" s="497"/>
      <c r="NGK78" s="497"/>
      <c r="NGL78" s="497"/>
      <c r="NGM78" s="497"/>
      <c r="NGN78" s="497"/>
      <c r="NGO78" s="497"/>
      <c r="NGP78" s="497"/>
      <c r="NGQ78" s="497"/>
      <c r="NGR78" s="497"/>
      <c r="NGS78" s="497"/>
      <c r="NGT78" s="497"/>
      <c r="NGU78" s="497"/>
      <c r="NGV78" s="497"/>
      <c r="NGW78" s="497"/>
      <c r="NGX78" s="497"/>
      <c r="NGY78" s="497"/>
      <c r="NGZ78" s="497"/>
      <c r="NHA78" s="497"/>
      <c r="NHB78" s="497"/>
      <c r="NHC78" s="497"/>
      <c r="NHD78" s="497"/>
      <c r="NHE78" s="497"/>
      <c r="NHF78" s="497"/>
      <c r="NHG78" s="497"/>
      <c r="NHH78" s="497"/>
      <c r="NHI78" s="497"/>
      <c r="NHJ78" s="497"/>
      <c r="NHK78" s="497"/>
      <c r="NHL78" s="497"/>
      <c r="NHM78" s="497"/>
      <c r="NHN78" s="497"/>
      <c r="NHO78" s="497"/>
      <c r="NHP78" s="497"/>
      <c r="NHQ78" s="497"/>
      <c r="NHR78" s="497"/>
      <c r="NHS78" s="497"/>
      <c r="NHT78" s="497"/>
      <c r="NHU78" s="497"/>
      <c r="NHV78" s="497"/>
      <c r="NHW78" s="497"/>
      <c r="NHX78" s="497"/>
      <c r="NHY78" s="497"/>
      <c r="NHZ78" s="497"/>
      <c r="NIA78" s="497"/>
      <c r="NIB78" s="497"/>
      <c r="NIC78" s="497"/>
      <c r="NID78" s="497"/>
      <c r="NIE78" s="497"/>
      <c r="NIF78" s="497"/>
      <c r="NIG78" s="497"/>
      <c r="NIH78" s="497"/>
      <c r="NII78" s="497"/>
      <c r="NIJ78" s="497"/>
      <c r="NIK78" s="497"/>
      <c r="NIL78" s="497"/>
      <c r="NIM78" s="497"/>
      <c r="NIN78" s="497"/>
      <c r="NIO78" s="497"/>
      <c r="NIP78" s="497"/>
      <c r="NIQ78" s="497"/>
      <c r="NIR78" s="497"/>
      <c r="NIS78" s="497"/>
      <c r="NIT78" s="497"/>
      <c r="NIU78" s="497"/>
      <c r="NIV78" s="497"/>
      <c r="NIW78" s="497"/>
      <c r="NIX78" s="497"/>
      <c r="NIY78" s="497"/>
      <c r="NIZ78" s="497"/>
      <c r="NJA78" s="497"/>
      <c r="NJB78" s="497"/>
      <c r="NJC78" s="497"/>
      <c r="NJD78" s="497"/>
      <c r="NJE78" s="497"/>
      <c r="NJF78" s="497"/>
      <c r="NJG78" s="497"/>
      <c r="NJH78" s="497"/>
      <c r="NJI78" s="497"/>
      <c r="NJJ78" s="497"/>
      <c r="NJK78" s="497"/>
      <c r="NJL78" s="497"/>
      <c r="NJM78" s="497"/>
      <c r="NJN78" s="497"/>
      <c r="NJO78" s="497"/>
      <c r="NJP78" s="497"/>
      <c r="NJQ78" s="497"/>
      <c r="NJR78" s="497"/>
      <c r="NJS78" s="497"/>
      <c r="NJT78" s="497"/>
      <c r="NJU78" s="497"/>
      <c r="NJV78" s="497"/>
      <c r="NJW78" s="497"/>
      <c r="NJX78" s="497"/>
      <c r="NJY78" s="497"/>
      <c r="NJZ78" s="497"/>
      <c r="NKA78" s="497"/>
      <c r="NKB78" s="497"/>
      <c r="NKC78" s="497"/>
      <c r="NKD78" s="497"/>
      <c r="NKE78" s="497"/>
      <c r="NKF78" s="497"/>
      <c r="NKG78" s="497"/>
      <c r="NKH78" s="497"/>
      <c r="NKI78" s="497"/>
      <c r="NKJ78" s="497"/>
      <c r="NKK78" s="497"/>
      <c r="NKL78" s="497"/>
      <c r="NKM78" s="497"/>
      <c r="NKN78" s="497"/>
      <c r="NKO78" s="497"/>
      <c r="NKP78" s="497"/>
      <c r="NKQ78" s="497"/>
      <c r="NKR78" s="497"/>
      <c r="NKS78" s="497"/>
      <c r="NKT78" s="497"/>
      <c r="NKU78" s="497"/>
      <c r="NKV78" s="497"/>
      <c r="NKW78" s="497"/>
      <c r="NKX78" s="497"/>
      <c r="NKY78" s="497"/>
      <c r="NKZ78" s="497"/>
      <c r="NLA78" s="497"/>
      <c r="NLB78" s="497"/>
      <c r="NLC78" s="497"/>
      <c r="NLD78" s="497"/>
      <c r="NLE78" s="497"/>
      <c r="NLF78" s="497"/>
      <c r="NLG78" s="497"/>
      <c r="NLH78" s="497"/>
      <c r="NLI78" s="497"/>
      <c r="NLJ78" s="497"/>
      <c r="NLK78" s="497"/>
      <c r="NLL78" s="497"/>
      <c r="NLM78" s="497"/>
      <c r="NLN78" s="497"/>
      <c r="NLO78" s="497"/>
      <c r="NLP78" s="497"/>
      <c r="NLQ78" s="497"/>
      <c r="NLR78" s="497"/>
      <c r="NLS78" s="497"/>
      <c r="NLT78" s="497"/>
      <c r="NLU78" s="497"/>
      <c r="NLV78" s="497"/>
      <c r="NLW78" s="497"/>
      <c r="NLX78" s="497"/>
      <c r="NLY78" s="497"/>
      <c r="NLZ78" s="497"/>
      <c r="NMA78" s="497"/>
      <c r="NMB78" s="497"/>
      <c r="NMC78" s="497"/>
      <c r="NMD78" s="497"/>
      <c r="NME78" s="497"/>
      <c r="NMF78" s="497"/>
      <c r="NMG78" s="497"/>
      <c r="NMH78" s="497"/>
      <c r="NMI78" s="497"/>
      <c r="NMJ78" s="497"/>
      <c r="NMK78" s="497"/>
      <c r="NML78" s="497"/>
      <c r="NMM78" s="497"/>
      <c r="NMN78" s="497"/>
      <c r="NMO78" s="497"/>
      <c r="NMP78" s="497"/>
      <c r="NMQ78" s="497"/>
      <c r="NMR78" s="497"/>
      <c r="NMS78" s="497"/>
      <c r="NMT78" s="497"/>
      <c r="NMU78" s="497"/>
      <c r="NMV78" s="497"/>
      <c r="NMW78" s="497"/>
      <c r="NMX78" s="497"/>
      <c r="NMY78" s="497"/>
      <c r="NMZ78" s="497"/>
      <c r="NNA78" s="497"/>
      <c r="NNB78" s="497"/>
      <c r="NNC78" s="497"/>
      <c r="NND78" s="497"/>
      <c r="NNE78" s="497"/>
      <c r="NNF78" s="497"/>
      <c r="NNG78" s="497"/>
      <c r="NNH78" s="497"/>
      <c r="NNI78" s="497"/>
      <c r="NNJ78" s="497"/>
      <c r="NNK78" s="497"/>
      <c r="NNL78" s="497"/>
      <c r="NNM78" s="497"/>
      <c r="NNN78" s="497"/>
      <c r="NNO78" s="497"/>
      <c r="NNP78" s="497"/>
      <c r="NNQ78" s="497"/>
      <c r="NNR78" s="497"/>
      <c r="NNS78" s="497"/>
      <c r="NNT78" s="497"/>
      <c r="NNU78" s="497"/>
      <c r="NNV78" s="497"/>
      <c r="NNW78" s="497"/>
      <c r="NNX78" s="497"/>
      <c r="NNY78" s="497"/>
      <c r="NNZ78" s="497"/>
      <c r="NOA78" s="497"/>
      <c r="NOB78" s="497"/>
      <c r="NOC78" s="497"/>
      <c r="NOD78" s="497"/>
      <c r="NOE78" s="497"/>
      <c r="NOF78" s="497"/>
      <c r="NOG78" s="497"/>
      <c r="NOH78" s="497"/>
      <c r="NOI78" s="497"/>
      <c r="NOJ78" s="497"/>
      <c r="NOK78" s="497"/>
      <c r="NOL78" s="497"/>
      <c r="NOM78" s="497"/>
      <c r="NON78" s="497"/>
      <c r="NOO78" s="497"/>
      <c r="NOP78" s="497"/>
      <c r="NOQ78" s="497"/>
      <c r="NOR78" s="497"/>
      <c r="NOS78" s="497"/>
      <c r="NOT78" s="497"/>
      <c r="NOU78" s="497"/>
      <c r="NOV78" s="497"/>
      <c r="NOW78" s="497"/>
      <c r="NOX78" s="497"/>
      <c r="NOY78" s="497"/>
      <c r="NOZ78" s="497"/>
      <c r="NPA78" s="497"/>
      <c r="NPB78" s="497"/>
      <c r="NPC78" s="497"/>
      <c r="NPD78" s="497"/>
      <c r="NPE78" s="497"/>
      <c r="NPF78" s="497"/>
      <c r="NPG78" s="497"/>
      <c r="NPH78" s="497"/>
      <c r="NPI78" s="497"/>
      <c r="NPJ78" s="497"/>
      <c r="NPK78" s="497"/>
      <c r="NPL78" s="497"/>
      <c r="NPM78" s="497"/>
      <c r="NPN78" s="497"/>
      <c r="NPO78" s="497"/>
      <c r="NPP78" s="497"/>
      <c r="NPQ78" s="497"/>
      <c r="NPR78" s="497"/>
      <c r="NPS78" s="497"/>
      <c r="NPT78" s="497"/>
      <c r="NPU78" s="497"/>
      <c r="NPV78" s="497"/>
      <c r="NPW78" s="497"/>
      <c r="NPX78" s="497"/>
      <c r="NPY78" s="497"/>
      <c r="NPZ78" s="497"/>
      <c r="NQA78" s="497"/>
      <c r="NQB78" s="497"/>
      <c r="NQC78" s="497"/>
      <c r="NQD78" s="497"/>
      <c r="NQE78" s="497"/>
      <c r="NQF78" s="497"/>
      <c r="NQG78" s="497"/>
      <c r="NQH78" s="497"/>
      <c r="NQI78" s="497"/>
      <c r="NQJ78" s="497"/>
      <c r="NQK78" s="497"/>
      <c r="NQL78" s="497"/>
      <c r="NQM78" s="497"/>
      <c r="NQN78" s="497"/>
      <c r="NQO78" s="497"/>
      <c r="NQP78" s="497"/>
      <c r="NQQ78" s="497"/>
      <c r="NQR78" s="497"/>
      <c r="NQS78" s="497"/>
      <c r="NQT78" s="497"/>
      <c r="NQU78" s="497"/>
      <c r="NQV78" s="497"/>
      <c r="NQW78" s="497"/>
      <c r="NQX78" s="497"/>
      <c r="NQY78" s="497"/>
      <c r="NQZ78" s="497"/>
      <c r="NRA78" s="497"/>
      <c r="NRB78" s="497"/>
      <c r="NRC78" s="497"/>
      <c r="NRD78" s="497"/>
      <c r="NRE78" s="497"/>
      <c r="NRF78" s="497"/>
      <c r="NRG78" s="497"/>
      <c r="NRH78" s="497"/>
      <c r="NRI78" s="497"/>
      <c r="NRJ78" s="497"/>
      <c r="NRK78" s="497"/>
      <c r="NRL78" s="497"/>
      <c r="NRM78" s="497"/>
      <c r="NRN78" s="497"/>
      <c r="NRO78" s="497"/>
      <c r="NRP78" s="497"/>
      <c r="NRQ78" s="497"/>
      <c r="NRR78" s="497"/>
      <c r="NRS78" s="497"/>
      <c r="NRT78" s="497"/>
      <c r="NRU78" s="497"/>
      <c r="NRV78" s="497"/>
      <c r="NRW78" s="497"/>
      <c r="NRX78" s="497"/>
      <c r="NRY78" s="497"/>
      <c r="NRZ78" s="497"/>
      <c r="NSA78" s="497"/>
      <c r="NSB78" s="497"/>
      <c r="NSC78" s="497"/>
      <c r="NSD78" s="497"/>
      <c r="NSE78" s="497"/>
      <c r="NSF78" s="497"/>
      <c r="NSG78" s="497"/>
      <c r="NSH78" s="497"/>
      <c r="NSI78" s="497"/>
      <c r="NSJ78" s="497"/>
      <c r="NSK78" s="497"/>
      <c r="NSL78" s="497"/>
      <c r="NSM78" s="497"/>
      <c r="NSN78" s="497"/>
      <c r="NSO78" s="497"/>
      <c r="NSP78" s="497"/>
      <c r="NSQ78" s="497"/>
      <c r="NSR78" s="497"/>
      <c r="NSS78" s="497"/>
      <c r="NST78" s="497"/>
      <c r="NSU78" s="497"/>
      <c r="NSV78" s="497"/>
      <c r="NSW78" s="497"/>
      <c r="NSX78" s="497"/>
      <c r="NSY78" s="497"/>
      <c r="NSZ78" s="497"/>
      <c r="NTA78" s="497"/>
      <c r="NTB78" s="497"/>
      <c r="NTC78" s="497"/>
      <c r="NTD78" s="497"/>
      <c r="NTE78" s="497"/>
      <c r="NTF78" s="497"/>
      <c r="NTG78" s="497"/>
      <c r="NTH78" s="497"/>
      <c r="NTI78" s="497"/>
      <c r="NTJ78" s="497"/>
      <c r="NTK78" s="497"/>
      <c r="NTL78" s="497"/>
      <c r="NTM78" s="497"/>
      <c r="NTN78" s="497"/>
      <c r="NTO78" s="497"/>
      <c r="NTP78" s="497"/>
      <c r="NTQ78" s="497"/>
      <c r="NTR78" s="497"/>
      <c r="NTS78" s="497"/>
      <c r="NTT78" s="497"/>
      <c r="NTU78" s="497"/>
      <c r="NTV78" s="497"/>
      <c r="NTW78" s="497"/>
      <c r="NTX78" s="497"/>
      <c r="NTY78" s="497"/>
      <c r="NTZ78" s="497"/>
      <c r="NUA78" s="497"/>
      <c r="NUB78" s="497"/>
      <c r="NUC78" s="497"/>
      <c r="NUD78" s="497"/>
      <c r="NUE78" s="497"/>
      <c r="NUF78" s="497"/>
      <c r="NUG78" s="497"/>
      <c r="NUH78" s="497"/>
      <c r="NUI78" s="497"/>
      <c r="NUJ78" s="497"/>
      <c r="NUK78" s="497"/>
      <c r="NUL78" s="497"/>
      <c r="NUM78" s="497"/>
      <c r="NUN78" s="497"/>
      <c r="NUO78" s="497"/>
      <c r="NUP78" s="497"/>
      <c r="NUQ78" s="497"/>
      <c r="NUR78" s="497"/>
      <c r="NUS78" s="497"/>
      <c r="NUT78" s="497"/>
      <c r="NUU78" s="497"/>
      <c r="NUV78" s="497"/>
      <c r="NUW78" s="497"/>
      <c r="NUX78" s="497"/>
      <c r="NUY78" s="497"/>
      <c r="NUZ78" s="497"/>
      <c r="NVA78" s="497"/>
      <c r="NVB78" s="497"/>
      <c r="NVC78" s="497"/>
      <c r="NVD78" s="497"/>
      <c r="NVE78" s="497"/>
      <c r="NVF78" s="497"/>
      <c r="NVG78" s="497"/>
      <c r="NVH78" s="497"/>
      <c r="NVI78" s="497"/>
      <c r="NVJ78" s="497"/>
      <c r="NVK78" s="497"/>
      <c r="NVL78" s="497"/>
      <c r="NVM78" s="497"/>
      <c r="NVN78" s="497"/>
      <c r="NVO78" s="497"/>
      <c r="NVP78" s="497"/>
      <c r="NVQ78" s="497"/>
      <c r="NVR78" s="497"/>
      <c r="NVS78" s="497"/>
      <c r="NVT78" s="497"/>
      <c r="NVU78" s="497"/>
      <c r="NVV78" s="497"/>
      <c r="NVW78" s="497"/>
      <c r="NVX78" s="497"/>
      <c r="NVY78" s="497"/>
      <c r="NVZ78" s="497"/>
      <c r="NWA78" s="497"/>
      <c r="NWB78" s="497"/>
      <c r="NWC78" s="497"/>
      <c r="NWD78" s="497"/>
      <c r="NWE78" s="497"/>
      <c r="NWF78" s="497"/>
      <c r="NWG78" s="497"/>
      <c r="NWH78" s="497"/>
      <c r="NWI78" s="497"/>
      <c r="NWJ78" s="497"/>
      <c r="NWK78" s="497"/>
      <c r="NWL78" s="497"/>
      <c r="NWM78" s="497"/>
      <c r="NWN78" s="497"/>
      <c r="NWO78" s="497"/>
      <c r="NWP78" s="497"/>
      <c r="NWQ78" s="497"/>
      <c r="NWR78" s="497"/>
      <c r="NWS78" s="497"/>
      <c r="NWT78" s="497"/>
      <c r="NWU78" s="497"/>
      <c r="NWV78" s="497"/>
      <c r="NWW78" s="497"/>
      <c r="NWX78" s="497"/>
      <c r="NWY78" s="497"/>
      <c r="NWZ78" s="497"/>
      <c r="NXA78" s="497"/>
      <c r="NXB78" s="497"/>
      <c r="NXC78" s="497"/>
      <c r="NXD78" s="497"/>
      <c r="NXE78" s="497"/>
      <c r="NXF78" s="497"/>
      <c r="NXG78" s="497"/>
      <c r="NXH78" s="497"/>
      <c r="NXI78" s="497"/>
      <c r="NXJ78" s="497"/>
      <c r="NXK78" s="497"/>
      <c r="NXL78" s="497"/>
      <c r="NXM78" s="497"/>
      <c r="NXN78" s="497"/>
      <c r="NXO78" s="497"/>
      <c r="NXP78" s="497"/>
      <c r="NXQ78" s="497"/>
      <c r="NXR78" s="497"/>
      <c r="NXS78" s="497"/>
      <c r="NXT78" s="497"/>
      <c r="NXU78" s="497"/>
      <c r="NXV78" s="497"/>
      <c r="NXW78" s="497"/>
      <c r="NXX78" s="497"/>
      <c r="NXY78" s="497"/>
      <c r="NXZ78" s="497"/>
      <c r="NYA78" s="497"/>
      <c r="NYB78" s="497"/>
      <c r="NYC78" s="497"/>
      <c r="NYD78" s="497"/>
      <c r="NYE78" s="497"/>
      <c r="NYF78" s="497"/>
      <c r="NYG78" s="497"/>
      <c r="NYH78" s="497"/>
      <c r="NYI78" s="497"/>
      <c r="NYJ78" s="497"/>
      <c r="NYK78" s="497"/>
      <c r="NYL78" s="497"/>
      <c r="NYM78" s="497"/>
      <c r="NYN78" s="497"/>
      <c r="NYO78" s="497"/>
      <c r="NYP78" s="497"/>
      <c r="NYQ78" s="497"/>
      <c r="NYR78" s="497"/>
      <c r="NYS78" s="497"/>
      <c r="NYT78" s="497"/>
      <c r="NYU78" s="497"/>
      <c r="NYV78" s="497"/>
      <c r="NYW78" s="497"/>
      <c r="NYX78" s="497"/>
      <c r="NYY78" s="497"/>
      <c r="NYZ78" s="497"/>
      <c r="NZA78" s="497"/>
      <c r="NZB78" s="497"/>
      <c r="NZC78" s="497"/>
      <c r="NZD78" s="497"/>
      <c r="NZE78" s="497"/>
      <c r="NZF78" s="497"/>
      <c r="NZG78" s="497"/>
      <c r="NZH78" s="497"/>
      <c r="NZI78" s="497"/>
      <c r="NZJ78" s="497"/>
      <c r="NZK78" s="497"/>
      <c r="NZL78" s="497"/>
      <c r="NZM78" s="497"/>
      <c r="NZN78" s="497"/>
      <c r="NZO78" s="497"/>
      <c r="NZP78" s="497"/>
      <c r="NZQ78" s="497"/>
      <c r="NZR78" s="497"/>
      <c r="NZS78" s="497"/>
      <c r="NZT78" s="497"/>
      <c r="NZU78" s="497"/>
      <c r="NZV78" s="497"/>
      <c r="NZW78" s="497"/>
      <c r="NZX78" s="497"/>
      <c r="NZY78" s="497"/>
      <c r="NZZ78" s="497"/>
      <c r="OAA78" s="497"/>
      <c r="OAB78" s="497"/>
      <c r="OAC78" s="497"/>
      <c r="OAD78" s="497"/>
      <c r="OAE78" s="497"/>
      <c r="OAF78" s="497"/>
      <c r="OAG78" s="497"/>
      <c r="OAH78" s="497"/>
      <c r="OAI78" s="497"/>
      <c r="OAJ78" s="497"/>
      <c r="OAK78" s="497"/>
      <c r="OAL78" s="497"/>
      <c r="OAM78" s="497"/>
      <c r="OAN78" s="497"/>
      <c r="OAO78" s="497"/>
      <c r="OAP78" s="497"/>
      <c r="OAQ78" s="497"/>
      <c r="OAR78" s="497"/>
      <c r="OAS78" s="497"/>
      <c r="OAT78" s="497"/>
      <c r="OAU78" s="497"/>
      <c r="OAV78" s="497"/>
      <c r="OAW78" s="497"/>
      <c r="OAX78" s="497"/>
      <c r="OAY78" s="497"/>
      <c r="OAZ78" s="497"/>
      <c r="OBA78" s="497"/>
      <c r="OBB78" s="497"/>
      <c r="OBC78" s="497"/>
      <c r="OBD78" s="497"/>
      <c r="OBE78" s="497"/>
      <c r="OBF78" s="497"/>
      <c r="OBG78" s="497"/>
      <c r="OBH78" s="497"/>
      <c r="OBI78" s="497"/>
      <c r="OBJ78" s="497"/>
      <c r="OBK78" s="497"/>
      <c r="OBL78" s="497"/>
      <c r="OBM78" s="497"/>
      <c r="OBN78" s="497"/>
      <c r="OBO78" s="497"/>
      <c r="OBP78" s="497"/>
      <c r="OBQ78" s="497"/>
      <c r="OBR78" s="497"/>
      <c r="OBS78" s="497"/>
      <c r="OBT78" s="497"/>
      <c r="OBU78" s="497"/>
      <c r="OBV78" s="497"/>
      <c r="OBW78" s="497"/>
      <c r="OBX78" s="497"/>
      <c r="OBY78" s="497"/>
      <c r="OBZ78" s="497"/>
      <c r="OCA78" s="497"/>
      <c r="OCB78" s="497"/>
      <c r="OCC78" s="497"/>
      <c r="OCD78" s="497"/>
      <c r="OCE78" s="497"/>
      <c r="OCF78" s="497"/>
      <c r="OCG78" s="497"/>
      <c r="OCH78" s="497"/>
      <c r="OCI78" s="497"/>
      <c r="OCJ78" s="497"/>
      <c r="OCK78" s="497"/>
      <c r="OCL78" s="497"/>
      <c r="OCM78" s="497"/>
      <c r="OCN78" s="497"/>
      <c r="OCO78" s="497"/>
      <c r="OCP78" s="497"/>
      <c r="OCQ78" s="497"/>
      <c r="OCR78" s="497"/>
      <c r="OCS78" s="497"/>
      <c r="OCT78" s="497"/>
      <c r="OCU78" s="497"/>
      <c r="OCV78" s="497"/>
      <c r="OCW78" s="497"/>
      <c r="OCX78" s="497"/>
      <c r="OCY78" s="497"/>
      <c r="OCZ78" s="497"/>
      <c r="ODA78" s="497"/>
      <c r="ODB78" s="497"/>
      <c r="ODC78" s="497"/>
      <c r="ODD78" s="497"/>
      <c r="ODE78" s="497"/>
      <c r="ODF78" s="497"/>
      <c r="ODG78" s="497"/>
      <c r="ODH78" s="497"/>
      <c r="ODI78" s="497"/>
      <c r="ODJ78" s="497"/>
      <c r="ODK78" s="497"/>
      <c r="ODL78" s="497"/>
      <c r="ODM78" s="497"/>
      <c r="ODN78" s="497"/>
      <c r="ODO78" s="497"/>
      <c r="ODP78" s="497"/>
      <c r="ODQ78" s="497"/>
      <c r="ODR78" s="497"/>
      <c r="ODS78" s="497"/>
      <c r="ODT78" s="497"/>
      <c r="ODU78" s="497"/>
      <c r="ODV78" s="497"/>
      <c r="ODW78" s="497"/>
      <c r="ODX78" s="497"/>
      <c r="ODY78" s="497"/>
      <c r="ODZ78" s="497"/>
      <c r="OEA78" s="497"/>
      <c r="OEB78" s="497"/>
      <c r="OEC78" s="497"/>
      <c r="OED78" s="497"/>
      <c r="OEE78" s="497"/>
      <c r="OEF78" s="497"/>
      <c r="OEG78" s="497"/>
      <c r="OEH78" s="497"/>
      <c r="OEI78" s="497"/>
      <c r="OEJ78" s="497"/>
      <c r="OEK78" s="497"/>
      <c r="OEL78" s="497"/>
      <c r="OEM78" s="497"/>
      <c r="OEN78" s="497"/>
      <c r="OEO78" s="497"/>
      <c r="OEP78" s="497"/>
      <c r="OEQ78" s="497"/>
      <c r="OER78" s="497"/>
      <c r="OES78" s="497"/>
      <c r="OET78" s="497"/>
      <c r="OEU78" s="497"/>
      <c r="OEV78" s="497"/>
      <c r="OEW78" s="497"/>
      <c r="OEX78" s="497"/>
      <c r="OEY78" s="497"/>
      <c r="OEZ78" s="497"/>
      <c r="OFA78" s="497"/>
      <c r="OFB78" s="497"/>
      <c r="OFC78" s="497"/>
      <c r="OFD78" s="497"/>
      <c r="OFE78" s="497"/>
      <c r="OFF78" s="497"/>
      <c r="OFG78" s="497"/>
      <c r="OFH78" s="497"/>
      <c r="OFI78" s="497"/>
      <c r="OFJ78" s="497"/>
      <c r="OFK78" s="497"/>
      <c r="OFL78" s="497"/>
      <c r="OFM78" s="497"/>
      <c r="OFN78" s="497"/>
      <c r="OFO78" s="497"/>
      <c r="OFP78" s="497"/>
      <c r="OFQ78" s="497"/>
      <c r="OFR78" s="497"/>
      <c r="OFS78" s="497"/>
      <c r="OFT78" s="497"/>
      <c r="OFU78" s="497"/>
      <c r="OFV78" s="497"/>
      <c r="OFW78" s="497"/>
      <c r="OFX78" s="497"/>
      <c r="OFY78" s="497"/>
      <c r="OFZ78" s="497"/>
      <c r="OGA78" s="497"/>
      <c r="OGB78" s="497"/>
      <c r="OGC78" s="497"/>
      <c r="OGD78" s="497"/>
      <c r="OGE78" s="497"/>
      <c r="OGF78" s="497"/>
      <c r="OGG78" s="497"/>
      <c r="OGH78" s="497"/>
      <c r="OGI78" s="497"/>
      <c r="OGJ78" s="497"/>
      <c r="OGK78" s="497"/>
      <c r="OGL78" s="497"/>
      <c r="OGM78" s="497"/>
      <c r="OGN78" s="497"/>
      <c r="OGO78" s="497"/>
      <c r="OGP78" s="497"/>
      <c r="OGQ78" s="497"/>
      <c r="OGR78" s="497"/>
      <c r="OGS78" s="497"/>
      <c r="OGT78" s="497"/>
      <c r="OGU78" s="497"/>
      <c r="OGV78" s="497"/>
      <c r="OGW78" s="497"/>
      <c r="OGX78" s="497"/>
      <c r="OGY78" s="497"/>
      <c r="OGZ78" s="497"/>
      <c r="OHA78" s="497"/>
      <c r="OHB78" s="497"/>
      <c r="OHC78" s="497"/>
      <c r="OHD78" s="497"/>
      <c r="OHE78" s="497"/>
      <c r="OHF78" s="497"/>
      <c r="OHG78" s="497"/>
      <c r="OHH78" s="497"/>
      <c r="OHI78" s="497"/>
      <c r="OHJ78" s="497"/>
      <c r="OHK78" s="497"/>
      <c r="OHL78" s="497"/>
      <c r="OHM78" s="497"/>
      <c r="OHN78" s="497"/>
      <c r="OHO78" s="497"/>
      <c r="OHP78" s="497"/>
      <c r="OHQ78" s="497"/>
      <c r="OHR78" s="497"/>
      <c r="OHS78" s="497"/>
      <c r="OHT78" s="497"/>
      <c r="OHU78" s="497"/>
      <c r="OHV78" s="497"/>
      <c r="OHW78" s="497"/>
      <c r="OHX78" s="497"/>
      <c r="OHY78" s="497"/>
      <c r="OHZ78" s="497"/>
      <c r="OIA78" s="497"/>
      <c r="OIB78" s="497"/>
      <c r="OIC78" s="497"/>
      <c r="OID78" s="497"/>
      <c r="OIE78" s="497"/>
      <c r="OIF78" s="497"/>
      <c r="OIG78" s="497"/>
      <c r="OIH78" s="497"/>
      <c r="OII78" s="497"/>
      <c r="OIJ78" s="497"/>
      <c r="OIK78" s="497"/>
      <c r="OIL78" s="497"/>
      <c r="OIM78" s="497"/>
      <c r="OIN78" s="497"/>
      <c r="OIO78" s="497"/>
      <c r="OIP78" s="497"/>
      <c r="OIQ78" s="497"/>
      <c r="OIR78" s="497"/>
      <c r="OIS78" s="497"/>
      <c r="OIT78" s="497"/>
      <c r="OIU78" s="497"/>
      <c r="OIV78" s="497"/>
      <c r="OIW78" s="497"/>
      <c r="OIX78" s="497"/>
      <c r="OIY78" s="497"/>
      <c r="OIZ78" s="497"/>
      <c r="OJA78" s="497"/>
      <c r="OJB78" s="497"/>
      <c r="OJC78" s="497"/>
      <c r="OJD78" s="497"/>
      <c r="OJE78" s="497"/>
      <c r="OJF78" s="497"/>
      <c r="OJG78" s="497"/>
      <c r="OJH78" s="497"/>
      <c r="OJI78" s="497"/>
      <c r="OJJ78" s="497"/>
      <c r="OJK78" s="497"/>
      <c r="OJL78" s="497"/>
      <c r="OJM78" s="497"/>
      <c r="OJN78" s="497"/>
      <c r="OJO78" s="497"/>
      <c r="OJP78" s="497"/>
      <c r="OJQ78" s="497"/>
      <c r="OJR78" s="497"/>
      <c r="OJS78" s="497"/>
      <c r="OJT78" s="497"/>
      <c r="OJU78" s="497"/>
      <c r="OJV78" s="497"/>
      <c r="OJW78" s="497"/>
      <c r="OJX78" s="497"/>
      <c r="OJY78" s="497"/>
      <c r="OJZ78" s="497"/>
      <c r="OKA78" s="497"/>
      <c r="OKB78" s="497"/>
      <c r="OKC78" s="497"/>
      <c r="OKD78" s="497"/>
      <c r="OKE78" s="497"/>
      <c r="OKF78" s="497"/>
      <c r="OKG78" s="497"/>
      <c r="OKH78" s="497"/>
      <c r="OKI78" s="497"/>
      <c r="OKJ78" s="497"/>
      <c r="OKK78" s="497"/>
      <c r="OKL78" s="497"/>
      <c r="OKM78" s="497"/>
      <c r="OKN78" s="497"/>
      <c r="OKO78" s="497"/>
      <c r="OKP78" s="497"/>
      <c r="OKQ78" s="497"/>
      <c r="OKR78" s="497"/>
      <c r="OKS78" s="497"/>
      <c r="OKT78" s="497"/>
      <c r="OKU78" s="497"/>
      <c r="OKV78" s="497"/>
      <c r="OKW78" s="497"/>
      <c r="OKX78" s="497"/>
      <c r="OKY78" s="497"/>
      <c r="OKZ78" s="497"/>
      <c r="OLA78" s="497"/>
      <c r="OLB78" s="497"/>
      <c r="OLC78" s="497"/>
      <c r="OLD78" s="497"/>
      <c r="OLE78" s="497"/>
      <c r="OLF78" s="497"/>
      <c r="OLG78" s="497"/>
      <c r="OLH78" s="497"/>
      <c r="OLI78" s="497"/>
      <c r="OLJ78" s="497"/>
      <c r="OLK78" s="497"/>
      <c r="OLL78" s="497"/>
      <c r="OLM78" s="497"/>
      <c r="OLN78" s="497"/>
      <c r="OLO78" s="497"/>
      <c r="OLP78" s="497"/>
      <c r="OLQ78" s="497"/>
      <c r="OLR78" s="497"/>
      <c r="OLS78" s="497"/>
      <c r="OLT78" s="497"/>
      <c r="OLU78" s="497"/>
      <c r="OLV78" s="497"/>
      <c r="OLW78" s="497"/>
      <c r="OLX78" s="497"/>
      <c r="OLY78" s="497"/>
      <c r="OLZ78" s="497"/>
      <c r="OMA78" s="497"/>
      <c r="OMB78" s="497"/>
      <c r="OMC78" s="497"/>
      <c r="OMD78" s="497"/>
      <c r="OME78" s="497"/>
      <c r="OMF78" s="497"/>
      <c r="OMG78" s="497"/>
      <c r="OMH78" s="497"/>
      <c r="OMI78" s="497"/>
      <c r="OMJ78" s="497"/>
      <c r="OMK78" s="497"/>
      <c r="OML78" s="497"/>
      <c r="OMM78" s="497"/>
      <c r="OMN78" s="497"/>
      <c r="OMO78" s="497"/>
      <c r="OMP78" s="497"/>
      <c r="OMQ78" s="497"/>
      <c r="OMR78" s="497"/>
      <c r="OMS78" s="497"/>
      <c r="OMT78" s="497"/>
      <c r="OMU78" s="497"/>
      <c r="OMV78" s="497"/>
      <c r="OMW78" s="497"/>
      <c r="OMX78" s="497"/>
      <c r="OMY78" s="497"/>
      <c r="OMZ78" s="497"/>
      <c r="ONA78" s="497"/>
      <c r="ONB78" s="497"/>
      <c r="ONC78" s="497"/>
      <c r="OND78" s="497"/>
      <c r="ONE78" s="497"/>
      <c r="ONF78" s="497"/>
      <c r="ONG78" s="497"/>
      <c r="ONH78" s="497"/>
      <c r="ONI78" s="497"/>
      <c r="ONJ78" s="497"/>
      <c r="ONK78" s="497"/>
      <c r="ONL78" s="497"/>
      <c r="ONM78" s="497"/>
      <c r="ONN78" s="497"/>
      <c r="ONO78" s="497"/>
      <c r="ONP78" s="497"/>
      <c r="ONQ78" s="497"/>
      <c r="ONR78" s="497"/>
      <c r="ONS78" s="497"/>
      <c r="ONT78" s="497"/>
      <c r="ONU78" s="497"/>
      <c r="ONV78" s="497"/>
      <c r="ONW78" s="497"/>
      <c r="ONX78" s="497"/>
      <c r="ONY78" s="497"/>
      <c r="ONZ78" s="497"/>
      <c r="OOA78" s="497"/>
      <c r="OOB78" s="497"/>
      <c r="OOC78" s="497"/>
      <c r="OOD78" s="497"/>
      <c r="OOE78" s="497"/>
      <c r="OOF78" s="497"/>
      <c r="OOG78" s="497"/>
      <c r="OOH78" s="497"/>
      <c r="OOI78" s="497"/>
      <c r="OOJ78" s="497"/>
      <c r="OOK78" s="497"/>
      <c r="OOL78" s="497"/>
      <c r="OOM78" s="497"/>
      <c r="OON78" s="497"/>
      <c r="OOO78" s="497"/>
      <c r="OOP78" s="497"/>
      <c r="OOQ78" s="497"/>
      <c r="OOR78" s="497"/>
      <c r="OOS78" s="497"/>
      <c r="OOT78" s="497"/>
      <c r="OOU78" s="497"/>
      <c r="OOV78" s="497"/>
      <c r="OOW78" s="497"/>
      <c r="OOX78" s="497"/>
      <c r="OOY78" s="497"/>
      <c r="OOZ78" s="497"/>
      <c r="OPA78" s="497"/>
      <c r="OPB78" s="497"/>
      <c r="OPC78" s="497"/>
      <c r="OPD78" s="497"/>
      <c r="OPE78" s="497"/>
      <c r="OPF78" s="497"/>
      <c r="OPG78" s="497"/>
      <c r="OPH78" s="497"/>
      <c r="OPI78" s="497"/>
      <c r="OPJ78" s="497"/>
      <c r="OPK78" s="497"/>
      <c r="OPL78" s="497"/>
      <c r="OPM78" s="497"/>
      <c r="OPN78" s="497"/>
      <c r="OPO78" s="497"/>
      <c r="OPP78" s="497"/>
      <c r="OPQ78" s="497"/>
      <c r="OPR78" s="497"/>
      <c r="OPS78" s="497"/>
      <c r="OPT78" s="497"/>
      <c r="OPU78" s="497"/>
      <c r="OPV78" s="497"/>
      <c r="OPW78" s="497"/>
      <c r="OPX78" s="497"/>
      <c r="OPY78" s="497"/>
      <c r="OPZ78" s="497"/>
      <c r="OQA78" s="497"/>
      <c r="OQB78" s="497"/>
      <c r="OQC78" s="497"/>
      <c r="OQD78" s="497"/>
      <c r="OQE78" s="497"/>
      <c r="OQF78" s="497"/>
      <c r="OQG78" s="497"/>
      <c r="OQH78" s="497"/>
      <c r="OQI78" s="497"/>
      <c r="OQJ78" s="497"/>
      <c r="OQK78" s="497"/>
      <c r="OQL78" s="497"/>
      <c r="OQM78" s="497"/>
      <c r="OQN78" s="497"/>
      <c r="OQO78" s="497"/>
      <c r="OQP78" s="497"/>
      <c r="OQQ78" s="497"/>
      <c r="OQR78" s="497"/>
      <c r="OQS78" s="497"/>
      <c r="OQT78" s="497"/>
      <c r="OQU78" s="497"/>
      <c r="OQV78" s="497"/>
      <c r="OQW78" s="497"/>
      <c r="OQX78" s="497"/>
      <c r="OQY78" s="497"/>
      <c r="OQZ78" s="497"/>
      <c r="ORA78" s="497"/>
      <c r="ORB78" s="497"/>
      <c r="ORC78" s="497"/>
      <c r="ORD78" s="497"/>
      <c r="ORE78" s="497"/>
      <c r="ORF78" s="497"/>
      <c r="ORG78" s="497"/>
      <c r="ORH78" s="497"/>
      <c r="ORI78" s="497"/>
      <c r="ORJ78" s="497"/>
      <c r="ORK78" s="497"/>
      <c r="ORL78" s="497"/>
      <c r="ORM78" s="497"/>
      <c r="ORN78" s="497"/>
      <c r="ORO78" s="497"/>
      <c r="ORP78" s="497"/>
      <c r="ORQ78" s="497"/>
      <c r="ORR78" s="497"/>
      <c r="ORS78" s="497"/>
      <c r="ORT78" s="497"/>
      <c r="ORU78" s="497"/>
      <c r="ORV78" s="497"/>
      <c r="ORW78" s="497"/>
      <c r="ORX78" s="497"/>
      <c r="ORY78" s="497"/>
      <c r="ORZ78" s="497"/>
      <c r="OSA78" s="497"/>
      <c r="OSB78" s="497"/>
      <c r="OSC78" s="497"/>
      <c r="OSD78" s="497"/>
      <c r="OSE78" s="497"/>
      <c r="OSF78" s="497"/>
      <c r="OSG78" s="497"/>
      <c r="OSH78" s="497"/>
      <c r="OSI78" s="497"/>
      <c r="OSJ78" s="497"/>
      <c r="OSK78" s="497"/>
      <c r="OSL78" s="497"/>
      <c r="OSM78" s="497"/>
      <c r="OSN78" s="497"/>
      <c r="OSO78" s="497"/>
      <c r="OSP78" s="497"/>
      <c r="OSQ78" s="497"/>
      <c r="OSR78" s="497"/>
      <c r="OSS78" s="497"/>
      <c r="OST78" s="497"/>
      <c r="OSU78" s="497"/>
      <c r="OSV78" s="497"/>
      <c r="OSW78" s="497"/>
      <c r="OSX78" s="497"/>
      <c r="OSY78" s="497"/>
      <c r="OSZ78" s="497"/>
      <c r="OTA78" s="497"/>
      <c r="OTB78" s="497"/>
      <c r="OTC78" s="497"/>
      <c r="OTD78" s="497"/>
      <c r="OTE78" s="497"/>
      <c r="OTF78" s="497"/>
      <c r="OTG78" s="497"/>
      <c r="OTH78" s="497"/>
      <c r="OTI78" s="497"/>
      <c r="OTJ78" s="497"/>
      <c r="OTK78" s="497"/>
      <c r="OTL78" s="497"/>
      <c r="OTM78" s="497"/>
      <c r="OTN78" s="497"/>
      <c r="OTO78" s="497"/>
      <c r="OTP78" s="497"/>
      <c r="OTQ78" s="497"/>
      <c r="OTR78" s="497"/>
      <c r="OTS78" s="497"/>
      <c r="OTT78" s="497"/>
      <c r="OTU78" s="497"/>
      <c r="OTV78" s="497"/>
      <c r="OTW78" s="497"/>
      <c r="OTX78" s="497"/>
      <c r="OTY78" s="497"/>
      <c r="OTZ78" s="497"/>
      <c r="OUA78" s="497"/>
      <c r="OUB78" s="497"/>
      <c r="OUC78" s="497"/>
      <c r="OUD78" s="497"/>
      <c r="OUE78" s="497"/>
      <c r="OUF78" s="497"/>
      <c r="OUG78" s="497"/>
      <c r="OUH78" s="497"/>
      <c r="OUI78" s="497"/>
      <c r="OUJ78" s="497"/>
      <c r="OUK78" s="497"/>
      <c r="OUL78" s="497"/>
      <c r="OUM78" s="497"/>
      <c r="OUN78" s="497"/>
      <c r="OUO78" s="497"/>
      <c r="OUP78" s="497"/>
      <c r="OUQ78" s="497"/>
      <c r="OUR78" s="497"/>
      <c r="OUS78" s="497"/>
      <c r="OUT78" s="497"/>
      <c r="OUU78" s="497"/>
      <c r="OUV78" s="497"/>
      <c r="OUW78" s="497"/>
      <c r="OUX78" s="497"/>
      <c r="OUY78" s="497"/>
      <c r="OUZ78" s="497"/>
      <c r="OVA78" s="497"/>
      <c r="OVB78" s="497"/>
      <c r="OVC78" s="497"/>
      <c r="OVD78" s="497"/>
      <c r="OVE78" s="497"/>
      <c r="OVF78" s="497"/>
      <c r="OVG78" s="497"/>
      <c r="OVH78" s="497"/>
      <c r="OVI78" s="497"/>
      <c r="OVJ78" s="497"/>
      <c r="OVK78" s="497"/>
      <c r="OVL78" s="497"/>
      <c r="OVM78" s="497"/>
      <c r="OVN78" s="497"/>
      <c r="OVO78" s="497"/>
      <c r="OVP78" s="497"/>
      <c r="OVQ78" s="497"/>
      <c r="OVR78" s="497"/>
      <c r="OVS78" s="497"/>
      <c r="OVT78" s="497"/>
      <c r="OVU78" s="497"/>
      <c r="OVV78" s="497"/>
      <c r="OVW78" s="497"/>
      <c r="OVX78" s="497"/>
      <c r="OVY78" s="497"/>
      <c r="OVZ78" s="497"/>
      <c r="OWA78" s="497"/>
      <c r="OWB78" s="497"/>
      <c r="OWC78" s="497"/>
      <c r="OWD78" s="497"/>
      <c r="OWE78" s="497"/>
      <c r="OWF78" s="497"/>
      <c r="OWG78" s="497"/>
      <c r="OWH78" s="497"/>
      <c r="OWI78" s="497"/>
      <c r="OWJ78" s="497"/>
      <c r="OWK78" s="497"/>
      <c r="OWL78" s="497"/>
      <c r="OWM78" s="497"/>
      <c r="OWN78" s="497"/>
      <c r="OWO78" s="497"/>
      <c r="OWP78" s="497"/>
      <c r="OWQ78" s="497"/>
      <c r="OWR78" s="497"/>
      <c r="OWS78" s="497"/>
      <c r="OWT78" s="497"/>
      <c r="OWU78" s="497"/>
      <c r="OWV78" s="497"/>
      <c r="OWW78" s="497"/>
      <c r="OWX78" s="497"/>
      <c r="OWY78" s="497"/>
      <c r="OWZ78" s="497"/>
      <c r="OXA78" s="497"/>
      <c r="OXB78" s="497"/>
      <c r="OXC78" s="497"/>
      <c r="OXD78" s="497"/>
      <c r="OXE78" s="497"/>
      <c r="OXF78" s="497"/>
      <c r="OXG78" s="497"/>
      <c r="OXH78" s="497"/>
      <c r="OXI78" s="497"/>
      <c r="OXJ78" s="497"/>
      <c r="OXK78" s="497"/>
      <c r="OXL78" s="497"/>
      <c r="OXM78" s="497"/>
      <c r="OXN78" s="497"/>
      <c r="OXO78" s="497"/>
      <c r="OXP78" s="497"/>
      <c r="OXQ78" s="497"/>
      <c r="OXR78" s="497"/>
      <c r="OXS78" s="497"/>
      <c r="OXT78" s="497"/>
      <c r="OXU78" s="497"/>
      <c r="OXV78" s="497"/>
      <c r="OXW78" s="497"/>
      <c r="OXX78" s="497"/>
      <c r="OXY78" s="497"/>
      <c r="OXZ78" s="497"/>
      <c r="OYA78" s="497"/>
      <c r="OYB78" s="497"/>
      <c r="OYC78" s="497"/>
      <c r="OYD78" s="497"/>
      <c r="OYE78" s="497"/>
      <c r="OYF78" s="497"/>
      <c r="OYG78" s="497"/>
      <c r="OYH78" s="497"/>
      <c r="OYI78" s="497"/>
      <c r="OYJ78" s="497"/>
      <c r="OYK78" s="497"/>
      <c r="OYL78" s="497"/>
      <c r="OYM78" s="497"/>
      <c r="OYN78" s="497"/>
      <c r="OYO78" s="497"/>
      <c r="OYP78" s="497"/>
      <c r="OYQ78" s="497"/>
      <c r="OYR78" s="497"/>
      <c r="OYS78" s="497"/>
      <c r="OYT78" s="497"/>
      <c r="OYU78" s="497"/>
      <c r="OYV78" s="497"/>
      <c r="OYW78" s="497"/>
      <c r="OYX78" s="497"/>
      <c r="OYY78" s="497"/>
      <c r="OYZ78" s="497"/>
      <c r="OZA78" s="497"/>
      <c r="OZB78" s="497"/>
      <c r="OZC78" s="497"/>
      <c r="OZD78" s="497"/>
      <c r="OZE78" s="497"/>
      <c r="OZF78" s="497"/>
      <c r="OZG78" s="497"/>
      <c r="OZH78" s="497"/>
      <c r="OZI78" s="497"/>
      <c r="OZJ78" s="497"/>
      <c r="OZK78" s="497"/>
      <c r="OZL78" s="497"/>
      <c r="OZM78" s="497"/>
      <c r="OZN78" s="497"/>
      <c r="OZO78" s="497"/>
      <c r="OZP78" s="497"/>
      <c r="OZQ78" s="497"/>
      <c r="OZR78" s="497"/>
      <c r="OZS78" s="497"/>
      <c r="OZT78" s="497"/>
      <c r="OZU78" s="497"/>
      <c r="OZV78" s="497"/>
      <c r="OZW78" s="497"/>
      <c r="OZX78" s="497"/>
      <c r="OZY78" s="497"/>
      <c r="OZZ78" s="497"/>
      <c r="PAA78" s="497"/>
      <c r="PAB78" s="497"/>
      <c r="PAC78" s="497"/>
      <c r="PAD78" s="497"/>
      <c r="PAE78" s="497"/>
      <c r="PAF78" s="497"/>
      <c r="PAG78" s="497"/>
      <c r="PAH78" s="497"/>
      <c r="PAI78" s="497"/>
      <c r="PAJ78" s="497"/>
      <c r="PAK78" s="497"/>
      <c r="PAL78" s="497"/>
      <c r="PAM78" s="497"/>
      <c r="PAN78" s="497"/>
      <c r="PAO78" s="497"/>
      <c r="PAP78" s="497"/>
      <c r="PAQ78" s="497"/>
      <c r="PAR78" s="497"/>
      <c r="PAS78" s="497"/>
      <c r="PAT78" s="497"/>
      <c r="PAU78" s="497"/>
      <c r="PAV78" s="497"/>
      <c r="PAW78" s="497"/>
      <c r="PAX78" s="497"/>
      <c r="PAY78" s="497"/>
      <c r="PAZ78" s="497"/>
      <c r="PBA78" s="497"/>
      <c r="PBB78" s="497"/>
      <c r="PBC78" s="497"/>
      <c r="PBD78" s="497"/>
      <c r="PBE78" s="497"/>
      <c r="PBF78" s="497"/>
      <c r="PBG78" s="497"/>
      <c r="PBH78" s="497"/>
      <c r="PBI78" s="497"/>
      <c r="PBJ78" s="497"/>
      <c r="PBK78" s="497"/>
      <c r="PBL78" s="497"/>
      <c r="PBM78" s="497"/>
      <c r="PBN78" s="497"/>
      <c r="PBO78" s="497"/>
      <c r="PBP78" s="497"/>
      <c r="PBQ78" s="497"/>
      <c r="PBR78" s="497"/>
      <c r="PBS78" s="497"/>
      <c r="PBT78" s="497"/>
      <c r="PBU78" s="497"/>
      <c r="PBV78" s="497"/>
      <c r="PBW78" s="497"/>
      <c r="PBX78" s="497"/>
      <c r="PBY78" s="497"/>
      <c r="PBZ78" s="497"/>
      <c r="PCA78" s="497"/>
      <c r="PCB78" s="497"/>
      <c r="PCC78" s="497"/>
      <c r="PCD78" s="497"/>
      <c r="PCE78" s="497"/>
      <c r="PCF78" s="497"/>
      <c r="PCG78" s="497"/>
      <c r="PCH78" s="497"/>
      <c r="PCI78" s="497"/>
      <c r="PCJ78" s="497"/>
      <c r="PCK78" s="497"/>
      <c r="PCL78" s="497"/>
      <c r="PCM78" s="497"/>
      <c r="PCN78" s="497"/>
      <c r="PCO78" s="497"/>
      <c r="PCP78" s="497"/>
      <c r="PCQ78" s="497"/>
      <c r="PCR78" s="497"/>
      <c r="PCS78" s="497"/>
      <c r="PCT78" s="497"/>
      <c r="PCU78" s="497"/>
      <c r="PCV78" s="497"/>
      <c r="PCW78" s="497"/>
      <c r="PCX78" s="497"/>
      <c r="PCY78" s="497"/>
      <c r="PCZ78" s="497"/>
      <c r="PDA78" s="497"/>
      <c r="PDB78" s="497"/>
      <c r="PDC78" s="497"/>
      <c r="PDD78" s="497"/>
      <c r="PDE78" s="497"/>
      <c r="PDF78" s="497"/>
      <c r="PDG78" s="497"/>
      <c r="PDH78" s="497"/>
      <c r="PDI78" s="497"/>
      <c r="PDJ78" s="497"/>
      <c r="PDK78" s="497"/>
      <c r="PDL78" s="497"/>
      <c r="PDM78" s="497"/>
      <c r="PDN78" s="497"/>
      <c r="PDO78" s="497"/>
      <c r="PDP78" s="497"/>
      <c r="PDQ78" s="497"/>
      <c r="PDR78" s="497"/>
      <c r="PDS78" s="497"/>
      <c r="PDT78" s="497"/>
      <c r="PDU78" s="497"/>
      <c r="PDV78" s="497"/>
      <c r="PDW78" s="497"/>
      <c r="PDX78" s="497"/>
      <c r="PDY78" s="497"/>
      <c r="PDZ78" s="497"/>
      <c r="PEA78" s="497"/>
      <c r="PEB78" s="497"/>
      <c r="PEC78" s="497"/>
      <c r="PED78" s="497"/>
      <c r="PEE78" s="497"/>
      <c r="PEF78" s="497"/>
      <c r="PEG78" s="497"/>
      <c r="PEH78" s="497"/>
      <c r="PEI78" s="497"/>
      <c r="PEJ78" s="497"/>
      <c r="PEK78" s="497"/>
      <c r="PEL78" s="497"/>
      <c r="PEM78" s="497"/>
      <c r="PEN78" s="497"/>
      <c r="PEO78" s="497"/>
      <c r="PEP78" s="497"/>
      <c r="PEQ78" s="497"/>
      <c r="PER78" s="497"/>
      <c r="PES78" s="497"/>
      <c r="PET78" s="497"/>
      <c r="PEU78" s="497"/>
      <c r="PEV78" s="497"/>
      <c r="PEW78" s="497"/>
      <c r="PEX78" s="497"/>
      <c r="PEY78" s="497"/>
      <c r="PEZ78" s="497"/>
      <c r="PFA78" s="497"/>
      <c r="PFB78" s="497"/>
      <c r="PFC78" s="497"/>
      <c r="PFD78" s="497"/>
      <c r="PFE78" s="497"/>
      <c r="PFF78" s="497"/>
      <c r="PFG78" s="497"/>
      <c r="PFH78" s="497"/>
      <c r="PFI78" s="497"/>
      <c r="PFJ78" s="497"/>
      <c r="PFK78" s="497"/>
      <c r="PFL78" s="497"/>
      <c r="PFM78" s="497"/>
      <c r="PFN78" s="497"/>
      <c r="PFO78" s="497"/>
      <c r="PFP78" s="497"/>
      <c r="PFQ78" s="497"/>
      <c r="PFR78" s="497"/>
      <c r="PFS78" s="497"/>
      <c r="PFT78" s="497"/>
      <c r="PFU78" s="497"/>
      <c r="PFV78" s="497"/>
      <c r="PFW78" s="497"/>
      <c r="PFX78" s="497"/>
      <c r="PFY78" s="497"/>
      <c r="PFZ78" s="497"/>
      <c r="PGA78" s="497"/>
      <c r="PGB78" s="497"/>
      <c r="PGC78" s="497"/>
      <c r="PGD78" s="497"/>
      <c r="PGE78" s="497"/>
      <c r="PGF78" s="497"/>
      <c r="PGG78" s="497"/>
      <c r="PGH78" s="497"/>
      <c r="PGI78" s="497"/>
      <c r="PGJ78" s="497"/>
      <c r="PGK78" s="497"/>
      <c r="PGL78" s="497"/>
      <c r="PGM78" s="497"/>
      <c r="PGN78" s="497"/>
      <c r="PGO78" s="497"/>
      <c r="PGP78" s="497"/>
      <c r="PGQ78" s="497"/>
      <c r="PGR78" s="497"/>
      <c r="PGS78" s="497"/>
      <c r="PGT78" s="497"/>
      <c r="PGU78" s="497"/>
      <c r="PGV78" s="497"/>
      <c r="PGW78" s="497"/>
      <c r="PGX78" s="497"/>
      <c r="PGY78" s="497"/>
      <c r="PGZ78" s="497"/>
      <c r="PHA78" s="497"/>
      <c r="PHB78" s="497"/>
      <c r="PHC78" s="497"/>
      <c r="PHD78" s="497"/>
      <c r="PHE78" s="497"/>
      <c r="PHF78" s="497"/>
      <c r="PHG78" s="497"/>
      <c r="PHH78" s="497"/>
      <c r="PHI78" s="497"/>
      <c r="PHJ78" s="497"/>
      <c r="PHK78" s="497"/>
      <c r="PHL78" s="497"/>
      <c r="PHM78" s="497"/>
      <c r="PHN78" s="497"/>
      <c r="PHO78" s="497"/>
      <c r="PHP78" s="497"/>
      <c r="PHQ78" s="497"/>
      <c r="PHR78" s="497"/>
      <c r="PHS78" s="497"/>
      <c r="PHT78" s="497"/>
      <c r="PHU78" s="497"/>
      <c r="PHV78" s="497"/>
      <c r="PHW78" s="497"/>
      <c r="PHX78" s="497"/>
      <c r="PHY78" s="497"/>
      <c r="PHZ78" s="497"/>
      <c r="PIA78" s="497"/>
      <c r="PIB78" s="497"/>
      <c r="PIC78" s="497"/>
      <c r="PID78" s="497"/>
      <c r="PIE78" s="497"/>
      <c r="PIF78" s="497"/>
      <c r="PIG78" s="497"/>
      <c r="PIH78" s="497"/>
      <c r="PII78" s="497"/>
      <c r="PIJ78" s="497"/>
      <c r="PIK78" s="497"/>
      <c r="PIL78" s="497"/>
      <c r="PIM78" s="497"/>
      <c r="PIN78" s="497"/>
      <c r="PIO78" s="497"/>
      <c r="PIP78" s="497"/>
      <c r="PIQ78" s="497"/>
      <c r="PIR78" s="497"/>
      <c r="PIS78" s="497"/>
      <c r="PIT78" s="497"/>
      <c r="PIU78" s="497"/>
      <c r="PIV78" s="497"/>
      <c r="PIW78" s="497"/>
      <c r="PIX78" s="497"/>
      <c r="PIY78" s="497"/>
      <c r="PIZ78" s="497"/>
      <c r="PJA78" s="497"/>
      <c r="PJB78" s="497"/>
      <c r="PJC78" s="497"/>
      <c r="PJD78" s="497"/>
      <c r="PJE78" s="497"/>
      <c r="PJF78" s="497"/>
      <c r="PJG78" s="497"/>
      <c r="PJH78" s="497"/>
      <c r="PJI78" s="497"/>
      <c r="PJJ78" s="497"/>
      <c r="PJK78" s="497"/>
      <c r="PJL78" s="497"/>
      <c r="PJM78" s="497"/>
      <c r="PJN78" s="497"/>
      <c r="PJO78" s="497"/>
      <c r="PJP78" s="497"/>
      <c r="PJQ78" s="497"/>
      <c r="PJR78" s="497"/>
      <c r="PJS78" s="497"/>
      <c r="PJT78" s="497"/>
      <c r="PJU78" s="497"/>
      <c r="PJV78" s="497"/>
      <c r="PJW78" s="497"/>
      <c r="PJX78" s="497"/>
      <c r="PJY78" s="497"/>
      <c r="PJZ78" s="497"/>
      <c r="PKA78" s="497"/>
      <c r="PKB78" s="497"/>
      <c r="PKC78" s="497"/>
      <c r="PKD78" s="497"/>
      <c r="PKE78" s="497"/>
      <c r="PKF78" s="497"/>
      <c r="PKG78" s="497"/>
      <c r="PKH78" s="497"/>
      <c r="PKI78" s="497"/>
      <c r="PKJ78" s="497"/>
      <c r="PKK78" s="497"/>
      <c r="PKL78" s="497"/>
      <c r="PKM78" s="497"/>
      <c r="PKN78" s="497"/>
      <c r="PKO78" s="497"/>
      <c r="PKP78" s="497"/>
      <c r="PKQ78" s="497"/>
      <c r="PKR78" s="497"/>
      <c r="PKS78" s="497"/>
      <c r="PKT78" s="497"/>
      <c r="PKU78" s="497"/>
      <c r="PKV78" s="497"/>
      <c r="PKW78" s="497"/>
      <c r="PKX78" s="497"/>
      <c r="PKY78" s="497"/>
      <c r="PKZ78" s="497"/>
      <c r="PLA78" s="497"/>
      <c r="PLB78" s="497"/>
      <c r="PLC78" s="497"/>
      <c r="PLD78" s="497"/>
      <c r="PLE78" s="497"/>
      <c r="PLF78" s="497"/>
      <c r="PLG78" s="497"/>
      <c r="PLH78" s="497"/>
      <c r="PLI78" s="497"/>
      <c r="PLJ78" s="497"/>
      <c r="PLK78" s="497"/>
      <c r="PLL78" s="497"/>
      <c r="PLM78" s="497"/>
      <c r="PLN78" s="497"/>
      <c r="PLO78" s="497"/>
      <c r="PLP78" s="497"/>
      <c r="PLQ78" s="497"/>
      <c r="PLR78" s="497"/>
      <c r="PLS78" s="497"/>
      <c r="PLT78" s="497"/>
      <c r="PLU78" s="497"/>
      <c r="PLV78" s="497"/>
      <c r="PLW78" s="497"/>
      <c r="PLX78" s="497"/>
      <c r="PLY78" s="497"/>
      <c r="PLZ78" s="497"/>
      <c r="PMA78" s="497"/>
      <c r="PMB78" s="497"/>
      <c r="PMC78" s="497"/>
      <c r="PMD78" s="497"/>
      <c r="PME78" s="497"/>
      <c r="PMF78" s="497"/>
      <c r="PMG78" s="497"/>
      <c r="PMH78" s="497"/>
      <c r="PMI78" s="497"/>
      <c r="PMJ78" s="497"/>
      <c r="PMK78" s="497"/>
      <c r="PML78" s="497"/>
      <c r="PMM78" s="497"/>
      <c r="PMN78" s="497"/>
      <c r="PMO78" s="497"/>
      <c r="PMP78" s="497"/>
      <c r="PMQ78" s="497"/>
      <c r="PMR78" s="497"/>
      <c r="PMS78" s="497"/>
      <c r="PMT78" s="497"/>
      <c r="PMU78" s="497"/>
      <c r="PMV78" s="497"/>
      <c r="PMW78" s="497"/>
      <c r="PMX78" s="497"/>
      <c r="PMY78" s="497"/>
      <c r="PMZ78" s="497"/>
      <c r="PNA78" s="497"/>
      <c r="PNB78" s="497"/>
      <c r="PNC78" s="497"/>
      <c r="PND78" s="497"/>
      <c r="PNE78" s="497"/>
      <c r="PNF78" s="497"/>
      <c r="PNG78" s="497"/>
      <c r="PNH78" s="497"/>
      <c r="PNI78" s="497"/>
      <c r="PNJ78" s="497"/>
      <c r="PNK78" s="497"/>
      <c r="PNL78" s="497"/>
      <c r="PNM78" s="497"/>
      <c r="PNN78" s="497"/>
      <c r="PNO78" s="497"/>
      <c r="PNP78" s="497"/>
      <c r="PNQ78" s="497"/>
      <c r="PNR78" s="497"/>
      <c r="PNS78" s="497"/>
      <c r="PNT78" s="497"/>
      <c r="PNU78" s="497"/>
      <c r="PNV78" s="497"/>
      <c r="PNW78" s="497"/>
      <c r="PNX78" s="497"/>
      <c r="PNY78" s="497"/>
      <c r="PNZ78" s="497"/>
      <c r="POA78" s="497"/>
      <c r="POB78" s="497"/>
      <c r="POC78" s="497"/>
      <c r="POD78" s="497"/>
      <c r="POE78" s="497"/>
      <c r="POF78" s="497"/>
      <c r="POG78" s="497"/>
      <c r="POH78" s="497"/>
      <c r="POI78" s="497"/>
      <c r="POJ78" s="497"/>
      <c r="POK78" s="497"/>
      <c r="POL78" s="497"/>
      <c r="POM78" s="497"/>
      <c r="PON78" s="497"/>
      <c r="POO78" s="497"/>
      <c r="POP78" s="497"/>
      <c r="POQ78" s="497"/>
      <c r="POR78" s="497"/>
      <c r="POS78" s="497"/>
      <c r="POT78" s="497"/>
      <c r="POU78" s="497"/>
      <c r="POV78" s="497"/>
      <c r="POW78" s="497"/>
      <c r="POX78" s="497"/>
      <c r="POY78" s="497"/>
      <c r="POZ78" s="497"/>
      <c r="PPA78" s="497"/>
      <c r="PPB78" s="497"/>
      <c r="PPC78" s="497"/>
      <c r="PPD78" s="497"/>
      <c r="PPE78" s="497"/>
      <c r="PPF78" s="497"/>
      <c r="PPG78" s="497"/>
      <c r="PPH78" s="497"/>
      <c r="PPI78" s="497"/>
      <c r="PPJ78" s="497"/>
      <c r="PPK78" s="497"/>
      <c r="PPL78" s="497"/>
      <c r="PPM78" s="497"/>
      <c r="PPN78" s="497"/>
      <c r="PPO78" s="497"/>
      <c r="PPP78" s="497"/>
      <c r="PPQ78" s="497"/>
      <c r="PPR78" s="497"/>
      <c r="PPS78" s="497"/>
      <c r="PPT78" s="497"/>
      <c r="PPU78" s="497"/>
      <c r="PPV78" s="497"/>
      <c r="PPW78" s="497"/>
      <c r="PPX78" s="497"/>
      <c r="PPY78" s="497"/>
      <c r="PPZ78" s="497"/>
      <c r="PQA78" s="497"/>
      <c r="PQB78" s="497"/>
      <c r="PQC78" s="497"/>
      <c r="PQD78" s="497"/>
      <c r="PQE78" s="497"/>
      <c r="PQF78" s="497"/>
      <c r="PQG78" s="497"/>
      <c r="PQH78" s="497"/>
      <c r="PQI78" s="497"/>
      <c r="PQJ78" s="497"/>
      <c r="PQK78" s="497"/>
      <c r="PQL78" s="497"/>
      <c r="PQM78" s="497"/>
      <c r="PQN78" s="497"/>
      <c r="PQO78" s="497"/>
      <c r="PQP78" s="497"/>
      <c r="PQQ78" s="497"/>
      <c r="PQR78" s="497"/>
      <c r="PQS78" s="497"/>
      <c r="PQT78" s="497"/>
      <c r="PQU78" s="497"/>
      <c r="PQV78" s="497"/>
      <c r="PQW78" s="497"/>
      <c r="PQX78" s="497"/>
      <c r="PQY78" s="497"/>
      <c r="PQZ78" s="497"/>
      <c r="PRA78" s="497"/>
      <c r="PRB78" s="497"/>
      <c r="PRC78" s="497"/>
      <c r="PRD78" s="497"/>
      <c r="PRE78" s="497"/>
      <c r="PRF78" s="497"/>
      <c r="PRG78" s="497"/>
      <c r="PRH78" s="497"/>
      <c r="PRI78" s="497"/>
      <c r="PRJ78" s="497"/>
      <c r="PRK78" s="497"/>
      <c r="PRL78" s="497"/>
      <c r="PRM78" s="497"/>
      <c r="PRN78" s="497"/>
      <c r="PRO78" s="497"/>
      <c r="PRP78" s="497"/>
      <c r="PRQ78" s="497"/>
      <c r="PRR78" s="497"/>
      <c r="PRS78" s="497"/>
      <c r="PRT78" s="497"/>
      <c r="PRU78" s="497"/>
      <c r="PRV78" s="497"/>
      <c r="PRW78" s="497"/>
      <c r="PRX78" s="497"/>
      <c r="PRY78" s="497"/>
      <c r="PRZ78" s="497"/>
      <c r="PSA78" s="497"/>
      <c r="PSB78" s="497"/>
      <c r="PSC78" s="497"/>
      <c r="PSD78" s="497"/>
      <c r="PSE78" s="497"/>
      <c r="PSF78" s="497"/>
      <c r="PSG78" s="497"/>
      <c r="PSH78" s="497"/>
      <c r="PSI78" s="497"/>
      <c r="PSJ78" s="497"/>
      <c r="PSK78" s="497"/>
      <c r="PSL78" s="497"/>
      <c r="PSM78" s="497"/>
      <c r="PSN78" s="497"/>
      <c r="PSO78" s="497"/>
      <c r="PSP78" s="497"/>
      <c r="PSQ78" s="497"/>
      <c r="PSR78" s="497"/>
      <c r="PSS78" s="497"/>
      <c r="PST78" s="497"/>
      <c r="PSU78" s="497"/>
      <c r="PSV78" s="497"/>
      <c r="PSW78" s="497"/>
      <c r="PSX78" s="497"/>
      <c r="PSY78" s="497"/>
      <c r="PSZ78" s="497"/>
      <c r="PTA78" s="497"/>
      <c r="PTB78" s="497"/>
      <c r="PTC78" s="497"/>
      <c r="PTD78" s="497"/>
      <c r="PTE78" s="497"/>
      <c r="PTF78" s="497"/>
      <c r="PTG78" s="497"/>
      <c r="PTH78" s="497"/>
      <c r="PTI78" s="497"/>
      <c r="PTJ78" s="497"/>
      <c r="PTK78" s="497"/>
      <c r="PTL78" s="497"/>
      <c r="PTM78" s="497"/>
      <c r="PTN78" s="497"/>
      <c r="PTO78" s="497"/>
      <c r="PTP78" s="497"/>
      <c r="PTQ78" s="497"/>
      <c r="PTR78" s="497"/>
      <c r="PTS78" s="497"/>
      <c r="PTT78" s="497"/>
      <c r="PTU78" s="497"/>
      <c r="PTV78" s="497"/>
      <c r="PTW78" s="497"/>
      <c r="PTX78" s="497"/>
      <c r="PTY78" s="497"/>
      <c r="PTZ78" s="497"/>
      <c r="PUA78" s="497"/>
      <c r="PUB78" s="497"/>
      <c r="PUC78" s="497"/>
      <c r="PUD78" s="497"/>
      <c r="PUE78" s="497"/>
      <c r="PUF78" s="497"/>
      <c r="PUG78" s="497"/>
      <c r="PUH78" s="497"/>
      <c r="PUI78" s="497"/>
      <c r="PUJ78" s="497"/>
      <c r="PUK78" s="497"/>
      <c r="PUL78" s="497"/>
      <c r="PUM78" s="497"/>
      <c r="PUN78" s="497"/>
      <c r="PUO78" s="497"/>
      <c r="PUP78" s="497"/>
      <c r="PUQ78" s="497"/>
      <c r="PUR78" s="497"/>
      <c r="PUS78" s="497"/>
      <c r="PUT78" s="497"/>
      <c r="PUU78" s="497"/>
      <c r="PUV78" s="497"/>
      <c r="PUW78" s="497"/>
      <c r="PUX78" s="497"/>
      <c r="PUY78" s="497"/>
      <c r="PUZ78" s="497"/>
      <c r="PVA78" s="497"/>
      <c r="PVB78" s="497"/>
      <c r="PVC78" s="497"/>
      <c r="PVD78" s="497"/>
      <c r="PVE78" s="497"/>
      <c r="PVF78" s="497"/>
      <c r="PVG78" s="497"/>
      <c r="PVH78" s="497"/>
      <c r="PVI78" s="497"/>
      <c r="PVJ78" s="497"/>
      <c r="PVK78" s="497"/>
      <c r="PVL78" s="497"/>
      <c r="PVM78" s="497"/>
      <c r="PVN78" s="497"/>
      <c r="PVO78" s="497"/>
      <c r="PVP78" s="497"/>
      <c r="PVQ78" s="497"/>
      <c r="PVR78" s="497"/>
      <c r="PVS78" s="497"/>
      <c r="PVT78" s="497"/>
      <c r="PVU78" s="497"/>
      <c r="PVV78" s="497"/>
      <c r="PVW78" s="497"/>
      <c r="PVX78" s="497"/>
      <c r="PVY78" s="497"/>
      <c r="PVZ78" s="497"/>
      <c r="PWA78" s="497"/>
      <c r="PWB78" s="497"/>
      <c r="PWC78" s="497"/>
      <c r="PWD78" s="497"/>
      <c r="PWE78" s="497"/>
      <c r="PWF78" s="497"/>
      <c r="PWG78" s="497"/>
      <c r="PWH78" s="497"/>
      <c r="PWI78" s="497"/>
      <c r="PWJ78" s="497"/>
      <c r="PWK78" s="497"/>
      <c r="PWL78" s="497"/>
      <c r="PWM78" s="497"/>
      <c r="PWN78" s="497"/>
      <c r="PWO78" s="497"/>
      <c r="PWP78" s="497"/>
      <c r="PWQ78" s="497"/>
      <c r="PWR78" s="497"/>
      <c r="PWS78" s="497"/>
      <c r="PWT78" s="497"/>
      <c r="PWU78" s="497"/>
      <c r="PWV78" s="497"/>
      <c r="PWW78" s="497"/>
      <c r="PWX78" s="497"/>
      <c r="PWY78" s="497"/>
      <c r="PWZ78" s="497"/>
      <c r="PXA78" s="497"/>
      <c r="PXB78" s="497"/>
      <c r="PXC78" s="497"/>
      <c r="PXD78" s="497"/>
      <c r="PXE78" s="497"/>
      <c r="PXF78" s="497"/>
      <c r="PXG78" s="497"/>
      <c r="PXH78" s="497"/>
      <c r="PXI78" s="497"/>
      <c r="PXJ78" s="497"/>
      <c r="PXK78" s="497"/>
      <c r="PXL78" s="497"/>
      <c r="PXM78" s="497"/>
      <c r="PXN78" s="497"/>
      <c r="PXO78" s="497"/>
      <c r="PXP78" s="497"/>
      <c r="PXQ78" s="497"/>
      <c r="PXR78" s="497"/>
      <c r="PXS78" s="497"/>
      <c r="PXT78" s="497"/>
      <c r="PXU78" s="497"/>
      <c r="PXV78" s="497"/>
      <c r="PXW78" s="497"/>
      <c r="PXX78" s="497"/>
      <c r="PXY78" s="497"/>
      <c r="PXZ78" s="497"/>
      <c r="PYA78" s="497"/>
      <c r="PYB78" s="497"/>
      <c r="PYC78" s="497"/>
      <c r="PYD78" s="497"/>
      <c r="PYE78" s="497"/>
      <c r="PYF78" s="497"/>
      <c r="PYG78" s="497"/>
      <c r="PYH78" s="497"/>
      <c r="PYI78" s="497"/>
      <c r="PYJ78" s="497"/>
      <c r="PYK78" s="497"/>
      <c r="PYL78" s="497"/>
      <c r="PYM78" s="497"/>
      <c r="PYN78" s="497"/>
      <c r="PYO78" s="497"/>
      <c r="PYP78" s="497"/>
      <c r="PYQ78" s="497"/>
      <c r="PYR78" s="497"/>
      <c r="PYS78" s="497"/>
      <c r="PYT78" s="497"/>
      <c r="PYU78" s="497"/>
      <c r="PYV78" s="497"/>
      <c r="PYW78" s="497"/>
      <c r="PYX78" s="497"/>
      <c r="PYY78" s="497"/>
      <c r="PYZ78" s="497"/>
      <c r="PZA78" s="497"/>
      <c r="PZB78" s="497"/>
      <c r="PZC78" s="497"/>
      <c r="PZD78" s="497"/>
      <c r="PZE78" s="497"/>
      <c r="PZF78" s="497"/>
      <c r="PZG78" s="497"/>
      <c r="PZH78" s="497"/>
      <c r="PZI78" s="497"/>
      <c r="PZJ78" s="497"/>
      <c r="PZK78" s="497"/>
      <c r="PZL78" s="497"/>
      <c r="PZM78" s="497"/>
      <c r="PZN78" s="497"/>
      <c r="PZO78" s="497"/>
      <c r="PZP78" s="497"/>
      <c r="PZQ78" s="497"/>
      <c r="PZR78" s="497"/>
      <c r="PZS78" s="497"/>
      <c r="PZT78" s="497"/>
      <c r="PZU78" s="497"/>
      <c r="PZV78" s="497"/>
      <c r="PZW78" s="497"/>
      <c r="PZX78" s="497"/>
      <c r="PZY78" s="497"/>
      <c r="PZZ78" s="497"/>
      <c r="QAA78" s="497"/>
      <c r="QAB78" s="497"/>
      <c r="QAC78" s="497"/>
      <c r="QAD78" s="497"/>
      <c r="QAE78" s="497"/>
      <c r="QAF78" s="497"/>
      <c r="QAG78" s="497"/>
      <c r="QAH78" s="497"/>
      <c r="QAI78" s="497"/>
      <c r="QAJ78" s="497"/>
      <c r="QAK78" s="497"/>
      <c r="QAL78" s="497"/>
      <c r="QAM78" s="497"/>
      <c r="QAN78" s="497"/>
      <c r="QAO78" s="497"/>
      <c r="QAP78" s="497"/>
      <c r="QAQ78" s="497"/>
      <c r="QAR78" s="497"/>
      <c r="QAS78" s="497"/>
      <c r="QAT78" s="497"/>
      <c r="QAU78" s="497"/>
      <c r="QAV78" s="497"/>
      <c r="QAW78" s="497"/>
      <c r="QAX78" s="497"/>
      <c r="QAY78" s="497"/>
      <c r="QAZ78" s="497"/>
      <c r="QBA78" s="497"/>
      <c r="QBB78" s="497"/>
      <c r="QBC78" s="497"/>
      <c r="QBD78" s="497"/>
      <c r="QBE78" s="497"/>
      <c r="QBF78" s="497"/>
      <c r="QBG78" s="497"/>
      <c r="QBH78" s="497"/>
      <c r="QBI78" s="497"/>
      <c r="QBJ78" s="497"/>
      <c r="QBK78" s="497"/>
      <c r="QBL78" s="497"/>
      <c r="QBM78" s="497"/>
      <c r="QBN78" s="497"/>
      <c r="QBO78" s="497"/>
      <c r="QBP78" s="497"/>
      <c r="QBQ78" s="497"/>
      <c r="QBR78" s="497"/>
      <c r="QBS78" s="497"/>
      <c r="QBT78" s="497"/>
      <c r="QBU78" s="497"/>
      <c r="QBV78" s="497"/>
      <c r="QBW78" s="497"/>
      <c r="QBX78" s="497"/>
      <c r="QBY78" s="497"/>
      <c r="QBZ78" s="497"/>
      <c r="QCA78" s="497"/>
      <c r="QCB78" s="497"/>
      <c r="QCC78" s="497"/>
      <c r="QCD78" s="497"/>
      <c r="QCE78" s="497"/>
      <c r="QCF78" s="497"/>
      <c r="QCG78" s="497"/>
      <c r="QCH78" s="497"/>
      <c r="QCI78" s="497"/>
      <c r="QCJ78" s="497"/>
      <c r="QCK78" s="497"/>
      <c r="QCL78" s="497"/>
      <c r="QCM78" s="497"/>
      <c r="QCN78" s="497"/>
      <c r="QCO78" s="497"/>
      <c r="QCP78" s="497"/>
      <c r="QCQ78" s="497"/>
      <c r="QCR78" s="497"/>
      <c r="QCS78" s="497"/>
      <c r="QCT78" s="497"/>
      <c r="QCU78" s="497"/>
      <c r="QCV78" s="497"/>
      <c r="QCW78" s="497"/>
      <c r="QCX78" s="497"/>
      <c r="QCY78" s="497"/>
      <c r="QCZ78" s="497"/>
      <c r="QDA78" s="497"/>
      <c r="QDB78" s="497"/>
      <c r="QDC78" s="497"/>
      <c r="QDD78" s="497"/>
      <c r="QDE78" s="497"/>
      <c r="QDF78" s="497"/>
      <c r="QDG78" s="497"/>
      <c r="QDH78" s="497"/>
      <c r="QDI78" s="497"/>
      <c r="QDJ78" s="497"/>
      <c r="QDK78" s="497"/>
      <c r="QDL78" s="497"/>
      <c r="QDM78" s="497"/>
      <c r="QDN78" s="497"/>
      <c r="QDO78" s="497"/>
      <c r="QDP78" s="497"/>
      <c r="QDQ78" s="497"/>
      <c r="QDR78" s="497"/>
      <c r="QDS78" s="497"/>
      <c r="QDT78" s="497"/>
      <c r="QDU78" s="497"/>
      <c r="QDV78" s="497"/>
      <c r="QDW78" s="497"/>
      <c r="QDX78" s="497"/>
      <c r="QDY78" s="497"/>
      <c r="QDZ78" s="497"/>
      <c r="QEA78" s="497"/>
      <c r="QEB78" s="497"/>
      <c r="QEC78" s="497"/>
      <c r="QED78" s="497"/>
      <c r="QEE78" s="497"/>
      <c r="QEF78" s="497"/>
      <c r="QEG78" s="497"/>
      <c r="QEH78" s="497"/>
      <c r="QEI78" s="497"/>
      <c r="QEJ78" s="497"/>
      <c r="QEK78" s="497"/>
      <c r="QEL78" s="497"/>
      <c r="QEM78" s="497"/>
      <c r="QEN78" s="497"/>
      <c r="QEO78" s="497"/>
      <c r="QEP78" s="497"/>
      <c r="QEQ78" s="497"/>
      <c r="QER78" s="497"/>
      <c r="QES78" s="497"/>
      <c r="QET78" s="497"/>
      <c r="QEU78" s="497"/>
      <c r="QEV78" s="497"/>
      <c r="QEW78" s="497"/>
      <c r="QEX78" s="497"/>
      <c r="QEY78" s="497"/>
      <c r="QEZ78" s="497"/>
      <c r="QFA78" s="497"/>
      <c r="QFB78" s="497"/>
      <c r="QFC78" s="497"/>
      <c r="QFD78" s="497"/>
      <c r="QFE78" s="497"/>
      <c r="QFF78" s="497"/>
      <c r="QFG78" s="497"/>
      <c r="QFH78" s="497"/>
      <c r="QFI78" s="497"/>
      <c r="QFJ78" s="497"/>
      <c r="QFK78" s="497"/>
      <c r="QFL78" s="497"/>
      <c r="QFM78" s="497"/>
      <c r="QFN78" s="497"/>
      <c r="QFO78" s="497"/>
      <c r="QFP78" s="497"/>
      <c r="QFQ78" s="497"/>
      <c r="QFR78" s="497"/>
      <c r="QFS78" s="497"/>
      <c r="QFT78" s="497"/>
      <c r="QFU78" s="497"/>
      <c r="QFV78" s="497"/>
      <c r="QFW78" s="497"/>
      <c r="QFX78" s="497"/>
      <c r="QFY78" s="497"/>
      <c r="QFZ78" s="497"/>
      <c r="QGA78" s="497"/>
      <c r="QGB78" s="497"/>
      <c r="QGC78" s="497"/>
      <c r="QGD78" s="497"/>
      <c r="QGE78" s="497"/>
      <c r="QGF78" s="497"/>
      <c r="QGG78" s="497"/>
      <c r="QGH78" s="497"/>
      <c r="QGI78" s="497"/>
      <c r="QGJ78" s="497"/>
      <c r="QGK78" s="497"/>
      <c r="QGL78" s="497"/>
      <c r="QGM78" s="497"/>
      <c r="QGN78" s="497"/>
      <c r="QGO78" s="497"/>
      <c r="QGP78" s="497"/>
      <c r="QGQ78" s="497"/>
      <c r="QGR78" s="497"/>
      <c r="QGS78" s="497"/>
      <c r="QGT78" s="497"/>
      <c r="QGU78" s="497"/>
      <c r="QGV78" s="497"/>
      <c r="QGW78" s="497"/>
      <c r="QGX78" s="497"/>
      <c r="QGY78" s="497"/>
      <c r="QGZ78" s="497"/>
      <c r="QHA78" s="497"/>
      <c r="QHB78" s="497"/>
      <c r="QHC78" s="497"/>
      <c r="QHD78" s="497"/>
      <c r="QHE78" s="497"/>
      <c r="QHF78" s="497"/>
      <c r="QHG78" s="497"/>
      <c r="QHH78" s="497"/>
      <c r="QHI78" s="497"/>
      <c r="QHJ78" s="497"/>
      <c r="QHK78" s="497"/>
      <c r="QHL78" s="497"/>
      <c r="QHM78" s="497"/>
      <c r="QHN78" s="497"/>
      <c r="QHO78" s="497"/>
      <c r="QHP78" s="497"/>
      <c r="QHQ78" s="497"/>
      <c r="QHR78" s="497"/>
      <c r="QHS78" s="497"/>
      <c r="QHT78" s="497"/>
      <c r="QHU78" s="497"/>
      <c r="QHV78" s="497"/>
      <c r="QHW78" s="497"/>
      <c r="QHX78" s="497"/>
      <c r="QHY78" s="497"/>
      <c r="QHZ78" s="497"/>
      <c r="QIA78" s="497"/>
      <c r="QIB78" s="497"/>
      <c r="QIC78" s="497"/>
      <c r="QID78" s="497"/>
      <c r="QIE78" s="497"/>
      <c r="QIF78" s="497"/>
      <c r="QIG78" s="497"/>
      <c r="QIH78" s="497"/>
      <c r="QII78" s="497"/>
      <c r="QIJ78" s="497"/>
      <c r="QIK78" s="497"/>
      <c r="QIL78" s="497"/>
      <c r="QIM78" s="497"/>
      <c r="QIN78" s="497"/>
      <c r="QIO78" s="497"/>
      <c r="QIP78" s="497"/>
      <c r="QIQ78" s="497"/>
      <c r="QIR78" s="497"/>
      <c r="QIS78" s="497"/>
      <c r="QIT78" s="497"/>
      <c r="QIU78" s="497"/>
      <c r="QIV78" s="497"/>
      <c r="QIW78" s="497"/>
      <c r="QIX78" s="497"/>
      <c r="QIY78" s="497"/>
      <c r="QIZ78" s="497"/>
      <c r="QJA78" s="497"/>
      <c r="QJB78" s="497"/>
      <c r="QJC78" s="497"/>
      <c r="QJD78" s="497"/>
      <c r="QJE78" s="497"/>
      <c r="QJF78" s="497"/>
      <c r="QJG78" s="497"/>
      <c r="QJH78" s="497"/>
      <c r="QJI78" s="497"/>
      <c r="QJJ78" s="497"/>
      <c r="QJK78" s="497"/>
      <c r="QJL78" s="497"/>
      <c r="QJM78" s="497"/>
      <c r="QJN78" s="497"/>
      <c r="QJO78" s="497"/>
      <c r="QJP78" s="497"/>
      <c r="QJQ78" s="497"/>
      <c r="QJR78" s="497"/>
      <c r="QJS78" s="497"/>
      <c r="QJT78" s="497"/>
      <c r="QJU78" s="497"/>
      <c r="QJV78" s="497"/>
      <c r="QJW78" s="497"/>
      <c r="QJX78" s="497"/>
      <c r="QJY78" s="497"/>
      <c r="QJZ78" s="497"/>
      <c r="QKA78" s="497"/>
      <c r="QKB78" s="497"/>
      <c r="QKC78" s="497"/>
      <c r="QKD78" s="497"/>
      <c r="QKE78" s="497"/>
      <c r="QKF78" s="497"/>
      <c r="QKG78" s="497"/>
      <c r="QKH78" s="497"/>
      <c r="QKI78" s="497"/>
      <c r="QKJ78" s="497"/>
      <c r="QKK78" s="497"/>
      <c r="QKL78" s="497"/>
      <c r="QKM78" s="497"/>
      <c r="QKN78" s="497"/>
      <c r="QKO78" s="497"/>
      <c r="QKP78" s="497"/>
      <c r="QKQ78" s="497"/>
      <c r="QKR78" s="497"/>
      <c r="QKS78" s="497"/>
      <c r="QKT78" s="497"/>
      <c r="QKU78" s="497"/>
      <c r="QKV78" s="497"/>
      <c r="QKW78" s="497"/>
      <c r="QKX78" s="497"/>
      <c r="QKY78" s="497"/>
      <c r="QKZ78" s="497"/>
      <c r="QLA78" s="497"/>
      <c r="QLB78" s="497"/>
      <c r="QLC78" s="497"/>
      <c r="QLD78" s="497"/>
      <c r="QLE78" s="497"/>
      <c r="QLF78" s="497"/>
      <c r="QLG78" s="497"/>
      <c r="QLH78" s="497"/>
      <c r="QLI78" s="497"/>
      <c r="QLJ78" s="497"/>
      <c r="QLK78" s="497"/>
      <c r="QLL78" s="497"/>
      <c r="QLM78" s="497"/>
      <c r="QLN78" s="497"/>
      <c r="QLO78" s="497"/>
      <c r="QLP78" s="497"/>
      <c r="QLQ78" s="497"/>
      <c r="QLR78" s="497"/>
      <c r="QLS78" s="497"/>
      <c r="QLT78" s="497"/>
      <c r="QLU78" s="497"/>
      <c r="QLV78" s="497"/>
      <c r="QLW78" s="497"/>
      <c r="QLX78" s="497"/>
      <c r="QLY78" s="497"/>
      <c r="QLZ78" s="497"/>
      <c r="QMA78" s="497"/>
      <c r="QMB78" s="497"/>
      <c r="QMC78" s="497"/>
      <c r="QMD78" s="497"/>
      <c r="QME78" s="497"/>
      <c r="QMF78" s="497"/>
      <c r="QMG78" s="497"/>
      <c r="QMH78" s="497"/>
      <c r="QMI78" s="497"/>
      <c r="QMJ78" s="497"/>
      <c r="QMK78" s="497"/>
      <c r="QML78" s="497"/>
      <c r="QMM78" s="497"/>
      <c r="QMN78" s="497"/>
      <c r="QMO78" s="497"/>
      <c r="QMP78" s="497"/>
      <c r="QMQ78" s="497"/>
      <c r="QMR78" s="497"/>
      <c r="QMS78" s="497"/>
      <c r="QMT78" s="497"/>
      <c r="QMU78" s="497"/>
      <c r="QMV78" s="497"/>
      <c r="QMW78" s="497"/>
      <c r="QMX78" s="497"/>
      <c r="QMY78" s="497"/>
      <c r="QMZ78" s="497"/>
      <c r="QNA78" s="497"/>
      <c r="QNB78" s="497"/>
      <c r="QNC78" s="497"/>
      <c r="QND78" s="497"/>
      <c r="QNE78" s="497"/>
      <c r="QNF78" s="497"/>
      <c r="QNG78" s="497"/>
      <c r="QNH78" s="497"/>
      <c r="QNI78" s="497"/>
      <c r="QNJ78" s="497"/>
      <c r="QNK78" s="497"/>
      <c r="QNL78" s="497"/>
      <c r="QNM78" s="497"/>
      <c r="QNN78" s="497"/>
      <c r="QNO78" s="497"/>
      <c r="QNP78" s="497"/>
      <c r="QNQ78" s="497"/>
      <c r="QNR78" s="497"/>
      <c r="QNS78" s="497"/>
      <c r="QNT78" s="497"/>
      <c r="QNU78" s="497"/>
      <c r="QNV78" s="497"/>
      <c r="QNW78" s="497"/>
      <c r="QNX78" s="497"/>
      <c r="QNY78" s="497"/>
      <c r="QNZ78" s="497"/>
      <c r="QOA78" s="497"/>
      <c r="QOB78" s="497"/>
      <c r="QOC78" s="497"/>
      <c r="QOD78" s="497"/>
      <c r="QOE78" s="497"/>
      <c r="QOF78" s="497"/>
      <c r="QOG78" s="497"/>
      <c r="QOH78" s="497"/>
      <c r="QOI78" s="497"/>
      <c r="QOJ78" s="497"/>
      <c r="QOK78" s="497"/>
      <c r="QOL78" s="497"/>
      <c r="QOM78" s="497"/>
      <c r="QON78" s="497"/>
      <c r="QOO78" s="497"/>
      <c r="QOP78" s="497"/>
      <c r="QOQ78" s="497"/>
      <c r="QOR78" s="497"/>
      <c r="QOS78" s="497"/>
      <c r="QOT78" s="497"/>
      <c r="QOU78" s="497"/>
      <c r="QOV78" s="497"/>
      <c r="QOW78" s="497"/>
      <c r="QOX78" s="497"/>
      <c r="QOY78" s="497"/>
      <c r="QOZ78" s="497"/>
      <c r="QPA78" s="497"/>
      <c r="QPB78" s="497"/>
      <c r="QPC78" s="497"/>
      <c r="QPD78" s="497"/>
      <c r="QPE78" s="497"/>
      <c r="QPF78" s="497"/>
      <c r="QPG78" s="497"/>
      <c r="QPH78" s="497"/>
      <c r="QPI78" s="497"/>
      <c r="QPJ78" s="497"/>
      <c r="QPK78" s="497"/>
      <c r="QPL78" s="497"/>
      <c r="QPM78" s="497"/>
      <c r="QPN78" s="497"/>
      <c r="QPO78" s="497"/>
      <c r="QPP78" s="497"/>
      <c r="QPQ78" s="497"/>
      <c r="QPR78" s="497"/>
      <c r="QPS78" s="497"/>
      <c r="QPT78" s="497"/>
      <c r="QPU78" s="497"/>
      <c r="QPV78" s="497"/>
      <c r="QPW78" s="497"/>
      <c r="QPX78" s="497"/>
      <c r="QPY78" s="497"/>
      <c r="QPZ78" s="497"/>
      <c r="QQA78" s="497"/>
      <c r="QQB78" s="497"/>
      <c r="QQC78" s="497"/>
      <c r="QQD78" s="497"/>
      <c r="QQE78" s="497"/>
      <c r="QQF78" s="497"/>
      <c r="QQG78" s="497"/>
      <c r="QQH78" s="497"/>
      <c r="QQI78" s="497"/>
      <c r="QQJ78" s="497"/>
      <c r="QQK78" s="497"/>
      <c r="QQL78" s="497"/>
      <c r="QQM78" s="497"/>
      <c r="QQN78" s="497"/>
      <c r="QQO78" s="497"/>
      <c r="QQP78" s="497"/>
      <c r="QQQ78" s="497"/>
      <c r="QQR78" s="497"/>
      <c r="QQS78" s="497"/>
      <c r="QQT78" s="497"/>
      <c r="QQU78" s="497"/>
      <c r="QQV78" s="497"/>
      <c r="QQW78" s="497"/>
      <c r="QQX78" s="497"/>
      <c r="QQY78" s="497"/>
      <c r="QQZ78" s="497"/>
      <c r="QRA78" s="497"/>
      <c r="QRB78" s="497"/>
      <c r="QRC78" s="497"/>
      <c r="QRD78" s="497"/>
      <c r="QRE78" s="497"/>
      <c r="QRF78" s="497"/>
      <c r="QRG78" s="497"/>
      <c r="QRH78" s="497"/>
      <c r="QRI78" s="497"/>
      <c r="QRJ78" s="497"/>
      <c r="QRK78" s="497"/>
      <c r="QRL78" s="497"/>
      <c r="QRM78" s="497"/>
      <c r="QRN78" s="497"/>
      <c r="QRO78" s="497"/>
      <c r="QRP78" s="497"/>
      <c r="QRQ78" s="497"/>
      <c r="QRR78" s="497"/>
      <c r="QRS78" s="497"/>
      <c r="QRT78" s="497"/>
      <c r="QRU78" s="497"/>
      <c r="QRV78" s="497"/>
      <c r="QRW78" s="497"/>
      <c r="QRX78" s="497"/>
      <c r="QRY78" s="497"/>
      <c r="QRZ78" s="497"/>
      <c r="QSA78" s="497"/>
      <c r="QSB78" s="497"/>
      <c r="QSC78" s="497"/>
      <c r="QSD78" s="497"/>
      <c r="QSE78" s="497"/>
      <c r="QSF78" s="497"/>
      <c r="QSG78" s="497"/>
      <c r="QSH78" s="497"/>
      <c r="QSI78" s="497"/>
      <c r="QSJ78" s="497"/>
      <c r="QSK78" s="497"/>
      <c r="QSL78" s="497"/>
      <c r="QSM78" s="497"/>
      <c r="QSN78" s="497"/>
      <c r="QSO78" s="497"/>
      <c r="QSP78" s="497"/>
      <c r="QSQ78" s="497"/>
      <c r="QSR78" s="497"/>
      <c r="QSS78" s="497"/>
      <c r="QST78" s="497"/>
      <c r="QSU78" s="497"/>
      <c r="QSV78" s="497"/>
      <c r="QSW78" s="497"/>
      <c r="QSX78" s="497"/>
      <c r="QSY78" s="497"/>
      <c r="QSZ78" s="497"/>
      <c r="QTA78" s="497"/>
      <c r="QTB78" s="497"/>
      <c r="QTC78" s="497"/>
      <c r="QTD78" s="497"/>
      <c r="QTE78" s="497"/>
      <c r="QTF78" s="497"/>
      <c r="QTG78" s="497"/>
      <c r="QTH78" s="497"/>
      <c r="QTI78" s="497"/>
      <c r="QTJ78" s="497"/>
      <c r="QTK78" s="497"/>
      <c r="QTL78" s="497"/>
      <c r="QTM78" s="497"/>
      <c r="QTN78" s="497"/>
      <c r="QTO78" s="497"/>
      <c r="QTP78" s="497"/>
      <c r="QTQ78" s="497"/>
      <c r="QTR78" s="497"/>
      <c r="QTS78" s="497"/>
      <c r="QTT78" s="497"/>
      <c r="QTU78" s="497"/>
      <c r="QTV78" s="497"/>
      <c r="QTW78" s="497"/>
      <c r="QTX78" s="497"/>
      <c r="QTY78" s="497"/>
      <c r="QTZ78" s="497"/>
      <c r="QUA78" s="497"/>
      <c r="QUB78" s="497"/>
      <c r="QUC78" s="497"/>
      <c r="QUD78" s="497"/>
      <c r="QUE78" s="497"/>
      <c r="QUF78" s="497"/>
      <c r="QUG78" s="497"/>
      <c r="QUH78" s="497"/>
      <c r="QUI78" s="497"/>
      <c r="QUJ78" s="497"/>
      <c r="QUK78" s="497"/>
      <c r="QUL78" s="497"/>
      <c r="QUM78" s="497"/>
      <c r="QUN78" s="497"/>
      <c r="QUO78" s="497"/>
      <c r="QUP78" s="497"/>
      <c r="QUQ78" s="497"/>
      <c r="QUR78" s="497"/>
      <c r="QUS78" s="497"/>
      <c r="QUT78" s="497"/>
      <c r="QUU78" s="497"/>
      <c r="QUV78" s="497"/>
      <c r="QUW78" s="497"/>
      <c r="QUX78" s="497"/>
      <c r="QUY78" s="497"/>
      <c r="QUZ78" s="497"/>
      <c r="QVA78" s="497"/>
      <c r="QVB78" s="497"/>
      <c r="QVC78" s="497"/>
      <c r="QVD78" s="497"/>
      <c r="QVE78" s="497"/>
      <c r="QVF78" s="497"/>
      <c r="QVG78" s="497"/>
      <c r="QVH78" s="497"/>
      <c r="QVI78" s="497"/>
      <c r="QVJ78" s="497"/>
      <c r="QVK78" s="497"/>
      <c r="QVL78" s="497"/>
      <c r="QVM78" s="497"/>
      <c r="QVN78" s="497"/>
      <c r="QVO78" s="497"/>
      <c r="QVP78" s="497"/>
      <c r="QVQ78" s="497"/>
      <c r="QVR78" s="497"/>
      <c r="QVS78" s="497"/>
      <c r="QVT78" s="497"/>
      <c r="QVU78" s="497"/>
      <c r="QVV78" s="497"/>
      <c r="QVW78" s="497"/>
      <c r="QVX78" s="497"/>
      <c r="QVY78" s="497"/>
      <c r="QVZ78" s="497"/>
      <c r="QWA78" s="497"/>
      <c r="QWB78" s="497"/>
      <c r="QWC78" s="497"/>
      <c r="QWD78" s="497"/>
      <c r="QWE78" s="497"/>
      <c r="QWF78" s="497"/>
      <c r="QWG78" s="497"/>
      <c r="QWH78" s="497"/>
      <c r="QWI78" s="497"/>
      <c r="QWJ78" s="497"/>
      <c r="QWK78" s="497"/>
      <c r="QWL78" s="497"/>
      <c r="QWM78" s="497"/>
      <c r="QWN78" s="497"/>
      <c r="QWO78" s="497"/>
      <c r="QWP78" s="497"/>
      <c r="QWQ78" s="497"/>
      <c r="QWR78" s="497"/>
      <c r="QWS78" s="497"/>
      <c r="QWT78" s="497"/>
      <c r="QWU78" s="497"/>
      <c r="QWV78" s="497"/>
      <c r="QWW78" s="497"/>
      <c r="QWX78" s="497"/>
      <c r="QWY78" s="497"/>
      <c r="QWZ78" s="497"/>
      <c r="QXA78" s="497"/>
      <c r="QXB78" s="497"/>
      <c r="QXC78" s="497"/>
      <c r="QXD78" s="497"/>
      <c r="QXE78" s="497"/>
      <c r="QXF78" s="497"/>
      <c r="QXG78" s="497"/>
      <c r="QXH78" s="497"/>
      <c r="QXI78" s="497"/>
      <c r="QXJ78" s="497"/>
      <c r="QXK78" s="497"/>
      <c r="QXL78" s="497"/>
      <c r="QXM78" s="497"/>
      <c r="QXN78" s="497"/>
      <c r="QXO78" s="497"/>
      <c r="QXP78" s="497"/>
      <c r="QXQ78" s="497"/>
      <c r="QXR78" s="497"/>
      <c r="QXS78" s="497"/>
      <c r="QXT78" s="497"/>
      <c r="QXU78" s="497"/>
      <c r="QXV78" s="497"/>
      <c r="QXW78" s="497"/>
      <c r="QXX78" s="497"/>
      <c r="QXY78" s="497"/>
      <c r="QXZ78" s="497"/>
      <c r="QYA78" s="497"/>
      <c r="QYB78" s="497"/>
      <c r="QYC78" s="497"/>
      <c r="QYD78" s="497"/>
      <c r="QYE78" s="497"/>
      <c r="QYF78" s="497"/>
      <c r="QYG78" s="497"/>
      <c r="QYH78" s="497"/>
      <c r="QYI78" s="497"/>
      <c r="QYJ78" s="497"/>
      <c r="QYK78" s="497"/>
      <c r="QYL78" s="497"/>
      <c r="QYM78" s="497"/>
      <c r="QYN78" s="497"/>
      <c r="QYO78" s="497"/>
      <c r="QYP78" s="497"/>
      <c r="QYQ78" s="497"/>
      <c r="QYR78" s="497"/>
      <c r="QYS78" s="497"/>
      <c r="QYT78" s="497"/>
      <c r="QYU78" s="497"/>
      <c r="QYV78" s="497"/>
      <c r="QYW78" s="497"/>
      <c r="QYX78" s="497"/>
      <c r="QYY78" s="497"/>
      <c r="QYZ78" s="497"/>
      <c r="QZA78" s="497"/>
      <c r="QZB78" s="497"/>
      <c r="QZC78" s="497"/>
      <c r="QZD78" s="497"/>
      <c r="QZE78" s="497"/>
      <c r="QZF78" s="497"/>
      <c r="QZG78" s="497"/>
      <c r="QZH78" s="497"/>
      <c r="QZI78" s="497"/>
      <c r="QZJ78" s="497"/>
      <c r="QZK78" s="497"/>
      <c r="QZL78" s="497"/>
      <c r="QZM78" s="497"/>
      <c r="QZN78" s="497"/>
      <c r="QZO78" s="497"/>
      <c r="QZP78" s="497"/>
      <c r="QZQ78" s="497"/>
      <c r="QZR78" s="497"/>
      <c r="QZS78" s="497"/>
      <c r="QZT78" s="497"/>
      <c r="QZU78" s="497"/>
      <c r="QZV78" s="497"/>
      <c r="QZW78" s="497"/>
      <c r="QZX78" s="497"/>
      <c r="QZY78" s="497"/>
      <c r="QZZ78" s="497"/>
      <c r="RAA78" s="497"/>
      <c r="RAB78" s="497"/>
      <c r="RAC78" s="497"/>
      <c r="RAD78" s="497"/>
      <c r="RAE78" s="497"/>
      <c r="RAF78" s="497"/>
      <c r="RAG78" s="497"/>
      <c r="RAH78" s="497"/>
      <c r="RAI78" s="497"/>
      <c r="RAJ78" s="497"/>
      <c r="RAK78" s="497"/>
      <c r="RAL78" s="497"/>
      <c r="RAM78" s="497"/>
      <c r="RAN78" s="497"/>
      <c r="RAO78" s="497"/>
      <c r="RAP78" s="497"/>
      <c r="RAQ78" s="497"/>
      <c r="RAR78" s="497"/>
      <c r="RAS78" s="497"/>
      <c r="RAT78" s="497"/>
      <c r="RAU78" s="497"/>
      <c r="RAV78" s="497"/>
      <c r="RAW78" s="497"/>
      <c r="RAX78" s="497"/>
      <c r="RAY78" s="497"/>
      <c r="RAZ78" s="497"/>
      <c r="RBA78" s="497"/>
      <c r="RBB78" s="497"/>
      <c r="RBC78" s="497"/>
      <c r="RBD78" s="497"/>
      <c r="RBE78" s="497"/>
      <c r="RBF78" s="497"/>
      <c r="RBG78" s="497"/>
      <c r="RBH78" s="497"/>
      <c r="RBI78" s="497"/>
      <c r="RBJ78" s="497"/>
      <c r="RBK78" s="497"/>
      <c r="RBL78" s="497"/>
      <c r="RBM78" s="497"/>
      <c r="RBN78" s="497"/>
      <c r="RBO78" s="497"/>
      <c r="RBP78" s="497"/>
      <c r="RBQ78" s="497"/>
      <c r="RBR78" s="497"/>
      <c r="RBS78" s="497"/>
      <c r="RBT78" s="497"/>
      <c r="RBU78" s="497"/>
      <c r="RBV78" s="497"/>
      <c r="RBW78" s="497"/>
      <c r="RBX78" s="497"/>
      <c r="RBY78" s="497"/>
      <c r="RBZ78" s="497"/>
      <c r="RCA78" s="497"/>
      <c r="RCB78" s="497"/>
      <c r="RCC78" s="497"/>
      <c r="RCD78" s="497"/>
      <c r="RCE78" s="497"/>
      <c r="RCF78" s="497"/>
      <c r="RCG78" s="497"/>
      <c r="RCH78" s="497"/>
      <c r="RCI78" s="497"/>
      <c r="RCJ78" s="497"/>
      <c r="RCK78" s="497"/>
      <c r="RCL78" s="497"/>
      <c r="RCM78" s="497"/>
      <c r="RCN78" s="497"/>
      <c r="RCO78" s="497"/>
      <c r="RCP78" s="497"/>
      <c r="RCQ78" s="497"/>
      <c r="RCR78" s="497"/>
      <c r="RCS78" s="497"/>
      <c r="RCT78" s="497"/>
      <c r="RCU78" s="497"/>
      <c r="RCV78" s="497"/>
      <c r="RCW78" s="497"/>
      <c r="RCX78" s="497"/>
      <c r="RCY78" s="497"/>
      <c r="RCZ78" s="497"/>
      <c r="RDA78" s="497"/>
      <c r="RDB78" s="497"/>
      <c r="RDC78" s="497"/>
      <c r="RDD78" s="497"/>
      <c r="RDE78" s="497"/>
      <c r="RDF78" s="497"/>
      <c r="RDG78" s="497"/>
      <c r="RDH78" s="497"/>
      <c r="RDI78" s="497"/>
      <c r="RDJ78" s="497"/>
      <c r="RDK78" s="497"/>
      <c r="RDL78" s="497"/>
      <c r="RDM78" s="497"/>
      <c r="RDN78" s="497"/>
      <c r="RDO78" s="497"/>
      <c r="RDP78" s="497"/>
      <c r="RDQ78" s="497"/>
      <c r="RDR78" s="497"/>
      <c r="RDS78" s="497"/>
      <c r="RDT78" s="497"/>
      <c r="RDU78" s="497"/>
      <c r="RDV78" s="497"/>
      <c r="RDW78" s="497"/>
      <c r="RDX78" s="497"/>
      <c r="RDY78" s="497"/>
      <c r="RDZ78" s="497"/>
      <c r="REA78" s="497"/>
      <c r="REB78" s="497"/>
      <c r="REC78" s="497"/>
      <c r="RED78" s="497"/>
      <c r="REE78" s="497"/>
      <c r="REF78" s="497"/>
      <c r="REG78" s="497"/>
      <c r="REH78" s="497"/>
      <c r="REI78" s="497"/>
      <c r="REJ78" s="497"/>
      <c r="REK78" s="497"/>
      <c r="REL78" s="497"/>
      <c r="REM78" s="497"/>
      <c r="REN78" s="497"/>
      <c r="REO78" s="497"/>
      <c r="REP78" s="497"/>
      <c r="REQ78" s="497"/>
      <c r="RER78" s="497"/>
      <c r="RES78" s="497"/>
      <c r="RET78" s="497"/>
      <c r="REU78" s="497"/>
      <c r="REV78" s="497"/>
      <c r="REW78" s="497"/>
      <c r="REX78" s="497"/>
      <c r="REY78" s="497"/>
      <c r="REZ78" s="497"/>
      <c r="RFA78" s="497"/>
      <c r="RFB78" s="497"/>
      <c r="RFC78" s="497"/>
      <c r="RFD78" s="497"/>
      <c r="RFE78" s="497"/>
      <c r="RFF78" s="497"/>
      <c r="RFG78" s="497"/>
      <c r="RFH78" s="497"/>
      <c r="RFI78" s="497"/>
      <c r="RFJ78" s="497"/>
      <c r="RFK78" s="497"/>
      <c r="RFL78" s="497"/>
      <c r="RFM78" s="497"/>
      <c r="RFN78" s="497"/>
      <c r="RFO78" s="497"/>
      <c r="RFP78" s="497"/>
      <c r="RFQ78" s="497"/>
      <c r="RFR78" s="497"/>
      <c r="RFS78" s="497"/>
      <c r="RFT78" s="497"/>
      <c r="RFU78" s="497"/>
      <c r="RFV78" s="497"/>
      <c r="RFW78" s="497"/>
      <c r="RFX78" s="497"/>
      <c r="RFY78" s="497"/>
      <c r="RFZ78" s="497"/>
      <c r="RGA78" s="497"/>
      <c r="RGB78" s="497"/>
      <c r="RGC78" s="497"/>
      <c r="RGD78" s="497"/>
      <c r="RGE78" s="497"/>
      <c r="RGF78" s="497"/>
      <c r="RGG78" s="497"/>
      <c r="RGH78" s="497"/>
      <c r="RGI78" s="497"/>
      <c r="RGJ78" s="497"/>
      <c r="RGK78" s="497"/>
      <c r="RGL78" s="497"/>
      <c r="RGM78" s="497"/>
      <c r="RGN78" s="497"/>
      <c r="RGO78" s="497"/>
      <c r="RGP78" s="497"/>
      <c r="RGQ78" s="497"/>
      <c r="RGR78" s="497"/>
      <c r="RGS78" s="497"/>
      <c r="RGT78" s="497"/>
      <c r="RGU78" s="497"/>
      <c r="RGV78" s="497"/>
      <c r="RGW78" s="497"/>
      <c r="RGX78" s="497"/>
      <c r="RGY78" s="497"/>
      <c r="RGZ78" s="497"/>
      <c r="RHA78" s="497"/>
      <c r="RHB78" s="497"/>
      <c r="RHC78" s="497"/>
      <c r="RHD78" s="497"/>
      <c r="RHE78" s="497"/>
      <c r="RHF78" s="497"/>
      <c r="RHG78" s="497"/>
      <c r="RHH78" s="497"/>
      <c r="RHI78" s="497"/>
      <c r="RHJ78" s="497"/>
      <c r="RHK78" s="497"/>
      <c r="RHL78" s="497"/>
      <c r="RHM78" s="497"/>
      <c r="RHN78" s="497"/>
      <c r="RHO78" s="497"/>
      <c r="RHP78" s="497"/>
      <c r="RHQ78" s="497"/>
      <c r="RHR78" s="497"/>
      <c r="RHS78" s="497"/>
      <c r="RHT78" s="497"/>
      <c r="RHU78" s="497"/>
      <c r="RHV78" s="497"/>
      <c r="RHW78" s="497"/>
      <c r="RHX78" s="497"/>
      <c r="RHY78" s="497"/>
      <c r="RHZ78" s="497"/>
      <c r="RIA78" s="497"/>
      <c r="RIB78" s="497"/>
      <c r="RIC78" s="497"/>
      <c r="RID78" s="497"/>
      <c r="RIE78" s="497"/>
      <c r="RIF78" s="497"/>
      <c r="RIG78" s="497"/>
      <c r="RIH78" s="497"/>
      <c r="RII78" s="497"/>
      <c r="RIJ78" s="497"/>
      <c r="RIK78" s="497"/>
      <c r="RIL78" s="497"/>
      <c r="RIM78" s="497"/>
      <c r="RIN78" s="497"/>
      <c r="RIO78" s="497"/>
      <c r="RIP78" s="497"/>
      <c r="RIQ78" s="497"/>
      <c r="RIR78" s="497"/>
      <c r="RIS78" s="497"/>
      <c r="RIT78" s="497"/>
      <c r="RIU78" s="497"/>
      <c r="RIV78" s="497"/>
      <c r="RIW78" s="497"/>
      <c r="RIX78" s="497"/>
      <c r="RIY78" s="497"/>
      <c r="RIZ78" s="497"/>
      <c r="RJA78" s="497"/>
      <c r="RJB78" s="497"/>
      <c r="RJC78" s="497"/>
      <c r="RJD78" s="497"/>
      <c r="RJE78" s="497"/>
      <c r="RJF78" s="497"/>
      <c r="RJG78" s="497"/>
      <c r="RJH78" s="497"/>
      <c r="RJI78" s="497"/>
      <c r="RJJ78" s="497"/>
      <c r="RJK78" s="497"/>
      <c r="RJL78" s="497"/>
      <c r="RJM78" s="497"/>
      <c r="RJN78" s="497"/>
      <c r="RJO78" s="497"/>
      <c r="RJP78" s="497"/>
      <c r="RJQ78" s="497"/>
      <c r="RJR78" s="497"/>
      <c r="RJS78" s="497"/>
      <c r="RJT78" s="497"/>
      <c r="RJU78" s="497"/>
      <c r="RJV78" s="497"/>
      <c r="RJW78" s="497"/>
      <c r="RJX78" s="497"/>
      <c r="RJY78" s="497"/>
      <c r="RJZ78" s="497"/>
      <c r="RKA78" s="497"/>
      <c r="RKB78" s="497"/>
      <c r="RKC78" s="497"/>
      <c r="RKD78" s="497"/>
      <c r="RKE78" s="497"/>
      <c r="RKF78" s="497"/>
      <c r="RKG78" s="497"/>
      <c r="RKH78" s="497"/>
      <c r="RKI78" s="497"/>
      <c r="RKJ78" s="497"/>
      <c r="RKK78" s="497"/>
      <c r="RKL78" s="497"/>
      <c r="RKM78" s="497"/>
      <c r="RKN78" s="497"/>
      <c r="RKO78" s="497"/>
      <c r="RKP78" s="497"/>
      <c r="RKQ78" s="497"/>
      <c r="RKR78" s="497"/>
      <c r="RKS78" s="497"/>
      <c r="RKT78" s="497"/>
      <c r="RKU78" s="497"/>
      <c r="RKV78" s="497"/>
      <c r="RKW78" s="497"/>
      <c r="RKX78" s="497"/>
      <c r="RKY78" s="497"/>
      <c r="RKZ78" s="497"/>
      <c r="RLA78" s="497"/>
      <c r="RLB78" s="497"/>
      <c r="RLC78" s="497"/>
      <c r="RLD78" s="497"/>
      <c r="RLE78" s="497"/>
      <c r="RLF78" s="497"/>
      <c r="RLG78" s="497"/>
      <c r="RLH78" s="497"/>
      <c r="RLI78" s="497"/>
      <c r="RLJ78" s="497"/>
      <c r="RLK78" s="497"/>
      <c r="RLL78" s="497"/>
      <c r="RLM78" s="497"/>
      <c r="RLN78" s="497"/>
      <c r="RLO78" s="497"/>
      <c r="RLP78" s="497"/>
      <c r="RLQ78" s="497"/>
      <c r="RLR78" s="497"/>
      <c r="RLS78" s="497"/>
      <c r="RLT78" s="497"/>
      <c r="RLU78" s="497"/>
      <c r="RLV78" s="497"/>
      <c r="RLW78" s="497"/>
      <c r="RLX78" s="497"/>
      <c r="RLY78" s="497"/>
      <c r="RLZ78" s="497"/>
      <c r="RMA78" s="497"/>
      <c r="RMB78" s="497"/>
      <c r="RMC78" s="497"/>
      <c r="RMD78" s="497"/>
      <c r="RME78" s="497"/>
      <c r="RMF78" s="497"/>
      <c r="RMG78" s="497"/>
      <c r="RMH78" s="497"/>
      <c r="RMI78" s="497"/>
      <c r="RMJ78" s="497"/>
      <c r="RMK78" s="497"/>
      <c r="RML78" s="497"/>
      <c r="RMM78" s="497"/>
      <c r="RMN78" s="497"/>
      <c r="RMO78" s="497"/>
      <c r="RMP78" s="497"/>
      <c r="RMQ78" s="497"/>
      <c r="RMR78" s="497"/>
      <c r="RMS78" s="497"/>
      <c r="RMT78" s="497"/>
      <c r="RMU78" s="497"/>
      <c r="RMV78" s="497"/>
      <c r="RMW78" s="497"/>
      <c r="RMX78" s="497"/>
      <c r="RMY78" s="497"/>
      <c r="RMZ78" s="497"/>
      <c r="RNA78" s="497"/>
      <c r="RNB78" s="497"/>
      <c r="RNC78" s="497"/>
      <c r="RND78" s="497"/>
      <c r="RNE78" s="497"/>
      <c r="RNF78" s="497"/>
      <c r="RNG78" s="497"/>
      <c r="RNH78" s="497"/>
      <c r="RNI78" s="497"/>
      <c r="RNJ78" s="497"/>
      <c r="RNK78" s="497"/>
      <c r="RNL78" s="497"/>
      <c r="RNM78" s="497"/>
      <c r="RNN78" s="497"/>
      <c r="RNO78" s="497"/>
      <c r="RNP78" s="497"/>
      <c r="RNQ78" s="497"/>
      <c r="RNR78" s="497"/>
      <c r="RNS78" s="497"/>
      <c r="RNT78" s="497"/>
      <c r="RNU78" s="497"/>
      <c r="RNV78" s="497"/>
      <c r="RNW78" s="497"/>
      <c r="RNX78" s="497"/>
      <c r="RNY78" s="497"/>
      <c r="RNZ78" s="497"/>
      <c r="ROA78" s="497"/>
      <c r="ROB78" s="497"/>
      <c r="ROC78" s="497"/>
      <c r="ROD78" s="497"/>
      <c r="ROE78" s="497"/>
      <c r="ROF78" s="497"/>
      <c r="ROG78" s="497"/>
      <c r="ROH78" s="497"/>
      <c r="ROI78" s="497"/>
      <c r="ROJ78" s="497"/>
      <c r="ROK78" s="497"/>
      <c r="ROL78" s="497"/>
      <c r="ROM78" s="497"/>
      <c r="RON78" s="497"/>
      <c r="ROO78" s="497"/>
      <c r="ROP78" s="497"/>
      <c r="ROQ78" s="497"/>
      <c r="ROR78" s="497"/>
      <c r="ROS78" s="497"/>
      <c r="ROT78" s="497"/>
      <c r="ROU78" s="497"/>
      <c r="ROV78" s="497"/>
      <c r="ROW78" s="497"/>
      <c r="ROX78" s="497"/>
      <c r="ROY78" s="497"/>
      <c r="ROZ78" s="497"/>
      <c r="RPA78" s="497"/>
      <c r="RPB78" s="497"/>
      <c r="RPC78" s="497"/>
      <c r="RPD78" s="497"/>
      <c r="RPE78" s="497"/>
      <c r="RPF78" s="497"/>
      <c r="RPG78" s="497"/>
      <c r="RPH78" s="497"/>
      <c r="RPI78" s="497"/>
      <c r="RPJ78" s="497"/>
      <c r="RPK78" s="497"/>
      <c r="RPL78" s="497"/>
      <c r="RPM78" s="497"/>
      <c r="RPN78" s="497"/>
      <c r="RPO78" s="497"/>
      <c r="RPP78" s="497"/>
      <c r="RPQ78" s="497"/>
      <c r="RPR78" s="497"/>
      <c r="RPS78" s="497"/>
      <c r="RPT78" s="497"/>
      <c r="RPU78" s="497"/>
      <c r="RPV78" s="497"/>
      <c r="RPW78" s="497"/>
      <c r="RPX78" s="497"/>
      <c r="RPY78" s="497"/>
      <c r="RPZ78" s="497"/>
      <c r="RQA78" s="497"/>
      <c r="RQB78" s="497"/>
      <c r="RQC78" s="497"/>
      <c r="RQD78" s="497"/>
      <c r="RQE78" s="497"/>
      <c r="RQF78" s="497"/>
      <c r="RQG78" s="497"/>
      <c r="RQH78" s="497"/>
      <c r="RQI78" s="497"/>
      <c r="RQJ78" s="497"/>
      <c r="RQK78" s="497"/>
      <c r="RQL78" s="497"/>
      <c r="RQM78" s="497"/>
      <c r="RQN78" s="497"/>
      <c r="RQO78" s="497"/>
      <c r="RQP78" s="497"/>
      <c r="RQQ78" s="497"/>
      <c r="RQR78" s="497"/>
      <c r="RQS78" s="497"/>
      <c r="RQT78" s="497"/>
      <c r="RQU78" s="497"/>
      <c r="RQV78" s="497"/>
      <c r="RQW78" s="497"/>
      <c r="RQX78" s="497"/>
      <c r="RQY78" s="497"/>
      <c r="RQZ78" s="497"/>
      <c r="RRA78" s="497"/>
      <c r="RRB78" s="497"/>
      <c r="RRC78" s="497"/>
      <c r="RRD78" s="497"/>
      <c r="RRE78" s="497"/>
      <c r="RRF78" s="497"/>
      <c r="RRG78" s="497"/>
      <c r="RRH78" s="497"/>
      <c r="RRI78" s="497"/>
      <c r="RRJ78" s="497"/>
      <c r="RRK78" s="497"/>
      <c r="RRL78" s="497"/>
      <c r="RRM78" s="497"/>
      <c r="RRN78" s="497"/>
      <c r="RRO78" s="497"/>
      <c r="RRP78" s="497"/>
      <c r="RRQ78" s="497"/>
      <c r="RRR78" s="497"/>
      <c r="RRS78" s="497"/>
      <c r="RRT78" s="497"/>
      <c r="RRU78" s="497"/>
      <c r="RRV78" s="497"/>
      <c r="RRW78" s="497"/>
      <c r="RRX78" s="497"/>
      <c r="RRY78" s="497"/>
      <c r="RRZ78" s="497"/>
      <c r="RSA78" s="497"/>
      <c r="RSB78" s="497"/>
      <c r="RSC78" s="497"/>
      <c r="RSD78" s="497"/>
      <c r="RSE78" s="497"/>
      <c r="RSF78" s="497"/>
      <c r="RSG78" s="497"/>
      <c r="RSH78" s="497"/>
      <c r="RSI78" s="497"/>
      <c r="RSJ78" s="497"/>
      <c r="RSK78" s="497"/>
      <c r="RSL78" s="497"/>
      <c r="RSM78" s="497"/>
      <c r="RSN78" s="497"/>
      <c r="RSO78" s="497"/>
      <c r="RSP78" s="497"/>
      <c r="RSQ78" s="497"/>
      <c r="RSR78" s="497"/>
      <c r="RSS78" s="497"/>
      <c r="RST78" s="497"/>
      <c r="RSU78" s="497"/>
      <c r="RSV78" s="497"/>
      <c r="RSW78" s="497"/>
      <c r="RSX78" s="497"/>
      <c r="RSY78" s="497"/>
      <c r="RSZ78" s="497"/>
      <c r="RTA78" s="497"/>
      <c r="RTB78" s="497"/>
      <c r="RTC78" s="497"/>
      <c r="RTD78" s="497"/>
      <c r="RTE78" s="497"/>
      <c r="RTF78" s="497"/>
      <c r="RTG78" s="497"/>
      <c r="RTH78" s="497"/>
      <c r="RTI78" s="497"/>
      <c r="RTJ78" s="497"/>
      <c r="RTK78" s="497"/>
      <c r="RTL78" s="497"/>
      <c r="RTM78" s="497"/>
      <c r="RTN78" s="497"/>
      <c r="RTO78" s="497"/>
      <c r="RTP78" s="497"/>
      <c r="RTQ78" s="497"/>
      <c r="RTR78" s="497"/>
      <c r="RTS78" s="497"/>
      <c r="RTT78" s="497"/>
      <c r="RTU78" s="497"/>
      <c r="RTV78" s="497"/>
      <c r="RTW78" s="497"/>
      <c r="RTX78" s="497"/>
      <c r="RTY78" s="497"/>
      <c r="RTZ78" s="497"/>
      <c r="RUA78" s="497"/>
      <c r="RUB78" s="497"/>
      <c r="RUC78" s="497"/>
      <c r="RUD78" s="497"/>
      <c r="RUE78" s="497"/>
      <c r="RUF78" s="497"/>
      <c r="RUG78" s="497"/>
      <c r="RUH78" s="497"/>
      <c r="RUI78" s="497"/>
      <c r="RUJ78" s="497"/>
      <c r="RUK78" s="497"/>
      <c r="RUL78" s="497"/>
      <c r="RUM78" s="497"/>
      <c r="RUN78" s="497"/>
      <c r="RUO78" s="497"/>
      <c r="RUP78" s="497"/>
      <c r="RUQ78" s="497"/>
      <c r="RUR78" s="497"/>
      <c r="RUS78" s="497"/>
      <c r="RUT78" s="497"/>
      <c r="RUU78" s="497"/>
      <c r="RUV78" s="497"/>
      <c r="RUW78" s="497"/>
      <c r="RUX78" s="497"/>
      <c r="RUY78" s="497"/>
      <c r="RUZ78" s="497"/>
      <c r="RVA78" s="497"/>
      <c r="RVB78" s="497"/>
      <c r="RVC78" s="497"/>
      <c r="RVD78" s="497"/>
      <c r="RVE78" s="497"/>
      <c r="RVF78" s="497"/>
      <c r="RVG78" s="497"/>
      <c r="RVH78" s="497"/>
      <c r="RVI78" s="497"/>
      <c r="RVJ78" s="497"/>
      <c r="RVK78" s="497"/>
      <c r="RVL78" s="497"/>
      <c r="RVM78" s="497"/>
      <c r="RVN78" s="497"/>
      <c r="RVO78" s="497"/>
      <c r="RVP78" s="497"/>
      <c r="RVQ78" s="497"/>
      <c r="RVR78" s="497"/>
      <c r="RVS78" s="497"/>
      <c r="RVT78" s="497"/>
      <c r="RVU78" s="497"/>
      <c r="RVV78" s="497"/>
      <c r="RVW78" s="497"/>
      <c r="RVX78" s="497"/>
      <c r="RVY78" s="497"/>
      <c r="RVZ78" s="497"/>
      <c r="RWA78" s="497"/>
      <c r="RWB78" s="497"/>
      <c r="RWC78" s="497"/>
      <c r="RWD78" s="497"/>
      <c r="RWE78" s="497"/>
      <c r="RWF78" s="497"/>
      <c r="RWG78" s="497"/>
      <c r="RWH78" s="497"/>
      <c r="RWI78" s="497"/>
      <c r="RWJ78" s="497"/>
      <c r="RWK78" s="497"/>
      <c r="RWL78" s="497"/>
      <c r="RWM78" s="497"/>
      <c r="RWN78" s="497"/>
      <c r="RWO78" s="497"/>
      <c r="RWP78" s="497"/>
      <c r="RWQ78" s="497"/>
      <c r="RWR78" s="497"/>
      <c r="RWS78" s="497"/>
      <c r="RWT78" s="497"/>
      <c r="RWU78" s="497"/>
      <c r="RWV78" s="497"/>
      <c r="RWW78" s="497"/>
      <c r="RWX78" s="497"/>
      <c r="RWY78" s="497"/>
      <c r="RWZ78" s="497"/>
      <c r="RXA78" s="497"/>
      <c r="RXB78" s="497"/>
      <c r="RXC78" s="497"/>
      <c r="RXD78" s="497"/>
      <c r="RXE78" s="497"/>
      <c r="RXF78" s="497"/>
      <c r="RXG78" s="497"/>
      <c r="RXH78" s="497"/>
      <c r="RXI78" s="497"/>
      <c r="RXJ78" s="497"/>
      <c r="RXK78" s="497"/>
      <c r="RXL78" s="497"/>
      <c r="RXM78" s="497"/>
      <c r="RXN78" s="497"/>
      <c r="RXO78" s="497"/>
      <c r="RXP78" s="497"/>
      <c r="RXQ78" s="497"/>
      <c r="RXR78" s="497"/>
      <c r="RXS78" s="497"/>
      <c r="RXT78" s="497"/>
      <c r="RXU78" s="497"/>
      <c r="RXV78" s="497"/>
      <c r="RXW78" s="497"/>
      <c r="RXX78" s="497"/>
      <c r="RXY78" s="497"/>
      <c r="RXZ78" s="497"/>
      <c r="RYA78" s="497"/>
      <c r="RYB78" s="497"/>
      <c r="RYC78" s="497"/>
      <c r="RYD78" s="497"/>
      <c r="RYE78" s="497"/>
      <c r="RYF78" s="497"/>
      <c r="RYG78" s="497"/>
      <c r="RYH78" s="497"/>
      <c r="RYI78" s="497"/>
      <c r="RYJ78" s="497"/>
      <c r="RYK78" s="497"/>
      <c r="RYL78" s="497"/>
      <c r="RYM78" s="497"/>
      <c r="RYN78" s="497"/>
      <c r="RYO78" s="497"/>
      <c r="RYP78" s="497"/>
      <c r="RYQ78" s="497"/>
      <c r="RYR78" s="497"/>
      <c r="RYS78" s="497"/>
      <c r="RYT78" s="497"/>
      <c r="RYU78" s="497"/>
      <c r="RYV78" s="497"/>
      <c r="RYW78" s="497"/>
      <c r="RYX78" s="497"/>
      <c r="RYY78" s="497"/>
      <c r="RYZ78" s="497"/>
      <c r="RZA78" s="497"/>
      <c r="RZB78" s="497"/>
      <c r="RZC78" s="497"/>
      <c r="RZD78" s="497"/>
      <c r="RZE78" s="497"/>
      <c r="RZF78" s="497"/>
      <c r="RZG78" s="497"/>
      <c r="RZH78" s="497"/>
      <c r="RZI78" s="497"/>
      <c r="RZJ78" s="497"/>
      <c r="RZK78" s="497"/>
      <c r="RZL78" s="497"/>
      <c r="RZM78" s="497"/>
      <c r="RZN78" s="497"/>
      <c r="RZO78" s="497"/>
      <c r="RZP78" s="497"/>
      <c r="RZQ78" s="497"/>
      <c r="RZR78" s="497"/>
      <c r="RZS78" s="497"/>
      <c r="RZT78" s="497"/>
      <c r="RZU78" s="497"/>
      <c r="RZV78" s="497"/>
      <c r="RZW78" s="497"/>
      <c r="RZX78" s="497"/>
      <c r="RZY78" s="497"/>
      <c r="RZZ78" s="497"/>
      <c r="SAA78" s="497"/>
      <c r="SAB78" s="497"/>
      <c r="SAC78" s="497"/>
      <c r="SAD78" s="497"/>
      <c r="SAE78" s="497"/>
      <c r="SAF78" s="497"/>
      <c r="SAG78" s="497"/>
      <c r="SAH78" s="497"/>
      <c r="SAI78" s="497"/>
      <c r="SAJ78" s="497"/>
      <c r="SAK78" s="497"/>
      <c r="SAL78" s="497"/>
      <c r="SAM78" s="497"/>
      <c r="SAN78" s="497"/>
      <c r="SAO78" s="497"/>
      <c r="SAP78" s="497"/>
      <c r="SAQ78" s="497"/>
      <c r="SAR78" s="497"/>
      <c r="SAS78" s="497"/>
      <c r="SAT78" s="497"/>
      <c r="SAU78" s="497"/>
      <c r="SAV78" s="497"/>
      <c r="SAW78" s="497"/>
      <c r="SAX78" s="497"/>
      <c r="SAY78" s="497"/>
      <c r="SAZ78" s="497"/>
      <c r="SBA78" s="497"/>
      <c r="SBB78" s="497"/>
      <c r="SBC78" s="497"/>
      <c r="SBD78" s="497"/>
      <c r="SBE78" s="497"/>
      <c r="SBF78" s="497"/>
      <c r="SBG78" s="497"/>
      <c r="SBH78" s="497"/>
      <c r="SBI78" s="497"/>
      <c r="SBJ78" s="497"/>
      <c r="SBK78" s="497"/>
      <c r="SBL78" s="497"/>
      <c r="SBM78" s="497"/>
      <c r="SBN78" s="497"/>
      <c r="SBO78" s="497"/>
      <c r="SBP78" s="497"/>
      <c r="SBQ78" s="497"/>
      <c r="SBR78" s="497"/>
      <c r="SBS78" s="497"/>
      <c r="SBT78" s="497"/>
      <c r="SBU78" s="497"/>
      <c r="SBV78" s="497"/>
      <c r="SBW78" s="497"/>
      <c r="SBX78" s="497"/>
      <c r="SBY78" s="497"/>
      <c r="SBZ78" s="497"/>
      <c r="SCA78" s="497"/>
      <c r="SCB78" s="497"/>
      <c r="SCC78" s="497"/>
      <c r="SCD78" s="497"/>
      <c r="SCE78" s="497"/>
      <c r="SCF78" s="497"/>
      <c r="SCG78" s="497"/>
      <c r="SCH78" s="497"/>
      <c r="SCI78" s="497"/>
      <c r="SCJ78" s="497"/>
      <c r="SCK78" s="497"/>
      <c r="SCL78" s="497"/>
      <c r="SCM78" s="497"/>
      <c r="SCN78" s="497"/>
      <c r="SCO78" s="497"/>
      <c r="SCP78" s="497"/>
      <c r="SCQ78" s="497"/>
      <c r="SCR78" s="497"/>
      <c r="SCS78" s="497"/>
      <c r="SCT78" s="497"/>
      <c r="SCU78" s="497"/>
      <c r="SCV78" s="497"/>
      <c r="SCW78" s="497"/>
      <c r="SCX78" s="497"/>
      <c r="SCY78" s="497"/>
      <c r="SCZ78" s="497"/>
      <c r="SDA78" s="497"/>
      <c r="SDB78" s="497"/>
      <c r="SDC78" s="497"/>
      <c r="SDD78" s="497"/>
      <c r="SDE78" s="497"/>
      <c r="SDF78" s="497"/>
      <c r="SDG78" s="497"/>
      <c r="SDH78" s="497"/>
      <c r="SDI78" s="497"/>
      <c r="SDJ78" s="497"/>
      <c r="SDK78" s="497"/>
      <c r="SDL78" s="497"/>
      <c r="SDM78" s="497"/>
      <c r="SDN78" s="497"/>
      <c r="SDO78" s="497"/>
      <c r="SDP78" s="497"/>
      <c r="SDQ78" s="497"/>
      <c r="SDR78" s="497"/>
      <c r="SDS78" s="497"/>
      <c r="SDT78" s="497"/>
      <c r="SDU78" s="497"/>
      <c r="SDV78" s="497"/>
      <c r="SDW78" s="497"/>
      <c r="SDX78" s="497"/>
      <c r="SDY78" s="497"/>
      <c r="SDZ78" s="497"/>
      <c r="SEA78" s="497"/>
      <c r="SEB78" s="497"/>
      <c r="SEC78" s="497"/>
      <c r="SED78" s="497"/>
      <c r="SEE78" s="497"/>
      <c r="SEF78" s="497"/>
      <c r="SEG78" s="497"/>
      <c r="SEH78" s="497"/>
      <c r="SEI78" s="497"/>
      <c r="SEJ78" s="497"/>
      <c r="SEK78" s="497"/>
      <c r="SEL78" s="497"/>
      <c r="SEM78" s="497"/>
      <c r="SEN78" s="497"/>
      <c r="SEO78" s="497"/>
      <c r="SEP78" s="497"/>
      <c r="SEQ78" s="497"/>
      <c r="SER78" s="497"/>
      <c r="SES78" s="497"/>
      <c r="SET78" s="497"/>
      <c r="SEU78" s="497"/>
      <c r="SEV78" s="497"/>
      <c r="SEW78" s="497"/>
      <c r="SEX78" s="497"/>
      <c r="SEY78" s="497"/>
      <c r="SEZ78" s="497"/>
      <c r="SFA78" s="497"/>
      <c r="SFB78" s="497"/>
      <c r="SFC78" s="497"/>
      <c r="SFD78" s="497"/>
      <c r="SFE78" s="497"/>
      <c r="SFF78" s="497"/>
      <c r="SFG78" s="497"/>
      <c r="SFH78" s="497"/>
      <c r="SFI78" s="497"/>
      <c r="SFJ78" s="497"/>
      <c r="SFK78" s="497"/>
      <c r="SFL78" s="497"/>
      <c r="SFM78" s="497"/>
      <c r="SFN78" s="497"/>
      <c r="SFO78" s="497"/>
      <c r="SFP78" s="497"/>
      <c r="SFQ78" s="497"/>
      <c r="SFR78" s="497"/>
      <c r="SFS78" s="497"/>
      <c r="SFT78" s="497"/>
      <c r="SFU78" s="497"/>
      <c r="SFV78" s="497"/>
      <c r="SFW78" s="497"/>
      <c r="SFX78" s="497"/>
      <c r="SFY78" s="497"/>
      <c r="SFZ78" s="497"/>
      <c r="SGA78" s="497"/>
      <c r="SGB78" s="497"/>
      <c r="SGC78" s="497"/>
      <c r="SGD78" s="497"/>
      <c r="SGE78" s="497"/>
      <c r="SGF78" s="497"/>
      <c r="SGG78" s="497"/>
      <c r="SGH78" s="497"/>
      <c r="SGI78" s="497"/>
      <c r="SGJ78" s="497"/>
      <c r="SGK78" s="497"/>
      <c r="SGL78" s="497"/>
      <c r="SGM78" s="497"/>
      <c r="SGN78" s="497"/>
      <c r="SGO78" s="497"/>
      <c r="SGP78" s="497"/>
      <c r="SGQ78" s="497"/>
      <c r="SGR78" s="497"/>
      <c r="SGS78" s="497"/>
      <c r="SGT78" s="497"/>
      <c r="SGU78" s="497"/>
      <c r="SGV78" s="497"/>
      <c r="SGW78" s="497"/>
      <c r="SGX78" s="497"/>
      <c r="SGY78" s="497"/>
      <c r="SGZ78" s="497"/>
      <c r="SHA78" s="497"/>
      <c r="SHB78" s="497"/>
      <c r="SHC78" s="497"/>
      <c r="SHD78" s="497"/>
      <c r="SHE78" s="497"/>
      <c r="SHF78" s="497"/>
      <c r="SHG78" s="497"/>
      <c r="SHH78" s="497"/>
      <c r="SHI78" s="497"/>
      <c r="SHJ78" s="497"/>
      <c r="SHK78" s="497"/>
      <c r="SHL78" s="497"/>
      <c r="SHM78" s="497"/>
      <c r="SHN78" s="497"/>
      <c r="SHO78" s="497"/>
      <c r="SHP78" s="497"/>
      <c r="SHQ78" s="497"/>
      <c r="SHR78" s="497"/>
      <c r="SHS78" s="497"/>
      <c r="SHT78" s="497"/>
      <c r="SHU78" s="497"/>
      <c r="SHV78" s="497"/>
      <c r="SHW78" s="497"/>
      <c r="SHX78" s="497"/>
      <c r="SHY78" s="497"/>
      <c r="SHZ78" s="497"/>
      <c r="SIA78" s="497"/>
      <c r="SIB78" s="497"/>
      <c r="SIC78" s="497"/>
      <c r="SID78" s="497"/>
      <c r="SIE78" s="497"/>
      <c r="SIF78" s="497"/>
      <c r="SIG78" s="497"/>
      <c r="SIH78" s="497"/>
      <c r="SII78" s="497"/>
      <c r="SIJ78" s="497"/>
      <c r="SIK78" s="497"/>
      <c r="SIL78" s="497"/>
      <c r="SIM78" s="497"/>
      <c r="SIN78" s="497"/>
      <c r="SIO78" s="497"/>
      <c r="SIP78" s="497"/>
      <c r="SIQ78" s="497"/>
      <c r="SIR78" s="497"/>
      <c r="SIS78" s="497"/>
      <c r="SIT78" s="497"/>
      <c r="SIU78" s="497"/>
      <c r="SIV78" s="497"/>
      <c r="SIW78" s="497"/>
      <c r="SIX78" s="497"/>
      <c r="SIY78" s="497"/>
      <c r="SIZ78" s="497"/>
      <c r="SJA78" s="497"/>
      <c r="SJB78" s="497"/>
      <c r="SJC78" s="497"/>
      <c r="SJD78" s="497"/>
      <c r="SJE78" s="497"/>
      <c r="SJF78" s="497"/>
      <c r="SJG78" s="497"/>
      <c r="SJH78" s="497"/>
      <c r="SJI78" s="497"/>
      <c r="SJJ78" s="497"/>
      <c r="SJK78" s="497"/>
      <c r="SJL78" s="497"/>
      <c r="SJM78" s="497"/>
      <c r="SJN78" s="497"/>
      <c r="SJO78" s="497"/>
      <c r="SJP78" s="497"/>
      <c r="SJQ78" s="497"/>
      <c r="SJR78" s="497"/>
      <c r="SJS78" s="497"/>
      <c r="SJT78" s="497"/>
      <c r="SJU78" s="497"/>
      <c r="SJV78" s="497"/>
      <c r="SJW78" s="497"/>
      <c r="SJX78" s="497"/>
      <c r="SJY78" s="497"/>
      <c r="SJZ78" s="497"/>
      <c r="SKA78" s="497"/>
      <c r="SKB78" s="497"/>
      <c r="SKC78" s="497"/>
      <c r="SKD78" s="497"/>
      <c r="SKE78" s="497"/>
      <c r="SKF78" s="497"/>
      <c r="SKG78" s="497"/>
      <c r="SKH78" s="497"/>
      <c r="SKI78" s="497"/>
      <c r="SKJ78" s="497"/>
      <c r="SKK78" s="497"/>
      <c r="SKL78" s="497"/>
      <c r="SKM78" s="497"/>
      <c r="SKN78" s="497"/>
      <c r="SKO78" s="497"/>
      <c r="SKP78" s="497"/>
      <c r="SKQ78" s="497"/>
      <c r="SKR78" s="497"/>
      <c r="SKS78" s="497"/>
      <c r="SKT78" s="497"/>
      <c r="SKU78" s="497"/>
      <c r="SKV78" s="497"/>
      <c r="SKW78" s="497"/>
      <c r="SKX78" s="497"/>
      <c r="SKY78" s="497"/>
      <c r="SKZ78" s="497"/>
      <c r="SLA78" s="497"/>
      <c r="SLB78" s="497"/>
      <c r="SLC78" s="497"/>
      <c r="SLD78" s="497"/>
      <c r="SLE78" s="497"/>
      <c r="SLF78" s="497"/>
      <c r="SLG78" s="497"/>
      <c r="SLH78" s="497"/>
      <c r="SLI78" s="497"/>
      <c r="SLJ78" s="497"/>
      <c r="SLK78" s="497"/>
      <c r="SLL78" s="497"/>
      <c r="SLM78" s="497"/>
      <c r="SLN78" s="497"/>
      <c r="SLO78" s="497"/>
      <c r="SLP78" s="497"/>
      <c r="SLQ78" s="497"/>
      <c r="SLR78" s="497"/>
      <c r="SLS78" s="497"/>
      <c r="SLT78" s="497"/>
      <c r="SLU78" s="497"/>
      <c r="SLV78" s="497"/>
      <c r="SLW78" s="497"/>
      <c r="SLX78" s="497"/>
      <c r="SLY78" s="497"/>
      <c r="SLZ78" s="497"/>
      <c r="SMA78" s="497"/>
      <c r="SMB78" s="497"/>
      <c r="SMC78" s="497"/>
      <c r="SMD78" s="497"/>
      <c r="SME78" s="497"/>
      <c r="SMF78" s="497"/>
      <c r="SMG78" s="497"/>
      <c r="SMH78" s="497"/>
      <c r="SMI78" s="497"/>
      <c r="SMJ78" s="497"/>
      <c r="SMK78" s="497"/>
      <c r="SML78" s="497"/>
      <c r="SMM78" s="497"/>
      <c r="SMN78" s="497"/>
      <c r="SMO78" s="497"/>
      <c r="SMP78" s="497"/>
      <c r="SMQ78" s="497"/>
      <c r="SMR78" s="497"/>
      <c r="SMS78" s="497"/>
      <c r="SMT78" s="497"/>
      <c r="SMU78" s="497"/>
      <c r="SMV78" s="497"/>
      <c r="SMW78" s="497"/>
      <c r="SMX78" s="497"/>
      <c r="SMY78" s="497"/>
      <c r="SMZ78" s="497"/>
      <c r="SNA78" s="497"/>
      <c r="SNB78" s="497"/>
      <c r="SNC78" s="497"/>
      <c r="SND78" s="497"/>
      <c r="SNE78" s="497"/>
      <c r="SNF78" s="497"/>
      <c r="SNG78" s="497"/>
      <c r="SNH78" s="497"/>
      <c r="SNI78" s="497"/>
      <c r="SNJ78" s="497"/>
      <c r="SNK78" s="497"/>
      <c r="SNL78" s="497"/>
      <c r="SNM78" s="497"/>
      <c r="SNN78" s="497"/>
      <c r="SNO78" s="497"/>
      <c r="SNP78" s="497"/>
      <c r="SNQ78" s="497"/>
      <c r="SNR78" s="497"/>
      <c r="SNS78" s="497"/>
      <c r="SNT78" s="497"/>
      <c r="SNU78" s="497"/>
      <c r="SNV78" s="497"/>
      <c r="SNW78" s="497"/>
      <c r="SNX78" s="497"/>
      <c r="SNY78" s="497"/>
      <c r="SNZ78" s="497"/>
      <c r="SOA78" s="497"/>
      <c r="SOB78" s="497"/>
      <c r="SOC78" s="497"/>
      <c r="SOD78" s="497"/>
      <c r="SOE78" s="497"/>
      <c r="SOF78" s="497"/>
      <c r="SOG78" s="497"/>
      <c r="SOH78" s="497"/>
      <c r="SOI78" s="497"/>
      <c r="SOJ78" s="497"/>
      <c r="SOK78" s="497"/>
      <c r="SOL78" s="497"/>
      <c r="SOM78" s="497"/>
      <c r="SON78" s="497"/>
      <c r="SOO78" s="497"/>
      <c r="SOP78" s="497"/>
      <c r="SOQ78" s="497"/>
      <c r="SOR78" s="497"/>
      <c r="SOS78" s="497"/>
      <c r="SOT78" s="497"/>
      <c r="SOU78" s="497"/>
      <c r="SOV78" s="497"/>
      <c r="SOW78" s="497"/>
      <c r="SOX78" s="497"/>
      <c r="SOY78" s="497"/>
      <c r="SOZ78" s="497"/>
      <c r="SPA78" s="497"/>
      <c r="SPB78" s="497"/>
      <c r="SPC78" s="497"/>
      <c r="SPD78" s="497"/>
      <c r="SPE78" s="497"/>
      <c r="SPF78" s="497"/>
      <c r="SPG78" s="497"/>
      <c r="SPH78" s="497"/>
      <c r="SPI78" s="497"/>
      <c r="SPJ78" s="497"/>
      <c r="SPK78" s="497"/>
      <c r="SPL78" s="497"/>
      <c r="SPM78" s="497"/>
      <c r="SPN78" s="497"/>
      <c r="SPO78" s="497"/>
      <c r="SPP78" s="497"/>
      <c r="SPQ78" s="497"/>
      <c r="SPR78" s="497"/>
      <c r="SPS78" s="497"/>
      <c r="SPT78" s="497"/>
      <c r="SPU78" s="497"/>
      <c r="SPV78" s="497"/>
      <c r="SPW78" s="497"/>
      <c r="SPX78" s="497"/>
      <c r="SPY78" s="497"/>
      <c r="SPZ78" s="497"/>
      <c r="SQA78" s="497"/>
      <c r="SQB78" s="497"/>
      <c r="SQC78" s="497"/>
      <c r="SQD78" s="497"/>
      <c r="SQE78" s="497"/>
      <c r="SQF78" s="497"/>
      <c r="SQG78" s="497"/>
      <c r="SQH78" s="497"/>
      <c r="SQI78" s="497"/>
      <c r="SQJ78" s="497"/>
      <c r="SQK78" s="497"/>
      <c r="SQL78" s="497"/>
      <c r="SQM78" s="497"/>
      <c r="SQN78" s="497"/>
      <c r="SQO78" s="497"/>
      <c r="SQP78" s="497"/>
      <c r="SQQ78" s="497"/>
      <c r="SQR78" s="497"/>
      <c r="SQS78" s="497"/>
      <c r="SQT78" s="497"/>
      <c r="SQU78" s="497"/>
      <c r="SQV78" s="497"/>
      <c r="SQW78" s="497"/>
      <c r="SQX78" s="497"/>
      <c r="SQY78" s="497"/>
      <c r="SQZ78" s="497"/>
      <c r="SRA78" s="497"/>
      <c r="SRB78" s="497"/>
      <c r="SRC78" s="497"/>
      <c r="SRD78" s="497"/>
      <c r="SRE78" s="497"/>
      <c r="SRF78" s="497"/>
      <c r="SRG78" s="497"/>
      <c r="SRH78" s="497"/>
      <c r="SRI78" s="497"/>
      <c r="SRJ78" s="497"/>
      <c r="SRK78" s="497"/>
      <c r="SRL78" s="497"/>
      <c r="SRM78" s="497"/>
      <c r="SRN78" s="497"/>
      <c r="SRO78" s="497"/>
      <c r="SRP78" s="497"/>
      <c r="SRQ78" s="497"/>
      <c r="SRR78" s="497"/>
      <c r="SRS78" s="497"/>
      <c r="SRT78" s="497"/>
      <c r="SRU78" s="497"/>
      <c r="SRV78" s="497"/>
      <c r="SRW78" s="497"/>
      <c r="SRX78" s="497"/>
      <c r="SRY78" s="497"/>
      <c r="SRZ78" s="497"/>
      <c r="SSA78" s="497"/>
      <c r="SSB78" s="497"/>
      <c r="SSC78" s="497"/>
      <c r="SSD78" s="497"/>
      <c r="SSE78" s="497"/>
      <c r="SSF78" s="497"/>
      <c r="SSG78" s="497"/>
      <c r="SSH78" s="497"/>
      <c r="SSI78" s="497"/>
      <c r="SSJ78" s="497"/>
      <c r="SSK78" s="497"/>
      <c r="SSL78" s="497"/>
      <c r="SSM78" s="497"/>
      <c r="SSN78" s="497"/>
      <c r="SSO78" s="497"/>
      <c r="SSP78" s="497"/>
      <c r="SSQ78" s="497"/>
      <c r="SSR78" s="497"/>
      <c r="SSS78" s="497"/>
      <c r="SST78" s="497"/>
      <c r="SSU78" s="497"/>
      <c r="SSV78" s="497"/>
      <c r="SSW78" s="497"/>
      <c r="SSX78" s="497"/>
      <c r="SSY78" s="497"/>
      <c r="SSZ78" s="497"/>
      <c r="STA78" s="497"/>
      <c r="STB78" s="497"/>
      <c r="STC78" s="497"/>
      <c r="STD78" s="497"/>
      <c r="STE78" s="497"/>
      <c r="STF78" s="497"/>
      <c r="STG78" s="497"/>
      <c r="STH78" s="497"/>
      <c r="STI78" s="497"/>
      <c r="STJ78" s="497"/>
      <c r="STK78" s="497"/>
      <c r="STL78" s="497"/>
      <c r="STM78" s="497"/>
      <c r="STN78" s="497"/>
      <c r="STO78" s="497"/>
      <c r="STP78" s="497"/>
      <c r="STQ78" s="497"/>
      <c r="STR78" s="497"/>
      <c r="STS78" s="497"/>
      <c r="STT78" s="497"/>
      <c r="STU78" s="497"/>
      <c r="STV78" s="497"/>
      <c r="STW78" s="497"/>
      <c r="STX78" s="497"/>
      <c r="STY78" s="497"/>
      <c r="STZ78" s="497"/>
      <c r="SUA78" s="497"/>
      <c r="SUB78" s="497"/>
      <c r="SUC78" s="497"/>
      <c r="SUD78" s="497"/>
      <c r="SUE78" s="497"/>
      <c r="SUF78" s="497"/>
      <c r="SUG78" s="497"/>
      <c r="SUH78" s="497"/>
      <c r="SUI78" s="497"/>
      <c r="SUJ78" s="497"/>
      <c r="SUK78" s="497"/>
      <c r="SUL78" s="497"/>
      <c r="SUM78" s="497"/>
      <c r="SUN78" s="497"/>
      <c r="SUO78" s="497"/>
      <c r="SUP78" s="497"/>
      <c r="SUQ78" s="497"/>
      <c r="SUR78" s="497"/>
      <c r="SUS78" s="497"/>
      <c r="SUT78" s="497"/>
      <c r="SUU78" s="497"/>
      <c r="SUV78" s="497"/>
      <c r="SUW78" s="497"/>
      <c r="SUX78" s="497"/>
      <c r="SUY78" s="497"/>
      <c r="SUZ78" s="497"/>
      <c r="SVA78" s="497"/>
      <c r="SVB78" s="497"/>
      <c r="SVC78" s="497"/>
      <c r="SVD78" s="497"/>
      <c r="SVE78" s="497"/>
      <c r="SVF78" s="497"/>
      <c r="SVG78" s="497"/>
      <c r="SVH78" s="497"/>
      <c r="SVI78" s="497"/>
      <c r="SVJ78" s="497"/>
      <c r="SVK78" s="497"/>
      <c r="SVL78" s="497"/>
      <c r="SVM78" s="497"/>
      <c r="SVN78" s="497"/>
      <c r="SVO78" s="497"/>
      <c r="SVP78" s="497"/>
      <c r="SVQ78" s="497"/>
      <c r="SVR78" s="497"/>
      <c r="SVS78" s="497"/>
      <c r="SVT78" s="497"/>
      <c r="SVU78" s="497"/>
      <c r="SVV78" s="497"/>
      <c r="SVW78" s="497"/>
      <c r="SVX78" s="497"/>
      <c r="SVY78" s="497"/>
      <c r="SVZ78" s="497"/>
      <c r="SWA78" s="497"/>
      <c r="SWB78" s="497"/>
      <c r="SWC78" s="497"/>
      <c r="SWD78" s="497"/>
      <c r="SWE78" s="497"/>
      <c r="SWF78" s="497"/>
      <c r="SWG78" s="497"/>
      <c r="SWH78" s="497"/>
      <c r="SWI78" s="497"/>
      <c r="SWJ78" s="497"/>
      <c r="SWK78" s="497"/>
      <c r="SWL78" s="497"/>
      <c r="SWM78" s="497"/>
      <c r="SWN78" s="497"/>
      <c r="SWO78" s="497"/>
      <c r="SWP78" s="497"/>
      <c r="SWQ78" s="497"/>
      <c r="SWR78" s="497"/>
      <c r="SWS78" s="497"/>
      <c r="SWT78" s="497"/>
      <c r="SWU78" s="497"/>
      <c r="SWV78" s="497"/>
      <c r="SWW78" s="497"/>
      <c r="SWX78" s="497"/>
      <c r="SWY78" s="497"/>
      <c r="SWZ78" s="497"/>
      <c r="SXA78" s="497"/>
      <c r="SXB78" s="497"/>
      <c r="SXC78" s="497"/>
      <c r="SXD78" s="497"/>
      <c r="SXE78" s="497"/>
      <c r="SXF78" s="497"/>
      <c r="SXG78" s="497"/>
      <c r="SXH78" s="497"/>
      <c r="SXI78" s="497"/>
      <c r="SXJ78" s="497"/>
      <c r="SXK78" s="497"/>
      <c r="SXL78" s="497"/>
      <c r="SXM78" s="497"/>
      <c r="SXN78" s="497"/>
      <c r="SXO78" s="497"/>
      <c r="SXP78" s="497"/>
      <c r="SXQ78" s="497"/>
      <c r="SXR78" s="497"/>
      <c r="SXS78" s="497"/>
      <c r="SXT78" s="497"/>
      <c r="SXU78" s="497"/>
      <c r="SXV78" s="497"/>
      <c r="SXW78" s="497"/>
      <c r="SXX78" s="497"/>
      <c r="SXY78" s="497"/>
      <c r="SXZ78" s="497"/>
      <c r="SYA78" s="497"/>
      <c r="SYB78" s="497"/>
      <c r="SYC78" s="497"/>
      <c r="SYD78" s="497"/>
      <c r="SYE78" s="497"/>
      <c r="SYF78" s="497"/>
      <c r="SYG78" s="497"/>
      <c r="SYH78" s="497"/>
      <c r="SYI78" s="497"/>
      <c r="SYJ78" s="497"/>
      <c r="SYK78" s="497"/>
      <c r="SYL78" s="497"/>
      <c r="SYM78" s="497"/>
      <c r="SYN78" s="497"/>
      <c r="SYO78" s="497"/>
      <c r="SYP78" s="497"/>
      <c r="SYQ78" s="497"/>
      <c r="SYR78" s="497"/>
      <c r="SYS78" s="497"/>
      <c r="SYT78" s="497"/>
      <c r="SYU78" s="497"/>
      <c r="SYV78" s="497"/>
      <c r="SYW78" s="497"/>
      <c r="SYX78" s="497"/>
      <c r="SYY78" s="497"/>
      <c r="SYZ78" s="497"/>
      <c r="SZA78" s="497"/>
      <c r="SZB78" s="497"/>
      <c r="SZC78" s="497"/>
      <c r="SZD78" s="497"/>
      <c r="SZE78" s="497"/>
      <c r="SZF78" s="497"/>
      <c r="SZG78" s="497"/>
      <c r="SZH78" s="497"/>
      <c r="SZI78" s="497"/>
      <c r="SZJ78" s="497"/>
      <c r="SZK78" s="497"/>
      <c r="SZL78" s="497"/>
      <c r="SZM78" s="497"/>
      <c r="SZN78" s="497"/>
      <c r="SZO78" s="497"/>
      <c r="SZP78" s="497"/>
      <c r="SZQ78" s="497"/>
      <c r="SZR78" s="497"/>
      <c r="SZS78" s="497"/>
      <c r="SZT78" s="497"/>
      <c r="SZU78" s="497"/>
      <c r="SZV78" s="497"/>
      <c r="SZW78" s="497"/>
      <c r="SZX78" s="497"/>
      <c r="SZY78" s="497"/>
      <c r="SZZ78" s="497"/>
      <c r="TAA78" s="497"/>
      <c r="TAB78" s="497"/>
      <c r="TAC78" s="497"/>
      <c r="TAD78" s="497"/>
      <c r="TAE78" s="497"/>
      <c r="TAF78" s="497"/>
      <c r="TAG78" s="497"/>
      <c r="TAH78" s="497"/>
      <c r="TAI78" s="497"/>
      <c r="TAJ78" s="497"/>
      <c r="TAK78" s="497"/>
      <c r="TAL78" s="497"/>
      <c r="TAM78" s="497"/>
      <c r="TAN78" s="497"/>
      <c r="TAO78" s="497"/>
      <c r="TAP78" s="497"/>
      <c r="TAQ78" s="497"/>
      <c r="TAR78" s="497"/>
      <c r="TAS78" s="497"/>
      <c r="TAT78" s="497"/>
      <c r="TAU78" s="497"/>
      <c r="TAV78" s="497"/>
      <c r="TAW78" s="497"/>
      <c r="TAX78" s="497"/>
      <c r="TAY78" s="497"/>
      <c r="TAZ78" s="497"/>
      <c r="TBA78" s="497"/>
      <c r="TBB78" s="497"/>
      <c r="TBC78" s="497"/>
      <c r="TBD78" s="497"/>
      <c r="TBE78" s="497"/>
      <c r="TBF78" s="497"/>
      <c r="TBG78" s="497"/>
      <c r="TBH78" s="497"/>
      <c r="TBI78" s="497"/>
      <c r="TBJ78" s="497"/>
      <c r="TBK78" s="497"/>
      <c r="TBL78" s="497"/>
      <c r="TBM78" s="497"/>
      <c r="TBN78" s="497"/>
      <c r="TBO78" s="497"/>
      <c r="TBP78" s="497"/>
      <c r="TBQ78" s="497"/>
      <c r="TBR78" s="497"/>
      <c r="TBS78" s="497"/>
      <c r="TBT78" s="497"/>
      <c r="TBU78" s="497"/>
      <c r="TBV78" s="497"/>
      <c r="TBW78" s="497"/>
      <c r="TBX78" s="497"/>
      <c r="TBY78" s="497"/>
      <c r="TBZ78" s="497"/>
      <c r="TCA78" s="497"/>
      <c r="TCB78" s="497"/>
      <c r="TCC78" s="497"/>
      <c r="TCD78" s="497"/>
      <c r="TCE78" s="497"/>
      <c r="TCF78" s="497"/>
      <c r="TCG78" s="497"/>
      <c r="TCH78" s="497"/>
      <c r="TCI78" s="497"/>
      <c r="TCJ78" s="497"/>
      <c r="TCK78" s="497"/>
      <c r="TCL78" s="497"/>
      <c r="TCM78" s="497"/>
      <c r="TCN78" s="497"/>
      <c r="TCO78" s="497"/>
      <c r="TCP78" s="497"/>
      <c r="TCQ78" s="497"/>
      <c r="TCR78" s="497"/>
      <c r="TCS78" s="497"/>
      <c r="TCT78" s="497"/>
      <c r="TCU78" s="497"/>
      <c r="TCV78" s="497"/>
      <c r="TCW78" s="497"/>
      <c r="TCX78" s="497"/>
      <c r="TCY78" s="497"/>
      <c r="TCZ78" s="497"/>
      <c r="TDA78" s="497"/>
      <c r="TDB78" s="497"/>
      <c r="TDC78" s="497"/>
      <c r="TDD78" s="497"/>
      <c r="TDE78" s="497"/>
      <c r="TDF78" s="497"/>
      <c r="TDG78" s="497"/>
      <c r="TDH78" s="497"/>
      <c r="TDI78" s="497"/>
      <c r="TDJ78" s="497"/>
      <c r="TDK78" s="497"/>
      <c r="TDL78" s="497"/>
      <c r="TDM78" s="497"/>
      <c r="TDN78" s="497"/>
      <c r="TDO78" s="497"/>
      <c r="TDP78" s="497"/>
      <c r="TDQ78" s="497"/>
      <c r="TDR78" s="497"/>
      <c r="TDS78" s="497"/>
      <c r="TDT78" s="497"/>
      <c r="TDU78" s="497"/>
      <c r="TDV78" s="497"/>
      <c r="TDW78" s="497"/>
      <c r="TDX78" s="497"/>
      <c r="TDY78" s="497"/>
      <c r="TDZ78" s="497"/>
      <c r="TEA78" s="497"/>
      <c r="TEB78" s="497"/>
      <c r="TEC78" s="497"/>
      <c r="TED78" s="497"/>
      <c r="TEE78" s="497"/>
      <c r="TEF78" s="497"/>
      <c r="TEG78" s="497"/>
      <c r="TEH78" s="497"/>
      <c r="TEI78" s="497"/>
      <c r="TEJ78" s="497"/>
      <c r="TEK78" s="497"/>
      <c r="TEL78" s="497"/>
      <c r="TEM78" s="497"/>
      <c r="TEN78" s="497"/>
      <c r="TEO78" s="497"/>
      <c r="TEP78" s="497"/>
      <c r="TEQ78" s="497"/>
      <c r="TER78" s="497"/>
      <c r="TES78" s="497"/>
      <c r="TET78" s="497"/>
      <c r="TEU78" s="497"/>
      <c r="TEV78" s="497"/>
      <c r="TEW78" s="497"/>
      <c r="TEX78" s="497"/>
      <c r="TEY78" s="497"/>
      <c r="TEZ78" s="497"/>
      <c r="TFA78" s="497"/>
      <c r="TFB78" s="497"/>
      <c r="TFC78" s="497"/>
      <c r="TFD78" s="497"/>
      <c r="TFE78" s="497"/>
      <c r="TFF78" s="497"/>
      <c r="TFG78" s="497"/>
      <c r="TFH78" s="497"/>
      <c r="TFI78" s="497"/>
      <c r="TFJ78" s="497"/>
      <c r="TFK78" s="497"/>
      <c r="TFL78" s="497"/>
      <c r="TFM78" s="497"/>
      <c r="TFN78" s="497"/>
      <c r="TFO78" s="497"/>
      <c r="TFP78" s="497"/>
      <c r="TFQ78" s="497"/>
      <c r="TFR78" s="497"/>
      <c r="TFS78" s="497"/>
      <c r="TFT78" s="497"/>
      <c r="TFU78" s="497"/>
      <c r="TFV78" s="497"/>
      <c r="TFW78" s="497"/>
      <c r="TFX78" s="497"/>
      <c r="TFY78" s="497"/>
      <c r="TFZ78" s="497"/>
      <c r="TGA78" s="497"/>
      <c r="TGB78" s="497"/>
      <c r="TGC78" s="497"/>
      <c r="TGD78" s="497"/>
      <c r="TGE78" s="497"/>
      <c r="TGF78" s="497"/>
      <c r="TGG78" s="497"/>
      <c r="TGH78" s="497"/>
      <c r="TGI78" s="497"/>
      <c r="TGJ78" s="497"/>
      <c r="TGK78" s="497"/>
      <c r="TGL78" s="497"/>
      <c r="TGM78" s="497"/>
      <c r="TGN78" s="497"/>
      <c r="TGO78" s="497"/>
      <c r="TGP78" s="497"/>
      <c r="TGQ78" s="497"/>
      <c r="TGR78" s="497"/>
      <c r="TGS78" s="497"/>
      <c r="TGT78" s="497"/>
      <c r="TGU78" s="497"/>
      <c r="TGV78" s="497"/>
      <c r="TGW78" s="497"/>
      <c r="TGX78" s="497"/>
      <c r="TGY78" s="497"/>
      <c r="TGZ78" s="497"/>
      <c r="THA78" s="497"/>
      <c r="THB78" s="497"/>
      <c r="THC78" s="497"/>
      <c r="THD78" s="497"/>
      <c r="THE78" s="497"/>
      <c r="THF78" s="497"/>
      <c r="THG78" s="497"/>
      <c r="THH78" s="497"/>
      <c r="THI78" s="497"/>
      <c r="THJ78" s="497"/>
      <c r="THK78" s="497"/>
      <c r="THL78" s="497"/>
      <c r="THM78" s="497"/>
      <c r="THN78" s="497"/>
      <c r="THO78" s="497"/>
      <c r="THP78" s="497"/>
      <c r="THQ78" s="497"/>
      <c r="THR78" s="497"/>
      <c r="THS78" s="497"/>
      <c r="THT78" s="497"/>
      <c r="THU78" s="497"/>
      <c r="THV78" s="497"/>
      <c r="THW78" s="497"/>
      <c r="THX78" s="497"/>
      <c r="THY78" s="497"/>
      <c r="THZ78" s="497"/>
      <c r="TIA78" s="497"/>
      <c r="TIB78" s="497"/>
      <c r="TIC78" s="497"/>
      <c r="TID78" s="497"/>
      <c r="TIE78" s="497"/>
      <c r="TIF78" s="497"/>
      <c r="TIG78" s="497"/>
      <c r="TIH78" s="497"/>
      <c r="TII78" s="497"/>
      <c r="TIJ78" s="497"/>
      <c r="TIK78" s="497"/>
      <c r="TIL78" s="497"/>
      <c r="TIM78" s="497"/>
      <c r="TIN78" s="497"/>
      <c r="TIO78" s="497"/>
      <c r="TIP78" s="497"/>
      <c r="TIQ78" s="497"/>
      <c r="TIR78" s="497"/>
      <c r="TIS78" s="497"/>
      <c r="TIT78" s="497"/>
      <c r="TIU78" s="497"/>
      <c r="TIV78" s="497"/>
      <c r="TIW78" s="497"/>
      <c r="TIX78" s="497"/>
      <c r="TIY78" s="497"/>
      <c r="TIZ78" s="497"/>
      <c r="TJA78" s="497"/>
      <c r="TJB78" s="497"/>
      <c r="TJC78" s="497"/>
      <c r="TJD78" s="497"/>
      <c r="TJE78" s="497"/>
      <c r="TJF78" s="497"/>
      <c r="TJG78" s="497"/>
      <c r="TJH78" s="497"/>
      <c r="TJI78" s="497"/>
      <c r="TJJ78" s="497"/>
      <c r="TJK78" s="497"/>
      <c r="TJL78" s="497"/>
      <c r="TJM78" s="497"/>
      <c r="TJN78" s="497"/>
      <c r="TJO78" s="497"/>
      <c r="TJP78" s="497"/>
      <c r="TJQ78" s="497"/>
      <c r="TJR78" s="497"/>
      <c r="TJS78" s="497"/>
      <c r="TJT78" s="497"/>
      <c r="TJU78" s="497"/>
      <c r="TJV78" s="497"/>
      <c r="TJW78" s="497"/>
      <c r="TJX78" s="497"/>
      <c r="TJY78" s="497"/>
      <c r="TJZ78" s="497"/>
      <c r="TKA78" s="497"/>
      <c r="TKB78" s="497"/>
      <c r="TKC78" s="497"/>
      <c r="TKD78" s="497"/>
      <c r="TKE78" s="497"/>
      <c r="TKF78" s="497"/>
      <c r="TKG78" s="497"/>
      <c r="TKH78" s="497"/>
      <c r="TKI78" s="497"/>
      <c r="TKJ78" s="497"/>
      <c r="TKK78" s="497"/>
      <c r="TKL78" s="497"/>
      <c r="TKM78" s="497"/>
      <c r="TKN78" s="497"/>
      <c r="TKO78" s="497"/>
      <c r="TKP78" s="497"/>
      <c r="TKQ78" s="497"/>
      <c r="TKR78" s="497"/>
      <c r="TKS78" s="497"/>
      <c r="TKT78" s="497"/>
      <c r="TKU78" s="497"/>
      <c r="TKV78" s="497"/>
      <c r="TKW78" s="497"/>
      <c r="TKX78" s="497"/>
      <c r="TKY78" s="497"/>
      <c r="TKZ78" s="497"/>
      <c r="TLA78" s="497"/>
      <c r="TLB78" s="497"/>
      <c r="TLC78" s="497"/>
      <c r="TLD78" s="497"/>
      <c r="TLE78" s="497"/>
      <c r="TLF78" s="497"/>
      <c r="TLG78" s="497"/>
      <c r="TLH78" s="497"/>
      <c r="TLI78" s="497"/>
      <c r="TLJ78" s="497"/>
      <c r="TLK78" s="497"/>
      <c r="TLL78" s="497"/>
      <c r="TLM78" s="497"/>
      <c r="TLN78" s="497"/>
      <c r="TLO78" s="497"/>
      <c r="TLP78" s="497"/>
      <c r="TLQ78" s="497"/>
      <c r="TLR78" s="497"/>
      <c r="TLS78" s="497"/>
      <c r="TLT78" s="497"/>
      <c r="TLU78" s="497"/>
      <c r="TLV78" s="497"/>
      <c r="TLW78" s="497"/>
      <c r="TLX78" s="497"/>
      <c r="TLY78" s="497"/>
      <c r="TLZ78" s="497"/>
      <c r="TMA78" s="497"/>
      <c r="TMB78" s="497"/>
      <c r="TMC78" s="497"/>
      <c r="TMD78" s="497"/>
      <c r="TME78" s="497"/>
      <c r="TMF78" s="497"/>
      <c r="TMG78" s="497"/>
      <c r="TMH78" s="497"/>
      <c r="TMI78" s="497"/>
      <c r="TMJ78" s="497"/>
      <c r="TMK78" s="497"/>
      <c r="TML78" s="497"/>
      <c r="TMM78" s="497"/>
      <c r="TMN78" s="497"/>
      <c r="TMO78" s="497"/>
      <c r="TMP78" s="497"/>
      <c r="TMQ78" s="497"/>
      <c r="TMR78" s="497"/>
      <c r="TMS78" s="497"/>
      <c r="TMT78" s="497"/>
      <c r="TMU78" s="497"/>
      <c r="TMV78" s="497"/>
      <c r="TMW78" s="497"/>
      <c r="TMX78" s="497"/>
      <c r="TMY78" s="497"/>
      <c r="TMZ78" s="497"/>
      <c r="TNA78" s="497"/>
      <c r="TNB78" s="497"/>
      <c r="TNC78" s="497"/>
      <c r="TND78" s="497"/>
      <c r="TNE78" s="497"/>
      <c r="TNF78" s="497"/>
      <c r="TNG78" s="497"/>
      <c r="TNH78" s="497"/>
      <c r="TNI78" s="497"/>
      <c r="TNJ78" s="497"/>
      <c r="TNK78" s="497"/>
      <c r="TNL78" s="497"/>
      <c r="TNM78" s="497"/>
      <c r="TNN78" s="497"/>
      <c r="TNO78" s="497"/>
      <c r="TNP78" s="497"/>
      <c r="TNQ78" s="497"/>
      <c r="TNR78" s="497"/>
      <c r="TNS78" s="497"/>
      <c r="TNT78" s="497"/>
      <c r="TNU78" s="497"/>
      <c r="TNV78" s="497"/>
      <c r="TNW78" s="497"/>
      <c r="TNX78" s="497"/>
      <c r="TNY78" s="497"/>
      <c r="TNZ78" s="497"/>
      <c r="TOA78" s="497"/>
      <c r="TOB78" s="497"/>
      <c r="TOC78" s="497"/>
      <c r="TOD78" s="497"/>
      <c r="TOE78" s="497"/>
      <c r="TOF78" s="497"/>
      <c r="TOG78" s="497"/>
      <c r="TOH78" s="497"/>
      <c r="TOI78" s="497"/>
      <c r="TOJ78" s="497"/>
      <c r="TOK78" s="497"/>
      <c r="TOL78" s="497"/>
      <c r="TOM78" s="497"/>
      <c r="TON78" s="497"/>
      <c r="TOO78" s="497"/>
      <c r="TOP78" s="497"/>
      <c r="TOQ78" s="497"/>
      <c r="TOR78" s="497"/>
      <c r="TOS78" s="497"/>
      <c r="TOT78" s="497"/>
      <c r="TOU78" s="497"/>
      <c r="TOV78" s="497"/>
      <c r="TOW78" s="497"/>
      <c r="TOX78" s="497"/>
      <c r="TOY78" s="497"/>
      <c r="TOZ78" s="497"/>
      <c r="TPA78" s="497"/>
      <c r="TPB78" s="497"/>
      <c r="TPC78" s="497"/>
      <c r="TPD78" s="497"/>
      <c r="TPE78" s="497"/>
      <c r="TPF78" s="497"/>
      <c r="TPG78" s="497"/>
      <c r="TPH78" s="497"/>
      <c r="TPI78" s="497"/>
      <c r="TPJ78" s="497"/>
      <c r="TPK78" s="497"/>
      <c r="TPL78" s="497"/>
      <c r="TPM78" s="497"/>
      <c r="TPN78" s="497"/>
      <c r="TPO78" s="497"/>
      <c r="TPP78" s="497"/>
      <c r="TPQ78" s="497"/>
      <c r="TPR78" s="497"/>
      <c r="TPS78" s="497"/>
      <c r="TPT78" s="497"/>
      <c r="TPU78" s="497"/>
      <c r="TPV78" s="497"/>
      <c r="TPW78" s="497"/>
      <c r="TPX78" s="497"/>
      <c r="TPY78" s="497"/>
      <c r="TPZ78" s="497"/>
      <c r="TQA78" s="497"/>
      <c r="TQB78" s="497"/>
      <c r="TQC78" s="497"/>
      <c r="TQD78" s="497"/>
      <c r="TQE78" s="497"/>
      <c r="TQF78" s="497"/>
      <c r="TQG78" s="497"/>
      <c r="TQH78" s="497"/>
      <c r="TQI78" s="497"/>
      <c r="TQJ78" s="497"/>
      <c r="TQK78" s="497"/>
      <c r="TQL78" s="497"/>
      <c r="TQM78" s="497"/>
      <c r="TQN78" s="497"/>
      <c r="TQO78" s="497"/>
      <c r="TQP78" s="497"/>
      <c r="TQQ78" s="497"/>
      <c r="TQR78" s="497"/>
      <c r="TQS78" s="497"/>
      <c r="TQT78" s="497"/>
      <c r="TQU78" s="497"/>
      <c r="TQV78" s="497"/>
      <c r="TQW78" s="497"/>
      <c r="TQX78" s="497"/>
      <c r="TQY78" s="497"/>
      <c r="TQZ78" s="497"/>
      <c r="TRA78" s="497"/>
      <c r="TRB78" s="497"/>
      <c r="TRC78" s="497"/>
      <c r="TRD78" s="497"/>
      <c r="TRE78" s="497"/>
      <c r="TRF78" s="497"/>
      <c r="TRG78" s="497"/>
      <c r="TRH78" s="497"/>
      <c r="TRI78" s="497"/>
      <c r="TRJ78" s="497"/>
      <c r="TRK78" s="497"/>
      <c r="TRL78" s="497"/>
      <c r="TRM78" s="497"/>
      <c r="TRN78" s="497"/>
      <c r="TRO78" s="497"/>
      <c r="TRP78" s="497"/>
      <c r="TRQ78" s="497"/>
      <c r="TRR78" s="497"/>
      <c r="TRS78" s="497"/>
      <c r="TRT78" s="497"/>
      <c r="TRU78" s="497"/>
      <c r="TRV78" s="497"/>
      <c r="TRW78" s="497"/>
      <c r="TRX78" s="497"/>
      <c r="TRY78" s="497"/>
      <c r="TRZ78" s="497"/>
      <c r="TSA78" s="497"/>
      <c r="TSB78" s="497"/>
      <c r="TSC78" s="497"/>
      <c r="TSD78" s="497"/>
      <c r="TSE78" s="497"/>
      <c r="TSF78" s="497"/>
      <c r="TSG78" s="497"/>
      <c r="TSH78" s="497"/>
      <c r="TSI78" s="497"/>
      <c r="TSJ78" s="497"/>
      <c r="TSK78" s="497"/>
      <c r="TSL78" s="497"/>
      <c r="TSM78" s="497"/>
      <c r="TSN78" s="497"/>
      <c r="TSO78" s="497"/>
      <c r="TSP78" s="497"/>
      <c r="TSQ78" s="497"/>
      <c r="TSR78" s="497"/>
      <c r="TSS78" s="497"/>
      <c r="TST78" s="497"/>
      <c r="TSU78" s="497"/>
      <c r="TSV78" s="497"/>
      <c r="TSW78" s="497"/>
      <c r="TSX78" s="497"/>
      <c r="TSY78" s="497"/>
      <c r="TSZ78" s="497"/>
      <c r="TTA78" s="497"/>
      <c r="TTB78" s="497"/>
      <c r="TTC78" s="497"/>
      <c r="TTD78" s="497"/>
      <c r="TTE78" s="497"/>
      <c r="TTF78" s="497"/>
      <c r="TTG78" s="497"/>
      <c r="TTH78" s="497"/>
      <c r="TTI78" s="497"/>
      <c r="TTJ78" s="497"/>
      <c r="TTK78" s="497"/>
      <c r="TTL78" s="497"/>
      <c r="TTM78" s="497"/>
      <c r="TTN78" s="497"/>
      <c r="TTO78" s="497"/>
      <c r="TTP78" s="497"/>
      <c r="TTQ78" s="497"/>
      <c r="TTR78" s="497"/>
      <c r="TTS78" s="497"/>
      <c r="TTT78" s="497"/>
      <c r="TTU78" s="497"/>
      <c r="TTV78" s="497"/>
      <c r="TTW78" s="497"/>
      <c r="TTX78" s="497"/>
      <c r="TTY78" s="497"/>
      <c r="TTZ78" s="497"/>
      <c r="TUA78" s="497"/>
      <c r="TUB78" s="497"/>
      <c r="TUC78" s="497"/>
      <c r="TUD78" s="497"/>
      <c r="TUE78" s="497"/>
      <c r="TUF78" s="497"/>
      <c r="TUG78" s="497"/>
      <c r="TUH78" s="497"/>
      <c r="TUI78" s="497"/>
      <c r="TUJ78" s="497"/>
      <c r="TUK78" s="497"/>
      <c r="TUL78" s="497"/>
      <c r="TUM78" s="497"/>
      <c r="TUN78" s="497"/>
      <c r="TUO78" s="497"/>
      <c r="TUP78" s="497"/>
      <c r="TUQ78" s="497"/>
      <c r="TUR78" s="497"/>
      <c r="TUS78" s="497"/>
      <c r="TUT78" s="497"/>
      <c r="TUU78" s="497"/>
      <c r="TUV78" s="497"/>
      <c r="TUW78" s="497"/>
      <c r="TUX78" s="497"/>
      <c r="TUY78" s="497"/>
      <c r="TUZ78" s="497"/>
      <c r="TVA78" s="497"/>
      <c r="TVB78" s="497"/>
      <c r="TVC78" s="497"/>
      <c r="TVD78" s="497"/>
      <c r="TVE78" s="497"/>
      <c r="TVF78" s="497"/>
      <c r="TVG78" s="497"/>
      <c r="TVH78" s="497"/>
      <c r="TVI78" s="497"/>
      <c r="TVJ78" s="497"/>
      <c r="TVK78" s="497"/>
      <c r="TVL78" s="497"/>
      <c r="TVM78" s="497"/>
      <c r="TVN78" s="497"/>
      <c r="TVO78" s="497"/>
      <c r="TVP78" s="497"/>
      <c r="TVQ78" s="497"/>
      <c r="TVR78" s="497"/>
      <c r="TVS78" s="497"/>
      <c r="TVT78" s="497"/>
      <c r="TVU78" s="497"/>
      <c r="TVV78" s="497"/>
      <c r="TVW78" s="497"/>
      <c r="TVX78" s="497"/>
      <c r="TVY78" s="497"/>
      <c r="TVZ78" s="497"/>
      <c r="TWA78" s="497"/>
      <c r="TWB78" s="497"/>
      <c r="TWC78" s="497"/>
      <c r="TWD78" s="497"/>
      <c r="TWE78" s="497"/>
      <c r="TWF78" s="497"/>
      <c r="TWG78" s="497"/>
      <c r="TWH78" s="497"/>
      <c r="TWI78" s="497"/>
      <c r="TWJ78" s="497"/>
      <c r="TWK78" s="497"/>
      <c r="TWL78" s="497"/>
      <c r="TWM78" s="497"/>
      <c r="TWN78" s="497"/>
      <c r="TWO78" s="497"/>
      <c r="TWP78" s="497"/>
      <c r="TWQ78" s="497"/>
      <c r="TWR78" s="497"/>
      <c r="TWS78" s="497"/>
      <c r="TWT78" s="497"/>
      <c r="TWU78" s="497"/>
      <c r="TWV78" s="497"/>
      <c r="TWW78" s="497"/>
      <c r="TWX78" s="497"/>
      <c r="TWY78" s="497"/>
      <c r="TWZ78" s="497"/>
      <c r="TXA78" s="497"/>
      <c r="TXB78" s="497"/>
      <c r="TXC78" s="497"/>
      <c r="TXD78" s="497"/>
      <c r="TXE78" s="497"/>
      <c r="TXF78" s="497"/>
      <c r="TXG78" s="497"/>
      <c r="TXH78" s="497"/>
      <c r="TXI78" s="497"/>
      <c r="TXJ78" s="497"/>
      <c r="TXK78" s="497"/>
      <c r="TXL78" s="497"/>
      <c r="TXM78" s="497"/>
      <c r="TXN78" s="497"/>
      <c r="TXO78" s="497"/>
      <c r="TXP78" s="497"/>
      <c r="TXQ78" s="497"/>
      <c r="TXR78" s="497"/>
      <c r="TXS78" s="497"/>
      <c r="TXT78" s="497"/>
      <c r="TXU78" s="497"/>
      <c r="TXV78" s="497"/>
      <c r="TXW78" s="497"/>
      <c r="TXX78" s="497"/>
      <c r="TXY78" s="497"/>
      <c r="TXZ78" s="497"/>
      <c r="TYA78" s="497"/>
      <c r="TYB78" s="497"/>
      <c r="TYC78" s="497"/>
      <c r="TYD78" s="497"/>
      <c r="TYE78" s="497"/>
      <c r="TYF78" s="497"/>
      <c r="TYG78" s="497"/>
      <c r="TYH78" s="497"/>
      <c r="TYI78" s="497"/>
      <c r="TYJ78" s="497"/>
      <c r="TYK78" s="497"/>
      <c r="TYL78" s="497"/>
      <c r="TYM78" s="497"/>
      <c r="TYN78" s="497"/>
      <c r="TYO78" s="497"/>
      <c r="TYP78" s="497"/>
      <c r="TYQ78" s="497"/>
      <c r="TYR78" s="497"/>
      <c r="TYS78" s="497"/>
      <c r="TYT78" s="497"/>
      <c r="TYU78" s="497"/>
      <c r="TYV78" s="497"/>
      <c r="TYW78" s="497"/>
      <c r="TYX78" s="497"/>
      <c r="TYY78" s="497"/>
      <c r="TYZ78" s="497"/>
      <c r="TZA78" s="497"/>
      <c r="TZB78" s="497"/>
      <c r="TZC78" s="497"/>
      <c r="TZD78" s="497"/>
      <c r="TZE78" s="497"/>
      <c r="TZF78" s="497"/>
      <c r="TZG78" s="497"/>
      <c r="TZH78" s="497"/>
      <c r="TZI78" s="497"/>
      <c r="TZJ78" s="497"/>
      <c r="TZK78" s="497"/>
      <c r="TZL78" s="497"/>
      <c r="TZM78" s="497"/>
      <c r="TZN78" s="497"/>
      <c r="TZO78" s="497"/>
      <c r="TZP78" s="497"/>
      <c r="TZQ78" s="497"/>
      <c r="TZR78" s="497"/>
      <c r="TZS78" s="497"/>
      <c r="TZT78" s="497"/>
      <c r="TZU78" s="497"/>
      <c r="TZV78" s="497"/>
      <c r="TZW78" s="497"/>
      <c r="TZX78" s="497"/>
      <c r="TZY78" s="497"/>
      <c r="TZZ78" s="497"/>
      <c r="UAA78" s="497"/>
      <c r="UAB78" s="497"/>
      <c r="UAC78" s="497"/>
      <c r="UAD78" s="497"/>
      <c r="UAE78" s="497"/>
      <c r="UAF78" s="497"/>
      <c r="UAG78" s="497"/>
      <c r="UAH78" s="497"/>
      <c r="UAI78" s="497"/>
      <c r="UAJ78" s="497"/>
      <c r="UAK78" s="497"/>
      <c r="UAL78" s="497"/>
      <c r="UAM78" s="497"/>
      <c r="UAN78" s="497"/>
      <c r="UAO78" s="497"/>
      <c r="UAP78" s="497"/>
      <c r="UAQ78" s="497"/>
      <c r="UAR78" s="497"/>
      <c r="UAS78" s="497"/>
      <c r="UAT78" s="497"/>
      <c r="UAU78" s="497"/>
      <c r="UAV78" s="497"/>
      <c r="UAW78" s="497"/>
      <c r="UAX78" s="497"/>
      <c r="UAY78" s="497"/>
      <c r="UAZ78" s="497"/>
      <c r="UBA78" s="497"/>
      <c r="UBB78" s="497"/>
      <c r="UBC78" s="497"/>
      <c r="UBD78" s="497"/>
      <c r="UBE78" s="497"/>
      <c r="UBF78" s="497"/>
      <c r="UBG78" s="497"/>
      <c r="UBH78" s="497"/>
      <c r="UBI78" s="497"/>
      <c r="UBJ78" s="497"/>
      <c r="UBK78" s="497"/>
      <c r="UBL78" s="497"/>
      <c r="UBM78" s="497"/>
      <c r="UBN78" s="497"/>
      <c r="UBO78" s="497"/>
      <c r="UBP78" s="497"/>
      <c r="UBQ78" s="497"/>
      <c r="UBR78" s="497"/>
      <c r="UBS78" s="497"/>
      <c r="UBT78" s="497"/>
      <c r="UBU78" s="497"/>
      <c r="UBV78" s="497"/>
      <c r="UBW78" s="497"/>
      <c r="UBX78" s="497"/>
      <c r="UBY78" s="497"/>
      <c r="UBZ78" s="497"/>
      <c r="UCA78" s="497"/>
      <c r="UCB78" s="497"/>
      <c r="UCC78" s="497"/>
      <c r="UCD78" s="497"/>
      <c r="UCE78" s="497"/>
      <c r="UCF78" s="497"/>
      <c r="UCG78" s="497"/>
      <c r="UCH78" s="497"/>
      <c r="UCI78" s="497"/>
      <c r="UCJ78" s="497"/>
      <c r="UCK78" s="497"/>
      <c r="UCL78" s="497"/>
      <c r="UCM78" s="497"/>
      <c r="UCN78" s="497"/>
      <c r="UCO78" s="497"/>
      <c r="UCP78" s="497"/>
      <c r="UCQ78" s="497"/>
      <c r="UCR78" s="497"/>
      <c r="UCS78" s="497"/>
      <c r="UCT78" s="497"/>
      <c r="UCU78" s="497"/>
      <c r="UCV78" s="497"/>
      <c r="UCW78" s="497"/>
      <c r="UCX78" s="497"/>
      <c r="UCY78" s="497"/>
      <c r="UCZ78" s="497"/>
      <c r="UDA78" s="497"/>
      <c r="UDB78" s="497"/>
      <c r="UDC78" s="497"/>
      <c r="UDD78" s="497"/>
      <c r="UDE78" s="497"/>
      <c r="UDF78" s="497"/>
      <c r="UDG78" s="497"/>
      <c r="UDH78" s="497"/>
      <c r="UDI78" s="497"/>
      <c r="UDJ78" s="497"/>
      <c r="UDK78" s="497"/>
      <c r="UDL78" s="497"/>
      <c r="UDM78" s="497"/>
      <c r="UDN78" s="497"/>
      <c r="UDO78" s="497"/>
      <c r="UDP78" s="497"/>
      <c r="UDQ78" s="497"/>
      <c r="UDR78" s="497"/>
      <c r="UDS78" s="497"/>
      <c r="UDT78" s="497"/>
      <c r="UDU78" s="497"/>
      <c r="UDV78" s="497"/>
      <c r="UDW78" s="497"/>
      <c r="UDX78" s="497"/>
      <c r="UDY78" s="497"/>
      <c r="UDZ78" s="497"/>
      <c r="UEA78" s="497"/>
      <c r="UEB78" s="497"/>
      <c r="UEC78" s="497"/>
      <c r="UED78" s="497"/>
      <c r="UEE78" s="497"/>
      <c r="UEF78" s="497"/>
      <c r="UEG78" s="497"/>
      <c r="UEH78" s="497"/>
      <c r="UEI78" s="497"/>
      <c r="UEJ78" s="497"/>
      <c r="UEK78" s="497"/>
      <c r="UEL78" s="497"/>
      <c r="UEM78" s="497"/>
      <c r="UEN78" s="497"/>
      <c r="UEO78" s="497"/>
      <c r="UEP78" s="497"/>
      <c r="UEQ78" s="497"/>
      <c r="UER78" s="497"/>
      <c r="UES78" s="497"/>
      <c r="UET78" s="497"/>
      <c r="UEU78" s="497"/>
      <c r="UEV78" s="497"/>
      <c r="UEW78" s="497"/>
      <c r="UEX78" s="497"/>
      <c r="UEY78" s="497"/>
      <c r="UEZ78" s="497"/>
      <c r="UFA78" s="497"/>
      <c r="UFB78" s="497"/>
      <c r="UFC78" s="497"/>
      <c r="UFD78" s="497"/>
      <c r="UFE78" s="497"/>
      <c r="UFF78" s="497"/>
      <c r="UFG78" s="497"/>
      <c r="UFH78" s="497"/>
      <c r="UFI78" s="497"/>
      <c r="UFJ78" s="497"/>
      <c r="UFK78" s="497"/>
      <c r="UFL78" s="497"/>
      <c r="UFM78" s="497"/>
      <c r="UFN78" s="497"/>
      <c r="UFO78" s="497"/>
      <c r="UFP78" s="497"/>
      <c r="UFQ78" s="497"/>
      <c r="UFR78" s="497"/>
      <c r="UFS78" s="497"/>
      <c r="UFT78" s="497"/>
      <c r="UFU78" s="497"/>
      <c r="UFV78" s="497"/>
      <c r="UFW78" s="497"/>
      <c r="UFX78" s="497"/>
      <c r="UFY78" s="497"/>
      <c r="UFZ78" s="497"/>
      <c r="UGA78" s="497"/>
      <c r="UGB78" s="497"/>
      <c r="UGC78" s="497"/>
      <c r="UGD78" s="497"/>
      <c r="UGE78" s="497"/>
      <c r="UGF78" s="497"/>
      <c r="UGG78" s="497"/>
      <c r="UGH78" s="497"/>
      <c r="UGI78" s="497"/>
      <c r="UGJ78" s="497"/>
      <c r="UGK78" s="497"/>
      <c r="UGL78" s="497"/>
      <c r="UGM78" s="497"/>
      <c r="UGN78" s="497"/>
      <c r="UGO78" s="497"/>
      <c r="UGP78" s="497"/>
      <c r="UGQ78" s="497"/>
      <c r="UGR78" s="497"/>
      <c r="UGS78" s="497"/>
      <c r="UGT78" s="497"/>
      <c r="UGU78" s="497"/>
      <c r="UGV78" s="497"/>
      <c r="UGW78" s="497"/>
      <c r="UGX78" s="497"/>
      <c r="UGY78" s="497"/>
      <c r="UGZ78" s="497"/>
      <c r="UHA78" s="497"/>
      <c r="UHB78" s="497"/>
      <c r="UHC78" s="497"/>
      <c r="UHD78" s="497"/>
      <c r="UHE78" s="497"/>
      <c r="UHF78" s="497"/>
      <c r="UHG78" s="497"/>
      <c r="UHH78" s="497"/>
      <c r="UHI78" s="497"/>
      <c r="UHJ78" s="497"/>
      <c r="UHK78" s="497"/>
      <c r="UHL78" s="497"/>
      <c r="UHM78" s="497"/>
      <c r="UHN78" s="497"/>
      <c r="UHO78" s="497"/>
      <c r="UHP78" s="497"/>
      <c r="UHQ78" s="497"/>
      <c r="UHR78" s="497"/>
      <c r="UHS78" s="497"/>
      <c r="UHT78" s="497"/>
      <c r="UHU78" s="497"/>
      <c r="UHV78" s="497"/>
      <c r="UHW78" s="497"/>
      <c r="UHX78" s="497"/>
      <c r="UHY78" s="497"/>
      <c r="UHZ78" s="497"/>
      <c r="UIA78" s="497"/>
      <c r="UIB78" s="497"/>
      <c r="UIC78" s="497"/>
      <c r="UID78" s="497"/>
      <c r="UIE78" s="497"/>
      <c r="UIF78" s="497"/>
      <c r="UIG78" s="497"/>
      <c r="UIH78" s="497"/>
      <c r="UII78" s="497"/>
      <c r="UIJ78" s="497"/>
      <c r="UIK78" s="497"/>
      <c r="UIL78" s="497"/>
      <c r="UIM78" s="497"/>
      <c r="UIN78" s="497"/>
      <c r="UIO78" s="497"/>
      <c r="UIP78" s="497"/>
      <c r="UIQ78" s="497"/>
      <c r="UIR78" s="497"/>
      <c r="UIS78" s="497"/>
      <c r="UIT78" s="497"/>
      <c r="UIU78" s="497"/>
      <c r="UIV78" s="497"/>
      <c r="UIW78" s="497"/>
      <c r="UIX78" s="497"/>
      <c r="UIY78" s="497"/>
      <c r="UIZ78" s="497"/>
      <c r="UJA78" s="497"/>
      <c r="UJB78" s="497"/>
      <c r="UJC78" s="497"/>
      <c r="UJD78" s="497"/>
      <c r="UJE78" s="497"/>
      <c r="UJF78" s="497"/>
      <c r="UJG78" s="497"/>
      <c r="UJH78" s="497"/>
      <c r="UJI78" s="497"/>
      <c r="UJJ78" s="497"/>
      <c r="UJK78" s="497"/>
      <c r="UJL78" s="497"/>
      <c r="UJM78" s="497"/>
      <c r="UJN78" s="497"/>
      <c r="UJO78" s="497"/>
      <c r="UJP78" s="497"/>
      <c r="UJQ78" s="497"/>
      <c r="UJR78" s="497"/>
      <c r="UJS78" s="497"/>
      <c r="UJT78" s="497"/>
      <c r="UJU78" s="497"/>
      <c r="UJV78" s="497"/>
      <c r="UJW78" s="497"/>
      <c r="UJX78" s="497"/>
      <c r="UJY78" s="497"/>
      <c r="UJZ78" s="497"/>
      <c r="UKA78" s="497"/>
      <c r="UKB78" s="497"/>
      <c r="UKC78" s="497"/>
      <c r="UKD78" s="497"/>
      <c r="UKE78" s="497"/>
      <c r="UKF78" s="497"/>
      <c r="UKG78" s="497"/>
      <c r="UKH78" s="497"/>
      <c r="UKI78" s="497"/>
      <c r="UKJ78" s="497"/>
      <c r="UKK78" s="497"/>
      <c r="UKL78" s="497"/>
      <c r="UKM78" s="497"/>
      <c r="UKN78" s="497"/>
      <c r="UKO78" s="497"/>
      <c r="UKP78" s="497"/>
      <c r="UKQ78" s="497"/>
      <c r="UKR78" s="497"/>
      <c r="UKS78" s="497"/>
      <c r="UKT78" s="497"/>
      <c r="UKU78" s="497"/>
      <c r="UKV78" s="497"/>
      <c r="UKW78" s="497"/>
      <c r="UKX78" s="497"/>
      <c r="UKY78" s="497"/>
      <c r="UKZ78" s="497"/>
      <c r="ULA78" s="497"/>
      <c r="ULB78" s="497"/>
      <c r="ULC78" s="497"/>
      <c r="ULD78" s="497"/>
      <c r="ULE78" s="497"/>
      <c r="ULF78" s="497"/>
      <c r="ULG78" s="497"/>
      <c r="ULH78" s="497"/>
      <c r="ULI78" s="497"/>
      <c r="ULJ78" s="497"/>
      <c r="ULK78" s="497"/>
      <c r="ULL78" s="497"/>
      <c r="ULM78" s="497"/>
      <c r="ULN78" s="497"/>
      <c r="ULO78" s="497"/>
      <c r="ULP78" s="497"/>
      <c r="ULQ78" s="497"/>
      <c r="ULR78" s="497"/>
      <c r="ULS78" s="497"/>
      <c r="ULT78" s="497"/>
      <c r="ULU78" s="497"/>
      <c r="ULV78" s="497"/>
      <c r="ULW78" s="497"/>
      <c r="ULX78" s="497"/>
      <c r="ULY78" s="497"/>
      <c r="ULZ78" s="497"/>
      <c r="UMA78" s="497"/>
      <c r="UMB78" s="497"/>
      <c r="UMC78" s="497"/>
      <c r="UMD78" s="497"/>
      <c r="UME78" s="497"/>
      <c r="UMF78" s="497"/>
      <c r="UMG78" s="497"/>
      <c r="UMH78" s="497"/>
      <c r="UMI78" s="497"/>
      <c r="UMJ78" s="497"/>
      <c r="UMK78" s="497"/>
      <c r="UML78" s="497"/>
      <c r="UMM78" s="497"/>
      <c r="UMN78" s="497"/>
      <c r="UMO78" s="497"/>
      <c r="UMP78" s="497"/>
      <c r="UMQ78" s="497"/>
      <c r="UMR78" s="497"/>
      <c r="UMS78" s="497"/>
      <c r="UMT78" s="497"/>
      <c r="UMU78" s="497"/>
      <c r="UMV78" s="497"/>
      <c r="UMW78" s="497"/>
      <c r="UMX78" s="497"/>
      <c r="UMY78" s="497"/>
      <c r="UMZ78" s="497"/>
      <c r="UNA78" s="497"/>
      <c r="UNB78" s="497"/>
      <c r="UNC78" s="497"/>
      <c r="UND78" s="497"/>
      <c r="UNE78" s="497"/>
      <c r="UNF78" s="497"/>
      <c r="UNG78" s="497"/>
      <c r="UNH78" s="497"/>
      <c r="UNI78" s="497"/>
      <c r="UNJ78" s="497"/>
      <c r="UNK78" s="497"/>
      <c r="UNL78" s="497"/>
      <c r="UNM78" s="497"/>
      <c r="UNN78" s="497"/>
      <c r="UNO78" s="497"/>
      <c r="UNP78" s="497"/>
      <c r="UNQ78" s="497"/>
      <c r="UNR78" s="497"/>
      <c r="UNS78" s="497"/>
      <c r="UNT78" s="497"/>
      <c r="UNU78" s="497"/>
      <c r="UNV78" s="497"/>
      <c r="UNW78" s="497"/>
      <c r="UNX78" s="497"/>
      <c r="UNY78" s="497"/>
      <c r="UNZ78" s="497"/>
      <c r="UOA78" s="497"/>
      <c r="UOB78" s="497"/>
      <c r="UOC78" s="497"/>
      <c r="UOD78" s="497"/>
      <c r="UOE78" s="497"/>
      <c r="UOF78" s="497"/>
      <c r="UOG78" s="497"/>
      <c r="UOH78" s="497"/>
      <c r="UOI78" s="497"/>
      <c r="UOJ78" s="497"/>
      <c r="UOK78" s="497"/>
      <c r="UOL78" s="497"/>
      <c r="UOM78" s="497"/>
      <c r="UON78" s="497"/>
      <c r="UOO78" s="497"/>
      <c r="UOP78" s="497"/>
      <c r="UOQ78" s="497"/>
      <c r="UOR78" s="497"/>
      <c r="UOS78" s="497"/>
      <c r="UOT78" s="497"/>
      <c r="UOU78" s="497"/>
      <c r="UOV78" s="497"/>
      <c r="UOW78" s="497"/>
      <c r="UOX78" s="497"/>
      <c r="UOY78" s="497"/>
      <c r="UOZ78" s="497"/>
      <c r="UPA78" s="497"/>
      <c r="UPB78" s="497"/>
      <c r="UPC78" s="497"/>
      <c r="UPD78" s="497"/>
      <c r="UPE78" s="497"/>
      <c r="UPF78" s="497"/>
      <c r="UPG78" s="497"/>
      <c r="UPH78" s="497"/>
      <c r="UPI78" s="497"/>
      <c r="UPJ78" s="497"/>
      <c r="UPK78" s="497"/>
      <c r="UPL78" s="497"/>
      <c r="UPM78" s="497"/>
      <c r="UPN78" s="497"/>
      <c r="UPO78" s="497"/>
      <c r="UPP78" s="497"/>
      <c r="UPQ78" s="497"/>
      <c r="UPR78" s="497"/>
      <c r="UPS78" s="497"/>
      <c r="UPT78" s="497"/>
      <c r="UPU78" s="497"/>
      <c r="UPV78" s="497"/>
      <c r="UPW78" s="497"/>
      <c r="UPX78" s="497"/>
      <c r="UPY78" s="497"/>
      <c r="UPZ78" s="497"/>
      <c r="UQA78" s="497"/>
      <c r="UQB78" s="497"/>
      <c r="UQC78" s="497"/>
      <c r="UQD78" s="497"/>
      <c r="UQE78" s="497"/>
      <c r="UQF78" s="497"/>
      <c r="UQG78" s="497"/>
      <c r="UQH78" s="497"/>
      <c r="UQI78" s="497"/>
      <c r="UQJ78" s="497"/>
      <c r="UQK78" s="497"/>
      <c r="UQL78" s="497"/>
      <c r="UQM78" s="497"/>
      <c r="UQN78" s="497"/>
      <c r="UQO78" s="497"/>
      <c r="UQP78" s="497"/>
      <c r="UQQ78" s="497"/>
      <c r="UQR78" s="497"/>
      <c r="UQS78" s="497"/>
      <c r="UQT78" s="497"/>
      <c r="UQU78" s="497"/>
      <c r="UQV78" s="497"/>
      <c r="UQW78" s="497"/>
      <c r="UQX78" s="497"/>
      <c r="UQY78" s="497"/>
      <c r="UQZ78" s="497"/>
      <c r="URA78" s="497"/>
      <c r="URB78" s="497"/>
      <c r="URC78" s="497"/>
      <c r="URD78" s="497"/>
      <c r="URE78" s="497"/>
      <c r="URF78" s="497"/>
      <c r="URG78" s="497"/>
      <c r="URH78" s="497"/>
      <c r="URI78" s="497"/>
      <c r="URJ78" s="497"/>
      <c r="URK78" s="497"/>
      <c r="URL78" s="497"/>
      <c r="URM78" s="497"/>
      <c r="URN78" s="497"/>
      <c r="URO78" s="497"/>
      <c r="URP78" s="497"/>
      <c r="URQ78" s="497"/>
      <c r="URR78" s="497"/>
      <c r="URS78" s="497"/>
      <c r="URT78" s="497"/>
      <c r="URU78" s="497"/>
      <c r="URV78" s="497"/>
      <c r="URW78" s="497"/>
      <c r="URX78" s="497"/>
      <c r="URY78" s="497"/>
      <c r="URZ78" s="497"/>
      <c r="USA78" s="497"/>
      <c r="USB78" s="497"/>
      <c r="USC78" s="497"/>
      <c r="USD78" s="497"/>
      <c r="USE78" s="497"/>
      <c r="USF78" s="497"/>
      <c r="USG78" s="497"/>
      <c r="USH78" s="497"/>
      <c r="USI78" s="497"/>
      <c r="USJ78" s="497"/>
      <c r="USK78" s="497"/>
      <c r="USL78" s="497"/>
      <c r="USM78" s="497"/>
      <c r="USN78" s="497"/>
      <c r="USO78" s="497"/>
      <c r="USP78" s="497"/>
      <c r="USQ78" s="497"/>
      <c r="USR78" s="497"/>
      <c r="USS78" s="497"/>
      <c r="UST78" s="497"/>
      <c r="USU78" s="497"/>
      <c r="USV78" s="497"/>
      <c r="USW78" s="497"/>
      <c r="USX78" s="497"/>
      <c r="USY78" s="497"/>
      <c r="USZ78" s="497"/>
      <c r="UTA78" s="497"/>
      <c r="UTB78" s="497"/>
      <c r="UTC78" s="497"/>
      <c r="UTD78" s="497"/>
      <c r="UTE78" s="497"/>
      <c r="UTF78" s="497"/>
      <c r="UTG78" s="497"/>
      <c r="UTH78" s="497"/>
      <c r="UTI78" s="497"/>
      <c r="UTJ78" s="497"/>
      <c r="UTK78" s="497"/>
      <c r="UTL78" s="497"/>
      <c r="UTM78" s="497"/>
      <c r="UTN78" s="497"/>
      <c r="UTO78" s="497"/>
      <c r="UTP78" s="497"/>
      <c r="UTQ78" s="497"/>
      <c r="UTR78" s="497"/>
      <c r="UTS78" s="497"/>
      <c r="UTT78" s="497"/>
      <c r="UTU78" s="497"/>
      <c r="UTV78" s="497"/>
      <c r="UTW78" s="497"/>
      <c r="UTX78" s="497"/>
      <c r="UTY78" s="497"/>
      <c r="UTZ78" s="497"/>
      <c r="UUA78" s="497"/>
      <c r="UUB78" s="497"/>
      <c r="UUC78" s="497"/>
      <c r="UUD78" s="497"/>
      <c r="UUE78" s="497"/>
      <c r="UUF78" s="497"/>
      <c r="UUG78" s="497"/>
      <c r="UUH78" s="497"/>
      <c r="UUI78" s="497"/>
      <c r="UUJ78" s="497"/>
      <c r="UUK78" s="497"/>
      <c r="UUL78" s="497"/>
      <c r="UUM78" s="497"/>
      <c r="UUN78" s="497"/>
      <c r="UUO78" s="497"/>
      <c r="UUP78" s="497"/>
      <c r="UUQ78" s="497"/>
      <c r="UUR78" s="497"/>
      <c r="UUS78" s="497"/>
      <c r="UUT78" s="497"/>
      <c r="UUU78" s="497"/>
      <c r="UUV78" s="497"/>
      <c r="UUW78" s="497"/>
      <c r="UUX78" s="497"/>
      <c r="UUY78" s="497"/>
      <c r="UUZ78" s="497"/>
      <c r="UVA78" s="497"/>
      <c r="UVB78" s="497"/>
      <c r="UVC78" s="497"/>
      <c r="UVD78" s="497"/>
      <c r="UVE78" s="497"/>
      <c r="UVF78" s="497"/>
      <c r="UVG78" s="497"/>
      <c r="UVH78" s="497"/>
      <c r="UVI78" s="497"/>
      <c r="UVJ78" s="497"/>
      <c r="UVK78" s="497"/>
      <c r="UVL78" s="497"/>
      <c r="UVM78" s="497"/>
      <c r="UVN78" s="497"/>
      <c r="UVO78" s="497"/>
      <c r="UVP78" s="497"/>
      <c r="UVQ78" s="497"/>
      <c r="UVR78" s="497"/>
      <c r="UVS78" s="497"/>
      <c r="UVT78" s="497"/>
      <c r="UVU78" s="497"/>
      <c r="UVV78" s="497"/>
      <c r="UVW78" s="497"/>
      <c r="UVX78" s="497"/>
      <c r="UVY78" s="497"/>
      <c r="UVZ78" s="497"/>
      <c r="UWA78" s="497"/>
      <c r="UWB78" s="497"/>
      <c r="UWC78" s="497"/>
      <c r="UWD78" s="497"/>
      <c r="UWE78" s="497"/>
      <c r="UWF78" s="497"/>
      <c r="UWG78" s="497"/>
      <c r="UWH78" s="497"/>
      <c r="UWI78" s="497"/>
      <c r="UWJ78" s="497"/>
      <c r="UWK78" s="497"/>
      <c r="UWL78" s="497"/>
      <c r="UWM78" s="497"/>
      <c r="UWN78" s="497"/>
      <c r="UWO78" s="497"/>
      <c r="UWP78" s="497"/>
      <c r="UWQ78" s="497"/>
      <c r="UWR78" s="497"/>
      <c r="UWS78" s="497"/>
      <c r="UWT78" s="497"/>
      <c r="UWU78" s="497"/>
      <c r="UWV78" s="497"/>
      <c r="UWW78" s="497"/>
      <c r="UWX78" s="497"/>
      <c r="UWY78" s="497"/>
      <c r="UWZ78" s="497"/>
      <c r="UXA78" s="497"/>
      <c r="UXB78" s="497"/>
      <c r="UXC78" s="497"/>
      <c r="UXD78" s="497"/>
      <c r="UXE78" s="497"/>
      <c r="UXF78" s="497"/>
      <c r="UXG78" s="497"/>
      <c r="UXH78" s="497"/>
      <c r="UXI78" s="497"/>
      <c r="UXJ78" s="497"/>
      <c r="UXK78" s="497"/>
      <c r="UXL78" s="497"/>
      <c r="UXM78" s="497"/>
      <c r="UXN78" s="497"/>
      <c r="UXO78" s="497"/>
      <c r="UXP78" s="497"/>
      <c r="UXQ78" s="497"/>
      <c r="UXR78" s="497"/>
      <c r="UXS78" s="497"/>
      <c r="UXT78" s="497"/>
      <c r="UXU78" s="497"/>
      <c r="UXV78" s="497"/>
      <c r="UXW78" s="497"/>
      <c r="UXX78" s="497"/>
      <c r="UXY78" s="497"/>
      <c r="UXZ78" s="497"/>
      <c r="UYA78" s="497"/>
      <c r="UYB78" s="497"/>
      <c r="UYC78" s="497"/>
      <c r="UYD78" s="497"/>
      <c r="UYE78" s="497"/>
      <c r="UYF78" s="497"/>
      <c r="UYG78" s="497"/>
      <c r="UYH78" s="497"/>
      <c r="UYI78" s="497"/>
      <c r="UYJ78" s="497"/>
      <c r="UYK78" s="497"/>
      <c r="UYL78" s="497"/>
      <c r="UYM78" s="497"/>
      <c r="UYN78" s="497"/>
      <c r="UYO78" s="497"/>
      <c r="UYP78" s="497"/>
      <c r="UYQ78" s="497"/>
      <c r="UYR78" s="497"/>
      <c r="UYS78" s="497"/>
      <c r="UYT78" s="497"/>
      <c r="UYU78" s="497"/>
      <c r="UYV78" s="497"/>
      <c r="UYW78" s="497"/>
      <c r="UYX78" s="497"/>
      <c r="UYY78" s="497"/>
      <c r="UYZ78" s="497"/>
      <c r="UZA78" s="497"/>
      <c r="UZB78" s="497"/>
      <c r="UZC78" s="497"/>
      <c r="UZD78" s="497"/>
      <c r="UZE78" s="497"/>
      <c r="UZF78" s="497"/>
      <c r="UZG78" s="497"/>
      <c r="UZH78" s="497"/>
      <c r="UZI78" s="497"/>
      <c r="UZJ78" s="497"/>
      <c r="UZK78" s="497"/>
      <c r="UZL78" s="497"/>
      <c r="UZM78" s="497"/>
      <c r="UZN78" s="497"/>
      <c r="UZO78" s="497"/>
      <c r="UZP78" s="497"/>
      <c r="UZQ78" s="497"/>
      <c r="UZR78" s="497"/>
      <c r="UZS78" s="497"/>
      <c r="UZT78" s="497"/>
      <c r="UZU78" s="497"/>
      <c r="UZV78" s="497"/>
      <c r="UZW78" s="497"/>
      <c r="UZX78" s="497"/>
      <c r="UZY78" s="497"/>
      <c r="UZZ78" s="497"/>
      <c r="VAA78" s="497"/>
      <c r="VAB78" s="497"/>
      <c r="VAC78" s="497"/>
      <c r="VAD78" s="497"/>
      <c r="VAE78" s="497"/>
      <c r="VAF78" s="497"/>
      <c r="VAG78" s="497"/>
      <c r="VAH78" s="497"/>
      <c r="VAI78" s="497"/>
      <c r="VAJ78" s="497"/>
      <c r="VAK78" s="497"/>
      <c r="VAL78" s="497"/>
      <c r="VAM78" s="497"/>
      <c r="VAN78" s="497"/>
      <c r="VAO78" s="497"/>
      <c r="VAP78" s="497"/>
      <c r="VAQ78" s="497"/>
      <c r="VAR78" s="497"/>
      <c r="VAS78" s="497"/>
      <c r="VAT78" s="497"/>
      <c r="VAU78" s="497"/>
      <c r="VAV78" s="497"/>
      <c r="VAW78" s="497"/>
      <c r="VAX78" s="497"/>
      <c r="VAY78" s="497"/>
      <c r="VAZ78" s="497"/>
      <c r="VBA78" s="497"/>
      <c r="VBB78" s="497"/>
      <c r="VBC78" s="497"/>
      <c r="VBD78" s="497"/>
      <c r="VBE78" s="497"/>
      <c r="VBF78" s="497"/>
      <c r="VBG78" s="497"/>
      <c r="VBH78" s="497"/>
      <c r="VBI78" s="497"/>
      <c r="VBJ78" s="497"/>
      <c r="VBK78" s="497"/>
      <c r="VBL78" s="497"/>
      <c r="VBM78" s="497"/>
      <c r="VBN78" s="497"/>
      <c r="VBO78" s="497"/>
      <c r="VBP78" s="497"/>
      <c r="VBQ78" s="497"/>
      <c r="VBR78" s="497"/>
      <c r="VBS78" s="497"/>
      <c r="VBT78" s="497"/>
      <c r="VBU78" s="497"/>
      <c r="VBV78" s="497"/>
      <c r="VBW78" s="497"/>
      <c r="VBX78" s="497"/>
      <c r="VBY78" s="497"/>
      <c r="VBZ78" s="497"/>
      <c r="VCA78" s="497"/>
      <c r="VCB78" s="497"/>
      <c r="VCC78" s="497"/>
      <c r="VCD78" s="497"/>
      <c r="VCE78" s="497"/>
      <c r="VCF78" s="497"/>
      <c r="VCG78" s="497"/>
      <c r="VCH78" s="497"/>
      <c r="VCI78" s="497"/>
      <c r="VCJ78" s="497"/>
      <c r="VCK78" s="497"/>
      <c r="VCL78" s="497"/>
      <c r="VCM78" s="497"/>
      <c r="VCN78" s="497"/>
      <c r="VCO78" s="497"/>
      <c r="VCP78" s="497"/>
      <c r="VCQ78" s="497"/>
      <c r="VCR78" s="497"/>
      <c r="VCS78" s="497"/>
      <c r="VCT78" s="497"/>
      <c r="VCU78" s="497"/>
      <c r="VCV78" s="497"/>
      <c r="VCW78" s="497"/>
      <c r="VCX78" s="497"/>
      <c r="VCY78" s="497"/>
      <c r="VCZ78" s="497"/>
      <c r="VDA78" s="497"/>
      <c r="VDB78" s="497"/>
      <c r="VDC78" s="497"/>
      <c r="VDD78" s="497"/>
      <c r="VDE78" s="497"/>
      <c r="VDF78" s="497"/>
      <c r="VDG78" s="497"/>
      <c r="VDH78" s="497"/>
      <c r="VDI78" s="497"/>
      <c r="VDJ78" s="497"/>
      <c r="VDK78" s="497"/>
      <c r="VDL78" s="497"/>
      <c r="VDM78" s="497"/>
      <c r="VDN78" s="497"/>
      <c r="VDO78" s="497"/>
      <c r="VDP78" s="497"/>
      <c r="VDQ78" s="497"/>
      <c r="VDR78" s="497"/>
      <c r="VDS78" s="497"/>
      <c r="VDT78" s="497"/>
      <c r="VDU78" s="497"/>
      <c r="VDV78" s="497"/>
      <c r="VDW78" s="497"/>
      <c r="VDX78" s="497"/>
      <c r="VDY78" s="497"/>
      <c r="VDZ78" s="497"/>
      <c r="VEA78" s="497"/>
      <c r="VEB78" s="497"/>
      <c r="VEC78" s="497"/>
      <c r="VED78" s="497"/>
      <c r="VEE78" s="497"/>
      <c r="VEF78" s="497"/>
      <c r="VEG78" s="497"/>
      <c r="VEH78" s="497"/>
      <c r="VEI78" s="497"/>
      <c r="VEJ78" s="497"/>
      <c r="VEK78" s="497"/>
      <c r="VEL78" s="497"/>
      <c r="VEM78" s="497"/>
      <c r="VEN78" s="497"/>
      <c r="VEO78" s="497"/>
      <c r="VEP78" s="497"/>
      <c r="VEQ78" s="497"/>
      <c r="VER78" s="497"/>
      <c r="VES78" s="497"/>
      <c r="VET78" s="497"/>
      <c r="VEU78" s="497"/>
      <c r="VEV78" s="497"/>
      <c r="VEW78" s="497"/>
      <c r="VEX78" s="497"/>
      <c r="VEY78" s="497"/>
      <c r="VEZ78" s="497"/>
      <c r="VFA78" s="497"/>
      <c r="VFB78" s="497"/>
      <c r="VFC78" s="497"/>
      <c r="VFD78" s="497"/>
      <c r="VFE78" s="497"/>
      <c r="VFF78" s="497"/>
      <c r="VFG78" s="497"/>
      <c r="VFH78" s="497"/>
      <c r="VFI78" s="497"/>
      <c r="VFJ78" s="497"/>
      <c r="VFK78" s="497"/>
      <c r="VFL78" s="497"/>
      <c r="VFM78" s="497"/>
      <c r="VFN78" s="497"/>
      <c r="VFO78" s="497"/>
      <c r="VFP78" s="497"/>
      <c r="VFQ78" s="497"/>
      <c r="VFR78" s="497"/>
      <c r="VFS78" s="497"/>
      <c r="VFT78" s="497"/>
      <c r="VFU78" s="497"/>
      <c r="VFV78" s="497"/>
      <c r="VFW78" s="497"/>
      <c r="VFX78" s="497"/>
      <c r="VFY78" s="497"/>
      <c r="VFZ78" s="497"/>
      <c r="VGA78" s="497"/>
      <c r="VGB78" s="497"/>
      <c r="VGC78" s="497"/>
      <c r="VGD78" s="497"/>
      <c r="VGE78" s="497"/>
      <c r="VGF78" s="497"/>
      <c r="VGG78" s="497"/>
      <c r="VGH78" s="497"/>
      <c r="VGI78" s="497"/>
      <c r="VGJ78" s="497"/>
      <c r="VGK78" s="497"/>
      <c r="VGL78" s="497"/>
      <c r="VGM78" s="497"/>
      <c r="VGN78" s="497"/>
      <c r="VGO78" s="497"/>
      <c r="VGP78" s="497"/>
      <c r="VGQ78" s="497"/>
      <c r="VGR78" s="497"/>
      <c r="VGS78" s="497"/>
      <c r="VGT78" s="497"/>
      <c r="VGU78" s="497"/>
      <c r="VGV78" s="497"/>
      <c r="VGW78" s="497"/>
      <c r="VGX78" s="497"/>
      <c r="VGY78" s="497"/>
      <c r="VGZ78" s="497"/>
      <c r="VHA78" s="497"/>
      <c r="VHB78" s="497"/>
      <c r="VHC78" s="497"/>
      <c r="VHD78" s="497"/>
      <c r="VHE78" s="497"/>
      <c r="VHF78" s="497"/>
      <c r="VHG78" s="497"/>
      <c r="VHH78" s="497"/>
      <c r="VHI78" s="497"/>
      <c r="VHJ78" s="497"/>
      <c r="VHK78" s="497"/>
      <c r="VHL78" s="497"/>
      <c r="VHM78" s="497"/>
      <c r="VHN78" s="497"/>
      <c r="VHO78" s="497"/>
      <c r="VHP78" s="497"/>
      <c r="VHQ78" s="497"/>
      <c r="VHR78" s="497"/>
      <c r="VHS78" s="497"/>
      <c r="VHT78" s="497"/>
      <c r="VHU78" s="497"/>
      <c r="VHV78" s="497"/>
      <c r="VHW78" s="497"/>
      <c r="VHX78" s="497"/>
      <c r="VHY78" s="497"/>
      <c r="VHZ78" s="497"/>
      <c r="VIA78" s="497"/>
      <c r="VIB78" s="497"/>
      <c r="VIC78" s="497"/>
      <c r="VID78" s="497"/>
      <c r="VIE78" s="497"/>
      <c r="VIF78" s="497"/>
      <c r="VIG78" s="497"/>
      <c r="VIH78" s="497"/>
      <c r="VII78" s="497"/>
      <c r="VIJ78" s="497"/>
      <c r="VIK78" s="497"/>
      <c r="VIL78" s="497"/>
      <c r="VIM78" s="497"/>
      <c r="VIN78" s="497"/>
      <c r="VIO78" s="497"/>
      <c r="VIP78" s="497"/>
      <c r="VIQ78" s="497"/>
      <c r="VIR78" s="497"/>
      <c r="VIS78" s="497"/>
      <c r="VIT78" s="497"/>
      <c r="VIU78" s="497"/>
      <c r="VIV78" s="497"/>
      <c r="VIW78" s="497"/>
      <c r="VIX78" s="497"/>
      <c r="VIY78" s="497"/>
      <c r="VIZ78" s="497"/>
      <c r="VJA78" s="497"/>
      <c r="VJB78" s="497"/>
      <c r="VJC78" s="497"/>
      <c r="VJD78" s="497"/>
      <c r="VJE78" s="497"/>
      <c r="VJF78" s="497"/>
      <c r="VJG78" s="497"/>
      <c r="VJH78" s="497"/>
      <c r="VJI78" s="497"/>
      <c r="VJJ78" s="497"/>
      <c r="VJK78" s="497"/>
      <c r="VJL78" s="497"/>
      <c r="VJM78" s="497"/>
      <c r="VJN78" s="497"/>
      <c r="VJO78" s="497"/>
      <c r="VJP78" s="497"/>
      <c r="VJQ78" s="497"/>
      <c r="VJR78" s="497"/>
      <c r="VJS78" s="497"/>
      <c r="VJT78" s="497"/>
      <c r="VJU78" s="497"/>
      <c r="VJV78" s="497"/>
      <c r="VJW78" s="497"/>
      <c r="VJX78" s="497"/>
      <c r="VJY78" s="497"/>
      <c r="VJZ78" s="497"/>
      <c r="VKA78" s="497"/>
      <c r="VKB78" s="497"/>
      <c r="VKC78" s="497"/>
      <c r="VKD78" s="497"/>
      <c r="VKE78" s="497"/>
      <c r="VKF78" s="497"/>
      <c r="VKG78" s="497"/>
      <c r="VKH78" s="497"/>
      <c r="VKI78" s="497"/>
      <c r="VKJ78" s="497"/>
      <c r="VKK78" s="497"/>
      <c r="VKL78" s="497"/>
      <c r="VKM78" s="497"/>
      <c r="VKN78" s="497"/>
      <c r="VKO78" s="497"/>
      <c r="VKP78" s="497"/>
      <c r="VKQ78" s="497"/>
      <c r="VKR78" s="497"/>
      <c r="VKS78" s="497"/>
      <c r="VKT78" s="497"/>
      <c r="VKU78" s="497"/>
      <c r="VKV78" s="497"/>
      <c r="VKW78" s="497"/>
      <c r="VKX78" s="497"/>
      <c r="VKY78" s="497"/>
      <c r="VKZ78" s="497"/>
      <c r="VLA78" s="497"/>
      <c r="VLB78" s="497"/>
      <c r="VLC78" s="497"/>
      <c r="VLD78" s="497"/>
      <c r="VLE78" s="497"/>
      <c r="VLF78" s="497"/>
      <c r="VLG78" s="497"/>
      <c r="VLH78" s="497"/>
      <c r="VLI78" s="497"/>
      <c r="VLJ78" s="497"/>
      <c r="VLK78" s="497"/>
      <c r="VLL78" s="497"/>
      <c r="VLM78" s="497"/>
      <c r="VLN78" s="497"/>
      <c r="VLO78" s="497"/>
      <c r="VLP78" s="497"/>
      <c r="VLQ78" s="497"/>
      <c r="VLR78" s="497"/>
      <c r="VLS78" s="497"/>
      <c r="VLT78" s="497"/>
      <c r="VLU78" s="497"/>
      <c r="VLV78" s="497"/>
      <c r="VLW78" s="497"/>
      <c r="VLX78" s="497"/>
      <c r="VLY78" s="497"/>
      <c r="VLZ78" s="497"/>
      <c r="VMA78" s="497"/>
      <c r="VMB78" s="497"/>
      <c r="VMC78" s="497"/>
      <c r="VMD78" s="497"/>
      <c r="VME78" s="497"/>
      <c r="VMF78" s="497"/>
      <c r="VMG78" s="497"/>
      <c r="VMH78" s="497"/>
      <c r="VMI78" s="497"/>
      <c r="VMJ78" s="497"/>
      <c r="VMK78" s="497"/>
      <c r="VML78" s="497"/>
      <c r="VMM78" s="497"/>
      <c r="VMN78" s="497"/>
      <c r="VMO78" s="497"/>
      <c r="VMP78" s="497"/>
      <c r="VMQ78" s="497"/>
      <c r="VMR78" s="497"/>
      <c r="VMS78" s="497"/>
      <c r="VMT78" s="497"/>
      <c r="VMU78" s="497"/>
      <c r="VMV78" s="497"/>
      <c r="VMW78" s="497"/>
      <c r="VMX78" s="497"/>
      <c r="VMY78" s="497"/>
      <c r="VMZ78" s="497"/>
      <c r="VNA78" s="497"/>
      <c r="VNB78" s="497"/>
      <c r="VNC78" s="497"/>
      <c r="VND78" s="497"/>
      <c r="VNE78" s="497"/>
      <c r="VNF78" s="497"/>
      <c r="VNG78" s="497"/>
      <c r="VNH78" s="497"/>
      <c r="VNI78" s="497"/>
      <c r="VNJ78" s="497"/>
      <c r="VNK78" s="497"/>
      <c r="VNL78" s="497"/>
      <c r="VNM78" s="497"/>
      <c r="VNN78" s="497"/>
      <c r="VNO78" s="497"/>
      <c r="VNP78" s="497"/>
      <c r="VNQ78" s="497"/>
      <c r="VNR78" s="497"/>
      <c r="VNS78" s="497"/>
      <c r="VNT78" s="497"/>
      <c r="VNU78" s="497"/>
      <c r="VNV78" s="497"/>
      <c r="VNW78" s="497"/>
      <c r="VNX78" s="497"/>
      <c r="VNY78" s="497"/>
      <c r="VNZ78" s="497"/>
      <c r="VOA78" s="497"/>
      <c r="VOB78" s="497"/>
      <c r="VOC78" s="497"/>
      <c r="VOD78" s="497"/>
      <c r="VOE78" s="497"/>
      <c r="VOF78" s="497"/>
      <c r="VOG78" s="497"/>
      <c r="VOH78" s="497"/>
      <c r="VOI78" s="497"/>
      <c r="VOJ78" s="497"/>
      <c r="VOK78" s="497"/>
      <c r="VOL78" s="497"/>
      <c r="VOM78" s="497"/>
      <c r="VON78" s="497"/>
      <c r="VOO78" s="497"/>
      <c r="VOP78" s="497"/>
      <c r="VOQ78" s="497"/>
      <c r="VOR78" s="497"/>
      <c r="VOS78" s="497"/>
      <c r="VOT78" s="497"/>
      <c r="VOU78" s="497"/>
      <c r="VOV78" s="497"/>
      <c r="VOW78" s="497"/>
      <c r="VOX78" s="497"/>
      <c r="VOY78" s="497"/>
      <c r="VOZ78" s="497"/>
      <c r="VPA78" s="497"/>
      <c r="VPB78" s="497"/>
      <c r="VPC78" s="497"/>
      <c r="VPD78" s="497"/>
      <c r="VPE78" s="497"/>
      <c r="VPF78" s="497"/>
      <c r="VPG78" s="497"/>
      <c r="VPH78" s="497"/>
      <c r="VPI78" s="497"/>
      <c r="VPJ78" s="497"/>
      <c r="VPK78" s="497"/>
      <c r="VPL78" s="497"/>
      <c r="VPM78" s="497"/>
      <c r="VPN78" s="497"/>
      <c r="VPO78" s="497"/>
      <c r="VPP78" s="497"/>
      <c r="VPQ78" s="497"/>
      <c r="VPR78" s="497"/>
      <c r="VPS78" s="497"/>
      <c r="VPT78" s="497"/>
      <c r="VPU78" s="497"/>
      <c r="VPV78" s="497"/>
      <c r="VPW78" s="497"/>
      <c r="VPX78" s="497"/>
      <c r="VPY78" s="497"/>
      <c r="VPZ78" s="497"/>
      <c r="VQA78" s="497"/>
      <c r="VQB78" s="497"/>
      <c r="VQC78" s="497"/>
      <c r="VQD78" s="497"/>
      <c r="VQE78" s="497"/>
      <c r="VQF78" s="497"/>
      <c r="VQG78" s="497"/>
      <c r="VQH78" s="497"/>
      <c r="VQI78" s="497"/>
      <c r="VQJ78" s="497"/>
      <c r="VQK78" s="497"/>
      <c r="VQL78" s="497"/>
      <c r="VQM78" s="497"/>
      <c r="VQN78" s="497"/>
      <c r="VQO78" s="497"/>
      <c r="VQP78" s="497"/>
      <c r="VQQ78" s="497"/>
      <c r="VQR78" s="497"/>
      <c r="VQS78" s="497"/>
      <c r="VQT78" s="497"/>
      <c r="VQU78" s="497"/>
      <c r="VQV78" s="497"/>
      <c r="VQW78" s="497"/>
      <c r="VQX78" s="497"/>
      <c r="VQY78" s="497"/>
      <c r="VQZ78" s="497"/>
      <c r="VRA78" s="497"/>
      <c r="VRB78" s="497"/>
      <c r="VRC78" s="497"/>
      <c r="VRD78" s="497"/>
      <c r="VRE78" s="497"/>
      <c r="VRF78" s="497"/>
      <c r="VRG78" s="497"/>
      <c r="VRH78" s="497"/>
      <c r="VRI78" s="497"/>
      <c r="VRJ78" s="497"/>
      <c r="VRK78" s="497"/>
      <c r="VRL78" s="497"/>
      <c r="VRM78" s="497"/>
      <c r="VRN78" s="497"/>
      <c r="VRO78" s="497"/>
      <c r="VRP78" s="497"/>
      <c r="VRQ78" s="497"/>
      <c r="VRR78" s="497"/>
      <c r="VRS78" s="497"/>
      <c r="VRT78" s="497"/>
      <c r="VRU78" s="497"/>
      <c r="VRV78" s="497"/>
      <c r="VRW78" s="497"/>
      <c r="VRX78" s="497"/>
      <c r="VRY78" s="497"/>
      <c r="VRZ78" s="497"/>
      <c r="VSA78" s="497"/>
      <c r="VSB78" s="497"/>
      <c r="VSC78" s="497"/>
      <c r="VSD78" s="497"/>
      <c r="VSE78" s="497"/>
      <c r="VSF78" s="497"/>
      <c r="VSG78" s="497"/>
      <c r="VSH78" s="497"/>
      <c r="VSI78" s="497"/>
      <c r="VSJ78" s="497"/>
      <c r="VSK78" s="497"/>
      <c r="VSL78" s="497"/>
      <c r="VSM78" s="497"/>
      <c r="VSN78" s="497"/>
      <c r="VSO78" s="497"/>
      <c r="VSP78" s="497"/>
      <c r="VSQ78" s="497"/>
      <c r="VSR78" s="497"/>
      <c r="VSS78" s="497"/>
      <c r="VST78" s="497"/>
      <c r="VSU78" s="497"/>
      <c r="VSV78" s="497"/>
      <c r="VSW78" s="497"/>
      <c r="VSX78" s="497"/>
      <c r="VSY78" s="497"/>
      <c r="VSZ78" s="497"/>
      <c r="VTA78" s="497"/>
      <c r="VTB78" s="497"/>
      <c r="VTC78" s="497"/>
      <c r="VTD78" s="497"/>
      <c r="VTE78" s="497"/>
      <c r="VTF78" s="497"/>
      <c r="VTG78" s="497"/>
      <c r="VTH78" s="497"/>
      <c r="VTI78" s="497"/>
      <c r="VTJ78" s="497"/>
      <c r="VTK78" s="497"/>
      <c r="VTL78" s="497"/>
      <c r="VTM78" s="497"/>
      <c r="VTN78" s="497"/>
      <c r="VTO78" s="497"/>
      <c r="VTP78" s="497"/>
      <c r="VTQ78" s="497"/>
      <c r="VTR78" s="497"/>
      <c r="VTS78" s="497"/>
      <c r="VTT78" s="497"/>
      <c r="VTU78" s="497"/>
      <c r="VTV78" s="497"/>
      <c r="VTW78" s="497"/>
      <c r="VTX78" s="497"/>
      <c r="VTY78" s="497"/>
      <c r="VTZ78" s="497"/>
      <c r="VUA78" s="497"/>
      <c r="VUB78" s="497"/>
      <c r="VUC78" s="497"/>
      <c r="VUD78" s="497"/>
      <c r="VUE78" s="497"/>
      <c r="VUF78" s="497"/>
      <c r="VUG78" s="497"/>
      <c r="VUH78" s="497"/>
      <c r="VUI78" s="497"/>
      <c r="VUJ78" s="497"/>
      <c r="VUK78" s="497"/>
      <c r="VUL78" s="497"/>
      <c r="VUM78" s="497"/>
      <c r="VUN78" s="497"/>
      <c r="VUO78" s="497"/>
      <c r="VUP78" s="497"/>
      <c r="VUQ78" s="497"/>
      <c r="VUR78" s="497"/>
      <c r="VUS78" s="497"/>
      <c r="VUT78" s="497"/>
      <c r="VUU78" s="497"/>
      <c r="VUV78" s="497"/>
      <c r="VUW78" s="497"/>
      <c r="VUX78" s="497"/>
      <c r="VUY78" s="497"/>
      <c r="VUZ78" s="497"/>
      <c r="VVA78" s="497"/>
      <c r="VVB78" s="497"/>
      <c r="VVC78" s="497"/>
      <c r="VVD78" s="497"/>
      <c r="VVE78" s="497"/>
      <c r="VVF78" s="497"/>
      <c r="VVG78" s="497"/>
      <c r="VVH78" s="497"/>
      <c r="VVI78" s="497"/>
      <c r="VVJ78" s="497"/>
      <c r="VVK78" s="497"/>
      <c r="VVL78" s="497"/>
      <c r="VVM78" s="497"/>
      <c r="VVN78" s="497"/>
      <c r="VVO78" s="497"/>
      <c r="VVP78" s="497"/>
      <c r="VVQ78" s="497"/>
      <c r="VVR78" s="497"/>
      <c r="VVS78" s="497"/>
      <c r="VVT78" s="497"/>
      <c r="VVU78" s="497"/>
      <c r="VVV78" s="497"/>
      <c r="VVW78" s="497"/>
      <c r="VVX78" s="497"/>
      <c r="VVY78" s="497"/>
      <c r="VVZ78" s="497"/>
      <c r="VWA78" s="497"/>
      <c r="VWB78" s="497"/>
      <c r="VWC78" s="497"/>
      <c r="VWD78" s="497"/>
      <c r="VWE78" s="497"/>
      <c r="VWF78" s="497"/>
      <c r="VWG78" s="497"/>
      <c r="VWH78" s="497"/>
      <c r="VWI78" s="497"/>
      <c r="VWJ78" s="497"/>
      <c r="VWK78" s="497"/>
      <c r="VWL78" s="497"/>
      <c r="VWM78" s="497"/>
      <c r="VWN78" s="497"/>
      <c r="VWO78" s="497"/>
      <c r="VWP78" s="497"/>
      <c r="VWQ78" s="497"/>
      <c r="VWR78" s="497"/>
      <c r="VWS78" s="497"/>
      <c r="VWT78" s="497"/>
      <c r="VWU78" s="497"/>
      <c r="VWV78" s="497"/>
      <c r="VWW78" s="497"/>
      <c r="VWX78" s="497"/>
      <c r="VWY78" s="497"/>
      <c r="VWZ78" s="497"/>
      <c r="VXA78" s="497"/>
      <c r="VXB78" s="497"/>
      <c r="VXC78" s="497"/>
      <c r="VXD78" s="497"/>
      <c r="VXE78" s="497"/>
      <c r="VXF78" s="497"/>
      <c r="VXG78" s="497"/>
      <c r="VXH78" s="497"/>
      <c r="VXI78" s="497"/>
      <c r="VXJ78" s="497"/>
      <c r="VXK78" s="497"/>
      <c r="VXL78" s="497"/>
      <c r="VXM78" s="497"/>
      <c r="VXN78" s="497"/>
      <c r="VXO78" s="497"/>
      <c r="VXP78" s="497"/>
      <c r="VXQ78" s="497"/>
      <c r="VXR78" s="497"/>
      <c r="VXS78" s="497"/>
      <c r="VXT78" s="497"/>
      <c r="VXU78" s="497"/>
      <c r="VXV78" s="497"/>
      <c r="VXW78" s="497"/>
      <c r="VXX78" s="497"/>
      <c r="VXY78" s="497"/>
      <c r="VXZ78" s="497"/>
      <c r="VYA78" s="497"/>
      <c r="VYB78" s="497"/>
      <c r="VYC78" s="497"/>
      <c r="VYD78" s="497"/>
      <c r="VYE78" s="497"/>
      <c r="VYF78" s="497"/>
      <c r="VYG78" s="497"/>
      <c r="VYH78" s="497"/>
      <c r="VYI78" s="497"/>
      <c r="VYJ78" s="497"/>
      <c r="VYK78" s="497"/>
      <c r="VYL78" s="497"/>
      <c r="VYM78" s="497"/>
      <c r="VYN78" s="497"/>
      <c r="VYO78" s="497"/>
      <c r="VYP78" s="497"/>
      <c r="VYQ78" s="497"/>
      <c r="VYR78" s="497"/>
      <c r="VYS78" s="497"/>
      <c r="VYT78" s="497"/>
      <c r="VYU78" s="497"/>
      <c r="VYV78" s="497"/>
      <c r="VYW78" s="497"/>
      <c r="VYX78" s="497"/>
      <c r="VYY78" s="497"/>
      <c r="VYZ78" s="497"/>
      <c r="VZA78" s="497"/>
      <c r="VZB78" s="497"/>
      <c r="VZC78" s="497"/>
      <c r="VZD78" s="497"/>
      <c r="VZE78" s="497"/>
      <c r="VZF78" s="497"/>
      <c r="VZG78" s="497"/>
      <c r="VZH78" s="497"/>
      <c r="VZI78" s="497"/>
      <c r="VZJ78" s="497"/>
      <c r="VZK78" s="497"/>
      <c r="VZL78" s="497"/>
      <c r="VZM78" s="497"/>
      <c r="VZN78" s="497"/>
      <c r="VZO78" s="497"/>
      <c r="VZP78" s="497"/>
      <c r="VZQ78" s="497"/>
      <c r="VZR78" s="497"/>
      <c r="VZS78" s="497"/>
      <c r="VZT78" s="497"/>
      <c r="VZU78" s="497"/>
      <c r="VZV78" s="497"/>
      <c r="VZW78" s="497"/>
      <c r="VZX78" s="497"/>
      <c r="VZY78" s="497"/>
      <c r="VZZ78" s="497"/>
      <c r="WAA78" s="497"/>
      <c r="WAB78" s="497"/>
      <c r="WAC78" s="497"/>
      <c r="WAD78" s="497"/>
      <c r="WAE78" s="497"/>
      <c r="WAF78" s="497"/>
      <c r="WAG78" s="497"/>
      <c r="WAH78" s="497"/>
      <c r="WAI78" s="497"/>
      <c r="WAJ78" s="497"/>
      <c r="WAK78" s="497"/>
      <c r="WAL78" s="497"/>
      <c r="WAM78" s="497"/>
      <c r="WAN78" s="497"/>
      <c r="WAO78" s="497"/>
      <c r="WAP78" s="497"/>
      <c r="WAQ78" s="497"/>
      <c r="WAR78" s="497"/>
      <c r="WAS78" s="497"/>
      <c r="WAT78" s="497"/>
      <c r="WAU78" s="497"/>
      <c r="WAV78" s="497"/>
      <c r="WAW78" s="497"/>
      <c r="WAX78" s="497"/>
      <c r="WAY78" s="497"/>
      <c r="WAZ78" s="497"/>
      <c r="WBA78" s="497"/>
      <c r="WBB78" s="497"/>
      <c r="WBC78" s="497"/>
      <c r="WBD78" s="497"/>
      <c r="WBE78" s="497"/>
      <c r="WBF78" s="497"/>
      <c r="WBG78" s="497"/>
      <c r="WBH78" s="497"/>
      <c r="WBI78" s="497"/>
      <c r="WBJ78" s="497"/>
      <c r="WBK78" s="497"/>
      <c r="WBL78" s="497"/>
      <c r="WBM78" s="497"/>
      <c r="WBN78" s="497"/>
      <c r="WBO78" s="497"/>
      <c r="WBP78" s="497"/>
      <c r="WBQ78" s="497"/>
      <c r="WBR78" s="497"/>
      <c r="WBS78" s="497"/>
      <c r="WBT78" s="497"/>
      <c r="WBU78" s="497"/>
      <c r="WBV78" s="497"/>
      <c r="WBW78" s="497"/>
      <c r="WBX78" s="497"/>
      <c r="WBY78" s="497"/>
      <c r="WBZ78" s="497"/>
      <c r="WCA78" s="497"/>
      <c r="WCB78" s="497"/>
      <c r="WCC78" s="497"/>
      <c r="WCD78" s="497"/>
      <c r="WCE78" s="497"/>
      <c r="WCF78" s="497"/>
      <c r="WCG78" s="497"/>
      <c r="WCH78" s="497"/>
      <c r="WCI78" s="497"/>
      <c r="WCJ78" s="497"/>
      <c r="WCK78" s="497"/>
      <c r="WCL78" s="497"/>
      <c r="WCM78" s="497"/>
      <c r="WCN78" s="497"/>
      <c r="WCO78" s="497"/>
      <c r="WCP78" s="497"/>
      <c r="WCQ78" s="497"/>
      <c r="WCR78" s="497"/>
      <c r="WCS78" s="497"/>
      <c r="WCT78" s="497"/>
      <c r="WCU78" s="497"/>
      <c r="WCV78" s="497"/>
      <c r="WCW78" s="497"/>
      <c r="WCX78" s="497"/>
      <c r="WCY78" s="497"/>
      <c r="WCZ78" s="497"/>
      <c r="WDA78" s="497"/>
      <c r="WDB78" s="497"/>
      <c r="WDC78" s="497"/>
      <c r="WDD78" s="497"/>
      <c r="WDE78" s="497"/>
      <c r="WDF78" s="497"/>
      <c r="WDG78" s="497"/>
      <c r="WDH78" s="497"/>
      <c r="WDI78" s="497"/>
      <c r="WDJ78" s="497"/>
      <c r="WDK78" s="497"/>
      <c r="WDL78" s="497"/>
      <c r="WDM78" s="497"/>
      <c r="WDN78" s="497"/>
      <c r="WDO78" s="497"/>
      <c r="WDP78" s="497"/>
      <c r="WDQ78" s="497"/>
      <c r="WDR78" s="497"/>
      <c r="WDS78" s="497"/>
      <c r="WDT78" s="497"/>
      <c r="WDU78" s="497"/>
      <c r="WDV78" s="497"/>
      <c r="WDW78" s="497"/>
      <c r="WDX78" s="497"/>
      <c r="WDY78" s="497"/>
      <c r="WDZ78" s="497"/>
      <c r="WEA78" s="497"/>
      <c r="WEB78" s="497"/>
      <c r="WEC78" s="497"/>
      <c r="WED78" s="497"/>
      <c r="WEE78" s="497"/>
      <c r="WEF78" s="497"/>
      <c r="WEG78" s="497"/>
      <c r="WEH78" s="497"/>
      <c r="WEI78" s="497"/>
      <c r="WEJ78" s="497"/>
      <c r="WEK78" s="497"/>
      <c r="WEL78" s="497"/>
      <c r="WEM78" s="497"/>
      <c r="WEN78" s="497"/>
      <c r="WEO78" s="497"/>
      <c r="WEP78" s="497"/>
      <c r="WEQ78" s="497"/>
      <c r="WER78" s="497"/>
      <c r="WES78" s="497"/>
      <c r="WET78" s="497"/>
      <c r="WEU78" s="497"/>
      <c r="WEV78" s="497"/>
      <c r="WEW78" s="497"/>
      <c r="WEX78" s="497"/>
      <c r="WEY78" s="497"/>
      <c r="WEZ78" s="497"/>
      <c r="WFA78" s="497"/>
      <c r="WFB78" s="497"/>
      <c r="WFC78" s="497"/>
      <c r="WFD78" s="497"/>
      <c r="WFE78" s="497"/>
      <c r="WFF78" s="497"/>
      <c r="WFG78" s="497"/>
      <c r="WFH78" s="497"/>
      <c r="WFI78" s="497"/>
      <c r="WFJ78" s="497"/>
      <c r="WFK78" s="497"/>
      <c r="WFL78" s="497"/>
      <c r="WFM78" s="497"/>
      <c r="WFN78" s="497"/>
      <c r="WFO78" s="497"/>
      <c r="WFP78" s="497"/>
      <c r="WFQ78" s="497"/>
      <c r="WFR78" s="497"/>
      <c r="WFS78" s="497"/>
      <c r="WFT78" s="497"/>
      <c r="WFU78" s="497"/>
      <c r="WFV78" s="497"/>
      <c r="WFW78" s="497"/>
      <c r="WFX78" s="497"/>
      <c r="WFY78" s="497"/>
      <c r="WFZ78" s="497"/>
      <c r="WGA78" s="497"/>
      <c r="WGB78" s="497"/>
      <c r="WGC78" s="497"/>
      <c r="WGD78" s="497"/>
      <c r="WGE78" s="497"/>
      <c r="WGF78" s="497"/>
      <c r="WGG78" s="497"/>
      <c r="WGH78" s="497"/>
      <c r="WGI78" s="497"/>
      <c r="WGJ78" s="497"/>
      <c r="WGK78" s="497"/>
      <c r="WGL78" s="497"/>
      <c r="WGM78" s="497"/>
      <c r="WGN78" s="497"/>
      <c r="WGO78" s="497"/>
      <c r="WGP78" s="497"/>
      <c r="WGQ78" s="497"/>
      <c r="WGR78" s="497"/>
      <c r="WGS78" s="497"/>
      <c r="WGT78" s="497"/>
      <c r="WGU78" s="497"/>
      <c r="WGV78" s="497"/>
      <c r="WGW78" s="497"/>
      <c r="WGX78" s="497"/>
      <c r="WGY78" s="497"/>
      <c r="WGZ78" s="497"/>
      <c r="WHA78" s="497"/>
      <c r="WHB78" s="497"/>
      <c r="WHC78" s="497"/>
      <c r="WHD78" s="497"/>
      <c r="WHE78" s="497"/>
      <c r="WHF78" s="497"/>
      <c r="WHG78" s="497"/>
      <c r="WHH78" s="497"/>
      <c r="WHI78" s="497"/>
      <c r="WHJ78" s="497"/>
      <c r="WHK78" s="497"/>
      <c r="WHL78" s="497"/>
      <c r="WHM78" s="497"/>
      <c r="WHN78" s="497"/>
      <c r="WHO78" s="497"/>
      <c r="WHP78" s="497"/>
      <c r="WHQ78" s="497"/>
      <c r="WHR78" s="497"/>
      <c r="WHS78" s="497"/>
      <c r="WHT78" s="497"/>
      <c r="WHU78" s="497"/>
      <c r="WHV78" s="497"/>
      <c r="WHW78" s="497"/>
      <c r="WHX78" s="497"/>
      <c r="WHY78" s="497"/>
      <c r="WHZ78" s="497"/>
      <c r="WIA78" s="497"/>
      <c r="WIB78" s="497"/>
      <c r="WIC78" s="497"/>
      <c r="WID78" s="497"/>
      <c r="WIE78" s="497"/>
      <c r="WIF78" s="497"/>
      <c r="WIG78" s="497"/>
      <c r="WIH78" s="497"/>
      <c r="WII78" s="497"/>
      <c r="WIJ78" s="497"/>
      <c r="WIK78" s="497"/>
      <c r="WIL78" s="497"/>
      <c r="WIM78" s="497"/>
      <c r="WIN78" s="497"/>
      <c r="WIO78" s="497"/>
      <c r="WIP78" s="497"/>
      <c r="WIQ78" s="497"/>
      <c r="WIR78" s="497"/>
      <c r="WIS78" s="497"/>
      <c r="WIT78" s="497"/>
      <c r="WIU78" s="497"/>
      <c r="WIV78" s="497"/>
      <c r="WIW78" s="497"/>
      <c r="WIX78" s="497"/>
      <c r="WIY78" s="497"/>
      <c r="WIZ78" s="497"/>
      <c r="WJA78" s="497"/>
      <c r="WJB78" s="497"/>
      <c r="WJC78" s="497"/>
      <c r="WJD78" s="497"/>
      <c r="WJE78" s="497"/>
      <c r="WJF78" s="497"/>
      <c r="WJG78" s="497"/>
      <c r="WJH78" s="497"/>
      <c r="WJI78" s="497"/>
      <c r="WJJ78" s="497"/>
      <c r="WJK78" s="497"/>
      <c r="WJL78" s="497"/>
      <c r="WJM78" s="497"/>
      <c r="WJN78" s="497"/>
      <c r="WJO78" s="497"/>
      <c r="WJP78" s="497"/>
      <c r="WJQ78" s="497"/>
      <c r="WJR78" s="497"/>
      <c r="WJS78" s="497"/>
      <c r="WJT78" s="497"/>
      <c r="WJU78" s="497"/>
      <c r="WJV78" s="497"/>
      <c r="WJW78" s="497"/>
      <c r="WJX78" s="497"/>
      <c r="WJY78" s="497"/>
      <c r="WJZ78" s="497"/>
      <c r="WKA78" s="497"/>
      <c r="WKB78" s="497"/>
      <c r="WKC78" s="497"/>
      <c r="WKD78" s="497"/>
      <c r="WKE78" s="497"/>
      <c r="WKF78" s="497"/>
      <c r="WKG78" s="497"/>
      <c r="WKH78" s="497"/>
      <c r="WKI78" s="497"/>
      <c r="WKJ78" s="497"/>
      <c r="WKK78" s="497"/>
      <c r="WKL78" s="497"/>
      <c r="WKM78" s="497"/>
      <c r="WKN78" s="497"/>
      <c r="WKO78" s="497"/>
      <c r="WKP78" s="497"/>
      <c r="WKQ78" s="497"/>
      <c r="WKR78" s="497"/>
      <c r="WKS78" s="497"/>
      <c r="WKT78" s="497"/>
      <c r="WKU78" s="497"/>
      <c r="WKV78" s="497"/>
      <c r="WKW78" s="497"/>
      <c r="WKX78" s="497"/>
      <c r="WKY78" s="497"/>
      <c r="WKZ78" s="497"/>
      <c r="WLA78" s="497"/>
      <c r="WLB78" s="497"/>
      <c r="WLC78" s="497"/>
      <c r="WLD78" s="497"/>
      <c r="WLE78" s="497"/>
      <c r="WLF78" s="497"/>
      <c r="WLG78" s="497"/>
      <c r="WLH78" s="497"/>
      <c r="WLI78" s="497"/>
      <c r="WLJ78" s="497"/>
      <c r="WLK78" s="497"/>
      <c r="WLL78" s="497"/>
      <c r="WLM78" s="497"/>
      <c r="WLN78" s="497"/>
      <c r="WLO78" s="497"/>
      <c r="WLP78" s="497"/>
      <c r="WLQ78" s="497"/>
      <c r="WLR78" s="497"/>
      <c r="WLS78" s="497"/>
      <c r="WLT78" s="497"/>
      <c r="WLU78" s="497"/>
      <c r="WLV78" s="497"/>
      <c r="WLW78" s="497"/>
      <c r="WLX78" s="497"/>
      <c r="WLY78" s="497"/>
      <c r="WLZ78" s="497"/>
      <c r="WMA78" s="497"/>
      <c r="WMB78" s="497"/>
      <c r="WMC78" s="497"/>
      <c r="WMD78" s="497"/>
      <c r="WME78" s="497"/>
      <c r="WMF78" s="497"/>
      <c r="WMG78" s="497"/>
      <c r="WMH78" s="497"/>
      <c r="WMI78" s="497"/>
      <c r="WMJ78" s="497"/>
      <c r="WMK78" s="497"/>
      <c r="WML78" s="497"/>
      <c r="WMM78" s="497"/>
      <c r="WMN78" s="497"/>
      <c r="WMO78" s="497"/>
      <c r="WMP78" s="497"/>
      <c r="WMQ78" s="497"/>
      <c r="WMR78" s="497"/>
      <c r="WMS78" s="497"/>
      <c r="WMT78" s="497"/>
      <c r="WMU78" s="497"/>
      <c r="WMV78" s="497"/>
      <c r="WMW78" s="497"/>
      <c r="WMX78" s="497"/>
      <c r="WMY78" s="497"/>
      <c r="WMZ78" s="497"/>
      <c r="WNA78" s="497"/>
      <c r="WNB78" s="497"/>
      <c r="WNC78" s="497"/>
      <c r="WND78" s="497"/>
      <c r="WNE78" s="497"/>
      <c r="WNF78" s="497"/>
      <c r="WNG78" s="497"/>
      <c r="WNH78" s="497"/>
      <c r="WNI78" s="497"/>
      <c r="WNJ78" s="497"/>
      <c r="WNK78" s="497"/>
      <c r="WNL78" s="497"/>
      <c r="WNM78" s="497"/>
      <c r="WNN78" s="497"/>
      <c r="WNO78" s="497"/>
      <c r="WNP78" s="497"/>
      <c r="WNQ78" s="497"/>
      <c r="WNR78" s="497"/>
      <c r="WNS78" s="497"/>
      <c r="WNT78" s="497"/>
      <c r="WNU78" s="497"/>
      <c r="WNV78" s="497"/>
      <c r="WNW78" s="497"/>
      <c r="WNX78" s="497"/>
      <c r="WNY78" s="497"/>
      <c r="WNZ78" s="497"/>
      <c r="WOA78" s="497"/>
      <c r="WOB78" s="497"/>
      <c r="WOC78" s="497"/>
      <c r="WOD78" s="497"/>
      <c r="WOE78" s="497"/>
      <c r="WOF78" s="497"/>
      <c r="WOG78" s="497"/>
      <c r="WOH78" s="497"/>
      <c r="WOI78" s="497"/>
      <c r="WOJ78" s="497"/>
      <c r="WOK78" s="497"/>
      <c r="WOL78" s="497"/>
      <c r="WOM78" s="497"/>
      <c r="WON78" s="497"/>
      <c r="WOO78" s="497"/>
      <c r="WOP78" s="497"/>
      <c r="WOQ78" s="497"/>
      <c r="WOR78" s="497"/>
      <c r="WOS78" s="497"/>
      <c r="WOT78" s="497"/>
      <c r="WOU78" s="497"/>
      <c r="WOV78" s="497"/>
      <c r="WOW78" s="497"/>
      <c r="WOX78" s="497"/>
      <c r="WOY78" s="497"/>
      <c r="WOZ78" s="497"/>
      <c r="WPA78" s="497"/>
      <c r="WPB78" s="497"/>
      <c r="WPC78" s="497"/>
      <c r="WPD78" s="497"/>
      <c r="WPE78" s="497"/>
      <c r="WPF78" s="497"/>
      <c r="WPG78" s="497"/>
      <c r="WPH78" s="497"/>
      <c r="WPI78" s="497"/>
      <c r="WPJ78" s="497"/>
      <c r="WPK78" s="497"/>
      <c r="WPL78" s="497"/>
      <c r="WPM78" s="497"/>
      <c r="WPN78" s="497"/>
      <c r="WPO78" s="497"/>
      <c r="WPP78" s="497"/>
      <c r="WPQ78" s="497"/>
      <c r="WPR78" s="497"/>
      <c r="WPS78" s="497"/>
      <c r="WPT78" s="497"/>
      <c r="WPU78" s="497"/>
      <c r="WPV78" s="497"/>
      <c r="WPW78" s="497"/>
      <c r="WPX78" s="497"/>
      <c r="WPY78" s="497"/>
      <c r="WPZ78" s="497"/>
      <c r="WQA78" s="497"/>
      <c r="WQB78" s="497"/>
      <c r="WQC78" s="497"/>
      <c r="WQD78" s="497"/>
      <c r="WQE78" s="497"/>
      <c r="WQF78" s="497"/>
      <c r="WQG78" s="497"/>
      <c r="WQH78" s="497"/>
      <c r="WQI78" s="497"/>
      <c r="WQJ78" s="497"/>
      <c r="WQK78" s="497"/>
      <c r="WQL78" s="497"/>
      <c r="WQM78" s="497"/>
      <c r="WQN78" s="497"/>
      <c r="WQO78" s="497"/>
      <c r="WQP78" s="497"/>
      <c r="WQQ78" s="497"/>
      <c r="WQR78" s="497"/>
      <c r="WQS78" s="497"/>
      <c r="WQT78" s="497"/>
      <c r="WQU78" s="497"/>
      <c r="WQV78" s="497"/>
      <c r="WQW78" s="497"/>
      <c r="WQX78" s="497"/>
      <c r="WQY78" s="497"/>
      <c r="WQZ78" s="497"/>
      <c r="WRA78" s="497"/>
      <c r="WRB78" s="497"/>
      <c r="WRC78" s="497"/>
      <c r="WRD78" s="497"/>
      <c r="WRE78" s="497"/>
      <c r="WRF78" s="497"/>
      <c r="WRG78" s="497"/>
      <c r="WRH78" s="497"/>
      <c r="WRI78" s="497"/>
      <c r="WRJ78" s="497"/>
      <c r="WRK78" s="497"/>
      <c r="WRL78" s="497"/>
      <c r="WRM78" s="497"/>
      <c r="WRN78" s="497"/>
      <c r="WRO78" s="497"/>
      <c r="WRP78" s="497"/>
      <c r="WRQ78" s="497"/>
      <c r="WRR78" s="497"/>
      <c r="WRS78" s="497"/>
      <c r="WRT78" s="497"/>
      <c r="WRU78" s="497"/>
      <c r="WRV78" s="497"/>
      <c r="WRW78" s="497"/>
      <c r="WRX78" s="497"/>
      <c r="WRY78" s="497"/>
      <c r="WRZ78" s="497"/>
      <c r="WSA78" s="497"/>
      <c r="WSB78" s="497"/>
      <c r="WSC78" s="497"/>
      <c r="WSD78" s="497"/>
      <c r="WSE78" s="497"/>
      <c r="WSF78" s="497"/>
      <c r="WSG78" s="497"/>
      <c r="WSH78" s="497"/>
      <c r="WSI78" s="497"/>
      <c r="WSJ78" s="497"/>
      <c r="WSK78" s="497"/>
      <c r="WSL78" s="497"/>
      <c r="WSM78" s="497"/>
      <c r="WSN78" s="497"/>
      <c r="WSO78" s="497"/>
      <c r="WSP78" s="497"/>
      <c r="WSQ78" s="497"/>
      <c r="WSR78" s="497"/>
      <c r="WSS78" s="497"/>
      <c r="WST78" s="497"/>
      <c r="WSU78" s="497"/>
      <c r="WSV78" s="497"/>
      <c r="WSW78" s="497"/>
      <c r="WSX78" s="497"/>
      <c r="WSY78" s="497"/>
      <c r="WSZ78" s="497"/>
      <c r="WTA78" s="497"/>
      <c r="WTB78" s="497"/>
      <c r="WTC78" s="497"/>
      <c r="WTD78" s="497"/>
      <c r="WTE78" s="497"/>
      <c r="WTF78" s="497"/>
      <c r="WTG78" s="497"/>
      <c r="WTH78" s="497"/>
      <c r="WTI78" s="497"/>
      <c r="WTJ78" s="497"/>
      <c r="WTK78" s="497"/>
      <c r="WTL78" s="497"/>
      <c r="WTM78" s="497"/>
      <c r="WTN78" s="497"/>
      <c r="WTO78" s="497"/>
      <c r="WTP78" s="497"/>
      <c r="WTQ78" s="497"/>
      <c r="WTR78" s="497"/>
      <c r="WTS78" s="497"/>
      <c r="WTT78" s="497"/>
      <c r="WTU78" s="497"/>
      <c r="WTV78" s="497"/>
      <c r="WTW78" s="497"/>
      <c r="WTX78" s="497"/>
      <c r="WTY78" s="497"/>
      <c r="WTZ78" s="497"/>
      <c r="WUA78" s="497"/>
      <c r="WUB78" s="497"/>
      <c r="WUC78" s="497"/>
      <c r="WUD78" s="497"/>
      <c r="WUE78" s="497"/>
      <c r="WUF78" s="497"/>
      <c r="WUG78" s="497"/>
      <c r="WUH78" s="497"/>
      <c r="WUI78" s="497"/>
      <c r="WUJ78" s="497"/>
      <c r="WUK78" s="497"/>
      <c r="WUL78" s="497"/>
      <c r="WUM78" s="497"/>
      <c r="WUN78" s="497"/>
      <c r="WUO78" s="497"/>
      <c r="WUP78" s="497"/>
      <c r="WUQ78" s="497"/>
      <c r="WUR78" s="497"/>
      <c r="WUS78" s="497"/>
      <c r="WUT78" s="497"/>
      <c r="WUU78" s="497"/>
      <c r="WUV78" s="497"/>
      <c r="WUW78" s="497"/>
      <c r="WUX78" s="497"/>
      <c r="WUY78" s="497"/>
      <c r="WUZ78" s="497"/>
      <c r="WVA78" s="497"/>
      <c r="WVB78" s="497"/>
      <c r="WVC78" s="497"/>
      <c r="WVD78" s="497"/>
      <c r="WVE78" s="497"/>
      <c r="WVF78" s="497"/>
      <c r="WVG78" s="497"/>
      <c r="WVH78" s="497"/>
      <c r="WVI78" s="497"/>
      <c r="WVJ78" s="497"/>
      <c r="WVK78" s="497"/>
      <c r="WVL78" s="497"/>
      <c r="WVM78" s="497"/>
      <c r="WVN78" s="497"/>
      <c r="WVO78" s="497"/>
      <c r="WVP78" s="497"/>
      <c r="WVQ78" s="497"/>
      <c r="WVR78" s="497"/>
      <c r="WVS78" s="497"/>
      <c r="WVT78" s="497"/>
      <c r="WVU78" s="497"/>
      <c r="WVV78" s="497"/>
      <c r="WVW78" s="497"/>
      <c r="WVX78" s="497"/>
      <c r="WVY78" s="497"/>
      <c r="WVZ78" s="497"/>
      <c r="WWA78" s="497"/>
      <c r="WWB78" s="497"/>
      <c r="WWC78" s="497"/>
      <c r="WWD78" s="497"/>
      <c r="WWE78" s="497"/>
      <c r="WWF78" s="497"/>
      <c r="WWG78" s="497"/>
      <c r="WWH78" s="497"/>
      <c r="WWI78" s="497"/>
      <c r="WWJ78" s="497"/>
      <c r="WWK78" s="497"/>
      <c r="WWL78" s="497"/>
      <c r="WWM78" s="497"/>
      <c r="WWN78" s="497"/>
      <c r="WWO78" s="497"/>
      <c r="WWP78" s="497"/>
      <c r="WWQ78" s="497"/>
      <c r="WWR78" s="497"/>
      <c r="WWS78" s="497"/>
      <c r="WWT78" s="497"/>
      <c r="WWU78" s="497"/>
      <c r="WWV78" s="497"/>
      <c r="WWW78" s="497"/>
      <c r="WWX78" s="497"/>
      <c r="WWY78" s="497"/>
      <c r="WWZ78" s="497"/>
      <c r="WXA78" s="497"/>
      <c r="WXB78" s="497"/>
      <c r="WXC78" s="497"/>
      <c r="WXD78" s="497"/>
      <c r="WXE78" s="497"/>
      <c r="WXF78" s="497"/>
      <c r="WXG78" s="497"/>
      <c r="WXH78" s="497"/>
      <c r="WXI78" s="497"/>
      <c r="WXJ78" s="497"/>
      <c r="WXK78" s="497"/>
      <c r="WXL78" s="497"/>
      <c r="WXM78" s="497"/>
      <c r="WXN78" s="497"/>
      <c r="WXO78" s="497"/>
      <c r="WXP78" s="497"/>
      <c r="WXQ78" s="497"/>
      <c r="WXR78" s="497"/>
      <c r="WXS78" s="497"/>
      <c r="WXT78" s="497"/>
      <c r="WXU78" s="497"/>
      <c r="WXV78" s="497"/>
      <c r="WXW78" s="497"/>
      <c r="WXX78" s="497"/>
      <c r="WXY78" s="497"/>
      <c r="WXZ78" s="497"/>
      <c r="WYA78" s="497"/>
      <c r="WYB78" s="497"/>
      <c r="WYC78" s="497"/>
      <c r="WYD78" s="497"/>
      <c r="WYE78" s="497"/>
      <c r="WYF78" s="497"/>
      <c r="WYG78" s="497"/>
      <c r="WYH78" s="497"/>
      <c r="WYI78" s="497"/>
      <c r="WYJ78" s="497"/>
      <c r="WYK78" s="497"/>
      <c r="WYL78" s="497"/>
      <c r="WYM78" s="497"/>
      <c r="WYN78" s="497"/>
      <c r="WYO78" s="497"/>
      <c r="WYP78" s="497"/>
      <c r="WYQ78" s="497"/>
      <c r="WYR78" s="497"/>
      <c r="WYS78" s="497"/>
      <c r="WYT78" s="497"/>
      <c r="WYU78" s="497"/>
      <c r="WYV78" s="497"/>
      <c r="WYW78" s="497"/>
      <c r="WYX78" s="497"/>
      <c r="WYY78" s="497"/>
      <c r="WYZ78" s="497"/>
      <c r="WZA78" s="497"/>
      <c r="WZB78" s="497"/>
      <c r="WZC78" s="497"/>
      <c r="WZD78" s="497"/>
      <c r="WZE78" s="497"/>
      <c r="WZF78" s="497"/>
      <c r="WZG78" s="497"/>
      <c r="WZH78" s="497"/>
      <c r="WZI78" s="497"/>
      <c r="WZJ78" s="497"/>
      <c r="WZK78" s="497"/>
      <c r="WZL78" s="497"/>
      <c r="WZM78" s="497"/>
      <c r="WZN78" s="497"/>
      <c r="WZO78" s="497"/>
      <c r="WZP78" s="497"/>
      <c r="WZQ78" s="497"/>
      <c r="WZR78" s="497"/>
      <c r="WZS78" s="497"/>
      <c r="WZT78" s="497"/>
      <c r="WZU78" s="497"/>
      <c r="WZV78" s="497"/>
      <c r="WZW78" s="497"/>
      <c r="WZX78" s="497"/>
      <c r="WZY78" s="497"/>
      <c r="WZZ78" s="497"/>
      <c r="XAA78" s="497"/>
      <c r="XAB78" s="497"/>
      <c r="XAC78" s="497"/>
      <c r="XAD78" s="497"/>
      <c r="XAE78" s="497"/>
      <c r="XAF78" s="497"/>
      <c r="XAG78" s="497"/>
      <c r="XAH78" s="497"/>
      <c r="XAI78" s="497"/>
      <c r="XAJ78" s="497"/>
      <c r="XAK78" s="497"/>
      <c r="XAL78" s="497"/>
      <c r="XAM78" s="497"/>
      <c r="XAN78" s="497"/>
      <c r="XAO78" s="497"/>
      <c r="XAP78" s="497"/>
      <c r="XAQ78" s="497"/>
      <c r="XAR78" s="497"/>
      <c r="XAS78" s="497"/>
      <c r="XAT78" s="497"/>
      <c r="XAU78" s="497"/>
      <c r="XAV78" s="497"/>
      <c r="XAW78" s="497"/>
      <c r="XAX78" s="497"/>
      <c r="XAY78" s="497"/>
      <c r="XAZ78" s="497"/>
      <c r="XBA78" s="497"/>
      <c r="XBB78" s="497"/>
      <c r="XBC78" s="497"/>
      <c r="XBD78" s="497"/>
      <c r="XBE78" s="497"/>
      <c r="XBF78" s="497"/>
      <c r="XBG78" s="497"/>
      <c r="XBH78" s="497"/>
      <c r="XBI78" s="497"/>
      <c r="XBJ78" s="497"/>
      <c r="XBK78" s="497"/>
      <c r="XBL78" s="497"/>
      <c r="XBM78" s="497"/>
      <c r="XBN78" s="497"/>
      <c r="XBO78" s="497"/>
      <c r="XBP78" s="497"/>
      <c r="XBQ78" s="497"/>
      <c r="XBR78" s="497"/>
      <c r="XBS78" s="497"/>
      <c r="XBT78" s="497"/>
      <c r="XBU78" s="497"/>
      <c r="XBV78" s="497"/>
      <c r="XBW78" s="497"/>
      <c r="XBX78" s="497"/>
      <c r="XBY78" s="497"/>
      <c r="XBZ78" s="497"/>
      <c r="XCA78" s="497"/>
      <c r="XCB78" s="497"/>
      <c r="XCC78" s="497"/>
      <c r="XCD78" s="497"/>
      <c r="XCE78" s="497"/>
      <c r="XCF78" s="497"/>
      <c r="XCG78" s="497"/>
      <c r="XCH78" s="497"/>
      <c r="XCI78" s="497"/>
      <c r="XCJ78" s="497"/>
      <c r="XCK78" s="497"/>
      <c r="XCL78" s="497"/>
      <c r="XCM78" s="497"/>
      <c r="XCN78" s="497"/>
      <c r="XCO78" s="497"/>
      <c r="XCP78" s="497"/>
      <c r="XCQ78" s="497"/>
      <c r="XCR78" s="497"/>
      <c r="XCS78" s="497"/>
      <c r="XCT78" s="497"/>
      <c r="XCU78" s="497"/>
      <c r="XCV78" s="497"/>
      <c r="XCW78" s="497"/>
      <c r="XCX78" s="497"/>
      <c r="XCY78" s="497"/>
      <c r="XCZ78" s="497"/>
      <c r="XDA78" s="497"/>
      <c r="XDB78" s="497"/>
      <c r="XDC78" s="497"/>
      <c r="XDD78" s="497"/>
      <c r="XDE78" s="497"/>
      <c r="XDF78" s="497"/>
      <c r="XDG78" s="497"/>
      <c r="XDH78" s="497"/>
      <c r="XDI78" s="497"/>
      <c r="XDJ78" s="497"/>
      <c r="XDK78" s="497"/>
      <c r="XDL78" s="497"/>
      <c r="XDM78" s="497"/>
      <c r="XDN78" s="497"/>
      <c r="XDO78" s="497"/>
      <c r="XDP78" s="497"/>
      <c r="XDQ78" s="497"/>
      <c r="XDR78" s="497"/>
      <c r="XDS78" s="497"/>
      <c r="XDT78" s="497"/>
      <c r="XDU78" s="497"/>
      <c r="XDV78" s="497"/>
      <c r="XDW78" s="497"/>
      <c r="XDX78" s="497"/>
      <c r="XDY78" s="497"/>
      <c r="XDZ78" s="497"/>
      <c r="XEA78" s="497"/>
      <c r="XEB78" s="497"/>
      <c r="XEC78" s="497"/>
      <c r="XED78" s="497"/>
      <c r="XEE78" s="497"/>
      <c r="XEF78" s="497"/>
      <c r="XEG78" s="497"/>
      <c r="XEH78" s="497"/>
      <c r="XEI78" s="497"/>
      <c r="XEJ78" s="497"/>
      <c r="XEK78" s="497"/>
      <c r="XEL78" s="497"/>
      <c r="XEM78" s="497"/>
      <c r="XEN78" s="497"/>
      <c r="XEO78" s="497"/>
      <c r="XEP78" s="497"/>
      <c r="XEQ78" s="497"/>
      <c r="XER78" s="497"/>
      <c r="XES78" s="497"/>
      <c r="XET78" s="497"/>
      <c r="XEU78" s="497"/>
      <c r="XEV78" s="497"/>
      <c r="XEW78" s="497"/>
      <c r="XEX78" s="497"/>
      <c r="XEY78" s="497"/>
      <c r="XEZ78" s="497"/>
      <c r="XFA78" s="497"/>
      <c r="XFB78" s="497"/>
      <c r="XFC78" s="497"/>
      <c r="XFD78" s="497"/>
    </row>
    <row r="79" spans="1:16384" s="497" customFormat="1">
      <c r="A79" s="2091" t="s">
        <v>1096</v>
      </c>
      <c r="B79" s="2070" t="e">
        <f ca="1">mirror*ROUND(House!B47*COS($H$6)-House!B48*SIN($H$6),3)</f>
        <v>#REF!</v>
      </c>
      <c r="C79" s="505" t="e">
        <f ca="1">mirror*ROUND(House!C47*COS($H$6)-House!C48*SIN($H$6),3)</f>
        <v>#REF!</v>
      </c>
      <c r="D79" s="505" t="e">
        <f ca="1">mirror*ROUND(House!D47*COS($H$6)-House!D48*SIN($H$6),3)</f>
        <v>#REF!</v>
      </c>
      <c r="E79" s="505" t="e">
        <f ca="1">mirror*ROUND(House!E47*COS($H$6)-House!E48*SIN($H$6),3)</f>
        <v>#REF!</v>
      </c>
      <c r="F79" s="505" t="e">
        <f ca="1">mirror*ROUND(House!F47*COS($H$6)-House!F48*SIN($H$6),3)</f>
        <v>#REF!</v>
      </c>
      <c r="G79" s="505" t="e">
        <f ca="1">mirror*ROUND(House!G47*COS($H$6)-House!G48*SIN($H$6),3)</f>
        <v>#REF!</v>
      </c>
      <c r="H79" s="505" t="e">
        <f ca="1">mirror*ROUND(House!H47*COS($H$6)-House!H48*SIN($H$6),3)</f>
        <v>#REF!</v>
      </c>
      <c r="I79" s="505" t="e">
        <f ca="1">mirror*ROUND(House!I47*COS($H$6)-House!I48*SIN($H$6),3)</f>
        <v>#REF!</v>
      </c>
      <c r="J79" s="505" t="e">
        <f ca="1">mirror*ROUND(House!J47*COS($H$6)-House!J48*SIN($H$6),3)</f>
        <v>#REF!</v>
      </c>
      <c r="K79" s="505" t="e">
        <f ca="1">mirror*ROUND(House!K47*COS($H$6)-House!K48*SIN($H$6),3)</f>
        <v>#REF!</v>
      </c>
      <c r="L79" s="510"/>
      <c r="M79" s="510"/>
      <c r="N79" s="510"/>
      <c r="O79" s="510"/>
      <c r="P79" s="510"/>
      <c r="Q79" s="510"/>
      <c r="R79" s="510"/>
      <c r="S79" s="510"/>
      <c r="T79" s="510"/>
      <c r="U79" s="510"/>
      <c r="V79" s="510"/>
      <c r="W79" s="510"/>
      <c r="X79" s="510"/>
      <c r="Y79" s="510"/>
      <c r="Z79" s="510"/>
      <c r="AA79" s="510"/>
      <c r="AB79" s="510"/>
      <c r="AC79" s="510"/>
      <c r="AD79" s="510"/>
      <c r="AE79" s="510"/>
      <c r="AF79" s="510"/>
      <c r="AG79" s="510"/>
      <c r="AH79" s="510"/>
      <c r="AI79" s="510"/>
      <c r="AJ79" s="1340"/>
    </row>
    <row r="80" spans="1:16384" s="497" customFormat="1" ht="15.75" thickBot="1">
      <c r="A80" s="2420" t="s">
        <v>1097</v>
      </c>
      <c r="B80" s="2421" t="e">
        <f ca="1">IF(B$76=0,0,ROUND(House!B47*SIN($H$6)+House!B48*COS($H$6),3)+Center_H)</f>
        <v>#REF!</v>
      </c>
      <c r="C80" s="535" t="e">
        <f ca="1">IF(C$76=0,0,ROUND(House!C47*SIN($H$6)+House!C48*COS($H$6),3)+Center_H)</f>
        <v>#REF!</v>
      </c>
      <c r="D80" s="535" t="e">
        <f ca="1">IF(D$76=0,0,ROUND(House!D47*SIN($H$6)+House!D48*COS($H$6),3)+Center_H)</f>
        <v>#REF!</v>
      </c>
      <c r="E80" s="535" t="e">
        <f ca="1">IF(E$76=0,0,ROUND(House!E47*SIN($H$6)+House!E48*COS($H$6),3)+Center_H)</f>
        <v>#REF!</v>
      </c>
      <c r="F80" s="535" t="e">
        <f ca="1">IF(F$76=0,0,ROUND(House!F47*SIN($H$6)+House!F48*COS($H$6),3)+Center_H)</f>
        <v>#REF!</v>
      </c>
      <c r="G80" s="535" t="e">
        <f ca="1">IF(G$76=0,0,ROUND(House!G47*SIN($H$6)+House!G48*COS($H$6),3)+Center_H)</f>
        <v>#REF!</v>
      </c>
      <c r="H80" s="535" t="e">
        <f ca="1">IF(H$76=0,0,ROUND(House!H47*SIN($H$6)+House!H48*COS($H$6),3)+Center_H)</f>
        <v>#REF!</v>
      </c>
      <c r="I80" s="535" t="e">
        <f ca="1">IF(I$76=0,0,ROUND(House!I47*SIN($H$6)+House!I48*COS($H$6),3)+Center_H)</f>
        <v>#REF!</v>
      </c>
      <c r="J80" s="535" t="e">
        <f ca="1">IF(J$76=0,0,ROUND(House!J47*SIN($H$6)+House!J48*COS($H$6),3)+Center_H)</f>
        <v>#REF!</v>
      </c>
      <c r="K80" s="535" t="e">
        <f ca="1">IF(K$76=0,0,ROUND(House!K47*SIN($H$6)+House!K48*COS($H$6),3)+Center_H)</f>
        <v>#REF!</v>
      </c>
      <c r="L80" s="547"/>
      <c r="M80" s="547"/>
      <c r="N80" s="547"/>
      <c r="O80" s="547"/>
      <c r="P80" s="547"/>
      <c r="Q80" s="547"/>
      <c r="R80" s="547"/>
      <c r="S80" s="547"/>
      <c r="T80" s="547"/>
      <c r="U80" s="547"/>
      <c r="V80" s="547"/>
      <c r="W80" s="547"/>
      <c r="X80" s="547"/>
      <c r="Y80" s="547"/>
      <c r="Z80" s="547"/>
      <c r="AA80" s="547"/>
      <c r="AB80" s="547"/>
      <c r="AC80" s="547"/>
      <c r="AD80" s="547"/>
      <c r="AE80" s="547"/>
      <c r="AF80" s="547"/>
      <c r="AG80" s="547"/>
      <c r="AH80" s="547"/>
      <c r="AI80" s="547"/>
      <c r="AJ80" s="1377"/>
    </row>
    <row r="81" spans="1:36" s="497" customFormat="1">
      <c r="A81" s="2091"/>
      <c r="B81" s="1366"/>
      <c r="C81" s="510"/>
      <c r="D81" s="510"/>
      <c r="E81" s="510"/>
      <c r="F81" s="510"/>
      <c r="G81" s="510"/>
      <c r="H81" s="510"/>
      <c r="I81" s="510"/>
      <c r="J81" s="510"/>
      <c r="K81" s="510"/>
      <c r="L81" s="510"/>
      <c r="M81" s="510"/>
      <c r="N81" s="510"/>
      <c r="O81" s="510"/>
      <c r="P81" s="510"/>
      <c r="Q81" s="510"/>
      <c r="R81" s="510"/>
      <c r="S81" s="510"/>
      <c r="T81" s="510"/>
      <c r="U81" s="510"/>
      <c r="V81" s="510"/>
      <c r="W81" s="510"/>
      <c r="X81" s="510"/>
      <c r="Y81" s="510"/>
      <c r="Z81" s="510"/>
      <c r="AA81" s="510"/>
      <c r="AB81" s="510"/>
      <c r="AC81" s="510"/>
      <c r="AD81" s="510"/>
      <c r="AE81" s="510"/>
      <c r="AF81" s="510"/>
      <c r="AG81" s="510"/>
      <c r="AH81" s="510"/>
      <c r="AI81" s="510"/>
      <c r="AJ81" s="1340"/>
    </row>
    <row r="82" spans="1:36">
      <c r="A82" s="526"/>
      <c r="B82" s="518"/>
      <c r="C82" s="518"/>
      <c r="D82" s="518"/>
      <c r="E82" s="518"/>
      <c r="F82" s="518"/>
      <c r="G82" s="518"/>
      <c r="H82" s="518"/>
      <c r="I82" s="518"/>
      <c r="J82" s="518"/>
      <c r="K82" s="518"/>
      <c r="L82" s="518"/>
      <c r="M82" s="518"/>
      <c r="N82" s="518"/>
      <c r="O82" s="518"/>
      <c r="P82" s="518"/>
      <c r="Q82" s="518"/>
      <c r="R82" s="518"/>
      <c r="S82" s="518"/>
      <c r="T82" s="518"/>
      <c r="U82" s="518"/>
      <c r="V82" s="518"/>
      <c r="W82" s="518"/>
      <c r="X82" s="518"/>
      <c r="Y82" s="518"/>
      <c r="Z82" s="518"/>
      <c r="AA82" s="518"/>
      <c r="AB82" s="518"/>
      <c r="AC82" s="518"/>
      <c r="AD82" s="518"/>
      <c r="AE82" s="518"/>
      <c r="AF82" s="518"/>
      <c r="AG82" s="518"/>
      <c r="AH82" s="518"/>
      <c r="AI82" s="518"/>
      <c r="AJ82" s="527"/>
    </row>
    <row r="83" spans="1:36">
      <c r="A83" s="526"/>
      <c r="B83" s="518"/>
      <c r="C83" s="518"/>
      <c r="D83" s="518"/>
      <c r="E83" s="518"/>
      <c r="F83" s="518"/>
      <c r="G83" s="518"/>
      <c r="H83" s="518"/>
      <c r="I83" s="518"/>
      <c r="J83" s="518"/>
      <c r="K83" s="518"/>
      <c r="L83" s="518"/>
      <c r="M83" s="518"/>
      <c r="N83" s="518"/>
      <c r="O83" s="518"/>
      <c r="P83" s="518"/>
      <c r="Q83" s="518"/>
      <c r="R83" s="518"/>
      <c r="S83" s="518"/>
      <c r="T83" s="518"/>
      <c r="U83" s="518"/>
      <c r="V83" s="518"/>
      <c r="W83" s="518"/>
      <c r="X83" s="518"/>
      <c r="Y83" s="518"/>
      <c r="Z83" s="518"/>
      <c r="AA83" s="518"/>
      <c r="AB83" s="518"/>
      <c r="AC83" s="518"/>
      <c r="AD83" s="518"/>
      <c r="AE83" s="518"/>
      <c r="AF83" s="518"/>
      <c r="AG83" s="518"/>
      <c r="AH83" s="518"/>
      <c r="AI83" s="518"/>
      <c r="AJ83" s="527"/>
    </row>
    <row r="84" spans="1:36">
      <c r="A84" s="526"/>
      <c r="B84" s="518"/>
      <c r="C84" s="518"/>
      <c r="D84" s="518"/>
      <c r="E84" s="518"/>
      <c r="F84" s="518"/>
      <c r="G84" s="518"/>
      <c r="H84" s="518"/>
      <c r="I84" s="518"/>
      <c r="J84" s="518"/>
      <c r="K84" s="518"/>
      <c r="L84" s="518"/>
      <c r="M84" s="518"/>
      <c r="N84" s="518"/>
      <c r="O84" s="518"/>
      <c r="P84" s="518"/>
      <c r="Q84" s="518"/>
      <c r="R84" s="518"/>
      <c r="S84" s="518"/>
      <c r="T84" s="518"/>
      <c r="U84" s="518"/>
      <c r="V84" s="518"/>
      <c r="W84" s="518"/>
      <c r="X84" s="518"/>
      <c r="Y84" s="518"/>
      <c r="Z84" s="518"/>
      <c r="AA84" s="518"/>
      <c r="AB84" s="518"/>
      <c r="AC84" s="518"/>
      <c r="AD84" s="518"/>
      <c r="AE84" s="518"/>
      <c r="AF84" s="518"/>
      <c r="AG84" s="518"/>
      <c r="AH84" s="518"/>
      <c r="AI84" s="518"/>
      <c r="AJ84" s="527"/>
    </row>
    <row r="85" spans="1:36">
      <c r="A85" s="526"/>
      <c r="B85" s="518"/>
      <c r="C85" s="518"/>
      <c r="D85" s="518"/>
      <c r="E85" s="518"/>
      <c r="F85" s="518"/>
      <c r="G85" s="518"/>
      <c r="H85" s="518"/>
      <c r="I85" s="518"/>
      <c r="J85" s="518"/>
      <c r="K85" s="518"/>
      <c r="L85" s="518"/>
      <c r="M85" s="518"/>
      <c r="N85" s="518"/>
      <c r="O85" s="518"/>
      <c r="P85" s="518"/>
      <c r="Q85" s="518"/>
      <c r="R85" s="518"/>
      <c r="S85" s="518"/>
      <c r="T85" s="518"/>
      <c r="U85" s="518"/>
      <c r="V85" s="518"/>
      <c r="W85" s="518"/>
      <c r="X85" s="518"/>
      <c r="Y85" s="518"/>
      <c r="Z85" s="518"/>
      <c r="AA85" s="518"/>
      <c r="AB85" s="518"/>
      <c r="AC85" s="518"/>
      <c r="AD85" s="518"/>
      <c r="AE85" s="518"/>
      <c r="AF85" s="518"/>
      <c r="AG85" s="518"/>
      <c r="AH85" s="518"/>
      <c r="AI85" s="518"/>
      <c r="AJ85" s="527"/>
    </row>
    <row r="86" spans="1:36">
      <c r="A86" s="526"/>
      <c r="B86" s="518"/>
      <c r="C86" s="518"/>
      <c r="D86" s="518"/>
      <c r="E86" s="518"/>
      <c r="F86" s="518"/>
      <c r="G86" s="518"/>
      <c r="H86" s="518"/>
      <c r="I86" s="518"/>
      <c r="J86" s="518"/>
      <c r="K86" s="518"/>
      <c r="L86" s="518"/>
      <c r="M86" s="518"/>
      <c r="N86" s="518"/>
      <c r="O86" s="518"/>
      <c r="P86" s="518"/>
      <c r="Q86" s="518"/>
      <c r="R86" s="518"/>
      <c r="S86" s="518"/>
      <c r="T86" s="518"/>
      <c r="U86" s="518"/>
      <c r="V86" s="518"/>
      <c r="W86" s="518"/>
      <c r="X86" s="518"/>
      <c r="Y86" s="518"/>
      <c r="Z86" s="518"/>
      <c r="AA86" s="518"/>
      <c r="AB86" s="518"/>
      <c r="AC86" s="518"/>
      <c r="AD86" s="518"/>
      <c r="AE86" s="518"/>
      <c r="AF86" s="518"/>
      <c r="AG86" s="518"/>
      <c r="AH86" s="518"/>
      <c r="AI86" s="518"/>
      <c r="AJ86" s="527"/>
    </row>
    <row r="87" spans="1:36">
      <c r="A87" s="526"/>
      <c r="B87" s="518"/>
      <c r="C87" s="518"/>
      <c r="D87" s="518"/>
      <c r="E87" s="518"/>
      <c r="F87" s="518"/>
      <c r="G87" s="518"/>
      <c r="H87" s="518"/>
      <c r="I87" s="518"/>
      <c r="J87" s="518"/>
      <c r="K87" s="518"/>
      <c r="L87" s="518"/>
      <c r="M87" s="518"/>
      <c r="N87" s="518"/>
      <c r="O87" s="518"/>
      <c r="P87" s="518"/>
      <c r="Q87" s="518"/>
      <c r="R87" s="518"/>
      <c r="S87" s="518"/>
      <c r="T87" s="518"/>
      <c r="U87" s="518"/>
      <c r="V87" s="518"/>
      <c r="W87" s="518"/>
      <c r="X87" s="518"/>
      <c r="Y87" s="518"/>
      <c r="Z87" s="518"/>
      <c r="AA87" s="518"/>
      <c r="AB87" s="518"/>
      <c r="AC87" s="518"/>
      <c r="AD87" s="518"/>
      <c r="AE87" s="518"/>
      <c r="AF87" s="518"/>
      <c r="AG87" s="518"/>
      <c r="AH87" s="518"/>
      <c r="AI87" s="518"/>
      <c r="AJ87" s="527"/>
    </row>
    <row r="88" spans="1:36">
      <c r="A88" s="526"/>
      <c r="B88" s="518"/>
      <c r="C88" s="518"/>
      <c r="D88" s="518"/>
      <c r="E88" s="518"/>
      <c r="F88" s="518"/>
      <c r="G88" s="518"/>
      <c r="H88" s="518"/>
      <c r="I88" s="518"/>
      <c r="J88" s="518"/>
      <c r="K88" s="518"/>
      <c r="L88" s="518"/>
      <c r="M88" s="518"/>
      <c r="N88" s="518"/>
      <c r="O88" s="518"/>
      <c r="P88" s="518"/>
      <c r="Q88" s="518"/>
      <c r="R88" s="518"/>
      <c r="S88" s="518"/>
      <c r="T88" s="518"/>
      <c r="U88" s="518"/>
      <c r="V88" s="518"/>
      <c r="W88" s="518"/>
      <c r="X88" s="518"/>
      <c r="Y88" s="518"/>
      <c r="Z88" s="518"/>
      <c r="AA88" s="518"/>
      <c r="AB88" s="518"/>
      <c r="AC88" s="518"/>
      <c r="AD88" s="518"/>
      <c r="AE88" s="518"/>
      <c r="AF88" s="518"/>
      <c r="AG88" s="518"/>
      <c r="AH88" s="518"/>
      <c r="AI88" s="518"/>
      <c r="AJ88" s="527"/>
    </row>
    <row r="89" spans="1:36">
      <c r="A89" s="526"/>
      <c r="B89" s="518"/>
      <c r="C89" s="518"/>
      <c r="D89" s="518"/>
      <c r="E89" s="518"/>
      <c r="F89" s="518"/>
      <c r="G89" s="518"/>
      <c r="H89" s="518"/>
      <c r="I89" s="518"/>
      <c r="J89" s="518"/>
      <c r="K89" s="518"/>
      <c r="L89" s="518"/>
      <c r="M89" s="518"/>
      <c r="N89" s="518"/>
      <c r="O89" s="518"/>
      <c r="P89" s="518"/>
      <c r="Q89" s="518"/>
      <c r="R89" s="518"/>
      <c r="S89" s="518"/>
      <c r="T89" s="518"/>
      <c r="U89" s="518"/>
      <c r="V89" s="518"/>
      <c r="W89" s="518"/>
      <c r="X89" s="518"/>
      <c r="Y89" s="518"/>
      <c r="Z89" s="518"/>
      <c r="AA89" s="518"/>
      <c r="AB89" s="518"/>
      <c r="AC89" s="518"/>
      <c r="AD89" s="518"/>
      <c r="AE89" s="518"/>
      <c r="AF89" s="518"/>
      <c r="AG89" s="518"/>
      <c r="AH89" s="518"/>
      <c r="AI89" s="518"/>
      <c r="AJ89" s="527"/>
    </row>
    <row r="90" spans="1:36">
      <c r="A90" s="526"/>
      <c r="B90" s="518"/>
      <c r="C90" s="518"/>
      <c r="D90" s="518"/>
      <c r="E90" s="518"/>
      <c r="F90" s="518"/>
      <c r="G90" s="518"/>
      <c r="H90" s="518"/>
      <c r="I90" s="518"/>
      <c r="J90" s="518"/>
      <c r="K90" s="518"/>
      <c r="L90" s="518"/>
      <c r="M90" s="518"/>
      <c r="N90" s="518"/>
      <c r="O90" s="518"/>
      <c r="P90" s="518"/>
      <c r="Q90" s="518"/>
      <c r="R90" s="518"/>
      <c r="S90" s="518"/>
      <c r="T90" s="518"/>
      <c r="U90" s="518"/>
      <c r="V90" s="518"/>
      <c r="W90" s="518"/>
      <c r="X90" s="518"/>
      <c r="Y90" s="518"/>
      <c r="Z90" s="518"/>
      <c r="AA90" s="518"/>
      <c r="AB90" s="518"/>
      <c r="AC90" s="518"/>
      <c r="AD90" s="518"/>
      <c r="AE90" s="518"/>
      <c r="AF90" s="518"/>
      <c r="AG90" s="518"/>
      <c r="AH90" s="518"/>
      <c r="AI90" s="518"/>
      <c r="AJ90" s="527"/>
    </row>
    <row r="91" spans="1:36">
      <c r="A91" s="1275"/>
      <c r="B91" s="2454" t="s">
        <v>1264</v>
      </c>
      <c r="C91" s="518"/>
      <c r="D91" s="518"/>
      <c r="E91" s="518"/>
      <c r="F91" s="518"/>
      <c r="G91" s="518"/>
      <c r="H91" s="518"/>
      <c r="I91" s="518"/>
      <c r="J91" s="518"/>
      <c r="K91" s="518"/>
      <c r="L91" s="518"/>
      <c r="M91" s="518"/>
      <c r="N91" s="518"/>
      <c r="O91" s="518"/>
      <c r="P91" s="518"/>
      <c r="Q91" s="518"/>
      <c r="R91" s="518"/>
      <c r="S91" s="518"/>
      <c r="T91" s="518"/>
      <c r="U91" s="518"/>
      <c r="V91" s="518"/>
      <c r="W91" s="518"/>
      <c r="X91" s="518"/>
      <c r="Y91" s="518"/>
      <c r="Z91" s="518"/>
      <c r="AA91" s="518"/>
      <c r="AB91" s="518"/>
      <c r="AC91" s="518"/>
      <c r="AD91" s="518"/>
      <c r="AE91" s="518"/>
      <c r="AF91" s="518"/>
      <c r="AG91" s="518"/>
      <c r="AH91" s="518"/>
      <c r="AI91" s="518"/>
      <c r="AJ91" s="527"/>
    </row>
    <row r="92" spans="1:36" ht="15.75" thickBot="1">
      <c r="A92" s="1275"/>
      <c r="B92" s="2454"/>
      <c r="C92" s="518"/>
      <c r="D92" s="518"/>
      <c r="E92" s="518"/>
      <c r="F92" s="518"/>
      <c r="G92" s="518"/>
      <c r="H92" s="518"/>
      <c r="I92" s="518"/>
      <c r="J92" s="518"/>
      <c r="K92" s="518"/>
      <c r="L92" s="518"/>
      <c r="M92" s="518"/>
      <c r="N92" s="518"/>
      <c r="O92" s="518"/>
      <c r="P92" s="518"/>
      <c r="Q92" s="518"/>
      <c r="R92" s="518"/>
      <c r="S92" s="518"/>
      <c r="T92" s="518"/>
      <c r="U92" s="518"/>
      <c r="V92" s="518"/>
      <c r="W92" s="518"/>
      <c r="X92" s="518"/>
      <c r="Y92" s="518"/>
      <c r="Z92" s="518"/>
      <c r="AA92" s="518"/>
      <c r="AB92" s="518"/>
      <c r="AC92" s="518"/>
      <c r="AD92" s="518"/>
      <c r="AE92" s="518"/>
      <c r="AF92" s="518"/>
      <c r="AG92" s="518"/>
      <c r="AH92" s="518"/>
      <c r="AI92" s="518"/>
      <c r="AJ92" s="527"/>
    </row>
    <row r="93" spans="1:36">
      <c r="A93" s="1275"/>
      <c r="B93" s="3825" t="s">
        <v>1454</v>
      </c>
      <c r="C93" s="3826"/>
      <c r="D93" s="3826"/>
      <c r="E93" s="3826"/>
      <c r="F93" s="3826"/>
      <c r="G93" s="3826"/>
      <c r="H93" s="3826"/>
      <c r="I93" s="3826"/>
      <c r="J93" s="3826"/>
      <c r="K93" s="3826"/>
      <c r="L93" s="3826"/>
      <c r="M93" s="3826"/>
      <c r="N93" s="3827"/>
      <c r="O93" s="518"/>
      <c r="P93" s="518"/>
      <c r="Q93" s="518"/>
      <c r="R93" s="518"/>
      <c r="S93" s="518"/>
      <c r="T93" s="518"/>
      <c r="U93" s="518"/>
      <c r="V93" s="518"/>
      <c r="W93" s="518"/>
      <c r="X93" s="518"/>
      <c r="Y93" s="518"/>
      <c r="Z93" s="518"/>
      <c r="AA93" s="518"/>
      <c r="AB93" s="518"/>
      <c r="AC93" s="518"/>
      <c r="AD93" s="518"/>
      <c r="AE93" s="518"/>
      <c r="AF93" s="518"/>
      <c r="AG93" s="518"/>
      <c r="AH93" s="518"/>
      <c r="AI93" s="518"/>
      <c r="AJ93" s="527"/>
    </row>
    <row r="94" spans="1:36">
      <c r="A94" s="1275"/>
      <c r="B94" s="538" t="s">
        <v>1295</v>
      </c>
      <c r="C94" s="2402" t="s">
        <v>2565</v>
      </c>
      <c r="D94" s="2403"/>
      <c r="E94" s="2403"/>
      <c r="F94" s="2403"/>
      <c r="G94" s="3833" t="s">
        <v>2566</v>
      </c>
      <c r="H94" s="3834"/>
      <c r="I94" s="3834"/>
      <c r="J94" s="3834"/>
      <c r="K94" s="522"/>
      <c r="L94" s="521"/>
      <c r="M94" s="3831" t="s">
        <v>1100</v>
      </c>
      <c r="N94" s="3832"/>
      <c r="O94" s="518"/>
      <c r="P94" s="518"/>
      <c r="Q94" s="518"/>
      <c r="R94" s="518"/>
      <c r="S94" s="518"/>
      <c r="T94" s="518"/>
      <c r="U94" s="518"/>
      <c r="V94" s="518"/>
      <c r="W94" s="518"/>
      <c r="X94" s="518"/>
      <c r="Y94" s="518"/>
      <c r="Z94" s="518"/>
      <c r="AA94" s="518"/>
      <c r="AB94" s="518"/>
      <c r="AC94" s="518"/>
      <c r="AD94" s="518"/>
      <c r="AE94" s="518"/>
      <c r="AF94" s="518"/>
      <c r="AG94" s="518"/>
      <c r="AH94" s="518"/>
      <c r="AI94" s="518"/>
      <c r="AJ94" s="527"/>
    </row>
    <row r="95" spans="1:36">
      <c r="A95" s="526"/>
      <c r="B95" s="539" t="s">
        <v>110</v>
      </c>
      <c r="C95" s="540" t="s">
        <v>1122</v>
      </c>
      <c r="D95" s="541" t="s">
        <v>1123</v>
      </c>
      <c r="E95" s="541" t="s">
        <v>1124</v>
      </c>
      <c r="F95" s="542" t="s">
        <v>1125</v>
      </c>
      <c r="G95" s="541" t="s">
        <v>1122</v>
      </c>
      <c r="H95" s="541" t="s">
        <v>1123</v>
      </c>
      <c r="I95" s="541" t="s">
        <v>1124</v>
      </c>
      <c r="J95" s="541" t="s">
        <v>1125</v>
      </c>
      <c r="K95" s="522"/>
      <c r="L95" s="521"/>
      <c r="M95" s="457" t="s">
        <v>1101</v>
      </c>
      <c r="N95" s="456" t="s">
        <v>1102</v>
      </c>
      <c r="O95" s="518"/>
      <c r="P95" s="518"/>
      <c r="Q95" s="518"/>
      <c r="R95" s="518"/>
      <c r="S95" s="518"/>
      <c r="T95" s="518"/>
      <c r="U95" s="518"/>
      <c r="V95" s="518"/>
      <c r="W95" s="518"/>
      <c r="X95" s="518"/>
      <c r="Y95" s="518"/>
      <c r="Z95" s="518"/>
      <c r="AA95" s="518"/>
      <c r="AB95" s="518"/>
      <c r="AC95" s="518"/>
      <c r="AD95" s="518"/>
      <c r="AE95" s="518"/>
      <c r="AF95" s="518"/>
      <c r="AG95" s="518"/>
      <c r="AH95" s="518"/>
      <c r="AI95" s="518"/>
      <c r="AJ95" s="527"/>
    </row>
    <row r="96" spans="1:36">
      <c r="A96" s="526"/>
      <c r="B96" s="543"/>
      <c r="C96" s="522" t="s">
        <v>1114</v>
      </c>
      <c r="D96" s="518" t="s">
        <v>1116</v>
      </c>
      <c r="E96" s="518" t="s">
        <v>1115</v>
      </c>
      <c r="F96" s="521" t="s">
        <v>1117</v>
      </c>
      <c r="G96" s="518" t="s">
        <v>1114</v>
      </c>
      <c r="H96" s="518" t="s">
        <v>1116</v>
      </c>
      <c r="I96" s="518" t="s">
        <v>1115</v>
      </c>
      <c r="J96" s="518" t="s">
        <v>1117</v>
      </c>
      <c r="K96" s="522"/>
      <c r="L96" s="521"/>
      <c r="M96" s="510">
        <v>0</v>
      </c>
      <c r="N96" s="1340">
        <v>0</v>
      </c>
      <c r="O96" s="518"/>
      <c r="P96" s="518"/>
      <c r="Q96" s="518"/>
      <c r="R96" s="518"/>
      <c r="S96" s="518"/>
      <c r="T96" s="518"/>
      <c r="U96" s="518"/>
      <c r="V96" s="518"/>
      <c r="W96" s="518"/>
      <c r="X96" s="518"/>
      <c r="Y96" s="518"/>
      <c r="Z96" s="518"/>
      <c r="AA96" s="518"/>
      <c r="AB96" s="518"/>
      <c r="AC96" s="518"/>
      <c r="AD96" s="518"/>
      <c r="AE96" s="518"/>
      <c r="AF96" s="518"/>
      <c r="AG96" s="518"/>
      <c r="AH96" s="518"/>
      <c r="AI96" s="518"/>
      <c r="AJ96" s="527"/>
    </row>
    <row r="97" spans="1:36">
      <c r="A97" s="526"/>
      <c r="B97" s="543">
        <v>0</v>
      </c>
      <c r="C97" s="503">
        <v>0</v>
      </c>
      <c r="D97" s="510">
        <f>C97</f>
        <v>0</v>
      </c>
      <c r="E97" s="510">
        <f>C97+House_B_ins</f>
        <v>630</v>
      </c>
      <c r="F97" s="545">
        <f>E97</f>
        <v>630</v>
      </c>
      <c r="G97" s="510">
        <v>0</v>
      </c>
      <c r="H97" s="510">
        <f>G97</f>
        <v>0</v>
      </c>
      <c r="I97" s="510">
        <f>G97+House_B_ins</f>
        <v>630</v>
      </c>
      <c r="J97" s="510">
        <f>I97</f>
        <v>630</v>
      </c>
      <c r="K97" s="522"/>
      <c r="L97" s="521"/>
      <c r="M97" s="510">
        <f>-ROUNDUP(MAX(MAX(B97:J98),ABS(MIN(B97:J98)))/500,0)*500</f>
        <v>-3000</v>
      </c>
      <c r="N97" s="1340">
        <f>-M97</f>
        <v>3000</v>
      </c>
      <c r="O97" s="518"/>
      <c r="P97" s="518"/>
      <c r="Q97" s="518"/>
      <c r="R97" s="518"/>
      <c r="S97" s="518"/>
      <c r="T97" s="518"/>
      <c r="U97" s="518"/>
      <c r="V97" s="518"/>
      <c r="W97" s="518"/>
      <c r="X97" s="518"/>
      <c r="Y97" s="518"/>
      <c r="Z97" s="518"/>
      <c r="AA97" s="518"/>
      <c r="AB97" s="518"/>
      <c r="AC97" s="518"/>
      <c r="AD97" s="518"/>
      <c r="AE97" s="518"/>
      <c r="AF97" s="518"/>
      <c r="AG97" s="518"/>
      <c r="AH97" s="518"/>
      <c r="AI97" s="518"/>
      <c r="AJ97" s="527"/>
    </row>
    <row r="98" spans="1:36" ht="15.75" thickBot="1">
      <c r="A98" s="526"/>
      <c r="B98" s="534">
        <f>D58</f>
        <v>911.6</v>
      </c>
      <c r="C98" s="546">
        <f>MAX($D58:$X58)</f>
        <v>2745.4</v>
      </c>
      <c r="D98" s="547">
        <f>MIN($D58:$Y58)</f>
        <v>114.70000000000005</v>
      </c>
      <c r="E98" s="547">
        <f>C98</f>
        <v>2745.4</v>
      </c>
      <c r="F98" s="548">
        <f>D98</f>
        <v>114.70000000000005</v>
      </c>
      <c r="G98" s="547">
        <f>MAX($C58:$Y58)</f>
        <v>2745.4</v>
      </c>
      <c r="H98" s="547">
        <f>MIN($C58:$Y58)</f>
        <v>114.70000000000005</v>
      </c>
      <c r="I98" s="547">
        <f>G98</f>
        <v>2745.4</v>
      </c>
      <c r="J98" s="547">
        <f>H98</f>
        <v>114.70000000000005</v>
      </c>
      <c r="K98" s="549"/>
      <c r="L98" s="550"/>
      <c r="M98" s="547">
        <f>M97</f>
        <v>-3000</v>
      </c>
      <c r="N98" s="1377">
        <f>N97</f>
        <v>3000</v>
      </c>
      <c r="O98" s="518"/>
      <c r="P98" s="518"/>
      <c r="Q98" s="518"/>
      <c r="R98" s="518"/>
      <c r="S98" s="518"/>
      <c r="T98" s="518"/>
      <c r="U98" s="518"/>
      <c r="V98" s="518"/>
      <c r="W98" s="518"/>
      <c r="X98" s="518"/>
      <c r="Y98" s="518"/>
      <c r="Z98" s="518"/>
      <c r="AA98" s="518"/>
      <c r="AB98" s="518"/>
      <c r="AC98" s="518"/>
      <c r="AD98" s="518"/>
      <c r="AE98" s="518"/>
      <c r="AF98" s="518"/>
      <c r="AG98" s="518"/>
      <c r="AH98" s="518"/>
      <c r="AI98" s="518"/>
      <c r="AJ98" s="527"/>
    </row>
    <row r="99" spans="1:36">
      <c r="A99" s="526"/>
      <c r="B99" s="539" t="s">
        <v>21</v>
      </c>
      <c r="C99" s="540" t="s">
        <v>1122</v>
      </c>
      <c r="D99" s="541" t="s">
        <v>1123</v>
      </c>
      <c r="E99" s="541" t="s">
        <v>1124</v>
      </c>
      <c r="F99" s="542" t="s">
        <v>1125</v>
      </c>
      <c r="G99" s="541" t="s">
        <v>1122</v>
      </c>
      <c r="H99" s="541" t="s">
        <v>1123</v>
      </c>
      <c r="I99" s="541" t="s">
        <v>1124</v>
      </c>
      <c r="J99" s="541" t="s">
        <v>1125</v>
      </c>
      <c r="K99" s="522"/>
      <c r="L99" s="521"/>
      <c r="M99" s="1639" t="s">
        <v>1101</v>
      </c>
      <c r="N99" s="2140" t="s">
        <v>1102</v>
      </c>
      <c r="O99" s="518"/>
      <c r="P99" s="518"/>
      <c r="Q99" s="518"/>
      <c r="R99" s="518"/>
      <c r="S99" s="518"/>
      <c r="T99" s="518"/>
      <c r="U99" s="518"/>
      <c r="V99" s="518"/>
      <c r="W99" s="518"/>
      <c r="X99" s="518"/>
      <c r="Y99" s="518"/>
      <c r="Z99" s="518"/>
      <c r="AA99" s="518"/>
      <c r="AB99" s="518"/>
      <c r="AC99" s="518"/>
      <c r="AD99" s="518"/>
      <c r="AE99" s="518"/>
      <c r="AF99" s="518"/>
      <c r="AG99" s="518"/>
      <c r="AH99" s="518"/>
      <c r="AI99" s="518"/>
      <c r="AJ99" s="527"/>
    </row>
    <row r="100" spans="1:36">
      <c r="A100" s="526"/>
      <c r="B100" s="543"/>
      <c r="C100" s="522" t="s">
        <v>1114</v>
      </c>
      <c r="D100" s="518" t="s">
        <v>1116</v>
      </c>
      <c r="E100" s="518" t="s">
        <v>1115</v>
      </c>
      <c r="F100" s="521" t="s">
        <v>1117</v>
      </c>
      <c r="G100" s="518" t="s">
        <v>1114</v>
      </c>
      <c r="H100" s="518" t="s">
        <v>1116</v>
      </c>
      <c r="I100" s="518" t="s">
        <v>1115</v>
      </c>
      <c r="J100" s="518" t="s">
        <v>1117</v>
      </c>
      <c r="K100" s="522"/>
      <c r="L100" s="521"/>
      <c r="M100" s="510">
        <v>0</v>
      </c>
      <c r="N100" s="1340">
        <v>0</v>
      </c>
      <c r="O100" s="518"/>
      <c r="P100" s="518"/>
      <c r="Q100" s="518"/>
      <c r="R100" s="518"/>
      <c r="S100" s="518"/>
      <c r="T100" s="518"/>
      <c r="U100" s="518"/>
      <c r="V100" s="518"/>
      <c r="W100" s="518"/>
      <c r="X100" s="518"/>
      <c r="Y100" s="518"/>
      <c r="Z100" s="518"/>
      <c r="AA100" s="518"/>
      <c r="AB100" s="518"/>
      <c r="AC100" s="518"/>
      <c r="AD100" s="518"/>
      <c r="AE100" s="518"/>
      <c r="AF100" s="518"/>
      <c r="AG100" s="518"/>
      <c r="AH100" s="518"/>
      <c r="AI100" s="518"/>
      <c r="AJ100" s="527"/>
    </row>
    <row r="101" spans="1:36">
      <c r="A101" s="526"/>
      <c r="B101" s="543">
        <v>0</v>
      </c>
      <c r="C101" s="503">
        <f>0-INS</f>
        <v>0</v>
      </c>
      <c r="D101" s="510">
        <f>C101</f>
        <v>0</v>
      </c>
      <c r="E101" s="510">
        <f>C101+House_B_ins+INS+INS</f>
        <v>630</v>
      </c>
      <c r="F101" s="545">
        <f>E101</f>
        <v>630</v>
      </c>
      <c r="G101" s="510">
        <f>0-INS</f>
        <v>0</v>
      </c>
      <c r="H101" s="510">
        <f>G101</f>
        <v>0</v>
      </c>
      <c r="I101" s="510">
        <f>G101+House_B_ins+INS+INS</f>
        <v>630</v>
      </c>
      <c r="J101" s="510">
        <f>I101</f>
        <v>630</v>
      </c>
      <c r="K101" s="522"/>
      <c r="L101" s="521"/>
      <c r="M101" s="510">
        <f>-ROUNDUP(MAX(MAX(B101:J102),ABS(MIN(B101:J102)))/500,0)*500</f>
        <v>-3000</v>
      </c>
      <c r="N101" s="1340">
        <f>-M101</f>
        <v>3000</v>
      </c>
      <c r="O101" s="518"/>
      <c r="P101" s="518"/>
      <c r="Q101" s="518"/>
      <c r="R101" s="518"/>
      <c r="S101" s="518"/>
      <c r="T101" s="518"/>
      <c r="U101" s="518"/>
      <c r="V101" s="518"/>
      <c r="W101" s="518"/>
      <c r="X101" s="518"/>
      <c r="Y101" s="518"/>
      <c r="Z101" s="518"/>
      <c r="AA101" s="518"/>
      <c r="AB101" s="518"/>
      <c r="AC101" s="518"/>
      <c r="AD101" s="518"/>
      <c r="AE101" s="518"/>
      <c r="AF101" s="518"/>
      <c r="AG101" s="518"/>
      <c r="AH101" s="518"/>
      <c r="AI101" s="518"/>
      <c r="AJ101" s="527"/>
    </row>
    <row r="102" spans="1:36" ht="15.75" thickBot="1">
      <c r="A102" s="526"/>
      <c r="B102" s="534">
        <f>D70</f>
        <v>911.6</v>
      </c>
      <c r="C102" s="546">
        <f>MAX($D70:$X70)</f>
        <v>2745.4</v>
      </c>
      <c r="D102" s="547">
        <f>MIN($D70:$Y70)</f>
        <v>114.70000000000005</v>
      </c>
      <c r="E102" s="547">
        <f>C102</f>
        <v>2745.4</v>
      </c>
      <c r="F102" s="548">
        <f>D102</f>
        <v>114.70000000000005</v>
      </c>
      <c r="G102" s="547">
        <f>MAX($C70:$Y70)</f>
        <v>2745.4</v>
      </c>
      <c r="H102" s="547">
        <f>MIN($C70:$Y70)</f>
        <v>114.70000000000005</v>
      </c>
      <c r="I102" s="547">
        <f>G102</f>
        <v>2745.4</v>
      </c>
      <c r="J102" s="547">
        <f>H102</f>
        <v>114.70000000000005</v>
      </c>
      <c r="K102" s="549"/>
      <c r="L102" s="550"/>
      <c r="M102" s="547">
        <f>M101</f>
        <v>-3000</v>
      </c>
      <c r="N102" s="1377">
        <f>N101</f>
        <v>3000</v>
      </c>
      <c r="O102" s="518"/>
      <c r="P102" s="518"/>
      <c r="Q102" s="518"/>
      <c r="R102" s="518"/>
      <c r="S102" s="518"/>
      <c r="T102" s="518"/>
      <c r="U102" s="518"/>
      <c r="V102" s="518"/>
      <c r="W102" s="518"/>
      <c r="X102" s="518"/>
      <c r="Y102" s="518"/>
      <c r="Z102" s="518"/>
      <c r="AA102" s="518"/>
      <c r="AB102" s="518"/>
      <c r="AC102" s="518"/>
      <c r="AD102" s="518"/>
      <c r="AE102" s="518"/>
      <c r="AF102" s="518"/>
      <c r="AG102" s="518"/>
      <c r="AH102" s="518"/>
      <c r="AI102" s="518"/>
      <c r="AJ102" s="527"/>
    </row>
    <row r="103" spans="1:36" ht="15.75" thickBot="1">
      <c r="A103" s="526"/>
      <c r="B103" s="518"/>
      <c r="C103" s="518"/>
      <c r="D103" s="518"/>
      <c r="E103" s="518"/>
      <c r="F103" s="518"/>
      <c r="G103" s="518"/>
      <c r="H103" s="518"/>
      <c r="I103" s="518"/>
      <c r="J103" s="518"/>
      <c r="K103" s="518"/>
      <c r="L103" s="518"/>
      <c r="M103" s="518"/>
      <c r="N103" s="518"/>
      <c r="O103" s="518"/>
      <c r="P103" s="518"/>
      <c r="Q103" s="518"/>
      <c r="R103" s="518"/>
      <c r="S103" s="518"/>
      <c r="T103" s="518"/>
      <c r="U103" s="518"/>
      <c r="V103" s="518"/>
      <c r="W103" s="518"/>
      <c r="X103" s="518"/>
      <c r="Y103" s="518"/>
      <c r="Z103" s="518"/>
      <c r="AA103" s="518"/>
      <c r="AB103" s="518"/>
      <c r="AC103" s="518"/>
      <c r="AD103" s="518"/>
      <c r="AE103" s="518"/>
      <c r="AF103" s="518"/>
      <c r="AG103" s="518"/>
      <c r="AH103" s="518"/>
      <c r="AI103" s="518"/>
      <c r="AJ103" s="527"/>
    </row>
    <row r="104" spans="1:36">
      <c r="A104" s="526"/>
      <c r="B104" s="3825" t="s">
        <v>1252</v>
      </c>
      <c r="C104" s="3826"/>
      <c r="D104" s="3826"/>
      <c r="E104" s="3826"/>
      <c r="F104" s="3826"/>
      <c r="G104" s="3826"/>
      <c r="H104" s="3826"/>
      <c r="I104" s="3826"/>
      <c r="J104" s="3826"/>
      <c r="K104" s="3826"/>
      <c r="L104" s="3826"/>
      <c r="M104" s="3826"/>
      <c r="N104" s="3827"/>
      <c r="O104" s="518"/>
      <c r="P104" s="518"/>
      <c r="Q104" s="518"/>
      <c r="R104" s="518"/>
      <c r="S104" s="518"/>
      <c r="T104" s="518"/>
      <c r="U104" s="518"/>
      <c r="V104" s="518"/>
      <c r="W104" s="518"/>
      <c r="X104" s="518"/>
      <c r="Y104" s="518"/>
      <c r="Z104" s="518"/>
      <c r="AA104" s="518"/>
      <c r="AB104" s="518"/>
      <c r="AC104" s="518"/>
      <c r="AD104" s="518"/>
      <c r="AE104" s="518"/>
      <c r="AF104" s="518"/>
      <c r="AG104" s="518"/>
      <c r="AH104" s="518"/>
      <c r="AI104" s="518"/>
      <c r="AJ104" s="527"/>
    </row>
    <row r="105" spans="1:36">
      <c r="A105" s="526"/>
      <c r="B105" s="526"/>
      <c r="C105" s="518"/>
      <c r="D105" s="518"/>
      <c r="E105" s="518"/>
      <c r="F105" s="518"/>
      <c r="G105" s="518"/>
      <c r="H105" s="518"/>
      <c r="I105" s="518" t="s">
        <v>1446</v>
      </c>
      <c r="J105" s="518" t="s">
        <v>1447</v>
      </c>
      <c r="K105" s="518"/>
      <c r="L105" s="518"/>
      <c r="M105" s="518"/>
      <c r="N105" s="527"/>
      <c r="O105" s="518"/>
      <c r="P105" s="518"/>
      <c r="Q105" s="518"/>
      <c r="R105" s="518"/>
      <c r="S105" s="518"/>
      <c r="T105" s="518"/>
      <c r="U105" s="518"/>
      <c r="V105" s="518"/>
      <c r="W105" s="518"/>
      <c r="X105" s="518"/>
      <c r="Y105" s="518"/>
      <c r="Z105" s="518"/>
      <c r="AA105" s="518"/>
      <c r="AB105" s="518"/>
      <c r="AC105" s="518"/>
      <c r="AD105" s="518"/>
      <c r="AE105" s="518"/>
      <c r="AF105" s="518"/>
      <c r="AG105" s="518"/>
      <c r="AH105" s="518"/>
      <c r="AI105" s="518"/>
      <c r="AJ105" s="527"/>
    </row>
    <row r="106" spans="1:36">
      <c r="A106" s="526"/>
      <c r="B106" s="526"/>
      <c r="C106" s="518"/>
      <c r="D106" s="518"/>
      <c r="E106" s="551"/>
      <c r="F106" s="552" t="s">
        <v>4028</v>
      </c>
      <c r="G106" s="1767" t="e">
        <f ca="1">Inlet_cone_W+$M$106+PI()/4*((SP_oD/1000)^2-(SP_iD/1000)^2)*SP_T/1000*steel_density</f>
        <v>#REF!</v>
      </c>
      <c r="H106" s="551" t="s">
        <v>131</v>
      </c>
      <c r="I106" s="518">
        <v>1.5</v>
      </c>
      <c r="J106" s="518">
        <v>50</v>
      </c>
      <c r="K106" s="518"/>
      <c r="L106" s="552" t="s">
        <v>1444</v>
      </c>
      <c r="M106" s="553">
        <f>$AF$15*PI()*(Inlet_D+'Inlet Cone'!$B$24)/1000*House_P_T*I106/1000*J106/1000</f>
        <v>8.8226524588007251</v>
      </c>
      <c r="N106" s="554" t="s">
        <v>131</v>
      </c>
      <c r="O106" s="518"/>
      <c r="P106" s="518"/>
      <c r="Q106" s="518"/>
      <c r="R106" s="518"/>
      <c r="S106" s="518"/>
      <c r="T106" s="518"/>
      <c r="U106" s="518"/>
      <c r="V106" s="518"/>
      <c r="W106" s="518"/>
      <c r="X106" s="518"/>
      <c r="Y106" s="518"/>
      <c r="Z106" s="518"/>
      <c r="AA106" s="518"/>
      <c r="AB106" s="518"/>
      <c r="AC106" s="518"/>
      <c r="AD106" s="518"/>
      <c r="AE106" s="518"/>
      <c r="AF106" s="518"/>
      <c r="AG106" s="518"/>
      <c r="AH106" s="518"/>
      <c r="AI106" s="518"/>
      <c r="AJ106" s="527"/>
    </row>
    <row r="107" spans="1:36">
      <c r="A107" s="526"/>
      <c r="B107" s="526"/>
      <c r="C107" s="518"/>
      <c r="D107" s="518"/>
      <c r="E107" s="551"/>
      <c r="F107" s="552" t="s">
        <v>4027</v>
      </c>
      <c r="G107" s="1767" t="e">
        <f ca="1">$D$53+'House reinf, Support Plate Side'!$F$210+($C$73+'House reinf, Support Plate Side'!$F$210+'House reinf, Inlet Side'!$F$49+'House reinf, Inlet Side'!$H$58+'House reinf, Inlet Side'!$F$68+'House reinf, Inlet Side'!$F$78+'House reinf, Drive Side'!$F$68+'House reinf, Drive Side'!$F$78)+$M$107</f>
        <v>#REF!</v>
      </c>
      <c r="H107" s="551" t="s">
        <v>131</v>
      </c>
      <c r="I107" s="518">
        <v>1.5</v>
      </c>
      <c r="J107" s="518">
        <v>50</v>
      </c>
      <c r="K107" s="518"/>
      <c r="L107" s="552" t="s">
        <v>1445</v>
      </c>
      <c r="M107" s="553">
        <f>$AF$15*2*(House_B_ins+House_C_ins+2*House_P_T)/1000*House_P_T*I107/1000*J107/1000</f>
        <v>10.3914375</v>
      </c>
      <c r="N107" s="554" t="s">
        <v>131</v>
      </c>
      <c r="O107" s="518"/>
      <c r="P107" s="518"/>
      <c r="Q107" s="518"/>
      <c r="R107" s="518"/>
      <c r="S107" s="518"/>
      <c r="T107" s="518"/>
      <c r="U107" s="518"/>
      <c r="V107" s="518"/>
      <c r="W107" s="518"/>
      <c r="X107" s="518"/>
      <c r="Y107" s="518"/>
      <c r="Z107" s="518"/>
      <c r="AA107" s="518"/>
      <c r="AB107" s="518"/>
      <c r="AC107" s="518"/>
      <c r="AD107" s="518"/>
      <c r="AE107" s="518"/>
      <c r="AF107" s="518"/>
      <c r="AG107" s="518"/>
      <c r="AH107" s="518"/>
      <c r="AI107" s="518"/>
      <c r="AJ107" s="527"/>
    </row>
    <row r="108" spans="1:36">
      <c r="A108" s="526"/>
      <c r="B108" s="526"/>
      <c r="C108" s="518"/>
      <c r="D108" s="1606"/>
      <c r="E108" s="1607"/>
      <c r="F108" s="552" t="s">
        <v>1253</v>
      </c>
      <c r="G108" s="1766" t="e">
        <f ca="1">$G$106+$G$107</f>
        <v>#REF!</v>
      </c>
      <c r="H108" s="1608" t="s">
        <v>131</v>
      </c>
      <c r="I108" s="518"/>
      <c r="J108" s="518"/>
      <c r="K108" s="518"/>
      <c r="L108" s="552" t="s">
        <v>2812</v>
      </c>
      <c r="M108" s="1767" t="e">
        <f ca="1">($C$73+'House reinf, Support Plate Side'!$F$210+'House reinf, Inlet Side'!$F$49+'House reinf, Inlet Side'!$H$58+'House reinf, Inlet Side'!$F$68+'House reinf, Inlet Side'!$F$78+'House reinf, Drive Side'!$F$68+'House reinf, Drive Side'!$F$78)</f>
        <v>#REF!</v>
      </c>
      <c r="N108" s="554" t="s">
        <v>131</v>
      </c>
      <c r="O108" s="518"/>
      <c r="P108" s="518"/>
      <c r="Q108" s="518"/>
      <c r="R108" s="518"/>
      <c r="S108" s="518"/>
      <c r="T108" s="518"/>
      <c r="U108" s="518"/>
      <c r="V108" s="518"/>
      <c r="W108" s="518"/>
      <c r="X108" s="518"/>
      <c r="Y108" s="518"/>
      <c r="Z108" s="518"/>
      <c r="AA108" s="518"/>
      <c r="AB108" s="518"/>
      <c r="AC108" s="518"/>
      <c r="AD108" s="518"/>
      <c r="AE108" s="518"/>
      <c r="AF108" s="518"/>
      <c r="AG108" s="518"/>
      <c r="AH108" s="518"/>
      <c r="AI108" s="518"/>
      <c r="AJ108" s="527"/>
    </row>
    <row r="109" spans="1:36" ht="15.75" thickBot="1">
      <c r="A109" s="526"/>
      <c r="B109" s="555"/>
      <c r="C109" s="556"/>
      <c r="D109" s="518"/>
      <c r="E109" s="518"/>
      <c r="F109" s="518"/>
      <c r="G109" s="518"/>
      <c r="H109" s="518"/>
      <c r="I109" s="556"/>
      <c r="J109" s="556"/>
      <c r="K109" s="556"/>
      <c r="L109" s="556"/>
      <c r="M109" s="556"/>
      <c r="N109" s="561"/>
      <c r="O109" s="518"/>
      <c r="P109" s="518"/>
      <c r="Q109" s="518"/>
      <c r="R109" s="518"/>
      <c r="S109" s="518"/>
      <c r="T109" s="518"/>
      <c r="U109" s="518"/>
      <c r="V109" s="518"/>
      <c r="W109" s="518"/>
      <c r="X109" s="518"/>
      <c r="Y109" s="518"/>
      <c r="Z109" s="518"/>
      <c r="AA109" s="518"/>
      <c r="AB109" s="518"/>
      <c r="AC109" s="518"/>
      <c r="AD109" s="518"/>
      <c r="AE109" s="518"/>
      <c r="AF109" s="518"/>
      <c r="AG109" s="518"/>
      <c r="AH109" s="518"/>
      <c r="AI109" s="518"/>
      <c r="AJ109" s="527"/>
    </row>
    <row r="110" spans="1:36">
      <c r="A110" s="526"/>
      <c r="B110" s="3825" t="s">
        <v>2813</v>
      </c>
      <c r="C110" s="3826"/>
      <c r="D110" s="3826"/>
      <c r="E110" s="3826"/>
      <c r="F110" s="3826"/>
      <c r="G110" s="3826"/>
      <c r="H110" s="3826"/>
      <c r="I110" s="3826"/>
      <c r="J110" s="3826"/>
      <c r="K110" s="3826"/>
      <c r="L110" s="3826"/>
      <c r="M110" s="3826"/>
      <c r="N110" s="3827"/>
      <c r="O110" s="518"/>
      <c r="P110" s="1276"/>
      <c r="Q110" s="518"/>
      <c r="R110" s="518"/>
      <c r="S110" s="518"/>
      <c r="T110" s="518"/>
      <c r="U110" s="518"/>
      <c r="V110" s="518"/>
      <c r="W110" s="518"/>
      <c r="X110" s="518"/>
      <c r="Y110" s="518"/>
      <c r="Z110" s="518"/>
      <c r="AA110" s="518"/>
      <c r="AB110" s="518"/>
      <c r="AC110" s="518"/>
      <c r="AD110" s="518"/>
      <c r="AE110" s="518"/>
      <c r="AF110" s="518"/>
      <c r="AG110" s="518"/>
      <c r="AH110" s="518"/>
      <c r="AI110" s="518"/>
      <c r="AJ110" s="527"/>
    </row>
    <row r="111" spans="1:36">
      <c r="A111" s="526"/>
      <c r="B111" s="526"/>
      <c r="C111" s="518"/>
      <c r="D111" s="518"/>
      <c r="E111" s="518"/>
      <c r="F111" s="518"/>
      <c r="G111" s="518"/>
      <c r="H111" s="518"/>
      <c r="I111" s="518"/>
      <c r="J111" s="518"/>
      <c r="K111" s="518"/>
      <c r="L111" s="518"/>
      <c r="M111" s="518"/>
      <c r="N111" s="527"/>
      <c r="O111" s="518"/>
      <c r="P111" s="518"/>
      <c r="Q111" s="518"/>
      <c r="R111" s="518"/>
      <c r="S111" s="518"/>
      <c r="T111" s="518"/>
      <c r="U111" s="518"/>
      <c r="V111" s="518"/>
      <c r="W111" s="518"/>
      <c r="X111" s="518"/>
      <c r="Y111" s="518"/>
      <c r="Z111" s="518"/>
      <c r="AA111" s="518"/>
      <c r="AB111" s="518"/>
      <c r="AC111" s="518"/>
      <c r="AD111" s="518"/>
      <c r="AE111" s="518"/>
      <c r="AF111" s="518"/>
      <c r="AG111" s="518"/>
      <c r="AH111" s="518"/>
      <c r="AI111" s="518"/>
      <c r="AJ111" s="527"/>
    </row>
    <row r="112" spans="1:36">
      <c r="A112" s="526"/>
      <c r="B112" s="526"/>
      <c r="C112" s="518"/>
      <c r="D112" s="518"/>
      <c r="E112" s="551"/>
      <c r="F112" s="552" t="s">
        <v>4031</v>
      </c>
      <c r="G112" s="1768" t="e">
        <f ca="1">2*(Inlet_cone_W/steel_density/(Inlet_P_T/1000)+PI()/4*(SP_oD/1000)^2+$M$106/steel_density/($I$106*Inlet_P_T/1000))</f>
        <v>#REF!</v>
      </c>
      <c r="H112" s="551" t="s">
        <v>2511</v>
      </c>
      <c r="I112" s="518"/>
      <c r="J112" s="518"/>
      <c r="K112" s="1467"/>
      <c r="L112" s="1467"/>
      <c r="M112" s="2455"/>
      <c r="N112" s="1468"/>
      <c r="O112" s="518"/>
      <c r="P112" s="518"/>
      <c r="Q112" s="518"/>
      <c r="R112" s="518"/>
      <c r="S112" s="518"/>
      <c r="T112" s="518"/>
      <c r="U112" s="518"/>
      <c r="V112" s="518"/>
      <c r="W112" s="518"/>
      <c r="X112" s="518"/>
      <c r="Y112" s="528"/>
      <c r="Z112" s="518"/>
      <c r="AA112" s="518"/>
      <c r="AB112" s="528"/>
      <c r="AC112" s="2404"/>
      <c r="AD112" s="518"/>
      <c r="AE112" s="518"/>
      <c r="AF112" s="518"/>
      <c r="AG112" s="518"/>
      <c r="AH112" s="518"/>
      <c r="AI112" s="518"/>
      <c r="AJ112" s="527"/>
    </row>
    <row r="113" spans="1:36">
      <c r="A113" s="526"/>
      <c r="B113" s="526"/>
      <c r="C113" s="518"/>
      <c r="D113" s="518"/>
      <c r="E113" s="551"/>
      <c r="F113" s="552" t="s">
        <v>4026</v>
      </c>
      <c r="G113" s="1768" t="e">
        <f ca="1">2*($F$28+'House reinf, Support Plate Side'!$I$210+($C$73+'House reinf, Inlet Side'!$F$49+'House reinf, Inlet Side'!$H$58+'House reinf, Inlet Side'!$F$68+'House reinf, Inlet Side'!$F$78+'House reinf, Drive Side'!$F$68+'House reinf, Drive Side'!$F$78)/steel_density/($T$7/1000)+$M$107/steel_density/($I$107*House_P_T/1000))</f>
        <v>#REF!</v>
      </c>
      <c r="H113" s="551" t="s">
        <v>2511</v>
      </c>
      <c r="I113" s="518"/>
      <c r="J113" s="518"/>
      <c r="K113" s="1467"/>
      <c r="L113" s="1467"/>
      <c r="M113" s="2455"/>
      <c r="N113" s="1468"/>
      <c r="O113" s="518"/>
      <c r="P113" s="518"/>
      <c r="Q113" s="518"/>
      <c r="R113" s="518"/>
      <c r="S113" s="518"/>
      <c r="T113" s="518"/>
      <c r="U113" s="518"/>
      <c r="V113" s="518"/>
      <c r="W113" s="518"/>
      <c r="X113" s="518"/>
      <c r="Y113" s="518"/>
      <c r="Z113" s="518"/>
      <c r="AA113" s="518"/>
      <c r="AB113" s="518"/>
      <c r="AC113" s="518"/>
      <c r="AD113" s="518"/>
      <c r="AE113" s="518"/>
      <c r="AF113" s="518"/>
      <c r="AG113" s="518"/>
      <c r="AH113" s="518"/>
      <c r="AI113" s="518"/>
      <c r="AJ113" s="527"/>
    </row>
    <row r="114" spans="1:36">
      <c r="A114" s="526"/>
      <c r="B114" s="526"/>
      <c r="C114" s="518"/>
      <c r="D114" s="518"/>
      <c r="E114" s="518"/>
      <c r="F114" s="518"/>
      <c r="G114" s="518"/>
      <c r="H114" s="551"/>
      <c r="I114" s="518"/>
      <c r="J114" s="518"/>
      <c r="K114" s="518"/>
      <c r="L114" s="552" t="s">
        <v>2822</v>
      </c>
      <c r="M114" s="1768" t="e">
        <f ca="1">2*$M$108/steel_density/($T$7/1000)</f>
        <v>#REF!</v>
      </c>
      <c r="N114" s="1468" t="s">
        <v>2511</v>
      </c>
      <c r="O114" s="518"/>
      <c r="P114" s="518"/>
      <c r="Q114" s="518"/>
      <c r="R114" s="518"/>
      <c r="S114" s="518"/>
      <c r="T114" s="518"/>
      <c r="U114" s="518"/>
      <c r="V114" s="518"/>
      <c r="W114" s="518"/>
      <c r="X114" s="518"/>
      <c r="Y114" s="518"/>
      <c r="Z114" s="518"/>
      <c r="AA114" s="518"/>
      <c r="AB114" s="518"/>
      <c r="AC114" s="518"/>
      <c r="AD114" s="518"/>
      <c r="AE114" s="518"/>
      <c r="AF114" s="518"/>
      <c r="AG114" s="518"/>
      <c r="AH114" s="518"/>
      <c r="AI114" s="518"/>
      <c r="AJ114" s="527"/>
    </row>
    <row r="115" spans="1:36" ht="15.75" thickBot="1">
      <c r="A115" s="526"/>
      <c r="B115" s="555"/>
      <c r="C115" s="556"/>
      <c r="D115" s="556"/>
      <c r="E115" s="557"/>
      <c r="F115" s="558"/>
      <c r="G115" s="559"/>
      <c r="H115" s="560"/>
      <c r="I115" s="556"/>
      <c r="J115" s="556"/>
      <c r="K115" s="556"/>
      <c r="L115" s="556"/>
      <c r="M115" s="556"/>
      <c r="N115" s="561"/>
      <c r="O115" s="518"/>
      <c r="P115" s="518"/>
      <c r="Q115" s="518"/>
      <c r="R115" s="518"/>
      <c r="S115" s="518"/>
      <c r="T115" s="518"/>
      <c r="U115" s="518"/>
      <c r="V115" s="518"/>
      <c r="W115" s="518"/>
      <c r="X115" s="518"/>
      <c r="Y115" s="518"/>
      <c r="Z115" s="528"/>
      <c r="AA115" s="2404"/>
      <c r="AB115" s="518"/>
      <c r="AC115" s="518"/>
      <c r="AD115" s="518"/>
      <c r="AE115" s="518"/>
      <c r="AF115" s="518"/>
      <c r="AG115" s="518"/>
      <c r="AH115" s="518"/>
      <c r="AI115" s="518"/>
      <c r="AJ115" s="527"/>
    </row>
    <row r="116" spans="1:36" ht="15.75" thickBot="1">
      <c r="A116" s="555"/>
      <c r="B116" s="556"/>
      <c r="C116" s="556"/>
      <c r="D116" s="556"/>
      <c r="E116" s="556"/>
      <c r="F116" s="556"/>
      <c r="G116" s="556"/>
      <c r="H116" s="556"/>
      <c r="I116" s="556"/>
      <c r="J116" s="556"/>
      <c r="K116" s="556"/>
      <c r="L116" s="556"/>
      <c r="M116" s="556"/>
      <c r="N116" s="556"/>
      <c r="O116" s="556"/>
      <c r="P116" s="556"/>
      <c r="Q116" s="556"/>
      <c r="R116" s="556"/>
      <c r="S116" s="556"/>
      <c r="T116" s="556"/>
      <c r="U116" s="556"/>
      <c r="V116" s="556"/>
      <c r="W116" s="556"/>
      <c r="X116" s="556"/>
      <c r="Y116" s="556"/>
      <c r="Z116" s="556"/>
      <c r="AA116" s="556"/>
      <c r="AB116" s="556"/>
      <c r="AC116" s="556"/>
      <c r="AD116" s="556"/>
      <c r="AE116" s="556"/>
      <c r="AF116" s="556"/>
      <c r="AG116" s="556"/>
      <c r="AH116" s="556"/>
      <c r="AI116" s="556"/>
      <c r="AJ116" s="561"/>
    </row>
    <row r="117" spans="1:36">
      <c r="Z117" s="817"/>
      <c r="AA117" s="499"/>
    </row>
    <row r="119" spans="1:36">
      <c r="AB119" s="499"/>
    </row>
    <row r="121" spans="1:36">
      <c r="Z121" s="499"/>
    </row>
    <row r="122" spans="1:36">
      <c r="Z122" s="499"/>
    </row>
    <row r="126" spans="1:36">
      <c r="J126" s="518"/>
      <c r="K126" s="518"/>
      <c r="L126" s="518"/>
      <c r="M126" s="518"/>
      <c r="N126" s="518"/>
      <c r="O126" s="518"/>
      <c r="P126" s="518"/>
      <c r="Q126" s="518"/>
      <c r="R126" s="518"/>
      <c r="S126" s="518"/>
      <c r="T126" s="518"/>
      <c r="U126" s="518"/>
      <c r="V126" s="518"/>
      <c r="W126" s="518"/>
      <c r="X126" s="518"/>
      <c r="Y126" s="518"/>
      <c r="Z126" s="518"/>
      <c r="AA126" s="518"/>
      <c r="AB126" s="518"/>
      <c r="AC126" s="518"/>
    </row>
    <row r="127" spans="1:36">
      <c r="J127" s="518"/>
      <c r="K127" s="518"/>
      <c r="L127" s="518"/>
      <c r="M127" s="518"/>
      <c r="N127" s="518"/>
      <c r="O127" s="518"/>
      <c r="P127" s="518"/>
      <c r="Q127" s="518"/>
      <c r="R127" s="518"/>
      <c r="S127" s="518"/>
      <c r="T127" s="518"/>
      <c r="U127" s="518"/>
      <c r="V127" s="518"/>
      <c r="W127" s="518"/>
      <c r="X127" s="518"/>
      <c r="Y127" s="518"/>
      <c r="Z127" s="518"/>
      <c r="AA127" s="518"/>
      <c r="AB127" s="518"/>
      <c r="AC127" s="518"/>
    </row>
    <row r="128" spans="1:36">
      <c r="J128" s="518"/>
      <c r="K128" s="518"/>
      <c r="L128" s="518"/>
      <c r="M128" s="518"/>
      <c r="N128" s="518"/>
      <c r="O128" s="518"/>
      <c r="P128" s="518"/>
      <c r="Q128" s="518"/>
      <c r="R128" s="518"/>
      <c r="S128" s="518"/>
      <c r="T128" s="518"/>
      <c r="U128" s="518"/>
      <c r="V128" s="518"/>
      <c r="W128" s="518"/>
      <c r="X128" s="518"/>
      <c r="Y128" s="518"/>
      <c r="Z128" s="518"/>
      <c r="AA128" s="518"/>
      <c r="AB128" s="518"/>
      <c r="AC128" s="518"/>
    </row>
    <row r="129" spans="1:29">
      <c r="J129" s="518"/>
      <c r="K129" s="518"/>
      <c r="L129" s="518"/>
      <c r="M129" s="518"/>
      <c r="N129" s="518"/>
      <c r="O129" s="518"/>
      <c r="P129" s="518"/>
      <c r="Q129" s="518"/>
      <c r="R129" s="518"/>
      <c r="S129" s="518"/>
      <c r="T129" s="518"/>
      <c r="U129" s="518"/>
      <c r="V129" s="518"/>
      <c r="W129" s="518"/>
      <c r="X129" s="518"/>
      <c r="Y129" s="518"/>
      <c r="Z129" s="518"/>
      <c r="AA129" s="518"/>
      <c r="AB129" s="518"/>
      <c r="AC129" s="518"/>
    </row>
    <row r="135" spans="1:29">
      <c r="A135" s="499"/>
      <c r="B135" s="516"/>
      <c r="C135" s="685"/>
    </row>
    <row r="139" spans="1:29" s="518" customFormat="1">
      <c r="A139" s="465"/>
      <c r="B139" s="465"/>
      <c r="C139" s="465"/>
      <c r="D139" s="465"/>
      <c r="E139" s="465"/>
      <c r="F139" s="465"/>
      <c r="G139" s="465"/>
      <c r="H139" s="465"/>
      <c r="I139" s="465"/>
      <c r="J139" s="465"/>
      <c r="K139" s="496"/>
    </row>
    <row r="140" spans="1:29" s="518" customFormat="1">
      <c r="A140" s="465"/>
      <c r="B140" s="465"/>
      <c r="C140" s="465"/>
      <c r="D140" s="465"/>
      <c r="E140" s="465"/>
      <c r="F140" s="465"/>
      <c r="G140" s="465"/>
      <c r="H140" s="465"/>
      <c r="I140" s="465"/>
      <c r="J140" s="465"/>
      <c r="K140" s="465"/>
    </row>
    <row r="141" spans="1:29" s="518" customFormat="1">
      <c r="A141" s="465"/>
      <c r="B141" s="465"/>
      <c r="C141" s="465"/>
      <c r="D141" s="465"/>
      <c r="E141" s="465"/>
      <c r="F141" s="465"/>
      <c r="G141" s="465"/>
      <c r="H141" s="465"/>
      <c r="I141" s="465"/>
      <c r="J141" s="465"/>
      <c r="K141" s="496"/>
    </row>
    <row r="142" spans="1:29" s="518" customFormat="1">
      <c r="A142" s="942"/>
      <c r="B142" s="942"/>
      <c r="C142" s="942"/>
      <c r="D142" s="942"/>
      <c r="E142" s="942"/>
      <c r="F142" s="942"/>
      <c r="G142" s="942"/>
      <c r="H142" s="942"/>
      <c r="I142" s="942"/>
      <c r="J142" s="686"/>
      <c r="K142" s="686"/>
      <c r="L142" s="465"/>
      <c r="M142" s="465"/>
      <c r="N142" s="465"/>
      <c r="O142" s="465"/>
      <c r="P142" s="465"/>
      <c r="Q142" s="465"/>
      <c r="R142" s="465"/>
      <c r="S142" s="465"/>
      <c r="T142" s="465"/>
      <c r="U142" s="465"/>
      <c r="V142" s="465"/>
      <c r="W142" s="465"/>
      <c r="X142" s="465"/>
      <c r="Y142" s="465"/>
      <c r="Z142" s="465"/>
      <c r="AA142" s="465"/>
      <c r="AB142" s="465"/>
      <c r="AC142" s="496"/>
    </row>
    <row r="143" spans="1:29">
      <c r="A143" s="686"/>
      <c r="B143" s="686"/>
      <c r="C143" s="686"/>
      <c r="D143" s="686"/>
      <c r="E143" s="686"/>
      <c r="F143" s="686"/>
      <c r="G143" s="686"/>
      <c r="H143" s="686"/>
      <c r="I143" s="686"/>
      <c r="J143" s="686"/>
      <c r="K143" s="686"/>
      <c r="L143" s="496"/>
      <c r="M143" s="496"/>
      <c r="N143" s="496"/>
      <c r="O143" s="496"/>
      <c r="P143" s="496"/>
      <c r="Q143" s="496"/>
      <c r="R143" s="496"/>
      <c r="S143" s="496"/>
      <c r="T143" s="496"/>
      <c r="U143" s="496"/>
      <c r="V143" s="496"/>
      <c r="W143" s="496"/>
      <c r="X143" s="496"/>
      <c r="Y143" s="496"/>
      <c r="Z143" s="496"/>
      <c r="AA143" s="496"/>
      <c r="AB143" s="496"/>
      <c r="AC143" s="496"/>
    </row>
    <row r="144" spans="1:29">
      <c r="A144" s="686"/>
      <c r="B144" s="1318"/>
      <c r="C144" s="1318"/>
      <c r="D144" s="1318"/>
      <c r="E144" s="1318"/>
      <c r="F144" s="1318"/>
      <c r="G144" s="686"/>
      <c r="H144" s="686"/>
      <c r="I144" s="686"/>
      <c r="J144" s="686"/>
      <c r="K144" s="686"/>
    </row>
    <row r="145" spans="1:31">
      <c r="A145" s="686"/>
      <c r="B145" s="686"/>
      <c r="C145" s="686"/>
      <c r="D145" s="686"/>
      <c r="E145" s="686"/>
      <c r="F145" s="686"/>
      <c r="G145" s="686"/>
      <c r="H145" s="686"/>
      <c r="I145" s="686"/>
      <c r="J145" s="686"/>
      <c r="K145" s="686"/>
      <c r="L145" s="496"/>
      <c r="M145" s="496"/>
      <c r="N145" s="496"/>
      <c r="O145" s="496"/>
      <c r="P145" s="496"/>
      <c r="Q145" s="496"/>
      <c r="R145" s="496"/>
      <c r="S145" s="496"/>
      <c r="T145" s="496"/>
      <c r="U145" s="496"/>
      <c r="V145" s="496"/>
      <c r="W145" s="496"/>
      <c r="X145" s="496"/>
      <c r="Y145" s="496"/>
      <c r="Z145" s="496"/>
      <c r="AA145" s="496"/>
      <c r="AB145" s="496"/>
    </row>
    <row r="146" spans="1:31">
      <c r="A146" s="686"/>
      <c r="B146" s="686"/>
      <c r="C146" s="686"/>
      <c r="D146" s="686"/>
      <c r="E146" s="686"/>
      <c r="F146" s="686"/>
      <c r="G146" s="686"/>
      <c r="H146" s="686"/>
      <c r="I146" s="686"/>
      <c r="J146" s="686"/>
      <c r="K146" s="686"/>
      <c r="L146" s="496"/>
      <c r="M146" s="496"/>
      <c r="N146" s="496"/>
      <c r="O146" s="496"/>
      <c r="P146" s="496"/>
      <c r="Q146" s="496"/>
      <c r="R146" s="496"/>
      <c r="S146" s="496"/>
      <c r="T146" s="496"/>
      <c r="U146" s="496"/>
      <c r="V146" s="496"/>
      <c r="W146" s="496"/>
      <c r="X146" s="496"/>
      <c r="Y146" s="496"/>
      <c r="Z146" s="496"/>
      <c r="AA146" s="496"/>
      <c r="AB146" s="496"/>
    </row>
    <row r="147" spans="1:31">
      <c r="A147" s="1314"/>
      <c r="B147" s="686"/>
      <c r="C147" s="686"/>
      <c r="D147" s="686"/>
      <c r="E147" s="686"/>
      <c r="F147" s="686"/>
      <c r="G147" s="686"/>
      <c r="H147" s="1319"/>
      <c r="I147" s="686"/>
      <c r="J147" s="686"/>
      <c r="K147" s="686"/>
      <c r="L147" s="496"/>
      <c r="M147" s="496"/>
      <c r="N147" s="496"/>
      <c r="O147" s="496"/>
      <c r="P147" s="496"/>
      <c r="Q147" s="496"/>
      <c r="R147" s="496"/>
      <c r="S147" s="496"/>
      <c r="T147" s="496"/>
      <c r="U147" s="496"/>
      <c r="V147" s="496"/>
      <c r="W147" s="496"/>
      <c r="X147" s="496"/>
      <c r="Y147" s="496"/>
      <c r="Z147" s="496"/>
      <c r="AA147" s="496"/>
      <c r="AB147" s="496"/>
    </row>
    <row r="148" spans="1:31" s="496" customFormat="1">
      <c r="A148" s="1315"/>
      <c r="B148" s="687"/>
      <c r="C148" s="687"/>
      <c r="D148" s="686"/>
      <c r="E148" s="687"/>
      <c r="F148" s="686"/>
      <c r="G148" s="1315"/>
      <c r="H148" s="1319"/>
      <c r="I148" s="687"/>
      <c r="J148" s="686"/>
      <c r="K148" s="686"/>
      <c r="L148" s="465"/>
      <c r="M148" s="465"/>
      <c r="N148" s="465"/>
      <c r="O148" s="465"/>
      <c r="P148" s="465"/>
      <c r="Q148" s="465"/>
      <c r="R148" s="465"/>
      <c r="S148" s="465"/>
      <c r="T148" s="465"/>
      <c r="U148" s="465"/>
      <c r="V148" s="465"/>
      <c r="W148" s="465"/>
      <c r="X148" s="465"/>
      <c r="Y148" s="465"/>
      <c r="Z148" s="465"/>
      <c r="AA148" s="465"/>
      <c r="AB148" s="465"/>
      <c r="AC148" s="465"/>
      <c r="AD148" s="465"/>
      <c r="AE148" s="465"/>
    </row>
    <row r="149" spans="1:31">
      <c r="A149" s="1315"/>
      <c r="B149" s="687"/>
      <c r="C149" s="687"/>
      <c r="D149" s="687"/>
      <c r="E149" s="687"/>
      <c r="F149" s="686"/>
      <c r="G149" s="686"/>
      <c r="H149" s="686"/>
      <c r="I149" s="686"/>
      <c r="J149" s="686"/>
      <c r="K149" s="686"/>
    </row>
    <row r="150" spans="1:31" s="496" customFormat="1">
      <c r="A150" s="1315"/>
      <c r="B150" s="687"/>
      <c r="C150" s="687"/>
      <c r="D150" s="687"/>
      <c r="E150" s="687"/>
      <c r="F150" s="686"/>
      <c r="G150" s="686"/>
      <c r="H150" s="687"/>
      <c r="I150" s="687"/>
      <c r="J150" s="686"/>
      <c r="K150" s="686"/>
      <c r="L150" s="465"/>
      <c r="M150" s="465"/>
      <c r="N150" s="465"/>
      <c r="O150" s="465"/>
      <c r="P150" s="465"/>
      <c r="Q150" s="465"/>
      <c r="R150" s="465"/>
      <c r="S150" s="465"/>
      <c r="T150" s="465"/>
      <c r="U150" s="465"/>
      <c r="V150" s="465"/>
      <c r="W150" s="465"/>
      <c r="X150" s="465"/>
      <c r="Y150" s="465"/>
      <c r="Z150" s="465"/>
      <c r="AA150" s="465"/>
      <c r="AB150" s="465"/>
      <c r="AC150" s="465"/>
      <c r="AD150" s="465"/>
      <c r="AE150" s="465"/>
    </row>
    <row r="151" spans="1:31" s="496" customFormat="1">
      <c r="A151" s="1315"/>
      <c r="B151" s="687"/>
      <c r="C151" s="687"/>
      <c r="D151" s="687"/>
      <c r="E151" s="687"/>
      <c r="F151" s="686"/>
      <c r="G151" s="1315"/>
      <c r="H151" s="686"/>
      <c r="I151" s="686"/>
      <c r="J151" s="686"/>
      <c r="K151" s="686"/>
      <c r="L151" s="465"/>
      <c r="M151" s="465"/>
      <c r="N151" s="465"/>
      <c r="O151" s="465"/>
      <c r="P151" s="465"/>
      <c r="Q151" s="465"/>
      <c r="R151" s="465"/>
      <c r="S151" s="465"/>
      <c r="T151" s="465"/>
      <c r="U151" s="465"/>
      <c r="V151" s="465"/>
      <c r="W151" s="465"/>
      <c r="X151" s="465"/>
      <c r="Y151" s="465"/>
      <c r="Z151" s="465"/>
      <c r="AA151" s="465"/>
      <c r="AB151" s="465"/>
      <c r="AC151" s="465"/>
      <c r="AD151" s="465"/>
      <c r="AE151" s="465"/>
    </row>
    <row r="152" spans="1:31" s="496" customFormat="1">
      <c r="A152" s="1315"/>
      <c r="B152" s="687"/>
      <c r="C152" s="687"/>
      <c r="D152" s="687"/>
      <c r="E152" s="687"/>
      <c r="F152" s="686"/>
      <c r="G152" s="686"/>
      <c r="H152" s="686"/>
      <c r="I152" s="686"/>
      <c r="J152" s="686"/>
      <c r="K152" s="686"/>
      <c r="L152" s="465"/>
      <c r="M152" s="465"/>
      <c r="N152" s="465"/>
      <c r="O152" s="465"/>
      <c r="P152" s="465"/>
      <c r="Q152" s="465"/>
      <c r="R152" s="465"/>
      <c r="S152" s="465"/>
      <c r="T152" s="465"/>
      <c r="U152" s="465"/>
      <c r="V152" s="465"/>
      <c r="W152" s="465"/>
      <c r="X152" s="465"/>
      <c r="Y152" s="465"/>
      <c r="Z152" s="465"/>
      <c r="AA152" s="465"/>
      <c r="AB152" s="465"/>
      <c r="AC152" s="465"/>
    </row>
    <row r="153" spans="1:31">
      <c r="A153" s="1315"/>
      <c r="B153" s="687"/>
      <c r="C153" s="687"/>
      <c r="D153" s="687"/>
      <c r="E153" s="687"/>
      <c r="F153" s="686"/>
      <c r="G153" s="686"/>
      <c r="H153" s="686"/>
      <c r="I153" s="686"/>
      <c r="J153" s="686"/>
      <c r="K153" s="686"/>
    </row>
    <row r="154" spans="1:31">
      <c r="A154" s="1315"/>
      <c r="B154" s="686"/>
      <c r="C154" s="686"/>
      <c r="D154" s="686"/>
      <c r="E154" s="686"/>
      <c r="F154" s="686"/>
      <c r="G154" s="686"/>
      <c r="H154" s="686"/>
      <c r="I154" s="686"/>
      <c r="J154" s="686"/>
      <c r="K154" s="686"/>
      <c r="AD154" s="496"/>
      <c r="AE154" s="496"/>
    </row>
    <row r="155" spans="1:31">
      <c r="A155" s="1315"/>
      <c r="B155" s="686"/>
      <c r="C155" s="686"/>
      <c r="D155" s="686"/>
      <c r="E155" s="686"/>
      <c r="F155" s="686"/>
      <c r="G155" s="686"/>
      <c r="H155" s="686"/>
      <c r="I155" s="686"/>
      <c r="J155" s="686"/>
      <c r="K155" s="686"/>
      <c r="AD155" s="496"/>
      <c r="AE155" s="496"/>
    </row>
    <row r="156" spans="1:31">
      <c r="A156" s="1315"/>
      <c r="B156" s="687"/>
      <c r="C156" s="687"/>
      <c r="D156" s="686"/>
      <c r="E156" s="686"/>
      <c r="F156" s="686"/>
      <c r="G156" s="686"/>
      <c r="H156" s="686"/>
      <c r="I156" s="686"/>
      <c r="J156" s="686"/>
      <c r="K156" s="686"/>
      <c r="AD156" s="496"/>
      <c r="AE156" s="496"/>
    </row>
    <row r="157" spans="1:31">
      <c r="A157" s="1315"/>
      <c r="B157" s="687"/>
      <c r="C157" s="687"/>
      <c r="D157" s="687"/>
      <c r="E157" s="686"/>
      <c r="F157" s="686"/>
      <c r="G157" s="686"/>
      <c r="H157" s="686"/>
      <c r="I157" s="686"/>
      <c r="J157" s="686"/>
      <c r="K157" s="686"/>
    </row>
    <row r="158" spans="1:31">
      <c r="A158" s="1315"/>
      <c r="B158" s="687"/>
      <c r="C158" s="687"/>
      <c r="D158" s="687"/>
      <c r="E158" s="686"/>
      <c r="F158" s="686"/>
      <c r="G158" s="686"/>
      <c r="H158" s="686"/>
      <c r="I158" s="686"/>
      <c r="J158" s="686"/>
      <c r="K158" s="686"/>
    </row>
    <row r="159" spans="1:31">
      <c r="A159" s="1314"/>
      <c r="B159" s="687"/>
      <c r="C159" s="687"/>
      <c r="D159" s="687"/>
      <c r="E159" s="686"/>
      <c r="F159" s="686"/>
      <c r="G159" s="686"/>
      <c r="H159" s="686"/>
      <c r="I159" s="686"/>
      <c r="J159" s="686"/>
      <c r="K159" s="686"/>
    </row>
    <row r="160" spans="1:31">
      <c r="A160" s="1315"/>
      <c r="B160" s="687"/>
      <c r="C160" s="687"/>
      <c r="D160" s="687"/>
      <c r="E160" s="686"/>
      <c r="F160" s="686"/>
      <c r="G160" s="686"/>
      <c r="H160" s="686"/>
      <c r="I160" s="686"/>
      <c r="J160" s="686"/>
      <c r="K160" s="686"/>
    </row>
    <row r="161" spans="1:11">
      <c r="A161" s="1315"/>
      <c r="B161" s="1308"/>
      <c r="C161" s="1308"/>
      <c r="D161" s="686"/>
      <c r="E161" s="687"/>
      <c r="F161" s="686"/>
      <c r="G161" s="686"/>
      <c r="H161" s="686"/>
      <c r="I161" s="686"/>
      <c r="J161" s="686"/>
      <c r="K161" s="686"/>
    </row>
    <row r="162" spans="1:11">
      <c r="A162" s="1315"/>
      <c r="B162" s="1320"/>
      <c r="C162" s="686"/>
      <c r="D162" s="686"/>
      <c r="E162" s="687"/>
      <c r="F162" s="686"/>
      <c r="G162" s="686"/>
      <c r="H162" s="686"/>
      <c r="I162" s="686"/>
      <c r="J162" s="686"/>
      <c r="K162" s="686"/>
    </row>
    <row r="163" spans="1:11">
      <c r="A163" s="1315"/>
      <c r="B163" s="687"/>
      <c r="C163" s="687"/>
      <c r="D163" s="686"/>
      <c r="E163" s="687"/>
      <c r="F163" s="686"/>
      <c r="G163" s="686"/>
      <c r="H163" s="686"/>
      <c r="I163" s="686"/>
      <c r="J163" s="686"/>
      <c r="K163" s="686"/>
    </row>
    <row r="164" spans="1:11">
      <c r="A164" s="686"/>
      <c r="B164" s="687"/>
      <c r="C164" s="687"/>
      <c r="D164" s="686"/>
      <c r="E164" s="686"/>
      <c r="F164" s="686"/>
      <c r="G164" s="686"/>
      <c r="H164" s="686"/>
      <c r="I164" s="686"/>
      <c r="J164" s="686"/>
      <c r="K164" s="686"/>
    </row>
    <row r="165" spans="1:11">
      <c r="A165" s="1315"/>
      <c r="B165" s="687"/>
      <c r="C165" s="687"/>
      <c r="D165" s="686"/>
      <c r="E165" s="686"/>
      <c r="F165" s="686"/>
      <c r="G165" s="686"/>
      <c r="H165" s="686"/>
      <c r="I165" s="686"/>
      <c r="J165" s="686"/>
      <c r="K165" s="686"/>
    </row>
    <row r="166" spans="1:11">
      <c r="A166" s="1315"/>
      <c r="B166" s="687"/>
      <c r="C166" s="687"/>
      <c r="D166" s="686"/>
      <c r="E166" s="687"/>
      <c r="F166" s="686"/>
      <c r="G166" s="686"/>
      <c r="H166" s="686"/>
      <c r="I166" s="686"/>
      <c r="J166" s="686"/>
      <c r="K166" s="686"/>
    </row>
    <row r="167" spans="1:11">
      <c r="A167" s="1315"/>
      <c r="B167" s="687"/>
      <c r="C167" s="687"/>
      <c r="D167" s="686"/>
      <c r="E167" s="687"/>
      <c r="F167" s="686"/>
      <c r="G167" s="686"/>
      <c r="H167" s="686"/>
      <c r="I167" s="686"/>
      <c r="J167" s="686"/>
      <c r="K167" s="686"/>
    </row>
    <row r="168" spans="1:11">
      <c r="A168" s="1315"/>
      <c r="B168" s="687"/>
      <c r="C168" s="687"/>
      <c r="D168" s="686"/>
      <c r="E168" s="687"/>
      <c r="F168" s="686"/>
      <c r="G168" s="686"/>
      <c r="H168" s="686"/>
      <c r="I168" s="686"/>
      <c r="J168" s="686"/>
      <c r="K168" s="686"/>
    </row>
    <row r="169" spans="1:11">
      <c r="A169" s="1315"/>
      <c r="B169" s="687"/>
      <c r="C169" s="687"/>
      <c r="D169" s="686"/>
      <c r="E169" s="687"/>
      <c r="F169" s="686"/>
      <c r="G169" s="686"/>
      <c r="H169" s="686"/>
      <c r="I169" s="686"/>
      <c r="J169" s="686"/>
      <c r="K169" s="686"/>
    </row>
    <row r="170" spans="1:11">
      <c r="A170" s="1315"/>
      <c r="B170" s="687"/>
      <c r="C170" s="687"/>
      <c r="D170" s="686"/>
      <c r="E170" s="687"/>
      <c r="F170" s="686"/>
      <c r="G170" s="686"/>
      <c r="H170" s="686"/>
      <c r="I170" s="686"/>
      <c r="J170" s="686"/>
      <c r="K170" s="686"/>
    </row>
    <row r="171" spans="1:11">
      <c r="A171" s="1315"/>
      <c r="B171" s="687"/>
      <c r="C171" s="687"/>
      <c r="D171" s="686"/>
      <c r="E171" s="687"/>
      <c r="F171" s="686"/>
      <c r="G171" s="686"/>
      <c r="H171" s="686"/>
      <c r="I171" s="686"/>
      <c r="J171" s="686"/>
      <c r="K171" s="686"/>
    </row>
    <row r="172" spans="1:11">
      <c r="A172" s="1315"/>
      <c r="B172" s="687"/>
      <c r="C172" s="687"/>
      <c r="D172" s="686"/>
      <c r="E172" s="687"/>
      <c r="F172" s="686"/>
      <c r="G172" s="686"/>
      <c r="H172" s="686"/>
      <c r="I172" s="686"/>
      <c r="J172" s="686"/>
      <c r="K172" s="686"/>
    </row>
    <row r="173" spans="1:11">
      <c r="A173" s="1314"/>
      <c r="B173" s="1319"/>
      <c r="C173" s="1319"/>
      <c r="D173" s="686"/>
      <c r="E173" s="686"/>
      <c r="F173" s="686"/>
      <c r="G173" s="686"/>
      <c r="H173" s="686"/>
      <c r="I173" s="686"/>
      <c r="J173" s="686"/>
      <c r="K173" s="686"/>
    </row>
    <row r="174" spans="1:11">
      <c r="A174" s="1314"/>
      <c r="B174" s="686"/>
      <c r="C174" s="686"/>
      <c r="D174" s="686"/>
      <c r="E174" s="687"/>
      <c r="F174" s="686"/>
      <c r="G174" s="686"/>
      <c r="H174" s="686"/>
      <c r="I174" s="686"/>
      <c r="J174" s="686"/>
      <c r="K174" s="686"/>
    </row>
    <row r="175" spans="1:11">
      <c r="A175" s="1315"/>
      <c r="B175" s="687"/>
      <c r="C175" s="687"/>
      <c r="D175" s="686"/>
      <c r="E175" s="687"/>
      <c r="F175" s="686"/>
      <c r="G175" s="686"/>
      <c r="H175" s="686"/>
      <c r="I175" s="686"/>
      <c r="J175" s="686"/>
      <c r="K175" s="686"/>
    </row>
    <row r="176" spans="1:11">
      <c r="A176" s="1315"/>
      <c r="B176" s="687"/>
      <c r="C176" s="687"/>
      <c r="D176" s="686"/>
      <c r="E176" s="687"/>
      <c r="F176" s="686"/>
      <c r="G176" s="686"/>
      <c r="H176" s="686"/>
      <c r="I176" s="686"/>
      <c r="J176" s="686"/>
      <c r="K176" s="686"/>
    </row>
    <row r="177" spans="1:11">
      <c r="A177" s="1315"/>
      <c r="B177" s="687"/>
      <c r="C177" s="687"/>
      <c r="D177" s="686"/>
      <c r="E177" s="687"/>
      <c r="F177" s="686"/>
      <c r="G177" s="686"/>
      <c r="H177" s="686"/>
      <c r="I177" s="686"/>
      <c r="J177" s="686"/>
      <c r="K177" s="686"/>
    </row>
    <row r="178" spans="1:11">
      <c r="A178" s="1315"/>
      <c r="B178" s="687"/>
      <c r="C178" s="687"/>
      <c r="D178" s="686"/>
      <c r="E178" s="687"/>
      <c r="F178" s="686"/>
      <c r="G178" s="686"/>
      <c r="H178" s="686"/>
      <c r="I178" s="686"/>
      <c r="J178" s="686"/>
      <c r="K178" s="686"/>
    </row>
    <row r="179" spans="1:11">
      <c r="A179" s="1315"/>
      <c r="B179" s="687"/>
      <c r="C179" s="687"/>
      <c r="D179" s="686"/>
      <c r="E179" s="687"/>
      <c r="F179" s="686"/>
      <c r="G179" s="686"/>
      <c r="H179" s="686"/>
      <c r="I179" s="686"/>
      <c r="J179" s="686"/>
      <c r="K179" s="686"/>
    </row>
    <row r="180" spans="1:11">
      <c r="A180" s="686"/>
      <c r="B180" s="686"/>
      <c r="C180" s="686"/>
      <c r="D180" s="686"/>
      <c r="E180" s="686"/>
      <c r="F180" s="686"/>
      <c r="G180" s="686"/>
      <c r="H180" s="686"/>
      <c r="I180" s="686"/>
      <c r="J180" s="686"/>
      <c r="K180" s="686"/>
    </row>
    <row r="181" spans="1:11">
      <c r="A181" s="1314"/>
      <c r="B181" s="1319"/>
      <c r="C181" s="1319"/>
      <c r="D181" s="686"/>
      <c r="E181" s="1319"/>
      <c r="F181" s="1319"/>
      <c r="G181" s="686"/>
      <c r="H181" s="686"/>
      <c r="I181" s="686"/>
      <c r="J181" s="686"/>
      <c r="K181" s="686"/>
    </row>
    <row r="182" spans="1:11">
      <c r="A182" s="1314"/>
      <c r="B182" s="686"/>
      <c r="C182" s="686"/>
      <c r="D182" s="686"/>
      <c r="E182" s="686"/>
      <c r="F182" s="686"/>
      <c r="G182" s="686"/>
      <c r="H182" s="686"/>
      <c r="I182" s="686"/>
      <c r="J182" s="686"/>
      <c r="K182" s="686"/>
    </row>
    <row r="183" spans="1:11">
      <c r="A183" s="1315"/>
      <c r="B183" s="687"/>
      <c r="C183" s="687"/>
      <c r="D183" s="686"/>
      <c r="E183" s="687"/>
      <c r="F183" s="687"/>
      <c r="G183" s="686"/>
      <c r="H183" s="686"/>
      <c r="I183" s="686"/>
      <c r="J183" s="686"/>
      <c r="K183" s="686"/>
    </row>
    <row r="184" spans="1:11">
      <c r="A184" s="1315"/>
      <c r="B184" s="687"/>
      <c r="C184" s="687"/>
      <c r="D184" s="686"/>
      <c r="E184" s="687"/>
      <c r="F184" s="687"/>
      <c r="G184" s="686"/>
      <c r="H184" s="686"/>
      <c r="I184" s="686"/>
      <c r="J184" s="686"/>
      <c r="K184" s="686"/>
    </row>
    <row r="185" spans="1:11">
      <c r="A185" s="686"/>
      <c r="B185" s="686"/>
      <c r="C185" s="686"/>
      <c r="D185" s="686"/>
      <c r="E185" s="686"/>
      <c r="F185" s="686"/>
      <c r="G185" s="686"/>
      <c r="H185" s="686"/>
      <c r="I185" s="686"/>
      <c r="J185" s="686"/>
      <c r="K185" s="686"/>
    </row>
    <row r="186" spans="1:11">
      <c r="A186" s="686"/>
      <c r="B186" s="686"/>
      <c r="C186" s="686"/>
      <c r="D186" s="686"/>
      <c r="E186" s="686"/>
      <c r="F186" s="686"/>
      <c r="G186" s="686"/>
      <c r="H186" s="686"/>
      <c r="I186" s="686"/>
      <c r="J186" s="686"/>
      <c r="K186" s="686"/>
    </row>
  </sheetData>
  <mergeCells count="23">
    <mergeCell ref="B110:N110"/>
    <mergeCell ref="B104:N104"/>
    <mergeCell ref="B54:C54"/>
    <mergeCell ref="Y54:Z54"/>
    <mergeCell ref="M94:N94"/>
    <mergeCell ref="G94:J94"/>
    <mergeCell ref="B93:N93"/>
    <mergeCell ref="AA53:AB53"/>
    <mergeCell ref="AD5:AJ5"/>
    <mergeCell ref="AD13:AJ13"/>
    <mergeCell ref="D31:X31"/>
    <mergeCell ref="D19:X19"/>
    <mergeCell ref="A51:AJ52"/>
    <mergeCell ref="J5:AC5"/>
    <mergeCell ref="A5:G5"/>
    <mergeCell ref="D30:Z30"/>
    <mergeCell ref="B41:AC41"/>
    <mergeCell ref="B2:L2"/>
    <mergeCell ref="M2:N2"/>
    <mergeCell ref="AD20:AE20"/>
    <mergeCell ref="C1:N1"/>
    <mergeCell ref="A4:AJ4"/>
    <mergeCell ref="D18:Z18"/>
  </mergeCells>
  <phoneticPr fontId="170" type="noConversion"/>
  <pageMargins left="0.70866141732283472" right="0.70866141732283472" top="0.74803149606299213" bottom="0.74803149606299213" header="0.31496062992125984" footer="0.31496062992125984"/>
  <pageSetup paperSize="9" scale="30" orientation="landscape" r:id="rId1"/>
  <headerFooter>
    <oddHeader>&amp;L&amp;F / &amp;A&amp;R&amp;D</oddHeader>
    <oddFooter>&amp;L&amp;12CONFIDENTIAL&amp;C&amp;12BARKER JET&amp;Rpage &amp;P / &amp;N</oddFooter>
  </headerFooter>
  <drawing r:id="rId2"/>
  <legacyDrawing r:id="rId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B1:C21"/>
  <sheetViews>
    <sheetView workbookViewId="0">
      <selection activeCell="G17" sqref="G17"/>
    </sheetView>
  </sheetViews>
  <sheetFormatPr defaultRowHeight="12.75"/>
  <sheetData>
    <row r="1" spans="2:3">
      <c r="B1" t="s">
        <v>4639</v>
      </c>
      <c r="C1" s="3366"/>
    </row>
    <row r="2" spans="2:3">
      <c r="B2" t="s">
        <v>4640</v>
      </c>
      <c r="C2" s="3366"/>
    </row>
    <row r="3" spans="2:3">
      <c r="B3" s="405" t="s">
        <v>4641</v>
      </c>
      <c r="C3" s="3366"/>
    </row>
    <row r="4" spans="2:3">
      <c r="B4" s="405" t="s">
        <v>4642</v>
      </c>
      <c r="C4" s="3366"/>
    </row>
    <row r="5" spans="2:3">
      <c r="B5" s="405" t="s">
        <v>4643</v>
      </c>
      <c r="C5" s="3366"/>
    </row>
    <row r="6" spans="2:3">
      <c r="B6" s="405" t="s">
        <v>4640</v>
      </c>
      <c r="C6" s="3366"/>
    </row>
    <row r="7" spans="2:3">
      <c r="B7" s="405" t="s">
        <v>4640</v>
      </c>
      <c r="C7" s="3366"/>
    </row>
    <row r="8" spans="2:3">
      <c r="C8" s="3366"/>
    </row>
    <row r="9" spans="2:3">
      <c r="C9" s="3366"/>
    </row>
    <row r="10" spans="2:3">
      <c r="B10" t="s">
        <v>4644</v>
      </c>
      <c r="C10" s="3366">
        <f>d_2</f>
        <v>1600</v>
      </c>
    </row>
    <row r="11" spans="2:3">
      <c r="B11" t="s">
        <v>4646</v>
      </c>
      <c r="C11" s="3366">
        <f>d_in</f>
        <v>700</v>
      </c>
    </row>
    <row r="12" spans="2:3">
      <c r="C12" s="3366"/>
    </row>
    <row r="13" spans="2:3">
      <c r="C13" s="3366"/>
    </row>
    <row r="14" spans="2:3">
      <c r="C14" s="3366"/>
    </row>
    <row r="15" spans="2:3">
      <c r="C15" s="3366"/>
    </row>
    <row r="16" spans="2:3">
      <c r="B16" t="s">
        <v>4645</v>
      </c>
      <c r="C16" s="3366">
        <f>INS</f>
        <v>0</v>
      </c>
    </row>
    <row r="17" spans="3:3">
      <c r="C17" s="3366"/>
    </row>
    <row r="18" spans="3:3">
      <c r="C18" s="3366"/>
    </row>
    <row r="19" spans="3:3">
      <c r="C19" s="3366"/>
    </row>
    <row r="20" spans="3:3">
      <c r="C20" s="3366"/>
    </row>
    <row r="21" spans="3:3">
      <c r="C21" s="3366"/>
    </row>
  </sheetData>
  <phoneticPr fontId="170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3"/>
  <dimension ref="A1:AJ48"/>
  <sheetViews>
    <sheetView zoomScale="85" zoomScaleNormal="85" workbookViewId="0">
      <pane xSplit="1" ySplit="16" topLeftCell="B32" activePane="bottomRight" state="frozen"/>
      <selection pane="topRight" activeCell="B1" sqref="B1"/>
      <selection pane="bottomLeft" activeCell="A17" sqref="A17"/>
      <selection pane="bottomRight" activeCell="M9" sqref="M9"/>
    </sheetView>
  </sheetViews>
  <sheetFormatPr defaultColWidth="9" defaultRowHeight="15"/>
  <cols>
    <col min="1" max="1" width="55.5703125" style="465" customWidth="1"/>
    <col min="2" max="16384" width="9" style="465"/>
  </cols>
  <sheetData>
    <row r="1" spans="1:36" s="243" customFormat="1" ht="19.5" thickBot="1">
      <c r="A1" s="115" t="str">
        <f>'Select Drive &amp; Motor'!A1</f>
        <v>ID</v>
      </c>
      <c r="B1" s="2148" t="str">
        <f>ID</f>
        <v>NBF191005</v>
      </c>
      <c r="C1" s="3614" t="str">
        <f>'Select Drive &amp; Motor'!C1:Q1</f>
        <v>, , XOE 273-90 REG, Direct, RD135</v>
      </c>
      <c r="D1" s="3614"/>
      <c r="E1" s="3614"/>
      <c r="F1" s="3614"/>
      <c r="G1" s="3614"/>
      <c r="H1" s="3614"/>
      <c r="I1" s="3614"/>
      <c r="J1" s="3614"/>
      <c r="K1" s="3614"/>
      <c r="L1" s="3614"/>
      <c r="M1" s="3614"/>
      <c r="N1" s="3795"/>
    </row>
    <row r="2" spans="1:36" s="243" customFormat="1" ht="19.5" thickBot="1">
      <c r="A2" s="115" t="str">
        <f>'Select Drive &amp; Motor'!A2</f>
        <v>Comments</v>
      </c>
      <c r="B2" s="3613">
        <f>'Select Drive &amp; Motor'!B2</f>
        <v>0</v>
      </c>
      <c r="C2" s="3614"/>
      <c r="D2" s="3614"/>
      <c r="E2" s="3614"/>
      <c r="F2" s="3614"/>
      <c r="G2" s="3614"/>
      <c r="H2" s="3614"/>
      <c r="I2" s="3614"/>
      <c r="J2" s="3614"/>
      <c r="K2" s="3614"/>
      <c r="L2" s="3615"/>
      <c r="M2" s="3611" t="str">
        <f>'Select Drive &amp; Motor'!P2</f>
        <v>190923</v>
      </c>
      <c r="N2" s="3612"/>
    </row>
    <row r="3" spans="1:36" s="802" customFormat="1" ht="19.5" thickBot="1">
      <c r="A3" s="163"/>
      <c r="B3" s="116"/>
      <c r="C3" s="116"/>
      <c r="D3" s="116"/>
      <c r="E3" s="116"/>
      <c r="F3" s="116"/>
      <c r="G3" s="116"/>
      <c r="H3" s="116"/>
      <c r="I3" s="116"/>
      <c r="J3" s="116"/>
      <c r="K3" s="116"/>
      <c r="L3" s="116"/>
      <c r="M3" s="801"/>
      <c r="N3" s="801"/>
    </row>
    <row r="4" spans="1:36" s="802" customFormat="1" ht="19.5" thickBot="1">
      <c r="A4" s="3796" t="s">
        <v>2644</v>
      </c>
      <c r="B4" s="3797"/>
      <c r="C4" s="3797"/>
      <c r="D4" s="3797"/>
      <c r="E4" s="3797"/>
      <c r="F4" s="3797"/>
      <c r="G4" s="3797"/>
      <c r="H4" s="3797"/>
      <c r="I4" s="3797"/>
      <c r="J4" s="3797"/>
      <c r="K4" s="3797"/>
      <c r="L4" s="3797"/>
      <c r="M4" s="3797"/>
      <c r="N4" s="3797"/>
      <c r="O4" s="3797"/>
      <c r="P4" s="3797"/>
      <c r="Q4" s="3797"/>
      <c r="R4" s="3797"/>
      <c r="S4" s="3797"/>
      <c r="T4" s="3797"/>
      <c r="U4" s="3797"/>
      <c r="V4" s="3797"/>
      <c r="W4" s="3797"/>
      <c r="X4" s="3797"/>
      <c r="Y4" s="3797"/>
      <c r="Z4" s="3797"/>
      <c r="AA4" s="3797"/>
      <c r="AB4" s="3797"/>
      <c r="AC4" s="3797"/>
      <c r="AD4" s="3797"/>
      <c r="AE4" s="3797"/>
      <c r="AF4" s="3797"/>
      <c r="AG4" s="3797"/>
      <c r="AH4" s="3797"/>
      <c r="AI4" s="3797"/>
      <c r="AJ4" s="3798"/>
    </row>
    <row r="5" spans="1:36">
      <c r="A5" s="3821" t="s">
        <v>1792</v>
      </c>
      <c r="B5" s="3819"/>
      <c r="C5" s="3819"/>
      <c r="D5" s="3819"/>
      <c r="E5" s="3819"/>
      <c r="F5" s="3819"/>
      <c r="G5" s="3819"/>
      <c r="H5" s="2512" t="s">
        <v>3957</v>
      </c>
      <c r="I5" s="2513" t="e">
        <f ca="1">Small_F</f>
        <v>#REF!</v>
      </c>
      <c r="J5" s="2508"/>
      <c r="K5" s="2509"/>
      <c r="L5" s="2509"/>
      <c r="M5" s="2509"/>
      <c r="N5" s="2509"/>
      <c r="O5" s="2509"/>
      <c r="P5" s="2509"/>
      <c r="Q5" s="2509"/>
      <c r="R5" s="2509"/>
      <c r="S5" s="2509"/>
      <c r="T5" s="2509"/>
      <c r="U5" s="2509"/>
      <c r="V5" s="2509"/>
      <c r="W5" s="2509"/>
      <c r="X5" s="2509"/>
      <c r="Y5" s="2509"/>
      <c r="Z5" s="2509"/>
      <c r="AA5" s="2509"/>
      <c r="AB5" s="2509"/>
      <c r="AC5" s="2510"/>
      <c r="AD5" s="3803" t="s">
        <v>1796</v>
      </c>
      <c r="AE5" s="3804"/>
      <c r="AF5" s="3804"/>
      <c r="AG5" s="3804"/>
      <c r="AH5" s="3804"/>
      <c r="AI5" s="3804"/>
      <c r="AJ5" s="3805"/>
    </row>
    <row r="6" spans="1:36">
      <c r="A6" s="2443" t="s">
        <v>1791</v>
      </c>
      <c r="B6" s="1305">
        <f>House!B6</f>
        <v>0</v>
      </c>
      <c r="C6" s="1289">
        <f>House!C6</f>
        <v>0</v>
      </c>
      <c r="D6" s="1282" t="str">
        <f>House!D6</f>
        <v>degr</v>
      </c>
      <c r="E6" s="1290" t="str">
        <f>House!E6</f>
        <v>RD</v>
      </c>
      <c r="F6" s="1291">
        <f>House!F6</f>
        <v>-1</v>
      </c>
      <c r="G6" s="1290">
        <f>House!G6</f>
        <v>135</v>
      </c>
      <c r="H6" s="1292">
        <f>House!H6</f>
        <v>2.3561944901923448</v>
      </c>
      <c r="I6" s="1293" t="str">
        <f>House!I6</f>
        <v>rad.</v>
      </c>
      <c r="J6" s="939"/>
      <c r="K6" s="940"/>
      <c r="L6" s="940"/>
      <c r="M6" s="940"/>
      <c r="N6" s="940"/>
      <c r="O6" s="940"/>
      <c r="P6" s="940"/>
      <c r="Q6" s="940"/>
      <c r="R6" s="940"/>
      <c r="S6" s="940"/>
      <c r="T6" s="813"/>
      <c r="U6" s="813"/>
      <c r="V6" s="813"/>
      <c r="W6" s="813"/>
      <c r="X6" s="509"/>
      <c r="Y6" s="509"/>
      <c r="Z6" s="509"/>
      <c r="AA6" s="813"/>
      <c r="AB6" s="2388"/>
      <c r="AC6" s="2389"/>
      <c r="AD6" s="1279"/>
      <c r="AE6" s="1294" t="str">
        <f>House!AE6</f>
        <v>d_2</v>
      </c>
      <c r="AF6" s="1281">
        <f>House!AF6</f>
        <v>1600</v>
      </c>
      <c r="AG6" s="1282" t="str">
        <f>House!AG6</f>
        <v>mm</v>
      </c>
      <c r="AH6" s="1282"/>
      <c r="AI6" s="1282"/>
      <c r="AJ6" s="1283"/>
    </row>
    <row r="7" spans="1:36">
      <c r="A7" s="543" t="s">
        <v>1089</v>
      </c>
      <c r="B7" s="2444">
        <f>House!B7</f>
        <v>0.95050964215147715</v>
      </c>
      <c r="C7" s="1281" t="str">
        <f>House!C7</f>
        <v>m</v>
      </c>
      <c r="D7" s="1282"/>
      <c r="E7" s="1282"/>
      <c r="F7" s="1281"/>
      <c r="G7" s="1282"/>
      <c r="H7" s="1282"/>
      <c r="I7" s="1293"/>
      <c r="J7" s="1361"/>
      <c r="K7" s="685"/>
      <c r="L7" s="685"/>
      <c r="M7" s="942"/>
      <c r="N7" s="942"/>
      <c r="O7" s="942"/>
      <c r="P7" s="942"/>
      <c r="Q7" s="942"/>
      <c r="R7" s="942"/>
      <c r="S7" s="942"/>
      <c r="T7" s="813"/>
      <c r="U7" s="509"/>
      <c r="V7" s="509"/>
      <c r="W7" s="813"/>
      <c r="X7" s="637"/>
      <c r="Y7" s="637"/>
      <c r="Z7" s="637"/>
      <c r="AA7" s="813"/>
      <c r="AB7" s="637"/>
      <c r="AC7" s="1342"/>
      <c r="AD7" s="1279"/>
      <c r="AE7" s="1294" t="str">
        <f>House!AE7</f>
        <v>inlet_D_ext</v>
      </c>
      <c r="AF7" s="1281">
        <f>House!AF7</f>
        <v>950</v>
      </c>
      <c r="AG7" s="1282" t="str">
        <f>House!AG7</f>
        <v>mm</v>
      </c>
      <c r="AH7" s="1282" t="str">
        <f>House!AH7</f>
        <v>inlet_R_m</v>
      </c>
      <c r="AI7" s="1282">
        <f>House!AI7</f>
        <v>0.47499999999999998</v>
      </c>
      <c r="AJ7" s="1283" t="str">
        <f>House!AJ7</f>
        <v>m</v>
      </c>
    </row>
    <row r="8" spans="1:36">
      <c r="A8" s="543" t="s">
        <v>1871</v>
      </c>
      <c r="B8" s="2445">
        <f>House!B8</f>
        <v>7.9312948555555277E-2</v>
      </c>
      <c r="C8" s="1281" t="str">
        <f>House!C8</f>
        <v>1/rad</v>
      </c>
      <c r="D8" s="1282"/>
      <c r="E8" s="1282"/>
      <c r="F8" s="1281"/>
      <c r="G8" s="1282"/>
      <c r="H8" s="1282"/>
      <c r="I8" s="1293"/>
      <c r="J8" s="939"/>
      <c r="K8" s="942"/>
      <c r="L8" s="942"/>
      <c r="M8" s="813"/>
      <c r="N8" s="813"/>
      <c r="O8" s="813"/>
      <c r="P8" s="813"/>
      <c r="Q8" s="813"/>
      <c r="R8" s="813"/>
      <c r="S8" s="813"/>
      <c r="T8" s="813"/>
      <c r="U8" s="509"/>
      <c r="V8" s="509"/>
      <c r="W8" s="813"/>
      <c r="X8" s="813"/>
      <c r="Y8" s="813"/>
      <c r="Z8" s="813"/>
      <c r="AA8" s="2144"/>
      <c r="AB8" s="2388"/>
      <c r="AC8" s="2389"/>
      <c r="AD8" s="1279"/>
      <c r="AE8" s="1294" t="str">
        <f>House!AE8</f>
        <v>d_in</v>
      </c>
      <c r="AF8" s="1281">
        <f>House!AF8</f>
        <v>700</v>
      </c>
      <c r="AG8" s="1282" t="str">
        <f>House!AG8</f>
        <v>mm</v>
      </c>
      <c r="AH8" s="1282" t="str">
        <f>House!AH8</f>
        <v>r_in_m</v>
      </c>
      <c r="AI8" s="1282">
        <f>House!AI8</f>
        <v>0.35</v>
      </c>
      <c r="AJ8" s="1283" t="str">
        <f>House!AJ8</f>
        <v>m</v>
      </c>
    </row>
    <row r="9" spans="1:36">
      <c r="A9" s="543" t="s">
        <v>1297</v>
      </c>
      <c r="B9" s="2445">
        <f>House!B9</f>
        <v>1.1344640137963142</v>
      </c>
      <c r="C9" s="1281" t="str">
        <f>House!C9</f>
        <v>rad</v>
      </c>
      <c r="D9" s="1282"/>
      <c r="E9" s="1295" t="str">
        <f>House!E9</f>
        <v>Tongue_delta</v>
      </c>
      <c r="F9" s="1280">
        <f>House!F9</f>
        <v>0</v>
      </c>
      <c r="G9" s="1282" t="str">
        <f>House!G9</f>
        <v>rad</v>
      </c>
      <c r="H9" s="1282"/>
      <c r="I9" s="1293"/>
      <c r="J9" s="1361"/>
      <c r="K9" s="685"/>
      <c r="L9" s="813"/>
      <c r="M9" s="1136"/>
      <c r="N9" s="1136"/>
      <c r="O9" s="1136"/>
      <c r="P9" s="1136"/>
      <c r="Q9" s="1136"/>
      <c r="R9" s="1136"/>
      <c r="S9" s="1136"/>
      <c r="T9" s="509"/>
      <c r="U9" s="813"/>
      <c r="V9" s="813"/>
      <c r="W9" s="813"/>
      <c r="X9" s="813"/>
      <c r="Y9" s="509"/>
      <c r="Z9" s="813"/>
      <c r="AA9" s="813"/>
      <c r="AB9" s="813"/>
      <c r="AC9" s="2059"/>
      <c r="AD9" s="1279"/>
      <c r="AE9" s="1294" t="str">
        <f>House!AE9</f>
        <v>b_in</v>
      </c>
      <c r="AF9" s="1281">
        <f>House!AF9</f>
        <v>365</v>
      </c>
      <c r="AG9" s="1282" t="str">
        <f>House!AG9</f>
        <v>mm</v>
      </c>
      <c r="AH9" s="1282"/>
      <c r="AI9" s="1282"/>
      <c r="AJ9" s="1283"/>
    </row>
    <row r="10" spans="1:36">
      <c r="A10" s="543" t="s">
        <v>1090</v>
      </c>
      <c r="B10" s="2445">
        <f>House!B10</f>
        <v>6.2831853071795862</v>
      </c>
      <c r="C10" s="1281" t="str">
        <f>House!C10</f>
        <v>rad</v>
      </c>
      <c r="D10" s="1282"/>
      <c r="E10" s="1282"/>
      <c r="F10" s="1282"/>
      <c r="G10" s="1282"/>
      <c r="H10" s="1282"/>
      <c r="I10" s="1293"/>
      <c r="J10" s="2060"/>
      <c r="K10" s="813"/>
      <c r="L10" s="813"/>
      <c r="M10" s="813"/>
      <c r="N10" s="813"/>
      <c r="O10" s="813"/>
      <c r="P10" s="813"/>
      <c r="Q10" s="813"/>
      <c r="R10" s="813"/>
      <c r="S10" s="813"/>
      <c r="T10" s="813"/>
      <c r="U10" s="813"/>
      <c r="V10" s="813"/>
      <c r="W10" s="813"/>
      <c r="X10" s="813"/>
      <c r="Y10" s="813"/>
      <c r="Z10" s="813"/>
      <c r="AA10" s="813"/>
      <c r="AB10" s="813"/>
      <c r="AC10" s="2059"/>
      <c r="AD10" s="1279"/>
      <c r="AE10" s="1294" t="str">
        <f>House!AE10</f>
        <v>b1_blad_FP</v>
      </c>
      <c r="AF10" s="1281">
        <f>House!AF10</f>
        <v>253</v>
      </c>
      <c r="AG10" s="1282" t="str">
        <f>House!AG10</f>
        <v>mm</v>
      </c>
      <c r="AH10" s="1282"/>
      <c r="AI10" s="1282"/>
      <c r="AJ10" s="1283"/>
    </row>
    <row r="11" spans="1:36">
      <c r="A11" s="543" t="s">
        <v>1091</v>
      </c>
      <c r="B11" s="2446">
        <f>House!B11</f>
        <v>1076.6210889730671</v>
      </c>
      <c r="C11" s="1281" t="str">
        <f>House!C11</f>
        <v>mm</v>
      </c>
      <c r="D11" s="1282"/>
      <c r="E11" s="1282"/>
      <c r="F11" s="1282"/>
      <c r="G11" s="1282"/>
      <c r="H11" s="1282"/>
      <c r="I11" s="1293"/>
      <c r="J11" s="939"/>
      <c r="K11" s="685"/>
      <c r="L11" s="813"/>
      <c r="M11" s="813"/>
      <c r="N11" s="813"/>
      <c r="O11" s="813"/>
      <c r="P11" s="813"/>
      <c r="Q11" s="813"/>
      <c r="R11" s="813"/>
      <c r="S11" s="813"/>
      <c r="T11" s="813"/>
      <c r="U11" s="942"/>
      <c r="V11" s="942"/>
      <c r="W11" s="685"/>
      <c r="X11" s="685"/>
      <c r="Y11" s="813"/>
      <c r="Z11" s="813"/>
      <c r="AA11" s="813"/>
      <c r="AB11" s="509"/>
      <c r="AC11" s="1342"/>
      <c r="AD11" s="1284"/>
      <c r="AE11" s="1294" t="str">
        <f>House!AE11</f>
        <v>CH (RD,135)</v>
      </c>
      <c r="AF11" s="1285">
        <f>House!AF11</f>
        <v>1269</v>
      </c>
      <c r="AG11" s="1282">
        <f>House!AG11</f>
        <v>1.1000000000000001</v>
      </c>
      <c r="AH11" s="1286">
        <f>House!AH11</f>
        <v>1270</v>
      </c>
      <c r="AI11" s="1286">
        <f>House!AI11</f>
        <v>1268</v>
      </c>
      <c r="AJ11" s="1283"/>
    </row>
    <row r="12" spans="1:36">
      <c r="A12" s="543" t="s">
        <v>1798</v>
      </c>
      <c r="B12" s="2446">
        <f>House!B12</f>
        <v>5</v>
      </c>
      <c r="C12" s="1281" t="str">
        <f>House!C12</f>
        <v>mm</v>
      </c>
      <c r="D12" s="1282"/>
      <c r="E12" s="1282"/>
      <c r="F12" s="1282"/>
      <c r="G12" s="1282"/>
      <c r="H12" s="1282"/>
      <c r="I12" s="1293"/>
      <c r="J12" s="941"/>
      <c r="K12" s="1308"/>
      <c r="L12" s="942"/>
      <c r="M12" s="942"/>
      <c r="N12" s="942"/>
      <c r="O12" s="942"/>
      <c r="P12" s="942"/>
      <c r="Q12" s="942"/>
      <c r="R12" s="942"/>
      <c r="S12" s="942"/>
      <c r="T12" s="813"/>
      <c r="U12" s="940"/>
      <c r="V12" s="940"/>
      <c r="W12" s="1308"/>
      <c r="X12" s="942"/>
      <c r="Y12" s="813"/>
      <c r="Z12" s="813"/>
      <c r="AA12" s="813"/>
      <c r="AB12" s="813"/>
      <c r="AC12" s="2059"/>
    </row>
    <row r="13" spans="1:36">
      <c r="A13" s="543" t="s">
        <v>1183</v>
      </c>
      <c r="B13" s="1279">
        <f>House!B13</f>
        <v>630</v>
      </c>
      <c r="C13" s="1281" t="str">
        <f>House!C13</f>
        <v>mm</v>
      </c>
      <c r="D13" s="1282"/>
      <c r="E13" s="1282"/>
      <c r="F13" s="1282"/>
      <c r="G13" s="1282"/>
      <c r="H13" s="1282"/>
      <c r="I13" s="1293"/>
      <c r="J13" s="939"/>
      <c r="K13" s="942"/>
      <c r="L13" s="942"/>
      <c r="M13" s="942"/>
      <c r="N13" s="942"/>
      <c r="O13" s="942"/>
      <c r="P13" s="942"/>
      <c r="Q13" s="942"/>
      <c r="R13" s="942"/>
      <c r="S13" s="942"/>
      <c r="T13" s="813"/>
      <c r="U13" s="813"/>
      <c r="V13" s="813"/>
      <c r="W13" s="813"/>
      <c r="X13" s="813"/>
      <c r="Y13" s="813"/>
      <c r="Z13" s="685"/>
      <c r="AA13" s="860"/>
      <c r="AB13" s="860"/>
      <c r="AC13" s="2059"/>
      <c r="AD13" s="3806" t="s">
        <v>1801</v>
      </c>
      <c r="AE13" s="3807"/>
      <c r="AF13" s="3807"/>
      <c r="AG13" s="3807"/>
      <c r="AH13" s="3807"/>
      <c r="AI13" s="3807"/>
      <c r="AJ13" s="3808"/>
    </row>
    <row r="14" spans="1:36">
      <c r="A14" s="543" t="s">
        <v>1184</v>
      </c>
      <c r="B14" s="2446">
        <f>House!B14</f>
        <v>1125</v>
      </c>
      <c r="C14" s="1281" t="str">
        <f>House!C14</f>
        <v>mm</v>
      </c>
      <c r="D14" s="1282"/>
      <c r="E14" s="1282"/>
      <c r="F14" s="1282"/>
      <c r="G14" s="1282"/>
      <c r="H14" s="1304"/>
      <c r="I14" s="1293"/>
      <c r="J14" s="939"/>
      <c r="K14" s="942"/>
      <c r="L14" s="942"/>
      <c r="M14" s="942"/>
      <c r="N14" s="942"/>
      <c r="O14" s="942"/>
      <c r="P14" s="942"/>
      <c r="Q14" s="942"/>
      <c r="R14" s="942"/>
      <c r="S14" s="942"/>
      <c r="T14" s="813"/>
      <c r="U14" s="509"/>
      <c r="V14" s="509"/>
      <c r="W14" s="813"/>
      <c r="X14" s="813"/>
      <c r="Y14" s="1464"/>
      <c r="Z14" s="1136"/>
      <c r="AA14" s="2146"/>
      <c r="AB14" s="813"/>
      <c r="AC14" s="2059"/>
      <c r="AD14" s="1287"/>
      <c r="AE14" s="1295" t="str">
        <f>House!AE14</f>
        <v>Insulation</v>
      </c>
      <c r="AF14" s="1282">
        <f>House!AF14</f>
        <v>0</v>
      </c>
      <c r="AG14" s="1282" t="str">
        <f>House!AG14</f>
        <v>mm</v>
      </c>
      <c r="AH14" s="1282"/>
      <c r="AI14" s="1282"/>
      <c r="AJ14" s="1283"/>
    </row>
    <row r="15" spans="1:36">
      <c r="A15" s="543"/>
      <c r="B15" s="2356"/>
      <c r="C15" s="813"/>
      <c r="D15" s="518"/>
      <c r="E15" s="518"/>
      <c r="F15" s="518"/>
      <c r="G15" s="518"/>
      <c r="H15" s="510"/>
      <c r="I15" s="521"/>
      <c r="J15" s="939"/>
      <c r="K15" s="942"/>
      <c r="L15" s="942"/>
      <c r="M15" s="942"/>
      <c r="N15" s="942"/>
      <c r="O15" s="942"/>
      <c r="P15" s="942"/>
      <c r="Q15" s="942"/>
      <c r="R15" s="942"/>
      <c r="S15" s="942"/>
      <c r="T15" s="813"/>
      <c r="U15" s="509"/>
      <c r="V15" s="509"/>
      <c r="W15" s="813"/>
      <c r="X15" s="813"/>
      <c r="Y15" s="1464"/>
      <c r="Z15" s="1136"/>
      <c r="AA15" s="2146"/>
      <c r="AB15" s="813"/>
      <c r="AC15" s="2059"/>
      <c r="AD15" s="1287"/>
      <c r="AE15" s="1295" t="str">
        <f>House!AE15</f>
        <v>Steel_density</v>
      </c>
      <c r="AF15" s="1282">
        <f>House!AF15</f>
        <v>7850</v>
      </c>
      <c r="AG15" s="1282" t="str">
        <f>House!AG15</f>
        <v>kg/m3</v>
      </c>
      <c r="AH15" s="1282"/>
      <c r="AI15" s="1282"/>
      <c r="AJ15" s="1283"/>
    </row>
    <row r="16" spans="1:36" ht="15.75" thickBot="1">
      <c r="A16" s="2447"/>
      <c r="B16" s="2448"/>
      <c r="C16" s="1307"/>
      <c r="D16" s="1307"/>
      <c r="E16" s="1307"/>
      <c r="F16" s="1307"/>
      <c r="G16" s="1307"/>
      <c r="H16" s="1310"/>
      <c r="I16" s="1316"/>
      <c r="J16" s="1306"/>
      <c r="K16" s="1307"/>
      <c r="L16" s="1307"/>
      <c r="M16" s="1307"/>
      <c r="N16" s="1307"/>
      <c r="O16" s="1307"/>
      <c r="P16" s="1307"/>
      <c r="Q16" s="1307"/>
      <c r="R16" s="1307"/>
      <c r="S16" s="1307"/>
      <c r="T16" s="812"/>
      <c r="U16" s="808"/>
      <c r="V16" s="808"/>
      <c r="W16" s="814"/>
      <c r="X16" s="814"/>
      <c r="Y16" s="814"/>
      <c r="Z16" s="814"/>
      <c r="AA16" s="1312"/>
      <c r="AB16" s="1312"/>
      <c r="AC16" s="2147"/>
      <c r="AD16" s="1306"/>
      <c r="AE16" s="1311"/>
      <c r="AF16" s="1307"/>
      <c r="AG16" s="1307"/>
      <c r="AH16" s="1307"/>
      <c r="AI16" s="1307"/>
      <c r="AJ16" s="1313"/>
    </row>
    <row r="17" spans="1:28" ht="15.75" thickBot="1">
      <c r="A17" s="518"/>
      <c r="B17" s="813"/>
      <c r="C17" s="813"/>
      <c r="D17" s="518"/>
      <c r="E17" s="685"/>
      <c r="F17" s="813"/>
      <c r="G17" s="518"/>
      <c r="H17" s="510"/>
      <c r="I17" s="518"/>
      <c r="J17" s="518"/>
      <c r="K17" s="518"/>
      <c r="L17" s="518"/>
      <c r="M17" s="518"/>
      <c r="N17" s="518"/>
      <c r="O17" s="509"/>
      <c r="P17" s="510"/>
      <c r="Q17" s="510"/>
      <c r="R17" s="510"/>
      <c r="S17" s="510"/>
      <c r="T17" s="805"/>
      <c r="U17" s="805"/>
      <c r="V17" s="510"/>
      <c r="W17" s="518"/>
      <c r="X17" s="518"/>
      <c r="Y17" s="518"/>
      <c r="Z17" s="518"/>
      <c r="AA17" s="518"/>
      <c r="AB17" s="518"/>
    </row>
    <row r="18" spans="1:28" ht="15.75" thickBot="1">
      <c r="A18" s="3799" t="s">
        <v>1427</v>
      </c>
      <c r="B18" s="3800"/>
      <c r="C18" s="3800"/>
      <c r="D18" s="3800"/>
      <c r="E18" s="3800"/>
      <c r="F18" s="3800"/>
      <c r="G18" s="3800"/>
      <c r="H18" s="3800"/>
      <c r="I18" s="3800"/>
      <c r="J18" s="3800"/>
      <c r="K18" s="3800"/>
      <c r="L18" s="3800"/>
      <c r="M18" s="3800"/>
      <c r="N18" s="3800"/>
      <c r="O18" s="3800"/>
      <c r="P18" s="3800"/>
      <c r="Q18" s="3800"/>
      <c r="R18" s="3800"/>
      <c r="S18" s="3837"/>
    </row>
    <row r="19" spans="1:28">
      <c r="A19" s="1145" t="s">
        <v>3948</v>
      </c>
      <c r="B19" s="1154" t="e">
        <f ca="1">MAX(ROUNDUP(MAX(modified_d_2,d_2)*Hole_Clearance_factor/5,0)*5,SP_iD+5)</f>
        <v>#REF!</v>
      </c>
      <c r="C19" s="1147" t="s">
        <v>136</v>
      </c>
      <c r="D19" s="518"/>
      <c r="E19" s="1145" t="s">
        <v>3932</v>
      </c>
      <c r="F19" s="2336">
        <v>1.05</v>
      </c>
      <c r="G19" s="518"/>
      <c r="H19" s="518"/>
      <c r="I19" s="518"/>
      <c r="J19" s="1146"/>
      <c r="K19" s="518"/>
      <c r="L19" s="518"/>
      <c r="M19" s="518"/>
      <c r="N19" s="518"/>
      <c r="O19" s="518"/>
      <c r="P19" s="518"/>
      <c r="Q19" s="518"/>
      <c r="R19" s="518"/>
      <c r="S19" s="527"/>
    </row>
    <row r="20" spans="1:28">
      <c r="A20" s="1275" t="s">
        <v>3947</v>
      </c>
      <c r="B20" s="1154" t="e">
        <f ca="1">int_Inl_D</f>
        <v>#REF!</v>
      </c>
      <c r="C20" s="518" t="s">
        <v>136</v>
      </c>
      <c r="D20" s="518"/>
      <c r="G20" s="518"/>
      <c r="H20" s="518"/>
      <c r="I20" s="518"/>
      <c r="J20" s="510"/>
      <c r="K20" s="813"/>
      <c r="L20" s="813"/>
      <c r="M20" s="518"/>
      <c r="N20" s="518"/>
      <c r="O20" s="518"/>
      <c r="P20" s="518"/>
      <c r="Q20" s="518"/>
      <c r="R20" s="518"/>
      <c r="S20" s="527"/>
    </row>
    <row r="21" spans="1:28">
      <c r="A21" s="1275" t="s">
        <v>3927</v>
      </c>
      <c r="B21" s="1154" t="e">
        <f ca="1">ImpellerHole_D*$F$21</f>
        <v>#REF!</v>
      </c>
      <c r="C21" s="518" t="s">
        <v>136</v>
      </c>
      <c r="D21" s="528"/>
      <c r="E21" s="528" t="s">
        <v>1866</v>
      </c>
      <c r="F21" s="518">
        <v>1.1000000000000001</v>
      </c>
      <c r="G21" s="518"/>
      <c r="H21" s="518"/>
      <c r="I21" s="518"/>
      <c r="J21" s="510"/>
      <c r="K21" s="509"/>
      <c r="L21" s="685"/>
      <c r="M21" s="518"/>
      <c r="N21" s="3835" t="s">
        <v>3848</v>
      </c>
      <c r="O21" s="3835"/>
      <c r="P21" s="3835"/>
      <c r="Q21" s="3835"/>
      <c r="R21" s="3835"/>
      <c r="S21" s="3836"/>
    </row>
    <row r="22" spans="1:28" s="496" customFormat="1">
      <c r="A22" s="1275" t="s">
        <v>3928</v>
      </c>
      <c r="B22" s="1154" t="e">
        <f ca="1">IF(Small_F,Hub_C_eD*Hole_Clearance_factor,int_Inl_D)</f>
        <v>#REF!</v>
      </c>
      <c r="C22" s="518" t="s">
        <v>136</v>
      </c>
      <c r="E22" s="1274"/>
      <c r="F22" s="685"/>
      <c r="G22" s="813"/>
      <c r="H22" s="813"/>
      <c r="I22" s="813"/>
      <c r="J22" s="685"/>
      <c r="K22" s="509"/>
      <c r="L22" s="685"/>
      <c r="M22" s="813"/>
      <c r="N22" s="3835"/>
      <c r="O22" s="3835"/>
      <c r="P22" s="3835"/>
      <c r="Q22" s="3835"/>
      <c r="R22" s="3835"/>
      <c r="S22" s="3836"/>
    </row>
    <row r="23" spans="1:28" s="496" customFormat="1">
      <c r="A23" s="1275" t="s">
        <v>3929</v>
      </c>
      <c r="B23" s="1154">
        <f>VLOOKUP(SP_Type,Iron_dim,4,FALSE)</f>
        <v>7</v>
      </c>
      <c r="C23" s="518" t="s">
        <v>136</v>
      </c>
      <c r="D23" s="1742" t="str">
        <f>INDEX(Iron_dim,MATCH(House_P_T+2,'Iron Dim.'!$E$3:$E$13,1)+1,1)</f>
        <v>P7</v>
      </c>
      <c r="E23" s="685"/>
      <c r="F23" s="813"/>
      <c r="G23" s="509"/>
      <c r="H23" s="1274"/>
      <c r="I23" s="685"/>
      <c r="J23" s="685"/>
      <c r="K23" s="509"/>
      <c r="L23" s="685"/>
      <c r="M23" s="813"/>
      <c r="N23" s="3835"/>
      <c r="O23" s="3835"/>
      <c r="P23" s="3835"/>
      <c r="Q23" s="3835"/>
      <c r="R23" s="3835"/>
      <c r="S23" s="3836"/>
    </row>
    <row r="24" spans="1:28" s="496" customFormat="1">
      <c r="A24" s="528" t="s">
        <v>1823</v>
      </c>
      <c r="B24" s="804">
        <f>ROUND(0.5*SP_T,0)</f>
        <v>4</v>
      </c>
      <c r="C24" s="813"/>
      <c r="D24" s="509"/>
      <c r="E24" s="685"/>
      <c r="F24" s="813"/>
      <c r="G24" s="509"/>
      <c r="H24" s="1274"/>
      <c r="I24" s="685"/>
      <c r="J24" s="685"/>
      <c r="K24" s="509"/>
      <c r="L24" s="685"/>
      <c r="M24" s="813"/>
      <c r="N24" s="2142"/>
      <c r="O24" s="2142"/>
      <c r="P24" s="2142"/>
      <c r="Q24" s="2142"/>
      <c r="R24" s="2142"/>
      <c r="S24" s="2143"/>
    </row>
    <row r="25" spans="1:28">
      <c r="A25" s="1234"/>
      <c r="B25" s="1234"/>
      <c r="C25" s="1234"/>
      <c r="D25" s="510"/>
      <c r="E25" s="1234" t="s">
        <v>1438</v>
      </c>
      <c r="F25" s="1234"/>
      <c r="G25" s="510" t="s">
        <v>2520</v>
      </c>
      <c r="H25" s="518"/>
      <c r="I25" s="518"/>
      <c r="M25" s="518"/>
      <c r="N25" s="518"/>
      <c r="O25" s="518"/>
      <c r="P25" s="518"/>
      <c r="Q25" s="518"/>
      <c r="R25" s="518"/>
      <c r="S25" s="527"/>
    </row>
    <row r="26" spans="1:28">
      <c r="A26" s="528" t="s">
        <v>1814</v>
      </c>
      <c r="B26" s="528" t="s">
        <v>1822</v>
      </c>
      <c r="C26" s="1154">
        <f>IF(d_in-2*K26&gt;inlet_D_ext,inlet_D_ext,d_in-2*K26)</f>
        <v>694</v>
      </c>
      <c r="D26" s="510"/>
      <c r="E26" s="528" t="s">
        <v>1817</v>
      </c>
      <c r="F26" s="1154">
        <f>IF((b_in-b_1_bladeFP)/2&lt;minQ,0,minQ)*COS(RADIANS(30))</f>
        <v>17.320508075688775</v>
      </c>
      <c r="G26" s="1234" t="e">
        <f ca="1">(DIHo-House_P_T+Hub_P_T+Back_P_T+b_in)-MIN((b_in-b_1_bladeFP)/2,MIN(20,(b_in-b_1_bladeFP)/2)+InlQ_H)</f>
        <v>#REF!</v>
      </c>
      <c r="H26" s="510" t="s">
        <v>136</v>
      </c>
      <c r="I26" s="518"/>
      <c r="J26" s="528" t="s">
        <v>3860</v>
      </c>
      <c r="K26" s="813">
        <v>3</v>
      </c>
      <c r="L26" s="518" t="s">
        <v>136</v>
      </c>
      <c r="M26" s="518"/>
      <c r="N26" s="518"/>
      <c r="O26" s="518"/>
      <c r="P26" s="518"/>
      <c r="Q26" s="518"/>
      <c r="R26" s="518"/>
      <c r="S26" s="527"/>
    </row>
    <row r="27" spans="1:28">
      <c r="A27" s="1234" t="s">
        <v>53</v>
      </c>
      <c r="B27" s="528" t="s">
        <v>1824</v>
      </c>
      <c r="C27" s="1154">
        <f>InlQ_D-2*TAN(RADIANS(30))*InlQ_H</f>
        <v>674</v>
      </c>
      <c r="D27" s="510"/>
      <c r="E27" s="1234" t="s">
        <v>1465</v>
      </c>
      <c r="F27" s="1154" t="e">
        <f ca="1">IF(House_B_ins-G27&lt;minP,0,minP)</f>
        <v>#REF!</v>
      </c>
      <c r="G27" s="1234" t="e">
        <f ca="1">G26+InlQ_H</f>
        <v>#REF!</v>
      </c>
      <c r="H27" s="518" t="s">
        <v>136</v>
      </c>
      <c r="I27" s="518"/>
      <c r="J27" s="528" t="s">
        <v>1869</v>
      </c>
      <c r="K27" s="804">
        <v>20</v>
      </c>
      <c r="L27" s="518" t="s">
        <v>136</v>
      </c>
      <c r="M27" s="518"/>
      <c r="N27" s="518"/>
      <c r="O27" s="518"/>
      <c r="P27" s="518"/>
      <c r="Q27" s="518"/>
      <c r="R27" s="518"/>
      <c r="S27" s="527"/>
    </row>
    <row r="28" spans="1:28">
      <c r="A28" s="1234" t="s">
        <v>261</v>
      </c>
      <c r="B28" s="518"/>
      <c r="C28" s="518"/>
      <c r="D28" s="510"/>
      <c r="E28" s="1234" t="s">
        <v>1816</v>
      </c>
      <c r="F28" s="1154" t="e">
        <f ca="1">IF(House_B_ins-G28-minN&lt;minR1,0,IF(InlP_D+2*(House_B_ins-G28-minN)*TAN(RADIANS(30))&lt;inlet_D_ext,0,IF((inlet_D_ext-InlP_D)/2/TAN(RADIANS(30))&lt;minR1,0,(inlet_D_ext-InlP_D)/2/TAN(RADIANS(30)))))</f>
        <v>#REF!</v>
      </c>
      <c r="G28" s="1234" t="e">
        <f ca="1">G27+int_cyl1</f>
        <v>#REF!</v>
      </c>
      <c r="H28" s="518" t="s">
        <v>136</v>
      </c>
      <c r="I28" s="518"/>
      <c r="J28" s="528" t="s">
        <v>1870</v>
      </c>
      <c r="K28" s="1154">
        <v>30</v>
      </c>
      <c r="L28" s="518" t="s">
        <v>136</v>
      </c>
      <c r="M28" s="518"/>
      <c r="N28" s="518"/>
      <c r="O28" s="518"/>
      <c r="P28" s="518"/>
      <c r="Q28" s="518"/>
      <c r="R28" s="518"/>
      <c r="S28" s="527"/>
    </row>
    <row r="29" spans="1:28">
      <c r="A29" s="1234" t="s">
        <v>1086</v>
      </c>
      <c r="B29" s="1234" t="s">
        <v>1431</v>
      </c>
      <c r="C29" s="1154" t="e">
        <f ca="1">InlP_D+IF(int_Inl_H&lt;=minR1,0,2*int_Inl_H*TAN(RADIANS(30)))</f>
        <v>#REF!</v>
      </c>
      <c r="D29" s="518"/>
      <c r="E29" s="1234" t="s">
        <v>1466</v>
      </c>
      <c r="F29" s="1154" t="e">
        <f ca="1">IF(House_B_ins-G29&lt;minN,0,House_B_ins-G29)+House_P_T+SP_T</f>
        <v>#REF!</v>
      </c>
      <c r="G29" s="1234" t="e">
        <f ca="1">G28+int_Inl_H</f>
        <v>#REF!</v>
      </c>
      <c r="H29" s="518" t="s">
        <v>136</v>
      </c>
      <c r="I29" s="518"/>
      <c r="J29" s="528" t="s">
        <v>1826</v>
      </c>
      <c r="K29" s="804">
        <v>50</v>
      </c>
      <c r="L29" s="518" t="s">
        <v>136</v>
      </c>
      <c r="M29" s="518"/>
      <c r="N29" s="518"/>
      <c r="O29" s="518"/>
      <c r="P29" s="518"/>
      <c r="Q29" s="518"/>
      <c r="R29" s="518"/>
      <c r="S29" s="527"/>
    </row>
    <row r="30" spans="1:28">
      <c r="A30" s="1234" t="s">
        <v>1192</v>
      </c>
      <c r="B30" s="518"/>
      <c r="C30" s="518"/>
      <c r="D30" s="510"/>
      <c r="E30" s="1234" t="s">
        <v>1467</v>
      </c>
      <c r="F30" s="1154" t="e">
        <f ca="1">IF(minM+ext_inl_H&gt;INS,minM,INS-ext_inl_H+IF(ext_inl_H=0,minM,0))</f>
        <v>#REF!</v>
      </c>
      <c r="G30" s="1234" t="e">
        <f ca="1">G29+int_cyl2</f>
        <v>#REF!</v>
      </c>
      <c r="H30" s="518" t="s">
        <v>136</v>
      </c>
      <c r="I30" s="518"/>
      <c r="J30" s="528" t="s">
        <v>1825</v>
      </c>
      <c r="K30" s="804">
        <v>25</v>
      </c>
      <c r="L30" s="518" t="s">
        <v>136</v>
      </c>
      <c r="M30" s="518"/>
      <c r="N30" s="1276" t="s">
        <v>1819</v>
      </c>
      <c r="O30" s="518"/>
      <c r="P30" s="518"/>
      <c r="Q30" s="518"/>
      <c r="R30" s="518"/>
      <c r="S30" s="527"/>
    </row>
    <row r="31" spans="1:28">
      <c r="A31" s="1234" t="s">
        <v>243</v>
      </c>
      <c r="B31" s="518"/>
      <c r="C31" s="518"/>
      <c r="D31" s="510"/>
      <c r="E31" s="1234" t="s">
        <v>1468</v>
      </c>
      <c r="F31" s="1154" t="e">
        <f ca="1">IF(int_Inl_D&lt;inlet_D_ext,IF((inlet_D_ext-int_Inl_D)/2/TAN(RADIANS(30))&lt;minL,minL,(inlet_D_ext-int_Inl_D)/2/TAN(RADIANS(30))),0)</f>
        <v>#REF!</v>
      </c>
      <c r="G31" s="1234" t="e">
        <f ca="1">G30+ext_cyl1</f>
        <v>#REF!</v>
      </c>
      <c r="H31" s="518" t="s">
        <v>136</v>
      </c>
      <c r="I31" s="518"/>
      <c r="J31" s="528" t="s">
        <v>1827</v>
      </c>
      <c r="K31" s="1154" t="e">
        <f ca="1">MAX(minbolt_D,'House reinf, Inlet Side'!$T$7)</f>
        <v>#REF!</v>
      </c>
      <c r="L31" s="518" t="s">
        <v>136</v>
      </c>
      <c r="M31" s="518"/>
      <c r="N31" s="518"/>
      <c r="O31" s="518"/>
      <c r="P31" s="518"/>
      <c r="Q31" s="518"/>
      <c r="R31" s="518"/>
      <c r="S31" s="527"/>
    </row>
    <row r="32" spans="1:28">
      <c r="A32" s="1234" t="s">
        <v>239</v>
      </c>
      <c r="B32" s="1234" t="s">
        <v>1430</v>
      </c>
      <c r="C32" s="1154" t="e">
        <f ca="1">int_Inl_D+IF(int_Inl_D&lt;inlet_D_ext,(inlet_D_ext-int_Inl_D),0)</f>
        <v>#REF!</v>
      </c>
      <c r="D32" s="510"/>
      <c r="E32" s="1234" t="s">
        <v>1469</v>
      </c>
      <c r="F32" s="1154">
        <v>1</v>
      </c>
      <c r="G32" s="1234" t="e">
        <f ca="1">G31+ext_inl_H</f>
        <v>#REF!</v>
      </c>
      <c r="H32" s="518" t="s">
        <v>136</v>
      </c>
      <c r="I32" s="518"/>
      <c r="J32" s="528" t="s">
        <v>1867</v>
      </c>
      <c r="K32" s="804">
        <v>50</v>
      </c>
      <c r="L32" s="518" t="s">
        <v>136</v>
      </c>
      <c r="M32" s="518"/>
      <c r="N32" s="528" t="s">
        <v>1428</v>
      </c>
      <c r="O32" s="518"/>
      <c r="P32" s="518"/>
      <c r="Q32" s="528" t="s">
        <v>243</v>
      </c>
      <c r="R32" s="1277" t="s">
        <v>239</v>
      </c>
      <c r="S32" s="527"/>
    </row>
    <row r="33" spans="1:19">
      <c r="A33" s="1234"/>
      <c r="B33" s="510"/>
      <c r="C33" s="510"/>
      <c r="D33" s="510"/>
      <c r="E33" s="510"/>
      <c r="F33" s="510"/>
      <c r="G33" s="510"/>
      <c r="H33" s="518"/>
      <c r="I33" s="518"/>
      <c r="J33" s="528" t="s">
        <v>1868</v>
      </c>
      <c r="K33" s="804">
        <v>1</v>
      </c>
      <c r="L33" s="518" t="s">
        <v>136</v>
      </c>
      <c r="M33" s="518"/>
      <c r="N33" s="518"/>
      <c r="O33" s="518"/>
      <c r="P33" s="518"/>
      <c r="Q33" s="518"/>
      <c r="R33" s="518"/>
      <c r="S33" s="527"/>
    </row>
    <row r="34" spans="1:19">
      <c r="A34" s="528"/>
      <c r="B34" s="518"/>
      <c r="C34" s="518"/>
      <c r="D34" s="518"/>
      <c r="E34" s="518"/>
      <c r="F34" s="518"/>
      <c r="G34" s="518"/>
      <c r="H34" s="518"/>
      <c r="I34" s="518"/>
      <c r="J34" s="528" t="s">
        <v>2546</v>
      </c>
      <c r="K34" s="804">
        <v>75</v>
      </c>
      <c r="L34" s="518" t="s">
        <v>136</v>
      </c>
      <c r="M34" s="518"/>
      <c r="N34" s="518"/>
      <c r="O34" s="518"/>
      <c r="P34" s="518"/>
      <c r="Q34" s="518" t="s">
        <v>1815</v>
      </c>
      <c r="R34" s="518"/>
      <c r="S34" s="527"/>
    </row>
    <row r="35" spans="1:19">
      <c r="A35" s="1234"/>
      <c r="B35" s="518" t="s">
        <v>304</v>
      </c>
      <c r="C35" s="510" t="s">
        <v>1440</v>
      </c>
      <c r="D35" s="510" t="s">
        <v>1440</v>
      </c>
      <c r="E35" s="510" t="s">
        <v>1440</v>
      </c>
      <c r="F35" s="510" t="s">
        <v>1440</v>
      </c>
      <c r="G35" s="510" t="s">
        <v>1440</v>
      </c>
      <c r="H35" s="510" t="s">
        <v>1440</v>
      </c>
      <c r="I35" s="510" t="s">
        <v>1</v>
      </c>
      <c r="J35" s="518"/>
      <c r="K35" s="518"/>
      <c r="L35" s="518"/>
      <c r="M35" s="518"/>
      <c r="N35" s="518"/>
      <c r="O35" s="528" t="s">
        <v>1828</v>
      </c>
      <c r="P35" s="1277" t="s">
        <v>261</v>
      </c>
      <c r="Q35" s="518" t="s">
        <v>1086</v>
      </c>
      <c r="R35" s="518"/>
      <c r="S35" s="527"/>
    </row>
    <row r="36" spans="1:19">
      <c r="A36" s="1234"/>
      <c r="B36" s="518" t="s">
        <v>1814</v>
      </c>
      <c r="C36" s="510" t="s">
        <v>1463</v>
      </c>
      <c r="D36" s="510" t="s">
        <v>1820</v>
      </c>
      <c r="E36" s="510" t="s">
        <v>1462</v>
      </c>
      <c r="F36" s="510" t="s">
        <v>1461</v>
      </c>
      <c r="G36" s="510" t="s">
        <v>1460</v>
      </c>
      <c r="H36" s="510" t="s">
        <v>1459</v>
      </c>
      <c r="I36" s="510" t="s">
        <v>1439</v>
      </c>
      <c r="J36" s="518"/>
      <c r="K36" s="518"/>
      <c r="L36" s="518"/>
      <c r="M36" s="518"/>
      <c r="N36" s="518"/>
      <c r="O36" s="518"/>
      <c r="P36" s="518"/>
      <c r="Q36" s="518"/>
      <c r="R36" s="518"/>
      <c r="S36" s="527"/>
    </row>
    <row r="37" spans="1:19">
      <c r="A37" s="1234" t="s">
        <v>1109</v>
      </c>
      <c r="B37" s="510" t="e">
        <f ca="1">'Frame Dimensions'!J139+House_P_T+G26</f>
        <v>#REF!</v>
      </c>
      <c r="C37" s="510" t="e">
        <f ca="1">B37+InlQ_H</f>
        <v>#REF!</v>
      </c>
      <c r="D37" s="510" t="e">
        <f ca="1">C37+int_cyl1</f>
        <v>#REF!</v>
      </c>
      <c r="E37" s="510" t="e">
        <f ca="1">D37+int_Inl_H</f>
        <v>#REF!</v>
      </c>
      <c r="F37" s="510" t="e">
        <f ca="1">E37+int_cyl2</f>
        <v>#REF!</v>
      </c>
      <c r="G37" s="510" t="e">
        <f ca="1">F37+ext_cyl1</f>
        <v>#REF!</v>
      </c>
      <c r="H37" s="510" t="e">
        <f ca="1">G37+ext_inl_H</f>
        <v>#REF!</v>
      </c>
      <c r="I37" s="510" t="e">
        <f ca="1">H37+ext_cyl2</f>
        <v>#REF!</v>
      </c>
      <c r="J37" s="518" t="s">
        <v>136</v>
      </c>
      <c r="K37" s="518"/>
      <c r="L37" s="518"/>
      <c r="M37" s="518"/>
      <c r="N37" s="518"/>
      <c r="O37" s="1277"/>
      <c r="P37" s="528" t="s">
        <v>1464</v>
      </c>
      <c r="Q37" s="518"/>
      <c r="R37" s="518"/>
      <c r="S37" s="527" t="s">
        <v>1818</v>
      </c>
    </row>
    <row r="38" spans="1:19">
      <c r="A38" s="1234" t="s">
        <v>1110</v>
      </c>
      <c r="B38" s="510">
        <f>Center_H+InlQ_D/2</f>
        <v>1616</v>
      </c>
      <c r="C38" s="510">
        <f>Center_H+InlP_D/2</f>
        <v>1606</v>
      </c>
      <c r="D38" s="510">
        <f>C38</f>
        <v>1606</v>
      </c>
      <c r="E38" s="510" t="e">
        <f ca="1">Center_H+int_Inl_D/2</f>
        <v>#REF!</v>
      </c>
      <c r="F38" s="510" t="e">
        <f ca="1">E38</f>
        <v>#REF!</v>
      </c>
      <c r="G38" s="510" t="e">
        <f ca="1">F38</f>
        <v>#REF!</v>
      </c>
      <c r="H38" s="510" t="e">
        <f ca="1">Center_H+ext_inl_D/2</f>
        <v>#REF!</v>
      </c>
      <c r="I38" s="510" t="e">
        <f ca="1">H38</f>
        <v>#REF!</v>
      </c>
      <c r="J38" s="518" t="s">
        <v>136</v>
      </c>
      <c r="K38" s="518"/>
      <c r="L38" s="518"/>
      <c r="M38" s="518"/>
      <c r="N38" s="518"/>
      <c r="O38" s="518"/>
      <c r="P38" s="518"/>
      <c r="Q38" s="518"/>
      <c r="R38" s="518"/>
      <c r="S38" s="527"/>
    </row>
    <row r="39" spans="1:19">
      <c r="A39" s="1234" t="s">
        <v>1107</v>
      </c>
      <c r="B39" s="510">
        <f>Center_H-InlQ_D/2</f>
        <v>922</v>
      </c>
      <c r="C39" s="510">
        <f>Center_H-InlP_D/2</f>
        <v>932</v>
      </c>
      <c r="D39" s="510">
        <f>C39</f>
        <v>932</v>
      </c>
      <c r="E39" s="510" t="e">
        <f ca="1">Center_H-int_Inl_D/2</f>
        <v>#REF!</v>
      </c>
      <c r="F39" s="510" t="e">
        <f ca="1">E39</f>
        <v>#REF!</v>
      </c>
      <c r="G39" s="510" t="e">
        <f ca="1">F39</f>
        <v>#REF!</v>
      </c>
      <c r="H39" s="510" t="e">
        <f ca="1">Center_H-ext_inl_D/2</f>
        <v>#REF!</v>
      </c>
      <c r="I39" s="510" t="e">
        <f ca="1">H39</f>
        <v>#REF!</v>
      </c>
      <c r="J39" s="518" t="s">
        <v>136</v>
      </c>
      <c r="K39" s="518"/>
      <c r="L39" s="518"/>
      <c r="M39" s="518"/>
      <c r="N39" s="518"/>
      <c r="O39" s="518"/>
      <c r="P39" s="518"/>
      <c r="Q39" s="528" t="s">
        <v>1198</v>
      </c>
      <c r="R39" s="518"/>
      <c r="S39" s="527"/>
    </row>
    <row r="40" spans="1:19">
      <c r="A40" s="528"/>
      <c r="B40" s="518"/>
      <c r="C40" s="518"/>
      <c r="D40" s="518"/>
      <c r="E40" s="518"/>
      <c r="F40" s="518"/>
      <c r="G40" s="518"/>
      <c r="H40" s="518"/>
      <c r="I40" s="518"/>
      <c r="J40" s="518"/>
      <c r="K40" s="518"/>
      <c r="L40" s="518"/>
      <c r="M40" s="518"/>
      <c r="N40" s="518"/>
      <c r="O40" s="518"/>
      <c r="P40" s="518"/>
      <c r="Q40" s="518"/>
      <c r="R40" s="518"/>
      <c r="S40" s="527"/>
    </row>
    <row r="41" spans="1:19">
      <c r="A41" s="1234" t="s">
        <v>279</v>
      </c>
      <c r="B41" s="518"/>
      <c r="C41" s="510" t="e">
        <f ca="1">steel_density*PI()*(d_in/1000)*int_cyl1/1000*Inlet_P_T/1000</f>
        <v>#REF!</v>
      </c>
      <c r="D41" s="510" t="e">
        <f ca="1">steel_density*PI()*SQRT(('Inlet Cone'!E37/1000-'Inlet Cone'!D37/1000)^2+('Inlet Cone'!E38/1000-'Inlet Cone'!D38/1000)^2)*(int_Inl_D/1000+d_in/1000)/2*Inlet_P_T/1000</f>
        <v>#REF!</v>
      </c>
      <c r="E41" s="510" t="e">
        <f ca="1">steel_density*PI()*(int_Inl_D/1000)*int_cyl2/1000*Inlet_P_T/1000</f>
        <v>#REF!</v>
      </c>
      <c r="F41" s="510" t="e">
        <f ca="1">steel_density*PI()*(int_Inl_D/1000)*ext_cyl1/1000*Inlet_P_T/1000</f>
        <v>#REF!</v>
      </c>
      <c r="G41" s="510" t="e">
        <f ca="1">steel_density*PI()*SQRT(('Inlet Cone'!H37/1000-'Inlet Cone'!G37/1000)^2+('Inlet Cone'!H38/1000-'Inlet Cone'!G38/1000)^2)*(int_Inl_D/1000+inlet_D_ext/1000)/2*Inlet_P_T/1000</f>
        <v>#REF!</v>
      </c>
      <c r="H41" s="510" t="e">
        <f ca="1">steel_density*PI()*(ext_inl_D/1000)*ext_cyl2/1000*Inlet_P_T/1000</f>
        <v>#REF!</v>
      </c>
      <c r="I41" s="510" t="e">
        <f ca="1">SUM(C41:H41)</f>
        <v>#REF!</v>
      </c>
      <c r="J41" s="518" t="s">
        <v>131</v>
      </c>
      <c r="K41" s="518"/>
      <c r="L41" s="518"/>
      <c r="M41" s="518"/>
      <c r="N41" s="518"/>
      <c r="O41" s="518"/>
      <c r="P41" s="518"/>
      <c r="Q41" s="518"/>
      <c r="R41" s="518"/>
      <c r="S41" s="527"/>
    </row>
    <row r="42" spans="1:19">
      <c r="A42" s="1234"/>
      <c r="B42" s="518"/>
      <c r="C42" s="510"/>
      <c r="D42" s="510"/>
      <c r="E42" s="510"/>
      <c r="F42" s="510"/>
      <c r="G42" s="510"/>
      <c r="H42" s="510"/>
      <c r="I42" s="510"/>
      <c r="J42" s="518"/>
      <c r="K42" s="518"/>
      <c r="L42" s="518"/>
      <c r="M42" s="518"/>
      <c r="N42" s="518"/>
      <c r="O42" s="518"/>
      <c r="P42" s="518"/>
      <c r="Q42" s="518"/>
      <c r="R42" s="518"/>
      <c r="S42" s="527"/>
    </row>
    <row r="43" spans="1:19">
      <c r="A43" s="1234" t="s">
        <v>3382</v>
      </c>
      <c r="B43" s="518" t="s">
        <v>3378</v>
      </c>
      <c r="C43" s="510" t="s">
        <v>3349</v>
      </c>
      <c r="D43" s="510" t="s">
        <v>3348</v>
      </c>
      <c r="E43" s="510" t="s">
        <v>3379</v>
      </c>
      <c r="F43" s="510"/>
      <c r="G43" s="510"/>
      <c r="H43" s="510"/>
      <c r="I43" s="510"/>
      <c r="J43" s="518"/>
      <c r="K43" s="518"/>
      <c r="L43" s="518"/>
      <c r="M43" s="518"/>
      <c r="N43" s="518"/>
      <c r="O43" s="518"/>
      <c r="P43" s="518"/>
      <c r="Q43" s="518"/>
      <c r="R43" s="518"/>
      <c r="S43" s="527"/>
    </row>
    <row r="44" spans="1:19">
      <c r="A44" s="1234"/>
      <c r="B44" s="518" t="s">
        <v>3380</v>
      </c>
      <c r="C44" s="510" t="s">
        <v>2751</v>
      </c>
      <c r="D44" s="510" t="s">
        <v>3381</v>
      </c>
      <c r="E44" s="510" t="s">
        <v>3379</v>
      </c>
      <c r="F44" s="510" t="s">
        <v>268</v>
      </c>
      <c r="G44" s="510"/>
      <c r="H44" s="510"/>
      <c r="I44" s="510"/>
      <c r="J44" s="518"/>
      <c r="K44" s="518"/>
      <c r="L44" s="518"/>
      <c r="M44" s="518"/>
      <c r="N44" s="518"/>
      <c r="O44" s="518"/>
      <c r="P44" s="518"/>
      <c r="Q44" s="518"/>
      <c r="R44" s="518"/>
      <c r="S44" s="527"/>
    </row>
    <row r="45" spans="1:19">
      <c r="A45" s="1234"/>
      <c r="B45" s="510">
        <f>IF(C38=B38,IF(D38=C38,IF(E38=D38,IF(F38=E38,IF(G38=F38,IF(H38=G38,H37-B37,G37-B37),F37-B37),E37-B37),D37-B37),C37-B37),0)</f>
        <v>0</v>
      </c>
      <c r="C45" s="510" t="e">
        <f ca="1">IF(C38&gt;B38,C37-B37,0)+IF(D38&gt;C38,D37-C37,0)+IF(E38&gt;D38,E37-D37,0)+IF(F38&gt;E38,F37-E37,0)+IF(G38&gt;F38,G37-F37,0)+IF(H38&gt;G38,H37-G37,0)</f>
        <v>#REF!</v>
      </c>
      <c r="D45" s="510" t="e">
        <f ca="1">IF(G38=H38,IF(F38=G38,IF(E38=D38,IF(C38=D38,IF(B38=C38,H37-B37,H37-C37),H37-D37),H37-E37),H37-F37),0)</f>
        <v>#REF!</v>
      </c>
      <c r="E45" s="510" t="e">
        <f ca="1">SUM(F30:F32)</f>
        <v>#REF!</v>
      </c>
      <c r="F45" s="1154" t="e">
        <f ca="1">IF(D45=0,2,1)</f>
        <v>#REF!</v>
      </c>
      <c r="G45" s="510"/>
      <c r="H45" s="510"/>
      <c r="I45" s="510"/>
      <c r="J45" s="518"/>
      <c r="K45" s="518"/>
      <c r="L45" s="518"/>
      <c r="M45" s="518"/>
      <c r="N45" s="518"/>
      <c r="O45" s="518"/>
      <c r="P45" s="518"/>
      <c r="Q45" s="518"/>
      <c r="R45" s="518"/>
      <c r="S45" s="527"/>
    </row>
    <row r="46" spans="1:19">
      <c r="A46" s="1234"/>
      <c r="B46" s="518"/>
      <c r="C46" s="510"/>
      <c r="D46" s="510"/>
      <c r="E46" s="510"/>
      <c r="F46" s="510"/>
      <c r="G46" s="510"/>
      <c r="H46" s="510"/>
      <c r="I46" s="510"/>
      <c r="J46" s="518"/>
      <c r="K46" s="518"/>
      <c r="L46" s="518"/>
      <c r="M46" s="518"/>
      <c r="N46" s="518"/>
      <c r="O46" s="518"/>
      <c r="P46" s="518"/>
      <c r="Q46" s="518"/>
      <c r="R46" s="518"/>
      <c r="S46" s="527"/>
    </row>
    <row r="47" spans="1:19" ht="15.75" thickBot="1">
      <c r="A47" s="1278"/>
      <c r="B47" s="556"/>
      <c r="C47" s="556"/>
      <c r="D47" s="556"/>
      <c r="E47" s="556"/>
      <c r="F47" s="556"/>
      <c r="G47" s="556"/>
      <c r="H47" s="556"/>
      <c r="I47" s="556"/>
      <c r="J47" s="556"/>
      <c r="K47" s="556"/>
      <c r="L47" s="556"/>
      <c r="M47" s="556"/>
      <c r="N47" s="556"/>
      <c r="O47" s="556"/>
      <c r="P47" s="556"/>
      <c r="Q47" s="556"/>
      <c r="R47" s="556"/>
      <c r="S47" s="561"/>
    </row>
    <row r="48" spans="1:19">
      <c r="A48" s="528"/>
      <c r="B48" s="518"/>
      <c r="C48" s="518"/>
      <c r="D48" s="518"/>
      <c r="E48" s="518"/>
      <c r="F48" s="518"/>
      <c r="G48" s="518"/>
      <c r="H48" s="518"/>
      <c r="I48" s="518"/>
      <c r="J48" s="518"/>
      <c r="K48" s="518"/>
      <c r="L48" s="518"/>
      <c r="M48" s="518"/>
      <c r="N48" s="518"/>
      <c r="O48" s="518"/>
      <c r="P48" s="518"/>
      <c r="Q48" s="518"/>
      <c r="R48" s="518"/>
      <c r="S48" s="518"/>
    </row>
  </sheetData>
  <mergeCells count="9">
    <mergeCell ref="N21:S23"/>
    <mergeCell ref="AD5:AJ5"/>
    <mergeCell ref="AD13:AJ13"/>
    <mergeCell ref="A5:G5"/>
    <mergeCell ref="C1:N1"/>
    <mergeCell ref="B2:L2"/>
    <mergeCell ref="M2:N2"/>
    <mergeCell ref="A4:AJ4"/>
    <mergeCell ref="A18:S18"/>
  </mergeCells>
  <phoneticPr fontId="170" type="noConversion"/>
  <pageMargins left="0.7" right="0.7" top="0.75" bottom="0.75" header="0.3" footer="0.3"/>
  <pageSetup paperSize="9" orientation="portrait" r:id="rId1"/>
  <drawing r:id="rId2"/>
  <legacyDrawing r:id="rId3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2"/>
  <dimension ref="A1:AQ207"/>
  <sheetViews>
    <sheetView zoomScale="50" zoomScaleNormal="50" workbookViewId="0">
      <pane xSplit="1" ySplit="16" topLeftCell="B158" activePane="bottomRight" state="frozen"/>
      <selection pane="topRight" activeCell="B1" sqref="B1"/>
      <selection pane="bottomLeft" activeCell="A17" sqref="A17"/>
      <selection pane="bottomRight" activeCell="B198" sqref="B198"/>
    </sheetView>
  </sheetViews>
  <sheetFormatPr defaultColWidth="9" defaultRowHeight="15"/>
  <cols>
    <col min="1" max="1" width="55.5703125" style="465" customWidth="1"/>
    <col min="2" max="16384" width="9" style="465"/>
  </cols>
  <sheetData>
    <row r="1" spans="1:43" s="243" customFormat="1" ht="19.5" thickBot="1">
      <c r="A1" s="115" t="str">
        <f>'Select Drive &amp; Motor'!A1</f>
        <v>ID</v>
      </c>
      <c r="B1" s="2148" t="str">
        <f>ID</f>
        <v>NBF191005</v>
      </c>
      <c r="C1" s="3614" t="str">
        <f>'Select Drive &amp; Motor'!C1:Q1</f>
        <v>, , XOE 273-90 REG, Direct, RD135</v>
      </c>
      <c r="D1" s="3614"/>
      <c r="E1" s="3614"/>
      <c r="F1" s="3614"/>
      <c r="G1" s="3614"/>
      <c r="H1" s="3614"/>
      <c r="I1" s="3614"/>
      <c r="J1" s="3614"/>
      <c r="K1" s="3614"/>
      <c r="L1" s="3614"/>
      <c r="M1" s="3614"/>
      <c r="N1" s="3795"/>
    </row>
    <row r="2" spans="1:43" s="243" customFormat="1" ht="19.5" thickBot="1">
      <c r="A2" s="115" t="str">
        <f>'Select Drive &amp; Motor'!A2</f>
        <v>Comments</v>
      </c>
      <c r="B2" s="3613">
        <f>'Select Drive &amp; Motor'!B2</f>
        <v>0</v>
      </c>
      <c r="C2" s="3614"/>
      <c r="D2" s="3614"/>
      <c r="E2" s="3614"/>
      <c r="F2" s="3614"/>
      <c r="G2" s="3614"/>
      <c r="H2" s="3614"/>
      <c r="I2" s="3614"/>
      <c r="J2" s="3614"/>
      <c r="K2" s="3614"/>
      <c r="L2" s="3615"/>
      <c r="M2" s="3611" t="str">
        <f>'Select Drive &amp; Motor'!P2</f>
        <v>190923</v>
      </c>
      <c r="N2" s="3612"/>
    </row>
    <row r="3" spans="1:43" s="802" customFormat="1" ht="18.75">
      <c r="A3" s="163"/>
      <c r="B3" s="116"/>
      <c r="C3" s="116"/>
      <c r="D3" s="116"/>
      <c r="E3" s="116"/>
      <c r="F3" s="116"/>
      <c r="G3" s="116"/>
      <c r="H3" s="116"/>
      <c r="I3" s="116"/>
      <c r="J3" s="116"/>
      <c r="K3" s="116"/>
      <c r="L3" s="116"/>
      <c r="M3" s="801"/>
      <c r="N3" s="801"/>
    </row>
    <row r="4" spans="1:43" s="802" customFormat="1" ht="19.5" thickBot="1">
      <c r="A4" s="3846" t="s">
        <v>2644</v>
      </c>
      <c r="B4" s="3847"/>
      <c r="C4" s="3847"/>
      <c r="D4" s="3847"/>
      <c r="E4" s="3847"/>
      <c r="F4" s="3847"/>
      <c r="G4" s="3847"/>
      <c r="H4" s="3847"/>
      <c r="I4" s="3847"/>
      <c r="J4" s="3847"/>
      <c r="K4" s="3847"/>
      <c r="L4" s="3847"/>
      <c r="M4" s="3847"/>
      <c r="N4" s="3847"/>
      <c r="O4" s="3847"/>
      <c r="P4" s="3847"/>
      <c r="Q4" s="3847"/>
      <c r="R4" s="3847"/>
      <c r="S4" s="3847"/>
      <c r="T4" s="3847"/>
      <c r="U4" s="3847"/>
      <c r="V4" s="3847"/>
      <c r="W4" s="3847"/>
      <c r="X4" s="3847"/>
      <c r="Y4" s="3847"/>
      <c r="Z4" s="3847"/>
      <c r="AA4" s="3847"/>
      <c r="AB4" s="3847"/>
      <c r="AC4" s="3847"/>
      <c r="AD4" s="3847"/>
      <c r="AE4" s="3847"/>
      <c r="AF4" s="3847"/>
      <c r="AG4" s="3847"/>
      <c r="AH4" s="3847"/>
      <c r="AI4" s="3847"/>
      <c r="AJ4" s="3848"/>
    </row>
    <row r="5" spans="1:43">
      <c r="A5" s="3821" t="s">
        <v>1792</v>
      </c>
      <c r="B5" s="3819"/>
      <c r="C5" s="3819"/>
      <c r="D5" s="3819"/>
      <c r="E5" s="3819"/>
      <c r="F5" s="3819"/>
      <c r="G5" s="3819"/>
      <c r="H5" s="2512" t="s">
        <v>3957</v>
      </c>
      <c r="I5" s="2513" t="e">
        <f ca="1">Small_F</f>
        <v>#REF!</v>
      </c>
      <c r="J5" s="2484" t="str">
        <f>"CENTRAL FRAME SIDE HF data "&amp;$E$6&amp;" ,"&amp;$G$6&amp;" , (0) - DRIVE VIEW"</f>
        <v>CENTRAL FRAME SIDE HF data RD ,135 , (0) - DRIVE VIEW</v>
      </c>
      <c r="K5" s="2485"/>
      <c r="L5" s="2485"/>
      <c r="M5" s="2485"/>
      <c r="N5" s="2485"/>
      <c r="O5" s="2485"/>
      <c r="P5" s="2485"/>
      <c r="Q5" s="3818" t="str">
        <f>"(LG), (0), (0)"</f>
        <v>(LG), (0), (0)</v>
      </c>
      <c r="R5" s="3819"/>
      <c r="S5" s="3819"/>
      <c r="T5" s="3820"/>
      <c r="U5" s="3818" t="str">
        <f>$E$6&amp;" ,"&amp;$G$6&amp;" , (0)"</f>
        <v>RD ,135 , (0)</v>
      </c>
      <c r="V5" s="3819"/>
      <c r="W5" s="3819"/>
      <c r="X5" s="3820"/>
      <c r="Y5" s="2490"/>
      <c r="Z5" s="2490"/>
      <c r="AA5" s="2485"/>
      <c r="AB5" s="2485"/>
      <c r="AC5" s="2486"/>
      <c r="AD5" s="2487" t="s">
        <v>1796</v>
      </c>
      <c r="AE5" s="2488"/>
      <c r="AF5" s="2488"/>
      <c r="AG5" s="2488"/>
      <c r="AH5" s="2488"/>
      <c r="AI5" s="2488"/>
      <c r="AJ5" s="2489"/>
    </row>
    <row r="6" spans="1:43">
      <c r="A6" s="1305" t="str">
        <f>House!A6</f>
        <v>House Orientation &amp; Rotation</v>
      </c>
      <c r="B6" s="1305">
        <f>House!B6</f>
        <v>0</v>
      </c>
      <c r="C6" s="1285">
        <f>House!C6</f>
        <v>0</v>
      </c>
      <c r="D6" s="1282" t="str">
        <f>House!D6</f>
        <v>degr</v>
      </c>
      <c r="E6" s="1290" t="str">
        <f>House!E6</f>
        <v>RD</v>
      </c>
      <c r="F6" s="1291">
        <f>House!F6</f>
        <v>-1</v>
      </c>
      <c r="G6" s="1290">
        <f>House!G6</f>
        <v>135</v>
      </c>
      <c r="H6" s="1290">
        <f>House!H6</f>
        <v>2.3561944901923448</v>
      </c>
      <c r="I6" s="1293" t="str">
        <f>House!I6</f>
        <v>rad.</v>
      </c>
      <c r="J6" s="939"/>
      <c r="K6" s="940"/>
      <c r="L6" s="940"/>
      <c r="M6" s="940"/>
      <c r="N6" s="518"/>
      <c r="O6" s="518"/>
      <c r="P6" s="518"/>
      <c r="Q6" s="2504"/>
      <c r="R6" s="2338"/>
      <c r="S6" s="2338"/>
      <c r="T6" s="2399" t="s">
        <v>4208</v>
      </c>
      <c r="U6" s="2503" t="s">
        <v>4013</v>
      </c>
      <c r="V6" s="2398" t="s">
        <v>346</v>
      </c>
      <c r="W6" s="2398" t="s">
        <v>304</v>
      </c>
      <c r="X6" s="2399" t="s">
        <v>348</v>
      </c>
      <c r="Y6" s="528"/>
      <c r="Z6" s="528"/>
      <c r="AA6" s="518"/>
      <c r="AB6" s="2388" t="s">
        <v>2788</v>
      </c>
      <c r="AC6" s="2389"/>
      <c r="AD6" s="1279"/>
      <c r="AE6" s="1294" t="str">
        <f>House!AE6</f>
        <v>d_2</v>
      </c>
      <c r="AF6" s="1281">
        <f>House!AF6</f>
        <v>1600</v>
      </c>
      <c r="AG6" s="1282" t="str">
        <f>House!AG6</f>
        <v>mm</v>
      </c>
      <c r="AH6" s="1282"/>
      <c r="AI6" s="1282"/>
      <c r="AJ6" s="1283"/>
      <c r="AK6" s="518"/>
      <c r="AL6" s="518"/>
      <c r="AM6" s="518"/>
      <c r="AN6" s="518"/>
      <c r="AO6" s="518"/>
      <c r="AP6" s="518"/>
      <c r="AQ6" s="518"/>
    </row>
    <row r="7" spans="1:43">
      <c r="A7" s="1305" t="str">
        <f>House!A7</f>
        <v>r0</v>
      </c>
      <c r="B7" s="1305">
        <f>House!B7</f>
        <v>0.95050964215147715</v>
      </c>
      <c r="C7" s="1285" t="str">
        <f>House!C7</f>
        <v>m</v>
      </c>
      <c r="D7" s="1282"/>
      <c r="E7" s="1282"/>
      <c r="F7" s="1281"/>
      <c r="G7" s="1282"/>
      <c r="H7" s="1282"/>
      <c r="I7" s="1293"/>
      <c r="J7" s="522"/>
      <c r="K7" s="528" t="s">
        <v>4158</v>
      </c>
      <c r="L7" s="3144" t="e">
        <f ca="1">MAX(MAX(0.05,2*Reinf_HousePT/1000/crit_a),IF((AVERAGE(max_xcurve,ABS(min_ycurve))/1000-$L$14/1000)^2*crit_a/(Reinf_HousePT/1000)-1&lt;=0,MAX(0.05,2*Reinf_HousePT/1000/crit_a),(AVERAGE(max_xcurve,ABS(min_ycurve))/1000-$L$14/1000)^2*SQRT(1/((AVERAGE(max_xcurve,ABS(min_ycurve))/1000-$L$14/1000)^2*crit_a/(Reinf_HousePT/1000)-1))))</f>
        <v>#REF!</v>
      </c>
      <c r="M7" s="518" t="s">
        <v>2511</v>
      </c>
      <c r="N7" s="518"/>
      <c r="P7" s="518"/>
      <c r="Q7" s="3845" t="s">
        <v>2802</v>
      </c>
      <c r="R7" s="3845"/>
      <c r="S7" s="3845" t="s">
        <v>88</v>
      </c>
      <c r="T7" s="3845"/>
      <c r="U7" s="2492" t="e">
        <f ca="1">H_STD_Re</f>
        <v>#REF!</v>
      </c>
      <c r="V7" s="2493" t="e">
        <f ca="1">VLOOKUP($U7,Iron_dim,2,FALSE)</f>
        <v>#REF!</v>
      </c>
      <c r="W7" s="816" t="e">
        <f ca="1">VLOOKUP($U7,Iron_dim,3,FALSE)</f>
        <v>#REF!</v>
      </c>
      <c r="X7" s="816" t="e">
        <f ca="1">VLOOKUP($U7,Iron_dim,4,FALSE)</f>
        <v>#REF!</v>
      </c>
      <c r="Y7" s="3830" t="s">
        <v>4047</v>
      </c>
      <c r="Z7" s="3829"/>
      <c r="AA7" s="518"/>
      <c r="AB7" s="804" t="e">
        <f ca="1">2.5*W7</f>
        <v>#REF!</v>
      </c>
      <c r="AC7" s="521" t="s">
        <v>136</v>
      </c>
      <c r="AD7" s="1279"/>
      <c r="AE7" s="1294" t="str">
        <f>House!AE7</f>
        <v>inlet_D_ext</v>
      </c>
      <c r="AF7" s="1281">
        <f>House!AF7</f>
        <v>950</v>
      </c>
      <c r="AG7" s="1282" t="str">
        <f>House!AG7</f>
        <v>mm</v>
      </c>
      <c r="AH7" s="1282" t="str">
        <f>House!AH7</f>
        <v>inlet_R_m</v>
      </c>
      <c r="AI7" s="1282">
        <f>House!AI7</f>
        <v>0.47499999999999998</v>
      </c>
      <c r="AJ7" s="1283" t="str">
        <f>House!AJ7</f>
        <v>m</v>
      </c>
      <c r="AK7" s="518"/>
      <c r="AL7" s="518"/>
      <c r="AM7" s="518"/>
      <c r="AN7" s="518"/>
      <c r="AO7" s="518"/>
      <c r="AP7" s="518"/>
      <c r="AQ7" s="518"/>
    </row>
    <row r="8" spans="1:43">
      <c r="A8" s="1305" t="str">
        <f>House!A8</f>
        <v>K_House</v>
      </c>
      <c r="B8" s="1305">
        <f>House!B8</f>
        <v>7.9312948555555277E-2</v>
      </c>
      <c r="C8" s="1285" t="str">
        <f>House!C8</f>
        <v>1/rad</v>
      </c>
      <c r="D8" s="1282"/>
      <c r="E8" s="1282"/>
      <c r="F8" s="1281"/>
      <c r="G8" s="1282"/>
      <c r="H8" s="1282"/>
      <c r="I8" s="1293"/>
      <c r="K8" s="940" t="s">
        <v>4087</v>
      </c>
      <c r="L8" s="2471" t="e">
        <f ca="1">$E$69&gt;MAX(CFmin_reinf_area,IF((H_avg_oR/1000-$M$8/1000)^2*crit_a/(Reinf_HousePT/1000)-1&lt;=0,CFmin_reinf_area,(H_avg_oR/1000-$M$8/1000)^2*SQRT(1/((H_avg_oR/1000-$M$8/1000)^2*crit_a/(Reinf_HousePT/1000)-1))))</f>
        <v>#REF!</v>
      </c>
      <c r="M8" s="3110" t="e">
        <f ca="1">1000*SQRT(ABS((max_ycurve-min_ycurve)/1000*IF(Small_F,2*CF_smallF_xy_pos/1000,2*'Frame Dimensions'!$L$90/1000))/PI())</f>
        <v>#REF!</v>
      </c>
      <c r="O8" s="518"/>
      <c r="Q8" s="2358" t="s">
        <v>4038</v>
      </c>
      <c r="R8" s="2494" t="s">
        <v>4039</v>
      </c>
      <c r="S8" s="2501" t="s">
        <v>4041</v>
      </c>
      <c r="T8" s="2502" t="s">
        <v>4042</v>
      </c>
      <c r="U8" s="2433" t="s">
        <v>4040</v>
      </c>
      <c r="V8" s="2433" t="s">
        <v>1787</v>
      </c>
      <c r="W8" s="2433" t="s">
        <v>1092</v>
      </c>
      <c r="X8" s="2433" t="s">
        <v>1093</v>
      </c>
      <c r="Y8" s="2573">
        <v>0</v>
      </c>
      <c r="Z8" s="2574">
        <f>$G$6</f>
        <v>135</v>
      </c>
      <c r="AA8" s="2491"/>
      <c r="AB8" s="541" t="s">
        <v>2789</v>
      </c>
      <c r="AC8" s="542"/>
      <c r="AD8" s="1279"/>
      <c r="AE8" s="1294" t="str">
        <f>House!AE8</f>
        <v>d_in</v>
      </c>
      <c r="AF8" s="1281">
        <f>House!AF8</f>
        <v>700</v>
      </c>
      <c r="AG8" s="1282" t="str">
        <f>House!AG8</f>
        <v>mm</v>
      </c>
      <c r="AH8" s="1282" t="str">
        <f>House!AH8</f>
        <v>r_in_m</v>
      </c>
      <c r="AI8" s="1282">
        <f>House!AI8</f>
        <v>0.35</v>
      </c>
      <c r="AJ8" s="1283" t="str">
        <f>House!AJ8</f>
        <v>m</v>
      </c>
      <c r="AK8" s="518"/>
      <c r="AL8" s="518"/>
      <c r="AM8" s="518"/>
      <c r="AN8" s="518"/>
      <c r="AO8" s="518"/>
      <c r="AP8" s="518"/>
      <c r="AQ8" s="518"/>
    </row>
    <row r="9" spans="1:43">
      <c r="A9" s="1305" t="str">
        <f>House!A9</f>
        <v>alfastart (tongue position)</v>
      </c>
      <c r="B9" s="1305">
        <f>House!B9</f>
        <v>1.1344640137963142</v>
      </c>
      <c r="C9" s="1285" t="str">
        <f>House!C9</f>
        <v>rad</v>
      </c>
      <c r="D9" s="1282"/>
      <c r="E9" s="1295" t="str">
        <f>House!E9</f>
        <v>Tongue_delta</v>
      </c>
      <c r="F9" s="1281">
        <f>House!F9</f>
        <v>0</v>
      </c>
      <c r="G9" s="1282" t="str">
        <f>House!G9</f>
        <v>rad</v>
      </c>
      <c r="H9" s="1304">
        <f>House!H9</f>
        <v>65</v>
      </c>
      <c r="I9" s="1293" t="str">
        <f>House!I9</f>
        <v>degr</v>
      </c>
      <c r="K9" s="499" t="s">
        <v>4037</v>
      </c>
      <c r="L9" s="2475" t="e">
        <f ca="1">(InletHole_D/2+reinf_strt_stp)</f>
        <v>#REF!</v>
      </c>
      <c r="M9" s="465" t="s">
        <v>136</v>
      </c>
      <c r="N9" s="518"/>
      <c r="O9" s="518"/>
      <c r="P9" s="509" t="s">
        <v>3940</v>
      </c>
      <c r="Q9" s="2498" t="e">
        <f ca="1">IF(Small_F,$G$42,'Frame Dimensions'!$L$90)</f>
        <v>#REF!</v>
      </c>
      <c r="R9" s="2499" t="e">
        <f ca="1">IF(Small_F,('Frame Dimensions'!$K$105-Center_H),'Frame Dimensions'!$K$115-Center_H)</f>
        <v>#REF!</v>
      </c>
      <c r="S9" s="2499" t="e">
        <f ca="1">IF(Small_F,$O$42,$Q$9)</f>
        <v>#REF!</v>
      </c>
      <c r="T9" s="2499" t="e">
        <f ca="1">$C$42</f>
        <v>#REF!</v>
      </c>
      <c r="U9" s="2069" t="e">
        <f t="shared" ref="U9:U14" ca="1" si="0">IF(Small_F,IF(CF_reinf_req,mirror*($Q9*COS($H$6)-$R9*SIN($H$6)),0),$Q9)</f>
        <v>#REF!</v>
      </c>
      <c r="V9" s="2069" t="e">
        <f t="shared" ref="V9:V14" ca="1" si="1">IF(Small_F,IF(CF_reinf_req,$Q9*SIN($H$6)+$R9*COS($H$6),0),$R9)</f>
        <v>#REF!</v>
      </c>
      <c r="W9" s="504" t="e">
        <f ca="1">IF(Small_F,mirror*($S$9*COS($H$6)-$T$9*SIN($H$6)),$S$9)</f>
        <v>#REF!</v>
      </c>
      <c r="X9" s="2069" t="e">
        <f ca="1">IF(Small_F,$S$9*SIN($H$6)+$T$9*COS($H$6),IF($E$6="LG",$T$9,$T$10))</f>
        <v>#REF!</v>
      </c>
      <c r="Y9" s="2115" t="e">
        <f ca="1">IF(T9&gt;=0,0,2*PI())+IF(T9&gt;=0,1,-1)*ACOS(S9/SQRT(S9^2+T9^2))</f>
        <v>#REF!</v>
      </c>
      <c r="Z9" s="2115" t="e">
        <f ca="1">IF(X9&gt;=0,0,2*PI())+IF(X9&gt;=0,1,-1)*ACOS(W9/SQRT(W9^2+X9^2))</f>
        <v>#REF!</v>
      </c>
      <c r="AA9" s="518"/>
      <c r="AB9" s="2137">
        <v>50</v>
      </c>
      <c r="AC9" s="545" t="s">
        <v>136</v>
      </c>
      <c r="AD9" s="1279"/>
      <c r="AE9" s="1294" t="str">
        <f>House!AE9</f>
        <v>b_in</v>
      </c>
      <c r="AF9" s="1281">
        <f>House!AF9</f>
        <v>365</v>
      </c>
      <c r="AG9" s="1282" t="str">
        <f>House!AG9</f>
        <v>mm</v>
      </c>
      <c r="AH9" s="1282"/>
      <c r="AI9" s="1282"/>
      <c r="AJ9" s="1283"/>
      <c r="AK9" s="518"/>
      <c r="AL9" s="518"/>
      <c r="AM9" s="518"/>
      <c r="AN9" s="518"/>
      <c r="AO9" s="518"/>
      <c r="AP9" s="518"/>
      <c r="AQ9" s="518"/>
    </row>
    <row r="10" spans="1:43">
      <c r="A10" s="1305" t="str">
        <f>House!A10</f>
        <v>alfaend</v>
      </c>
      <c r="B10" s="1305">
        <f>House!B10</f>
        <v>6.2831853071795862</v>
      </c>
      <c r="C10" s="1285" t="str">
        <f>House!C10</f>
        <v>rad</v>
      </c>
      <c r="D10" s="1282"/>
      <c r="E10" s="1282"/>
      <c r="F10" s="1282"/>
      <c r="G10" s="1282"/>
      <c r="H10" s="1282"/>
      <c r="I10" s="1293"/>
      <c r="J10" s="2460" t="e">
        <f ca="1">60/(2*PI())*1/$K10*Reinf_HousePT/1000*(PI()^2*SQRT(E_Nmm2*10^6/(3*steel_density*0.9)))</f>
        <v>#REF!</v>
      </c>
      <c r="K10" s="2461" t="e">
        <f ca="1">((X10-X13)+(X9-X13))/1000/2*((U10-U9)+(W10-W9))/1000/2</f>
        <v>#REF!</v>
      </c>
      <c r="L10" s="2462" t="e">
        <f ca="1">MAX(CFmin_reinf_area,MIN(CF_max_reinf_area,IF(((X9-V13+X10-V13)/2/1000)^2*crit_a/(Reinf_HousePT/1000)-1&lt;=0,CF_max_reinf_area,ROUNDDOWN(((X9-V13+X10-V13)/2/1000)^2*SQRT(1/(((X9-V13+X10-V13)/2/1000)^2*crit_a/(Reinf_HousePT/1000)-1)),2))))</f>
        <v>#REF!</v>
      </c>
      <c r="M10" s="2463" t="e">
        <f ca="1">MIN(4,MAX(0,ROUND(K10/L10,0)-1))</f>
        <v>#REF!</v>
      </c>
      <c r="N10" s="518"/>
      <c r="O10" s="518"/>
      <c r="P10" s="509" t="s">
        <v>3941</v>
      </c>
      <c r="Q10" s="2495" t="e">
        <f ca="1">IF(Small_F,$Z$42,'Frame Dimensions'!$L$93)</f>
        <v>#REF!</v>
      </c>
      <c r="R10" s="2458" t="e">
        <f ca="1">IF(Small_F,('Frame Dimensions'!$N$105-Center_H),'Frame Dimensions'!$N$115-Center_H)</f>
        <v>#REF!</v>
      </c>
      <c r="S10" s="2458" t="e">
        <f ca="1">IF(Small_F,$AH$42,$Q$10)</f>
        <v>#REF!</v>
      </c>
      <c r="T10" s="2458" t="e">
        <f ca="1">$V$42</f>
        <v>#REF!</v>
      </c>
      <c r="U10" s="2114" t="e">
        <f t="shared" ca="1" si="0"/>
        <v>#REF!</v>
      </c>
      <c r="V10" s="2114" t="e">
        <f t="shared" ca="1" si="1"/>
        <v>#REF!</v>
      </c>
      <c r="W10" s="505" t="e">
        <f ca="1">IF(Small_F,mirror*($S$10*COS($H$6)-$T$10*SIN($H$6)),$S$10)</f>
        <v>#REF!</v>
      </c>
      <c r="X10" s="2114" t="e">
        <f ca="1">IF(Small_F,$S$10*SIN($H$6)+$T$10*COS($H$6),IF($E$6="LG",$T$10,$T$9))</f>
        <v>#REF!</v>
      </c>
      <c r="Y10" s="2115" t="e">
        <f t="shared" ref="Y10:Y12" ca="1" si="2">IF(T10&gt;=0,0,2*PI())+IF(T10&gt;=0,1,-1)*ACOS(S10/SQRT(S10^2+T10^2))</f>
        <v>#REF!</v>
      </c>
      <c r="Z10" s="2115" t="e">
        <f ca="1">IF(X10&gt;=0,0,2*PI())+IF(X10&gt;=0,1,-1)*ACOS(W10/SQRT(W10^2+X10^2))</f>
        <v>#REF!</v>
      </c>
      <c r="AA10" s="541" t="s">
        <v>3939</v>
      </c>
      <c r="AB10" s="541"/>
      <c r="AC10" s="2341" t="s">
        <v>1782</v>
      </c>
      <c r="AD10" s="1279"/>
      <c r="AE10" s="1294" t="str">
        <f>House!AE10</f>
        <v>b1_blad_FP</v>
      </c>
      <c r="AF10" s="1281">
        <f>House!AF10</f>
        <v>253</v>
      </c>
      <c r="AG10" s="1282" t="str">
        <f>House!AG10</f>
        <v>mm</v>
      </c>
      <c r="AH10" s="1282"/>
      <c r="AI10" s="1282"/>
      <c r="AJ10" s="1283"/>
      <c r="AK10" s="518"/>
      <c r="AL10" s="518"/>
      <c r="AM10" s="518"/>
      <c r="AN10" s="518"/>
      <c r="AO10" s="518"/>
      <c r="AP10" s="518"/>
      <c r="AQ10" s="518"/>
    </row>
    <row r="11" spans="1:43">
      <c r="A11" s="1305" t="str">
        <f>House!A11</f>
        <v>Funnel height</v>
      </c>
      <c r="B11" s="1305">
        <f>House!B11</f>
        <v>1076.6210889730671</v>
      </c>
      <c r="C11" s="1285" t="str">
        <f>House!C11</f>
        <v>mm</v>
      </c>
      <c r="D11" s="1282"/>
      <c r="E11" s="1282"/>
      <c r="F11" s="1282"/>
      <c r="G11" s="1282"/>
      <c r="H11" s="1282"/>
      <c r="I11" s="1293"/>
      <c r="J11" s="2464" t="s">
        <v>2676</v>
      </c>
      <c r="K11" s="2464" t="s">
        <v>2674</v>
      </c>
      <c r="L11" s="2465" t="s">
        <v>2673</v>
      </c>
      <c r="M11" s="2466" t="s">
        <v>2791</v>
      </c>
      <c r="N11" s="518"/>
      <c r="O11" s="518"/>
      <c r="P11" s="509" t="s">
        <v>4023</v>
      </c>
      <c r="Q11" s="2495" t="e">
        <f ca="1">IF(Small_F,$Q$9,'Frame Dimensions'!$L$117)</f>
        <v>#REF!</v>
      </c>
      <c r="R11" s="2458" t="e">
        <f ca="1">IF(Small_F,$R$9,'Frame Dimensions'!$K$117-Center_H)</f>
        <v>#REF!</v>
      </c>
      <c r="S11" s="2458" t="e">
        <f ca="1">IF(Small_F,$S$9,$G$59)</f>
        <v>#REF!</v>
      </c>
      <c r="T11" s="2458" t="e">
        <f ca="1">IF(Small_F,$K$42,$G$60-Center_H)</f>
        <v>#REF!</v>
      </c>
      <c r="U11" s="2114" t="e">
        <f t="shared" ca="1" si="0"/>
        <v>#REF!</v>
      </c>
      <c r="V11" s="2114" t="e">
        <f t="shared" ca="1" si="1"/>
        <v>#REF!</v>
      </c>
      <c r="W11" s="2114" t="e">
        <f ca="1">IF(Small_F,mirror*($S$11*COS($H$6)-$T$11*SIN($H$6)),$S$11)</f>
        <v>#REF!</v>
      </c>
      <c r="X11" s="2114" t="e">
        <f ca="1">IF(Small_F,$S$11*SIN($H$6)+$T$11*COS($H$6),$T$11)</f>
        <v>#REF!</v>
      </c>
      <c r="Y11" s="2115" t="e">
        <f t="shared" ca="1" si="2"/>
        <v>#REF!</v>
      </c>
      <c r="Z11" s="2115" t="e">
        <f ca="1">IF(X11&gt;=0,0,2*PI())+IF(X11&gt;=0,1,-1)*ACOS(W11/SQRT(W11^2+X11^2))</f>
        <v>#REF!</v>
      </c>
      <c r="AA11" s="805" t="e">
        <f ca="1">IF(Small_F,IF(CF_reinf_req,ROUND((S11-Q11)/$AC11,3),0),ROUND((S11-Q11)/$AC11,3))</f>
        <v>#REF!</v>
      </c>
      <c r="AB11" s="805" t="e">
        <f ca="1">IF(Small_F,IF(CF_reinf_req,ROUND((T11-R11)/$AC11,3),0),ROUND((T11-R11)/$AC11,3))</f>
        <v>#REF!</v>
      </c>
      <c r="AC11" s="545" t="e">
        <f ca="1">SQRT((S11-Q11)^2+(T11-R11)^2)</f>
        <v>#REF!</v>
      </c>
      <c r="AD11" s="1284"/>
      <c r="AE11" s="1294" t="str">
        <f>House!AE11</f>
        <v>CH (RD,135)</v>
      </c>
      <c r="AF11" s="1285">
        <f>House!AF11</f>
        <v>1269</v>
      </c>
      <c r="AG11" s="1282">
        <f>House!AG11</f>
        <v>1.1000000000000001</v>
      </c>
      <c r="AH11" s="1286">
        <f>House!AH11</f>
        <v>1270</v>
      </c>
      <c r="AI11" s="1286">
        <f>House!AI11</f>
        <v>1268</v>
      </c>
      <c r="AJ11" s="1283"/>
      <c r="AK11" s="518"/>
      <c r="AL11" s="518"/>
      <c r="AM11" s="518"/>
      <c r="AN11" s="518"/>
      <c r="AO11" s="518"/>
      <c r="AP11" s="518"/>
      <c r="AQ11" s="518"/>
    </row>
    <row r="12" spans="1:43">
      <c r="A12" s="1305" t="str">
        <f>House!A12</f>
        <v>House Plate thickness</v>
      </c>
      <c r="B12" s="1305">
        <f>House!B12</f>
        <v>5</v>
      </c>
      <c r="C12" s="1285" t="str">
        <f>House!C12</f>
        <v>mm</v>
      </c>
      <c r="D12" s="1282"/>
      <c r="E12" s="1282"/>
      <c r="F12" s="1282"/>
      <c r="G12" s="1282"/>
      <c r="H12" s="1282"/>
      <c r="I12" s="1293"/>
      <c r="J12" s="2467" t="e">
        <f ca="1">60/(2*PI())*1/$K12*Reinf_HousePT/1000*(PI()^2*SQRT(E_Nmm2*10^6/(3*steel_density*0.9)))</f>
        <v>#REF!</v>
      </c>
      <c r="K12" s="2468" t="e">
        <f ca="1">((V14-X11)+(V14-X12))/1000/2*((U12-U11)+(W12-W11))/1000/2</f>
        <v>#REF!</v>
      </c>
      <c r="L12" s="2469" t="e">
        <f ca="1">MAX(CFmin_reinf_area,MIN(CF_max_reinf_area,IF(((V14-X11+V14-X12)/2/1000)^2*crit_a/(Reinf_HousePT/1000)-1&lt;=0,CF_max_reinf_area,ROUNDDOWN(((V14-X11+V14-X12)/2/1000)^2*SQRT(1/(((V14-X11+V14-X12)/2/1000)^2*crit_a/(Reinf_HousePT/1000)-1)),2))))</f>
        <v>#REF!</v>
      </c>
      <c r="M12" s="2470" t="e">
        <f ca="1">MIN(4,MAX(0,ROUND(K12/L12,0)-1))</f>
        <v>#REF!</v>
      </c>
      <c r="N12" s="518"/>
      <c r="O12" s="518"/>
      <c r="P12" s="509" t="s">
        <v>4024</v>
      </c>
      <c r="Q12" s="2495" t="e">
        <f ca="1">IF(Small_F,$Q$10,'Frame Dimensions'!$O$117)</f>
        <v>#REF!</v>
      </c>
      <c r="R12" s="2458" t="e">
        <f ca="1">IF(Small_F,$R$10,'Frame Dimensions'!$N$117-Center_H)</f>
        <v>#REF!</v>
      </c>
      <c r="S12" s="2458" t="e">
        <f ca="1">IF(Small_F,$S$10,$H$59)</f>
        <v>#REF!</v>
      </c>
      <c r="T12" s="2458" t="e">
        <f ca="1">IF(Small_F,$AD$42,$H$60-Center_H)</f>
        <v>#REF!</v>
      </c>
      <c r="U12" s="2114" t="e">
        <f t="shared" ca="1" si="0"/>
        <v>#REF!</v>
      </c>
      <c r="V12" s="2114" t="e">
        <f t="shared" ca="1" si="1"/>
        <v>#REF!</v>
      </c>
      <c r="W12" s="2114" t="e">
        <f ca="1">IF(Small_F,mirror*($S$12*COS($H$6)-$T$12*SIN($H$6)),$S$12)</f>
        <v>#REF!</v>
      </c>
      <c r="X12" s="2114" t="e">
        <f ca="1">IF(Small_F,$S$12*SIN($H$6)+$T$12*COS($H$6),$T$12)</f>
        <v>#REF!</v>
      </c>
      <c r="Y12" s="2500" t="e">
        <f t="shared" ca="1" si="2"/>
        <v>#REF!</v>
      </c>
      <c r="Z12" s="2500" t="e">
        <f ca="1">IF(X12&gt;=0,0,2*PI())+IF(X12&gt;=0,1,-1)*ACOS(W12/SQRT(W12^2+X12^2))</f>
        <v>#REF!</v>
      </c>
      <c r="AA12" s="2136" t="e">
        <f ca="1">IF(Small_F,IF(CF_reinf_req,ROUND((S12-Q12)/$AC12,3),0),ROUND((S12-Q12)/$AC12,3))</f>
        <v>#REF!</v>
      </c>
      <c r="AB12" s="2136" t="e">
        <f ca="1">IF(Small_F,IF(CF_reinf_req,ROUND((T12-R12)/$AC12,3),0),ROUND((T12-R12)/$AC12,3))</f>
        <v>#REF!</v>
      </c>
      <c r="AC12" s="1153" t="e">
        <f ca="1">SQRT((S12-Q12)^2+(T12-R12)^2)</f>
        <v>#REF!</v>
      </c>
      <c r="AD12" s="1284"/>
      <c r="AE12" s="1294" t="str">
        <f>House!AE12</f>
        <v>stdCH (LG,0)</v>
      </c>
      <c r="AF12" s="1285">
        <f>House!AF12</f>
        <v>1530</v>
      </c>
      <c r="AG12" s="1282"/>
      <c r="AH12" s="1286">
        <f>House!AH12</f>
        <v>0</v>
      </c>
      <c r="AI12" s="1286">
        <f>House!AI12</f>
        <v>0</v>
      </c>
      <c r="AJ12" s="1283"/>
      <c r="AK12" s="518"/>
      <c r="AL12" s="518"/>
      <c r="AM12" s="518"/>
      <c r="AN12" s="518"/>
      <c r="AO12" s="518"/>
      <c r="AP12" s="518"/>
      <c r="AQ12" s="518"/>
    </row>
    <row r="13" spans="1:43" ht="14.45" customHeight="1">
      <c r="A13" s="1305" t="str">
        <f>House!A13</f>
        <v>HouseB_ins</v>
      </c>
      <c r="B13" s="1305">
        <f>House!B13</f>
        <v>630</v>
      </c>
      <c r="C13" s="1285" t="str">
        <f>House!C13</f>
        <v>mm</v>
      </c>
      <c r="D13" s="1282"/>
      <c r="E13" s="1282"/>
      <c r="F13" s="1282"/>
      <c r="G13" s="1282"/>
      <c r="H13" s="1282"/>
      <c r="I13" s="1293"/>
      <c r="N13" s="518"/>
      <c r="O13" s="518"/>
      <c r="P13" s="509" t="s">
        <v>3942</v>
      </c>
      <c r="Q13" s="2495" t="e">
        <f ca="1">IF(Small_F,$Q$9,$Q$9+$X$7)</f>
        <v>#REF!</v>
      </c>
      <c r="R13" s="2458" t="e">
        <f ca="1">IF(Small_F,(CF_smallF_xy_pos+$X$7),-('Frame Dimensions'!$K$115-Center_H)+$X$7)</f>
        <v>#REF!</v>
      </c>
      <c r="S13" s="2458" t="e">
        <f ca="1">-$Q$13</f>
        <v>#REF!</v>
      </c>
      <c r="T13" s="2458" t="e">
        <f ca="1">IF(Small_F,(CF_smallF_xy_pos+$X$7),$R$13)</f>
        <v>#REF!</v>
      </c>
      <c r="U13" s="2114" t="e">
        <f t="shared" ca="1" si="0"/>
        <v>#REF!</v>
      </c>
      <c r="V13" s="2114" t="e">
        <f t="shared" ca="1" si="1"/>
        <v>#REF!</v>
      </c>
      <c r="W13" s="505" t="e">
        <f ca="1">IF(Small_F,mirror*($S$13*COS($H$6)-$T$13*SIN($H$6)),-$U$13)</f>
        <v>#REF!</v>
      </c>
      <c r="X13" s="505" t="e">
        <f ca="1">IF(Small_F,S$13*SIN($H$6)+$T$13*COS($H$6),$T$13)</f>
        <v>#REF!</v>
      </c>
      <c r="Y13" s="510"/>
      <c r="Z13" s="510"/>
      <c r="AA13" s="518"/>
      <c r="AB13" s="528"/>
      <c r="AC13" s="521"/>
      <c r="AD13" s="3806" t="s">
        <v>1801</v>
      </c>
      <c r="AE13" s="3807"/>
      <c r="AF13" s="3807"/>
      <c r="AG13" s="3807"/>
      <c r="AH13" s="3807"/>
      <c r="AI13" s="3807"/>
      <c r="AJ13" s="3808"/>
      <c r="AK13" s="518"/>
      <c r="AL13" s="518"/>
      <c r="AM13" s="518"/>
      <c r="AN13" s="518"/>
      <c r="AO13" s="518"/>
      <c r="AP13" s="518"/>
      <c r="AQ13" s="518"/>
    </row>
    <row r="14" spans="1:43">
      <c r="A14" s="1305" t="str">
        <f>House!A14</f>
        <v>HouseC_ins</v>
      </c>
      <c r="B14" s="2329">
        <f>House!B14</f>
        <v>1125</v>
      </c>
      <c r="C14" s="1285" t="str">
        <f>House!C14</f>
        <v>mm</v>
      </c>
      <c r="D14" s="1282"/>
      <c r="E14" s="1282"/>
      <c r="F14" s="1282"/>
      <c r="G14" s="1282"/>
      <c r="H14" s="1304"/>
      <c r="I14" s="1293"/>
      <c r="J14" s="939"/>
      <c r="K14" s="528" t="s">
        <v>4090</v>
      </c>
      <c r="L14" s="2458" t="e">
        <f ca="1">SQRT(IF(Small_F,(2*CF_smallF_xy_pos)^2,(2*'Frame Dimensions'!$L$90)^2)/PI())</f>
        <v>#REF!</v>
      </c>
      <c r="M14" s="518" t="s">
        <v>136</v>
      </c>
      <c r="N14" s="518"/>
      <c r="O14" s="518"/>
      <c r="P14" s="509" t="s">
        <v>4025</v>
      </c>
      <c r="Q14" s="2496" t="e">
        <f ca="1">IF(Small_F,$Q$11,$Q$11+$X$7)</f>
        <v>#REF!</v>
      </c>
      <c r="R14" s="2497" t="e">
        <f ca="1">IF(Small_F,(-CF_smallF_xy_pos-$X$7),('Frame Dimensions'!$K$115-Center_H))</f>
        <v>#REF!</v>
      </c>
      <c r="S14" s="2497" t="e">
        <f ca="1">-$Q$14</f>
        <v>#REF!</v>
      </c>
      <c r="T14" s="2497" t="e">
        <f ca="1">IF(Small_F,(-CF_smallF_xy_pos-$X$7),$V$14)</f>
        <v>#REF!</v>
      </c>
      <c r="U14" s="2113" t="e">
        <f t="shared" ca="1" si="0"/>
        <v>#REF!</v>
      </c>
      <c r="V14" s="2113" t="e">
        <f t="shared" ca="1" si="1"/>
        <v>#REF!</v>
      </c>
      <c r="W14" s="508" t="e">
        <f ca="1">IF(Small_F,mirror*($S$14*COS($H$6)-$T$14*SIN($H$6)),$S$14)</f>
        <v>#REF!</v>
      </c>
      <c r="X14" s="508" t="e">
        <f ca="1">IF(Small_F,$S$14*SIN($H$6)+$T$14*COS($H$6),$T$14)</f>
        <v>#REF!</v>
      </c>
      <c r="Y14" s="510"/>
      <c r="Z14" s="510"/>
      <c r="AA14" s="518"/>
      <c r="AB14" s="518"/>
      <c r="AC14" s="545"/>
      <c r="AD14" s="1287"/>
      <c r="AE14" s="1295" t="str">
        <f>House!AE14</f>
        <v>Insulation</v>
      </c>
      <c r="AF14" s="1282">
        <f>House!AF14</f>
        <v>0</v>
      </c>
      <c r="AG14" s="1282" t="str">
        <f>House!AG14</f>
        <v>mm</v>
      </c>
      <c r="AH14" s="1282"/>
      <c r="AI14" s="1282"/>
      <c r="AJ14" s="1283"/>
      <c r="AK14" s="518"/>
      <c r="AL14" s="518"/>
      <c r="AM14" s="518"/>
      <c r="AN14" s="518"/>
      <c r="AO14" s="518"/>
      <c r="AP14" s="518"/>
      <c r="AQ14" s="518"/>
    </row>
    <row r="15" spans="1:43">
      <c r="A15" s="1305" t="str">
        <f>House!A15</f>
        <v>Welding space</v>
      </c>
      <c r="B15" s="1305">
        <f>House!B15</f>
        <v>0.01</v>
      </c>
      <c r="C15" s="1285" t="str">
        <f>House!C15</f>
        <v>m</v>
      </c>
      <c r="D15" s="1282"/>
      <c r="E15" s="1282"/>
      <c r="F15" s="1282"/>
      <c r="G15" s="1282"/>
      <c r="H15" s="1304"/>
      <c r="I15" s="1293"/>
      <c r="J15" s="522"/>
      <c r="K15" s="940" t="s">
        <v>4089</v>
      </c>
      <c r="L15" s="544" t="e">
        <f ca="1">PI()*($L$14/1000)^2</f>
        <v>#REF!</v>
      </c>
      <c r="M15" s="1376" t="s">
        <v>2511</v>
      </c>
      <c r="N15" s="518"/>
      <c r="O15" s="518"/>
      <c r="P15" s="518"/>
      <c r="Q15" s="518"/>
      <c r="R15" s="518"/>
      <c r="S15" s="509"/>
      <c r="T15" s="509" t="str">
        <f>B58</f>
        <v>L_HSP</v>
      </c>
      <c r="U15" s="1932" t="e">
        <f ca="1">IF(Small_F,'Frame Dimensions'!$O$120-'Frame Dimensions'!$G$120*TAN(R_angle/2),'Frame Dimensions'!$L$116)-VLOOKUP(HS_P,Iron_dim,4,FALSE)/SIN(R_angle)</f>
        <v>#REF!</v>
      </c>
      <c r="V15" s="1932" t="e">
        <f ca="1">'Frame Dimensions'!$K$120+'Frame Dimensions'!$G$120-Center_H</f>
        <v>#REF!</v>
      </c>
      <c r="W15" s="505">
        <f>$B$61</f>
        <v>-793</v>
      </c>
      <c r="X15" s="505">
        <f>$B$62-Center_H</f>
        <v>-924</v>
      </c>
      <c r="Y15" s="510"/>
      <c r="Z15" s="510"/>
      <c r="AA15" s="805"/>
      <c r="AB15" s="805"/>
      <c r="AC15" s="545"/>
      <c r="AD15" s="1287"/>
      <c r="AE15" s="1295" t="str">
        <f>House!AE15</f>
        <v>Steel_density</v>
      </c>
      <c r="AF15" s="1282">
        <f>House!AF15</f>
        <v>7850</v>
      </c>
      <c r="AG15" s="1282" t="str">
        <f>House!AG15</f>
        <v>kg/m3</v>
      </c>
      <c r="AH15" s="1282"/>
      <c r="AI15" s="1282"/>
      <c r="AJ15" s="1283"/>
      <c r="AK15" s="518"/>
      <c r="AL15" s="518"/>
      <c r="AM15" s="518"/>
      <c r="AN15" s="518"/>
      <c r="AO15" s="518"/>
      <c r="AP15" s="518"/>
      <c r="AQ15" s="518"/>
    </row>
    <row r="16" spans="1:43" ht="15.75" thickBot="1">
      <c r="A16" s="1322" t="str">
        <f>House!A16</f>
        <v>Reinf_HousePT (used for reinf calc only)</v>
      </c>
      <c r="B16" s="1322">
        <f>House!B16</f>
        <v>4</v>
      </c>
      <c r="C16" s="2153" t="str">
        <f>House!C16</f>
        <v>mm</v>
      </c>
      <c r="D16" s="1288"/>
      <c r="E16" s="1288"/>
      <c r="F16" s="1288"/>
      <c r="G16" s="1288"/>
      <c r="H16" s="2151"/>
      <c r="I16" s="2152"/>
      <c r="J16" s="549"/>
      <c r="K16" s="3009" t="s">
        <v>4160</v>
      </c>
      <c r="L16" s="3130" t="e">
        <f ca="1">IF(Small_F,4,2.5)</f>
        <v>#REF!</v>
      </c>
      <c r="M16" s="556"/>
      <c r="N16" s="556"/>
      <c r="O16" s="556"/>
      <c r="P16" s="556"/>
      <c r="Q16" s="556"/>
      <c r="R16" s="556"/>
      <c r="S16" s="808"/>
      <c r="T16" s="808" t="e">
        <f ca="1">C58</f>
        <v>#REF!</v>
      </c>
      <c r="U16" s="2357" t="e">
        <f ca="1">IF(Small_F,'Frame Dimensions'!$O$124+'Frame Dimensions'!$G$124*TAN(R_angle/2),'Frame Dimensions'!$O$116)+VLOOKUP(HS_P,Iron_dim,4,FALSE)/SIN(R_angle)</f>
        <v>#REF!</v>
      </c>
      <c r="V16" s="2357" t="e">
        <f ca="1">'Frame Dimensions'!$K$124+'Frame Dimensions'!$G$124-Center_H</f>
        <v>#REF!</v>
      </c>
      <c r="W16" s="535" t="e">
        <f ca="1">$C$61</f>
        <v>#REF!</v>
      </c>
      <c r="X16" s="535" t="e">
        <f ca="1">$C$62-Center_H</f>
        <v>#REF!</v>
      </c>
      <c r="Y16" s="547"/>
      <c r="Z16" s="547"/>
      <c r="AA16" s="809"/>
      <c r="AB16" s="809"/>
      <c r="AC16" s="548"/>
      <c r="AD16" s="549"/>
      <c r="AE16" s="556"/>
      <c r="AF16" s="556"/>
      <c r="AG16" s="556"/>
      <c r="AH16" s="556"/>
      <c r="AI16" s="556"/>
      <c r="AJ16" s="561"/>
      <c r="AK16" s="518"/>
      <c r="AL16" s="518"/>
      <c r="AM16" s="518"/>
      <c r="AN16" s="518"/>
      <c r="AO16" s="518"/>
      <c r="AP16" s="518"/>
      <c r="AQ16" s="518"/>
    </row>
    <row r="17" spans="1:36" ht="15.75" thickBot="1">
      <c r="A17" s="518"/>
      <c r="B17" s="2060"/>
      <c r="C17" s="813"/>
      <c r="D17" s="518"/>
      <c r="E17" s="685"/>
      <c r="F17" s="813"/>
      <c r="G17" s="518"/>
      <c r="H17" s="510"/>
      <c r="I17" s="518"/>
      <c r="J17" s="518"/>
      <c r="K17" s="518"/>
      <c r="L17" s="518"/>
      <c r="M17" s="518"/>
      <c r="N17" s="518"/>
      <c r="O17" s="509"/>
      <c r="P17" s="510"/>
      <c r="Q17" s="510"/>
      <c r="R17" s="510"/>
      <c r="S17" s="510"/>
      <c r="T17" s="805"/>
      <c r="U17" s="805"/>
      <c r="V17" s="510"/>
      <c r="W17" s="518"/>
      <c r="X17" s="518"/>
      <c r="Y17" s="2245"/>
      <c r="Z17" s="2245"/>
      <c r="AA17" s="518"/>
      <c r="AB17" s="518"/>
      <c r="AC17" s="518"/>
      <c r="AD17" s="518"/>
      <c r="AE17" s="518"/>
      <c r="AF17" s="518"/>
      <c r="AG17" s="518"/>
      <c r="AH17" s="518"/>
      <c r="AI17" s="518"/>
      <c r="AJ17" s="518"/>
    </row>
    <row r="18" spans="1:36" ht="15.75" thickBot="1">
      <c r="A18" s="2569" t="s">
        <v>2645</v>
      </c>
      <c r="B18" s="3106" t="str">
        <f>House!B18</f>
        <v>alfa incr</v>
      </c>
      <c r="C18" s="3106">
        <f>House!C18</f>
        <v>0.25743606466916358</v>
      </c>
      <c r="D18" s="3799" t="s">
        <v>3562</v>
      </c>
      <c r="E18" s="3800"/>
      <c r="F18" s="3800"/>
      <c r="G18" s="3800"/>
      <c r="H18" s="3800"/>
      <c r="I18" s="3800"/>
      <c r="J18" s="3800"/>
      <c r="K18" s="3800"/>
      <c r="L18" s="3800"/>
      <c r="M18" s="3800"/>
      <c r="N18" s="3800"/>
      <c r="O18" s="3800"/>
      <c r="P18" s="3800"/>
      <c r="Q18" s="3800"/>
      <c r="R18" s="3800"/>
      <c r="S18" s="3800"/>
      <c r="T18" s="3800"/>
      <c r="U18" s="3800"/>
      <c r="V18" s="3800"/>
      <c r="W18" s="3800"/>
      <c r="X18" s="3800"/>
      <c r="Y18" s="3800"/>
      <c r="Z18" s="3837"/>
      <c r="AA18" s="1147"/>
      <c r="AB18" s="1147"/>
      <c r="AC18" s="1147"/>
      <c r="AD18" s="1147"/>
      <c r="AE18" s="1147"/>
      <c r="AF18" s="1147"/>
      <c r="AG18" s="1147"/>
      <c r="AH18" s="1147"/>
      <c r="AI18" s="1147"/>
      <c r="AJ18" s="2344"/>
    </row>
    <row r="19" spans="1:36">
      <c r="A19" s="2237"/>
      <c r="B19" s="3107" t="str">
        <f>House!B19</f>
        <v>Lreinf</v>
      </c>
      <c r="C19" s="3107" t="str">
        <f>House!C19</f>
        <v>LF stop</v>
      </c>
      <c r="D19" s="3839" t="s">
        <v>1098</v>
      </c>
      <c r="E19" s="3840"/>
      <c r="F19" s="3840"/>
      <c r="G19" s="3840"/>
      <c r="H19" s="3840"/>
      <c r="I19" s="3840"/>
      <c r="J19" s="3840"/>
      <c r="K19" s="3840"/>
      <c r="L19" s="3840"/>
      <c r="M19" s="3840"/>
      <c r="N19" s="3840"/>
      <c r="O19" s="3840"/>
      <c r="P19" s="3840"/>
      <c r="Q19" s="3840"/>
      <c r="R19" s="3840"/>
      <c r="S19" s="3840"/>
      <c r="T19" s="3840"/>
      <c r="U19" s="3840"/>
      <c r="V19" s="3840"/>
      <c r="W19" s="3840"/>
      <c r="X19" s="3841"/>
      <c r="Y19" s="3107" t="str">
        <f>House!Y19</f>
        <v>RF stop</v>
      </c>
      <c r="Z19" s="3107" t="str">
        <f>House!Z19</f>
        <v>Rreinf</v>
      </c>
      <c r="AA19" s="522"/>
      <c r="AB19" s="518"/>
      <c r="AC19" s="518"/>
      <c r="AD19" s="518"/>
      <c r="AE19" s="518"/>
      <c r="AF19" s="518"/>
      <c r="AG19" s="518"/>
      <c r="AH19" s="518"/>
      <c r="AI19" s="518"/>
      <c r="AJ19" s="527"/>
    </row>
    <row r="20" spans="1:36" s="1346" customFormat="1">
      <c r="A20" s="2347" t="s">
        <v>1104</v>
      </c>
      <c r="B20" s="1383">
        <f>House!B20</f>
        <v>7.4176493209759009</v>
      </c>
      <c r="C20" s="1383">
        <f>House!C20</f>
        <v>7.4647083367135298</v>
      </c>
      <c r="D20" s="1384">
        <f>House!D20</f>
        <v>1.1344640137963142</v>
      </c>
      <c r="E20" s="1385">
        <f>House!E20</f>
        <v>1.3919000784654778</v>
      </c>
      <c r="F20" s="1385">
        <f>House!F20</f>
        <v>1.6493361431346414</v>
      </c>
      <c r="G20" s="1385">
        <f>House!G20</f>
        <v>1.906772207803805</v>
      </c>
      <c r="H20" s="1385">
        <f>House!H20</f>
        <v>2.1642082724729685</v>
      </c>
      <c r="I20" s="1385">
        <f>House!I20</f>
        <v>2.4216443371421321</v>
      </c>
      <c r="J20" s="1385">
        <f>House!J20</f>
        <v>2.6790804018112957</v>
      </c>
      <c r="K20" s="1385">
        <f>House!K20</f>
        <v>2.9365164664804593</v>
      </c>
      <c r="L20" s="1385">
        <f>House!L20</f>
        <v>3.1939525311496229</v>
      </c>
      <c r="M20" s="1385">
        <f>House!M20</f>
        <v>3.4513885958187864</v>
      </c>
      <c r="N20" s="1385">
        <f>House!N20</f>
        <v>3.70882466048795</v>
      </c>
      <c r="O20" s="1385">
        <f>House!O20</f>
        <v>3.9662607251571136</v>
      </c>
      <c r="P20" s="1385">
        <f>House!P20</f>
        <v>4.2236967898262776</v>
      </c>
      <c r="Q20" s="1385">
        <f>House!Q20</f>
        <v>4.4811328544954412</v>
      </c>
      <c r="R20" s="1385">
        <f>House!R20</f>
        <v>4.7385689191646048</v>
      </c>
      <c r="S20" s="1385">
        <f>House!S20</f>
        <v>4.9960049838337683</v>
      </c>
      <c r="T20" s="1385">
        <f>House!T20</f>
        <v>5.2534410485029319</v>
      </c>
      <c r="U20" s="1385">
        <f>House!U20</f>
        <v>5.5108771131720955</v>
      </c>
      <c r="V20" s="1385">
        <f>House!V20</f>
        <v>5.7683131778412591</v>
      </c>
      <c r="W20" s="1385">
        <f>House!W20</f>
        <v>6.0257492425104227</v>
      </c>
      <c r="X20" s="1386">
        <f>House!X20</f>
        <v>6.2831853071795862</v>
      </c>
      <c r="Y20" s="1383">
        <f>House!Y20</f>
        <v>6.8844223146173196</v>
      </c>
      <c r="Z20" s="1383">
        <f>House!Z20</f>
        <v>6.8261204245285274</v>
      </c>
      <c r="AA20" s="523"/>
      <c r="AB20" s="544"/>
      <c r="AC20" s="544"/>
      <c r="AD20" s="1382" t="str">
        <f>House!AD20</f>
        <v>curve</v>
      </c>
      <c r="AE20" s="1382"/>
      <c r="AF20" s="544"/>
      <c r="AG20" s="544"/>
      <c r="AH20" s="544"/>
      <c r="AI20" s="544"/>
      <c r="AJ20" s="524"/>
    </row>
    <row r="21" spans="1:36">
      <c r="A21" s="1275" t="s">
        <v>1105</v>
      </c>
      <c r="B21" s="1296">
        <f>House!B21</f>
        <v>1045</v>
      </c>
      <c r="C21" s="1371">
        <f>House!C21</f>
        <v>1163.6818291472891</v>
      </c>
      <c r="D21" s="1297">
        <f>House!D21</f>
        <v>1045</v>
      </c>
      <c r="E21" s="1297">
        <f>House!E21</f>
        <v>1066.4530024332412</v>
      </c>
      <c r="F21" s="1297">
        <f>House!F21</f>
        <v>1088.3485349755213</v>
      </c>
      <c r="G21" s="1297">
        <f>House!G21</f>
        <v>1110.6957260879037</v>
      </c>
      <c r="H21" s="1297">
        <f>House!H21</f>
        <v>1133.5038925323154</v>
      </c>
      <c r="I21" s="1297">
        <f>House!I21</f>
        <v>1156.7825432557938</v>
      </c>
      <c r="J21" s="1297">
        <f>House!J21</f>
        <v>1180.5413833548621</v>
      </c>
      <c r="K21" s="1297">
        <f>House!K21</f>
        <v>1204.7903181216768</v>
      </c>
      <c r="L21" s="1297">
        <f>House!L21</f>
        <v>1229.5394571736417</v>
      </c>
      <c r="M21" s="1297">
        <f>House!M21</f>
        <v>1254.799118668205</v>
      </c>
      <c r="N21" s="1297">
        <f>House!N21</f>
        <v>1280.5798336046005</v>
      </c>
      <c r="O21" s="1297">
        <f>House!O21</f>
        <v>1306.8923502143243</v>
      </c>
      <c r="P21" s="1297">
        <f>House!P21</f>
        <v>1333.7476384421761</v>
      </c>
      <c r="Q21" s="1297">
        <f>House!Q21</f>
        <v>1361.1568945197369</v>
      </c>
      <c r="R21" s="1297">
        <f>House!R21</f>
        <v>1389.1315456331872</v>
      </c>
      <c r="S21" s="1297">
        <f>House!S21</f>
        <v>1417.683254687413</v>
      </c>
      <c r="T21" s="1297">
        <f>House!T21</f>
        <v>1446.8239251683819</v>
      </c>
      <c r="U21" s="1297">
        <f>House!U21</f>
        <v>1476.5657061058264</v>
      </c>
      <c r="V21" s="1297">
        <f>House!V21</f>
        <v>1506.9209971382902</v>
      </c>
      <c r="W21" s="1297">
        <f>House!W21</f>
        <v>1537.9024536826591</v>
      </c>
      <c r="X21" s="1297">
        <f>House!X21</f>
        <v>1569.5229922103276</v>
      </c>
      <c r="Y21" s="1296">
        <f>House!Y21</f>
        <v>1903.2906746733174</v>
      </c>
      <c r="Z21" s="1296">
        <f>House!Z21</f>
        <v>1833.1352903729805</v>
      </c>
      <c r="AA21" s="518"/>
      <c r="AB21" s="518"/>
      <c r="AC21" s="518"/>
      <c r="AD21" s="1303" t="str">
        <f>House!AD21</f>
        <v>max</v>
      </c>
      <c r="AE21" s="1303" t="str">
        <f>House!AE21</f>
        <v>min</v>
      </c>
      <c r="AF21" s="518"/>
      <c r="AG21" s="518"/>
      <c r="AH21" s="518"/>
      <c r="AI21" s="518"/>
      <c r="AJ21" s="527"/>
    </row>
    <row r="22" spans="1:36">
      <c r="A22" s="2238" t="s">
        <v>1094</v>
      </c>
      <c r="B22" s="1298">
        <f>House!B22</f>
        <v>441.63608351903093</v>
      </c>
      <c r="C22" s="1299">
        <f>House!C22</f>
        <v>441.63608351903093</v>
      </c>
      <c r="D22" s="1300">
        <f>House!D22</f>
        <v>441.63608351903093</v>
      </c>
      <c r="E22" s="1300">
        <f>House!E22</f>
        <v>189.76842833419454</v>
      </c>
      <c r="F22" s="1300">
        <f>House!F22</f>
        <v>-85.390841890904142</v>
      </c>
      <c r="G22" s="1300">
        <f>House!G22</f>
        <v>-366.18599062454092</v>
      </c>
      <c r="H22" s="1300">
        <f>House!H22</f>
        <v>-633.84733276053862</v>
      </c>
      <c r="I22" s="1300">
        <f>House!I22</f>
        <v>-869.71516461647775</v>
      </c>
      <c r="J22" s="1300">
        <f>House!J22</f>
        <v>-1056.507049257455</v>
      </c>
      <c r="K22" s="1300">
        <f>House!K22</f>
        <v>-1179.5445062502893</v>
      </c>
      <c r="L22" s="1300">
        <f>House!L22</f>
        <v>-1227.8544160797051</v>
      </c>
      <c r="M22" s="1300">
        <f>House!M22</f>
        <v>-1195.0654100156862</v>
      </c>
      <c r="N22" s="1300">
        <f>House!N22</f>
        <v>-1080.0300773426088</v>
      </c>
      <c r="O22" s="1300">
        <f>House!O22</f>
        <v>-887.11950165678206</v>
      </c>
      <c r="P22" s="1300">
        <f>House!P22</f>
        <v>-626.15658818143959</v>
      </c>
      <c r="Q22" s="1300">
        <f>House!Q22</f>
        <v>-311.97769233066299</v>
      </c>
      <c r="R22" s="1300">
        <f>House!R22</f>
        <v>36.363224662875822</v>
      </c>
      <c r="S22" s="1300">
        <f>House!S22</f>
        <v>396.70890736742643</v>
      </c>
      <c r="T22" s="1300">
        <f>House!T22</f>
        <v>745.16940915253167</v>
      </c>
      <c r="U22" s="1300">
        <f>House!U22</f>
        <v>1057.6668848778002</v>
      </c>
      <c r="V22" s="1300">
        <f>House!V22</f>
        <v>1311.5572731907439</v>
      </c>
      <c r="W22" s="1300">
        <f>House!W22</f>
        <v>1487.222322279604</v>
      </c>
      <c r="X22" s="1300">
        <f>House!X22</f>
        <v>1569.5229922103276</v>
      </c>
      <c r="Y22" s="1298">
        <f>House!Y22</f>
        <v>1569.5229922103276</v>
      </c>
      <c r="Z22" s="1298">
        <f>House!Z22</f>
        <v>1569.5229922103276</v>
      </c>
      <c r="AA22" s="522"/>
      <c r="AB22" s="518"/>
      <c r="AC22" s="518"/>
      <c r="AD22" s="1303">
        <f>House!AD22</f>
        <v>1569.5229922103276</v>
      </c>
      <c r="AE22" s="1303">
        <f>House!AE22</f>
        <v>-1227.8544160797051</v>
      </c>
      <c r="AF22" s="518"/>
      <c r="AG22" s="518"/>
      <c r="AH22" s="518"/>
      <c r="AI22" s="518"/>
      <c r="AJ22" s="527"/>
    </row>
    <row r="23" spans="1:36">
      <c r="A23" s="2238" t="s">
        <v>1095</v>
      </c>
      <c r="B23" s="1296">
        <f>House!B23</f>
        <v>947.0916374532992</v>
      </c>
      <c r="C23" s="1301">
        <f>House!C23</f>
        <v>1076.6210889730667</v>
      </c>
      <c r="D23" s="1302">
        <f>House!D23</f>
        <v>947.0916374532992</v>
      </c>
      <c r="E23" s="1296">
        <f>House!E23</f>
        <v>1049.4331565213881</v>
      </c>
      <c r="F23" s="1296">
        <f>House!F23</f>
        <v>1084.9935196601525</v>
      </c>
      <c r="G23" s="1296">
        <f>House!G23</f>
        <v>1048.5956399967813</v>
      </c>
      <c r="H23" s="1296">
        <f>House!H23</f>
        <v>939.71731554668168</v>
      </c>
      <c r="I23" s="1296">
        <f>House!I23</f>
        <v>762.71972887652214</v>
      </c>
      <c r="J23" s="1296">
        <f>House!J23</f>
        <v>526.75498353856813</v>
      </c>
      <c r="K23" s="1296">
        <f>House!K23</f>
        <v>245.34561013903004</v>
      </c>
      <c r="L23" s="1296">
        <f>House!L23</f>
        <v>-64.349123229612289</v>
      </c>
      <c r="M23" s="1296">
        <f>House!M23</f>
        <v>-382.54345373374764</v>
      </c>
      <c r="N23" s="1296">
        <f>House!N23</f>
        <v>-688.05504305259228</v>
      </c>
      <c r="O23" s="1296">
        <f>House!O23</f>
        <v>-959.68047017168317</v>
      </c>
      <c r="P23" s="1296">
        <f>House!P23</f>
        <v>-1177.629266843798</v>
      </c>
      <c r="Q23" s="1296">
        <f>House!Q23</f>
        <v>-1324.9218886359483</v>
      </c>
      <c r="R23" s="1296">
        <f>House!R23</f>
        <v>-1388.6555249468331</v>
      </c>
      <c r="S23" s="1296">
        <f>House!S23</f>
        <v>-1361.0466022280202</v>
      </c>
      <c r="T23" s="1296">
        <f>House!T23</f>
        <v>-1240.170158527817</v>
      </c>
      <c r="U23" s="1296">
        <f>House!U23</f>
        <v>-1030.3334630500399</v>
      </c>
      <c r="V23" s="1296">
        <f>House!V23</f>
        <v>-742.04340220550364</v>
      </c>
      <c r="W23" s="1296">
        <f>House!W23</f>
        <v>-391.55296085766645</v>
      </c>
      <c r="X23" s="1296">
        <f>House!X23</f>
        <v>-3.8457973377000741E-13</v>
      </c>
      <c r="Y23" s="1296">
        <f>House!Y23</f>
        <v>1076.6210889730667</v>
      </c>
      <c r="Z23" s="1296">
        <f>House!Z23</f>
        <v>947.0916374532992</v>
      </c>
      <c r="AA23" s="522"/>
      <c r="AB23" s="518"/>
      <c r="AC23" s="518"/>
      <c r="AD23" s="1303">
        <f>House!AD23</f>
        <v>1084.9935196601525</v>
      </c>
      <c r="AE23" s="1303">
        <f>House!AE23</f>
        <v>-1388.6555249468331</v>
      </c>
      <c r="AF23" s="518"/>
      <c r="AG23" s="518"/>
      <c r="AH23" s="518"/>
      <c r="AI23" s="518"/>
      <c r="AJ23" s="527"/>
    </row>
    <row r="24" spans="1:36">
      <c r="A24" s="2238"/>
      <c r="B24" s="503"/>
      <c r="C24" s="510"/>
      <c r="D24" s="685"/>
      <c r="E24" s="510"/>
      <c r="F24" s="510"/>
      <c r="G24" s="510"/>
      <c r="H24" s="510"/>
      <c r="I24" s="510"/>
      <c r="J24" s="510"/>
      <c r="K24" s="510"/>
      <c r="L24" s="510"/>
      <c r="M24" s="510"/>
      <c r="N24" s="510"/>
      <c r="O24" s="510"/>
      <c r="P24" s="510"/>
      <c r="Q24" s="510"/>
      <c r="R24" s="510"/>
      <c r="S24" s="510"/>
      <c r="T24" s="510"/>
      <c r="U24" s="510"/>
      <c r="V24" s="510"/>
      <c r="W24" s="510"/>
      <c r="X24" s="510"/>
      <c r="Y24" s="510"/>
      <c r="Z24" s="510"/>
      <c r="AA24" s="518"/>
      <c r="AB24" s="518"/>
      <c r="AC24" s="518"/>
      <c r="AD24" s="518"/>
      <c r="AE24" s="518"/>
      <c r="AF24" s="518"/>
      <c r="AG24" s="518"/>
      <c r="AH24" s="518"/>
      <c r="AI24" s="518"/>
      <c r="AJ24" s="527"/>
    </row>
    <row r="25" spans="1:36">
      <c r="A25" s="2238"/>
      <c r="B25" s="503"/>
      <c r="C25" s="510"/>
      <c r="D25" s="685"/>
      <c r="E25" s="510"/>
      <c r="F25" s="510"/>
      <c r="G25" s="510"/>
      <c r="H25" s="510"/>
      <c r="I25" s="510"/>
      <c r="J25" s="510"/>
      <c r="K25" s="510"/>
      <c r="L25" s="510"/>
      <c r="M25" s="510"/>
      <c r="N25" s="510"/>
      <c r="O25" s="510"/>
      <c r="P25" s="510"/>
      <c r="Q25" s="510"/>
      <c r="R25" s="510"/>
      <c r="S25" s="510"/>
      <c r="T25" s="510"/>
      <c r="U25" s="510"/>
      <c r="V25" s="510"/>
      <c r="W25" s="510"/>
      <c r="X25" s="510"/>
      <c r="Y25" s="510"/>
      <c r="Z25" s="510"/>
      <c r="AA25" s="518"/>
      <c r="AB25" s="518"/>
      <c r="AC25" s="518"/>
      <c r="AD25" s="518"/>
      <c r="AE25" s="518"/>
      <c r="AF25" s="518"/>
      <c r="AG25" s="518"/>
      <c r="AH25" s="518"/>
      <c r="AI25" s="518"/>
      <c r="AJ25" s="527"/>
    </row>
    <row r="26" spans="1:36">
      <c r="A26" s="2238"/>
      <c r="B26" s="503"/>
      <c r="C26" s="510"/>
      <c r="D26" s="685"/>
      <c r="E26" s="510"/>
      <c r="F26" s="510"/>
      <c r="G26" s="510"/>
      <c r="H26" s="510"/>
      <c r="I26" s="510"/>
      <c r="J26" s="510"/>
      <c r="K26" s="510"/>
      <c r="L26" s="510"/>
      <c r="M26" s="510"/>
      <c r="N26" s="510"/>
      <c r="O26" s="510"/>
      <c r="P26" s="510"/>
      <c r="Q26" s="510"/>
      <c r="R26" s="510"/>
      <c r="S26" s="510"/>
      <c r="T26" s="510"/>
      <c r="U26" s="510"/>
      <c r="V26" s="510"/>
      <c r="W26" s="510"/>
      <c r="X26" s="510"/>
      <c r="Y26" s="510"/>
      <c r="Z26" s="510"/>
      <c r="AA26" s="518"/>
      <c r="AB26" s="518"/>
      <c r="AC26" s="518"/>
      <c r="AD26" s="518"/>
      <c r="AE26" s="518"/>
      <c r="AF26" s="518"/>
      <c r="AG26" s="518"/>
      <c r="AH26" s="518"/>
      <c r="AI26" s="518"/>
      <c r="AJ26" s="527"/>
    </row>
    <row r="27" spans="1:36">
      <c r="A27" s="2238"/>
      <c r="B27" s="503"/>
      <c r="C27" s="510"/>
      <c r="D27" s="685"/>
      <c r="E27" s="510"/>
      <c r="F27" s="510"/>
      <c r="G27" s="510"/>
      <c r="H27" s="510"/>
      <c r="I27" s="510"/>
      <c r="J27" s="510"/>
      <c r="K27" s="510"/>
      <c r="L27" s="510"/>
      <c r="M27" s="510"/>
      <c r="N27" s="510"/>
      <c r="O27" s="510"/>
      <c r="P27" s="510"/>
      <c r="Q27" s="510"/>
      <c r="R27" s="510"/>
      <c r="S27" s="510"/>
      <c r="T27" s="510"/>
      <c r="U27" s="510"/>
      <c r="V27" s="510"/>
      <c r="W27" s="510"/>
      <c r="X27" s="510"/>
      <c r="Y27" s="510"/>
      <c r="Z27" s="510"/>
      <c r="AA27" s="518"/>
      <c r="AB27" s="518"/>
      <c r="AC27" s="518"/>
      <c r="AD27" s="518"/>
      <c r="AE27" s="518"/>
      <c r="AF27" s="518"/>
      <c r="AG27" s="518"/>
      <c r="AH27" s="518"/>
      <c r="AI27" s="518"/>
      <c r="AJ27" s="527"/>
    </row>
    <row r="28" spans="1:36">
      <c r="A28" s="2238"/>
      <c r="B28" s="503"/>
      <c r="C28" s="510"/>
      <c r="D28" s="685"/>
      <c r="E28" s="510"/>
      <c r="F28" s="510"/>
      <c r="G28" s="510"/>
      <c r="H28" s="510"/>
      <c r="I28" s="510"/>
      <c r="J28" s="510"/>
      <c r="K28" s="510"/>
      <c r="L28" s="510"/>
      <c r="M28" s="510"/>
      <c r="N28" s="510"/>
      <c r="O28" s="510"/>
      <c r="P28" s="510"/>
      <c r="Q28" s="510"/>
      <c r="R28" s="510"/>
      <c r="S28" s="510"/>
      <c r="T28" s="510"/>
      <c r="U28" s="510"/>
      <c r="V28" s="510"/>
      <c r="W28" s="510"/>
      <c r="X28" s="510"/>
      <c r="Y28" s="510"/>
      <c r="Z28" s="510"/>
      <c r="AA28" s="518"/>
      <c r="AB28" s="518"/>
      <c r="AC28" s="518"/>
      <c r="AD28" s="518"/>
      <c r="AE28" s="518"/>
      <c r="AF28" s="518"/>
      <c r="AG28" s="518"/>
      <c r="AH28" s="518"/>
      <c r="AI28" s="518"/>
      <c r="AJ28" s="527"/>
    </row>
    <row r="29" spans="1:36" ht="15.75" thickBot="1">
      <c r="AA29" s="518"/>
      <c r="AB29" s="518"/>
      <c r="AC29" s="518"/>
      <c r="AD29" s="518"/>
      <c r="AE29" s="518"/>
      <c r="AF29" s="518"/>
      <c r="AG29" s="518"/>
      <c r="AH29" s="518"/>
      <c r="AI29" s="518"/>
      <c r="AJ29" s="527"/>
    </row>
    <row r="30" spans="1:36" ht="15.75" thickBot="1">
      <c r="A30" s="2569" t="s">
        <v>2645</v>
      </c>
      <c r="B30" s="2571" t="str">
        <f>House!B30</f>
        <v>alfa incr</v>
      </c>
      <c r="C30" s="2572">
        <f>House!C30</f>
        <v>0.25743606466916358</v>
      </c>
      <c r="D30" s="3799" t="str">
        <f>"HOUSE (LG), "&amp;G6&amp;", (0) "</f>
        <v xml:space="preserve">HOUSE (LG), 135, (0) </v>
      </c>
      <c r="E30" s="3800"/>
      <c r="F30" s="3800"/>
      <c r="G30" s="3800"/>
      <c r="H30" s="3800"/>
      <c r="I30" s="3800"/>
      <c r="J30" s="3800"/>
      <c r="K30" s="3800"/>
      <c r="L30" s="3800"/>
      <c r="M30" s="3800"/>
      <c r="N30" s="3800"/>
      <c r="O30" s="3800"/>
      <c r="P30" s="3800"/>
      <c r="Q30" s="3800"/>
      <c r="R30" s="3800"/>
      <c r="S30" s="3800"/>
      <c r="T30" s="3800"/>
      <c r="U30" s="3800"/>
      <c r="V30" s="3800"/>
      <c r="W30" s="3800"/>
      <c r="X30" s="3800"/>
      <c r="Y30" s="3800"/>
      <c r="Z30" s="3837"/>
      <c r="AA30" s="518"/>
      <c r="AB30" s="518"/>
      <c r="AC30" s="518"/>
      <c r="AD30" s="518"/>
      <c r="AE30" s="518"/>
      <c r="AF30" s="518"/>
      <c r="AG30" s="518"/>
      <c r="AH30" s="518"/>
      <c r="AI30" s="518"/>
      <c r="AJ30" s="527"/>
    </row>
    <row r="31" spans="1:36" s="1346" customFormat="1">
      <c r="A31" s="2237"/>
      <c r="B31" s="3107" t="str">
        <f>House!B31</f>
        <v>Lreinf</v>
      </c>
      <c r="C31" s="3107" t="str">
        <f>House!C31</f>
        <v>LF stop</v>
      </c>
      <c r="D31" s="3839" t="s">
        <v>1099</v>
      </c>
      <c r="E31" s="3840"/>
      <c r="F31" s="3840"/>
      <c r="G31" s="3840"/>
      <c r="H31" s="3840"/>
      <c r="I31" s="3840"/>
      <c r="J31" s="3840"/>
      <c r="K31" s="3840"/>
      <c r="L31" s="3840"/>
      <c r="M31" s="3840"/>
      <c r="N31" s="3840"/>
      <c r="O31" s="3840"/>
      <c r="P31" s="3840"/>
      <c r="Q31" s="3840"/>
      <c r="R31" s="3840"/>
      <c r="S31" s="3840"/>
      <c r="T31" s="3840"/>
      <c r="U31" s="3840"/>
      <c r="V31" s="3840"/>
      <c r="W31" s="3840"/>
      <c r="X31" s="3841"/>
      <c r="Y31" s="3107" t="str">
        <f>House!Y31</f>
        <v>RF stop</v>
      </c>
      <c r="Z31" s="3107" t="str">
        <f>House!Z31</f>
        <v>Rreinf</v>
      </c>
      <c r="AA31" s="544"/>
      <c r="AB31" s="544"/>
      <c r="AC31" s="544"/>
      <c r="AD31" s="544"/>
      <c r="AE31" s="544"/>
      <c r="AF31" s="544"/>
      <c r="AG31" s="544"/>
      <c r="AH31" s="544"/>
      <c r="AI31" s="544"/>
      <c r="AJ31" s="524"/>
    </row>
    <row r="32" spans="1:36">
      <c r="A32" s="2347" t="s">
        <v>1104</v>
      </c>
      <c r="B32" s="1380">
        <f>House!B32</f>
        <v>9.7738438111682449</v>
      </c>
      <c r="C32" s="1380">
        <f>House!C32</f>
        <v>9.8209028269058756</v>
      </c>
      <c r="D32" s="1381">
        <f>House!D32</f>
        <v>3.4906585039886591</v>
      </c>
      <c r="E32" s="1382">
        <f>House!E32</f>
        <v>3.7480945686578226</v>
      </c>
      <c r="F32" s="1382">
        <f>House!F32</f>
        <v>4.0055306333269858</v>
      </c>
      <c r="G32" s="1382">
        <f>House!G32</f>
        <v>4.2629666979961502</v>
      </c>
      <c r="H32" s="1382">
        <f>House!H32</f>
        <v>4.5204027626653129</v>
      </c>
      <c r="I32" s="1382">
        <f>House!I32</f>
        <v>4.7778388273344774</v>
      </c>
      <c r="J32" s="1382">
        <f>House!J32</f>
        <v>5.0352748920036401</v>
      </c>
      <c r="K32" s="1382">
        <f>House!K32</f>
        <v>5.2927109566728046</v>
      </c>
      <c r="L32" s="1382">
        <f>House!L32</f>
        <v>5.5501470213419672</v>
      </c>
      <c r="M32" s="1382">
        <f>House!M32</f>
        <v>5.8075830860111317</v>
      </c>
      <c r="N32" s="1382">
        <f>House!N32</f>
        <v>6.0650191506802944</v>
      </c>
      <c r="O32" s="1382">
        <f>House!O32</f>
        <v>6.3224552153494589</v>
      </c>
      <c r="P32" s="1382">
        <f>House!P32</f>
        <v>6.5798912800186224</v>
      </c>
      <c r="Q32" s="1382">
        <f>House!Q32</f>
        <v>6.837327344687786</v>
      </c>
      <c r="R32" s="1382">
        <f>House!R32</f>
        <v>7.0947634093569496</v>
      </c>
      <c r="S32" s="1382">
        <f>House!S32</f>
        <v>7.3521994740261132</v>
      </c>
      <c r="T32" s="1382">
        <f>House!T32</f>
        <v>7.6096355386952768</v>
      </c>
      <c r="U32" s="1382">
        <f>House!U32</f>
        <v>7.8670716033644403</v>
      </c>
      <c r="V32" s="1382">
        <f>House!V32</f>
        <v>8.1245076680336048</v>
      </c>
      <c r="W32" s="1382">
        <f>House!W32</f>
        <v>8.3819437327027675</v>
      </c>
      <c r="X32" s="1382">
        <f>House!X32</f>
        <v>8.6393797973719302</v>
      </c>
      <c r="Y32" s="1380">
        <f>House!Y32</f>
        <v>9.2406168048096653</v>
      </c>
      <c r="Z32" s="1380">
        <f>House!Z32</f>
        <v>9.1823149147208731</v>
      </c>
      <c r="AA32" s="518"/>
      <c r="AB32" s="518"/>
      <c r="AC32" s="518"/>
      <c r="AD32" s="518"/>
      <c r="AE32" s="518"/>
      <c r="AF32" s="518"/>
      <c r="AG32" s="518"/>
      <c r="AH32" s="518"/>
      <c r="AI32" s="518"/>
      <c r="AJ32" s="527"/>
    </row>
    <row r="33" spans="1:36">
      <c r="A33" s="1275" t="s">
        <v>1105</v>
      </c>
      <c r="B33" s="1296">
        <f>House!B33</f>
        <v>1045.0161529852062</v>
      </c>
      <c r="C33" s="1296">
        <f>House!C33</f>
        <v>1163.7087092567451</v>
      </c>
      <c r="D33" s="1297">
        <f>House!D33</f>
        <v>1045</v>
      </c>
      <c r="E33" s="1297">
        <f>House!E33</f>
        <v>1066.4530024332412</v>
      </c>
      <c r="F33" s="1297">
        <f>House!F33</f>
        <v>1088.3485349755213</v>
      </c>
      <c r="G33" s="1297">
        <f>House!G33</f>
        <v>1110.6957260879037</v>
      </c>
      <c r="H33" s="1297">
        <f>House!H33</f>
        <v>1133.5038925323154</v>
      </c>
      <c r="I33" s="1297">
        <f>House!I33</f>
        <v>1156.7825432557941</v>
      </c>
      <c r="J33" s="1297">
        <f>House!J33</f>
        <v>1180.5413833548621</v>
      </c>
      <c r="K33" s="1297">
        <f>House!K33</f>
        <v>1204.790318121677</v>
      </c>
      <c r="L33" s="1297">
        <f>House!L33</f>
        <v>1229.5394571736417</v>
      </c>
      <c r="M33" s="1297">
        <f>House!M33</f>
        <v>1254.799118668205</v>
      </c>
      <c r="N33" s="1297">
        <f>House!N33</f>
        <v>1280.5798336046005</v>
      </c>
      <c r="O33" s="1297">
        <f>House!O33</f>
        <v>1306.8923502143243</v>
      </c>
      <c r="P33" s="1297">
        <f>House!P33</f>
        <v>1333.7476384421761</v>
      </c>
      <c r="Q33" s="1297">
        <f>House!Q33</f>
        <v>1361.1568945197369</v>
      </c>
      <c r="R33" s="1297">
        <f>House!R33</f>
        <v>1389.1315456331872</v>
      </c>
      <c r="S33" s="1297">
        <f>House!S33</f>
        <v>1417.683254687413</v>
      </c>
      <c r="T33" s="1297">
        <f>House!T33</f>
        <v>1446.8239251683819</v>
      </c>
      <c r="U33" s="1297">
        <f>House!U33</f>
        <v>1476.5657061058264</v>
      </c>
      <c r="V33" s="1297">
        <f>House!V33</f>
        <v>1506.9209971382902</v>
      </c>
      <c r="W33" s="1297">
        <f>House!W33</f>
        <v>1537.9024536826591</v>
      </c>
      <c r="X33" s="1297">
        <f>House!X33</f>
        <v>1569.5229922103274</v>
      </c>
      <c r="Y33" s="1296">
        <f>House!Y33</f>
        <v>1903.2780826773578</v>
      </c>
      <c r="Z33" s="1296">
        <f>House!Z33</f>
        <v>1833.1143608624095</v>
      </c>
      <c r="AA33" s="510"/>
      <c r="AB33" s="518"/>
      <c r="AC33" s="518"/>
      <c r="AD33" s="518"/>
      <c r="AE33" s="518"/>
      <c r="AF33" s="518"/>
      <c r="AG33" s="518"/>
      <c r="AH33" s="518"/>
      <c r="AI33" s="518"/>
      <c r="AJ33" s="527"/>
    </row>
    <row r="34" spans="1:36">
      <c r="A34" s="2238" t="s">
        <v>1092</v>
      </c>
      <c r="B34" s="1300">
        <f>House!B34</f>
        <v>-982</v>
      </c>
      <c r="C34" s="1300">
        <f>House!C34</f>
        <v>-1073.5999999999999</v>
      </c>
      <c r="D34" s="1300">
        <f>House!D34</f>
        <v>-982</v>
      </c>
      <c r="E34" s="1300">
        <f>House!E34</f>
        <v>-876.2</v>
      </c>
      <c r="F34" s="1300">
        <f>House!F34</f>
        <v>-706.8</v>
      </c>
      <c r="G34" s="1300">
        <f>House!G34</f>
        <v>-482.5</v>
      </c>
      <c r="H34" s="1300">
        <f>House!H34</f>
        <v>-216.3</v>
      </c>
      <c r="I34" s="1300">
        <f>House!I34</f>
        <v>75.7</v>
      </c>
      <c r="J34" s="1300">
        <f>House!J34</f>
        <v>374.6</v>
      </c>
      <c r="K34" s="1300">
        <f>House!K34</f>
        <v>660.6</v>
      </c>
      <c r="L34" s="1300">
        <f>House!L34</f>
        <v>913.7</v>
      </c>
      <c r="M34" s="1300">
        <f>House!M34</f>
        <v>1115.5</v>
      </c>
      <c r="N34" s="1300">
        <f>House!N34</f>
        <v>1250.2</v>
      </c>
      <c r="O34" s="1300">
        <f>House!O34</f>
        <v>1305.9000000000001</v>
      </c>
      <c r="P34" s="1300">
        <f>House!P34</f>
        <v>1275.5</v>
      </c>
      <c r="Q34" s="1300">
        <f>House!Q34</f>
        <v>1157.5</v>
      </c>
      <c r="R34" s="1300">
        <f>House!R34</f>
        <v>956.2</v>
      </c>
      <c r="S34" s="1300">
        <f>House!S34</f>
        <v>681.9</v>
      </c>
      <c r="T34" s="1300">
        <f>House!T34</f>
        <v>350</v>
      </c>
      <c r="U34" s="1300">
        <f>House!U34</f>
        <v>-19.3</v>
      </c>
      <c r="V34" s="1300">
        <f>House!V34</f>
        <v>-402.7</v>
      </c>
      <c r="W34" s="1300">
        <f>House!W34</f>
        <v>-774.8</v>
      </c>
      <c r="X34" s="1300">
        <f>House!X34</f>
        <v>-1109.8</v>
      </c>
      <c r="Y34" s="1300">
        <f>House!Y34</f>
        <v>-1871.1</v>
      </c>
      <c r="Z34" s="1300">
        <f>House!Z34</f>
        <v>-1779.5</v>
      </c>
      <c r="AA34" s="510"/>
      <c r="AB34" s="518"/>
      <c r="AC34" s="518"/>
      <c r="AD34" s="518"/>
      <c r="AE34" s="518"/>
      <c r="AF34" s="518"/>
      <c r="AG34" s="518"/>
      <c r="AH34" s="518"/>
      <c r="AI34" s="518"/>
      <c r="AJ34" s="527"/>
    </row>
    <row r="35" spans="1:36">
      <c r="A35" s="3014" t="s">
        <v>1093</v>
      </c>
      <c r="B35" s="1296">
        <f>House!B35</f>
        <v>-357.4</v>
      </c>
      <c r="C35" s="1296">
        <f>House!C35</f>
        <v>-449</v>
      </c>
      <c r="D35" s="1296">
        <f>House!D35</f>
        <v>-357.4</v>
      </c>
      <c r="E35" s="1296">
        <f>House!E35</f>
        <v>-607.9</v>
      </c>
      <c r="F35" s="1296">
        <f>House!F35</f>
        <v>-827.6</v>
      </c>
      <c r="G35" s="1296">
        <f>House!G35</f>
        <v>-1000.4</v>
      </c>
      <c r="H35" s="1296">
        <f>House!H35</f>
        <v>-1112.7</v>
      </c>
      <c r="I35" s="1296">
        <f>House!I35</f>
        <v>-1154.3</v>
      </c>
      <c r="J35" s="1296">
        <f>House!J35</f>
        <v>-1119.5</v>
      </c>
      <c r="K35" s="1296">
        <f>House!K35</f>
        <v>-1007.5</v>
      </c>
      <c r="L35" s="1296">
        <f>House!L35</f>
        <v>-822.7</v>
      </c>
      <c r="M35" s="1296">
        <f>House!M35</f>
        <v>-574.5</v>
      </c>
      <c r="N35" s="1296">
        <f>House!N35</f>
        <v>-277.2</v>
      </c>
      <c r="O35" s="1296">
        <f>House!O35</f>
        <v>51.3</v>
      </c>
      <c r="P35" s="1296">
        <f>House!P35</f>
        <v>390</v>
      </c>
      <c r="Q35" s="1296">
        <f>House!Q35</f>
        <v>716.3</v>
      </c>
      <c r="R35" s="1296">
        <f>House!R35</f>
        <v>1007.6</v>
      </c>
      <c r="S35" s="1296">
        <f>House!S35</f>
        <v>1242.9000000000001</v>
      </c>
      <c r="T35" s="1296">
        <f>House!T35</f>
        <v>1403.8</v>
      </c>
      <c r="U35" s="1296">
        <f>House!U35</f>
        <v>1476.4</v>
      </c>
      <c r="V35" s="1296">
        <f>House!V35</f>
        <v>1452.1</v>
      </c>
      <c r="W35" s="1296">
        <f>House!W35</f>
        <v>1328.5</v>
      </c>
      <c r="X35" s="1296">
        <f>House!X35</f>
        <v>1109.8</v>
      </c>
      <c r="Y35" s="1296">
        <f>House!Y35</f>
        <v>348.5</v>
      </c>
      <c r="Z35" s="1296">
        <f>House!Z35</f>
        <v>440.1</v>
      </c>
      <c r="AA35" s="510"/>
      <c r="AB35" s="518"/>
      <c r="AC35" s="518"/>
      <c r="AD35" s="518"/>
      <c r="AE35" s="518"/>
      <c r="AF35" s="518"/>
      <c r="AG35" s="518"/>
      <c r="AH35" s="518"/>
      <c r="AI35" s="518"/>
      <c r="AJ35" s="527"/>
    </row>
    <row r="36" spans="1:36" ht="15.75" thickBot="1">
      <c r="A36" s="499"/>
      <c r="B36" s="503"/>
      <c r="C36" s="510"/>
      <c r="D36" s="510"/>
      <c r="E36" s="510"/>
      <c r="F36" s="510"/>
      <c r="G36" s="510"/>
      <c r="H36" s="510"/>
      <c r="I36" s="510"/>
      <c r="J36" s="510"/>
      <c r="K36" s="510"/>
      <c r="L36" s="510"/>
      <c r="M36" s="510"/>
      <c r="N36" s="510"/>
      <c r="O36" s="510"/>
      <c r="P36" s="510"/>
      <c r="Q36" s="510"/>
      <c r="R36" s="510"/>
      <c r="S36" s="510"/>
      <c r="T36" s="510"/>
      <c r="U36" s="510"/>
      <c r="V36" s="510"/>
      <c r="W36" s="510"/>
      <c r="X36" s="510"/>
      <c r="Y36" s="510"/>
      <c r="Z36" s="510"/>
      <c r="AA36" s="547"/>
      <c r="AB36" s="556"/>
      <c r="AC36" s="556"/>
      <c r="AD36" s="556"/>
      <c r="AE36" s="556"/>
      <c r="AF36" s="556"/>
      <c r="AG36" s="556"/>
      <c r="AH36" s="556"/>
      <c r="AI36" s="556"/>
      <c r="AJ36" s="561"/>
    </row>
    <row r="37" spans="1:36">
      <c r="A37" s="3849" t="s">
        <v>2645</v>
      </c>
      <c r="B37" s="3858" t="str">
        <f>"Intersection of CF with House circumference (LG), ( * ), (0)"</f>
        <v>Intersection of CF with House circumference (LG), ( * ), (0)</v>
      </c>
      <c r="C37" s="3858"/>
      <c r="D37" s="3858"/>
      <c r="E37" s="3858"/>
      <c r="F37" s="3858"/>
      <c r="G37" s="3858"/>
      <c r="H37" s="3858"/>
      <c r="I37" s="3858"/>
      <c r="J37" s="3858"/>
      <c r="K37" s="3858"/>
      <c r="L37" s="3858"/>
      <c r="M37" s="3858"/>
      <c r="N37" s="3858"/>
      <c r="O37" s="3858"/>
      <c r="P37" s="3858"/>
      <c r="Q37" s="3858"/>
      <c r="R37" s="3858"/>
      <c r="S37" s="3858"/>
      <c r="T37" s="3858"/>
      <c r="U37" s="3858"/>
      <c r="V37" s="3858"/>
      <c r="W37" s="3858"/>
      <c r="X37" s="3858"/>
      <c r="Y37" s="3858"/>
      <c r="Z37" s="3858"/>
      <c r="AA37" s="3858"/>
      <c r="AB37" s="3858"/>
      <c r="AC37" s="3858"/>
      <c r="AD37" s="3858"/>
      <c r="AE37" s="3858"/>
      <c r="AF37" s="3858"/>
      <c r="AG37" s="3858"/>
      <c r="AH37" s="3858"/>
      <c r="AI37" s="3858"/>
      <c r="AJ37" s="3859"/>
    </row>
    <row r="38" spans="1:36" s="813" customFormat="1" ht="15.75" thickBot="1">
      <c r="A38" s="3850"/>
      <c r="B38" s="3860"/>
      <c r="C38" s="3860"/>
      <c r="D38" s="3860"/>
      <c r="E38" s="3860"/>
      <c r="F38" s="3860"/>
      <c r="G38" s="3860"/>
      <c r="H38" s="3860"/>
      <c r="I38" s="3860"/>
      <c r="J38" s="3860"/>
      <c r="K38" s="3860"/>
      <c r="L38" s="3860"/>
      <c r="M38" s="3860"/>
      <c r="N38" s="3860"/>
      <c r="O38" s="3860"/>
      <c r="P38" s="3860"/>
      <c r="Q38" s="3860"/>
      <c r="R38" s="3860"/>
      <c r="S38" s="3860"/>
      <c r="T38" s="3860"/>
      <c r="U38" s="3860"/>
      <c r="V38" s="3860"/>
      <c r="W38" s="3860"/>
      <c r="X38" s="3860"/>
      <c r="Y38" s="3860"/>
      <c r="Z38" s="3860"/>
      <c r="AA38" s="3860"/>
      <c r="AB38" s="3860"/>
      <c r="AC38" s="3860"/>
      <c r="AD38" s="3860"/>
      <c r="AE38" s="3860"/>
      <c r="AF38" s="3860"/>
      <c r="AG38" s="3860"/>
      <c r="AH38" s="3860"/>
      <c r="AI38" s="3860"/>
      <c r="AJ38" s="3861"/>
    </row>
    <row r="39" spans="1:36">
      <c r="A39" s="2237"/>
      <c r="B39" s="3851" t="str">
        <f>"Central Frame Side C House F L (LG), "&amp;$G$6&amp;", (0)"</f>
        <v>Central Frame Side C House F L (LG), 135, (0)</v>
      </c>
      <c r="C39" s="3852"/>
      <c r="D39" s="3852"/>
      <c r="E39" s="3852"/>
      <c r="F39" s="3852"/>
      <c r="G39" s="3852"/>
      <c r="H39" s="3852"/>
      <c r="I39" s="3852"/>
      <c r="J39" s="3852"/>
      <c r="K39" s="3852"/>
      <c r="L39" s="3852"/>
      <c r="M39" s="3852"/>
      <c r="N39" s="3852"/>
      <c r="O39" s="3852"/>
      <c r="P39" s="3852"/>
      <c r="Q39" s="3853"/>
      <c r="R39" s="1341"/>
      <c r="S39" s="537"/>
      <c r="T39" s="537"/>
      <c r="U39" s="3851" t="str">
        <f>"Central Frame Side C House F R (LG), "&amp;$G$6&amp;", (0)"</f>
        <v>Central Frame Side C House F R (LG), 135, (0)</v>
      </c>
      <c r="V39" s="3852"/>
      <c r="W39" s="3852"/>
      <c r="X39" s="3852"/>
      <c r="Y39" s="3852"/>
      <c r="Z39" s="3852"/>
      <c r="AA39" s="3852"/>
      <c r="AB39" s="3852"/>
      <c r="AC39" s="3852"/>
      <c r="AD39" s="3852"/>
      <c r="AE39" s="3852"/>
      <c r="AF39" s="3852"/>
      <c r="AG39" s="3852"/>
      <c r="AH39" s="3852"/>
      <c r="AI39" s="3852"/>
      <c r="AJ39" s="3853"/>
    </row>
    <row r="40" spans="1:36">
      <c r="B40" s="3854" t="s">
        <v>4019</v>
      </c>
      <c r="C40" s="3855" t="s">
        <v>3934</v>
      </c>
      <c r="D40" s="3855"/>
      <c r="E40" s="3855"/>
      <c r="F40" s="3855"/>
      <c r="G40" s="3855"/>
      <c r="H40" s="3855"/>
      <c r="I40" s="3855"/>
      <c r="J40" s="3876" t="s">
        <v>4021</v>
      </c>
      <c r="K40" s="3877"/>
      <c r="L40" s="3877"/>
      <c r="M40" s="3877"/>
      <c r="N40" s="3877"/>
      <c r="O40" s="3877"/>
      <c r="P40" s="3877"/>
      <c r="Q40" s="3878"/>
      <c r="R40" s="525"/>
      <c r="S40" s="510"/>
      <c r="T40" s="510"/>
      <c r="U40" s="3854" t="s">
        <v>4020</v>
      </c>
      <c r="V40" s="3855" t="s">
        <v>3935</v>
      </c>
      <c r="W40" s="3855"/>
      <c r="X40" s="3855"/>
      <c r="Y40" s="3855"/>
      <c r="Z40" s="3855"/>
      <c r="AA40" s="3855"/>
      <c r="AB40" s="3855"/>
      <c r="AC40" s="3855" t="s">
        <v>4022</v>
      </c>
      <c r="AD40" s="3855" t="s">
        <v>3936</v>
      </c>
      <c r="AE40" s="3855"/>
      <c r="AF40" s="3855"/>
      <c r="AG40" s="3855"/>
      <c r="AH40" s="3855"/>
      <c r="AI40" s="3855"/>
      <c r="AJ40" s="3875"/>
    </row>
    <row r="41" spans="1:36" s="1346" customFormat="1">
      <c r="A41" s="2476"/>
      <c r="B41" s="2477"/>
      <c r="C41" s="2478" t="s">
        <v>4000</v>
      </c>
      <c r="D41" s="2478" t="s">
        <v>1112</v>
      </c>
      <c r="E41" s="2478" t="s">
        <v>1105</v>
      </c>
      <c r="F41" s="2478" t="s">
        <v>1107</v>
      </c>
      <c r="G41" s="2478" t="s">
        <v>1108</v>
      </c>
      <c r="H41" s="2478"/>
      <c r="I41" s="2478" t="e">
        <f ca="1">ASIN(IF(Small_F,CF_smallF_xy_pos,$U$10)/((r0*1000*EXP(K_House*H_alfastart)+House_P_T)))</f>
        <v>#REF!</v>
      </c>
      <c r="J41" s="2479"/>
      <c r="K41" s="2478" t="s">
        <v>4000</v>
      </c>
      <c r="L41" s="2478" t="s">
        <v>1112</v>
      </c>
      <c r="M41" s="2478" t="s">
        <v>1105</v>
      </c>
      <c r="N41" s="2478" t="s">
        <v>1107</v>
      </c>
      <c r="O41" s="2478" t="s">
        <v>1108</v>
      </c>
      <c r="P41" s="2478"/>
      <c r="Q41" s="2478" t="e">
        <f ca="1">ASIN(IF(Small_F,CF_smallF_xy_pos,$U$10)/((r0*1000*EXP(K_House*H_alfastart)+House_P_T)))</f>
        <v>#REF!</v>
      </c>
      <c r="R41" s="2476"/>
      <c r="S41" s="544"/>
      <c r="T41" s="544"/>
      <c r="U41" s="2477"/>
      <c r="V41" s="2478" t="s">
        <v>4001</v>
      </c>
      <c r="W41" s="2478" t="s">
        <v>1112</v>
      </c>
      <c r="X41" s="2478" t="s">
        <v>1105</v>
      </c>
      <c r="Y41" s="2478" t="s">
        <v>1110</v>
      </c>
      <c r="Z41" s="2478" t="s">
        <v>1111</v>
      </c>
      <c r="AA41" s="2478" t="s">
        <v>1113</v>
      </c>
      <c r="AB41" s="2478" t="e">
        <f ca="1">ASIN(IF(Small_F,CF_smallF_xy_pos,$U$10)/((r0*1000*EXP(K_House*H_alfastart)+House_P_T)))</f>
        <v>#REF!</v>
      </c>
      <c r="AC41" s="2478"/>
      <c r="AD41" s="2478" t="s">
        <v>4001</v>
      </c>
      <c r="AE41" s="2478" t="s">
        <v>1112</v>
      </c>
      <c r="AF41" s="2478" t="s">
        <v>1105</v>
      </c>
      <c r="AG41" s="2478" t="s">
        <v>1110</v>
      </c>
      <c r="AH41" s="2478" t="s">
        <v>1111</v>
      </c>
      <c r="AI41" s="2478" t="s">
        <v>1113</v>
      </c>
      <c r="AJ41" s="2480" t="e">
        <f ca="1">ASIN(IF(Small_F,CF_smallF_xy_pos,$U$10)/((r0*1000*EXP(K_House*H_alfastart)+House_P_T)))</f>
        <v>#REF!</v>
      </c>
    </row>
    <row r="42" spans="1:36">
      <c r="A42" s="526"/>
      <c r="B42" s="2360" t="e">
        <f ca="1">CF_reinf_req</f>
        <v>#REF!</v>
      </c>
      <c r="C42" s="2007" t="e">
        <f ca="1">IF(Small_F,IF(CF_reinf_req,IF(OR(AND($B$22&gt;$G$42,$X$22&gt;$G$42),$X$22&lt;$G$42),$F$42,IF(AND($B$22&gt;$G$42,$D$22&lt;$G$42),$B$23+($G$42-$B$22)*($D$23-$B$23)/($D$22-$B$22),IF(AND($D$22&lt;$G$42,$Z$22&gt;$G$42),$D$23+($G$42-$D$22)*($Z$23-$D$23)/($Z$22-$D$22),IF(AND($Z$22&lt;$G$42,$X$22&gt;$G$42),$Z$23+($G$42-$Z$22)*($Z$23-$X$23)/($Z$22-$X$22))))),0),IF(OR(AND($B$34&gt;$G$42,$X$34&gt;$G$42),$X$34&lt;$G$42),$F$42,IF(AND($B$34&gt;$G$42,$D$34&lt;$G$42),$B$35+($G$42-$B$34)*($D$35-$B$35)/($D$34-$B$34),IF(AND($D$34&lt;$G$42,$Z$34&gt;$G$42),$D$35+($G$42-$D$34)*($Z$35-$D$35)/($Z$34-$D$34),IF(AND($Z$34&lt;$G$42,$X$34&gt;$G$42),$Z$35+($G$42-$Z$34)*($Z$35-$X$35)/($Z$34-$X$34))))))</f>
        <v>#REF!</v>
      </c>
      <c r="D42" s="2361" t="e">
        <f ca="1">IF(Small_F,IF(CF_reinf_req,E42+CF_smallF_xy_pos/COS(H42),0),E42-$W$9/COS(H42))*1000</f>
        <v>#REF!</v>
      </c>
      <c r="E42" s="2007" t="e">
        <f ca="1">IF(Small_F,1000*r0*EXP(K_House*H42),1000*r0*EXP(K_House*(H42-$H$6+IF(H42-$H$6&lt;H_alfastart,2*PI(),0))))+House_P_T</f>
        <v>#REF!</v>
      </c>
      <c r="F42" s="2007" t="e">
        <f ca="1">IF(Small_F,IF(CF_reinf_req,E42*SIN(H42),0),E42*SIN(H42))</f>
        <v>#REF!</v>
      </c>
      <c r="G42" s="2007" t="e">
        <f ca="1">IF(Small_F,-CF_smallF_xy_pos,$Q$9)</f>
        <v>#REF!</v>
      </c>
      <c r="H42" s="2362">
        <v>2.1559481536873459</v>
      </c>
      <c r="I42" s="2363" t="e">
        <f ca="1">PI()/2+$I$41</f>
        <v>#REF!</v>
      </c>
      <c r="J42" s="2432" t="e">
        <f ca="1">B42</f>
        <v>#REF!</v>
      </c>
      <c r="K42" s="2007" t="e">
        <f ca="1">IF(Small_F,IF(CF_reinf_req,IF(OR(AND($B$22&lt;$O$42,$X$22&lt;$O$42),$X$22&gt;$O$42),$N$42,IF(AND($B$22&gt;$O$42,$D$22&lt;$O$42),$B$23+($O$42-$B$22)*($D$23-$B$23)/($D$22-$B$22),IF(AND($D$22&gt;$O$42,$Z$22&lt;$O$42),$D$23+($O$42-$D$22)*($Z$23-$D$23)/($Z$22-$D$22)))),0),IF(OR(AND($B$34&lt;$O$42,$X$34&lt;$O$42),$X$34&gt;$O$42),$N$42,IF(AND($B$34&gt;$O$42,$D$34&lt;$O$42),$B$35+($O$42-$B$34)*($D$35-$B$35)/($D$34-$B$34),IF(AND($D$34&gt;$O$42,$Z$34&lt;$O$42),$D$35+($O$42-$D$34)*($Z$35-$D$35)/($Z$34-$D$34)))))</f>
        <v>#REF!</v>
      </c>
      <c r="L42" s="2361" t="e">
        <f ca="1">IF(Small_F,IF(CF_reinf_req,M42+CF_smallF_xy_pos/COS(P42),0),M42-$W$9/COS(P42))*1000</f>
        <v>#REF!</v>
      </c>
      <c r="M42" s="2007" t="e">
        <f ca="1">IF(Small_F,1000*r0*EXP(K_House*P42),1000*r0*EXP(K_House*(P42-$H$6+IF(P42-$H$6&lt;H_alfastart,2*PI(),0))))+House_P_T</f>
        <v>#REF!</v>
      </c>
      <c r="N42" s="2007" t="e">
        <f ca="1">IF(Small_F,IF(CF_reinf_req,M42*SIN(P42),0),M42*SIN(P42))</f>
        <v>#REF!</v>
      </c>
      <c r="O42" s="2007" t="e">
        <f ca="1">IF(Small_F,-CF_smallF_xy_pos,$W$9)</f>
        <v>#REF!</v>
      </c>
      <c r="P42" s="2362">
        <v>4.1730900796259043</v>
      </c>
      <c r="Q42" s="2363" t="e">
        <f ca="1">PI()/2-$Q$41+PI()</f>
        <v>#REF!</v>
      </c>
      <c r="R42" s="526"/>
      <c r="S42" s="518"/>
      <c r="T42" s="518"/>
      <c r="U42" s="2360" t="e">
        <f ca="1">CF_reinf_req</f>
        <v>#REF!</v>
      </c>
      <c r="V42" s="2007" t="e">
        <f ca="1">IF(Small_F,IF(CF_reinf_req,IF(OR(AND($D$22&gt;$Z$42,$X$22&gt;$Z$42),$X$22&lt;$Z$42),$Y$42,IF(AND($B$22&lt;$Z$42,$D$22&gt;$Z$42),$B$35+($Z$42-$B$22)*($D$23-$B$23)/($D$22-$B$22),IF(AND($D$22&lt;$Z$42,$Z$22&gt;$Z$42),$D$23+($Z$42-$D$22)*($Z$23-$D$23)/($Z$22-$D$22),IF(AND($Z$22&lt;$Z$42,$X$22&gt;$Z$42),$Z$23+($Z$42-$Z$22)*($Z$23-$X$23)/($Z$22-$X$22))))),0),IF(OR(AND($D$34&gt;$Z$42,$X$34&gt;$Z$42),$X$34&lt;$Z$42),$Y$42,IF(AND($B$34&lt;$Z$42,$D$34&gt;$Z$42),$B$35+($Z$42-$B$34)*($D$35-$B$35)/($D$34-$B$34),IF(AND($D$34&lt;$Z$42,$Z$34&gt;$Z$42),$D$35+($Z$42-$D$34)*($Z$35-$D$35)/($Z$34-$D$34),IF(AND($Z$34&lt;$Z$42,$X$34&gt;$Z$42),$Z$35+($Z$42-$Z$34)*($Z$35-$X$35)/($Z$34-$X$34))))))</f>
        <v>#REF!</v>
      </c>
      <c r="W42" s="2361" t="e">
        <f ca="1">IF(Small_F,IF(CF_reinf_req,X42-CF_smallF_xy_pos/COS(AA42),0),X42-$W$10/COS(AA42))*1000</f>
        <v>#REF!</v>
      </c>
      <c r="X42" s="2007" t="e">
        <f ca="1">IF(Small_F,1000*r0*EXP(K_House*AA42),1000*r0*EXP(K_House*(AA42-$H$6+IF(AA42-$H$6&lt;H_alfastart,2*PI(),0))))+House_P_T</f>
        <v>#REF!</v>
      </c>
      <c r="Y42" s="2007" t="e">
        <f ca="1">IF(Small_F,IF(CF_reinf_req,X42*SIN(AA42),0),X42*SIN(AA42))</f>
        <v>#REF!</v>
      </c>
      <c r="Z42" s="2007" t="e">
        <f ca="1">IF(Small_F,CF_smallF_xy_pos,$Q$10)</f>
        <v>#REF!</v>
      </c>
      <c r="AA42" s="2362">
        <v>0.9560308683911668</v>
      </c>
      <c r="AB42" s="2363" t="e">
        <f ca="1">PI()/2-$AB$41</f>
        <v>#REF!</v>
      </c>
      <c r="AC42" s="2364" t="e">
        <f ca="1">U42</f>
        <v>#REF!</v>
      </c>
      <c r="AD42" s="2007" t="e">
        <f ca="1">IF(Small_F,IF(CF_reinf_req,IF(OR(AND($B$22&lt;$AH$42,$X$22&lt;$AH$42),$X$22&gt;$AH$42),$AG$42,IF(AND($Z$22&gt;$AH$42,$X$22&lt;$AH$42),$Z$23+($AH$42-$Z$22)*($Z$23-$X$23)/($Z$22-$X$22))),0),IF(OR(AND($B$34&lt;$AH$42,$X$34&lt;$AH$42),$X$34&gt;$AH$42),$AG$42,IF(AND($Z$34&gt;$AH$42,$X$34&lt;$AH$42),$Z$35+($AH$42-$Z$34)*($Z$35-$X$35)/($Z$34-$X$34))))</f>
        <v>#REF!</v>
      </c>
      <c r="AE42" s="2361" t="e">
        <f ca="1">IF(Small_F,IF(CF_reinf_req,AF42-CF_smallF_xy_pos/COS(AI42),0),AF42-$W$10/COS(AI42))*1000</f>
        <v>#REF!</v>
      </c>
      <c r="AF42" s="2007" t="e">
        <f ca="1">IF(Small_F,1000*r0*EXP(K_House*AI42),1000*r0*EXP(K_House*(AI42-$H$6+IF(AI42-$H$6&lt;H_alfastart,2*PI(),0))))+House_P_T</f>
        <v>#REF!</v>
      </c>
      <c r="AG42" s="2007" t="e">
        <f ca="1">IF(Small_F,IF(CF_reinf_req,AF42*SIN(AI42),0),AF42*SIN(AI42))</f>
        <v>#REF!</v>
      </c>
      <c r="AH42" s="2007" t="e">
        <f ca="1">IF(Small_F,CF_smallF_xy_pos,$W$10)</f>
        <v>#REF!</v>
      </c>
      <c r="AI42" s="2362">
        <v>5.2294324339794951</v>
      </c>
      <c r="AJ42" s="2365" t="e">
        <f ca="1">PI()/2+$AJ$41+PI()</f>
        <v>#REF!</v>
      </c>
    </row>
    <row r="43" spans="1:36" ht="15.75" thickBot="1">
      <c r="A43" s="526"/>
      <c r="B43" s="2366"/>
      <c r="C43" s="2367"/>
      <c r="D43" s="2367"/>
      <c r="E43" s="2367"/>
      <c r="F43" s="2367"/>
      <c r="G43" s="2367"/>
      <c r="H43" s="2368">
        <f>DEGREES(H42)</f>
        <v>123.5267300553071</v>
      </c>
      <c r="I43" s="2367"/>
      <c r="J43" s="2006"/>
      <c r="K43" s="2367"/>
      <c r="L43" s="2367"/>
      <c r="M43" s="2367"/>
      <c r="N43" s="2367"/>
      <c r="O43" s="2367"/>
      <c r="P43" s="2368">
        <f>DEGREES(P42)</f>
        <v>239.10044909047696</v>
      </c>
      <c r="Q43" s="2367"/>
      <c r="R43" s="526"/>
      <c r="S43" s="518"/>
      <c r="T43" s="518"/>
      <c r="U43" s="2366"/>
      <c r="V43" s="2367"/>
      <c r="W43" s="2367"/>
      <c r="X43" s="2367"/>
      <c r="Y43" s="2367"/>
      <c r="Z43" s="2367"/>
      <c r="AA43" s="2368">
        <f>DEGREES(AA42)</f>
        <v>54.776533843040916</v>
      </c>
      <c r="AB43" s="2367"/>
      <c r="AC43" s="2367"/>
      <c r="AD43" s="2367"/>
      <c r="AE43" s="2367"/>
      <c r="AF43" s="2367"/>
      <c r="AG43" s="2367"/>
      <c r="AH43" s="2367"/>
      <c r="AI43" s="2368">
        <f>DEGREES(AI42)</f>
        <v>299.62440771585057</v>
      </c>
      <c r="AJ43" s="2369"/>
    </row>
    <row r="44" spans="1:36" ht="15.75" thickBot="1">
      <c r="A44" s="526"/>
      <c r="B44" s="522"/>
      <c r="C44" s="518"/>
      <c r="D44" s="518"/>
      <c r="E44" s="518"/>
      <c r="F44" s="518"/>
      <c r="G44" s="518"/>
      <c r="H44" s="518"/>
      <c r="I44" s="518"/>
      <c r="J44" s="518"/>
      <c r="K44" s="518"/>
      <c r="L44" s="518"/>
      <c r="M44" s="518"/>
      <c r="N44" s="518"/>
      <c r="O44" s="518"/>
      <c r="P44" s="518"/>
      <c r="Q44" s="518"/>
      <c r="R44" s="518"/>
      <c r="S44" s="518"/>
      <c r="T44" s="518"/>
      <c r="U44" s="518"/>
      <c r="V44" s="518"/>
      <c r="W44" s="518"/>
      <c r="X44" s="518"/>
      <c r="Y44" s="518"/>
      <c r="Z44" s="518"/>
      <c r="AA44" s="518"/>
      <c r="AB44" s="518"/>
      <c r="AC44" s="518"/>
      <c r="AD44" s="518"/>
      <c r="AE44" s="518"/>
      <c r="AF44" s="518"/>
      <c r="AG44" s="518"/>
      <c r="AH44" s="518"/>
      <c r="AI44" s="518"/>
      <c r="AJ44" s="527"/>
    </row>
    <row r="45" spans="1:36">
      <c r="A45" s="3856" t="s">
        <v>2645</v>
      </c>
      <c r="B45" s="3871" t="str">
        <f>"Fan Frame (SFX, MSP) intersection with House circumference "&amp;$E$6&amp;", "&amp;$G$6&amp;", "&amp;Center_H</f>
        <v>Fan Frame (SFX, MSP) intersection with House circumference RD, 135, 1269</v>
      </c>
      <c r="C45" s="3871"/>
      <c r="D45" s="3871"/>
      <c r="E45" s="3871"/>
      <c r="F45" s="3871"/>
      <c r="G45" s="3871"/>
      <c r="H45" s="3871"/>
      <c r="I45" s="3871"/>
      <c r="J45" s="3871"/>
      <c r="K45" s="3871"/>
      <c r="L45" s="3871"/>
      <c r="M45" s="3871"/>
      <c r="N45" s="3871"/>
      <c r="O45" s="3871"/>
      <c r="P45" s="3871"/>
      <c r="Q45" s="3871"/>
      <c r="R45" s="3871"/>
      <c r="S45" s="3871"/>
      <c r="T45" s="3871"/>
      <c r="U45" s="3871"/>
      <c r="V45" s="3871"/>
      <c r="W45" s="3871"/>
      <c r="X45" s="3871"/>
      <c r="Y45" s="3871"/>
      <c r="Z45" s="3871"/>
      <c r="AA45" s="3871"/>
      <c r="AB45" s="3871"/>
      <c r="AC45" s="3871"/>
      <c r="AD45" s="3871"/>
      <c r="AE45" s="3871"/>
      <c r="AF45" s="3871"/>
      <c r="AG45" s="3871"/>
      <c r="AH45" s="3871"/>
      <c r="AI45" s="3871"/>
      <c r="AJ45" s="3872"/>
    </row>
    <row r="46" spans="1:36" s="686" customFormat="1" ht="15.75" thickBot="1">
      <c r="A46" s="3857"/>
      <c r="B46" s="3873"/>
      <c r="C46" s="3873"/>
      <c r="D46" s="3873"/>
      <c r="E46" s="3873"/>
      <c r="F46" s="3873"/>
      <c r="G46" s="3873"/>
      <c r="H46" s="3873"/>
      <c r="I46" s="3873"/>
      <c r="J46" s="3873"/>
      <c r="K46" s="3873"/>
      <c r="L46" s="3873"/>
      <c r="M46" s="3873"/>
      <c r="N46" s="3873"/>
      <c r="O46" s="3873"/>
      <c r="P46" s="3873"/>
      <c r="Q46" s="3873"/>
      <c r="R46" s="3873"/>
      <c r="S46" s="3873"/>
      <c r="T46" s="3873"/>
      <c r="U46" s="3873"/>
      <c r="V46" s="3873"/>
      <c r="W46" s="3873"/>
      <c r="X46" s="3873"/>
      <c r="Y46" s="3873"/>
      <c r="Z46" s="3873"/>
      <c r="AA46" s="3873"/>
      <c r="AB46" s="3873"/>
      <c r="AC46" s="3873"/>
      <c r="AD46" s="3873"/>
      <c r="AE46" s="3873"/>
      <c r="AF46" s="3873"/>
      <c r="AG46" s="3873"/>
      <c r="AH46" s="3873"/>
      <c r="AI46" s="3873"/>
      <c r="AJ46" s="3874"/>
    </row>
    <row r="47" spans="1:36">
      <c r="B47" s="522"/>
      <c r="C47" s="537"/>
      <c r="D47" s="537"/>
      <c r="E47" s="537"/>
      <c r="F47" s="537"/>
      <c r="G47" s="518"/>
      <c r="H47" s="518"/>
      <c r="I47" s="518"/>
      <c r="J47" s="518"/>
      <c r="K47" s="518"/>
      <c r="L47" s="518"/>
      <c r="M47" s="518"/>
      <c r="N47" s="518"/>
      <c r="O47" s="518"/>
      <c r="P47" s="518"/>
      <c r="Q47" s="518"/>
      <c r="R47" s="518"/>
      <c r="S47" s="518"/>
      <c r="T47" s="518"/>
      <c r="U47" s="518"/>
      <c r="V47" s="518"/>
      <c r="W47" s="518"/>
      <c r="X47" s="518"/>
      <c r="Y47" s="518"/>
      <c r="Z47" s="518"/>
      <c r="AA47" s="518"/>
      <c r="AB47" s="518"/>
      <c r="AC47" s="518"/>
      <c r="AD47" s="518"/>
      <c r="AE47" s="518"/>
      <c r="AF47" s="518"/>
      <c r="AG47" s="518"/>
      <c r="AH47" s="518"/>
      <c r="AI47" s="518"/>
      <c r="AJ47" s="527"/>
    </row>
    <row r="48" spans="1:36">
      <c r="A48" s="2237" t="s">
        <v>3938</v>
      </c>
      <c r="B48" s="2060" t="s">
        <v>243</v>
      </c>
      <c r="C48" s="813" t="s">
        <v>147</v>
      </c>
      <c r="D48" s="518" t="s">
        <v>2</v>
      </c>
      <c r="E48" s="518" t="s">
        <v>1487</v>
      </c>
      <c r="F48" s="518"/>
      <c r="G48" s="518"/>
      <c r="H48" s="3862"/>
      <c r="I48" s="518"/>
      <c r="J48" s="518"/>
      <c r="K48" s="528"/>
      <c r="L48" s="518"/>
      <c r="M48" s="518"/>
      <c r="N48" s="552" t="str">
        <f>"HSF (LG), "&amp;G6&amp;", "&amp;Center_H</f>
        <v>HSF (LG), 135, 1269</v>
      </c>
      <c r="O48" s="1234" t="e">
        <f ca="1">IF($D$35&gt;0,"L",IF($H$6&lt;=PI(),IF($B$51&lt;$D$34,"C",IF($B$49-$D$34&lt;50,"C","L")),IF($H$6&gt;=3*PI()/2,"L",FALSE)))</f>
        <v>#REF!</v>
      </c>
      <c r="P48" s="1234" t="s">
        <v>147</v>
      </c>
      <c r="Q48" s="518"/>
      <c r="R48" s="518" t="s">
        <v>2665</v>
      </c>
      <c r="S48" s="1323"/>
      <c r="T48" s="518"/>
      <c r="U48" s="528" t="s">
        <v>2663</v>
      </c>
      <c r="V48" s="1323" t="e">
        <f ca="1">((V50*S49-V49*S50)-(V50*U51-V49*U52))/(V50*V51-V49*V52)</f>
        <v>#REF!</v>
      </c>
      <c r="W48" s="685"/>
      <c r="X48" s="518"/>
      <c r="Y48" s="518"/>
      <c r="Z48" s="552" t="str">
        <f>"SFX (LG), "&amp;G6&amp;", "&amp;Center_H</f>
        <v>SFX (LG), 135, 1269</v>
      </c>
      <c r="AA48" s="528" t="s">
        <v>243</v>
      </c>
      <c r="AB48" s="528" t="s">
        <v>147</v>
      </c>
      <c r="AC48" s="518"/>
      <c r="AD48" s="518" t="s">
        <v>2794</v>
      </c>
      <c r="AE48" s="1323"/>
      <c r="AF48" s="518"/>
      <c r="AG48" s="528" t="s">
        <v>2663</v>
      </c>
      <c r="AH48" s="1323" t="e">
        <f ca="1">((AH50*AE49-AH49*AE50)-(AH50*AG51-AH49*AG52))/(AH50*AH51-AH49*AH52)</f>
        <v>#REF!</v>
      </c>
      <c r="AI48" s="518"/>
      <c r="AJ48" s="527"/>
    </row>
    <row r="49" spans="1:36" s="496" customFormat="1">
      <c r="A49" s="2238" t="str">
        <f>"SF Z (ground) (LG), "&amp;$G$6&amp;", "&amp;Center_H</f>
        <v>SF Z (ground) (LG), 135, 1269</v>
      </c>
      <c r="B49" s="2356" t="e">
        <f ca="1">$U$15</f>
        <v>#REF!</v>
      </c>
      <c r="C49" s="685" t="e">
        <f ca="1">$U$16</f>
        <v>#REF!</v>
      </c>
      <c r="D49" s="1364">
        <v>0</v>
      </c>
      <c r="E49" s="510" t="e">
        <f ca="1">$C$49</f>
        <v>#REF!</v>
      </c>
      <c r="F49" s="518"/>
      <c r="G49" s="528"/>
      <c r="H49" s="3862"/>
      <c r="I49" s="510"/>
      <c r="J49" s="510"/>
      <c r="K49" s="510"/>
      <c r="L49" s="518"/>
      <c r="M49" s="813"/>
      <c r="N49" s="528" t="str">
        <f>"SF Z (ground) (LG), "&amp;$G$6&amp;", "&amp;Center_H</f>
        <v>SF Z (ground) (LG), 135, 1269</v>
      </c>
      <c r="O49" s="510" t="e">
        <f ca="1">IF($O$48="L",$B$49,$D$49)</f>
        <v>#REF!</v>
      </c>
      <c r="P49" s="510" t="e">
        <f ca="1">C49</f>
        <v>#REF!</v>
      </c>
      <c r="Q49" s="813"/>
      <c r="R49" s="528" t="s">
        <v>2661</v>
      </c>
      <c r="S49" s="510">
        <f>$X$34</f>
        <v>-1109.8</v>
      </c>
      <c r="T49" s="510">
        <f>$Y$34</f>
        <v>-1871.1</v>
      </c>
      <c r="U49" s="1234" t="s">
        <v>1485</v>
      </c>
      <c r="V49" s="544">
        <f>(T49-S49)/SQRT((T49-S49)^2+(T50-S50))</f>
        <v>-1.0006574190441222</v>
      </c>
      <c r="W49" s="510"/>
      <c r="X49" s="813"/>
      <c r="Y49" s="813"/>
      <c r="Z49" s="528" t="str">
        <f>"SFX Z (bottom) (LG), "&amp;$G$6&amp;", "&amp;Center_H</f>
        <v>SFX Z (bottom) (LG), 135, 1269</v>
      </c>
      <c r="AA49" s="685">
        <f>IF($D$35&gt;0,$B$51,IF($H$6&lt;=PI(),IF($B$51&lt;$D$34,$AE$53,$B$51),IF($H$6&gt;=3*PI()/2,$B$51,FALSE)))</f>
        <v>-646.99550193785603</v>
      </c>
      <c r="AB49" s="685">
        <f>P51</f>
        <v>792.78180793135277</v>
      </c>
      <c r="AC49" s="518"/>
      <c r="AD49" s="528" t="s">
        <v>2661</v>
      </c>
      <c r="AE49" s="510">
        <f>$Z$34</f>
        <v>-1779.5</v>
      </c>
      <c r="AF49" s="510">
        <f>$B$34</f>
        <v>-982</v>
      </c>
      <c r="AG49" s="1234" t="s">
        <v>1485</v>
      </c>
      <c r="AH49" s="544">
        <f>(AF49-AE49)/SQRT((AF49-AE49)^2+(AF50-AE50))</f>
        <v>1.0006275494812824</v>
      </c>
      <c r="AI49" s="518"/>
      <c r="AJ49" s="2019"/>
    </row>
    <row r="50" spans="1:36">
      <c r="A50" s="2238" t="str">
        <f>"SF Y (ground) (LG), "&amp;$G$6&amp;", "&amp;Center_H</f>
        <v>SF Y (ground) (LG), 135, 1269</v>
      </c>
      <c r="B50" s="2356" t="e">
        <f ca="1">$V$15+Center_H</f>
        <v>#REF!</v>
      </c>
      <c r="C50" s="685" t="e">
        <f ca="1">$V$16+Center_H</f>
        <v>#REF!</v>
      </c>
      <c r="D50" s="2355">
        <v>0</v>
      </c>
      <c r="E50" s="510">
        <v>0</v>
      </c>
      <c r="F50" s="518"/>
      <c r="G50" s="518"/>
      <c r="H50" s="528" t="s">
        <v>1484</v>
      </c>
      <c r="I50" s="1933" t="e">
        <f ca="1">3*PI()/2-ATAN(ABS(B$49)/Center_H)</f>
        <v>#REF!</v>
      </c>
      <c r="J50" s="1933" t="e">
        <f ca="1">3*PI()/2+ATAN(ABS(C$49)/Center_H)</f>
        <v>#REF!</v>
      </c>
      <c r="K50" s="518"/>
      <c r="L50" s="518"/>
      <c r="M50" s="518"/>
      <c r="N50" s="528" t="str">
        <f>"SF Y (ground) (LG), "&amp;$G$6&amp;", "&amp;Center_H</f>
        <v>SF Y (ground) (LG), 135, 1269</v>
      </c>
      <c r="O50" s="510" t="e">
        <f ca="1">IF($O$48="L",$B$50,$D$50)</f>
        <v>#REF!</v>
      </c>
      <c r="P50" s="510" t="e">
        <f ca="1">C50</f>
        <v>#REF!</v>
      </c>
      <c r="Q50" s="518"/>
      <c r="R50" s="528" t="s">
        <v>2662</v>
      </c>
      <c r="S50" s="510">
        <f>$X$35+Center_H</f>
        <v>2378.8000000000002</v>
      </c>
      <c r="T50" s="510">
        <f>$Y$35+Center_H</f>
        <v>1617.5</v>
      </c>
      <c r="U50" s="1234" t="s">
        <v>1788</v>
      </c>
      <c r="V50" s="544">
        <f>(T50-S50)/SQRT((T49-S49)^2+(T50-S50))</f>
        <v>-1.0006574190441226</v>
      </c>
      <c r="W50" s="510"/>
      <c r="X50" s="518"/>
      <c r="Y50" s="518"/>
      <c r="Z50" s="528" t="str">
        <f>"SFX Y (bottom) (LG), "&amp;$G$6&amp;", "&amp;Center_H</f>
        <v>SFX Y (bottom) (LG), 135, 1269</v>
      </c>
      <c r="AA50" s="685">
        <f>IF($D$35&gt;0,$B$52,IF($H$6&lt;=PI(),IF($B$51&lt;$D$34,$AE$54,$B$52),IF($H$6&gt;=3*PI()/2,$B$52,FALSE)))</f>
        <v>385.86321486081772</v>
      </c>
      <c r="AB50" s="510">
        <f>P52</f>
        <v>345.46895306211684</v>
      </c>
      <c r="AC50" s="518"/>
      <c r="AD50" s="528" t="s">
        <v>2662</v>
      </c>
      <c r="AE50" s="510">
        <f>$Z$35+Center_H</f>
        <v>1709.1</v>
      </c>
      <c r="AF50" s="510">
        <f>$B$35+Center_H</f>
        <v>911.6</v>
      </c>
      <c r="AG50" s="1234" t="s">
        <v>1788</v>
      </c>
      <c r="AH50" s="544">
        <f>(AF50-AE50)/SQRT((AF49-AE49)^2+(AF50-AE50))</f>
        <v>-1.0006275494812824</v>
      </c>
      <c r="AI50" s="518"/>
      <c r="AJ50" s="527"/>
    </row>
    <row r="51" spans="1:36" s="496" customFormat="1" ht="14.45" customHeight="1">
      <c r="A51" s="2238" t="str">
        <f>"SF Z (house) (LG), "&amp;$G$6&amp;", "&amp;Center_H</f>
        <v>SF Z (house) (LG), 135, 1269</v>
      </c>
      <c r="B51" s="503">
        <f>COS(I$51)*(r0*1000*EXP(K_House*(I$51-$H$6+IF(I$51-$H$6&gt;0,0,2*PI())))+House_P_T)</f>
        <v>-646.99550193785603</v>
      </c>
      <c r="C51" s="510">
        <f>COS(J$51)*(r0*1000*EXP(K_House*(J$51-$H$6+IF(J$51-$H$6&gt;0,0,2*PI())))+House_P_T)</f>
        <v>792.78180793135277</v>
      </c>
      <c r="D51" s="510">
        <f>COS(3*PI()/2)*(r0*1000*EXP(K_House*(3*PI()/2-$H$6))+House_P_T)</f>
        <v>-2.1148863784163086E-13</v>
      </c>
      <c r="E51" s="510" t="e">
        <f ca="1">$S$53</f>
        <v>#REF!</v>
      </c>
      <c r="F51" s="518"/>
      <c r="G51" s="518"/>
      <c r="H51" s="528" t="s">
        <v>1483</v>
      </c>
      <c r="I51" s="1148">
        <v>4.0801101957497146</v>
      </c>
      <c r="J51" s="1148">
        <v>5.4217536956966654</v>
      </c>
      <c r="K51" s="510"/>
      <c r="L51" s="518"/>
      <c r="M51" s="813"/>
      <c r="N51" s="528" t="str">
        <f>"SF Z (house) (LG), "&amp;$G$6&amp;", "&amp;Center_H</f>
        <v>SF Z (house) (LG), 135, 1269</v>
      </c>
      <c r="O51" s="510" t="e">
        <f ca="1">IF($O$48="L",$B$51,$D$51)</f>
        <v>#REF!</v>
      </c>
      <c r="P51" s="510">
        <f>IF($H$6&lt;3*PI()/2,C51,IF($X$34&lt;=$E$51,E51,C51))</f>
        <v>792.78180793135277</v>
      </c>
      <c r="Q51" s="813"/>
      <c r="R51" s="3842" t="s">
        <v>2664</v>
      </c>
      <c r="S51" s="3842"/>
      <c r="T51" s="528" t="s">
        <v>2660</v>
      </c>
      <c r="U51" s="510" t="e">
        <f ca="1">$C$49</f>
        <v>#REF!</v>
      </c>
      <c r="V51" s="544">
        <f>COS(PI()-R_angle)</f>
        <v>-0.25881904510252063</v>
      </c>
      <c r="W51" s="518"/>
      <c r="X51" s="813"/>
      <c r="Y51" s="813"/>
      <c r="Z51" s="813"/>
      <c r="AA51" s="813"/>
      <c r="AB51" s="813"/>
      <c r="AC51" s="518"/>
      <c r="AD51" s="3842" t="s">
        <v>2664</v>
      </c>
      <c r="AE51" s="3842"/>
      <c r="AF51" s="528" t="s">
        <v>2660</v>
      </c>
      <c r="AG51" s="510" t="e">
        <f ca="1">$B$49</f>
        <v>#REF!</v>
      </c>
      <c r="AH51" s="544">
        <f>COS(R_angle)</f>
        <v>0.25881904510252074</v>
      </c>
      <c r="AI51" s="518"/>
      <c r="AJ51" s="2019"/>
    </row>
    <row r="52" spans="1:36" s="496" customFormat="1">
      <c r="A52" s="2238" t="str">
        <f>"SF Y (house) (LG), "&amp;$G$6&amp;", "&amp;Center_H</f>
        <v>SF Y (house) (LG), 135, 1269</v>
      </c>
      <c r="B52" s="503">
        <f>SIN(I$51)*((r0*1000*EXP(K_House*(I$51-$H$6+IF(I$51-$H$6&gt;0,0,2*PI()))))+House_P_T)+Center_H</f>
        <v>385.86321486081772</v>
      </c>
      <c r="C52" s="510">
        <f>SIN(J$51)*((r0*1000*EXP(K_House*(J$51-$H$6+IF(J$51-$H$6&gt;0,0,2*PI()))))+House_P_T)+Center_H</f>
        <v>345.46895306211684</v>
      </c>
      <c r="D52" s="510">
        <f>SIN(3*PI()/2)*((r0*1000*EXP(K_House*(3*PI()/2-$H$6+IF(3*PI()/2-$H$6&gt;0,0,2*PI()))))+House_P_T)+Center_H</f>
        <v>118.18089181061669</v>
      </c>
      <c r="E52" s="510" t="e">
        <f ca="1">$S$54</f>
        <v>#REF!</v>
      </c>
      <c r="F52" s="518"/>
      <c r="G52" s="528"/>
      <c r="H52" s="509" t="s">
        <v>2659</v>
      </c>
      <c r="I52" s="1308">
        <f>DEGREES(I51)</f>
        <v>233.77309416475481</v>
      </c>
      <c r="J52" s="1308">
        <f>DEGREES(J51)</f>
        <v>310.64360432287538</v>
      </c>
      <c r="K52" s="518"/>
      <c r="L52" s="518"/>
      <c r="M52" s="813"/>
      <c r="N52" s="528" t="str">
        <f>"SF Y (house) (LG), "&amp;$G$6&amp;", "&amp;Center_H</f>
        <v>SF Y (house) (LG), 135, 1269</v>
      </c>
      <c r="O52" s="510" t="e">
        <f ca="1">IF($O$48="L",$B$52,$D$52)</f>
        <v>#REF!</v>
      </c>
      <c r="P52" s="510">
        <f>IF($H$6&lt;3*PI()/2,C52,IF($X$34&lt;=$E$51,E52,C52))</f>
        <v>345.46895306211684</v>
      </c>
      <c r="Q52" s="813"/>
      <c r="R52" s="3842"/>
      <c r="S52" s="3842"/>
      <c r="T52" s="528" t="s">
        <v>304</v>
      </c>
      <c r="U52" s="510" t="e">
        <f ca="1">$C$50</f>
        <v>#REF!</v>
      </c>
      <c r="V52" s="544">
        <f>SIN(PI()-R_angle)</f>
        <v>0.96592582628906831</v>
      </c>
      <c r="W52" s="813"/>
      <c r="X52" s="813"/>
      <c r="Y52" s="813"/>
      <c r="Z52" s="813"/>
      <c r="AA52" s="813"/>
      <c r="AB52" s="813"/>
      <c r="AC52" s="518"/>
      <c r="AD52" s="3842"/>
      <c r="AE52" s="3842"/>
      <c r="AF52" s="528" t="s">
        <v>304</v>
      </c>
      <c r="AG52" s="510" t="e">
        <f ca="1">$B$50</f>
        <v>#REF!</v>
      </c>
      <c r="AH52" s="544">
        <f>SIN(R_angle)</f>
        <v>0.96592582628906831</v>
      </c>
      <c r="AI52" s="518"/>
      <c r="AJ52" s="2019"/>
    </row>
    <row r="53" spans="1:36" s="496" customFormat="1">
      <c r="A53" s="2238" t="s">
        <v>2658</v>
      </c>
      <c r="B53" s="503" t="e">
        <f ca="1">SQRT((B51-B49)^2+(B52-B50)^2)</f>
        <v>#REF!</v>
      </c>
      <c r="C53" s="510" t="e">
        <f ca="1">SQRT((C51-C49)^2+(C52-C50)^2)</f>
        <v>#REF!</v>
      </c>
      <c r="D53" s="510">
        <f>SQRT((D51-D49)^2+(D52)^2)</f>
        <v>118.18089181061669</v>
      </c>
      <c r="E53" s="510" t="e">
        <f ca="1">SQRT((E51-E49)^2+(E52)^2)</f>
        <v>#REF!</v>
      </c>
      <c r="F53" s="518"/>
      <c r="G53" s="518"/>
      <c r="H53" s="528" t="s">
        <v>1486</v>
      </c>
      <c r="I53" s="1339" t="e">
        <f ca="1">(B51-B49)/COS(R_angle)-(B52-B50)/SIN(R_angle)</f>
        <v>#REF!</v>
      </c>
      <c r="J53" s="1339" t="e">
        <f ca="1">(C51-C49)/COS(PI()-R_angle)-(C52-C50)/SIN(PI()-R_angle)</f>
        <v>#REF!</v>
      </c>
      <c r="K53" s="518"/>
      <c r="L53" s="518"/>
      <c r="M53" s="813"/>
      <c r="N53" s="528" t="s">
        <v>2658</v>
      </c>
      <c r="O53" s="510" t="e">
        <f ca="1">SQRT((O51-O49)^2+(O52-O50)^2)</f>
        <v>#REF!</v>
      </c>
      <c r="P53" s="510" t="e">
        <f ca="1">SQRT((P51-P49)^2+(P52-P50)^2)</f>
        <v>#REF!</v>
      </c>
      <c r="Q53" s="813"/>
      <c r="R53" s="509" t="s">
        <v>1092</v>
      </c>
      <c r="S53" s="518" t="e">
        <f ca="1">U51+V48*V51</f>
        <v>#REF!</v>
      </c>
      <c r="T53" s="518"/>
      <c r="U53" s="510"/>
      <c r="V53" s="510"/>
      <c r="W53" s="518"/>
      <c r="X53" s="813"/>
      <c r="Y53" s="813"/>
      <c r="Z53" s="813"/>
      <c r="AA53" s="813"/>
      <c r="AB53" s="813"/>
      <c r="AC53" s="518"/>
      <c r="AD53" s="509" t="s">
        <v>1092</v>
      </c>
      <c r="AE53" s="518" t="e">
        <f ca="1">AG51+AH48*AH51</f>
        <v>#REF!</v>
      </c>
      <c r="AF53" s="518"/>
      <c r="AG53" s="510"/>
      <c r="AH53" s="510"/>
      <c r="AI53" s="813"/>
      <c r="AJ53" s="2019"/>
    </row>
    <row r="54" spans="1:36">
      <c r="A54" s="2238"/>
      <c r="B54" s="503"/>
      <c r="C54" s="510"/>
      <c r="D54" s="510"/>
      <c r="E54" s="510"/>
      <c r="F54" s="518"/>
      <c r="G54" s="518"/>
      <c r="H54" s="518"/>
      <c r="I54" s="518"/>
      <c r="J54" s="518"/>
      <c r="K54" s="518"/>
      <c r="L54" s="518"/>
      <c r="M54" s="518"/>
      <c r="N54" s="528"/>
      <c r="O54" s="510"/>
      <c r="P54" s="510"/>
      <c r="Q54" s="518"/>
      <c r="R54" s="528" t="s">
        <v>1093</v>
      </c>
      <c r="S54" s="518" t="e">
        <f ca="1">U52+V48*V52</f>
        <v>#REF!</v>
      </c>
      <c r="T54" s="518"/>
      <c r="U54" s="510"/>
      <c r="V54" s="510"/>
      <c r="W54" s="518"/>
      <c r="X54" s="518"/>
      <c r="Y54" s="518"/>
      <c r="Z54" s="518"/>
      <c r="AA54" s="518"/>
      <c r="AB54" s="518"/>
      <c r="AC54" s="518"/>
      <c r="AD54" s="528" t="s">
        <v>1093</v>
      </c>
      <c r="AE54" s="518" t="e">
        <f ca="1">AG52+AH48*AH52</f>
        <v>#REF!</v>
      </c>
      <c r="AF54" s="518"/>
      <c r="AG54" s="510"/>
      <c r="AH54" s="510"/>
      <c r="AI54" s="518"/>
      <c r="AJ54" s="527"/>
    </row>
    <row r="55" spans="1:36">
      <c r="A55" s="526"/>
      <c r="B55" s="522"/>
      <c r="C55" s="518"/>
      <c r="D55" s="518"/>
      <c r="E55" s="518"/>
      <c r="F55" s="518"/>
      <c r="G55" s="518"/>
      <c r="H55" s="518"/>
      <c r="I55" s="518"/>
      <c r="J55" s="518"/>
      <c r="K55" s="518"/>
      <c r="L55" s="518"/>
      <c r="M55" s="518"/>
      <c r="N55" s="518"/>
      <c r="O55" s="528"/>
      <c r="P55" s="510"/>
      <c r="Q55" s="510"/>
      <c r="R55" s="518"/>
      <c r="S55" s="518"/>
      <c r="T55" s="518"/>
      <c r="U55" s="518"/>
      <c r="V55" s="518"/>
      <c r="W55" s="518"/>
      <c r="X55" s="518"/>
      <c r="Y55" s="518"/>
      <c r="Z55" s="518"/>
      <c r="AA55" s="518"/>
      <c r="AB55" s="510"/>
      <c r="AC55" s="510"/>
      <c r="AD55" s="813"/>
      <c r="AE55" s="518"/>
      <c r="AF55" s="518"/>
      <c r="AG55" s="518"/>
      <c r="AH55" s="518"/>
      <c r="AI55" s="518"/>
      <c r="AJ55" s="527"/>
    </row>
    <row r="56" spans="1:36" ht="15.75" thickBot="1">
      <c r="A56" s="526"/>
      <c r="B56" s="522"/>
      <c r="C56" s="518"/>
      <c r="D56" s="942"/>
      <c r="E56" s="518"/>
      <c r="F56" s="518"/>
      <c r="G56" s="518"/>
      <c r="H56" s="518"/>
      <c r="I56" s="518"/>
      <c r="J56" s="518"/>
      <c r="K56" s="518"/>
      <c r="L56" s="518"/>
      <c r="M56" s="518"/>
      <c r="N56" s="518"/>
      <c r="O56" s="518"/>
      <c r="P56" s="518"/>
      <c r="Q56" s="518"/>
      <c r="R56" s="518"/>
      <c r="S56" s="518"/>
      <c r="T56" s="518"/>
      <c r="U56" s="518"/>
      <c r="V56" s="518"/>
      <c r="W56" s="518"/>
      <c r="X56" s="518"/>
      <c r="Y56" s="518"/>
      <c r="Z56" s="518"/>
      <c r="AA56" s="518"/>
      <c r="AB56" s="518"/>
      <c r="AC56" s="813"/>
      <c r="AD56" s="813"/>
      <c r="AE56" s="813"/>
      <c r="AF56" s="518"/>
      <c r="AG56" s="518"/>
      <c r="AH56" s="518"/>
      <c r="AI56" s="518"/>
      <c r="AJ56" s="527"/>
    </row>
    <row r="57" spans="1:36">
      <c r="A57" s="515"/>
      <c r="B57" s="3863" t="str">
        <f>"Final Positions "&amp;$E$6&amp;", "&amp;$G$6&amp;", "&amp;Center_H</f>
        <v>Final Positions RD, 135, 1269</v>
      </c>
      <c r="C57" s="3826"/>
      <c r="D57" s="3826"/>
      <c r="E57" s="3826"/>
      <c r="F57" s="3826"/>
      <c r="G57" s="3826"/>
      <c r="H57" s="3827"/>
      <c r="I57" s="813"/>
      <c r="J57" s="813"/>
      <c r="K57" s="813"/>
      <c r="L57" s="813"/>
      <c r="M57" s="813"/>
      <c r="N57" s="813"/>
      <c r="O57" s="813"/>
      <c r="P57" s="813"/>
      <c r="Q57" s="813"/>
      <c r="R57" s="813"/>
      <c r="S57" s="813"/>
      <c r="T57" s="813"/>
      <c r="U57" s="813"/>
      <c r="V57" s="813"/>
      <c r="W57" s="813"/>
      <c r="X57" s="813"/>
      <c r="Y57" s="813"/>
      <c r="Z57" s="813"/>
      <c r="AA57" s="813"/>
      <c r="AB57" s="813"/>
      <c r="AC57" s="813"/>
      <c r="AD57" s="813"/>
      <c r="AE57" s="813"/>
      <c r="AF57" s="518"/>
      <c r="AG57" s="518"/>
      <c r="AH57" s="518"/>
      <c r="AI57" s="518"/>
      <c r="AJ57" s="527"/>
    </row>
    <row r="58" spans="1:36">
      <c r="A58" s="2237" t="s">
        <v>1488</v>
      </c>
      <c r="B58" s="522" t="str">
        <f>IF($E$6="LG",$O48,"L")&amp;"_HSP"</f>
        <v>L_HSP</v>
      </c>
      <c r="C58" s="518" t="e">
        <f ca="1">IF($E$6="LG",$P48,IF($O48="C","C","R"))&amp;"_HSP"</f>
        <v>#REF!</v>
      </c>
      <c r="D58" s="518"/>
      <c r="E58" s="518"/>
      <c r="F58" s="552" t="s">
        <v>3853</v>
      </c>
      <c r="G58" s="518" t="s">
        <v>3854</v>
      </c>
      <c r="H58" s="527" t="s">
        <v>3855</v>
      </c>
      <c r="I58" s="518"/>
      <c r="J58" s="518"/>
      <c r="K58" s="518"/>
      <c r="L58" s="518"/>
      <c r="M58" s="518"/>
      <c r="N58" s="518"/>
      <c r="O58" s="518"/>
      <c r="P58" s="518"/>
      <c r="Q58" s="518"/>
      <c r="R58" s="518"/>
      <c r="S58" s="518"/>
      <c r="T58" s="518"/>
      <c r="U58" s="518"/>
      <c r="V58" s="518"/>
      <c r="W58" s="518"/>
      <c r="X58" s="518"/>
      <c r="Y58" s="518"/>
      <c r="Z58" s="518"/>
      <c r="AA58" s="518"/>
      <c r="AB58" s="518"/>
      <c r="AC58" s="518"/>
      <c r="AD58" s="518"/>
      <c r="AE58" s="518"/>
      <c r="AF58" s="518"/>
      <c r="AG58" s="518"/>
      <c r="AH58" s="518"/>
      <c r="AI58" s="518"/>
      <c r="AJ58" s="527"/>
    </row>
    <row r="59" spans="1:36">
      <c r="A59" s="2238" t="str">
        <f>"SF Z (ground) "&amp;$E$6&amp;", "&amp;$G$6&amp;", "&amp;Center_H</f>
        <v>SF Z (ground) RD, 135, 1269</v>
      </c>
      <c r="B59" s="503" t="e">
        <f ca="1">IF($E$6="LG",$O49,-$P49)</f>
        <v>#REF!</v>
      </c>
      <c r="C59" s="510" t="e">
        <f ca="1">IF($E$6="LG",$P49,-$O49)</f>
        <v>#REF!</v>
      </c>
      <c r="D59" s="518"/>
      <c r="E59" s="518"/>
      <c r="F59" s="528" t="s">
        <v>2577</v>
      </c>
      <c r="G59" s="510">
        <f>IF($E$6="LG",$AA$49,-$AB$49)</f>
        <v>-792.78180793135277</v>
      </c>
      <c r="H59" s="1340">
        <f>IF($E$6="LG",$AB$49,-$AA$49)</f>
        <v>646.99550193785603</v>
      </c>
      <c r="I59" s="813"/>
      <c r="J59" s="813"/>
      <c r="K59" s="813"/>
      <c r="L59" s="813"/>
      <c r="M59" s="813"/>
      <c r="N59" s="813"/>
      <c r="O59" s="813"/>
      <c r="P59" s="813"/>
      <c r="Q59" s="813"/>
      <c r="R59" s="813"/>
      <c r="S59" s="813"/>
      <c r="T59" s="813"/>
      <c r="U59" s="813"/>
      <c r="V59" s="813"/>
      <c r="W59" s="813"/>
      <c r="X59" s="813"/>
      <c r="Y59" s="813"/>
      <c r="Z59" s="813"/>
      <c r="AA59" s="813"/>
      <c r="AB59" s="813"/>
      <c r="AC59" s="518"/>
      <c r="AD59" s="518"/>
      <c r="AE59" s="518"/>
      <c r="AF59" s="518"/>
      <c r="AG59" s="518"/>
      <c r="AH59" s="518"/>
      <c r="AI59" s="518"/>
      <c r="AJ59" s="527"/>
    </row>
    <row r="60" spans="1:36">
      <c r="A60" s="2238" t="str">
        <f>"SF Y (ground) "&amp;$E$6&amp;", "&amp;$G$6&amp;", "&amp;Center_H</f>
        <v>SF Y (ground) RD, 135, 1269</v>
      </c>
      <c r="B60" s="503" t="e">
        <f ca="1">IF($E$6="LG",$O50,$P50)</f>
        <v>#REF!</v>
      </c>
      <c r="C60" s="510" t="e">
        <f ca="1">IF($E$6="LG",$P50,$O50)</f>
        <v>#REF!</v>
      </c>
      <c r="D60" s="518"/>
      <c r="E60" s="518"/>
      <c r="F60" s="528" t="s">
        <v>2578</v>
      </c>
      <c r="G60" s="510">
        <f>IF($E$6="LG",$AA$50,$AB$50)</f>
        <v>345.46895306211684</v>
      </c>
      <c r="H60" s="1340">
        <f>IF($E$6="LG",$AB$50,$AA$50)</f>
        <v>385.86321486081772</v>
      </c>
      <c r="I60" s="813"/>
      <c r="J60" s="813"/>
      <c r="K60" s="813"/>
      <c r="L60" s="813"/>
      <c r="M60" s="813"/>
      <c r="N60" s="813"/>
      <c r="O60" s="813"/>
      <c r="P60" s="813"/>
      <c r="Q60" s="813"/>
      <c r="R60" s="813"/>
      <c r="S60" s="813"/>
      <c r="T60" s="813"/>
      <c r="U60" s="813"/>
      <c r="V60" s="813"/>
      <c r="W60" s="813"/>
      <c r="X60" s="813"/>
      <c r="Y60" s="813"/>
      <c r="Z60" s="813"/>
      <c r="AA60" s="813"/>
      <c r="AB60" s="813"/>
      <c r="AC60" s="518"/>
      <c r="AD60" s="518"/>
      <c r="AE60" s="518"/>
      <c r="AF60" s="518"/>
      <c r="AG60" s="518"/>
      <c r="AH60" s="518"/>
      <c r="AI60" s="518"/>
      <c r="AJ60" s="527"/>
    </row>
    <row r="61" spans="1:36">
      <c r="A61" s="2238" t="str">
        <f>"SF Z (house) "&amp;$E$6&amp;", "&amp;$G$6&amp;", "&amp;Center_H</f>
        <v>SF Z (house) RD, 135, 1269</v>
      </c>
      <c r="B61" s="503">
        <f>ROUND(IF($E$6="LG",$O51,-$P51),0)</f>
        <v>-793</v>
      </c>
      <c r="C61" s="510" t="e">
        <f ca="1">ROUND(IF($E$6="LG",$P51,-$O51),0)</f>
        <v>#REF!</v>
      </c>
      <c r="D61" s="518"/>
      <c r="E61" s="510"/>
      <c r="F61" s="518"/>
      <c r="G61" s="518"/>
      <c r="H61" s="527"/>
      <c r="I61" s="813"/>
      <c r="J61" s="813"/>
      <c r="K61" s="813"/>
      <c r="L61" s="813"/>
      <c r="M61" s="813"/>
      <c r="N61" s="813"/>
      <c r="O61" s="813"/>
      <c r="P61" s="813"/>
      <c r="Q61" s="813"/>
      <c r="R61" s="813"/>
      <c r="S61" s="813"/>
      <c r="T61" s="813"/>
      <c r="U61" s="813"/>
      <c r="V61" s="813"/>
      <c r="W61" s="813"/>
      <c r="X61" s="813"/>
      <c r="Y61" s="813"/>
      <c r="Z61" s="813"/>
      <c r="AA61" s="813"/>
      <c r="AB61" s="813"/>
      <c r="AC61" s="518"/>
      <c r="AD61" s="518"/>
      <c r="AE61" s="518"/>
      <c r="AF61" s="518"/>
      <c r="AG61" s="518"/>
      <c r="AH61" s="518"/>
      <c r="AI61" s="518"/>
      <c r="AJ61" s="527"/>
    </row>
    <row r="62" spans="1:36">
      <c r="A62" s="2238" t="str">
        <f>"SF Y (house) "&amp;$E$6&amp;", "&amp;$G$6&amp;", "&amp;Center_H</f>
        <v>SF Y (house) RD, 135, 1269</v>
      </c>
      <c r="B62" s="503">
        <f>ROUND(IF($E$6="LG",$O52,$P52),0)</f>
        <v>345</v>
      </c>
      <c r="C62" s="510" t="e">
        <f ca="1">ROUND(IF($E$6="LG",$P52,$O52),0)</f>
        <v>#REF!</v>
      </c>
      <c r="D62" s="518"/>
      <c r="E62" s="510"/>
      <c r="F62" s="518"/>
      <c r="G62" s="518"/>
      <c r="H62" s="527"/>
      <c r="I62" s="518"/>
      <c r="J62" s="518"/>
      <c r="K62" s="518"/>
      <c r="L62" s="518"/>
      <c r="M62" s="518"/>
      <c r="N62" s="518"/>
      <c r="O62" s="518"/>
      <c r="P62" s="518"/>
      <c r="Q62" s="518"/>
      <c r="R62" s="518"/>
      <c r="S62" s="518"/>
      <c r="T62" s="518"/>
      <c r="U62" s="518"/>
      <c r="V62" s="518"/>
      <c r="W62" s="518"/>
      <c r="X62" s="518"/>
      <c r="Y62" s="518"/>
      <c r="Z62" s="518"/>
      <c r="AA62" s="518"/>
      <c r="AB62" s="518"/>
      <c r="AC62" s="518"/>
      <c r="AD62" s="518"/>
      <c r="AE62" s="518"/>
      <c r="AF62" s="518"/>
      <c r="AG62" s="518"/>
      <c r="AH62" s="518"/>
      <c r="AI62" s="518"/>
      <c r="AJ62" s="527"/>
    </row>
    <row r="63" spans="1:36" ht="15.75" thickBot="1">
      <c r="A63" s="2238" t="s">
        <v>2658</v>
      </c>
      <c r="B63" s="546" t="e">
        <f ca="1">IF($E$6="LG",$O53,$P53)</f>
        <v>#REF!</v>
      </c>
      <c r="C63" s="547" t="e">
        <f ca="1">IF($E$6="LG",$P53,$O53)</f>
        <v>#REF!</v>
      </c>
      <c r="D63" s="556"/>
      <c r="E63" s="547"/>
      <c r="F63" s="556"/>
      <c r="G63" s="556"/>
      <c r="H63" s="561"/>
      <c r="I63" s="518"/>
      <c r="J63" s="518"/>
      <c r="K63" s="518"/>
      <c r="L63" s="518"/>
      <c r="M63" s="518"/>
      <c r="N63" s="518"/>
      <c r="O63" s="518"/>
      <c r="P63" s="518"/>
      <c r="Q63" s="518"/>
      <c r="R63" s="518"/>
      <c r="S63" s="518"/>
      <c r="T63" s="518"/>
      <c r="U63" s="518"/>
      <c r="V63" s="518"/>
      <c r="W63" s="518"/>
      <c r="X63" s="518"/>
      <c r="Y63" s="518"/>
      <c r="Z63" s="518"/>
      <c r="AA63" s="518"/>
      <c r="AB63" s="518"/>
      <c r="AC63" s="518"/>
      <c r="AD63" s="518"/>
      <c r="AE63" s="518"/>
      <c r="AF63" s="518"/>
      <c r="AG63" s="518"/>
      <c r="AH63" s="518"/>
      <c r="AI63" s="518"/>
      <c r="AJ63" s="527"/>
    </row>
    <row r="64" spans="1:36" ht="15.75" thickBot="1">
      <c r="A64" s="555"/>
      <c r="B64" s="549"/>
      <c r="C64" s="556"/>
      <c r="D64" s="556"/>
      <c r="E64" s="556"/>
      <c r="F64" s="556"/>
      <c r="G64" s="556"/>
      <c r="H64" s="556"/>
      <c r="I64" s="556"/>
      <c r="J64" s="556"/>
      <c r="K64" s="556"/>
      <c r="L64" s="556"/>
      <c r="M64" s="556"/>
      <c r="N64" s="556"/>
      <c r="O64" s="556"/>
      <c r="P64" s="556"/>
      <c r="Q64" s="556"/>
      <c r="R64" s="556"/>
      <c r="S64" s="556"/>
      <c r="T64" s="556"/>
      <c r="U64" s="556"/>
      <c r="V64" s="556"/>
      <c r="W64" s="556"/>
      <c r="X64" s="556"/>
      <c r="Y64" s="556"/>
      <c r="Z64" s="556"/>
      <c r="AA64" s="556"/>
      <c r="AB64" s="556"/>
      <c r="AC64" s="556"/>
      <c r="AD64" s="556"/>
      <c r="AE64" s="556"/>
      <c r="AF64" s="556"/>
      <c r="AG64" s="556"/>
      <c r="AH64" s="556"/>
      <c r="AI64" s="556"/>
      <c r="AJ64" s="561"/>
    </row>
    <row r="65" spans="1:36">
      <c r="A65" s="518"/>
      <c r="B65" s="522"/>
      <c r="C65" s="518"/>
      <c r="D65" s="518"/>
      <c r="E65" s="518"/>
      <c r="F65" s="518"/>
      <c r="G65" s="518"/>
      <c r="H65" s="518"/>
      <c r="I65" s="518"/>
      <c r="J65" s="518"/>
      <c r="K65" s="518"/>
      <c r="L65" s="518"/>
      <c r="M65" s="518"/>
      <c r="N65" s="518"/>
      <c r="O65" s="518"/>
      <c r="P65" s="518"/>
      <c r="Q65" s="518"/>
      <c r="R65" s="518"/>
      <c r="S65" s="518"/>
      <c r="T65" s="518"/>
      <c r="U65" s="518"/>
      <c r="V65" s="518"/>
      <c r="W65" s="518"/>
      <c r="X65" s="518"/>
      <c r="Y65" s="518"/>
      <c r="Z65" s="518"/>
      <c r="AA65" s="518"/>
      <c r="AB65" s="518"/>
      <c r="AC65" s="518"/>
      <c r="AD65" s="518"/>
      <c r="AE65" s="518"/>
      <c r="AF65" s="518"/>
      <c r="AG65" s="518"/>
      <c r="AH65" s="518"/>
      <c r="AI65" s="518"/>
      <c r="AJ65" s="518"/>
    </row>
    <row r="66" spans="1:36" s="813" customFormat="1" ht="15.75" thickBot="1">
      <c r="A66" s="514"/>
      <c r="B66" s="1361"/>
      <c r="C66" s="509"/>
      <c r="Y66" s="509"/>
      <c r="Z66" s="509"/>
      <c r="AA66" s="1136"/>
      <c r="AB66" s="1136"/>
    </row>
    <row r="67" spans="1:36" s="518" customFormat="1">
      <c r="A67" s="3849" t="s">
        <v>2645</v>
      </c>
      <c r="B67" s="3858" t="s">
        <v>3937</v>
      </c>
      <c r="C67" s="3858"/>
      <c r="D67" s="3858"/>
      <c r="E67" s="3858"/>
      <c r="F67" s="3858"/>
      <c r="G67" s="3858"/>
      <c r="H67" s="3858"/>
      <c r="I67" s="3858"/>
      <c r="J67" s="3858"/>
      <c r="K67" s="3858"/>
      <c r="L67" s="3858"/>
      <c r="M67" s="3858"/>
      <c r="N67" s="3858"/>
      <c r="O67" s="3858"/>
      <c r="P67" s="3858"/>
      <c r="Q67" s="3858"/>
      <c r="R67" s="3858"/>
      <c r="S67" s="3858"/>
      <c r="T67" s="3858"/>
      <c r="U67" s="3858"/>
      <c r="V67" s="3858"/>
      <c r="W67" s="3858"/>
      <c r="X67" s="3858"/>
      <c r="Y67" s="3858"/>
      <c r="Z67" s="3858"/>
      <c r="AA67" s="3858"/>
      <c r="AB67" s="3858"/>
      <c r="AC67" s="3858"/>
      <c r="AD67" s="3858"/>
      <c r="AE67" s="3858"/>
      <c r="AF67" s="3858"/>
      <c r="AG67" s="3858"/>
      <c r="AH67" s="3858"/>
      <c r="AI67" s="3858"/>
      <c r="AJ67" s="3859"/>
    </row>
    <row r="68" spans="1:36" s="813" customFormat="1" ht="15.75" thickBot="1">
      <c r="A68" s="3850"/>
      <c r="B68" s="3860"/>
      <c r="C68" s="3860"/>
      <c r="D68" s="3860"/>
      <c r="E68" s="3860"/>
      <c r="F68" s="3860"/>
      <c r="G68" s="3860"/>
      <c r="H68" s="3860"/>
      <c r="I68" s="3860"/>
      <c r="J68" s="3860"/>
      <c r="K68" s="3860"/>
      <c r="L68" s="3860"/>
      <c r="M68" s="3860"/>
      <c r="N68" s="3860"/>
      <c r="O68" s="3860"/>
      <c r="P68" s="3860"/>
      <c r="Q68" s="3860"/>
      <c r="R68" s="3860"/>
      <c r="S68" s="3860"/>
      <c r="T68" s="3860"/>
      <c r="U68" s="3860"/>
      <c r="V68" s="3860"/>
      <c r="W68" s="3860"/>
      <c r="X68" s="3860"/>
      <c r="Y68" s="3860"/>
      <c r="Z68" s="3860"/>
      <c r="AA68" s="3860"/>
      <c r="AB68" s="3860"/>
      <c r="AC68" s="3860"/>
      <c r="AD68" s="3860"/>
      <c r="AE68" s="3860"/>
      <c r="AF68" s="3860"/>
      <c r="AG68" s="3860"/>
      <c r="AH68" s="3860"/>
      <c r="AI68" s="3860"/>
      <c r="AJ68" s="3861"/>
    </row>
    <row r="69" spans="1:36">
      <c r="A69" s="2017"/>
      <c r="B69" s="2232"/>
      <c r="C69" s="2024"/>
      <c r="D69" s="2233" t="s">
        <v>3944</v>
      </c>
      <c r="E69" s="2026" t="e">
        <f ca="1">r0^2/(4*K_House)*(EXP(2*K_House*H_alfaend)-EXP(2*K_House*H_alfastart))+($Y$22/1000-$C$22/1000)*$Y$23/1000+$D$22/1000*Tongue_Y/1000/2-PI()/4*(Hub_C_eD*Hole_Clearance_factor/1000)^2</f>
        <v>#REF!</v>
      </c>
      <c r="F69" s="1147" t="s">
        <v>2511</v>
      </c>
      <c r="G69" s="1147"/>
      <c r="H69" s="2027" t="s">
        <v>4131</v>
      </c>
      <c r="I69" s="3134">
        <f>1000*SQRT((r0^2/(4*K_House)*(EXP(2*K_House*H_alfaend)-EXP(2*K_House*H_alfastart))+($Y$22/1000-$C$22/1000)*$Y$23/1000+$D$22/1000*Tongue_Y/1000/2)/PI())</f>
        <v>1350.4754987473693</v>
      </c>
      <c r="J69" s="2024"/>
      <c r="K69" s="1147"/>
      <c r="L69" s="2025"/>
      <c r="P69" s="1147"/>
      <c r="Q69" s="2456"/>
      <c r="R69" s="1146"/>
      <c r="S69" s="2234"/>
      <c r="T69" s="2235"/>
      <c r="U69" s="2575"/>
      <c r="V69" s="1145"/>
      <c r="W69" s="1146"/>
      <c r="X69" s="2018"/>
      <c r="Y69" s="2507"/>
      <c r="Z69" s="2024"/>
      <c r="AA69" s="1147"/>
      <c r="AB69" s="2235"/>
      <c r="AC69" s="2236"/>
      <c r="AD69" s="2235"/>
      <c r="AE69" s="3843"/>
      <c r="AF69" s="3843"/>
      <c r="AG69" s="3843"/>
      <c r="AH69" s="3843"/>
      <c r="AI69" s="3843"/>
      <c r="AJ69" s="3844"/>
    </row>
    <row r="70" spans="1:36">
      <c r="A70" s="2237"/>
      <c r="B70" s="522"/>
      <c r="C70" s="518"/>
      <c r="G70" s="510"/>
      <c r="H70" s="528"/>
      <c r="I70" s="544"/>
      <c r="J70" s="518"/>
      <c r="K70" s="518"/>
      <c r="L70" s="510"/>
      <c r="O70" s="518"/>
      <c r="P70" s="518"/>
      <c r="Q70" s="518"/>
      <c r="R70" s="518"/>
      <c r="S70" s="518"/>
      <c r="T70" s="942"/>
      <c r="U70" s="518"/>
      <c r="V70" s="528"/>
      <c r="W70" s="510"/>
      <c r="X70" s="1308"/>
      <c r="Y70" s="860"/>
      <c r="Z70" s="685"/>
      <c r="AA70" s="518"/>
      <c r="AB70" s="942"/>
      <c r="AC70" s="942"/>
      <c r="AD70" s="942"/>
      <c r="AE70" s="518"/>
      <c r="AF70" s="518"/>
      <c r="AG70" s="518"/>
      <c r="AH70" s="518"/>
      <c r="AI70" s="518"/>
      <c r="AJ70" s="527"/>
    </row>
    <row r="71" spans="1:36">
      <c r="A71" s="526"/>
      <c r="B71" s="522"/>
      <c r="C71" s="1135"/>
      <c r="D71" s="1135" t="s">
        <v>4036</v>
      </c>
      <c r="E71" s="2459" t="e">
        <f ca="1">MAX(CFmin_reinf_area,IF((H_avg_oR/1000-$L$14/1000)^2*crit_a/(Reinf_HousePT/1000)-1&lt;=0,CFmin_reinf_area,(H_avg_oR/1000-$L$14/1000)^2*SQRT(1/((H_avg_oR/1000-$L$14/1000)^2*crit_a/(Reinf_HousePT/1000)-1))))</f>
        <v>#REF!</v>
      </c>
      <c r="F71" s="518" t="s">
        <v>2511</v>
      </c>
      <c r="G71" s="685"/>
      <c r="H71" s="528" t="s">
        <v>2669</v>
      </c>
      <c r="I71" s="1424" t="e">
        <f ca="1">IF(eqdist_reinf,2*PI(),H_alfastart+2*PI())</f>
        <v>#REF!</v>
      </c>
      <c r="J71" s="685" t="e">
        <f ca="1">DEGREES(CFRe_start_angle)</f>
        <v>#REF!</v>
      </c>
      <c r="K71" s="518"/>
      <c r="L71" s="528"/>
      <c r="M71" s="528" t="s">
        <v>2672</v>
      </c>
      <c r="N71" s="2150">
        <f>2*min_Critical_V_rpm/60*2*PI()/(PI()^2/2*SQRT(E_Nmm2*10^6/(3*steel_density)))</f>
        <v>4.2637911811434441E-2</v>
      </c>
      <c r="O71" s="518"/>
      <c r="P71" s="518"/>
      <c r="Q71" s="1135" t="s">
        <v>2758</v>
      </c>
      <c r="R71" s="805" t="e">
        <f ca="1">IF(AND(ROUNDUP(($E$69-$L$15)/CF_max_reinf_area,0)&gt;1,$S$72&lt;=$R$72),2*PI()/$S$72,0)</f>
        <v>#REF!</v>
      </c>
      <c r="S71" s="1234" t="e">
        <f ca="1">DEGREES(R71)</f>
        <v>#REF!</v>
      </c>
      <c r="T71" s="805"/>
      <c r="U71" s="518"/>
      <c r="V71" s="528"/>
      <c r="W71" s="510"/>
      <c r="X71" s="1308"/>
      <c r="Y71" s="860"/>
      <c r="Z71" s="685"/>
      <c r="AA71" s="518"/>
      <c r="AB71" s="805"/>
      <c r="AC71" s="1135"/>
      <c r="AD71" s="805"/>
      <c r="AE71" s="805"/>
      <c r="AF71" s="805"/>
      <c r="AG71" s="805"/>
      <c r="AH71" s="805"/>
      <c r="AI71" s="805"/>
      <c r="AJ71" s="1375"/>
    </row>
    <row r="72" spans="1:36">
      <c r="A72" s="1275"/>
      <c r="B72" s="2061"/>
      <c r="C72" s="860"/>
      <c r="D72" s="1317" t="s">
        <v>4034</v>
      </c>
      <c r="E72" s="2457" t="e">
        <f ca="1">IF(CF_reinf_req,$E$69-(max_ycurve-min_ycurve)/1000*($S$10-$S$9)/1000&gt;CF_max_reinf_area,FALSE)</f>
        <v>#REF!</v>
      </c>
      <c r="F72" s="813"/>
      <c r="G72" s="805"/>
      <c r="H72" s="509" t="s">
        <v>2675</v>
      </c>
      <c r="I72" s="1424" t="e">
        <f ca="1">IF(eqdist_reinf,H_alfastart,H_alfastart)</f>
        <v>#REF!</v>
      </c>
      <c r="J72" s="685" t="e">
        <f ca="1">DEGREES(CFRe_stop_angle)</f>
        <v>#REF!</v>
      </c>
      <c r="K72" s="805"/>
      <c r="L72" s="805"/>
      <c r="M72" s="528" t="s">
        <v>2792</v>
      </c>
      <c r="N72" s="1742" t="e">
        <f ca="1">$R$71&gt;0</f>
        <v>#REF!</v>
      </c>
      <c r="O72" s="805"/>
      <c r="P72" s="518"/>
      <c r="Q72" s="528" t="s">
        <v>2793</v>
      </c>
      <c r="R72" s="518">
        <v>4</v>
      </c>
      <c r="S72" s="510" t="e">
        <f ca="1">MAX($R$72,ROUND(($E$69-$L$15)/CF_max_reinf_area/$R$72,0)*$R$72)</f>
        <v>#REF!</v>
      </c>
      <c r="T72" s="805"/>
      <c r="U72" s="805"/>
      <c r="V72" s="528"/>
      <c r="W72" s="510"/>
      <c r="X72" s="1308"/>
      <c r="Y72" s="860"/>
      <c r="Z72" s="685"/>
      <c r="AA72" s="518"/>
      <c r="AB72" s="805"/>
      <c r="AC72" s="805"/>
      <c r="AD72" s="805"/>
      <c r="AE72" s="805"/>
      <c r="AF72" s="805"/>
      <c r="AG72" s="805"/>
      <c r="AH72" s="805"/>
      <c r="AI72" s="805"/>
      <c r="AJ72" s="1375"/>
    </row>
    <row r="73" spans="1:36">
      <c r="A73" s="1275" t="s">
        <v>2579</v>
      </c>
      <c r="B73" s="806" t="e">
        <f t="shared" ref="B73:AB73" ca="1" si="3">IF(B76=0,0,IF(B76&gt;=$Z$20,B83/1000*($Z$22/1000-B82/1000)/2-$L15*(B76-$Z$20)/(2*PI()),IF(AND(B76&gt;2*PI(),B76&lt;$Z$20),B83/1000*B82/1000/2-$L15*(B76-2*PI())/(2*PI()),IF(AND(B76&gt;=CFRe_stop_angle,B76&lt;=2*PI()),r0^2/(4*K_House)*(EXP(2*K_House*B76)-EXP(2*K_House*CFRe_stop_angle))-$L15*(B76-CFRe_stop_angle)/(2*PI())))))</f>
        <v>#REF!</v>
      </c>
      <c r="C73" s="805" t="e">
        <f t="shared" ca="1" si="3"/>
        <v>#REF!</v>
      </c>
      <c r="D73" s="805" t="e">
        <f t="shared" ca="1" si="3"/>
        <v>#REF!</v>
      </c>
      <c r="E73" s="805" t="e">
        <f t="shared" ca="1" si="3"/>
        <v>#REF!</v>
      </c>
      <c r="F73" s="805" t="e">
        <f t="shared" ca="1" si="3"/>
        <v>#REF!</v>
      </c>
      <c r="G73" s="805" t="e">
        <f t="shared" ca="1" si="3"/>
        <v>#REF!</v>
      </c>
      <c r="H73" s="805" t="e">
        <f t="shared" ca="1" si="3"/>
        <v>#REF!</v>
      </c>
      <c r="I73" s="805" t="e">
        <f t="shared" ca="1" si="3"/>
        <v>#REF!</v>
      </c>
      <c r="J73" s="805" t="e">
        <f t="shared" ca="1" si="3"/>
        <v>#REF!</v>
      </c>
      <c r="K73" s="805" t="e">
        <f t="shared" ca="1" si="3"/>
        <v>#REF!</v>
      </c>
      <c r="L73" s="805" t="e">
        <f t="shared" ca="1" si="3"/>
        <v>#REF!</v>
      </c>
      <c r="M73" s="805" t="e">
        <f t="shared" ca="1" si="3"/>
        <v>#REF!</v>
      </c>
      <c r="N73" s="805" t="e">
        <f t="shared" ca="1" si="3"/>
        <v>#REF!</v>
      </c>
      <c r="O73" s="805" t="e">
        <f t="shared" ca="1" si="3"/>
        <v>#REF!</v>
      </c>
      <c r="P73" s="805" t="e">
        <f t="shared" ca="1" si="3"/>
        <v>#REF!</v>
      </c>
      <c r="Q73" s="805" t="e">
        <f t="shared" ca="1" si="3"/>
        <v>#REF!</v>
      </c>
      <c r="R73" s="805" t="e">
        <f t="shared" ca="1" si="3"/>
        <v>#REF!</v>
      </c>
      <c r="S73" s="805" t="e">
        <f t="shared" ca="1" si="3"/>
        <v>#REF!</v>
      </c>
      <c r="T73" s="805" t="e">
        <f t="shared" ca="1" si="3"/>
        <v>#REF!</v>
      </c>
      <c r="U73" s="805" t="e">
        <f t="shared" ca="1" si="3"/>
        <v>#REF!</v>
      </c>
      <c r="V73" s="805" t="e">
        <f t="shared" ca="1" si="3"/>
        <v>#REF!</v>
      </c>
      <c r="W73" s="805" t="e">
        <f t="shared" ca="1" si="3"/>
        <v>#REF!</v>
      </c>
      <c r="X73" s="805" t="e">
        <f t="shared" ca="1" si="3"/>
        <v>#REF!</v>
      </c>
      <c r="Y73" s="805" t="e">
        <f t="shared" ca="1" si="3"/>
        <v>#REF!</v>
      </c>
      <c r="Z73" s="805" t="e">
        <f t="shared" ca="1" si="3"/>
        <v>#REF!</v>
      </c>
      <c r="AA73" s="805" t="e">
        <f t="shared" ca="1" si="3"/>
        <v>#REF!</v>
      </c>
      <c r="AB73" s="805" t="e">
        <f t="shared" ca="1" si="3"/>
        <v>#REF!</v>
      </c>
      <c r="AC73" s="2123"/>
      <c r="AD73" s="860"/>
      <c r="AE73" s="805"/>
      <c r="AF73" s="805"/>
      <c r="AG73" s="805"/>
      <c r="AH73" s="805"/>
      <c r="AI73" s="805"/>
      <c r="AJ73" s="1375"/>
    </row>
    <row r="74" spans="1:36" s="1346" customFormat="1">
      <c r="A74" s="2020" t="s">
        <v>2667</v>
      </c>
      <c r="B74" s="2062" t="e">
        <f ca="1">IF(B78=0,0,MAX(CFmin_reinf_area,MIN(CF_max_reinf_area,IF((B77/1000-$L$14/1000)^2*crit_a/(Reinf_HousePT/1000)-1&lt;=0,CF_max_reinf_area,(B77/1000-$L$14/1000)*(B77/1000-$L$14/1000)*SQRT(1/((B77/1000-$L$14/1000)^2*crit_a/(Reinf_HousePT/1000)-1))))))</f>
        <v>#REF!</v>
      </c>
      <c r="C74" s="544" t="e">
        <f t="shared" ref="C74:AB74" ca="1" si="4">IF(C78=0,0,MAX(CFmin_reinf_area,MIN(CF_max_reinf_area,IF((C77/1000-$L$14/1000)^2*crit_a/(Reinf_HousePT/1000)-1&lt;=0,B74,(C77/1000-$L$14/1000)*(C77/1000-$L$14/1000)*SQRT(1/((C77/1000-$L$14/1000)^2*crit_a/(Reinf_HousePT/1000)-1))))))</f>
        <v>#REF!</v>
      </c>
      <c r="D74" s="544" t="e">
        <f t="shared" ca="1" si="4"/>
        <v>#REF!</v>
      </c>
      <c r="E74" s="544" t="e">
        <f t="shared" ca="1" si="4"/>
        <v>#REF!</v>
      </c>
      <c r="F74" s="544" t="e">
        <f t="shared" ca="1" si="4"/>
        <v>#REF!</v>
      </c>
      <c r="G74" s="544" t="e">
        <f t="shared" ca="1" si="4"/>
        <v>#REF!</v>
      </c>
      <c r="H74" s="544" t="e">
        <f t="shared" ca="1" si="4"/>
        <v>#REF!</v>
      </c>
      <c r="I74" s="544" t="e">
        <f t="shared" ca="1" si="4"/>
        <v>#REF!</v>
      </c>
      <c r="J74" s="544" t="e">
        <f t="shared" ca="1" si="4"/>
        <v>#REF!</v>
      </c>
      <c r="K74" s="544" t="e">
        <f t="shared" ca="1" si="4"/>
        <v>#REF!</v>
      </c>
      <c r="L74" s="544" t="e">
        <f t="shared" ca="1" si="4"/>
        <v>#REF!</v>
      </c>
      <c r="M74" s="544" t="e">
        <f t="shared" ca="1" si="4"/>
        <v>#REF!</v>
      </c>
      <c r="N74" s="544" t="e">
        <f t="shared" ca="1" si="4"/>
        <v>#REF!</v>
      </c>
      <c r="O74" s="544" t="e">
        <f t="shared" ca="1" si="4"/>
        <v>#REF!</v>
      </c>
      <c r="P74" s="544" t="e">
        <f t="shared" ca="1" si="4"/>
        <v>#REF!</v>
      </c>
      <c r="Q74" s="544" t="e">
        <f t="shared" ca="1" si="4"/>
        <v>#REF!</v>
      </c>
      <c r="R74" s="544" t="e">
        <f t="shared" ca="1" si="4"/>
        <v>#REF!</v>
      </c>
      <c r="S74" s="544" t="e">
        <f t="shared" ca="1" si="4"/>
        <v>#REF!</v>
      </c>
      <c r="T74" s="544" t="e">
        <f t="shared" ca="1" si="4"/>
        <v>#REF!</v>
      </c>
      <c r="U74" s="544" t="e">
        <f t="shared" ca="1" si="4"/>
        <v>#REF!</v>
      </c>
      <c r="V74" s="544" t="e">
        <f t="shared" ca="1" si="4"/>
        <v>#REF!</v>
      </c>
      <c r="W74" s="544" t="e">
        <f t="shared" ca="1" si="4"/>
        <v>#REF!</v>
      </c>
      <c r="X74" s="544" t="e">
        <f t="shared" ca="1" si="4"/>
        <v>#REF!</v>
      </c>
      <c r="Y74" s="544" t="e">
        <f t="shared" ca="1" si="4"/>
        <v>#REF!</v>
      </c>
      <c r="Z74" s="544" t="e">
        <f t="shared" ca="1" si="4"/>
        <v>#REF!</v>
      </c>
      <c r="AA74" s="544" t="e">
        <f t="shared" ca="1" si="4"/>
        <v>#REF!</v>
      </c>
      <c r="AB74" s="544" t="e">
        <f t="shared" ca="1" si="4"/>
        <v>#REF!</v>
      </c>
      <c r="AC74" s="2124"/>
      <c r="AD74" s="1136"/>
      <c r="AE74" s="544"/>
      <c r="AF74" s="544"/>
      <c r="AG74" s="544"/>
      <c r="AH74" s="544"/>
      <c r="AI74" s="544"/>
      <c r="AJ74" s="524"/>
    </row>
    <row r="75" spans="1:36">
      <c r="A75" s="1275" t="s">
        <v>1103</v>
      </c>
      <c r="B75" s="1177" t="e">
        <f t="shared" ref="B75:AB75" ca="1" si="5">IF(B76=0,0,IF(eqdist_reinf,$R$71,IF(B77&lt;=$L$14,0,IF(B76&gt;=$Z$20,IF(B74&lt;B73,2*B74/((B77/1000)^2-($L$14/1000)^2),B76-$Z$20+2*(B74-B73)/((B77/1000)^2-($L$14/1000)^2)),IF(B76&gt;2*PI(),IF(B74&lt;B73,2*B74/((B77/1000)^2-($L$14/1000)^2),B76-2*PI()+2*(B74-B73)/(($X$21/1000)^2-($L$14/1000)^2)),IF(B74&lt;B73,2*B74/((B77/1000)^2-($L$14/1000)^2),IF(B76-2*B74/((B77/1000)^2-($L$14/1000)^2)&gt;=CFRe_stop_angle,2*B74/((B77/1000)^2-($L$14/1000)^2),PI())))))))</f>
        <v>#REF!</v>
      </c>
      <c r="C75" s="1133" t="e">
        <f t="shared" ca="1" si="5"/>
        <v>#REF!</v>
      </c>
      <c r="D75" s="1133" t="e">
        <f t="shared" ca="1" si="5"/>
        <v>#REF!</v>
      </c>
      <c r="E75" s="1133" t="e">
        <f t="shared" ca="1" si="5"/>
        <v>#REF!</v>
      </c>
      <c r="F75" s="1133" t="e">
        <f t="shared" ca="1" si="5"/>
        <v>#REF!</v>
      </c>
      <c r="G75" s="1133" t="e">
        <f t="shared" ca="1" si="5"/>
        <v>#REF!</v>
      </c>
      <c r="H75" s="1133" t="e">
        <f t="shared" ca="1" si="5"/>
        <v>#REF!</v>
      </c>
      <c r="I75" s="1133" t="e">
        <f t="shared" ca="1" si="5"/>
        <v>#REF!</v>
      </c>
      <c r="J75" s="1133" t="e">
        <f t="shared" ca="1" si="5"/>
        <v>#REF!</v>
      </c>
      <c r="K75" s="1133" t="e">
        <f t="shared" ca="1" si="5"/>
        <v>#REF!</v>
      </c>
      <c r="L75" s="1133" t="e">
        <f t="shared" ca="1" si="5"/>
        <v>#REF!</v>
      </c>
      <c r="M75" s="1133" t="e">
        <f t="shared" ca="1" si="5"/>
        <v>#REF!</v>
      </c>
      <c r="N75" s="1133" t="e">
        <f t="shared" ca="1" si="5"/>
        <v>#REF!</v>
      </c>
      <c r="O75" s="1133" t="e">
        <f t="shared" ca="1" si="5"/>
        <v>#REF!</v>
      </c>
      <c r="P75" s="1133" t="e">
        <f t="shared" ca="1" si="5"/>
        <v>#REF!</v>
      </c>
      <c r="Q75" s="1133" t="e">
        <f t="shared" ca="1" si="5"/>
        <v>#REF!</v>
      </c>
      <c r="R75" s="1133" t="e">
        <f t="shared" ca="1" si="5"/>
        <v>#REF!</v>
      </c>
      <c r="S75" s="1133" t="e">
        <f t="shared" ca="1" si="5"/>
        <v>#REF!</v>
      </c>
      <c r="T75" s="1133" t="e">
        <f t="shared" ca="1" si="5"/>
        <v>#REF!</v>
      </c>
      <c r="U75" s="1133" t="e">
        <f t="shared" ca="1" si="5"/>
        <v>#REF!</v>
      </c>
      <c r="V75" s="1133" t="e">
        <f t="shared" ca="1" si="5"/>
        <v>#REF!</v>
      </c>
      <c r="W75" s="1133" t="e">
        <f t="shared" ca="1" si="5"/>
        <v>#REF!</v>
      </c>
      <c r="X75" s="1133" t="e">
        <f t="shared" ca="1" si="5"/>
        <v>#REF!</v>
      </c>
      <c r="Y75" s="1133" t="e">
        <f t="shared" ca="1" si="5"/>
        <v>#REF!</v>
      </c>
      <c r="Z75" s="1133" t="e">
        <f t="shared" ca="1" si="5"/>
        <v>#REF!</v>
      </c>
      <c r="AA75" s="1133" t="e">
        <f t="shared" ca="1" si="5"/>
        <v>#REF!</v>
      </c>
      <c r="AB75" s="1368" t="e">
        <f t="shared" ca="1" si="5"/>
        <v>#REF!</v>
      </c>
      <c r="AC75" s="2118"/>
      <c r="AD75" s="2125"/>
      <c r="AE75" s="1368"/>
      <c r="AF75" s="1368"/>
      <c r="AG75" s="1368"/>
      <c r="AH75" s="1368"/>
      <c r="AI75" s="1368"/>
      <c r="AJ75" s="1157"/>
    </row>
    <row r="76" spans="1:36">
      <c r="A76" s="1275" t="s">
        <v>1104</v>
      </c>
      <c r="B76" s="1134" t="e">
        <f ca="1">IF(rad_CF_reinf_req,CFRe_start_angle,0)</f>
        <v>#REF!</v>
      </c>
      <c r="C76" s="1133" t="e">
        <f t="shared" ref="C76:AB76" ca="1" si="6">IF(B75=0,0,IF(B76-B75&lt;=CFRe_stop_angle+B75/dist_mult,0,B76-B75))</f>
        <v>#REF!</v>
      </c>
      <c r="D76" s="1133" t="e">
        <f t="shared" ca="1" si="6"/>
        <v>#REF!</v>
      </c>
      <c r="E76" s="1133" t="e">
        <f t="shared" ca="1" si="6"/>
        <v>#REF!</v>
      </c>
      <c r="F76" s="1133" t="e">
        <f t="shared" ca="1" si="6"/>
        <v>#REF!</v>
      </c>
      <c r="G76" s="1133" t="e">
        <f t="shared" ca="1" si="6"/>
        <v>#REF!</v>
      </c>
      <c r="H76" s="1133" t="e">
        <f t="shared" ca="1" si="6"/>
        <v>#REF!</v>
      </c>
      <c r="I76" s="1133" t="e">
        <f t="shared" ca="1" si="6"/>
        <v>#REF!</v>
      </c>
      <c r="J76" s="1133" t="e">
        <f t="shared" ca="1" si="6"/>
        <v>#REF!</v>
      </c>
      <c r="K76" s="1133" t="e">
        <f t="shared" ca="1" si="6"/>
        <v>#REF!</v>
      </c>
      <c r="L76" s="1133" t="e">
        <f t="shared" ca="1" si="6"/>
        <v>#REF!</v>
      </c>
      <c r="M76" s="1133" t="e">
        <f t="shared" ca="1" si="6"/>
        <v>#REF!</v>
      </c>
      <c r="N76" s="1133" t="e">
        <f t="shared" ca="1" si="6"/>
        <v>#REF!</v>
      </c>
      <c r="O76" s="1133" t="e">
        <f t="shared" ca="1" si="6"/>
        <v>#REF!</v>
      </c>
      <c r="P76" s="1133" t="e">
        <f t="shared" ca="1" si="6"/>
        <v>#REF!</v>
      </c>
      <c r="Q76" s="1133" t="e">
        <f t="shared" ca="1" si="6"/>
        <v>#REF!</v>
      </c>
      <c r="R76" s="1133" t="e">
        <f t="shared" ca="1" si="6"/>
        <v>#REF!</v>
      </c>
      <c r="S76" s="1133" t="e">
        <f t="shared" ca="1" si="6"/>
        <v>#REF!</v>
      </c>
      <c r="T76" s="1133" t="e">
        <f t="shared" ca="1" si="6"/>
        <v>#REF!</v>
      </c>
      <c r="U76" s="1133" t="e">
        <f t="shared" ca="1" si="6"/>
        <v>#REF!</v>
      </c>
      <c r="V76" s="1133" t="e">
        <f t="shared" ca="1" si="6"/>
        <v>#REF!</v>
      </c>
      <c r="W76" s="1133" t="e">
        <f t="shared" ca="1" si="6"/>
        <v>#REF!</v>
      </c>
      <c r="X76" s="1133" t="e">
        <f t="shared" ca="1" si="6"/>
        <v>#REF!</v>
      </c>
      <c r="Y76" s="1133" t="e">
        <f t="shared" ca="1" si="6"/>
        <v>#REF!</v>
      </c>
      <c r="Z76" s="1133" t="e">
        <f t="shared" ca="1" si="6"/>
        <v>#REF!</v>
      </c>
      <c r="AA76" s="1133" t="e">
        <f t="shared" ca="1" si="6"/>
        <v>#REF!</v>
      </c>
      <c r="AB76" s="1368" t="e">
        <f t="shared" ca="1" si="6"/>
        <v>#REF!</v>
      </c>
      <c r="AC76" s="2118"/>
      <c r="AD76" s="2125"/>
      <c r="AE76" s="1368"/>
      <c r="AF76" s="1368"/>
      <c r="AG76" s="1368"/>
      <c r="AH76" s="1368"/>
      <c r="AI76" s="1368"/>
      <c r="AJ76" s="1157"/>
    </row>
    <row r="77" spans="1:36">
      <c r="A77" s="1275" t="s">
        <v>4129</v>
      </c>
      <c r="B77" s="3108" t="e">
        <f t="shared" ref="B77" ca="1" si="7">IF(B76&gt;=$Z$20,AVERAGE(B78,$Z$21),IF(B76&gt;=$X$20,AVERAGE(B78,$X$21),B78))</f>
        <v>#REF!</v>
      </c>
      <c r="C77" s="780" t="e">
        <f t="shared" ref="C77:AB77" ca="1" si="8">IF(C76&gt;=$Z$20,AVERAGE(C78,$Z$21),IF(C76&gt;=$X$20,AVERAGE(C78,$X$21),AVERAGE(r0*1000*EXP(K_House*C76)+House_P_T,r0*1000*EXP(K_House*(C76-B75))+House_P_T)))</f>
        <v>#REF!</v>
      </c>
      <c r="D77" s="780" t="e">
        <f t="shared" ca="1" si="8"/>
        <v>#REF!</v>
      </c>
      <c r="E77" s="780" t="e">
        <f t="shared" ca="1" si="8"/>
        <v>#REF!</v>
      </c>
      <c r="F77" s="780" t="e">
        <f t="shared" ca="1" si="8"/>
        <v>#REF!</v>
      </c>
      <c r="G77" s="780" t="e">
        <f t="shared" ca="1" si="8"/>
        <v>#REF!</v>
      </c>
      <c r="H77" s="780" t="e">
        <f t="shared" ca="1" si="8"/>
        <v>#REF!</v>
      </c>
      <c r="I77" s="780" t="e">
        <f t="shared" ca="1" si="8"/>
        <v>#REF!</v>
      </c>
      <c r="J77" s="780" t="e">
        <f t="shared" ca="1" si="8"/>
        <v>#REF!</v>
      </c>
      <c r="K77" s="780" t="e">
        <f t="shared" ca="1" si="8"/>
        <v>#REF!</v>
      </c>
      <c r="L77" s="780" t="e">
        <f t="shared" ca="1" si="8"/>
        <v>#REF!</v>
      </c>
      <c r="M77" s="780" t="e">
        <f t="shared" ca="1" si="8"/>
        <v>#REF!</v>
      </c>
      <c r="N77" s="780" t="e">
        <f t="shared" ca="1" si="8"/>
        <v>#REF!</v>
      </c>
      <c r="O77" s="780" t="e">
        <f t="shared" ca="1" si="8"/>
        <v>#REF!</v>
      </c>
      <c r="P77" s="780" t="e">
        <f t="shared" ca="1" si="8"/>
        <v>#REF!</v>
      </c>
      <c r="Q77" s="780" t="e">
        <f t="shared" ca="1" si="8"/>
        <v>#REF!</v>
      </c>
      <c r="R77" s="780" t="e">
        <f t="shared" ca="1" si="8"/>
        <v>#REF!</v>
      </c>
      <c r="S77" s="780" t="e">
        <f t="shared" ca="1" si="8"/>
        <v>#REF!</v>
      </c>
      <c r="T77" s="780" t="e">
        <f t="shared" ca="1" si="8"/>
        <v>#REF!</v>
      </c>
      <c r="U77" s="780" t="e">
        <f t="shared" ca="1" si="8"/>
        <v>#REF!</v>
      </c>
      <c r="V77" s="780" t="e">
        <f t="shared" ca="1" si="8"/>
        <v>#REF!</v>
      </c>
      <c r="W77" s="780" t="e">
        <f t="shared" ca="1" si="8"/>
        <v>#REF!</v>
      </c>
      <c r="X77" s="780" t="e">
        <f t="shared" ca="1" si="8"/>
        <v>#REF!</v>
      </c>
      <c r="Y77" s="780" t="e">
        <f t="shared" ca="1" si="8"/>
        <v>#REF!</v>
      </c>
      <c r="Z77" s="780" t="e">
        <f t="shared" ca="1" si="8"/>
        <v>#REF!</v>
      </c>
      <c r="AA77" s="780" t="e">
        <f t="shared" ca="1" si="8"/>
        <v>#REF!</v>
      </c>
      <c r="AB77" s="1369" t="e">
        <f t="shared" ca="1" si="8"/>
        <v>#REF!</v>
      </c>
      <c r="AC77" s="2118"/>
      <c r="AD77" s="2125"/>
      <c r="AE77" s="1368"/>
      <c r="AF77" s="1368"/>
      <c r="AG77" s="1368"/>
      <c r="AH77" s="1368"/>
      <c r="AI77" s="1368"/>
      <c r="AJ77" s="1157"/>
    </row>
    <row r="78" spans="1:36">
      <c r="A78" s="1275" t="s">
        <v>4130</v>
      </c>
      <c r="B78" s="780" t="e">
        <f t="shared" ref="B78:AB78" ca="1" si="9">IF(B76=0,0,IF(B76&lt;2*PI(),r0*1000*EXP(K_House*B76)+House_P_T,IF(B76&lt;$Z$20,$Z$22/COS(B76),$Z$23/SIN(B76))))</f>
        <v>#REF!</v>
      </c>
      <c r="C78" s="780" t="e">
        <f ca="1">IF(C76=0,0,IF(C76&lt;2*PI(),r0*1000*EXP(K_House*C76)+House_P_T,IF(C76&lt;$Z$20,$Z$22/COS(C76),$Z$23/SIN(C76))))</f>
        <v>#REF!</v>
      </c>
      <c r="D78" s="780" t="e">
        <f t="shared" ca="1" si="9"/>
        <v>#REF!</v>
      </c>
      <c r="E78" s="780" t="e">
        <f t="shared" ca="1" si="9"/>
        <v>#REF!</v>
      </c>
      <c r="F78" s="780" t="e">
        <f t="shared" ca="1" si="9"/>
        <v>#REF!</v>
      </c>
      <c r="G78" s="780" t="e">
        <f t="shared" ca="1" si="9"/>
        <v>#REF!</v>
      </c>
      <c r="H78" s="780" t="e">
        <f t="shared" ca="1" si="9"/>
        <v>#REF!</v>
      </c>
      <c r="I78" s="780" t="e">
        <f t="shared" ca="1" si="9"/>
        <v>#REF!</v>
      </c>
      <c r="J78" s="780" t="e">
        <f t="shared" ca="1" si="9"/>
        <v>#REF!</v>
      </c>
      <c r="K78" s="780" t="e">
        <f t="shared" ca="1" si="9"/>
        <v>#REF!</v>
      </c>
      <c r="L78" s="780" t="e">
        <f t="shared" ca="1" si="9"/>
        <v>#REF!</v>
      </c>
      <c r="M78" s="780" t="e">
        <f t="shared" ca="1" si="9"/>
        <v>#REF!</v>
      </c>
      <c r="N78" s="780" t="e">
        <f t="shared" ca="1" si="9"/>
        <v>#REF!</v>
      </c>
      <c r="O78" s="780" t="e">
        <f t="shared" ca="1" si="9"/>
        <v>#REF!</v>
      </c>
      <c r="P78" s="780" t="e">
        <f t="shared" ca="1" si="9"/>
        <v>#REF!</v>
      </c>
      <c r="Q78" s="780" t="e">
        <f t="shared" ca="1" si="9"/>
        <v>#REF!</v>
      </c>
      <c r="R78" s="780" t="e">
        <f t="shared" ca="1" si="9"/>
        <v>#REF!</v>
      </c>
      <c r="S78" s="780" t="e">
        <f t="shared" ca="1" si="9"/>
        <v>#REF!</v>
      </c>
      <c r="T78" s="780" t="e">
        <f t="shared" ca="1" si="9"/>
        <v>#REF!</v>
      </c>
      <c r="U78" s="780" t="e">
        <f t="shared" ca="1" si="9"/>
        <v>#REF!</v>
      </c>
      <c r="V78" s="780" t="e">
        <f t="shared" ca="1" si="9"/>
        <v>#REF!</v>
      </c>
      <c r="W78" s="780" t="e">
        <f t="shared" ca="1" si="9"/>
        <v>#REF!</v>
      </c>
      <c r="X78" s="780" t="e">
        <f t="shared" ca="1" si="9"/>
        <v>#REF!</v>
      </c>
      <c r="Y78" s="780" t="e">
        <f t="shared" ca="1" si="9"/>
        <v>#REF!</v>
      </c>
      <c r="Z78" s="780" t="e">
        <f t="shared" ca="1" si="9"/>
        <v>#REF!</v>
      </c>
      <c r="AA78" s="780" t="e">
        <f t="shared" ca="1" si="9"/>
        <v>#REF!</v>
      </c>
      <c r="AB78" s="1369" t="e">
        <f t="shared" ca="1" si="9"/>
        <v>#REF!</v>
      </c>
      <c r="AC78" s="2117"/>
      <c r="AD78" s="2092"/>
      <c r="AE78" s="1369"/>
      <c r="AF78" s="1369"/>
      <c r="AG78" s="1369"/>
      <c r="AH78" s="1369"/>
      <c r="AI78" s="1369"/>
      <c r="AJ78" s="781"/>
    </row>
    <row r="79" spans="1:36">
      <c r="A79" s="2021" t="s">
        <v>2635</v>
      </c>
      <c r="B79" s="780">
        <f>1</f>
        <v>1</v>
      </c>
      <c r="C79" s="780">
        <f t="shared" ref="C79:AB79" si="10">B79+1</f>
        <v>2</v>
      </c>
      <c r="D79" s="780">
        <f t="shared" si="10"/>
        <v>3</v>
      </c>
      <c r="E79" s="780">
        <f t="shared" si="10"/>
        <v>4</v>
      </c>
      <c r="F79" s="780">
        <f t="shared" si="10"/>
        <v>5</v>
      </c>
      <c r="G79" s="780">
        <f t="shared" si="10"/>
        <v>6</v>
      </c>
      <c r="H79" s="780">
        <f t="shared" si="10"/>
        <v>7</v>
      </c>
      <c r="I79" s="780">
        <f t="shared" si="10"/>
        <v>8</v>
      </c>
      <c r="J79" s="780">
        <f>I79+1</f>
        <v>9</v>
      </c>
      <c r="K79" s="780">
        <f t="shared" si="10"/>
        <v>10</v>
      </c>
      <c r="L79" s="780">
        <f t="shared" si="10"/>
        <v>11</v>
      </c>
      <c r="M79" s="780">
        <f t="shared" si="10"/>
        <v>12</v>
      </c>
      <c r="N79" s="780">
        <f>M79+1</f>
        <v>13</v>
      </c>
      <c r="O79" s="780">
        <f t="shared" si="10"/>
        <v>14</v>
      </c>
      <c r="P79" s="780">
        <f t="shared" si="10"/>
        <v>15</v>
      </c>
      <c r="Q79" s="780">
        <f t="shared" si="10"/>
        <v>16</v>
      </c>
      <c r="R79" s="780">
        <f t="shared" si="10"/>
        <v>17</v>
      </c>
      <c r="S79" s="780">
        <f t="shared" si="10"/>
        <v>18</v>
      </c>
      <c r="T79" s="780">
        <f t="shared" si="10"/>
        <v>19</v>
      </c>
      <c r="U79" s="780">
        <f t="shared" si="10"/>
        <v>20</v>
      </c>
      <c r="V79" s="780">
        <f t="shared" si="10"/>
        <v>21</v>
      </c>
      <c r="W79" s="780">
        <f t="shared" si="10"/>
        <v>22</v>
      </c>
      <c r="X79" s="780">
        <f t="shared" si="10"/>
        <v>23</v>
      </c>
      <c r="Y79" s="780">
        <f t="shared" si="10"/>
        <v>24</v>
      </c>
      <c r="Z79" s="780">
        <f t="shared" si="10"/>
        <v>25</v>
      </c>
      <c r="AA79" s="780">
        <f t="shared" si="10"/>
        <v>26</v>
      </c>
      <c r="AB79" s="1369">
        <f t="shared" si="10"/>
        <v>27</v>
      </c>
      <c r="AC79" s="2117"/>
      <c r="AD79" s="2092"/>
      <c r="AE79" s="1369"/>
      <c r="AF79" s="1369"/>
      <c r="AG79" s="1369"/>
      <c r="AH79" s="1369"/>
      <c r="AI79" s="1369"/>
      <c r="AJ79" s="781"/>
    </row>
    <row r="80" spans="1:36">
      <c r="A80" s="1275" t="s">
        <v>1094</v>
      </c>
      <c r="B80" s="504">
        <f>0</f>
        <v>0</v>
      </c>
      <c r="C80" s="504">
        <f>0</f>
        <v>0</v>
      </c>
      <c r="D80" s="504">
        <f>0</f>
        <v>0</v>
      </c>
      <c r="E80" s="504">
        <f>0</f>
        <v>0</v>
      </c>
      <c r="F80" s="504">
        <f>0</f>
        <v>0</v>
      </c>
      <c r="G80" s="504">
        <f>0</f>
        <v>0</v>
      </c>
      <c r="H80" s="504">
        <f>0</f>
        <v>0</v>
      </c>
      <c r="I80" s="504">
        <f>0</f>
        <v>0</v>
      </c>
      <c r="J80" s="504">
        <f>0</f>
        <v>0</v>
      </c>
      <c r="K80" s="504">
        <f>0</f>
        <v>0</v>
      </c>
      <c r="L80" s="504">
        <f>0</f>
        <v>0</v>
      </c>
      <c r="M80" s="504">
        <f>0</f>
        <v>0</v>
      </c>
      <c r="N80" s="504">
        <f>0</f>
        <v>0</v>
      </c>
      <c r="O80" s="504">
        <f>0</f>
        <v>0</v>
      </c>
      <c r="P80" s="504">
        <f>0</f>
        <v>0</v>
      </c>
      <c r="Q80" s="504">
        <f>0</f>
        <v>0</v>
      </c>
      <c r="R80" s="504">
        <f>0</f>
        <v>0</v>
      </c>
      <c r="S80" s="504">
        <f>0</f>
        <v>0</v>
      </c>
      <c r="T80" s="504">
        <f>0</f>
        <v>0</v>
      </c>
      <c r="U80" s="504">
        <f>0</f>
        <v>0</v>
      </c>
      <c r="V80" s="504">
        <f>0</f>
        <v>0</v>
      </c>
      <c r="W80" s="504">
        <f>0</f>
        <v>0</v>
      </c>
      <c r="X80" s="504">
        <f>0</f>
        <v>0</v>
      </c>
      <c r="Y80" s="504">
        <f>0</f>
        <v>0</v>
      </c>
      <c r="Z80" s="504">
        <f>0</f>
        <v>0</v>
      </c>
      <c r="AA80" s="504">
        <f>0</f>
        <v>0</v>
      </c>
      <c r="AB80" s="511">
        <f>0</f>
        <v>0</v>
      </c>
      <c r="AC80" s="2119"/>
      <c r="AD80" s="2094"/>
      <c r="AE80" s="511"/>
      <c r="AF80" s="511"/>
      <c r="AG80" s="511"/>
      <c r="AH80" s="511"/>
      <c r="AI80" s="511"/>
      <c r="AJ80" s="530"/>
    </row>
    <row r="81" spans="1:38">
      <c r="A81" s="1275" t="s">
        <v>1095</v>
      </c>
      <c r="B81" s="508">
        <v>0</v>
      </c>
      <c r="C81" s="508">
        <v>0</v>
      </c>
      <c r="D81" s="508">
        <v>0</v>
      </c>
      <c r="E81" s="508">
        <v>0</v>
      </c>
      <c r="F81" s="508">
        <v>0</v>
      </c>
      <c r="G81" s="508">
        <v>0</v>
      </c>
      <c r="H81" s="508">
        <v>0</v>
      </c>
      <c r="I81" s="508">
        <v>0</v>
      </c>
      <c r="J81" s="508">
        <v>0</v>
      </c>
      <c r="K81" s="508">
        <v>0</v>
      </c>
      <c r="L81" s="508">
        <v>0</v>
      </c>
      <c r="M81" s="508">
        <v>0</v>
      </c>
      <c r="N81" s="508">
        <v>0</v>
      </c>
      <c r="O81" s="508">
        <v>0</v>
      </c>
      <c r="P81" s="508">
        <v>0</v>
      </c>
      <c r="Q81" s="508">
        <v>0</v>
      </c>
      <c r="R81" s="508">
        <v>0</v>
      </c>
      <c r="S81" s="508">
        <v>0</v>
      </c>
      <c r="T81" s="508">
        <v>0</v>
      </c>
      <c r="U81" s="508">
        <v>0</v>
      </c>
      <c r="V81" s="508">
        <v>0</v>
      </c>
      <c r="W81" s="508">
        <v>0</v>
      </c>
      <c r="X81" s="508">
        <v>0</v>
      </c>
      <c r="Y81" s="508">
        <v>0</v>
      </c>
      <c r="Z81" s="508">
        <v>0</v>
      </c>
      <c r="AA81" s="508">
        <v>0</v>
      </c>
      <c r="AB81" s="506">
        <v>0</v>
      </c>
      <c r="AC81" s="2120"/>
      <c r="AD81" s="2093"/>
      <c r="AE81" s="506"/>
      <c r="AF81" s="506"/>
      <c r="AG81" s="506"/>
      <c r="AH81" s="506"/>
      <c r="AI81" s="506"/>
      <c r="AJ81" s="532"/>
    </row>
    <row r="82" spans="1:38">
      <c r="A82" s="1275" t="s">
        <v>1096</v>
      </c>
      <c r="B82" s="504" t="e">
        <f t="shared" ref="B82:AB82" ca="1" si="11">COS(B76)*B78</f>
        <v>#REF!</v>
      </c>
      <c r="C82" s="504" t="e">
        <f t="shared" ca="1" si="11"/>
        <v>#REF!</v>
      </c>
      <c r="D82" s="504" t="e">
        <f t="shared" ca="1" si="11"/>
        <v>#REF!</v>
      </c>
      <c r="E82" s="504" t="e">
        <f t="shared" ca="1" si="11"/>
        <v>#REF!</v>
      </c>
      <c r="F82" s="504" t="e">
        <f t="shared" ca="1" si="11"/>
        <v>#REF!</v>
      </c>
      <c r="G82" s="504" t="e">
        <f t="shared" ca="1" si="11"/>
        <v>#REF!</v>
      </c>
      <c r="H82" s="504" t="e">
        <f t="shared" ca="1" si="11"/>
        <v>#REF!</v>
      </c>
      <c r="I82" s="504" t="e">
        <f t="shared" ca="1" si="11"/>
        <v>#REF!</v>
      </c>
      <c r="J82" s="504" t="e">
        <f t="shared" ca="1" si="11"/>
        <v>#REF!</v>
      </c>
      <c r="K82" s="504" t="e">
        <f t="shared" ca="1" si="11"/>
        <v>#REF!</v>
      </c>
      <c r="L82" s="504" t="e">
        <f t="shared" ca="1" si="11"/>
        <v>#REF!</v>
      </c>
      <c r="M82" s="504" t="e">
        <f t="shared" ca="1" si="11"/>
        <v>#REF!</v>
      </c>
      <c r="N82" s="504" t="e">
        <f t="shared" ca="1" si="11"/>
        <v>#REF!</v>
      </c>
      <c r="O82" s="504" t="e">
        <f t="shared" ca="1" si="11"/>
        <v>#REF!</v>
      </c>
      <c r="P82" s="504" t="e">
        <f t="shared" ca="1" si="11"/>
        <v>#REF!</v>
      </c>
      <c r="Q82" s="504" t="e">
        <f t="shared" ca="1" si="11"/>
        <v>#REF!</v>
      </c>
      <c r="R82" s="504" t="e">
        <f t="shared" ca="1" si="11"/>
        <v>#REF!</v>
      </c>
      <c r="S82" s="504" t="e">
        <f t="shared" ca="1" si="11"/>
        <v>#REF!</v>
      </c>
      <c r="T82" s="504" t="e">
        <f t="shared" ca="1" si="11"/>
        <v>#REF!</v>
      </c>
      <c r="U82" s="504" t="e">
        <f t="shared" ca="1" si="11"/>
        <v>#REF!</v>
      </c>
      <c r="V82" s="504" t="e">
        <f t="shared" ca="1" si="11"/>
        <v>#REF!</v>
      </c>
      <c r="W82" s="504" t="e">
        <f t="shared" ca="1" si="11"/>
        <v>#REF!</v>
      </c>
      <c r="X82" s="504" t="e">
        <f t="shared" ca="1" si="11"/>
        <v>#REF!</v>
      </c>
      <c r="Y82" s="504" t="e">
        <f t="shared" ca="1" si="11"/>
        <v>#REF!</v>
      </c>
      <c r="Z82" s="504" t="e">
        <f t="shared" ca="1" si="11"/>
        <v>#REF!</v>
      </c>
      <c r="AA82" s="504" t="e">
        <f t="shared" ca="1" si="11"/>
        <v>#REF!</v>
      </c>
      <c r="AB82" s="511" t="e">
        <f t="shared" ca="1" si="11"/>
        <v>#REF!</v>
      </c>
      <c r="AC82" s="2119"/>
      <c r="AD82" s="2094"/>
      <c r="AE82" s="511"/>
      <c r="AF82" s="511"/>
      <c r="AG82" s="511"/>
      <c r="AH82" s="511"/>
      <c r="AI82" s="511"/>
      <c r="AJ82" s="530"/>
    </row>
    <row r="83" spans="1:38">
      <c r="A83" s="1275" t="s">
        <v>1097</v>
      </c>
      <c r="B83" s="508" t="e">
        <f t="shared" ref="B83:AB83" ca="1" si="12">SIN(B76)*B78</f>
        <v>#REF!</v>
      </c>
      <c r="C83" s="508" t="e">
        <f t="shared" ca="1" si="12"/>
        <v>#REF!</v>
      </c>
      <c r="D83" s="508" t="e">
        <f t="shared" ca="1" si="12"/>
        <v>#REF!</v>
      </c>
      <c r="E83" s="508" t="e">
        <f t="shared" ca="1" si="12"/>
        <v>#REF!</v>
      </c>
      <c r="F83" s="508" t="e">
        <f t="shared" ca="1" si="12"/>
        <v>#REF!</v>
      </c>
      <c r="G83" s="508" t="e">
        <f t="shared" ca="1" si="12"/>
        <v>#REF!</v>
      </c>
      <c r="H83" s="508" t="e">
        <f t="shared" ca="1" si="12"/>
        <v>#REF!</v>
      </c>
      <c r="I83" s="508" t="e">
        <f t="shared" ca="1" si="12"/>
        <v>#REF!</v>
      </c>
      <c r="J83" s="508" t="e">
        <f t="shared" ca="1" si="12"/>
        <v>#REF!</v>
      </c>
      <c r="K83" s="508" t="e">
        <f t="shared" ca="1" si="12"/>
        <v>#REF!</v>
      </c>
      <c r="L83" s="508" t="e">
        <f t="shared" ca="1" si="12"/>
        <v>#REF!</v>
      </c>
      <c r="M83" s="508" t="e">
        <f t="shared" ca="1" si="12"/>
        <v>#REF!</v>
      </c>
      <c r="N83" s="508" t="e">
        <f t="shared" ca="1" si="12"/>
        <v>#REF!</v>
      </c>
      <c r="O83" s="508" t="e">
        <f t="shared" ca="1" si="12"/>
        <v>#REF!</v>
      </c>
      <c r="P83" s="508" t="e">
        <f t="shared" ca="1" si="12"/>
        <v>#REF!</v>
      </c>
      <c r="Q83" s="508" t="e">
        <f t="shared" ca="1" si="12"/>
        <v>#REF!</v>
      </c>
      <c r="R83" s="508" t="e">
        <f t="shared" ca="1" si="12"/>
        <v>#REF!</v>
      </c>
      <c r="S83" s="508" t="e">
        <f t="shared" ca="1" si="12"/>
        <v>#REF!</v>
      </c>
      <c r="T83" s="508" t="e">
        <f t="shared" ca="1" si="12"/>
        <v>#REF!</v>
      </c>
      <c r="U83" s="508" t="e">
        <f t="shared" ca="1" si="12"/>
        <v>#REF!</v>
      </c>
      <c r="V83" s="508" t="e">
        <f t="shared" ca="1" si="12"/>
        <v>#REF!</v>
      </c>
      <c r="W83" s="508" t="e">
        <f t="shared" ca="1" si="12"/>
        <v>#REF!</v>
      </c>
      <c r="X83" s="508" t="e">
        <f t="shared" ca="1" si="12"/>
        <v>#REF!</v>
      </c>
      <c r="Y83" s="508" t="e">
        <f t="shared" ca="1" si="12"/>
        <v>#REF!</v>
      </c>
      <c r="Z83" s="508" t="e">
        <f t="shared" ca="1" si="12"/>
        <v>#REF!</v>
      </c>
      <c r="AA83" s="508" t="e">
        <f t="shared" ca="1" si="12"/>
        <v>#REF!</v>
      </c>
      <c r="AB83" s="506" t="e">
        <f t="shared" ca="1" si="12"/>
        <v>#REF!</v>
      </c>
      <c r="AC83" s="2120"/>
      <c r="AD83" s="2093"/>
      <c r="AE83" s="506"/>
      <c r="AF83" s="506"/>
      <c r="AG83" s="506"/>
      <c r="AH83" s="506"/>
      <c r="AI83" s="506"/>
      <c r="AJ83" s="532"/>
    </row>
    <row r="84" spans="1:38">
      <c r="A84" s="1275" t="s">
        <v>3563</v>
      </c>
      <c r="B84" s="780" t="e">
        <f t="shared" ref="B84:AB84" ca="1" si="13">IF(B78&gt;0,IF(C78&gt;0,SQRT((C82-B82)^2+(C83-B83)^2),SQRT((B82-$B82)^2+(B83-$B83)^2)),0)</f>
        <v>#REF!</v>
      </c>
      <c r="C84" s="780" t="e">
        <f t="shared" ca="1" si="13"/>
        <v>#REF!</v>
      </c>
      <c r="D84" s="780" t="e">
        <f t="shared" ca="1" si="13"/>
        <v>#REF!</v>
      </c>
      <c r="E84" s="780" t="e">
        <f t="shared" ca="1" si="13"/>
        <v>#REF!</v>
      </c>
      <c r="F84" s="780" t="e">
        <f t="shared" ca="1" si="13"/>
        <v>#REF!</v>
      </c>
      <c r="G84" s="780" t="e">
        <f t="shared" ca="1" si="13"/>
        <v>#REF!</v>
      </c>
      <c r="H84" s="780" t="e">
        <f t="shared" ca="1" si="13"/>
        <v>#REF!</v>
      </c>
      <c r="I84" s="780" t="e">
        <f ca="1">IF(I78&gt;0,IF(J78&gt;0,SQRT((J82-I82)^2+(J83-I83)^2),SQRT((I82-$B82)^2+(I83-$B83)^2)),0)</f>
        <v>#REF!</v>
      </c>
      <c r="J84" s="780" t="e">
        <f ca="1">IF(J78&gt;0,IF(K78&gt;0,SQRT((K82-J82)^2+(K83-J83)^2),SQRT((J82-$B82)^2+(J83-$B83)^2)),0)</f>
        <v>#REF!</v>
      </c>
      <c r="K84" s="780" t="e">
        <f ca="1">IF(K78&gt;0,IF(L78&gt;0,SQRT((L82-K82)^2+(L83-K83)^2),SQRT((K82-$B82)^2+(K83-$B83)^2)),0)</f>
        <v>#REF!</v>
      </c>
      <c r="L84" s="780" t="e">
        <f ca="1">IF(L78&gt;0,IF(M78&gt;0,SQRT((M82-L82)^2+(M83-L83)^2),SQRT((L82-$B82)^2+(L83-$B83)^2)),0)</f>
        <v>#REF!</v>
      </c>
      <c r="M84" s="780" t="e">
        <f ca="1">IF(M78&gt;0,IF(N78&gt;0,SQRT((N82-M82)^2+(N83-M83)^2),SQRT((M82-$B82)^2+(M83-$B83)^2)),0)</f>
        <v>#REF!</v>
      </c>
      <c r="N84" s="780" t="e">
        <f t="shared" ca="1" si="13"/>
        <v>#REF!</v>
      </c>
      <c r="O84" s="780" t="e">
        <f t="shared" ca="1" si="13"/>
        <v>#REF!</v>
      </c>
      <c r="P84" s="780" t="e">
        <f t="shared" ca="1" si="13"/>
        <v>#REF!</v>
      </c>
      <c r="Q84" s="780" t="e">
        <f t="shared" ca="1" si="13"/>
        <v>#REF!</v>
      </c>
      <c r="R84" s="780" t="e">
        <f t="shared" ca="1" si="13"/>
        <v>#REF!</v>
      </c>
      <c r="S84" s="780" t="e">
        <f t="shared" ca="1" si="13"/>
        <v>#REF!</v>
      </c>
      <c r="T84" s="780" t="e">
        <f t="shared" ca="1" si="13"/>
        <v>#REF!</v>
      </c>
      <c r="U84" s="780" t="e">
        <f t="shared" ca="1" si="13"/>
        <v>#REF!</v>
      </c>
      <c r="V84" s="780" t="e">
        <f t="shared" ca="1" si="13"/>
        <v>#REF!</v>
      </c>
      <c r="W84" s="780" t="e">
        <f t="shared" ca="1" si="13"/>
        <v>#REF!</v>
      </c>
      <c r="X84" s="780" t="e">
        <f t="shared" ca="1" si="13"/>
        <v>#REF!</v>
      </c>
      <c r="Y84" s="780" t="e">
        <f t="shared" ca="1" si="13"/>
        <v>#REF!</v>
      </c>
      <c r="Z84" s="780" t="e">
        <f t="shared" ca="1" si="13"/>
        <v>#REF!</v>
      </c>
      <c r="AA84" s="780" t="e">
        <f t="shared" ca="1" si="13"/>
        <v>#REF!</v>
      </c>
      <c r="AB84" s="1369" t="e">
        <f t="shared" ca="1" si="13"/>
        <v>#REF!</v>
      </c>
      <c r="AC84" s="2117"/>
      <c r="AD84" s="2092"/>
      <c r="AE84" s="1369"/>
      <c r="AF84" s="1369"/>
      <c r="AG84" s="1369"/>
      <c r="AH84" s="1369"/>
      <c r="AI84" s="1369"/>
      <c r="AJ84" s="781"/>
    </row>
    <row r="85" spans="1:38" s="1346" customFormat="1" ht="15.75" thickBot="1">
      <c r="A85" s="2349" t="s">
        <v>3566</v>
      </c>
      <c r="B85" s="2350" t="e">
        <f t="shared" ref="B85:AB85" ca="1" si="14">(B76-C76)/(2*PI())*(PI()*AVERAGE(B83^2+B82^2,IF(C84&lt;&gt;0,C83^2+C82^2,B83^2+B82^2))-PI()*$L$14^2)/1000000</f>
        <v>#REF!</v>
      </c>
      <c r="C85" s="2351" t="e">
        <f t="shared" ca="1" si="14"/>
        <v>#REF!</v>
      </c>
      <c r="D85" s="2351" t="e">
        <f t="shared" ca="1" si="14"/>
        <v>#REF!</v>
      </c>
      <c r="E85" s="2351" t="e">
        <f t="shared" ca="1" si="14"/>
        <v>#REF!</v>
      </c>
      <c r="F85" s="2351" t="e">
        <f t="shared" ca="1" si="14"/>
        <v>#REF!</v>
      </c>
      <c r="G85" s="2351" t="e">
        <f t="shared" ca="1" si="14"/>
        <v>#REF!</v>
      </c>
      <c r="H85" s="2351" t="e">
        <f t="shared" ca="1" si="14"/>
        <v>#REF!</v>
      </c>
      <c r="I85" s="2351" t="e">
        <f t="shared" ca="1" si="14"/>
        <v>#REF!</v>
      </c>
      <c r="J85" s="2351" t="e">
        <f t="shared" ca="1" si="14"/>
        <v>#REF!</v>
      </c>
      <c r="K85" s="2351" t="e">
        <f t="shared" ca="1" si="14"/>
        <v>#REF!</v>
      </c>
      <c r="L85" s="2351" t="e">
        <f t="shared" ca="1" si="14"/>
        <v>#REF!</v>
      </c>
      <c r="M85" s="2351" t="e">
        <f t="shared" ca="1" si="14"/>
        <v>#REF!</v>
      </c>
      <c r="N85" s="2351" t="e">
        <f t="shared" ca="1" si="14"/>
        <v>#REF!</v>
      </c>
      <c r="O85" s="2351" t="e">
        <f t="shared" ca="1" si="14"/>
        <v>#REF!</v>
      </c>
      <c r="P85" s="2351" t="e">
        <f t="shared" ca="1" si="14"/>
        <v>#REF!</v>
      </c>
      <c r="Q85" s="2351" t="e">
        <f t="shared" ca="1" si="14"/>
        <v>#REF!</v>
      </c>
      <c r="R85" s="2351" t="e">
        <f t="shared" ca="1" si="14"/>
        <v>#REF!</v>
      </c>
      <c r="S85" s="2351" t="e">
        <f t="shared" ca="1" si="14"/>
        <v>#REF!</v>
      </c>
      <c r="T85" s="2351" t="e">
        <f t="shared" ca="1" si="14"/>
        <v>#REF!</v>
      </c>
      <c r="U85" s="2351" t="e">
        <f t="shared" ca="1" si="14"/>
        <v>#REF!</v>
      </c>
      <c r="V85" s="2351" t="e">
        <f t="shared" ca="1" si="14"/>
        <v>#REF!</v>
      </c>
      <c r="W85" s="2351" t="e">
        <f t="shared" ca="1" si="14"/>
        <v>#REF!</v>
      </c>
      <c r="X85" s="2351" t="e">
        <f t="shared" ca="1" si="14"/>
        <v>#REF!</v>
      </c>
      <c r="Y85" s="2351" t="e">
        <f t="shared" ca="1" si="14"/>
        <v>#REF!</v>
      </c>
      <c r="Z85" s="2351" t="e">
        <f t="shared" ca="1" si="14"/>
        <v>#REF!</v>
      </c>
      <c r="AA85" s="2351" t="e">
        <f t="shared" ca="1" si="14"/>
        <v>#REF!</v>
      </c>
      <c r="AB85" s="2351" t="e">
        <f t="shared" ca="1" si="14"/>
        <v>#REF!</v>
      </c>
      <c r="AC85" s="2352"/>
      <c r="AD85" s="2353"/>
      <c r="AE85" s="2351"/>
      <c r="AF85" s="2351"/>
      <c r="AG85" s="2351"/>
      <c r="AH85" s="2351"/>
      <c r="AI85" s="2351"/>
      <c r="AJ85" s="2354"/>
    </row>
    <row r="86" spans="1:38" s="544" customFormat="1">
      <c r="A86" s="2347"/>
      <c r="AC86" s="1136"/>
      <c r="AD86" s="1136"/>
    </row>
    <row r="87" spans="1:38" s="518" customFormat="1" ht="15.75" thickBot="1">
      <c r="A87" s="1278"/>
      <c r="B87" s="547"/>
      <c r="C87" s="547"/>
      <c r="D87" s="547"/>
      <c r="E87" s="547"/>
      <c r="F87" s="547"/>
      <c r="G87" s="547"/>
      <c r="H87" s="547"/>
      <c r="I87" s="547"/>
      <c r="J87" s="547"/>
      <c r="K87" s="547"/>
      <c r="L87" s="547"/>
      <c r="M87" s="547"/>
      <c r="N87" s="547"/>
      <c r="O87" s="547"/>
      <c r="P87" s="547"/>
      <c r="Q87" s="547"/>
      <c r="R87" s="547"/>
      <c r="S87" s="547"/>
      <c r="T87" s="547"/>
      <c r="U87" s="547"/>
      <c r="V87" s="547"/>
      <c r="W87" s="547"/>
      <c r="X87" s="547"/>
      <c r="Y87" s="547"/>
      <c r="Z87" s="547"/>
      <c r="AA87" s="547"/>
      <c r="AB87" s="556"/>
      <c r="AC87" s="556"/>
      <c r="AD87" s="556"/>
      <c r="AE87" s="556"/>
      <c r="AF87" s="556"/>
      <c r="AG87" s="556"/>
      <c r="AH87" s="556"/>
      <c r="AI87" s="556"/>
      <c r="AJ87" s="556"/>
    </row>
    <row r="88" spans="1:38">
      <c r="A88" s="3849" t="s">
        <v>2645</v>
      </c>
      <c r="B88" s="3858" t="str">
        <f>"Intersection FF Bottom / Central Frame Side Rad. Reinforcement (LG), "&amp;$G$6&amp;", (0)"</f>
        <v>Intersection FF Bottom / Central Frame Side Rad. Reinforcement (LG), 135, (0)</v>
      </c>
      <c r="C88" s="3858"/>
      <c r="D88" s="3858"/>
      <c r="E88" s="3858"/>
      <c r="F88" s="3858"/>
      <c r="G88" s="3858"/>
      <c r="H88" s="3858"/>
      <c r="I88" s="3858"/>
      <c r="J88" s="3858"/>
      <c r="K88" s="3858"/>
      <c r="L88" s="3858"/>
      <c r="M88" s="3858"/>
      <c r="N88" s="3858"/>
      <c r="O88" s="3858"/>
      <c r="P88" s="3858"/>
      <c r="Q88" s="3858"/>
      <c r="R88" s="3858"/>
      <c r="S88" s="3858"/>
      <c r="T88" s="3858"/>
      <c r="U88" s="3858"/>
      <c r="V88" s="3858"/>
      <c r="W88" s="3858"/>
      <c r="X88" s="3858"/>
      <c r="Y88" s="3858"/>
      <c r="Z88" s="3858"/>
      <c r="AA88" s="3858"/>
      <c r="AB88" s="3858"/>
      <c r="AC88" s="3858"/>
      <c r="AD88" s="3858"/>
      <c r="AE88" s="3858"/>
      <c r="AF88" s="3858"/>
      <c r="AG88" s="3858"/>
      <c r="AH88" s="3858"/>
      <c r="AI88" s="3858"/>
      <c r="AJ88" s="3859"/>
    </row>
    <row r="89" spans="1:38" s="813" customFormat="1" ht="15.75" thickBot="1">
      <c r="A89" s="3850"/>
      <c r="B89" s="3860"/>
      <c r="C89" s="3860"/>
      <c r="D89" s="3860"/>
      <c r="E89" s="3860"/>
      <c r="F89" s="3860"/>
      <c r="G89" s="3860"/>
      <c r="H89" s="3860"/>
      <c r="I89" s="3860"/>
      <c r="J89" s="3860"/>
      <c r="K89" s="3860"/>
      <c r="L89" s="3860"/>
      <c r="M89" s="3860"/>
      <c r="N89" s="3860"/>
      <c r="O89" s="3860"/>
      <c r="P89" s="3860"/>
      <c r="Q89" s="3860"/>
      <c r="R89" s="3860"/>
      <c r="S89" s="3860"/>
      <c r="T89" s="3860"/>
      <c r="U89" s="3860"/>
      <c r="V89" s="3860"/>
      <c r="W89" s="3860"/>
      <c r="X89" s="3860"/>
      <c r="Y89" s="3860"/>
      <c r="Z89" s="3860"/>
      <c r="AA89" s="3860"/>
      <c r="AB89" s="3860"/>
      <c r="AC89" s="3860"/>
      <c r="AD89" s="3860"/>
      <c r="AE89" s="3860"/>
      <c r="AF89" s="3860"/>
      <c r="AG89" s="3860"/>
      <c r="AH89" s="3860"/>
      <c r="AI89" s="3860"/>
      <c r="AJ89" s="3861"/>
    </row>
    <row r="90" spans="1:38">
      <c r="A90" s="515"/>
      <c r="B90" s="503" t="e">
        <f t="shared" ref="B90:AB90" ca="1" si="15">DEGREES(B92)</f>
        <v>#REF!</v>
      </c>
      <c r="C90" s="510" t="e">
        <f t="shared" ca="1" si="15"/>
        <v>#REF!</v>
      </c>
      <c r="D90" s="510" t="e">
        <f t="shared" ca="1" si="15"/>
        <v>#REF!</v>
      </c>
      <c r="E90" s="510" t="e">
        <f t="shared" ca="1" si="15"/>
        <v>#REF!</v>
      </c>
      <c r="F90" s="510" t="e">
        <f t="shared" ca="1" si="15"/>
        <v>#REF!</v>
      </c>
      <c r="G90" s="510" t="e">
        <f t="shared" ca="1" si="15"/>
        <v>#REF!</v>
      </c>
      <c r="H90" s="510" t="e">
        <f t="shared" ca="1" si="15"/>
        <v>#REF!</v>
      </c>
      <c r="I90" s="510" t="e">
        <f t="shared" ca="1" si="15"/>
        <v>#REF!</v>
      </c>
      <c r="J90" s="510" t="e">
        <f t="shared" ca="1" si="15"/>
        <v>#REF!</v>
      </c>
      <c r="K90" s="510" t="e">
        <f t="shared" ca="1" si="15"/>
        <v>#REF!</v>
      </c>
      <c r="L90" s="510" t="e">
        <f t="shared" ca="1" si="15"/>
        <v>#REF!</v>
      </c>
      <c r="M90" s="510" t="e">
        <f t="shared" ca="1" si="15"/>
        <v>#REF!</v>
      </c>
      <c r="N90" s="510" t="e">
        <f t="shared" ca="1" si="15"/>
        <v>#REF!</v>
      </c>
      <c r="O90" s="510" t="e">
        <f t="shared" ca="1" si="15"/>
        <v>#REF!</v>
      </c>
      <c r="P90" s="510" t="e">
        <f t="shared" ca="1" si="15"/>
        <v>#REF!</v>
      </c>
      <c r="Q90" s="510" t="e">
        <f t="shared" ca="1" si="15"/>
        <v>#REF!</v>
      </c>
      <c r="R90" s="510" t="e">
        <f t="shared" ca="1" si="15"/>
        <v>#REF!</v>
      </c>
      <c r="S90" s="510" t="e">
        <f t="shared" ca="1" si="15"/>
        <v>#REF!</v>
      </c>
      <c r="T90" s="510" t="e">
        <f t="shared" ca="1" si="15"/>
        <v>#REF!</v>
      </c>
      <c r="U90" s="510" t="e">
        <f t="shared" ca="1" si="15"/>
        <v>#REF!</v>
      </c>
      <c r="V90" s="510" t="e">
        <f t="shared" ca="1" si="15"/>
        <v>#REF!</v>
      </c>
      <c r="W90" s="510" t="e">
        <f t="shared" ca="1" si="15"/>
        <v>#REF!</v>
      </c>
      <c r="X90" s="510" t="e">
        <f t="shared" ca="1" si="15"/>
        <v>#REF!</v>
      </c>
      <c r="Y90" s="510" t="e">
        <f t="shared" ca="1" si="15"/>
        <v>#REF!</v>
      </c>
      <c r="Z90" s="510" t="e">
        <f t="shared" ca="1" si="15"/>
        <v>#REF!</v>
      </c>
      <c r="AA90" s="510" t="e">
        <f t="shared" ca="1" si="15"/>
        <v>#REF!</v>
      </c>
      <c r="AB90" s="510" t="e">
        <f t="shared" ca="1" si="15"/>
        <v>#REF!</v>
      </c>
      <c r="AC90" s="2116"/>
      <c r="AD90" s="685"/>
      <c r="AE90" s="510"/>
      <c r="AF90" s="510"/>
      <c r="AG90" s="510"/>
      <c r="AH90" s="510"/>
      <c r="AI90" s="510"/>
      <c r="AJ90" s="1340"/>
    </row>
    <row r="91" spans="1:38">
      <c r="A91" s="2021" t="s">
        <v>2635</v>
      </c>
      <c r="B91" s="780">
        <v>1</v>
      </c>
      <c r="C91" s="780">
        <f t="shared" ref="C91:AB91" si="16">B91+1</f>
        <v>2</v>
      </c>
      <c r="D91" s="780">
        <f t="shared" si="16"/>
        <v>3</v>
      </c>
      <c r="E91" s="780">
        <f t="shared" si="16"/>
        <v>4</v>
      </c>
      <c r="F91" s="780">
        <f t="shared" si="16"/>
        <v>5</v>
      </c>
      <c r="G91" s="780">
        <f t="shared" si="16"/>
        <v>6</v>
      </c>
      <c r="H91" s="780">
        <f t="shared" si="16"/>
        <v>7</v>
      </c>
      <c r="I91" s="780">
        <f t="shared" si="16"/>
        <v>8</v>
      </c>
      <c r="J91" s="780">
        <f>I91+1</f>
        <v>9</v>
      </c>
      <c r="K91" s="780">
        <f t="shared" si="16"/>
        <v>10</v>
      </c>
      <c r="L91" s="780">
        <f t="shared" si="16"/>
        <v>11</v>
      </c>
      <c r="M91" s="780">
        <f t="shared" si="16"/>
        <v>12</v>
      </c>
      <c r="N91" s="780">
        <f>M91+1</f>
        <v>13</v>
      </c>
      <c r="O91" s="780">
        <f>N91+1</f>
        <v>14</v>
      </c>
      <c r="P91" s="780">
        <f t="shared" si="16"/>
        <v>15</v>
      </c>
      <c r="Q91" s="780">
        <f t="shared" si="16"/>
        <v>16</v>
      </c>
      <c r="R91" s="780">
        <f t="shared" si="16"/>
        <v>17</v>
      </c>
      <c r="S91" s="780">
        <f t="shared" si="16"/>
        <v>18</v>
      </c>
      <c r="T91" s="780">
        <f t="shared" si="16"/>
        <v>19</v>
      </c>
      <c r="U91" s="780">
        <f t="shared" si="16"/>
        <v>20</v>
      </c>
      <c r="V91" s="780">
        <f t="shared" si="16"/>
        <v>21</v>
      </c>
      <c r="W91" s="780">
        <f>V91+1</f>
        <v>22</v>
      </c>
      <c r="X91" s="780">
        <f t="shared" si="16"/>
        <v>23</v>
      </c>
      <c r="Y91" s="780">
        <f t="shared" si="16"/>
        <v>24</v>
      </c>
      <c r="Z91" s="780">
        <f t="shared" si="16"/>
        <v>25</v>
      </c>
      <c r="AA91" s="780">
        <f t="shared" si="16"/>
        <v>26</v>
      </c>
      <c r="AB91" s="1369">
        <f t="shared" si="16"/>
        <v>27</v>
      </c>
      <c r="AC91" s="2117"/>
      <c r="AD91" s="2112"/>
      <c r="AE91" s="780"/>
      <c r="AF91" s="780"/>
      <c r="AG91" s="780"/>
      <c r="AH91" s="780"/>
      <c r="AI91" s="780"/>
      <c r="AJ91" s="781"/>
    </row>
    <row r="92" spans="1:38">
      <c r="A92" s="1275" t="s">
        <v>3568</v>
      </c>
      <c r="B92" s="1133" t="e">
        <f t="shared" ref="B92:AB92" ca="1" si="17">IF(B$76&lt;&gt;0,B$76+$H$6,0)</f>
        <v>#REF!</v>
      </c>
      <c r="C92" s="1133" t="e">
        <f t="shared" ca="1" si="17"/>
        <v>#REF!</v>
      </c>
      <c r="D92" s="1133" t="e">
        <f t="shared" ca="1" si="17"/>
        <v>#REF!</v>
      </c>
      <c r="E92" s="1133" t="e">
        <f t="shared" ca="1" si="17"/>
        <v>#REF!</v>
      </c>
      <c r="F92" s="1133" t="e">
        <f t="shared" ca="1" si="17"/>
        <v>#REF!</v>
      </c>
      <c r="G92" s="1133" t="e">
        <f t="shared" ca="1" si="17"/>
        <v>#REF!</v>
      </c>
      <c r="H92" s="1133" t="e">
        <f t="shared" ca="1" si="17"/>
        <v>#REF!</v>
      </c>
      <c r="I92" s="1133" t="e">
        <f t="shared" ca="1" si="17"/>
        <v>#REF!</v>
      </c>
      <c r="J92" s="1133" t="e">
        <f t="shared" ca="1" si="17"/>
        <v>#REF!</v>
      </c>
      <c r="K92" s="1133" t="e">
        <f t="shared" ca="1" si="17"/>
        <v>#REF!</v>
      </c>
      <c r="L92" s="1133" t="e">
        <f t="shared" ca="1" si="17"/>
        <v>#REF!</v>
      </c>
      <c r="M92" s="1133" t="e">
        <f t="shared" ca="1" si="17"/>
        <v>#REF!</v>
      </c>
      <c r="N92" s="1133" t="e">
        <f t="shared" ca="1" si="17"/>
        <v>#REF!</v>
      </c>
      <c r="O92" s="1133" t="e">
        <f t="shared" ca="1" si="17"/>
        <v>#REF!</v>
      </c>
      <c r="P92" s="1133" t="e">
        <f t="shared" ca="1" si="17"/>
        <v>#REF!</v>
      </c>
      <c r="Q92" s="1133" t="e">
        <f t="shared" ca="1" si="17"/>
        <v>#REF!</v>
      </c>
      <c r="R92" s="1133" t="e">
        <f t="shared" ca="1" si="17"/>
        <v>#REF!</v>
      </c>
      <c r="S92" s="1133" t="e">
        <f t="shared" ca="1" si="17"/>
        <v>#REF!</v>
      </c>
      <c r="T92" s="1133" t="e">
        <f t="shared" ca="1" si="17"/>
        <v>#REF!</v>
      </c>
      <c r="U92" s="1133" t="e">
        <f t="shared" ca="1" si="17"/>
        <v>#REF!</v>
      </c>
      <c r="V92" s="1133" t="e">
        <f t="shared" ca="1" si="17"/>
        <v>#REF!</v>
      </c>
      <c r="W92" s="1133" t="e">
        <f t="shared" ca="1" si="17"/>
        <v>#REF!</v>
      </c>
      <c r="X92" s="1133" t="e">
        <f t="shared" ca="1" si="17"/>
        <v>#REF!</v>
      </c>
      <c r="Y92" s="1133" t="e">
        <f t="shared" ca="1" si="17"/>
        <v>#REF!</v>
      </c>
      <c r="Z92" s="1133" t="e">
        <f t="shared" ca="1" si="17"/>
        <v>#REF!</v>
      </c>
      <c r="AA92" s="1133" t="e">
        <f t="shared" ca="1" si="17"/>
        <v>#REF!</v>
      </c>
      <c r="AB92" s="1368" t="e">
        <f t="shared" ca="1" si="17"/>
        <v>#REF!</v>
      </c>
      <c r="AC92" s="2118"/>
      <c r="AD92" s="1177"/>
      <c r="AE92" s="1133"/>
      <c r="AF92" s="1133"/>
      <c r="AG92" s="1133"/>
      <c r="AH92" s="1133"/>
      <c r="AI92" s="1133"/>
      <c r="AJ92" s="1157"/>
      <c r="AK92" s="518"/>
      <c r="AL92" s="518"/>
    </row>
    <row r="93" spans="1:38">
      <c r="A93" s="2238" t="s">
        <v>4043</v>
      </c>
      <c r="B93" s="504" t="e">
        <f t="shared" ref="B93:AB93" ca="1" si="18">IF(B$78=0,0,IF(Small_F,ROUND(IF(B$95&lt;$S$9,IF(AND($R$9&lt;$S$9*TAN(B$92-$H$6),$S$9*TAN(B$92-$H$6)&lt;$T$9),$S$9,B$94/TAN(B$92-$H$6)),IF(B$95&gt;$S$10,IF(AND($R$10&lt;$S$10*TAN(B$92-$H$6),$S$10*TAN(B$92-$H$6)&lt;$T$10),$S$10,B$94/TAN(B$92-$H$6)),B$94/TAN(B$92-$H$6))),3),ROUND(IF(B$99&lt;$U$9,IF(AND($V$9&lt;$U$9*TAN(B$92),$U$9*TAN(B$92)&lt;$X$9),$U$9,B$94/TAN(B$92)),IF(B$99&gt;$U$10,IF(AND($V$10&lt;$U$10*TAN(B$92),$U$10*TAN(B$92)&lt;$X$10),$U$10,B$94/TAN(B$92)),B$94/TAN(B$92))),3)))</f>
        <v>#REF!</v>
      </c>
      <c r="C93" s="504" t="e">
        <f t="shared" ca="1" si="18"/>
        <v>#REF!</v>
      </c>
      <c r="D93" s="504" t="e">
        <f t="shared" ca="1" si="18"/>
        <v>#REF!</v>
      </c>
      <c r="E93" s="504" t="e">
        <f t="shared" ca="1" si="18"/>
        <v>#REF!</v>
      </c>
      <c r="F93" s="504" t="e">
        <f t="shared" ca="1" si="18"/>
        <v>#REF!</v>
      </c>
      <c r="G93" s="504" t="e">
        <f t="shared" ca="1" si="18"/>
        <v>#REF!</v>
      </c>
      <c r="H93" s="504" t="e">
        <f t="shared" ca="1" si="18"/>
        <v>#REF!</v>
      </c>
      <c r="I93" s="504" t="e">
        <f t="shared" ca="1" si="18"/>
        <v>#REF!</v>
      </c>
      <c r="J93" s="504" t="e">
        <f t="shared" ca="1" si="18"/>
        <v>#REF!</v>
      </c>
      <c r="K93" s="504" t="e">
        <f t="shared" ca="1" si="18"/>
        <v>#REF!</v>
      </c>
      <c r="L93" s="504" t="e">
        <f t="shared" ca="1" si="18"/>
        <v>#REF!</v>
      </c>
      <c r="M93" s="504" t="e">
        <f t="shared" ca="1" si="18"/>
        <v>#REF!</v>
      </c>
      <c r="N93" s="504" t="e">
        <f t="shared" ca="1" si="18"/>
        <v>#REF!</v>
      </c>
      <c r="O93" s="504" t="e">
        <f t="shared" ca="1" si="18"/>
        <v>#REF!</v>
      </c>
      <c r="P93" s="504" t="e">
        <f t="shared" ca="1" si="18"/>
        <v>#REF!</v>
      </c>
      <c r="Q93" s="504" t="e">
        <f t="shared" ca="1" si="18"/>
        <v>#REF!</v>
      </c>
      <c r="R93" s="504" t="e">
        <f t="shared" ca="1" si="18"/>
        <v>#REF!</v>
      </c>
      <c r="S93" s="504" t="e">
        <f t="shared" ca="1" si="18"/>
        <v>#REF!</v>
      </c>
      <c r="T93" s="504" t="e">
        <f t="shared" ca="1" si="18"/>
        <v>#REF!</v>
      </c>
      <c r="U93" s="504" t="e">
        <f t="shared" ca="1" si="18"/>
        <v>#REF!</v>
      </c>
      <c r="V93" s="504" t="e">
        <f t="shared" ca="1" si="18"/>
        <v>#REF!</v>
      </c>
      <c r="W93" s="504" t="e">
        <f t="shared" ca="1" si="18"/>
        <v>#REF!</v>
      </c>
      <c r="X93" s="504" t="e">
        <f t="shared" ca="1" si="18"/>
        <v>#REF!</v>
      </c>
      <c r="Y93" s="504" t="e">
        <f t="shared" ca="1" si="18"/>
        <v>#REF!</v>
      </c>
      <c r="Z93" s="504" t="e">
        <f t="shared" ca="1" si="18"/>
        <v>#REF!</v>
      </c>
      <c r="AA93" s="504" t="e">
        <f t="shared" ca="1" si="18"/>
        <v>#REF!</v>
      </c>
      <c r="AB93" s="511" t="e">
        <f t="shared" ca="1" si="18"/>
        <v>#REF!</v>
      </c>
      <c r="AC93" s="2119"/>
      <c r="AD93" s="2069"/>
      <c r="AE93" s="504"/>
      <c r="AF93" s="504"/>
      <c r="AG93" s="504"/>
      <c r="AH93" s="504"/>
      <c r="AI93" s="504"/>
      <c r="AJ93" s="530"/>
    </row>
    <row r="94" spans="1:38">
      <c r="A94" s="2238" t="s">
        <v>4044</v>
      </c>
      <c r="B94" s="508" t="e">
        <f t="shared" ref="B94:AB94" ca="1" si="19">IF(B$78=0,0,IF(Small_F,ROUND(IF(B$95&lt;$S$9,IF(AND($R$9&lt;$S$9*TAN(B$92-$H$6),$S$9*TAN(B$92-$H$6)&lt;$T$9),B$93*TAN(B$92-$H$6),IF(B$96&lt;$R$14,$R$14,IF(B$96&gt;$R$13,$R$13,1))),IF(B$95&gt;$S$10,IF(AND($R$10&lt;$S$10*TAN(B$92-$H$6),$S$10*TAN(B$92-$H$6)&lt;$T$10),B$93*TAN(B$92-$H$6),IF(B$96&lt;$R$14,$R$14,IF(B$96&gt;$R$13,$R$13,1))),IF(B$96&lt;$R$14,$R$14,IF(B$96&gt;$R$13,$R$13,1)))),3),ROUND(IF(B$99&lt;$U$9,IF(AND($V$9&lt;$U$9*TAN(B$92),$U$9*TAN(B$92)&lt;$X$9),B$93*TAN(B$92),IF(B$96&lt;$V$14,$V$14,IF(B$100&gt;$V$13,$V$13,1))),IF(B$99&gt;$U$10,IF(AND($V$10&lt;$U$10*TAN(B$92),$U$10*TAN(B$92)&lt;$X$10),B$93*TAN(B$92),IF(B$100&lt;$V$14,$V$14,IF(B$100&gt;$V$13,$V$13,1))),IF(B$100&lt;$V$14,$V$14,IF(B$100&gt;$V$13,$V$13,1)))),3)))</f>
        <v>#REF!</v>
      </c>
      <c r="C94" s="508" t="e">
        <f t="shared" ca="1" si="19"/>
        <v>#REF!</v>
      </c>
      <c r="D94" s="508" t="e">
        <f t="shared" ca="1" si="19"/>
        <v>#REF!</v>
      </c>
      <c r="E94" s="508" t="e">
        <f t="shared" ca="1" si="19"/>
        <v>#REF!</v>
      </c>
      <c r="F94" s="508" t="e">
        <f t="shared" ca="1" si="19"/>
        <v>#REF!</v>
      </c>
      <c r="G94" s="508" t="e">
        <f t="shared" ca="1" si="19"/>
        <v>#REF!</v>
      </c>
      <c r="H94" s="508" t="e">
        <f t="shared" ca="1" si="19"/>
        <v>#REF!</v>
      </c>
      <c r="I94" s="508" t="e">
        <f t="shared" ca="1" si="19"/>
        <v>#REF!</v>
      </c>
      <c r="J94" s="508" t="e">
        <f t="shared" ca="1" si="19"/>
        <v>#REF!</v>
      </c>
      <c r="K94" s="508" t="e">
        <f t="shared" ca="1" si="19"/>
        <v>#REF!</v>
      </c>
      <c r="L94" s="508" t="e">
        <f t="shared" ca="1" si="19"/>
        <v>#REF!</v>
      </c>
      <c r="M94" s="508" t="e">
        <f t="shared" ca="1" si="19"/>
        <v>#REF!</v>
      </c>
      <c r="N94" s="508" t="e">
        <f t="shared" ca="1" si="19"/>
        <v>#REF!</v>
      </c>
      <c r="O94" s="508" t="e">
        <f t="shared" ca="1" si="19"/>
        <v>#REF!</v>
      </c>
      <c r="P94" s="508" t="e">
        <f t="shared" ca="1" si="19"/>
        <v>#REF!</v>
      </c>
      <c r="Q94" s="508" t="e">
        <f t="shared" ca="1" si="19"/>
        <v>#REF!</v>
      </c>
      <c r="R94" s="508" t="e">
        <f t="shared" ca="1" si="19"/>
        <v>#REF!</v>
      </c>
      <c r="S94" s="508" t="e">
        <f t="shared" ca="1" si="19"/>
        <v>#REF!</v>
      </c>
      <c r="T94" s="508" t="e">
        <f t="shared" ca="1" si="19"/>
        <v>#REF!</v>
      </c>
      <c r="U94" s="508" t="e">
        <f t="shared" ca="1" si="19"/>
        <v>#REF!</v>
      </c>
      <c r="V94" s="508" t="e">
        <f t="shared" ca="1" si="19"/>
        <v>#REF!</v>
      </c>
      <c r="W94" s="508" t="e">
        <f t="shared" ca="1" si="19"/>
        <v>#REF!</v>
      </c>
      <c r="X94" s="508" t="e">
        <f t="shared" ca="1" si="19"/>
        <v>#REF!</v>
      </c>
      <c r="Y94" s="508" t="e">
        <f t="shared" ca="1" si="19"/>
        <v>#REF!</v>
      </c>
      <c r="Z94" s="508" t="e">
        <f t="shared" ca="1" si="19"/>
        <v>#REF!</v>
      </c>
      <c r="AA94" s="508" t="e">
        <f t="shared" ca="1" si="19"/>
        <v>#REF!</v>
      </c>
      <c r="AB94" s="506" t="e">
        <f t="shared" ca="1" si="19"/>
        <v>#REF!</v>
      </c>
      <c r="AC94" s="2120"/>
      <c r="AD94" s="2113"/>
      <c r="AE94" s="508"/>
      <c r="AF94" s="508"/>
      <c r="AG94" s="508"/>
      <c r="AH94" s="508"/>
      <c r="AI94" s="508"/>
      <c r="AJ94" s="532"/>
    </row>
    <row r="95" spans="1:38">
      <c r="A95" s="2238" t="s">
        <v>4045</v>
      </c>
      <c r="B95" s="504" t="e">
        <f t="shared" ref="B95:AB95" ca="1" si="20">B82</f>
        <v>#REF!</v>
      </c>
      <c r="C95" s="504" t="e">
        <f t="shared" ca="1" si="20"/>
        <v>#REF!</v>
      </c>
      <c r="D95" s="504" t="e">
        <f t="shared" ca="1" si="20"/>
        <v>#REF!</v>
      </c>
      <c r="E95" s="504" t="e">
        <f t="shared" ca="1" si="20"/>
        <v>#REF!</v>
      </c>
      <c r="F95" s="504" t="e">
        <f t="shared" ca="1" si="20"/>
        <v>#REF!</v>
      </c>
      <c r="G95" s="504" t="e">
        <f t="shared" ca="1" si="20"/>
        <v>#REF!</v>
      </c>
      <c r="H95" s="504" t="e">
        <f t="shared" ca="1" si="20"/>
        <v>#REF!</v>
      </c>
      <c r="I95" s="504" t="e">
        <f t="shared" ca="1" si="20"/>
        <v>#REF!</v>
      </c>
      <c r="J95" s="504" t="e">
        <f t="shared" ca="1" si="20"/>
        <v>#REF!</v>
      </c>
      <c r="K95" s="504" t="e">
        <f t="shared" ca="1" si="20"/>
        <v>#REF!</v>
      </c>
      <c r="L95" s="504" t="e">
        <f t="shared" ca="1" si="20"/>
        <v>#REF!</v>
      </c>
      <c r="M95" s="504" t="e">
        <f t="shared" ca="1" si="20"/>
        <v>#REF!</v>
      </c>
      <c r="N95" s="504" t="e">
        <f t="shared" ca="1" si="20"/>
        <v>#REF!</v>
      </c>
      <c r="O95" s="504" t="e">
        <f t="shared" ca="1" si="20"/>
        <v>#REF!</v>
      </c>
      <c r="P95" s="504" t="e">
        <f t="shared" ca="1" si="20"/>
        <v>#REF!</v>
      </c>
      <c r="Q95" s="504" t="e">
        <f t="shared" ca="1" si="20"/>
        <v>#REF!</v>
      </c>
      <c r="R95" s="504" t="e">
        <f t="shared" ca="1" si="20"/>
        <v>#REF!</v>
      </c>
      <c r="S95" s="504" t="e">
        <f t="shared" ca="1" si="20"/>
        <v>#REF!</v>
      </c>
      <c r="T95" s="504" t="e">
        <f t="shared" ca="1" si="20"/>
        <v>#REF!</v>
      </c>
      <c r="U95" s="504" t="e">
        <f t="shared" ca="1" si="20"/>
        <v>#REF!</v>
      </c>
      <c r="V95" s="504" t="e">
        <f t="shared" ca="1" si="20"/>
        <v>#REF!</v>
      </c>
      <c r="W95" s="504" t="e">
        <f t="shared" ca="1" si="20"/>
        <v>#REF!</v>
      </c>
      <c r="X95" s="504" t="e">
        <f t="shared" ca="1" si="20"/>
        <v>#REF!</v>
      </c>
      <c r="Y95" s="504" t="e">
        <f t="shared" ca="1" si="20"/>
        <v>#REF!</v>
      </c>
      <c r="Z95" s="504" t="e">
        <f t="shared" ca="1" si="20"/>
        <v>#REF!</v>
      </c>
      <c r="AA95" s="504" t="e">
        <f t="shared" ca="1" si="20"/>
        <v>#REF!</v>
      </c>
      <c r="AB95" s="511" t="e">
        <f t="shared" ca="1" si="20"/>
        <v>#REF!</v>
      </c>
      <c r="AC95" s="2119"/>
      <c r="AD95" s="2069"/>
      <c r="AE95" s="504"/>
      <c r="AF95" s="504"/>
      <c r="AG95" s="504"/>
      <c r="AH95" s="504"/>
      <c r="AI95" s="504"/>
      <c r="AJ95" s="530"/>
    </row>
    <row r="96" spans="1:38">
      <c r="A96" s="2238" t="s">
        <v>4046</v>
      </c>
      <c r="B96" s="508" t="e">
        <f t="shared" ref="B96:AB96" ca="1" si="21">B83</f>
        <v>#REF!</v>
      </c>
      <c r="C96" s="508" t="e">
        <f t="shared" ca="1" si="21"/>
        <v>#REF!</v>
      </c>
      <c r="D96" s="508" t="e">
        <f t="shared" ca="1" si="21"/>
        <v>#REF!</v>
      </c>
      <c r="E96" s="508" t="e">
        <f t="shared" ca="1" si="21"/>
        <v>#REF!</v>
      </c>
      <c r="F96" s="508" t="e">
        <f t="shared" ca="1" si="21"/>
        <v>#REF!</v>
      </c>
      <c r="G96" s="508" t="e">
        <f t="shared" ca="1" si="21"/>
        <v>#REF!</v>
      </c>
      <c r="H96" s="508" t="e">
        <f t="shared" ca="1" si="21"/>
        <v>#REF!</v>
      </c>
      <c r="I96" s="508" t="e">
        <f t="shared" ca="1" si="21"/>
        <v>#REF!</v>
      </c>
      <c r="J96" s="508" t="e">
        <f t="shared" ca="1" si="21"/>
        <v>#REF!</v>
      </c>
      <c r="K96" s="508" t="e">
        <f t="shared" ca="1" si="21"/>
        <v>#REF!</v>
      </c>
      <c r="L96" s="508" t="e">
        <f t="shared" ca="1" si="21"/>
        <v>#REF!</v>
      </c>
      <c r="M96" s="508" t="e">
        <f t="shared" ca="1" si="21"/>
        <v>#REF!</v>
      </c>
      <c r="N96" s="508" t="e">
        <f t="shared" ca="1" si="21"/>
        <v>#REF!</v>
      </c>
      <c r="O96" s="508" t="e">
        <f t="shared" ca="1" si="21"/>
        <v>#REF!</v>
      </c>
      <c r="P96" s="508" t="e">
        <f t="shared" ca="1" si="21"/>
        <v>#REF!</v>
      </c>
      <c r="Q96" s="508" t="e">
        <f t="shared" ca="1" si="21"/>
        <v>#REF!</v>
      </c>
      <c r="R96" s="508" t="e">
        <f t="shared" ca="1" si="21"/>
        <v>#REF!</v>
      </c>
      <c r="S96" s="508" t="e">
        <f t="shared" ca="1" si="21"/>
        <v>#REF!</v>
      </c>
      <c r="T96" s="508" t="e">
        <f t="shared" ca="1" si="21"/>
        <v>#REF!</v>
      </c>
      <c r="U96" s="508" t="e">
        <f t="shared" ca="1" si="21"/>
        <v>#REF!</v>
      </c>
      <c r="V96" s="508" t="e">
        <f t="shared" ca="1" si="21"/>
        <v>#REF!</v>
      </c>
      <c r="W96" s="508" t="e">
        <f t="shared" ca="1" si="21"/>
        <v>#REF!</v>
      </c>
      <c r="X96" s="508" t="e">
        <f t="shared" ca="1" si="21"/>
        <v>#REF!</v>
      </c>
      <c r="Y96" s="508" t="e">
        <f t="shared" ca="1" si="21"/>
        <v>#REF!</v>
      </c>
      <c r="Z96" s="508" t="e">
        <f t="shared" ca="1" si="21"/>
        <v>#REF!</v>
      </c>
      <c r="AA96" s="508" t="e">
        <f t="shared" ca="1" si="21"/>
        <v>#REF!</v>
      </c>
      <c r="AB96" s="506" t="e">
        <f t="shared" ca="1" si="21"/>
        <v>#REF!</v>
      </c>
      <c r="AC96" s="2120"/>
      <c r="AD96" s="2113"/>
      <c r="AE96" s="508"/>
      <c r="AF96" s="508"/>
      <c r="AG96" s="508"/>
      <c r="AH96" s="508"/>
      <c r="AI96" s="508"/>
      <c r="AJ96" s="532"/>
    </row>
    <row r="97" spans="1:38">
      <c r="A97" s="2238" t="s">
        <v>1783</v>
      </c>
      <c r="B97" s="504" t="e">
        <f t="shared" ref="B97:AB97" ca="1" si="22">IF(B$78=0,0,IF(Small_F,B$93*COS($H$6)-B$94*SIN($H$6),B$93))</f>
        <v>#REF!</v>
      </c>
      <c r="C97" s="504" t="e">
        <f t="shared" ca="1" si="22"/>
        <v>#REF!</v>
      </c>
      <c r="D97" s="504" t="e">
        <f t="shared" ca="1" si="22"/>
        <v>#REF!</v>
      </c>
      <c r="E97" s="504" t="e">
        <f t="shared" ca="1" si="22"/>
        <v>#REF!</v>
      </c>
      <c r="F97" s="504" t="e">
        <f t="shared" ca="1" si="22"/>
        <v>#REF!</v>
      </c>
      <c r="G97" s="504" t="e">
        <f t="shared" ca="1" si="22"/>
        <v>#REF!</v>
      </c>
      <c r="H97" s="504" t="e">
        <f t="shared" ca="1" si="22"/>
        <v>#REF!</v>
      </c>
      <c r="I97" s="504" t="e">
        <f t="shared" ca="1" si="22"/>
        <v>#REF!</v>
      </c>
      <c r="J97" s="504" t="e">
        <f t="shared" ca="1" si="22"/>
        <v>#REF!</v>
      </c>
      <c r="K97" s="504" t="e">
        <f t="shared" ca="1" si="22"/>
        <v>#REF!</v>
      </c>
      <c r="L97" s="504" t="e">
        <f t="shared" ca="1" si="22"/>
        <v>#REF!</v>
      </c>
      <c r="M97" s="504" t="e">
        <f t="shared" ca="1" si="22"/>
        <v>#REF!</v>
      </c>
      <c r="N97" s="504" t="e">
        <f t="shared" ca="1" si="22"/>
        <v>#REF!</v>
      </c>
      <c r="O97" s="504" t="e">
        <f t="shared" ca="1" si="22"/>
        <v>#REF!</v>
      </c>
      <c r="P97" s="504" t="e">
        <f t="shared" ca="1" si="22"/>
        <v>#REF!</v>
      </c>
      <c r="Q97" s="504" t="e">
        <f t="shared" ca="1" si="22"/>
        <v>#REF!</v>
      </c>
      <c r="R97" s="504" t="e">
        <f t="shared" ca="1" si="22"/>
        <v>#REF!</v>
      </c>
      <c r="S97" s="504" t="e">
        <f t="shared" ca="1" si="22"/>
        <v>#REF!</v>
      </c>
      <c r="T97" s="504" t="e">
        <f t="shared" ca="1" si="22"/>
        <v>#REF!</v>
      </c>
      <c r="U97" s="504" t="e">
        <f t="shared" ca="1" si="22"/>
        <v>#REF!</v>
      </c>
      <c r="V97" s="504" t="e">
        <f t="shared" ca="1" si="22"/>
        <v>#REF!</v>
      </c>
      <c r="W97" s="504" t="e">
        <f t="shared" ca="1" si="22"/>
        <v>#REF!</v>
      </c>
      <c r="X97" s="504" t="e">
        <f t="shared" ca="1" si="22"/>
        <v>#REF!</v>
      </c>
      <c r="Y97" s="504" t="e">
        <f t="shared" ca="1" si="22"/>
        <v>#REF!</v>
      </c>
      <c r="Z97" s="504" t="e">
        <f t="shared" ca="1" si="22"/>
        <v>#REF!</v>
      </c>
      <c r="AA97" s="504" t="e">
        <f t="shared" ca="1" si="22"/>
        <v>#REF!</v>
      </c>
      <c r="AB97" s="511" t="e">
        <f t="shared" ca="1" si="22"/>
        <v>#REF!</v>
      </c>
      <c r="AC97" s="2119"/>
      <c r="AD97" s="2069"/>
      <c r="AE97" s="504"/>
      <c r="AF97" s="504"/>
      <c r="AG97" s="504"/>
      <c r="AH97" s="504"/>
      <c r="AI97" s="504"/>
      <c r="AJ97" s="530"/>
    </row>
    <row r="98" spans="1:38">
      <c r="A98" s="2238" t="s">
        <v>1784</v>
      </c>
      <c r="B98" s="508" t="e">
        <f t="shared" ref="B98:AB98" ca="1" si="23">IF(B$78=0,0,IF(Small_F,B$93*SIN($H$6)+B$94*COS($H$6),B$94))</f>
        <v>#REF!</v>
      </c>
      <c r="C98" s="508" t="e">
        <f t="shared" ca="1" si="23"/>
        <v>#REF!</v>
      </c>
      <c r="D98" s="508" t="e">
        <f t="shared" ca="1" si="23"/>
        <v>#REF!</v>
      </c>
      <c r="E98" s="508" t="e">
        <f t="shared" ca="1" si="23"/>
        <v>#REF!</v>
      </c>
      <c r="F98" s="508" t="e">
        <f t="shared" ca="1" si="23"/>
        <v>#REF!</v>
      </c>
      <c r="G98" s="508" t="e">
        <f t="shared" ca="1" si="23"/>
        <v>#REF!</v>
      </c>
      <c r="H98" s="508" t="e">
        <f t="shared" ca="1" si="23"/>
        <v>#REF!</v>
      </c>
      <c r="I98" s="508" t="e">
        <f t="shared" ca="1" si="23"/>
        <v>#REF!</v>
      </c>
      <c r="J98" s="508" t="e">
        <f t="shared" ca="1" si="23"/>
        <v>#REF!</v>
      </c>
      <c r="K98" s="508" t="e">
        <f t="shared" ca="1" si="23"/>
        <v>#REF!</v>
      </c>
      <c r="L98" s="508" t="e">
        <f t="shared" ca="1" si="23"/>
        <v>#REF!</v>
      </c>
      <c r="M98" s="508" t="e">
        <f t="shared" ca="1" si="23"/>
        <v>#REF!</v>
      </c>
      <c r="N98" s="508" t="e">
        <f t="shared" ca="1" si="23"/>
        <v>#REF!</v>
      </c>
      <c r="O98" s="508" t="e">
        <f t="shared" ca="1" si="23"/>
        <v>#REF!</v>
      </c>
      <c r="P98" s="508" t="e">
        <f t="shared" ca="1" si="23"/>
        <v>#REF!</v>
      </c>
      <c r="Q98" s="508" t="e">
        <f t="shared" ca="1" si="23"/>
        <v>#REF!</v>
      </c>
      <c r="R98" s="508" t="e">
        <f t="shared" ca="1" si="23"/>
        <v>#REF!</v>
      </c>
      <c r="S98" s="508" t="e">
        <f t="shared" ca="1" si="23"/>
        <v>#REF!</v>
      </c>
      <c r="T98" s="508" t="e">
        <f t="shared" ca="1" si="23"/>
        <v>#REF!</v>
      </c>
      <c r="U98" s="508" t="e">
        <f t="shared" ca="1" si="23"/>
        <v>#REF!</v>
      </c>
      <c r="V98" s="508" t="e">
        <f t="shared" ca="1" si="23"/>
        <v>#REF!</v>
      </c>
      <c r="W98" s="508" t="e">
        <f t="shared" ca="1" si="23"/>
        <v>#REF!</v>
      </c>
      <c r="X98" s="508" t="e">
        <f t="shared" ca="1" si="23"/>
        <v>#REF!</v>
      </c>
      <c r="Y98" s="508" t="e">
        <f t="shared" ca="1" si="23"/>
        <v>#REF!</v>
      </c>
      <c r="Z98" s="508" t="e">
        <f t="shared" ca="1" si="23"/>
        <v>#REF!</v>
      </c>
      <c r="AA98" s="508" t="e">
        <f t="shared" ca="1" si="23"/>
        <v>#REF!</v>
      </c>
      <c r="AB98" s="506" t="e">
        <f t="shared" ca="1" si="23"/>
        <v>#REF!</v>
      </c>
      <c r="AC98" s="2120"/>
      <c r="AD98" s="2113"/>
      <c r="AE98" s="508"/>
      <c r="AF98" s="508"/>
      <c r="AG98" s="508"/>
      <c r="AH98" s="508"/>
      <c r="AI98" s="508"/>
      <c r="AJ98" s="532"/>
    </row>
    <row r="99" spans="1:38">
      <c r="A99" s="1275" t="s">
        <v>1096</v>
      </c>
      <c r="B99" s="505" t="e">
        <f t="shared" ref="B99:AB99" ca="1" si="24">ROUND(B$82*COS($H$6)-B$83*SIN($H$6),3)</f>
        <v>#REF!</v>
      </c>
      <c r="C99" s="505" t="e">
        <f t="shared" ca="1" si="24"/>
        <v>#REF!</v>
      </c>
      <c r="D99" s="505" t="e">
        <f t="shared" ca="1" si="24"/>
        <v>#REF!</v>
      </c>
      <c r="E99" s="505" t="e">
        <f t="shared" ca="1" si="24"/>
        <v>#REF!</v>
      </c>
      <c r="F99" s="505" t="e">
        <f t="shared" ca="1" si="24"/>
        <v>#REF!</v>
      </c>
      <c r="G99" s="505" t="e">
        <f t="shared" ca="1" si="24"/>
        <v>#REF!</v>
      </c>
      <c r="H99" s="505" t="e">
        <f t="shared" ca="1" si="24"/>
        <v>#REF!</v>
      </c>
      <c r="I99" s="505" t="e">
        <f t="shared" ca="1" si="24"/>
        <v>#REF!</v>
      </c>
      <c r="J99" s="505" t="e">
        <f t="shared" ca="1" si="24"/>
        <v>#REF!</v>
      </c>
      <c r="K99" s="505" t="e">
        <f t="shared" ca="1" si="24"/>
        <v>#REF!</v>
      </c>
      <c r="L99" s="505" t="e">
        <f t="shared" ca="1" si="24"/>
        <v>#REF!</v>
      </c>
      <c r="M99" s="505" t="e">
        <f t="shared" ca="1" si="24"/>
        <v>#REF!</v>
      </c>
      <c r="N99" s="505" t="e">
        <f t="shared" ca="1" si="24"/>
        <v>#REF!</v>
      </c>
      <c r="O99" s="505" t="e">
        <f t="shared" ca="1" si="24"/>
        <v>#REF!</v>
      </c>
      <c r="P99" s="505" t="e">
        <f t="shared" ca="1" si="24"/>
        <v>#REF!</v>
      </c>
      <c r="Q99" s="505" t="e">
        <f t="shared" ca="1" si="24"/>
        <v>#REF!</v>
      </c>
      <c r="R99" s="505" t="e">
        <f t="shared" ca="1" si="24"/>
        <v>#REF!</v>
      </c>
      <c r="S99" s="505" t="e">
        <f t="shared" ca="1" si="24"/>
        <v>#REF!</v>
      </c>
      <c r="T99" s="505" t="e">
        <f t="shared" ca="1" si="24"/>
        <v>#REF!</v>
      </c>
      <c r="U99" s="505" t="e">
        <f t="shared" ca="1" si="24"/>
        <v>#REF!</v>
      </c>
      <c r="V99" s="505" t="e">
        <f t="shared" ca="1" si="24"/>
        <v>#REF!</v>
      </c>
      <c r="W99" s="505" t="e">
        <f t="shared" ca="1" si="24"/>
        <v>#REF!</v>
      </c>
      <c r="X99" s="505" t="e">
        <f t="shared" ca="1" si="24"/>
        <v>#REF!</v>
      </c>
      <c r="Y99" s="505" t="e">
        <f t="shared" ca="1" si="24"/>
        <v>#REF!</v>
      </c>
      <c r="Z99" s="505" t="e">
        <f t="shared" ca="1" si="24"/>
        <v>#REF!</v>
      </c>
      <c r="AA99" s="505" t="e">
        <f t="shared" ca="1" si="24"/>
        <v>#REF!</v>
      </c>
      <c r="AB99" s="503" t="e">
        <f t="shared" ca="1" si="24"/>
        <v>#REF!</v>
      </c>
      <c r="AC99" s="2121"/>
      <c r="AD99" s="2114"/>
      <c r="AE99" s="505"/>
      <c r="AF99" s="505"/>
      <c r="AG99" s="505"/>
      <c r="AH99" s="505"/>
      <c r="AI99" s="505"/>
      <c r="AJ99" s="1359"/>
    </row>
    <row r="100" spans="1:38">
      <c r="A100" s="1275" t="s">
        <v>1097</v>
      </c>
      <c r="B100" s="508" t="e">
        <f t="shared" ref="B100:AB100" ca="1" si="25">ROUND(B$82*SIN($H$6)+B$83*COS($H$6),3)</f>
        <v>#REF!</v>
      </c>
      <c r="C100" s="508" t="e">
        <f t="shared" ca="1" si="25"/>
        <v>#REF!</v>
      </c>
      <c r="D100" s="508" t="e">
        <f t="shared" ca="1" si="25"/>
        <v>#REF!</v>
      </c>
      <c r="E100" s="508" t="e">
        <f t="shared" ca="1" si="25"/>
        <v>#REF!</v>
      </c>
      <c r="F100" s="508" t="e">
        <f t="shared" ca="1" si="25"/>
        <v>#REF!</v>
      </c>
      <c r="G100" s="508" t="e">
        <f t="shared" ca="1" si="25"/>
        <v>#REF!</v>
      </c>
      <c r="H100" s="508" t="e">
        <f t="shared" ca="1" si="25"/>
        <v>#REF!</v>
      </c>
      <c r="I100" s="508" t="e">
        <f t="shared" ca="1" si="25"/>
        <v>#REF!</v>
      </c>
      <c r="J100" s="508" t="e">
        <f t="shared" ca="1" si="25"/>
        <v>#REF!</v>
      </c>
      <c r="K100" s="508" t="e">
        <f t="shared" ca="1" si="25"/>
        <v>#REF!</v>
      </c>
      <c r="L100" s="508" t="e">
        <f t="shared" ca="1" si="25"/>
        <v>#REF!</v>
      </c>
      <c r="M100" s="508" t="e">
        <f t="shared" ca="1" si="25"/>
        <v>#REF!</v>
      </c>
      <c r="N100" s="508" t="e">
        <f t="shared" ca="1" si="25"/>
        <v>#REF!</v>
      </c>
      <c r="O100" s="508" t="e">
        <f t="shared" ca="1" si="25"/>
        <v>#REF!</v>
      </c>
      <c r="P100" s="508" t="e">
        <f t="shared" ca="1" si="25"/>
        <v>#REF!</v>
      </c>
      <c r="Q100" s="508" t="e">
        <f t="shared" ca="1" si="25"/>
        <v>#REF!</v>
      </c>
      <c r="R100" s="508" t="e">
        <f t="shared" ca="1" si="25"/>
        <v>#REF!</v>
      </c>
      <c r="S100" s="508" t="e">
        <f t="shared" ca="1" si="25"/>
        <v>#REF!</v>
      </c>
      <c r="T100" s="508" t="e">
        <f t="shared" ca="1" si="25"/>
        <v>#REF!</v>
      </c>
      <c r="U100" s="508" t="e">
        <f t="shared" ca="1" si="25"/>
        <v>#REF!</v>
      </c>
      <c r="V100" s="508" t="e">
        <f t="shared" ca="1" si="25"/>
        <v>#REF!</v>
      </c>
      <c r="W100" s="508" t="e">
        <f t="shared" ca="1" si="25"/>
        <v>#REF!</v>
      </c>
      <c r="X100" s="508" t="e">
        <f t="shared" ca="1" si="25"/>
        <v>#REF!</v>
      </c>
      <c r="Y100" s="508" t="e">
        <f t="shared" ca="1" si="25"/>
        <v>#REF!</v>
      </c>
      <c r="Z100" s="508" t="e">
        <f t="shared" ca="1" si="25"/>
        <v>#REF!</v>
      </c>
      <c r="AA100" s="508" t="e">
        <f t="shared" ca="1" si="25"/>
        <v>#REF!</v>
      </c>
      <c r="AB100" s="506" t="e">
        <f t="shared" ca="1" si="25"/>
        <v>#REF!</v>
      </c>
      <c r="AC100" s="2120"/>
      <c r="AD100" s="2113"/>
      <c r="AE100" s="508"/>
      <c r="AF100" s="508"/>
      <c r="AG100" s="508"/>
      <c r="AH100" s="508"/>
      <c r="AI100" s="508"/>
      <c r="AJ100" s="532"/>
    </row>
    <row r="101" spans="1:38">
      <c r="A101" s="1275" t="s">
        <v>4048</v>
      </c>
      <c r="B101" s="1133" t="e">
        <f ca="1">IF(B$99*B$100=0,0,IF(B$100&gt;0,0,2*PI())+IF(B$100&gt;0,1,-1)*ACOS(B$99/SQRT(B$99^2+B$100^2)))</f>
        <v>#REF!</v>
      </c>
      <c r="C101" s="1133" t="e">
        <f t="shared" ref="C101:AB101" ca="1" si="26">IF(C$99*C$100=0,0,IF(C$100&gt;0,0,2*PI())+IF(C$100&gt;0,1,-1)*ACOS(C$99/SQRT(C$99^2+C$100^2)))</f>
        <v>#REF!</v>
      </c>
      <c r="D101" s="1133" t="e">
        <f t="shared" ca="1" si="26"/>
        <v>#REF!</v>
      </c>
      <c r="E101" s="1133" t="e">
        <f t="shared" ca="1" si="26"/>
        <v>#REF!</v>
      </c>
      <c r="F101" s="1133" t="e">
        <f t="shared" ca="1" si="26"/>
        <v>#REF!</v>
      </c>
      <c r="G101" s="1133" t="e">
        <f t="shared" ca="1" si="26"/>
        <v>#REF!</v>
      </c>
      <c r="H101" s="1133" t="e">
        <f t="shared" ca="1" si="26"/>
        <v>#REF!</v>
      </c>
      <c r="I101" s="1133" t="e">
        <f t="shared" ca="1" si="26"/>
        <v>#REF!</v>
      </c>
      <c r="J101" s="1133" t="e">
        <f t="shared" ca="1" si="26"/>
        <v>#REF!</v>
      </c>
      <c r="K101" s="1133" t="e">
        <f t="shared" ca="1" si="26"/>
        <v>#REF!</v>
      </c>
      <c r="L101" s="1133" t="e">
        <f t="shared" ca="1" si="26"/>
        <v>#REF!</v>
      </c>
      <c r="M101" s="1133" t="e">
        <f t="shared" ca="1" si="26"/>
        <v>#REF!</v>
      </c>
      <c r="N101" s="1133" t="e">
        <f t="shared" ca="1" si="26"/>
        <v>#REF!</v>
      </c>
      <c r="O101" s="1133" t="e">
        <f t="shared" ca="1" si="26"/>
        <v>#REF!</v>
      </c>
      <c r="P101" s="1133" t="e">
        <f t="shared" ca="1" si="26"/>
        <v>#REF!</v>
      </c>
      <c r="Q101" s="1133" t="e">
        <f t="shared" ca="1" si="26"/>
        <v>#REF!</v>
      </c>
      <c r="R101" s="1133" t="e">
        <f t="shared" ca="1" si="26"/>
        <v>#REF!</v>
      </c>
      <c r="S101" s="1133" t="e">
        <f t="shared" ca="1" si="26"/>
        <v>#REF!</v>
      </c>
      <c r="T101" s="1133" t="e">
        <f t="shared" ca="1" si="26"/>
        <v>#REF!</v>
      </c>
      <c r="U101" s="1133" t="e">
        <f t="shared" ca="1" si="26"/>
        <v>#REF!</v>
      </c>
      <c r="V101" s="1133" t="e">
        <f t="shared" ca="1" si="26"/>
        <v>#REF!</v>
      </c>
      <c r="W101" s="1133" t="e">
        <f t="shared" ca="1" si="26"/>
        <v>#REF!</v>
      </c>
      <c r="X101" s="1133" t="e">
        <f t="shared" ca="1" si="26"/>
        <v>#REF!</v>
      </c>
      <c r="Y101" s="1133" t="e">
        <f t="shared" ca="1" si="26"/>
        <v>#REF!</v>
      </c>
      <c r="Z101" s="1133" t="e">
        <f t="shared" ca="1" si="26"/>
        <v>#REF!</v>
      </c>
      <c r="AA101" s="1133" t="e">
        <f t="shared" ca="1" si="26"/>
        <v>#REF!</v>
      </c>
      <c r="AB101" s="1368" t="e">
        <f t="shared" ca="1" si="26"/>
        <v>#REF!</v>
      </c>
      <c r="AC101" s="2117"/>
      <c r="AD101" s="2112"/>
      <c r="AE101" s="780"/>
      <c r="AF101" s="780"/>
      <c r="AG101" s="780"/>
      <c r="AH101" s="780"/>
      <c r="AI101" s="780"/>
      <c r="AJ101" s="781"/>
    </row>
    <row r="102" spans="1:38">
      <c r="A102" s="1275" t="s">
        <v>1785</v>
      </c>
      <c r="B102" s="797" t="e">
        <f t="shared" ref="B102:AB102" ca="1" si="27">IF(B$78=0,0,(B$99-B$97)/SQRT((B$99-B$97)^2+(B$100-B$98)^2))</f>
        <v>#REF!</v>
      </c>
      <c r="C102" s="797" t="e">
        <f t="shared" ca="1" si="27"/>
        <v>#REF!</v>
      </c>
      <c r="D102" s="797" t="e">
        <f t="shared" ca="1" si="27"/>
        <v>#REF!</v>
      </c>
      <c r="E102" s="797" t="e">
        <f t="shared" ca="1" si="27"/>
        <v>#REF!</v>
      </c>
      <c r="F102" s="797" t="e">
        <f t="shared" ca="1" si="27"/>
        <v>#REF!</v>
      </c>
      <c r="G102" s="797" t="e">
        <f t="shared" ca="1" si="27"/>
        <v>#REF!</v>
      </c>
      <c r="H102" s="797" t="e">
        <f t="shared" ca="1" si="27"/>
        <v>#REF!</v>
      </c>
      <c r="I102" s="797" t="e">
        <f t="shared" ca="1" si="27"/>
        <v>#REF!</v>
      </c>
      <c r="J102" s="797" t="e">
        <f t="shared" ca="1" si="27"/>
        <v>#REF!</v>
      </c>
      <c r="K102" s="797" t="e">
        <f t="shared" ca="1" si="27"/>
        <v>#REF!</v>
      </c>
      <c r="L102" s="797" t="e">
        <f t="shared" ca="1" si="27"/>
        <v>#REF!</v>
      </c>
      <c r="M102" s="797" t="e">
        <f t="shared" ca="1" si="27"/>
        <v>#REF!</v>
      </c>
      <c r="N102" s="797" t="e">
        <f t="shared" ca="1" si="27"/>
        <v>#REF!</v>
      </c>
      <c r="O102" s="797" t="e">
        <f t="shared" ca="1" si="27"/>
        <v>#REF!</v>
      </c>
      <c r="P102" s="797" t="e">
        <f t="shared" ca="1" si="27"/>
        <v>#REF!</v>
      </c>
      <c r="Q102" s="797" t="e">
        <f t="shared" ca="1" si="27"/>
        <v>#REF!</v>
      </c>
      <c r="R102" s="797" t="e">
        <f t="shared" ca="1" si="27"/>
        <v>#REF!</v>
      </c>
      <c r="S102" s="797" t="e">
        <f t="shared" ca="1" si="27"/>
        <v>#REF!</v>
      </c>
      <c r="T102" s="797" t="e">
        <f t="shared" ca="1" si="27"/>
        <v>#REF!</v>
      </c>
      <c r="U102" s="797" t="e">
        <f t="shared" ca="1" si="27"/>
        <v>#REF!</v>
      </c>
      <c r="V102" s="797" t="e">
        <f t="shared" ca="1" si="27"/>
        <v>#REF!</v>
      </c>
      <c r="W102" s="797" t="e">
        <f t="shared" ca="1" si="27"/>
        <v>#REF!</v>
      </c>
      <c r="X102" s="797" t="e">
        <f t="shared" ca="1" si="27"/>
        <v>#REF!</v>
      </c>
      <c r="Y102" s="797" t="e">
        <f t="shared" ca="1" si="27"/>
        <v>#REF!</v>
      </c>
      <c r="Z102" s="797" t="e">
        <f t="shared" ca="1" si="27"/>
        <v>#REF!</v>
      </c>
      <c r="AA102" s="797" t="e">
        <f t="shared" ca="1" si="27"/>
        <v>#REF!</v>
      </c>
      <c r="AB102" s="806" t="e">
        <f t="shared" ca="1" si="27"/>
        <v>#REF!</v>
      </c>
      <c r="AC102" s="2122"/>
      <c r="AD102" s="2115"/>
      <c r="AE102" s="797"/>
      <c r="AF102" s="797"/>
      <c r="AG102" s="797"/>
      <c r="AH102" s="797"/>
      <c r="AI102" s="797"/>
      <c r="AJ102" s="2346"/>
    </row>
    <row r="103" spans="1:38">
      <c r="A103" s="1275" t="s">
        <v>1786</v>
      </c>
      <c r="B103" s="797" t="e">
        <f t="shared" ref="B103:AB103" ca="1" si="28">IF(B$78=0,0,(B$100-B$98)/SQRT((B$99-B$97)^2+(B$100-B$98)^2))</f>
        <v>#REF!</v>
      </c>
      <c r="C103" s="797" t="e">
        <f t="shared" ca="1" si="28"/>
        <v>#REF!</v>
      </c>
      <c r="D103" s="797" t="e">
        <f t="shared" ca="1" si="28"/>
        <v>#REF!</v>
      </c>
      <c r="E103" s="797" t="e">
        <f t="shared" ca="1" si="28"/>
        <v>#REF!</v>
      </c>
      <c r="F103" s="797" t="e">
        <f t="shared" ca="1" si="28"/>
        <v>#REF!</v>
      </c>
      <c r="G103" s="797" t="e">
        <f t="shared" ca="1" si="28"/>
        <v>#REF!</v>
      </c>
      <c r="H103" s="797" t="e">
        <f t="shared" ca="1" si="28"/>
        <v>#REF!</v>
      </c>
      <c r="I103" s="797" t="e">
        <f t="shared" ca="1" si="28"/>
        <v>#REF!</v>
      </c>
      <c r="J103" s="797" t="e">
        <f t="shared" ca="1" si="28"/>
        <v>#REF!</v>
      </c>
      <c r="K103" s="797" t="e">
        <f t="shared" ca="1" si="28"/>
        <v>#REF!</v>
      </c>
      <c r="L103" s="797" t="e">
        <f t="shared" ca="1" si="28"/>
        <v>#REF!</v>
      </c>
      <c r="M103" s="797" t="e">
        <f t="shared" ca="1" si="28"/>
        <v>#REF!</v>
      </c>
      <c r="N103" s="797" t="e">
        <f t="shared" ca="1" si="28"/>
        <v>#REF!</v>
      </c>
      <c r="O103" s="797" t="e">
        <f t="shared" ca="1" si="28"/>
        <v>#REF!</v>
      </c>
      <c r="P103" s="797" t="e">
        <f t="shared" ca="1" si="28"/>
        <v>#REF!</v>
      </c>
      <c r="Q103" s="797" t="e">
        <f t="shared" ca="1" si="28"/>
        <v>#REF!</v>
      </c>
      <c r="R103" s="797" t="e">
        <f t="shared" ca="1" si="28"/>
        <v>#REF!</v>
      </c>
      <c r="S103" s="797" t="e">
        <f t="shared" ca="1" si="28"/>
        <v>#REF!</v>
      </c>
      <c r="T103" s="797" t="e">
        <f t="shared" ca="1" si="28"/>
        <v>#REF!</v>
      </c>
      <c r="U103" s="797" t="e">
        <f t="shared" ca="1" si="28"/>
        <v>#REF!</v>
      </c>
      <c r="V103" s="797" t="e">
        <f t="shared" ca="1" si="28"/>
        <v>#REF!</v>
      </c>
      <c r="W103" s="797" t="e">
        <f t="shared" ca="1" si="28"/>
        <v>#REF!</v>
      </c>
      <c r="X103" s="797" t="e">
        <f t="shared" ca="1" si="28"/>
        <v>#REF!</v>
      </c>
      <c r="Y103" s="797" t="e">
        <f t="shared" ca="1" si="28"/>
        <v>#REF!</v>
      </c>
      <c r="Z103" s="797" t="e">
        <f t="shared" ca="1" si="28"/>
        <v>#REF!</v>
      </c>
      <c r="AA103" s="797" t="e">
        <f t="shared" ca="1" si="28"/>
        <v>#REF!</v>
      </c>
      <c r="AB103" s="806" t="e">
        <f t="shared" ca="1" si="28"/>
        <v>#REF!</v>
      </c>
      <c r="AC103" s="2122"/>
      <c r="AD103" s="2115"/>
      <c r="AE103" s="797"/>
      <c r="AF103" s="797"/>
      <c r="AG103" s="797"/>
      <c r="AH103" s="797"/>
      <c r="AI103" s="797"/>
      <c r="AJ103" s="2346"/>
    </row>
    <row r="104" spans="1:38">
      <c r="A104" s="2091" t="s">
        <v>3863</v>
      </c>
      <c r="B104" s="505" t="e">
        <f t="shared" ref="B104:AB104" ca="1" si="29">IF(Small_F,IF(OR(B$78=0,-$AB$11*B$102+$AA$11*B$103=0,-$AB$12*B$102+$AA$12*B$103=0),0,IF(B$95&lt;0,($AB$11*(B$93-$Q$11)-$AA$11*(B$94-$R$11))/(B$103*$AA$11-B$102*$AB$11),($AB$12*(B$93-$Q$12)-$AA$12*(B$94-$R$12))/(B$103*$AA$12-B$102*$AB$12))),IF(OR(B$78=0,-$AB$11*B$102+$AA$11*B$103=0,-$AB$12*B$102+$AA$12*B$103=0),0,IF(B$99&lt;0,($AB$11*(B$97-$U$11)-$AA$11*(B$98-$V$11))/(B$103*$AA$11-B$102*$AB$11),($AB$12*(B$97-$U$12)-$AA$12*(B$98-$V$12))/(B$103*$AA$12-B$102*$AB$12))))</f>
        <v>#REF!</v>
      </c>
      <c r="C104" s="505" t="e">
        <f t="shared" ca="1" si="29"/>
        <v>#REF!</v>
      </c>
      <c r="D104" s="505" t="e">
        <f t="shared" ca="1" si="29"/>
        <v>#REF!</v>
      </c>
      <c r="E104" s="505" t="e">
        <f t="shared" ca="1" si="29"/>
        <v>#REF!</v>
      </c>
      <c r="F104" s="505" t="e">
        <f t="shared" ca="1" si="29"/>
        <v>#REF!</v>
      </c>
      <c r="G104" s="505" t="e">
        <f t="shared" ca="1" si="29"/>
        <v>#REF!</v>
      </c>
      <c r="H104" s="505" t="e">
        <f t="shared" ca="1" si="29"/>
        <v>#REF!</v>
      </c>
      <c r="I104" s="505" t="e">
        <f t="shared" ca="1" si="29"/>
        <v>#REF!</v>
      </c>
      <c r="J104" s="505" t="e">
        <f t="shared" ca="1" si="29"/>
        <v>#REF!</v>
      </c>
      <c r="K104" s="505" t="e">
        <f t="shared" ca="1" si="29"/>
        <v>#REF!</v>
      </c>
      <c r="L104" s="505" t="e">
        <f t="shared" ca="1" si="29"/>
        <v>#REF!</v>
      </c>
      <c r="M104" s="505" t="e">
        <f t="shared" ca="1" si="29"/>
        <v>#REF!</v>
      </c>
      <c r="N104" s="505" t="e">
        <f t="shared" ca="1" si="29"/>
        <v>#REF!</v>
      </c>
      <c r="O104" s="505" t="e">
        <f t="shared" ca="1" si="29"/>
        <v>#REF!</v>
      </c>
      <c r="P104" s="505" t="e">
        <f t="shared" ca="1" si="29"/>
        <v>#REF!</v>
      </c>
      <c r="Q104" s="505" t="e">
        <f t="shared" ca="1" si="29"/>
        <v>#REF!</v>
      </c>
      <c r="R104" s="505" t="e">
        <f t="shared" ca="1" si="29"/>
        <v>#REF!</v>
      </c>
      <c r="S104" s="505" t="e">
        <f t="shared" ca="1" si="29"/>
        <v>#REF!</v>
      </c>
      <c r="T104" s="505" t="e">
        <f t="shared" ca="1" si="29"/>
        <v>#REF!</v>
      </c>
      <c r="U104" s="505" t="e">
        <f t="shared" ca="1" si="29"/>
        <v>#REF!</v>
      </c>
      <c r="V104" s="505" t="e">
        <f t="shared" ca="1" si="29"/>
        <v>#REF!</v>
      </c>
      <c r="W104" s="505" t="e">
        <f t="shared" ca="1" si="29"/>
        <v>#REF!</v>
      </c>
      <c r="X104" s="505" t="e">
        <f t="shared" ca="1" si="29"/>
        <v>#REF!</v>
      </c>
      <c r="Y104" s="505" t="e">
        <f t="shared" ca="1" si="29"/>
        <v>#REF!</v>
      </c>
      <c r="Z104" s="505" t="e">
        <f t="shared" ca="1" si="29"/>
        <v>#REF!</v>
      </c>
      <c r="AA104" s="505" t="e">
        <f t="shared" ca="1" si="29"/>
        <v>#REF!</v>
      </c>
      <c r="AB104" s="503" t="e">
        <f t="shared" ca="1" si="29"/>
        <v>#REF!</v>
      </c>
      <c r="AC104" s="2121"/>
      <c r="AD104" s="2114"/>
      <c r="AE104" s="505"/>
      <c r="AF104" s="505"/>
      <c r="AG104" s="505"/>
      <c r="AH104" s="505"/>
      <c r="AI104" s="505"/>
      <c r="AJ104" s="1359"/>
      <c r="AK104" s="497"/>
      <c r="AL104" s="497"/>
    </row>
    <row r="105" spans="1:38">
      <c r="A105" s="2091" t="s">
        <v>3864</v>
      </c>
      <c r="B105" s="505" t="e">
        <f t="shared" ref="B105:AB105" ca="1" si="30">IF(Small_F,IF(OR(B$78=0,-$AB$11*B$102+$AA$11*B$103=0,-$AB$12*B$102+$AA$12*B$103=0),0,IF(B$95&lt;0,(B$103*(B$93-$Q$11)-B$102*(B$94-$R$11))/(B$103*$AA$11-B$102*$AB$11),(B$103*(B$93-$Q$12)-B$102*(B$94-$R$12))/(B$103*$AA$12-B$102*$AB$12))),IF(OR(B$78=0,-$AB$11*B$102+$AA$11*B$103=0,-$AB$12*B$102+$AA$12*B$103=0),0,IF(B$99&lt;0,(B$103*(B$97-$U$11)-B$102*(B$98-$V$11))/(B$103*$AA$11-B$102*$AB$11),(B$103*(B$97-$U$12)-B$102*(B$98-$V$12))/(B$103*$AA$12-B$102*$AB$12))))</f>
        <v>#REF!</v>
      </c>
      <c r="C105" s="505" t="e">
        <f t="shared" ca="1" si="30"/>
        <v>#REF!</v>
      </c>
      <c r="D105" s="505" t="e">
        <f t="shared" ca="1" si="30"/>
        <v>#REF!</v>
      </c>
      <c r="E105" s="505" t="e">
        <f t="shared" ca="1" si="30"/>
        <v>#REF!</v>
      </c>
      <c r="F105" s="505" t="e">
        <f t="shared" ca="1" si="30"/>
        <v>#REF!</v>
      </c>
      <c r="G105" s="505" t="e">
        <f t="shared" ca="1" si="30"/>
        <v>#REF!</v>
      </c>
      <c r="H105" s="505" t="e">
        <f t="shared" ca="1" si="30"/>
        <v>#REF!</v>
      </c>
      <c r="I105" s="505" t="e">
        <f t="shared" ca="1" si="30"/>
        <v>#REF!</v>
      </c>
      <c r="J105" s="505" t="e">
        <f t="shared" ca="1" si="30"/>
        <v>#REF!</v>
      </c>
      <c r="K105" s="505" t="e">
        <f t="shared" ca="1" si="30"/>
        <v>#REF!</v>
      </c>
      <c r="L105" s="505" t="e">
        <f t="shared" ca="1" si="30"/>
        <v>#REF!</v>
      </c>
      <c r="M105" s="505" t="e">
        <f t="shared" ca="1" si="30"/>
        <v>#REF!</v>
      </c>
      <c r="N105" s="505" t="e">
        <f t="shared" ca="1" si="30"/>
        <v>#REF!</v>
      </c>
      <c r="O105" s="505" t="e">
        <f t="shared" ca="1" si="30"/>
        <v>#REF!</v>
      </c>
      <c r="P105" s="505" t="e">
        <f t="shared" ca="1" si="30"/>
        <v>#REF!</v>
      </c>
      <c r="Q105" s="505" t="e">
        <f t="shared" ca="1" si="30"/>
        <v>#REF!</v>
      </c>
      <c r="R105" s="505" t="e">
        <f t="shared" ca="1" si="30"/>
        <v>#REF!</v>
      </c>
      <c r="S105" s="505" t="e">
        <f t="shared" ca="1" si="30"/>
        <v>#REF!</v>
      </c>
      <c r="T105" s="505" t="e">
        <f t="shared" ca="1" si="30"/>
        <v>#REF!</v>
      </c>
      <c r="U105" s="505" t="e">
        <f t="shared" ca="1" si="30"/>
        <v>#REF!</v>
      </c>
      <c r="V105" s="505" t="e">
        <f t="shared" ca="1" si="30"/>
        <v>#REF!</v>
      </c>
      <c r="W105" s="505" t="e">
        <f t="shared" ca="1" si="30"/>
        <v>#REF!</v>
      </c>
      <c r="X105" s="505" t="e">
        <f t="shared" ca="1" si="30"/>
        <v>#REF!</v>
      </c>
      <c r="Y105" s="505" t="e">
        <f t="shared" ca="1" si="30"/>
        <v>#REF!</v>
      </c>
      <c r="Z105" s="505" t="e">
        <f t="shared" ca="1" si="30"/>
        <v>#REF!</v>
      </c>
      <c r="AA105" s="505" t="e">
        <f t="shared" ca="1" si="30"/>
        <v>#REF!</v>
      </c>
      <c r="AB105" s="503" t="e">
        <f t="shared" ca="1" si="30"/>
        <v>#REF!</v>
      </c>
      <c r="AC105" s="2121"/>
      <c r="AD105" s="2114"/>
      <c r="AE105" s="505"/>
      <c r="AF105" s="505"/>
      <c r="AG105" s="505"/>
      <c r="AH105" s="505"/>
      <c r="AI105" s="505"/>
      <c r="AJ105" s="1359"/>
      <c r="AK105" s="497"/>
      <c r="AL105" s="497"/>
    </row>
    <row r="106" spans="1:38">
      <c r="A106" s="2091" t="s">
        <v>1789</v>
      </c>
      <c r="B106" s="505" t="e">
        <f ca="1">IF(B$99&lt;0,IF(AND(B$104&gt;0,B$105&gt;0,B$105&lt;$AC$11),IF(ABS($U$11+B$105*$AA$11)&gt;ABS($U$9),$U$9,$U$11+B$105*$AA$11),0),IF(AND(B$104&gt;0,B$105&gt;0,B$105&lt;$AC$12),IF(ABS($U$12+B$105*$AA$12)&lt;ABS($U$10),$U$10,$U$12+B$105*$AA$12),0))</f>
        <v>#REF!</v>
      </c>
      <c r="C106" s="505" t="e">
        <f ca="1">IF(C$99&lt;0,IF(AND(C$104&gt;0,C$105&gt;0,C$105&lt;$AC$11),IF(ABS($U$11+C$105*$AA$11)&gt;ABS($U$9),$U$9,$U$11+C$105*$AA$11),0),IF(AND(C$104&gt;0,C$105&gt;0,C$105&lt;$AC$12),IF(ABS($U$12+C$105*$AA$12)&lt;ABS($U$10),$U$10,$U$12+C$105*$AA$12),0))</f>
        <v>#REF!</v>
      </c>
      <c r="D106" s="505" t="e">
        <f ca="1">IF(Small_F,IF(D$95&lt;0,IF(AND(D$104&gt;0,D$105&gt;0,D$105&lt;$AC$11),IF(ABS($Q$11+D$105*$AA$11)&gt;ABS($Q$9),$Q$9,$Q$11+D$105*$AA$11),0),IF(AND(D$104&gt;0,D$105&gt;0,D$105&lt;$AC$12),IF(ABS($Q$12+D$105*$AA$12)&lt;ABS($Q$10),$Q$10,$Q$12+D$105*$AA$12),0)),IF(D$99&lt;0,IF(AND(D$104&gt;0,D$105&gt;0,D$105&lt;$AC$11),IF(ABS($U$11+D$105*$AA$11)&gt;ABS($U$9),$U$9,$U$11+D$105*$AA$11),0),IF(AND(D$104&gt;0,D$105&gt;0,D$105&lt;$AC$12),IF(ABS($U$12+D$105*$AA$12)&lt;ABS($U$10),$U$10,$U$12+D$105*$AA$12),0)))</f>
        <v>#REF!</v>
      </c>
      <c r="E106" s="505" t="e">
        <f t="shared" ref="E106:AB106" ca="1" si="31">IF(E$99&lt;0,IF(AND(E$104&gt;0,E$105&gt;0,E$105&lt;$AC$11),IF(ABS($U$11+E$105*$AA$11)&gt;ABS($U$9),$U$9,$U$11+E$105*$AA$11),0),IF(AND(E$104&gt;0,E$105&gt;0,E$105&lt;$AC$12),IF(ABS($U$12+E$105*$AA$12)&lt;ABS($U$10),$U$10,$U$12+E$105*$AA$12),0))</f>
        <v>#REF!</v>
      </c>
      <c r="F106" s="505" t="e">
        <f t="shared" ca="1" si="31"/>
        <v>#REF!</v>
      </c>
      <c r="G106" s="505" t="e">
        <f t="shared" ca="1" si="31"/>
        <v>#REF!</v>
      </c>
      <c r="H106" s="505" t="e">
        <f t="shared" ca="1" si="31"/>
        <v>#REF!</v>
      </c>
      <c r="I106" s="505" t="e">
        <f t="shared" ca="1" si="31"/>
        <v>#REF!</v>
      </c>
      <c r="J106" s="505" t="e">
        <f t="shared" ca="1" si="31"/>
        <v>#REF!</v>
      </c>
      <c r="K106" s="505" t="e">
        <f t="shared" ca="1" si="31"/>
        <v>#REF!</v>
      </c>
      <c r="L106" s="505" t="e">
        <f t="shared" ca="1" si="31"/>
        <v>#REF!</v>
      </c>
      <c r="M106" s="505" t="e">
        <f t="shared" ca="1" si="31"/>
        <v>#REF!</v>
      </c>
      <c r="N106" s="505" t="e">
        <f t="shared" ca="1" si="31"/>
        <v>#REF!</v>
      </c>
      <c r="O106" s="505" t="e">
        <f t="shared" ca="1" si="31"/>
        <v>#REF!</v>
      </c>
      <c r="P106" s="505" t="e">
        <f t="shared" ca="1" si="31"/>
        <v>#REF!</v>
      </c>
      <c r="Q106" s="505" t="e">
        <f t="shared" ca="1" si="31"/>
        <v>#REF!</v>
      </c>
      <c r="R106" s="505" t="e">
        <f t="shared" ca="1" si="31"/>
        <v>#REF!</v>
      </c>
      <c r="S106" s="505" t="e">
        <f t="shared" ca="1" si="31"/>
        <v>#REF!</v>
      </c>
      <c r="T106" s="505" t="e">
        <f t="shared" ca="1" si="31"/>
        <v>#REF!</v>
      </c>
      <c r="U106" s="505" t="e">
        <f t="shared" ca="1" si="31"/>
        <v>#REF!</v>
      </c>
      <c r="V106" s="505" t="e">
        <f t="shared" ca="1" si="31"/>
        <v>#REF!</v>
      </c>
      <c r="W106" s="505" t="e">
        <f t="shared" ca="1" si="31"/>
        <v>#REF!</v>
      </c>
      <c r="X106" s="505" t="e">
        <f t="shared" ca="1" si="31"/>
        <v>#REF!</v>
      </c>
      <c r="Y106" s="505" t="e">
        <f t="shared" ca="1" si="31"/>
        <v>#REF!</v>
      </c>
      <c r="Z106" s="505" t="e">
        <f t="shared" ca="1" si="31"/>
        <v>#REF!</v>
      </c>
      <c r="AA106" s="505" t="e">
        <f t="shared" ca="1" si="31"/>
        <v>#REF!</v>
      </c>
      <c r="AB106" s="503" t="e">
        <f t="shared" ca="1" si="31"/>
        <v>#REF!</v>
      </c>
      <c r="AC106" s="2121"/>
      <c r="AD106" s="2114"/>
      <c r="AE106" s="505"/>
      <c r="AF106" s="505"/>
      <c r="AG106" s="505"/>
      <c r="AH106" s="505"/>
      <c r="AI106" s="505"/>
      <c r="AJ106" s="1359"/>
      <c r="AK106" s="497"/>
      <c r="AL106" s="497"/>
    </row>
    <row r="107" spans="1:38">
      <c r="A107" s="2091" t="s">
        <v>1790</v>
      </c>
      <c r="B107" s="505" t="e">
        <f t="shared" ref="B107:AB107" ca="1" si="32">B$106*TAN(B$92)</f>
        <v>#REF!</v>
      </c>
      <c r="C107" s="505" t="e">
        <f t="shared" ca="1" si="32"/>
        <v>#REF!</v>
      </c>
      <c r="D107" s="505" t="e">
        <f t="shared" ca="1" si="32"/>
        <v>#REF!</v>
      </c>
      <c r="E107" s="505" t="e">
        <f t="shared" ca="1" si="32"/>
        <v>#REF!</v>
      </c>
      <c r="F107" s="505" t="e">
        <f t="shared" ca="1" si="32"/>
        <v>#REF!</v>
      </c>
      <c r="G107" s="505" t="e">
        <f t="shared" ca="1" si="32"/>
        <v>#REF!</v>
      </c>
      <c r="H107" s="505" t="e">
        <f t="shared" ca="1" si="32"/>
        <v>#REF!</v>
      </c>
      <c r="I107" s="505" t="e">
        <f t="shared" ca="1" si="32"/>
        <v>#REF!</v>
      </c>
      <c r="J107" s="505" t="e">
        <f ca="1">J$106*TAN(J$92)</f>
        <v>#REF!</v>
      </c>
      <c r="K107" s="505" t="e">
        <f ca="1">K$106*TAN(K$92)</f>
        <v>#REF!</v>
      </c>
      <c r="L107" s="505" t="e">
        <f ca="1">L$106*TAN(L$92)</f>
        <v>#REF!</v>
      </c>
      <c r="M107" s="505" t="e">
        <f ca="1">M$106*TAN(M$92)</f>
        <v>#REF!</v>
      </c>
      <c r="N107" s="505" t="e">
        <f t="shared" ca="1" si="32"/>
        <v>#REF!</v>
      </c>
      <c r="O107" s="505" t="e">
        <f t="shared" ca="1" si="32"/>
        <v>#REF!</v>
      </c>
      <c r="P107" s="505" t="e">
        <f t="shared" ca="1" si="32"/>
        <v>#REF!</v>
      </c>
      <c r="Q107" s="505" t="e">
        <f t="shared" ca="1" si="32"/>
        <v>#REF!</v>
      </c>
      <c r="R107" s="505" t="e">
        <f t="shared" ca="1" si="32"/>
        <v>#REF!</v>
      </c>
      <c r="S107" s="505" t="e">
        <f t="shared" ca="1" si="32"/>
        <v>#REF!</v>
      </c>
      <c r="T107" s="505" t="e">
        <f t="shared" ca="1" si="32"/>
        <v>#REF!</v>
      </c>
      <c r="U107" s="505" t="e">
        <f t="shared" ca="1" si="32"/>
        <v>#REF!</v>
      </c>
      <c r="V107" s="505" t="e">
        <f t="shared" ca="1" si="32"/>
        <v>#REF!</v>
      </c>
      <c r="W107" s="505" t="e">
        <f t="shared" ca="1" si="32"/>
        <v>#REF!</v>
      </c>
      <c r="X107" s="505" t="e">
        <f t="shared" ca="1" si="32"/>
        <v>#REF!</v>
      </c>
      <c r="Y107" s="505" t="e">
        <f t="shared" ca="1" si="32"/>
        <v>#REF!</v>
      </c>
      <c r="Z107" s="505" t="e">
        <f t="shared" ca="1" si="32"/>
        <v>#REF!</v>
      </c>
      <c r="AA107" s="505" t="e">
        <f t="shared" ca="1" si="32"/>
        <v>#REF!</v>
      </c>
      <c r="AB107" s="503" t="e">
        <f t="shared" ca="1" si="32"/>
        <v>#REF!</v>
      </c>
      <c r="AC107" s="2121"/>
      <c r="AD107" s="2114"/>
      <c r="AE107" s="505"/>
      <c r="AF107" s="505"/>
      <c r="AG107" s="505"/>
      <c r="AH107" s="505"/>
      <c r="AI107" s="505"/>
      <c r="AJ107" s="1359"/>
      <c r="AK107" s="497"/>
      <c r="AL107" s="497"/>
    </row>
    <row r="108" spans="1:38">
      <c r="A108" s="2238" t="s">
        <v>1094</v>
      </c>
      <c r="B108" s="504" t="e">
        <f t="shared" ref="B108:AB108" ca="1" si="33">IF(B$106&lt;&gt;0,B$106,B$97)</f>
        <v>#REF!</v>
      </c>
      <c r="C108" s="504" t="e">
        <f t="shared" ca="1" si="33"/>
        <v>#REF!</v>
      </c>
      <c r="D108" s="504" t="e">
        <f t="shared" ca="1" si="33"/>
        <v>#REF!</v>
      </c>
      <c r="E108" s="504" t="e">
        <f t="shared" ca="1" si="33"/>
        <v>#REF!</v>
      </c>
      <c r="F108" s="504" t="e">
        <f t="shared" ca="1" si="33"/>
        <v>#REF!</v>
      </c>
      <c r="G108" s="504" t="e">
        <f t="shared" ca="1" si="33"/>
        <v>#REF!</v>
      </c>
      <c r="H108" s="504" t="e">
        <f t="shared" ca="1" si="33"/>
        <v>#REF!</v>
      </c>
      <c r="I108" s="504" t="e">
        <f t="shared" ca="1" si="33"/>
        <v>#REF!</v>
      </c>
      <c r="J108" s="504" t="e">
        <f ca="1">IF(J$106&lt;&gt;0,J$106,J$97)</f>
        <v>#REF!</v>
      </c>
      <c r="K108" s="504" t="e">
        <f ca="1">IF(K$106&lt;&gt;0,K$106,K$97)</f>
        <v>#REF!</v>
      </c>
      <c r="L108" s="504" t="e">
        <f ca="1">IF(L$106&lt;&gt;0,L$106,L$97)</f>
        <v>#REF!</v>
      </c>
      <c r="M108" s="504" t="e">
        <f ca="1">IF(M$106&lt;&gt;0,M$106,M$97)</f>
        <v>#REF!</v>
      </c>
      <c r="N108" s="504" t="e">
        <f t="shared" ca="1" si="33"/>
        <v>#REF!</v>
      </c>
      <c r="O108" s="504" t="e">
        <f t="shared" ca="1" si="33"/>
        <v>#REF!</v>
      </c>
      <c r="P108" s="504" t="e">
        <f t="shared" ca="1" si="33"/>
        <v>#REF!</v>
      </c>
      <c r="Q108" s="504" t="e">
        <f t="shared" ca="1" si="33"/>
        <v>#REF!</v>
      </c>
      <c r="R108" s="504" t="e">
        <f t="shared" ca="1" si="33"/>
        <v>#REF!</v>
      </c>
      <c r="S108" s="504" t="e">
        <f t="shared" ca="1" si="33"/>
        <v>#REF!</v>
      </c>
      <c r="T108" s="504" t="e">
        <f t="shared" ca="1" si="33"/>
        <v>#REF!</v>
      </c>
      <c r="U108" s="504" t="e">
        <f t="shared" ca="1" si="33"/>
        <v>#REF!</v>
      </c>
      <c r="V108" s="504" t="e">
        <f t="shared" ca="1" si="33"/>
        <v>#REF!</v>
      </c>
      <c r="W108" s="504" t="e">
        <f t="shared" ca="1" si="33"/>
        <v>#REF!</v>
      </c>
      <c r="X108" s="504" t="e">
        <f t="shared" ca="1" si="33"/>
        <v>#REF!</v>
      </c>
      <c r="Y108" s="504" t="e">
        <f t="shared" ca="1" si="33"/>
        <v>#REF!</v>
      </c>
      <c r="Z108" s="504" t="e">
        <f t="shared" ca="1" si="33"/>
        <v>#REF!</v>
      </c>
      <c r="AA108" s="504" t="e">
        <f t="shared" ca="1" si="33"/>
        <v>#REF!</v>
      </c>
      <c r="AB108" s="511" t="e">
        <f t="shared" ca="1" si="33"/>
        <v>#REF!</v>
      </c>
      <c r="AC108" s="2119"/>
      <c r="AD108" s="2069"/>
      <c r="AE108" s="504"/>
      <c r="AF108" s="504"/>
      <c r="AG108" s="504"/>
      <c r="AH108" s="504"/>
      <c r="AI108" s="504"/>
      <c r="AJ108" s="530"/>
    </row>
    <row r="109" spans="1:38">
      <c r="A109" s="2238" t="s">
        <v>1095</v>
      </c>
      <c r="B109" s="508" t="e">
        <f t="shared" ref="B109:AB109" ca="1" si="34">IF(B$107&lt;&gt;0,B$107,B$98)</f>
        <v>#REF!</v>
      </c>
      <c r="C109" s="508" t="e">
        <f t="shared" ca="1" si="34"/>
        <v>#REF!</v>
      </c>
      <c r="D109" s="508" t="e">
        <f t="shared" ca="1" si="34"/>
        <v>#REF!</v>
      </c>
      <c r="E109" s="508" t="e">
        <f t="shared" ca="1" si="34"/>
        <v>#REF!</v>
      </c>
      <c r="F109" s="508" t="e">
        <f t="shared" ca="1" si="34"/>
        <v>#REF!</v>
      </c>
      <c r="G109" s="508" t="e">
        <f t="shared" ca="1" si="34"/>
        <v>#REF!</v>
      </c>
      <c r="H109" s="508" t="e">
        <f t="shared" ca="1" si="34"/>
        <v>#REF!</v>
      </c>
      <c r="I109" s="508" t="e">
        <f t="shared" ca="1" si="34"/>
        <v>#REF!</v>
      </c>
      <c r="J109" s="508" t="e">
        <f ca="1">IF(J$107&lt;&gt;0,J$107,J$98)</f>
        <v>#REF!</v>
      </c>
      <c r="K109" s="508" t="e">
        <f ca="1">IF(K$107&lt;&gt;0,K$107,K$98)</f>
        <v>#REF!</v>
      </c>
      <c r="L109" s="508" t="e">
        <f ca="1">IF(L$107&lt;&gt;0,L$107,L$98)</f>
        <v>#REF!</v>
      </c>
      <c r="M109" s="508" t="e">
        <f ca="1">IF(M$107&lt;&gt;0,M$107,M$98)</f>
        <v>#REF!</v>
      </c>
      <c r="N109" s="508" t="e">
        <f t="shared" ca="1" si="34"/>
        <v>#REF!</v>
      </c>
      <c r="O109" s="508" t="e">
        <f t="shared" ca="1" si="34"/>
        <v>#REF!</v>
      </c>
      <c r="P109" s="508" t="e">
        <f t="shared" ca="1" si="34"/>
        <v>#REF!</v>
      </c>
      <c r="Q109" s="508" t="e">
        <f t="shared" ca="1" si="34"/>
        <v>#REF!</v>
      </c>
      <c r="R109" s="508" t="e">
        <f t="shared" ca="1" si="34"/>
        <v>#REF!</v>
      </c>
      <c r="S109" s="508" t="e">
        <f t="shared" ca="1" si="34"/>
        <v>#REF!</v>
      </c>
      <c r="T109" s="508" t="e">
        <f t="shared" ca="1" si="34"/>
        <v>#REF!</v>
      </c>
      <c r="U109" s="508" t="e">
        <f t="shared" ca="1" si="34"/>
        <v>#REF!</v>
      </c>
      <c r="V109" s="508" t="e">
        <f t="shared" ca="1" si="34"/>
        <v>#REF!</v>
      </c>
      <c r="W109" s="508" t="e">
        <f t="shared" ca="1" si="34"/>
        <v>#REF!</v>
      </c>
      <c r="X109" s="508" t="e">
        <f t="shared" ca="1" si="34"/>
        <v>#REF!</v>
      </c>
      <c r="Y109" s="508" t="e">
        <f t="shared" ca="1" si="34"/>
        <v>#REF!</v>
      </c>
      <c r="Z109" s="508" t="e">
        <f t="shared" ca="1" si="34"/>
        <v>#REF!</v>
      </c>
      <c r="AA109" s="508" t="e">
        <f t="shared" ca="1" si="34"/>
        <v>#REF!</v>
      </c>
      <c r="AB109" s="506" t="e">
        <f t="shared" ca="1" si="34"/>
        <v>#REF!</v>
      </c>
      <c r="AC109" s="2120"/>
      <c r="AD109" s="2113"/>
      <c r="AE109" s="508"/>
      <c r="AF109" s="508"/>
      <c r="AG109" s="508"/>
      <c r="AH109" s="508"/>
      <c r="AI109" s="508"/>
      <c r="AJ109" s="532"/>
    </row>
    <row r="110" spans="1:38">
      <c r="A110" s="1275" t="s">
        <v>1096</v>
      </c>
      <c r="B110" s="505" t="e">
        <f t="shared" ref="B110:AB110" ca="1" si="35">IF(AND(B$108=0,B$109=0),0,B$99)</f>
        <v>#REF!</v>
      </c>
      <c r="C110" s="505" t="e">
        <f t="shared" ca="1" si="35"/>
        <v>#REF!</v>
      </c>
      <c r="D110" s="505" t="e">
        <f t="shared" ca="1" si="35"/>
        <v>#REF!</v>
      </c>
      <c r="E110" s="505" t="e">
        <f t="shared" ca="1" si="35"/>
        <v>#REF!</v>
      </c>
      <c r="F110" s="505" t="e">
        <f t="shared" ca="1" si="35"/>
        <v>#REF!</v>
      </c>
      <c r="G110" s="505" t="e">
        <f t="shared" ca="1" si="35"/>
        <v>#REF!</v>
      </c>
      <c r="H110" s="505" t="e">
        <f t="shared" ca="1" si="35"/>
        <v>#REF!</v>
      </c>
      <c r="I110" s="505" t="e">
        <f t="shared" ca="1" si="35"/>
        <v>#REF!</v>
      </c>
      <c r="J110" s="505" t="e">
        <f ca="1">IF(AND(J$108=0,J$109=0),0,J$99)</f>
        <v>#REF!</v>
      </c>
      <c r="K110" s="505" t="e">
        <f ca="1">IF(AND(K$108=0,K$109=0),0,K$99)</f>
        <v>#REF!</v>
      </c>
      <c r="L110" s="505" t="e">
        <f ca="1">IF(AND(L$108=0,L$109=0),0,L$99)</f>
        <v>#REF!</v>
      </c>
      <c r="M110" s="505" t="e">
        <f ca="1">IF(AND(M$108=0,M$109=0),0,M$99)</f>
        <v>#REF!</v>
      </c>
      <c r="N110" s="505" t="e">
        <f t="shared" ca="1" si="35"/>
        <v>#REF!</v>
      </c>
      <c r="O110" s="505" t="e">
        <f t="shared" ca="1" si="35"/>
        <v>#REF!</v>
      </c>
      <c r="P110" s="505" t="e">
        <f t="shared" ca="1" si="35"/>
        <v>#REF!</v>
      </c>
      <c r="Q110" s="505" t="e">
        <f t="shared" ca="1" si="35"/>
        <v>#REF!</v>
      </c>
      <c r="R110" s="505" t="e">
        <f t="shared" ca="1" si="35"/>
        <v>#REF!</v>
      </c>
      <c r="S110" s="505" t="e">
        <f t="shared" ca="1" si="35"/>
        <v>#REF!</v>
      </c>
      <c r="T110" s="505" t="e">
        <f t="shared" ca="1" si="35"/>
        <v>#REF!</v>
      </c>
      <c r="U110" s="505" t="e">
        <f t="shared" ca="1" si="35"/>
        <v>#REF!</v>
      </c>
      <c r="V110" s="505" t="e">
        <f t="shared" ca="1" si="35"/>
        <v>#REF!</v>
      </c>
      <c r="W110" s="505" t="e">
        <f t="shared" ca="1" si="35"/>
        <v>#REF!</v>
      </c>
      <c r="X110" s="505" t="e">
        <f t="shared" ca="1" si="35"/>
        <v>#REF!</v>
      </c>
      <c r="Y110" s="505" t="e">
        <f t="shared" ca="1" si="35"/>
        <v>#REF!</v>
      </c>
      <c r="Z110" s="505" t="e">
        <f t="shared" ca="1" si="35"/>
        <v>#REF!</v>
      </c>
      <c r="AA110" s="505" t="e">
        <f t="shared" ca="1" si="35"/>
        <v>#REF!</v>
      </c>
      <c r="AB110" s="503" t="e">
        <f t="shared" ca="1" si="35"/>
        <v>#REF!</v>
      </c>
      <c r="AC110" s="2121"/>
      <c r="AD110" s="2114"/>
      <c r="AE110" s="505"/>
      <c r="AF110" s="505"/>
      <c r="AG110" s="505"/>
      <c r="AH110" s="505"/>
      <c r="AI110" s="505"/>
      <c r="AJ110" s="1359"/>
    </row>
    <row r="111" spans="1:38">
      <c r="A111" s="1275" t="s">
        <v>1097</v>
      </c>
      <c r="B111" s="508" t="e">
        <f t="shared" ref="B111:AB111" ca="1" si="36">IF(AND(B$108=0,B$109=0),0,B$100)</f>
        <v>#REF!</v>
      </c>
      <c r="C111" s="508" t="e">
        <f t="shared" ca="1" si="36"/>
        <v>#REF!</v>
      </c>
      <c r="D111" s="508" t="e">
        <f t="shared" ca="1" si="36"/>
        <v>#REF!</v>
      </c>
      <c r="E111" s="508" t="e">
        <f t="shared" ca="1" si="36"/>
        <v>#REF!</v>
      </c>
      <c r="F111" s="508" t="e">
        <f t="shared" ca="1" si="36"/>
        <v>#REF!</v>
      </c>
      <c r="G111" s="508" t="e">
        <f t="shared" ca="1" si="36"/>
        <v>#REF!</v>
      </c>
      <c r="H111" s="508" t="e">
        <f t="shared" ca="1" si="36"/>
        <v>#REF!</v>
      </c>
      <c r="I111" s="508" t="e">
        <f t="shared" ca="1" si="36"/>
        <v>#REF!</v>
      </c>
      <c r="J111" s="508" t="e">
        <f ca="1">IF(AND(J$108=0,J$109=0),0,J$100)</f>
        <v>#REF!</v>
      </c>
      <c r="K111" s="508" t="e">
        <f ca="1">IF(AND(K$108=0,K$109=0),0,K$100)</f>
        <v>#REF!</v>
      </c>
      <c r="L111" s="508" t="e">
        <f ca="1">IF(AND(L$108=0,L$109=0),0,L$100)</f>
        <v>#REF!</v>
      </c>
      <c r="M111" s="508" t="e">
        <f ca="1">IF(AND(M$108=0,M$109=0),0,M$100)</f>
        <v>#REF!</v>
      </c>
      <c r="N111" s="508" t="e">
        <f t="shared" ca="1" si="36"/>
        <v>#REF!</v>
      </c>
      <c r="O111" s="508" t="e">
        <f t="shared" ca="1" si="36"/>
        <v>#REF!</v>
      </c>
      <c r="P111" s="508" t="e">
        <f t="shared" ca="1" si="36"/>
        <v>#REF!</v>
      </c>
      <c r="Q111" s="508" t="e">
        <f t="shared" ca="1" si="36"/>
        <v>#REF!</v>
      </c>
      <c r="R111" s="508" t="e">
        <f t="shared" ca="1" si="36"/>
        <v>#REF!</v>
      </c>
      <c r="S111" s="508" t="e">
        <f t="shared" ca="1" si="36"/>
        <v>#REF!</v>
      </c>
      <c r="T111" s="508" t="e">
        <f t="shared" ca="1" si="36"/>
        <v>#REF!</v>
      </c>
      <c r="U111" s="508" t="e">
        <f t="shared" ca="1" si="36"/>
        <v>#REF!</v>
      </c>
      <c r="V111" s="508" t="e">
        <f t="shared" ca="1" si="36"/>
        <v>#REF!</v>
      </c>
      <c r="W111" s="508" t="e">
        <f t="shared" ca="1" si="36"/>
        <v>#REF!</v>
      </c>
      <c r="X111" s="508" t="e">
        <f t="shared" ca="1" si="36"/>
        <v>#REF!</v>
      </c>
      <c r="Y111" s="508" t="e">
        <f t="shared" ca="1" si="36"/>
        <v>#REF!</v>
      </c>
      <c r="Z111" s="508" t="e">
        <f t="shared" ca="1" si="36"/>
        <v>#REF!</v>
      </c>
      <c r="AA111" s="508" t="e">
        <f t="shared" ca="1" si="36"/>
        <v>#REF!</v>
      </c>
      <c r="AB111" s="506" t="e">
        <f t="shared" ca="1" si="36"/>
        <v>#REF!</v>
      </c>
      <c r="AC111" s="2120"/>
      <c r="AD111" s="2113"/>
      <c r="AE111" s="508"/>
      <c r="AF111" s="508"/>
      <c r="AG111" s="508"/>
      <c r="AH111" s="508"/>
      <c r="AI111" s="508"/>
      <c r="AJ111" s="532"/>
    </row>
    <row r="112" spans="1:38">
      <c r="A112" s="1275" t="s">
        <v>2790</v>
      </c>
      <c r="B112" s="780" t="e">
        <f t="shared" ref="B112:AB112" ca="1" si="37">SQRT((B$110-B$108)^2+(B$111-B$109)^2)</f>
        <v>#REF!</v>
      </c>
      <c r="C112" s="780" t="e">
        <f t="shared" ca="1" si="37"/>
        <v>#REF!</v>
      </c>
      <c r="D112" s="780" t="e">
        <f t="shared" ca="1" si="37"/>
        <v>#REF!</v>
      </c>
      <c r="E112" s="780" t="e">
        <f t="shared" ca="1" si="37"/>
        <v>#REF!</v>
      </c>
      <c r="F112" s="780" t="e">
        <f t="shared" ca="1" si="37"/>
        <v>#REF!</v>
      </c>
      <c r="G112" s="780" t="e">
        <f t="shared" ca="1" si="37"/>
        <v>#REF!</v>
      </c>
      <c r="H112" s="780" t="e">
        <f t="shared" ca="1" si="37"/>
        <v>#REF!</v>
      </c>
      <c r="I112" s="780" t="e">
        <f t="shared" ca="1" si="37"/>
        <v>#REF!</v>
      </c>
      <c r="J112" s="780" t="e">
        <f ca="1">SQRT((J$110-J$108)^2+(J$111-J$109)^2)</f>
        <v>#REF!</v>
      </c>
      <c r="K112" s="780" t="e">
        <f ca="1">SQRT((K$110-K$108)^2+(K$111-K$109)^2)</f>
        <v>#REF!</v>
      </c>
      <c r="L112" s="780" t="e">
        <f ca="1">SQRT((L$110-L$108)^2+(L$111-L$109)^2)</f>
        <v>#REF!</v>
      </c>
      <c r="M112" s="780" t="e">
        <f ca="1">SQRT((M$110-M$108)^2+(M$111-M$109)^2)</f>
        <v>#REF!</v>
      </c>
      <c r="N112" s="780" t="e">
        <f t="shared" ca="1" si="37"/>
        <v>#REF!</v>
      </c>
      <c r="O112" s="780" t="e">
        <f t="shared" ca="1" si="37"/>
        <v>#REF!</v>
      </c>
      <c r="P112" s="780" t="e">
        <f t="shared" ca="1" si="37"/>
        <v>#REF!</v>
      </c>
      <c r="Q112" s="780" t="e">
        <f t="shared" ca="1" si="37"/>
        <v>#REF!</v>
      </c>
      <c r="R112" s="780" t="e">
        <f t="shared" ca="1" si="37"/>
        <v>#REF!</v>
      </c>
      <c r="S112" s="780" t="e">
        <f t="shared" ca="1" si="37"/>
        <v>#REF!</v>
      </c>
      <c r="T112" s="780" t="e">
        <f t="shared" ca="1" si="37"/>
        <v>#REF!</v>
      </c>
      <c r="U112" s="780" t="e">
        <f t="shared" ca="1" si="37"/>
        <v>#REF!</v>
      </c>
      <c r="V112" s="780" t="e">
        <f t="shared" ca="1" si="37"/>
        <v>#REF!</v>
      </c>
      <c r="W112" s="780" t="e">
        <f t="shared" ca="1" si="37"/>
        <v>#REF!</v>
      </c>
      <c r="X112" s="780" t="e">
        <f t="shared" ca="1" si="37"/>
        <v>#REF!</v>
      </c>
      <c r="Y112" s="780" t="e">
        <f t="shared" ca="1" si="37"/>
        <v>#REF!</v>
      </c>
      <c r="Z112" s="780" t="e">
        <f t="shared" ca="1" si="37"/>
        <v>#REF!</v>
      </c>
      <c r="AA112" s="780" t="e">
        <f t="shared" ca="1" si="37"/>
        <v>#REF!</v>
      </c>
      <c r="AB112" s="1369" t="e">
        <f t="shared" ca="1" si="37"/>
        <v>#REF!</v>
      </c>
      <c r="AC112" s="2117"/>
      <c r="AD112" s="2112"/>
      <c r="AE112" s="780"/>
      <c r="AF112" s="780"/>
      <c r="AG112" s="780"/>
      <c r="AH112" s="780"/>
      <c r="AI112" s="780"/>
      <c r="AJ112" s="781"/>
    </row>
    <row r="113" spans="1:36" s="1346" customFormat="1" ht="15.75" thickBot="1">
      <c r="A113" s="2349" t="s">
        <v>3566</v>
      </c>
      <c r="B113" s="2371" t="e">
        <f t="shared" ref="B113:AB113" ca="1" si="38">(B92-C92)/(2*PI())*(PI()*AVERAGE(B111^2+B110^2,IF(C112&lt;&gt;0,C111^2+C110^2,B111^2+B110^2))-PI()*$L$14^2)/1000000</f>
        <v>#REF!</v>
      </c>
      <c r="C113" s="2371" t="e">
        <f t="shared" ca="1" si="38"/>
        <v>#REF!</v>
      </c>
      <c r="D113" s="2371" t="e">
        <f t="shared" ca="1" si="38"/>
        <v>#REF!</v>
      </c>
      <c r="E113" s="2371" t="e">
        <f t="shared" ca="1" si="38"/>
        <v>#REF!</v>
      </c>
      <c r="F113" s="2371" t="e">
        <f t="shared" ca="1" si="38"/>
        <v>#REF!</v>
      </c>
      <c r="G113" s="2371" t="e">
        <f t="shared" ca="1" si="38"/>
        <v>#REF!</v>
      </c>
      <c r="H113" s="2371" t="e">
        <f t="shared" ca="1" si="38"/>
        <v>#REF!</v>
      </c>
      <c r="I113" s="2371" t="e">
        <f t="shared" ca="1" si="38"/>
        <v>#REF!</v>
      </c>
      <c r="J113" s="2371" t="e">
        <f t="shared" ca="1" si="38"/>
        <v>#REF!</v>
      </c>
      <c r="K113" s="2371" t="e">
        <f t="shared" ca="1" si="38"/>
        <v>#REF!</v>
      </c>
      <c r="L113" s="2371" t="e">
        <f t="shared" ca="1" si="38"/>
        <v>#REF!</v>
      </c>
      <c r="M113" s="2371" t="e">
        <f t="shared" ca="1" si="38"/>
        <v>#REF!</v>
      </c>
      <c r="N113" s="2371" t="e">
        <f t="shared" ca="1" si="38"/>
        <v>#REF!</v>
      </c>
      <c r="O113" s="2371" t="e">
        <f t="shared" ca="1" si="38"/>
        <v>#REF!</v>
      </c>
      <c r="P113" s="2371" t="e">
        <f t="shared" ca="1" si="38"/>
        <v>#REF!</v>
      </c>
      <c r="Q113" s="2371" t="e">
        <f t="shared" ca="1" si="38"/>
        <v>#REF!</v>
      </c>
      <c r="R113" s="2371" t="e">
        <f t="shared" ca="1" si="38"/>
        <v>#REF!</v>
      </c>
      <c r="S113" s="2371" t="e">
        <f t="shared" ca="1" si="38"/>
        <v>#REF!</v>
      </c>
      <c r="T113" s="2371" t="e">
        <f t="shared" ca="1" si="38"/>
        <v>#REF!</v>
      </c>
      <c r="U113" s="2371" t="e">
        <f t="shared" ca="1" si="38"/>
        <v>#REF!</v>
      </c>
      <c r="V113" s="2371" t="e">
        <f t="shared" ca="1" si="38"/>
        <v>#REF!</v>
      </c>
      <c r="W113" s="2371" t="e">
        <f t="shared" ca="1" si="38"/>
        <v>#REF!</v>
      </c>
      <c r="X113" s="2371" t="e">
        <f t="shared" ca="1" si="38"/>
        <v>#REF!</v>
      </c>
      <c r="Y113" s="2371" t="e">
        <f t="shared" ca="1" si="38"/>
        <v>#REF!</v>
      </c>
      <c r="Z113" s="2371" t="e">
        <f t="shared" ca="1" si="38"/>
        <v>#REF!</v>
      </c>
      <c r="AA113" s="2371" t="e">
        <f t="shared" ca="1" si="38"/>
        <v>#REF!</v>
      </c>
      <c r="AB113" s="2372" t="e">
        <f t="shared" ca="1" si="38"/>
        <v>#REF!</v>
      </c>
      <c r="AC113" s="2373"/>
      <c r="AD113" s="2374"/>
      <c r="AE113" s="2371"/>
      <c r="AF113" s="2371"/>
      <c r="AG113" s="2371"/>
      <c r="AH113" s="2371"/>
      <c r="AI113" s="2371"/>
      <c r="AJ113" s="2375"/>
    </row>
    <row r="114" spans="1:36" s="1346" customFormat="1">
      <c r="A114" s="2347"/>
      <c r="B114" s="523"/>
      <c r="C114" s="544"/>
      <c r="D114" s="544"/>
      <c r="E114" s="544"/>
      <c r="F114" s="544"/>
      <c r="G114" s="544"/>
      <c r="H114" s="544"/>
      <c r="I114" s="544"/>
      <c r="J114" s="544"/>
      <c r="K114" s="544"/>
      <c r="L114" s="544"/>
      <c r="M114" s="544"/>
      <c r="N114" s="544"/>
      <c r="O114" s="544"/>
      <c r="P114" s="544"/>
      <c r="Q114" s="544"/>
      <c r="R114" s="544"/>
      <c r="S114" s="544"/>
      <c r="T114" s="544"/>
      <c r="U114" s="544"/>
      <c r="V114" s="544"/>
      <c r="W114" s="544"/>
      <c r="X114" s="544"/>
      <c r="Y114" s="544"/>
      <c r="Z114" s="544"/>
      <c r="AA114" s="544"/>
      <c r="AB114" s="544"/>
      <c r="AC114" s="1136"/>
      <c r="AD114" s="1136"/>
      <c r="AE114" s="544"/>
      <c r="AF114" s="544"/>
      <c r="AG114" s="544"/>
      <c r="AH114" s="544"/>
      <c r="AI114" s="544"/>
      <c r="AJ114" s="524"/>
    </row>
    <row r="115" spans="1:36" s="1346" customFormat="1" ht="15.75" thickBot="1">
      <c r="A115" s="2347"/>
      <c r="B115" s="523"/>
      <c r="C115" s="544"/>
      <c r="D115" s="544"/>
      <c r="E115" s="544"/>
      <c r="F115" s="544"/>
      <c r="G115" s="544"/>
      <c r="H115" s="544"/>
      <c r="I115" s="544"/>
      <c r="J115" s="544"/>
      <c r="K115" s="544"/>
      <c r="L115" s="544"/>
      <c r="M115" s="544"/>
      <c r="N115" s="544"/>
      <c r="O115" s="544"/>
      <c r="P115" s="544"/>
      <c r="Q115" s="544"/>
      <c r="R115" s="544"/>
      <c r="S115" s="544"/>
      <c r="T115" s="544"/>
      <c r="U115" s="544"/>
      <c r="V115" s="544"/>
      <c r="W115" s="544"/>
      <c r="X115" s="544"/>
      <c r="Y115" s="544"/>
      <c r="Z115" s="544"/>
      <c r="AA115" s="544"/>
      <c r="AB115" s="544"/>
      <c r="AC115" s="544"/>
      <c r="AD115" s="544"/>
      <c r="AE115" s="544"/>
      <c r="AF115" s="544"/>
      <c r="AG115" s="544"/>
      <c r="AH115" s="544"/>
      <c r="AI115" s="544"/>
      <c r="AJ115" s="524"/>
    </row>
    <row r="116" spans="1:36">
      <c r="A116" s="3849" t="s">
        <v>2645</v>
      </c>
      <c r="B116" s="3858" t="str">
        <f>"Central Frame Side Rad. reinf inside HF (LG)"&amp;", "&amp;$G$6&amp;", "&amp;Center_H</f>
        <v>Central Frame Side Rad. reinf inside HF (LG), 135, 1269</v>
      </c>
      <c r="C116" s="3858"/>
      <c r="D116" s="3858"/>
      <c r="E116" s="3858"/>
      <c r="F116" s="3858"/>
      <c r="G116" s="3858"/>
      <c r="H116" s="3858"/>
      <c r="I116" s="3858"/>
      <c r="J116" s="3858"/>
      <c r="K116" s="3858"/>
      <c r="L116" s="3858"/>
      <c r="M116" s="3858"/>
      <c r="N116" s="3858"/>
      <c r="O116" s="3858"/>
      <c r="P116" s="3858"/>
      <c r="Q116" s="3858"/>
      <c r="R116" s="3858"/>
      <c r="S116" s="3858"/>
      <c r="T116" s="3858"/>
      <c r="U116" s="3858"/>
      <c r="V116" s="3858"/>
      <c r="W116" s="3858"/>
      <c r="X116" s="3858"/>
      <c r="Y116" s="3858"/>
      <c r="Z116" s="3858"/>
      <c r="AA116" s="3858"/>
      <c r="AB116" s="3858"/>
      <c r="AC116" s="3858"/>
      <c r="AD116" s="3858"/>
      <c r="AE116" s="3858"/>
      <c r="AF116" s="3858"/>
      <c r="AG116" s="3858"/>
      <c r="AH116" s="3858"/>
      <c r="AI116" s="3858"/>
      <c r="AJ116" s="3859"/>
    </row>
    <row r="117" spans="1:36" s="813" customFormat="1" ht="15.75" thickBot="1">
      <c r="A117" s="3850"/>
      <c r="B117" s="3860"/>
      <c r="C117" s="3860"/>
      <c r="D117" s="3860"/>
      <c r="E117" s="3860"/>
      <c r="F117" s="3860"/>
      <c r="G117" s="3860"/>
      <c r="H117" s="3860"/>
      <c r="I117" s="3860"/>
      <c r="J117" s="3860"/>
      <c r="K117" s="3860"/>
      <c r="L117" s="3860"/>
      <c r="M117" s="3860"/>
      <c r="N117" s="3860"/>
      <c r="O117" s="3860"/>
      <c r="P117" s="3860"/>
      <c r="Q117" s="3860"/>
      <c r="R117" s="3860"/>
      <c r="S117" s="3860"/>
      <c r="T117" s="3860"/>
      <c r="U117" s="3860"/>
      <c r="V117" s="3860"/>
      <c r="W117" s="3860"/>
      <c r="X117" s="3860"/>
      <c r="Y117" s="3860"/>
      <c r="Z117" s="3860"/>
      <c r="AA117" s="3860"/>
      <c r="AB117" s="3860"/>
      <c r="AC117" s="3860"/>
      <c r="AD117" s="3860"/>
      <c r="AE117" s="3860"/>
      <c r="AF117" s="3860"/>
      <c r="AG117" s="3860"/>
      <c r="AH117" s="3860"/>
      <c r="AI117" s="3860"/>
      <c r="AJ117" s="3861"/>
    </row>
    <row r="118" spans="1:36">
      <c r="A118" s="515"/>
      <c r="B118" s="3803" t="s">
        <v>2685</v>
      </c>
      <c r="C118" s="3804"/>
      <c r="D118" s="3804"/>
      <c r="E118" s="3804"/>
      <c r="F118" s="3804"/>
      <c r="G118" s="3804"/>
      <c r="H118" s="3804"/>
      <c r="I118" s="3804"/>
      <c r="J118" s="3804"/>
      <c r="K118" s="3804"/>
      <c r="L118" s="3804"/>
      <c r="M118" s="3804"/>
      <c r="N118" s="3804"/>
      <c r="O118" s="3804"/>
      <c r="P118" s="3804"/>
      <c r="Q118" s="3804"/>
      <c r="R118" s="3867"/>
      <c r="S118" s="501"/>
      <c r="T118" s="3864" t="s">
        <v>2686</v>
      </c>
      <c r="U118" s="3865"/>
      <c r="V118" s="3865"/>
      <c r="W118" s="3865"/>
      <c r="X118" s="3865"/>
      <c r="Y118" s="3865"/>
      <c r="Z118" s="3865"/>
      <c r="AA118" s="3865"/>
      <c r="AB118" s="3865"/>
      <c r="AC118" s="3865"/>
      <c r="AD118" s="3865"/>
      <c r="AE118" s="3865"/>
      <c r="AF118" s="3865"/>
      <c r="AG118" s="3865"/>
      <c r="AH118" s="3865"/>
      <c r="AI118" s="3865"/>
      <c r="AJ118" s="3866"/>
    </row>
    <row r="119" spans="1:36">
      <c r="A119" s="526"/>
      <c r="B119" s="522" t="s">
        <v>2679</v>
      </c>
      <c r="C119" s="518"/>
      <c r="D119" s="518" t="s">
        <v>2680</v>
      </c>
      <c r="E119" s="518"/>
      <c r="F119" s="813" t="s">
        <v>1103</v>
      </c>
      <c r="G119" s="518"/>
      <c r="H119" s="518"/>
      <c r="I119" s="518"/>
      <c r="J119" s="518"/>
      <c r="K119" s="518"/>
      <c r="L119" s="518"/>
      <c r="M119" s="518"/>
      <c r="N119" s="518"/>
      <c r="O119" s="518"/>
      <c r="P119" s="518"/>
      <c r="Q119" s="518"/>
      <c r="R119" s="521"/>
      <c r="S119" s="518"/>
      <c r="T119" s="522" t="s">
        <v>2679</v>
      </c>
      <c r="U119" s="518"/>
      <c r="V119" s="518" t="s">
        <v>2680</v>
      </c>
      <c r="W119" s="518"/>
      <c r="X119" s="813" t="s">
        <v>1103</v>
      </c>
      <c r="Y119" s="518"/>
      <c r="Z119" s="510"/>
      <c r="AA119" s="518"/>
      <c r="AB119" s="518"/>
      <c r="AC119" s="518"/>
      <c r="AD119" s="518"/>
      <c r="AE119" s="518"/>
      <c r="AF119" s="518"/>
      <c r="AG119" s="518"/>
      <c r="AH119" s="518"/>
      <c r="AI119" s="518"/>
      <c r="AJ119" s="527"/>
    </row>
    <row r="120" spans="1:36">
      <c r="A120" s="526"/>
      <c r="B120" s="806" t="e">
        <f ca="1">$Z$9</f>
        <v>#REF!</v>
      </c>
      <c r="C120" s="518"/>
      <c r="D120" s="860" t="e">
        <f ca="1">$Z$10</f>
        <v>#REF!</v>
      </c>
      <c r="E120" s="518"/>
      <c r="F120" s="860" t="e">
        <f ca="1">(B120-D120)/(1+$M$10)</f>
        <v>#REF!</v>
      </c>
      <c r="G120" s="518"/>
      <c r="H120" s="510"/>
      <c r="I120" s="518"/>
      <c r="J120" s="518"/>
      <c r="K120" s="518"/>
      <c r="L120" s="518"/>
      <c r="M120" s="518"/>
      <c r="N120" s="518"/>
      <c r="O120" s="518"/>
      <c r="P120" s="518"/>
      <c r="Q120" s="518"/>
      <c r="R120" s="521"/>
      <c r="S120" s="518"/>
      <c r="T120" s="806" t="e">
        <f ca="1">$Z$12</f>
        <v>#REF!</v>
      </c>
      <c r="U120" s="518"/>
      <c r="V120" s="860" t="e">
        <f ca="1">$Z$11</f>
        <v>#REF!</v>
      </c>
      <c r="W120" s="518"/>
      <c r="X120" s="860" t="e">
        <f ca="1">(T120-V120)/(1+$M$12)</f>
        <v>#REF!</v>
      </c>
      <c r="Y120" s="518"/>
      <c r="Z120" s="510"/>
      <c r="AA120" s="518"/>
      <c r="AB120" s="518"/>
      <c r="AC120" s="518"/>
      <c r="AD120" s="518"/>
      <c r="AE120" s="518"/>
      <c r="AF120" s="518"/>
      <c r="AG120" s="518"/>
      <c r="AH120" s="518"/>
      <c r="AI120" s="518"/>
      <c r="AJ120" s="527"/>
    </row>
    <row r="121" spans="1:36" ht="15.75" thickBot="1">
      <c r="A121" s="526"/>
      <c r="B121" s="503" t="e">
        <f ca="1">DEGREES(B120)</f>
        <v>#REF!</v>
      </c>
      <c r="C121" s="518"/>
      <c r="D121" s="510" t="e">
        <f ca="1">DEGREES(D120)</f>
        <v>#REF!</v>
      </c>
      <c r="E121" s="518"/>
      <c r="F121" s="510" t="e">
        <f ca="1">DEGREES(F120)</f>
        <v>#REF!</v>
      </c>
      <c r="G121" s="518"/>
      <c r="H121" s="510"/>
      <c r="I121" s="518"/>
      <c r="J121" s="518"/>
      <c r="K121" s="518"/>
      <c r="L121" s="518"/>
      <c r="M121" s="518"/>
      <c r="N121" s="518"/>
      <c r="O121" s="518"/>
      <c r="P121" s="518"/>
      <c r="Q121" s="518"/>
      <c r="R121" s="521"/>
      <c r="S121" s="518"/>
      <c r="T121" s="503" t="e">
        <f ca="1">DEGREES(T120)</f>
        <v>#REF!</v>
      </c>
      <c r="U121" s="518"/>
      <c r="V121" s="510" t="e">
        <f ca="1">DEGREES(V120)</f>
        <v>#REF!</v>
      </c>
      <c r="W121" s="518"/>
      <c r="X121" s="510" t="e">
        <f ca="1">DEGREES(X120)</f>
        <v>#REF!</v>
      </c>
      <c r="Y121" s="518"/>
      <c r="Z121" s="518"/>
      <c r="AA121" s="518"/>
      <c r="AB121" s="518"/>
      <c r="AC121" s="518"/>
      <c r="AD121" s="518"/>
      <c r="AE121" s="518"/>
      <c r="AF121" s="518"/>
      <c r="AG121" s="518"/>
      <c r="AH121" s="518"/>
      <c r="AI121" s="518"/>
      <c r="AJ121" s="527"/>
    </row>
    <row r="122" spans="1:36">
      <c r="A122" s="526"/>
      <c r="B122" s="2064" t="str">
        <f>"t1--DRIVE VIEW (LG), "&amp;$G$6&amp;", "&amp;Center_H</f>
        <v>t1--DRIVE VIEW (LG), 135, 1269</v>
      </c>
      <c r="C122" s="1373"/>
      <c r="D122" s="1373"/>
      <c r="E122" s="1373"/>
      <c r="F122" s="1374"/>
      <c r="G122" s="518"/>
      <c r="H122" s="518" t="s">
        <v>2665</v>
      </c>
      <c r="I122" s="1323"/>
      <c r="J122" s="518"/>
      <c r="K122" s="528" t="s">
        <v>2663</v>
      </c>
      <c r="L122" s="1323" t="e">
        <f ca="1">((L124*I123-L123*I124)-(L124*K125-L123*K126))/(L124*L125-L123*L126)</f>
        <v>#REF!</v>
      </c>
      <c r="M122" s="518"/>
      <c r="N122" s="518" t="s">
        <v>2794</v>
      </c>
      <c r="O122" s="1323"/>
      <c r="P122" s="518"/>
      <c r="Q122" s="528" t="s">
        <v>2663</v>
      </c>
      <c r="R122" s="2085" t="e">
        <f ca="1">((R124*O123-R123*O124)-(R124*Q125-R123*Q126))/(R124*R125-R123*R126)</f>
        <v>#REF!</v>
      </c>
      <c r="S122" s="518"/>
      <c r="T122" s="2064" t="str">
        <f>"b1--DRIVE VIEW (LG), "&amp;$G$6&amp;", "&amp;Center_H</f>
        <v>b1--DRIVE VIEW (LG), 135, 1269</v>
      </c>
      <c r="U122" s="1373"/>
      <c r="V122" s="1373"/>
      <c r="W122" s="1373"/>
      <c r="X122" s="1374"/>
      <c r="Y122" s="518"/>
      <c r="Z122" s="518" t="s">
        <v>2665</v>
      </c>
      <c r="AA122" s="1323"/>
      <c r="AB122" s="518"/>
      <c r="AC122" s="528" t="s">
        <v>2663</v>
      </c>
      <c r="AD122" s="1323" t="e">
        <f ca="1">((AD124*AA123-AD123*AA124)-(AD124*AC125-AD123*AC126))/(AD124*AD125-AD123*AD126)</f>
        <v>#REF!</v>
      </c>
      <c r="AE122" s="518"/>
      <c r="AF122" s="518" t="s">
        <v>2794</v>
      </c>
      <c r="AG122" s="1323"/>
      <c r="AH122" s="518"/>
      <c r="AI122" s="528" t="s">
        <v>2663</v>
      </c>
      <c r="AJ122" s="2348" t="e">
        <f ca="1">((AJ124*AG123-AJ123*AG124)-(AJ124*AI125-AJ123*AI126))/(AJ124*AJ125-AJ123*AJ126)</f>
        <v>#REF!</v>
      </c>
    </row>
    <row r="123" spans="1:36" ht="14.45" customHeight="1">
      <c r="A123" s="526"/>
      <c r="B123" s="2065"/>
      <c r="C123" s="1323"/>
      <c r="D123" s="1323"/>
      <c r="E123" s="1323"/>
      <c r="F123" s="527"/>
      <c r="G123" s="518"/>
      <c r="H123" s="528" t="s">
        <v>2661</v>
      </c>
      <c r="I123" s="510">
        <f>$X$34</f>
        <v>-1109.8</v>
      </c>
      <c r="J123" s="510">
        <f>$Y$34</f>
        <v>-1871.1</v>
      </c>
      <c r="K123" s="1234" t="s">
        <v>1485</v>
      </c>
      <c r="L123" s="544">
        <f>(J123-I123)/SQRT((J123-I123)^2+(J124-I124))</f>
        <v>-1.0006574190441222</v>
      </c>
      <c r="M123" s="518"/>
      <c r="N123" s="528" t="s">
        <v>2661</v>
      </c>
      <c r="O123" s="510">
        <f>$Z$34</f>
        <v>-1779.5</v>
      </c>
      <c r="P123" s="510">
        <f>$B$34</f>
        <v>-982</v>
      </c>
      <c r="Q123" s="1234" t="s">
        <v>1485</v>
      </c>
      <c r="R123" s="1143">
        <f>(P123-O123)/SQRT((P123-O123)^2+(P124-O124))</f>
        <v>1.0006275494812824</v>
      </c>
      <c r="S123" s="518"/>
      <c r="T123" s="2065"/>
      <c r="U123" s="1323"/>
      <c r="V123" s="1323"/>
      <c r="W123" s="1323"/>
      <c r="X123" s="527"/>
      <c r="Y123" s="518"/>
      <c r="Z123" s="528" t="s">
        <v>2661</v>
      </c>
      <c r="AA123" s="510">
        <f>$X$34</f>
        <v>-1109.8</v>
      </c>
      <c r="AB123" s="510">
        <f>$Y$34</f>
        <v>-1871.1</v>
      </c>
      <c r="AC123" s="1234" t="s">
        <v>1485</v>
      </c>
      <c r="AD123" s="544">
        <f>(AB123-AA123)/SQRT((AB123-AA123)^2+(AB124-AA124))</f>
        <v>-1.0006574190441222</v>
      </c>
      <c r="AE123" s="518"/>
      <c r="AF123" s="528" t="s">
        <v>2661</v>
      </c>
      <c r="AG123" s="510">
        <f>$Z$34</f>
        <v>-1779.5</v>
      </c>
      <c r="AH123" s="510">
        <f>$B$34</f>
        <v>-982</v>
      </c>
      <c r="AI123" s="1234" t="s">
        <v>1485</v>
      </c>
      <c r="AJ123" s="524">
        <f>(AH123-AG123)/SQRT((AH123-AG123)^2+(AH124-AG124))</f>
        <v>1.0006275494812824</v>
      </c>
    </row>
    <row r="124" spans="1:36">
      <c r="A124" s="526"/>
      <c r="B124" s="522" t="s">
        <v>1104</v>
      </c>
      <c r="C124" s="518" t="s">
        <v>282</v>
      </c>
      <c r="D124" s="518" t="s">
        <v>2677</v>
      </c>
      <c r="E124" s="518" t="s">
        <v>2678</v>
      </c>
      <c r="F124" s="527" t="s">
        <v>2681</v>
      </c>
      <c r="G124" s="518"/>
      <c r="H124" s="528" t="s">
        <v>2662</v>
      </c>
      <c r="I124" s="510">
        <f>$X$35+Center_H</f>
        <v>2378.8000000000002</v>
      </c>
      <c r="J124" s="510">
        <f>$Y$35+Center_H</f>
        <v>1617.5</v>
      </c>
      <c r="K124" s="1234" t="s">
        <v>1788</v>
      </c>
      <c r="L124" s="544">
        <f>(J124-I124)/SQRT((J123-I123)^2+(J124-I124))</f>
        <v>-1.0006574190441226</v>
      </c>
      <c r="M124" s="518"/>
      <c r="N124" s="528" t="s">
        <v>2662</v>
      </c>
      <c r="O124" s="510">
        <f>$Z$35+Center_H</f>
        <v>1709.1</v>
      </c>
      <c r="P124" s="510">
        <f>$B$35+Center_H</f>
        <v>911.6</v>
      </c>
      <c r="Q124" s="1234" t="s">
        <v>1788</v>
      </c>
      <c r="R124" s="1143">
        <f>(P124-O124)/SQRT((P123-O123)^2+(P124-O124))</f>
        <v>-1.0006275494812824</v>
      </c>
      <c r="S124" s="518"/>
      <c r="T124" s="522" t="s">
        <v>1104</v>
      </c>
      <c r="U124" s="518" t="s">
        <v>282</v>
      </c>
      <c r="V124" s="518" t="s">
        <v>2677</v>
      </c>
      <c r="W124" s="518" t="s">
        <v>2678</v>
      </c>
      <c r="X124" s="527" t="s">
        <v>2681</v>
      </c>
      <c r="Y124" s="518"/>
      <c r="Z124" s="528" t="s">
        <v>2662</v>
      </c>
      <c r="AA124" s="510">
        <f>$X$35+Center_H</f>
        <v>2378.8000000000002</v>
      </c>
      <c r="AB124" s="510">
        <f>$Y$35+Center_H</f>
        <v>1617.5</v>
      </c>
      <c r="AC124" s="1234" t="s">
        <v>1788</v>
      </c>
      <c r="AD124" s="544">
        <f>(AB124-AA124)/SQRT((AB123-AA123)^2+(AB124-AA124))</f>
        <v>-1.0006574190441226</v>
      </c>
      <c r="AE124" s="518"/>
      <c r="AF124" s="528" t="s">
        <v>2662</v>
      </c>
      <c r="AG124" s="510">
        <f>$Z$35+Center_H</f>
        <v>1709.1</v>
      </c>
      <c r="AH124" s="510">
        <f>$B$35+Center_H</f>
        <v>911.6</v>
      </c>
      <c r="AI124" s="1234" t="s">
        <v>1788</v>
      </c>
      <c r="AJ124" s="524">
        <f>(AH124-AG124)/SQRT((AH123-AG123)^2+(AH124-AG124))</f>
        <v>-1.0006275494812824</v>
      </c>
    </row>
    <row r="125" spans="1:36" ht="14.45" customHeight="1">
      <c r="A125" s="526"/>
      <c r="B125" s="2066" t="e">
        <f ca="1">IF($M$10=0,0,$B120-$F120)</f>
        <v>#REF!</v>
      </c>
      <c r="C125" s="510" t="e">
        <f ca="1">IF(B125=0,0,IF(AND(F125&gt;=$D$32,F125&lt;=$X$32),1000*r0*EXP(K_House*(F125-$H$6))+House_P_T,IF(AND(F125&gt;=$Z$32,F125&lt;=$B$32),SQRT(O127^2+(O128-Center_H)^2),IF(AND(F125&gt;$X$32,F125&lt;=$Z$32),SQRT(I127^2+(I128-Center_H)^2)))))</f>
        <v>#REF!</v>
      </c>
      <c r="D125" s="510" t="e">
        <f ca="1">IF(B125=0,0,C125*SIN(B125)+Center_H)</f>
        <v>#REF!</v>
      </c>
      <c r="E125" s="510" t="e">
        <f ca="1">C125*COS(B125)</f>
        <v>#REF!</v>
      </c>
      <c r="F125" s="1375" t="e">
        <f ca="1">IF(B125=0,0,B125+IF(B125-$H$6&lt;H_alfastart,2*PI(),0))</f>
        <v>#REF!</v>
      </c>
      <c r="G125" s="518"/>
      <c r="H125" s="3842" t="s">
        <v>2682</v>
      </c>
      <c r="I125" s="3842"/>
      <c r="J125" s="528" t="s">
        <v>2660</v>
      </c>
      <c r="K125" s="510">
        <v>0</v>
      </c>
      <c r="L125" s="544" t="e">
        <f ca="1">COS($B125)</f>
        <v>#REF!</v>
      </c>
      <c r="M125" s="518"/>
      <c r="N125" s="3842" t="s">
        <v>2682</v>
      </c>
      <c r="O125" s="3842"/>
      <c r="P125" s="528" t="s">
        <v>2660</v>
      </c>
      <c r="Q125" s="510">
        <v>0</v>
      </c>
      <c r="R125" s="1143" t="e">
        <f ca="1">COS($B125)</f>
        <v>#REF!</v>
      </c>
      <c r="S125" s="518"/>
      <c r="T125" s="2066" t="e">
        <f ca="1">IF($M$12=0,0,$T120-$X120)</f>
        <v>#REF!</v>
      </c>
      <c r="U125" s="510" t="e">
        <f ca="1">IF(T125=0,0,IF(AND(X125&gt;=$D$32,X125&lt;=$X$32),1000*r0*EXP(K_House*(X125-$H$6))+House_P_T,IF(AND(X125&gt;=$Z$32,X125&lt;=$B$32),SQRT(AG127^2+(AG128-Center_H)^2),IF(AND(X125&gt;$X$32,X125&lt;=$Z$32),SQRT(AA127^2+(AA128-Center_H)^2)))))</f>
        <v>#REF!</v>
      </c>
      <c r="V125" s="510" t="e">
        <f ca="1">IF(T125=0,0,U125*SIN(T125)+Center_H)</f>
        <v>#REF!</v>
      </c>
      <c r="W125" s="510" t="e">
        <f ca="1">U125*COS(T125)</f>
        <v>#REF!</v>
      </c>
      <c r="X125" s="1375" t="e">
        <f ca="1">IF(T125=0,0,T125+IF(T125-$H$6&lt;H_alfastart,2*PI(),0))</f>
        <v>#REF!</v>
      </c>
      <c r="Y125" s="518"/>
      <c r="Z125" s="3842" t="s">
        <v>2682</v>
      </c>
      <c r="AA125" s="3842"/>
      <c r="AB125" s="528" t="s">
        <v>2660</v>
      </c>
      <c r="AC125" s="510">
        <v>0</v>
      </c>
      <c r="AD125" s="544" t="e">
        <f ca="1">COS($T125)</f>
        <v>#REF!</v>
      </c>
      <c r="AE125" s="518"/>
      <c r="AF125" s="3842" t="s">
        <v>2682</v>
      </c>
      <c r="AG125" s="3842"/>
      <c r="AH125" s="528" t="s">
        <v>2660</v>
      </c>
      <c r="AI125" s="510">
        <v>0</v>
      </c>
      <c r="AJ125" s="524" t="e">
        <f ca="1">COS($T125)</f>
        <v>#REF!</v>
      </c>
    </row>
    <row r="126" spans="1:36" ht="15.75" thickBot="1">
      <c r="A126" s="526"/>
      <c r="B126" s="546" t="e">
        <f ca="1">DEGREES(B125)</f>
        <v>#REF!</v>
      </c>
      <c r="C126" s="556"/>
      <c r="D126" s="547"/>
      <c r="E126" s="556"/>
      <c r="F126" s="1377" t="e">
        <f ca="1">DEGREES(F125)-360</f>
        <v>#REF!</v>
      </c>
      <c r="G126" s="518"/>
      <c r="H126" s="2340"/>
      <c r="I126" s="2340"/>
      <c r="J126" s="528" t="s">
        <v>304</v>
      </c>
      <c r="K126" s="510">
        <f>Center_H</f>
        <v>1269</v>
      </c>
      <c r="L126" s="544" t="e">
        <f ca="1">SIN($B125)</f>
        <v>#REF!</v>
      </c>
      <c r="M126" s="518"/>
      <c r="N126" s="2340"/>
      <c r="O126" s="1376"/>
      <c r="P126" s="528" t="s">
        <v>304</v>
      </c>
      <c r="Q126" s="510">
        <f>Center_H</f>
        <v>1269</v>
      </c>
      <c r="R126" s="1143" t="e">
        <f ca="1">SIN($B125)</f>
        <v>#REF!</v>
      </c>
      <c r="S126" s="518"/>
      <c r="T126" s="546" t="e">
        <f ca="1">DEGREES(T125)</f>
        <v>#REF!</v>
      </c>
      <c r="U126" s="556"/>
      <c r="V126" s="547"/>
      <c r="W126" s="556"/>
      <c r="X126" s="1377" t="e">
        <f ca="1">DEGREES(X125)</f>
        <v>#REF!</v>
      </c>
      <c r="Y126" s="518"/>
      <c r="Z126" s="2340"/>
      <c r="AA126" s="2340"/>
      <c r="AB126" s="528" t="s">
        <v>304</v>
      </c>
      <c r="AC126" s="510">
        <f>Center_H</f>
        <v>1269</v>
      </c>
      <c r="AD126" s="544" t="e">
        <f ca="1">SIN($T125)</f>
        <v>#REF!</v>
      </c>
      <c r="AE126" s="518"/>
      <c r="AF126" s="2340"/>
      <c r="AG126" s="1376"/>
      <c r="AH126" s="528" t="s">
        <v>304</v>
      </c>
      <c r="AI126" s="510">
        <f>Center_H</f>
        <v>1269</v>
      </c>
      <c r="AJ126" s="524" t="e">
        <f ca="1">SIN($T125)</f>
        <v>#REF!</v>
      </c>
    </row>
    <row r="127" spans="1:36">
      <c r="A127" s="526"/>
      <c r="B127" s="2067"/>
      <c r="C127" s="1372"/>
      <c r="D127" s="1372"/>
      <c r="E127" s="1372"/>
      <c r="F127" s="1372"/>
      <c r="G127" s="518"/>
      <c r="H127" s="509" t="s">
        <v>1092</v>
      </c>
      <c r="I127" s="510" t="e">
        <f ca="1">K125+L122*L125</f>
        <v>#REF!</v>
      </c>
      <c r="J127" s="518"/>
      <c r="K127" s="510"/>
      <c r="L127" s="510"/>
      <c r="M127" s="518"/>
      <c r="N127" s="509" t="s">
        <v>1092</v>
      </c>
      <c r="O127" s="510" t="e">
        <f ca="1">Q125+R122*R125</f>
        <v>#REF!</v>
      </c>
      <c r="P127" s="518"/>
      <c r="Q127" s="510"/>
      <c r="R127" s="545"/>
      <c r="S127" s="940"/>
      <c r="T127" s="2067"/>
      <c r="U127" s="1372"/>
      <c r="V127" s="1372"/>
      <c r="W127" s="1372"/>
      <c r="X127" s="1372"/>
      <c r="Y127" s="518"/>
      <c r="Z127" s="509" t="s">
        <v>1092</v>
      </c>
      <c r="AA127" s="510" t="e">
        <f ca="1">AC125+AD122*AD125</f>
        <v>#REF!</v>
      </c>
      <c r="AB127" s="518"/>
      <c r="AC127" s="510"/>
      <c r="AD127" s="510"/>
      <c r="AE127" s="518"/>
      <c r="AF127" s="509" t="s">
        <v>1092</v>
      </c>
      <c r="AG127" s="510" t="e">
        <f ca="1">AI125+AJ122*AJ125</f>
        <v>#REF!</v>
      </c>
      <c r="AH127" s="518"/>
      <c r="AI127" s="510"/>
      <c r="AJ127" s="1340"/>
    </row>
    <row r="128" spans="1:36">
      <c r="A128" s="526"/>
      <c r="B128" s="2068"/>
      <c r="C128" s="803"/>
      <c r="D128" s="803"/>
      <c r="E128" s="803"/>
      <c r="F128" s="942"/>
      <c r="G128" s="518"/>
      <c r="H128" s="528" t="s">
        <v>1093</v>
      </c>
      <c r="I128" s="510" t="e">
        <f ca="1">K126+L122*L126</f>
        <v>#REF!</v>
      </c>
      <c r="J128" s="518"/>
      <c r="K128" s="510"/>
      <c r="L128" s="510"/>
      <c r="M128" s="518"/>
      <c r="N128" s="528" t="s">
        <v>1093</v>
      </c>
      <c r="O128" s="510" t="e">
        <f ca="1">Q126+R122*R126</f>
        <v>#REF!</v>
      </c>
      <c r="P128" s="518"/>
      <c r="Q128" s="510"/>
      <c r="R128" s="545"/>
      <c r="S128" s="1309"/>
      <c r="T128" s="2068"/>
      <c r="U128" s="803"/>
      <c r="V128" s="803"/>
      <c r="W128" s="803"/>
      <c r="X128" s="942"/>
      <c r="Y128" s="518"/>
      <c r="Z128" s="528" t="s">
        <v>1093</v>
      </c>
      <c r="AA128" s="510" t="e">
        <f ca="1">AC126+AD122*AD126</f>
        <v>#REF!</v>
      </c>
      <c r="AB128" s="518"/>
      <c r="AC128" s="510"/>
      <c r="AD128" s="510"/>
      <c r="AE128" s="518"/>
      <c r="AF128" s="528" t="s">
        <v>1093</v>
      </c>
      <c r="AG128" s="510" t="e">
        <f ca="1">AI126+AJ122*AJ126</f>
        <v>#REF!</v>
      </c>
      <c r="AH128" s="518"/>
      <c r="AI128" s="510"/>
      <c r="AJ128" s="1340"/>
    </row>
    <row r="129" spans="1:36" ht="15.75" thickBot="1">
      <c r="A129" s="526"/>
      <c r="B129" s="2063"/>
      <c r="C129" s="518"/>
      <c r="D129" s="518"/>
      <c r="E129" s="518"/>
      <c r="F129" s="518"/>
      <c r="G129" s="518"/>
      <c r="H129" s="510"/>
      <c r="I129" s="1318"/>
      <c r="J129" s="1318"/>
      <c r="K129" s="1318"/>
      <c r="L129" s="1318"/>
      <c r="M129" s="1318"/>
      <c r="N129" s="1318"/>
      <c r="O129" s="1318"/>
      <c r="P129" s="1318"/>
      <c r="Q129" s="1318"/>
      <c r="R129" s="2086"/>
      <c r="S129" s="1318"/>
      <c r="T129" s="2087"/>
      <c r="U129" s="1318"/>
      <c r="V129" s="1318"/>
      <c r="W129" s="1318"/>
      <c r="X129" s="1318"/>
      <c r="Y129" s="518"/>
      <c r="Z129" s="518"/>
      <c r="AA129" s="518"/>
      <c r="AB129" s="518"/>
      <c r="AC129" s="518"/>
      <c r="AD129" s="518"/>
      <c r="AE129" s="518"/>
      <c r="AF129" s="518"/>
      <c r="AG129" s="518"/>
      <c r="AH129" s="518"/>
      <c r="AI129" s="518"/>
      <c r="AJ129" s="527"/>
    </row>
    <row r="130" spans="1:36">
      <c r="A130" s="526"/>
      <c r="B130" s="2064" t="str">
        <f>"t2--DRIVE VIEW (LG), "&amp;$G$6&amp;", "&amp;Center_H</f>
        <v>t2--DRIVE VIEW (LG), 135, 1269</v>
      </c>
      <c r="C130" s="1373"/>
      <c r="D130" s="1373"/>
      <c r="E130" s="1373"/>
      <c r="F130" s="1374"/>
      <c r="G130" s="518"/>
      <c r="H130" s="518" t="s">
        <v>2665</v>
      </c>
      <c r="I130" s="1323"/>
      <c r="J130" s="518"/>
      <c r="K130" s="528" t="s">
        <v>2663</v>
      </c>
      <c r="L130" s="1323" t="e">
        <f ca="1">((L132*I131-L131*I132)-(L132*K133-L131*K134))/(L132*L133-L131*L134)</f>
        <v>#REF!</v>
      </c>
      <c r="M130" s="518"/>
      <c r="N130" s="518" t="s">
        <v>2794</v>
      </c>
      <c r="O130" s="1323"/>
      <c r="P130" s="518"/>
      <c r="Q130" s="528" t="s">
        <v>2663</v>
      </c>
      <c r="R130" s="2085" t="e">
        <f ca="1">((R132*O131-R131*O132)-(R132*Q133-R131*Q134))/(R132*R133-R131*R134)</f>
        <v>#REF!</v>
      </c>
      <c r="S130" s="1318"/>
      <c r="T130" s="2064" t="str">
        <f>"b2--DRIVE VIEW (LG), "&amp;$G$6&amp;", "&amp;Center_H</f>
        <v>b2--DRIVE VIEW (LG), 135, 1269</v>
      </c>
      <c r="U130" s="1373"/>
      <c r="V130" s="1373"/>
      <c r="W130" s="1373"/>
      <c r="X130" s="1374"/>
      <c r="Y130" s="518"/>
      <c r="Z130" s="518" t="s">
        <v>2665</v>
      </c>
      <c r="AA130" s="1323"/>
      <c r="AB130" s="518"/>
      <c r="AC130" s="528" t="s">
        <v>2663</v>
      </c>
      <c r="AD130" s="1323" t="e">
        <f ca="1">((AD132*AA131-AD131*AA132)-(AD132*AC133-AD131*AC134))/(AD132*AD133-AD131*AD134)</f>
        <v>#REF!</v>
      </c>
      <c r="AE130" s="518"/>
      <c r="AF130" s="518" t="s">
        <v>2794</v>
      </c>
      <c r="AG130" s="1323"/>
      <c r="AH130" s="518"/>
      <c r="AI130" s="528" t="s">
        <v>2663</v>
      </c>
      <c r="AJ130" s="2348" t="e">
        <f ca="1">((AJ132*AG131-AJ131*AG132)-(AJ132*AI133-AJ131*AI134))/(AJ132*AJ133-AJ131*AJ134)</f>
        <v>#REF!</v>
      </c>
    </row>
    <row r="131" spans="1:36">
      <c r="A131" s="526"/>
      <c r="B131" s="2065"/>
      <c r="C131" s="1323"/>
      <c r="D131" s="1323"/>
      <c r="E131" s="1323"/>
      <c r="F131" s="527"/>
      <c r="G131" s="518"/>
      <c r="H131" s="528" t="s">
        <v>2661</v>
      </c>
      <c r="I131" s="510">
        <f>$X$34</f>
        <v>-1109.8</v>
      </c>
      <c r="J131" s="510">
        <f>$Y$34</f>
        <v>-1871.1</v>
      </c>
      <c r="K131" s="1234" t="s">
        <v>1485</v>
      </c>
      <c r="L131" s="544">
        <f>(J131-I131)/SQRT((J131-I131)^2+(J132-I132))</f>
        <v>-1.0006574190441222</v>
      </c>
      <c r="M131" s="518"/>
      <c r="N131" s="528" t="s">
        <v>2661</v>
      </c>
      <c r="O131" s="510">
        <f>$Z$34</f>
        <v>-1779.5</v>
      </c>
      <c r="P131" s="510">
        <f>$B$34</f>
        <v>-982</v>
      </c>
      <c r="Q131" s="1234" t="s">
        <v>1485</v>
      </c>
      <c r="R131" s="1143">
        <f>(P131-O131)/SQRT((P131-O131)^2+(P132-O132))</f>
        <v>1.0006275494812824</v>
      </c>
      <c r="S131" s="1318"/>
      <c r="T131" s="2065"/>
      <c r="U131" s="1323"/>
      <c r="V131" s="1323"/>
      <c r="W131" s="1323"/>
      <c r="X131" s="527"/>
      <c r="Y131" s="518"/>
      <c r="Z131" s="528" t="s">
        <v>2661</v>
      </c>
      <c r="AA131" s="510">
        <f>$X$34</f>
        <v>-1109.8</v>
      </c>
      <c r="AB131" s="510">
        <f>$Y$34</f>
        <v>-1871.1</v>
      </c>
      <c r="AC131" s="1234" t="s">
        <v>1485</v>
      </c>
      <c r="AD131" s="544">
        <f>(AB131-AA131)/SQRT((AB131-AA131)^2+(AB132-AA132))</f>
        <v>-1.0006574190441222</v>
      </c>
      <c r="AE131" s="518"/>
      <c r="AF131" s="528" t="s">
        <v>2661</v>
      </c>
      <c r="AG131" s="510">
        <f>$Z$34</f>
        <v>-1779.5</v>
      </c>
      <c r="AH131" s="510">
        <f>$B$34</f>
        <v>-982</v>
      </c>
      <c r="AI131" s="1234" t="s">
        <v>1485</v>
      </c>
      <c r="AJ131" s="524">
        <f>(AH131-AG131)/SQRT((AH131-AG131)^2+(AH132-AG132))</f>
        <v>1.0006275494812824</v>
      </c>
    </row>
    <row r="132" spans="1:36">
      <c r="A132" s="526"/>
      <c r="B132" s="522" t="s">
        <v>1104</v>
      </c>
      <c r="C132" s="518" t="s">
        <v>283</v>
      </c>
      <c r="D132" s="518" t="s">
        <v>2683</v>
      </c>
      <c r="E132" s="518" t="s">
        <v>2684</v>
      </c>
      <c r="F132" s="527" t="s">
        <v>2681</v>
      </c>
      <c r="G132" s="518"/>
      <c r="H132" s="528" t="s">
        <v>2662</v>
      </c>
      <c r="I132" s="510">
        <f>$X$35+Center_H</f>
        <v>2378.8000000000002</v>
      </c>
      <c r="J132" s="510">
        <f>$Y$35+Center_H</f>
        <v>1617.5</v>
      </c>
      <c r="K132" s="1234" t="s">
        <v>1788</v>
      </c>
      <c r="L132" s="544">
        <f>(J132-I132)/SQRT((J131-I131)^2+(J132-I132))</f>
        <v>-1.0006574190441226</v>
      </c>
      <c r="M132" s="518"/>
      <c r="N132" s="528" t="s">
        <v>2662</v>
      </c>
      <c r="O132" s="510">
        <f>$Z$35+Center_H</f>
        <v>1709.1</v>
      </c>
      <c r="P132" s="510">
        <f>$B$35+Center_H</f>
        <v>911.6</v>
      </c>
      <c r="Q132" s="1234" t="s">
        <v>1788</v>
      </c>
      <c r="R132" s="1143">
        <f>(P132-O132)/SQRT((P131-O131)^2+(P132-O132))</f>
        <v>-1.0006275494812824</v>
      </c>
      <c r="S132" s="1318"/>
      <c r="T132" s="522" t="s">
        <v>1104</v>
      </c>
      <c r="U132" s="518" t="s">
        <v>283</v>
      </c>
      <c r="V132" s="518" t="s">
        <v>2683</v>
      </c>
      <c r="W132" s="518" t="s">
        <v>2684</v>
      </c>
      <c r="X132" s="527" t="s">
        <v>2681</v>
      </c>
      <c r="Y132" s="518"/>
      <c r="Z132" s="528" t="s">
        <v>2662</v>
      </c>
      <c r="AA132" s="510">
        <f>$X$35+Center_H</f>
        <v>2378.8000000000002</v>
      </c>
      <c r="AB132" s="510">
        <f>$Y$35+Center_H</f>
        <v>1617.5</v>
      </c>
      <c r="AC132" s="1234" t="s">
        <v>1788</v>
      </c>
      <c r="AD132" s="544">
        <f>(AB132-AA132)/SQRT((AB131-AA131)^2+(AB132-AA132))</f>
        <v>-1.0006574190441226</v>
      </c>
      <c r="AE132" s="518"/>
      <c r="AF132" s="528" t="s">
        <v>2662</v>
      </c>
      <c r="AG132" s="510">
        <f>$Z$35+Center_H</f>
        <v>1709.1</v>
      </c>
      <c r="AH132" s="510">
        <f>$B$35+Center_H</f>
        <v>911.6</v>
      </c>
      <c r="AI132" s="1234" t="s">
        <v>1788</v>
      </c>
      <c r="AJ132" s="524">
        <f>(AH132-AG132)/SQRT((AH131-AG131)^2+(AH132-AG132))</f>
        <v>-1.0006275494812824</v>
      </c>
    </row>
    <row r="133" spans="1:36">
      <c r="A133" s="526"/>
      <c r="B133" s="2066" t="e">
        <f ca="1">IF($M$10&lt;2,0,$B120-2*$F120)</f>
        <v>#REF!</v>
      </c>
      <c r="C133" s="510" t="e">
        <f ca="1">IF(B133=0,0,IF(AND(F133&gt;=$D$32,F133&lt;=$X$32),1000*r0*EXP(K_House*(F133-$H$6))+House_P_T,IF(AND(F133&gt;=$Z$32,F133&lt;=$B$32),SQRT(O135^2+(O136-Center_H)^2),IF(AND(F133&gt;$X$32,F133&lt;=$Z$32),SQRT(I135^2+(I136-Center_H)^2)))))</f>
        <v>#REF!</v>
      </c>
      <c r="D133" s="510" t="e">
        <f ca="1">IF(B133=0,0,C133*SIN(B133)+Center_H)</f>
        <v>#REF!</v>
      </c>
      <c r="E133" s="510" t="e">
        <f ca="1">C133*COS(B133)</f>
        <v>#REF!</v>
      </c>
      <c r="F133" s="1375" t="e">
        <f ca="1">IF(B133=0,0,B133+IF(B133-$H$6&lt;H_alfastart,2*PI(),0))</f>
        <v>#REF!</v>
      </c>
      <c r="G133" s="518"/>
      <c r="H133" s="3842" t="s">
        <v>2682</v>
      </c>
      <c r="I133" s="3842"/>
      <c r="J133" s="528" t="s">
        <v>2660</v>
      </c>
      <c r="K133" s="510">
        <v>0</v>
      </c>
      <c r="L133" s="544" t="e">
        <f ca="1">COS($B133)</f>
        <v>#REF!</v>
      </c>
      <c r="M133" s="518"/>
      <c r="N133" s="3842" t="s">
        <v>2682</v>
      </c>
      <c r="O133" s="3842"/>
      <c r="P133" s="528" t="s">
        <v>2660</v>
      </c>
      <c r="Q133" s="510">
        <v>0</v>
      </c>
      <c r="R133" s="1143" t="e">
        <f ca="1">COS($B133)</f>
        <v>#REF!</v>
      </c>
      <c r="S133" s="1318"/>
      <c r="T133" s="2066" t="e">
        <f ca="1">IF($M$12&lt;2,0,$T120-2*$X120)</f>
        <v>#REF!</v>
      </c>
      <c r="U133" s="510" t="e">
        <f ca="1">IF(T133=0,0,IF(AND(X133&gt;=$D$32,X133&lt;=$X$32),1000*r0*EXP(K_House*(X133-$H$6))+House_P_T,IF(AND(X133&gt;=$Z$32,X133&lt;=$B$32),SQRT(AG135^2+(AG136-Center_H)^2),IF(AND(X133&gt;$X$32,X133&lt;=$Z$32),SQRT(AA135^2+(AA136-Center_H)^2)))))</f>
        <v>#REF!</v>
      </c>
      <c r="V133" s="510" t="e">
        <f ca="1">IF(T133=0,0,U133*SIN(T133)+Center_H)</f>
        <v>#REF!</v>
      </c>
      <c r="W133" s="510" t="e">
        <f ca="1">U133*COS(T133)</f>
        <v>#REF!</v>
      </c>
      <c r="X133" s="1375" t="e">
        <f ca="1">IF(T133=0,0,T133+IF(T133-$H$6&lt;H_alfastart,2*PI(),0))</f>
        <v>#REF!</v>
      </c>
      <c r="Y133" s="518"/>
      <c r="Z133" s="3842" t="s">
        <v>2682</v>
      </c>
      <c r="AA133" s="3842"/>
      <c r="AB133" s="528" t="s">
        <v>2660</v>
      </c>
      <c r="AC133" s="510">
        <v>0</v>
      </c>
      <c r="AD133" s="544" t="e">
        <f ca="1">COS($T133)</f>
        <v>#REF!</v>
      </c>
      <c r="AE133" s="518"/>
      <c r="AF133" s="3842" t="s">
        <v>2682</v>
      </c>
      <c r="AG133" s="3842"/>
      <c r="AH133" s="528" t="s">
        <v>2660</v>
      </c>
      <c r="AI133" s="510">
        <v>0</v>
      </c>
      <c r="AJ133" s="524" t="e">
        <f ca="1">COS($T133)</f>
        <v>#REF!</v>
      </c>
    </row>
    <row r="134" spans="1:36" ht="15.75" thickBot="1">
      <c r="A134" s="526"/>
      <c r="B134" s="546" t="e">
        <f ca="1">DEGREES(B133)</f>
        <v>#REF!</v>
      </c>
      <c r="C134" s="556"/>
      <c r="D134" s="547"/>
      <c r="E134" s="556"/>
      <c r="F134" s="1377" t="e">
        <f ca="1">DEGREES(F133)-360</f>
        <v>#REF!</v>
      </c>
      <c r="G134" s="518"/>
      <c r="H134" s="2340"/>
      <c r="I134" s="2340"/>
      <c r="J134" s="528" t="s">
        <v>304</v>
      </c>
      <c r="K134" s="510">
        <f>Center_H</f>
        <v>1269</v>
      </c>
      <c r="L134" s="544" t="e">
        <f ca="1">SIN($B133)</f>
        <v>#REF!</v>
      </c>
      <c r="M134" s="518"/>
      <c r="N134" s="2340"/>
      <c r="O134" s="1376"/>
      <c r="P134" s="528" t="s">
        <v>304</v>
      </c>
      <c r="Q134" s="510">
        <f>Center_H</f>
        <v>1269</v>
      </c>
      <c r="R134" s="1143" t="e">
        <f ca="1">SIN($B133)</f>
        <v>#REF!</v>
      </c>
      <c r="S134" s="1318"/>
      <c r="T134" s="546" t="e">
        <f ca="1">DEGREES(T133)</f>
        <v>#REF!</v>
      </c>
      <c r="U134" s="556"/>
      <c r="V134" s="547"/>
      <c r="W134" s="556"/>
      <c r="X134" s="1377" t="e">
        <f ca="1">DEGREES(X133)</f>
        <v>#REF!</v>
      </c>
      <c r="Y134" s="518"/>
      <c r="Z134" s="2340"/>
      <c r="AA134" s="2340"/>
      <c r="AB134" s="528" t="s">
        <v>304</v>
      </c>
      <c r="AC134" s="510">
        <f>Center_H</f>
        <v>1269</v>
      </c>
      <c r="AD134" s="544" t="e">
        <f ca="1">SIN($T133)</f>
        <v>#REF!</v>
      </c>
      <c r="AE134" s="518"/>
      <c r="AF134" s="2340"/>
      <c r="AG134" s="1376"/>
      <c r="AH134" s="528" t="s">
        <v>304</v>
      </c>
      <c r="AI134" s="510">
        <f>Center_H</f>
        <v>1269</v>
      </c>
      <c r="AJ134" s="524" t="e">
        <f ca="1">SIN($T133)</f>
        <v>#REF!</v>
      </c>
    </row>
    <row r="135" spans="1:36">
      <c r="A135" s="526"/>
      <c r="B135" s="2067"/>
      <c r="C135" s="1372"/>
      <c r="D135" s="1372"/>
      <c r="E135" s="1372"/>
      <c r="F135" s="1372"/>
      <c r="G135" s="518"/>
      <c r="H135" s="509" t="s">
        <v>1092</v>
      </c>
      <c r="I135" s="510" t="e">
        <f ca="1">K133+L130*L133</f>
        <v>#REF!</v>
      </c>
      <c r="J135" s="518"/>
      <c r="K135" s="510"/>
      <c r="L135" s="510"/>
      <c r="M135" s="518"/>
      <c r="N135" s="509" t="s">
        <v>1092</v>
      </c>
      <c r="O135" s="510" t="e">
        <f ca="1">Q133+R130*R133</f>
        <v>#REF!</v>
      </c>
      <c r="P135" s="518"/>
      <c r="Q135" s="510"/>
      <c r="R135" s="545"/>
      <c r="S135" s="1318"/>
      <c r="T135" s="2067"/>
      <c r="U135" s="1372"/>
      <c r="V135" s="1372"/>
      <c r="W135" s="1372"/>
      <c r="X135" s="1372"/>
      <c r="Y135" s="518"/>
      <c r="Z135" s="509" t="s">
        <v>1092</v>
      </c>
      <c r="AA135" s="510" t="e">
        <f ca="1">AC133+AD130*AD133</f>
        <v>#REF!</v>
      </c>
      <c r="AB135" s="518"/>
      <c r="AC135" s="510"/>
      <c r="AD135" s="510"/>
      <c r="AE135" s="518"/>
      <c r="AF135" s="509" t="s">
        <v>1092</v>
      </c>
      <c r="AG135" s="510" t="e">
        <f ca="1">AI133+AJ130*AJ133</f>
        <v>#REF!</v>
      </c>
      <c r="AH135" s="518"/>
      <c r="AI135" s="510"/>
      <c r="AJ135" s="1340"/>
    </row>
    <row r="136" spans="1:36">
      <c r="A136" s="526"/>
      <c r="B136" s="2068"/>
      <c r="C136" s="803"/>
      <c r="D136" s="803"/>
      <c r="E136" s="803"/>
      <c r="F136" s="942"/>
      <c r="G136" s="518"/>
      <c r="H136" s="528" t="s">
        <v>1093</v>
      </c>
      <c r="I136" s="510" t="e">
        <f ca="1">K134+L130*L134</f>
        <v>#REF!</v>
      </c>
      <c r="J136" s="518"/>
      <c r="K136" s="510"/>
      <c r="L136" s="510"/>
      <c r="M136" s="518"/>
      <c r="N136" s="528" t="s">
        <v>1093</v>
      </c>
      <c r="O136" s="510" t="e">
        <f ca="1">Q134+R130*R134</f>
        <v>#REF!</v>
      </c>
      <c r="P136" s="518"/>
      <c r="Q136" s="510"/>
      <c r="R136" s="545"/>
      <c r="S136" s="1318"/>
      <c r="T136" s="2068"/>
      <c r="U136" s="803"/>
      <c r="V136" s="803"/>
      <c r="W136" s="803"/>
      <c r="X136" s="942"/>
      <c r="Y136" s="518"/>
      <c r="Z136" s="528" t="s">
        <v>1093</v>
      </c>
      <c r="AA136" s="510" t="e">
        <f ca="1">AC134+AD130*AD134</f>
        <v>#REF!</v>
      </c>
      <c r="AB136" s="518"/>
      <c r="AC136" s="510"/>
      <c r="AD136" s="510"/>
      <c r="AE136" s="518"/>
      <c r="AF136" s="528" t="s">
        <v>1093</v>
      </c>
      <c r="AG136" s="510" t="e">
        <f ca="1">AI134+AJ130*AJ134</f>
        <v>#REF!</v>
      </c>
      <c r="AH136" s="518"/>
      <c r="AI136" s="510"/>
      <c r="AJ136" s="1340"/>
    </row>
    <row r="137" spans="1:36" ht="15.75" thickBot="1">
      <c r="A137" s="526"/>
      <c r="B137" s="2068"/>
      <c r="C137" s="803"/>
      <c r="D137" s="803"/>
      <c r="E137" s="803"/>
      <c r="F137" s="942"/>
      <c r="G137" s="518"/>
      <c r="H137" s="528"/>
      <c r="I137" s="510"/>
      <c r="J137" s="518"/>
      <c r="K137" s="510"/>
      <c r="L137" s="510"/>
      <c r="M137" s="518"/>
      <c r="N137" s="528"/>
      <c r="O137" s="510"/>
      <c r="P137" s="518"/>
      <c r="Q137" s="510"/>
      <c r="R137" s="545"/>
      <c r="S137" s="1318"/>
      <c r="T137" s="2087"/>
      <c r="U137" s="1318"/>
      <c r="V137" s="1318"/>
      <c r="W137" s="1318"/>
      <c r="X137" s="1318"/>
      <c r="Y137" s="518"/>
      <c r="Z137" s="518"/>
      <c r="AA137" s="518"/>
      <c r="AB137" s="518"/>
      <c r="AC137" s="518"/>
      <c r="AD137" s="518"/>
      <c r="AE137" s="518"/>
      <c r="AF137" s="518"/>
      <c r="AG137" s="518"/>
      <c r="AH137" s="518"/>
      <c r="AI137" s="518"/>
      <c r="AJ137" s="527"/>
    </row>
    <row r="138" spans="1:36">
      <c r="A138" s="526"/>
      <c r="B138" s="2064" t="str">
        <f>"t3--DRIVE VIEW (LG), "&amp;$G$6&amp;", "&amp;Center_H</f>
        <v>t3--DRIVE VIEW (LG), 135, 1269</v>
      </c>
      <c r="C138" s="1373"/>
      <c r="D138" s="1373"/>
      <c r="E138" s="1373"/>
      <c r="F138" s="1374"/>
      <c r="G138" s="518"/>
      <c r="H138" s="518" t="s">
        <v>2665</v>
      </c>
      <c r="I138" s="1323"/>
      <c r="J138" s="518"/>
      <c r="K138" s="528" t="s">
        <v>2663</v>
      </c>
      <c r="L138" s="1323" t="e">
        <f ca="1">((L140*I139-L139*I140)-(L140*K141-L139*K142))/(L140*L141-L139*L142)</f>
        <v>#REF!</v>
      </c>
      <c r="M138" s="518"/>
      <c r="N138" s="518" t="s">
        <v>2794</v>
      </c>
      <c r="O138" s="1323"/>
      <c r="P138" s="518"/>
      <c r="Q138" s="528">
        <v>0</v>
      </c>
      <c r="R138" s="2085" t="e">
        <f ca="1">((R140*O139-R139*O140)-(R140*Q141-R139*Q142))/(R140*R141-R139*R142)</f>
        <v>#REF!</v>
      </c>
      <c r="S138" s="1318"/>
      <c r="T138" s="2064" t="str">
        <f>"b3--DRIVE VIEW (LG), "&amp;$G$6&amp;", "&amp;Center_H</f>
        <v>b3--DRIVE VIEW (LG), 135, 1269</v>
      </c>
      <c r="U138" s="1373"/>
      <c r="V138" s="1373"/>
      <c r="W138" s="1373"/>
      <c r="X138" s="1374"/>
      <c r="Y138" s="518"/>
      <c r="Z138" s="518" t="s">
        <v>2665</v>
      </c>
      <c r="AA138" s="1323"/>
      <c r="AB138" s="518"/>
      <c r="AC138" s="528" t="s">
        <v>2663</v>
      </c>
      <c r="AD138" s="1323" t="e">
        <f ca="1">((AD140*AA139-AD139*AA140)-(AD140*AC141-AD139*AC142))/(AD140*AD141-AD139*AD142)</f>
        <v>#REF!</v>
      </c>
      <c r="AE138" s="518"/>
      <c r="AF138" s="518" t="s">
        <v>2794</v>
      </c>
      <c r="AG138" s="1323"/>
      <c r="AH138" s="518"/>
      <c r="AI138" s="528" t="s">
        <v>2663</v>
      </c>
      <c r="AJ138" s="2348" t="e">
        <f ca="1">((AJ140*AG139-AJ139*AG140)-(AJ140*AI141-AJ139*AI142))/(AJ140*AJ141-AJ139*AJ142)</f>
        <v>#REF!</v>
      </c>
    </row>
    <row r="139" spans="1:36">
      <c r="A139" s="526"/>
      <c r="B139" s="2065"/>
      <c r="C139" s="1323"/>
      <c r="D139" s="1323"/>
      <c r="E139" s="1323"/>
      <c r="F139" s="527"/>
      <c r="G139" s="518"/>
      <c r="H139" s="528" t="s">
        <v>2661</v>
      </c>
      <c r="I139" s="510">
        <f>$X$34</f>
        <v>-1109.8</v>
      </c>
      <c r="J139" s="510">
        <f>$Y$34</f>
        <v>-1871.1</v>
      </c>
      <c r="K139" s="1234" t="s">
        <v>1485</v>
      </c>
      <c r="L139" s="544">
        <f>(J139-I139)/SQRT((J139-I139)^2+(J140-I140))</f>
        <v>-1.0006574190441222</v>
      </c>
      <c r="M139" s="518"/>
      <c r="N139" s="528" t="s">
        <v>2661</v>
      </c>
      <c r="O139" s="510">
        <f>$Z$34</f>
        <v>-1779.5</v>
      </c>
      <c r="P139" s="510">
        <f>$B$34</f>
        <v>-982</v>
      </c>
      <c r="Q139" s="1234" t="s">
        <v>1485</v>
      </c>
      <c r="R139" s="1143">
        <f>(P139-O139)/SQRT((P139-O139)^2+(P140-O140))</f>
        <v>1.0006275494812824</v>
      </c>
      <c r="S139" s="1318"/>
      <c r="T139" s="2065"/>
      <c r="U139" s="1323"/>
      <c r="V139" s="1323"/>
      <c r="W139" s="1323"/>
      <c r="X139" s="527"/>
      <c r="Y139" s="518"/>
      <c r="Z139" s="528" t="s">
        <v>2661</v>
      </c>
      <c r="AA139" s="510">
        <f>$X$34</f>
        <v>-1109.8</v>
      </c>
      <c r="AB139" s="510">
        <f>$Y$34</f>
        <v>-1871.1</v>
      </c>
      <c r="AC139" s="1234" t="s">
        <v>1485</v>
      </c>
      <c r="AD139" s="544">
        <f>(AB139-AA139)/SQRT((AB139-AA139)^2+(AB140-AA140))</f>
        <v>-1.0006574190441222</v>
      </c>
      <c r="AE139" s="518"/>
      <c r="AF139" s="528" t="s">
        <v>2661</v>
      </c>
      <c r="AG139" s="510">
        <f>$Z$34</f>
        <v>-1779.5</v>
      </c>
      <c r="AH139" s="510">
        <f>$B$34</f>
        <v>-982</v>
      </c>
      <c r="AI139" s="1234" t="s">
        <v>1485</v>
      </c>
      <c r="AJ139" s="524">
        <f>(AH139-AG139)/SQRT((AH139-AG139)^2+(AH140-AG140))</f>
        <v>1.0006275494812824</v>
      </c>
    </row>
    <row r="140" spans="1:36">
      <c r="A140" s="526"/>
      <c r="B140" s="522" t="s">
        <v>1104</v>
      </c>
      <c r="C140" s="518" t="s">
        <v>283</v>
      </c>
      <c r="D140" s="518" t="s">
        <v>2683</v>
      </c>
      <c r="E140" s="518" t="s">
        <v>2684</v>
      </c>
      <c r="F140" s="527" t="s">
        <v>2681</v>
      </c>
      <c r="G140" s="518"/>
      <c r="H140" s="528" t="s">
        <v>2662</v>
      </c>
      <c r="I140" s="510">
        <f>$X$35+Center_H</f>
        <v>2378.8000000000002</v>
      </c>
      <c r="J140" s="510">
        <f>$Y$35+Center_H</f>
        <v>1617.5</v>
      </c>
      <c r="K140" s="1234" t="s">
        <v>1788</v>
      </c>
      <c r="L140" s="544">
        <f>(J140-I140)/SQRT((J139-I139)^2+(J140-I140))</f>
        <v>-1.0006574190441226</v>
      </c>
      <c r="M140" s="518"/>
      <c r="N140" s="528" t="s">
        <v>2662</v>
      </c>
      <c r="O140" s="510">
        <f>$Z$35+Center_H</f>
        <v>1709.1</v>
      </c>
      <c r="P140" s="510">
        <f>$B$35+Center_H</f>
        <v>911.6</v>
      </c>
      <c r="Q140" s="1234" t="s">
        <v>1788</v>
      </c>
      <c r="R140" s="1143">
        <f>(P140-O140)/SQRT((P139-O139)^2+(P140-O140))</f>
        <v>-1.0006275494812824</v>
      </c>
      <c r="S140" s="1318"/>
      <c r="T140" s="522" t="s">
        <v>1104</v>
      </c>
      <c r="U140" s="518" t="s">
        <v>283</v>
      </c>
      <c r="V140" s="518" t="s">
        <v>2683</v>
      </c>
      <c r="W140" s="518" t="s">
        <v>2684</v>
      </c>
      <c r="X140" s="527" t="s">
        <v>2681</v>
      </c>
      <c r="Y140" s="518"/>
      <c r="Z140" s="528" t="s">
        <v>2662</v>
      </c>
      <c r="AA140" s="510">
        <f>$X$35+Center_H</f>
        <v>2378.8000000000002</v>
      </c>
      <c r="AB140" s="510">
        <f>$Y$35+Center_H</f>
        <v>1617.5</v>
      </c>
      <c r="AC140" s="1234" t="s">
        <v>1788</v>
      </c>
      <c r="AD140" s="544">
        <f>(AB140-AA140)/SQRT((AB139-AA139)^2+(AB140-AA140))</f>
        <v>-1.0006574190441226</v>
      </c>
      <c r="AE140" s="518"/>
      <c r="AF140" s="528" t="s">
        <v>2662</v>
      </c>
      <c r="AG140" s="510">
        <f>$Z$35+Center_H</f>
        <v>1709.1</v>
      </c>
      <c r="AH140" s="510">
        <f>$B$35+Center_H</f>
        <v>911.6</v>
      </c>
      <c r="AI140" s="1234" t="s">
        <v>1788</v>
      </c>
      <c r="AJ140" s="524">
        <f>(AH140-AG140)/SQRT((AH139-AG139)^2+(AH140-AG140))</f>
        <v>-1.0006275494812824</v>
      </c>
    </row>
    <row r="141" spans="1:36">
      <c r="A141" s="526"/>
      <c r="B141" s="2066" t="e">
        <f ca="1">IF($M$10&lt;3,0,$B120-3*$F120)</f>
        <v>#REF!</v>
      </c>
      <c r="C141" s="510" t="e">
        <f ca="1">IF(B141=0,0,IF(AND(F141&gt;=$D$32,F141&lt;=$X$32),1000*r0*EXP(K_House*(F141-$H$6))+House_P_T,IF(AND(F141&gt;=$Z$32,F141&lt;=$B$32),SQRT(O143^2+(O144-Center_H)^2),IF(AND(F141&gt;$X$32,F141&lt;=$Z$32),SQRT(I143^2+(I144-Center_H)^2)))))</f>
        <v>#REF!</v>
      </c>
      <c r="D141" s="510" t="e">
        <f ca="1">IF(B141=0,0,C141*SIN(B141)+Center_H)</f>
        <v>#REF!</v>
      </c>
      <c r="E141" s="510" t="e">
        <f ca="1">C141*COS(B141)</f>
        <v>#REF!</v>
      </c>
      <c r="F141" s="1375" t="e">
        <f ca="1">IF(B141=0,0,B141+IF(B141-$H$6&lt;H_alfastart,2*PI(),0))</f>
        <v>#REF!</v>
      </c>
      <c r="G141" s="518"/>
      <c r="H141" s="3842" t="s">
        <v>2682</v>
      </c>
      <c r="I141" s="3842"/>
      <c r="J141" s="528" t="s">
        <v>2660</v>
      </c>
      <c r="K141" s="510">
        <v>0</v>
      </c>
      <c r="L141" s="544" t="e">
        <f ca="1">COS($B141)</f>
        <v>#REF!</v>
      </c>
      <c r="M141" s="518"/>
      <c r="N141" s="3842" t="s">
        <v>2682</v>
      </c>
      <c r="O141" s="3842"/>
      <c r="P141" s="528" t="s">
        <v>2660</v>
      </c>
      <c r="Q141" s="510">
        <v>0</v>
      </c>
      <c r="R141" s="1143" t="e">
        <f ca="1">COS($B141)</f>
        <v>#REF!</v>
      </c>
      <c r="S141" s="1318"/>
      <c r="T141" s="2066" t="e">
        <f ca="1">IF($M$12&lt;3,0,$T120-3*$X120)</f>
        <v>#REF!</v>
      </c>
      <c r="U141" s="510" t="e">
        <f ca="1">IF(T141=0,0,IF(AND(X141&gt;=$D$32,X141&lt;=$X$32),1000*r0*EXP(K_House*(X141-$H$6))+House_P_T,IF(AND(X141&gt;=$Z$32,X141&lt;=$B$32),SQRT(AG143^2+(AG144-Center_H)^2),IF(AND(X141&gt;$X$32,X141&lt;=$Z$32),SQRT(AA143^2+(AA144-Center_H)^2)))))</f>
        <v>#REF!</v>
      </c>
      <c r="V141" s="510" t="e">
        <f ca="1">IF(T141=0,0,U141*SIN(T141)+Center_H)</f>
        <v>#REF!</v>
      </c>
      <c r="W141" s="510" t="e">
        <f ca="1">U141*COS(T141)</f>
        <v>#REF!</v>
      </c>
      <c r="X141" s="1375" t="e">
        <f ca="1">IF(T141=0,0,T141+IF(T141-$H$6&lt;H_alfastart,2*PI(),0))</f>
        <v>#REF!</v>
      </c>
      <c r="Y141" s="518"/>
      <c r="Z141" s="3842" t="s">
        <v>2682</v>
      </c>
      <c r="AA141" s="3842"/>
      <c r="AB141" s="528" t="s">
        <v>2660</v>
      </c>
      <c r="AC141" s="510">
        <v>0</v>
      </c>
      <c r="AD141" s="544" t="e">
        <f ca="1">COS($T141)</f>
        <v>#REF!</v>
      </c>
      <c r="AE141" s="518"/>
      <c r="AF141" s="3842" t="s">
        <v>2682</v>
      </c>
      <c r="AG141" s="3842"/>
      <c r="AH141" s="528" t="s">
        <v>2660</v>
      </c>
      <c r="AI141" s="510">
        <v>0</v>
      </c>
      <c r="AJ141" s="524" t="e">
        <f ca="1">COS($T141)</f>
        <v>#REF!</v>
      </c>
    </row>
    <row r="142" spans="1:36" ht="15.75" thickBot="1">
      <c r="A142" s="526"/>
      <c r="B142" s="546" t="e">
        <f ca="1">DEGREES(B141)</f>
        <v>#REF!</v>
      </c>
      <c r="C142" s="556"/>
      <c r="D142" s="547"/>
      <c r="E142" s="556"/>
      <c r="F142" s="1377" t="e">
        <f ca="1">DEGREES(F141)-360</f>
        <v>#REF!</v>
      </c>
      <c r="G142" s="518"/>
      <c r="H142" s="2340"/>
      <c r="I142" s="2340"/>
      <c r="J142" s="528" t="s">
        <v>304</v>
      </c>
      <c r="K142" s="510">
        <f>Center_H</f>
        <v>1269</v>
      </c>
      <c r="L142" s="544" t="e">
        <f ca="1">SIN($B141)</f>
        <v>#REF!</v>
      </c>
      <c r="M142" s="518"/>
      <c r="N142" s="2340"/>
      <c r="O142" s="1376"/>
      <c r="P142" s="528" t="s">
        <v>304</v>
      </c>
      <c r="Q142" s="510">
        <f>Center_H</f>
        <v>1269</v>
      </c>
      <c r="R142" s="1143" t="e">
        <f ca="1">SIN($B141)</f>
        <v>#REF!</v>
      </c>
      <c r="S142" s="1318"/>
      <c r="T142" s="546" t="e">
        <f ca="1">DEGREES(T141)</f>
        <v>#REF!</v>
      </c>
      <c r="U142" s="556"/>
      <c r="V142" s="547"/>
      <c r="W142" s="556"/>
      <c r="X142" s="1377" t="e">
        <f ca="1">DEGREES(X141)</f>
        <v>#REF!</v>
      </c>
      <c r="Y142" s="518"/>
      <c r="Z142" s="2340"/>
      <c r="AA142" s="2340"/>
      <c r="AB142" s="528" t="s">
        <v>304</v>
      </c>
      <c r="AC142" s="510">
        <f>Center_H</f>
        <v>1269</v>
      </c>
      <c r="AD142" s="544" t="e">
        <f ca="1">SIN($T141)</f>
        <v>#REF!</v>
      </c>
      <c r="AE142" s="518"/>
      <c r="AF142" s="2340"/>
      <c r="AG142" s="1376"/>
      <c r="AH142" s="528" t="s">
        <v>304</v>
      </c>
      <c r="AI142" s="510">
        <f>Center_H</f>
        <v>1269</v>
      </c>
      <c r="AJ142" s="524" t="e">
        <f ca="1">SIN($T141)</f>
        <v>#REF!</v>
      </c>
    </row>
    <row r="143" spans="1:36">
      <c r="A143" s="526"/>
      <c r="B143" s="2067"/>
      <c r="C143" s="1372"/>
      <c r="D143" s="1372"/>
      <c r="E143" s="1372"/>
      <c r="F143" s="1372"/>
      <c r="G143" s="518"/>
      <c r="H143" s="509" t="s">
        <v>1092</v>
      </c>
      <c r="I143" s="510" t="e">
        <f ca="1">K141+L138*L141</f>
        <v>#REF!</v>
      </c>
      <c r="J143" s="518"/>
      <c r="K143" s="510"/>
      <c r="L143" s="510"/>
      <c r="M143" s="518"/>
      <c r="N143" s="509" t="s">
        <v>1092</v>
      </c>
      <c r="O143" s="510" t="e">
        <f ca="1">Q141+R138*R141</f>
        <v>#REF!</v>
      </c>
      <c r="P143" s="518"/>
      <c r="Q143" s="510"/>
      <c r="R143" s="545"/>
      <c r="S143" s="1318"/>
      <c r="T143" s="2067"/>
      <c r="U143" s="1372"/>
      <c r="V143" s="1372"/>
      <c r="W143" s="1372"/>
      <c r="X143" s="1372"/>
      <c r="Y143" s="518"/>
      <c r="Z143" s="509" t="s">
        <v>1092</v>
      </c>
      <c r="AA143" s="510" t="e">
        <f ca="1">AC141+AD138*AD141</f>
        <v>#REF!</v>
      </c>
      <c r="AB143" s="518"/>
      <c r="AC143" s="510"/>
      <c r="AD143" s="510"/>
      <c r="AE143" s="518"/>
      <c r="AF143" s="509" t="s">
        <v>1092</v>
      </c>
      <c r="AG143" s="510" t="e">
        <f ca="1">AI141+AJ138*AJ141</f>
        <v>#REF!</v>
      </c>
      <c r="AH143" s="518"/>
      <c r="AI143" s="510"/>
      <c r="AJ143" s="1340"/>
    </row>
    <row r="144" spans="1:36">
      <c r="A144" s="526"/>
      <c r="B144" s="2068"/>
      <c r="C144" s="803"/>
      <c r="D144" s="803"/>
      <c r="E144" s="803"/>
      <c r="F144" s="942"/>
      <c r="G144" s="518"/>
      <c r="H144" s="528" t="s">
        <v>1093</v>
      </c>
      <c r="I144" s="510" t="e">
        <f ca="1">K142+L138*L142</f>
        <v>#REF!</v>
      </c>
      <c r="J144" s="518"/>
      <c r="K144" s="510"/>
      <c r="L144" s="510"/>
      <c r="M144" s="518"/>
      <c r="N144" s="528" t="s">
        <v>1093</v>
      </c>
      <c r="O144" s="510" t="e">
        <f ca="1">Q142+R138*R142</f>
        <v>#REF!</v>
      </c>
      <c r="P144" s="518"/>
      <c r="Q144" s="510"/>
      <c r="R144" s="545"/>
      <c r="S144" s="1318"/>
      <c r="T144" s="2068"/>
      <c r="U144" s="803"/>
      <c r="V144" s="803"/>
      <c r="W144" s="803"/>
      <c r="X144" s="942"/>
      <c r="Y144" s="518"/>
      <c r="Z144" s="528" t="s">
        <v>1093</v>
      </c>
      <c r="AA144" s="510" t="e">
        <f ca="1">AC142+AD138*AD142</f>
        <v>#REF!</v>
      </c>
      <c r="AB144" s="518"/>
      <c r="AC144" s="510"/>
      <c r="AD144" s="510"/>
      <c r="AE144" s="518"/>
      <c r="AF144" s="528" t="s">
        <v>1093</v>
      </c>
      <c r="AG144" s="510" t="e">
        <f ca="1">AI142+AJ138*AJ142</f>
        <v>#REF!</v>
      </c>
      <c r="AH144" s="518"/>
      <c r="AI144" s="510"/>
      <c r="AJ144" s="1340"/>
    </row>
    <row r="145" spans="1:36" ht="15.75" thickBot="1">
      <c r="A145" s="526"/>
      <c r="B145" s="2068"/>
      <c r="C145" s="803"/>
      <c r="D145" s="803"/>
      <c r="E145" s="803"/>
      <c r="F145" s="942"/>
      <c r="G145" s="518"/>
      <c r="H145" s="528"/>
      <c r="I145" s="510"/>
      <c r="J145" s="518"/>
      <c r="K145" s="510"/>
      <c r="L145" s="510"/>
      <c r="M145" s="518"/>
      <c r="N145" s="528"/>
      <c r="O145" s="510"/>
      <c r="P145" s="518"/>
      <c r="Q145" s="510"/>
      <c r="R145" s="545"/>
      <c r="S145" s="1318"/>
      <c r="T145" s="2068"/>
      <c r="U145" s="803"/>
      <c r="V145" s="803"/>
      <c r="W145" s="803"/>
      <c r="X145" s="942"/>
      <c r="Y145" s="518"/>
      <c r="Z145" s="528"/>
      <c r="AA145" s="510"/>
      <c r="AB145" s="518"/>
      <c r="AC145" s="510"/>
      <c r="AD145" s="510"/>
      <c r="AE145" s="518"/>
      <c r="AF145" s="528"/>
      <c r="AG145" s="510"/>
      <c r="AH145" s="518"/>
      <c r="AI145" s="510"/>
      <c r="AJ145" s="1340"/>
    </row>
    <row r="146" spans="1:36">
      <c r="A146" s="526"/>
      <c r="B146" s="2064" t="str">
        <f>"t4--DRIVE VIEW (LG), "&amp;$G$6&amp;", "&amp;Center_H</f>
        <v>t4--DRIVE VIEW (LG), 135, 1269</v>
      </c>
      <c r="C146" s="1373"/>
      <c r="D146" s="1373"/>
      <c r="E146" s="1373"/>
      <c r="F146" s="1374"/>
      <c r="G146" s="518"/>
      <c r="H146" s="518" t="s">
        <v>2665</v>
      </c>
      <c r="I146" s="1323"/>
      <c r="J146" s="518"/>
      <c r="K146" s="528" t="s">
        <v>2663</v>
      </c>
      <c r="L146" s="1323" t="e">
        <f ca="1">((L148*I147-L147*I148)-(L148*K149-L147*K150))/(L148*L149-L147*L150)</f>
        <v>#REF!</v>
      </c>
      <c r="M146" s="518"/>
      <c r="N146" s="518" t="s">
        <v>2794</v>
      </c>
      <c r="O146" s="1323"/>
      <c r="P146" s="518"/>
      <c r="Q146" s="528" t="s">
        <v>2663</v>
      </c>
      <c r="R146" s="2085" t="e">
        <f ca="1">((R148*O147-R147*O148)-(R148*Q149-R147*Q150))/(R148*R149-R147*R150)</f>
        <v>#REF!</v>
      </c>
      <c r="S146" s="1318"/>
      <c r="T146" s="2064" t="str">
        <f>"b4--DRIVE VIEW (LG), "&amp;$G$6&amp;", "&amp;Center_H</f>
        <v>b4--DRIVE VIEW (LG), 135, 1269</v>
      </c>
      <c r="U146" s="1373"/>
      <c r="V146" s="1373"/>
      <c r="W146" s="1373"/>
      <c r="X146" s="1374"/>
      <c r="Y146" s="518"/>
      <c r="Z146" s="518" t="s">
        <v>2665</v>
      </c>
      <c r="AA146" s="1323"/>
      <c r="AB146" s="518"/>
      <c r="AC146" s="528" t="s">
        <v>2663</v>
      </c>
      <c r="AD146" s="1323" t="e">
        <f ca="1">((AD148*AA147-AD147*AA148)-(AD148*AC149-AD147*AC150))/(AD148*AD149-AD147*AD150)</f>
        <v>#REF!</v>
      </c>
      <c r="AE146" s="518"/>
      <c r="AF146" s="518" t="s">
        <v>2794</v>
      </c>
      <c r="AG146" s="1323"/>
      <c r="AH146" s="518"/>
      <c r="AI146" s="528" t="s">
        <v>2663</v>
      </c>
      <c r="AJ146" s="2348" t="e">
        <f ca="1">((AJ148*AG147-AJ147*AG148)-(AJ148*AI149-AJ147*AI150))/(AJ148*AJ149-AJ147*AJ150)</f>
        <v>#REF!</v>
      </c>
    </row>
    <row r="147" spans="1:36">
      <c r="A147" s="526"/>
      <c r="B147" s="2065"/>
      <c r="C147" s="1323"/>
      <c r="D147" s="1323"/>
      <c r="E147" s="1323"/>
      <c r="F147" s="527"/>
      <c r="G147" s="518"/>
      <c r="H147" s="528" t="s">
        <v>2661</v>
      </c>
      <c r="I147" s="510">
        <f>$X$34</f>
        <v>-1109.8</v>
      </c>
      <c r="J147" s="510">
        <f>$Y$34</f>
        <v>-1871.1</v>
      </c>
      <c r="K147" s="1234" t="s">
        <v>1485</v>
      </c>
      <c r="L147" s="544">
        <f>(J147-I147)/SQRT((J147-I147)^2+(J148-I148))</f>
        <v>-1.0006574190441222</v>
      </c>
      <c r="M147" s="518"/>
      <c r="N147" s="528" t="s">
        <v>2661</v>
      </c>
      <c r="O147" s="510">
        <f>$Z$34</f>
        <v>-1779.5</v>
      </c>
      <c r="P147" s="510">
        <f>$B$34</f>
        <v>-982</v>
      </c>
      <c r="Q147" s="1234" t="s">
        <v>1485</v>
      </c>
      <c r="R147" s="1143">
        <f>(P147-O147)/SQRT((P147-O147)^2+(P148-O148))</f>
        <v>1.0006275494812824</v>
      </c>
      <c r="S147" s="1318"/>
      <c r="T147" s="2065"/>
      <c r="U147" s="1323"/>
      <c r="V147" s="1323"/>
      <c r="W147" s="1323"/>
      <c r="X147" s="527"/>
      <c r="Y147" s="518"/>
      <c r="Z147" s="528" t="s">
        <v>2661</v>
      </c>
      <c r="AA147" s="510">
        <f>$X$34</f>
        <v>-1109.8</v>
      </c>
      <c r="AB147" s="510">
        <f>$Y$34</f>
        <v>-1871.1</v>
      </c>
      <c r="AC147" s="1234" t="s">
        <v>1485</v>
      </c>
      <c r="AD147" s="544">
        <f>(AB147-AA147)/SQRT((AB147-AA147)^2+(AB148-AA148))</f>
        <v>-1.0006574190441222</v>
      </c>
      <c r="AE147" s="518"/>
      <c r="AF147" s="528" t="s">
        <v>2661</v>
      </c>
      <c r="AG147" s="510">
        <f>$Z$34</f>
        <v>-1779.5</v>
      </c>
      <c r="AH147" s="510">
        <f>$B$34</f>
        <v>-982</v>
      </c>
      <c r="AI147" s="1234" t="s">
        <v>1485</v>
      </c>
      <c r="AJ147" s="524">
        <f>(AH147-AG147)/SQRT((AH147-AG147)^2+(AH148-AG148))</f>
        <v>1.0006275494812824</v>
      </c>
    </row>
    <row r="148" spans="1:36">
      <c r="A148" s="526"/>
      <c r="B148" s="522" t="s">
        <v>1104</v>
      </c>
      <c r="C148" s="518" t="s">
        <v>283</v>
      </c>
      <c r="D148" s="518" t="s">
        <v>2683</v>
      </c>
      <c r="E148" s="518" t="s">
        <v>2684</v>
      </c>
      <c r="F148" s="527" t="s">
        <v>2681</v>
      </c>
      <c r="G148" s="518"/>
      <c r="H148" s="528" t="s">
        <v>2662</v>
      </c>
      <c r="I148" s="510">
        <f>$X$35+Center_H</f>
        <v>2378.8000000000002</v>
      </c>
      <c r="J148" s="510">
        <f>$Y$35+Center_H</f>
        <v>1617.5</v>
      </c>
      <c r="K148" s="1234" t="s">
        <v>1788</v>
      </c>
      <c r="L148" s="544">
        <f>(J148-I148)/SQRT((J147-I147)^2+(J148-I148))</f>
        <v>-1.0006574190441226</v>
      </c>
      <c r="M148" s="518"/>
      <c r="N148" s="528" t="s">
        <v>2662</v>
      </c>
      <c r="O148" s="510">
        <f>$Z$35+Center_H</f>
        <v>1709.1</v>
      </c>
      <c r="P148" s="510">
        <f>$B$35+Center_H</f>
        <v>911.6</v>
      </c>
      <c r="Q148" s="1234" t="s">
        <v>1788</v>
      </c>
      <c r="R148" s="1143">
        <f>(P148-O148)/SQRT((P147-O147)^2+(P148-O148))</f>
        <v>-1.0006275494812824</v>
      </c>
      <c r="S148" s="1318"/>
      <c r="T148" s="522" t="s">
        <v>1104</v>
      </c>
      <c r="U148" s="518" t="s">
        <v>283</v>
      </c>
      <c r="V148" s="518" t="s">
        <v>2683</v>
      </c>
      <c r="W148" s="518" t="s">
        <v>2684</v>
      </c>
      <c r="X148" s="527" t="s">
        <v>2681</v>
      </c>
      <c r="Y148" s="518"/>
      <c r="Z148" s="528" t="s">
        <v>2662</v>
      </c>
      <c r="AA148" s="510">
        <f>$X$35+Center_H</f>
        <v>2378.8000000000002</v>
      </c>
      <c r="AB148" s="510">
        <f>$Y$35+Center_H</f>
        <v>1617.5</v>
      </c>
      <c r="AC148" s="1234" t="s">
        <v>1788</v>
      </c>
      <c r="AD148" s="544">
        <f>(AB148-AA148)/SQRT((AB147-AA147)^2+(AB148-AA148))</f>
        <v>-1.0006574190441226</v>
      </c>
      <c r="AE148" s="518"/>
      <c r="AF148" s="528" t="s">
        <v>2662</v>
      </c>
      <c r="AG148" s="510">
        <f>$Z$35+Center_H</f>
        <v>1709.1</v>
      </c>
      <c r="AH148" s="510">
        <f>$B$35+Center_H</f>
        <v>911.6</v>
      </c>
      <c r="AI148" s="1234" t="s">
        <v>1788</v>
      </c>
      <c r="AJ148" s="524">
        <f>(AH148-AG148)/SQRT((AH147-AG147)^2+(AH148-AG148))</f>
        <v>-1.0006275494812824</v>
      </c>
    </row>
    <row r="149" spans="1:36" ht="14.45" customHeight="1">
      <c r="A149" s="526"/>
      <c r="B149" s="2066" t="e">
        <f ca="1">IF($M$10&lt;4,0,$B120-4*$F120)</f>
        <v>#REF!</v>
      </c>
      <c r="C149" s="510" t="e">
        <f ca="1">IF(B149=0,0,IF(AND(F149&gt;=$D$32,F149&lt;=$X$32),1000*r0*EXP(K_House*(F149-$H$6))+House_P_T,IF(AND(F149&gt;=$Z$32,F149&lt;=$B$32),SQRT(O151^2+(O152-Center_H)^2),IF(AND(F149&gt;$X$32,F149&lt;=$Z$32),SQRT(I151^2+(I152-Center_H)^2)))))</f>
        <v>#REF!</v>
      </c>
      <c r="D149" s="510" t="e">
        <f ca="1">IF(B149=0,0,C149*SIN(B149)+Center_H)</f>
        <v>#REF!</v>
      </c>
      <c r="E149" s="510" t="e">
        <f ca="1">C149*COS(B149)</f>
        <v>#REF!</v>
      </c>
      <c r="F149" s="1375" t="e">
        <f ca="1">IF(B149=0,0,B149+IF(B149-$H$6&lt;H_alfastart,2*PI(),0))</f>
        <v>#REF!</v>
      </c>
      <c r="G149" s="518"/>
      <c r="H149" s="3842" t="s">
        <v>2682</v>
      </c>
      <c r="I149" s="3842"/>
      <c r="J149" s="528" t="s">
        <v>2660</v>
      </c>
      <c r="K149" s="510">
        <v>0</v>
      </c>
      <c r="L149" s="544" t="e">
        <f ca="1">COS($B149)</f>
        <v>#REF!</v>
      </c>
      <c r="M149" s="518"/>
      <c r="N149" s="3842" t="s">
        <v>2682</v>
      </c>
      <c r="O149" s="3842"/>
      <c r="P149" s="528" t="s">
        <v>2660</v>
      </c>
      <c r="Q149" s="510">
        <v>0</v>
      </c>
      <c r="R149" s="1143" t="e">
        <f ca="1">COS($B149)</f>
        <v>#REF!</v>
      </c>
      <c r="S149" s="1318"/>
      <c r="T149" s="2066" t="e">
        <f ca="1">IF($M$12&lt;4,0,$T120-4*$X120)</f>
        <v>#REF!</v>
      </c>
      <c r="U149" s="510" t="e">
        <f ca="1">IF(T149=0,0,IF(AND(X149&gt;=$D$32,X149&lt;=$X$32),1000*r0*EXP(K_House*(X149-$H$6))+House_P_T,IF(AND(X149&gt;=$Z$32,X149&lt;=$B$32),SQRT(AG151^2+(AG152-Center_H)^2),IF(AND(X149&gt;$X$32,X149&lt;=$Z$32),SQRT(AA151^2+(AA152-Center_H)^2)))))</f>
        <v>#REF!</v>
      </c>
      <c r="V149" s="510" t="e">
        <f ca="1">IF(T149=0,0,U149*SIN(T149)+Center_H)</f>
        <v>#REF!</v>
      </c>
      <c r="W149" s="510" t="e">
        <f ca="1">U149*COS(T149)</f>
        <v>#REF!</v>
      </c>
      <c r="X149" s="1375" t="e">
        <f ca="1">IF(T149=0,0,T149+IF(T149-$H$6&lt;H_alfastart,2*PI(),0))</f>
        <v>#REF!</v>
      </c>
      <c r="Y149" s="518"/>
      <c r="Z149" s="3842" t="s">
        <v>2682</v>
      </c>
      <c r="AA149" s="3842"/>
      <c r="AB149" s="528" t="s">
        <v>2660</v>
      </c>
      <c r="AC149" s="510">
        <v>0</v>
      </c>
      <c r="AD149" s="544" t="e">
        <f ca="1">COS($T149)</f>
        <v>#REF!</v>
      </c>
      <c r="AE149" s="518"/>
      <c r="AF149" s="3842" t="s">
        <v>2682</v>
      </c>
      <c r="AG149" s="3842"/>
      <c r="AH149" s="528" t="s">
        <v>2660</v>
      </c>
      <c r="AI149" s="510">
        <v>0</v>
      </c>
      <c r="AJ149" s="524" t="e">
        <f ca="1">COS($T149)</f>
        <v>#REF!</v>
      </c>
    </row>
    <row r="150" spans="1:36" ht="15.75" thickBot="1">
      <c r="A150" s="526"/>
      <c r="B150" s="546" t="e">
        <f ca="1">DEGREES(B149)</f>
        <v>#REF!</v>
      </c>
      <c r="C150" s="556"/>
      <c r="D150" s="547"/>
      <c r="E150" s="556"/>
      <c r="F150" s="1377" t="e">
        <f ca="1">DEGREES(F149)-360</f>
        <v>#REF!</v>
      </c>
      <c r="G150" s="518"/>
      <c r="H150" s="2340"/>
      <c r="I150" s="2340"/>
      <c r="J150" s="528" t="s">
        <v>304</v>
      </c>
      <c r="K150" s="510">
        <f>Center_H</f>
        <v>1269</v>
      </c>
      <c r="L150" s="544" t="e">
        <f ca="1">SIN($B149)</f>
        <v>#REF!</v>
      </c>
      <c r="M150" s="518"/>
      <c r="N150" s="2340"/>
      <c r="O150" s="1376"/>
      <c r="P150" s="528" t="s">
        <v>304</v>
      </c>
      <c r="Q150" s="510">
        <f>Center_H</f>
        <v>1269</v>
      </c>
      <c r="R150" s="1143" t="e">
        <f ca="1">SIN($B149)</f>
        <v>#REF!</v>
      </c>
      <c r="S150" s="1318"/>
      <c r="T150" s="546" t="e">
        <f ca="1">DEGREES(T149)</f>
        <v>#REF!</v>
      </c>
      <c r="U150" s="556"/>
      <c r="V150" s="547"/>
      <c r="W150" s="556"/>
      <c r="X150" s="1377" t="e">
        <f ca="1">DEGREES(X149)</f>
        <v>#REF!</v>
      </c>
      <c r="Y150" s="518"/>
      <c r="Z150" s="2340"/>
      <c r="AA150" s="2340"/>
      <c r="AB150" s="528" t="s">
        <v>304</v>
      </c>
      <c r="AC150" s="510">
        <f>Center_H</f>
        <v>1269</v>
      </c>
      <c r="AD150" s="544" t="e">
        <f ca="1">SIN($T149)</f>
        <v>#REF!</v>
      </c>
      <c r="AE150" s="518"/>
      <c r="AF150" s="2340"/>
      <c r="AG150" s="1376"/>
      <c r="AH150" s="528" t="s">
        <v>304</v>
      </c>
      <c r="AI150" s="510">
        <f>Center_H</f>
        <v>1269</v>
      </c>
      <c r="AJ150" s="524" t="e">
        <f ca="1">SIN($T149)</f>
        <v>#REF!</v>
      </c>
    </row>
    <row r="151" spans="1:36">
      <c r="A151" s="526"/>
      <c r="B151" s="2067"/>
      <c r="C151" s="1372"/>
      <c r="D151" s="1372"/>
      <c r="E151" s="1372"/>
      <c r="F151" s="1372"/>
      <c r="G151" s="518"/>
      <c r="H151" s="509" t="s">
        <v>1092</v>
      </c>
      <c r="I151" s="510" t="e">
        <f ca="1">K149+L146*L149</f>
        <v>#REF!</v>
      </c>
      <c r="J151" s="518"/>
      <c r="K151" s="510"/>
      <c r="L151" s="510"/>
      <c r="M151" s="518"/>
      <c r="N151" s="509" t="s">
        <v>1092</v>
      </c>
      <c r="O151" s="510" t="e">
        <f ca="1">Q149+R146*R149</f>
        <v>#REF!</v>
      </c>
      <c r="P151" s="518"/>
      <c r="Q151" s="510"/>
      <c r="R151" s="545"/>
      <c r="S151" s="1318"/>
      <c r="T151" s="2067"/>
      <c r="U151" s="1372"/>
      <c r="V151" s="1372"/>
      <c r="W151" s="1372"/>
      <c r="X151" s="1372"/>
      <c r="Y151" s="518"/>
      <c r="Z151" s="509" t="s">
        <v>1092</v>
      </c>
      <c r="AA151" s="510" t="e">
        <f ca="1">AC149+AD146*AD149</f>
        <v>#REF!</v>
      </c>
      <c r="AB151" s="518"/>
      <c r="AC151" s="510"/>
      <c r="AD151" s="510"/>
      <c r="AE151" s="518"/>
      <c r="AF151" s="509" t="s">
        <v>1092</v>
      </c>
      <c r="AG151" s="510" t="e">
        <f ca="1">AI149+AJ146*AJ149</f>
        <v>#REF!</v>
      </c>
      <c r="AH151" s="518"/>
      <c r="AI151" s="510"/>
      <c r="AJ151" s="1340"/>
    </row>
    <row r="152" spans="1:36">
      <c r="A152" s="526"/>
      <c r="B152" s="2068"/>
      <c r="C152" s="803"/>
      <c r="D152" s="803"/>
      <c r="E152" s="803"/>
      <c r="F152" s="942"/>
      <c r="G152" s="518"/>
      <c r="H152" s="528" t="s">
        <v>1093</v>
      </c>
      <c r="I152" s="510" t="e">
        <f ca="1">K150+L146*L150</f>
        <v>#REF!</v>
      </c>
      <c r="J152" s="518"/>
      <c r="K152" s="510"/>
      <c r="L152" s="510"/>
      <c r="M152" s="518"/>
      <c r="N152" s="528" t="s">
        <v>1093</v>
      </c>
      <c r="O152" s="510" t="e">
        <f ca="1">Q150+R146*R150</f>
        <v>#REF!</v>
      </c>
      <c r="P152" s="518"/>
      <c r="Q152" s="510"/>
      <c r="R152" s="545"/>
      <c r="S152" s="1318"/>
      <c r="T152" s="2068"/>
      <c r="U152" s="803"/>
      <c r="V152" s="803"/>
      <c r="W152" s="803"/>
      <c r="X152" s="942"/>
      <c r="Y152" s="518"/>
      <c r="Z152" s="528" t="s">
        <v>1093</v>
      </c>
      <c r="AA152" s="510" t="e">
        <f ca="1">AC150+AD146*AD150</f>
        <v>#REF!</v>
      </c>
      <c r="AB152" s="518"/>
      <c r="AC152" s="510"/>
      <c r="AD152" s="510"/>
      <c r="AE152" s="518"/>
      <c r="AF152" s="528" t="s">
        <v>1093</v>
      </c>
      <c r="AG152" s="510" t="e">
        <f ca="1">AI150+AJ146*AJ150</f>
        <v>#REF!</v>
      </c>
      <c r="AH152" s="518"/>
      <c r="AI152" s="510"/>
      <c r="AJ152" s="1340"/>
    </row>
    <row r="153" spans="1:36">
      <c r="A153" s="518"/>
      <c r="B153" s="2068"/>
      <c r="C153" s="803"/>
      <c r="D153" s="803"/>
      <c r="E153" s="803"/>
      <c r="F153" s="942"/>
      <c r="G153" s="518"/>
      <c r="H153" s="528"/>
      <c r="I153" s="510"/>
      <c r="J153" s="518"/>
      <c r="K153" s="510"/>
      <c r="L153" s="510"/>
      <c r="M153" s="518"/>
      <c r="N153" s="528"/>
      <c r="O153" s="510"/>
      <c r="P153" s="518"/>
      <c r="Q153" s="510"/>
      <c r="R153" s="510"/>
      <c r="S153" s="1318"/>
      <c r="T153" s="803"/>
      <c r="U153" s="803"/>
      <c r="V153" s="803"/>
      <c r="W153" s="803"/>
      <c r="X153" s="942"/>
      <c r="Y153" s="518"/>
      <c r="Z153" s="528"/>
      <c r="AA153" s="510"/>
      <c r="AB153" s="518"/>
      <c r="AC153" s="510"/>
      <c r="AD153" s="510"/>
      <c r="AE153" s="518"/>
      <c r="AF153" s="528"/>
      <c r="AG153" s="510"/>
      <c r="AH153" s="518"/>
      <c r="AI153" s="510"/>
      <c r="AJ153" s="510"/>
    </row>
    <row r="154" spans="1:36">
      <c r="A154" s="518"/>
      <c r="B154" s="2068"/>
      <c r="C154" s="803"/>
      <c r="D154" s="803"/>
      <c r="E154" s="803"/>
      <c r="F154" s="942"/>
      <c r="G154" s="518"/>
      <c r="H154" s="528"/>
      <c r="I154" s="510"/>
      <c r="J154" s="518"/>
      <c r="K154" s="510"/>
      <c r="L154" s="510"/>
      <c r="M154" s="518"/>
      <c r="N154" s="528"/>
      <c r="O154" s="510"/>
      <c r="P154" s="518"/>
      <c r="Q154" s="510"/>
      <c r="R154" s="510"/>
      <c r="S154" s="1318"/>
      <c r="T154" s="803"/>
      <c r="U154" s="803"/>
      <c r="V154" s="803"/>
      <c r="W154" s="803"/>
      <c r="X154" s="942"/>
      <c r="Y154" s="518"/>
      <c r="Z154" s="528"/>
      <c r="AA154" s="510"/>
      <c r="AB154" s="518"/>
      <c r="AC154" s="510"/>
      <c r="AD154" s="510"/>
      <c r="AE154" s="518"/>
      <c r="AF154" s="528"/>
      <c r="AG154" s="510"/>
      <c r="AH154" s="518"/>
      <c r="AI154" s="510"/>
      <c r="AJ154" s="510"/>
    </row>
    <row r="155" spans="1:36">
      <c r="B155" s="522"/>
      <c r="S155" s="518"/>
      <c r="T155" s="518"/>
      <c r="U155" s="518"/>
      <c r="V155" s="518"/>
      <c r="W155" s="518"/>
      <c r="X155" s="518"/>
      <c r="Y155" s="518"/>
      <c r="Z155" s="518"/>
      <c r="AA155" s="518"/>
      <c r="AB155" s="518"/>
      <c r="AC155" s="518"/>
      <c r="AD155" s="518"/>
      <c r="AE155" s="518"/>
      <c r="AF155" s="518"/>
      <c r="AG155" s="518"/>
      <c r="AH155" s="518"/>
      <c r="AI155" s="518"/>
      <c r="AJ155" s="518"/>
    </row>
    <row r="156" spans="1:36" ht="15.75" thickBot="1">
      <c r="B156" s="522"/>
      <c r="S156" s="518"/>
      <c r="T156" s="518"/>
      <c r="U156" s="518"/>
      <c r="V156" s="518"/>
      <c r="W156" s="518"/>
      <c r="X156" s="518"/>
      <c r="Y156" s="518"/>
      <c r="Z156" s="518"/>
      <c r="AA156" s="518"/>
      <c r="AB156" s="518"/>
      <c r="AC156" s="518"/>
      <c r="AD156" s="518"/>
      <c r="AE156" s="518"/>
      <c r="AF156" s="518"/>
      <c r="AG156" s="518"/>
      <c r="AH156" s="518"/>
      <c r="AI156" s="518"/>
      <c r="AJ156" s="518"/>
    </row>
    <row r="157" spans="1:36">
      <c r="A157" s="3849" t="s">
        <v>2645</v>
      </c>
      <c r="B157" s="3858" t="str">
        <f>"CENTRAL FRAME SIDE Reinf "&amp;$E$6&amp;", "&amp;$G$6&amp;", "&amp;Center_H</f>
        <v>CENTRAL FRAME SIDE Reinf RD, 135, 1269</v>
      </c>
      <c r="C157" s="3858"/>
      <c r="D157" s="3858"/>
      <c r="E157" s="3858"/>
      <c r="F157" s="3858"/>
      <c r="G157" s="3858"/>
      <c r="H157" s="3858"/>
      <c r="I157" s="3858"/>
      <c r="J157" s="3858"/>
      <c r="K157" s="3858"/>
      <c r="L157" s="3858"/>
      <c r="M157" s="3858"/>
      <c r="N157" s="3858"/>
      <c r="O157" s="3858"/>
      <c r="P157" s="3858"/>
      <c r="Q157" s="3858"/>
      <c r="R157" s="3858"/>
      <c r="S157" s="3858"/>
      <c r="T157" s="3858"/>
      <c r="U157" s="3858"/>
      <c r="V157" s="3858"/>
      <c r="W157" s="3858"/>
      <c r="X157" s="3858"/>
      <c r="Y157" s="3858"/>
      <c r="Z157" s="3858"/>
      <c r="AA157" s="3858"/>
      <c r="AB157" s="3858"/>
      <c r="AC157" s="3858"/>
      <c r="AD157" s="3858"/>
      <c r="AE157" s="3858"/>
      <c r="AF157" s="3858"/>
      <c r="AG157" s="3858"/>
      <c r="AH157" s="3858"/>
      <c r="AI157" s="3858"/>
      <c r="AJ157" s="3859"/>
    </row>
    <row r="158" spans="1:36" ht="15.75" thickBot="1">
      <c r="A158" s="3850"/>
      <c r="B158" s="3860"/>
      <c r="C158" s="3860"/>
      <c r="D158" s="3860"/>
      <c r="E158" s="3860"/>
      <c r="F158" s="3860"/>
      <c r="G158" s="3860"/>
      <c r="H158" s="3860"/>
      <c r="I158" s="3860"/>
      <c r="J158" s="3860"/>
      <c r="K158" s="3860"/>
      <c r="L158" s="3860"/>
      <c r="M158" s="3860"/>
      <c r="N158" s="3860"/>
      <c r="O158" s="3860"/>
      <c r="P158" s="3860"/>
      <c r="Q158" s="3860"/>
      <c r="R158" s="3860"/>
      <c r="S158" s="3860"/>
      <c r="T158" s="3860"/>
      <c r="U158" s="3860"/>
      <c r="V158" s="3860"/>
      <c r="W158" s="3860"/>
      <c r="X158" s="3860"/>
      <c r="Y158" s="3860"/>
      <c r="Z158" s="3860"/>
      <c r="AA158" s="3860"/>
      <c r="AB158" s="3860"/>
      <c r="AC158" s="3860"/>
      <c r="AD158" s="3860"/>
      <c r="AE158" s="3860"/>
      <c r="AF158" s="3860"/>
      <c r="AG158" s="3860"/>
      <c r="AH158" s="3860"/>
      <c r="AI158" s="3860"/>
      <c r="AJ158" s="3861"/>
    </row>
    <row r="159" spans="1:36" ht="15.75" thickBot="1">
      <c r="A159" s="2408"/>
      <c r="B159" s="3199"/>
      <c r="C159" s="3200"/>
      <c r="D159" s="3200"/>
      <c r="E159" s="3200"/>
      <c r="F159" s="3200"/>
      <c r="G159" s="3200"/>
      <c r="H159" s="3200"/>
      <c r="I159" s="3200"/>
      <c r="J159" s="3188"/>
      <c r="K159" s="3188"/>
      <c r="L159" s="3188"/>
      <c r="M159" s="3188"/>
      <c r="N159" s="3188"/>
      <c r="O159" s="3188"/>
      <c r="P159" s="3188"/>
      <c r="Q159" s="3188"/>
      <c r="R159" s="3188"/>
      <c r="S159" s="3188"/>
      <c r="T159" s="3188"/>
      <c r="U159" s="3188"/>
      <c r="V159" s="3188"/>
      <c r="W159" s="3188"/>
      <c r="X159" s="3188"/>
      <c r="Y159" s="3188"/>
      <c r="Z159" s="3188"/>
      <c r="AA159" s="3188"/>
      <c r="AB159" s="3222"/>
      <c r="AC159" s="3222"/>
      <c r="AD159" s="3222"/>
      <c r="AE159" s="3222"/>
      <c r="AF159" s="3222"/>
      <c r="AG159" s="3222"/>
      <c r="AH159" s="3222"/>
      <c r="AI159" s="3222"/>
      <c r="AJ159" s="3223"/>
    </row>
    <row r="160" spans="1:36" ht="15.75" thickBot="1">
      <c r="A160" s="2408"/>
      <c r="B160" s="3095" t="str">
        <f>"CF Central Frame "&amp;$E$6&amp;", "&amp;$G$6&amp;", "&amp;Center_H</f>
        <v>CF Central Frame RD, 135, 1269</v>
      </c>
      <c r="C160" s="2567"/>
      <c r="D160" s="2567"/>
      <c r="E160" s="2567"/>
      <c r="F160" s="3290"/>
      <c r="G160" s="3207" t="s">
        <v>4018</v>
      </c>
      <c r="H160" s="3201" t="e">
        <f ca="1">(SQRT((B166/1000-B164/1000)^2+(B167/1000-B165/1000)^2)+SQRT((C166/1000-C164/1000)^2+(C167/1000-C165/1000)^2)+SQRT((D166/1000-D164/1000)^2+(D167/1000-D165/1000)^2)+SQRT((E166/1000-E164/1000)^2+(E167/1000-E165/1000)^2))*$W$7/1000*$X$7/1000*steel_density+G162</f>
        <v>#REF!</v>
      </c>
      <c r="I160" s="3215" t="s">
        <v>131</v>
      </c>
      <c r="J160" s="2408"/>
      <c r="K160" s="2408"/>
      <c r="L160" s="2408"/>
      <c r="M160" s="2408"/>
      <c r="N160" s="2408"/>
      <c r="O160" s="2408"/>
      <c r="P160" s="2408"/>
      <c r="Q160" s="2408"/>
      <c r="R160" s="2408"/>
      <c r="S160" s="518"/>
      <c r="T160" s="518"/>
      <c r="U160" s="518"/>
      <c r="V160" s="518"/>
      <c r="W160" s="518"/>
      <c r="X160" s="518"/>
      <c r="Y160" s="518"/>
      <c r="Z160" s="518"/>
      <c r="AA160" s="2408"/>
      <c r="AB160" s="3262"/>
      <c r="AC160" s="3262"/>
      <c r="AD160" s="3262"/>
      <c r="AE160" s="3262"/>
      <c r="AF160" s="3262"/>
      <c r="AG160" s="3262"/>
      <c r="AH160" s="3262"/>
      <c r="AI160" s="3262"/>
      <c r="AJ160" s="3225"/>
    </row>
    <row r="161" spans="1:36" ht="14.45" customHeight="1">
      <c r="A161" s="2699" t="s">
        <v>4210</v>
      </c>
      <c r="B161" s="3291" t="s">
        <v>4014</v>
      </c>
      <c r="C161" s="3292" t="s">
        <v>4015</v>
      </c>
      <c r="D161" s="3292" t="s">
        <v>4016</v>
      </c>
      <c r="E161" s="3292" t="s">
        <v>4017</v>
      </c>
      <c r="F161" s="3292"/>
      <c r="G161" s="3292"/>
      <c r="H161" s="3292"/>
      <c r="I161" s="3293"/>
      <c r="J161" s="2408"/>
      <c r="K161" s="2408"/>
      <c r="L161" s="2408"/>
      <c r="M161" s="2408"/>
      <c r="N161" s="2408"/>
      <c r="O161" s="2408"/>
      <c r="P161" s="2408"/>
      <c r="Q161" s="2408"/>
      <c r="R161" s="2408"/>
      <c r="S161" s="518"/>
      <c r="T161" s="518"/>
      <c r="U161" s="518"/>
      <c r="V161" s="518"/>
      <c r="W161" s="518"/>
      <c r="X161" s="518"/>
      <c r="Y161" s="518"/>
      <c r="Z161" s="518"/>
      <c r="AA161" s="2408"/>
      <c r="AB161" s="3264"/>
      <c r="AC161" s="3268"/>
      <c r="AD161" s="3268"/>
      <c r="AE161" s="3268"/>
      <c r="AF161" s="3268"/>
      <c r="AG161" s="3268"/>
      <c r="AH161" s="3268"/>
      <c r="AI161" s="3268"/>
      <c r="AJ161" s="3269"/>
    </row>
    <row r="162" spans="1:36">
      <c r="A162" s="3319" t="s">
        <v>4211</v>
      </c>
      <c r="B162" s="543" t="e">
        <f ca="1">IF(Small_F,TRUE,FALSE)</f>
        <v>#REF!</v>
      </c>
      <c r="C162" s="3286" t="e">
        <f ca="1">IF(Small_F,TRUE,FALSE)</f>
        <v>#REF!</v>
      </c>
      <c r="D162" s="3286" t="e">
        <f ca="1">IF(Small_F,TRUE,FALSE)</f>
        <v>#REF!</v>
      </c>
      <c r="E162" s="3287" t="e">
        <f ca="1">IF(Small_F,TRUE,FALSE)</f>
        <v>#REF!</v>
      </c>
      <c r="F162" s="3288"/>
      <c r="G162" s="2015"/>
      <c r="H162" s="3287"/>
      <c r="I162" s="3289"/>
      <c r="J162" s="2408"/>
      <c r="K162" s="2408"/>
      <c r="L162" s="2408"/>
      <c r="M162" s="2408"/>
      <c r="N162" s="2408"/>
      <c r="O162" s="2408"/>
      <c r="P162" s="2408"/>
      <c r="Q162" s="2408"/>
      <c r="R162" s="2408"/>
      <c r="S162" s="518"/>
      <c r="T162" s="518"/>
      <c r="U162" s="518"/>
      <c r="V162" s="518"/>
      <c r="W162" s="518"/>
      <c r="X162" s="518"/>
      <c r="Y162" s="518"/>
      <c r="Z162" s="518"/>
      <c r="AA162" s="2408"/>
      <c r="AB162" s="3263"/>
      <c r="AC162" s="3266"/>
      <c r="AD162" s="3266"/>
      <c r="AE162" s="3266"/>
      <c r="AF162" s="3266"/>
      <c r="AG162" s="3266"/>
      <c r="AH162" s="3266"/>
      <c r="AI162" s="3266"/>
      <c r="AJ162" s="3267"/>
    </row>
    <row r="163" spans="1:36" ht="14.45" customHeight="1">
      <c r="A163" s="3202" t="s">
        <v>4013</v>
      </c>
      <c r="B163" s="3187" t="e">
        <f ca="1">IF(Small_F,$U$7,0)</f>
        <v>#REF!</v>
      </c>
      <c r="C163" s="3183" t="e">
        <f ca="1">IF(Small_F,$U$7,0)</f>
        <v>#REF!</v>
      </c>
      <c r="D163" s="3183" t="e">
        <f ca="1">IF(Small_F,$U$7,0)</f>
        <v>#REF!</v>
      </c>
      <c r="E163" s="3183" t="e">
        <f ca="1">IF(Small_F,$U$7,0)</f>
        <v>#REF!</v>
      </c>
      <c r="F163" s="3183"/>
      <c r="G163" s="3183"/>
      <c r="H163" s="3183"/>
      <c r="I163" s="3184"/>
      <c r="J163" s="2408"/>
      <c r="K163" s="2408"/>
      <c r="L163" s="2408"/>
      <c r="M163" s="2408"/>
      <c r="N163" s="2408"/>
      <c r="O163" s="2408"/>
      <c r="P163" s="2408"/>
      <c r="Q163" s="2408"/>
      <c r="R163" s="2408"/>
      <c r="S163" s="518"/>
      <c r="T163" s="518"/>
      <c r="U163" s="518"/>
      <c r="V163" s="518"/>
      <c r="W163" s="518"/>
      <c r="X163" s="518"/>
      <c r="Y163" s="518"/>
      <c r="Z163" s="518"/>
      <c r="AA163" s="2408"/>
      <c r="AB163" s="3264"/>
      <c r="AC163" s="3268"/>
      <c r="AD163" s="3268"/>
      <c r="AE163" s="3268"/>
      <c r="AF163" s="3268"/>
      <c r="AG163" s="3268"/>
      <c r="AH163" s="3268"/>
      <c r="AI163" s="3268"/>
      <c r="AJ163" s="3269"/>
    </row>
    <row r="164" spans="1:36">
      <c r="A164" s="2431" t="s">
        <v>1094</v>
      </c>
      <c r="B164" s="2134" t="e">
        <f ca="1">IF(Small_F,$W$9,0)</f>
        <v>#REF!</v>
      </c>
      <c r="C164" s="2015" t="e">
        <f ca="1">IF(Small_F,$W$10,0)</f>
        <v>#REF!</v>
      </c>
      <c r="D164" s="2015" t="e">
        <f ca="1">IF(Small_F,$U$13,0)</f>
        <v>#REF!</v>
      </c>
      <c r="E164" s="2015" t="e">
        <f ca="1">IF(Small_F,$U$14,0)</f>
        <v>#REF!</v>
      </c>
      <c r="F164" s="2015"/>
      <c r="G164" s="2015"/>
      <c r="H164" s="2015"/>
      <c r="I164" s="2131"/>
      <c r="J164" s="2408"/>
      <c r="K164" s="2408"/>
      <c r="L164" s="2408"/>
      <c r="M164" s="2408"/>
      <c r="N164" s="2408"/>
      <c r="O164" s="2408"/>
      <c r="P164" s="2408"/>
      <c r="Q164" s="2408"/>
      <c r="R164" s="2408"/>
      <c r="S164" s="518"/>
      <c r="T164" s="518"/>
      <c r="U164" s="518"/>
      <c r="V164" s="518"/>
      <c r="W164" s="518"/>
      <c r="X164" s="518"/>
      <c r="Y164" s="518"/>
      <c r="Z164" s="518"/>
      <c r="AA164" s="2408"/>
      <c r="AB164" s="3265"/>
      <c r="AC164" s="3270"/>
      <c r="AD164" s="3270"/>
      <c r="AE164" s="3270"/>
      <c r="AF164" s="3270"/>
      <c r="AG164" s="3270"/>
      <c r="AH164" s="3270"/>
      <c r="AI164" s="3270"/>
      <c r="AJ164" s="3271"/>
    </row>
    <row r="165" spans="1:36">
      <c r="A165" s="2431" t="s">
        <v>1095</v>
      </c>
      <c r="B165" s="2134" t="e">
        <f ca="1">IF(CF_reinf_req,IF(Small_F,$X$9+Center_H,0),0)</f>
        <v>#REF!</v>
      </c>
      <c r="C165" s="2015" t="e">
        <f ca="1">IF(CF_reinf_req,IF(Small_F,$X$10+Center_H,0),0)</f>
        <v>#REF!</v>
      </c>
      <c r="D165" s="2015" t="e">
        <f ca="1">IF(CF_reinf_req,IF(Small_F,$V$13+Center_H,0),0)</f>
        <v>#REF!</v>
      </c>
      <c r="E165" s="2015" t="e">
        <f ca="1">IF(CF_reinf_req,IF(Small_F,$V$14+Center_H,0),0)</f>
        <v>#REF!</v>
      </c>
      <c r="F165" s="2015"/>
      <c r="G165" s="2015"/>
      <c r="H165" s="2015"/>
      <c r="I165" s="2131"/>
      <c r="J165" s="2408"/>
      <c r="K165" s="2408"/>
      <c r="L165" s="2408"/>
      <c r="M165" s="2408"/>
      <c r="N165" s="2408"/>
      <c r="O165" s="2408"/>
      <c r="P165" s="2408"/>
      <c r="Q165" s="2408"/>
      <c r="R165" s="2408"/>
      <c r="S165" s="518"/>
      <c r="T165" s="518"/>
      <c r="U165" s="518"/>
      <c r="V165" s="518"/>
      <c r="W165" s="518"/>
      <c r="X165" s="518"/>
      <c r="Y165" s="518"/>
      <c r="Z165" s="518"/>
      <c r="AA165" s="2408"/>
      <c r="AB165" s="3265"/>
      <c r="AC165" s="3270"/>
      <c r="AD165" s="3270"/>
      <c r="AE165" s="3270"/>
      <c r="AF165" s="3270"/>
      <c r="AG165" s="3270"/>
      <c r="AH165" s="3270"/>
      <c r="AI165" s="3270"/>
      <c r="AJ165" s="3271"/>
    </row>
    <row r="166" spans="1:36">
      <c r="A166" s="2431" t="s">
        <v>1096</v>
      </c>
      <c r="B166" s="2134" t="e">
        <f ca="1">IF(Small_F,$W$11,0)</f>
        <v>#REF!</v>
      </c>
      <c r="C166" s="2015" t="e">
        <f ca="1">IF(Small_F,$W$12,0)</f>
        <v>#REF!</v>
      </c>
      <c r="D166" s="2015" t="e">
        <f ca="1">IF(Small_F,$W$13,0)</f>
        <v>#REF!</v>
      </c>
      <c r="E166" s="2015" t="e">
        <f ca="1">IF(Small_F,$W$14,0)</f>
        <v>#REF!</v>
      </c>
      <c r="F166" s="2015"/>
      <c r="G166" s="2015"/>
      <c r="H166" s="2015"/>
      <c r="I166" s="2131"/>
      <c r="J166" s="2408"/>
      <c r="K166" s="2408"/>
      <c r="L166" s="2408"/>
      <c r="M166" s="2408"/>
      <c r="N166" s="2408"/>
      <c r="O166" s="2408"/>
      <c r="P166" s="2408"/>
      <c r="Q166" s="2408"/>
      <c r="R166" s="2408"/>
      <c r="S166" s="518"/>
      <c r="T166" s="518"/>
      <c r="U166" s="518"/>
      <c r="V166" s="518"/>
      <c r="W166" s="518"/>
      <c r="X166" s="518"/>
      <c r="Y166" s="518"/>
      <c r="Z166" s="518"/>
      <c r="AA166" s="2408"/>
      <c r="AB166" s="3265"/>
      <c r="AC166" s="3270"/>
      <c r="AD166" s="3270"/>
      <c r="AE166" s="3270"/>
      <c r="AF166" s="3270"/>
      <c r="AG166" s="3270"/>
      <c r="AH166" s="3270"/>
      <c r="AI166" s="3270"/>
      <c r="AJ166" s="3271"/>
    </row>
    <row r="167" spans="1:36" ht="15.75" thickBot="1">
      <c r="A167" s="2431" t="s">
        <v>1097</v>
      </c>
      <c r="B167" s="2135" t="e">
        <f ca="1">IF(CF_reinf_req,IF(Small_F,$X$11+Center_H,0),0)</f>
        <v>#REF!</v>
      </c>
      <c r="C167" s="2132" t="e">
        <f ca="1">IF(CF_reinf_req,IF(Small_F,$X$12+Center_H,0),0)</f>
        <v>#REF!</v>
      </c>
      <c r="D167" s="2132" t="e">
        <f ca="1">IF(CF_reinf_req,IF(Small_F,$X$13+Center_H,0),0)</f>
        <v>#REF!</v>
      </c>
      <c r="E167" s="2132" t="e">
        <f ca="1">IF(CF_reinf_req,IF(Small_F,$X$14+Center_H,0),0)</f>
        <v>#REF!</v>
      </c>
      <c r="F167" s="2132"/>
      <c r="G167" s="2132"/>
      <c r="H167" s="2132"/>
      <c r="I167" s="2133"/>
      <c r="J167" s="2408"/>
      <c r="K167" s="2408"/>
      <c r="L167" s="2408"/>
      <c r="M167" s="2408"/>
      <c r="N167" s="2408"/>
      <c r="O167" s="2408"/>
      <c r="P167" s="2408"/>
      <c r="Q167" s="2408"/>
      <c r="R167" s="2408"/>
      <c r="S167" s="518"/>
      <c r="T167" s="518"/>
      <c r="U167" s="518"/>
      <c r="V167" s="518"/>
      <c r="W167" s="518"/>
      <c r="X167" s="518"/>
      <c r="Y167" s="518"/>
      <c r="Z167" s="518"/>
      <c r="AA167" s="2408"/>
      <c r="AB167" s="3265"/>
      <c r="AC167" s="3270"/>
      <c r="AD167" s="3270"/>
      <c r="AE167" s="3270"/>
      <c r="AF167" s="3270"/>
      <c r="AG167" s="3270"/>
      <c r="AH167" s="3270"/>
      <c r="AI167" s="3270"/>
      <c r="AJ167" s="3271"/>
    </row>
    <row r="168" spans="1:36">
      <c r="A168" s="2408"/>
      <c r="B168" s="2407"/>
      <c r="C168" s="2408"/>
      <c r="D168" s="2408"/>
      <c r="E168" s="2408"/>
      <c r="F168" s="2408"/>
      <c r="G168" s="2408"/>
      <c r="H168" s="2408"/>
      <c r="I168" s="2408"/>
      <c r="J168" s="2408"/>
      <c r="K168" s="2408"/>
      <c r="L168" s="2408"/>
      <c r="M168" s="2408"/>
      <c r="N168" s="2408"/>
      <c r="O168" s="2408"/>
      <c r="P168" s="2408"/>
      <c r="Q168" s="2408"/>
      <c r="R168" s="2408"/>
      <c r="S168" s="2408"/>
      <c r="T168" s="2408"/>
      <c r="U168" s="2408"/>
      <c r="V168" s="2408"/>
      <c r="W168" s="2408"/>
      <c r="X168" s="2408"/>
      <c r="Y168" s="2408"/>
      <c r="Z168" s="2408"/>
      <c r="AA168" s="2408"/>
      <c r="AB168" s="2408"/>
      <c r="AC168" s="2408"/>
      <c r="AD168" s="2408"/>
      <c r="AE168" s="2408"/>
      <c r="AF168" s="2408"/>
      <c r="AG168" s="2408"/>
      <c r="AH168" s="2408"/>
      <c r="AI168" s="2408"/>
      <c r="AJ168" s="2409"/>
    </row>
    <row r="169" spans="1:36">
      <c r="A169" s="2023"/>
      <c r="B169" s="2848"/>
      <c r="C169" s="3272"/>
      <c r="D169" s="3272"/>
      <c r="E169" s="2639"/>
      <c r="F169" s="2704"/>
      <c r="G169" s="2640"/>
      <c r="H169" s="2704"/>
      <c r="I169" s="2639"/>
      <c r="J169" s="2639"/>
      <c r="K169" s="2640"/>
      <c r="L169" s="2639"/>
      <c r="M169" s="2639"/>
      <c r="N169" s="2639"/>
      <c r="O169" s="2639"/>
      <c r="P169" s="2640"/>
      <c r="Q169" s="2641"/>
      <c r="R169" s="2641"/>
      <c r="S169" s="2641"/>
      <c r="T169" s="2640"/>
      <c r="U169" s="2639"/>
      <c r="V169" s="2639"/>
      <c r="W169" s="2639"/>
      <c r="X169" s="2640"/>
      <c r="Y169" s="2704"/>
      <c r="Z169" s="2639"/>
      <c r="AA169" s="2639"/>
      <c r="AB169" s="3272"/>
      <c r="AC169" s="3272"/>
      <c r="AD169" s="3272"/>
      <c r="AE169" s="3272"/>
      <c r="AF169" s="3272"/>
      <c r="AG169" s="3272"/>
      <c r="AH169" s="3272"/>
      <c r="AI169" s="3272"/>
      <c r="AJ169" s="3228"/>
    </row>
    <row r="170" spans="1:36" s="2013" customFormat="1">
      <c r="A170" s="2237"/>
      <c r="B170" s="2712"/>
      <c r="C170" s="2639"/>
      <c r="D170" s="2639"/>
      <c r="E170" s="2639"/>
      <c r="F170" s="2639"/>
      <c r="G170" s="2639"/>
      <c r="H170" s="2639"/>
      <c r="I170" s="2639"/>
      <c r="J170" s="2639"/>
      <c r="K170" s="2639"/>
      <c r="L170" s="2639"/>
      <c r="M170" s="2639"/>
      <c r="N170" s="2639"/>
      <c r="O170" s="2639"/>
      <c r="P170" s="2639"/>
      <c r="Q170" s="2639"/>
      <c r="R170" s="2639"/>
      <c r="S170" s="2639"/>
      <c r="T170" s="2639"/>
      <c r="U170" s="2639"/>
      <c r="V170" s="2639"/>
      <c r="W170" s="2639"/>
      <c r="X170" s="2639"/>
      <c r="Y170" s="2639"/>
      <c r="Z170" s="2639"/>
      <c r="AA170" s="2639"/>
      <c r="AB170" s="3273"/>
      <c r="AC170" s="2695"/>
      <c r="AD170" s="2695"/>
      <c r="AE170" s="2695"/>
      <c r="AF170" s="2695"/>
      <c r="AG170" s="2695"/>
      <c r="AH170" s="2695"/>
      <c r="AI170" s="2695"/>
      <c r="AJ170" s="2730"/>
    </row>
    <row r="171" spans="1:36" s="2013" customFormat="1">
      <c r="A171" s="514"/>
      <c r="B171" s="2732"/>
      <c r="C171" s="3274"/>
      <c r="D171" s="3274"/>
      <c r="E171" s="3274"/>
      <c r="F171" s="3274"/>
      <c r="G171" s="3274"/>
      <c r="H171" s="3274"/>
      <c r="I171" s="3274"/>
      <c r="J171" s="2639"/>
      <c r="K171" s="2639"/>
      <c r="L171" s="2639"/>
      <c r="M171" s="2639"/>
      <c r="N171" s="2639"/>
      <c r="O171" s="2639"/>
      <c r="P171" s="2639"/>
      <c r="Q171" s="2639"/>
      <c r="R171" s="2639"/>
      <c r="S171" s="2639"/>
      <c r="T171" s="2639"/>
      <c r="U171" s="2639"/>
      <c r="V171" s="2639"/>
      <c r="W171" s="2639"/>
      <c r="X171" s="2639"/>
      <c r="Y171" s="2639"/>
      <c r="Z171" s="2639"/>
      <c r="AA171" s="2639"/>
      <c r="AB171" s="3177"/>
      <c r="AC171" s="3274"/>
      <c r="AD171" s="3274"/>
      <c r="AE171" s="3274"/>
      <c r="AF171" s="3274"/>
      <c r="AG171" s="3274"/>
      <c r="AH171" s="3274"/>
      <c r="AI171" s="3274"/>
      <c r="AJ171" s="3275"/>
    </row>
    <row r="172" spans="1:36" s="2013" customFormat="1">
      <c r="A172" s="514"/>
      <c r="B172" s="2732"/>
      <c r="C172" s="3274"/>
      <c r="D172" s="3274"/>
      <c r="E172" s="3274"/>
      <c r="F172" s="3274"/>
      <c r="G172" s="3274"/>
      <c r="H172" s="3274"/>
      <c r="I172" s="3274"/>
      <c r="J172" s="2639"/>
      <c r="K172" s="2639"/>
      <c r="L172" s="2639"/>
      <c r="M172" s="2639"/>
      <c r="N172" s="2639"/>
      <c r="O172" s="2639"/>
      <c r="P172" s="2639"/>
      <c r="Q172" s="2639"/>
      <c r="R172" s="2639"/>
      <c r="S172" s="2639"/>
      <c r="T172" s="2639"/>
      <c r="U172" s="2639"/>
      <c r="V172" s="2639"/>
      <c r="W172" s="2639"/>
      <c r="X172" s="2639"/>
      <c r="Y172" s="2639"/>
      <c r="Z172" s="2639"/>
      <c r="AA172" s="2639"/>
      <c r="AB172" s="3191"/>
      <c r="AC172" s="3274"/>
      <c r="AD172" s="3274"/>
      <c r="AE172" s="3274"/>
      <c r="AF172" s="3274"/>
      <c r="AG172" s="3274"/>
      <c r="AH172" s="3274"/>
      <c r="AI172" s="3274"/>
      <c r="AJ172" s="3275"/>
    </row>
    <row r="173" spans="1:36" s="2013" customFormat="1">
      <c r="A173" s="2014"/>
      <c r="B173" s="2708"/>
      <c r="C173" s="2704"/>
      <c r="D173" s="2704"/>
      <c r="E173" s="2704"/>
      <c r="F173" s="2704"/>
      <c r="G173" s="2704"/>
      <c r="H173" s="2704"/>
      <c r="I173" s="2704"/>
      <c r="J173" s="2639"/>
      <c r="K173" s="2639"/>
      <c r="L173" s="2639"/>
      <c r="M173" s="2639"/>
      <c r="N173" s="2639"/>
      <c r="O173" s="2639"/>
      <c r="P173" s="2639"/>
      <c r="Q173" s="2639"/>
      <c r="R173" s="2639"/>
      <c r="S173" s="2639"/>
      <c r="T173" s="2639"/>
      <c r="U173" s="2639"/>
      <c r="V173" s="2639"/>
      <c r="W173" s="2639"/>
      <c r="X173" s="2639"/>
      <c r="Y173" s="2639"/>
      <c r="Z173" s="2639"/>
      <c r="AA173" s="2639"/>
      <c r="AB173" s="2664"/>
      <c r="AC173" s="2704"/>
      <c r="AD173" s="2704"/>
      <c r="AE173" s="2704"/>
      <c r="AF173" s="2704"/>
      <c r="AG173" s="2704"/>
      <c r="AH173" s="2704"/>
      <c r="AI173" s="2704"/>
      <c r="AJ173" s="2743"/>
    </row>
    <row r="174" spans="1:36" s="2013" customFormat="1">
      <c r="A174" s="2014"/>
      <c r="B174" s="2708"/>
      <c r="C174" s="2704"/>
      <c r="D174" s="2704"/>
      <c r="E174" s="2704"/>
      <c r="F174" s="2704"/>
      <c r="G174" s="2704"/>
      <c r="H174" s="2704"/>
      <c r="I174" s="2704"/>
      <c r="J174" s="2639"/>
      <c r="K174" s="2639"/>
      <c r="L174" s="2639"/>
      <c r="M174" s="2639"/>
      <c r="N174" s="2639"/>
      <c r="O174" s="2639"/>
      <c r="P174" s="2639"/>
      <c r="Q174" s="2639"/>
      <c r="R174" s="2639"/>
      <c r="S174" s="2639"/>
      <c r="T174" s="2639"/>
      <c r="U174" s="2639"/>
      <c r="V174" s="2639"/>
      <c r="W174" s="2639"/>
      <c r="X174" s="2639"/>
      <c r="Y174" s="2639"/>
      <c r="Z174" s="2639"/>
      <c r="AA174" s="2639"/>
      <c r="AB174" s="2664"/>
      <c r="AC174" s="2704"/>
      <c r="AD174" s="2704"/>
      <c r="AE174" s="2704"/>
      <c r="AF174" s="2704"/>
      <c r="AG174" s="2704"/>
      <c r="AH174" s="2704"/>
      <c r="AI174" s="2704"/>
      <c r="AJ174" s="2743"/>
    </row>
    <row r="175" spans="1:36" s="2013" customFormat="1">
      <c r="A175" s="2014"/>
      <c r="B175" s="2708"/>
      <c r="C175" s="2704"/>
      <c r="D175" s="2704"/>
      <c r="E175" s="2704"/>
      <c r="F175" s="2704"/>
      <c r="G175" s="2704"/>
      <c r="H175" s="2704"/>
      <c r="I175" s="2704"/>
      <c r="J175" s="2639"/>
      <c r="K175" s="2639"/>
      <c r="L175" s="2639"/>
      <c r="M175" s="2639"/>
      <c r="N175" s="2639"/>
      <c r="O175" s="2639"/>
      <c r="P175" s="2639"/>
      <c r="Q175" s="2639"/>
      <c r="R175" s="2639"/>
      <c r="S175" s="2639"/>
      <c r="T175" s="2639"/>
      <c r="U175" s="2639"/>
      <c r="V175" s="2639"/>
      <c r="W175" s="2639"/>
      <c r="X175" s="2639"/>
      <c r="Y175" s="2639"/>
      <c r="Z175" s="2639"/>
      <c r="AA175" s="2639"/>
      <c r="AB175" s="2664"/>
      <c r="AC175" s="2704"/>
      <c r="AD175" s="2704"/>
      <c r="AE175" s="2704"/>
      <c r="AF175" s="2704"/>
      <c r="AG175" s="2704"/>
      <c r="AH175" s="2704"/>
      <c r="AI175" s="2704"/>
      <c r="AJ175" s="2743"/>
    </row>
    <row r="176" spans="1:36" s="2013" customFormat="1">
      <c r="A176" s="2014"/>
      <c r="B176" s="2708"/>
      <c r="C176" s="2704"/>
      <c r="D176" s="2704"/>
      <c r="E176" s="2704"/>
      <c r="F176" s="2704"/>
      <c r="G176" s="2704"/>
      <c r="H176" s="2704"/>
      <c r="I176" s="2704"/>
      <c r="J176" s="2639"/>
      <c r="K176" s="2639"/>
      <c r="L176" s="2639"/>
      <c r="M176" s="2639"/>
      <c r="N176" s="2639"/>
      <c r="O176" s="2639"/>
      <c r="P176" s="2639"/>
      <c r="Q176" s="2639"/>
      <c r="R176" s="2639"/>
      <c r="S176" s="2639"/>
      <c r="T176" s="2639"/>
      <c r="U176" s="2639"/>
      <c r="V176" s="2639"/>
      <c r="W176" s="2639"/>
      <c r="X176" s="2639"/>
      <c r="Y176" s="2639"/>
      <c r="Z176" s="2639"/>
      <c r="AA176" s="2639"/>
      <c r="AB176" s="2664"/>
      <c r="AC176" s="2704"/>
      <c r="AD176" s="2704"/>
      <c r="AE176" s="2704"/>
      <c r="AF176" s="2704"/>
      <c r="AG176" s="2704"/>
      <c r="AH176" s="2704"/>
      <c r="AI176" s="2704"/>
      <c r="AJ176" s="2743"/>
    </row>
    <row r="177" spans="1:36" s="2013" customFormat="1">
      <c r="A177" s="2023"/>
      <c r="B177" s="3203"/>
      <c r="C177" s="2706"/>
      <c r="D177" s="2639"/>
      <c r="E177" s="2706"/>
      <c r="F177" s="2639"/>
      <c r="G177" s="2639"/>
      <c r="H177" s="2639"/>
      <c r="I177" s="2639"/>
      <c r="J177" s="2639"/>
      <c r="K177" s="2639"/>
      <c r="L177" s="2639"/>
      <c r="M177" s="2639"/>
      <c r="N177" s="2639"/>
      <c r="O177" s="2639"/>
      <c r="P177" s="2639"/>
      <c r="Q177" s="2639"/>
      <c r="R177" s="2639"/>
      <c r="S177" s="2639"/>
      <c r="T177" s="2639"/>
      <c r="U177" s="2639"/>
      <c r="V177" s="2639"/>
      <c r="W177" s="2639"/>
      <c r="X177" s="2639"/>
      <c r="Y177" s="2639"/>
      <c r="Z177" s="2639"/>
      <c r="AA177" s="2639"/>
      <c r="AB177" s="2639"/>
      <c r="AC177" s="2639"/>
      <c r="AD177" s="2639"/>
      <c r="AE177" s="2639"/>
      <c r="AF177" s="2639"/>
      <c r="AG177" s="2639"/>
      <c r="AH177" s="2639"/>
      <c r="AI177" s="2639"/>
      <c r="AJ177" s="2675"/>
    </row>
    <row r="178" spans="1:36" s="2013" customFormat="1">
      <c r="A178" s="2023"/>
      <c r="B178" s="2848"/>
      <c r="C178" s="3272"/>
      <c r="D178" s="3272"/>
      <c r="E178" s="3272"/>
      <c r="F178" s="2639"/>
      <c r="G178" s="2704"/>
      <c r="H178" s="3281"/>
      <c r="I178" s="3272"/>
      <c r="J178" s="2640"/>
      <c r="K178" s="2704"/>
      <c r="L178" s="2639"/>
      <c r="M178" s="2639"/>
      <c r="N178" s="2639"/>
      <c r="O178" s="2639"/>
      <c r="P178" s="2639"/>
      <c r="Q178" s="2639"/>
      <c r="R178" s="2639"/>
      <c r="S178" s="2639"/>
      <c r="T178" s="2639"/>
      <c r="U178" s="2639"/>
      <c r="V178" s="2639"/>
      <c r="W178" s="2639"/>
      <c r="X178" s="3272"/>
      <c r="Y178" s="3272"/>
      <c r="Z178" s="2639"/>
      <c r="AA178" s="3272"/>
      <c r="AB178" s="2639"/>
      <c r="AC178" s="3272"/>
      <c r="AD178" s="2639"/>
      <c r="AE178" s="3272"/>
      <c r="AF178" s="2639"/>
      <c r="AG178" s="3272"/>
      <c r="AH178" s="3272"/>
      <c r="AI178" s="3272"/>
      <c r="AJ178" s="3228"/>
    </row>
    <row r="179" spans="1:36" s="2013" customFormat="1" ht="14.45" customHeight="1">
      <c r="A179" s="2237"/>
      <c r="B179" s="3284"/>
      <c r="C179" s="3285"/>
      <c r="D179" s="3285"/>
      <c r="E179" s="3285"/>
      <c r="F179" s="3285"/>
      <c r="G179" s="3285"/>
      <c r="H179" s="3285"/>
      <c r="I179" s="3285"/>
      <c r="J179" s="2695"/>
      <c r="K179" s="2695"/>
      <c r="L179" s="2695"/>
      <c r="M179" s="2695"/>
      <c r="N179" s="2639"/>
      <c r="O179" s="2639"/>
      <c r="P179" s="2639"/>
      <c r="Q179" s="2639"/>
      <c r="R179" s="2639"/>
      <c r="S179" s="2639"/>
      <c r="T179" s="2639"/>
      <c r="U179" s="2639"/>
      <c r="V179" s="2639"/>
      <c r="W179" s="2639"/>
      <c r="X179" s="3273"/>
      <c r="Y179" s="3838"/>
      <c r="Z179" s="3838"/>
      <c r="AA179" s="3838"/>
      <c r="AB179" s="3838"/>
      <c r="AC179" s="3838"/>
      <c r="AD179" s="3838"/>
      <c r="AE179" s="3838"/>
      <c r="AF179" s="3838"/>
      <c r="AG179" s="2695"/>
      <c r="AH179" s="2695"/>
      <c r="AI179" s="2695"/>
      <c r="AJ179" s="2730"/>
    </row>
    <row r="180" spans="1:36" s="2013" customFormat="1">
      <c r="A180" s="2381"/>
      <c r="B180" s="2732"/>
      <c r="C180" s="3274"/>
      <c r="D180" s="3274"/>
      <c r="E180" s="3274"/>
      <c r="F180" s="3274"/>
      <c r="G180" s="3274"/>
      <c r="H180" s="3274"/>
      <c r="I180" s="3274"/>
      <c r="J180" s="3274"/>
      <c r="K180" s="3274"/>
      <c r="L180" s="3274"/>
      <c r="M180" s="3274"/>
      <c r="N180" s="2641"/>
      <c r="O180" s="2641"/>
      <c r="P180" s="2641"/>
      <c r="Q180" s="2641"/>
      <c r="R180" s="2641"/>
      <c r="S180" s="2641"/>
      <c r="T180" s="2641"/>
      <c r="U180" s="2641"/>
      <c r="V180" s="2641"/>
      <c r="W180" s="2641"/>
      <c r="X180" s="3177"/>
      <c r="Y180" s="3274"/>
      <c r="Z180" s="3274"/>
      <c r="AA180" s="3274"/>
      <c r="AB180" s="3274"/>
      <c r="AC180" s="3274"/>
      <c r="AD180" s="3274"/>
      <c r="AE180" s="3274"/>
      <c r="AF180" s="3274"/>
      <c r="AG180" s="3274"/>
      <c r="AH180" s="3274"/>
      <c r="AI180" s="3274"/>
      <c r="AJ180" s="3275"/>
    </row>
    <row r="181" spans="1:36" s="2013" customFormat="1">
      <c r="A181" s="2379"/>
      <c r="B181" s="3284"/>
      <c r="C181" s="3285"/>
      <c r="D181" s="3285"/>
      <c r="E181" s="3285"/>
      <c r="F181" s="3285"/>
      <c r="G181" s="3285"/>
      <c r="H181" s="3285"/>
      <c r="I181" s="3285"/>
      <c r="J181" s="3274"/>
      <c r="K181" s="3274"/>
      <c r="L181" s="3274"/>
      <c r="M181" s="3274"/>
      <c r="N181" s="2641"/>
      <c r="O181" s="2641"/>
      <c r="P181" s="2641"/>
      <c r="Q181" s="2641"/>
      <c r="R181" s="2641"/>
      <c r="S181" s="2641"/>
      <c r="T181" s="2641"/>
      <c r="U181" s="2641"/>
      <c r="V181" s="2641"/>
      <c r="W181" s="2641"/>
      <c r="X181" s="3191"/>
      <c r="Y181" s="3838"/>
      <c r="Z181" s="3838"/>
      <c r="AA181" s="3838"/>
      <c r="AB181" s="3838"/>
      <c r="AC181" s="3838"/>
      <c r="AD181" s="3838"/>
      <c r="AE181" s="3838"/>
      <c r="AF181" s="3838"/>
      <c r="AG181" s="3274"/>
      <c r="AH181" s="3274"/>
      <c r="AI181" s="3274"/>
      <c r="AJ181" s="3275"/>
    </row>
    <row r="182" spans="1:36" s="2013" customFormat="1">
      <c r="A182" s="2406"/>
      <c r="B182" s="3204"/>
      <c r="C182" s="2693"/>
      <c r="D182" s="2693"/>
      <c r="E182" s="2693"/>
      <c r="F182" s="2693"/>
      <c r="G182" s="2693"/>
      <c r="H182" s="2693"/>
      <c r="I182" s="2693"/>
      <c r="J182" s="2693"/>
      <c r="K182" s="2693"/>
      <c r="L182" s="2693"/>
      <c r="M182" s="2693"/>
      <c r="N182" s="2641"/>
      <c r="O182" s="2641"/>
      <c r="P182" s="2641"/>
      <c r="Q182" s="2641"/>
      <c r="R182" s="2641"/>
      <c r="S182" s="2641"/>
      <c r="T182" s="2641"/>
      <c r="U182" s="2641"/>
      <c r="V182" s="2641"/>
      <c r="W182" s="2641"/>
      <c r="X182" s="2664"/>
      <c r="Y182" s="2704"/>
      <c r="Z182" s="2704"/>
      <c r="AA182" s="2704"/>
      <c r="AB182" s="2704"/>
      <c r="AC182" s="2704"/>
      <c r="AD182" s="2704"/>
      <c r="AE182" s="2704"/>
      <c r="AF182" s="2704"/>
      <c r="AG182" s="2704"/>
      <c r="AH182" s="2693"/>
      <c r="AI182" s="2704"/>
      <c r="AJ182" s="2743"/>
    </row>
    <row r="183" spans="1:36" s="2013" customFormat="1">
      <c r="A183" s="2406"/>
      <c r="B183" s="3204"/>
      <c r="C183" s="2693"/>
      <c r="D183" s="2693"/>
      <c r="E183" s="2693"/>
      <c r="F183" s="2693"/>
      <c r="G183" s="2693"/>
      <c r="H183" s="2693"/>
      <c r="I183" s="2693"/>
      <c r="J183" s="2693"/>
      <c r="K183" s="2693"/>
      <c r="L183" s="2693"/>
      <c r="M183" s="2693"/>
      <c r="N183" s="2641"/>
      <c r="O183" s="2641"/>
      <c r="P183" s="2641"/>
      <c r="Q183" s="2641"/>
      <c r="R183" s="2641"/>
      <c r="S183" s="2641"/>
      <c r="T183" s="2641"/>
      <c r="U183" s="2641"/>
      <c r="V183" s="2641"/>
      <c r="W183" s="2641"/>
      <c r="X183" s="2664"/>
      <c r="Y183" s="2704"/>
      <c r="Z183" s="2704"/>
      <c r="AA183" s="2704"/>
      <c r="AB183" s="2704"/>
      <c r="AC183" s="2704"/>
      <c r="AD183" s="2704"/>
      <c r="AE183" s="2704"/>
      <c r="AF183" s="2704"/>
      <c r="AG183" s="2704"/>
      <c r="AH183" s="2693"/>
      <c r="AI183" s="2704"/>
      <c r="AJ183" s="2743"/>
    </row>
    <row r="184" spans="1:36" s="2013" customFormat="1">
      <c r="A184" s="2406"/>
      <c r="B184" s="3204"/>
      <c r="C184" s="2693"/>
      <c r="D184" s="2693"/>
      <c r="E184" s="2693"/>
      <c r="F184" s="2693"/>
      <c r="G184" s="2693"/>
      <c r="H184" s="2693"/>
      <c r="I184" s="2693"/>
      <c r="J184" s="2693"/>
      <c r="K184" s="2693"/>
      <c r="L184" s="2693"/>
      <c r="M184" s="2693"/>
      <c r="N184" s="2641"/>
      <c r="O184" s="2641"/>
      <c r="P184" s="2641"/>
      <c r="Q184" s="2641"/>
      <c r="R184" s="2641"/>
      <c r="S184" s="2641"/>
      <c r="T184" s="2641"/>
      <c r="U184" s="2641"/>
      <c r="V184" s="2641"/>
      <c r="W184" s="2641"/>
      <c r="X184" s="2664"/>
      <c r="Y184" s="2704"/>
      <c r="Z184" s="2704"/>
      <c r="AA184" s="2704"/>
      <c r="AB184" s="2704"/>
      <c r="AC184" s="2704"/>
      <c r="AD184" s="2704"/>
      <c r="AE184" s="2704"/>
      <c r="AF184" s="2704"/>
      <c r="AG184" s="2704"/>
      <c r="AH184" s="2693"/>
      <c r="AI184" s="2704"/>
      <c r="AJ184" s="2743"/>
    </row>
    <row r="185" spans="1:36" s="2013" customFormat="1">
      <c r="A185" s="2406"/>
      <c r="B185" s="3204"/>
      <c r="C185" s="2693"/>
      <c r="D185" s="2693"/>
      <c r="E185" s="2693"/>
      <c r="F185" s="2693"/>
      <c r="G185" s="2693"/>
      <c r="H185" s="2693"/>
      <c r="I185" s="2693"/>
      <c r="J185" s="2693"/>
      <c r="K185" s="2693"/>
      <c r="L185" s="2693"/>
      <c r="M185" s="2693"/>
      <c r="N185" s="2641"/>
      <c r="O185" s="2641"/>
      <c r="P185" s="2641"/>
      <c r="Q185" s="2641"/>
      <c r="R185" s="2641"/>
      <c r="S185" s="2641"/>
      <c r="T185" s="2641"/>
      <c r="U185" s="2641"/>
      <c r="V185" s="2641"/>
      <c r="W185" s="2641"/>
      <c r="X185" s="2664"/>
      <c r="Y185" s="2704"/>
      <c r="Z185" s="2704"/>
      <c r="AA185" s="2704"/>
      <c r="AB185" s="2704"/>
      <c r="AC185" s="2704"/>
      <c r="AD185" s="2704"/>
      <c r="AE185" s="2704"/>
      <c r="AF185" s="2704"/>
      <c r="AG185" s="2704"/>
      <c r="AH185" s="2693"/>
      <c r="AI185" s="2704"/>
      <c r="AJ185" s="2743"/>
    </row>
    <row r="186" spans="1:36" s="2378" customFormat="1">
      <c r="A186" s="2385"/>
      <c r="B186" s="3204"/>
      <c r="C186" s="2693"/>
      <c r="D186" s="2693"/>
      <c r="E186" s="2693"/>
      <c r="F186" s="2693"/>
      <c r="G186" s="2693"/>
      <c r="H186" s="2693"/>
      <c r="I186" s="2693"/>
      <c r="J186" s="2641"/>
      <c r="K186" s="2641"/>
      <c r="L186" s="2641"/>
      <c r="M186" s="2641"/>
      <c r="N186" s="2641"/>
      <c r="O186" s="2641"/>
      <c r="P186" s="2641"/>
      <c r="Q186" s="2641"/>
      <c r="R186" s="2641"/>
      <c r="S186" s="2641"/>
      <c r="T186" s="2641"/>
      <c r="U186" s="2641"/>
      <c r="V186" s="2641"/>
      <c r="W186" s="2641"/>
      <c r="X186" s="2641"/>
      <c r="Y186" s="2641"/>
      <c r="Z186" s="2641"/>
      <c r="AA186" s="2641"/>
      <c r="AB186" s="2641"/>
      <c r="AC186" s="2641"/>
      <c r="AD186" s="2641"/>
      <c r="AE186" s="2641"/>
      <c r="AF186" s="2641"/>
      <c r="AG186" s="2641"/>
      <c r="AH186" s="2641"/>
      <c r="AI186" s="2641"/>
      <c r="AJ186" s="2768"/>
    </row>
    <row r="187" spans="1:36">
      <c r="A187" s="2023"/>
      <c r="B187" s="3282"/>
      <c r="C187" s="3236"/>
      <c r="D187" s="3236"/>
      <c r="E187" s="3236"/>
      <c r="F187" s="3237"/>
      <c r="G187" s="2693"/>
      <c r="H187" s="2693"/>
      <c r="I187" s="3236"/>
      <c r="J187" s="2704"/>
      <c r="K187" s="2704"/>
      <c r="L187" s="2704"/>
      <c r="M187" s="2704"/>
      <c r="N187" s="2704"/>
      <c r="O187" s="2704"/>
      <c r="P187" s="2704"/>
      <c r="Q187" s="2704"/>
      <c r="R187" s="2704"/>
      <c r="S187" s="2704"/>
      <c r="T187" s="2704"/>
      <c r="U187" s="2704"/>
      <c r="V187" s="2704"/>
      <c r="W187" s="2704"/>
      <c r="X187" s="2704"/>
      <c r="Y187" s="2704"/>
      <c r="Z187" s="2704"/>
      <c r="AA187" s="2704"/>
      <c r="AB187" s="2704"/>
      <c r="AC187" s="2704"/>
      <c r="AD187" s="2704"/>
      <c r="AE187" s="2704"/>
      <c r="AF187" s="2704"/>
      <c r="AG187" s="2704"/>
      <c r="AH187" s="2704"/>
      <c r="AI187" s="2704"/>
      <c r="AJ187" s="2743"/>
    </row>
    <row r="188" spans="1:36">
      <c r="A188" s="2383"/>
      <c r="B188" s="2700"/>
      <c r="C188" s="3238"/>
      <c r="D188" s="2641"/>
      <c r="E188" s="2641"/>
      <c r="F188" s="2641"/>
      <c r="G188" s="2641"/>
      <c r="H188" s="2693"/>
      <c r="I188" s="2693"/>
      <c r="J188" s="2704"/>
      <c r="K188" s="2704"/>
      <c r="L188" s="2704"/>
      <c r="M188" s="2704"/>
      <c r="N188" s="2704"/>
      <c r="O188" s="2704"/>
      <c r="P188" s="2704"/>
      <c r="Q188" s="2704"/>
      <c r="R188" s="2704"/>
      <c r="S188" s="2704"/>
      <c r="T188" s="2704"/>
      <c r="U188" s="2704"/>
      <c r="V188" s="2704"/>
      <c r="W188" s="2704"/>
      <c r="X188" s="2704"/>
      <c r="Y188" s="2704"/>
      <c r="Z188" s="2704"/>
      <c r="AA188" s="2704"/>
      <c r="AB188" s="2704"/>
      <c r="AC188" s="2704"/>
      <c r="AD188" s="2704"/>
      <c r="AE188" s="2704"/>
      <c r="AF188" s="2704"/>
      <c r="AG188" s="2704"/>
      <c r="AH188" s="2704"/>
      <c r="AI188" s="2704"/>
      <c r="AJ188" s="2743"/>
    </row>
    <row r="189" spans="1:36">
      <c r="A189" s="1395"/>
      <c r="B189" s="3204"/>
      <c r="C189" s="2693"/>
      <c r="D189" s="2693"/>
      <c r="E189" s="2693"/>
      <c r="F189" s="2693"/>
      <c r="G189" s="2693"/>
      <c r="H189" s="2693"/>
      <c r="I189" s="2693"/>
      <c r="J189" s="2704"/>
      <c r="K189" s="2704"/>
      <c r="L189" s="2704"/>
      <c r="M189" s="2704"/>
      <c r="N189" s="2704"/>
      <c r="O189" s="2704"/>
      <c r="P189" s="2704"/>
      <c r="Q189" s="2704"/>
      <c r="R189" s="2704"/>
      <c r="S189" s="2704"/>
      <c r="T189" s="2704"/>
      <c r="U189" s="2704"/>
      <c r="V189" s="2704"/>
      <c r="W189" s="2704"/>
      <c r="X189" s="2704"/>
      <c r="Y189" s="2704"/>
      <c r="Z189" s="2704"/>
      <c r="AA189" s="2704"/>
      <c r="AB189" s="2704"/>
      <c r="AC189" s="2704"/>
      <c r="AD189" s="2704"/>
      <c r="AE189" s="2704"/>
      <c r="AF189" s="2704"/>
      <c r="AG189" s="2704"/>
      <c r="AH189" s="2704"/>
      <c r="AI189" s="2704"/>
      <c r="AJ189" s="2743"/>
    </row>
    <row r="190" spans="1:36">
      <c r="A190" s="499"/>
      <c r="B190" s="3283"/>
      <c r="C190" s="2762"/>
      <c r="D190" s="2762"/>
      <c r="E190" s="2762"/>
      <c r="F190" s="2762"/>
      <c r="G190" s="2762"/>
      <c r="H190" s="2762"/>
      <c r="I190" s="2762"/>
      <c r="J190" s="2706"/>
      <c r="K190" s="2706"/>
      <c r="L190" s="2706"/>
      <c r="M190" s="2706"/>
      <c r="N190" s="2706"/>
      <c r="O190" s="2706"/>
      <c r="P190" s="2706"/>
      <c r="Q190" s="2706"/>
      <c r="R190" s="2706"/>
      <c r="S190" s="2706"/>
      <c r="T190" s="2706"/>
      <c r="U190" s="2706"/>
      <c r="V190" s="2706"/>
      <c r="W190" s="2706"/>
      <c r="X190" s="2706"/>
      <c r="Y190" s="2706"/>
      <c r="Z190" s="2706"/>
      <c r="AA190" s="2706"/>
      <c r="AB190" s="2706"/>
      <c r="AC190" s="2706"/>
      <c r="AD190" s="2706"/>
      <c r="AE190" s="2706"/>
      <c r="AF190" s="2706"/>
      <c r="AG190" s="2706"/>
      <c r="AH190" s="2706"/>
      <c r="AI190" s="2706"/>
      <c r="AJ190" s="2770"/>
    </row>
    <row r="191" spans="1:36">
      <c r="A191" s="509"/>
      <c r="B191" s="3204"/>
      <c r="C191" s="2693"/>
      <c r="D191" s="2693"/>
      <c r="E191" s="2693"/>
      <c r="F191" s="2693"/>
      <c r="G191" s="2693"/>
      <c r="H191" s="2693"/>
      <c r="I191" s="2693"/>
      <c r="J191" s="2704"/>
      <c r="K191" s="2704"/>
      <c r="L191" s="2704"/>
      <c r="M191" s="2704"/>
      <c r="N191" s="2704"/>
      <c r="O191" s="2704"/>
      <c r="P191" s="2704"/>
      <c r="Q191" s="2704"/>
      <c r="R191" s="2704"/>
      <c r="S191" s="2704"/>
      <c r="T191" s="2704"/>
      <c r="U191" s="2704"/>
      <c r="V191" s="2704"/>
      <c r="W191" s="2704"/>
      <c r="X191" s="2704"/>
      <c r="Y191" s="2704"/>
      <c r="Z191" s="2704"/>
      <c r="AA191" s="2704"/>
      <c r="AB191" s="2704"/>
      <c r="AC191" s="2704"/>
      <c r="AD191" s="2704"/>
      <c r="AE191" s="2704"/>
      <c r="AF191" s="2704"/>
      <c r="AG191" s="2704"/>
      <c r="AH191" s="2704"/>
      <c r="AI191" s="2704"/>
      <c r="AJ191" s="2743"/>
    </row>
    <row r="192" spans="1:36">
      <c r="A192" s="509"/>
      <c r="B192" s="3204"/>
      <c r="C192" s="2693"/>
      <c r="D192" s="2693"/>
      <c r="E192" s="2693"/>
      <c r="F192" s="2693"/>
      <c r="G192" s="2693"/>
      <c r="H192" s="2693"/>
      <c r="I192" s="2693"/>
      <c r="J192" s="2704"/>
      <c r="K192" s="2704"/>
      <c r="L192" s="2704"/>
      <c r="M192" s="2704"/>
      <c r="N192" s="2704"/>
      <c r="O192" s="2704"/>
      <c r="P192" s="2704"/>
      <c r="Q192" s="2704"/>
      <c r="R192" s="2704"/>
      <c r="S192" s="2704"/>
      <c r="T192" s="2704"/>
      <c r="U192" s="2704"/>
      <c r="V192" s="2704"/>
      <c r="W192" s="2704"/>
      <c r="X192" s="2704"/>
      <c r="Y192" s="2704"/>
      <c r="Z192" s="2704"/>
      <c r="AA192" s="2704"/>
      <c r="AB192" s="2704"/>
      <c r="AC192" s="2704"/>
      <c r="AD192" s="2704"/>
      <c r="AE192" s="2704"/>
      <c r="AF192" s="2704"/>
      <c r="AG192" s="2704"/>
      <c r="AH192" s="2704"/>
      <c r="AI192" s="2704"/>
      <c r="AJ192" s="2743"/>
    </row>
    <row r="193" spans="1:36">
      <c r="A193" s="509"/>
      <c r="B193" s="3204"/>
      <c r="C193" s="2693"/>
      <c r="D193" s="2693"/>
      <c r="E193" s="2693"/>
      <c r="F193" s="2693"/>
      <c r="G193" s="2693"/>
      <c r="H193" s="2693"/>
      <c r="I193" s="2693"/>
      <c r="J193" s="2704"/>
      <c r="K193" s="2704"/>
      <c r="L193" s="2704"/>
      <c r="M193" s="2704"/>
      <c r="N193" s="2704"/>
      <c r="O193" s="2704"/>
      <c r="P193" s="2704"/>
      <c r="Q193" s="2704"/>
      <c r="R193" s="2704"/>
      <c r="S193" s="2704"/>
      <c r="T193" s="2704"/>
      <c r="U193" s="2704"/>
      <c r="V193" s="2704"/>
      <c r="W193" s="2704"/>
      <c r="X193" s="2704"/>
      <c r="Y193" s="2704"/>
      <c r="Z193" s="2704"/>
      <c r="AA193" s="2704"/>
      <c r="AB193" s="2704"/>
      <c r="AC193" s="2704"/>
      <c r="AD193" s="2704"/>
      <c r="AE193" s="2704"/>
      <c r="AF193" s="2704"/>
      <c r="AG193" s="2704"/>
      <c r="AH193" s="2704"/>
      <c r="AI193" s="2704"/>
      <c r="AJ193" s="2743"/>
    </row>
    <row r="194" spans="1:36">
      <c r="A194" s="509"/>
      <c r="B194" s="3204"/>
      <c r="C194" s="2693"/>
      <c r="D194" s="2693"/>
      <c r="E194" s="2693"/>
      <c r="F194" s="2693"/>
      <c r="G194" s="2693"/>
      <c r="H194" s="2693"/>
      <c r="I194" s="2693"/>
      <c r="J194" s="2704"/>
      <c r="K194" s="2704"/>
      <c r="L194" s="2704"/>
      <c r="M194" s="2704"/>
      <c r="N194" s="2704"/>
      <c r="O194" s="2704"/>
      <c r="P194" s="2704"/>
      <c r="Q194" s="2704"/>
      <c r="R194" s="2704"/>
      <c r="S194" s="2704"/>
      <c r="T194" s="2704"/>
      <c r="U194" s="2704"/>
      <c r="V194" s="2704"/>
      <c r="W194" s="2704"/>
      <c r="X194" s="2704"/>
      <c r="Y194" s="2704"/>
      <c r="Z194" s="2704"/>
      <c r="AA194" s="2704"/>
      <c r="AB194" s="2704"/>
      <c r="AC194" s="2704"/>
      <c r="AD194" s="2704"/>
      <c r="AE194" s="2704"/>
      <c r="AF194" s="2704"/>
      <c r="AG194" s="2704"/>
      <c r="AH194" s="2704"/>
      <c r="AI194" s="2704"/>
      <c r="AJ194" s="2743"/>
    </row>
    <row r="195" spans="1:36">
      <c r="A195" s="509"/>
      <c r="B195" s="3204"/>
      <c r="C195" s="2693"/>
      <c r="D195" s="2693"/>
      <c r="E195" s="2693"/>
      <c r="F195" s="2693"/>
      <c r="G195" s="2693"/>
      <c r="H195" s="2693"/>
      <c r="I195" s="2693"/>
      <c r="J195" s="2704"/>
      <c r="K195" s="2704"/>
      <c r="L195" s="2704"/>
      <c r="M195" s="2704"/>
      <c r="N195" s="2704"/>
      <c r="O195" s="2704"/>
      <c r="P195" s="2704"/>
      <c r="Q195" s="2704"/>
      <c r="R195" s="2704"/>
      <c r="S195" s="2704"/>
      <c r="T195" s="2704"/>
      <c r="U195" s="2704"/>
      <c r="V195" s="2704"/>
      <c r="W195" s="2704"/>
      <c r="X195" s="2704"/>
      <c r="Y195" s="2704"/>
      <c r="Z195" s="2704"/>
      <c r="AA195" s="2704"/>
      <c r="AB195" s="2704"/>
      <c r="AC195" s="2704"/>
      <c r="AD195" s="2704"/>
      <c r="AE195" s="2704"/>
      <c r="AF195" s="2704"/>
      <c r="AG195" s="2704"/>
      <c r="AH195" s="2704"/>
      <c r="AI195" s="2704"/>
      <c r="AJ195" s="2743"/>
    </row>
    <row r="196" spans="1:36" ht="15.75" thickBot="1">
      <c r="A196" s="509"/>
      <c r="B196" s="3205"/>
      <c r="C196" s="2683"/>
      <c r="D196" s="2683"/>
      <c r="E196" s="2683"/>
      <c r="F196" s="2683"/>
      <c r="G196" s="2683"/>
      <c r="H196" s="2683"/>
      <c r="I196" s="2683"/>
      <c r="J196" s="2683"/>
      <c r="K196" s="2683"/>
      <c r="L196" s="2683"/>
      <c r="M196" s="2683"/>
      <c r="N196" s="2683"/>
      <c r="O196" s="2683"/>
      <c r="P196" s="2683"/>
      <c r="Q196" s="2683"/>
      <c r="R196" s="2683"/>
      <c r="S196" s="2683"/>
      <c r="T196" s="2683"/>
      <c r="U196" s="2683"/>
      <c r="V196" s="2683"/>
      <c r="W196" s="2683"/>
      <c r="X196" s="2683"/>
      <c r="Y196" s="2683"/>
      <c r="Z196" s="2683"/>
      <c r="AA196" s="2683"/>
      <c r="AB196" s="2683"/>
      <c r="AC196" s="2683"/>
      <c r="AD196" s="2683"/>
      <c r="AE196" s="2683"/>
      <c r="AF196" s="2683"/>
      <c r="AG196" s="2683"/>
      <c r="AH196" s="2683"/>
      <c r="AI196" s="2683"/>
      <c r="AJ196" s="2691"/>
    </row>
    <row r="197" spans="1:36" ht="15.75" thickBot="1">
      <c r="A197" s="2023"/>
      <c r="B197" s="3868" t="str">
        <f>"CFS Rad. reinf "&amp;$E$6&amp;", "&amp;$G$6&amp;", "&amp;Center_H</f>
        <v>CFS Rad. reinf RD, 135, 1269</v>
      </c>
      <c r="C197" s="3869"/>
      <c r="D197" s="3869"/>
      <c r="E197" s="3869"/>
      <c r="F197" s="3869"/>
      <c r="G197" s="3869"/>
      <c r="H197" s="3869"/>
      <c r="I197" s="3869"/>
      <c r="J197" s="3869"/>
      <c r="K197" s="3869"/>
      <c r="L197" s="3869"/>
      <c r="M197" s="3869"/>
      <c r="N197" s="3869"/>
      <c r="O197" s="3869"/>
      <c r="P197" s="3869"/>
      <c r="Q197" s="3869"/>
      <c r="R197" s="3869"/>
      <c r="S197" s="3869"/>
      <c r="T197" s="3869"/>
      <c r="U197" s="3869"/>
      <c r="V197" s="3869"/>
      <c r="W197" s="3869"/>
      <c r="X197" s="3869"/>
      <c r="Y197" s="3869"/>
      <c r="Z197" s="3869"/>
      <c r="AA197" s="3869"/>
      <c r="AB197" s="3869"/>
      <c r="AC197" s="3869"/>
      <c r="AD197" s="3869"/>
      <c r="AE197" s="3869"/>
      <c r="AF197" s="3869"/>
      <c r="AG197" s="3869"/>
      <c r="AH197" s="3869"/>
      <c r="AI197" s="3869"/>
      <c r="AJ197" s="3870"/>
    </row>
    <row r="198" spans="1:36">
      <c r="A198" s="2023"/>
      <c r="B198" s="3008"/>
      <c r="C198" s="1423"/>
      <c r="D198" s="508"/>
      <c r="E198" s="2071" t="s">
        <v>3847</v>
      </c>
      <c r="F198" s="513" t="e">
        <f ca="1">(SUM(B202:AJ202)/1000+($Z$22/1000-$B$22/1000))*$W$7/1000*$X$7/1000*steel_density</f>
        <v>#REF!</v>
      </c>
      <c r="G198" s="508" t="s">
        <v>131</v>
      </c>
      <c r="H198" s="508"/>
      <c r="I198" s="508"/>
      <c r="J198" s="508"/>
      <c r="K198" s="508"/>
      <c r="L198" s="508"/>
      <c r="M198" s="508"/>
      <c r="N198" s="508"/>
      <c r="O198" s="508"/>
      <c r="P198" s="508"/>
      <c r="Q198" s="508"/>
      <c r="R198" s="508"/>
      <c r="S198" s="508"/>
      <c r="T198" s="508"/>
      <c r="U198" s="508"/>
      <c r="V198" s="508"/>
      <c r="W198" s="508"/>
      <c r="X198" s="508"/>
      <c r="Y198" s="508"/>
      <c r="Z198" s="508"/>
      <c r="AA198" s="508"/>
      <c r="AB198" s="508"/>
      <c r="AC198" s="2411" t="s">
        <v>2795</v>
      </c>
      <c r="AD198" s="2412"/>
      <c r="AE198" s="2412"/>
      <c r="AF198" s="2413"/>
      <c r="AG198" s="2412" t="s">
        <v>2796</v>
      </c>
      <c r="AH198" s="2412"/>
      <c r="AI198" s="2412"/>
      <c r="AJ198" s="2413"/>
    </row>
    <row r="199" spans="1:36">
      <c r="A199" s="2384" t="s">
        <v>1781</v>
      </c>
      <c r="B199" s="807" t="e">
        <f t="shared" ref="B199:AB199" ca="1" si="39">IF(B$202=0,"",B$91)</f>
        <v>#REF!</v>
      </c>
      <c r="C199" s="780" t="e">
        <f t="shared" ca="1" si="39"/>
        <v>#REF!</v>
      </c>
      <c r="D199" s="505" t="e">
        <f t="shared" ca="1" si="39"/>
        <v>#REF!</v>
      </c>
      <c r="E199" s="505" t="e">
        <f t="shared" ca="1" si="39"/>
        <v>#REF!</v>
      </c>
      <c r="F199" s="505" t="e">
        <f t="shared" ca="1" si="39"/>
        <v>#REF!</v>
      </c>
      <c r="G199" s="505" t="e">
        <f t="shared" ca="1" si="39"/>
        <v>#REF!</v>
      </c>
      <c r="H199" s="505" t="e">
        <f t="shared" ca="1" si="39"/>
        <v>#REF!</v>
      </c>
      <c r="I199" s="505" t="e">
        <f t="shared" ca="1" si="39"/>
        <v>#REF!</v>
      </c>
      <c r="J199" s="505" t="e">
        <f t="shared" ca="1" si="39"/>
        <v>#REF!</v>
      </c>
      <c r="K199" s="505" t="e">
        <f t="shared" ca="1" si="39"/>
        <v>#REF!</v>
      </c>
      <c r="L199" s="505" t="e">
        <f t="shared" ca="1" si="39"/>
        <v>#REF!</v>
      </c>
      <c r="M199" s="505" t="e">
        <f t="shared" ca="1" si="39"/>
        <v>#REF!</v>
      </c>
      <c r="N199" s="505" t="e">
        <f t="shared" ca="1" si="39"/>
        <v>#REF!</v>
      </c>
      <c r="O199" s="505" t="e">
        <f t="shared" ca="1" si="39"/>
        <v>#REF!</v>
      </c>
      <c r="P199" s="505" t="e">
        <f t="shared" ca="1" si="39"/>
        <v>#REF!</v>
      </c>
      <c r="Q199" s="505" t="e">
        <f t="shared" ca="1" si="39"/>
        <v>#REF!</v>
      </c>
      <c r="R199" s="505" t="e">
        <f t="shared" ca="1" si="39"/>
        <v>#REF!</v>
      </c>
      <c r="S199" s="505" t="e">
        <f t="shared" ca="1" si="39"/>
        <v>#REF!</v>
      </c>
      <c r="T199" s="505" t="e">
        <f t="shared" ca="1" si="39"/>
        <v>#REF!</v>
      </c>
      <c r="U199" s="505" t="e">
        <f t="shared" ca="1" si="39"/>
        <v>#REF!</v>
      </c>
      <c r="V199" s="505" t="e">
        <f t="shared" ca="1" si="39"/>
        <v>#REF!</v>
      </c>
      <c r="W199" s="505" t="e">
        <f t="shared" ca="1" si="39"/>
        <v>#REF!</v>
      </c>
      <c r="X199" s="505" t="e">
        <f t="shared" ca="1" si="39"/>
        <v>#REF!</v>
      </c>
      <c r="Y199" s="505" t="e">
        <f t="shared" ca="1" si="39"/>
        <v>#REF!</v>
      </c>
      <c r="Z199" s="505" t="e">
        <f t="shared" ca="1" si="39"/>
        <v>#REF!</v>
      </c>
      <c r="AA199" s="505" t="e">
        <f t="shared" ca="1" si="39"/>
        <v>#REF!</v>
      </c>
      <c r="AB199" s="505" t="e">
        <f t="shared" ca="1" si="39"/>
        <v>#REF!</v>
      </c>
      <c r="AC199" s="2104" t="e">
        <f ca="1">IF(AC202=0,"","t1")</f>
        <v>#REF!</v>
      </c>
      <c r="AD199" s="1378" t="e">
        <f ca="1">IF(AD202=0,"","t2")</f>
        <v>#REF!</v>
      </c>
      <c r="AE199" s="1378" t="e">
        <f ca="1">IF(AE202=0,"","t3")</f>
        <v>#REF!</v>
      </c>
      <c r="AF199" s="1379" t="e">
        <f ca="1">IF(AF202=0,"","t4")</f>
        <v>#REF!</v>
      </c>
      <c r="AG199" s="2097" t="e">
        <f ca="1">IF(AG202=0,"","b1")</f>
        <v>#REF!</v>
      </c>
      <c r="AH199" s="1378" t="e">
        <f ca="1">IF(AH202=0,"","b2")</f>
        <v>#REF!</v>
      </c>
      <c r="AI199" s="1378" t="e">
        <f ca="1">IF(AI202=0,"","b3")</f>
        <v>#REF!</v>
      </c>
      <c r="AJ199" s="1379" t="e">
        <f ca="1">IF(AJ202=0,"","b4")</f>
        <v>#REF!</v>
      </c>
    </row>
    <row r="200" spans="1:36" s="1132" customFormat="1">
      <c r="A200" s="2345" t="s">
        <v>4048</v>
      </c>
      <c r="B200" s="1360" t="e">
        <f t="shared" ref="B200:AB200" ca="1" si="40">IF(B$112=0,0,IF(B$111&gt;0,0,2*PI())+IF(B$111&gt;=0,1,-1)*ACOS(mirror*B$110/SQRT(B$110^2+B$111^2)))</f>
        <v>#REF!</v>
      </c>
      <c r="C200" s="1133" t="e">
        <f t="shared" ca="1" si="40"/>
        <v>#REF!</v>
      </c>
      <c r="D200" s="1133" t="e">
        <f t="shared" ca="1" si="40"/>
        <v>#REF!</v>
      </c>
      <c r="E200" s="1133" t="e">
        <f t="shared" ca="1" si="40"/>
        <v>#REF!</v>
      </c>
      <c r="F200" s="1133" t="e">
        <f t="shared" ca="1" si="40"/>
        <v>#REF!</v>
      </c>
      <c r="G200" s="1133" t="e">
        <f t="shared" ca="1" si="40"/>
        <v>#REF!</v>
      </c>
      <c r="H200" s="1133" t="e">
        <f t="shared" ca="1" si="40"/>
        <v>#REF!</v>
      </c>
      <c r="I200" s="1133" t="e">
        <f t="shared" ca="1" si="40"/>
        <v>#REF!</v>
      </c>
      <c r="J200" s="1133" t="e">
        <f t="shared" ca="1" si="40"/>
        <v>#REF!</v>
      </c>
      <c r="K200" s="1133" t="e">
        <f t="shared" ca="1" si="40"/>
        <v>#REF!</v>
      </c>
      <c r="L200" s="1133" t="e">
        <f t="shared" ca="1" si="40"/>
        <v>#REF!</v>
      </c>
      <c r="M200" s="1133" t="e">
        <f t="shared" ca="1" si="40"/>
        <v>#REF!</v>
      </c>
      <c r="N200" s="1133" t="e">
        <f t="shared" ca="1" si="40"/>
        <v>#REF!</v>
      </c>
      <c r="O200" s="1133" t="e">
        <f t="shared" ca="1" si="40"/>
        <v>#REF!</v>
      </c>
      <c r="P200" s="1133" t="e">
        <f t="shared" ca="1" si="40"/>
        <v>#REF!</v>
      </c>
      <c r="Q200" s="1133" t="e">
        <f t="shared" ca="1" si="40"/>
        <v>#REF!</v>
      </c>
      <c r="R200" s="1133" t="e">
        <f t="shared" ca="1" si="40"/>
        <v>#REF!</v>
      </c>
      <c r="S200" s="1133" t="e">
        <f t="shared" ca="1" si="40"/>
        <v>#REF!</v>
      </c>
      <c r="T200" s="1133" t="e">
        <f t="shared" ca="1" si="40"/>
        <v>#REF!</v>
      </c>
      <c r="U200" s="1133" t="e">
        <f t="shared" ca="1" si="40"/>
        <v>#REF!</v>
      </c>
      <c r="V200" s="1133" t="e">
        <f t="shared" ca="1" si="40"/>
        <v>#REF!</v>
      </c>
      <c r="W200" s="1133" t="e">
        <f t="shared" ca="1" si="40"/>
        <v>#REF!</v>
      </c>
      <c r="X200" s="1133" t="e">
        <f t="shared" ca="1" si="40"/>
        <v>#REF!</v>
      </c>
      <c r="Y200" s="1133" t="e">
        <f t="shared" ca="1" si="40"/>
        <v>#REF!</v>
      </c>
      <c r="Z200" s="1133" t="e">
        <f t="shared" ca="1" si="40"/>
        <v>#REF!</v>
      </c>
      <c r="AA200" s="1133" t="e">
        <f t="shared" ca="1" si="40"/>
        <v>#REF!</v>
      </c>
      <c r="AB200" s="1133" t="e">
        <f t="shared" ca="1" si="40"/>
        <v>#REF!</v>
      </c>
      <c r="AC200" s="2105" t="e">
        <f ca="1">$F$125</f>
        <v>#REF!</v>
      </c>
      <c r="AD200" s="2088" t="e">
        <f ca="1">$F$133</f>
        <v>#REF!</v>
      </c>
      <c r="AE200" s="2088" t="e">
        <f ca="1">$F$141</f>
        <v>#REF!</v>
      </c>
      <c r="AF200" s="2089" t="e">
        <f ca="1">$F$149</f>
        <v>#REF!</v>
      </c>
      <c r="AG200" s="2098" t="e">
        <f ca="1">$X$125</f>
        <v>#REF!</v>
      </c>
      <c r="AH200" s="2088" t="e">
        <f ca="1">$X$133</f>
        <v>#REF!</v>
      </c>
      <c r="AI200" s="2088" t="e">
        <f ca="1">$X$141</f>
        <v>#REF!</v>
      </c>
      <c r="AJ200" s="2089" t="e">
        <f ca="1">$X$149</f>
        <v>#REF!</v>
      </c>
    </row>
    <row r="201" spans="1:36" s="497" customFormat="1">
      <c r="A201" s="2472" t="s">
        <v>3575</v>
      </c>
      <c r="B201" s="807" t="e">
        <f t="shared" ref="B201:AJ201" ca="1" si="41">IF(B202=0,0,SQRT(B205^2+(B206-Center_H)^2))</f>
        <v>#REF!</v>
      </c>
      <c r="C201" s="780" t="e">
        <f t="shared" ca="1" si="41"/>
        <v>#REF!</v>
      </c>
      <c r="D201" s="780" t="e">
        <f t="shared" ca="1" si="41"/>
        <v>#REF!</v>
      </c>
      <c r="E201" s="780" t="e">
        <f t="shared" ca="1" si="41"/>
        <v>#REF!</v>
      </c>
      <c r="F201" s="780" t="e">
        <f t="shared" ca="1" si="41"/>
        <v>#REF!</v>
      </c>
      <c r="G201" s="780" t="e">
        <f t="shared" ca="1" si="41"/>
        <v>#REF!</v>
      </c>
      <c r="H201" s="780" t="e">
        <f t="shared" ca="1" si="41"/>
        <v>#REF!</v>
      </c>
      <c r="I201" s="780" t="e">
        <f t="shared" ca="1" si="41"/>
        <v>#REF!</v>
      </c>
      <c r="J201" s="780" t="e">
        <f t="shared" ca="1" si="41"/>
        <v>#REF!</v>
      </c>
      <c r="K201" s="780" t="e">
        <f t="shared" ca="1" si="41"/>
        <v>#REF!</v>
      </c>
      <c r="L201" s="780" t="e">
        <f t="shared" ca="1" si="41"/>
        <v>#REF!</v>
      </c>
      <c r="M201" s="780" t="e">
        <f t="shared" ca="1" si="41"/>
        <v>#REF!</v>
      </c>
      <c r="N201" s="780" t="e">
        <f t="shared" ca="1" si="41"/>
        <v>#REF!</v>
      </c>
      <c r="O201" s="780" t="e">
        <f t="shared" ca="1" si="41"/>
        <v>#REF!</v>
      </c>
      <c r="P201" s="780" t="e">
        <f t="shared" ca="1" si="41"/>
        <v>#REF!</v>
      </c>
      <c r="Q201" s="780" t="e">
        <f t="shared" ca="1" si="41"/>
        <v>#REF!</v>
      </c>
      <c r="R201" s="780" t="e">
        <f t="shared" ca="1" si="41"/>
        <v>#REF!</v>
      </c>
      <c r="S201" s="780" t="e">
        <f t="shared" ca="1" si="41"/>
        <v>#REF!</v>
      </c>
      <c r="T201" s="780" t="e">
        <f t="shared" ca="1" si="41"/>
        <v>#REF!</v>
      </c>
      <c r="U201" s="780" t="e">
        <f t="shared" ca="1" si="41"/>
        <v>#REF!</v>
      </c>
      <c r="V201" s="780" t="e">
        <f t="shared" ca="1" si="41"/>
        <v>#REF!</v>
      </c>
      <c r="W201" s="780" t="e">
        <f t="shared" ca="1" si="41"/>
        <v>#REF!</v>
      </c>
      <c r="X201" s="780" t="e">
        <f t="shared" ca="1" si="41"/>
        <v>#REF!</v>
      </c>
      <c r="Y201" s="780" t="e">
        <f t="shared" ca="1" si="41"/>
        <v>#REF!</v>
      </c>
      <c r="Z201" s="780" t="e">
        <f t="shared" ca="1" si="41"/>
        <v>#REF!</v>
      </c>
      <c r="AA201" s="780" t="e">
        <f t="shared" ca="1" si="41"/>
        <v>#REF!</v>
      </c>
      <c r="AB201" s="780" t="e">
        <f t="shared" ca="1" si="41"/>
        <v>#REF!</v>
      </c>
      <c r="AC201" s="2106" t="e">
        <f t="shared" ca="1" si="41"/>
        <v>#REF!</v>
      </c>
      <c r="AD201" s="508" t="e">
        <f t="shared" ca="1" si="41"/>
        <v>#REF!</v>
      </c>
      <c r="AE201" s="508" t="e">
        <f t="shared" ca="1" si="41"/>
        <v>#REF!</v>
      </c>
      <c r="AF201" s="532" t="e">
        <f t="shared" ca="1" si="41"/>
        <v>#REF!</v>
      </c>
      <c r="AG201" s="1153" t="e">
        <f t="shared" ca="1" si="41"/>
        <v>#REF!</v>
      </c>
      <c r="AH201" s="508" t="e">
        <f t="shared" ca="1" si="41"/>
        <v>#REF!</v>
      </c>
      <c r="AI201" s="508" t="e">
        <f t="shared" ca="1" si="41"/>
        <v>#REF!</v>
      </c>
      <c r="AJ201" s="532" t="e">
        <f t="shared" ca="1" si="41"/>
        <v>#REF!</v>
      </c>
    </row>
    <row r="202" spans="1:36">
      <c r="A202" s="1275" t="s">
        <v>2790</v>
      </c>
      <c r="B202" s="3109" t="e">
        <f t="shared" ref="B202:AB202" ca="1" si="42">IF(B$112&lt;min_re_L,0,IF(OR(AND(B$200&lt;=$Z$9,B$200&gt;=$Z$10),AND(B$200&gt;=$Z$11,B$200&lt;=$Z$12),SQRT((mirror*B$110-$W$9)^2+(B$111-$X$9)^2)&lt;B$84/dist_mult,SQRT((mirror*B$110-$W$10)^2+(B$111-$X$10)^2)&lt;B$84/dist_mult,SQRT((mirror*B$110-$W$11)^2+(B$111-$X$11)^2)&lt;B$84/dist_mult,SQRT((mirror*B$110-$W$12)^2+(B$111-$X$12)^2)&lt;B$84/dist_mult),0,B$112))</f>
        <v>#REF!</v>
      </c>
      <c r="C202" s="780" t="e">
        <f t="shared" ca="1" si="42"/>
        <v>#REF!</v>
      </c>
      <c r="D202" s="780" t="e">
        <f t="shared" ca="1" si="42"/>
        <v>#REF!</v>
      </c>
      <c r="E202" s="780" t="e">
        <f t="shared" ca="1" si="42"/>
        <v>#REF!</v>
      </c>
      <c r="F202" s="780" t="e">
        <f t="shared" ca="1" si="42"/>
        <v>#REF!</v>
      </c>
      <c r="G202" s="780" t="e">
        <f t="shared" ca="1" si="42"/>
        <v>#REF!</v>
      </c>
      <c r="H202" s="780" t="e">
        <f t="shared" ca="1" si="42"/>
        <v>#REF!</v>
      </c>
      <c r="I202" s="780" t="e">
        <f t="shared" ca="1" si="42"/>
        <v>#REF!</v>
      </c>
      <c r="J202" s="780" t="e">
        <f t="shared" ca="1" si="42"/>
        <v>#REF!</v>
      </c>
      <c r="K202" s="780" t="e">
        <f t="shared" ca="1" si="42"/>
        <v>#REF!</v>
      </c>
      <c r="L202" s="780" t="e">
        <f t="shared" ca="1" si="42"/>
        <v>#REF!</v>
      </c>
      <c r="M202" s="780" t="e">
        <f t="shared" ca="1" si="42"/>
        <v>#REF!</v>
      </c>
      <c r="N202" s="780" t="e">
        <f t="shared" ca="1" si="42"/>
        <v>#REF!</v>
      </c>
      <c r="O202" s="780" t="e">
        <f t="shared" ca="1" si="42"/>
        <v>#REF!</v>
      </c>
      <c r="P202" s="780" t="e">
        <f t="shared" ca="1" si="42"/>
        <v>#REF!</v>
      </c>
      <c r="Q202" s="780" t="e">
        <f t="shared" ca="1" si="42"/>
        <v>#REF!</v>
      </c>
      <c r="R202" s="780" t="e">
        <f t="shared" ca="1" si="42"/>
        <v>#REF!</v>
      </c>
      <c r="S202" s="780" t="e">
        <f t="shared" ca="1" si="42"/>
        <v>#REF!</v>
      </c>
      <c r="T202" s="780" t="e">
        <f t="shared" ca="1" si="42"/>
        <v>#REF!</v>
      </c>
      <c r="U202" s="780" t="e">
        <f t="shared" ca="1" si="42"/>
        <v>#REF!</v>
      </c>
      <c r="V202" s="780" t="e">
        <f t="shared" ca="1" si="42"/>
        <v>#REF!</v>
      </c>
      <c r="W202" s="780" t="e">
        <f t="shared" ca="1" si="42"/>
        <v>#REF!</v>
      </c>
      <c r="X202" s="780" t="e">
        <f t="shared" ca="1" si="42"/>
        <v>#REF!</v>
      </c>
      <c r="Y202" s="780" t="e">
        <f t="shared" ca="1" si="42"/>
        <v>#REF!</v>
      </c>
      <c r="Z202" s="780" t="e">
        <f t="shared" ca="1" si="42"/>
        <v>#REF!</v>
      </c>
      <c r="AA202" s="780" t="e">
        <f t="shared" ca="1" si="42"/>
        <v>#REF!</v>
      </c>
      <c r="AB202" s="780" t="e">
        <f t="shared" ca="1" si="42"/>
        <v>#REF!</v>
      </c>
      <c r="AC202" s="2107" t="e">
        <f t="shared" ref="AC202:AJ202" ca="1" si="43">SQRT((AC205-AC203)^2+(AC206-AC204)^2)</f>
        <v>#REF!</v>
      </c>
      <c r="AD202" s="780" t="e">
        <f t="shared" ca="1" si="43"/>
        <v>#REF!</v>
      </c>
      <c r="AE202" s="780" t="e">
        <f t="shared" ca="1" si="43"/>
        <v>#REF!</v>
      </c>
      <c r="AF202" s="781" t="e">
        <f t="shared" ca="1" si="43"/>
        <v>#REF!</v>
      </c>
      <c r="AG202" s="2099" t="e">
        <f t="shared" ca="1" si="43"/>
        <v>#REF!</v>
      </c>
      <c r="AH202" s="780" t="e">
        <f t="shared" ca="1" si="43"/>
        <v>#REF!</v>
      </c>
      <c r="AI202" s="780" t="e">
        <f t="shared" ca="1" si="43"/>
        <v>#REF!</v>
      </c>
      <c r="AJ202" s="781" t="e">
        <f t="shared" ca="1" si="43"/>
        <v>#REF!</v>
      </c>
    </row>
    <row r="203" spans="1:36">
      <c r="A203" s="1275" t="s">
        <v>1094</v>
      </c>
      <c r="B203" s="529" t="e">
        <f t="shared" ref="B203:AB203" ca="1" si="44">IF(B$202=0,0,mirror*B$108)</f>
        <v>#REF!</v>
      </c>
      <c r="C203" s="504" t="e">
        <f t="shared" ca="1" si="44"/>
        <v>#REF!</v>
      </c>
      <c r="D203" s="504" t="e">
        <f t="shared" ca="1" si="44"/>
        <v>#REF!</v>
      </c>
      <c r="E203" s="504" t="e">
        <f t="shared" ca="1" si="44"/>
        <v>#REF!</v>
      </c>
      <c r="F203" s="504" t="e">
        <f t="shared" ca="1" si="44"/>
        <v>#REF!</v>
      </c>
      <c r="G203" s="504" t="e">
        <f t="shared" ca="1" si="44"/>
        <v>#REF!</v>
      </c>
      <c r="H203" s="504" t="e">
        <f t="shared" ca="1" si="44"/>
        <v>#REF!</v>
      </c>
      <c r="I203" s="504" t="e">
        <f t="shared" ca="1" si="44"/>
        <v>#REF!</v>
      </c>
      <c r="J203" s="504" t="e">
        <f t="shared" ca="1" si="44"/>
        <v>#REF!</v>
      </c>
      <c r="K203" s="504" t="e">
        <f t="shared" ca="1" si="44"/>
        <v>#REF!</v>
      </c>
      <c r="L203" s="504" t="e">
        <f t="shared" ca="1" si="44"/>
        <v>#REF!</v>
      </c>
      <c r="M203" s="504" t="e">
        <f t="shared" ca="1" si="44"/>
        <v>#REF!</v>
      </c>
      <c r="N203" s="504" t="e">
        <f t="shared" ca="1" si="44"/>
        <v>#REF!</v>
      </c>
      <c r="O203" s="504" t="e">
        <f t="shared" ca="1" si="44"/>
        <v>#REF!</v>
      </c>
      <c r="P203" s="504" t="e">
        <f t="shared" ca="1" si="44"/>
        <v>#REF!</v>
      </c>
      <c r="Q203" s="504" t="e">
        <f t="shared" ca="1" si="44"/>
        <v>#REF!</v>
      </c>
      <c r="R203" s="504" t="e">
        <f t="shared" ca="1" si="44"/>
        <v>#REF!</v>
      </c>
      <c r="S203" s="504" t="e">
        <f t="shared" ca="1" si="44"/>
        <v>#REF!</v>
      </c>
      <c r="T203" s="504" t="e">
        <f t="shared" ca="1" si="44"/>
        <v>#REF!</v>
      </c>
      <c r="U203" s="504" t="e">
        <f t="shared" ca="1" si="44"/>
        <v>#REF!</v>
      </c>
      <c r="V203" s="504" t="e">
        <f t="shared" ca="1" si="44"/>
        <v>#REF!</v>
      </c>
      <c r="W203" s="504" t="e">
        <f t="shared" ca="1" si="44"/>
        <v>#REF!</v>
      </c>
      <c r="X203" s="504" t="e">
        <f t="shared" ca="1" si="44"/>
        <v>#REF!</v>
      </c>
      <c r="Y203" s="504" t="e">
        <f t="shared" ca="1" si="44"/>
        <v>#REF!</v>
      </c>
      <c r="Z203" s="504" t="e">
        <f t="shared" ca="1" si="44"/>
        <v>#REF!</v>
      </c>
      <c r="AA203" s="504" t="e">
        <f t="shared" ca="1" si="44"/>
        <v>#REF!</v>
      </c>
      <c r="AB203" s="504" t="e">
        <f t="shared" ca="1" si="44"/>
        <v>#REF!</v>
      </c>
      <c r="AC203" s="2108" t="e">
        <f ca="1">IF($C$125=0,0,mirror*(AC204-Center_H)*TAN(PI()/2-AC200))</f>
        <v>#REF!</v>
      </c>
      <c r="AD203" s="1168" t="e">
        <f ca="1">IF($C$133=0,0,mirror*(AD204-Center_H)*TAN(PI()/2-AD200))</f>
        <v>#REF!</v>
      </c>
      <c r="AE203" s="1168" t="e">
        <f ca="1">IF($C$141=0,0,mirror*(AE204-Center_H)*TAN(PI()/2-AE200))</f>
        <v>#REF!</v>
      </c>
      <c r="AF203" s="2090" t="e">
        <f ca="1">IF($C$149=0,0,mirror*(AF204-Center_H)*TAN(PI()/2-AF200))</f>
        <v>#REF!</v>
      </c>
      <c r="AG203" s="2100" t="e">
        <f ca="1">IF($U$125=0,0,mirror*(AG204-Center_H)*TAN(PI()/2-AG200))</f>
        <v>#REF!</v>
      </c>
      <c r="AH203" s="1168" t="e">
        <f ca="1">IF($U$133=0,0,mirror*(AH204-Center_H)*TAN(PI()/2-AH200))</f>
        <v>#REF!</v>
      </c>
      <c r="AI203" s="1168" t="e">
        <f ca="1">IF($U$141=0,0,mirror*(AI204-Center_H)*TAN(PI()/2-AI200))</f>
        <v>#REF!</v>
      </c>
      <c r="AJ203" s="2090" t="e">
        <f ca="1">IF($U$149=0,0,mirror*(AJ204-Center_H)*TAN(PI()/2-AJ200))</f>
        <v>#REF!</v>
      </c>
    </row>
    <row r="204" spans="1:36">
      <c r="A204" s="1275" t="s">
        <v>1095</v>
      </c>
      <c r="B204" s="531" t="e">
        <f t="shared" ref="B204:AB204" ca="1" si="45">IF(B$202=0,0,B$109+Center_H)</f>
        <v>#REF!</v>
      </c>
      <c r="C204" s="508" t="e">
        <f t="shared" ca="1" si="45"/>
        <v>#REF!</v>
      </c>
      <c r="D204" s="508" t="e">
        <f t="shared" ca="1" si="45"/>
        <v>#REF!</v>
      </c>
      <c r="E204" s="508" t="e">
        <f t="shared" ca="1" si="45"/>
        <v>#REF!</v>
      </c>
      <c r="F204" s="508" t="e">
        <f t="shared" ca="1" si="45"/>
        <v>#REF!</v>
      </c>
      <c r="G204" s="508" t="e">
        <f t="shared" ca="1" si="45"/>
        <v>#REF!</v>
      </c>
      <c r="H204" s="508" t="e">
        <f t="shared" ca="1" si="45"/>
        <v>#REF!</v>
      </c>
      <c r="I204" s="508" t="e">
        <f t="shared" ca="1" si="45"/>
        <v>#REF!</v>
      </c>
      <c r="J204" s="508" t="e">
        <f t="shared" ca="1" si="45"/>
        <v>#REF!</v>
      </c>
      <c r="K204" s="508" t="e">
        <f t="shared" ca="1" si="45"/>
        <v>#REF!</v>
      </c>
      <c r="L204" s="508" t="e">
        <f t="shared" ca="1" si="45"/>
        <v>#REF!</v>
      </c>
      <c r="M204" s="508" t="e">
        <f t="shared" ca="1" si="45"/>
        <v>#REF!</v>
      </c>
      <c r="N204" s="508" t="e">
        <f t="shared" ca="1" si="45"/>
        <v>#REF!</v>
      </c>
      <c r="O204" s="508" t="e">
        <f t="shared" ca="1" si="45"/>
        <v>#REF!</v>
      </c>
      <c r="P204" s="508" t="e">
        <f t="shared" ca="1" si="45"/>
        <v>#REF!</v>
      </c>
      <c r="Q204" s="508" t="e">
        <f t="shared" ca="1" si="45"/>
        <v>#REF!</v>
      </c>
      <c r="R204" s="508" t="e">
        <f t="shared" ca="1" si="45"/>
        <v>#REF!</v>
      </c>
      <c r="S204" s="508" t="e">
        <f t="shared" ca="1" si="45"/>
        <v>#REF!</v>
      </c>
      <c r="T204" s="508" t="e">
        <f t="shared" ca="1" si="45"/>
        <v>#REF!</v>
      </c>
      <c r="U204" s="508" t="e">
        <f t="shared" ca="1" si="45"/>
        <v>#REF!</v>
      </c>
      <c r="V204" s="508" t="e">
        <f t="shared" ca="1" si="45"/>
        <v>#REF!</v>
      </c>
      <c r="W204" s="508" t="e">
        <f t="shared" ca="1" si="45"/>
        <v>#REF!</v>
      </c>
      <c r="X204" s="508" t="e">
        <f t="shared" ca="1" si="45"/>
        <v>#REF!</v>
      </c>
      <c r="Y204" s="508" t="e">
        <f t="shared" ca="1" si="45"/>
        <v>#REF!</v>
      </c>
      <c r="Z204" s="508" t="e">
        <f t="shared" ca="1" si="45"/>
        <v>#REF!</v>
      </c>
      <c r="AA204" s="508" t="e">
        <f t="shared" ca="1" si="45"/>
        <v>#REF!</v>
      </c>
      <c r="AB204" s="508" t="e">
        <f t="shared" ca="1" si="45"/>
        <v>#REF!</v>
      </c>
      <c r="AC204" s="2109" t="e">
        <f ca="1">IF($C$125=0,0,$V$13+Center_H)</f>
        <v>#REF!</v>
      </c>
      <c r="AD204" s="1169" t="e">
        <f ca="1">IF($C$133=0,0,$V$13+Center_H)</f>
        <v>#REF!</v>
      </c>
      <c r="AE204" s="1169" t="e">
        <f ca="1">IF($C$141=0,0,$V$13+Center_H)</f>
        <v>#REF!</v>
      </c>
      <c r="AF204" s="2102" t="e">
        <f ca="1">IF($C$149=0,0,$V$13+Center_H)</f>
        <v>#REF!</v>
      </c>
      <c r="AG204" s="2128" t="e">
        <f ca="1">IF($U$125=0,0,$V$14+Center_H)</f>
        <v>#REF!</v>
      </c>
      <c r="AH204" s="2129" t="e">
        <f ca="1">IF($U$133=0,0,$V$14+Center_H)</f>
        <v>#REF!</v>
      </c>
      <c r="AI204" s="2129" t="e">
        <f ca="1">IF($U$141=0,0,$V$14+Center_H)</f>
        <v>#REF!</v>
      </c>
      <c r="AJ204" s="2130" t="e">
        <f ca="1">IF($U$149=0,0,$V$14+Center_H)</f>
        <v>#REF!</v>
      </c>
    </row>
    <row r="205" spans="1:36">
      <c r="A205" s="1275" t="s">
        <v>1096</v>
      </c>
      <c r="B205" s="529" t="e">
        <f t="shared" ref="B205:AB205" ca="1" si="46">IF(B$202=0,0,mirror*B$110)</f>
        <v>#REF!</v>
      </c>
      <c r="C205" s="504" t="e">
        <f t="shared" ca="1" si="46"/>
        <v>#REF!</v>
      </c>
      <c r="D205" s="504" t="e">
        <f t="shared" ca="1" si="46"/>
        <v>#REF!</v>
      </c>
      <c r="E205" s="504" t="e">
        <f t="shared" ca="1" si="46"/>
        <v>#REF!</v>
      </c>
      <c r="F205" s="504" t="e">
        <f t="shared" ca="1" si="46"/>
        <v>#REF!</v>
      </c>
      <c r="G205" s="504" t="e">
        <f t="shared" ca="1" si="46"/>
        <v>#REF!</v>
      </c>
      <c r="H205" s="504" t="e">
        <f t="shared" ca="1" si="46"/>
        <v>#REF!</v>
      </c>
      <c r="I205" s="504" t="e">
        <f t="shared" ca="1" si="46"/>
        <v>#REF!</v>
      </c>
      <c r="J205" s="504" t="e">
        <f t="shared" ca="1" si="46"/>
        <v>#REF!</v>
      </c>
      <c r="K205" s="504" t="e">
        <f t="shared" ca="1" si="46"/>
        <v>#REF!</v>
      </c>
      <c r="L205" s="504" t="e">
        <f t="shared" ca="1" si="46"/>
        <v>#REF!</v>
      </c>
      <c r="M205" s="504" t="e">
        <f t="shared" ca="1" si="46"/>
        <v>#REF!</v>
      </c>
      <c r="N205" s="504" t="e">
        <f t="shared" ca="1" si="46"/>
        <v>#REF!</v>
      </c>
      <c r="O205" s="504" t="e">
        <f t="shared" ca="1" si="46"/>
        <v>#REF!</v>
      </c>
      <c r="P205" s="504" t="e">
        <f t="shared" ca="1" si="46"/>
        <v>#REF!</v>
      </c>
      <c r="Q205" s="504" t="e">
        <f t="shared" ca="1" si="46"/>
        <v>#REF!</v>
      </c>
      <c r="R205" s="504" t="e">
        <f t="shared" ca="1" si="46"/>
        <v>#REF!</v>
      </c>
      <c r="S205" s="504" t="e">
        <f t="shared" ca="1" si="46"/>
        <v>#REF!</v>
      </c>
      <c r="T205" s="504" t="e">
        <f t="shared" ca="1" si="46"/>
        <v>#REF!</v>
      </c>
      <c r="U205" s="504" t="e">
        <f t="shared" ca="1" si="46"/>
        <v>#REF!</v>
      </c>
      <c r="V205" s="504" t="e">
        <f t="shared" ca="1" si="46"/>
        <v>#REF!</v>
      </c>
      <c r="W205" s="504" t="e">
        <f t="shared" ca="1" si="46"/>
        <v>#REF!</v>
      </c>
      <c r="X205" s="504" t="e">
        <f t="shared" ca="1" si="46"/>
        <v>#REF!</v>
      </c>
      <c r="Y205" s="504" t="e">
        <f t="shared" ca="1" si="46"/>
        <v>#REF!</v>
      </c>
      <c r="Z205" s="504" t="e">
        <f t="shared" ca="1" si="46"/>
        <v>#REF!</v>
      </c>
      <c r="AA205" s="504" t="e">
        <f t="shared" ca="1" si="46"/>
        <v>#REF!</v>
      </c>
      <c r="AB205" s="504" t="e">
        <f t="shared" ca="1" si="46"/>
        <v>#REF!</v>
      </c>
      <c r="AC205" s="2110" t="e">
        <f ca="1">mirror*$E$125</f>
        <v>#REF!</v>
      </c>
      <c r="AD205" s="504" t="e">
        <f ca="1">mirror*$E$133</f>
        <v>#REF!</v>
      </c>
      <c r="AE205" s="504" t="e">
        <f ca="1">mirror*$E$141</f>
        <v>#REF!</v>
      </c>
      <c r="AF205" s="530" t="e">
        <f ca="1">mirror*$E$149</f>
        <v>#REF!</v>
      </c>
      <c r="AG205" s="2101" t="e">
        <f ca="1">mirror*$W$125</f>
        <v>#REF!</v>
      </c>
      <c r="AH205" s="504" t="e">
        <f ca="1">mirror*$W$133</f>
        <v>#REF!</v>
      </c>
      <c r="AI205" s="504" t="e">
        <f ca="1">mirror*$W$141</f>
        <v>#REF!</v>
      </c>
      <c r="AJ205" s="530" t="e">
        <f ca="1">mirror*$W$149</f>
        <v>#REF!</v>
      </c>
    </row>
    <row r="206" spans="1:36" ht="15.75" thickBot="1">
      <c r="A206" s="2422" t="s">
        <v>1097</v>
      </c>
      <c r="B206" s="1181" t="e">
        <f t="shared" ref="B206:AB206" ca="1" si="47">IF(B$202=0,0,B$111+Center_H)</f>
        <v>#REF!</v>
      </c>
      <c r="C206" s="505" t="e">
        <f t="shared" ca="1" si="47"/>
        <v>#REF!</v>
      </c>
      <c r="D206" s="505" t="e">
        <f t="shared" ca="1" si="47"/>
        <v>#REF!</v>
      </c>
      <c r="E206" s="505" t="e">
        <f t="shared" ca="1" si="47"/>
        <v>#REF!</v>
      </c>
      <c r="F206" s="505" t="e">
        <f t="shared" ca="1" si="47"/>
        <v>#REF!</v>
      </c>
      <c r="G206" s="505" t="e">
        <f t="shared" ca="1" si="47"/>
        <v>#REF!</v>
      </c>
      <c r="H206" s="505" t="e">
        <f t="shared" ca="1" si="47"/>
        <v>#REF!</v>
      </c>
      <c r="I206" s="505" t="e">
        <f t="shared" ca="1" si="47"/>
        <v>#REF!</v>
      </c>
      <c r="J206" s="505" t="e">
        <f t="shared" ca="1" si="47"/>
        <v>#REF!</v>
      </c>
      <c r="K206" s="505" t="e">
        <f t="shared" ca="1" si="47"/>
        <v>#REF!</v>
      </c>
      <c r="L206" s="505" t="e">
        <f t="shared" ca="1" si="47"/>
        <v>#REF!</v>
      </c>
      <c r="M206" s="505" t="e">
        <f t="shared" ca="1" si="47"/>
        <v>#REF!</v>
      </c>
      <c r="N206" s="505" t="e">
        <f t="shared" ca="1" si="47"/>
        <v>#REF!</v>
      </c>
      <c r="O206" s="505" t="e">
        <f t="shared" ca="1" si="47"/>
        <v>#REF!</v>
      </c>
      <c r="P206" s="505" t="e">
        <f t="shared" ca="1" si="47"/>
        <v>#REF!</v>
      </c>
      <c r="Q206" s="505" t="e">
        <f t="shared" ca="1" si="47"/>
        <v>#REF!</v>
      </c>
      <c r="R206" s="505" t="e">
        <f t="shared" ca="1" si="47"/>
        <v>#REF!</v>
      </c>
      <c r="S206" s="505" t="e">
        <f t="shared" ca="1" si="47"/>
        <v>#REF!</v>
      </c>
      <c r="T206" s="505" t="e">
        <f t="shared" ca="1" si="47"/>
        <v>#REF!</v>
      </c>
      <c r="U206" s="505" t="e">
        <f t="shared" ca="1" si="47"/>
        <v>#REF!</v>
      </c>
      <c r="V206" s="505" t="e">
        <f t="shared" ca="1" si="47"/>
        <v>#REF!</v>
      </c>
      <c r="W206" s="505" t="e">
        <f t="shared" ca="1" si="47"/>
        <v>#REF!</v>
      </c>
      <c r="X206" s="505" t="e">
        <f t="shared" ca="1" si="47"/>
        <v>#REF!</v>
      </c>
      <c r="Y206" s="505" t="e">
        <f t="shared" ca="1" si="47"/>
        <v>#REF!</v>
      </c>
      <c r="Z206" s="505" t="e">
        <f t="shared" ca="1" si="47"/>
        <v>#REF!</v>
      </c>
      <c r="AA206" s="505" t="e">
        <f t="shared" ca="1" si="47"/>
        <v>#REF!</v>
      </c>
      <c r="AB206" s="505" t="e">
        <f t="shared" ca="1" si="47"/>
        <v>#REF!</v>
      </c>
      <c r="AC206" s="2417" t="e">
        <f ca="1">$D$125</f>
        <v>#REF!</v>
      </c>
      <c r="AD206" s="505" t="e">
        <f ca="1">$D$133</f>
        <v>#REF!</v>
      </c>
      <c r="AE206" s="505" t="e">
        <f ca="1">$D$141</f>
        <v>#REF!</v>
      </c>
      <c r="AF206" s="1359" t="e">
        <f ca="1">$D$149</f>
        <v>#REF!</v>
      </c>
      <c r="AG206" s="545" t="e">
        <f ca="1">$V$125</f>
        <v>#REF!</v>
      </c>
      <c r="AH206" s="505" t="e">
        <f ca="1">$V$133</f>
        <v>#REF!</v>
      </c>
      <c r="AI206" s="505" t="e">
        <f ca="1">$V$141</f>
        <v>#REF!</v>
      </c>
      <c r="AJ206" s="1359" t="e">
        <f ca="1">$V$149</f>
        <v>#REF!</v>
      </c>
    </row>
    <row r="207" spans="1:36" s="518" customFormat="1">
      <c r="A207" s="1145"/>
      <c r="B207" s="2507"/>
      <c r="C207" s="2506"/>
      <c r="D207" s="2506"/>
      <c r="E207" s="2506"/>
      <c r="F207" s="2506"/>
      <c r="G207" s="2506"/>
      <c r="H207" s="2506"/>
      <c r="I207" s="2506"/>
      <c r="J207" s="2506"/>
      <c r="K207" s="2506"/>
      <c r="L207" s="2506"/>
      <c r="M207" s="2506"/>
      <c r="N207" s="2506"/>
      <c r="O207" s="2506"/>
      <c r="P207" s="2506"/>
      <c r="Q207" s="2506"/>
      <c r="R207" s="2506"/>
      <c r="S207" s="2506"/>
      <c r="T207" s="2506"/>
      <c r="U207" s="2506"/>
      <c r="V207" s="2506"/>
      <c r="W207" s="2506"/>
      <c r="X207" s="2506"/>
      <c r="Y207" s="2506"/>
      <c r="Z207" s="2506"/>
      <c r="AA207" s="2506"/>
      <c r="AB207" s="2506"/>
      <c r="AC207" s="2506"/>
      <c r="AD207" s="2506"/>
      <c r="AE207" s="2506"/>
      <c r="AF207" s="2506"/>
      <c r="AG207" s="2506"/>
      <c r="AH207" s="2506"/>
      <c r="AI207" s="2506"/>
      <c r="AJ207" s="2506"/>
    </row>
  </sheetData>
  <mergeCells count="65">
    <mergeCell ref="B197:AJ197"/>
    <mergeCell ref="B37:AJ38"/>
    <mergeCell ref="B45:AJ46"/>
    <mergeCell ref="B39:Q39"/>
    <mergeCell ref="B88:AJ89"/>
    <mergeCell ref="AF149:AG149"/>
    <mergeCell ref="AD51:AE52"/>
    <mergeCell ref="AF133:AG133"/>
    <mergeCell ref="AC40:AJ40"/>
    <mergeCell ref="J40:Q40"/>
    <mergeCell ref="B157:AJ158"/>
    <mergeCell ref="Z125:AA125"/>
    <mergeCell ref="AA179:AB179"/>
    <mergeCell ref="AC179:AD179"/>
    <mergeCell ref="AE179:AF179"/>
    <mergeCell ref="AC181:AD181"/>
    <mergeCell ref="A157:A158"/>
    <mergeCell ref="H149:I149"/>
    <mergeCell ref="N149:O149"/>
    <mergeCell ref="Z149:AA149"/>
    <mergeCell ref="H48:H49"/>
    <mergeCell ref="R51:S52"/>
    <mergeCell ref="B57:H57"/>
    <mergeCell ref="H141:I141"/>
    <mergeCell ref="T118:AJ118"/>
    <mergeCell ref="H125:I125"/>
    <mergeCell ref="N125:O125"/>
    <mergeCell ref="A116:A117"/>
    <mergeCell ref="A88:A89"/>
    <mergeCell ref="B116:AJ117"/>
    <mergeCell ref="B118:R118"/>
    <mergeCell ref="AF141:AG141"/>
    <mergeCell ref="A37:A38"/>
    <mergeCell ref="A67:A68"/>
    <mergeCell ref="U39:AJ39"/>
    <mergeCell ref="B40:I40"/>
    <mergeCell ref="U40:AB40"/>
    <mergeCell ref="A45:A46"/>
    <mergeCell ref="B67:AJ68"/>
    <mergeCell ref="AD13:AJ13"/>
    <mergeCell ref="C1:N1"/>
    <mergeCell ref="B2:L2"/>
    <mergeCell ref="M2:N2"/>
    <mergeCell ref="Q5:T5"/>
    <mergeCell ref="U5:X5"/>
    <mergeCell ref="Y7:Z7"/>
    <mergeCell ref="Q7:R7"/>
    <mergeCell ref="S7:T7"/>
    <mergeCell ref="A4:AJ4"/>
    <mergeCell ref="A5:G5"/>
    <mergeCell ref="AE181:AF181"/>
    <mergeCell ref="Y179:Z179"/>
    <mergeCell ref="Y181:Z181"/>
    <mergeCell ref="AA181:AB181"/>
    <mergeCell ref="D18:Z18"/>
    <mergeCell ref="D30:Z30"/>
    <mergeCell ref="D19:X19"/>
    <mergeCell ref="D31:X31"/>
    <mergeCell ref="AF125:AG125"/>
    <mergeCell ref="AE69:AJ69"/>
    <mergeCell ref="N141:O141"/>
    <mergeCell ref="Z141:AA141"/>
    <mergeCell ref="H133:I133"/>
    <mergeCell ref="N133:O133"/>
    <mergeCell ref="Z133:AA133"/>
  </mergeCells>
  <phoneticPr fontId="170" type="noConversion"/>
  <conditionalFormatting sqref="W107:AJ107 B107:I107 N107">
    <cfRule type="expression" dxfId="276" priority="5">
      <formula>B$107&lt;&gt;0</formula>
    </cfRule>
  </conditionalFormatting>
  <conditionalFormatting sqref="W106:AJ106 B106:N106">
    <cfRule type="expression" dxfId="275" priority="6">
      <formula>B$106&lt;&gt;0</formula>
    </cfRule>
  </conditionalFormatting>
  <conditionalFormatting sqref="O107:V107">
    <cfRule type="expression" dxfId="274" priority="7">
      <formula>O$107&lt;&gt;0</formula>
    </cfRule>
  </conditionalFormatting>
  <conditionalFormatting sqref="O106:V106">
    <cfRule type="expression" dxfId="273" priority="8">
      <formula>O$106&lt;&gt;0</formula>
    </cfRule>
  </conditionalFormatting>
  <conditionalFormatting sqref="J107:M107">
    <cfRule type="expression" dxfId="272" priority="3658">
      <formula>J$107&lt;&gt;0</formula>
    </cfRule>
  </conditionalFormatting>
  <pageMargins left="0.7" right="0.7" top="0.75" bottom="0.75" header="0.3" footer="0.3"/>
  <pageSetup paperSize="9" orientation="portrait" r:id="rId1"/>
  <drawing r:id="rId2"/>
  <legacyDrawing r:id="rId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K216"/>
  <sheetViews>
    <sheetView zoomScale="50" zoomScaleNormal="50" workbookViewId="0">
      <pane xSplit="1" ySplit="16" topLeftCell="B79" activePane="bottomRight" state="frozen"/>
      <selection pane="topRight" activeCell="B1" sqref="B1"/>
      <selection pane="bottomLeft" activeCell="A17" sqref="A17"/>
      <selection pane="bottomRight" activeCell="S98" sqref="S98"/>
    </sheetView>
  </sheetViews>
  <sheetFormatPr defaultColWidth="9" defaultRowHeight="15"/>
  <cols>
    <col min="1" max="1" width="55.5703125" style="2629" customWidth="1"/>
    <col min="2" max="3" width="9" style="2629"/>
    <col min="4" max="4" width="9" style="2629" customWidth="1"/>
    <col min="5" max="11" width="9" style="2629"/>
    <col min="12" max="12" width="9" style="2629" customWidth="1"/>
    <col min="13" max="22" width="9" style="2629"/>
    <col min="23" max="23" width="9" style="2629" customWidth="1"/>
    <col min="24" max="30" width="9" style="2629"/>
    <col min="31" max="31" width="9" style="2629" customWidth="1"/>
    <col min="32" max="16384" width="9" style="2629"/>
  </cols>
  <sheetData>
    <row r="1" spans="1:36" s="2622" customFormat="1" ht="19.5" thickBot="1">
      <c r="A1" s="2620" t="str">
        <f>'Select Drive &amp; Motor'!A1</f>
        <v>ID</v>
      </c>
      <c r="B1" s="2621" t="str">
        <f>ID</f>
        <v>NBF191005</v>
      </c>
      <c r="C1" s="3913" t="str">
        <f>'Select Drive &amp; Motor'!C1:Q1</f>
        <v>, , XOE 273-90 REG, Direct, RD135</v>
      </c>
      <c r="D1" s="3913"/>
      <c r="E1" s="3913"/>
      <c r="F1" s="3913"/>
      <c r="G1" s="3913"/>
      <c r="H1" s="3913"/>
      <c r="I1" s="3913"/>
      <c r="J1" s="3913"/>
      <c r="K1" s="3913"/>
      <c r="L1" s="3913"/>
      <c r="M1" s="3913"/>
      <c r="N1" s="3914"/>
    </row>
    <row r="2" spans="1:36" s="2622" customFormat="1" ht="19.5" thickBot="1">
      <c r="A2" s="2620" t="str">
        <f>'Select Drive &amp; Motor'!A2</f>
        <v>Comments</v>
      </c>
      <c r="B2" s="3915">
        <f>'Select Drive &amp; Motor'!B2</f>
        <v>0</v>
      </c>
      <c r="C2" s="3913"/>
      <c r="D2" s="3913"/>
      <c r="E2" s="3913"/>
      <c r="F2" s="3913"/>
      <c r="G2" s="3913"/>
      <c r="H2" s="3913"/>
      <c r="I2" s="3913"/>
      <c r="J2" s="3913"/>
      <c r="K2" s="3913"/>
      <c r="L2" s="3916"/>
      <c r="M2" s="3917" t="str">
        <f>'Select Drive &amp; Motor'!P2</f>
        <v>190923</v>
      </c>
      <c r="N2" s="3918"/>
    </row>
    <row r="3" spans="1:36" s="2626" customFormat="1" ht="19.5" thickBot="1">
      <c r="A3" s="2623"/>
      <c r="B3" s="2624"/>
      <c r="C3" s="2624"/>
      <c r="D3" s="2624"/>
      <c r="E3" s="2624"/>
      <c r="F3" s="2624"/>
      <c r="G3" s="2624"/>
      <c r="H3" s="2624"/>
      <c r="I3" s="2624"/>
      <c r="J3" s="2624"/>
      <c r="K3" s="2624"/>
      <c r="L3" s="2624"/>
      <c r="M3" s="2625"/>
      <c r="N3" s="2625"/>
    </row>
    <row r="4" spans="1:36" s="2626" customFormat="1" ht="19.5" thickBot="1">
      <c r="A4" s="3922" t="s">
        <v>2644</v>
      </c>
      <c r="B4" s="3923"/>
      <c r="C4" s="3923"/>
      <c r="D4" s="3923"/>
      <c r="E4" s="3923"/>
      <c r="F4" s="3923"/>
      <c r="G4" s="3923"/>
      <c r="H4" s="3923"/>
      <c r="I4" s="3923"/>
      <c r="J4" s="3923"/>
      <c r="K4" s="3923"/>
      <c r="L4" s="3923"/>
      <c r="M4" s="3923"/>
      <c r="N4" s="3923"/>
      <c r="O4" s="3923"/>
      <c r="P4" s="3923"/>
      <c r="Q4" s="3923"/>
      <c r="R4" s="3923"/>
      <c r="S4" s="3923"/>
      <c r="T4" s="3923"/>
      <c r="U4" s="3923"/>
      <c r="V4" s="3923"/>
      <c r="W4" s="3923"/>
      <c r="X4" s="3923"/>
      <c r="Y4" s="3923"/>
      <c r="Z4" s="3923"/>
      <c r="AA4" s="3923"/>
      <c r="AB4" s="3923"/>
      <c r="AC4" s="3923"/>
      <c r="AD4" s="3923"/>
      <c r="AE4" s="3923"/>
      <c r="AF4" s="3923"/>
      <c r="AG4" s="3923"/>
      <c r="AH4" s="3923"/>
      <c r="AI4" s="3923"/>
      <c r="AJ4" s="3924"/>
    </row>
    <row r="5" spans="1:36">
      <c r="A5" s="3928" t="s">
        <v>1792</v>
      </c>
      <c r="B5" s="3926"/>
      <c r="C5" s="3926"/>
      <c r="D5" s="3926"/>
      <c r="E5" s="3926"/>
      <c r="F5" s="3926"/>
      <c r="G5" s="3926"/>
      <c r="H5" s="2627" t="s">
        <v>3957</v>
      </c>
      <c r="I5" s="2628" t="e">
        <f ca="1">Small_F</f>
        <v>#REF!</v>
      </c>
      <c r="J5" s="3925" t="str">
        <f>"SUPPORT PLATE SIDE HF data "&amp;$E$6&amp;" ,"&amp;$G$6&amp;" , (0) - DRIVE VIEW"</f>
        <v>SUPPORT PLATE SIDE HF data RD ,135 , (0) - DRIVE VIEW</v>
      </c>
      <c r="K5" s="3926"/>
      <c r="L5" s="3926"/>
      <c r="M5" s="3926"/>
      <c r="N5" s="3926"/>
      <c r="O5" s="3926"/>
      <c r="P5" s="3926"/>
      <c r="Q5" s="3926"/>
      <c r="R5" s="3926"/>
      <c r="S5" s="3926"/>
      <c r="T5" s="3926"/>
      <c r="U5" s="3926"/>
      <c r="V5" s="3926"/>
      <c r="W5" s="3926"/>
      <c r="X5" s="3926"/>
      <c r="Y5" s="3926"/>
      <c r="Z5" s="3926"/>
      <c r="AA5" s="3926"/>
      <c r="AB5" s="3926"/>
      <c r="AC5" s="3927"/>
      <c r="AD5" s="3919" t="s">
        <v>1796</v>
      </c>
      <c r="AE5" s="3920"/>
      <c r="AF5" s="3920"/>
      <c r="AG5" s="3920"/>
      <c r="AH5" s="3920"/>
      <c r="AI5" s="3920"/>
      <c r="AJ5" s="3921"/>
    </row>
    <row r="6" spans="1:36">
      <c r="A6" s="2630" t="str">
        <f>House!A6</f>
        <v>House Orientation &amp; Rotation</v>
      </c>
      <c r="B6" s="2630">
        <f>House!B6</f>
        <v>0</v>
      </c>
      <c r="C6" s="2631">
        <f>House!C6</f>
        <v>0</v>
      </c>
      <c r="D6" s="2632" t="str">
        <f>House!D6</f>
        <v>degr</v>
      </c>
      <c r="E6" s="2633" t="str">
        <f>House!E6</f>
        <v>RD</v>
      </c>
      <c r="F6" s="2634">
        <f>House!F6</f>
        <v>-1</v>
      </c>
      <c r="G6" s="2633">
        <f>House!G6</f>
        <v>135</v>
      </c>
      <c r="H6" s="2635">
        <f>House!H6</f>
        <v>2.3561944901923448</v>
      </c>
      <c r="I6" s="2636" t="str">
        <f>House!I6</f>
        <v>rad.</v>
      </c>
      <c r="J6" s="2637"/>
      <c r="K6" s="2638"/>
      <c r="L6" s="2638"/>
      <c r="M6" s="2638"/>
      <c r="N6" s="2639"/>
      <c r="O6" s="2639"/>
      <c r="P6" s="2639"/>
      <c r="Q6" s="2639"/>
      <c r="R6" s="2640" t="s">
        <v>4013</v>
      </c>
      <c r="S6" s="2640" t="s">
        <v>346</v>
      </c>
      <c r="T6" s="2640" t="s">
        <v>304</v>
      </c>
      <c r="U6" s="2640" t="s">
        <v>348</v>
      </c>
      <c r="V6" s="2641"/>
      <c r="W6" s="2639"/>
      <c r="X6" s="2640" t="s">
        <v>4013</v>
      </c>
      <c r="Y6" s="2640" t="s">
        <v>346</v>
      </c>
      <c r="Z6" s="2640" t="s">
        <v>304</v>
      </c>
      <c r="AA6" s="2640" t="s">
        <v>348</v>
      </c>
      <c r="AB6" s="2642"/>
      <c r="AC6" s="2643"/>
      <c r="AD6" s="2644"/>
      <c r="AE6" s="2645" t="str">
        <f>House!AE6</f>
        <v>d_2</v>
      </c>
      <c r="AF6" s="2646">
        <f>House!AF6</f>
        <v>1600</v>
      </c>
      <c r="AG6" s="2632" t="str">
        <f>House!AG6</f>
        <v>mm</v>
      </c>
      <c r="AH6" s="2632"/>
      <c r="AI6" s="2632"/>
      <c r="AJ6" s="2647"/>
    </row>
    <row r="7" spans="1:36">
      <c r="A7" s="2630" t="str">
        <f>House!A7</f>
        <v>r0</v>
      </c>
      <c r="B7" s="2630">
        <f>House!B7</f>
        <v>0.95050964215147715</v>
      </c>
      <c r="C7" s="2631" t="str">
        <f>House!C7</f>
        <v>m</v>
      </c>
      <c r="D7" s="2632"/>
      <c r="E7" s="2632"/>
      <c r="F7" s="2646"/>
      <c r="G7" s="2632"/>
      <c r="H7" s="2632"/>
      <c r="I7" s="2636"/>
      <c r="J7" s="2648"/>
      <c r="K7" s="2640" t="s">
        <v>4157</v>
      </c>
      <c r="L7" s="2764" t="e">
        <f ca="1">MAX(MAX(0.05,2*Reinf_HousePT/1000/crit_a),IF((AVERAGE(max_xcurve,ABS(min_ycurve))/1000-SP_oD/2/1000)^2*crit_a/(Reinf_HousePT/1000)-1&lt;=0,MAX(0.05,2*Reinf_HousePT/1000/crit_a),(AVERAGE(max_xcurve,ABS(min_ycurve))/1000-SP_oD/2/1000)^2*SQRT(1/((AVERAGE(max_xcurve,ABS(min_ycurve))/1000-SP_oD/2/1000)^2*crit_a/(Reinf_HousePT/1000)-1))))</f>
        <v>#REF!</v>
      </c>
      <c r="M7" s="2639" t="s">
        <v>2511</v>
      </c>
      <c r="N7" s="2639"/>
      <c r="O7" s="2639"/>
      <c r="P7" s="2639"/>
      <c r="Q7" s="2640" t="s">
        <v>4208</v>
      </c>
      <c r="R7" s="2650" t="e">
        <f ca="1">H_STD_Re</f>
        <v>#REF!</v>
      </c>
      <c r="S7" s="2651" t="e">
        <f ca="1">VLOOKUP($R7,Iron_dim,2,FALSE)</f>
        <v>#REF!</v>
      </c>
      <c r="T7" s="2651" t="e">
        <f ca="1">VLOOKUP($R7,Iron_dim,3,FALSE)</f>
        <v>#REF!</v>
      </c>
      <c r="U7" s="2651" t="e">
        <f ca="1">VLOOKUP($R7,Iron_dim,4,FALSE)</f>
        <v>#REF!</v>
      </c>
      <c r="V7" s="2652"/>
      <c r="W7" s="2640" t="s">
        <v>4209</v>
      </c>
      <c r="X7" s="2650" t="str">
        <f>H_extF_SURe</f>
        <v>SU</v>
      </c>
      <c r="Y7" s="2651">
        <f>VLOOKUP($X7,Iron_dim,2,FALSE)</f>
        <v>110</v>
      </c>
      <c r="Z7" s="2651">
        <f>VLOOKUP($X7,Iron_dim,3,FALSE)</f>
        <v>80</v>
      </c>
      <c r="AA7" s="2651">
        <f>VLOOKUP($X7,Iron_dim,4,FALSE)</f>
        <v>4</v>
      </c>
      <c r="AB7" s="2642"/>
      <c r="AC7" s="2643"/>
      <c r="AD7" s="2644"/>
      <c r="AE7" s="2645" t="str">
        <f>House!AE7</f>
        <v>inlet_D_ext</v>
      </c>
      <c r="AF7" s="2646">
        <f>House!AF7</f>
        <v>950</v>
      </c>
      <c r="AG7" s="2632" t="str">
        <f>House!AG7</f>
        <v>mm</v>
      </c>
      <c r="AH7" s="2632" t="str">
        <f>House!AH7</f>
        <v>inlet_R_m</v>
      </c>
      <c r="AI7" s="2632">
        <f>House!AI7</f>
        <v>0.47499999999999998</v>
      </c>
      <c r="AJ7" s="2647" t="str">
        <f>House!AJ7</f>
        <v>m</v>
      </c>
    </row>
    <row r="8" spans="1:36">
      <c r="A8" s="2630" t="str">
        <f>House!A8</f>
        <v>K_House</v>
      </c>
      <c r="B8" s="2630">
        <f>House!B8</f>
        <v>7.9312948555555277E-2</v>
      </c>
      <c r="C8" s="2631" t="str">
        <f>House!C8</f>
        <v>1/rad</v>
      </c>
      <c r="D8" s="2632"/>
      <c r="E8" s="2632"/>
      <c r="F8" s="2646"/>
      <c r="G8" s="2632"/>
      <c r="H8" s="2632"/>
      <c r="I8" s="2636"/>
      <c r="J8" s="2637"/>
      <c r="K8" s="2638" t="s">
        <v>4033</v>
      </c>
      <c r="L8" s="2653" t="e">
        <f ca="1">$E$99&gt;SP_max_reinf_area</f>
        <v>#REF!</v>
      </c>
      <c r="M8" s="2639"/>
      <c r="N8" s="2639"/>
      <c r="O8" s="2639"/>
      <c r="P8" s="2639"/>
      <c r="Q8" s="2640" t="s">
        <v>1795</v>
      </c>
      <c r="R8" s="2654" t="s">
        <v>1793</v>
      </c>
      <c r="S8" s="2654" t="s">
        <v>1787</v>
      </c>
      <c r="T8" s="2654" t="s">
        <v>1794</v>
      </c>
      <c r="U8" s="2654" t="s">
        <v>1093</v>
      </c>
      <c r="V8" s="2652"/>
      <c r="W8" s="2642"/>
      <c r="X8" s="2642"/>
      <c r="Y8" s="2642"/>
      <c r="Z8" s="2642"/>
      <c r="AA8" s="2642"/>
      <c r="AB8" s="2642"/>
      <c r="AC8" s="2643"/>
      <c r="AD8" s="2644"/>
      <c r="AE8" s="2645" t="str">
        <f>House!AE8</f>
        <v>d_in</v>
      </c>
      <c r="AF8" s="2646">
        <f>House!AF8</f>
        <v>700</v>
      </c>
      <c r="AG8" s="2632" t="str">
        <f>House!AG8</f>
        <v>mm</v>
      </c>
      <c r="AH8" s="2632" t="str">
        <f>House!AH8</f>
        <v>r_in_m</v>
      </c>
      <c r="AI8" s="2632">
        <f>House!AI8</f>
        <v>0.35</v>
      </c>
      <c r="AJ8" s="2647" t="str">
        <f>House!AJ8</f>
        <v>m</v>
      </c>
    </row>
    <row r="9" spans="1:36">
      <c r="A9" s="2630" t="str">
        <f>House!A9</f>
        <v>alfastart (tongue position)</v>
      </c>
      <c r="B9" s="2630">
        <f>House!B9</f>
        <v>1.1344640137963142</v>
      </c>
      <c r="C9" s="2631" t="str">
        <f>House!C9</f>
        <v>rad</v>
      </c>
      <c r="D9" s="2632"/>
      <c r="E9" s="2655" t="str">
        <f>House!E9</f>
        <v>Tongue_delta</v>
      </c>
      <c r="F9" s="2646">
        <f>House!F9</f>
        <v>0</v>
      </c>
      <c r="G9" s="2632" t="str">
        <f>House!G9</f>
        <v>rad</v>
      </c>
      <c r="H9" s="2656">
        <f>House!H9</f>
        <v>65</v>
      </c>
      <c r="I9" s="2636" t="str">
        <f>House!I9</f>
        <v>degr</v>
      </c>
      <c r="K9" s="2638" t="s">
        <v>4150</v>
      </c>
      <c r="L9" s="2657" t="e">
        <f ca="1">ROUND(SP_iD/2+reinf_strt_stp,3)</f>
        <v>#REF!</v>
      </c>
      <c r="M9" s="2658"/>
      <c r="N9" s="2639"/>
      <c r="O9" s="2639"/>
      <c r="P9" s="2639"/>
      <c r="Q9" s="2659" t="s">
        <v>4002</v>
      </c>
      <c r="R9" s="2660" t="e">
        <f ca="1">IF(Small_F,'Frame Dimensions'!$L$105+2*'Frame Dimensions'!$G$103,0)</f>
        <v>#REF!</v>
      </c>
      <c r="S9" s="2661" t="e">
        <f ca="1">IF(Small_F,'Frame Dimensions'!$K$103-Center_H,0)</f>
        <v>#REF!</v>
      </c>
      <c r="T9" s="2662" t="e">
        <f ca="1">$R$9</f>
        <v>#REF!</v>
      </c>
      <c r="U9" s="2662" t="e">
        <f ca="1">IF(Small_F,SQRT(int_reinf_oR^2-$R$9^2),0)</f>
        <v>#REF!</v>
      </c>
      <c r="V9" s="2652"/>
      <c r="W9" s="2642"/>
      <c r="X9" s="2642"/>
      <c r="Y9" s="2642"/>
      <c r="Z9" s="2642"/>
      <c r="AA9" s="2642"/>
      <c r="AB9" s="2642"/>
      <c r="AC9" s="2643"/>
      <c r="AD9" s="2644"/>
      <c r="AE9" s="2645" t="str">
        <f>House!AE9</f>
        <v>b_in</v>
      </c>
      <c r="AF9" s="2646">
        <f>House!AF9</f>
        <v>365</v>
      </c>
      <c r="AG9" s="2632" t="str">
        <f>House!AG9</f>
        <v>mm</v>
      </c>
      <c r="AH9" s="2632"/>
      <c r="AI9" s="2632"/>
      <c r="AJ9" s="2647"/>
    </row>
    <row r="10" spans="1:36">
      <c r="A10" s="2630" t="str">
        <f>House!A10</f>
        <v>alfaend</v>
      </c>
      <c r="B10" s="2630">
        <f>House!B10</f>
        <v>6.2831853071795862</v>
      </c>
      <c r="C10" s="2631" t="str">
        <f>House!C10</f>
        <v>rad</v>
      </c>
      <c r="D10" s="2632"/>
      <c r="E10" s="2632"/>
      <c r="F10" s="2632"/>
      <c r="G10" s="2632"/>
      <c r="H10" s="2632"/>
      <c r="I10" s="2636"/>
      <c r="J10" s="2663"/>
      <c r="K10" s="2664" t="s">
        <v>3800</v>
      </c>
      <c r="L10" s="2665" t="e">
        <f ca="1">(ImpellerHole_D-reinf_strt_stp)/2</f>
        <v>#REF!</v>
      </c>
      <c r="M10" s="2658"/>
      <c r="N10" s="2639"/>
      <c r="O10" s="2639"/>
      <c r="P10" s="2639"/>
      <c r="Q10" s="2659" t="s">
        <v>4003</v>
      </c>
      <c r="R10" s="2660" t="e">
        <f ca="1">IF(Small_F,'Frame Dimensions'!$O$105-2*'Frame Dimensions'!$G$103,0)</f>
        <v>#REF!</v>
      </c>
      <c r="S10" s="2661" t="e">
        <f ca="1">IF(Small_F,'Frame Dimensions'!$K$103-Center_H,0)</f>
        <v>#REF!</v>
      </c>
      <c r="T10" s="2662" t="e">
        <f ca="1">$R$10</f>
        <v>#REF!</v>
      </c>
      <c r="U10" s="2662" t="e">
        <f ca="1">IF(Small_F,SQRT(int_reinf_oR^2-$R$10^2),0)</f>
        <v>#REF!</v>
      </c>
      <c r="V10" s="2652"/>
      <c r="W10" s="2642"/>
      <c r="X10" s="2642"/>
      <c r="Y10" s="2642"/>
      <c r="Z10" s="2642"/>
      <c r="AA10" s="2642"/>
      <c r="AB10" s="2642"/>
      <c r="AC10" s="2643"/>
      <c r="AD10" s="2644"/>
      <c r="AE10" s="2645" t="str">
        <f>House!AE10</f>
        <v>b1_blad_FP</v>
      </c>
      <c r="AF10" s="2646">
        <f>House!AF10</f>
        <v>253</v>
      </c>
      <c r="AG10" s="2632" t="str">
        <f>House!AG10</f>
        <v>mm</v>
      </c>
      <c r="AH10" s="2632"/>
      <c r="AI10" s="2632"/>
      <c r="AJ10" s="2647"/>
    </row>
    <row r="11" spans="1:36">
      <c r="A11" s="2630" t="str">
        <f>House!A11</f>
        <v>Funnel height</v>
      </c>
      <c r="B11" s="2630">
        <f>House!B11</f>
        <v>1076.6210889730671</v>
      </c>
      <c r="C11" s="2631" t="str">
        <f>House!C11</f>
        <v>mm</v>
      </c>
      <c r="D11" s="2632"/>
      <c r="E11" s="2632"/>
      <c r="F11" s="2632"/>
      <c r="G11" s="2632"/>
      <c r="H11" s="2632"/>
      <c r="I11" s="2636"/>
      <c r="J11" s="2663"/>
      <c r="K11" s="2638" t="s">
        <v>4149</v>
      </c>
      <c r="L11" s="2657" t="e">
        <f ca="1">ROUND(SP_oD/2+reinf_strt_stp,3)</f>
        <v>#REF!</v>
      </c>
      <c r="M11" s="2658"/>
      <c r="N11" s="2639"/>
      <c r="O11" s="2639"/>
      <c r="P11" s="2639"/>
      <c r="Q11" s="2659" t="s">
        <v>4004</v>
      </c>
      <c r="R11" s="2661" t="e">
        <f ca="1">$R$9</f>
        <v>#REF!</v>
      </c>
      <c r="S11" s="2661" t="e">
        <f ca="1">$S$9</f>
        <v>#REF!</v>
      </c>
      <c r="T11" s="2666" t="e">
        <f ca="1">IF(Small_F,'House reinf, Central Frame Side'!$G$59,0)</f>
        <v>#REF!</v>
      </c>
      <c r="U11" s="2666" t="e">
        <f ca="1">IF(Small_F,'House reinf, Central Frame Side'!$G$60-Center_H,0)</f>
        <v>#REF!</v>
      </c>
      <c r="V11" s="2652"/>
      <c r="W11" s="2642"/>
      <c r="X11" s="2642"/>
      <c r="Y11" s="2642"/>
      <c r="Z11" s="2642"/>
      <c r="AA11" s="2642"/>
      <c r="AB11" s="2642"/>
      <c r="AC11" s="2643"/>
      <c r="AD11" s="2667"/>
      <c r="AE11" s="2645" t="str">
        <f>House!AE11</f>
        <v>CH (RD,135)</v>
      </c>
      <c r="AF11" s="2631">
        <f>House!AF11</f>
        <v>1269</v>
      </c>
      <c r="AG11" s="2632">
        <f>House!AG11</f>
        <v>1.1000000000000001</v>
      </c>
      <c r="AH11" s="2668">
        <f>House!AH11</f>
        <v>1270</v>
      </c>
      <c r="AI11" s="2668">
        <f>House!AI11</f>
        <v>1268</v>
      </c>
      <c r="AJ11" s="2647"/>
    </row>
    <row r="12" spans="1:36">
      <c r="A12" s="2630" t="str">
        <f>House!A12</f>
        <v>House Plate thickness</v>
      </c>
      <c r="B12" s="2630">
        <f>House!B12</f>
        <v>5</v>
      </c>
      <c r="C12" s="2631" t="str">
        <f>House!C12</f>
        <v>mm</v>
      </c>
      <c r="D12" s="2632"/>
      <c r="E12" s="2632"/>
      <c r="F12" s="2632"/>
      <c r="G12" s="2632"/>
      <c r="H12" s="2632"/>
      <c r="I12" s="2636"/>
      <c r="J12" s="2663"/>
      <c r="K12" s="2640" t="s">
        <v>2671</v>
      </c>
      <c r="L12" s="2665" t="e">
        <f ca="1">SQRT(8*E_Nmm2*10^6*PI()*(SP_T/1000)^3*SP_iD/1000/((ImpellerHole_D/1000-SP_iD/1000)^3*Inlet_cone_W))</f>
        <v>#REF!</v>
      </c>
      <c r="M12" s="2658"/>
      <c r="N12" s="2639"/>
      <c r="O12" s="2639"/>
      <c r="P12" s="2639"/>
      <c r="Q12" s="2659" t="s">
        <v>4005</v>
      </c>
      <c r="R12" s="2661" t="e">
        <f ca="1">$R$10</f>
        <v>#REF!</v>
      </c>
      <c r="S12" s="2661" t="e">
        <f ca="1">$S$10</f>
        <v>#REF!</v>
      </c>
      <c r="T12" s="2666" t="e">
        <f ca="1">IF(Small_F,'House reinf, Central Frame Side'!$H$59,0)</f>
        <v>#REF!</v>
      </c>
      <c r="U12" s="2666" t="e">
        <f ca="1">IF(Small_F,'House reinf, Central Frame Side'!$H$60-Center_H,0)</f>
        <v>#REF!</v>
      </c>
      <c r="V12" s="2652"/>
      <c r="W12" s="2642"/>
      <c r="X12" s="2642"/>
      <c r="Y12" s="2642"/>
      <c r="Z12" s="2642"/>
      <c r="AA12" s="2642"/>
      <c r="AB12" s="2642"/>
      <c r="AC12" s="2643"/>
      <c r="AD12" s="2667"/>
      <c r="AE12" s="2645" t="str">
        <f>House!AE12</f>
        <v>stdCH (LG,0)</v>
      </c>
      <c r="AF12" s="2631">
        <f>House!AF12</f>
        <v>1530</v>
      </c>
      <c r="AG12" s="2632"/>
      <c r="AH12" s="2668">
        <f>House!AH12</f>
        <v>0</v>
      </c>
      <c r="AI12" s="2668">
        <f>House!AI12</f>
        <v>0</v>
      </c>
      <c r="AJ12" s="2647"/>
    </row>
    <row r="13" spans="1:36">
      <c r="A13" s="2630" t="str">
        <f>House!A13</f>
        <v>HouseB_ins</v>
      </c>
      <c r="B13" s="2630">
        <f>House!B13</f>
        <v>630</v>
      </c>
      <c r="C13" s="2631" t="str">
        <f>House!C13</f>
        <v>mm</v>
      </c>
      <c r="D13" s="2632"/>
      <c r="E13" s="2632"/>
      <c r="F13" s="2632"/>
      <c r="G13" s="2632"/>
      <c r="H13" s="2632"/>
      <c r="I13" s="2636"/>
      <c r="J13" s="2639"/>
      <c r="K13" s="2640" t="s">
        <v>3999</v>
      </c>
      <c r="L13" s="2669" t="e">
        <f ca="1">crit_w_i&lt;2*2*PI()*min_Critical_V_rpm/60</f>
        <v>#REF!</v>
      </c>
      <c r="M13" s="2639"/>
      <c r="N13" s="2639"/>
      <c r="O13" s="2639"/>
      <c r="P13" s="2639"/>
      <c r="Q13" s="2659" t="s">
        <v>4006</v>
      </c>
      <c r="R13" s="2666" t="e">
        <f ca="1">$R$9+$U$7</f>
        <v>#REF!</v>
      </c>
      <c r="S13" s="2661" t="e">
        <f ca="1">IF(Small_F,-('Frame Dimensions'!$K$103-Center_H)+$U$7,0)</f>
        <v>#REF!</v>
      </c>
      <c r="T13" s="2662" t="e">
        <f ca="1">-R13</f>
        <v>#REF!</v>
      </c>
      <c r="U13" s="2662" t="e">
        <f ca="1">S13</f>
        <v>#REF!</v>
      </c>
      <c r="V13" s="2652"/>
      <c r="W13" s="2642"/>
      <c r="X13" s="2642"/>
      <c r="Y13" s="2642"/>
      <c r="Z13" s="2642"/>
      <c r="AA13" s="2642"/>
      <c r="AB13" s="2642"/>
      <c r="AC13" s="2643"/>
      <c r="AD13" s="3930" t="s">
        <v>1801</v>
      </c>
      <c r="AE13" s="3931"/>
      <c r="AF13" s="3931"/>
      <c r="AG13" s="3931"/>
      <c r="AH13" s="3931"/>
      <c r="AI13" s="3931"/>
      <c r="AJ13" s="3932"/>
    </row>
    <row r="14" spans="1:36">
      <c r="A14" s="2630" t="str">
        <f>House!A14</f>
        <v>HouseC_ins</v>
      </c>
      <c r="B14" s="2671">
        <f>House!B14</f>
        <v>1125</v>
      </c>
      <c r="C14" s="2631" t="str">
        <f>House!C14</f>
        <v>mm</v>
      </c>
      <c r="D14" s="2632"/>
      <c r="E14" s="2632"/>
      <c r="F14" s="2632"/>
      <c r="G14" s="2632"/>
      <c r="H14" s="2656"/>
      <c r="I14" s="2636"/>
      <c r="J14" s="2639"/>
      <c r="K14" s="2672" t="s">
        <v>3851</v>
      </c>
      <c r="L14" s="2672" t="e">
        <f ca="1">AND((InletHole_D-reinf_strt_stp)/2-SP_iD/2&lt;min_re_L,int_reinf_req)</f>
        <v>#REF!</v>
      </c>
      <c r="M14" s="2639"/>
      <c r="N14" s="2639"/>
      <c r="O14" s="2639"/>
      <c r="P14" s="2639"/>
      <c r="Q14" s="2659" t="s">
        <v>4007</v>
      </c>
      <c r="R14" s="2662" t="e">
        <f ca="1">R13</f>
        <v>#REF!</v>
      </c>
      <c r="S14" s="2661" t="e">
        <f ca="1">IF(Small_F,('Frame Dimensions'!$K$103-Center_H)-'Frame Dimensions'!$G$103,0)</f>
        <v>#REF!</v>
      </c>
      <c r="T14" s="2666" t="e">
        <f ca="1">T13</f>
        <v>#REF!</v>
      </c>
      <c r="U14" s="2662" t="e">
        <f ca="1">S14</f>
        <v>#REF!</v>
      </c>
      <c r="V14" s="2652"/>
      <c r="W14" s="2642"/>
      <c r="X14" s="2642"/>
      <c r="Y14" s="2642"/>
      <c r="Z14" s="2642"/>
      <c r="AA14" s="2642"/>
      <c r="AB14" s="2642"/>
      <c r="AC14" s="2643"/>
      <c r="AD14" s="2670"/>
      <c r="AE14" s="2655" t="str">
        <f>House!AE14</f>
        <v>Insulation</v>
      </c>
      <c r="AF14" s="2632">
        <f>House!AF14</f>
        <v>0</v>
      </c>
      <c r="AG14" s="2632" t="str">
        <f>House!AG14</f>
        <v>mm</v>
      </c>
      <c r="AH14" s="2632"/>
      <c r="AI14" s="2632"/>
      <c r="AJ14" s="2647"/>
    </row>
    <row r="15" spans="1:36">
      <c r="A15" s="2630" t="str">
        <f>House!A15</f>
        <v>Welding space</v>
      </c>
      <c r="B15" s="2630">
        <f>House!B15</f>
        <v>0.01</v>
      </c>
      <c r="C15" s="2631" t="str">
        <f>House!C15</f>
        <v>m</v>
      </c>
      <c r="D15" s="2632"/>
      <c r="E15" s="2632"/>
      <c r="F15" s="2632"/>
      <c r="G15" s="2632"/>
      <c r="H15" s="2656"/>
      <c r="I15" s="2636"/>
      <c r="J15" s="2637"/>
      <c r="K15" s="2673" t="s">
        <v>3850</v>
      </c>
      <c r="L15" s="2674" t="e">
        <f ca="1">IF(int_reinf_req,(2*PI()*min_Critical_V_rpm/60*2*PI()/crit_w_i)^(2/3),1)</f>
        <v>#REF!</v>
      </c>
      <c r="M15" s="2640" t="s">
        <v>3852</v>
      </c>
      <c r="N15" s="2704" t="e">
        <f ca="1">SP_T*L15</f>
        <v>#REF!</v>
      </c>
      <c r="O15" s="2639" t="s">
        <v>136</v>
      </c>
      <c r="P15" s="2639"/>
      <c r="Q15" s="2659" t="str">
        <f>'House reinf, Central Frame Side'!T15</f>
        <v>L_HSP</v>
      </c>
      <c r="R15" s="2666" t="e">
        <f ca="1">'House reinf, Central Frame Side'!U15</f>
        <v>#REF!</v>
      </c>
      <c r="S15" s="2666" t="e">
        <f ca="1">'House reinf, Central Frame Side'!V15</f>
        <v>#REF!</v>
      </c>
      <c r="T15" s="2662">
        <f>'House reinf, Central Frame Side'!W15</f>
        <v>-793</v>
      </c>
      <c r="U15" s="2662">
        <f>'House reinf, Central Frame Side'!X15</f>
        <v>-924</v>
      </c>
      <c r="V15" s="2652"/>
      <c r="W15" s="2642"/>
      <c r="X15" s="2642"/>
      <c r="Y15" s="2642"/>
      <c r="Z15" s="2642"/>
      <c r="AA15" s="2642"/>
      <c r="AB15" s="2642"/>
      <c r="AC15" s="2643"/>
      <c r="AD15" s="2670"/>
      <c r="AE15" s="2655" t="str">
        <f>House!AE15</f>
        <v>Steel_density</v>
      </c>
      <c r="AF15" s="2632">
        <f>House!AF15</f>
        <v>7850</v>
      </c>
      <c r="AG15" s="2632" t="str">
        <f>House!AG15</f>
        <v>kg/m3</v>
      </c>
      <c r="AH15" s="2632"/>
      <c r="AI15" s="2632"/>
      <c r="AJ15" s="2647"/>
    </row>
    <row r="16" spans="1:36" ht="15.75" thickBot="1">
      <c r="A16" s="2676" t="str">
        <f>House!A16</f>
        <v>Reinf_HousePT (used for reinf calc only)</v>
      </c>
      <c r="B16" s="2676">
        <f>House!B16</f>
        <v>4</v>
      </c>
      <c r="C16" s="2677" t="str">
        <f>House!C16</f>
        <v>mm</v>
      </c>
      <c r="D16" s="2678"/>
      <c r="E16" s="2678"/>
      <c r="F16" s="2678"/>
      <c r="G16" s="2678"/>
      <c r="H16" s="2679"/>
      <c r="I16" s="2680"/>
      <c r="J16" s="2681"/>
      <c r="K16" s="3149" t="str">
        <f>'House reinf, Central Frame Side'!K16</f>
        <v>Re dist mult</v>
      </c>
      <c r="L16" s="3149" t="e">
        <f ca="1">'House reinf, Central Frame Side'!L16</f>
        <v>#REF!</v>
      </c>
      <c r="M16" s="2683"/>
      <c r="N16" s="2683"/>
      <c r="O16" s="2683"/>
      <c r="P16" s="2683"/>
      <c r="Q16" s="2684" t="e">
        <f ca="1">'House reinf, Central Frame Side'!T16</f>
        <v>#REF!</v>
      </c>
      <c r="R16" s="2685" t="e">
        <f ca="1">'House reinf, Central Frame Side'!U16</f>
        <v>#REF!</v>
      </c>
      <c r="S16" s="2685" t="e">
        <f ca="1">'House reinf, Central Frame Side'!V16</f>
        <v>#REF!</v>
      </c>
      <c r="T16" s="2686" t="e">
        <f ca="1">'House reinf, Central Frame Side'!W16</f>
        <v>#REF!</v>
      </c>
      <c r="U16" s="2686" t="e">
        <f ca="1">'House reinf, Central Frame Side'!X16</f>
        <v>#REF!</v>
      </c>
      <c r="V16" s="2687"/>
      <c r="W16" s="2688"/>
      <c r="X16" s="2688"/>
      <c r="Y16" s="2688"/>
      <c r="Z16" s="2688"/>
      <c r="AA16" s="2688"/>
      <c r="AB16" s="2688"/>
      <c r="AC16" s="2689"/>
      <c r="AD16" s="2690"/>
      <c r="AE16" s="2683"/>
      <c r="AF16" s="2683"/>
      <c r="AG16" s="2683"/>
      <c r="AH16" s="2683"/>
      <c r="AI16" s="2683"/>
      <c r="AJ16" s="2691"/>
    </row>
    <row r="17" spans="1:36" s="2697" customFormat="1" ht="15.75" thickBot="1">
      <c r="A17" s="2692"/>
      <c r="B17" s="2692"/>
      <c r="C17" s="2692"/>
      <c r="D17" s="2641"/>
      <c r="E17" s="2641"/>
      <c r="F17" s="2641"/>
      <c r="G17" s="2641"/>
      <c r="H17" s="2693"/>
      <c r="I17" s="2641"/>
      <c r="J17" s="2692"/>
      <c r="K17" s="2692"/>
      <c r="L17" s="2692"/>
      <c r="M17" s="2692"/>
      <c r="N17" s="2641"/>
      <c r="O17" s="2659"/>
      <c r="P17" s="2693"/>
      <c r="Q17" s="2693"/>
      <c r="R17" s="2693"/>
      <c r="S17" s="2693"/>
      <c r="T17" s="2694"/>
      <c r="U17" s="2694"/>
      <c r="V17" s="2695"/>
      <c r="W17" s="2641"/>
      <c r="X17" s="2659"/>
      <c r="Y17" s="2696"/>
      <c r="Z17" s="2696"/>
      <c r="AA17" s="2692"/>
      <c r="AB17" s="2692"/>
      <c r="AC17" s="2692"/>
    </row>
    <row r="18" spans="1:36" s="465" customFormat="1" ht="15.75" thickBot="1">
      <c r="A18" s="2569" t="s">
        <v>2645</v>
      </c>
      <c r="B18" s="2370" t="str">
        <f>House!B18</f>
        <v>alfa incr</v>
      </c>
      <c r="C18" s="2370">
        <f>House!C18</f>
        <v>0.25743606466916358</v>
      </c>
      <c r="D18" s="3799" t="s">
        <v>3562</v>
      </c>
      <c r="E18" s="3800"/>
      <c r="F18" s="3800"/>
      <c r="G18" s="3800"/>
      <c r="H18" s="3800"/>
      <c r="I18" s="3800"/>
      <c r="J18" s="3800"/>
      <c r="K18" s="3800"/>
      <c r="L18" s="3800"/>
      <c r="M18" s="3800"/>
      <c r="N18" s="3800"/>
      <c r="O18" s="3800"/>
      <c r="P18" s="3800"/>
      <c r="Q18" s="3800"/>
      <c r="R18" s="3800"/>
      <c r="S18" s="3800"/>
      <c r="T18" s="3800"/>
      <c r="U18" s="3800"/>
      <c r="V18" s="3800"/>
      <c r="W18" s="3800"/>
      <c r="X18" s="3800"/>
      <c r="Y18" s="3800"/>
      <c r="Z18" s="3837"/>
      <c r="AA18" s="1147"/>
      <c r="AB18" s="1147"/>
      <c r="AC18" s="1147"/>
      <c r="AD18" s="1147"/>
      <c r="AE18" s="1147"/>
      <c r="AF18" s="1147"/>
      <c r="AG18" s="1147"/>
      <c r="AH18" s="1147"/>
      <c r="AI18" s="1147"/>
      <c r="AJ18" s="2344"/>
    </row>
    <row r="19" spans="1:36" s="465" customFormat="1">
      <c r="A19" s="2237"/>
      <c r="B19" s="3107" t="str">
        <f>House!B19</f>
        <v>Lreinf</v>
      </c>
      <c r="C19" s="3107" t="str">
        <f>House!C19</f>
        <v>LF stop</v>
      </c>
      <c r="D19" s="3839" t="s">
        <v>1098</v>
      </c>
      <c r="E19" s="3840"/>
      <c r="F19" s="3840"/>
      <c r="G19" s="3840"/>
      <c r="H19" s="3840"/>
      <c r="I19" s="3840"/>
      <c r="J19" s="3840"/>
      <c r="K19" s="3840"/>
      <c r="L19" s="3840"/>
      <c r="M19" s="3840"/>
      <c r="N19" s="3840"/>
      <c r="O19" s="3840"/>
      <c r="P19" s="3840"/>
      <c r="Q19" s="3840"/>
      <c r="R19" s="3840"/>
      <c r="S19" s="3840"/>
      <c r="T19" s="3840"/>
      <c r="U19" s="3840"/>
      <c r="V19" s="3840"/>
      <c r="W19" s="3840"/>
      <c r="X19" s="3841"/>
      <c r="Y19" s="3107" t="str">
        <f>House!Y19</f>
        <v>RF stop</v>
      </c>
      <c r="Z19" s="3107" t="str">
        <f>House!Z19</f>
        <v>Rreinf</v>
      </c>
      <c r="AA19" s="522"/>
      <c r="AB19" s="518"/>
      <c r="AC19" s="518"/>
      <c r="AD19" s="518"/>
      <c r="AE19" s="518"/>
      <c r="AF19" s="518"/>
      <c r="AG19" s="518"/>
      <c r="AH19" s="518"/>
      <c r="AI19" s="518"/>
      <c r="AJ19" s="527"/>
    </row>
    <row r="20" spans="1:36" s="1346" customFormat="1">
      <c r="A20" s="2347" t="s">
        <v>1104</v>
      </c>
      <c r="B20" s="1383">
        <f>House!B20</f>
        <v>7.4176493209759009</v>
      </c>
      <c r="C20" s="1383">
        <f>House!C20</f>
        <v>7.4647083367135298</v>
      </c>
      <c r="D20" s="1384">
        <f>House!D20</f>
        <v>1.1344640137963142</v>
      </c>
      <c r="E20" s="1385">
        <f>House!E20</f>
        <v>1.3919000784654778</v>
      </c>
      <c r="F20" s="1385">
        <f>House!F20</f>
        <v>1.6493361431346414</v>
      </c>
      <c r="G20" s="1385">
        <f>House!G20</f>
        <v>1.906772207803805</v>
      </c>
      <c r="H20" s="1385">
        <f>House!H20</f>
        <v>2.1642082724729685</v>
      </c>
      <c r="I20" s="1385">
        <f>House!I20</f>
        <v>2.4216443371421321</v>
      </c>
      <c r="J20" s="1385">
        <f>House!J20</f>
        <v>2.6790804018112957</v>
      </c>
      <c r="K20" s="1385">
        <f>House!K20</f>
        <v>2.9365164664804593</v>
      </c>
      <c r="L20" s="1385">
        <f>House!L20</f>
        <v>3.1939525311496229</v>
      </c>
      <c r="M20" s="1385">
        <f>House!M20</f>
        <v>3.4513885958187864</v>
      </c>
      <c r="N20" s="1385">
        <f>House!N20</f>
        <v>3.70882466048795</v>
      </c>
      <c r="O20" s="1385">
        <f>House!O20</f>
        <v>3.9662607251571136</v>
      </c>
      <c r="P20" s="1385">
        <f>House!P20</f>
        <v>4.2236967898262776</v>
      </c>
      <c r="Q20" s="1385">
        <f>House!Q20</f>
        <v>4.4811328544954412</v>
      </c>
      <c r="R20" s="1385">
        <f>House!R20</f>
        <v>4.7385689191646048</v>
      </c>
      <c r="S20" s="1385">
        <f>House!S20</f>
        <v>4.9960049838337683</v>
      </c>
      <c r="T20" s="1385">
        <f>House!T20</f>
        <v>5.2534410485029319</v>
      </c>
      <c r="U20" s="1385">
        <f>House!U20</f>
        <v>5.5108771131720955</v>
      </c>
      <c r="V20" s="1385">
        <f>House!V20</f>
        <v>5.7683131778412591</v>
      </c>
      <c r="W20" s="1385">
        <f>House!W20</f>
        <v>6.0257492425104227</v>
      </c>
      <c r="X20" s="1386">
        <f>House!X20</f>
        <v>6.2831853071795862</v>
      </c>
      <c r="Y20" s="1383">
        <f>House!Y20</f>
        <v>6.8844223146173196</v>
      </c>
      <c r="Z20" s="1383">
        <f>House!Z20</f>
        <v>6.8261204245285274</v>
      </c>
      <c r="AA20" s="523"/>
      <c r="AB20" s="544"/>
      <c r="AC20" s="544"/>
      <c r="AD20" s="1382" t="str">
        <f>House!AD20</f>
        <v>curve</v>
      </c>
      <c r="AE20" s="1382"/>
      <c r="AF20" s="544"/>
      <c r="AG20" s="544"/>
      <c r="AH20" s="544"/>
      <c r="AI20" s="544"/>
      <c r="AJ20" s="524"/>
    </row>
    <row r="21" spans="1:36" s="465" customFormat="1">
      <c r="A21" s="1275" t="s">
        <v>1105</v>
      </c>
      <c r="B21" s="1296">
        <f>House!B21</f>
        <v>1045</v>
      </c>
      <c r="C21" s="1371">
        <f>House!C21</f>
        <v>1163.6818291472891</v>
      </c>
      <c r="D21" s="1297">
        <f>House!D21</f>
        <v>1045</v>
      </c>
      <c r="E21" s="1297">
        <f>House!E21</f>
        <v>1066.4530024332412</v>
      </c>
      <c r="F21" s="1297">
        <f>House!F21</f>
        <v>1088.3485349755213</v>
      </c>
      <c r="G21" s="1297">
        <f>House!G21</f>
        <v>1110.6957260879037</v>
      </c>
      <c r="H21" s="1297">
        <f>House!H21</f>
        <v>1133.5038925323154</v>
      </c>
      <c r="I21" s="1297">
        <f>House!I21</f>
        <v>1156.7825432557938</v>
      </c>
      <c r="J21" s="1297">
        <f>House!J21</f>
        <v>1180.5413833548621</v>
      </c>
      <c r="K21" s="1297">
        <f>House!K21</f>
        <v>1204.7903181216768</v>
      </c>
      <c r="L21" s="1297">
        <f>House!L21</f>
        <v>1229.5394571736417</v>
      </c>
      <c r="M21" s="1297">
        <f>House!M21</f>
        <v>1254.799118668205</v>
      </c>
      <c r="N21" s="1297">
        <f>House!N21</f>
        <v>1280.5798336046005</v>
      </c>
      <c r="O21" s="1297">
        <f>House!O21</f>
        <v>1306.8923502143243</v>
      </c>
      <c r="P21" s="1297">
        <f>House!P21</f>
        <v>1333.7476384421761</v>
      </c>
      <c r="Q21" s="1297">
        <f>House!Q21</f>
        <v>1361.1568945197369</v>
      </c>
      <c r="R21" s="1297">
        <f>House!R21</f>
        <v>1389.1315456331872</v>
      </c>
      <c r="S21" s="1297">
        <f>House!S21</f>
        <v>1417.683254687413</v>
      </c>
      <c r="T21" s="1297">
        <f>House!T21</f>
        <v>1446.8239251683819</v>
      </c>
      <c r="U21" s="1297">
        <f>House!U21</f>
        <v>1476.5657061058264</v>
      </c>
      <c r="V21" s="1297">
        <f>House!V21</f>
        <v>1506.9209971382902</v>
      </c>
      <c r="W21" s="1297">
        <f>House!W21</f>
        <v>1537.9024536826591</v>
      </c>
      <c r="X21" s="1297">
        <f>House!X21</f>
        <v>1569.5229922103276</v>
      </c>
      <c r="Y21" s="1296">
        <f>House!Y21</f>
        <v>1903.2906746733174</v>
      </c>
      <c r="Z21" s="1296">
        <f>House!Z21</f>
        <v>1833.1352903729805</v>
      </c>
      <c r="AA21" s="518"/>
      <c r="AB21" s="518"/>
      <c r="AC21" s="518"/>
      <c r="AD21" s="1303" t="str">
        <f>House!AD21</f>
        <v>max</v>
      </c>
      <c r="AE21" s="1303" t="str">
        <f>House!AE21</f>
        <v>min</v>
      </c>
      <c r="AF21" s="518"/>
      <c r="AG21" s="518"/>
      <c r="AH21" s="518"/>
      <c r="AI21" s="518"/>
      <c r="AJ21" s="527"/>
    </row>
    <row r="22" spans="1:36" s="465" customFormat="1">
      <c r="A22" s="2238" t="s">
        <v>1094</v>
      </c>
      <c r="B22" s="1298">
        <f>House!B22</f>
        <v>441.63608351903093</v>
      </c>
      <c r="C22" s="1299">
        <f>House!C22</f>
        <v>441.63608351903093</v>
      </c>
      <c r="D22" s="1300">
        <f>House!D22</f>
        <v>441.63608351903093</v>
      </c>
      <c r="E22" s="1300">
        <f>House!E22</f>
        <v>189.76842833419454</v>
      </c>
      <c r="F22" s="1300">
        <f>House!F22</f>
        <v>-85.390841890904142</v>
      </c>
      <c r="G22" s="1300">
        <f>House!G22</f>
        <v>-366.18599062454092</v>
      </c>
      <c r="H22" s="1300">
        <f>House!H22</f>
        <v>-633.84733276053862</v>
      </c>
      <c r="I22" s="1300">
        <f>House!I22</f>
        <v>-869.71516461647775</v>
      </c>
      <c r="J22" s="1300">
        <f>House!J22</f>
        <v>-1056.507049257455</v>
      </c>
      <c r="K22" s="1300">
        <f>House!K22</f>
        <v>-1179.5445062502893</v>
      </c>
      <c r="L22" s="1300">
        <f>House!L22</f>
        <v>-1227.8544160797051</v>
      </c>
      <c r="M22" s="1300">
        <f>House!M22</f>
        <v>-1195.0654100156862</v>
      </c>
      <c r="N22" s="1300">
        <f>House!N22</f>
        <v>-1080.0300773426088</v>
      </c>
      <c r="O22" s="1300">
        <f>House!O22</f>
        <v>-887.11950165678206</v>
      </c>
      <c r="P22" s="1300">
        <f>House!P22</f>
        <v>-626.15658818143959</v>
      </c>
      <c r="Q22" s="1300">
        <f>House!Q22</f>
        <v>-311.97769233066299</v>
      </c>
      <c r="R22" s="1300">
        <f>House!R22</f>
        <v>36.363224662875822</v>
      </c>
      <c r="S22" s="1300">
        <f>House!S22</f>
        <v>396.70890736742643</v>
      </c>
      <c r="T22" s="1300">
        <f>House!T22</f>
        <v>745.16940915253167</v>
      </c>
      <c r="U22" s="1300">
        <f>House!U22</f>
        <v>1057.6668848778002</v>
      </c>
      <c r="V22" s="1300">
        <f>House!V22</f>
        <v>1311.5572731907439</v>
      </c>
      <c r="W22" s="1300">
        <f>House!W22</f>
        <v>1487.222322279604</v>
      </c>
      <c r="X22" s="1300">
        <f>House!X22</f>
        <v>1569.5229922103276</v>
      </c>
      <c r="Y22" s="1298">
        <f>House!Y22</f>
        <v>1569.5229922103276</v>
      </c>
      <c r="Z22" s="1298">
        <f>House!Z22</f>
        <v>1569.5229922103276</v>
      </c>
      <c r="AA22" s="522"/>
      <c r="AB22" s="518"/>
      <c r="AC22" s="518"/>
      <c r="AD22" s="3239">
        <f>House!AD22</f>
        <v>1569.5229922103276</v>
      </c>
      <c r="AE22" s="3239">
        <f>House!AE22</f>
        <v>-1227.8544160797051</v>
      </c>
      <c r="AF22" s="518"/>
      <c r="AG22" s="518"/>
      <c r="AH22" s="518"/>
      <c r="AI22" s="518"/>
      <c r="AJ22" s="527"/>
    </row>
    <row r="23" spans="1:36" s="465" customFormat="1">
      <c r="A23" s="2238" t="s">
        <v>1095</v>
      </c>
      <c r="B23" s="1296">
        <f>House!B23</f>
        <v>947.0916374532992</v>
      </c>
      <c r="C23" s="1301">
        <f>House!C23</f>
        <v>1076.6210889730667</v>
      </c>
      <c r="D23" s="1302">
        <f>House!D23</f>
        <v>947.0916374532992</v>
      </c>
      <c r="E23" s="1296">
        <f>House!E23</f>
        <v>1049.4331565213881</v>
      </c>
      <c r="F23" s="1296">
        <f>House!F23</f>
        <v>1084.9935196601525</v>
      </c>
      <c r="G23" s="1296">
        <f>House!G23</f>
        <v>1048.5956399967813</v>
      </c>
      <c r="H23" s="1296">
        <f>House!H23</f>
        <v>939.71731554668168</v>
      </c>
      <c r="I23" s="1296">
        <f>House!I23</f>
        <v>762.71972887652214</v>
      </c>
      <c r="J23" s="1296">
        <f>House!J23</f>
        <v>526.75498353856813</v>
      </c>
      <c r="K23" s="1296">
        <f>House!K23</f>
        <v>245.34561013903004</v>
      </c>
      <c r="L23" s="1296">
        <f>House!L23</f>
        <v>-64.349123229612289</v>
      </c>
      <c r="M23" s="1296">
        <f>House!M23</f>
        <v>-382.54345373374764</v>
      </c>
      <c r="N23" s="1296">
        <f>House!N23</f>
        <v>-688.05504305259228</v>
      </c>
      <c r="O23" s="1296">
        <f>House!O23</f>
        <v>-959.68047017168317</v>
      </c>
      <c r="P23" s="1296">
        <f>House!P23</f>
        <v>-1177.629266843798</v>
      </c>
      <c r="Q23" s="1296">
        <f>House!Q23</f>
        <v>-1324.9218886359483</v>
      </c>
      <c r="R23" s="1296">
        <f>House!R23</f>
        <v>-1388.6555249468331</v>
      </c>
      <c r="S23" s="1296">
        <f>House!S23</f>
        <v>-1361.0466022280202</v>
      </c>
      <c r="T23" s="1296">
        <f>House!T23</f>
        <v>-1240.170158527817</v>
      </c>
      <c r="U23" s="1296">
        <f>House!U23</f>
        <v>-1030.3334630500399</v>
      </c>
      <c r="V23" s="1296">
        <f>House!V23</f>
        <v>-742.04340220550364</v>
      </c>
      <c r="W23" s="1296">
        <f>House!W23</f>
        <v>-391.55296085766645</v>
      </c>
      <c r="X23" s="1296">
        <f>House!X23</f>
        <v>-3.8457973377000741E-13</v>
      </c>
      <c r="Y23" s="1296">
        <f>House!Y23</f>
        <v>1076.6210889730667</v>
      </c>
      <c r="Z23" s="1296">
        <f>House!Z23</f>
        <v>947.0916374532992</v>
      </c>
      <c r="AA23" s="522"/>
      <c r="AB23" s="518"/>
      <c r="AC23" s="518"/>
      <c r="AD23" s="3239">
        <f>House!AD23</f>
        <v>1084.9935196601525</v>
      </c>
      <c r="AE23" s="3239">
        <f>House!AE23</f>
        <v>-1388.6555249468331</v>
      </c>
      <c r="AF23" s="518"/>
      <c r="AG23" s="518"/>
      <c r="AH23" s="518"/>
      <c r="AI23" s="518"/>
      <c r="AJ23" s="527"/>
    </row>
    <row r="24" spans="1:36" s="465" customFormat="1">
      <c r="A24" s="2238"/>
      <c r="B24" s="503"/>
      <c r="C24" s="510"/>
      <c r="D24" s="685"/>
      <c r="E24" s="510"/>
      <c r="F24" s="510"/>
      <c r="G24" s="510"/>
      <c r="H24" s="510"/>
      <c r="I24" s="510"/>
      <c r="J24" s="510"/>
      <c r="K24" s="510"/>
      <c r="L24" s="510"/>
      <c r="M24" s="510"/>
      <c r="N24" s="510"/>
      <c r="O24" s="510"/>
      <c r="P24" s="510"/>
      <c r="Q24" s="510"/>
      <c r="R24" s="510"/>
      <c r="S24" s="510"/>
      <c r="T24" s="510"/>
      <c r="U24" s="510"/>
      <c r="V24" s="510"/>
      <c r="W24" s="510"/>
      <c r="X24" s="510"/>
      <c r="Y24" s="510"/>
      <c r="Z24" s="510"/>
      <c r="AA24" s="518"/>
      <c r="AB24" s="518"/>
      <c r="AC24" s="518"/>
      <c r="AD24" s="518"/>
      <c r="AE24" s="518"/>
      <c r="AF24" s="518"/>
      <c r="AG24" s="518"/>
      <c r="AH24" s="518"/>
      <c r="AI24" s="518"/>
      <c r="AJ24" s="527"/>
    </row>
    <row r="25" spans="1:36" s="465" customFormat="1">
      <c r="A25" s="2238"/>
      <c r="B25" s="503"/>
      <c r="C25" s="510"/>
      <c r="D25" s="685"/>
      <c r="E25" s="510"/>
      <c r="F25" s="510"/>
      <c r="G25" s="510"/>
      <c r="H25" s="510"/>
      <c r="I25" s="510"/>
      <c r="J25" s="510"/>
      <c r="K25" s="510"/>
      <c r="L25" s="510"/>
      <c r="M25" s="510"/>
      <c r="N25" s="510"/>
      <c r="O25" s="510"/>
      <c r="P25" s="510"/>
      <c r="Q25" s="510"/>
      <c r="R25" s="510"/>
      <c r="S25" s="510"/>
      <c r="T25" s="510"/>
      <c r="U25" s="510"/>
      <c r="V25" s="510"/>
      <c r="W25" s="510"/>
      <c r="X25" s="510"/>
      <c r="Y25" s="510"/>
      <c r="Z25" s="510"/>
      <c r="AA25" s="518"/>
      <c r="AB25" s="518"/>
      <c r="AC25" s="518"/>
      <c r="AD25" s="518"/>
      <c r="AE25" s="518"/>
      <c r="AF25" s="518"/>
      <c r="AG25" s="518"/>
      <c r="AH25" s="518"/>
      <c r="AI25" s="518"/>
      <c r="AJ25" s="527"/>
    </row>
    <row r="26" spans="1:36" s="465" customFormat="1">
      <c r="A26" s="2238"/>
      <c r="B26" s="503"/>
      <c r="C26" s="510"/>
      <c r="D26" s="685"/>
      <c r="E26" s="510"/>
      <c r="F26" s="510"/>
      <c r="G26" s="510"/>
      <c r="H26" s="510"/>
      <c r="I26" s="510"/>
      <c r="J26" s="510"/>
      <c r="K26" s="510"/>
      <c r="L26" s="510"/>
      <c r="M26" s="510"/>
      <c r="N26" s="510"/>
      <c r="O26" s="510"/>
      <c r="P26" s="510"/>
      <c r="Q26" s="510"/>
      <c r="R26" s="510"/>
      <c r="S26" s="510"/>
      <c r="T26" s="510"/>
      <c r="U26" s="510"/>
      <c r="V26" s="510"/>
      <c r="W26" s="510"/>
      <c r="X26" s="510"/>
      <c r="Y26" s="510"/>
      <c r="Z26" s="510"/>
      <c r="AA26" s="518"/>
      <c r="AB26" s="518"/>
      <c r="AC26" s="518"/>
      <c r="AD26" s="518"/>
      <c r="AE26" s="518"/>
      <c r="AF26" s="518"/>
      <c r="AG26" s="518"/>
      <c r="AH26" s="518"/>
      <c r="AI26" s="518"/>
      <c r="AJ26" s="527"/>
    </row>
    <row r="27" spans="1:36" s="465" customFormat="1">
      <c r="A27" s="2238"/>
      <c r="B27" s="503"/>
      <c r="C27" s="510"/>
      <c r="D27" s="685"/>
      <c r="E27" s="510"/>
      <c r="F27" s="510"/>
      <c r="G27" s="510"/>
      <c r="H27" s="510"/>
      <c r="I27" s="510"/>
      <c r="J27" s="510"/>
      <c r="K27" s="510"/>
      <c r="L27" s="510"/>
      <c r="M27" s="510"/>
      <c r="N27" s="510"/>
      <c r="O27" s="510"/>
      <c r="P27" s="510"/>
      <c r="Q27" s="510"/>
      <c r="R27" s="510"/>
      <c r="S27" s="510"/>
      <c r="T27" s="510"/>
      <c r="U27" s="510"/>
      <c r="V27" s="510"/>
      <c r="W27" s="510"/>
      <c r="X27" s="510"/>
      <c r="Y27" s="510"/>
      <c r="Z27" s="510"/>
      <c r="AA27" s="518"/>
      <c r="AB27" s="518"/>
      <c r="AC27" s="518"/>
      <c r="AD27" s="518"/>
      <c r="AE27" s="518"/>
      <c r="AF27" s="518"/>
      <c r="AG27" s="518"/>
      <c r="AH27" s="518"/>
      <c r="AI27" s="518"/>
      <c r="AJ27" s="527"/>
    </row>
    <row r="28" spans="1:36" s="465" customFormat="1">
      <c r="A28" s="2238"/>
      <c r="B28" s="503"/>
      <c r="C28" s="510"/>
      <c r="D28" s="685"/>
      <c r="E28" s="510"/>
      <c r="F28" s="510"/>
      <c r="G28" s="510"/>
      <c r="H28" s="510"/>
      <c r="I28" s="510"/>
      <c r="J28" s="510"/>
      <c r="K28" s="510"/>
      <c r="L28" s="510"/>
      <c r="M28" s="510"/>
      <c r="N28" s="510"/>
      <c r="O28" s="510"/>
      <c r="P28" s="510"/>
      <c r="Q28" s="510"/>
      <c r="R28" s="510"/>
      <c r="S28" s="510"/>
      <c r="T28" s="510"/>
      <c r="U28" s="510"/>
      <c r="V28" s="510"/>
      <c r="W28" s="510"/>
      <c r="X28" s="510"/>
      <c r="Y28" s="510"/>
      <c r="Z28" s="510"/>
      <c r="AA28" s="518"/>
      <c r="AB28" s="518"/>
      <c r="AC28" s="518"/>
      <c r="AD28" s="518"/>
      <c r="AE28" s="518"/>
      <c r="AF28" s="518"/>
      <c r="AG28" s="518"/>
      <c r="AH28" s="518"/>
      <c r="AI28" s="518"/>
      <c r="AJ28" s="527"/>
    </row>
    <row r="29" spans="1:36" s="465" customFormat="1" ht="15.75" thickBot="1">
      <c r="AA29" s="518"/>
      <c r="AB29" s="518"/>
      <c r="AC29" s="518"/>
      <c r="AD29" s="518"/>
      <c r="AE29" s="518"/>
      <c r="AF29" s="518"/>
      <c r="AG29" s="518"/>
      <c r="AH29" s="518"/>
      <c r="AI29" s="518"/>
      <c r="AJ29" s="527"/>
    </row>
    <row r="30" spans="1:36" s="465" customFormat="1" ht="15.75" thickBot="1">
      <c r="A30" s="2569" t="s">
        <v>2645</v>
      </c>
      <c r="B30" s="2571" t="s">
        <v>1106</v>
      </c>
      <c r="C30" s="2572">
        <f>(H_alfaend-H_alfastart)/20</f>
        <v>0.25743606466916358</v>
      </c>
      <c r="D30" s="3799" t="str">
        <f>"HOUSE (LG), "&amp;G6&amp;", (0) "</f>
        <v xml:space="preserve">HOUSE (LG), 135, (0) </v>
      </c>
      <c r="E30" s="3800"/>
      <c r="F30" s="3800"/>
      <c r="G30" s="3800"/>
      <c r="H30" s="3800"/>
      <c r="I30" s="3800"/>
      <c r="J30" s="3800"/>
      <c r="K30" s="3800"/>
      <c r="L30" s="3800"/>
      <c r="M30" s="3800"/>
      <c r="N30" s="3800"/>
      <c r="O30" s="3800"/>
      <c r="P30" s="3800"/>
      <c r="Q30" s="3800"/>
      <c r="R30" s="3800"/>
      <c r="S30" s="3800"/>
      <c r="T30" s="3800"/>
      <c r="U30" s="3800"/>
      <c r="V30" s="3800"/>
      <c r="W30" s="3800"/>
      <c r="X30" s="3800"/>
      <c r="Y30" s="3800"/>
      <c r="Z30" s="3837"/>
      <c r="AA30" s="518"/>
      <c r="AB30" s="518"/>
      <c r="AC30" s="518"/>
      <c r="AD30" s="518"/>
      <c r="AE30" s="518"/>
      <c r="AF30" s="518"/>
      <c r="AG30" s="518"/>
      <c r="AH30" s="518"/>
      <c r="AI30" s="518"/>
      <c r="AJ30" s="527"/>
    </row>
    <row r="31" spans="1:36" s="1346" customFormat="1">
      <c r="A31" s="2237"/>
      <c r="B31" s="3107" t="str">
        <f>House!B31</f>
        <v>Lreinf</v>
      </c>
      <c r="C31" s="3107" t="str">
        <f>House!C31</f>
        <v>LF stop</v>
      </c>
      <c r="D31" s="3839" t="s">
        <v>1099</v>
      </c>
      <c r="E31" s="3840"/>
      <c r="F31" s="3840"/>
      <c r="G31" s="3840"/>
      <c r="H31" s="3840"/>
      <c r="I31" s="3840"/>
      <c r="J31" s="3840"/>
      <c r="K31" s="3840"/>
      <c r="L31" s="3840"/>
      <c r="M31" s="3840"/>
      <c r="N31" s="3840"/>
      <c r="O31" s="3840"/>
      <c r="P31" s="3840"/>
      <c r="Q31" s="3840"/>
      <c r="R31" s="3840"/>
      <c r="S31" s="3840"/>
      <c r="T31" s="3840"/>
      <c r="U31" s="3840"/>
      <c r="V31" s="3840"/>
      <c r="W31" s="3840"/>
      <c r="X31" s="3841"/>
      <c r="Y31" s="3107" t="str">
        <f>House!Y31</f>
        <v>RF stop</v>
      </c>
      <c r="Z31" s="3107" t="str">
        <f>House!Z31</f>
        <v>Rreinf</v>
      </c>
      <c r="AA31" s="544"/>
      <c r="AB31" s="544"/>
      <c r="AC31" s="544"/>
      <c r="AD31" s="544"/>
      <c r="AE31" s="544"/>
      <c r="AF31" s="544"/>
      <c r="AG31" s="544"/>
      <c r="AH31" s="544"/>
      <c r="AI31" s="544"/>
      <c r="AJ31" s="524"/>
    </row>
    <row r="32" spans="1:36" s="465" customFormat="1">
      <c r="A32" s="2347" t="s">
        <v>1104</v>
      </c>
      <c r="B32" s="1380">
        <f>House!B32</f>
        <v>9.7738438111682449</v>
      </c>
      <c r="C32" s="1380">
        <f>House!C32</f>
        <v>9.8209028269058756</v>
      </c>
      <c r="D32" s="1381">
        <f>House!D32</f>
        <v>3.4906585039886591</v>
      </c>
      <c r="E32" s="1382">
        <f>House!E32</f>
        <v>3.7480945686578226</v>
      </c>
      <c r="F32" s="1382">
        <f>House!F32</f>
        <v>4.0055306333269858</v>
      </c>
      <c r="G32" s="1382">
        <f>House!G32</f>
        <v>4.2629666979961502</v>
      </c>
      <c r="H32" s="1382">
        <f>House!H32</f>
        <v>4.5204027626653129</v>
      </c>
      <c r="I32" s="1382">
        <f>House!I32</f>
        <v>4.7778388273344774</v>
      </c>
      <c r="J32" s="1382">
        <f>House!J32</f>
        <v>5.0352748920036401</v>
      </c>
      <c r="K32" s="1382">
        <f>House!K32</f>
        <v>5.2927109566728046</v>
      </c>
      <c r="L32" s="1382">
        <f>House!L32</f>
        <v>5.5501470213419672</v>
      </c>
      <c r="M32" s="1382">
        <f>House!M32</f>
        <v>5.8075830860111317</v>
      </c>
      <c r="N32" s="1382">
        <f>House!N32</f>
        <v>6.0650191506802944</v>
      </c>
      <c r="O32" s="1382">
        <f>House!O32</f>
        <v>6.3224552153494589</v>
      </c>
      <c r="P32" s="1382">
        <f>House!P32</f>
        <v>6.5798912800186224</v>
      </c>
      <c r="Q32" s="1382">
        <f>House!Q32</f>
        <v>6.837327344687786</v>
      </c>
      <c r="R32" s="1382">
        <f>House!R32</f>
        <v>7.0947634093569496</v>
      </c>
      <c r="S32" s="1382">
        <f>House!S32</f>
        <v>7.3521994740261132</v>
      </c>
      <c r="T32" s="1382">
        <f>House!T32</f>
        <v>7.6096355386952768</v>
      </c>
      <c r="U32" s="1382">
        <f>House!U32</f>
        <v>7.8670716033644403</v>
      </c>
      <c r="V32" s="1382">
        <f>House!V32</f>
        <v>8.1245076680336048</v>
      </c>
      <c r="W32" s="1382">
        <f>House!W32</f>
        <v>8.3819437327027675</v>
      </c>
      <c r="X32" s="1382">
        <f>House!X32</f>
        <v>8.6393797973719302</v>
      </c>
      <c r="Y32" s="1380">
        <f>House!Y32</f>
        <v>9.2406168048096653</v>
      </c>
      <c r="Z32" s="1380">
        <f>House!Z32</f>
        <v>9.1823149147208731</v>
      </c>
      <c r="AA32" s="518"/>
      <c r="AB32" s="518"/>
      <c r="AC32" s="518"/>
      <c r="AD32" s="518"/>
      <c r="AE32" s="518"/>
      <c r="AF32" s="518"/>
      <c r="AG32" s="518"/>
      <c r="AH32" s="518"/>
      <c r="AI32" s="518"/>
      <c r="AJ32" s="527"/>
    </row>
    <row r="33" spans="1:36" s="465" customFormat="1">
      <c r="A33" s="1275" t="s">
        <v>1105</v>
      </c>
      <c r="B33" s="1296">
        <f>House!B33</f>
        <v>1045.0161529852062</v>
      </c>
      <c r="C33" s="1296">
        <f>House!C33</f>
        <v>1163.7087092567451</v>
      </c>
      <c r="D33" s="1297">
        <f>House!D33</f>
        <v>1045</v>
      </c>
      <c r="E33" s="1297">
        <f>House!E33</f>
        <v>1066.4530024332412</v>
      </c>
      <c r="F33" s="1297">
        <f>House!F33</f>
        <v>1088.3485349755213</v>
      </c>
      <c r="G33" s="1297">
        <f>House!G33</f>
        <v>1110.6957260879037</v>
      </c>
      <c r="H33" s="1297">
        <f>House!H33</f>
        <v>1133.5038925323154</v>
      </c>
      <c r="I33" s="1297">
        <f>House!I33</f>
        <v>1156.7825432557941</v>
      </c>
      <c r="J33" s="1297">
        <f>House!J33</f>
        <v>1180.5413833548621</v>
      </c>
      <c r="K33" s="1297">
        <f>House!K33</f>
        <v>1204.790318121677</v>
      </c>
      <c r="L33" s="1297">
        <f>House!L33</f>
        <v>1229.5394571736417</v>
      </c>
      <c r="M33" s="1297">
        <f>House!M33</f>
        <v>1254.799118668205</v>
      </c>
      <c r="N33" s="1297">
        <f>House!N33</f>
        <v>1280.5798336046005</v>
      </c>
      <c r="O33" s="1297">
        <f>House!O33</f>
        <v>1306.8923502143243</v>
      </c>
      <c r="P33" s="1297">
        <f>House!P33</f>
        <v>1333.7476384421761</v>
      </c>
      <c r="Q33" s="1297">
        <f>House!Q33</f>
        <v>1361.1568945197369</v>
      </c>
      <c r="R33" s="1297">
        <f>House!R33</f>
        <v>1389.1315456331872</v>
      </c>
      <c r="S33" s="1297">
        <f>House!S33</f>
        <v>1417.683254687413</v>
      </c>
      <c r="T33" s="1297">
        <f>House!T33</f>
        <v>1446.8239251683819</v>
      </c>
      <c r="U33" s="1297">
        <f>House!U33</f>
        <v>1476.5657061058264</v>
      </c>
      <c r="V33" s="1297">
        <f>House!V33</f>
        <v>1506.9209971382902</v>
      </c>
      <c r="W33" s="1297">
        <f>House!W33</f>
        <v>1537.9024536826591</v>
      </c>
      <c r="X33" s="1297">
        <f>House!X33</f>
        <v>1569.5229922103274</v>
      </c>
      <c r="Y33" s="1296">
        <f>House!Y33</f>
        <v>1903.2780826773578</v>
      </c>
      <c r="Z33" s="1296">
        <f>House!Z33</f>
        <v>1833.1143608624095</v>
      </c>
      <c r="AA33" s="510"/>
      <c r="AB33" s="518"/>
      <c r="AC33" s="518"/>
      <c r="AD33" s="518"/>
      <c r="AE33" s="518"/>
      <c r="AF33" s="518"/>
      <c r="AG33" s="518"/>
      <c r="AH33" s="518"/>
      <c r="AI33" s="518"/>
      <c r="AJ33" s="527"/>
    </row>
    <row r="34" spans="1:36" s="465" customFormat="1">
      <c r="A34" s="2238" t="s">
        <v>1092</v>
      </c>
      <c r="B34" s="1300">
        <f>House!B34</f>
        <v>-982</v>
      </c>
      <c r="C34" s="1300">
        <f>House!C34</f>
        <v>-1073.5999999999999</v>
      </c>
      <c r="D34" s="1300">
        <f>House!D34</f>
        <v>-982</v>
      </c>
      <c r="E34" s="1300">
        <f>House!E34</f>
        <v>-876.2</v>
      </c>
      <c r="F34" s="1300">
        <f>House!F34</f>
        <v>-706.8</v>
      </c>
      <c r="G34" s="1300">
        <f>House!G34</f>
        <v>-482.5</v>
      </c>
      <c r="H34" s="1300">
        <f>House!H34</f>
        <v>-216.3</v>
      </c>
      <c r="I34" s="1300">
        <f>House!I34</f>
        <v>75.7</v>
      </c>
      <c r="J34" s="1300">
        <f>House!J34</f>
        <v>374.6</v>
      </c>
      <c r="K34" s="1300">
        <f>House!K34</f>
        <v>660.6</v>
      </c>
      <c r="L34" s="1300">
        <f>House!L34</f>
        <v>913.7</v>
      </c>
      <c r="M34" s="1300">
        <f>House!M34</f>
        <v>1115.5</v>
      </c>
      <c r="N34" s="1300">
        <f>House!N34</f>
        <v>1250.2</v>
      </c>
      <c r="O34" s="1300">
        <f>House!O34</f>
        <v>1305.9000000000001</v>
      </c>
      <c r="P34" s="1300">
        <f>House!P34</f>
        <v>1275.5</v>
      </c>
      <c r="Q34" s="1300">
        <f>House!Q34</f>
        <v>1157.5</v>
      </c>
      <c r="R34" s="1300">
        <f>House!R34</f>
        <v>956.2</v>
      </c>
      <c r="S34" s="1300">
        <f>House!S34</f>
        <v>681.9</v>
      </c>
      <c r="T34" s="1300">
        <f>House!T34</f>
        <v>350</v>
      </c>
      <c r="U34" s="1300">
        <f>House!U34</f>
        <v>-19.3</v>
      </c>
      <c r="V34" s="1300">
        <f>House!V34</f>
        <v>-402.7</v>
      </c>
      <c r="W34" s="1300">
        <f>House!W34</f>
        <v>-774.8</v>
      </c>
      <c r="X34" s="1300">
        <f>House!X34</f>
        <v>-1109.8</v>
      </c>
      <c r="Y34" s="1300">
        <f>House!Y34</f>
        <v>-1871.1</v>
      </c>
      <c r="Z34" s="1300">
        <f>House!Z34</f>
        <v>-1779.5</v>
      </c>
      <c r="AA34" s="510"/>
      <c r="AB34" s="518"/>
      <c r="AC34" s="518"/>
      <c r="AD34" s="518"/>
      <c r="AE34" s="518"/>
      <c r="AF34" s="518"/>
      <c r="AG34" s="518"/>
      <c r="AH34" s="518"/>
      <c r="AI34" s="518"/>
      <c r="AJ34" s="527"/>
    </row>
    <row r="35" spans="1:36" s="465" customFormat="1">
      <c r="A35" s="3014" t="s">
        <v>1093</v>
      </c>
      <c r="B35" s="1296">
        <f>House!B35</f>
        <v>-357.4</v>
      </c>
      <c r="C35" s="1296">
        <f>House!C35</f>
        <v>-449</v>
      </c>
      <c r="D35" s="1296">
        <f>House!D35</f>
        <v>-357.4</v>
      </c>
      <c r="E35" s="1296">
        <f>House!E35</f>
        <v>-607.9</v>
      </c>
      <c r="F35" s="1296">
        <f>House!F35</f>
        <v>-827.6</v>
      </c>
      <c r="G35" s="1296">
        <f>House!G35</f>
        <v>-1000.4</v>
      </c>
      <c r="H35" s="1296">
        <f>House!H35</f>
        <v>-1112.7</v>
      </c>
      <c r="I35" s="1296">
        <f>House!I35</f>
        <v>-1154.3</v>
      </c>
      <c r="J35" s="1296">
        <f>House!J35</f>
        <v>-1119.5</v>
      </c>
      <c r="K35" s="1296">
        <f>House!K35</f>
        <v>-1007.5</v>
      </c>
      <c r="L35" s="1296">
        <f>House!L35</f>
        <v>-822.7</v>
      </c>
      <c r="M35" s="1296">
        <f>House!M35</f>
        <v>-574.5</v>
      </c>
      <c r="N35" s="1296">
        <f>House!N35</f>
        <v>-277.2</v>
      </c>
      <c r="O35" s="1296">
        <f>House!O35</f>
        <v>51.3</v>
      </c>
      <c r="P35" s="1296">
        <f>House!P35</f>
        <v>390</v>
      </c>
      <c r="Q35" s="1296">
        <f>House!Q35</f>
        <v>716.3</v>
      </c>
      <c r="R35" s="1296">
        <f>House!R35</f>
        <v>1007.6</v>
      </c>
      <c r="S35" s="1296">
        <f>House!S35</f>
        <v>1242.9000000000001</v>
      </c>
      <c r="T35" s="1296">
        <f>House!T35</f>
        <v>1403.8</v>
      </c>
      <c r="U35" s="1296">
        <f>House!U35</f>
        <v>1476.4</v>
      </c>
      <c r="V35" s="1296">
        <f>House!V35</f>
        <v>1452.1</v>
      </c>
      <c r="W35" s="1296">
        <f>House!W35</f>
        <v>1328.5</v>
      </c>
      <c r="X35" s="1296">
        <f>House!X35</f>
        <v>1109.8</v>
      </c>
      <c r="Y35" s="1296">
        <f>House!Y35</f>
        <v>348.5</v>
      </c>
      <c r="Z35" s="1296">
        <f>House!Z35</f>
        <v>440.1</v>
      </c>
      <c r="AA35" s="510"/>
      <c r="AB35" s="518"/>
      <c r="AC35" s="518"/>
      <c r="AD35" s="518"/>
      <c r="AE35" s="518"/>
      <c r="AF35" s="518"/>
      <c r="AG35" s="518"/>
      <c r="AH35" s="518"/>
      <c r="AI35" s="518"/>
      <c r="AJ35" s="527"/>
    </row>
    <row r="36" spans="1:36" s="2639" customFormat="1" ht="15.75" thickBot="1">
      <c r="A36" s="2701"/>
      <c r="B36" s="2640"/>
      <c r="C36" s="2703"/>
      <c r="D36" s="2704"/>
      <c r="E36" s="2704"/>
      <c r="F36" s="2704"/>
      <c r="G36" s="2704"/>
      <c r="H36" s="2704"/>
      <c r="I36" s="2704"/>
      <c r="J36" s="2704"/>
      <c r="K36" s="2704"/>
      <c r="L36" s="2704"/>
      <c r="M36" s="2704"/>
      <c r="N36" s="2704"/>
      <c r="O36" s="2704"/>
      <c r="P36" s="2704"/>
      <c r="Q36" s="2704"/>
      <c r="R36" s="2704"/>
      <c r="S36" s="2704"/>
      <c r="T36" s="2704"/>
      <c r="U36" s="2704"/>
      <c r="V36" s="2704"/>
      <c r="W36" s="2704"/>
      <c r="X36" s="2704"/>
      <c r="Y36" s="2640"/>
      <c r="Z36" s="2640"/>
      <c r="AC36" s="2674"/>
      <c r="AJ36" s="2675"/>
    </row>
    <row r="37" spans="1:36" s="2639" customFormat="1">
      <c r="A37" s="3892" t="s">
        <v>2645</v>
      </c>
      <c r="B37" s="3933" t="s">
        <v>3955</v>
      </c>
      <c r="C37" s="3933"/>
      <c r="D37" s="3933"/>
      <c r="E37" s="3933"/>
      <c r="F37" s="3933"/>
      <c r="G37" s="3933"/>
      <c r="H37" s="3933"/>
      <c r="I37" s="3933"/>
      <c r="J37" s="3933"/>
      <c r="K37" s="3933"/>
      <c r="L37" s="3933"/>
      <c r="M37" s="3933"/>
      <c r="N37" s="3933"/>
      <c r="O37" s="3933"/>
      <c r="P37" s="3933"/>
      <c r="Q37" s="3933"/>
      <c r="R37" s="3933"/>
      <c r="S37" s="3933"/>
      <c r="T37" s="3933"/>
      <c r="U37" s="3933"/>
      <c r="V37" s="3933"/>
      <c r="W37" s="3933"/>
      <c r="X37" s="3933"/>
      <c r="Y37" s="3933"/>
      <c r="Z37" s="3933"/>
      <c r="AA37" s="3933"/>
      <c r="AB37" s="3933"/>
      <c r="AC37" s="3933"/>
      <c r="AD37" s="3933"/>
      <c r="AE37" s="3933"/>
      <c r="AF37" s="3933"/>
      <c r="AG37" s="3933"/>
      <c r="AH37" s="3933"/>
      <c r="AI37" s="3933"/>
      <c r="AJ37" s="3934"/>
    </row>
    <row r="38" spans="1:36" s="2641" customFormat="1" ht="15.75" thickBot="1">
      <c r="A38" s="3893"/>
      <c r="B38" s="3935"/>
      <c r="C38" s="3935"/>
      <c r="D38" s="3935"/>
      <c r="E38" s="3935"/>
      <c r="F38" s="3935"/>
      <c r="G38" s="3935"/>
      <c r="H38" s="3935"/>
      <c r="I38" s="3935"/>
      <c r="J38" s="3935"/>
      <c r="K38" s="3935"/>
      <c r="L38" s="3935"/>
      <c r="M38" s="3935"/>
      <c r="N38" s="3935"/>
      <c r="O38" s="3935"/>
      <c r="P38" s="3935"/>
      <c r="Q38" s="3935"/>
      <c r="R38" s="3935"/>
      <c r="S38" s="3935"/>
      <c r="T38" s="3935"/>
      <c r="U38" s="3935"/>
      <c r="V38" s="3935"/>
      <c r="W38" s="3935"/>
      <c r="X38" s="3935"/>
      <c r="Y38" s="3935"/>
      <c r="Z38" s="3935"/>
      <c r="AA38" s="3935"/>
      <c r="AB38" s="3935"/>
      <c r="AC38" s="3935"/>
      <c r="AD38" s="3935"/>
      <c r="AE38" s="3935"/>
      <c r="AF38" s="3935"/>
      <c r="AG38" s="3935"/>
      <c r="AH38" s="3935"/>
      <c r="AI38" s="3935"/>
      <c r="AJ38" s="3936"/>
    </row>
    <row r="39" spans="1:36" s="2704" customFormat="1" ht="15.75" thickBot="1">
      <c r="A39" s="2708"/>
      <c r="F39" s="2709"/>
      <c r="G39" s="2709"/>
      <c r="H39" s="2709"/>
      <c r="I39" s="2709"/>
      <c r="J39" s="2709"/>
      <c r="K39" s="2709"/>
      <c r="L39" s="2709"/>
      <c r="M39" s="2709"/>
      <c r="N39" s="2709"/>
      <c r="O39" s="2709"/>
      <c r="P39" s="2709"/>
      <c r="Q39" s="2709"/>
      <c r="R39" s="2709"/>
      <c r="S39" s="2709"/>
      <c r="T39" s="2709"/>
      <c r="U39" s="2709"/>
      <c r="V39" s="2709"/>
      <c r="W39" s="2709"/>
      <c r="X39" s="2709"/>
      <c r="Y39" s="2709"/>
      <c r="Z39" s="2709"/>
      <c r="AA39" s="2709"/>
      <c r="AB39" s="2709"/>
      <c r="AC39" s="2709"/>
      <c r="AD39" s="2709"/>
      <c r="AE39" s="2709"/>
      <c r="AF39" s="2709"/>
      <c r="AG39" s="2709"/>
      <c r="AH39" s="2709"/>
      <c r="AI39" s="2709"/>
      <c r="AJ39" s="2710"/>
    </row>
    <row r="40" spans="1:36">
      <c r="A40" s="2711" t="s">
        <v>3953</v>
      </c>
      <c r="B40" s="3894" t="s">
        <v>3975</v>
      </c>
      <c r="C40" s="3895"/>
      <c r="D40" s="3895"/>
      <c r="E40" s="3895"/>
      <c r="F40" s="3895"/>
      <c r="G40" s="3895"/>
      <c r="H40" s="3895"/>
      <c r="I40" s="3895"/>
      <c r="J40" s="3895"/>
      <c r="K40" s="3895"/>
      <c r="L40" s="3895"/>
      <c r="M40" s="3895"/>
      <c r="N40" s="3895"/>
      <c r="O40" s="3895"/>
      <c r="P40" s="3895"/>
      <c r="Q40" s="3929"/>
      <c r="R40" s="2639"/>
      <c r="S40" s="2639"/>
      <c r="T40" s="2639"/>
      <c r="U40" s="3894" t="s">
        <v>3976</v>
      </c>
      <c r="V40" s="3895"/>
      <c r="W40" s="3895"/>
      <c r="X40" s="3895"/>
      <c r="Y40" s="3895"/>
      <c r="Z40" s="3895"/>
      <c r="AA40" s="3895"/>
      <c r="AB40" s="3895"/>
      <c r="AC40" s="3895"/>
      <c r="AD40" s="3895"/>
      <c r="AE40" s="3895"/>
      <c r="AF40" s="3895"/>
      <c r="AG40" s="3895"/>
      <c r="AH40" s="3895"/>
      <c r="AI40" s="3895"/>
      <c r="AJ40" s="3929"/>
    </row>
    <row r="41" spans="1:36">
      <c r="A41" s="2712"/>
      <c r="B41" s="3903" t="s">
        <v>3977</v>
      </c>
      <c r="C41" s="3904"/>
      <c r="D41" s="3904"/>
      <c r="E41" s="3904"/>
      <c r="F41" s="3904"/>
      <c r="G41" s="3904"/>
      <c r="H41" s="3904"/>
      <c r="I41" s="3905"/>
      <c r="J41" s="3937" t="s">
        <v>3978</v>
      </c>
      <c r="K41" s="3904"/>
      <c r="L41" s="3904"/>
      <c r="M41" s="3904"/>
      <c r="N41" s="3904"/>
      <c r="O41" s="3904"/>
      <c r="P41" s="3904"/>
      <c r="Q41" s="3938"/>
      <c r="R41" s="2639"/>
      <c r="S41" s="2639"/>
      <c r="T41" s="2639"/>
      <c r="U41" s="3903" t="s">
        <v>3979</v>
      </c>
      <c r="V41" s="3904"/>
      <c r="W41" s="3904"/>
      <c r="X41" s="3904"/>
      <c r="Y41" s="3904"/>
      <c r="Z41" s="3904"/>
      <c r="AA41" s="3904"/>
      <c r="AB41" s="3905"/>
      <c r="AC41" s="3937" t="s">
        <v>3980</v>
      </c>
      <c r="AD41" s="3904"/>
      <c r="AE41" s="3904"/>
      <c r="AF41" s="3904"/>
      <c r="AG41" s="3904"/>
      <c r="AH41" s="3904"/>
      <c r="AI41" s="3904"/>
      <c r="AJ41" s="3938"/>
    </row>
    <row r="42" spans="1:36">
      <c r="A42" s="2712"/>
      <c r="B42" s="2713"/>
      <c r="C42" s="2714"/>
      <c r="D42" s="2714"/>
      <c r="E42" s="2714" t="s">
        <v>1105</v>
      </c>
      <c r="F42" s="2714" t="s">
        <v>1107</v>
      </c>
      <c r="G42" s="2714" t="s">
        <v>1108</v>
      </c>
      <c r="H42" s="2714"/>
      <c r="I42" s="2714"/>
      <c r="J42" s="2714"/>
      <c r="K42" s="2714"/>
      <c r="L42" s="2714"/>
      <c r="M42" s="2714" t="s">
        <v>1105</v>
      </c>
      <c r="N42" s="2714" t="s">
        <v>1107</v>
      </c>
      <c r="O42" s="2714" t="s">
        <v>1108</v>
      </c>
      <c r="P42" s="2714"/>
      <c r="Q42" s="2715"/>
      <c r="R42" s="2639"/>
      <c r="S42" s="2639"/>
      <c r="T42" s="2639"/>
      <c r="U42" s="2713"/>
      <c r="V42" s="2714"/>
      <c r="W42" s="2714"/>
      <c r="X42" s="2714" t="s">
        <v>1105</v>
      </c>
      <c r="Y42" s="2714" t="s">
        <v>1110</v>
      </c>
      <c r="Z42" s="2714" t="s">
        <v>1111</v>
      </c>
      <c r="AA42" s="2714"/>
      <c r="AB42" s="2714"/>
      <c r="AC42" s="2714"/>
      <c r="AD42" s="2714"/>
      <c r="AE42" s="2714"/>
      <c r="AF42" s="2714" t="s">
        <v>1105</v>
      </c>
      <c r="AG42" s="2714" t="s">
        <v>1110</v>
      </c>
      <c r="AH42" s="2714" t="s">
        <v>1111</v>
      </c>
      <c r="AI42" s="2714"/>
      <c r="AJ42" s="2715"/>
    </row>
    <row r="43" spans="1:36">
      <c r="A43" s="2712"/>
      <c r="B43" s="2716" t="e">
        <f ca="1">IF(Small_F,FALSE,AND(E43-SP_iD/2&gt;min_re_L,int_reinf_req))</f>
        <v>#REF!</v>
      </c>
      <c r="C43" s="2662"/>
      <c r="D43" s="2717"/>
      <c r="E43" s="2662" t="e">
        <f ca="1">int_reinf_oR</f>
        <v>#REF!</v>
      </c>
      <c r="F43" s="2662" t="e">
        <f ca="1">IF(B43,-SQRT(E43^2-G43^2),0)</f>
        <v>#REF!</v>
      </c>
      <c r="G43" s="2662" t="e">
        <f ca="1">IF(B43,-SP_iF_xy_pos,0)</f>
        <v>#REF!</v>
      </c>
      <c r="H43" s="2718"/>
      <c r="I43" s="2719"/>
      <c r="J43" s="2720" t="e">
        <f ca="1">B43</f>
        <v>#REF!</v>
      </c>
      <c r="K43" s="2662"/>
      <c r="L43" s="2717"/>
      <c r="M43" s="2662" t="e">
        <f ca="1">int_reinf_oR</f>
        <v>#REF!</v>
      </c>
      <c r="N43" s="2662" t="e">
        <f ca="1">IF(J43,SQRT(M43^2-O43^2),0)</f>
        <v>#REF!</v>
      </c>
      <c r="O43" s="2662" t="e">
        <f ca="1">IF(J43,-SP_iF_xy_pos,0)</f>
        <v>#REF!</v>
      </c>
      <c r="P43" s="2718"/>
      <c r="Q43" s="2721"/>
      <c r="R43" s="2639"/>
      <c r="S43" s="2639"/>
      <c r="T43" s="2639"/>
      <c r="U43" s="2716" t="e">
        <f ca="1">IF(Small_F,FALSE,AND(X43-SP_iD/2&gt;min_re_L,int_reinf_req))</f>
        <v>#REF!</v>
      </c>
      <c r="V43" s="2662"/>
      <c r="W43" s="2717"/>
      <c r="X43" s="2662" t="e">
        <f ca="1">int_reinf_oR</f>
        <v>#REF!</v>
      </c>
      <c r="Y43" s="2662" t="e">
        <f ca="1">IF(U43,-SQRT(X43^2-Z43^2),0)</f>
        <v>#REF!</v>
      </c>
      <c r="Z43" s="2662" t="e">
        <f ca="1">IF(U43,SP_iF_xy_pos,0)</f>
        <v>#REF!</v>
      </c>
      <c r="AA43" s="2718"/>
      <c r="AB43" s="2719"/>
      <c r="AC43" s="2720" t="e">
        <f ca="1">U43</f>
        <v>#REF!</v>
      </c>
      <c r="AD43" s="2662"/>
      <c r="AE43" s="2717"/>
      <c r="AF43" s="2662" t="e">
        <f ca="1">int_reinf_oR</f>
        <v>#REF!</v>
      </c>
      <c r="AG43" s="2662" t="e">
        <f ca="1">IF(AC43,SQRT(AF43^2-AH43^2),0)</f>
        <v>#REF!</v>
      </c>
      <c r="AH43" s="2662" t="e">
        <f ca="1">IF(AC43,SP_iF_xy_pos,0)</f>
        <v>#REF!</v>
      </c>
      <c r="AI43" s="2718"/>
      <c r="AJ43" s="2721"/>
    </row>
    <row r="44" spans="1:36" ht="15.75" thickBot="1">
      <c r="A44" s="2712"/>
      <c r="B44" s="2722"/>
      <c r="C44" s="2723"/>
      <c r="D44" s="2723"/>
      <c r="E44" s="2723"/>
      <c r="F44" s="2723"/>
      <c r="G44" s="2723"/>
      <c r="H44" s="2686">
        <f>DEGREES(H43)</f>
        <v>0</v>
      </c>
      <c r="I44" s="2723"/>
      <c r="J44" s="2723"/>
      <c r="K44" s="2723"/>
      <c r="L44" s="2723"/>
      <c r="M44" s="2723"/>
      <c r="N44" s="2723"/>
      <c r="O44" s="2723"/>
      <c r="P44" s="2686">
        <f>DEGREES(P43)</f>
        <v>0</v>
      </c>
      <c r="Q44" s="2724"/>
      <c r="R44" s="2639"/>
      <c r="S44" s="2639"/>
      <c r="T44" s="2639"/>
      <c r="U44" s="2722"/>
      <c r="V44" s="2723"/>
      <c r="W44" s="2723"/>
      <c r="X44" s="2723"/>
      <c r="Y44" s="2723"/>
      <c r="Z44" s="2723"/>
      <c r="AA44" s="2686">
        <f>DEGREES(AA43)</f>
        <v>0</v>
      </c>
      <c r="AB44" s="2723"/>
      <c r="AC44" s="2723"/>
      <c r="AD44" s="2723"/>
      <c r="AE44" s="2723"/>
      <c r="AF44" s="2723"/>
      <c r="AG44" s="2723"/>
      <c r="AH44" s="2723"/>
      <c r="AI44" s="2686">
        <f>DEGREES(AI43)</f>
        <v>0</v>
      </c>
      <c r="AJ44" s="2724"/>
    </row>
    <row r="45" spans="1:36">
      <c r="A45" s="2705"/>
      <c r="B45" s="3894" t="s">
        <v>3981</v>
      </c>
      <c r="C45" s="3895"/>
      <c r="D45" s="3895"/>
      <c r="E45" s="3895"/>
      <c r="F45" s="3895"/>
      <c r="G45" s="3895"/>
      <c r="H45" s="3895"/>
      <c r="I45" s="3895"/>
      <c r="J45" s="3895"/>
      <c r="K45" s="3895"/>
      <c r="L45" s="3895"/>
      <c r="M45" s="3895"/>
      <c r="N45" s="3895"/>
      <c r="O45" s="3895"/>
      <c r="P45" s="3895"/>
      <c r="Q45" s="3929"/>
      <c r="R45" s="2639"/>
      <c r="S45" s="2639"/>
      <c r="T45" s="2639"/>
      <c r="U45" s="3894" t="s">
        <v>3982</v>
      </c>
      <c r="V45" s="3895"/>
      <c r="W45" s="3895"/>
      <c r="X45" s="3895"/>
      <c r="Y45" s="3895"/>
      <c r="Z45" s="3895"/>
      <c r="AA45" s="3895"/>
      <c r="AB45" s="3895"/>
      <c r="AC45" s="3895"/>
      <c r="AD45" s="3895"/>
      <c r="AE45" s="3895"/>
      <c r="AF45" s="3895"/>
      <c r="AG45" s="3895"/>
      <c r="AH45" s="3895"/>
      <c r="AI45" s="3895"/>
      <c r="AJ45" s="3929"/>
    </row>
    <row r="46" spans="1:36" s="2725" customFormat="1">
      <c r="A46" s="2698"/>
      <c r="B46" s="3903" t="s">
        <v>3983</v>
      </c>
      <c r="C46" s="3904"/>
      <c r="D46" s="3904"/>
      <c r="E46" s="3904"/>
      <c r="F46" s="3904"/>
      <c r="G46" s="3904"/>
      <c r="H46" s="3904"/>
      <c r="I46" s="3905"/>
      <c r="J46" s="3906" t="s">
        <v>3984</v>
      </c>
      <c r="K46" s="3907"/>
      <c r="L46" s="3907"/>
      <c r="M46" s="3907"/>
      <c r="N46" s="3907"/>
      <c r="O46" s="3907"/>
      <c r="P46" s="3907"/>
      <c r="Q46" s="3908"/>
      <c r="R46" s="2692"/>
      <c r="S46" s="2692"/>
      <c r="T46" s="2692"/>
      <c r="U46" s="3903" t="s">
        <v>3985</v>
      </c>
      <c r="V46" s="3904"/>
      <c r="W46" s="3904"/>
      <c r="X46" s="3904"/>
      <c r="Y46" s="3904"/>
      <c r="Z46" s="3904"/>
      <c r="AA46" s="3904"/>
      <c r="AB46" s="3905"/>
      <c r="AC46" s="3906" t="s">
        <v>3986</v>
      </c>
      <c r="AD46" s="3907"/>
      <c r="AE46" s="3907"/>
      <c r="AF46" s="3907"/>
      <c r="AG46" s="3907"/>
      <c r="AH46" s="3907"/>
      <c r="AI46" s="3907"/>
      <c r="AJ46" s="3908"/>
    </row>
    <row r="47" spans="1:36" s="2725" customFormat="1">
      <c r="A47" s="2726"/>
      <c r="B47" s="2713"/>
      <c r="C47" s="2727"/>
      <c r="D47" s="2714"/>
      <c r="E47" s="2714" t="s">
        <v>1105</v>
      </c>
      <c r="F47" s="2727" t="s">
        <v>1110</v>
      </c>
      <c r="G47" s="2727" t="s">
        <v>1108</v>
      </c>
      <c r="H47" s="2714"/>
      <c r="I47" s="2714"/>
      <c r="J47" s="2714"/>
      <c r="K47" s="2727"/>
      <c r="L47" s="2714"/>
      <c r="M47" s="2714" t="s">
        <v>1105</v>
      </c>
      <c r="N47" s="2727" t="s">
        <v>1110</v>
      </c>
      <c r="O47" s="2714" t="s">
        <v>1111</v>
      </c>
      <c r="P47" s="2714"/>
      <c r="Q47" s="2715"/>
      <c r="R47" s="2692"/>
      <c r="S47" s="2692"/>
      <c r="T47" s="2692"/>
      <c r="U47" s="2713"/>
      <c r="V47" s="2727"/>
      <c r="W47" s="2714"/>
      <c r="X47" s="2714" t="s">
        <v>1105</v>
      </c>
      <c r="Y47" s="2727" t="s">
        <v>1107</v>
      </c>
      <c r="Z47" s="2727" t="s">
        <v>1108</v>
      </c>
      <c r="AA47" s="2714"/>
      <c r="AB47" s="2714"/>
      <c r="AC47" s="2714"/>
      <c r="AD47" s="2727"/>
      <c r="AE47" s="2714"/>
      <c r="AF47" s="2714" t="s">
        <v>1105</v>
      </c>
      <c r="AG47" s="2727" t="s">
        <v>1107</v>
      </c>
      <c r="AH47" s="2714" t="s">
        <v>1111</v>
      </c>
      <c r="AI47" s="2714"/>
      <c r="AJ47" s="2715"/>
    </row>
    <row r="48" spans="1:36" s="2725" customFormat="1">
      <c r="A48" s="2726"/>
      <c r="B48" s="2716" t="e">
        <f ca="1">IF(Small_F,FALSE,AND(E48-SP_iD/2&gt;min_re_L,int_reinf_req))</f>
        <v>#REF!</v>
      </c>
      <c r="C48" s="2662"/>
      <c r="D48" s="2717"/>
      <c r="E48" s="2662" t="e">
        <f ca="1">int_reinf_oR</f>
        <v>#REF!</v>
      </c>
      <c r="F48" s="2662" t="e">
        <f ca="1">IF(B48,SP_iF_xy_pos,0)</f>
        <v>#REF!</v>
      </c>
      <c r="G48" s="2662" t="e">
        <f ca="1">IF(B48,-SQRT(E48^2-F48^2),0)</f>
        <v>#REF!</v>
      </c>
      <c r="H48" s="2718"/>
      <c r="I48" s="2719"/>
      <c r="J48" s="2728" t="e">
        <f ca="1">B48</f>
        <v>#REF!</v>
      </c>
      <c r="K48" s="2662"/>
      <c r="L48" s="2717"/>
      <c r="M48" s="2662" t="e">
        <f ca="1">int_reinf_oR</f>
        <v>#REF!</v>
      </c>
      <c r="N48" s="2662" t="e">
        <f ca="1">IF(J48,SP_iF_xy_pos,0)</f>
        <v>#REF!</v>
      </c>
      <c r="O48" s="2662" t="e">
        <f ca="1">IF(J48,SQRT(M48^2-N48^2),0)</f>
        <v>#REF!</v>
      </c>
      <c r="P48" s="2718"/>
      <c r="Q48" s="2721"/>
      <c r="R48" s="2692"/>
      <c r="S48" s="2692"/>
      <c r="T48" s="2692"/>
      <c r="U48" s="2716" t="e">
        <f ca="1">IF(Small_F,FALSE,AND(X48-SP_iD/2&gt;min_re_L,int_reinf_req))</f>
        <v>#REF!</v>
      </c>
      <c r="V48" s="2662"/>
      <c r="W48" s="2717"/>
      <c r="X48" s="2662" t="e">
        <f ca="1">int_reinf_oR</f>
        <v>#REF!</v>
      </c>
      <c r="Y48" s="2662" t="e">
        <f ca="1">IF(U48,-SP_iF_xy_pos,0)</f>
        <v>#REF!</v>
      </c>
      <c r="Z48" s="2662" t="e">
        <f ca="1">IF(U48,-SQRT(X48^2-Y48^2),0)</f>
        <v>#REF!</v>
      </c>
      <c r="AA48" s="2718"/>
      <c r="AB48" s="2719"/>
      <c r="AC48" s="2728" t="e">
        <f ca="1">U48</f>
        <v>#REF!</v>
      </c>
      <c r="AD48" s="2662"/>
      <c r="AE48" s="2717"/>
      <c r="AF48" s="2662" t="e">
        <f ca="1">int_reinf_oR</f>
        <v>#REF!</v>
      </c>
      <c r="AG48" s="2662" t="e">
        <f ca="1">IF(AC48,-SP_iF_xy_pos,0)</f>
        <v>#REF!</v>
      </c>
      <c r="AH48" s="2662" t="e">
        <f ca="1">IF(AC48,SQRT(AF48^2-AG48^2),0)</f>
        <v>#REF!</v>
      </c>
      <c r="AI48" s="2718"/>
      <c r="AJ48" s="2721"/>
    </row>
    <row r="49" spans="1:37" s="2725" customFormat="1" ht="15.75" thickBot="1">
      <c r="A49" s="2726"/>
      <c r="B49" s="2722"/>
      <c r="C49" s="2723"/>
      <c r="D49" s="2723"/>
      <c r="E49" s="2723"/>
      <c r="F49" s="2723"/>
      <c r="G49" s="2723"/>
      <c r="H49" s="2686"/>
      <c r="I49" s="2723"/>
      <c r="J49" s="2723"/>
      <c r="K49" s="2723"/>
      <c r="L49" s="2723"/>
      <c r="M49" s="2723"/>
      <c r="N49" s="2723"/>
      <c r="O49" s="2723"/>
      <c r="P49" s="2686"/>
      <c r="Q49" s="2724"/>
      <c r="R49" s="2692"/>
      <c r="S49" s="2692"/>
      <c r="T49" s="2692"/>
      <c r="U49" s="2722"/>
      <c r="V49" s="2723"/>
      <c r="W49" s="2723"/>
      <c r="X49" s="2723"/>
      <c r="Y49" s="2723"/>
      <c r="Z49" s="2723"/>
      <c r="AA49" s="2686">
        <f>DEGREES(AA48)</f>
        <v>0</v>
      </c>
      <c r="AB49" s="2723"/>
      <c r="AC49" s="2723"/>
      <c r="AD49" s="2723"/>
      <c r="AE49" s="2723"/>
      <c r="AF49" s="2723"/>
      <c r="AG49" s="2723"/>
      <c r="AH49" s="2723"/>
      <c r="AI49" s="2686">
        <f>DEGREES(AI48)</f>
        <v>0</v>
      </c>
      <c r="AJ49" s="2724"/>
    </row>
    <row r="50" spans="1:37" s="2731" customFormat="1">
      <c r="A50" s="2729"/>
      <c r="B50" s="2695"/>
      <c r="C50" s="2695"/>
      <c r="D50" s="2695"/>
      <c r="E50" s="2695"/>
      <c r="F50" s="2695"/>
      <c r="G50" s="2695"/>
      <c r="H50" s="2695"/>
      <c r="I50" s="2695"/>
      <c r="J50" s="2695"/>
      <c r="K50" s="2695"/>
      <c r="L50" s="2695"/>
      <c r="M50" s="2695"/>
      <c r="N50" s="2695"/>
      <c r="O50" s="2695"/>
      <c r="P50" s="2695"/>
      <c r="Q50" s="2695"/>
      <c r="R50" s="2695"/>
      <c r="S50" s="2695"/>
      <c r="T50" s="2695"/>
      <c r="U50" s="2695"/>
      <c r="V50" s="2695"/>
      <c r="W50" s="2695"/>
      <c r="X50" s="2695"/>
      <c r="Y50" s="2695"/>
      <c r="Z50" s="2695"/>
      <c r="AA50" s="2695"/>
      <c r="AB50" s="2695"/>
      <c r="AC50" s="2695"/>
      <c r="AD50" s="2695"/>
      <c r="AE50" s="2695"/>
      <c r="AF50" s="2695"/>
      <c r="AG50" s="2695"/>
      <c r="AH50" s="2695"/>
      <c r="AI50" s="2695"/>
      <c r="AJ50" s="2730"/>
    </row>
    <row r="51" spans="1:37" s="2731" customFormat="1">
      <c r="A51" s="2732"/>
      <c r="B51" s="2695"/>
      <c r="C51" s="2695"/>
      <c r="D51" s="2695"/>
      <c r="E51" s="2695"/>
      <c r="F51" s="2695"/>
      <c r="G51" s="2695"/>
      <c r="H51" s="2695"/>
      <c r="I51" s="2695"/>
      <c r="J51" s="2695"/>
      <c r="K51" s="2695"/>
      <c r="L51" s="2695"/>
      <c r="M51" s="2695"/>
      <c r="N51" s="2695"/>
      <c r="O51" s="2695"/>
      <c r="P51" s="2695"/>
      <c r="Q51" s="2695"/>
      <c r="R51" s="2695"/>
      <c r="S51" s="2695"/>
      <c r="T51" s="2733"/>
      <c r="U51" s="2695"/>
      <c r="V51" s="2695"/>
      <c r="W51" s="2695"/>
      <c r="X51" s="2695"/>
      <c r="Y51" s="2695"/>
      <c r="Z51" s="2695"/>
      <c r="AA51" s="2695"/>
      <c r="AB51" s="2695"/>
      <c r="AC51" s="2695"/>
      <c r="AD51" s="2695"/>
      <c r="AE51" s="2695"/>
      <c r="AF51" s="2695"/>
      <c r="AG51" s="2695"/>
      <c r="AH51" s="2695"/>
      <c r="AI51" s="2695"/>
      <c r="AJ51" s="2730"/>
    </row>
    <row r="52" spans="1:37" s="2731" customFormat="1">
      <c r="A52" s="2734" t="s">
        <v>3953</v>
      </c>
      <c r="B52" s="3331" t="s">
        <v>3987</v>
      </c>
      <c r="C52" s="3331" t="s">
        <v>3988</v>
      </c>
      <c r="D52" s="3331" t="s">
        <v>3989</v>
      </c>
      <c r="E52" s="3331" t="s">
        <v>3990</v>
      </c>
      <c r="F52" s="3331" t="s">
        <v>3991</v>
      </c>
      <c r="G52" s="3331" t="s">
        <v>3992</v>
      </c>
      <c r="H52" s="3331" t="s">
        <v>3993</v>
      </c>
      <c r="I52" s="3331" t="s">
        <v>3994</v>
      </c>
      <c r="J52" s="2695"/>
      <c r="K52" s="2695"/>
      <c r="L52" s="2695"/>
      <c r="M52" s="2695"/>
      <c r="N52" s="2695"/>
      <c r="O52" s="2695"/>
      <c r="P52" s="2695"/>
      <c r="Q52" s="2695"/>
      <c r="R52" s="2695"/>
      <c r="S52" s="2695"/>
      <c r="T52" s="2695"/>
      <c r="U52" s="2695"/>
      <c r="V52" s="2695"/>
      <c r="W52" s="2695"/>
      <c r="X52" s="2695"/>
      <c r="Y52" s="2695"/>
      <c r="Z52" s="2695"/>
      <c r="AA52" s="2695"/>
      <c r="AB52" s="2734" t="str">
        <f>"Support Plate Side Int Frame "&amp;$E$6&amp;", (0, 0)"</f>
        <v>Support Plate Side Int Frame RD, (0, 0)</v>
      </c>
      <c r="AC52" s="3331" t="str">
        <f t="shared" ref="AC52:AJ52" si="0">B52</f>
        <v>SPSiFVL</v>
      </c>
      <c r="AD52" s="3331" t="str">
        <f t="shared" si="0"/>
        <v>SPSiFVR</v>
      </c>
      <c r="AE52" s="3331" t="str">
        <f t="shared" si="0"/>
        <v>SPSiFHhi</v>
      </c>
      <c r="AF52" s="3331" t="str">
        <f t="shared" si="0"/>
        <v>SPSiFHlo</v>
      </c>
      <c r="AG52" s="3331" t="str">
        <f t="shared" si="0"/>
        <v>SPSiFOuL</v>
      </c>
      <c r="AH52" s="3331" t="str">
        <f t="shared" si="0"/>
        <v>SPSiFOuR</v>
      </c>
      <c r="AI52" s="3331" t="str">
        <f t="shared" si="0"/>
        <v>SPSiFOloR</v>
      </c>
      <c r="AJ52" s="3332" t="str">
        <f t="shared" si="0"/>
        <v>SPSiFOloL</v>
      </c>
    </row>
    <row r="53" spans="1:37" s="2731" customFormat="1" ht="14.45" customHeight="1">
      <c r="A53" s="2698"/>
      <c r="B53" s="3298" t="e">
        <f ca="1">$B$43</f>
        <v>#REF!</v>
      </c>
      <c r="C53" s="3298" t="e">
        <f ca="1">$U$43</f>
        <v>#REF!</v>
      </c>
      <c r="D53" s="3298" t="e">
        <f ca="1">$B$48</f>
        <v>#REF!</v>
      </c>
      <c r="E53" s="3298" t="e">
        <f ca="1">$U$48</f>
        <v>#REF!</v>
      </c>
      <c r="F53" s="3330" t="e">
        <f ca="1">$K$56</f>
        <v>#REF!</v>
      </c>
      <c r="G53" s="3330" t="e">
        <f t="shared" ref="G53:I53" ca="1" si="1">$K$56</f>
        <v>#REF!</v>
      </c>
      <c r="H53" s="3330" t="e">
        <f t="shared" ca="1" si="1"/>
        <v>#REF!</v>
      </c>
      <c r="I53" s="3330" t="e">
        <f t="shared" ca="1" si="1"/>
        <v>#REF!</v>
      </c>
      <c r="J53" s="2695"/>
      <c r="K53" s="3906" t="s">
        <v>3554</v>
      </c>
      <c r="L53" s="3939"/>
      <c r="M53" s="2695"/>
      <c r="N53" s="2695"/>
      <c r="O53" s="2695"/>
      <c r="P53" s="2695"/>
      <c r="Q53" s="2695"/>
      <c r="R53" s="2695"/>
      <c r="S53" s="2695"/>
      <c r="T53" s="2695"/>
      <c r="U53" s="2695"/>
      <c r="V53" s="2695"/>
      <c r="W53" s="2695"/>
      <c r="X53" s="2695"/>
      <c r="Y53" s="2695"/>
      <c r="Z53" s="2695"/>
      <c r="AA53" s="2695"/>
      <c r="AB53" s="2737"/>
      <c r="AC53" s="3303" t="e">
        <f ca="1">IF($E$6="RD",$C53,$B53)</f>
        <v>#REF!</v>
      </c>
      <c r="AD53" s="3303" t="e">
        <f ca="1">IF($E$6="RD",$B53,$C53)</f>
        <v>#REF!</v>
      </c>
      <c r="AE53" s="3303" t="e">
        <f ca="1">$D53</f>
        <v>#REF!</v>
      </c>
      <c r="AF53" s="3303" t="e">
        <f ca="1">$E53</f>
        <v>#REF!</v>
      </c>
      <c r="AG53" s="3303" t="e">
        <f ca="1">IF($E$6="RD",$G53,$F53)</f>
        <v>#REF!</v>
      </c>
      <c r="AH53" s="3303" t="e">
        <f ca="1">IF($E$6="RD",$F53,$G53)</f>
        <v>#REF!</v>
      </c>
      <c r="AI53" s="3303" t="e">
        <f ca="1">IF($E$6="RD",$I53,$H53)</f>
        <v>#REF!</v>
      </c>
      <c r="AJ53" s="3304" t="e">
        <f ca="1">IF($E$6="RD",$H53,$I53)</f>
        <v>#REF!</v>
      </c>
    </row>
    <row r="54" spans="1:37" s="2731" customFormat="1" ht="14.45" customHeight="1">
      <c r="A54" s="3179" t="s">
        <v>4013</v>
      </c>
      <c r="B54" s="3174" t="e">
        <f t="shared" ref="B54:I54" ca="1" si="2">IF(B53,$R$7,0)</f>
        <v>#REF!</v>
      </c>
      <c r="C54" s="3174" t="e">
        <f t="shared" ca="1" si="2"/>
        <v>#REF!</v>
      </c>
      <c r="D54" s="3174" t="e">
        <f t="shared" ca="1" si="2"/>
        <v>#REF!</v>
      </c>
      <c r="E54" s="3174" t="e">
        <f t="shared" ca="1" si="2"/>
        <v>#REF!</v>
      </c>
      <c r="F54" s="3174" t="e">
        <f t="shared" ca="1" si="2"/>
        <v>#REF!</v>
      </c>
      <c r="G54" s="3174" t="e">
        <f t="shared" ca="1" si="2"/>
        <v>#REF!</v>
      </c>
      <c r="H54" s="3174" t="e">
        <f t="shared" ca="1" si="2"/>
        <v>#REF!</v>
      </c>
      <c r="I54" s="3174" t="e">
        <f t="shared" ca="1" si="2"/>
        <v>#REF!</v>
      </c>
      <c r="J54" s="2695"/>
      <c r="K54" s="3173"/>
      <c r="L54" s="3176"/>
      <c r="M54" s="2695"/>
      <c r="N54" s="2695"/>
      <c r="O54" s="2695"/>
      <c r="P54" s="2695"/>
      <c r="Q54" s="2695"/>
      <c r="R54" s="2695"/>
      <c r="S54" s="2695"/>
      <c r="T54" s="2695"/>
      <c r="U54" s="2695"/>
      <c r="V54" s="2695"/>
      <c r="W54" s="2695"/>
      <c r="X54" s="2695"/>
      <c r="Y54" s="2695"/>
      <c r="Z54" s="2695"/>
      <c r="AA54" s="2695"/>
      <c r="AB54" s="3177"/>
      <c r="AC54" s="3174" t="e">
        <f ca="1">IF($E$6="RD",$C54,$B54)</f>
        <v>#REF!</v>
      </c>
      <c r="AD54" s="3174" t="e">
        <f ca="1">IF($E$6="RD",$B54,$C54)</f>
        <v>#REF!</v>
      </c>
      <c r="AE54" s="3174" t="e">
        <f ca="1">$D54</f>
        <v>#REF!</v>
      </c>
      <c r="AF54" s="3174" t="e">
        <f ca="1">$E54</f>
        <v>#REF!</v>
      </c>
      <c r="AG54" s="3174" t="e">
        <f ca="1">IF($E$6="RD",$G54,$F54)</f>
        <v>#REF!</v>
      </c>
      <c r="AH54" s="3174" t="e">
        <f ca="1">IF($E$6="RD",$F54,$G54)</f>
        <v>#REF!</v>
      </c>
      <c r="AI54" s="3174" t="e">
        <f ca="1">IF($E$6="RD",$I54,$H54)</f>
        <v>#REF!</v>
      </c>
      <c r="AJ54" s="3178" t="e">
        <f ca="1">IF($E$6="RD",$H54,$I54)</f>
        <v>#REF!</v>
      </c>
    </row>
    <row r="55" spans="1:37" s="2731" customFormat="1" ht="14.45" customHeight="1">
      <c r="A55" s="2732" t="s">
        <v>1094</v>
      </c>
      <c r="B55" s="2662" t="e">
        <f ca="1">IF(Small_F,0,$G43)</f>
        <v>#REF!</v>
      </c>
      <c r="C55" s="2662" t="e">
        <f ca="1">IF(Small_F,0,$Z43)</f>
        <v>#REF!</v>
      </c>
      <c r="D55" s="2662" t="e">
        <f ca="1">IF(Small_F,0,$G48)</f>
        <v>#REF!</v>
      </c>
      <c r="E55" s="2662" t="e">
        <f ca="1">IF(Small_F,0,$Z48)</f>
        <v>#REF!</v>
      </c>
      <c r="F55" s="2662" t="e">
        <f ca="1">IF(AND($F$53,$O$94),$B$57-$U$7,0)</f>
        <v>#REF!</v>
      </c>
      <c r="G55" s="2662" t="e">
        <f ca="1">IF(AND($G$53,$O$94),$C$57+$U$7,0)</f>
        <v>#REF!</v>
      </c>
      <c r="H55" s="2662" t="e">
        <f ca="1">IF(AND($H$53,$O$94),$E$57-$U$7,0)</f>
        <v>#REF!</v>
      </c>
      <c r="I55" s="2662" t="e">
        <f ca="1">IF(AND($I$53,$O$94),$E$55+$U$7,0)</f>
        <v>#REF!</v>
      </c>
      <c r="J55" s="2695"/>
      <c r="K55" s="3940" t="e">
        <f ca="1">MAX(SPmin_reinf_area,MIN($H$61,ROUNDDOWN(2*SP_T/1000/crit_a,2)))</f>
        <v>#REF!</v>
      </c>
      <c r="L55" s="3941"/>
      <c r="M55" s="2695"/>
      <c r="N55" s="2695"/>
      <c r="O55" s="2695"/>
      <c r="P55" s="2695"/>
      <c r="Q55" s="2695"/>
      <c r="R55" s="2695"/>
      <c r="S55" s="2695"/>
      <c r="T55" s="2695"/>
      <c r="U55" s="2695"/>
      <c r="V55" s="2695"/>
      <c r="W55" s="2695"/>
      <c r="X55" s="2695"/>
      <c r="Y55" s="2695"/>
      <c r="Z55" s="2695"/>
      <c r="AA55" s="2695"/>
      <c r="AB55" s="2664" t="s">
        <v>4101</v>
      </c>
      <c r="AC55" s="2662" t="e">
        <f ca="1">IF($E$6="RD",$C55,$B55)</f>
        <v>#REF!</v>
      </c>
      <c r="AD55" s="2662" t="e">
        <f ca="1">IF($E$6="RD",$B55,$C55)</f>
        <v>#REF!</v>
      </c>
      <c r="AE55" s="2662" t="e">
        <f ca="1">$D56</f>
        <v>#REF!</v>
      </c>
      <c r="AF55" s="2662" t="e">
        <f ca="1">$E56</f>
        <v>#REF!</v>
      </c>
      <c r="AG55" s="2662" t="e">
        <f ca="1">IF(F55=0,0,IF($E$6="RD",$AD55,$AC55))</f>
        <v>#REF!</v>
      </c>
      <c r="AH55" s="2662" t="e">
        <f ca="1">IF(G55=0,0,IF($E$6="RD",$AC55,$AD55))</f>
        <v>#REF!</v>
      </c>
      <c r="AI55" s="2662" t="e">
        <f ca="1">IF(H55=0,0,IF($E$6="RD",$AC55,$AD55))</f>
        <v>#REF!</v>
      </c>
      <c r="AJ55" s="2794" t="e">
        <f ca="1">IF(I55=0,0,IF($E$6="RD",$AD55,$AC55))</f>
        <v>#REF!</v>
      </c>
    </row>
    <row r="56" spans="1:37" s="2731" customFormat="1">
      <c r="A56" s="2732" t="s">
        <v>1095</v>
      </c>
      <c r="B56" s="2662" t="e">
        <f ca="1">IF(Small_F,0,$F$43)</f>
        <v>#REF!</v>
      </c>
      <c r="C56" s="2662" t="e">
        <f ca="1">IF(Small_F,0,$Y43)</f>
        <v>#REF!</v>
      </c>
      <c r="D56" s="2662" t="e">
        <f ca="1">IF(Small_F,0,$F$48)</f>
        <v>#REF!</v>
      </c>
      <c r="E56" s="2662" t="e">
        <f ca="1">IF(Small_F,0,$Y48)</f>
        <v>#REF!</v>
      </c>
      <c r="F56" s="2662" t="e">
        <f ca="1">IF(AND($F$53,$O$94),$B$58-$U$7,0)</f>
        <v>#REF!</v>
      </c>
      <c r="G56" s="2662" t="e">
        <f ca="1">IF(AND($G$53,$O$94),$C$58-$U$7,0)</f>
        <v>#REF!</v>
      </c>
      <c r="H56" s="2662" t="e">
        <f ca="1">IF(AND($H$53,$O$94),$E$58-$U$7,0)</f>
        <v>#REF!</v>
      </c>
      <c r="I56" s="2662" t="e">
        <f ca="1">IF(AND($I$53,$O$94),$E$56-$U$7,0)</f>
        <v>#REF!</v>
      </c>
      <c r="J56" s="2695"/>
      <c r="K56" s="3942" t="e">
        <f ca="1">IF(Small_F,FALSE,IF((int_reinf_oR/1000-SP_iF_xy_pos/1000)^2/2&gt;$K$55,TRUE,FALSE))</f>
        <v>#REF!</v>
      </c>
      <c r="L56" s="3943"/>
      <c r="M56" s="2695"/>
      <c r="N56" s="2695"/>
      <c r="O56" s="2695"/>
      <c r="P56" s="2695"/>
      <c r="Q56" s="2695"/>
      <c r="R56" s="2695"/>
      <c r="S56" s="2695"/>
      <c r="T56" s="2695"/>
      <c r="U56" s="2695"/>
      <c r="V56" s="2695"/>
      <c r="W56" s="2695"/>
      <c r="X56" s="2695"/>
      <c r="Y56" s="2695"/>
      <c r="Z56" s="2695"/>
      <c r="AA56" s="2695"/>
      <c r="AB56" s="2664" t="s">
        <v>4102</v>
      </c>
      <c r="AC56" s="2662" t="e">
        <f ca="1">IF($E$6="RD",$C56,$B56)</f>
        <v>#REF!</v>
      </c>
      <c r="AD56" s="2662" t="e">
        <f ca="1">IF($E$6="RD",$B56,$C56)</f>
        <v>#REF!</v>
      </c>
      <c r="AE56" s="2662" t="e">
        <f ca="1">$D55</f>
        <v>#REF!</v>
      </c>
      <c r="AF56" s="2662" t="e">
        <f ca="1">$E55</f>
        <v>#REF!</v>
      </c>
      <c r="AG56" s="2662" t="e">
        <f ca="1">IF($F56=0,0,-IF($E$6="RD",$G59/2,$F59/2))</f>
        <v>#REF!</v>
      </c>
      <c r="AH56" s="2662" t="e">
        <f ca="1">IF($G56=0,0,-IF($E$6="RD",$F59/2,$G59/2))</f>
        <v>#REF!</v>
      </c>
      <c r="AI56" s="2662" t="e">
        <f ca="1">IF($H56=0,0,-IF($E$6="RD",$I59/2,$H59/2))</f>
        <v>#REF!</v>
      </c>
      <c r="AJ56" s="2794" t="e">
        <f ca="1">IF($I56=0,0,-IF($E$6="RD",$H59/2,$I59/2))</f>
        <v>#REF!</v>
      </c>
    </row>
    <row r="57" spans="1:37" s="2731" customFormat="1" ht="14.45" customHeight="1">
      <c r="A57" s="2732" t="s">
        <v>1096</v>
      </c>
      <c r="B57" s="2662" t="e">
        <f ca="1">IF(Small_F,0,$O$43)</f>
        <v>#REF!</v>
      </c>
      <c r="C57" s="2662" t="e">
        <f ca="1">IF(Small_F,0,$AH43)</f>
        <v>#REF!</v>
      </c>
      <c r="D57" s="2662" t="e">
        <f ca="1">IF(Small_F,0,$O$48)</f>
        <v>#REF!</v>
      </c>
      <c r="E57" s="2662" t="e">
        <f ca="1">IF(Small_F,0,$AH48)</f>
        <v>#REF!</v>
      </c>
      <c r="F57" s="2662" t="e">
        <f ca="1">IF(AND($F$53,$O$94),$D$55+$U$7,0)</f>
        <v>#REF!</v>
      </c>
      <c r="G57" s="2662" t="e">
        <f ca="1">IF(AND($G$53,$O$94),$D$57-$U$7,0)</f>
        <v>#REF!</v>
      </c>
      <c r="H57" s="2662" t="e">
        <f ca="1">IF(AND($H$53,$O$94),$C$55+$U$7,0)</f>
        <v>#REF!</v>
      </c>
      <c r="I57" s="2662" t="e">
        <f ca="1">IF(AND($I$53,$O$94),$B$55-$U$7,0)</f>
        <v>#REF!</v>
      </c>
      <c r="J57" s="2695"/>
      <c r="K57" s="2695"/>
      <c r="L57" s="2695"/>
      <c r="M57" s="2695"/>
      <c r="N57" s="2695"/>
      <c r="O57" s="2695"/>
      <c r="P57" s="2695"/>
      <c r="Q57" s="2695"/>
      <c r="R57" s="2695"/>
      <c r="S57" s="2695"/>
      <c r="T57" s="2695"/>
      <c r="U57" s="2695"/>
      <c r="V57" s="2695"/>
      <c r="W57" s="2695"/>
      <c r="X57" s="2695"/>
      <c r="Y57" s="2695"/>
      <c r="Z57" s="2695"/>
      <c r="AA57" s="2695"/>
      <c r="AB57" s="2664"/>
      <c r="AC57" s="2662"/>
      <c r="AD57" s="2662"/>
      <c r="AE57" s="2662"/>
      <c r="AF57" s="2662"/>
      <c r="AG57" s="2662"/>
      <c r="AH57" s="2662"/>
      <c r="AI57" s="2662"/>
      <c r="AJ57" s="2794"/>
    </row>
    <row r="58" spans="1:37" s="2731" customFormat="1">
      <c r="A58" s="2732" t="s">
        <v>1097</v>
      </c>
      <c r="B58" s="2738" t="e">
        <f ca="1">IF(Small_F,0,$N$43)</f>
        <v>#REF!</v>
      </c>
      <c r="C58" s="2738" t="e">
        <f ca="1">IF(Small_F,0,$AG43)</f>
        <v>#REF!</v>
      </c>
      <c r="D58" s="2738" t="e">
        <f ca="1">IF(Small_F,0,$N$48)</f>
        <v>#REF!</v>
      </c>
      <c r="E58" s="2738" t="e">
        <f ca="1">IF(Small_F,0,$AG48)</f>
        <v>#REF!</v>
      </c>
      <c r="F58" s="2738" t="e">
        <f ca="1">IF(AND($F$53,$O$94),$D$56+$U$7,0)</f>
        <v>#REF!</v>
      </c>
      <c r="G58" s="2738" t="e">
        <f ca="1">IF(AND($G$53,$O$94),$D$58+$U$7,0)</f>
        <v>#REF!</v>
      </c>
      <c r="H58" s="2738" t="e">
        <f ca="1">IF(AND($H$53,$O$94),$C$56+$U$7,0)</f>
        <v>#REF!</v>
      </c>
      <c r="I58" s="2738" t="e">
        <f ca="1">IF(AND($I$53,$O$94),$B$56+$U$7,0)</f>
        <v>#REF!</v>
      </c>
      <c r="J58" s="2695"/>
      <c r="K58" s="2695"/>
      <c r="L58" s="2695"/>
      <c r="M58" s="2695"/>
      <c r="N58" s="2695"/>
      <c r="O58" s="2695"/>
      <c r="P58" s="2695"/>
      <c r="Q58" s="2695"/>
      <c r="R58" s="2695"/>
      <c r="S58" s="2695"/>
      <c r="T58" s="2695"/>
      <c r="U58" s="2695"/>
      <c r="V58" s="2695"/>
      <c r="W58" s="2695"/>
      <c r="X58" s="2695"/>
      <c r="Y58" s="2695"/>
      <c r="Z58" s="2695"/>
      <c r="AA58" s="2695"/>
      <c r="AB58" s="2664" t="s">
        <v>4103</v>
      </c>
      <c r="AC58" s="2738" t="e">
        <f ca="1">IF($E$6="RD",$C58,$B58)</f>
        <v>#REF!</v>
      </c>
      <c r="AD58" s="2738" t="e">
        <f ca="1">IF($E$6="RD",$B58,$C58)</f>
        <v>#REF!</v>
      </c>
      <c r="AE58" s="2738" t="e">
        <f ca="1">$D57</f>
        <v>#REF!</v>
      </c>
      <c r="AF58" s="2738" t="e">
        <f ca="1">$E57</f>
        <v>#REF!</v>
      </c>
      <c r="AG58" s="2738" t="e">
        <f ca="1">IF($F58=0,0,IF($E$6="RD",$G59/2,$F59/2))</f>
        <v>#REF!</v>
      </c>
      <c r="AH58" s="2738" t="e">
        <f ca="1">IF($G58=0,0,IF($E$6="RD",$F59/2,$G59/2))</f>
        <v>#REF!</v>
      </c>
      <c r="AI58" s="2738" t="e">
        <f ca="1">IF($H58=0,0,IF($E$6="RD",$I59/2,$H59/2))</f>
        <v>#REF!</v>
      </c>
      <c r="AJ58" s="2789" t="e">
        <f ca="1">IF($I58=0,0,IF($E$6="RD",$H59/2,$I59/2))</f>
        <v>#REF!</v>
      </c>
    </row>
    <row r="59" spans="1:37" s="2731" customFormat="1">
      <c r="A59" s="2732"/>
      <c r="B59" s="2695" t="e">
        <f ca="1">SQRT((B57-B55)^2+(B58-B56)^2)</f>
        <v>#REF!</v>
      </c>
      <c r="C59" s="2695" t="e">
        <f t="shared" ref="C59" ca="1" si="3">SQRT((C57-C55)^2+(C58-C56)^2)</f>
        <v>#REF!</v>
      </c>
      <c r="D59" s="2695" t="e">
        <f t="shared" ref="D59" ca="1" si="4">SQRT((D57-D55)^2+(D58-D56)^2)</f>
        <v>#REF!</v>
      </c>
      <c r="E59" s="2695" t="e">
        <f t="shared" ref="E59" ca="1" si="5">SQRT((E57-E55)^2+(E58-E56)^2)</f>
        <v>#REF!</v>
      </c>
      <c r="F59" s="2760" t="e">
        <f ca="1">SQRT((F57-F55)^2+(F58-F56)^2)</f>
        <v>#REF!</v>
      </c>
      <c r="G59" s="2760" t="e">
        <f t="shared" ref="G59" ca="1" si="6">SQRT((G57-G55)^2+(G58-G56)^2)</f>
        <v>#REF!</v>
      </c>
      <c r="H59" s="2760" t="e">
        <f t="shared" ref="H59" ca="1" si="7">SQRT((H57-H55)^2+(H58-H56)^2)</f>
        <v>#REF!</v>
      </c>
      <c r="I59" s="2760" t="e">
        <f t="shared" ref="I59" ca="1" si="8">SQRT((I57-I55)^2+(I58-I56)^2)</f>
        <v>#REF!</v>
      </c>
      <c r="J59" s="2695"/>
      <c r="K59" s="2695"/>
      <c r="L59" s="2695"/>
      <c r="M59" s="2695"/>
      <c r="N59" s="2695"/>
      <c r="O59" s="2695"/>
      <c r="P59" s="2695"/>
      <c r="Q59" s="2695"/>
      <c r="R59" s="2695"/>
      <c r="S59" s="2695"/>
      <c r="T59" s="2695"/>
      <c r="U59" s="2695"/>
      <c r="V59" s="2695"/>
      <c r="W59" s="2695"/>
      <c r="X59" s="2695"/>
      <c r="Y59" s="2695"/>
      <c r="Z59" s="2695"/>
      <c r="AA59" s="2695"/>
      <c r="AB59" s="2695"/>
      <c r="AC59" s="2695"/>
      <c r="AD59" s="2695"/>
      <c r="AE59" s="2695"/>
      <c r="AF59" s="2695"/>
      <c r="AG59" s="2695"/>
      <c r="AH59" s="2695"/>
      <c r="AI59" s="2695"/>
      <c r="AJ59" s="2730"/>
      <c r="AK59" s="2695"/>
    </row>
    <row r="60" spans="1:37" s="2731" customFormat="1">
      <c r="A60" s="2729"/>
      <c r="B60" s="3909" t="s">
        <v>3552</v>
      </c>
      <c r="C60" s="3909"/>
      <c r="D60" s="3909" t="s">
        <v>3553</v>
      </c>
      <c r="E60" s="3910"/>
      <c r="F60" s="2694"/>
      <c r="G60" s="2739" t="s">
        <v>3849</v>
      </c>
      <c r="H60" s="2740">
        <f>MAX(0.05,ROUND(2*SP_T/1000/crit_a/0.05,0)*0.05)</f>
        <v>0.35000000000000003</v>
      </c>
      <c r="I60" s="2639" t="s">
        <v>2511</v>
      </c>
      <c r="J60" s="2695"/>
      <c r="K60" s="2695"/>
      <c r="T60" s="2695"/>
      <c r="U60" s="2695"/>
      <c r="V60" s="2695"/>
      <c r="W60" s="2695"/>
      <c r="X60" s="2695"/>
      <c r="Y60" s="2695"/>
      <c r="Z60" s="2695"/>
      <c r="AI60" s="2695"/>
      <c r="AJ60" s="2730"/>
    </row>
    <row r="61" spans="1:37" s="2731" customFormat="1">
      <c r="A61" s="2729"/>
      <c r="B61" s="3911" t="e">
        <f ca="1">IF(OR($D$53,$E$53),MAX(SPmin_reinf_area,MIN($H$61,IF((D56/1000-E56/1000)^2*crit_a/(SP_T/1000)-1&lt;=0,$H$60,(D56/1000-E56/1000)^2*SQRT(1/((D56/1000-E56/1000)^2*crit_a/(SP_T/1000)-1))))),0)</f>
        <v>#REF!</v>
      </c>
      <c r="C61" s="3911"/>
      <c r="D61" s="3911" t="e">
        <f ca="1">IF(OR($B$53,$C$53),MAX(SPmin_reinf_area,MIN($H$61,IF((B55/1000-C55/1000)^2*crit_a/(SP_T/1000)-1&lt;=0,$H$60,(B55/1000-C55/1000)^2*SQRT(1/((B55/1000-C55/1000)^2*crit_a/(SP_T/1000)-1))))),0)</f>
        <v>#REF!</v>
      </c>
      <c r="E61" s="3911"/>
      <c r="F61" s="2695"/>
      <c r="G61" s="2739" t="s">
        <v>3567</v>
      </c>
      <c r="H61" s="2741" t="e">
        <f ca="1">MAX(SPmin_reinf_area,IF((SP_oD/2/1000-SP_iD/2/1000)^2*crit_a/(SP_T/1000)-1&lt;=0,$H$60,(SP_oD/2/1000-SP_iD/2/1000)^2*SQRT(1/((SP_oD/2/1000-SP_iD/2/1000)^2*crit_a/(SP_T/1000)-1))))</f>
        <v>#REF!</v>
      </c>
      <c r="I61" s="2639" t="s">
        <v>2511</v>
      </c>
      <c r="J61" s="2695"/>
      <c r="K61" s="2695"/>
      <c r="T61" s="2695"/>
      <c r="U61" s="2695"/>
      <c r="V61" s="2695"/>
      <c r="W61" s="2695"/>
      <c r="X61" s="2695"/>
      <c r="Y61" s="2695"/>
      <c r="Z61" s="2695"/>
      <c r="AI61" s="2695"/>
      <c r="AJ61" s="2730"/>
    </row>
    <row r="62" spans="1:37" s="2731" customFormat="1">
      <c r="A62" s="2732"/>
      <c r="B62" s="3912" t="e">
        <f ca="1">IF((D56/1000-E56/1000)*(SP_oD/2/1000-SP_iF_xy_pos/1000)&gt;$B$61,TRUE,FALSE)</f>
        <v>#REF!</v>
      </c>
      <c r="C62" s="3912"/>
      <c r="D62" s="3912" t="e">
        <f ca="1">IF((C55/1000-B55/1000)*(SP_oD/2/1000-SP_iF_xy_pos/1000)&gt;$D$61,TRUE,FALSE)</f>
        <v>#REF!</v>
      </c>
      <c r="E62" s="3912"/>
      <c r="F62" s="2695"/>
      <c r="G62" s="2695"/>
      <c r="H62" s="2695"/>
      <c r="I62" s="2695"/>
      <c r="J62" s="2695"/>
      <c r="K62" s="2695"/>
      <c r="T62" s="2695"/>
      <c r="U62" s="2695"/>
      <c r="V62" s="2695"/>
      <c r="W62" s="2695"/>
      <c r="X62" s="2695"/>
      <c r="Y62" s="2695"/>
      <c r="Z62" s="2695"/>
      <c r="AI62" s="2695"/>
      <c r="AJ62" s="2730"/>
      <c r="AK62" s="2695"/>
    </row>
    <row r="63" spans="1:37" s="2742" customFormat="1">
      <c r="A63" s="2708"/>
      <c r="B63" s="2704"/>
      <c r="C63" s="2704"/>
      <c r="D63" s="2704"/>
      <c r="E63" s="2704"/>
      <c r="F63" s="2704"/>
      <c r="G63" s="2704"/>
      <c r="H63" s="2704"/>
      <c r="I63" s="2704"/>
      <c r="J63" s="2704"/>
      <c r="K63" s="2704"/>
      <c r="L63" s="2704"/>
      <c r="M63" s="2704"/>
      <c r="N63" s="2704"/>
      <c r="O63" s="2704"/>
      <c r="P63" s="2704"/>
      <c r="Q63" s="2704"/>
      <c r="R63" s="2704"/>
      <c r="S63" s="2704"/>
      <c r="T63" s="2704"/>
      <c r="U63" s="2704"/>
      <c r="V63" s="2704"/>
      <c r="W63" s="2704"/>
      <c r="X63" s="2704"/>
      <c r="Y63" s="2704"/>
      <c r="Z63" s="2704"/>
      <c r="AI63" s="2704"/>
      <c r="AJ63" s="2743"/>
    </row>
    <row r="64" spans="1:37">
      <c r="A64" s="2701" t="s">
        <v>3960</v>
      </c>
      <c r="B64" s="2704">
        <f>DEGREES(B66)</f>
        <v>180</v>
      </c>
      <c r="C64" s="2704">
        <f t="shared" ref="C64:E64" si="9">DEGREES(C66)</f>
        <v>360</v>
      </c>
      <c r="D64" s="2704">
        <f t="shared" si="9"/>
        <v>90</v>
      </c>
      <c r="E64" s="2704">
        <f t="shared" si="9"/>
        <v>270</v>
      </c>
      <c r="F64" s="2704"/>
      <c r="G64" s="2704"/>
      <c r="H64" s="2704"/>
      <c r="I64" s="2704"/>
      <c r="J64" s="2704"/>
      <c r="K64" s="2704"/>
      <c r="L64" s="2704"/>
      <c r="M64" s="2704"/>
      <c r="N64" s="2704"/>
      <c r="O64" s="2704"/>
      <c r="P64" s="2704"/>
      <c r="Q64" s="2704"/>
      <c r="R64" s="2704"/>
      <c r="S64" s="2704"/>
      <c r="T64" s="2704"/>
      <c r="U64" s="2704"/>
      <c r="V64" s="2704"/>
      <c r="W64" s="2704"/>
      <c r="X64" s="2704"/>
      <c r="Y64" s="2704"/>
      <c r="Z64" s="2704"/>
      <c r="AI64" s="2704"/>
      <c r="AJ64" s="2743"/>
    </row>
    <row r="65" spans="1:36">
      <c r="A65" s="2700" t="s">
        <v>2635</v>
      </c>
      <c r="B65" s="2744">
        <v>1</v>
      </c>
      <c r="C65" s="2744">
        <f t="shared" ref="C65:E65" si="10">B65+1</f>
        <v>2</v>
      </c>
      <c r="D65" s="2744">
        <f t="shared" si="10"/>
        <v>3</v>
      </c>
      <c r="E65" s="2744">
        <f t="shared" si="10"/>
        <v>4</v>
      </c>
      <c r="F65" s="2745"/>
      <c r="G65" s="2704"/>
      <c r="H65" s="2704"/>
      <c r="I65" s="2704"/>
      <c r="J65" s="2704"/>
      <c r="K65" s="2704"/>
      <c r="L65" s="2704"/>
      <c r="M65" s="2704"/>
      <c r="N65" s="2704"/>
      <c r="O65" s="2704"/>
      <c r="P65" s="2704"/>
      <c r="Q65" s="2704"/>
      <c r="R65" s="2704"/>
      <c r="S65" s="2704"/>
      <c r="T65" s="2704"/>
      <c r="U65" s="2704"/>
      <c r="V65" s="2704"/>
      <c r="W65" s="2704"/>
      <c r="X65" s="2704"/>
      <c r="Y65" s="2704"/>
      <c r="Z65" s="2704"/>
      <c r="AI65" s="2704"/>
      <c r="AJ65" s="2743"/>
    </row>
    <row r="66" spans="1:36" s="2639" customFormat="1">
      <c r="A66" s="2700" t="s">
        <v>3799</v>
      </c>
      <c r="B66" s="2746">
        <f>PI()</f>
        <v>3.1415926535897931</v>
      </c>
      <c r="C66" s="2746">
        <f>2*PI()</f>
        <v>6.2831853071795862</v>
      </c>
      <c r="D66" s="2746">
        <f>PI()/2</f>
        <v>1.5707963267948966</v>
      </c>
      <c r="E66" s="2746">
        <f>3*PI()/2</f>
        <v>4.7123889803846897</v>
      </c>
      <c r="F66" s="2747"/>
      <c r="G66" s="2707"/>
      <c r="H66" s="2707"/>
      <c r="I66" s="2707"/>
      <c r="J66" s="2707"/>
      <c r="K66" s="2707"/>
      <c r="L66" s="2707"/>
      <c r="M66" s="2707"/>
      <c r="N66" s="2707"/>
      <c r="O66" s="2707"/>
      <c r="P66" s="2707"/>
      <c r="Q66" s="2707"/>
      <c r="R66" s="2707"/>
      <c r="S66" s="2707"/>
      <c r="T66" s="2707"/>
      <c r="U66" s="2707"/>
      <c r="V66" s="2707"/>
      <c r="W66" s="2707"/>
      <c r="X66" s="2707"/>
      <c r="Y66" s="2707"/>
      <c r="Z66" s="2707"/>
      <c r="AA66" s="2707"/>
      <c r="AB66" s="2707"/>
      <c r="AC66" s="2707"/>
      <c r="AD66" s="2707"/>
      <c r="AE66" s="2707"/>
      <c r="AF66" s="2707"/>
      <c r="AG66" s="2707"/>
      <c r="AH66" s="2707"/>
      <c r="AI66" s="2707"/>
      <c r="AJ66" s="2748"/>
    </row>
    <row r="67" spans="1:36">
      <c r="A67" s="2700" t="s">
        <v>2790</v>
      </c>
      <c r="B67" s="2749" t="e">
        <f ca="1">IF(OR(AND(B68=0,B69=0),SQRT((B70-B68)^2+(B71-B69)^2)&lt;min_re_L),0,SQRT((B70-B68)^2+(B71-B69)^2))</f>
        <v>#REF!</v>
      </c>
      <c r="C67" s="2744" t="e">
        <f ca="1">IF(OR(AND(C68=0,C69=0),SQRT((C70-C68)^2+(C71-C69)^2)&lt;min_re_L),0,SQRT((C70-C68)^2+(C71-C69)^2))</f>
        <v>#REF!</v>
      </c>
      <c r="D67" s="2744" t="e">
        <f ca="1">IF(OR(AND(D68=0,D69=0),SQRT((D70-D68)^2+(D71-D69)^2)&lt;min_re_L),0,SQRT((D70-D68)^2+(D71-D69)^2))</f>
        <v>#REF!</v>
      </c>
      <c r="E67" s="2744" t="e">
        <f ca="1">IF(OR(AND(E68=0,E69=0),SQRT((E70-E68)^2+(E71-E69)^2)&lt;min_re_L),0,SQRT((E70-E68)^2+(E71-E69)^2))</f>
        <v>#REF!</v>
      </c>
      <c r="F67" s="2745"/>
      <c r="G67" s="2704"/>
      <c r="H67" s="2704"/>
      <c r="I67" s="2704"/>
      <c r="J67" s="2704"/>
      <c r="K67" s="2704"/>
      <c r="L67" s="2704"/>
      <c r="M67" s="2704"/>
      <c r="N67" s="2704"/>
      <c r="O67" s="2704"/>
      <c r="P67" s="2704"/>
      <c r="Q67" s="2704"/>
      <c r="R67" s="2704"/>
      <c r="S67" s="2704"/>
      <c r="T67" s="2704"/>
      <c r="U67" s="2704"/>
      <c r="V67" s="2704"/>
      <c r="W67" s="2704"/>
      <c r="X67" s="2704"/>
      <c r="Y67" s="2704"/>
      <c r="Z67" s="2704"/>
      <c r="AA67" s="2704"/>
      <c r="AB67" s="2704"/>
      <c r="AC67" s="2704"/>
      <c r="AD67" s="2704"/>
      <c r="AE67" s="2704"/>
      <c r="AF67" s="2704"/>
      <c r="AG67" s="2704"/>
      <c r="AH67" s="2704"/>
      <c r="AI67" s="2704"/>
      <c r="AJ67" s="2743"/>
    </row>
    <row r="68" spans="1:36">
      <c r="A68" s="2699" t="s">
        <v>1783</v>
      </c>
      <c r="B68" s="2750" t="e">
        <f ca="1">IF($B$62,$B$55-$U$7,0)</f>
        <v>#REF!</v>
      </c>
      <c r="C68" s="2750" t="e">
        <f ca="1">IF($B$62,$C$55+$U$7,0)</f>
        <v>#REF!</v>
      </c>
      <c r="D68" s="2750">
        <f>0</f>
        <v>0</v>
      </c>
      <c r="E68" s="2750">
        <f>0</f>
        <v>0</v>
      </c>
      <c r="F68" s="2745"/>
      <c r="G68" s="2704"/>
      <c r="H68" s="2704"/>
      <c r="I68" s="2704"/>
      <c r="J68" s="2704"/>
      <c r="K68" s="2704"/>
      <c r="L68" s="2704"/>
      <c r="M68" s="2704"/>
      <c r="N68" s="2704"/>
      <c r="O68" s="2704"/>
      <c r="P68" s="2704"/>
      <c r="Q68" s="2704"/>
      <c r="R68" s="2704"/>
      <c r="S68" s="2704"/>
      <c r="T68" s="2704"/>
      <c r="U68" s="2704"/>
      <c r="V68" s="2704"/>
      <c r="W68" s="2704"/>
      <c r="X68" s="2704"/>
      <c r="Y68" s="2704"/>
      <c r="Z68" s="2704"/>
      <c r="AA68" s="2704"/>
      <c r="AB68" s="2704"/>
      <c r="AC68" s="2704"/>
      <c r="AD68" s="2704"/>
      <c r="AE68" s="2704"/>
      <c r="AF68" s="2704"/>
      <c r="AG68" s="2704"/>
      <c r="AH68" s="2704"/>
      <c r="AI68" s="2704"/>
      <c r="AJ68" s="2743"/>
    </row>
    <row r="69" spans="1:36">
      <c r="A69" s="2699" t="s">
        <v>1784</v>
      </c>
      <c r="B69" s="2738">
        <f>0</f>
        <v>0</v>
      </c>
      <c r="C69" s="2738">
        <v>0</v>
      </c>
      <c r="D69" s="2738" t="e">
        <f ca="1">IF($D$62,$D$56+$U$7,0)</f>
        <v>#REF!</v>
      </c>
      <c r="E69" s="2738" t="e">
        <f ca="1">IF($D$62,$E$56-$U$7,0)</f>
        <v>#REF!</v>
      </c>
      <c r="F69" s="2745"/>
      <c r="G69" s="2704"/>
      <c r="H69" s="2704"/>
      <c r="I69" s="2704"/>
      <c r="J69" s="2704"/>
      <c r="K69" s="2704"/>
      <c r="L69" s="2704"/>
      <c r="M69" s="2704"/>
      <c r="N69" s="2704"/>
      <c r="O69" s="2704"/>
      <c r="P69" s="2704"/>
      <c r="Q69" s="2704"/>
      <c r="R69" s="2704"/>
      <c r="S69" s="2704"/>
      <c r="T69" s="2704"/>
      <c r="U69" s="2704"/>
      <c r="V69" s="2704"/>
      <c r="W69" s="2704"/>
      <c r="X69" s="2704"/>
      <c r="Y69" s="2704"/>
      <c r="Z69" s="2704"/>
      <c r="AA69" s="2704"/>
      <c r="AB69" s="2704"/>
      <c r="AC69" s="2704"/>
      <c r="AD69" s="2704"/>
      <c r="AE69" s="2704"/>
      <c r="AF69" s="2704"/>
      <c r="AG69" s="2704"/>
      <c r="AH69" s="2704"/>
      <c r="AI69" s="2704"/>
      <c r="AJ69" s="2743"/>
    </row>
    <row r="70" spans="1:36">
      <c r="A70" s="2700" t="s">
        <v>1096</v>
      </c>
      <c r="B70" s="2662" t="e">
        <f ca="1">IF($B$62,int_reinf_oR*COS(B$66),0)</f>
        <v>#REF!</v>
      </c>
      <c r="C70" s="2662" t="e">
        <f ca="1">IF($B$62,int_reinf_oR*COS(C$66),0)</f>
        <v>#REF!</v>
      </c>
      <c r="D70" s="2662" t="e">
        <f ca="1">IF($B$62,int_reinf_oR*COS(D$66),0)</f>
        <v>#REF!</v>
      </c>
      <c r="E70" s="2662" t="e">
        <f ca="1">IF($B$62,int_reinf_oR*COS(E$66),0)</f>
        <v>#REF!</v>
      </c>
      <c r="F70" s="2745"/>
      <c r="G70" s="2704"/>
      <c r="H70" s="2704"/>
      <c r="I70" s="2704"/>
      <c r="J70" s="2704"/>
      <c r="K70" s="2704"/>
      <c r="L70" s="2704"/>
      <c r="M70" s="2704"/>
      <c r="N70" s="2704"/>
      <c r="O70" s="2704"/>
      <c r="P70" s="2704"/>
      <c r="Q70" s="2704"/>
      <c r="R70" s="2704"/>
      <c r="S70" s="2704"/>
      <c r="T70" s="2704"/>
      <c r="U70" s="2704"/>
      <c r="V70" s="2704"/>
      <c r="W70" s="2704"/>
      <c r="X70" s="2704"/>
      <c r="Y70" s="2704"/>
      <c r="Z70" s="2704"/>
      <c r="AA70" s="2704"/>
      <c r="AB70" s="2704"/>
      <c r="AC70" s="2704"/>
      <c r="AD70" s="2704"/>
      <c r="AE70" s="2704"/>
      <c r="AF70" s="2704"/>
      <c r="AG70" s="2704"/>
      <c r="AH70" s="2704"/>
      <c r="AI70" s="2704"/>
      <c r="AJ70" s="2743"/>
    </row>
    <row r="71" spans="1:36">
      <c r="A71" s="2700" t="s">
        <v>1097</v>
      </c>
      <c r="B71" s="2738" t="e">
        <f ca="1">IF($B$62,int_reinf_oR*SIN(B$66),0)</f>
        <v>#REF!</v>
      </c>
      <c r="C71" s="2738" t="e">
        <f ca="1">IF($B$62,int_reinf_oR*SIN(C$66),0)</f>
        <v>#REF!</v>
      </c>
      <c r="D71" s="2738" t="e">
        <f ca="1">IF($B$62,int_reinf_oR*SIN(D$66),0)</f>
        <v>#REF!</v>
      </c>
      <c r="E71" s="2738" t="e">
        <f ca="1">IF($B$62,int_reinf_oR*SIN(E$66),0)</f>
        <v>#REF!</v>
      </c>
      <c r="F71" s="2745"/>
      <c r="G71" s="2704"/>
      <c r="H71" s="2704"/>
      <c r="I71" s="2704"/>
      <c r="J71" s="2704"/>
      <c r="K71" s="2704"/>
      <c r="L71" s="2704"/>
      <c r="M71" s="2704"/>
      <c r="N71" s="2704"/>
      <c r="O71" s="2704"/>
      <c r="P71" s="2704"/>
      <c r="Q71" s="2704"/>
      <c r="R71" s="2704"/>
      <c r="S71" s="2704"/>
      <c r="T71" s="2704"/>
      <c r="U71" s="2704"/>
      <c r="V71" s="2704"/>
      <c r="W71" s="2704"/>
      <c r="X71" s="2704"/>
      <c r="Y71" s="2704"/>
      <c r="Z71" s="2704"/>
      <c r="AA71" s="2704"/>
      <c r="AB71" s="2704"/>
      <c r="AC71" s="2704"/>
      <c r="AD71" s="2704"/>
      <c r="AE71" s="2704"/>
      <c r="AF71" s="2704"/>
      <c r="AG71" s="2704"/>
      <c r="AH71" s="2704"/>
      <c r="AI71" s="2704"/>
      <c r="AJ71" s="2743"/>
    </row>
    <row r="72" spans="1:36" s="2704" customFormat="1" ht="15.75" thickBot="1">
      <c r="A72" s="2751"/>
      <c r="B72" s="2682"/>
      <c r="C72" s="2682"/>
      <c r="D72" s="2682"/>
      <c r="E72" s="2682"/>
      <c r="F72" s="2682"/>
      <c r="G72" s="2682"/>
      <c r="H72" s="2682"/>
      <c r="I72" s="2682"/>
      <c r="J72" s="2682"/>
      <c r="K72" s="2682"/>
      <c r="L72" s="2682"/>
      <c r="M72" s="2682"/>
      <c r="N72" s="2682"/>
      <c r="O72" s="2682"/>
      <c r="P72" s="2682"/>
      <c r="Q72" s="2682"/>
      <c r="R72" s="2682"/>
      <c r="S72" s="2682"/>
      <c r="T72" s="2682"/>
      <c r="U72" s="2682"/>
      <c r="V72" s="2682"/>
      <c r="W72" s="2682"/>
      <c r="X72" s="2682"/>
      <c r="Y72" s="2682"/>
      <c r="Z72" s="2682"/>
      <c r="AA72" s="2682"/>
      <c r="AB72" s="2682"/>
      <c r="AC72" s="2682"/>
      <c r="AD72" s="2682"/>
      <c r="AE72" s="2682"/>
      <c r="AF72" s="2682"/>
      <c r="AG72" s="2682"/>
      <c r="AH72" s="2682"/>
      <c r="AI72" s="2682"/>
      <c r="AJ72" s="2752"/>
    </row>
    <row r="73" spans="1:36" s="2731" customFormat="1">
      <c r="A73" s="2732"/>
      <c r="B73" s="2704"/>
      <c r="C73" s="2704"/>
      <c r="D73" s="2704"/>
      <c r="E73" s="2704"/>
      <c r="F73" s="2695"/>
      <c r="G73" s="2695"/>
      <c r="H73" s="2695"/>
      <c r="I73" s="2695"/>
      <c r="J73" s="2695"/>
      <c r="K73" s="2695"/>
      <c r="L73" s="2695"/>
      <c r="M73" s="2695"/>
      <c r="N73" s="2695"/>
      <c r="O73" s="2695"/>
      <c r="P73" s="2695"/>
      <c r="Q73" s="2695"/>
      <c r="R73" s="2695"/>
      <c r="S73" s="2695"/>
      <c r="T73" s="2695"/>
      <c r="U73" s="2695"/>
      <c r="V73" s="2695"/>
      <c r="W73" s="2695"/>
      <c r="X73" s="2695"/>
      <c r="Y73" s="2695"/>
      <c r="Z73" s="2695"/>
      <c r="AA73" s="2695"/>
      <c r="AB73" s="2695"/>
      <c r="AC73" s="2695"/>
      <c r="AD73" s="2695"/>
      <c r="AE73" s="2695"/>
      <c r="AF73" s="2695"/>
      <c r="AG73" s="2695"/>
      <c r="AH73" s="2695"/>
      <c r="AI73" s="2695"/>
      <c r="AJ73" s="2730"/>
    </row>
    <row r="74" spans="1:36" s="2731" customFormat="1" ht="15.75" thickBot="1">
      <c r="A74" s="2732"/>
      <c r="B74" s="2704"/>
      <c r="C74" s="2704"/>
      <c r="D74" s="2704"/>
      <c r="E74" s="2704"/>
      <c r="F74" s="2695"/>
      <c r="G74" s="2695"/>
      <c r="H74" s="2695"/>
      <c r="I74" s="2695"/>
      <c r="J74" s="2695"/>
      <c r="K74" s="2695"/>
      <c r="L74" s="2695"/>
      <c r="M74" s="2695"/>
      <c r="N74" s="2695"/>
      <c r="O74" s="2695"/>
      <c r="P74" s="2695"/>
      <c r="Q74" s="2695"/>
      <c r="R74" s="2695"/>
      <c r="S74" s="2695"/>
      <c r="T74" s="2695"/>
      <c r="U74" s="2695"/>
      <c r="V74" s="2695"/>
      <c r="W74" s="2695"/>
      <c r="X74" s="2695"/>
      <c r="Y74" s="2695"/>
      <c r="Z74" s="2695"/>
      <c r="AA74" s="2695"/>
      <c r="AB74" s="2695"/>
      <c r="AC74" s="2695"/>
      <c r="AD74" s="2695"/>
      <c r="AE74" s="2695"/>
      <c r="AF74" s="2695"/>
      <c r="AG74" s="2695"/>
      <c r="AH74" s="2695"/>
      <c r="AI74" s="2695"/>
      <c r="AJ74" s="2730"/>
    </row>
    <row r="75" spans="1:36" s="2639" customFormat="1">
      <c r="A75" s="3892" t="s">
        <v>2645</v>
      </c>
      <c r="B75" s="3245" t="s">
        <v>3954</v>
      </c>
      <c r="C75" s="3245"/>
      <c r="D75" s="3245"/>
      <c r="E75" s="3245"/>
      <c r="F75" s="3245"/>
      <c r="G75" s="3245"/>
      <c r="H75" s="3245"/>
      <c r="I75" s="3245"/>
      <c r="J75" s="3245"/>
      <c r="K75" s="3245"/>
      <c r="L75" s="3245"/>
      <c r="M75" s="3245"/>
      <c r="N75" s="3245"/>
      <c r="O75" s="3245"/>
      <c r="P75" s="3245"/>
      <c r="Q75" s="3245"/>
      <c r="R75" s="3245"/>
      <c r="S75" s="3245"/>
      <c r="T75" s="3245"/>
      <c r="U75" s="3245"/>
      <c r="V75" s="3245"/>
      <c r="W75" s="3245"/>
      <c r="X75" s="3245"/>
      <c r="Y75" s="3245"/>
      <c r="Z75" s="3245"/>
      <c r="AA75" s="3245"/>
      <c r="AB75" s="3245"/>
      <c r="AC75" s="3245"/>
      <c r="AD75" s="3245"/>
      <c r="AE75" s="3245"/>
      <c r="AF75" s="3245"/>
      <c r="AG75" s="3245"/>
      <c r="AH75" s="3245"/>
      <c r="AI75" s="3245"/>
      <c r="AJ75" s="3246"/>
    </row>
    <row r="76" spans="1:36" s="2641" customFormat="1" ht="15.75" thickBot="1">
      <c r="A76" s="3893"/>
      <c r="B76" s="3247"/>
      <c r="C76" s="3247"/>
      <c r="D76" s="3247"/>
      <c r="E76" s="3247"/>
      <c r="F76" s="3247"/>
      <c r="G76" s="3247"/>
      <c r="H76" s="3247"/>
      <c r="I76" s="3247"/>
      <c r="J76" s="3247"/>
      <c r="K76" s="3247"/>
      <c r="L76" s="3247"/>
      <c r="M76" s="3247"/>
      <c r="N76" s="3247"/>
      <c r="O76" s="3247"/>
      <c r="P76" s="3247"/>
      <c r="Q76" s="3247"/>
      <c r="R76" s="3247"/>
      <c r="S76" s="3247"/>
      <c r="T76" s="3247"/>
      <c r="U76" s="3247"/>
      <c r="V76" s="3247"/>
      <c r="W76" s="3247"/>
      <c r="X76" s="3247"/>
      <c r="Y76" s="3247"/>
      <c r="Z76" s="3247"/>
      <c r="AA76" s="3247"/>
      <c r="AB76" s="3247"/>
      <c r="AC76" s="3247"/>
      <c r="AD76" s="3247"/>
      <c r="AE76" s="3247"/>
      <c r="AF76" s="3247"/>
      <c r="AG76" s="3247"/>
      <c r="AH76" s="3247"/>
      <c r="AI76" s="3247"/>
      <c r="AJ76" s="3248"/>
    </row>
    <row r="77" spans="1:36" s="2639" customFormat="1" ht="15.75" thickBot="1">
      <c r="A77" s="2712"/>
      <c r="B77" s="2753"/>
      <c r="C77" s="2753"/>
      <c r="D77" s="2753"/>
      <c r="E77" s="2753"/>
      <c r="F77" s="2753"/>
      <c r="G77" s="2753"/>
      <c r="H77" s="2753"/>
      <c r="I77" s="2753"/>
      <c r="J77" s="2753"/>
      <c r="K77" s="2753"/>
      <c r="L77" s="2753"/>
      <c r="M77" s="2753"/>
      <c r="N77" s="2753"/>
      <c r="O77" s="2753"/>
      <c r="P77" s="2753"/>
      <c r="Q77" s="2753"/>
      <c r="R77" s="2709"/>
      <c r="S77" s="2709"/>
      <c r="T77" s="2709"/>
      <c r="U77" s="2709"/>
      <c r="V77" s="2709"/>
      <c r="W77" s="2709"/>
      <c r="X77" s="2709"/>
      <c r="Y77" s="2709"/>
      <c r="Z77" s="2709"/>
      <c r="AA77" s="2709"/>
      <c r="AB77" s="2709"/>
      <c r="AC77" s="2709"/>
      <c r="AD77" s="2709"/>
      <c r="AE77" s="2709"/>
      <c r="AF77" s="2709"/>
      <c r="AG77" s="2709"/>
      <c r="AH77" s="2709"/>
      <c r="AI77" s="2709"/>
      <c r="AJ77" s="2710"/>
    </row>
    <row r="78" spans="1:36">
      <c r="A78" s="2711" t="s">
        <v>3956</v>
      </c>
      <c r="B78" s="3894" t="s">
        <v>3963</v>
      </c>
      <c r="C78" s="3895"/>
      <c r="D78" s="3895"/>
      <c r="E78" s="3895"/>
      <c r="F78" s="3895"/>
      <c r="G78" s="3895"/>
      <c r="H78" s="3895"/>
      <c r="I78" s="3115" t="s">
        <v>4152</v>
      </c>
      <c r="J78" s="3132">
        <v>650</v>
      </c>
      <c r="K78" s="3120" t="s">
        <v>4151</v>
      </c>
      <c r="L78" s="3132">
        <v>1400</v>
      </c>
      <c r="M78" s="3115" t="s">
        <v>4135</v>
      </c>
      <c r="N78" s="3120" t="e">
        <f ca="1">IF(B81,IF(AND(ABS(min_xcurve)-SP_oD/2&gt;J78,N81-F81&gt;L78),$X$7,$R$7),0)</f>
        <v>#REF!</v>
      </c>
      <c r="O78" s="3115" t="e">
        <f ca="1">VLOOKUP($N78,Iron_dim,2,FALSE)</f>
        <v>#REF!</v>
      </c>
      <c r="P78" s="3115" t="e">
        <f ca="1">VLOOKUP($N78,Iron_dim,3,FALSE)</f>
        <v>#REF!</v>
      </c>
      <c r="Q78" s="3116" t="e">
        <f ca="1">VLOOKUP($N78,Iron_dim,4,FALSE)</f>
        <v>#REF!</v>
      </c>
      <c r="R78" s="2639"/>
      <c r="S78" s="2639"/>
      <c r="T78" s="2639"/>
      <c r="U78" s="3894" t="s">
        <v>3964</v>
      </c>
      <c r="V78" s="3895"/>
      <c r="W78" s="3895"/>
      <c r="X78" s="3895"/>
      <c r="Y78" s="3895"/>
      <c r="Z78" s="3895"/>
      <c r="AA78" s="3895"/>
      <c r="AB78" s="3115" t="s">
        <v>4152</v>
      </c>
      <c r="AC78" s="3132">
        <v>500</v>
      </c>
      <c r="AD78" s="3120" t="s">
        <v>4151</v>
      </c>
      <c r="AE78" s="3132">
        <v>1400</v>
      </c>
      <c r="AF78" s="3115" t="s">
        <v>4135</v>
      </c>
      <c r="AG78" s="3120" t="e">
        <f ca="1">IF(U81,IF(AND(ABS(max_xcurve)-SP_oD/2&gt;AC78,AG81-Y81&gt;AE78),$X$7,$R$7),0)</f>
        <v>#REF!</v>
      </c>
      <c r="AH78" s="3115" t="e">
        <f ca="1">VLOOKUP($AG78,Iron_dim,2,FALSE)</f>
        <v>#REF!</v>
      </c>
      <c r="AI78" s="3115" t="e">
        <f ca="1">VLOOKUP($AG78,Iron_dim,3,FALSE)</f>
        <v>#REF!</v>
      </c>
      <c r="AJ78" s="3116" t="e">
        <f ca="1">VLOOKUP($AG78,Iron_dim,4,FALSE)</f>
        <v>#REF!</v>
      </c>
    </row>
    <row r="79" spans="1:36">
      <c r="A79" s="2712"/>
      <c r="B79" s="3896" t="s">
        <v>3965</v>
      </c>
      <c r="C79" s="3897"/>
      <c r="D79" s="3897"/>
      <c r="E79" s="3897"/>
      <c r="F79" s="3897"/>
      <c r="G79" s="3897"/>
      <c r="H79" s="3897"/>
      <c r="I79" s="3897"/>
      <c r="J79" s="3897" t="s">
        <v>3966</v>
      </c>
      <c r="K79" s="3897"/>
      <c r="L79" s="3897"/>
      <c r="M79" s="3897"/>
      <c r="N79" s="3897"/>
      <c r="O79" s="3897"/>
      <c r="P79" s="3897"/>
      <c r="Q79" s="3900"/>
      <c r="R79" s="2639"/>
      <c r="S79" s="2639"/>
      <c r="T79" s="2639"/>
      <c r="U79" s="3896" t="s">
        <v>3967</v>
      </c>
      <c r="V79" s="3897"/>
      <c r="W79" s="3897"/>
      <c r="X79" s="3897"/>
      <c r="Y79" s="3897"/>
      <c r="Z79" s="3897"/>
      <c r="AA79" s="3897"/>
      <c r="AB79" s="3897"/>
      <c r="AC79" s="3897" t="s">
        <v>3968</v>
      </c>
      <c r="AD79" s="3897"/>
      <c r="AE79" s="3897"/>
      <c r="AF79" s="3897"/>
      <c r="AG79" s="3897"/>
      <c r="AH79" s="3897"/>
      <c r="AI79" s="3897"/>
      <c r="AJ79" s="3900"/>
    </row>
    <row r="80" spans="1:36">
      <c r="A80" s="2712"/>
      <c r="B80" s="2713"/>
      <c r="C80" s="2714" t="s">
        <v>3548</v>
      </c>
      <c r="D80" s="2714" t="s">
        <v>3550</v>
      </c>
      <c r="E80" s="2714" t="s">
        <v>1105</v>
      </c>
      <c r="F80" s="2714" t="s">
        <v>1107</v>
      </c>
      <c r="G80" s="2714" t="s">
        <v>1108</v>
      </c>
      <c r="H80" s="2714"/>
      <c r="I80" s="2714"/>
      <c r="J80" s="2714"/>
      <c r="K80" s="2714" t="s">
        <v>3548</v>
      </c>
      <c r="L80" s="2714" t="s">
        <v>3550</v>
      </c>
      <c r="M80" s="2714" t="s">
        <v>1105</v>
      </c>
      <c r="N80" s="2714" t="s">
        <v>1107</v>
      </c>
      <c r="O80" s="2714" t="s">
        <v>1108</v>
      </c>
      <c r="P80" s="2714"/>
      <c r="Q80" s="2715"/>
      <c r="R80" s="2639"/>
      <c r="S80" s="2639"/>
      <c r="T80" s="2639"/>
      <c r="U80" s="2713"/>
      <c r="V80" s="2714" t="s">
        <v>3549</v>
      </c>
      <c r="W80" s="2714" t="s">
        <v>3551</v>
      </c>
      <c r="X80" s="2714" t="s">
        <v>1105</v>
      </c>
      <c r="Y80" s="2714" t="s">
        <v>1110</v>
      </c>
      <c r="Z80" s="2714" t="s">
        <v>1111</v>
      </c>
      <c r="AA80" s="2714"/>
      <c r="AB80" s="2714"/>
      <c r="AC80" s="2714"/>
      <c r="AD80" s="2714" t="s">
        <v>3549</v>
      </c>
      <c r="AE80" s="2714" t="s">
        <v>3551</v>
      </c>
      <c r="AF80" s="2714" t="s">
        <v>1105</v>
      </c>
      <c r="AG80" s="2714" t="s">
        <v>1110</v>
      </c>
      <c r="AH80" s="2714" t="s">
        <v>1111</v>
      </c>
      <c r="AI80" s="2714"/>
      <c r="AJ80" s="2715"/>
    </row>
    <row r="81" spans="1:36">
      <c r="A81" s="2712"/>
      <c r="B81" s="2716" t="e">
        <f ca="1">IF(AND(-SP_oD/2-$AE$22&gt;min_re_L,SP_reinf_req),TRUE,FALSE)</f>
        <v>#REF!</v>
      </c>
      <c r="C81" s="2662" t="e">
        <f ca="1">IF(B81,F81+Center_H,0)</f>
        <v>#REF!</v>
      </c>
      <c r="D81" s="2717" t="e">
        <f ca="1">IF(B81,(G81-(-SP_eF_xy_pos))*10^8,0)</f>
        <v>#REF!</v>
      </c>
      <c r="E81" s="2662">
        <f>1000*r0*EXP(K_House*H81)+House_P_T</f>
        <v>1302.8437685626434</v>
      </c>
      <c r="F81" s="2662" t="e">
        <f ca="1">IF(B81,E81*SIN(H81),0)</f>
        <v>#REF!</v>
      </c>
      <c r="G81" s="2662" t="e">
        <f ca="1">IF(B81,E81*COS(H81),0)</f>
        <v>#REF!</v>
      </c>
      <c r="H81" s="2718">
        <v>3.9269908169872414</v>
      </c>
      <c r="I81" s="2719">
        <f>5*PI()/4</f>
        <v>3.9269908169872414</v>
      </c>
      <c r="J81" s="2720" t="e">
        <f ca="1">B81</f>
        <v>#REF!</v>
      </c>
      <c r="K81" s="2662" t="e">
        <f ca="1">IF(J81,N81+Center_H,0)</f>
        <v>#REF!</v>
      </c>
      <c r="L81" s="2717" t="e">
        <f ca="1">IF(J81,($O81-(-SP_eF_xy_pos))*10^8,0)</f>
        <v>#REF!</v>
      </c>
      <c r="M81" s="2662">
        <f>1000*r0*EXP(K_House*P81)+House_P_T</f>
        <v>1150.8191081893833</v>
      </c>
      <c r="N81" s="2662" t="e">
        <f ca="1">IF(J81,M81*SIN(P81),0)</f>
        <v>#REF!</v>
      </c>
      <c r="O81" s="2662" t="e">
        <f ca="1">IF(J81,M81*COS(P81),0)</f>
        <v>#REF!</v>
      </c>
      <c r="P81" s="2718">
        <v>2.3561944901923448</v>
      </c>
      <c r="Q81" s="2721">
        <f>3*PI()/4</f>
        <v>2.3561944901923448</v>
      </c>
      <c r="R81" s="2639"/>
      <c r="S81" s="2639"/>
      <c r="T81" s="2639"/>
      <c r="U81" s="2716" t="e">
        <f ca="1">IF(AND($AD$22-SP_oD/2&gt;min_re_L,SP_reinf_req),TRUE,FALSE)</f>
        <v>#REF!</v>
      </c>
      <c r="V81" s="2662" t="e">
        <f ca="1">IF(U81,Y81+Center_H,0)</f>
        <v>#REF!</v>
      </c>
      <c r="W81" s="2717" t="e">
        <f ca="1">IF(U81,(Z81-SP_eF_xy_pos)*10^8,0)</f>
        <v>#REF!</v>
      </c>
      <c r="X81" s="2662">
        <f>1000*r0*EXP(K_House*AA81)+House_P_T</f>
        <v>1475.0387134043879</v>
      </c>
      <c r="Y81" s="2662" t="e">
        <f ca="1">IF(U81,X81*SIN(AA81),0)</f>
        <v>#REF!</v>
      </c>
      <c r="Z81" s="2662" t="e">
        <f ca="1">IF(U81,X81*COS(AA81),0)</f>
        <v>#REF!</v>
      </c>
      <c r="AA81" s="2718">
        <v>5.497787143782138</v>
      </c>
      <c r="AB81" s="2719">
        <f>7*PI()/4</f>
        <v>5.497787143782138</v>
      </c>
      <c r="AC81" s="2720" t="e">
        <f ca="1">U81</f>
        <v>#REF!</v>
      </c>
      <c r="AD81" s="2662" t="e">
        <f ca="1">IF(AC81,AG81+Center_H,0)</f>
        <v>#REF!</v>
      </c>
      <c r="AE81" s="2717" t="e">
        <f ca="1">IF(AC81,($AH81-SP_eF_xy_pos)*10^8,0)</f>
        <v>#REF!</v>
      </c>
      <c r="AF81" s="2662">
        <f>1000*r0*EXP(K_House*AI81)+House_P_T</f>
        <v>955.50964215147712</v>
      </c>
      <c r="AG81" s="2662" t="e">
        <f ca="1">IF(AC81,IF(SP_eF_xy_pos&gt;Tongue_X,$B$23,AF81*SIN(AI81)),0)</f>
        <v>#REF!</v>
      </c>
      <c r="AH81" s="2662" t="e">
        <f ca="1">IF(AC81,IF(SP_eF_xy_pos&gt;Tongue_X,SP_eF_xy_pos,AF81*COS(AI81)),0)</f>
        <v>#REF!</v>
      </c>
      <c r="AI81" s="2718">
        <v>0</v>
      </c>
      <c r="AJ81" s="2721" t="e">
        <f ca="1">IF(AC81,IF(SP_eF_xy_pos&gt;Tongue_X,ATAN(AG81/AH81),PI()/4)+2*PI(),0)</f>
        <v>#REF!</v>
      </c>
    </row>
    <row r="82" spans="1:36" ht="15.75" thickBot="1">
      <c r="A82" s="2705"/>
      <c r="B82" s="2722"/>
      <c r="C82" s="2723"/>
      <c r="D82" s="3128" t="e">
        <f ca="1">IF(B81,(G82-(-SP_eF_xy_pos-O78))*10^8,0)</f>
        <v>#REF!</v>
      </c>
      <c r="E82" s="2686">
        <f>1000*r0*EXP(K_House*H82)+House_P_T</f>
        <v>1302.8437685626434</v>
      </c>
      <c r="F82" s="2686" t="e">
        <f ca="1">IF(B81,E82*SIN(H82),0)</f>
        <v>#REF!</v>
      </c>
      <c r="G82" s="2686" t="e">
        <f ca="1">IF(B81,E82*COS(H82),0)</f>
        <v>#REF!</v>
      </c>
      <c r="H82" s="3133">
        <v>3.9269908169872414</v>
      </c>
      <c r="I82" s="3127">
        <f>5*PI()/4</f>
        <v>3.9269908169872414</v>
      </c>
      <c r="J82" s="2723"/>
      <c r="K82" s="2723"/>
      <c r="L82" s="3128" t="e">
        <f ca="1">IF(J81,(O82-(-SP_eF_xy_pos-O78))*10^8,0)</f>
        <v>#REF!</v>
      </c>
      <c r="M82" s="2686">
        <f>1000*r0*EXP(K_House*P82)+House_P_T</f>
        <v>1150.8191081893833</v>
      </c>
      <c r="N82" s="2686" t="e">
        <f ca="1">IF(J81,M82*SIN(P82),0)</f>
        <v>#REF!</v>
      </c>
      <c r="O82" s="2686" t="e">
        <f ca="1">IF(J81,M82*COS(P82),0)</f>
        <v>#REF!</v>
      </c>
      <c r="P82" s="3133">
        <v>2.3561944901923448</v>
      </c>
      <c r="Q82" s="3129">
        <f>3*PI()/4</f>
        <v>2.3561944901923448</v>
      </c>
      <c r="R82" s="2639"/>
      <c r="S82" s="2639"/>
      <c r="T82" s="2639"/>
      <c r="U82" s="2722"/>
      <c r="V82" s="2723"/>
      <c r="W82" s="3128" t="e">
        <f ca="1">IF(U81,(Z82-SP_eF_xy_pos-AH78)*10^8,0)</f>
        <v>#REF!</v>
      </c>
      <c r="X82" s="2686">
        <f>1000*r0*EXP(K_House*AA82)+House_P_T</f>
        <v>1475.0387134043879</v>
      </c>
      <c r="Y82" s="2686" t="e">
        <f ca="1">IF(U81,X82*SIN(AA82),0)</f>
        <v>#REF!</v>
      </c>
      <c r="Z82" s="2686" t="e">
        <f ca="1">IF(U81,X82*COS(AA82),0)</f>
        <v>#REF!</v>
      </c>
      <c r="AA82" s="3133">
        <v>5.497787143782138</v>
      </c>
      <c r="AB82" s="3127">
        <f>7*PI()/4</f>
        <v>5.497787143782138</v>
      </c>
      <c r="AC82" s="2723"/>
      <c r="AD82" s="2723"/>
      <c r="AE82" s="3128" t="e">
        <f ca="1">IF(AC81,(AH82-SP_eF_xy_pos-AH78)*10^8,0)</f>
        <v>#REF!</v>
      </c>
      <c r="AF82" s="2686">
        <f>1000*r0*EXP(K_House*AI82)+House_P_T</f>
        <v>955.50964215147712</v>
      </c>
      <c r="AG82" s="2686" t="e">
        <f ca="1">IF(AC81,IF(SP_eF_xy_pos&gt;Tongue_X,$B$23,AF82*SIN(AI82)),0)</f>
        <v>#REF!</v>
      </c>
      <c r="AH82" s="2686" t="e">
        <f ca="1">IF(AC81,IF(SP_eF_xy_pos&gt;Tongue_X,SP_eF_xy_pos+AH78,AF82*COS(AI82)),0)</f>
        <v>#REF!</v>
      </c>
      <c r="AI82" s="3133">
        <v>0</v>
      </c>
      <c r="AJ82" s="2721" t="e">
        <f ca="1">IF(AC81,IF(SP_eF_xy_pos&gt;Tongue_X,ATAN(AG82/AH82),PI()/4)+2*PI(),0)</f>
        <v>#REF!</v>
      </c>
    </row>
    <row r="83" spans="1:36">
      <c r="A83" s="2698"/>
      <c r="B83" s="3894" t="s">
        <v>3969</v>
      </c>
      <c r="C83" s="3895"/>
      <c r="D83" s="3895"/>
      <c r="E83" s="3895"/>
      <c r="F83" s="3895"/>
      <c r="G83" s="3895"/>
      <c r="H83" s="3895"/>
      <c r="I83" s="3115" t="s">
        <v>4152</v>
      </c>
      <c r="J83" s="3132">
        <v>650</v>
      </c>
      <c r="K83" s="3120" t="s">
        <v>4151</v>
      </c>
      <c r="L83" s="3132">
        <v>1400</v>
      </c>
      <c r="M83" s="3115" t="s">
        <v>4135</v>
      </c>
      <c r="N83" s="3120" t="e">
        <f ca="1">IF(B86,IF(AND(ABS(max_ycurve)-SP_oD/2&gt;J83,O86-G86&gt;L83),$X$7,$R$7),0)</f>
        <v>#REF!</v>
      </c>
      <c r="O83" s="3115" t="e">
        <f ca="1">VLOOKUP($N83,Iron_dim,2,FALSE)</f>
        <v>#REF!</v>
      </c>
      <c r="P83" s="3115" t="e">
        <f ca="1">VLOOKUP($N83,Iron_dim,3,FALSE)</f>
        <v>#REF!</v>
      </c>
      <c r="Q83" s="3116" t="e">
        <f ca="1">VLOOKUP($N83,Iron_dim,4,FALSE)</f>
        <v>#REF!</v>
      </c>
      <c r="R83" s="2639"/>
      <c r="S83" s="2639"/>
      <c r="T83" s="2639"/>
      <c r="U83" s="3894" t="s">
        <v>3970</v>
      </c>
      <c r="V83" s="3895"/>
      <c r="W83" s="3895"/>
      <c r="X83" s="3895"/>
      <c r="Y83" s="3895"/>
      <c r="Z83" s="3895"/>
      <c r="AA83" s="3895"/>
      <c r="AB83" s="3115" t="s">
        <v>4152</v>
      </c>
      <c r="AC83" s="3132">
        <v>650</v>
      </c>
      <c r="AD83" s="3120" t="s">
        <v>4151</v>
      </c>
      <c r="AE83" s="3132">
        <v>1400</v>
      </c>
      <c r="AF83" s="3115" t="s">
        <v>4135</v>
      </c>
      <c r="AG83" s="3120" t="e">
        <f ca="1">IF(U86,IF(AND(ABS(min_ycurve)-SP_oD/2&gt;AC83,AH86-Z86&gt;AE83),$X$7,$R$7),0)</f>
        <v>#REF!</v>
      </c>
      <c r="AH83" s="3115" t="e">
        <f ca="1">VLOOKUP($AG83,Iron_dim,2,FALSE)</f>
        <v>#REF!</v>
      </c>
      <c r="AI83" s="3115" t="e">
        <f ca="1">VLOOKUP($AG83,Iron_dim,3,FALSE)</f>
        <v>#REF!</v>
      </c>
      <c r="AJ83" s="3116" t="e">
        <f ca="1">VLOOKUP($AG83,Iron_dim,4,FALSE)</f>
        <v>#REF!</v>
      </c>
    </row>
    <row r="84" spans="1:36" s="2725" customFormat="1">
      <c r="A84" s="2726"/>
      <c r="B84" s="3896" t="s">
        <v>3971</v>
      </c>
      <c r="C84" s="3897"/>
      <c r="D84" s="3897"/>
      <c r="E84" s="3897"/>
      <c r="F84" s="3897"/>
      <c r="G84" s="3897"/>
      <c r="H84" s="3897"/>
      <c r="I84" s="3897"/>
      <c r="J84" s="3898" t="s">
        <v>3972</v>
      </c>
      <c r="K84" s="3898"/>
      <c r="L84" s="3898"/>
      <c r="M84" s="3898"/>
      <c r="N84" s="3898"/>
      <c r="O84" s="3898"/>
      <c r="P84" s="3898"/>
      <c r="Q84" s="3899"/>
      <c r="R84" s="2692"/>
      <c r="S84" s="2692"/>
      <c r="T84" s="2692"/>
      <c r="U84" s="3896" t="s">
        <v>3973</v>
      </c>
      <c r="V84" s="3897"/>
      <c r="W84" s="3897"/>
      <c r="X84" s="3897"/>
      <c r="Y84" s="3897"/>
      <c r="Z84" s="3897"/>
      <c r="AA84" s="3897"/>
      <c r="AB84" s="3897"/>
      <c r="AC84" s="3898" t="s">
        <v>3974</v>
      </c>
      <c r="AD84" s="3898"/>
      <c r="AE84" s="3898"/>
      <c r="AF84" s="3898"/>
      <c r="AG84" s="3898"/>
      <c r="AH84" s="3898"/>
      <c r="AI84" s="3898"/>
      <c r="AJ84" s="3899"/>
    </row>
    <row r="85" spans="1:36" s="2725" customFormat="1">
      <c r="A85" s="2754"/>
      <c r="B85" s="2713"/>
      <c r="C85" s="2714" t="s">
        <v>3549</v>
      </c>
      <c r="D85" s="2714" t="s">
        <v>3845</v>
      </c>
      <c r="E85" s="2714" t="s">
        <v>1105</v>
      </c>
      <c r="F85" s="2727" t="s">
        <v>1110</v>
      </c>
      <c r="G85" s="2727" t="s">
        <v>1108</v>
      </c>
      <c r="H85" s="2714"/>
      <c r="I85" s="2714"/>
      <c r="J85" s="2714"/>
      <c r="K85" s="2714" t="s">
        <v>3549</v>
      </c>
      <c r="L85" s="2714" t="s">
        <v>3845</v>
      </c>
      <c r="M85" s="2714" t="s">
        <v>1105</v>
      </c>
      <c r="N85" s="2727" t="s">
        <v>1110</v>
      </c>
      <c r="O85" s="2714" t="s">
        <v>1111</v>
      </c>
      <c r="P85" s="2714"/>
      <c r="Q85" s="2715"/>
      <c r="R85" s="2692"/>
      <c r="S85" s="2692"/>
      <c r="T85" s="2692"/>
      <c r="U85" s="2713"/>
      <c r="V85" s="2714" t="s">
        <v>3548</v>
      </c>
      <c r="W85" s="2714" t="s">
        <v>3846</v>
      </c>
      <c r="X85" s="2714" t="s">
        <v>1105</v>
      </c>
      <c r="Y85" s="2727" t="s">
        <v>1107</v>
      </c>
      <c r="Z85" s="2727" t="s">
        <v>1108</v>
      </c>
      <c r="AA85" s="2714"/>
      <c r="AB85" s="2714"/>
      <c r="AC85" s="2714"/>
      <c r="AD85" s="2714" t="s">
        <v>3548</v>
      </c>
      <c r="AE85" s="2714" t="s">
        <v>3846</v>
      </c>
      <c r="AF85" s="2714" t="s">
        <v>1105</v>
      </c>
      <c r="AG85" s="2727" t="s">
        <v>1107</v>
      </c>
      <c r="AH85" s="2714" t="s">
        <v>1111</v>
      </c>
      <c r="AI85" s="2714"/>
      <c r="AJ85" s="2715"/>
    </row>
    <row r="86" spans="1:36" s="2725" customFormat="1">
      <c r="A86" s="2726"/>
      <c r="B86" s="2713" t="e">
        <f ca="1">IF(AND($AD$23-SP_oD/2&gt;min_re_L,SP_reinf_req),TRUE,FALSE)</f>
        <v>#REF!</v>
      </c>
      <c r="C86" s="2662" t="e">
        <f ca="1">IF(B86,F86+Center_H,0)</f>
        <v>#REF!</v>
      </c>
      <c r="D86" s="2717" t="e">
        <f ca="1">IF(B86,(SP_eF_xy_pos-F86)*10^8,0)</f>
        <v>#REF!</v>
      </c>
      <c r="E86" s="2662">
        <f>1000*r0*EXP(K_House*H86)+House_P_T</f>
        <v>1150.8191081893833</v>
      </c>
      <c r="F86" s="2662" t="e">
        <f ca="1">IF(B86,IF(SP_eF_xy_pos&lt;N81,SP_eF_xy_pos,E86*SIN(H86)),0)</f>
        <v>#REF!</v>
      </c>
      <c r="G86" s="2662" t="e">
        <f ca="1">IF(B86,IF(SP_eF_xy_pos&lt;N81,O81,E86*COS(H86)),0)</f>
        <v>#REF!</v>
      </c>
      <c r="H86" s="2718">
        <v>2.3561944901923448</v>
      </c>
      <c r="I86" s="2719" t="e">
        <f ca="1">IF(SP_eF_xy_pos&lt;N81,ATAN(F86/G86),3*PI()/4)</f>
        <v>#REF!</v>
      </c>
      <c r="J86" s="2728" t="e">
        <f ca="1">B86</f>
        <v>#REF!</v>
      </c>
      <c r="K86" s="2662" t="e">
        <f ca="1">IF(J86,N86+Center_H,0)</f>
        <v>#REF!</v>
      </c>
      <c r="L86" s="2717" t="e">
        <f ca="1">IF(J86,(SP_eF_xy_pos-N86)*10^8,0)</f>
        <v>#REF!</v>
      </c>
      <c r="M86" s="2662">
        <f>1000*r0*EXP(K_House*P86)+House_P_T</f>
        <v>955.50964215147712</v>
      </c>
      <c r="N86" s="2662" t="e">
        <f ca="1">IF(J86,IF(SP_eF_xy_pos&lt;AG81,SP_eF_xy_pos,M86*SIN(P86)),0)</f>
        <v>#REF!</v>
      </c>
      <c r="O86" s="2662" t="e">
        <f ca="1">IF(J86,IF(SP_eF_xy_pos&lt;AG81,AH81,M86*COS(P86)),0)</f>
        <v>#REF!</v>
      </c>
      <c r="P86" s="2718">
        <v>0</v>
      </c>
      <c r="Q86" s="2721" t="e">
        <f ca="1">IF(B86,IF(SP_eF_xy_pos&lt;AG81,ATAN(N86/O86),PI()/4),0)</f>
        <v>#REF!</v>
      </c>
      <c r="R86" s="2692"/>
      <c r="S86" s="2692"/>
      <c r="T86" s="2692"/>
      <c r="U86" s="2716" t="e">
        <f ca="1">IF(AND(-SP_oD/2-$AE$23&gt;min_re_L,SP_reinf_req),TRUE,FALSE)</f>
        <v>#REF!</v>
      </c>
      <c r="V86" s="2662" t="e">
        <f ca="1">IF(U86,Y86+Center_H,0)</f>
        <v>#REF!</v>
      </c>
      <c r="W86" s="2717" t="e">
        <f ca="1">IF(U86,(-SP_eF_xy_pos-Y86)*10^8,0)</f>
        <v>#REF!</v>
      </c>
      <c r="X86" s="2662">
        <f>1000*r0*EXP(K_House*AA86)+House_P_T</f>
        <v>1302.8437685626434</v>
      </c>
      <c r="Y86" s="2662" t="e">
        <f ca="1">IF(U86,IF(-SP_eF_xy_pos&gt;F81,-SP_eF_xy_pos,X86*SIN(AA86)),0)</f>
        <v>#REF!</v>
      </c>
      <c r="Z86" s="2662" t="e">
        <f ca="1">IF(U86,IF(-SP_eF_xy_pos&gt;F81,G81,X86*COS(AA86)),0)</f>
        <v>#REF!</v>
      </c>
      <c r="AA86" s="2718">
        <v>3.9269908169872414</v>
      </c>
      <c r="AB86" s="2719" t="e">
        <f ca="1">IF(-SP_eF_xy_pos&gt;F81,ATAN(Y86/Z86),5*PI()/4)</f>
        <v>#REF!</v>
      </c>
      <c r="AC86" s="2728" t="e">
        <f ca="1">U86</f>
        <v>#REF!</v>
      </c>
      <c r="AD86" s="2662" t="e">
        <f ca="1">IF(AC86,AG86+Center_H,0)</f>
        <v>#REF!</v>
      </c>
      <c r="AE86" s="2717" t="e">
        <f ca="1">IF(AC86,(-SP_eF_xy_pos-AG86)*10^8,0)</f>
        <v>#REF!</v>
      </c>
      <c r="AF86" s="2662">
        <f>1000*r0*EXP(K_House*AI86)+House_P_T</f>
        <v>955.50964215147712</v>
      </c>
      <c r="AG86" s="2662" t="e">
        <f ca="1">IF(AC86,IF(-SP_eF_xy_pos&gt;Y81,-SP_eF_xy_pos,AF86*SIN(AI86)),0)</f>
        <v>#REF!</v>
      </c>
      <c r="AH86" s="2662" t="e">
        <f ca="1">IF(AC86,IF(-SP_eF_xy_pos&gt;Y81,Z81,AF86*COS(AI86)),0)</f>
        <v>#REF!</v>
      </c>
      <c r="AI86" s="2718">
        <v>0</v>
      </c>
      <c r="AJ86" s="2721" t="e">
        <f ca="1">IF(U86,IF(-SP_eF_xy_pos&gt;Y81,ATAN(AG86/AH86)+2*PI(),7*PI()/4),0)</f>
        <v>#REF!</v>
      </c>
    </row>
    <row r="87" spans="1:36" s="2725" customFormat="1" ht="15.75" thickBot="1">
      <c r="A87" s="2726"/>
      <c r="B87" s="2722"/>
      <c r="C87" s="2723"/>
      <c r="D87" s="3128" t="e">
        <f ca="1">IF(B86,(SP_eF_xy_pos-F87+O83)*10^8,0)</f>
        <v>#REF!</v>
      </c>
      <c r="E87" s="2686">
        <f>1000*r0*EXP(K_House*H87)+House_P_T</f>
        <v>1150.8191081893833</v>
      </c>
      <c r="F87" s="2686" t="e">
        <f ca="1">IF(B86,IF(SP_eF_xy_pos&lt;N81,SP_eF_xy_pos+O83,E87*SIN(H87)),0)</f>
        <v>#REF!</v>
      </c>
      <c r="G87" s="2686" t="e">
        <f ca="1">IF(B86,IF(SP_eF_xy_pos&lt;N81,O81,E87*COS(H87)),0)</f>
        <v>#REF!</v>
      </c>
      <c r="H87" s="3133">
        <v>2.3561944901923448</v>
      </c>
      <c r="I87" s="3127" t="e">
        <f ca="1">IF(SP_eF_xy_pos&lt;N81,ATAN(F87/G87),3*PI()/4)</f>
        <v>#REF!</v>
      </c>
      <c r="J87" s="2723"/>
      <c r="K87" s="2723"/>
      <c r="L87" s="3128" t="e">
        <f ca="1">IF(J86,(SP_eF_xy_pos-N87+O83)*10^8,0)</f>
        <v>#REF!</v>
      </c>
      <c r="M87" s="2686">
        <f>1000*r0*EXP(K_House*P87)+House_P_T</f>
        <v>955.50964215147712</v>
      </c>
      <c r="N87" s="2686" t="e">
        <f ca="1">IF(J86,IF(SP_eF_xy_pos&lt;AG81,SP_eF_xy_pos+O83,M87*SIN(P87)),0)</f>
        <v>#REF!</v>
      </c>
      <c r="O87" s="2686" t="e">
        <f ca="1">IF(J86,IF(SP_eF_xy_pos&lt;AG81,AH81,M87*COS(P87)),0)</f>
        <v>#REF!</v>
      </c>
      <c r="P87" s="3133">
        <v>0</v>
      </c>
      <c r="Q87" s="3129" t="e">
        <f ca="1">IF(B86,IF(SP_eF_xy_pos&lt;AG81,ATAN(N87/O87),PI()/4),0)</f>
        <v>#REF!</v>
      </c>
      <c r="R87" s="2692"/>
      <c r="S87" s="2692"/>
      <c r="T87" s="2692"/>
      <c r="U87" s="2722"/>
      <c r="V87" s="2723"/>
      <c r="W87" s="3128" t="e">
        <f ca="1">IF(U86,(-SP_eF_xy_pos-Y87-AH83)*10^8,0)</f>
        <v>#REF!</v>
      </c>
      <c r="X87" s="2686">
        <f>1000*r0*EXP(K_House*AA87)+House_P_T</f>
        <v>1302.8437685626434</v>
      </c>
      <c r="Y87" s="2686" t="e">
        <f ca="1">IF(U86,IF(-SP_eF_xy_pos&gt;F81,-SP_eF_xy_pos-AH83,X87*SIN(AA87)),0)</f>
        <v>#REF!</v>
      </c>
      <c r="Z87" s="2686" t="e">
        <f ca="1">IF(U86,IF(-SP_eF_xy_pos&gt;F81,G81,X87*COS(AA87)),0)</f>
        <v>#REF!</v>
      </c>
      <c r="AA87" s="3133">
        <v>3.9269908169872414</v>
      </c>
      <c r="AB87" s="3127" t="e">
        <f ca="1">IF(-SP_eF_xy_pos&gt;F81,ATAN(Y87/Z87),5*PI()/4)</f>
        <v>#REF!</v>
      </c>
      <c r="AC87" s="2723"/>
      <c r="AD87" s="2723"/>
      <c r="AE87" s="3128" t="e">
        <f ca="1">IF(AC86,(-SP_eF_xy_pos-AG87-AH83)*10^8,0)</f>
        <v>#REF!</v>
      </c>
      <c r="AF87" s="2686">
        <f>1000*r0*EXP(K_House*AI87)+House_P_T</f>
        <v>955.50964215147712</v>
      </c>
      <c r="AG87" s="2686" t="e">
        <f ca="1">IF(AC86,IF(-SP_eF_xy_pos&gt;Y81,-SP_eF_xy_pos-AH83,AF87*SIN(AI87)),0)</f>
        <v>#REF!</v>
      </c>
      <c r="AH87" s="2686" t="e">
        <f ca="1">IF(AC86,IF(-SP_eF_xy_pos&gt;Y81,Z81,AF87*COS(AI87)),0)</f>
        <v>#REF!</v>
      </c>
      <c r="AI87" s="3133">
        <v>0</v>
      </c>
      <c r="AJ87" s="3129" t="e">
        <f ca="1">IF(U86,IF(-SP_eF_xy_pos&gt;Y82,ATAN(AG87/AH87)+2*PI(),7*PI()/4),0)</f>
        <v>#REF!</v>
      </c>
    </row>
    <row r="88" spans="1:36" s="2731" customFormat="1">
      <c r="A88" s="2705"/>
      <c r="B88" s="2695"/>
      <c r="C88" s="2695"/>
      <c r="D88" s="2695"/>
      <c r="E88" s="2695"/>
      <c r="F88" s="2695"/>
      <c r="G88" s="2695"/>
      <c r="H88" s="2695"/>
      <c r="I88" s="2695"/>
      <c r="J88" s="2695"/>
      <c r="K88" s="2695"/>
      <c r="L88" s="2695"/>
      <c r="M88" s="2695"/>
      <c r="N88" s="2695"/>
      <c r="O88" s="2695"/>
      <c r="P88" s="2695"/>
      <c r="Q88" s="2755"/>
      <c r="R88" s="2695"/>
      <c r="S88" s="2695"/>
      <c r="T88" s="2695"/>
      <c r="U88" s="2695"/>
      <c r="V88" s="2695"/>
      <c r="W88" s="2695"/>
      <c r="X88" s="2695"/>
      <c r="Y88" s="2695"/>
      <c r="Z88" s="2695"/>
      <c r="AA88" s="2695"/>
      <c r="AB88" s="2695"/>
      <c r="AC88" s="2695"/>
      <c r="AD88" s="2695"/>
      <c r="AE88" s="2695"/>
      <c r="AF88" s="2695"/>
      <c r="AG88" s="2695"/>
      <c r="AH88" s="2695"/>
      <c r="AI88" s="2695"/>
      <c r="AJ88" s="2730"/>
    </row>
    <row r="89" spans="1:36" s="2731" customFormat="1">
      <c r="A89" s="2732"/>
      <c r="B89" s="2695"/>
      <c r="C89" s="2695"/>
      <c r="D89" s="2695"/>
      <c r="E89" s="2695"/>
      <c r="F89" s="2695"/>
      <c r="G89" s="2695"/>
      <c r="H89" s="2695"/>
      <c r="I89" s="2695"/>
      <c r="J89" s="2695"/>
      <c r="K89" s="2695"/>
      <c r="L89" s="2695"/>
      <c r="M89" s="2695"/>
      <c r="N89" s="2695"/>
      <c r="O89" s="2695"/>
      <c r="P89" s="2695"/>
      <c r="Q89" s="2695"/>
      <c r="R89" s="2695"/>
      <c r="S89" s="2695"/>
      <c r="T89" s="2733"/>
      <c r="U89" s="2695"/>
      <c r="V89" s="2695"/>
      <c r="W89" s="2695"/>
      <c r="X89" s="2695"/>
      <c r="Y89" s="2695"/>
      <c r="Z89" s="2695"/>
      <c r="AA89" s="2695"/>
      <c r="AB89" s="2695"/>
      <c r="AC89" s="2695"/>
      <c r="AD89" s="2695"/>
      <c r="AE89" s="2695"/>
      <c r="AF89" s="2695"/>
      <c r="AG89" s="2695"/>
      <c r="AH89" s="2695"/>
      <c r="AI89" s="2695"/>
      <c r="AJ89" s="2730"/>
    </row>
    <row r="90" spans="1:36" s="2731" customFormat="1">
      <c r="A90" s="2734" t="s">
        <v>3958</v>
      </c>
      <c r="B90" s="3901" t="e">
        <f ca="1">$B$81</f>
        <v>#REF!</v>
      </c>
      <c r="C90" s="3902"/>
      <c r="D90" s="3901" t="e">
        <f ca="1">$U$81</f>
        <v>#REF!</v>
      </c>
      <c r="E90" s="3902"/>
      <c r="F90" s="3901" t="e">
        <f ca="1">$B$86</f>
        <v>#REF!</v>
      </c>
      <c r="G90" s="3902"/>
      <c r="H90" s="3901" t="e">
        <f ca="1">$U$86</f>
        <v>#REF!</v>
      </c>
      <c r="I90" s="3902"/>
      <c r="J90" s="3121" t="e">
        <f ca="1">AND($J$81,$B$86,$O$94)</f>
        <v>#REF!</v>
      </c>
      <c r="K90" s="3125" t="e">
        <f ca="1">AND(OR(Tongue_X&lt;1.1*SP_eF_xy_pos*(SQRT(2)-1),AND($AC$81,$J$86)),$O$94)</f>
        <v>#REF!</v>
      </c>
      <c r="L90" s="3122" t="e">
        <f ca="1">AND($U$81,$AC$86,$O$94)</f>
        <v>#REF!</v>
      </c>
      <c r="M90" s="3126" t="e">
        <f ca="1">AND($B$81,$U$86,$O$94)</f>
        <v>#REF!</v>
      </c>
      <c r="N90" s="2695"/>
      <c r="O90" s="2695"/>
      <c r="P90" s="2695"/>
      <c r="Q90" s="2695"/>
      <c r="W90" s="2695"/>
      <c r="X90" s="2734" t="str">
        <f>"Support Plate Side Ext Frame "&amp;$E$6&amp;", (0, 0)"</f>
        <v>Support Plate Side Ext Frame RD, (0, 0)</v>
      </c>
      <c r="Y90" s="3901" t="e">
        <f ca="1">IF($E$6="RD",$D90,$B90)</f>
        <v>#REF!</v>
      </c>
      <c r="Z90" s="3902" t="e">
        <f ca="1">IF($E$6="RD",$D90,$B90)</f>
        <v>#REF!</v>
      </c>
      <c r="AA90" s="3901" t="e">
        <f ca="1">IF($E$6="RD",$B90,$D90)</f>
        <v>#REF!</v>
      </c>
      <c r="AB90" s="3902" t="e">
        <f ca="1">IF($E$6="RD",$B90,$D90)</f>
        <v>#REF!</v>
      </c>
      <c r="AC90" s="3901" t="e">
        <f ca="1">$F90</f>
        <v>#REF!</v>
      </c>
      <c r="AD90" s="3902" t="str">
        <f>IF($E$6="RD",$H91,$F91)</f>
        <v>SPSeFHlo_i</v>
      </c>
      <c r="AE90" s="3901" t="e">
        <f ca="1">$H90</f>
        <v>#REF!</v>
      </c>
      <c r="AF90" s="3902" t="str">
        <f>IF($E$6="RD",$F91,$H91)</f>
        <v>SPSeFHhi_i</v>
      </c>
      <c r="AG90" s="3121" t="e">
        <f ca="1">IF($E$6="RD",$K90,$J90)</f>
        <v>#REF!</v>
      </c>
      <c r="AH90" s="3122" t="e">
        <f ca="1">IF($E$6="RD",$J90,$K90)</f>
        <v>#REF!</v>
      </c>
      <c r="AI90" s="3122" t="e">
        <f ca="1">IF($E$6="RD",$M90,$L90)</f>
        <v>#REF!</v>
      </c>
      <c r="AJ90" s="3189" t="e">
        <f ca="1">IF($E$6="RD",$L90,$M90)</f>
        <v>#REF!</v>
      </c>
    </row>
    <row r="91" spans="1:36" s="2731" customFormat="1">
      <c r="A91" s="2698"/>
      <c r="B91" s="2736" t="s">
        <v>4140</v>
      </c>
      <c r="C91" s="2736" t="s">
        <v>4141</v>
      </c>
      <c r="D91" s="2736" t="s">
        <v>4142</v>
      </c>
      <c r="E91" s="2736" t="s">
        <v>4143</v>
      </c>
      <c r="F91" s="2736" t="s">
        <v>4144</v>
      </c>
      <c r="G91" s="2736" t="s">
        <v>4145</v>
      </c>
      <c r="H91" s="2736" t="s">
        <v>4146</v>
      </c>
      <c r="I91" s="2736" t="s">
        <v>4147</v>
      </c>
      <c r="J91" s="2736" t="s">
        <v>3995</v>
      </c>
      <c r="K91" s="2756" t="s">
        <v>3996</v>
      </c>
      <c r="L91" s="2736" t="s">
        <v>3997</v>
      </c>
      <c r="M91" s="2736" t="s">
        <v>3998</v>
      </c>
      <c r="N91" s="2695"/>
      <c r="O91" s="3906" t="s">
        <v>3554</v>
      </c>
      <c r="P91" s="3939"/>
      <c r="Q91" s="2695"/>
      <c r="W91" s="2695"/>
      <c r="X91" s="2737"/>
      <c r="Y91" s="2736" t="str">
        <f t="shared" ref="Y91:AJ91" si="11">B91</f>
        <v>SPSeFVL_i</v>
      </c>
      <c r="Z91" s="2736" t="str">
        <f t="shared" si="11"/>
        <v>SPSeFVL_o</v>
      </c>
      <c r="AA91" s="2736" t="str">
        <f t="shared" si="11"/>
        <v>SPSeFVR_i</v>
      </c>
      <c r="AB91" s="2736" t="str">
        <f t="shared" si="11"/>
        <v>SPSeFVR_o</v>
      </c>
      <c r="AC91" s="2736" t="str">
        <f t="shared" si="11"/>
        <v>SPSeFHhi_i</v>
      </c>
      <c r="AD91" s="2736" t="str">
        <f t="shared" si="11"/>
        <v>SPSeFHhi_o</v>
      </c>
      <c r="AE91" s="2736" t="str">
        <f t="shared" si="11"/>
        <v>SPSeFHlo_i</v>
      </c>
      <c r="AF91" s="2736" t="str">
        <f t="shared" si="11"/>
        <v>SPSeFHlo_o</v>
      </c>
      <c r="AG91" s="2736" t="str">
        <f t="shared" si="11"/>
        <v>SPSeFOuL</v>
      </c>
      <c r="AH91" s="2736" t="str">
        <f t="shared" si="11"/>
        <v>SPSeFOuR</v>
      </c>
      <c r="AI91" s="2736" t="str">
        <f t="shared" si="11"/>
        <v>SPSeFOloR</v>
      </c>
      <c r="AJ91" s="2803" t="str">
        <f t="shared" si="11"/>
        <v>SPSeFOloL</v>
      </c>
    </row>
    <row r="92" spans="1:36" s="2731" customFormat="1">
      <c r="A92" s="3179" t="s">
        <v>4013</v>
      </c>
      <c r="B92" s="3883" t="e">
        <f ca="1">N78</f>
        <v>#REF!</v>
      </c>
      <c r="C92" s="3882"/>
      <c r="D92" s="3883" t="e">
        <f ca="1">AG78</f>
        <v>#REF!</v>
      </c>
      <c r="E92" s="3882"/>
      <c r="F92" s="3883" t="e">
        <f ca="1">N83</f>
        <v>#REF!</v>
      </c>
      <c r="G92" s="3882"/>
      <c r="H92" s="3883" t="e">
        <f ca="1">AG83</f>
        <v>#REF!</v>
      </c>
      <c r="I92" s="3882"/>
      <c r="J92" s="3174" t="e">
        <f ca="1">IF(J90,$R$7,0)</f>
        <v>#REF!</v>
      </c>
      <c r="K92" s="3175" t="e">
        <f ca="1">IF(K90,$R$7,0)</f>
        <v>#REF!</v>
      </c>
      <c r="L92" s="3174" t="e">
        <f ca="1">IF(L90,$R$7,0)</f>
        <v>#REF!</v>
      </c>
      <c r="M92" s="3174" t="e">
        <f ca="1">IF(M90,$R$7,0)</f>
        <v>#REF!</v>
      </c>
      <c r="N92" s="2695"/>
      <c r="O92" s="3173"/>
      <c r="P92" s="3176"/>
      <c r="Q92" s="2695"/>
      <c r="W92" s="2695"/>
      <c r="X92" s="3191" t="s">
        <v>4013</v>
      </c>
      <c r="Y92" s="3883" t="e">
        <f ca="1">IF($E$6="RD",$D92,$B92)</f>
        <v>#REF!</v>
      </c>
      <c r="Z92" s="3882"/>
      <c r="AA92" s="3883" t="e">
        <f ca="1">IF($E$6="RD",$B92,$D92)</f>
        <v>#REF!</v>
      </c>
      <c r="AB92" s="3882"/>
      <c r="AC92" s="3883" t="e">
        <f ca="1">$F92</f>
        <v>#REF!</v>
      </c>
      <c r="AD92" s="3882"/>
      <c r="AE92" s="3883" t="e">
        <f ca="1">$H92</f>
        <v>#REF!</v>
      </c>
      <c r="AF92" s="3882"/>
      <c r="AG92" s="3174" t="e">
        <f ca="1">IF($E$6="RD",$K92,$J92)</f>
        <v>#REF!</v>
      </c>
      <c r="AH92" s="3174" t="e">
        <f ca="1">IF($E$6="RD",$J92,$K92)</f>
        <v>#REF!</v>
      </c>
      <c r="AI92" s="3174" t="e">
        <f ca="1">IF($E$6="RD",$M92,$L92)</f>
        <v>#REF!</v>
      </c>
      <c r="AJ92" s="3178" t="e">
        <f ca="1">IF($E$6="RD",$L92,$M92)</f>
        <v>#REF!</v>
      </c>
    </row>
    <row r="93" spans="1:36" s="2731" customFormat="1">
      <c r="A93" s="2757" t="s">
        <v>1094</v>
      </c>
      <c r="B93" s="2662" t="e">
        <f ca="1">$G$81</f>
        <v>#REF!</v>
      </c>
      <c r="C93" s="2662" t="e">
        <f ca="1">$G$82</f>
        <v>#REF!</v>
      </c>
      <c r="D93" s="2662" t="e">
        <f ca="1">$Z$81</f>
        <v>#REF!</v>
      </c>
      <c r="E93" s="2662" t="e">
        <f ca="1">$Z$82</f>
        <v>#REF!</v>
      </c>
      <c r="F93" s="2662" t="e">
        <f ca="1">$G$86</f>
        <v>#REF!</v>
      </c>
      <c r="G93" s="2662" t="e">
        <f ca="1">$G$87</f>
        <v>#REF!</v>
      </c>
      <c r="H93" s="2662" t="e">
        <f ca="1">$Z$86</f>
        <v>#REF!</v>
      </c>
      <c r="I93" s="2662" t="e">
        <f ca="1">$Z$87</f>
        <v>#REF!</v>
      </c>
      <c r="J93" s="2662" t="e">
        <f ca="1">IF($J$90,(-SP_eF_xy_pos)*(SQRT(2)-1),0)</f>
        <v>#REF!</v>
      </c>
      <c r="K93" s="2758" t="e">
        <f ca="1">IF($K$90,IF(AND($AC$81,$J$86),IF((SP_eF_xy_pos)*(SQRT(2)-1)&lt;$B$22,(SP_eF_xy_pos)*(SQRT(2)-1),(SP_eF_xy_pos)*(SQRT(2)-1)+((SP_eF_xy_pos)-$B$23)),IF($B$22&lt;1.1*(SP_eF_xy_pos)*(SQRT(2)-1),MAX($B$22,(SP_eF_xy_pos)*(SQRT(2)-1)),0)),0)</f>
        <v>#REF!</v>
      </c>
      <c r="L93" s="2662" t="e">
        <f ca="1">IF($L$90,SP_eF_xy_pos,0)</f>
        <v>#REF!</v>
      </c>
      <c r="M93" s="2662" t="e">
        <f ca="1">IF($M$90,-SP_eF_xy_pos,0)</f>
        <v>#REF!</v>
      </c>
      <c r="N93" s="2695"/>
      <c r="O93" s="3111" t="e">
        <f ca="1">MAX(SPmin_reinf_area,MIN(SP_max_reinf_area,ROUNDDOWN(2*Reinf_HousePT/1000/crit_a,2)))</f>
        <v>#REF!</v>
      </c>
      <c r="P93" s="3112"/>
      <c r="Q93" s="2695"/>
      <c r="W93" s="2695"/>
      <c r="X93" s="2664" t="s">
        <v>4101</v>
      </c>
      <c r="Y93" s="2662" t="e">
        <f ca="1">-IF($E$6="RD",$D93,$B93)</f>
        <v>#REF!</v>
      </c>
      <c r="Z93" s="2662" t="e">
        <f ca="1">-IF($E$6="RD",$E93,$C93)</f>
        <v>#REF!</v>
      </c>
      <c r="AA93" s="2662" t="e">
        <f ca="1">-IF($E$6="RD",$B93,$D93)</f>
        <v>#REF!</v>
      </c>
      <c r="AB93" s="2662" t="e">
        <f ca="1">-IF($E$6="RD",$C93,$E93)</f>
        <v>#REF!</v>
      </c>
      <c r="AC93" s="2662" t="e">
        <f ca="1">$F94</f>
        <v>#REF!</v>
      </c>
      <c r="AD93" s="2662" t="e">
        <f ca="1">$G94</f>
        <v>#REF!</v>
      </c>
      <c r="AE93" s="2662" t="e">
        <f ca="1">$H94</f>
        <v>#REF!</v>
      </c>
      <c r="AF93" s="2662" t="e">
        <f ca="1">$I94</f>
        <v>#REF!</v>
      </c>
      <c r="AG93" s="2662" t="e">
        <f ca="1">IF(J93=0,0,IF($E$6="RD",$AA93,$Y93))</f>
        <v>#REF!</v>
      </c>
      <c r="AH93" s="2666" t="e">
        <f ca="1">IF(K93=0,0,IF($E$6="RD",$Y93,$AA93))</f>
        <v>#REF!</v>
      </c>
      <c r="AI93" s="2662" t="e">
        <f ca="1">IF(L93=0,0,IF($E$6="RD",$Y93,$AA93))</f>
        <v>#REF!</v>
      </c>
      <c r="AJ93" s="2794" t="e">
        <f ca="1">IF(M93=0,0,IF($E$6="RD",$AA93,$Y93))</f>
        <v>#REF!</v>
      </c>
    </row>
    <row r="94" spans="1:36" s="2731" customFormat="1">
      <c r="A94" s="2757" t="s">
        <v>1095</v>
      </c>
      <c r="B94" s="2662" t="e">
        <f ca="1">$F$81</f>
        <v>#REF!</v>
      </c>
      <c r="C94" s="2662" t="e">
        <f ca="1">$F$82</f>
        <v>#REF!</v>
      </c>
      <c r="D94" s="2662" t="e">
        <f ca="1">$Y$81</f>
        <v>#REF!</v>
      </c>
      <c r="E94" s="2662" t="e">
        <f ca="1">$Y$82</f>
        <v>#REF!</v>
      </c>
      <c r="F94" s="2662" t="e">
        <f ca="1">$F$86</f>
        <v>#REF!</v>
      </c>
      <c r="G94" s="2662" t="e">
        <f ca="1">$F$87</f>
        <v>#REF!</v>
      </c>
      <c r="H94" s="2662" t="e">
        <f ca="1">$Y$86</f>
        <v>#REF!</v>
      </c>
      <c r="I94" s="2662" t="e">
        <f ca="1">$Y$87</f>
        <v>#REF!</v>
      </c>
      <c r="J94" s="2662" t="e">
        <f ca="1">IF($J$90,SP_eF_xy_pos,0)</f>
        <v>#REF!</v>
      </c>
      <c r="K94" s="2758" t="e">
        <f ca="1">IF($K$90,IF(AND($AC$81,$J$86),IF((SP_eF_xy_pos)*(SQRT(2)-1)&lt;$B$22,(SP_eF_xy_pos),$B$23),IF($B$22&lt;1.1*(SP_eF_xy_pos)*(SQRT(2)-1),$B$23,0)),0)</f>
        <v>#REF!</v>
      </c>
      <c r="L94" s="2662" t="e">
        <f ca="1">IF($L$90,(-SP_eF_xy_pos)*(SQRT(2)-1),0)</f>
        <v>#REF!</v>
      </c>
      <c r="M94" s="2662" t="e">
        <f ca="1">IF($M$90,(-SP_eF_xy_pos)*(SQRT(2)-1),0)</f>
        <v>#REF!</v>
      </c>
      <c r="N94" s="2695"/>
      <c r="O94" s="3113" t="e">
        <f ca="1">IF((SP_eF_xy_pos/1000-SP_iF_xy_pos/1000)^2&gt;$O$93,TRUE,FALSE)</f>
        <v>#REF!</v>
      </c>
      <c r="P94" s="3114"/>
      <c r="Q94" s="2695"/>
      <c r="W94" s="2695"/>
      <c r="X94" s="2664" t="s">
        <v>4102</v>
      </c>
      <c r="Y94" s="2662" t="e">
        <f ca="1">IF($E$6="RD",$D94,$B94)</f>
        <v>#REF!</v>
      </c>
      <c r="Z94" s="2662" t="e">
        <f ca="1">IF($E$6="RD",$E94,$C94)</f>
        <v>#REF!</v>
      </c>
      <c r="AA94" s="2662" t="e">
        <f ca="1">IF($E$6="RD",$B94,$D94)</f>
        <v>#REF!</v>
      </c>
      <c r="AB94" s="2662" t="e">
        <f ca="1">IF($E$6="RD",$C94,$E94)</f>
        <v>#REF!</v>
      </c>
      <c r="AC94" s="2662" t="e">
        <f ca="1">$F93</f>
        <v>#REF!</v>
      </c>
      <c r="AD94" s="2662" t="e">
        <f ca="1">$G93</f>
        <v>#REF!</v>
      </c>
      <c r="AE94" s="2662" t="e">
        <f ca="1">$H93</f>
        <v>#REF!</v>
      </c>
      <c r="AF94" s="2662" t="e">
        <f ca="1">$I93</f>
        <v>#REF!</v>
      </c>
      <c r="AG94" s="2662" t="e">
        <f ca="1">IF($J94=0,0,-IF($E$6="RD",$K97/2,$J97/2))</f>
        <v>#REF!</v>
      </c>
      <c r="AH94" s="2666" t="e">
        <f ca="1">IF($K94=0,0,-IF($E$6="RD",$J97/2,$K97/2))</f>
        <v>#REF!</v>
      </c>
      <c r="AI94" s="2662" t="e">
        <f ca="1">IF($L94=0,0,-IF($E$6="RD",$M97/2,$L97/2))</f>
        <v>#REF!</v>
      </c>
      <c r="AJ94" s="2794" t="e">
        <f ca="1">IF($M94=0,0,-IF($E$6="RD",$L97/2,$M97/2))</f>
        <v>#REF!</v>
      </c>
    </row>
    <row r="95" spans="1:36" s="2731" customFormat="1">
      <c r="A95" s="2757" t="s">
        <v>1096</v>
      </c>
      <c r="B95" s="2662" t="e">
        <f ca="1">$O$81</f>
        <v>#REF!</v>
      </c>
      <c r="C95" s="2662" t="e">
        <f ca="1">$O$82</f>
        <v>#REF!</v>
      </c>
      <c r="D95" s="2662" t="e">
        <f ca="1">$AH$81</f>
        <v>#REF!</v>
      </c>
      <c r="E95" s="2662" t="e">
        <f ca="1">$AH$82</f>
        <v>#REF!</v>
      </c>
      <c r="F95" s="2662" t="e">
        <f ca="1">$O$86</f>
        <v>#REF!</v>
      </c>
      <c r="G95" s="2662" t="e">
        <f ca="1">$O$87</f>
        <v>#REF!</v>
      </c>
      <c r="H95" s="2662" t="e">
        <f ca="1">$AH$86</f>
        <v>#REF!</v>
      </c>
      <c r="I95" s="2662" t="e">
        <f ca="1">$AH$87</f>
        <v>#REF!</v>
      </c>
      <c r="J95" s="2662" t="e">
        <f ca="1">IF($J$90,-SP_eF_xy_pos,0)</f>
        <v>#REF!</v>
      </c>
      <c r="K95" s="2758" t="e">
        <f ca="1">IF($K$90,IF($U$81,(SP_eF_xy_pos),$Z$22),0)</f>
        <v>#REF!</v>
      </c>
      <c r="L95" s="2662" t="e">
        <f ca="1">IF($L$90,(SP_eF_xy_pos)*(SQRT(2)-1),0)</f>
        <v>#REF!</v>
      </c>
      <c r="M95" s="2662" t="e">
        <f ca="1">IF($M$90,(-SP_eF_xy_pos)*(SQRT(2)-1),0)</f>
        <v>#REF!</v>
      </c>
      <c r="N95" s="2695"/>
      <c r="O95" s="2695"/>
      <c r="P95" s="2695"/>
      <c r="Q95" s="2695"/>
      <c r="W95" s="2695"/>
      <c r="X95" s="2664"/>
      <c r="Y95" s="2662"/>
      <c r="Z95" s="2662"/>
      <c r="AA95" s="2662"/>
      <c r="AB95" s="2662"/>
      <c r="AC95" s="2662"/>
      <c r="AD95" s="2662"/>
      <c r="AE95" s="2662"/>
      <c r="AF95" s="2662"/>
      <c r="AG95" s="2662"/>
      <c r="AH95" s="2666"/>
      <c r="AI95" s="2662"/>
      <c r="AJ95" s="2794"/>
    </row>
    <row r="96" spans="1:36" s="2731" customFormat="1">
      <c r="A96" s="2757" t="s">
        <v>1097</v>
      </c>
      <c r="B96" s="2738" t="e">
        <f ca="1">$N$81</f>
        <v>#REF!</v>
      </c>
      <c r="C96" s="2738" t="e">
        <f ca="1">$N$82</f>
        <v>#REF!</v>
      </c>
      <c r="D96" s="2738" t="e">
        <f ca="1">$AG$81</f>
        <v>#REF!</v>
      </c>
      <c r="E96" s="2738" t="e">
        <f ca="1">$AG$82</f>
        <v>#REF!</v>
      </c>
      <c r="F96" s="2738" t="e">
        <f ca="1">$N$86</f>
        <v>#REF!</v>
      </c>
      <c r="G96" s="2738" t="e">
        <f ca="1">$N$87</f>
        <v>#REF!</v>
      </c>
      <c r="H96" s="2738" t="e">
        <f ca="1">$AG$86</f>
        <v>#REF!</v>
      </c>
      <c r="I96" s="2738" t="e">
        <f ca="1">$AG$87</f>
        <v>#REF!</v>
      </c>
      <c r="J96" s="2738" t="e">
        <f ca="1">IF($J$90,(SP_eF_xy_pos)*(SQRT(2)-1),0)</f>
        <v>#REF!</v>
      </c>
      <c r="K96" s="2759" t="e">
        <f ca="1">IF($K$90,K93,0)</f>
        <v>#REF!</v>
      </c>
      <c r="L96" s="2738" t="e">
        <f ca="1">IF($L$90,-SP_eF_xy_pos,0)</f>
        <v>#REF!</v>
      </c>
      <c r="M96" s="2738" t="e">
        <f ca="1">IF($M$90,-SP_eF_xy_pos,0)</f>
        <v>#REF!</v>
      </c>
      <c r="N96" s="2695"/>
      <c r="O96" s="2695"/>
      <c r="P96" s="2695"/>
      <c r="Q96" s="2695"/>
      <c r="W96" s="2695"/>
      <c r="X96" s="2664" t="s">
        <v>4103</v>
      </c>
      <c r="Y96" s="2738" t="e">
        <f ca="1">IF($E$6="RD",$D96,$B96)</f>
        <v>#REF!</v>
      </c>
      <c r="Z96" s="2738" t="e">
        <f ca="1">IF($E$6="RD",$E96,$C96)</f>
        <v>#REF!</v>
      </c>
      <c r="AA96" s="2738" t="e">
        <f ca="1">IF($E$6="RD",$B96,$D96)</f>
        <v>#REF!</v>
      </c>
      <c r="AB96" s="2738" t="e">
        <f ca="1">IF($E$6="RD",$C96,$E96)</f>
        <v>#REF!</v>
      </c>
      <c r="AC96" s="2738" t="e">
        <f ca="1">$F95</f>
        <v>#REF!</v>
      </c>
      <c r="AD96" s="2738" t="e">
        <f ca="1">$G95</f>
        <v>#REF!</v>
      </c>
      <c r="AE96" s="2738" t="e">
        <f ca="1">$H95</f>
        <v>#REF!</v>
      </c>
      <c r="AF96" s="2738" t="e">
        <f ca="1">$I95</f>
        <v>#REF!</v>
      </c>
      <c r="AG96" s="2738" t="e">
        <f ca="1">IF($J96=0,0,IF($E$6="RD",$K97/2,$J97/2))</f>
        <v>#REF!</v>
      </c>
      <c r="AH96" s="3190" t="e">
        <f ca="1">IF($K96=0,0,IF($E$6="RD",$J97/2,$K97/2))</f>
        <v>#REF!</v>
      </c>
      <c r="AI96" s="2738" t="e">
        <f ca="1">IF($L96=0,0,IF($E$6="RD",$M97/2,$L97/2))</f>
        <v>#REF!</v>
      </c>
      <c r="AJ96" s="2789" t="e">
        <f ca="1">IF($M96=0,0,IF($E$6="RD",$L97/2,$M97/2))</f>
        <v>#REF!</v>
      </c>
    </row>
    <row r="97" spans="1:36" s="2731" customFormat="1">
      <c r="A97" s="2732"/>
      <c r="B97" s="3123" t="e">
        <f ca="1">SQRT((B95-B93)^2+(B96-B94)^2)</f>
        <v>#REF!</v>
      </c>
      <c r="C97" s="2735" t="e">
        <f ca="1">SQRT((C95-C93)^2+(C96-C94)^2)</f>
        <v>#REF!</v>
      </c>
      <c r="D97" s="2735" t="e">
        <f t="shared" ref="D97:E97" ca="1" si="12">SQRT((D95-D93)^2+(D96-D94)^2)</f>
        <v>#REF!</v>
      </c>
      <c r="E97" s="2735" t="e">
        <f t="shared" ca="1" si="12"/>
        <v>#REF!</v>
      </c>
      <c r="F97" s="2735" t="e">
        <f t="shared" ref="F97:G97" ca="1" si="13">SQRT((F95-F93)^2+(F96-F94)^2)</f>
        <v>#REF!</v>
      </c>
      <c r="G97" s="2735" t="e">
        <f t="shared" ca="1" si="13"/>
        <v>#REF!</v>
      </c>
      <c r="H97" s="2735" t="e">
        <f t="shared" ref="H97:I97" ca="1" si="14">SQRT((H95-H93)^2+(H96-H94)^2)</f>
        <v>#REF!</v>
      </c>
      <c r="I97" s="3124" t="e">
        <f t="shared" ca="1" si="14"/>
        <v>#REF!</v>
      </c>
      <c r="J97" s="3121" t="e">
        <f ca="1">SQRT((J95-J93)^2+(J96-J94)^2)</f>
        <v>#REF!</v>
      </c>
      <c r="K97" s="3122" t="e">
        <f t="shared" ref="K97:M97" ca="1" si="15">SQRT((K95-K93)^2+(K96-K94)^2)</f>
        <v>#REF!</v>
      </c>
      <c r="L97" s="3122" t="e">
        <f t="shared" ca="1" si="15"/>
        <v>#REF!</v>
      </c>
      <c r="M97" s="3126" t="e">
        <f t="shared" ca="1" si="15"/>
        <v>#REF!</v>
      </c>
      <c r="N97" s="2695"/>
      <c r="O97" s="2695"/>
      <c r="P97" s="2695"/>
      <c r="Q97" s="2695"/>
      <c r="R97" s="2695"/>
      <c r="S97" s="2695"/>
      <c r="T97" s="2695"/>
      <c r="U97" s="2695"/>
      <c r="V97" s="2695"/>
      <c r="W97" s="2695"/>
      <c r="X97" s="2695"/>
      <c r="Y97" s="2695"/>
      <c r="Z97" s="2695"/>
      <c r="AA97" s="2695"/>
      <c r="AB97" s="2695"/>
      <c r="AC97" s="2695"/>
      <c r="AD97" s="2695"/>
      <c r="AE97" s="2695"/>
      <c r="AF97" s="2695"/>
      <c r="AG97" s="2695"/>
      <c r="AH97" s="2695"/>
      <c r="AI97" s="2695"/>
      <c r="AJ97" s="2730"/>
    </row>
    <row r="98" spans="1:36" s="2731" customFormat="1">
      <c r="A98" s="2729"/>
      <c r="B98" s="2695"/>
      <c r="C98" s="2695"/>
      <c r="D98" s="2695"/>
      <c r="E98" s="2695"/>
      <c r="F98" s="2695"/>
      <c r="G98" s="2695"/>
      <c r="H98" s="2695"/>
      <c r="I98" s="2695"/>
      <c r="J98" s="2695"/>
      <c r="K98" s="2695"/>
      <c r="L98" s="2695"/>
      <c r="M98" s="2695"/>
      <c r="N98" s="2695"/>
      <c r="O98" s="2695"/>
      <c r="P98" s="2695"/>
      <c r="Q98" s="2695"/>
      <c r="R98" s="2695"/>
      <c r="S98" s="2695"/>
      <c r="T98" s="2695"/>
      <c r="U98" s="2695"/>
      <c r="V98" s="2695"/>
      <c r="W98" s="2695"/>
      <c r="X98" s="2695"/>
      <c r="Y98" s="2695"/>
      <c r="Z98" s="2695"/>
      <c r="AA98" s="2695"/>
      <c r="AB98" s="2695"/>
      <c r="AC98" s="2695"/>
      <c r="AD98" s="2695"/>
      <c r="AE98" s="2695"/>
      <c r="AF98" s="2695"/>
      <c r="AG98" s="2695"/>
      <c r="AH98" s="2695"/>
      <c r="AI98" s="2695"/>
      <c r="AJ98" s="2730"/>
    </row>
    <row r="99" spans="1:36" s="2695" customFormat="1">
      <c r="A99" s="2701" t="s">
        <v>3959</v>
      </c>
      <c r="B99" s="2639"/>
      <c r="C99" s="2693"/>
      <c r="D99" s="2659" t="s">
        <v>4035</v>
      </c>
      <c r="E99" s="2649" t="e">
        <f ca="1">r0^2/(4*K_House)*(EXP(2*K_House*H_alfaend)-EXP(2*K_House*H_alfastart))+($Y$22/1000-$C$22/1000)*$Y$23/1000+D$22/1000*Tongue_Y/1000/2-$I99</f>
        <v>#REF!</v>
      </c>
      <c r="F99" s="2639" t="s">
        <v>2511</v>
      </c>
      <c r="G99" s="2639"/>
      <c r="H99" s="2659" t="s">
        <v>2687</v>
      </c>
      <c r="I99" s="2649" t="e">
        <f ca="1">PI()/4*(SP_oD/1000)^2</f>
        <v>#REF!</v>
      </c>
      <c r="J99" s="2693" t="s">
        <v>2511</v>
      </c>
      <c r="K99" s="2639"/>
      <c r="L99" s="2761" t="s">
        <v>3801</v>
      </c>
      <c r="M99" s="2693" t="e">
        <f ca="1">(reinf_strt_stp+SP_oD)/2</f>
        <v>#REF!</v>
      </c>
      <c r="N99" s="2762" t="s">
        <v>136</v>
      </c>
      <c r="P99" s="2640"/>
      <c r="T99" s="2639"/>
      <c r="AJ99" s="2730"/>
    </row>
    <row r="100" spans="1:36">
      <c r="A100" s="2698"/>
      <c r="B100" s="2639"/>
      <c r="C100" s="2639"/>
      <c r="D100" s="2640"/>
      <c r="E100" s="2640"/>
      <c r="F100" s="2639"/>
      <c r="G100" s="2704"/>
      <c r="H100" s="2640" t="s">
        <v>2579</v>
      </c>
      <c r="I100" s="2674" t="e">
        <f ca="1">$Z$23/1000*($Z$22/1000-$D$22/1000)/2-($D$20-($Z$20-2*PI()))*$I99/(2*PI())</f>
        <v>#REF!</v>
      </c>
      <c r="J100" s="2639" t="s">
        <v>2511</v>
      </c>
      <c r="K100" s="2639"/>
      <c r="L100" s="2639"/>
      <c r="P100" s="2639"/>
      <c r="Q100" s="2695"/>
      <c r="R100" s="2639"/>
      <c r="S100" s="2639"/>
      <c r="T100" s="2639"/>
      <c r="U100" s="2639"/>
      <c r="V100" s="2639"/>
      <c r="W100" s="2639"/>
      <c r="X100" s="2639"/>
      <c r="Y100" s="2639"/>
      <c r="Z100" s="2639"/>
      <c r="AA100" s="2639"/>
      <c r="AB100" s="2639"/>
      <c r="AC100" s="2639"/>
      <c r="AD100" s="2639"/>
      <c r="AE100" s="2639"/>
      <c r="AF100" s="2639"/>
      <c r="AG100" s="2639"/>
      <c r="AH100" s="2639"/>
      <c r="AI100" s="2639"/>
      <c r="AJ100" s="2675"/>
    </row>
    <row r="101" spans="1:36">
      <c r="A101" s="2712"/>
      <c r="B101" s="2641"/>
      <c r="C101" s="2763"/>
      <c r="D101" s="2739" t="s">
        <v>4036</v>
      </c>
      <c r="E101" s="2764" t="e">
        <f ca="1">MAX(SPmin_reinf_area,IF((H_avg_oR/1000-SP_eF_xy_pos/1000)^2*crit_a/(Reinf_HousePT/1000)-1&lt;=0,SPmin_reinf_area,(H_avg_oR/1000-SP_eF_xy_pos/1000)^2*SQRT(1/((H_avg_oR/1000-SP_eF_xy_pos/1000)^2*crit_a/(Reinf_HousePT/1000)-1))))</f>
        <v>#REF!</v>
      </c>
      <c r="F101" s="2639" t="s">
        <v>2511</v>
      </c>
      <c r="G101" s="2693"/>
      <c r="H101" s="2640" t="s">
        <v>2669</v>
      </c>
      <c r="I101" s="2764" t="e">
        <f ca="1">MAX(2*PI(),$AI$81-IF(SP_max_reinf_area&lt;$I100,2*SP_max_reinf_area/(($X$21/1000)^2-(SP_eF_xy_pos/COS(AVERAGE($Z$20,$B$20))/1000)^2),$AI$81-$Z$20+2*(SP_max_reinf_area-$I100)/(($X$21/1000)^2-(SP_eF_xy_pos/COS(AVERAGE($Z$20,$B$20))/1000)^2)))</f>
        <v>#REF!</v>
      </c>
      <c r="J101" s="2693" t="e">
        <f ca="1">DEGREES(SPRe_start_angle_e)</f>
        <v>#REF!</v>
      </c>
      <c r="K101" s="2641"/>
      <c r="L101" s="2659"/>
      <c r="M101" s="2655" t="s">
        <v>2672</v>
      </c>
      <c r="N101" s="2765">
        <f>crit_a</f>
        <v>4.2637911811434441E-2</v>
      </c>
      <c r="O101" s="2632" t="s">
        <v>2668</v>
      </c>
      <c r="P101" s="2659"/>
      <c r="Q101" s="2641"/>
      <c r="R101" s="2641"/>
      <c r="S101" s="2739"/>
      <c r="T101" s="2706"/>
      <c r="U101" s="2639"/>
      <c r="V101" s="2639"/>
      <c r="W101" s="2639"/>
      <c r="X101" s="2639"/>
      <c r="Y101" s="2639"/>
      <c r="Z101" s="2639"/>
      <c r="AA101" s="2639"/>
      <c r="AB101" s="2639"/>
      <c r="AC101" s="2639"/>
      <c r="AD101" s="2639"/>
      <c r="AE101" s="2639"/>
      <c r="AF101" s="2639"/>
      <c r="AG101" s="2639"/>
      <c r="AH101" s="2639"/>
      <c r="AI101" s="2639"/>
      <c r="AJ101" s="2675"/>
    </row>
    <row r="102" spans="1:36" s="2697" customFormat="1">
      <c r="A102" s="2766"/>
      <c r="B102" s="2641"/>
      <c r="C102" s="2641"/>
      <c r="D102" s="2763" t="s">
        <v>4034</v>
      </c>
      <c r="E102" s="2767" t="e">
        <f ca="1">IF(SP_reinf_req,$E$99+$I$99-(2*SP_eF_xy_pos/1000)^2&gt;SP_max_reinf_area,FALSE)</f>
        <v>#REF!</v>
      </c>
      <c r="F102" s="2762"/>
      <c r="G102" s="2762"/>
      <c r="H102" s="2640" t="s">
        <v>2675</v>
      </c>
      <c r="I102" s="2764">
        <f>H_alfastart</f>
        <v>1.1344640137963142</v>
      </c>
      <c r="J102" s="2693">
        <f>DEGREES(SPRe_stop_angle_e)</f>
        <v>65</v>
      </c>
      <c r="K102" s="2762"/>
      <c r="L102" s="2762"/>
      <c r="M102" s="2762"/>
      <c r="N102" s="2762"/>
      <c r="O102" s="2762"/>
      <c r="P102" s="2762"/>
      <c r="Q102" s="2762"/>
      <c r="R102" s="2762"/>
      <c r="S102" s="2762"/>
      <c r="T102" s="2762"/>
      <c r="U102" s="2739"/>
      <c r="V102" s="2706"/>
      <c r="W102" s="2739"/>
      <c r="X102" s="2706"/>
      <c r="Y102" s="2739"/>
      <c r="Z102" s="2706"/>
      <c r="AA102" s="2739"/>
      <c r="AB102" s="2706"/>
      <c r="AC102" s="2739"/>
      <c r="AD102" s="2706"/>
      <c r="AE102" s="2641"/>
      <c r="AF102" s="2641"/>
      <c r="AG102" s="2641"/>
      <c r="AH102" s="2641"/>
      <c r="AI102" s="2641"/>
      <c r="AJ102" s="2768"/>
    </row>
    <row r="103" spans="1:36">
      <c r="A103" s="2700" t="s">
        <v>2579</v>
      </c>
      <c r="B103" s="2706" t="e">
        <f t="shared" ref="B103:I103" ca="1" si="16">IF(B106=0,0,IF(B106&gt;=$Z$20,B113/1000*($Z$22/1000-B112/1000)/2-$I99*(B106-$Z$20)/(2*PI()),IF(AND(B106&gt;2*PI(),B106&lt;$Z$20),B113/1000*B112/1000/2-$I99*(B106-2*PI())/(2*PI()),IF(AND(B106&gt;=SPRe_stop_angle_e,B106&lt;=2*PI()),r0^2/(4*K_House)*(EXP(2*K_House*B106)-EXP(2*K_House*SPRe_stop_angle_e))-(B106-SPRe_stop_angle_e)*$I99/(2*PI())))))</f>
        <v>#REF!</v>
      </c>
      <c r="C103" s="2706" t="e">
        <f t="shared" ca="1" si="16"/>
        <v>#REF!</v>
      </c>
      <c r="D103" s="2706" t="e">
        <f t="shared" ca="1" si="16"/>
        <v>#REF!</v>
      </c>
      <c r="E103" s="2706" t="e">
        <f t="shared" ca="1" si="16"/>
        <v>#REF!</v>
      </c>
      <c r="F103" s="2706" t="e">
        <f t="shared" ca="1" si="16"/>
        <v>#REF!</v>
      </c>
      <c r="G103" s="2706" t="e">
        <f t="shared" ca="1" si="16"/>
        <v>#REF!</v>
      </c>
      <c r="H103" s="2706" t="e">
        <f t="shared" ca="1" si="16"/>
        <v>#REF!</v>
      </c>
      <c r="I103" s="2706" t="e">
        <f t="shared" ca="1" si="16"/>
        <v>#REF!</v>
      </c>
      <c r="J103" s="2706" t="e">
        <f t="shared" ref="J103:AB103" ca="1" si="17">IF(J106=0,0,IF(J106&gt;=$Z$20,J113/1000*($Z$22/1000-J112/1000)/2-$I99*(J106-$Z$20)/(2*PI()),IF(AND(J106&gt;2*PI(),J106&lt;$Z$20),J113/1000*J112/1000/2-$I99*(J106-2*PI())/(2*PI()),IF(AND(J106&gt;=SPRe_stop_angle_e,J106&lt;=2*PI()),r0^2/(4*K_House)*(EXP(2*K_House*J106)-EXP(2*K_House*SPRe_stop_angle_e))-(J106-SPRe_stop_angle_e)*$I99/(2*PI())))))</f>
        <v>#REF!</v>
      </c>
      <c r="K103" s="2706" t="e">
        <f t="shared" ca="1" si="17"/>
        <v>#REF!</v>
      </c>
      <c r="L103" s="2706" t="e">
        <f t="shared" ca="1" si="17"/>
        <v>#REF!</v>
      </c>
      <c r="M103" s="2706" t="e">
        <f t="shared" ca="1" si="17"/>
        <v>#REF!</v>
      </c>
      <c r="N103" s="2706" t="e">
        <f t="shared" ca="1" si="17"/>
        <v>#REF!</v>
      </c>
      <c r="O103" s="2706" t="e">
        <f t="shared" ca="1" si="17"/>
        <v>#REF!</v>
      </c>
      <c r="P103" s="2706" t="e">
        <f t="shared" ca="1" si="17"/>
        <v>#REF!</v>
      </c>
      <c r="Q103" s="2706" t="e">
        <f t="shared" ca="1" si="17"/>
        <v>#REF!</v>
      </c>
      <c r="R103" s="2706" t="e">
        <f t="shared" ca="1" si="17"/>
        <v>#REF!</v>
      </c>
      <c r="S103" s="2706" t="e">
        <f t="shared" ca="1" si="17"/>
        <v>#REF!</v>
      </c>
      <c r="T103" s="2706" t="e">
        <f t="shared" ca="1" si="17"/>
        <v>#REF!</v>
      </c>
      <c r="U103" s="2706" t="e">
        <f t="shared" ca="1" si="17"/>
        <v>#REF!</v>
      </c>
      <c r="V103" s="2706" t="e">
        <f t="shared" ca="1" si="17"/>
        <v>#REF!</v>
      </c>
      <c r="W103" s="2706" t="e">
        <f t="shared" ca="1" si="17"/>
        <v>#REF!</v>
      </c>
      <c r="X103" s="2706" t="e">
        <f t="shared" ca="1" si="17"/>
        <v>#REF!</v>
      </c>
      <c r="Y103" s="2706" t="e">
        <f t="shared" ca="1" si="17"/>
        <v>#REF!</v>
      </c>
      <c r="Z103" s="2706" t="e">
        <f t="shared" ca="1" si="17"/>
        <v>#REF!</v>
      </c>
      <c r="AA103" s="2706" t="e">
        <f t="shared" ca="1" si="17"/>
        <v>#REF!</v>
      </c>
      <c r="AB103" s="2706" t="e">
        <f t="shared" ca="1" si="17"/>
        <v>#REF!</v>
      </c>
      <c r="AC103" s="2769"/>
      <c r="AD103" s="2706"/>
      <c r="AE103" s="2706"/>
      <c r="AF103" s="2706"/>
      <c r="AG103" s="2706"/>
      <c r="AH103" s="2706"/>
      <c r="AI103" s="2706"/>
      <c r="AJ103" s="2770"/>
    </row>
    <row r="104" spans="1:36" s="2774" customFormat="1">
      <c r="A104" s="2771" t="s">
        <v>2667</v>
      </c>
      <c r="B104" s="2740" t="e">
        <f ca="1">IF(B108=0,0,MAX(SPmin_reinf_area,MIN(SP_max_reinf_area,IF((B107/1000-SP_eF_xy_pos/1000)^2*crit_a/(Reinf_HousePT/1000)-1&lt;=0,SP_max_reinf_area,(B107/1000-SP_eF_xy_pos/1000)^2*SQRT(1/((B107/1000-SP_eF_xy_pos/1000)^2*crit_a/(Reinf_HousePT/1000)-1))))))</f>
        <v>#REF!</v>
      </c>
      <c r="C104" s="2674" t="e">
        <f t="shared" ref="C104:AB104" ca="1" si="18">IF(C108=0,0,MAX(SPmin_reinf_area,MIN(SP_max_reinf_area,IF((C107/1000-SP_eF_xy_pos/1000)^2*crit_a/(Reinf_HousePT/1000)-1&lt;=0,B104,(C107/1000-SP_eF_xy_pos/1000)^2*SQRT(1/((C107/1000-SP_eF_xy_pos/1000)^2*crit_a/(Reinf_HousePT/1000)-1))))))</f>
        <v>#REF!</v>
      </c>
      <c r="D104" s="2674" t="e">
        <f t="shared" ca="1" si="18"/>
        <v>#REF!</v>
      </c>
      <c r="E104" s="2674" t="e">
        <f t="shared" ca="1" si="18"/>
        <v>#REF!</v>
      </c>
      <c r="F104" s="2674" t="e">
        <f t="shared" ca="1" si="18"/>
        <v>#REF!</v>
      </c>
      <c r="G104" s="2674" t="e">
        <f t="shared" ca="1" si="18"/>
        <v>#REF!</v>
      </c>
      <c r="H104" s="2674" t="e">
        <f t="shared" ca="1" si="18"/>
        <v>#REF!</v>
      </c>
      <c r="I104" s="2674" t="e">
        <f t="shared" ca="1" si="18"/>
        <v>#REF!</v>
      </c>
      <c r="J104" s="2674" t="e">
        <f ca="1">IF(J108=0,0,MAX(SPmin_reinf_area,MIN(SP_max_reinf_area,IF((J107/1000-SP_eF_xy_pos/1000)^2*crit_a/(Reinf_HousePT/1000)-1&lt;=0,I104,(J107/1000-SP_eF_xy_pos/1000)^2*SQRT(1/((J107/1000-SP_eF_xy_pos/1000)^2*crit_a/(Reinf_HousePT/1000)-1))))))</f>
        <v>#REF!</v>
      </c>
      <c r="K104" s="2674" t="e">
        <f t="shared" ca="1" si="18"/>
        <v>#REF!</v>
      </c>
      <c r="L104" s="2674" t="e">
        <f t="shared" ca="1" si="18"/>
        <v>#REF!</v>
      </c>
      <c r="M104" s="2674" t="e">
        <f t="shared" ca="1" si="18"/>
        <v>#REF!</v>
      </c>
      <c r="N104" s="2674" t="e">
        <f t="shared" ca="1" si="18"/>
        <v>#REF!</v>
      </c>
      <c r="O104" s="2674" t="e">
        <f t="shared" ca="1" si="18"/>
        <v>#REF!</v>
      </c>
      <c r="P104" s="2674" t="e">
        <f t="shared" ca="1" si="18"/>
        <v>#REF!</v>
      </c>
      <c r="Q104" s="2674" t="e">
        <f t="shared" ca="1" si="18"/>
        <v>#REF!</v>
      </c>
      <c r="R104" s="2674" t="e">
        <f t="shared" ca="1" si="18"/>
        <v>#REF!</v>
      </c>
      <c r="S104" s="2674" t="e">
        <f t="shared" ca="1" si="18"/>
        <v>#REF!</v>
      </c>
      <c r="T104" s="2674" t="e">
        <f t="shared" ca="1" si="18"/>
        <v>#REF!</v>
      </c>
      <c r="U104" s="2674" t="e">
        <f t="shared" ca="1" si="18"/>
        <v>#REF!</v>
      </c>
      <c r="V104" s="2674" t="e">
        <f t="shared" ca="1" si="18"/>
        <v>#REF!</v>
      </c>
      <c r="W104" s="2674" t="e">
        <f t="shared" ca="1" si="18"/>
        <v>#REF!</v>
      </c>
      <c r="X104" s="2674" t="e">
        <f t="shared" ca="1" si="18"/>
        <v>#REF!</v>
      </c>
      <c r="Y104" s="2674" t="e">
        <f t="shared" ca="1" si="18"/>
        <v>#REF!</v>
      </c>
      <c r="Z104" s="2674" t="e">
        <f t="shared" ca="1" si="18"/>
        <v>#REF!</v>
      </c>
      <c r="AA104" s="2674" t="e">
        <f t="shared" ca="1" si="18"/>
        <v>#REF!</v>
      </c>
      <c r="AB104" s="2674" t="e">
        <f t="shared" ca="1" si="18"/>
        <v>#REF!</v>
      </c>
      <c r="AC104" s="2772"/>
      <c r="AD104" s="2674"/>
      <c r="AE104" s="2674"/>
      <c r="AF104" s="2674"/>
      <c r="AG104" s="2674"/>
      <c r="AH104" s="2674"/>
      <c r="AI104" s="2674"/>
      <c r="AJ104" s="2773"/>
    </row>
    <row r="105" spans="1:36">
      <c r="A105" s="2700" t="s">
        <v>1103</v>
      </c>
      <c r="B105" s="2775" t="e">
        <f t="shared" ref="B105:AB105" ca="1" si="19">IF(B106=0,0,IF(B107&lt;=SP_eF_xy_pos,0,IF(B106&gt;=$Z$20,IF(B104&lt;B103,2*B104/((B107/1000)^2-(SP_eF_xy_pos/1000)^2),B106-$Z$20+2*(B104-B103)/((B107/1000)^2-(SP_eF_xy_pos/1000)^2)),IF(B106&gt;2*PI(),IF(B104&lt;B103,2*B104/((B107/1000)^2-(SP_eF_xy_pos/1000)^2),B106-2*PI()+2*(B104-B103)/(($X$21/1000)^2-(SP_eF_xy_pos/1000)^2)),IF(B104&lt;B103,2*B104/((B107/1000)^2-(SP_eF_xy_pos/1000)^2),IF(B106-2*B104/((B107/1000)^2-(SP_eF_xy_pos/1000)^2)&gt;=SPRe_stop_angle_e,2*B104/((B107/1000)^2-(SP_eF_xy_pos/1000)^2),PI()))))))</f>
        <v>#REF!</v>
      </c>
      <c r="C105" s="2776" t="e">
        <f t="shared" ca="1" si="19"/>
        <v>#REF!</v>
      </c>
      <c r="D105" s="2776" t="e">
        <f t="shared" ca="1" si="19"/>
        <v>#REF!</v>
      </c>
      <c r="E105" s="2776" t="e">
        <f t="shared" ca="1" si="19"/>
        <v>#REF!</v>
      </c>
      <c r="F105" s="2776" t="e">
        <f t="shared" ca="1" si="19"/>
        <v>#REF!</v>
      </c>
      <c r="G105" s="2776" t="e">
        <f t="shared" ca="1" si="19"/>
        <v>#REF!</v>
      </c>
      <c r="H105" s="2776" t="e">
        <f t="shared" ca="1" si="19"/>
        <v>#REF!</v>
      </c>
      <c r="I105" s="2776" t="e">
        <f t="shared" ca="1" si="19"/>
        <v>#REF!</v>
      </c>
      <c r="J105" s="2776" t="e">
        <f t="shared" ca="1" si="19"/>
        <v>#REF!</v>
      </c>
      <c r="K105" s="2776" t="e">
        <f t="shared" ca="1" si="19"/>
        <v>#REF!</v>
      </c>
      <c r="L105" s="2776" t="e">
        <f t="shared" ca="1" si="19"/>
        <v>#REF!</v>
      </c>
      <c r="M105" s="2776" t="e">
        <f t="shared" ca="1" si="19"/>
        <v>#REF!</v>
      </c>
      <c r="N105" s="2776" t="e">
        <f t="shared" ca="1" si="19"/>
        <v>#REF!</v>
      </c>
      <c r="O105" s="2776" t="e">
        <f t="shared" ca="1" si="19"/>
        <v>#REF!</v>
      </c>
      <c r="P105" s="2776" t="e">
        <f t="shared" ca="1" si="19"/>
        <v>#REF!</v>
      </c>
      <c r="Q105" s="2776" t="e">
        <f t="shared" ca="1" si="19"/>
        <v>#REF!</v>
      </c>
      <c r="R105" s="2776" t="e">
        <f t="shared" ca="1" si="19"/>
        <v>#REF!</v>
      </c>
      <c r="S105" s="2776" t="e">
        <f t="shared" ca="1" si="19"/>
        <v>#REF!</v>
      </c>
      <c r="T105" s="2776" t="e">
        <f t="shared" ca="1" si="19"/>
        <v>#REF!</v>
      </c>
      <c r="U105" s="2776" t="e">
        <f t="shared" ca="1" si="19"/>
        <v>#REF!</v>
      </c>
      <c r="V105" s="2776" t="e">
        <f t="shared" ca="1" si="19"/>
        <v>#REF!</v>
      </c>
      <c r="W105" s="2776" t="e">
        <f t="shared" ca="1" si="19"/>
        <v>#REF!</v>
      </c>
      <c r="X105" s="2776" t="e">
        <f t="shared" ca="1" si="19"/>
        <v>#REF!</v>
      </c>
      <c r="Y105" s="2776" t="e">
        <f t="shared" ca="1" si="19"/>
        <v>#REF!</v>
      </c>
      <c r="Z105" s="2776" t="e">
        <f t="shared" ca="1" si="19"/>
        <v>#REF!</v>
      </c>
      <c r="AA105" s="2776" t="e">
        <f t="shared" ca="1" si="19"/>
        <v>#REF!</v>
      </c>
      <c r="AB105" s="2777" t="e">
        <f t="shared" ca="1" si="19"/>
        <v>#REF!</v>
      </c>
      <c r="AC105" s="2778"/>
      <c r="AD105" s="2776"/>
      <c r="AE105" s="2776"/>
      <c r="AF105" s="2776"/>
      <c r="AG105" s="2776"/>
      <c r="AH105" s="2776"/>
      <c r="AI105" s="2776"/>
      <c r="AJ105" s="2779"/>
    </row>
    <row r="106" spans="1:36">
      <c r="A106" s="2700" t="s">
        <v>1104</v>
      </c>
      <c r="B106" s="2780" t="e">
        <f ca="1">IF(rad_SP_reinf_req,SPRe_start_angle_e,0)</f>
        <v>#REF!</v>
      </c>
      <c r="C106" s="2776" t="e">
        <f t="shared" ref="C106:AB106" ca="1" si="20">IF(B105=0,0,IF(B106-B105&lt;=SPRe_stop_angle_e,0,B106-B105))</f>
        <v>#REF!</v>
      </c>
      <c r="D106" s="2776" t="e">
        <f t="shared" ca="1" si="20"/>
        <v>#REF!</v>
      </c>
      <c r="E106" s="2776" t="e">
        <f t="shared" ca="1" si="20"/>
        <v>#REF!</v>
      </c>
      <c r="F106" s="2776" t="e">
        <f ca="1">IF(E105=0,0,IF(E106-E105&lt;=SPRe_stop_angle_e,0,E106-E105))</f>
        <v>#REF!</v>
      </c>
      <c r="G106" s="2776" t="e">
        <f t="shared" ca="1" si="20"/>
        <v>#REF!</v>
      </c>
      <c r="H106" s="2776" t="e">
        <f t="shared" ca="1" si="20"/>
        <v>#REF!</v>
      </c>
      <c r="I106" s="2776" t="e">
        <f t="shared" ca="1" si="20"/>
        <v>#REF!</v>
      </c>
      <c r="J106" s="2776" t="e">
        <f ca="1">IF(I105=0,0,IF(I106-I105&lt;=SPRe_stop_angle_e,0,I106-I105))</f>
        <v>#REF!</v>
      </c>
      <c r="K106" s="2776" t="e">
        <f t="shared" ca="1" si="20"/>
        <v>#REF!</v>
      </c>
      <c r="L106" s="2776" t="e">
        <f t="shared" ca="1" si="20"/>
        <v>#REF!</v>
      </c>
      <c r="M106" s="2776" t="e">
        <f t="shared" ca="1" si="20"/>
        <v>#REF!</v>
      </c>
      <c r="N106" s="2776" t="e">
        <f t="shared" ca="1" si="20"/>
        <v>#REF!</v>
      </c>
      <c r="O106" s="2776" t="e">
        <f t="shared" ca="1" si="20"/>
        <v>#REF!</v>
      </c>
      <c r="P106" s="2776" t="e">
        <f ca="1">IF(O105=0,0,IF(O106-O105&lt;=SPRe_stop_angle_e,0,O106-O105))</f>
        <v>#REF!</v>
      </c>
      <c r="Q106" s="2776" t="e">
        <f t="shared" ca="1" si="20"/>
        <v>#REF!</v>
      </c>
      <c r="R106" s="2776" t="e">
        <f t="shared" ca="1" si="20"/>
        <v>#REF!</v>
      </c>
      <c r="S106" s="2776" t="e">
        <f t="shared" ca="1" si="20"/>
        <v>#REF!</v>
      </c>
      <c r="T106" s="2776" t="e">
        <f t="shared" ca="1" si="20"/>
        <v>#REF!</v>
      </c>
      <c r="U106" s="2776" t="e">
        <f t="shared" ca="1" si="20"/>
        <v>#REF!</v>
      </c>
      <c r="V106" s="2776" t="e">
        <f t="shared" ca="1" si="20"/>
        <v>#REF!</v>
      </c>
      <c r="W106" s="2776" t="e">
        <f t="shared" ca="1" si="20"/>
        <v>#REF!</v>
      </c>
      <c r="X106" s="2776" t="e">
        <f t="shared" ca="1" si="20"/>
        <v>#REF!</v>
      </c>
      <c r="Y106" s="2776" t="e">
        <f t="shared" ca="1" si="20"/>
        <v>#REF!</v>
      </c>
      <c r="Z106" s="2776" t="e">
        <f t="shared" ca="1" si="20"/>
        <v>#REF!</v>
      </c>
      <c r="AA106" s="2776" t="e">
        <f t="shared" ca="1" si="20"/>
        <v>#REF!</v>
      </c>
      <c r="AB106" s="2777" t="e">
        <f t="shared" ca="1" si="20"/>
        <v>#REF!</v>
      </c>
      <c r="AC106" s="2778"/>
      <c r="AD106" s="2776"/>
      <c r="AE106" s="2776"/>
      <c r="AF106" s="2776"/>
      <c r="AG106" s="2776"/>
      <c r="AH106" s="2776"/>
      <c r="AI106" s="2776"/>
      <c r="AJ106" s="2779"/>
    </row>
    <row r="107" spans="1:36">
      <c r="A107" s="2700" t="s">
        <v>4091</v>
      </c>
      <c r="B107" s="3108" t="e">
        <f t="shared" ref="B107" ca="1" si="21">IF(B106&gt;=$Z$20,AVERAGE(B108,$Z$21),IF(B106&gt;=$X$20,AVERAGE(B108,$X$21),B108))</f>
        <v>#REF!</v>
      </c>
      <c r="C107" s="780" t="e">
        <f t="shared" ref="C107:AB107" ca="1" si="22">IF(C106&gt;=$Z$20,AVERAGE(C108,$Z$21),IF(C106&gt;=$X$20,AVERAGE(C108,$X$21),AVERAGE(r0*1000*EXP(K_House*C106)+House_P_T,r0*1000*EXP(K_House*(C106-B105))+House_P_T)))</f>
        <v>#REF!</v>
      </c>
      <c r="D107" s="2744" t="e">
        <f t="shared" ca="1" si="22"/>
        <v>#REF!</v>
      </c>
      <c r="E107" s="2744" t="e">
        <f t="shared" ca="1" si="22"/>
        <v>#REF!</v>
      </c>
      <c r="F107" s="2744" t="e">
        <f t="shared" ca="1" si="22"/>
        <v>#REF!</v>
      </c>
      <c r="G107" s="2744" t="e">
        <f t="shared" ca="1" si="22"/>
        <v>#REF!</v>
      </c>
      <c r="H107" s="2744" t="e">
        <f t="shared" ca="1" si="22"/>
        <v>#REF!</v>
      </c>
      <c r="I107" s="2744" t="e">
        <f t="shared" ca="1" si="22"/>
        <v>#REF!</v>
      </c>
      <c r="J107" s="2744" t="e">
        <f ca="1">IF(J106&gt;=$Z$20,AVERAGE(J108,$Z$21),IF(J106&gt;=$X$20,AVERAGE(J108,$X$21),AVERAGE(r0*1000*EXP(K_House*J106)+House_P_T,r0*1000*EXP(K_House*(J106-I105))+House_P_T)))</f>
        <v>#REF!</v>
      </c>
      <c r="K107" s="2744" t="e">
        <f t="shared" ca="1" si="22"/>
        <v>#REF!</v>
      </c>
      <c r="L107" s="2744" t="e">
        <f t="shared" ca="1" si="22"/>
        <v>#REF!</v>
      </c>
      <c r="M107" s="2744" t="e">
        <f t="shared" ca="1" si="22"/>
        <v>#REF!</v>
      </c>
      <c r="N107" s="2744" t="e">
        <f t="shared" ca="1" si="22"/>
        <v>#REF!</v>
      </c>
      <c r="O107" s="2744" t="e">
        <f t="shared" ca="1" si="22"/>
        <v>#REF!</v>
      </c>
      <c r="P107" s="2744" t="e">
        <f t="shared" ca="1" si="22"/>
        <v>#REF!</v>
      </c>
      <c r="Q107" s="2744" t="e">
        <f t="shared" ca="1" si="22"/>
        <v>#REF!</v>
      </c>
      <c r="R107" s="2744" t="e">
        <f t="shared" ca="1" si="22"/>
        <v>#REF!</v>
      </c>
      <c r="S107" s="2744" t="e">
        <f t="shared" ca="1" si="22"/>
        <v>#REF!</v>
      </c>
      <c r="T107" s="2744" t="e">
        <f t="shared" ca="1" si="22"/>
        <v>#REF!</v>
      </c>
      <c r="U107" s="2744" t="e">
        <f t="shared" ca="1" si="22"/>
        <v>#REF!</v>
      </c>
      <c r="V107" s="2744" t="e">
        <f t="shared" ca="1" si="22"/>
        <v>#REF!</v>
      </c>
      <c r="W107" s="2744" t="e">
        <f t="shared" ca="1" si="22"/>
        <v>#REF!</v>
      </c>
      <c r="X107" s="2744" t="e">
        <f t="shared" ca="1" si="22"/>
        <v>#REF!</v>
      </c>
      <c r="Y107" s="2744" t="e">
        <f t="shared" ca="1" si="22"/>
        <v>#REF!</v>
      </c>
      <c r="Z107" s="2744" t="e">
        <f t="shared" ca="1" si="22"/>
        <v>#REF!</v>
      </c>
      <c r="AA107" s="2744" t="e">
        <f t="shared" ca="1" si="22"/>
        <v>#REF!</v>
      </c>
      <c r="AB107" s="2781" t="e">
        <f t="shared" ca="1" si="22"/>
        <v>#REF!</v>
      </c>
      <c r="AC107" s="2778"/>
      <c r="AD107" s="2776"/>
      <c r="AE107" s="2776"/>
      <c r="AF107" s="2776"/>
      <c r="AG107" s="2776"/>
      <c r="AH107" s="2776"/>
      <c r="AI107" s="2776"/>
      <c r="AJ107" s="2779"/>
    </row>
    <row r="108" spans="1:36">
      <c r="A108" s="2700" t="s">
        <v>3802</v>
      </c>
      <c r="B108" s="2744" t="e">
        <f t="shared" ref="B108:AB108" ca="1" si="23">IF(B106=0,0,IF(B106&lt;2*PI(),r0*1000*EXP(K_House*B106)+House_P_T,IF(B106&lt;$Z$20,$Z$22/COS(B106),$Z$23/SIN(B106))))</f>
        <v>#REF!</v>
      </c>
      <c r="C108" s="2744" t="e">
        <f t="shared" ca="1" si="23"/>
        <v>#REF!</v>
      </c>
      <c r="D108" s="2744" t="e">
        <f t="shared" ca="1" si="23"/>
        <v>#REF!</v>
      </c>
      <c r="E108" s="2744" t="e">
        <f t="shared" ca="1" si="23"/>
        <v>#REF!</v>
      </c>
      <c r="F108" s="2744" t="e">
        <f t="shared" ca="1" si="23"/>
        <v>#REF!</v>
      </c>
      <c r="G108" s="2744" t="e">
        <f t="shared" ca="1" si="23"/>
        <v>#REF!</v>
      </c>
      <c r="H108" s="2744" t="e">
        <f t="shared" ca="1" si="23"/>
        <v>#REF!</v>
      </c>
      <c r="I108" s="2744" t="e">
        <f t="shared" ca="1" si="23"/>
        <v>#REF!</v>
      </c>
      <c r="J108" s="2744" t="e">
        <f t="shared" ca="1" si="23"/>
        <v>#REF!</v>
      </c>
      <c r="K108" s="2744" t="e">
        <f t="shared" ca="1" si="23"/>
        <v>#REF!</v>
      </c>
      <c r="L108" s="2744" t="e">
        <f t="shared" ca="1" si="23"/>
        <v>#REF!</v>
      </c>
      <c r="M108" s="2744" t="e">
        <f t="shared" ca="1" si="23"/>
        <v>#REF!</v>
      </c>
      <c r="N108" s="2744" t="e">
        <f t="shared" ca="1" si="23"/>
        <v>#REF!</v>
      </c>
      <c r="O108" s="2744" t="e">
        <f t="shared" ca="1" si="23"/>
        <v>#REF!</v>
      </c>
      <c r="P108" s="2744" t="e">
        <f t="shared" ca="1" si="23"/>
        <v>#REF!</v>
      </c>
      <c r="Q108" s="2744" t="e">
        <f t="shared" ca="1" si="23"/>
        <v>#REF!</v>
      </c>
      <c r="R108" s="2744" t="e">
        <f t="shared" ca="1" si="23"/>
        <v>#REF!</v>
      </c>
      <c r="S108" s="2744" t="e">
        <f t="shared" ca="1" si="23"/>
        <v>#REF!</v>
      </c>
      <c r="T108" s="2744" t="e">
        <f t="shared" ca="1" si="23"/>
        <v>#REF!</v>
      </c>
      <c r="U108" s="2744" t="e">
        <f t="shared" ca="1" si="23"/>
        <v>#REF!</v>
      </c>
      <c r="V108" s="2744" t="e">
        <f t="shared" ca="1" si="23"/>
        <v>#REF!</v>
      </c>
      <c r="W108" s="2744" t="e">
        <f t="shared" ca="1" si="23"/>
        <v>#REF!</v>
      </c>
      <c r="X108" s="2744" t="e">
        <f t="shared" ca="1" si="23"/>
        <v>#REF!</v>
      </c>
      <c r="Y108" s="2744" t="e">
        <f t="shared" ca="1" si="23"/>
        <v>#REF!</v>
      </c>
      <c r="Z108" s="2744" t="e">
        <f t="shared" ca="1" si="23"/>
        <v>#REF!</v>
      </c>
      <c r="AA108" s="2744" t="e">
        <f t="shared" ca="1" si="23"/>
        <v>#REF!</v>
      </c>
      <c r="AB108" s="2781" t="e">
        <f t="shared" ca="1" si="23"/>
        <v>#REF!</v>
      </c>
      <c r="AC108" s="2782"/>
      <c r="AD108" s="2744"/>
      <c r="AE108" s="2744"/>
      <c r="AF108" s="2744"/>
      <c r="AG108" s="2744"/>
      <c r="AH108" s="2744"/>
      <c r="AI108" s="2744"/>
      <c r="AJ108" s="2783"/>
    </row>
    <row r="109" spans="1:36">
      <c r="A109" s="2700" t="s">
        <v>2635</v>
      </c>
      <c r="B109" s="2744">
        <f>1</f>
        <v>1</v>
      </c>
      <c r="C109" s="2744">
        <f t="shared" ref="C109:E109" si="24">B109+1</f>
        <v>2</v>
      </c>
      <c r="D109" s="2744">
        <f t="shared" si="24"/>
        <v>3</v>
      </c>
      <c r="E109" s="2744">
        <f t="shared" si="24"/>
        <v>4</v>
      </c>
      <c r="F109" s="2744">
        <f>E109+1</f>
        <v>5</v>
      </c>
      <c r="G109" s="2744">
        <f t="shared" ref="G109:O109" si="25">F109+1</f>
        <v>6</v>
      </c>
      <c r="H109" s="2744">
        <f t="shared" si="25"/>
        <v>7</v>
      </c>
      <c r="I109" s="2744">
        <f t="shared" si="25"/>
        <v>8</v>
      </c>
      <c r="J109" s="2744">
        <f>I109+1</f>
        <v>9</v>
      </c>
      <c r="K109" s="2744">
        <f t="shared" si="25"/>
        <v>10</v>
      </c>
      <c r="L109" s="2744">
        <f t="shared" si="25"/>
        <v>11</v>
      </c>
      <c r="M109" s="2744">
        <f t="shared" si="25"/>
        <v>12</v>
      </c>
      <c r="N109" s="2744">
        <f t="shared" si="25"/>
        <v>13</v>
      </c>
      <c r="O109" s="2744">
        <f t="shared" si="25"/>
        <v>14</v>
      </c>
      <c r="P109" s="2744">
        <f>O109+1</f>
        <v>15</v>
      </c>
      <c r="Q109" s="2744">
        <f t="shared" ref="Q109:AB109" si="26">P109+1</f>
        <v>16</v>
      </c>
      <c r="R109" s="2744">
        <f t="shared" si="26"/>
        <v>17</v>
      </c>
      <c r="S109" s="2744">
        <f t="shared" si="26"/>
        <v>18</v>
      </c>
      <c r="T109" s="2744">
        <f t="shared" si="26"/>
        <v>19</v>
      </c>
      <c r="U109" s="2744">
        <f t="shared" si="26"/>
        <v>20</v>
      </c>
      <c r="V109" s="2744">
        <f t="shared" si="26"/>
        <v>21</v>
      </c>
      <c r="W109" s="2744">
        <f t="shared" si="26"/>
        <v>22</v>
      </c>
      <c r="X109" s="2744">
        <f t="shared" si="26"/>
        <v>23</v>
      </c>
      <c r="Y109" s="2744">
        <f t="shared" si="26"/>
        <v>24</v>
      </c>
      <c r="Z109" s="2744">
        <f t="shared" si="26"/>
        <v>25</v>
      </c>
      <c r="AA109" s="2744">
        <f t="shared" si="26"/>
        <v>26</v>
      </c>
      <c r="AB109" s="2781">
        <f t="shared" si="26"/>
        <v>27</v>
      </c>
      <c r="AC109" s="2782"/>
      <c r="AD109" s="2744"/>
      <c r="AE109" s="2744"/>
      <c r="AF109" s="2744"/>
      <c r="AG109" s="2744"/>
      <c r="AH109" s="2744"/>
      <c r="AI109" s="2744"/>
      <c r="AJ109" s="2783"/>
    </row>
    <row r="110" spans="1:36">
      <c r="A110" s="2700" t="s">
        <v>1094</v>
      </c>
      <c r="B110" s="2750" t="e">
        <f t="shared" ref="B110:AB110" ca="1" si="27">IF(B106=0,0,COS(B106)*$M$99)</f>
        <v>#REF!</v>
      </c>
      <c r="C110" s="2750" t="e">
        <f t="shared" ca="1" si="27"/>
        <v>#REF!</v>
      </c>
      <c r="D110" s="2750" t="e">
        <f t="shared" ca="1" si="27"/>
        <v>#REF!</v>
      </c>
      <c r="E110" s="2750" t="e">
        <f t="shared" ca="1" si="27"/>
        <v>#REF!</v>
      </c>
      <c r="F110" s="2750" t="e">
        <f t="shared" ca="1" si="27"/>
        <v>#REF!</v>
      </c>
      <c r="G110" s="2750" t="e">
        <f t="shared" ca="1" si="27"/>
        <v>#REF!</v>
      </c>
      <c r="H110" s="2750" t="e">
        <f t="shared" ca="1" si="27"/>
        <v>#REF!</v>
      </c>
      <c r="I110" s="2750" t="e">
        <f t="shared" ca="1" si="27"/>
        <v>#REF!</v>
      </c>
      <c r="J110" s="2750" t="e">
        <f t="shared" ca="1" si="27"/>
        <v>#REF!</v>
      </c>
      <c r="K110" s="2750" t="e">
        <f t="shared" ca="1" si="27"/>
        <v>#REF!</v>
      </c>
      <c r="L110" s="2750" t="e">
        <f t="shared" ca="1" si="27"/>
        <v>#REF!</v>
      </c>
      <c r="M110" s="2750" t="e">
        <f t="shared" ca="1" si="27"/>
        <v>#REF!</v>
      </c>
      <c r="N110" s="2750" t="e">
        <f t="shared" ca="1" si="27"/>
        <v>#REF!</v>
      </c>
      <c r="O110" s="2750" t="e">
        <f t="shared" ca="1" si="27"/>
        <v>#REF!</v>
      </c>
      <c r="P110" s="2750" t="e">
        <f t="shared" ca="1" si="27"/>
        <v>#REF!</v>
      </c>
      <c r="Q110" s="2750" t="e">
        <f t="shared" ca="1" si="27"/>
        <v>#REF!</v>
      </c>
      <c r="R110" s="2750" t="e">
        <f t="shared" ca="1" si="27"/>
        <v>#REF!</v>
      </c>
      <c r="S110" s="2750" t="e">
        <f t="shared" ca="1" si="27"/>
        <v>#REF!</v>
      </c>
      <c r="T110" s="2750" t="e">
        <f t="shared" ca="1" si="27"/>
        <v>#REF!</v>
      </c>
      <c r="U110" s="2750" t="e">
        <f t="shared" ca="1" si="27"/>
        <v>#REF!</v>
      </c>
      <c r="V110" s="2750" t="e">
        <f t="shared" ca="1" si="27"/>
        <v>#REF!</v>
      </c>
      <c r="W110" s="2750" t="e">
        <f t="shared" ca="1" si="27"/>
        <v>#REF!</v>
      </c>
      <c r="X110" s="2750" t="e">
        <f t="shared" ca="1" si="27"/>
        <v>#REF!</v>
      </c>
      <c r="Y110" s="2750" t="e">
        <f t="shared" ca="1" si="27"/>
        <v>#REF!</v>
      </c>
      <c r="Z110" s="2750" t="e">
        <f t="shared" ca="1" si="27"/>
        <v>#REF!</v>
      </c>
      <c r="AA110" s="2750" t="e">
        <f t="shared" ca="1" si="27"/>
        <v>#REF!</v>
      </c>
      <c r="AB110" s="2784" t="e">
        <f t="shared" ca="1" si="27"/>
        <v>#REF!</v>
      </c>
      <c r="AC110" s="2785"/>
      <c r="AD110" s="2750"/>
      <c r="AE110" s="2750"/>
      <c r="AF110" s="2750"/>
      <c r="AG110" s="2750"/>
      <c r="AH110" s="2750"/>
      <c r="AI110" s="2750"/>
      <c r="AJ110" s="2786"/>
    </row>
    <row r="111" spans="1:36">
      <c r="A111" s="2700" t="s">
        <v>1095</v>
      </c>
      <c r="B111" s="2738" t="e">
        <f t="shared" ref="B111:AB111" ca="1" si="28">IF(B106=0,0,SIN(B106)*$M$99)</f>
        <v>#REF!</v>
      </c>
      <c r="C111" s="2738" t="e">
        <f t="shared" ca="1" si="28"/>
        <v>#REF!</v>
      </c>
      <c r="D111" s="2738" t="e">
        <f t="shared" ca="1" si="28"/>
        <v>#REF!</v>
      </c>
      <c r="E111" s="2738" t="e">
        <f t="shared" ca="1" si="28"/>
        <v>#REF!</v>
      </c>
      <c r="F111" s="2738" t="e">
        <f t="shared" ca="1" si="28"/>
        <v>#REF!</v>
      </c>
      <c r="G111" s="2738" t="e">
        <f t="shared" ca="1" si="28"/>
        <v>#REF!</v>
      </c>
      <c r="H111" s="2738" t="e">
        <f t="shared" ca="1" si="28"/>
        <v>#REF!</v>
      </c>
      <c r="I111" s="2738" t="e">
        <f t="shared" ca="1" si="28"/>
        <v>#REF!</v>
      </c>
      <c r="J111" s="2738" t="e">
        <f t="shared" ca="1" si="28"/>
        <v>#REF!</v>
      </c>
      <c r="K111" s="2738" t="e">
        <f t="shared" ca="1" si="28"/>
        <v>#REF!</v>
      </c>
      <c r="L111" s="2738" t="e">
        <f t="shared" ca="1" si="28"/>
        <v>#REF!</v>
      </c>
      <c r="M111" s="2738" t="e">
        <f t="shared" ca="1" si="28"/>
        <v>#REF!</v>
      </c>
      <c r="N111" s="2738" t="e">
        <f t="shared" ca="1" si="28"/>
        <v>#REF!</v>
      </c>
      <c r="O111" s="2738" t="e">
        <f t="shared" ca="1" si="28"/>
        <v>#REF!</v>
      </c>
      <c r="P111" s="2738" t="e">
        <f t="shared" ca="1" si="28"/>
        <v>#REF!</v>
      </c>
      <c r="Q111" s="2738" t="e">
        <f t="shared" ca="1" si="28"/>
        <v>#REF!</v>
      </c>
      <c r="R111" s="2738" t="e">
        <f t="shared" ca="1" si="28"/>
        <v>#REF!</v>
      </c>
      <c r="S111" s="2738" t="e">
        <f t="shared" ca="1" si="28"/>
        <v>#REF!</v>
      </c>
      <c r="T111" s="2738" t="e">
        <f t="shared" ca="1" si="28"/>
        <v>#REF!</v>
      </c>
      <c r="U111" s="2738" t="e">
        <f t="shared" ca="1" si="28"/>
        <v>#REF!</v>
      </c>
      <c r="V111" s="2738" t="e">
        <f t="shared" ca="1" si="28"/>
        <v>#REF!</v>
      </c>
      <c r="W111" s="2738" t="e">
        <f t="shared" ca="1" si="28"/>
        <v>#REF!</v>
      </c>
      <c r="X111" s="2738" t="e">
        <f t="shared" ca="1" si="28"/>
        <v>#REF!</v>
      </c>
      <c r="Y111" s="2738" t="e">
        <f t="shared" ca="1" si="28"/>
        <v>#REF!</v>
      </c>
      <c r="Z111" s="2738" t="e">
        <f t="shared" ca="1" si="28"/>
        <v>#REF!</v>
      </c>
      <c r="AA111" s="2738" t="e">
        <f t="shared" ca="1" si="28"/>
        <v>#REF!</v>
      </c>
      <c r="AB111" s="2787" t="e">
        <f t="shared" ca="1" si="28"/>
        <v>#REF!</v>
      </c>
      <c r="AC111" s="2788"/>
      <c r="AD111" s="2738"/>
      <c r="AE111" s="2738"/>
      <c r="AF111" s="2738"/>
      <c r="AG111" s="2738"/>
      <c r="AH111" s="2738"/>
      <c r="AI111" s="2738"/>
      <c r="AJ111" s="2789"/>
    </row>
    <row r="112" spans="1:36">
      <c r="A112" s="2700" t="s">
        <v>1096</v>
      </c>
      <c r="B112" s="2750" t="e">
        <f ca="1">IF(B106=0,0,COS(B106)*B108)</f>
        <v>#REF!</v>
      </c>
      <c r="C112" s="2750" t="e">
        <f t="shared" ref="C112:AB112" ca="1" si="29">IF(C106=0,0,COS(C106)*C108)</f>
        <v>#REF!</v>
      </c>
      <c r="D112" s="2750" t="e">
        <f t="shared" ca="1" si="29"/>
        <v>#REF!</v>
      </c>
      <c r="E112" s="2750" t="e">
        <f t="shared" ca="1" si="29"/>
        <v>#REF!</v>
      </c>
      <c r="F112" s="2750" t="e">
        <f t="shared" ca="1" si="29"/>
        <v>#REF!</v>
      </c>
      <c r="G112" s="2750" t="e">
        <f t="shared" ca="1" si="29"/>
        <v>#REF!</v>
      </c>
      <c r="H112" s="2750" t="e">
        <f t="shared" ca="1" si="29"/>
        <v>#REF!</v>
      </c>
      <c r="I112" s="2750" t="e">
        <f t="shared" ca="1" si="29"/>
        <v>#REF!</v>
      </c>
      <c r="J112" s="2750" t="e">
        <f t="shared" ca="1" si="29"/>
        <v>#REF!</v>
      </c>
      <c r="K112" s="2750" t="e">
        <f t="shared" ca="1" si="29"/>
        <v>#REF!</v>
      </c>
      <c r="L112" s="2750" t="e">
        <f t="shared" ca="1" si="29"/>
        <v>#REF!</v>
      </c>
      <c r="M112" s="2750" t="e">
        <f t="shared" ca="1" si="29"/>
        <v>#REF!</v>
      </c>
      <c r="N112" s="2750" t="e">
        <f t="shared" ca="1" si="29"/>
        <v>#REF!</v>
      </c>
      <c r="O112" s="2750" t="e">
        <f t="shared" ca="1" si="29"/>
        <v>#REF!</v>
      </c>
      <c r="P112" s="2750" t="e">
        <f t="shared" ca="1" si="29"/>
        <v>#REF!</v>
      </c>
      <c r="Q112" s="2750" t="e">
        <f t="shared" ca="1" si="29"/>
        <v>#REF!</v>
      </c>
      <c r="R112" s="2750" t="e">
        <f t="shared" ca="1" si="29"/>
        <v>#REF!</v>
      </c>
      <c r="S112" s="2750" t="e">
        <f t="shared" ca="1" si="29"/>
        <v>#REF!</v>
      </c>
      <c r="T112" s="2750" t="e">
        <f t="shared" ca="1" si="29"/>
        <v>#REF!</v>
      </c>
      <c r="U112" s="2750" t="e">
        <f t="shared" ca="1" si="29"/>
        <v>#REF!</v>
      </c>
      <c r="V112" s="2750" t="e">
        <f t="shared" ca="1" si="29"/>
        <v>#REF!</v>
      </c>
      <c r="W112" s="2750" t="e">
        <f t="shared" ca="1" si="29"/>
        <v>#REF!</v>
      </c>
      <c r="X112" s="2750" t="e">
        <f t="shared" ca="1" si="29"/>
        <v>#REF!</v>
      </c>
      <c r="Y112" s="2750" t="e">
        <f t="shared" ca="1" si="29"/>
        <v>#REF!</v>
      </c>
      <c r="Z112" s="2750" t="e">
        <f t="shared" ca="1" si="29"/>
        <v>#REF!</v>
      </c>
      <c r="AA112" s="2750" t="e">
        <f t="shared" ca="1" si="29"/>
        <v>#REF!</v>
      </c>
      <c r="AB112" s="2784" t="e">
        <f t="shared" ca="1" si="29"/>
        <v>#REF!</v>
      </c>
      <c r="AC112" s="2785"/>
      <c r="AD112" s="2750"/>
      <c r="AE112" s="2750"/>
      <c r="AF112" s="2750"/>
      <c r="AG112" s="2750"/>
      <c r="AH112" s="2750"/>
      <c r="AI112" s="2750"/>
      <c r="AJ112" s="2786"/>
    </row>
    <row r="113" spans="1:36">
      <c r="A113" s="2700" t="s">
        <v>1097</v>
      </c>
      <c r="B113" s="2738" t="e">
        <f ca="1">IF(B106=0,0,SIN(B106)*B108)</f>
        <v>#REF!</v>
      </c>
      <c r="C113" s="2738" t="e">
        <f t="shared" ref="C113:AB113" ca="1" si="30">IF(C106=0,0,SIN(C106)*C108)</f>
        <v>#REF!</v>
      </c>
      <c r="D113" s="2738" t="e">
        <f t="shared" ca="1" si="30"/>
        <v>#REF!</v>
      </c>
      <c r="E113" s="2738" t="e">
        <f t="shared" ca="1" si="30"/>
        <v>#REF!</v>
      </c>
      <c r="F113" s="2738" t="e">
        <f t="shared" ca="1" si="30"/>
        <v>#REF!</v>
      </c>
      <c r="G113" s="2738" t="e">
        <f t="shared" ca="1" si="30"/>
        <v>#REF!</v>
      </c>
      <c r="H113" s="2738" t="e">
        <f t="shared" ca="1" si="30"/>
        <v>#REF!</v>
      </c>
      <c r="I113" s="2738" t="e">
        <f t="shared" ca="1" si="30"/>
        <v>#REF!</v>
      </c>
      <c r="J113" s="2738" t="e">
        <f t="shared" ca="1" si="30"/>
        <v>#REF!</v>
      </c>
      <c r="K113" s="2738" t="e">
        <f t="shared" ca="1" si="30"/>
        <v>#REF!</v>
      </c>
      <c r="L113" s="2738" t="e">
        <f t="shared" ca="1" si="30"/>
        <v>#REF!</v>
      </c>
      <c r="M113" s="2738" t="e">
        <f t="shared" ca="1" si="30"/>
        <v>#REF!</v>
      </c>
      <c r="N113" s="2738" t="e">
        <f t="shared" ca="1" si="30"/>
        <v>#REF!</v>
      </c>
      <c r="O113" s="2738" t="e">
        <f t="shared" ca="1" si="30"/>
        <v>#REF!</v>
      </c>
      <c r="P113" s="2738" t="e">
        <f t="shared" ca="1" si="30"/>
        <v>#REF!</v>
      </c>
      <c r="Q113" s="2738" t="e">
        <f t="shared" ca="1" si="30"/>
        <v>#REF!</v>
      </c>
      <c r="R113" s="2738" t="e">
        <f t="shared" ca="1" si="30"/>
        <v>#REF!</v>
      </c>
      <c r="S113" s="2738" t="e">
        <f t="shared" ca="1" si="30"/>
        <v>#REF!</v>
      </c>
      <c r="T113" s="2738" t="e">
        <f t="shared" ca="1" si="30"/>
        <v>#REF!</v>
      </c>
      <c r="U113" s="2738" t="e">
        <f t="shared" ca="1" si="30"/>
        <v>#REF!</v>
      </c>
      <c r="V113" s="2738" t="e">
        <f t="shared" ca="1" si="30"/>
        <v>#REF!</v>
      </c>
      <c r="W113" s="2738" t="e">
        <f t="shared" ca="1" si="30"/>
        <v>#REF!</v>
      </c>
      <c r="X113" s="2738" t="e">
        <f t="shared" ca="1" si="30"/>
        <v>#REF!</v>
      </c>
      <c r="Y113" s="2738" t="e">
        <f t="shared" ca="1" si="30"/>
        <v>#REF!</v>
      </c>
      <c r="Z113" s="2738" t="e">
        <f t="shared" ca="1" si="30"/>
        <v>#REF!</v>
      </c>
      <c r="AA113" s="2738" t="e">
        <f t="shared" ca="1" si="30"/>
        <v>#REF!</v>
      </c>
      <c r="AB113" s="2787" t="e">
        <f t="shared" ca="1" si="30"/>
        <v>#REF!</v>
      </c>
      <c r="AC113" s="2788"/>
      <c r="AD113" s="2738"/>
      <c r="AE113" s="2738"/>
      <c r="AF113" s="2738"/>
      <c r="AG113" s="2738"/>
      <c r="AH113" s="2738"/>
      <c r="AI113" s="2738"/>
      <c r="AJ113" s="2789"/>
    </row>
    <row r="114" spans="1:36" s="465" customFormat="1">
      <c r="A114" s="1275" t="s">
        <v>3563</v>
      </c>
      <c r="B114" s="780" t="e">
        <f t="shared" ref="B114:H114" ca="1" si="31">IF(B108&gt;0,IF(C108&gt;0,SQRT((C112-B112)^2+(C113-B113)^2),SQRT((B112-$B112)^2+(B113-$B113)^2)),0)</f>
        <v>#REF!</v>
      </c>
      <c r="C114" s="780" t="e">
        <f t="shared" ca="1" si="31"/>
        <v>#REF!</v>
      </c>
      <c r="D114" s="780" t="e">
        <f t="shared" ca="1" si="31"/>
        <v>#REF!</v>
      </c>
      <c r="E114" s="780" t="e">
        <f t="shared" ca="1" si="31"/>
        <v>#REF!</v>
      </c>
      <c r="F114" s="780" t="e">
        <f t="shared" ca="1" si="31"/>
        <v>#REF!</v>
      </c>
      <c r="G114" s="780" t="e">
        <f t="shared" ca="1" si="31"/>
        <v>#REF!</v>
      </c>
      <c r="H114" s="780" t="e">
        <f t="shared" ca="1" si="31"/>
        <v>#REF!</v>
      </c>
      <c r="I114" s="780" t="e">
        <f t="shared" ref="I114:AB114" ca="1" si="32">IF(I108&gt;0,IF(J108&gt;0,SQRT((J112-I112)^2+(J113-I113)^2),SQRT((I112-$B112)^2+(I113-$B113)^2)),0)</f>
        <v>#REF!</v>
      </c>
      <c r="J114" s="780" t="e">
        <f t="shared" ca="1" si="32"/>
        <v>#REF!</v>
      </c>
      <c r="K114" s="780" t="e">
        <f t="shared" ca="1" si="32"/>
        <v>#REF!</v>
      </c>
      <c r="L114" s="780" t="e">
        <f t="shared" ca="1" si="32"/>
        <v>#REF!</v>
      </c>
      <c r="M114" s="780" t="e">
        <f t="shared" ca="1" si="32"/>
        <v>#REF!</v>
      </c>
      <c r="N114" s="780" t="e">
        <f t="shared" ca="1" si="32"/>
        <v>#REF!</v>
      </c>
      <c r="O114" s="780" t="e">
        <f t="shared" ca="1" si="32"/>
        <v>#REF!</v>
      </c>
      <c r="P114" s="780" t="e">
        <f t="shared" ca="1" si="32"/>
        <v>#REF!</v>
      </c>
      <c r="Q114" s="780" t="e">
        <f t="shared" ca="1" si="32"/>
        <v>#REF!</v>
      </c>
      <c r="R114" s="780" t="e">
        <f t="shared" ca="1" si="32"/>
        <v>#REF!</v>
      </c>
      <c r="S114" s="780" t="e">
        <f t="shared" ca="1" si="32"/>
        <v>#REF!</v>
      </c>
      <c r="T114" s="780" t="e">
        <f t="shared" ca="1" si="32"/>
        <v>#REF!</v>
      </c>
      <c r="U114" s="780" t="e">
        <f t="shared" ca="1" si="32"/>
        <v>#REF!</v>
      </c>
      <c r="V114" s="780" t="e">
        <f t="shared" ca="1" si="32"/>
        <v>#REF!</v>
      </c>
      <c r="W114" s="780" t="e">
        <f t="shared" ca="1" si="32"/>
        <v>#REF!</v>
      </c>
      <c r="X114" s="780" t="e">
        <f t="shared" ca="1" si="32"/>
        <v>#REF!</v>
      </c>
      <c r="Y114" s="780" t="e">
        <f t="shared" ca="1" si="32"/>
        <v>#REF!</v>
      </c>
      <c r="Z114" s="780" t="e">
        <f t="shared" ca="1" si="32"/>
        <v>#REF!</v>
      </c>
      <c r="AA114" s="780" t="e">
        <f t="shared" ca="1" si="32"/>
        <v>#REF!</v>
      </c>
      <c r="AB114" s="1369" t="e">
        <f t="shared" ca="1" si="32"/>
        <v>#REF!</v>
      </c>
      <c r="AC114" s="2117"/>
      <c r="AD114" s="2092"/>
      <c r="AE114" s="1369"/>
      <c r="AF114" s="1369"/>
      <c r="AG114" s="1369"/>
      <c r="AH114" s="1369"/>
      <c r="AI114" s="1369"/>
      <c r="AJ114" s="781"/>
    </row>
    <row r="115" spans="1:36">
      <c r="A115" s="2700"/>
      <c r="B115" s="2702"/>
      <c r="C115" s="2702"/>
      <c r="D115" s="2702"/>
      <c r="E115" s="2702"/>
      <c r="F115" s="2702"/>
      <c r="G115" s="2702"/>
      <c r="H115" s="2702"/>
      <c r="I115" s="2702"/>
      <c r="J115" s="2702"/>
      <c r="K115" s="2702"/>
      <c r="L115" s="2702"/>
      <c r="M115" s="2702"/>
      <c r="N115" s="2702"/>
      <c r="O115" s="2702"/>
      <c r="P115" s="2702"/>
      <c r="Q115" s="2702"/>
      <c r="R115" s="2702"/>
      <c r="S115" s="2702"/>
      <c r="T115" s="2702"/>
      <c r="U115" s="2702"/>
      <c r="V115" s="2702"/>
      <c r="W115" s="2702"/>
      <c r="X115" s="2702"/>
      <c r="Y115" s="2702"/>
      <c r="Z115" s="2702"/>
      <c r="AA115" s="2702"/>
      <c r="AB115" s="2702"/>
      <c r="AC115" s="2702"/>
      <c r="AD115" s="2702"/>
      <c r="AE115" s="2702"/>
      <c r="AF115" s="2702"/>
      <c r="AG115" s="2702"/>
      <c r="AH115" s="2702"/>
      <c r="AI115" s="2702"/>
      <c r="AJ115" s="2790"/>
    </row>
    <row r="116" spans="1:36" s="2742" customFormat="1">
      <c r="A116" s="2701" t="s">
        <v>3959</v>
      </c>
      <c r="B116" s="2791" t="s">
        <v>3961</v>
      </c>
      <c r="C116" s="2791"/>
      <c r="D116" s="2791"/>
      <c r="E116" s="2791"/>
      <c r="F116" s="2704"/>
      <c r="G116" s="2704"/>
      <c r="H116" s="2704"/>
      <c r="I116" s="2704"/>
      <c r="J116" s="2704"/>
      <c r="K116" s="2704"/>
      <c r="L116" s="2704"/>
      <c r="M116" s="2704"/>
      <c r="N116" s="2704"/>
      <c r="O116" s="2704"/>
      <c r="P116" s="2704"/>
      <c r="Q116" s="2704"/>
      <c r="R116" s="2704"/>
      <c r="S116" s="2704"/>
      <c r="T116" s="2704"/>
      <c r="U116" s="2704"/>
      <c r="V116" s="2704"/>
      <c r="W116" s="2704"/>
      <c r="X116" s="2704"/>
      <c r="Y116" s="2704"/>
      <c r="Z116" s="2704"/>
      <c r="AA116" s="2704"/>
      <c r="AB116" s="2704"/>
      <c r="AC116" s="2704"/>
      <c r="AD116" s="2704"/>
      <c r="AE116" s="2704"/>
      <c r="AF116" s="2704"/>
      <c r="AG116" s="2704"/>
      <c r="AH116" s="2704"/>
      <c r="AI116" s="2704"/>
      <c r="AJ116" s="2743"/>
    </row>
    <row r="117" spans="1:36">
      <c r="A117" s="2698"/>
      <c r="B117" s="2704" t="e">
        <f ca="1">DEGREES(B119)</f>
        <v>#REF!</v>
      </c>
      <c r="C117" s="2704" t="e">
        <f t="shared" ref="C117:AB117" ca="1" si="33">DEGREES(C119)</f>
        <v>#REF!</v>
      </c>
      <c r="D117" s="2704" t="e">
        <f t="shared" ca="1" si="33"/>
        <v>#REF!</v>
      </c>
      <c r="E117" s="2704" t="e">
        <f t="shared" ca="1" si="33"/>
        <v>#REF!</v>
      </c>
      <c r="F117" s="2704" t="e">
        <f t="shared" ca="1" si="33"/>
        <v>#REF!</v>
      </c>
      <c r="G117" s="2704" t="e">
        <f t="shared" ca="1" si="33"/>
        <v>#REF!</v>
      </c>
      <c r="H117" s="2704" t="e">
        <f t="shared" ca="1" si="33"/>
        <v>#REF!</v>
      </c>
      <c r="I117" s="2704" t="e">
        <f t="shared" ca="1" si="33"/>
        <v>#REF!</v>
      </c>
      <c r="J117" s="2704" t="e">
        <f t="shared" ca="1" si="33"/>
        <v>#REF!</v>
      </c>
      <c r="K117" s="2704" t="e">
        <f t="shared" ca="1" si="33"/>
        <v>#REF!</v>
      </c>
      <c r="L117" s="2704" t="e">
        <f t="shared" ca="1" si="33"/>
        <v>#REF!</v>
      </c>
      <c r="M117" s="2704" t="e">
        <f t="shared" ca="1" si="33"/>
        <v>#REF!</v>
      </c>
      <c r="N117" s="2704" t="e">
        <f t="shared" ca="1" si="33"/>
        <v>#REF!</v>
      </c>
      <c r="O117" s="2704" t="e">
        <f t="shared" ca="1" si="33"/>
        <v>#REF!</v>
      </c>
      <c r="P117" s="2704" t="e">
        <f t="shared" ca="1" si="33"/>
        <v>#REF!</v>
      </c>
      <c r="Q117" s="2704" t="e">
        <f t="shared" ca="1" si="33"/>
        <v>#REF!</v>
      </c>
      <c r="R117" s="2704" t="e">
        <f t="shared" ca="1" si="33"/>
        <v>#REF!</v>
      </c>
      <c r="S117" s="2704" t="e">
        <f t="shared" ca="1" si="33"/>
        <v>#REF!</v>
      </c>
      <c r="T117" s="2704" t="e">
        <f t="shared" ca="1" si="33"/>
        <v>#REF!</v>
      </c>
      <c r="U117" s="2704" t="e">
        <f t="shared" ca="1" si="33"/>
        <v>#REF!</v>
      </c>
      <c r="V117" s="2704" t="e">
        <f t="shared" ca="1" si="33"/>
        <v>#REF!</v>
      </c>
      <c r="W117" s="2704" t="e">
        <f t="shared" ca="1" si="33"/>
        <v>#REF!</v>
      </c>
      <c r="X117" s="2704" t="e">
        <f t="shared" ca="1" si="33"/>
        <v>#REF!</v>
      </c>
      <c r="Y117" s="2704" t="e">
        <f t="shared" ca="1" si="33"/>
        <v>#REF!</v>
      </c>
      <c r="Z117" s="2704" t="e">
        <f t="shared" ca="1" si="33"/>
        <v>#REF!</v>
      </c>
      <c r="AA117" s="2704" t="e">
        <f t="shared" ca="1" si="33"/>
        <v>#REF!</v>
      </c>
      <c r="AB117" s="2704" t="e">
        <f t="shared" ca="1" si="33"/>
        <v>#REF!</v>
      </c>
      <c r="AC117" s="2792"/>
      <c r="AD117" s="2704"/>
      <c r="AE117" s="2704"/>
      <c r="AF117" s="2704"/>
      <c r="AG117" s="2704"/>
      <c r="AH117" s="2704"/>
      <c r="AI117" s="2704"/>
      <c r="AJ117" s="2743"/>
    </row>
    <row r="118" spans="1:36">
      <c r="A118" s="2700" t="s">
        <v>2635</v>
      </c>
      <c r="B118" s="2744">
        <v>1</v>
      </c>
      <c r="C118" s="2744">
        <f t="shared" ref="C118:AB118" si="34">B118+1</f>
        <v>2</v>
      </c>
      <c r="D118" s="2744">
        <f t="shared" si="34"/>
        <v>3</v>
      </c>
      <c r="E118" s="2744">
        <f t="shared" si="34"/>
        <v>4</v>
      </c>
      <c r="F118" s="2744">
        <f>E118+1</f>
        <v>5</v>
      </c>
      <c r="G118" s="2744">
        <f t="shared" si="34"/>
        <v>6</v>
      </c>
      <c r="H118" s="2744">
        <f t="shared" si="34"/>
        <v>7</v>
      </c>
      <c r="I118" s="2744">
        <f t="shared" si="34"/>
        <v>8</v>
      </c>
      <c r="J118" s="2744">
        <f>I118+1</f>
        <v>9</v>
      </c>
      <c r="K118" s="2744">
        <f t="shared" si="34"/>
        <v>10</v>
      </c>
      <c r="L118" s="2744">
        <f t="shared" si="34"/>
        <v>11</v>
      </c>
      <c r="M118" s="2744">
        <f t="shared" si="34"/>
        <v>12</v>
      </c>
      <c r="N118" s="2744">
        <f t="shared" si="34"/>
        <v>13</v>
      </c>
      <c r="O118" s="2744">
        <f>N118+1</f>
        <v>14</v>
      </c>
      <c r="P118" s="2744">
        <f>O118+1</f>
        <v>15</v>
      </c>
      <c r="Q118" s="2744">
        <f>P118+1</f>
        <v>16</v>
      </c>
      <c r="R118" s="2744">
        <f t="shared" si="34"/>
        <v>17</v>
      </c>
      <c r="S118" s="2744">
        <f t="shared" si="34"/>
        <v>18</v>
      </c>
      <c r="T118" s="2744">
        <f>S118+1</f>
        <v>19</v>
      </c>
      <c r="U118" s="2744">
        <f t="shared" si="34"/>
        <v>20</v>
      </c>
      <c r="V118" s="2744">
        <f t="shared" si="34"/>
        <v>21</v>
      </c>
      <c r="W118" s="2744">
        <f t="shared" si="34"/>
        <v>22</v>
      </c>
      <c r="X118" s="2744">
        <f t="shared" si="34"/>
        <v>23</v>
      </c>
      <c r="Y118" s="2744">
        <f t="shared" si="34"/>
        <v>24</v>
      </c>
      <c r="Z118" s="2744">
        <f t="shared" si="34"/>
        <v>25</v>
      </c>
      <c r="AA118" s="2744">
        <f t="shared" si="34"/>
        <v>26</v>
      </c>
      <c r="AB118" s="2781">
        <f t="shared" si="34"/>
        <v>27</v>
      </c>
      <c r="AC118" s="2782"/>
      <c r="AD118" s="2744"/>
      <c r="AE118" s="2744"/>
      <c r="AF118" s="2744"/>
      <c r="AG118" s="2744"/>
      <c r="AH118" s="2744"/>
      <c r="AI118" s="2744"/>
      <c r="AJ118" s="2783"/>
    </row>
    <row r="119" spans="1:36" s="2706" customFormat="1">
      <c r="A119" s="2761" t="s">
        <v>3799</v>
      </c>
      <c r="B119" s="2776" t="e">
        <f t="shared" ref="B119:AB119" ca="1" si="35">B106</f>
        <v>#REF!</v>
      </c>
      <c r="C119" s="2776" t="e">
        <f t="shared" ca="1" si="35"/>
        <v>#REF!</v>
      </c>
      <c r="D119" s="2776" t="e">
        <f t="shared" ca="1" si="35"/>
        <v>#REF!</v>
      </c>
      <c r="E119" s="2776" t="e">
        <f t="shared" ca="1" si="35"/>
        <v>#REF!</v>
      </c>
      <c r="F119" s="2776" t="e">
        <f t="shared" ca="1" si="35"/>
        <v>#REF!</v>
      </c>
      <c r="G119" s="2776" t="e">
        <f t="shared" ca="1" si="35"/>
        <v>#REF!</v>
      </c>
      <c r="H119" s="2776" t="e">
        <f t="shared" ca="1" si="35"/>
        <v>#REF!</v>
      </c>
      <c r="I119" s="2776" t="e">
        <f t="shared" ca="1" si="35"/>
        <v>#REF!</v>
      </c>
      <c r="J119" s="2776" t="e">
        <f t="shared" ca="1" si="35"/>
        <v>#REF!</v>
      </c>
      <c r="K119" s="2776" t="e">
        <f t="shared" ca="1" si="35"/>
        <v>#REF!</v>
      </c>
      <c r="L119" s="2776" t="e">
        <f t="shared" ca="1" si="35"/>
        <v>#REF!</v>
      </c>
      <c r="M119" s="2776" t="e">
        <f t="shared" ca="1" si="35"/>
        <v>#REF!</v>
      </c>
      <c r="N119" s="2776" t="e">
        <f t="shared" ca="1" si="35"/>
        <v>#REF!</v>
      </c>
      <c r="O119" s="2776" t="e">
        <f t="shared" ca="1" si="35"/>
        <v>#REF!</v>
      </c>
      <c r="P119" s="2776" t="e">
        <f t="shared" ca="1" si="35"/>
        <v>#REF!</v>
      </c>
      <c r="Q119" s="2776" t="e">
        <f t="shared" ca="1" si="35"/>
        <v>#REF!</v>
      </c>
      <c r="R119" s="2776" t="e">
        <f t="shared" ca="1" si="35"/>
        <v>#REF!</v>
      </c>
      <c r="S119" s="2776" t="e">
        <f t="shared" ca="1" si="35"/>
        <v>#REF!</v>
      </c>
      <c r="T119" s="2776" t="e">
        <f t="shared" ca="1" si="35"/>
        <v>#REF!</v>
      </c>
      <c r="U119" s="2776" t="e">
        <f t="shared" ca="1" si="35"/>
        <v>#REF!</v>
      </c>
      <c r="V119" s="2776" t="e">
        <f t="shared" ca="1" si="35"/>
        <v>#REF!</v>
      </c>
      <c r="W119" s="2776" t="e">
        <f t="shared" ca="1" si="35"/>
        <v>#REF!</v>
      </c>
      <c r="X119" s="2776" t="e">
        <f t="shared" ca="1" si="35"/>
        <v>#REF!</v>
      </c>
      <c r="Y119" s="2776" t="e">
        <f t="shared" ca="1" si="35"/>
        <v>#REF!</v>
      </c>
      <c r="Z119" s="2776" t="e">
        <f t="shared" ca="1" si="35"/>
        <v>#REF!</v>
      </c>
      <c r="AA119" s="2776" t="e">
        <f t="shared" ca="1" si="35"/>
        <v>#REF!</v>
      </c>
      <c r="AB119" s="2777" t="e">
        <f t="shared" ca="1" si="35"/>
        <v>#REF!</v>
      </c>
      <c r="AC119" s="2778"/>
      <c r="AD119" s="2776"/>
      <c r="AE119" s="2776"/>
      <c r="AF119" s="2776"/>
      <c r="AG119" s="2776"/>
      <c r="AH119" s="2776"/>
      <c r="AI119" s="2776"/>
      <c r="AJ119" s="2779"/>
    </row>
    <row r="120" spans="1:36">
      <c r="A120" s="2699" t="s">
        <v>1783</v>
      </c>
      <c r="B120" s="2750" t="e">
        <f t="shared" ref="B120:I120" ca="1" si="36">IF(B119=0,0,ROUND(IF(AND(B122&gt;=0,B123&gt;=0),IF($D90,IF(B122&gt;=$E95,$E95,IF($F90,IF(B122&lt;$G95,$G96/TAN(B119),0),0)),IF($F90,IF(B122&lt;$G95,$G96/TAN(B119),0),0)),IF(AND(B122&gt;=0,B123&lt;0),IF($D90,IF(B122&gt;$E95,$E95,IF($H90,IF(B122&lt;$I95,$I96/TAN(B119),0),0)),IF($H90,IF(B122&lt;$I95,$I96/TAN(B119),0),0)),IF(AND(B122&lt;0,B123&lt;0),IF($B90,IF(B122&lt;$C93,$C93,IF($H90,IF(B122&gt;$I93,$I94/TAN(B119),0),0)),IF($H90,IF(B122&gt;$I93,$I94/TAN(B119),0),0)),IF(AND(B122&lt;0,B123&gt;=0),IF($B90,IF(B122&lt;$C95,$C95,IF($F90,IF(B122&gt;$G93,$G94/TAN(B119),0),0)),IF($F90,IF(B122&gt;$G93,$G94/TAN(B119),0),0)))))),3))</f>
        <v>#REF!</v>
      </c>
      <c r="C120" s="2750" t="e">
        <f t="shared" ca="1" si="36"/>
        <v>#REF!</v>
      </c>
      <c r="D120" s="2750" t="e">
        <f t="shared" ca="1" si="36"/>
        <v>#REF!</v>
      </c>
      <c r="E120" s="2750" t="e">
        <f t="shared" ca="1" si="36"/>
        <v>#REF!</v>
      </c>
      <c r="F120" s="2750" t="e">
        <f t="shared" ca="1" si="36"/>
        <v>#REF!</v>
      </c>
      <c r="G120" s="2750" t="e">
        <f t="shared" ca="1" si="36"/>
        <v>#REF!</v>
      </c>
      <c r="H120" s="2750" t="e">
        <f t="shared" ca="1" si="36"/>
        <v>#REF!</v>
      </c>
      <c r="I120" s="2750" t="e">
        <f t="shared" ca="1" si="36"/>
        <v>#REF!</v>
      </c>
      <c r="J120" s="2750" t="e">
        <f t="shared" ref="J120:AB120" ca="1" si="37">IF(J119=0,0,ROUND(IF(AND(J122&gt;=0,J123&gt;=0),IF($D90,IF(J122&gt;=$E95,$E95,IF($F90,IF(J122&lt;$G95,$G96/TAN(J119),0),0)),IF($F90,IF(J122&lt;$G95,$G96/TAN(J119),0),0)),IF(AND(J122&gt;=0,J123&lt;0),IF($D90,IF(J122&gt;$E95,$E95,IF($H90,IF(J122&lt;$I95,$I96/TAN(J119),0),0)),IF($H90,IF(J122&lt;$I95,$I96/TAN(J119),0),0)),IF(AND(J122&lt;0,J123&lt;0),IF($B90,IF(J122&lt;$C93,$C93,IF($H90,IF(J122&gt;$I93,$I94/TAN(J119),0),0)),IF($H90,IF(J122&gt;$I93,$I94/TAN(J119),0),0)),IF(AND(J122&lt;0,J123&gt;=0),IF($B90,IF(J122&lt;$C95,$C95,IF($F90,IF(J122&gt;$G93,$G94/TAN(J119),0),0)),IF($F90,IF(J122&gt;$G93,$G94/TAN(J119),0),0)))))),3))</f>
        <v>#REF!</v>
      </c>
      <c r="K120" s="2750" t="e">
        <f t="shared" ca="1" si="37"/>
        <v>#REF!</v>
      </c>
      <c r="L120" s="2750" t="e">
        <f t="shared" ca="1" si="37"/>
        <v>#REF!</v>
      </c>
      <c r="M120" s="2750" t="e">
        <f t="shared" ca="1" si="37"/>
        <v>#REF!</v>
      </c>
      <c r="N120" s="2750" t="e">
        <f t="shared" ca="1" si="37"/>
        <v>#REF!</v>
      </c>
      <c r="O120" s="2750" t="e">
        <f t="shared" ca="1" si="37"/>
        <v>#REF!</v>
      </c>
      <c r="P120" s="2750" t="e">
        <f t="shared" ca="1" si="37"/>
        <v>#REF!</v>
      </c>
      <c r="Q120" s="2750" t="e">
        <f t="shared" ca="1" si="37"/>
        <v>#REF!</v>
      </c>
      <c r="R120" s="2750" t="e">
        <f t="shared" ca="1" si="37"/>
        <v>#REF!</v>
      </c>
      <c r="S120" s="2750" t="e">
        <f t="shared" ca="1" si="37"/>
        <v>#REF!</v>
      </c>
      <c r="T120" s="2750" t="e">
        <f t="shared" ca="1" si="37"/>
        <v>#REF!</v>
      </c>
      <c r="U120" s="2750" t="e">
        <f t="shared" ca="1" si="37"/>
        <v>#REF!</v>
      </c>
      <c r="V120" s="2750" t="e">
        <f t="shared" ca="1" si="37"/>
        <v>#REF!</v>
      </c>
      <c r="W120" s="2750" t="e">
        <f t="shared" ca="1" si="37"/>
        <v>#REF!</v>
      </c>
      <c r="X120" s="2750" t="e">
        <f t="shared" ca="1" si="37"/>
        <v>#REF!</v>
      </c>
      <c r="Y120" s="2750" t="e">
        <f t="shared" ca="1" si="37"/>
        <v>#REF!</v>
      </c>
      <c r="Z120" s="2750" t="e">
        <f t="shared" ca="1" si="37"/>
        <v>#REF!</v>
      </c>
      <c r="AA120" s="2750" t="e">
        <f t="shared" ca="1" si="37"/>
        <v>#REF!</v>
      </c>
      <c r="AB120" s="2784" t="e">
        <f t="shared" ca="1" si="37"/>
        <v>#REF!</v>
      </c>
      <c r="AC120" s="2785"/>
      <c r="AD120" s="2750"/>
      <c r="AE120" s="2750"/>
      <c r="AF120" s="2750"/>
      <c r="AG120" s="2750"/>
      <c r="AH120" s="2750"/>
      <c r="AI120" s="2750"/>
      <c r="AJ120" s="2786"/>
    </row>
    <row r="121" spans="1:36">
      <c r="A121" s="2699" t="s">
        <v>1784</v>
      </c>
      <c r="B121" s="2738" t="e">
        <f t="shared" ref="B121:I121" ca="1" si="38">IF(B119=0,0,ROUND(IF(AND(B122&gt;=0,B123&gt;=0),IF($D90,IF(B122&gt;$E95,B120*TAN(B119),IF($F90,IF(B122&lt;$G95,$G96,0),0)),IF($F90,IF(B122&lt;$G95,$G96,0),0)),IF(AND(B122&gt;=0,B123&lt;0),IF($D90,IF(B122&gt;$E93,B120*TAN(B119),IF($H90,IF(B122&lt;$I95,$I96,0),0)),IF($H90,IF(B122&lt;$I95,$I96,0),0)),IF(AND(B122&lt;0,B123&lt;0),IF($B90,IF(B122&lt;$C93,B120*TAN(B119),IF($H90,IF(B122&gt;$I93,$I94,0),0)),IF($H90,IF(B122&gt;$I93,$I94,0),0)),IF(AND(B122&lt;0,B123&gt;=0),IF($B90,IF(B122&lt;$C95,B120*TAN(B119),IF($F90,IF(B122&gt;$G93,$G94,0),0)),IF($F90,IF(B122&gt;$G93,$G94,0),0)))))),3))</f>
        <v>#REF!</v>
      </c>
      <c r="C121" s="2738" t="e">
        <f t="shared" ca="1" si="38"/>
        <v>#REF!</v>
      </c>
      <c r="D121" s="2738" t="e">
        <f t="shared" ca="1" si="38"/>
        <v>#REF!</v>
      </c>
      <c r="E121" s="2738" t="e">
        <f t="shared" ca="1" si="38"/>
        <v>#REF!</v>
      </c>
      <c r="F121" s="2738" t="e">
        <f t="shared" ca="1" si="38"/>
        <v>#REF!</v>
      </c>
      <c r="G121" s="2738" t="e">
        <f t="shared" ca="1" si="38"/>
        <v>#REF!</v>
      </c>
      <c r="H121" s="2738" t="e">
        <f t="shared" ca="1" si="38"/>
        <v>#REF!</v>
      </c>
      <c r="I121" s="2738" t="e">
        <f t="shared" ca="1" si="38"/>
        <v>#REF!</v>
      </c>
      <c r="J121" s="2738" t="e">
        <f t="shared" ref="J121:AB121" ca="1" si="39">IF(J119=0,0,ROUND(IF(AND(J122&gt;=0,J123&gt;=0),IF($D90,IF(J122&gt;$E95,J120*TAN(J119),IF($F90,IF(J122&lt;$G95,$G96,0),0)),IF($F90,IF(J122&lt;$G95,$G96,0),0)),IF(AND(J122&gt;=0,J123&lt;0),IF($D90,IF(J122&gt;$E93,J120*TAN(J119),IF($H90,IF(J122&lt;$I95,$I96,0),0)),IF($H90,IF(J122&lt;$I95,$I96,0),0)),IF(AND(J122&lt;0,J123&lt;0),IF($B90,IF(J122&lt;$C93,J120*TAN(J119),IF($H90,IF(J122&gt;$I93,$I94,0),0)),IF($H90,IF(J122&gt;$I93,$I94,0),0)),IF(AND(J122&lt;0,J123&gt;=0),IF($B90,IF(J122&lt;$C95,J120*TAN(J119),IF($F90,IF(J122&gt;$G93,$G94,0),0)),IF($F90,IF(J122&gt;$G93,$G94,0),0)))))),3))</f>
        <v>#REF!</v>
      </c>
      <c r="K121" s="2738" t="e">
        <f t="shared" ca="1" si="39"/>
        <v>#REF!</v>
      </c>
      <c r="L121" s="2738" t="e">
        <f t="shared" ca="1" si="39"/>
        <v>#REF!</v>
      </c>
      <c r="M121" s="2738" t="e">
        <f t="shared" ca="1" si="39"/>
        <v>#REF!</v>
      </c>
      <c r="N121" s="2738" t="e">
        <f t="shared" ca="1" si="39"/>
        <v>#REF!</v>
      </c>
      <c r="O121" s="2738" t="e">
        <f t="shared" ca="1" si="39"/>
        <v>#REF!</v>
      </c>
      <c r="P121" s="2738" t="e">
        <f t="shared" ca="1" si="39"/>
        <v>#REF!</v>
      </c>
      <c r="Q121" s="2738" t="e">
        <f t="shared" ca="1" si="39"/>
        <v>#REF!</v>
      </c>
      <c r="R121" s="2738" t="e">
        <f t="shared" ca="1" si="39"/>
        <v>#REF!</v>
      </c>
      <c r="S121" s="2738" t="e">
        <f t="shared" ca="1" si="39"/>
        <v>#REF!</v>
      </c>
      <c r="T121" s="2738" t="e">
        <f t="shared" ca="1" si="39"/>
        <v>#REF!</v>
      </c>
      <c r="U121" s="2738" t="e">
        <f t="shared" ca="1" si="39"/>
        <v>#REF!</v>
      </c>
      <c r="V121" s="2738" t="e">
        <f t="shared" ca="1" si="39"/>
        <v>#REF!</v>
      </c>
      <c r="W121" s="2738" t="e">
        <f t="shared" ca="1" si="39"/>
        <v>#REF!</v>
      </c>
      <c r="X121" s="2738" t="e">
        <f t="shared" ca="1" si="39"/>
        <v>#REF!</v>
      </c>
      <c r="Y121" s="2738" t="e">
        <f t="shared" ca="1" si="39"/>
        <v>#REF!</v>
      </c>
      <c r="Z121" s="2738" t="e">
        <f t="shared" ca="1" si="39"/>
        <v>#REF!</v>
      </c>
      <c r="AA121" s="2738" t="e">
        <f t="shared" ca="1" si="39"/>
        <v>#REF!</v>
      </c>
      <c r="AB121" s="2787" t="e">
        <f t="shared" ca="1" si="39"/>
        <v>#REF!</v>
      </c>
      <c r="AC121" s="2788"/>
      <c r="AD121" s="2738"/>
      <c r="AE121" s="2738"/>
      <c r="AF121" s="2738"/>
      <c r="AG121" s="2738"/>
      <c r="AH121" s="2738"/>
      <c r="AI121" s="2738"/>
      <c r="AJ121" s="2789"/>
    </row>
    <row r="122" spans="1:36">
      <c r="A122" s="2700" t="s">
        <v>1096</v>
      </c>
      <c r="B122" s="2662" t="e">
        <f t="shared" ref="B122:AB122" ca="1" si="40">B112</f>
        <v>#REF!</v>
      </c>
      <c r="C122" s="2662" t="e">
        <f t="shared" ca="1" si="40"/>
        <v>#REF!</v>
      </c>
      <c r="D122" s="2662" t="e">
        <f t="shared" ca="1" si="40"/>
        <v>#REF!</v>
      </c>
      <c r="E122" s="2662" t="e">
        <f t="shared" ca="1" si="40"/>
        <v>#REF!</v>
      </c>
      <c r="F122" s="2662" t="e">
        <f t="shared" ca="1" si="40"/>
        <v>#REF!</v>
      </c>
      <c r="G122" s="2662" t="e">
        <f t="shared" ca="1" si="40"/>
        <v>#REF!</v>
      </c>
      <c r="H122" s="2662" t="e">
        <f t="shared" ca="1" si="40"/>
        <v>#REF!</v>
      </c>
      <c r="I122" s="2662" t="e">
        <f t="shared" ca="1" si="40"/>
        <v>#REF!</v>
      </c>
      <c r="J122" s="2662" t="e">
        <f t="shared" ca="1" si="40"/>
        <v>#REF!</v>
      </c>
      <c r="K122" s="2662" t="e">
        <f t="shared" ca="1" si="40"/>
        <v>#REF!</v>
      </c>
      <c r="L122" s="2662" t="e">
        <f t="shared" ca="1" si="40"/>
        <v>#REF!</v>
      </c>
      <c r="M122" s="2662" t="e">
        <f t="shared" ca="1" si="40"/>
        <v>#REF!</v>
      </c>
      <c r="N122" s="2662" t="e">
        <f t="shared" ca="1" si="40"/>
        <v>#REF!</v>
      </c>
      <c r="O122" s="2662" t="e">
        <f t="shared" ca="1" si="40"/>
        <v>#REF!</v>
      </c>
      <c r="P122" s="2662" t="e">
        <f t="shared" ca="1" si="40"/>
        <v>#REF!</v>
      </c>
      <c r="Q122" s="2662" t="e">
        <f t="shared" ca="1" si="40"/>
        <v>#REF!</v>
      </c>
      <c r="R122" s="2662" t="e">
        <f t="shared" ca="1" si="40"/>
        <v>#REF!</v>
      </c>
      <c r="S122" s="2662" t="e">
        <f t="shared" ca="1" si="40"/>
        <v>#REF!</v>
      </c>
      <c r="T122" s="2662" t="e">
        <f t="shared" ca="1" si="40"/>
        <v>#REF!</v>
      </c>
      <c r="U122" s="2662" t="e">
        <f t="shared" ca="1" si="40"/>
        <v>#REF!</v>
      </c>
      <c r="V122" s="2662" t="e">
        <f t="shared" ca="1" si="40"/>
        <v>#REF!</v>
      </c>
      <c r="W122" s="2662" t="e">
        <f t="shared" ca="1" si="40"/>
        <v>#REF!</v>
      </c>
      <c r="X122" s="2662" t="e">
        <f t="shared" ca="1" si="40"/>
        <v>#REF!</v>
      </c>
      <c r="Y122" s="2662" t="e">
        <f t="shared" ca="1" si="40"/>
        <v>#REF!</v>
      </c>
      <c r="Z122" s="2662" t="e">
        <f t="shared" ca="1" si="40"/>
        <v>#REF!</v>
      </c>
      <c r="AA122" s="2662" t="e">
        <f t="shared" ca="1" si="40"/>
        <v>#REF!</v>
      </c>
      <c r="AB122" s="2745" t="e">
        <f t="shared" ca="1" si="40"/>
        <v>#REF!</v>
      </c>
      <c r="AC122" s="2793"/>
      <c r="AD122" s="2662"/>
      <c r="AE122" s="2662"/>
      <c r="AF122" s="2662"/>
      <c r="AG122" s="2662"/>
      <c r="AH122" s="2662"/>
      <c r="AI122" s="2662"/>
      <c r="AJ122" s="2794"/>
    </row>
    <row r="123" spans="1:36">
      <c r="A123" s="2700" t="s">
        <v>1097</v>
      </c>
      <c r="B123" s="2738" t="e">
        <f t="shared" ref="B123:AB123" ca="1" si="41">B113</f>
        <v>#REF!</v>
      </c>
      <c r="C123" s="2738" t="e">
        <f t="shared" ca="1" si="41"/>
        <v>#REF!</v>
      </c>
      <c r="D123" s="2738" t="e">
        <f t="shared" ca="1" si="41"/>
        <v>#REF!</v>
      </c>
      <c r="E123" s="2738" t="e">
        <f t="shared" ca="1" si="41"/>
        <v>#REF!</v>
      </c>
      <c r="F123" s="2738" t="e">
        <f t="shared" ca="1" si="41"/>
        <v>#REF!</v>
      </c>
      <c r="G123" s="2738" t="e">
        <f t="shared" ca="1" si="41"/>
        <v>#REF!</v>
      </c>
      <c r="H123" s="2738" t="e">
        <f t="shared" ca="1" si="41"/>
        <v>#REF!</v>
      </c>
      <c r="I123" s="2738" t="e">
        <f t="shared" ca="1" si="41"/>
        <v>#REF!</v>
      </c>
      <c r="J123" s="2738" t="e">
        <f t="shared" ca="1" si="41"/>
        <v>#REF!</v>
      </c>
      <c r="K123" s="2738" t="e">
        <f t="shared" ca="1" si="41"/>
        <v>#REF!</v>
      </c>
      <c r="L123" s="2738" t="e">
        <f t="shared" ca="1" si="41"/>
        <v>#REF!</v>
      </c>
      <c r="M123" s="2738" t="e">
        <f t="shared" ca="1" si="41"/>
        <v>#REF!</v>
      </c>
      <c r="N123" s="2738" t="e">
        <f t="shared" ca="1" si="41"/>
        <v>#REF!</v>
      </c>
      <c r="O123" s="2738" t="e">
        <f t="shared" ca="1" si="41"/>
        <v>#REF!</v>
      </c>
      <c r="P123" s="2738" t="e">
        <f t="shared" ca="1" si="41"/>
        <v>#REF!</v>
      </c>
      <c r="Q123" s="2738" t="e">
        <f t="shared" ca="1" si="41"/>
        <v>#REF!</v>
      </c>
      <c r="R123" s="2738" t="e">
        <f t="shared" ca="1" si="41"/>
        <v>#REF!</v>
      </c>
      <c r="S123" s="2738" t="e">
        <f t="shared" ca="1" si="41"/>
        <v>#REF!</v>
      </c>
      <c r="T123" s="2738" t="e">
        <f t="shared" ca="1" si="41"/>
        <v>#REF!</v>
      </c>
      <c r="U123" s="2738" t="e">
        <f t="shared" ca="1" si="41"/>
        <v>#REF!</v>
      </c>
      <c r="V123" s="2738" t="e">
        <f t="shared" ca="1" si="41"/>
        <v>#REF!</v>
      </c>
      <c r="W123" s="2738" t="e">
        <f t="shared" ca="1" si="41"/>
        <v>#REF!</v>
      </c>
      <c r="X123" s="2738" t="e">
        <f t="shared" ca="1" si="41"/>
        <v>#REF!</v>
      </c>
      <c r="Y123" s="2738" t="e">
        <f t="shared" ca="1" si="41"/>
        <v>#REF!</v>
      </c>
      <c r="Z123" s="2738" t="e">
        <f t="shared" ca="1" si="41"/>
        <v>#REF!</v>
      </c>
      <c r="AA123" s="2738" t="e">
        <f t="shared" ca="1" si="41"/>
        <v>#REF!</v>
      </c>
      <c r="AB123" s="2787" t="e">
        <f t="shared" ca="1" si="41"/>
        <v>#REF!</v>
      </c>
      <c r="AC123" s="2788"/>
      <c r="AD123" s="2738"/>
      <c r="AE123" s="2738"/>
      <c r="AF123" s="2738"/>
      <c r="AG123" s="2738"/>
      <c r="AH123" s="2738"/>
      <c r="AI123" s="2738"/>
      <c r="AJ123" s="2789"/>
    </row>
    <row r="124" spans="1:36">
      <c r="A124" s="2700" t="s">
        <v>2790</v>
      </c>
      <c r="B124" s="2744" t="e">
        <f t="shared" ref="B124:AB124" ca="1" si="42">IF(OR(AND(B120=0,B121=0),SQRT((B122-B120)^2+(B123-B121)^2)&lt;min_re_L),0,SQRT((B122-B120)^2+(B123-B121)^2))</f>
        <v>#REF!</v>
      </c>
      <c r="C124" s="2744" t="e">
        <f t="shared" ca="1" si="42"/>
        <v>#REF!</v>
      </c>
      <c r="D124" s="2744" t="e">
        <f t="shared" ca="1" si="42"/>
        <v>#REF!</v>
      </c>
      <c r="E124" s="2744" t="e">
        <f t="shared" ca="1" si="42"/>
        <v>#REF!</v>
      </c>
      <c r="F124" s="2744" t="e">
        <f t="shared" ca="1" si="42"/>
        <v>#REF!</v>
      </c>
      <c r="G124" s="2744" t="e">
        <f t="shared" ca="1" si="42"/>
        <v>#REF!</v>
      </c>
      <c r="H124" s="2744" t="e">
        <f t="shared" ca="1" si="42"/>
        <v>#REF!</v>
      </c>
      <c r="I124" s="2744" t="e">
        <f t="shared" ca="1" si="42"/>
        <v>#REF!</v>
      </c>
      <c r="J124" s="2744" t="e">
        <f t="shared" ca="1" si="42"/>
        <v>#REF!</v>
      </c>
      <c r="K124" s="2744" t="e">
        <f t="shared" ca="1" si="42"/>
        <v>#REF!</v>
      </c>
      <c r="L124" s="2744" t="e">
        <f t="shared" ca="1" si="42"/>
        <v>#REF!</v>
      </c>
      <c r="M124" s="2744" t="e">
        <f t="shared" ca="1" si="42"/>
        <v>#REF!</v>
      </c>
      <c r="N124" s="2744" t="e">
        <f t="shared" ca="1" si="42"/>
        <v>#REF!</v>
      </c>
      <c r="O124" s="2744" t="e">
        <f t="shared" ca="1" si="42"/>
        <v>#REF!</v>
      </c>
      <c r="P124" s="2744" t="e">
        <f t="shared" ca="1" si="42"/>
        <v>#REF!</v>
      </c>
      <c r="Q124" s="2744" t="e">
        <f t="shared" ca="1" si="42"/>
        <v>#REF!</v>
      </c>
      <c r="R124" s="2744" t="e">
        <f t="shared" ca="1" si="42"/>
        <v>#REF!</v>
      </c>
      <c r="S124" s="2744" t="e">
        <f t="shared" ca="1" si="42"/>
        <v>#REF!</v>
      </c>
      <c r="T124" s="2744" t="e">
        <f t="shared" ca="1" si="42"/>
        <v>#REF!</v>
      </c>
      <c r="U124" s="2744" t="e">
        <f t="shared" ca="1" si="42"/>
        <v>#REF!</v>
      </c>
      <c r="V124" s="2744" t="e">
        <f t="shared" ca="1" si="42"/>
        <v>#REF!</v>
      </c>
      <c r="W124" s="2744" t="e">
        <f t="shared" ca="1" si="42"/>
        <v>#REF!</v>
      </c>
      <c r="X124" s="2744" t="e">
        <f t="shared" ca="1" si="42"/>
        <v>#REF!</v>
      </c>
      <c r="Y124" s="2744" t="e">
        <f t="shared" ca="1" si="42"/>
        <v>#REF!</v>
      </c>
      <c r="Z124" s="2744" t="e">
        <f t="shared" ca="1" si="42"/>
        <v>#REF!</v>
      </c>
      <c r="AA124" s="2744" t="e">
        <f t="shared" ca="1" si="42"/>
        <v>#REF!</v>
      </c>
      <c r="AB124" s="2781" t="e">
        <f t="shared" ca="1" si="42"/>
        <v>#REF!</v>
      </c>
      <c r="AC124" s="2782"/>
      <c r="AD124" s="2744"/>
      <c r="AE124" s="2744"/>
      <c r="AF124" s="2744"/>
      <c r="AG124" s="2744"/>
      <c r="AH124" s="2744"/>
      <c r="AI124" s="2744"/>
      <c r="AJ124" s="2783"/>
    </row>
    <row r="125" spans="1:36" s="2704" customFormat="1" ht="15.75" thickBot="1">
      <c r="A125" s="2751"/>
      <c r="B125" s="2682"/>
      <c r="C125" s="2682"/>
      <c r="D125" s="2682"/>
      <c r="E125" s="2682"/>
      <c r="F125" s="2682"/>
      <c r="G125" s="2682"/>
      <c r="H125" s="2682"/>
      <c r="I125" s="2682"/>
      <c r="J125" s="2682"/>
      <c r="K125" s="2682"/>
      <c r="L125" s="2682"/>
      <c r="M125" s="2682"/>
      <c r="N125" s="2682"/>
      <c r="O125" s="2682"/>
      <c r="P125" s="2682"/>
      <c r="Q125" s="2682"/>
      <c r="R125" s="2682"/>
      <c r="S125" s="2682"/>
      <c r="T125" s="2682"/>
      <c r="U125" s="2682"/>
      <c r="V125" s="2682"/>
      <c r="W125" s="2682"/>
      <c r="X125" s="2682"/>
      <c r="Y125" s="2682"/>
      <c r="Z125" s="2682"/>
      <c r="AA125" s="2682"/>
      <c r="AB125" s="2682"/>
      <c r="AC125" s="2682"/>
      <c r="AD125" s="2682"/>
      <c r="AE125" s="2682"/>
      <c r="AF125" s="2682"/>
      <c r="AG125" s="2682"/>
      <c r="AH125" s="2682"/>
      <c r="AI125" s="2682"/>
      <c r="AJ125" s="2752"/>
    </row>
    <row r="126" spans="1:36" s="2704" customFormat="1">
      <c r="A126" s="2708"/>
      <c r="AJ126" s="2743"/>
    </row>
    <row r="127" spans="1:36" s="2704" customFormat="1" ht="15.75" thickBot="1">
      <c r="A127" s="2708"/>
      <c r="AJ127" s="2743"/>
    </row>
    <row r="128" spans="1:36" s="2704" customFormat="1" ht="15.75" hidden="1" thickBot="1">
      <c r="A128" s="2708"/>
      <c r="AJ128" s="2743"/>
    </row>
    <row r="129" spans="1:36" s="2704" customFormat="1" ht="15.75" hidden="1" thickBot="1">
      <c r="A129" s="2708"/>
      <c r="AJ129" s="2743"/>
    </row>
    <row r="130" spans="1:36" s="2704" customFormat="1" ht="15.75" hidden="1" thickBot="1">
      <c r="A130" s="2708"/>
      <c r="AJ130" s="2743"/>
    </row>
    <row r="131" spans="1:36" s="2704" customFormat="1" ht="15.75" hidden="1" thickBot="1">
      <c r="A131" s="2708"/>
      <c r="AJ131" s="2743"/>
    </row>
    <row r="132" spans="1:36" s="2704" customFormat="1" ht="15.75" hidden="1" thickBot="1">
      <c r="A132" s="2708"/>
      <c r="AJ132" s="2743"/>
    </row>
    <row r="133" spans="1:36" s="2704" customFormat="1" ht="15.75" hidden="1" thickBot="1">
      <c r="A133" s="2708"/>
      <c r="AJ133" s="2743"/>
    </row>
    <row r="134" spans="1:36" s="2704" customFormat="1" ht="15.75" hidden="1" thickBot="1">
      <c r="A134" s="2708"/>
      <c r="AJ134" s="2743"/>
    </row>
    <row r="135" spans="1:36" s="2704" customFormat="1" ht="15.75" hidden="1" thickBot="1">
      <c r="A135" s="2708"/>
      <c r="AJ135" s="2743"/>
    </row>
    <row r="136" spans="1:36" s="2704" customFormat="1" ht="15.75" hidden="1" thickBot="1">
      <c r="A136" s="2708"/>
      <c r="AJ136" s="2743"/>
    </row>
    <row r="137" spans="1:36" s="2704" customFormat="1" ht="15.75" hidden="1" thickBot="1">
      <c r="A137" s="2708"/>
      <c r="AJ137" s="2743"/>
    </row>
    <row r="138" spans="1:36" s="2704" customFormat="1" ht="15.75" hidden="1" thickBot="1">
      <c r="A138" s="2708"/>
      <c r="AJ138" s="2743"/>
    </row>
    <row r="139" spans="1:36" s="2704" customFormat="1" ht="15.75" hidden="1" thickBot="1">
      <c r="A139" s="2708"/>
      <c r="AJ139" s="2743"/>
    </row>
    <row r="140" spans="1:36" s="2704" customFormat="1" ht="15.75" hidden="1" thickBot="1">
      <c r="A140" s="2708"/>
      <c r="AJ140" s="2743"/>
    </row>
    <row r="141" spans="1:36" s="2704" customFormat="1" ht="15.75" hidden="1" thickBot="1">
      <c r="A141" s="2708"/>
      <c r="AJ141" s="2743"/>
    </row>
    <row r="142" spans="1:36" s="2704" customFormat="1" ht="15.75" hidden="1" thickBot="1">
      <c r="A142" s="2708"/>
      <c r="AJ142" s="2743"/>
    </row>
    <row r="143" spans="1:36" s="2704" customFormat="1" ht="15.75" hidden="1" thickBot="1">
      <c r="A143" s="2708"/>
      <c r="AJ143" s="2743"/>
    </row>
    <row r="144" spans="1:36" s="2704" customFormat="1" ht="15.75" hidden="1" thickBot="1">
      <c r="A144" s="2708"/>
      <c r="AJ144" s="2743"/>
    </row>
    <row r="145" spans="1:36" s="2704" customFormat="1" ht="15.75" hidden="1" thickBot="1">
      <c r="A145" s="2708"/>
      <c r="AJ145" s="2743"/>
    </row>
    <row r="146" spans="1:36" s="2704" customFormat="1" ht="15.75" hidden="1" thickBot="1">
      <c r="A146" s="2708"/>
      <c r="AJ146" s="2743"/>
    </row>
    <row r="147" spans="1:36" s="2704" customFormat="1" ht="15.75" hidden="1" thickBot="1">
      <c r="A147" s="2708"/>
      <c r="AJ147" s="2743"/>
    </row>
    <row r="148" spans="1:36" s="2704" customFormat="1" ht="15.75" hidden="1" thickBot="1">
      <c r="A148" s="2708"/>
      <c r="AJ148" s="2743"/>
    </row>
    <row r="149" spans="1:36" s="2704" customFormat="1" ht="15.75" hidden="1" thickBot="1">
      <c r="A149" s="2708"/>
      <c r="AJ149" s="2743"/>
    </row>
    <row r="150" spans="1:36" s="2704" customFormat="1" ht="15.75" hidden="1" thickBot="1">
      <c r="A150" s="2708"/>
      <c r="AJ150" s="2743"/>
    </row>
    <row r="151" spans="1:36" s="2704" customFormat="1" ht="15.75" hidden="1" thickBot="1">
      <c r="A151" s="2708"/>
      <c r="AJ151" s="2743"/>
    </row>
    <row r="152" spans="1:36" s="2704" customFormat="1" ht="15.75" hidden="1" thickBot="1">
      <c r="A152" s="2708"/>
      <c r="AJ152" s="2743"/>
    </row>
    <row r="153" spans="1:36" s="2704" customFormat="1" ht="15.75" hidden="1" thickBot="1">
      <c r="A153" s="2708"/>
      <c r="AJ153" s="2743"/>
    </row>
    <row r="154" spans="1:36" s="2704" customFormat="1" ht="15.75" hidden="1" thickBot="1">
      <c r="A154" s="2708"/>
      <c r="AJ154" s="2743"/>
    </row>
    <row r="155" spans="1:36" s="2704" customFormat="1" ht="15.75" hidden="1" thickBot="1">
      <c r="A155" s="2708"/>
      <c r="AJ155" s="2743"/>
    </row>
    <row r="156" spans="1:36" s="2704" customFormat="1" ht="15.75" hidden="1" thickBot="1">
      <c r="A156" s="2708"/>
      <c r="AJ156" s="2743"/>
    </row>
    <row r="157" spans="1:36">
      <c r="A157" s="3879" t="s">
        <v>2645</v>
      </c>
      <c r="B157" s="3243" t="str">
        <f>"Support Plate Side Reinf "&amp;$E$6&amp;", "&amp;$G$6&amp;", "&amp;Center_H</f>
        <v>Support Plate Side Reinf RD, 135, 1269</v>
      </c>
      <c r="C157" s="3245"/>
      <c r="D157" s="3245"/>
      <c r="E157" s="3245"/>
      <c r="F157" s="3245"/>
      <c r="G157" s="3245"/>
      <c r="H157" s="3245"/>
      <c r="I157" s="3245"/>
      <c r="J157" s="3245"/>
      <c r="K157" s="3245"/>
      <c r="L157" s="3245"/>
      <c r="M157" s="3245"/>
      <c r="N157" s="3245"/>
      <c r="O157" s="3245"/>
      <c r="P157" s="3245"/>
      <c r="Q157" s="3245"/>
      <c r="R157" s="3245"/>
      <c r="S157" s="3245"/>
      <c r="T157" s="3245"/>
      <c r="U157" s="3245"/>
      <c r="V157" s="3245"/>
      <c r="W157" s="3245"/>
      <c r="X157" s="3245"/>
      <c r="Y157" s="3245"/>
      <c r="Z157" s="3245"/>
      <c r="AA157" s="3245"/>
      <c r="AB157" s="3245"/>
      <c r="AC157" s="3245"/>
      <c r="AD157" s="3245"/>
      <c r="AE157" s="3245"/>
      <c r="AF157" s="3245"/>
      <c r="AG157" s="3245"/>
      <c r="AH157" s="3245"/>
      <c r="AI157" s="3245"/>
      <c r="AJ157" s="3246"/>
    </row>
    <row r="158" spans="1:36" ht="15.75" thickBot="1">
      <c r="A158" s="3880"/>
      <c r="B158" s="3244"/>
      <c r="C158" s="3247"/>
      <c r="D158" s="3247"/>
      <c r="E158" s="3247"/>
      <c r="F158" s="3247"/>
      <c r="G158" s="3247"/>
      <c r="H158" s="3247"/>
      <c r="I158" s="3247"/>
      <c r="J158" s="3247"/>
      <c r="K158" s="3247"/>
      <c r="L158" s="3247"/>
      <c r="M158" s="3247"/>
      <c r="N158" s="3247"/>
      <c r="O158" s="3247"/>
      <c r="P158" s="3247"/>
      <c r="Q158" s="3247"/>
      <c r="R158" s="3247"/>
      <c r="S158" s="3247"/>
      <c r="T158" s="3247"/>
      <c r="U158" s="3247"/>
      <c r="V158" s="3247"/>
      <c r="W158" s="3247"/>
      <c r="X158" s="3247"/>
      <c r="Y158" s="3247"/>
      <c r="Z158" s="3247"/>
      <c r="AA158" s="3247"/>
      <c r="AB158" s="3247"/>
      <c r="AC158" s="3247"/>
      <c r="AD158" s="3247"/>
      <c r="AE158" s="3247"/>
      <c r="AF158" s="3247"/>
      <c r="AG158" s="3247"/>
      <c r="AH158" s="3247"/>
      <c r="AI158" s="3247"/>
      <c r="AJ158" s="3248"/>
    </row>
    <row r="159" spans="1:36">
      <c r="A159" s="2795"/>
      <c r="B159" s="3224"/>
      <c r="C159" s="2796"/>
      <c r="D159" s="2796"/>
      <c r="E159" s="2796"/>
      <c r="F159" s="2796"/>
      <c r="G159" s="2796"/>
      <c r="H159" s="2796"/>
      <c r="I159" s="2796"/>
      <c r="J159" s="2796"/>
      <c r="K159" s="2796"/>
      <c r="L159" s="2796"/>
      <c r="M159" s="3218"/>
      <c r="N159" s="3218"/>
      <c r="O159" s="3218"/>
      <c r="P159" s="3218"/>
      <c r="Q159" s="3218"/>
      <c r="R159" s="3218"/>
      <c r="S159" s="3218"/>
      <c r="T159" s="3218"/>
      <c r="U159" s="3218"/>
      <c r="V159" s="3218"/>
      <c r="W159" s="3218"/>
      <c r="X159" s="3218"/>
      <c r="Y159" s="3218"/>
      <c r="Z159" s="3218"/>
      <c r="AA159" s="2796"/>
      <c r="AB159" s="2796"/>
      <c r="AC159" s="2796"/>
      <c r="AD159" s="2796"/>
      <c r="AE159" s="2796"/>
      <c r="AF159" s="2796"/>
      <c r="AG159" s="2796"/>
      <c r="AH159" s="2796"/>
      <c r="AI159" s="2796"/>
      <c r="AJ159" s="3010"/>
    </row>
    <row r="160" spans="1:36">
      <c r="A160" s="2796"/>
      <c r="B160" s="2423"/>
      <c r="C160" s="3262"/>
      <c r="D160" s="3262"/>
      <c r="E160" s="3262"/>
      <c r="F160" s="2379"/>
      <c r="G160" s="2376"/>
      <c r="H160" s="3276"/>
      <c r="I160" s="3262"/>
      <c r="J160" s="2796"/>
      <c r="K160" s="2796"/>
      <c r="L160" s="2796"/>
      <c r="M160" s="2796"/>
      <c r="N160" s="2796"/>
      <c r="O160" s="2796"/>
      <c r="P160" s="2796"/>
      <c r="Q160" s="2796"/>
      <c r="R160" s="2796"/>
      <c r="S160" s="2639"/>
      <c r="T160" s="2639"/>
      <c r="U160" s="2639"/>
      <c r="V160" s="2639"/>
      <c r="W160" s="2639"/>
      <c r="X160" s="2639"/>
      <c r="Y160" s="2639"/>
      <c r="Z160" s="2639"/>
      <c r="AA160" s="2796"/>
      <c r="AB160" s="3272"/>
      <c r="AC160" s="3272"/>
      <c r="AD160" s="3272"/>
      <c r="AE160" s="3272"/>
      <c r="AF160" s="3272"/>
      <c r="AG160" s="3272"/>
      <c r="AH160" s="3272"/>
      <c r="AI160" s="3272"/>
      <c r="AJ160" s="3228"/>
    </row>
    <row r="161" spans="1:36">
      <c r="A161" s="2796"/>
      <c r="B161" s="526"/>
      <c r="C161" s="518"/>
      <c r="D161" s="518"/>
      <c r="E161" s="2379"/>
      <c r="F161" s="3277"/>
      <c r="G161" s="2376"/>
      <c r="H161" s="2379"/>
      <c r="I161" s="2379"/>
      <c r="J161" s="2796"/>
      <c r="K161" s="2796"/>
      <c r="L161" s="2796"/>
      <c r="M161" s="2796"/>
      <c r="N161" s="2796"/>
      <c r="O161" s="2796"/>
      <c r="P161" s="2796"/>
      <c r="Q161" s="2796"/>
      <c r="R161" s="2796"/>
      <c r="S161" s="2639"/>
      <c r="T161" s="2639"/>
      <c r="U161" s="2639"/>
      <c r="V161" s="2639"/>
      <c r="W161" s="2639"/>
      <c r="X161" s="2639"/>
      <c r="Y161" s="2639"/>
      <c r="Z161" s="2639"/>
      <c r="AA161" s="2796"/>
      <c r="AB161" s="3273"/>
      <c r="AC161" s="2695"/>
      <c r="AD161" s="2695"/>
      <c r="AE161" s="2695"/>
      <c r="AF161" s="2695"/>
      <c r="AG161" s="2695"/>
      <c r="AH161" s="2695"/>
      <c r="AI161" s="2695"/>
      <c r="AJ161" s="2730"/>
    </row>
    <row r="162" spans="1:36">
      <c r="A162" s="2796"/>
      <c r="B162" s="3278"/>
      <c r="C162" s="3268"/>
      <c r="D162" s="3268"/>
      <c r="E162" s="3268"/>
      <c r="F162" s="3268"/>
      <c r="G162" s="3268"/>
      <c r="H162" s="3268"/>
      <c r="I162" s="3268"/>
      <c r="J162" s="2796"/>
      <c r="K162" s="2796"/>
      <c r="L162" s="2796"/>
      <c r="M162" s="2796"/>
      <c r="N162" s="2796"/>
      <c r="O162" s="2796"/>
      <c r="P162" s="2796"/>
      <c r="Q162" s="2796"/>
      <c r="R162" s="2796"/>
      <c r="S162" s="2639"/>
      <c r="T162" s="2639"/>
      <c r="U162" s="2639"/>
      <c r="V162" s="2639"/>
      <c r="W162" s="2639"/>
      <c r="X162" s="2639"/>
      <c r="Y162" s="2639"/>
      <c r="Z162" s="2639"/>
      <c r="AA162" s="2796"/>
      <c r="AB162" s="3177"/>
      <c r="AC162" s="3274"/>
      <c r="AD162" s="3274"/>
      <c r="AE162" s="3274"/>
      <c r="AF162" s="3274"/>
      <c r="AG162" s="3274"/>
      <c r="AH162" s="3274"/>
      <c r="AI162" s="3274"/>
      <c r="AJ162" s="3275"/>
    </row>
    <row r="163" spans="1:36">
      <c r="A163" s="2796"/>
      <c r="B163" s="3278"/>
      <c r="C163" s="3268"/>
      <c r="D163" s="3268"/>
      <c r="E163" s="3268"/>
      <c r="F163" s="3268"/>
      <c r="G163" s="3268"/>
      <c r="H163" s="3268"/>
      <c r="I163" s="3268"/>
      <c r="J163" s="2796"/>
      <c r="K163" s="2796"/>
      <c r="L163" s="2796"/>
      <c r="M163" s="2796"/>
      <c r="N163" s="2796"/>
      <c r="O163" s="2796"/>
      <c r="P163" s="2796"/>
      <c r="Q163" s="2796"/>
      <c r="R163" s="2796"/>
      <c r="S163" s="2639"/>
      <c r="T163" s="2639"/>
      <c r="U163" s="2639"/>
      <c r="V163" s="2639"/>
      <c r="W163" s="2639"/>
      <c r="X163" s="2639"/>
      <c r="Y163" s="2639"/>
      <c r="Z163" s="2639"/>
      <c r="AA163" s="2796"/>
      <c r="AB163" s="3177"/>
      <c r="AC163" s="3274"/>
      <c r="AD163" s="3274"/>
      <c r="AE163" s="3274"/>
      <c r="AF163" s="3274"/>
      <c r="AG163" s="3274"/>
      <c r="AH163" s="3274"/>
      <c r="AI163" s="3274"/>
      <c r="AJ163" s="3275"/>
    </row>
    <row r="164" spans="1:36">
      <c r="A164" s="2799"/>
      <c r="B164" s="3279"/>
      <c r="C164" s="2376"/>
      <c r="D164" s="2376"/>
      <c r="E164" s="2376"/>
      <c r="F164" s="2376"/>
      <c r="G164" s="2376"/>
      <c r="H164" s="2376"/>
      <c r="I164" s="2376"/>
      <c r="J164" s="2796"/>
      <c r="K164" s="2796"/>
      <c r="L164" s="2796"/>
      <c r="M164" s="2796"/>
      <c r="N164" s="2796"/>
      <c r="O164" s="2796"/>
      <c r="P164" s="2796"/>
      <c r="Q164" s="2796"/>
      <c r="R164" s="2796"/>
      <c r="S164" s="2639"/>
      <c r="T164" s="2639"/>
      <c r="U164" s="2639"/>
      <c r="V164" s="2639"/>
      <c r="W164" s="2639"/>
      <c r="X164" s="2639"/>
      <c r="Y164" s="2639"/>
      <c r="Z164" s="2639"/>
      <c r="AA164" s="2796"/>
      <c r="AB164" s="2664"/>
      <c r="AC164" s="2704"/>
      <c r="AD164" s="2704"/>
      <c r="AE164" s="2704"/>
      <c r="AF164" s="2704"/>
      <c r="AG164" s="2704"/>
      <c r="AH164" s="2704"/>
      <c r="AI164" s="2704"/>
      <c r="AJ164" s="2743"/>
    </row>
    <row r="165" spans="1:36">
      <c r="A165" s="2799"/>
      <c r="B165" s="3279"/>
      <c r="C165" s="2376"/>
      <c r="D165" s="2376"/>
      <c r="E165" s="2376"/>
      <c r="F165" s="2376"/>
      <c r="G165" s="2376"/>
      <c r="H165" s="2376"/>
      <c r="I165" s="2376"/>
      <c r="J165" s="2796"/>
      <c r="K165" s="2796"/>
      <c r="L165" s="2796"/>
      <c r="M165" s="2796"/>
      <c r="N165" s="2796"/>
      <c r="O165" s="2796"/>
      <c r="P165" s="2796"/>
      <c r="Q165" s="2796"/>
      <c r="R165" s="2796"/>
      <c r="S165" s="2639"/>
      <c r="T165" s="2639"/>
      <c r="U165" s="2639"/>
      <c r="V165" s="2639"/>
      <c r="W165" s="2639"/>
      <c r="X165" s="2639"/>
      <c r="Y165" s="2639"/>
      <c r="Z165" s="2639"/>
      <c r="AA165" s="2796"/>
      <c r="AB165" s="2664"/>
      <c r="AC165" s="2704"/>
      <c r="AD165" s="2704"/>
      <c r="AE165" s="2704"/>
      <c r="AF165" s="2704"/>
      <c r="AG165" s="2704"/>
      <c r="AH165" s="2704"/>
      <c r="AI165" s="2704"/>
      <c r="AJ165" s="2743"/>
    </row>
    <row r="166" spans="1:36">
      <c r="A166" s="2799"/>
      <c r="B166" s="3279"/>
      <c r="C166" s="2376"/>
      <c r="D166" s="2376"/>
      <c r="E166" s="2376"/>
      <c r="F166" s="2376"/>
      <c r="G166" s="2376"/>
      <c r="H166" s="2376"/>
      <c r="I166" s="2376"/>
      <c r="J166" s="2796"/>
      <c r="K166" s="2796"/>
      <c r="L166" s="2796"/>
      <c r="M166" s="2796"/>
      <c r="N166" s="2796"/>
      <c r="O166" s="2796"/>
      <c r="P166" s="2796"/>
      <c r="Q166" s="2796"/>
      <c r="R166" s="2796"/>
      <c r="S166" s="2639"/>
      <c r="T166" s="2639"/>
      <c r="U166" s="2639"/>
      <c r="V166" s="2639"/>
      <c r="W166" s="2639"/>
      <c r="X166" s="2639"/>
      <c r="Y166" s="2639"/>
      <c r="Z166" s="2639"/>
      <c r="AA166" s="2796"/>
      <c r="AB166" s="2664"/>
      <c r="AC166" s="2704"/>
      <c r="AD166" s="2704"/>
      <c r="AE166" s="2704"/>
      <c r="AF166" s="2704"/>
      <c r="AG166" s="2704"/>
      <c r="AH166" s="2704"/>
      <c r="AI166" s="2704"/>
      <c r="AJ166" s="2743"/>
    </row>
    <row r="167" spans="1:36">
      <c r="A167" s="2799"/>
      <c r="B167" s="3279"/>
      <c r="C167" s="2376"/>
      <c r="D167" s="2376"/>
      <c r="E167" s="2376"/>
      <c r="F167" s="2376"/>
      <c r="G167" s="2376"/>
      <c r="H167" s="2376"/>
      <c r="I167" s="2376"/>
      <c r="J167" s="2796"/>
      <c r="K167" s="2796"/>
      <c r="L167" s="2796"/>
      <c r="M167" s="2796"/>
      <c r="N167" s="2796"/>
      <c r="O167" s="2796"/>
      <c r="P167" s="2796"/>
      <c r="Q167" s="2796"/>
      <c r="R167" s="2796"/>
      <c r="S167" s="2639"/>
      <c r="T167" s="2639"/>
      <c r="U167" s="2639"/>
      <c r="V167" s="2639"/>
      <c r="W167" s="2639"/>
      <c r="X167" s="2639"/>
      <c r="Y167" s="2639"/>
      <c r="Z167" s="2639"/>
      <c r="AA167" s="2796"/>
      <c r="AB167" s="2664"/>
      <c r="AC167" s="2704"/>
      <c r="AD167" s="2704"/>
      <c r="AE167" s="2704"/>
      <c r="AF167" s="2704"/>
      <c r="AG167" s="2704"/>
      <c r="AH167" s="2704"/>
      <c r="AI167" s="2704"/>
      <c r="AJ167" s="2743"/>
    </row>
    <row r="168" spans="1:36" ht="15.75" thickBot="1">
      <c r="A168" s="2796"/>
      <c r="B168" s="2795"/>
      <c r="C168" s="2796"/>
      <c r="D168" s="2796"/>
      <c r="E168" s="2796"/>
      <c r="F168" s="2796"/>
      <c r="G168" s="2796"/>
      <c r="H168" s="2796"/>
      <c r="I168" s="2796"/>
      <c r="J168" s="2796"/>
      <c r="K168" s="2796"/>
      <c r="L168" s="2796"/>
      <c r="M168" s="2796"/>
      <c r="N168" s="2796"/>
      <c r="O168" s="2796"/>
      <c r="P168" s="2796"/>
      <c r="Q168" s="2796"/>
      <c r="R168" s="2796"/>
      <c r="S168" s="2796"/>
      <c r="T168" s="2796"/>
      <c r="U168" s="2796"/>
      <c r="V168" s="2796"/>
      <c r="W168" s="2796"/>
      <c r="X168" s="2796"/>
      <c r="Y168" s="2796"/>
      <c r="Z168" s="2796"/>
      <c r="AA168" s="2796"/>
      <c r="AB168" s="2796"/>
      <c r="AC168" s="2796"/>
      <c r="AD168" s="2796"/>
      <c r="AE168" s="2796"/>
      <c r="AF168" s="2796"/>
      <c r="AG168" s="2639"/>
      <c r="AH168" s="2796"/>
      <c r="AI168" s="2796"/>
      <c r="AJ168" s="2797"/>
    </row>
    <row r="169" spans="1:36" ht="15.75" thickBot="1">
      <c r="A169" s="2701"/>
      <c r="B169" s="3092" t="str">
        <f>"SP Frame "&amp;$E$6&amp;", "&amp;$G$6&amp;", "&amp;Center_H</f>
        <v>SP Frame RD, 135, 1269</v>
      </c>
      <c r="C169" s="3093"/>
      <c r="D169" s="3093"/>
      <c r="E169" s="3194" t="s">
        <v>4011</v>
      </c>
      <c r="F169" s="3193" t="e">
        <f ca="1">(SQRT((B175/1000-B173/1000)^2+(B176/1000-B174/1000)^2)+SQRT((C175/1000-C173/1000)^2+(C176/1000-C174/1000)^2)+SQRT((D175/1000-D173/1000)^2+(D176/1000-D174/1000)^2)+SQRT((E175/1000-E173/1000)^2+(E176/1000-E174/1000)^2))*$T$7/1000*$U$7/1000*steel_density+H169</f>
        <v>#REF!</v>
      </c>
      <c r="G169" s="3194" t="s">
        <v>4009</v>
      </c>
      <c r="H169" s="3193" t="e">
        <f ca="1">(SQRT((F175/1000-F173/1000)^2+(F176/1000-F174/1000)^2)+SQRT((G175/1000-G173/1000)^2+(G176/1000-G174/1000)^2)+SQRT((H175/1000-H173/1000)^2+(H176/1000-H174/1000)^2)+SQRT((I175/1000-I173/1000)^2+(I176/1000-I174/1000)^2))*$T$7/1000*$U$7/1000*steel_density</f>
        <v>#REF!</v>
      </c>
      <c r="I169" s="3195" t="s">
        <v>131</v>
      </c>
      <c r="J169" s="2639"/>
      <c r="K169" s="2640"/>
      <c r="L169" s="2639"/>
      <c r="M169" s="2639"/>
      <c r="N169" s="2639"/>
      <c r="O169" s="2639"/>
      <c r="P169" s="2640"/>
      <c r="Q169" s="2641"/>
      <c r="R169" s="2641"/>
      <c r="S169" s="2641"/>
      <c r="T169" s="2640"/>
      <c r="U169" s="2639"/>
      <c r="V169" s="2639"/>
      <c r="W169" s="2639"/>
      <c r="X169" s="2640"/>
      <c r="Y169" s="2704"/>
      <c r="Z169" s="2639"/>
      <c r="AA169" s="2639"/>
      <c r="AB169" s="2675"/>
      <c r="AC169" s="3092" t="str">
        <f>"SP Frame "&amp;$E$6&amp;", (0), (0)"</f>
        <v>SP Frame RD, (0), (0)</v>
      </c>
      <c r="AD169" s="3093"/>
      <c r="AE169" s="3093"/>
      <c r="AF169" s="3093"/>
      <c r="AG169" s="3093"/>
      <c r="AH169" s="3093"/>
      <c r="AI169" s="3093"/>
      <c r="AJ169" s="3094"/>
    </row>
    <row r="170" spans="1:36" ht="14.45" customHeight="1">
      <c r="A170" s="2699" t="s">
        <v>4210</v>
      </c>
      <c r="B170" s="3294" t="s">
        <v>3987</v>
      </c>
      <c r="C170" s="3295" t="s">
        <v>3988</v>
      </c>
      <c r="D170" s="3295" t="s">
        <v>3989</v>
      </c>
      <c r="E170" s="3295" t="s">
        <v>3990</v>
      </c>
      <c r="F170" s="3295" t="s">
        <v>3991</v>
      </c>
      <c r="G170" s="3295" t="s">
        <v>3992</v>
      </c>
      <c r="H170" s="3295" t="s">
        <v>3993</v>
      </c>
      <c r="I170" s="3296" t="s">
        <v>3994</v>
      </c>
      <c r="J170" s="2639"/>
      <c r="K170" s="2639"/>
      <c r="L170" s="2639"/>
      <c r="M170" s="2639"/>
      <c r="N170" s="2639"/>
      <c r="O170" s="2639"/>
      <c r="P170" s="2639"/>
      <c r="Q170" s="2639"/>
      <c r="R170" s="2639"/>
      <c r="S170" s="2639"/>
      <c r="T170" s="2639"/>
      <c r="U170" s="2639"/>
      <c r="V170" s="2639"/>
      <c r="W170" s="2639"/>
      <c r="X170" s="2639"/>
      <c r="Y170" s="2639"/>
      <c r="Z170" s="2639"/>
      <c r="AA170" s="2639"/>
      <c r="AB170" s="3320" t="s">
        <v>4210</v>
      </c>
      <c r="AC170" s="3294" t="str">
        <f t="shared" ref="AC170:AJ171" si="43">AC52</f>
        <v>SPSiFVL</v>
      </c>
      <c r="AD170" s="3295" t="str">
        <f t="shared" si="43"/>
        <v>SPSiFVR</v>
      </c>
      <c r="AE170" s="3295" t="str">
        <f t="shared" si="43"/>
        <v>SPSiFHhi</v>
      </c>
      <c r="AF170" s="3295" t="str">
        <f t="shared" si="43"/>
        <v>SPSiFHlo</v>
      </c>
      <c r="AG170" s="3295" t="str">
        <f t="shared" si="43"/>
        <v>SPSiFOuL</v>
      </c>
      <c r="AH170" s="3295" t="str">
        <f t="shared" si="43"/>
        <v>SPSiFOuR</v>
      </c>
      <c r="AI170" s="3295" t="str">
        <f t="shared" si="43"/>
        <v>SPSiFOloR</v>
      </c>
      <c r="AJ170" s="3296" t="str">
        <f t="shared" si="43"/>
        <v>SPSiFOloL</v>
      </c>
    </row>
    <row r="171" spans="1:36">
      <c r="A171" s="3319" t="s">
        <v>4211</v>
      </c>
      <c r="B171" s="2713" t="e">
        <f ca="1">IF($E$6="RD",$C53,$B53)</f>
        <v>#REF!</v>
      </c>
      <c r="C171" s="2714" t="e">
        <f ca="1">IF($E$6="RD",$B53,$C53)</f>
        <v>#REF!</v>
      </c>
      <c r="D171" s="2662" t="e">
        <f ca="1">D53</f>
        <v>#REF!</v>
      </c>
      <c r="E171" s="2662" t="e">
        <f ca="1">E53</f>
        <v>#REF!</v>
      </c>
      <c r="F171" s="2714" t="e">
        <f ca="1">IF($E$6="RD",$G53,$F53)</f>
        <v>#REF!</v>
      </c>
      <c r="G171" s="2714" t="e">
        <f ca="1">IF($E$6="RD",$F53,$G53)</f>
        <v>#REF!</v>
      </c>
      <c r="H171" s="2714" t="e">
        <f ca="1">IF($E$6="RD",$I53,$H53)</f>
        <v>#REF!</v>
      </c>
      <c r="I171" s="2715" t="e">
        <f ca="1">IF($E$6="RD",$H53,$I53)</f>
        <v>#REF!</v>
      </c>
      <c r="J171" s="2639"/>
      <c r="K171" s="2639"/>
      <c r="L171" s="2639"/>
      <c r="M171" s="2639"/>
      <c r="N171" s="2639"/>
      <c r="O171" s="2639"/>
      <c r="P171" s="2639"/>
      <c r="Q171" s="2639"/>
      <c r="R171" s="2639"/>
      <c r="S171" s="2639"/>
      <c r="T171" s="2639"/>
      <c r="U171" s="2639"/>
      <c r="V171" s="2639"/>
      <c r="W171" s="2639"/>
      <c r="X171" s="2639"/>
      <c r="Y171" s="2639"/>
      <c r="Z171" s="2639"/>
      <c r="AA171" s="2639"/>
      <c r="AB171" s="3321" t="s">
        <v>4211</v>
      </c>
      <c r="AC171" s="3297" t="e">
        <f t="shared" ca="1" si="43"/>
        <v>#REF!</v>
      </c>
      <c r="AD171" s="3298" t="e">
        <f t="shared" ca="1" si="43"/>
        <v>#REF!</v>
      </c>
      <c r="AE171" s="3298" t="e">
        <f t="shared" ca="1" si="43"/>
        <v>#REF!</v>
      </c>
      <c r="AF171" s="3298" t="e">
        <f t="shared" ca="1" si="43"/>
        <v>#REF!</v>
      </c>
      <c r="AG171" s="3298" t="e">
        <f t="shared" ca="1" si="43"/>
        <v>#REF!</v>
      </c>
      <c r="AH171" s="3298" t="e">
        <f t="shared" ca="1" si="43"/>
        <v>#REF!</v>
      </c>
      <c r="AI171" s="3298" t="e">
        <f t="shared" ca="1" si="43"/>
        <v>#REF!</v>
      </c>
      <c r="AJ171" s="3299" t="e">
        <f t="shared" ca="1" si="43"/>
        <v>#REF!</v>
      </c>
    </row>
    <row r="172" spans="1:36" ht="14.45" customHeight="1">
      <c r="A172" s="2699" t="s">
        <v>4013</v>
      </c>
      <c r="B172" s="3180" t="e">
        <f ca="1">IF($E$6="RD",$C54,$B54)</f>
        <v>#REF!</v>
      </c>
      <c r="C172" s="3174" t="e">
        <f ca="1">IF($E$6="RD",$B54,$C54)</f>
        <v>#REF!</v>
      </c>
      <c r="D172" s="3174" t="e">
        <f ca="1">D54</f>
        <v>#REF!</v>
      </c>
      <c r="E172" s="3174" t="e">
        <f ca="1">E54</f>
        <v>#REF!</v>
      </c>
      <c r="F172" s="3174" t="e">
        <f ca="1">IF($E$6="RD",$G54,$F54)</f>
        <v>#REF!</v>
      </c>
      <c r="G172" s="3174" t="e">
        <f ca="1">IF($E$6="RD",$F54,$G54)</f>
        <v>#REF!</v>
      </c>
      <c r="H172" s="3174" t="e">
        <f ca="1">IF($E$6="RD",$I54,$H54)</f>
        <v>#REF!</v>
      </c>
      <c r="I172" s="3178" t="e">
        <f ca="1">IF($E$6="RD",$H54,$I54)</f>
        <v>#REF!</v>
      </c>
      <c r="J172" s="2639"/>
      <c r="K172" s="2639"/>
      <c r="L172" s="2639"/>
      <c r="M172" s="2639"/>
      <c r="N172" s="2639"/>
      <c r="O172" s="2639"/>
      <c r="P172" s="2639"/>
      <c r="Q172" s="2639"/>
      <c r="R172" s="2639"/>
      <c r="S172" s="2639"/>
      <c r="T172" s="2639"/>
      <c r="U172" s="2639"/>
      <c r="V172" s="2639"/>
      <c r="W172" s="2639"/>
      <c r="X172" s="2639"/>
      <c r="Y172" s="2639"/>
      <c r="Z172" s="2639"/>
      <c r="AA172" s="2639"/>
      <c r="AB172" s="3230" t="s">
        <v>4013</v>
      </c>
      <c r="AC172" s="3180" t="e">
        <f t="shared" ref="AC172:AJ174" ca="1" si="44">AC54</f>
        <v>#REF!</v>
      </c>
      <c r="AD172" s="3174" t="e">
        <f t="shared" ca="1" si="44"/>
        <v>#REF!</v>
      </c>
      <c r="AE172" s="3174" t="e">
        <f t="shared" ca="1" si="44"/>
        <v>#REF!</v>
      </c>
      <c r="AF172" s="3174" t="e">
        <f t="shared" ca="1" si="44"/>
        <v>#REF!</v>
      </c>
      <c r="AG172" s="3174" t="e">
        <f t="shared" ca="1" si="44"/>
        <v>#REF!</v>
      </c>
      <c r="AH172" s="3174" t="e">
        <f t="shared" ca="1" si="44"/>
        <v>#REF!</v>
      </c>
      <c r="AI172" s="3174" t="e">
        <f t="shared" ca="1" si="44"/>
        <v>#REF!</v>
      </c>
      <c r="AJ172" s="3178" t="e">
        <f t="shared" ca="1" si="44"/>
        <v>#REF!</v>
      </c>
    </row>
    <row r="173" spans="1:36">
      <c r="A173" s="2757" t="s">
        <v>1094</v>
      </c>
      <c r="B173" s="2800" t="e">
        <f ca="1">IF(B$53,IF(Small_F,B55,mirror*ROUND(B55*COS($H$6+int_reinf_offs)-B56*SIN($H$6+int_reinf_offs),3)),0)</f>
        <v>#REF!</v>
      </c>
      <c r="C173" s="2662" t="e">
        <f ca="1">IF(C$53,IF(Small_F,C55,mirror*ROUND(C55*COS($H$6+int_reinf_offs)-C56*SIN($H$6+int_reinf_offs),3)),0)</f>
        <v>#REF!</v>
      </c>
      <c r="D173" s="2662" t="e">
        <f ca="1">IF(D$53,IF(Small_F,D55,mirror*ROUND(D55*COS($H$6+int_reinf_offs)-D56*SIN($H$6+int_reinf_offs),3)),0)</f>
        <v>#REF!</v>
      </c>
      <c r="E173" s="2662" t="e">
        <f ca="1">IF(E$53,IF(Small_F,E55,mirror*ROUND(E55*COS($H$6+int_reinf_offs)-E56*SIN($H$6+int_reinf_offs),3)),0)</f>
        <v>#REF!</v>
      </c>
      <c r="F173" s="2662" t="e">
        <f ca="1">IF(F$53,mirror*ROUND(F55*COS($H$6+int_reinf_offs)-F56*SIN($H$6+int_reinf_offs),3),0)</f>
        <v>#REF!</v>
      </c>
      <c r="G173" s="2662" t="e">
        <f ca="1">IF(G$53,mirror*ROUND(G55*COS($H$6+int_reinf_offs)-G56*SIN($H$6+int_reinf_offs),3),0)</f>
        <v>#REF!</v>
      </c>
      <c r="H173" s="2662" t="e">
        <f ca="1">IF(H$53,mirror*ROUND(H55*COS($H$6+int_reinf_offs)-H56*SIN($H$6+int_reinf_offs),3),0)</f>
        <v>#REF!</v>
      </c>
      <c r="I173" s="2794" t="e">
        <f ca="1">IF(I$53,mirror*ROUND(I55*COS($H$6+int_reinf_offs)-I56*SIN($H$6+int_reinf_offs),3),0)</f>
        <v>#REF!</v>
      </c>
      <c r="J173" s="2639"/>
      <c r="K173" s="2639"/>
      <c r="L173" s="2639"/>
      <c r="M173" s="2639"/>
      <c r="N173" s="2639"/>
      <c r="O173" s="2639"/>
      <c r="P173" s="2639"/>
      <c r="Q173" s="2639"/>
      <c r="R173" s="2639"/>
      <c r="S173" s="2639"/>
      <c r="T173" s="2639"/>
      <c r="U173" s="2639"/>
      <c r="V173" s="2639"/>
      <c r="W173" s="2639"/>
      <c r="X173" s="2639"/>
      <c r="Y173" s="2639"/>
      <c r="Z173" s="2639"/>
      <c r="AA173" s="2639"/>
      <c r="AB173" s="3229" t="s">
        <v>4101</v>
      </c>
      <c r="AC173" s="2800" t="e">
        <f t="shared" ca="1" si="44"/>
        <v>#REF!</v>
      </c>
      <c r="AD173" s="2662" t="e">
        <f t="shared" ca="1" si="44"/>
        <v>#REF!</v>
      </c>
      <c r="AE173" s="2662" t="e">
        <f t="shared" ca="1" si="44"/>
        <v>#REF!</v>
      </c>
      <c r="AF173" s="2662" t="e">
        <f t="shared" ca="1" si="44"/>
        <v>#REF!</v>
      </c>
      <c r="AG173" s="2662" t="e">
        <f t="shared" ca="1" si="44"/>
        <v>#REF!</v>
      </c>
      <c r="AH173" s="2662" t="e">
        <f t="shared" ca="1" si="44"/>
        <v>#REF!</v>
      </c>
      <c r="AI173" s="2662" t="e">
        <f t="shared" ca="1" si="44"/>
        <v>#REF!</v>
      </c>
      <c r="AJ173" s="2794" t="e">
        <f t="shared" ca="1" si="44"/>
        <v>#REF!</v>
      </c>
    </row>
    <row r="174" spans="1:36">
      <c r="A174" s="2757" t="s">
        <v>1095</v>
      </c>
      <c r="B174" s="2800" t="e">
        <f ca="1">IF(B$53,IF(Small_F,B56,ROUND(B55*SIN($H$6+int_reinf_offs)+B56*COS($H$6+int_reinf_offs),3)+Center_H),0)</f>
        <v>#REF!</v>
      </c>
      <c r="C174" s="2662" t="e">
        <f ca="1">IF(C$53,IF(Small_F,C56,ROUND(C55*SIN($H$6+int_reinf_offs)+C56*COS($H$6+int_reinf_offs),3)+Center_H),0)</f>
        <v>#REF!</v>
      </c>
      <c r="D174" s="2662" t="e">
        <f ca="1">IF(D$53,IF(Small_F,D56,ROUND(D55*SIN($H$6+int_reinf_offs)+D56*COS($H$6+int_reinf_offs),3)+Center_H),0)</f>
        <v>#REF!</v>
      </c>
      <c r="E174" s="2662" t="e">
        <f ca="1">IF(E$53,IF(Small_F,E56,ROUND(E55*SIN($H$6+int_reinf_offs)+E56*COS($H$6+int_reinf_offs),3)+Center_H),0)</f>
        <v>#REF!</v>
      </c>
      <c r="F174" s="2662" t="e">
        <f ca="1">IF(F$53,ROUND(F55*SIN($H$6+int_reinf_offs)+F56*COS($H$6+int_reinf_offs),3)+Center_H,0)</f>
        <v>#REF!</v>
      </c>
      <c r="G174" s="2662" t="e">
        <f ca="1">IF(G$53,ROUND(G55*SIN($H$6+int_reinf_offs)+G56*COS($H$6+int_reinf_offs),3)+Center_H,0)</f>
        <v>#REF!</v>
      </c>
      <c r="H174" s="2662" t="e">
        <f ca="1">IF(H$53,ROUND(H55*SIN($H$6+int_reinf_offs)+H56*COS($H$6+int_reinf_offs),3)+Center_H,0)</f>
        <v>#REF!</v>
      </c>
      <c r="I174" s="2794" t="e">
        <f ca="1">IF(I$53,ROUND(I55*SIN($H$6+int_reinf_offs)+I56*COS($H$6+int_reinf_offs),3)+Center_H,0)</f>
        <v>#REF!</v>
      </c>
      <c r="J174" s="2639"/>
      <c r="K174" s="2639"/>
      <c r="L174" s="2639"/>
      <c r="M174" s="2639"/>
      <c r="N174" s="2639"/>
      <c r="O174" s="2639"/>
      <c r="P174" s="2639"/>
      <c r="Q174" s="2639"/>
      <c r="R174" s="2639"/>
      <c r="S174" s="2639"/>
      <c r="T174" s="2639"/>
      <c r="U174" s="2639"/>
      <c r="V174" s="2639"/>
      <c r="W174" s="2639"/>
      <c r="X174" s="2639"/>
      <c r="Y174" s="2639"/>
      <c r="Z174" s="2639"/>
      <c r="AA174" s="2639"/>
      <c r="AB174" s="3229" t="s">
        <v>4102</v>
      </c>
      <c r="AC174" s="2800" t="e">
        <f t="shared" ca="1" si="44"/>
        <v>#REF!</v>
      </c>
      <c r="AD174" s="2662" t="e">
        <f t="shared" ca="1" si="44"/>
        <v>#REF!</v>
      </c>
      <c r="AE174" s="2662" t="e">
        <f t="shared" ca="1" si="44"/>
        <v>#REF!</v>
      </c>
      <c r="AF174" s="2662" t="e">
        <f t="shared" ca="1" si="44"/>
        <v>#REF!</v>
      </c>
      <c r="AG174" s="2662" t="e">
        <f t="shared" ca="1" si="44"/>
        <v>#REF!</v>
      </c>
      <c r="AH174" s="2662" t="e">
        <f t="shared" ca="1" si="44"/>
        <v>#REF!</v>
      </c>
      <c r="AI174" s="2662" t="e">
        <f t="shared" ca="1" si="44"/>
        <v>#REF!</v>
      </c>
      <c r="AJ174" s="2794" t="e">
        <f t="shared" ca="1" si="44"/>
        <v>#REF!</v>
      </c>
    </row>
    <row r="175" spans="1:36">
      <c r="A175" s="2757" t="s">
        <v>1096</v>
      </c>
      <c r="B175" s="2800" t="e">
        <f ca="1">IF(B$53,IF(Small_F,B57,mirror*ROUND(B57*COS($H$6+int_reinf_offs)-B58*SIN($H$6+int_reinf_offs),3)),0)</f>
        <v>#REF!</v>
      </c>
      <c r="C175" s="2662" t="e">
        <f ca="1">IF(C$53,IF(Small_F,C57,mirror*ROUND(C57*COS($H$6+int_reinf_offs)-C58*SIN($H$6+int_reinf_offs),3)),0)</f>
        <v>#REF!</v>
      </c>
      <c r="D175" s="2662" t="e">
        <f ca="1">IF(D$53,IF(Small_F,D57,mirror*ROUND(D57*COS($H$6+int_reinf_offs)-D58*SIN($H$6+int_reinf_offs),3)),0)</f>
        <v>#REF!</v>
      </c>
      <c r="E175" s="2662" t="e">
        <f ca="1">IF(E$53,IF(Small_F,E57,mirror*ROUND(E57*COS($H$6+int_reinf_offs)-E58*SIN($H$6+int_reinf_offs),3)),0)</f>
        <v>#REF!</v>
      </c>
      <c r="F175" s="2662" t="e">
        <f ca="1">IF(F$53,mirror*ROUND(F57*COS($H$6+int_reinf_offs)-F58*SIN($H$6+int_reinf_offs),3),0)</f>
        <v>#REF!</v>
      </c>
      <c r="G175" s="2662" t="e">
        <f ca="1">IF(G$53,mirror*ROUND(G57*COS($H$6+int_reinf_offs)-G58*SIN($H$6+int_reinf_offs),3),0)</f>
        <v>#REF!</v>
      </c>
      <c r="H175" s="2662" t="e">
        <f ca="1">IF(H$53,mirror*ROUND(H57*COS($H$6+int_reinf_offs)-H58*SIN($H$6+int_reinf_offs),3),0)</f>
        <v>#REF!</v>
      </c>
      <c r="I175" s="2794" t="e">
        <f ca="1">IF(I$53,mirror*ROUND(I57*COS($H$6+int_reinf_offs)-I58*SIN($H$6+int_reinf_offs),3),0)</f>
        <v>#REF!</v>
      </c>
      <c r="J175" s="2639"/>
      <c r="K175" s="2639"/>
      <c r="L175" s="2639"/>
      <c r="M175" s="2639"/>
      <c r="N175" s="2639"/>
      <c r="O175" s="2639"/>
      <c r="P175" s="2639"/>
      <c r="Q175" s="2639"/>
      <c r="R175" s="2639"/>
      <c r="S175" s="2639"/>
      <c r="T175" s="2639"/>
      <c r="U175" s="2639"/>
      <c r="V175" s="2639"/>
      <c r="W175" s="2639"/>
      <c r="X175" s="2639"/>
      <c r="Y175" s="2639"/>
      <c r="Z175" s="2639"/>
      <c r="AA175" s="2639"/>
      <c r="AB175" s="3229"/>
      <c r="AC175" s="2800"/>
      <c r="AD175" s="2662"/>
      <c r="AE175" s="2662"/>
      <c r="AF175" s="2662"/>
      <c r="AG175" s="2662"/>
      <c r="AH175" s="2662"/>
      <c r="AI175" s="2662"/>
      <c r="AJ175" s="2794"/>
    </row>
    <row r="176" spans="1:36" ht="15.75" thickBot="1">
      <c r="A176" s="2757" t="s">
        <v>1097</v>
      </c>
      <c r="B176" s="2801" t="e">
        <f ca="1">IF(B$53,IF(Small_F,B58,ROUND(B57*SIN($H$6+int_reinf_offs)+B58*COS($H$6+int_reinf_offs),3)+Center_H),0)</f>
        <v>#REF!</v>
      </c>
      <c r="C176" s="2686" t="e">
        <f ca="1">IF(C$53,IF(Small_F,C58,ROUND(C57*SIN($H$6+int_reinf_offs)+C58*COS($H$6+int_reinf_offs),3)+Center_H),0)</f>
        <v>#REF!</v>
      </c>
      <c r="D176" s="2686" t="e">
        <f ca="1">IF(D$53,IF(Small_F,D58,ROUND(D57*SIN($H$6+int_reinf_offs)+D58*COS($H$6+int_reinf_offs),3)+Center_H),0)</f>
        <v>#REF!</v>
      </c>
      <c r="E176" s="2686" t="e">
        <f ca="1">IF(E$53,IF(Small_F,E58,ROUND(E57*SIN($H$6+int_reinf_offs)+E58*COS($H$6+int_reinf_offs),3)+Center_H),0)</f>
        <v>#REF!</v>
      </c>
      <c r="F176" s="2686" t="e">
        <f ca="1">IF(F$53,ROUND(F57*SIN($H$6+int_reinf_offs)+F58*COS($H$6+int_reinf_offs),3)+Center_H,0)</f>
        <v>#REF!</v>
      </c>
      <c r="G176" s="2686" t="e">
        <f ca="1">IF(G$53,ROUND(G57*SIN($H$6+int_reinf_offs)+G58*COS($H$6+int_reinf_offs),3)+Center_H,0)</f>
        <v>#REF!</v>
      </c>
      <c r="H176" s="2686" t="e">
        <f ca="1">IF(H$53,ROUND(H57*SIN($H$6+int_reinf_offs)+H58*COS($H$6+int_reinf_offs),3)+Center_H,0)</f>
        <v>#REF!</v>
      </c>
      <c r="I176" s="2804" t="e">
        <f ca="1">IF(I$53,ROUND(I57*SIN($H$6+int_reinf_offs)+I58*COS($H$6+int_reinf_offs),3)+Center_H,0)</f>
        <v>#REF!</v>
      </c>
      <c r="J176" s="2639"/>
      <c r="K176" s="2639"/>
      <c r="L176" s="2639"/>
      <c r="M176" s="2639"/>
      <c r="N176" s="2639"/>
      <c r="O176" s="2639"/>
      <c r="P176" s="2639"/>
      <c r="Q176" s="2639"/>
      <c r="R176" s="2639"/>
      <c r="S176" s="2639"/>
      <c r="T176" s="2639"/>
      <c r="U176" s="2639"/>
      <c r="V176" s="2639"/>
      <c r="W176" s="2639"/>
      <c r="X176" s="2639"/>
      <c r="Y176" s="2639"/>
      <c r="Z176" s="2639"/>
      <c r="AA176" s="2639"/>
      <c r="AB176" s="3229" t="s">
        <v>4103</v>
      </c>
      <c r="AC176" s="2801" t="e">
        <f t="shared" ref="AC176:AJ176" ca="1" si="45">AC58</f>
        <v>#REF!</v>
      </c>
      <c r="AD176" s="2686" t="e">
        <f t="shared" ca="1" si="45"/>
        <v>#REF!</v>
      </c>
      <c r="AE176" s="2686" t="e">
        <f t="shared" ca="1" si="45"/>
        <v>#REF!</v>
      </c>
      <c r="AF176" s="2686" t="e">
        <f t="shared" ca="1" si="45"/>
        <v>#REF!</v>
      </c>
      <c r="AG176" s="2686" t="e">
        <f t="shared" ca="1" si="45"/>
        <v>#REF!</v>
      </c>
      <c r="AH176" s="2686" t="e">
        <f t="shared" ca="1" si="45"/>
        <v>#REF!</v>
      </c>
      <c r="AI176" s="2686" t="e">
        <f t="shared" ca="1" si="45"/>
        <v>#REF!</v>
      </c>
      <c r="AJ176" s="2804" t="e">
        <f t="shared" ca="1" si="45"/>
        <v>#REF!</v>
      </c>
    </row>
    <row r="177" spans="1:36" s="2697" customFormat="1" ht="15.75" thickBot="1">
      <c r="A177" s="2809"/>
      <c r="B177" s="3204"/>
      <c r="C177" s="2693"/>
      <c r="D177" s="2693"/>
      <c r="E177" s="2693"/>
      <c r="F177" s="2693"/>
      <c r="G177" s="2693"/>
      <c r="H177" s="2693"/>
      <c r="I177" s="2693"/>
      <c r="J177" s="2641"/>
      <c r="K177" s="2641"/>
      <c r="L177" s="2641"/>
      <c r="M177" s="2641"/>
      <c r="N177" s="2641"/>
      <c r="O177" s="2641"/>
      <c r="P177" s="2641"/>
      <c r="Q177" s="2641"/>
      <c r="R177" s="2641"/>
      <c r="S177" s="2641"/>
      <c r="T177" s="2641"/>
      <c r="U177" s="2641"/>
      <c r="V177" s="2641"/>
      <c r="W177" s="2641"/>
      <c r="X177" s="2641"/>
      <c r="Y177" s="2641"/>
      <c r="Z177" s="2641"/>
      <c r="AA177" s="2641"/>
      <c r="AB177" s="2641"/>
      <c r="AC177" s="2641"/>
      <c r="AD177" s="2641"/>
      <c r="AE177" s="2641"/>
      <c r="AF177" s="2641"/>
      <c r="AG177" s="2641"/>
      <c r="AH177" s="2641"/>
      <c r="AI177" s="2641"/>
      <c r="AJ177" s="2768"/>
    </row>
    <row r="178" spans="1:36" ht="15.75" thickBot="1">
      <c r="A178" s="2701"/>
      <c r="B178" s="3196" t="str">
        <f>"SP Rad. Reinf "&amp;$E$6&amp;", "&amp;$G$6&amp;", "&amp;Center_H</f>
        <v>SP Rad. Reinf RD, 135, 1269</v>
      </c>
      <c r="C178" s="3197"/>
      <c r="D178" s="3197"/>
      <c r="E178" s="3197"/>
      <c r="F178" s="3192"/>
      <c r="G178" s="3198" t="s">
        <v>4012</v>
      </c>
      <c r="H178" s="3193" t="e">
        <f ca="1">(SUM(B182:E182)/1000)*$T$7/1000*$U$7/1000*steel_density</f>
        <v>#REF!</v>
      </c>
      <c r="I178" s="3214" t="s">
        <v>131</v>
      </c>
      <c r="J178" s="2704"/>
      <c r="K178" s="2704"/>
      <c r="L178" s="2704"/>
      <c r="M178" s="2704"/>
      <c r="N178" s="2704"/>
      <c r="O178" s="2704"/>
      <c r="P178" s="2704"/>
      <c r="Q178" s="2704"/>
      <c r="R178" s="2704"/>
      <c r="S178" s="2704"/>
      <c r="T178" s="2704"/>
      <c r="U178" s="2704"/>
      <c r="V178" s="2704"/>
      <c r="W178" s="2704"/>
      <c r="X178" s="2704"/>
      <c r="Y178" s="2704"/>
      <c r="Z178" s="2704"/>
      <c r="AA178" s="2704"/>
      <c r="AB178" s="2704"/>
      <c r="AC178" s="3236"/>
      <c r="AD178" s="3236"/>
      <c r="AE178" s="3236"/>
      <c r="AF178" s="3236"/>
      <c r="AG178" s="2639"/>
      <c r="AH178" s="3237"/>
      <c r="AI178" s="2704"/>
      <c r="AJ178" s="2743"/>
    </row>
    <row r="179" spans="1:36">
      <c r="A179" s="2712"/>
      <c r="B179" s="2810" t="s">
        <v>1472</v>
      </c>
      <c r="C179" s="2811">
        <v>0</v>
      </c>
      <c r="D179" s="3343" t="s">
        <v>268</v>
      </c>
      <c r="E179" s="2812" t="e">
        <f ca="1">$R$7</f>
        <v>#REF!</v>
      </c>
      <c r="F179" s="2639"/>
      <c r="G179" s="2639"/>
      <c r="H179" s="2704"/>
      <c r="I179" s="2743"/>
      <c r="J179" s="2704"/>
      <c r="K179" s="2704"/>
      <c r="L179" s="2704"/>
      <c r="M179" s="2704"/>
      <c r="N179" s="2704"/>
      <c r="O179" s="2704"/>
      <c r="P179" s="2704"/>
      <c r="Q179" s="2704"/>
      <c r="R179" s="2704"/>
      <c r="S179" s="2704"/>
      <c r="T179" s="2704"/>
      <c r="U179" s="2704"/>
      <c r="V179" s="2704"/>
      <c r="W179" s="2704"/>
      <c r="X179" s="2704"/>
      <c r="Y179" s="2704"/>
      <c r="Z179" s="2704"/>
      <c r="AA179" s="2704"/>
      <c r="AB179" s="2704"/>
      <c r="AC179" s="2659"/>
      <c r="AD179" s="3238"/>
      <c r="AE179" s="2639"/>
      <c r="AF179" s="2639"/>
      <c r="AG179" s="2639"/>
      <c r="AH179" s="2639"/>
      <c r="AI179" s="2704"/>
      <c r="AJ179" s="2743"/>
    </row>
    <row r="180" spans="1:36">
      <c r="A180" s="2700" t="s">
        <v>1781</v>
      </c>
      <c r="B180" s="2813" t="e">
        <f ca="1">IF(B$182=0,0,B$65)</f>
        <v>#REF!</v>
      </c>
      <c r="C180" s="2744" t="e">
        <f t="shared" ref="C180:E180" ca="1" si="46">IF(C$182=0,0,C$65)</f>
        <v>#REF!</v>
      </c>
      <c r="D180" s="2744" t="e">
        <f t="shared" ca="1" si="46"/>
        <v>#REF!</v>
      </c>
      <c r="E180" s="2744" t="e">
        <f t="shared" ca="1" si="46"/>
        <v>#REF!</v>
      </c>
      <c r="F180" s="2745"/>
      <c r="G180" s="2704"/>
      <c r="H180" s="2704"/>
      <c r="I180" s="2743"/>
      <c r="J180" s="2704"/>
      <c r="K180" s="2704"/>
      <c r="L180" s="2704"/>
      <c r="M180" s="2704"/>
      <c r="N180" s="2704"/>
      <c r="O180" s="2704"/>
      <c r="P180" s="2704"/>
      <c r="Q180" s="2704"/>
      <c r="R180" s="2704"/>
      <c r="S180" s="2704"/>
      <c r="T180" s="2704"/>
      <c r="U180" s="2704"/>
      <c r="V180" s="2704"/>
      <c r="W180" s="2704"/>
      <c r="X180" s="2704"/>
      <c r="Y180" s="2704"/>
      <c r="Z180" s="2704"/>
      <c r="AA180" s="2704"/>
      <c r="AB180" s="2704"/>
      <c r="AC180" s="2704"/>
      <c r="AD180" s="2704"/>
      <c r="AE180" s="2704"/>
      <c r="AF180" s="2704"/>
      <c r="AG180" s="2704"/>
      <c r="AH180" s="2704"/>
      <c r="AI180" s="2704"/>
      <c r="AJ180" s="2743"/>
    </row>
    <row r="181" spans="1:36">
      <c r="A181" s="2699" t="s">
        <v>1392</v>
      </c>
      <c r="B181" s="2814" t="e">
        <f ca="1">IF(B$182=0,0,IF(Small_F,0,B$66+int_reinf_offs))</f>
        <v>#REF!</v>
      </c>
      <c r="C181" s="2776" t="e">
        <f ca="1">IF(C$182=0,0,IF(Small_F,0,C$66+int_reinf_offs))</f>
        <v>#REF!</v>
      </c>
      <c r="D181" s="2776" t="e">
        <f ca="1">IF(D$182=0,0,IF(Small_F,0,D$66+int_reinf_offs))</f>
        <v>#REF!</v>
      </c>
      <c r="E181" s="2776" t="e">
        <f ca="1">IF(E$182=0,0,IF(Small_F,0,E$66+int_reinf_offs))</f>
        <v>#REF!</v>
      </c>
      <c r="F181" s="2815"/>
      <c r="G181" s="2706"/>
      <c r="H181" s="2706"/>
      <c r="I181" s="2770"/>
      <c r="J181" s="2706"/>
      <c r="K181" s="2706"/>
      <c r="L181" s="2706"/>
      <c r="M181" s="2706"/>
      <c r="N181" s="2706"/>
      <c r="O181" s="2706"/>
      <c r="P181" s="2706"/>
      <c r="Q181" s="2706"/>
      <c r="R181" s="2706"/>
      <c r="S181" s="2706"/>
      <c r="T181" s="2706"/>
      <c r="U181" s="2706"/>
      <c r="V181" s="2706"/>
      <c r="W181" s="2706"/>
      <c r="X181" s="2706"/>
      <c r="Y181" s="2706"/>
      <c r="Z181" s="2706"/>
      <c r="AA181" s="2706"/>
      <c r="AB181" s="2706"/>
      <c r="AC181" s="2706"/>
      <c r="AD181" s="2706"/>
      <c r="AE181" s="2706"/>
      <c r="AF181" s="2706"/>
      <c r="AG181" s="2706"/>
      <c r="AH181" s="2706"/>
      <c r="AI181" s="2706"/>
      <c r="AJ181" s="2770"/>
    </row>
    <row r="182" spans="1:36">
      <c r="A182" s="2700" t="s">
        <v>2790</v>
      </c>
      <c r="B182" s="2816" t="e">
        <f ca="1">IF(Small_F,0,B$67)</f>
        <v>#REF!</v>
      </c>
      <c r="C182" s="2750" t="e">
        <f ca="1">IF(Small_F,0,C$67)</f>
        <v>#REF!</v>
      </c>
      <c r="D182" s="2750" t="e">
        <f ca="1">IF(Small_F,0,D$67)</f>
        <v>#REF!</v>
      </c>
      <c r="E182" s="2750" t="e">
        <f ca="1">IF(Small_F,0,E$67)</f>
        <v>#REF!</v>
      </c>
      <c r="F182" s="2745"/>
      <c r="G182" s="2704"/>
      <c r="H182" s="2704"/>
      <c r="I182" s="2743"/>
      <c r="J182" s="2704"/>
      <c r="K182" s="2704"/>
      <c r="L182" s="2704"/>
      <c r="M182" s="2704"/>
      <c r="N182" s="2704"/>
      <c r="O182" s="2704"/>
      <c r="P182" s="2704"/>
      <c r="Q182" s="2704"/>
      <c r="R182" s="2704"/>
      <c r="S182" s="2704"/>
      <c r="T182" s="2704"/>
      <c r="U182" s="2704"/>
      <c r="V182" s="2704"/>
      <c r="W182" s="2704"/>
      <c r="X182" s="2704"/>
      <c r="Y182" s="2704"/>
      <c r="Z182" s="2704"/>
      <c r="AA182" s="2704"/>
      <c r="AB182" s="2704"/>
      <c r="AC182" s="2704"/>
      <c r="AD182" s="2704"/>
      <c r="AE182" s="2704"/>
      <c r="AF182" s="2704"/>
      <c r="AG182" s="2704"/>
      <c r="AH182" s="2704"/>
      <c r="AI182" s="2704"/>
      <c r="AJ182" s="2743"/>
    </row>
    <row r="183" spans="1:36">
      <c r="A183" s="2700" t="s">
        <v>1133</v>
      </c>
      <c r="B183" s="2816" t="e">
        <f ca="1">IF( B182=0,0,IF(Small_F,0,mirror*ROUND(B$68*COS($H$6+int_reinf_offs)-B$69*SIN($H$6+int_reinf_offs),3)))</f>
        <v>#REF!</v>
      </c>
      <c r="C183" s="2750" t="e">
        <f ca="1">IF( C182=0,0,IF(Small_F,0,mirror*ROUND(C$68*COS($H$6+int_reinf_offs)-C$69*SIN($H$6+int_reinf_offs),3)))</f>
        <v>#REF!</v>
      </c>
      <c r="D183" s="2750" t="e">
        <f ca="1">IF( D182=0,0,IF(Small_F,0,mirror*ROUND(D$68*COS($H$6+int_reinf_offs)-D$69*SIN($H$6+int_reinf_offs),3)))</f>
        <v>#REF!</v>
      </c>
      <c r="E183" s="2750" t="e">
        <f ca="1">IF( E182=0,0,IF(Small_F,0,mirror*ROUND(E$68*COS($H$6+int_reinf_offs)-E$69*SIN($H$6+int_reinf_offs),3)))</f>
        <v>#REF!</v>
      </c>
      <c r="F183" s="2745"/>
      <c r="G183" s="2704"/>
      <c r="H183" s="2704"/>
      <c r="I183" s="2743"/>
      <c r="J183" s="2704"/>
      <c r="K183" s="2704"/>
      <c r="L183" s="2704"/>
      <c r="M183" s="2704"/>
      <c r="N183" s="2704"/>
      <c r="O183" s="2704"/>
      <c r="P183" s="2704"/>
      <c r="Q183" s="2704"/>
      <c r="R183" s="2704"/>
      <c r="S183" s="2704"/>
      <c r="T183" s="2704"/>
      <c r="U183" s="2704"/>
      <c r="V183" s="2704"/>
      <c r="W183" s="2704"/>
      <c r="X183" s="2704"/>
      <c r="Y183" s="2704"/>
      <c r="Z183" s="2704"/>
      <c r="AA183" s="2704"/>
      <c r="AB183" s="2704"/>
      <c r="AC183" s="2704"/>
      <c r="AD183" s="2704"/>
      <c r="AE183" s="2704"/>
      <c r="AF183" s="2704"/>
      <c r="AG183" s="2704"/>
      <c r="AH183" s="2704"/>
      <c r="AI183" s="2704"/>
      <c r="AJ183" s="2743"/>
    </row>
    <row r="184" spans="1:36">
      <c r="A184" s="2700" t="s">
        <v>1134</v>
      </c>
      <c r="B184" s="2817" t="e">
        <f ca="1">IF(B182=0,0,IF(Small_F,0,ROUND(B$68*SIN($H$6+int_reinf_offs)+B$69*COS($H$6+int_reinf_offs),3)+Center_H))</f>
        <v>#REF!</v>
      </c>
      <c r="C184" s="2738" t="e">
        <f ca="1">IF(C182=0,0,IF(Small_F,0,ROUND(C$68*SIN($H$6+int_reinf_offs)+C$69*COS($H$6+int_reinf_offs),3)+Center_H))</f>
        <v>#REF!</v>
      </c>
      <c r="D184" s="2738" t="e">
        <f ca="1">IF(D182=0,0,IF(Small_F,0,ROUND(D$68*SIN($H$6+int_reinf_offs)+D$69*COS($H$6+int_reinf_offs),3)+Center_H))</f>
        <v>#REF!</v>
      </c>
      <c r="E184" s="2738" t="e">
        <f ca="1">IF(E182=0,0,IF(Small_F,0,ROUND(E$68*SIN($H$6+int_reinf_offs)+E$69*COS($H$6+int_reinf_offs),3)+Center_H))</f>
        <v>#REF!</v>
      </c>
      <c r="F184" s="2745"/>
      <c r="G184" s="2704"/>
      <c r="H184" s="2704"/>
      <c r="I184" s="2743"/>
      <c r="J184" s="2704"/>
      <c r="K184" s="2704"/>
      <c r="L184" s="2704"/>
      <c r="M184" s="2704"/>
      <c r="N184" s="2704"/>
      <c r="O184" s="2704"/>
      <c r="P184" s="2704"/>
      <c r="Q184" s="2704"/>
      <c r="R184" s="2704"/>
      <c r="S184" s="2704"/>
      <c r="T184" s="2704"/>
      <c r="U184" s="2704"/>
      <c r="V184" s="2704"/>
      <c r="W184" s="2704"/>
      <c r="X184" s="2704"/>
      <c r="Y184" s="2704"/>
      <c r="Z184" s="2704"/>
      <c r="AA184" s="2704"/>
      <c r="AB184" s="2704"/>
      <c r="AC184" s="2704"/>
      <c r="AD184" s="2704"/>
      <c r="AE184" s="2704"/>
      <c r="AF184" s="2704"/>
      <c r="AG184" s="2704"/>
      <c r="AH184" s="2704"/>
      <c r="AI184" s="2704"/>
      <c r="AJ184" s="2743"/>
    </row>
    <row r="185" spans="1:36">
      <c r="A185" s="2700" t="s">
        <v>1126</v>
      </c>
      <c r="B185" s="2816" t="e">
        <f ca="1">IF(B182=0,0,IF(Small_F,0,mirror*ROUND(B$70*COS($H$6+int_reinf_offs)-B$71*SIN($H$6+int_reinf_offs),3)))</f>
        <v>#REF!</v>
      </c>
      <c r="C185" s="2750" t="e">
        <f ca="1">IF(C182=0,0,IF(Small_F,0,mirror*ROUND(C$70*COS($H$6+int_reinf_offs)-C$71*SIN($H$6+int_reinf_offs),3)))</f>
        <v>#REF!</v>
      </c>
      <c r="D185" s="2750" t="e">
        <f ca="1">IF(D182=0,0,IF(Small_F,0,mirror*ROUND(D$70*COS($H$6+int_reinf_offs)-D$71*SIN($H$6+int_reinf_offs),3)))</f>
        <v>#REF!</v>
      </c>
      <c r="E185" s="2750" t="e">
        <f ca="1">IF(E182=0,0,IF(Small_F,0,mirror*ROUND(E$70*COS($H$6+int_reinf_offs)-E$71*SIN($H$6+int_reinf_offs),3)))</f>
        <v>#REF!</v>
      </c>
      <c r="F185" s="2745"/>
      <c r="G185" s="2704"/>
      <c r="H185" s="2704"/>
      <c r="I185" s="2743"/>
      <c r="J185" s="2704"/>
      <c r="K185" s="2704"/>
      <c r="L185" s="2704"/>
      <c r="M185" s="2704"/>
      <c r="N185" s="2704"/>
      <c r="O185" s="2704"/>
      <c r="P185" s="2704"/>
      <c r="Q185" s="2704"/>
      <c r="R185" s="2704"/>
      <c r="S185" s="2704"/>
      <c r="T185" s="2704"/>
      <c r="U185" s="2704"/>
      <c r="V185" s="2704"/>
      <c r="W185" s="2704"/>
      <c r="X185" s="2704"/>
      <c r="Y185" s="2704"/>
      <c r="Z185" s="2704"/>
      <c r="AA185" s="2704"/>
      <c r="AB185" s="2704"/>
      <c r="AC185" s="2704"/>
      <c r="AD185" s="2704"/>
      <c r="AE185" s="2704"/>
      <c r="AF185" s="2704"/>
      <c r="AG185" s="2704"/>
      <c r="AH185" s="2704"/>
      <c r="AI185" s="2704"/>
      <c r="AJ185" s="2743"/>
    </row>
    <row r="186" spans="1:36" ht="15.75" thickBot="1">
      <c r="A186" s="2700" t="s">
        <v>1127</v>
      </c>
      <c r="B186" s="2801" t="e">
        <f ca="1">IF(B182=0,0,IF(Small_F,0,ROUND(B$70*SIN($H$6+int_reinf_offs)+B$71*COS($H$6+int_reinf_offs),3)+Center_H))</f>
        <v>#REF!</v>
      </c>
      <c r="C186" s="2686" t="e">
        <f ca="1">IF(C182=0,0,IF(Small_F,0,ROUND(C$70*SIN($H$6+int_reinf_offs)+C$71*COS($H$6+int_reinf_offs),3)+Center_H))</f>
        <v>#REF!</v>
      </c>
      <c r="D186" s="2686" t="e">
        <f ca="1">IF(D182=0,0,IF(Small_F,0,ROUND(D$70*SIN($H$6+int_reinf_offs)+D$71*COS($H$6+int_reinf_offs),3)+Center_H))</f>
        <v>#REF!</v>
      </c>
      <c r="E186" s="2686" t="e">
        <f ca="1">IF(E182=0,0,IF(Small_F,0,ROUND(E$70*SIN($H$6+int_reinf_offs)+E$71*COS($H$6+int_reinf_offs),3)+Center_H))</f>
        <v>#REF!</v>
      </c>
      <c r="F186" s="2802"/>
      <c r="G186" s="2682"/>
      <c r="H186" s="2682"/>
      <c r="I186" s="2752"/>
      <c r="J186" s="2704"/>
      <c r="K186" s="2704"/>
      <c r="L186" s="2704"/>
      <c r="M186" s="2704"/>
      <c r="N186" s="2704"/>
      <c r="O186" s="2704"/>
      <c r="P186" s="2704"/>
      <c r="Q186" s="2704"/>
      <c r="R186" s="2704"/>
      <c r="S186" s="2704"/>
      <c r="T186" s="2704"/>
      <c r="U186" s="2704"/>
      <c r="V186" s="2704"/>
      <c r="W186" s="2704"/>
      <c r="X186" s="2704"/>
      <c r="Y186" s="2704"/>
      <c r="Z186" s="2704"/>
      <c r="AA186" s="2704"/>
      <c r="AB186" s="2704"/>
      <c r="AC186" s="2704"/>
      <c r="AD186" s="2704"/>
      <c r="AE186" s="2704"/>
      <c r="AF186" s="2704"/>
      <c r="AG186" s="2704"/>
      <c r="AH186" s="2704"/>
      <c r="AI186" s="2704"/>
      <c r="AJ186" s="2743"/>
    </row>
    <row r="187" spans="1:36" ht="15.75" thickBot="1">
      <c r="A187" s="2701"/>
      <c r="B187" s="3203"/>
      <c r="C187" s="2706"/>
      <c r="D187" s="2639"/>
      <c r="E187" s="2706"/>
      <c r="F187" s="2639"/>
      <c r="G187" s="2639"/>
      <c r="H187" s="2639"/>
      <c r="I187" s="2639"/>
      <c r="J187" s="2639"/>
      <c r="K187" s="2639"/>
      <c r="L187" s="2639"/>
      <c r="M187" s="2639"/>
      <c r="N187" s="2639"/>
      <c r="O187" s="2639"/>
      <c r="P187" s="2639"/>
      <c r="Q187" s="2639"/>
      <c r="R187" s="2639"/>
      <c r="S187" s="2639"/>
      <c r="T187" s="2639"/>
      <c r="U187" s="2639"/>
      <c r="V187" s="2639"/>
      <c r="W187" s="2639"/>
      <c r="X187" s="2639"/>
      <c r="Y187" s="2639"/>
      <c r="Z187" s="2639"/>
      <c r="AA187" s="2639"/>
      <c r="AB187" s="2639"/>
      <c r="AC187" s="2639"/>
      <c r="AD187" s="2639"/>
      <c r="AE187" s="2639"/>
      <c r="AF187" s="2639"/>
      <c r="AG187" s="2639"/>
      <c r="AH187" s="2639"/>
      <c r="AI187" s="2639"/>
      <c r="AJ187" s="2675"/>
    </row>
    <row r="188" spans="1:36" ht="15.75" thickBot="1">
      <c r="A188" s="2701"/>
      <c r="B188" s="3092" t="str">
        <f>"SPS Ext Frame "&amp;$E$6&amp;", "&amp;$G$6&amp;", "&amp;Center_H</f>
        <v>SPS Ext Frame RD, 135, 1269</v>
      </c>
      <c r="C188" s="3093"/>
      <c r="D188" s="3093"/>
      <c r="E188" s="3194" t="s">
        <v>4010</v>
      </c>
      <c r="F188" s="3193" t="e">
        <f ca="1">(SQRT((B194/1000-B192/1000)^2+(B195/1000-B193/1000)^2)+SQRT((D194/1000-D192/1000)^2+(D195/1000-D193/1000)^2)+SQRT((F194/1000-F192/1000)^2+(F195/1000-F193/1000)^2)+SQRT((H194/1000-H192/1000)^2+(H195/1000-H193/1000)^2)+($Z$22/1000-$B$22/1000))*$T$7/1000*$U$7/1000*steel_density+H188</f>
        <v>#REF!</v>
      </c>
      <c r="G188" s="3194" t="s">
        <v>4009</v>
      </c>
      <c r="H188" s="3193" t="e">
        <f ca="1">(SQRT((J194/1000-J192/1000)^2+(J195/1000-J193/1000)^2)+SQRT((K194/1000-K192/1000)^2+(K195/1000-K193/1000)^2)+SQRT((L194/1000-L192/1000)^2+(L195/1000-L193/1000)^2)+SQRT((M194/1000-M192/1000)^2+(M195/1000-M193/1000)^2))*$T$7/1000*$U$7/1000*steel_density</f>
        <v>#REF!</v>
      </c>
      <c r="I188" s="3192" t="s">
        <v>131</v>
      </c>
      <c r="J188" s="3192"/>
      <c r="K188" s="3192"/>
      <c r="L188" s="3192"/>
      <c r="M188" s="3195"/>
      <c r="N188" s="2712"/>
      <c r="O188" s="2639"/>
      <c r="P188" s="2639"/>
      <c r="Q188" s="2639"/>
      <c r="R188" s="2639"/>
      <c r="S188" s="2639"/>
      <c r="T188" s="2639"/>
      <c r="U188" s="2639"/>
      <c r="V188" s="2639"/>
      <c r="W188" s="2639"/>
      <c r="X188" s="2675"/>
      <c r="Y188" s="3092" t="str">
        <f>"SPS Ext Frame "&amp;$E$6&amp;", (0), (0)"</f>
        <v>SPS Ext Frame RD, (0), (0)</v>
      </c>
      <c r="Z188" s="3192"/>
      <c r="AA188" s="3093"/>
      <c r="AB188" s="3192"/>
      <c r="AC188" s="3093"/>
      <c r="AD188" s="3192"/>
      <c r="AE188" s="3093"/>
      <c r="AF188" s="3192"/>
      <c r="AG188" s="3093"/>
      <c r="AH188" s="3093"/>
      <c r="AI188" s="3093"/>
      <c r="AJ188" s="3094"/>
    </row>
    <row r="189" spans="1:36" s="2697" customFormat="1" ht="14.45" customHeight="1">
      <c r="A189" s="2699" t="s">
        <v>4210</v>
      </c>
      <c r="B189" s="3300" t="s">
        <v>4140</v>
      </c>
      <c r="C189" s="3301" t="s">
        <v>4141</v>
      </c>
      <c r="D189" s="3301" t="s">
        <v>4142</v>
      </c>
      <c r="E189" s="3301" t="s">
        <v>4143</v>
      </c>
      <c r="F189" s="3301" t="s">
        <v>4144</v>
      </c>
      <c r="G189" s="3301" t="s">
        <v>4145</v>
      </c>
      <c r="H189" s="3301" t="s">
        <v>4146</v>
      </c>
      <c r="I189" s="3301" t="s">
        <v>4147</v>
      </c>
      <c r="J189" s="3301" t="s">
        <v>3995</v>
      </c>
      <c r="K189" s="3301" t="s">
        <v>3996</v>
      </c>
      <c r="L189" s="3301" t="s">
        <v>3997</v>
      </c>
      <c r="M189" s="3302" t="s">
        <v>3998</v>
      </c>
      <c r="N189" s="2766"/>
      <c r="O189" s="2641"/>
      <c r="P189" s="2641"/>
      <c r="Q189" s="2641"/>
      <c r="R189" s="2641"/>
      <c r="S189" s="2641"/>
      <c r="T189" s="2641"/>
      <c r="U189" s="2641"/>
      <c r="V189" s="2641"/>
      <c r="W189" s="2641"/>
      <c r="X189" s="3320" t="s">
        <v>4210</v>
      </c>
      <c r="Y189" s="3300" t="str">
        <f t="shared" ref="Y189:AJ189" si="47">Y91</f>
        <v>SPSeFVL_i</v>
      </c>
      <c r="Z189" s="3301" t="str">
        <f t="shared" si="47"/>
        <v>SPSeFVL_o</v>
      </c>
      <c r="AA189" s="3301" t="str">
        <f t="shared" si="47"/>
        <v>SPSeFVR_i</v>
      </c>
      <c r="AB189" s="3301" t="str">
        <f t="shared" si="47"/>
        <v>SPSeFVR_o</v>
      </c>
      <c r="AC189" s="3301" t="str">
        <f t="shared" si="47"/>
        <v>SPSeFHhi_i</v>
      </c>
      <c r="AD189" s="3301" t="str">
        <f t="shared" si="47"/>
        <v>SPSeFHhi_o</v>
      </c>
      <c r="AE189" s="3301" t="str">
        <f t="shared" si="47"/>
        <v>SPSeFHlo_i</v>
      </c>
      <c r="AF189" s="3301" t="str">
        <f t="shared" si="47"/>
        <v>SPSeFHlo_o</v>
      </c>
      <c r="AG189" s="3301" t="str">
        <f t="shared" si="47"/>
        <v>SPSeFOuL</v>
      </c>
      <c r="AH189" s="3301" t="str">
        <f t="shared" si="47"/>
        <v>SPSeFOuR</v>
      </c>
      <c r="AI189" s="3301" t="str">
        <f t="shared" si="47"/>
        <v>SPSeFOloR</v>
      </c>
      <c r="AJ189" s="3302" t="str">
        <f t="shared" si="47"/>
        <v>SPSeFOloL</v>
      </c>
    </row>
    <row r="190" spans="1:36">
      <c r="A190" s="3319" t="s">
        <v>4211</v>
      </c>
      <c r="B190" s="3884" t="e">
        <f ca="1">IF($E$6="RD",$D90,$B90)</f>
        <v>#REF!</v>
      </c>
      <c r="C190" s="3885" t="e">
        <f t="shared" ref="C190:C191" ca="1" si="48">IF($E$6="RD",$D190,$B190)</f>
        <v>#REF!</v>
      </c>
      <c r="D190" s="3886" t="e">
        <f ca="1">IF($E$6="RD",$B90,$D90)</f>
        <v>#REF!</v>
      </c>
      <c r="E190" s="3885" t="e">
        <f t="shared" ref="E190:E191" ca="1" si="49">IF($E$6="RD",$B190,$D190)</f>
        <v>#REF!</v>
      </c>
      <c r="F190" s="3886" t="e">
        <f ca="1">$F90</f>
        <v>#REF!</v>
      </c>
      <c r="G190" s="3885" t="str">
        <f>IF($E$6="RD",$H189,$F189)</f>
        <v>SPSeFHlo_i</v>
      </c>
      <c r="H190" s="3886" t="e">
        <f ca="1">$H90</f>
        <v>#REF!</v>
      </c>
      <c r="I190" s="3885" t="str">
        <f>IF($E$6="RD",$F189,$H189)</f>
        <v>SPSeFHhi_i</v>
      </c>
      <c r="J190" s="3303" t="e">
        <f ca="1">IF($E$6="RD",$K90,$J90)</f>
        <v>#REF!</v>
      </c>
      <c r="K190" s="3303" t="e">
        <f ca="1">IF($E$6="RD",$J90,$K90)</f>
        <v>#REF!</v>
      </c>
      <c r="L190" s="3303" t="e">
        <f ca="1">IF($E$6="RD",$M90,$L90)</f>
        <v>#REF!</v>
      </c>
      <c r="M190" s="3304" t="e">
        <f ca="1">IF($E$6="RD",$L90,$M90)</f>
        <v>#REF!</v>
      </c>
      <c r="N190" s="2712"/>
      <c r="O190" s="2639"/>
      <c r="P190" s="2639"/>
      <c r="Q190" s="2639"/>
      <c r="R190" s="2639"/>
      <c r="S190" s="2639"/>
      <c r="T190" s="2639"/>
      <c r="U190" s="2639"/>
      <c r="V190" s="2639"/>
      <c r="W190" s="2639"/>
      <c r="X190" s="3321" t="s">
        <v>4211</v>
      </c>
      <c r="Y190" s="3884" t="e">
        <f ca="1">Y90</f>
        <v>#REF!</v>
      </c>
      <c r="Z190" s="3885"/>
      <c r="AA190" s="3886" t="e">
        <f ca="1">AA90</f>
        <v>#REF!</v>
      </c>
      <c r="AB190" s="3885"/>
      <c r="AC190" s="3886" t="e">
        <f ca="1">AC90</f>
        <v>#REF!</v>
      </c>
      <c r="AD190" s="3885"/>
      <c r="AE190" s="3886" t="e">
        <f ca="1">AE90</f>
        <v>#REF!</v>
      </c>
      <c r="AF190" s="3885"/>
      <c r="AG190" s="3303" t="e">
        <f ca="1">AG90</f>
        <v>#REF!</v>
      </c>
      <c r="AH190" s="3303" t="e">
        <f ca="1">AH90</f>
        <v>#REF!</v>
      </c>
      <c r="AI190" s="3303" t="e">
        <f ca="1">AI90</f>
        <v>#REF!</v>
      </c>
      <c r="AJ190" s="3304" t="e">
        <f ca="1">AJ90</f>
        <v>#REF!</v>
      </c>
    </row>
    <row r="191" spans="1:36" s="2697" customFormat="1" ht="14.45" customHeight="1">
      <c r="A191" s="2699" t="s">
        <v>4013</v>
      </c>
      <c r="B191" s="3881" t="e">
        <f ca="1">IF($E$6="RD",$D92,$B92)</f>
        <v>#REF!</v>
      </c>
      <c r="C191" s="3882" t="e">
        <f t="shared" ca="1" si="48"/>
        <v>#REF!</v>
      </c>
      <c r="D191" s="3883" t="e">
        <f ca="1">IF($E$6="RD",$B92,$D92)</f>
        <v>#REF!</v>
      </c>
      <c r="E191" s="3882" t="e">
        <f t="shared" ca="1" si="49"/>
        <v>#REF!</v>
      </c>
      <c r="F191" s="3883" t="e">
        <f ca="1">$F92</f>
        <v>#REF!</v>
      </c>
      <c r="G191" s="3882"/>
      <c r="H191" s="3838" t="e">
        <f ca="1">$H92</f>
        <v>#REF!</v>
      </c>
      <c r="I191" s="3882"/>
      <c r="J191" s="3174" t="e">
        <f ca="1">IF($E$6="RD",$K92,$J92)</f>
        <v>#REF!</v>
      </c>
      <c r="K191" s="3174" t="e">
        <f ca="1">IF($E$6="RD",$J92,$K92)</f>
        <v>#REF!</v>
      </c>
      <c r="L191" s="3174" t="e">
        <f ca="1">IF($E$6="RD",$M92,$L92)</f>
        <v>#REF!</v>
      </c>
      <c r="M191" s="3233" t="e">
        <f ca="1">IF($E$6="RD",$L92,$M92)</f>
        <v>#REF!</v>
      </c>
      <c r="N191" s="2766"/>
      <c r="O191" s="2641"/>
      <c r="P191" s="2641"/>
      <c r="Q191" s="2641"/>
      <c r="R191" s="2641"/>
      <c r="S191" s="2641"/>
      <c r="T191" s="2641"/>
      <c r="U191" s="2641"/>
      <c r="V191" s="2641"/>
      <c r="W191" s="2641"/>
      <c r="X191" s="3230" t="s">
        <v>4013</v>
      </c>
      <c r="Y191" s="3838" t="e">
        <f t="shared" ref="Y191:AJ191" ca="1" si="50">Y92</f>
        <v>#REF!</v>
      </c>
      <c r="Z191" s="3882">
        <f t="shared" si="50"/>
        <v>0</v>
      </c>
      <c r="AA191" s="3883" t="e">
        <f t="shared" ca="1" si="50"/>
        <v>#REF!</v>
      </c>
      <c r="AB191" s="3882">
        <f t="shared" si="50"/>
        <v>0</v>
      </c>
      <c r="AC191" s="3883" t="e">
        <f t="shared" ca="1" si="50"/>
        <v>#REF!</v>
      </c>
      <c r="AD191" s="3882">
        <f t="shared" si="50"/>
        <v>0</v>
      </c>
      <c r="AE191" s="3883" t="e">
        <f t="shared" ca="1" si="50"/>
        <v>#REF!</v>
      </c>
      <c r="AF191" s="3882">
        <f t="shared" si="50"/>
        <v>0</v>
      </c>
      <c r="AG191" s="3174" t="e">
        <f t="shared" ca="1" si="50"/>
        <v>#REF!</v>
      </c>
      <c r="AH191" s="3174" t="e">
        <f t="shared" ca="1" si="50"/>
        <v>#REF!</v>
      </c>
      <c r="AI191" s="3174" t="e">
        <f t="shared" ca="1" si="50"/>
        <v>#REF!</v>
      </c>
      <c r="AJ191" s="3178" t="e">
        <f t="shared" ca="1" si="50"/>
        <v>#REF!</v>
      </c>
    </row>
    <row r="192" spans="1:36" s="2697" customFormat="1">
      <c r="A192" s="2757" t="s">
        <v>1094</v>
      </c>
      <c r="B192" s="2805" t="e">
        <f ca="1">IF($E$6="RD",IF(D$90,mirror*ROUND(D93*COS($H$6)-D94*SIN($H$6),3),0),IF(B$90,mirror*ROUND(B93*COS($H$6)-B94*SIN($H$6),3),0))</f>
        <v>#REF!</v>
      </c>
      <c r="C192" s="2666" t="e">
        <f ca="1">IF($E$6="RD",IF(D$90,mirror*ROUND(E93*COS($H$6)-E94*SIN($H$6),3),0),IF(B$90,mirror*ROUND(C93*COS($H$6)-C94*SIN($H$6),3),0))</f>
        <v>#REF!</v>
      </c>
      <c r="D192" s="2666" t="e">
        <f ca="1">IF($E$6="RD",IF(B$90,mirror*ROUND(B93*COS($H$6)-B94*SIN($H$6),3),0),IF(D$90,mirror*ROUND(D93*COS($H$6)-D94*SIN($H$6),3),0))</f>
        <v>#REF!</v>
      </c>
      <c r="E192" s="2666" t="e">
        <f ca="1">IF($E$6="RD",IF(B$90,mirror*ROUND(C93*COS($H$6)-C94*SIN($H$6),3),0),IF(D$90,mirror*ROUND(E93*COS($H$6)-E94*SIN($H$6),3),0))</f>
        <v>#REF!</v>
      </c>
      <c r="F192" s="2666" t="e">
        <f ca="1">IF(F$90,mirror*ROUND(F93*COS($H$6)-F94*SIN($H$6),3),0)</f>
        <v>#REF!</v>
      </c>
      <c r="G192" s="2666" t="e">
        <f ca="1">IF(F$90,mirror*ROUND(G93*COS($H$6)-G94*SIN($H$6),3),0)</f>
        <v>#REF!</v>
      </c>
      <c r="H192" s="2666" t="e">
        <f ca="1">IF(H$90,mirror*ROUND(H93*COS($H$6)-H94*SIN($H$6),3),0)</f>
        <v>#REF!</v>
      </c>
      <c r="I192" s="2666" t="e">
        <f ca="1">IF(H$90,mirror*ROUND(I93*COS($H$6)-I94*SIN($H$6),3),0)</f>
        <v>#REF!</v>
      </c>
      <c r="J192" s="2666" t="e">
        <f ca="1">IF(J$90,mirror*ROUND(J93*COS($H$6)-J94*SIN($H$6),3),0)</f>
        <v>#REF!</v>
      </c>
      <c r="K192" s="2666" t="e">
        <f ca="1">IF(K$90,mirror*ROUND(K93*COS($H$6)-K94*SIN($H$6),3),0)</f>
        <v>#REF!</v>
      </c>
      <c r="L192" s="2666" t="e">
        <f ca="1">IF(L$90,mirror*ROUND(L93*COS($H$6)-L94*SIN($H$6),3),0)</f>
        <v>#REF!</v>
      </c>
      <c r="M192" s="3234" t="e">
        <f ca="1">IF(M$90,mirror*ROUND(M93*COS($H$6)-M94*SIN($H$6),3),0)</f>
        <v>#REF!</v>
      </c>
      <c r="N192" s="2766"/>
      <c r="O192" s="2641"/>
      <c r="P192" s="2641"/>
      <c r="Q192" s="2641"/>
      <c r="R192" s="2641"/>
      <c r="S192" s="2641"/>
      <c r="T192" s="2641"/>
      <c r="U192" s="2641"/>
      <c r="V192" s="2641"/>
      <c r="W192" s="2641"/>
      <c r="X192" s="3229" t="s">
        <v>4101</v>
      </c>
      <c r="Y192" s="3227" t="e">
        <f t="shared" ref="Y192:AJ192" ca="1" si="51">Y93</f>
        <v>#REF!</v>
      </c>
      <c r="Z192" s="2662" t="e">
        <f t="shared" ca="1" si="51"/>
        <v>#REF!</v>
      </c>
      <c r="AA192" s="2662" t="e">
        <f t="shared" ca="1" si="51"/>
        <v>#REF!</v>
      </c>
      <c r="AB192" s="2662" t="e">
        <f t="shared" ca="1" si="51"/>
        <v>#REF!</v>
      </c>
      <c r="AC192" s="2662" t="e">
        <f t="shared" ca="1" si="51"/>
        <v>#REF!</v>
      </c>
      <c r="AD192" s="2662" t="e">
        <f t="shared" ca="1" si="51"/>
        <v>#REF!</v>
      </c>
      <c r="AE192" s="2662" t="e">
        <f t="shared" ca="1" si="51"/>
        <v>#REF!</v>
      </c>
      <c r="AF192" s="2662" t="e">
        <f t="shared" ca="1" si="51"/>
        <v>#REF!</v>
      </c>
      <c r="AG192" s="2662" t="e">
        <f t="shared" ca="1" si="51"/>
        <v>#REF!</v>
      </c>
      <c r="AH192" s="2666" t="e">
        <f t="shared" ca="1" si="51"/>
        <v>#REF!</v>
      </c>
      <c r="AI192" s="2662" t="e">
        <f t="shared" ca="1" si="51"/>
        <v>#REF!</v>
      </c>
      <c r="AJ192" s="2794" t="e">
        <f t="shared" ca="1" si="51"/>
        <v>#REF!</v>
      </c>
    </row>
    <row r="193" spans="1:36" s="2697" customFormat="1">
      <c r="A193" s="2757" t="s">
        <v>1095</v>
      </c>
      <c r="B193" s="2805" t="e">
        <f ca="1">IF($E$6="RD",IF(D$90,ROUND(D93*SIN($H$6)+D94*COS($H$6),3)+Center_H,0),IF(B$90,ROUND(B93*SIN($H$6)+B94*COS($H$6),3)+Center_H,0))</f>
        <v>#REF!</v>
      </c>
      <c r="C193" s="2666" t="e">
        <f ca="1">IF($E$6="RD",IF(D$90,ROUND(E93*SIN($H$6)+E94*COS($H$6),3)+Center_H,0),IF(B$90,ROUND(C93*SIN($H$6)+C94*COS($H$6),3)+Center_H,0))</f>
        <v>#REF!</v>
      </c>
      <c r="D193" s="2666" t="e">
        <f ca="1">IF($E$6="RD",IF(B$90,ROUND(B93*SIN($H$6)+B94*COS($H$6),3)+Center_H,0),IF(D$90,ROUND(D93*SIN($H$6)+D94*COS($H$6),3)+Center_H,0))</f>
        <v>#REF!</v>
      </c>
      <c r="E193" s="2666" t="e">
        <f ca="1">IF($E$6="RD",IF(B$90,ROUND(C93*SIN($H$6)+C94*COS($H$6),3)+Center_H,0),IF(D$90,ROUND(E93*SIN($H$6)+E94*COS($H$6),3)+Center_H,0))</f>
        <v>#REF!</v>
      </c>
      <c r="F193" s="2666" t="e">
        <f ca="1">IF(F$90,ROUND(F93*SIN($H$6)+F94*COS($H$6),3)+Center_H,0)</f>
        <v>#REF!</v>
      </c>
      <c r="G193" s="2666" t="e">
        <f ca="1">IF(F$90,ROUND(G93*SIN($H$6)+G94*COS($H$6),3)+Center_H,0)</f>
        <v>#REF!</v>
      </c>
      <c r="H193" s="2666" t="e">
        <f ca="1">IF(H$90,ROUND(H93*SIN($H$6)+H94*COS($H$6),3)+Center_H,0)</f>
        <v>#REF!</v>
      </c>
      <c r="I193" s="2666" t="e">
        <f ca="1">IF(H$90,ROUND(I93*SIN($H$6)+I94*COS($H$6),3)+Center_H,0)</f>
        <v>#REF!</v>
      </c>
      <c r="J193" s="2666" t="e">
        <f ca="1">IF(J$90,ROUND(J93*SIN($H$6)+J94*COS($H$6),3)+Center_H,0)</f>
        <v>#REF!</v>
      </c>
      <c r="K193" s="2666" t="e">
        <f ca="1">IF(K$90,ROUND(K93*SIN($H$6)+K94*COS($H$6),3)+Center_H,0)</f>
        <v>#REF!</v>
      </c>
      <c r="L193" s="2666" t="e">
        <f ca="1">IF(L$90,ROUND(L93*SIN($H$6)+L94*COS($H$6),3)+Center_H,0)</f>
        <v>#REF!</v>
      </c>
      <c r="M193" s="3234" t="e">
        <f ca="1">IF(M$90,ROUND(M93*SIN($H$6)+M94*COS($H$6),3)+Center_H,0)</f>
        <v>#REF!</v>
      </c>
      <c r="N193" s="2766"/>
      <c r="O193" s="2641"/>
      <c r="P193" s="2641"/>
      <c r="Q193" s="2641"/>
      <c r="R193" s="2641"/>
      <c r="S193" s="2641"/>
      <c r="T193" s="2641"/>
      <c r="U193" s="2641"/>
      <c r="V193" s="2641"/>
      <c r="W193" s="2641"/>
      <c r="X193" s="3229" t="s">
        <v>4102</v>
      </c>
      <c r="Y193" s="3227" t="e">
        <f t="shared" ref="Y193:AJ193" ca="1" si="52">Y94</f>
        <v>#REF!</v>
      </c>
      <c r="Z193" s="2662" t="e">
        <f t="shared" ca="1" si="52"/>
        <v>#REF!</v>
      </c>
      <c r="AA193" s="2662" t="e">
        <f t="shared" ca="1" si="52"/>
        <v>#REF!</v>
      </c>
      <c r="AB193" s="2662" t="e">
        <f t="shared" ca="1" si="52"/>
        <v>#REF!</v>
      </c>
      <c r="AC193" s="2662" t="e">
        <f t="shared" ca="1" si="52"/>
        <v>#REF!</v>
      </c>
      <c r="AD193" s="2662" t="e">
        <f t="shared" ca="1" si="52"/>
        <v>#REF!</v>
      </c>
      <c r="AE193" s="2662" t="e">
        <f t="shared" ca="1" si="52"/>
        <v>#REF!</v>
      </c>
      <c r="AF193" s="2662" t="e">
        <f t="shared" ca="1" si="52"/>
        <v>#REF!</v>
      </c>
      <c r="AG193" s="2662" t="e">
        <f t="shared" ca="1" si="52"/>
        <v>#REF!</v>
      </c>
      <c r="AH193" s="2666" t="e">
        <f t="shared" ca="1" si="52"/>
        <v>#REF!</v>
      </c>
      <c r="AI193" s="2662" t="e">
        <f t="shared" ca="1" si="52"/>
        <v>#REF!</v>
      </c>
      <c r="AJ193" s="2794" t="e">
        <f t="shared" ca="1" si="52"/>
        <v>#REF!</v>
      </c>
    </row>
    <row r="194" spans="1:36" s="2697" customFormat="1">
      <c r="A194" s="2757" t="s">
        <v>1096</v>
      </c>
      <c r="B194" s="2805" t="e">
        <f ca="1">IF($E$6="RD",IF(D$90,mirror*ROUND(D95*COS($H$6)-D96*SIN($H$6),3),0),IF(B$90,mirror*ROUND(B95*COS($H$6)-B96*SIN($H$6),3),0))</f>
        <v>#REF!</v>
      </c>
      <c r="C194" s="2666" t="e">
        <f ca="1">IF($E$6="RD",IF(D$90,mirror*ROUND(E95*COS($H$6)-E96*SIN($H$6),3),0),IF(B$90,mirror*ROUND(C95*COS($H$6)-C96*SIN($H$6),3),0))</f>
        <v>#REF!</v>
      </c>
      <c r="D194" s="2666" t="e">
        <f ca="1">IF($E$6="RD",IF(B$90,mirror*ROUND(B95*COS($H$6)-B96*SIN($H$6),3),0),IF(D$90,mirror*ROUND(D95*COS($H$6)-D96*SIN($H$6),3),0))</f>
        <v>#REF!</v>
      </c>
      <c r="E194" s="2666" t="e">
        <f ca="1">IF($E$6="RD",IF(B$90,mirror*ROUND(C95*COS($H$6)-C96*SIN($H$6),3),0),IF(D$90,mirror*ROUND(E95*COS($H$6)-E96*SIN($H$6),3),0))</f>
        <v>#REF!</v>
      </c>
      <c r="F194" s="2666" t="e">
        <f ca="1">IF(F$90,mirror*ROUND(F95*COS($H$6)-F96*SIN($H$6),3),0)</f>
        <v>#REF!</v>
      </c>
      <c r="G194" s="2666" t="e">
        <f ca="1">IF(F$90,mirror*ROUND(G95*COS($H$6)-G96*SIN($H$6),3),0)</f>
        <v>#REF!</v>
      </c>
      <c r="H194" s="2666" t="e">
        <f ca="1">IF(H$90,mirror*ROUND(H95*COS($H$6)-H96*SIN($H$6),3),0)</f>
        <v>#REF!</v>
      </c>
      <c r="I194" s="2666" t="e">
        <f ca="1">IF(H$90,mirror*ROUND(I95*COS($H$6)-I96*SIN($H$6),3),0)</f>
        <v>#REF!</v>
      </c>
      <c r="J194" s="2666" t="e">
        <f ca="1">IF(J$90,mirror*ROUND(J95*COS($H$6)-J96*SIN($H$6),3),0)</f>
        <v>#REF!</v>
      </c>
      <c r="K194" s="2666" t="e">
        <f ca="1">IF(K$90,mirror*ROUND(K95*COS($H$6)-K96*SIN($H$6),3),0)</f>
        <v>#REF!</v>
      </c>
      <c r="L194" s="2666" t="e">
        <f ca="1">IF(L$90,mirror*ROUND(L95*COS($H$6)-L96*SIN($H$6),3),0)</f>
        <v>#REF!</v>
      </c>
      <c r="M194" s="3234" t="e">
        <f ca="1">IF(M$90,mirror*ROUND(M95*COS($H$6)-M96*SIN($H$6),3),0)</f>
        <v>#REF!</v>
      </c>
      <c r="N194" s="2766"/>
      <c r="O194" s="2641"/>
      <c r="P194" s="2641"/>
      <c r="Q194" s="2641"/>
      <c r="R194" s="2641"/>
      <c r="S194" s="2641"/>
      <c r="T194" s="2641"/>
      <c r="U194" s="2641"/>
      <c r="V194" s="2641"/>
      <c r="W194" s="2641"/>
      <c r="X194" s="3229"/>
      <c r="Y194" s="3227"/>
      <c r="Z194" s="2662"/>
      <c r="AA194" s="2662"/>
      <c r="AB194" s="2662"/>
      <c r="AC194" s="2662"/>
      <c r="AD194" s="2662"/>
      <c r="AE194" s="2662"/>
      <c r="AF194" s="2662"/>
      <c r="AG194" s="2662"/>
      <c r="AH194" s="2666"/>
      <c r="AI194" s="2662"/>
      <c r="AJ194" s="2794"/>
    </row>
    <row r="195" spans="1:36" s="2697" customFormat="1" ht="15.75" thickBot="1">
      <c r="A195" s="2757" t="s">
        <v>1097</v>
      </c>
      <c r="B195" s="2807" t="e">
        <f ca="1">IF($E$6="RD",IF(D$90,ROUND(D95*SIN($H$6)+D96*COS($H$6),3)+Center_H,0),IF(B$90,ROUND(B95*SIN($H$6)+B96*COS($H$6),3)+Center_H,0))</f>
        <v>#REF!</v>
      </c>
      <c r="C195" s="2685" t="e">
        <f ca="1">IF($E$6="RD",IF(D$90,ROUND(E95*SIN($H$6)+E96*COS($H$6),3)+Center_H,0),IF(B$90,ROUND(C95*SIN($H$6)+C96*COS($H$6),3)+Center_H,0))</f>
        <v>#REF!</v>
      </c>
      <c r="D195" s="2685" t="e">
        <f ca="1">IF($E$6="RD",IF(B$90,ROUND(B95*SIN($H$6)+B96*COS($H$6),3)+Center_H,0),IF(D$90,ROUND(D95*SIN($H$6)+D96*COS($H$6),3)+Center_H,0))</f>
        <v>#REF!</v>
      </c>
      <c r="E195" s="2685" t="e">
        <f ca="1">IF($E$6="RD",IF(B$90,ROUND(C95*SIN($H$6)+C96*COS($H$6),3)+Center_H,0),IF(D$90,ROUND(E95*SIN($H$6)+E96*COS($H$6),3)+Center_H,0))</f>
        <v>#REF!</v>
      </c>
      <c r="F195" s="2685" t="e">
        <f ca="1">IF(F$90,ROUND(F95*SIN($H$6)+F96*COS($H$6),3)+Center_H,0)</f>
        <v>#REF!</v>
      </c>
      <c r="G195" s="2685" t="e">
        <f ca="1">IF(F$90,ROUND(G95*SIN($H$6)+G96*COS($H$6),3)+Center_H,0)</f>
        <v>#REF!</v>
      </c>
      <c r="H195" s="2685" t="e">
        <f ca="1">IF(H$90,ROUND(H95*SIN($H$6)+H96*COS($H$6),3)+Center_H,0)</f>
        <v>#REF!</v>
      </c>
      <c r="I195" s="2685" t="e">
        <f ca="1">IF(H$90,ROUND(I95*SIN($H$6)+I96*COS($H$6),3)+Center_H,0)</f>
        <v>#REF!</v>
      </c>
      <c r="J195" s="2685" t="e">
        <f ca="1">IF(J$90,ROUND(J95*SIN($H$6)+J96*COS($H$6),3)+Center_H,0)</f>
        <v>#REF!</v>
      </c>
      <c r="K195" s="2685" t="e">
        <f ca="1">IF(K$90,ROUND(K95*SIN($H$6)+K96*COS($H$6),3)+Center_H,0)</f>
        <v>#REF!</v>
      </c>
      <c r="L195" s="2685" t="e">
        <f ca="1">IF(L$90,ROUND(L95*SIN($H$6)+L96*COS($H$6),3)+Center_H,0)</f>
        <v>#REF!</v>
      </c>
      <c r="M195" s="3235" t="e">
        <f ca="1">IF(M$90,ROUND(M95*SIN($H$6)+M96*COS($H$6),3)+Center_H,0)</f>
        <v>#REF!</v>
      </c>
      <c r="N195" s="2766"/>
      <c r="O195" s="2641"/>
      <c r="P195" s="2641"/>
      <c r="Q195" s="2641"/>
      <c r="R195" s="2641"/>
      <c r="S195" s="2641"/>
      <c r="T195" s="2641"/>
      <c r="U195" s="2641"/>
      <c r="V195" s="2641"/>
      <c r="W195" s="2641"/>
      <c r="X195" s="3229" t="s">
        <v>4103</v>
      </c>
      <c r="Y195" s="2847" t="e">
        <f t="shared" ref="Y195:AJ195" ca="1" si="53">Y96</f>
        <v>#REF!</v>
      </c>
      <c r="Z195" s="2686" t="e">
        <f t="shared" ca="1" si="53"/>
        <v>#REF!</v>
      </c>
      <c r="AA195" s="2686" t="e">
        <f t="shared" ca="1" si="53"/>
        <v>#REF!</v>
      </c>
      <c r="AB195" s="2686" t="e">
        <f t="shared" ca="1" si="53"/>
        <v>#REF!</v>
      </c>
      <c r="AC195" s="2686" t="e">
        <f t="shared" ca="1" si="53"/>
        <v>#REF!</v>
      </c>
      <c r="AD195" s="2686" t="e">
        <f t="shared" ca="1" si="53"/>
        <v>#REF!</v>
      </c>
      <c r="AE195" s="2686" t="e">
        <f t="shared" ca="1" si="53"/>
        <v>#REF!</v>
      </c>
      <c r="AF195" s="2686" t="e">
        <f t="shared" ca="1" si="53"/>
        <v>#REF!</v>
      </c>
      <c r="AG195" s="2686" t="e">
        <f t="shared" ca="1" si="53"/>
        <v>#REF!</v>
      </c>
      <c r="AH195" s="2685" t="e">
        <f t="shared" ca="1" si="53"/>
        <v>#REF!</v>
      </c>
      <c r="AI195" s="2686" t="e">
        <f t="shared" ca="1" si="53"/>
        <v>#REF!</v>
      </c>
      <c r="AJ195" s="2804" t="e">
        <f t="shared" ca="1" si="53"/>
        <v>#REF!</v>
      </c>
    </row>
    <row r="196" spans="1:36" ht="15.75" thickBot="1">
      <c r="A196" s="2712"/>
      <c r="B196" s="3205"/>
      <c r="C196" s="2683"/>
      <c r="D196" s="2683"/>
      <c r="E196" s="2683"/>
      <c r="F196" s="2683"/>
      <c r="G196" s="2683"/>
      <c r="H196" s="2683"/>
      <c r="I196" s="2683"/>
      <c r="J196" s="2683"/>
      <c r="K196" s="2683"/>
      <c r="L196" s="2683"/>
      <c r="M196" s="2683"/>
      <c r="N196" s="2683"/>
      <c r="O196" s="2683"/>
      <c r="P196" s="2683"/>
      <c r="Q196" s="2683"/>
      <c r="R196" s="2683"/>
      <c r="S196" s="2683"/>
      <c r="T196" s="2683"/>
      <c r="U196" s="2683"/>
      <c r="V196" s="2683"/>
      <c r="W196" s="2683"/>
      <c r="X196" s="2683"/>
      <c r="Y196" s="2683"/>
      <c r="Z196" s="2683"/>
      <c r="AA196" s="2683"/>
      <c r="AB196" s="2683"/>
      <c r="AC196" s="2683"/>
      <c r="AD196" s="2683"/>
      <c r="AE196" s="2683"/>
      <c r="AF196" s="2683"/>
      <c r="AG196" s="2683"/>
      <c r="AH196" s="2683"/>
      <c r="AI196" s="2683"/>
      <c r="AJ196" s="2691"/>
    </row>
    <row r="197" spans="1:36" ht="15.75" thickBot="1">
      <c r="A197" s="3341"/>
      <c r="B197" s="3889" t="str">
        <f>"SPS Ext Rad. Reinf "&amp;$E$6&amp;", "&amp;$G$6&amp;", "&amp;Center_H</f>
        <v>SPS Ext Rad. Reinf RD, 135, 1269</v>
      </c>
      <c r="C197" s="3890"/>
      <c r="D197" s="3890"/>
      <c r="E197" s="3890"/>
      <c r="F197" s="3890"/>
      <c r="G197" s="3890"/>
      <c r="H197" s="3890"/>
      <c r="I197" s="3890"/>
      <c r="J197" s="3890"/>
      <c r="K197" s="3890"/>
      <c r="L197" s="3890"/>
      <c r="M197" s="3890"/>
      <c r="N197" s="3890"/>
      <c r="O197" s="3890"/>
      <c r="P197" s="3890"/>
      <c r="Q197" s="3890"/>
      <c r="R197" s="3890"/>
      <c r="S197" s="3890"/>
      <c r="T197" s="3890"/>
      <c r="U197" s="3890"/>
      <c r="V197" s="3890"/>
      <c r="W197" s="3890"/>
      <c r="X197" s="3890"/>
      <c r="Y197" s="3890"/>
      <c r="Z197" s="3890"/>
      <c r="AA197" s="3890"/>
      <c r="AB197" s="3890"/>
      <c r="AC197" s="3890"/>
      <c r="AD197" s="3890"/>
      <c r="AE197" s="3890"/>
      <c r="AF197" s="3890"/>
      <c r="AG197" s="3890"/>
      <c r="AH197" s="3890"/>
      <c r="AI197" s="3890"/>
      <c r="AJ197" s="3891"/>
    </row>
    <row r="198" spans="1:36">
      <c r="A198" s="2701"/>
      <c r="B198" s="2810" t="s">
        <v>4148</v>
      </c>
      <c r="C198" s="3131" t="e">
        <f ca="1">dist_mult</f>
        <v>#REF!</v>
      </c>
      <c r="D198" s="2738"/>
      <c r="E198" s="2818" t="s">
        <v>4008</v>
      </c>
      <c r="F198" s="2819" t="e">
        <f ca="1">(SUM(B202:AJ202)/1000+($Z$22/1000-$B$22/1000))*$T$7/1000*$U$7/1000*steel_density</f>
        <v>#REF!</v>
      </c>
      <c r="G198" s="2738" t="s">
        <v>131</v>
      </c>
      <c r="H198" s="2738"/>
      <c r="I198" s="2738"/>
      <c r="J198" s="2738"/>
      <c r="K198" s="2738"/>
      <c r="L198" s="2738"/>
      <c r="M198" s="2738"/>
      <c r="N198" s="2738"/>
      <c r="O198" s="2738"/>
      <c r="P198" s="2738"/>
      <c r="Q198" s="2738"/>
      <c r="R198" s="2738"/>
      <c r="S198" s="2738"/>
      <c r="T198" s="2738"/>
      <c r="U198" s="2738"/>
      <c r="V198" s="2738"/>
      <c r="W198" s="2738"/>
      <c r="X198" s="2738"/>
      <c r="Y198" s="2738"/>
      <c r="Z198" s="2738"/>
      <c r="AA198" s="2738"/>
      <c r="AB198" s="2738"/>
      <c r="AC198" s="2820" t="s">
        <v>2795</v>
      </c>
      <c r="AD198" s="2821"/>
      <c r="AE198" s="2821"/>
      <c r="AF198" s="2822"/>
      <c r="AG198" s="2821" t="s">
        <v>2796</v>
      </c>
      <c r="AH198" s="2821"/>
      <c r="AI198" s="2821"/>
      <c r="AJ198" s="2822"/>
    </row>
    <row r="199" spans="1:36">
      <c r="A199" s="2700" t="s">
        <v>1781</v>
      </c>
      <c r="B199" s="2813" t="e">
        <f t="shared" ref="B199:I199" ca="1" si="54">IF(B$202=0,"",B$109)</f>
        <v>#REF!</v>
      </c>
      <c r="C199" s="2744" t="e">
        <f t="shared" ca="1" si="54"/>
        <v>#REF!</v>
      </c>
      <c r="D199" s="2662" t="e">
        <f t="shared" ca="1" si="54"/>
        <v>#REF!</v>
      </c>
      <c r="E199" s="2662" t="e">
        <f t="shared" ca="1" si="54"/>
        <v>#REF!</v>
      </c>
      <c r="F199" s="2662" t="e">
        <f t="shared" ca="1" si="54"/>
        <v>#REF!</v>
      </c>
      <c r="G199" s="2662" t="e">
        <f t="shared" ca="1" si="54"/>
        <v>#REF!</v>
      </c>
      <c r="H199" s="2662" t="e">
        <f t="shared" ca="1" si="54"/>
        <v>#REF!</v>
      </c>
      <c r="I199" s="2662" t="e">
        <f t="shared" ca="1" si="54"/>
        <v>#REF!</v>
      </c>
      <c r="J199" s="2662" t="e">
        <f t="shared" ref="J199:AB199" ca="1" si="55">IF(J$202=0,"",J$109)</f>
        <v>#REF!</v>
      </c>
      <c r="K199" s="2662" t="e">
        <f t="shared" ca="1" si="55"/>
        <v>#REF!</v>
      </c>
      <c r="L199" s="2662" t="e">
        <f t="shared" ca="1" si="55"/>
        <v>#REF!</v>
      </c>
      <c r="M199" s="2662" t="e">
        <f t="shared" ca="1" si="55"/>
        <v>#REF!</v>
      </c>
      <c r="N199" s="2662" t="e">
        <f t="shared" ca="1" si="55"/>
        <v>#REF!</v>
      </c>
      <c r="O199" s="2662" t="e">
        <f t="shared" ca="1" si="55"/>
        <v>#REF!</v>
      </c>
      <c r="P199" s="2662" t="e">
        <f t="shared" ca="1" si="55"/>
        <v>#REF!</v>
      </c>
      <c r="Q199" s="2662" t="e">
        <f t="shared" ca="1" si="55"/>
        <v>#REF!</v>
      </c>
      <c r="R199" s="2662" t="e">
        <f t="shared" ca="1" si="55"/>
        <v>#REF!</v>
      </c>
      <c r="S199" s="2662" t="e">
        <f t="shared" ca="1" si="55"/>
        <v>#REF!</v>
      </c>
      <c r="T199" s="2662" t="e">
        <f t="shared" ca="1" si="55"/>
        <v>#REF!</v>
      </c>
      <c r="U199" s="2662" t="e">
        <f t="shared" ca="1" si="55"/>
        <v>#REF!</v>
      </c>
      <c r="V199" s="2662" t="e">
        <f t="shared" ca="1" si="55"/>
        <v>#REF!</v>
      </c>
      <c r="W199" s="2662" t="e">
        <f t="shared" ca="1" si="55"/>
        <v>#REF!</v>
      </c>
      <c r="X199" s="2662" t="e">
        <f t="shared" ca="1" si="55"/>
        <v>#REF!</v>
      </c>
      <c r="Y199" s="2662" t="e">
        <f t="shared" ca="1" si="55"/>
        <v>#REF!</v>
      </c>
      <c r="Z199" s="2662" t="e">
        <f t="shared" ca="1" si="55"/>
        <v>#REF!</v>
      </c>
      <c r="AA199" s="2662" t="e">
        <f t="shared" ca="1" si="55"/>
        <v>#REF!</v>
      </c>
      <c r="AB199" s="2662" t="e">
        <f t="shared" ca="1" si="55"/>
        <v>#REF!</v>
      </c>
      <c r="AC199" s="2823" t="str">
        <f t="shared" ref="AC199:AJ199" si="56">IF(AC$202=0,"",AC$109)</f>
        <v/>
      </c>
      <c r="AD199" s="2824" t="str">
        <f t="shared" si="56"/>
        <v/>
      </c>
      <c r="AE199" s="2824" t="str">
        <f t="shared" si="56"/>
        <v/>
      </c>
      <c r="AF199" s="2825" t="str">
        <f t="shared" si="56"/>
        <v/>
      </c>
      <c r="AG199" s="2826" t="str">
        <f t="shared" si="56"/>
        <v/>
      </c>
      <c r="AH199" s="2824" t="str">
        <f t="shared" si="56"/>
        <v/>
      </c>
      <c r="AI199" s="2824" t="str">
        <f t="shared" si="56"/>
        <v/>
      </c>
      <c r="AJ199" s="2825" t="str">
        <f t="shared" si="56"/>
        <v/>
      </c>
    </row>
    <row r="200" spans="1:36" s="2832" customFormat="1">
      <c r="A200" s="2827" t="s">
        <v>4048</v>
      </c>
      <c r="B200" s="2814" t="e">
        <f t="shared" ref="B200:I200" ca="1" si="57">IF(B$124=0,0,IF(B$206-Center_H&gt;=0,0,2*PI())+IF(B$206-Center_H&gt;=0,1,-1)*ACOS(B$205/SQRT(B$205^2+(B$206-Center_H)^2)))</f>
        <v>#REF!</v>
      </c>
      <c r="C200" s="2776" t="e">
        <f t="shared" ca="1" si="57"/>
        <v>#REF!</v>
      </c>
      <c r="D200" s="2776" t="e">
        <f t="shared" ca="1" si="57"/>
        <v>#REF!</v>
      </c>
      <c r="E200" s="2776" t="e">
        <f t="shared" ca="1" si="57"/>
        <v>#REF!</v>
      </c>
      <c r="F200" s="2776" t="e">
        <f t="shared" ca="1" si="57"/>
        <v>#REF!</v>
      </c>
      <c r="G200" s="2776" t="e">
        <f t="shared" ca="1" si="57"/>
        <v>#REF!</v>
      </c>
      <c r="H200" s="2776" t="e">
        <f t="shared" ca="1" si="57"/>
        <v>#REF!</v>
      </c>
      <c r="I200" s="2776" t="e">
        <f t="shared" ca="1" si="57"/>
        <v>#REF!</v>
      </c>
      <c r="J200" s="2776" t="e">
        <f t="shared" ref="J200:AB200" ca="1" si="58">IF(J$124=0,0,IF(J$206-Center_H&gt;=0,0,2*PI())+IF(J$206-Center_H&gt;=0,1,-1)*ACOS(J$205/SQRT(J$205^2+(J$206-Center_H)^2)))</f>
        <v>#REF!</v>
      </c>
      <c r="K200" s="2776" t="e">
        <f t="shared" ca="1" si="58"/>
        <v>#REF!</v>
      </c>
      <c r="L200" s="2776" t="e">
        <f t="shared" ca="1" si="58"/>
        <v>#REF!</v>
      </c>
      <c r="M200" s="2776" t="e">
        <f t="shared" ca="1" si="58"/>
        <v>#REF!</v>
      </c>
      <c r="N200" s="2776" t="e">
        <f t="shared" ca="1" si="58"/>
        <v>#REF!</v>
      </c>
      <c r="O200" s="2776" t="e">
        <f t="shared" ca="1" si="58"/>
        <v>#REF!</v>
      </c>
      <c r="P200" s="2776" t="e">
        <f t="shared" ca="1" si="58"/>
        <v>#REF!</v>
      </c>
      <c r="Q200" s="2776" t="e">
        <f t="shared" ca="1" si="58"/>
        <v>#REF!</v>
      </c>
      <c r="R200" s="2776" t="e">
        <f t="shared" ca="1" si="58"/>
        <v>#REF!</v>
      </c>
      <c r="S200" s="2776" t="e">
        <f t="shared" ca="1" si="58"/>
        <v>#REF!</v>
      </c>
      <c r="T200" s="2776" t="e">
        <f t="shared" ca="1" si="58"/>
        <v>#REF!</v>
      </c>
      <c r="U200" s="2776" t="e">
        <f t="shared" ca="1" si="58"/>
        <v>#REF!</v>
      </c>
      <c r="V200" s="2776" t="e">
        <f t="shared" ca="1" si="58"/>
        <v>#REF!</v>
      </c>
      <c r="W200" s="2776" t="e">
        <f t="shared" ca="1" si="58"/>
        <v>#REF!</v>
      </c>
      <c r="X200" s="2776" t="e">
        <f t="shared" ca="1" si="58"/>
        <v>#REF!</v>
      </c>
      <c r="Y200" s="2776" t="e">
        <f t="shared" ca="1" si="58"/>
        <v>#REF!</v>
      </c>
      <c r="Z200" s="2776" t="e">
        <f t="shared" ca="1" si="58"/>
        <v>#REF!</v>
      </c>
      <c r="AA200" s="2776" t="e">
        <f t="shared" ca="1" si="58"/>
        <v>#REF!</v>
      </c>
      <c r="AB200" s="2776" t="e">
        <f t="shared" ca="1" si="58"/>
        <v>#REF!</v>
      </c>
      <c r="AC200" s="2828">
        <f t="shared" ref="AC200:AJ200" si="59">IF(AC$124=0,0,IF(AC$206-Center_H&gt;=0,0,2*PI())+IF(AC$206-Center_H&gt;=0,1,-1)*ACOS(AC$205/SQRT(AC$205^2+(AC$206-Center_H)^2)))</f>
        <v>0</v>
      </c>
      <c r="AD200" s="2829">
        <f t="shared" si="59"/>
        <v>0</v>
      </c>
      <c r="AE200" s="2829">
        <f t="shared" si="59"/>
        <v>0</v>
      </c>
      <c r="AF200" s="2830">
        <f t="shared" si="59"/>
        <v>0</v>
      </c>
      <c r="AG200" s="2831">
        <f t="shared" si="59"/>
        <v>0</v>
      </c>
      <c r="AH200" s="2829">
        <f t="shared" si="59"/>
        <v>0</v>
      </c>
      <c r="AI200" s="2829">
        <f t="shared" si="59"/>
        <v>0</v>
      </c>
      <c r="AJ200" s="2830">
        <f t="shared" si="59"/>
        <v>0</v>
      </c>
    </row>
    <row r="201" spans="1:36" s="2742" customFormat="1">
      <c r="A201" s="2757" t="s">
        <v>3575</v>
      </c>
      <c r="B201" s="2813" t="e">
        <f t="shared" ref="B201:AJ201" ca="1" si="60">IF(B202=0,0,SQRT(B205^2+(B206-Center_H)^2))</f>
        <v>#REF!</v>
      </c>
      <c r="C201" s="2744" t="e">
        <f t="shared" ca="1" si="60"/>
        <v>#REF!</v>
      </c>
      <c r="D201" s="2744" t="e">
        <f t="shared" ca="1" si="60"/>
        <v>#REF!</v>
      </c>
      <c r="E201" s="2744" t="e">
        <f t="shared" ca="1" si="60"/>
        <v>#REF!</v>
      </c>
      <c r="F201" s="2744" t="e">
        <f t="shared" ca="1" si="60"/>
        <v>#REF!</v>
      </c>
      <c r="G201" s="2744" t="e">
        <f t="shared" ca="1" si="60"/>
        <v>#REF!</v>
      </c>
      <c r="H201" s="2744" t="e">
        <f t="shared" ca="1" si="60"/>
        <v>#REF!</v>
      </c>
      <c r="I201" s="2744" t="e">
        <f t="shared" ca="1" si="60"/>
        <v>#REF!</v>
      </c>
      <c r="J201" s="2744" t="e">
        <f t="shared" ca="1" si="60"/>
        <v>#REF!</v>
      </c>
      <c r="K201" s="2744" t="e">
        <f t="shared" ca="1" si="60"/>
        <v>#REF!</v>
      </c>
      <c r="L201" s="2744" t="e">
        <f t="shared" ca="1" si="60"/>
        <v>#REF!</v>
      </c>
      <c r="M201" s="2744" t="e">
        <f t="shared" ca="1" si="60"/>
        <v>#REF!</v>
      </c>
      <c r="N201" s="2744" t="e">
        <f t="shared" ca="1" si="60"/>
        <v>#REF!</v>
      </c>
      <c r="O201" s="2744" t="e">
        <f t="shared" ca="1" si="60"/>
        <v>#REF!</v>
      </c>
      <c r="P201" s="2744" t="e">
        <f t="shared" ca="1" si="60"/>
        <v>#REF!</v>
      </c>
      <c r="Q201" s="2744" t="e">
        <f t="shared" ca="1" si="60"/>
        <v>#REF!</v>
      </c>
      <c r="R201" s="2744" t="e">
        <f t="shared" ca="1" si="60"/>
        <v>#REF!</v>
      </c>
      <c r="S201" s="2744" t="e">
        <f t="shared" ca="1" si="60"/>
        <v>#REF!</v>
      </c>
      <c r="T201" s="2744" t="e">
        <f t="shared" ca="1" si="60"/>
        <v>#REF!</v>
      </c>
      <c r="U201" s="2744" t="e">
        <f t="shared" ca="1" si="60"/>
        <v>#REF!</v>
      </c>
      <c r="V201" s="2744" t="e">
        <f t="shared" ca="1" si="60"/>
        <v>#REF!</v>
      </c>
      <c r="W201" s="2744" t="e">
        <f t="shared" ca="1" si="60"/>
        <v>#REF!</v>
      </c>
      <c r="X201" s="2744" t="e">
        <f t="shared" ca="1" si="60"/>
        <v>#REF!</v>
      </c>
      <c r="Y201" s="2744" t="e">
        <f t="shared" ca="1" si="60"/>
        <v>#REF!</v>
      </c>
      <c r="Z201" s="2744" t="e">
        <f t="shared" ca="1" si="60"/>
        <v>#REF!</v>
      </c>
      <c r="AA201" s="2744" t="e">
        <f t="shared" ca="1" si="60"/>
        <v>#REF!</v>
      </c>
      <c r="AB201" s="2744" t="e">
        <f t="shared" ca="1" si="60"/>
        <v>#REF!</v>
      </c>
      <c r="AC201" s="2788">
        <f t="shared" si="60"/>
        <v>0</v>
      </c>
      <c r="AD201" s="2738">
        <f t="shared" si="60"/>
        <v>0</v>
      </c>
      <c r="AE201" s="2738">
        <f t="shared" si="60"/>
        <v>0</v>
      </c>
      <c r="AF201" s="2789">
        <f t="shared" si="60"/>
        <v>0</v>
      </c>
      <c r="AG201" s="2833">
        <f t="shared" si="60"/>
        <v>0</v>
      </c>
      <c r="AH201" s="2738">
        <f t="shared" si="60"/>
        <v>0</v>
      </c>
      <c r="AI201" s="2738">
        <f t="shared" si="60"/>
        <v>0</v>
      </c>
      <c r="AJ201" s="2789">
        <f t="shared" si="60"/>
        <v>0</v>
      </c>
    </row>
    <row r="202" spans="1:36">
      <c r="A202" s="2700" t="s">
        <v>2790</v>
      </c>
      <c r="B202" s="2813" t="e">
        <f t="shared" ref="B202:AB202" ca="1" si="61">IF(OR(SQRT((B$122-$B$93)^2+(B$123-$B$94)^2)&lt;B$114/dist_mult,SQRT((B$122-$C$93)^2+(B$123-$C$94)^2)&lt;B$114/dist_mult,SQRT((B$122-$D$93)^2+(B$123-$D$94)^2)&lt;B$114/dist_mult,SQRT((B$122-$E$93)^2+(B$123-$E$94)^2)&lt;B$114/dist_mult,SQRT((B$122-$F$93)^2+(B$123-$F$94)^2)&lt;B$114/dist_mult,SQRT((B$122-$G$93)^2+(B$123-$G$94)^2)&lt;B$114/dist_mult,SQRT((B$122-$H$93)^2+(B$123-$H$94)^2)&lt;B$114/dist_mult,SQRT((B$122-$I$93)^2+(B$123-$I$94)^2)&lt;B$114/dist_mult,SQRT((B$122-$B$95)^2+(B$123-$B$96)^2)&lt;B$114/dist_mult,SQRT((B$122-$C$95)^2+(B$123-$C$96)^2)&lt;B$114/dist_mult,SQRT((B$122-$D$95)^2+(B$123-$D$96)^2)&lt;B$114/dist_mult,SQRT((B$122-$E$95)^2+(B$123-$E$96)^2)&lt;B$114/dist_mult,SQRT((B$122-$F$95)^2+(B$123-$F$96)^2)&lt;B$114/dist_mult,SQRT((B$122-$G$95)^2+(B$123-$G$96)^2)&lt;B$114/dist_mult,SQRT((B$122-$H$95)^2+(B$123-$H$96)^2)&lt;B$114/dist_mult,SQRT((B$122-$I$95)^2+(B$123-$I$96)^2)&lt;B$114/dist_mult),0,B$124)</f>
        <v>#REF!</v>
      </c>
      <c r="C202" s="2744" t="e">
        <f t="shared" ca="1" si="61"/>
        <v>#REF!</v>
      </c>
      <c r="D202" s="2744" t="e">
        <f t="shared" ca="1" si="61"/>
        <v>#REF!</v>
      </c>
      <c r="E202" s="2744" t="e">
        <f t="shared" ca="1" si="61"/>
        <v>#REF!</v>
      </c>
      <c r="F202" s="2744" t="e">
        <f t="shared" ca="1" si="61"/>
        <v>#REF!</v>
      </c>
      <c r="G202" s="2744" t="e">
        <f t="shared" ca="1" si="61"/>
        <v>#REF!</v>
      </c>
      <c r="H202" s="2744" t="e">
        <f t="shared" ca="1" si="61"/>
        <v>#REF!</v>
      </c>
      <c r="I202" s="2744" t="e">
        <f t="shared" ca="1" si="61"/>
        <v>#REF!</v>
      </c>
      <c r="J202" s="2744" t="e">
        <f t="shared" ca="1" si="61"/>
        <v>#REF!</v>
      </c>
      <c r="K202" s="2744" t="e">
        <f t="shared" ca="1" si="61"/>
        <v>#REF!</v>
      </c>
      <c r="L202" s="2744" t="e">
        <f t="shared" ca="1" si="61"/>
        <v>#REF!</v>
      </c>
      <c r="M202" s="2744" t="e">
        <f t="shared" ca="1" si="61"/>
        <v>#REF!</v>
      </c>
      <c r="N202" s="2744" t="e">
        <f t="shared" ca="1" si="61"/>
        <v>#REF!</v>
      </c>
      <c r="O202" s="2744" t="e">
        <f t="shared" ca="1" si="61"/>
        <v>#REF!</v>
      </c>
      <c r="P202" s="2744" t="e">
        <f t="shared" ca="1" si="61"/>
        <v>#REF!</v>
      </c>
      <c r="Q202" s="2744" t="e">
        <f t="shared" ca="1" si="61"/>
        <v>#REF!</v>
      </c>
      <c r="R202" s="2744" t="e">
        <f t="shared" ca="1" si="61"/>
        <v>#REF!</v>
      </c>
      <c r="S202" s="2744" t="e">
        <f t="shared" ca="1" si="61"/>
        <v>#REF!</v>
      </c>
      <c r="T202" s="2744" t="e">
        <f t="shared" ca="1" si="61"/>
        <v>#REF!</v>
      </c>
      <c r="U202" s="2744" t="e">
        <f t="shared" ca="1" si="61"/>
        <v>#REF!</v>
      </c>
      <c r="V202" s="2744" t="e">
        <f t="shared" ca="1" si="61"/>
        <v>#REF!</v>
      </c>
      <c r="W202" s="2744" t="e">
        <f t="shared" ca="1" si="61"/>
        <v>#REF!</v>
      </c>
      <c r="X202" s="2744" t="e">
        <f t="shared" ca="1" si="61"/>
        <v>#REF!</v>
      </c>
      <c r="Y202" s="2744" t="e">
        <f t="shared" ca="1" si="61"/>
        <v>#REF!</v>
      </c>
      <c r="Z202" s="2744" t="e">
        <f t="shared" ca="1" si="61"/>
        <v>#REF!</v>
      </c>
      <c r="AA202" s="2744" t="e">
        <f t="shared" ca="1" si="61"/>
        <v>#REF!</v>
      </c>
      <c r="AB202" s="2744" t="e">
        <f t="shared" ca="1" si="61"/>
        <v>#REF!</v>
      </c>
      <c r="AC202" s="2782">
        <f t="shared" ref="AC202:AJ202" si="62">AC$124</f>
        <v>0</v>
      </c>
      <c r="AD202" s="2744">
        <f t="shared" si="62"/>
        <v>0</v>
      </c>
      <c r="AE202" s="2744">
        <f t="shared" si="62"/>
        <v>0</v>
      </c>
      <c r="AF202" s="2783">
        <f t="shared" si="62"/>
        <v>0</v>
      </c>
      <c r="AG202" s="2834">
        <f t="shared" si="62"/>
        <v>0</v>
      </c>
      <c r="AH202" s="2744">
        <f t="shared" si="62"/>
        <v>0</v>
      </c>
      <c r="AI202" s="2744">
        <f t="shared" si="62"/>
        <v>0</v>
      </c>
      <c r="AJ202" s="2783">
        <f t="shared" si="62"/>
        <v>0</v>
      </c>
    </row>
    <row r="203" spans="1:36">
      <c r="A203" s="2700" t="s">
        <v>1128</v>
      </c>
      <c r="B203" s="2816" t="e">
        <f t="shared" ref="B203:I203" ca="1" si="63">IF( B202=0,0,mirror*ROUND(B$120*COS($H$6)-B$121*SIN($H$6),3))</f>
        <v>#REF!</v>
      </c>
      <c r="C203" s="2750" t="e">
        <f t="shared" ca="1" si="63"/>
        <v>#REF!</v>
      </c>
      <c r="D203" s="2750" t="e">
        <f t="shared" ca="1" si="63"/>
        <v>#REF!</v>
      </c>
      <c r="E203" s="2750" t="e">
        <f t="shared" ca="1" si="63"/>
        <v>#REF!</v>
      </c>
      <c r="F203" s="2750" t="e">
        <f t="shared" ca="1" si="63"/>
        <v>#REF!</v>
      </c>
      <c r="G203" s="2750" t="e">
        <f t="shared" ca="1" si="63"/>
        <v>#REF!</v>
      </c>
      <c r="H203" s="2750" t="e">
        <f t="shared" ca="1" si="63"/>
        <v>#REF!</v>
      </c>
      <c r="I203" s="2750" t="e">
        <f t="shared" ca="1" si="63"/>
        <v>#REF!</v>
      </c>
      <c r="J203" s="2750" t="e">
        <f t="shared" ref="J203:AB203" ca="1" si="64">IF( J202=0,0,mirror*ROUND(J$120*COS($H$6)-J$121*SIN($H$6),3))</f>
        <v>#REF!</v>
      </c>
      <c r="K203" s="2750" t="e">
        <f t="shared" ca="1" si="64"/>
        <v>#REF!</v>
      </c>
      <c r="L203" s="2750" t="e">
        <f t="shared" ca="1" si="64"/>
        <v>#REF!</v>
      </c>
      <c r="M203" s="2750" t="e">
        <f t="shared" ca="1" si="64"/>
        <v>#REF!</v>
      </c>
      <c r="N203" s="2750" t="e">
        <f t="shared" ca="1" si="64"/>
        <v>#REF!</v>
      </c>
      <c r="O203" s="2750" t="e">
        <f t="shared" ca="1" si="64"/>
        <v>#REF!</v>
      </c>
      <c r="P203" s="2750" t="e">
        <f t="shared" ca="1" si="64"/>
        <v>#REF!</v>
      </c>
      <c r="Q203" s="2750" t="e">
        <f t="shared" ca="1" si="64"/>
        <v>#REF!</v>
      </c>
      <c r="R203" s="2750" t="e">
        <f t="shared" ca="1" si="64"/>
        <v>#REF!</v>
      </c>
      <c r="S203" s="2750" t="e">
        <f t="shared" ca="1" si="64"/>
        <v>#REF!</v>
      </c>
      <c r="T203" s="2750" t="e">
        <f t="shared" ca="1" si="64"/>
        <v>#REF!</v>
      </c>
      <c r="U203" s="2750" t="e">
        <f t="shared" ca="1" si="64"/>
        <v>#REF!</v>
      </c>
      <c r="V203" s="2750" t="e">
        <f t="shared" ca="1" si="64"/>
        <v>#REF!</v>
      </c>
      <c r="W203" s="2750" t="e">
        <f t="shared" ca="1" si="64"/>
        <v>#REF!</v>
      </c>
      <c r="X203" s="2750" t="e">
        <f t="shared" ca="1" si="64"/>
        <v>#REF!</v>
      </c>
      <c r="Y203" s="2750" t="e">
        <f t="shared" ca="1" si="64"/>
        <v>#REF!</v>
      </c>
      <c r="Z203" s="2750" t="e">
        <f t="shared" ca="1" si="64"/>
        <v>#REF!</v>
      </c>
      <c r="AA203" s="2750" t="e">
        <f t="shared" ca="1" si="64"/>
        <v>#REF!</v>
      </c>
      <c r="AB203" s="2750" t="e">
        <f t="shared" ca="1" si="64"/>
        <v>#REF!</v>
      </c>
      <c r="AC203" s="2835">
        <f t="shared" ref="AC203:AJ203" si="65">IF( AC202=0,0,mirror*ROUND(AC$120*COS($H$6)-AC$121*SIN($H$6),3))</f>
        <v>0</v>
      </c>
      <c r="AD203" s="2836">
        <f t="shared" si="65"/>
        <v>0</v>
      </c>
      <c r="AE203" s="2836">
        <f t="shared" si="65"/>
        <v>0</v>
      </c>
      <c r="AF203" s="2837">
        <f t="shared" si="65"/>
        <v>0</v>
      </c>
      <c r="AG203" s="2838">
        <f t="shared" si="65"/>
        <v>0</v>
      </c>
      <c r="AH203" s="2836">
        <f t="shared" si="65"/>
        <v>0</v>
      </c>
      <c r="AI203" s="2836">
        <f t="shared" si="65"/>
        <v>0</v>
      </c>
      <c r="AJ203" s="2837">
        <f t="shared" si="65"/>
        <v>0</v>
      </c>
    </row>
    <row r="204" spans="1:36">
      <c r="A204" s="2700" t="s">
        <v>1129</v>
      </c>
      <c r="B204" s="2817" t="e">
        <f t="shared" ref="B204:I204" ca="1" si="66">IF(B202=0,0,ROUND(B$120*SIN($H$6)+B$121*COS($H$6),3)+Center_H)</f>
        <v>#REF!</v>
      </c>
      <c r="C204" s="2738" t="e">
        <f t="shared" ca="1" si="66"/>
        <v>#REF!</v>
      </c>
      <c r="D204" s="2738" t="e">
        <f t="shared" ca="1" si="66"/>
        <v>#REF!</v>
      </c>
      <c r="E204" s="2738" t="e">
        <f t="shared" ca="1" si="66"/>
        <v>#REF!</v>
      </c>
      <c r="F204" s="2738" t="e">
        <f t="shared" ca="1" si="66"/>
        <v>#REF!</v>
      </c>
      <c r="G204" s="2738" t="e">
        <f t="shared" ca="1" si="66"/>
        <v>#REF!</v>
      </c>
      <c r="H204" s="2738" t="e">
        <f t="shared" ca="1" si="66"/>
        <v>#REF!</v>
      </c>
      <c r="I204" s="2738" t="e">
        <f t="shared" ca="1" si="66"/>
        <v>#REF!</v>
      </c>
      <c r="J204" s="2738" t="e">
        <f t="shared" ref="J204:AB204" ca="1" si="67">IF(J202=0,0,ROUND(J$120*SIN($H$6)+J$121*COS($H$6),3)+Center_H)</f>
        <v>#REF!</v>
      </c>
      <c r="K204" s="2738" t="e">
        <f t="shared" ca="1" si="67"/>
        <v>#REF!</v>
      </c>
      <c r="L204" s="2738" t="e">
        <f t="shared" ca="1" si="67"/>
        <v>#REF!</v>
      </c>
      <c r="M204" s="2738" t="e">
        <f t="shared" ca="1" si="67"/>
        <v>#REF!</v>
      </c>
      <c r="N204" s="2738" t="e">
        <f t="shared" ca="1" si="67"/>
        <v>#REF!</v>
      </c>
      <c r="O204" s="2738" t="e">
        <f t="shared" ca="1" si="67"/>
        <v>#REF!</v>
      </c>
      <c r="P204" s="2738" t="e">
        <f t="shared" ca="1" si="67"/>
        <v>#REF!</v>
      </c>
      <c r="Q204" s="2738" t="e">
        <f t="shared" ca="1" si="67"/>
        <v>#REF!</v>
      </c>
      <c r="R204" s="2738" t="e">
        <f t="shared" ca="1" si="67"/>
        <v>#REF!</v>
      </c>
      <c r="S204" s="2738" t="e">
        <f t="shared" ca="1" si="67"/>
        <v>#REF!</v>
      </c>
      <c r="T204" s="2738" t="e">
        <f t="shared" ca="1" si="67"/>
        <v>#REF!</v>
      </c>
      <c r="U204" s="2738" t="e">
        <f t="shared" ca="1" si="67"/>
        <v>#REF!</v>
      </c>
      <c r="V204" s="2738" t="e">
        <f t="shared" ca="1" si="67"/>
        <v>#REF!</v>
      </c>
      <c r="W204" s="2738" t="e">
        <f t="shared" ca="1" si="67"/>
        <v>#REF!</v>
      </c>
      <c r="X204" s="2738" t="e">
        <f t="shared" ca="1" si="67"/>
        <v>#REF!</v>
      </c>
      <c r="Y204" s="2738" t="e">
        <f t="shared" ca="1" si="67"/>
        <v>#REF!</v>
      </c>
      <c r="Z204" s="2738" t="e">
        <f t="shared" ca="1" si="67"/>
        <v>#REF!</v>
      </c>
      <c r="AA204" s="2738" t="e">
        <f t="shared" ca="1" si="67"/>
        <v>#REF!</v>
      </c>
      <c r="AB204" s="2738" t="e">
        <f t="shared" ca="1" si="67"/>
        <v>#REF!</v>
      </c>
      <c r="AC204" s="2839">
        <f t="shared" ref="AC204:AJ204" si="68">IF(AC202=0,0,ROUND(AC$120*SIN($H$6)+AC$121*COS($H$6),3)+Center_H)</f>
        <v>0</v>
      </c>
      <c r="AD204" s="2759">
        <f t="shared" si="68"/>
        <v>0</v>
      </c>
      <c r="AE204" s="2759">
        <f t="shared" si="68"/>
        <v>0</v>
      </c>
      <c r="AF204" s="2840">
        <f t="shared" si="68"/>
        <v>0</v>
      </c>
      <c r="AG204" s="2841">
        <f t="shared" si="68"/>
        <v>0</v>
      </c>
      <c r="AH204" s="2842">
        <f t="shared" si="68"/>
        <v>0</v>
      </c>
      <c r="AI204" s="2842">
        <f t="shared" si="68"/>
        <v>0</v>
      </c>
      <c r="AJ204" s="2843">
        <f t="shared" si="68"/>
        <v>0</v>
      </c>
    </row>
    <row r="205" spans="1:36">
      <c r="A205" s="2700" t="s">
        <v>1130</v>
      </c>
      <c r="B205" s="2816" t="e">
        <f t="shared" ref="B205:I205" ca="1" si="69">IF(B202=0,0,mirror*ROUND(B$122*COS($H$6)-B$123*SIN($H$6),3))</f>
        <v>#REF!</v>
      </c>
      <c r="C205" s="2750" t="e">
        <f t="shared" ca="1" si="69"/>
        <v>#REF!</v>
      </c>
      <c r="D205" s="2750" t="e">
        <f t="shared" ca="1" si="69"/>
        <v>#REF!</v>
      </c>
      <c r="E205" s="2750" t="e">
        <f t="shared" ca="1" si="69"/>
        <v>#REF!</v>
      </c>
      <c r="F205" s="2750" t="e">
        <f t="shared" ca="1" si="69"/>
        <v>#REF!</v>
      </c>
      <c r="G205" s="2750" t="e">
        <f t="shared" ca="1" si="69"/>
        <v>#REF!</v>
      </c>
      <c r="H205" s="2750" t="e">
        <f t="shared" ca="1" si="69"/>
        <v>#REF!</v>
      </c>
      <c r="I205" s="2750" t="e">
        <f t="shared" ca="1" si="69"/>
        <v>#REF!</v>
      </c>
      <c r="J205" s="2750" t="e">
        <f t="shared" ref="J205:AB205" ca="1" si="70">IF(J202=0,0,mirror*ROUND(J$122*COS($H$6)-J$123*SIN($H$6),3))</f>
        <v>#REF!</v>
      </c>
      <c r="K205" s="2750" t="e">
        <f t="shared" ca="1" si="70"/>
        <v>#REF!</v>
      </c>
      <c r="L205" s="2750" t="e">
        <f t="shared" ca="1" si="70"/>
        <v>#REF!</v>
      </c>
      <c r="M205" s="2750" t="e">
        <f t="shared" ca="1" si="70"/>
        <v>#REF!</v>
      </c>
      <c r="N205" s="2750" t="e">
        <f t="shared" ca="1" si="70"/>
        <v>#REF!</v>
      </c>
      <c r="O205" s="2750" t="e">
        <f t="shared" ca="1" si="70"/>
        <v>#REF!</v>
      </c>
      <c r="P205" s="2750" t="e">
        <f t="shared" ca="1" si="70"/>
        <v>#REF!</v>
      </c>
      <c r="Q205" s="2750" t="e">
        <f t="shared" ca="1" si="70"/>
        <v>#REF!</v>
      </c>
      <c r="R205" s="2750" t="e">
        <f t="shared" ca="1" si="70"/>
        <v>#REF!</v>
      </c>
      <c r="S205" s="2750" t="e">
        <f t="shared" ca="1" si="70"/>
        <v>#REF!</v>
      </c>
      <c r="T205" s="2750" t="e">
        <f t="shared" ca="1" si="70"/>
        <v>#REF!</v>
      </c>
      <c r="U205" s="2750" t="e">
        <f t="shared" ca="1" si="70"/>
        <v>#REF!</v>
      </c>
      <c r="V205" s="2750" t="e">
        <f t="shared" ca="1" si="70"/>
        <v>#REF!</v>
      </c>
      <c r="W205" s="2750" t="e">
        <f t="shared" ca="1" si="70"/>
        <v>#REF!</v>
      </c>
      <c r="X205" s="2750" t="e">
        <f t="shared" ca="1" si="70"/>
        <v>#REF!</v>
      </c>
      <c r="Y205" s="2750" t="e">
        <f t="shared" ca="1" si="70"/>
        <v>#REF!</v>
      </c>
      <c r="Z205" s="2750" t="e">
        <f t="shared" ca="1" si="70"/>
        <v>#REF!</v>
      </c>
      <c r="AA205" s="2750" t="e">
        <f t="shared" ca="1" si="70"/>
        <v>#REF!</v>
      </c>
      <c r="AB205" s="2750" t="e">
        <f t="shared" ca="1" si="70"/>
        <v>#REF!</v>
      </c>
      <c r="AC205" s="2785">
        <f t="shared" ref="AC205:AJ205" si="71">IF(AC202=0,0,mirror*ROUND(AC$122*COS($H$6)-AC$123*SIN($H$6),3))</f>
        <v>0</v>
      </c>
      <c r="AD205" s="2750">
        <f t="shared" si="71"/>
        <v>0</v>
      </c>
      <c r="AE205" s="2750">
        <f t="shared" si="71"/>
        <v>0</v>
      </c>
      <c r="AF205" s="2786">
        <f t="shared" si="71"/>
        <v>0</v>
      </c>
      <c r="AG205" s="2844">
        <f t="shared" si="71"/>
        <v>0</v>
      </c>
      <c r="AH205" s="2750">
        <f t="shared" si="71"/>
        <v>0</v>
      </c>
      <c r="AI205" s="2750">
        <f t="shared" si="71"/>
        <v>0</v>
      </c>
      <c r="AJ205" s="2786">
        <f t="shared" si="71"/>
        <v>0</v>
      </c>
    </row>
    <row r="206" spans="1:36" ht="15.75" thickBot="1">
      <c r="A206" s="2845" t="s">
        <v>1131</v>
      </c>
      <c r="B206" s="2801" t="e">
        <f t="shared" ref="B206:I206" ca="1" si="72">IF(B202=0,0,ROUND(B$122*SIN($H$6)+B$123*COS($H$6),3)+Center_H)</f>
        <v>#REF!</v>
      </c>
      <c r="C206" s="2686" t="e">
        <f t="shared" ca="1" si="72"/>
        <v>#REF!</v>
      </c>
      <c r="D206" s="2686" t="e">
        <f t="shared" ca="1" si="72"/>
        <v>#REF!</v>
      </c>
      <c r="E206" s="2686" t="e">
        <f t="shared" ca="1" si="72"/>
        <v>#REF!</v>
      </c>
      <c r="F206" s="2686" t="e">
        <f t="shared" ca="1" si="72"/>
        <v>#REF!</v>
      </c>
      <c r="G206" s="2686" t="e">
        <f t="shared" ca="1" si="72"/>
        <v>#REF!</v>
      </c>
      <c r="H206" s="2686" t="e">
        <f t="shared" ca="1" si="72"/>
        <v>#REF!</v>
      </c>
      <c r="I206" s="2686" t="e">
        <f t="shared" ca="1" si="72"/>
        <v>#REF!</v>
      </c>
      <c r="J206" s="2686" t="e">
        <f t="shared" ref="J206:AB206" ca="1" si="73">IF(J202=0,0,ROUND(J$122*SIN($H$6)+J$123*COS($H$6),3)+Center_H)</f>
        <v>#REF!</v>
      </c>
      <c r="K206" s="2686" t="e">
        <f t="shared" ca="1" si="73"/>
        <v>#REF!</v>
      </c>
      <c r="L206" s="2686" t="e">
        <f t="shared" ca="1" si="73"/>
        <v>#REF!</v>
      </c>
      <c r="M206" s="2686" t="e">
        <f t="shared" ca="1" si="73"/>
        <v>#REF!</v>
      </c>
      <c r="N206" s="2686" t="e">
        <f t="shared" ca="1" si="73"/>
        <v>#REF!</v>
      </c>
      <c r="O206" s="2686" t="e">
        <f t="shared" ca="1" si="73"/>
        <v>#REF!</v>
      </c>
      <c r="P206" s="2686" t="e">
        <f t="shared" ca="1" si="73"/>
        <v>#REF!</v>
      </c>
      <c r="Q206" s="2686" t="e">
        <f t="shared" ca="1" si="73"/>
        <v>#REF!</v>
      </c>
      <c r="R206" s="2686" t="e">
        <f t="shared" ca="1" si="73"/>
        <v>#REF!</v>
      </c>
      <c r="S206" s="2686" t="e">
        <f t="shared" ca="1" si="73"/>
        <v>#REF!</v>
      </c>
      <c r="T206" s="2686" t="e">
        <f t="shared" ca="1" si="73"/>
        <v>#REF!</v>
      </c>
      <c r="U206" s="2686" t="e">
        <f t="shared" ca="1" si="73"/>
        <v>#REF!</v>
      </c>
      <c r="V206" s="2686" t="e">
        <f t="shared" ca="1" si="73"/>
        <v>#REF!</v>
      </c>
      <c r="W206" s="2686" t="e">
        <f t="shared" ca="1" si="73"/>
        <v>#REF!</v>
      </c>
      <c r="X206" s="2686" t="e">
        <f t="shared" ca="1" si="73"/>
        <v>#REF!</v>
      </c>
      <c r="Y206" s="2686" t="e">
        <f t="shared" ca="1" si="73"/>
        <v>#REF!</v>
      </c>
      <c r="Z206" s="2686" t="e">
        <f t="shared" ca="1" si="73"/>
        <v>#REF!</v>
      </c>
      <c r="AA206" s="2686" t="e">
        <f t="shared" ca="1" si="73"/>
        <v>#REF!</v>
      </c>
      <c r="AB206" s="2686" t="e">
        <f t="shared" ca="1" si="73"/>
        <v>#REF!</v>
      </c>
      <c r="AC206" s="2846">
        <f t="shared" ref="AC206:AJ206" si="74">IF(AC202=0,0,ROUND(AC$122*SIN($H$6)+AC$123*COS($H$6),3)+Center_H)</f>
        <v>0</v>
      </c>
      <c r="AD206" s="2686">
        <f t="shared" si="74"/>
        <v>0</v>
      </c>
      <c r="AE206" s="2686">
        <f t="shared" si="74"/>
        <v>0</v>
      </c>
      <c r="AF206" s="2804">
        <f t="shared" si="74"/>
        <v>0</v>
      </c>
      <c r="AG206" s="2847">
        <f t="shared" si="74"/>
        <v>0</v>
      </c>
      <c r="AH206" s="2686">
        <f t="shared" si="74"/>
        <v>0</v>
      </c>
      <c r="AI206" s="2686">
        <f t="shared" si="74"/>
        <v>0</v>
      </c>
      <c r="AJ206" s="2804">
        <f t="shared" si="74"/>
        <v>0</v>
      </c>
    </row>
    <row r="207" spans="1:36">
      <c r="A207" s="2712"/>
      <c r="B207" s="2798"/>
      <c r="C207" s="2704"/>
      <c r="D207" s="2639"/>
      <c r="E207" s="2639"/>
      <c r="F207" s="2639"/>
      <c r="G207" s="2639"/>
      <c r="H207" s="2639"/>
      <c r="I207" s="2639"/>
      <c r="J207" s="2639"/>
      <c r="K207" s="2639"/>
      <c r="L207" s="2639"/>
      <c r="M207" s="2639"/>
      <c r="N207" s="2639"/>
      <c r="O207" s="2639"/>
      <c r="P207" s="2639"/>
      <c r="Q207" s="2639"/>
      <c r="R207" s="2639"/>
      <c r="S207" s="2639"/>
      <c r="T207" s="2639"/>
      <c r="U207" s="2639"/>
      <c r="V207" s="2639"/>
      <c r="W207" s="2639"/>
      <c r="X207" s="2639"/>
      <c r="Y207" s="2639"/>
      <c r="Z207" s="2639"/>
      <c r="AA207" s="2639"/>
      <c r="AB207" s="2639"/>
      <c r="AC207" s="2639"/>
      <c r="AD207" s="2639"/>
      <c r="AE207" s="2639"/>
      <c r="AF207" s="2639"/>
      <c r="AG207" s="2639"/>
      <c r="AH207" s="2639"/>
      <c r="AI207" s="2639"/>
      <c r="AJ207" s="2675"/>
    </row>
    <row r="208" spans="1:36" ht="15.75" thickBot="1">
      <c r="A208" s="2712"/>
      <c r="B208" s="3205"/>
      <c r="C208" s="2639"/>
      <c r="D208" s="2639"/>
      <c r="E208" s="2639"/>
      <c r="F208" s="2639"/>
      <c r="G208" s="2639"/>
      <c r="H208" s="2639"/>
      <c r="I208" s="2639"/>
      <c r="J208" s="2639"/>
      <c r="K208" s="2639"/>
      <c r="L208" s="2639"/>
      <c r="M208" s="2639"/>
      <c r="N208" s="2639"/>
      <c r="O208" s="2639"/>
      <c r="P208" s="2639"/>
      <c r="Q208" s="2639"/>
      <c r="R208" s="2639"/>
      <c r="S208" s="2639"/>
      <c r="T208" s="2639"/>
      <c r="U208" s="2639"/>
      <c r="V208" s="2639"/>
      <c r="W208" s="2639"/>
      <c r="X208" s="2639"/>
      <c r="Y208" s="2639"/>
      <c r="Z208" s="2639"/>
      <c r="AA208" s="2639"/>
      <c r="AB208" s="2639"/>
      <c r="AC208" s="2639"/>
      <c r="AD208" s="2639"/>
      <c r="AE208" s="2639"/>
      <c r="AF208" s="2639"/>
      <c r="AG208" s="2639"/>
      <c r="AH208" s="2639"/>
      <c r="AI208" s="2639"/>
      <c r="AJ208" s="2675"/>
    </row>
    <row r="209" spans="1:36" ht="15.75" thickBot="1">
      <c r="A209" s="2848"/>
      <c r="B209" s="3240" t="str">
        <f>"Support Plate "&amp;$E$6&amp;", "&amp;$G$6&amp;", "&amp;Center_H</f>
        <v>Support Plate RD, 135, 1269</v>
      </c>
      <c r="C209" s="3241"/>
      <c r="D209" s="3241"/>
      <c r="E209" s="3241"/>
      <c r="F209" s="3241"/>
      <c r="G209" s="3241"/>
      <c r="H209" s="3241"/>
      <c r="I209" s="3241"/>
      <c r="J209" s="3241"/>
      <c r="K209" s="3241"/>
      <c r="L209" s="3241"/>
      <c r="M209" s="3241"/>
      <c r="N209" s="3241"/>
      <c r="O209" s="3241"/>
      <c r="P209" s="3241"/>
      <c r="Q209" s="3241"/>
      <c r="R209" s="3241"/>
      <c r="S209" s="3241"/>
      <c r="T209" s="3241"/>
      <c r="U209" s="3241"/>
      <c r="V209" s="3241"/>
      <c r="W209" s="3241"/>
      <c r="X209" s="3241"/>
      <c r="Y209" s="3241"/>
      <c r="Z209" s="3241"/>
      <c r="AA209" s="3241"/>
      <c r="AB209" s="3241"/>
      <c r="AC209" s="3241"/>
      <c r="AD209" s="3241"/>
      <c r="AE209" s="3241"/>
      <c r="AF209" s="3241"/>
      <c r="AG209" s="3241"/>
      <c r="AH209" s="3241"/>
      <c r="AI209" s="3241"/>
      <c r="AJ209" s="3242"/>
    </row>
    <row r="210" spans="1:36">
      <c r="A210" s="2701"/>
      <c r="B210" s="2798"/>
      <c r="C210" s="2639"/>
      <c r="D210" s="3887" t="s">
        <v>4030</v>
      </c>
      <c r="E210" s="3888"/>
      <c r="F210" s="2819" t="e">
        <f ca="1">I210*$U$7/1000*steel_density</f>
        <v>#REF!</v>
      </c>
      <c r="G210" s="2738" t="s">
        <v>131</v>
      </c>
      <c r="H210" s="2640" t="s">
        <v>4032</v>
      </c>
      <c r="I210" s="2674" t="e">
        <f ca="1">PI()/4*((SP_oD/1000)^2-(SP_iD/1000)^2)</f>
        <v>#REF!</v>
      </c>
      <c r="J210" s="2639" t="s">
        <v>2511</v>
      </c>
      <c r="K210" s="2639"/>
      <c r="L210" s="2639"/>
      <c r="M210" s="2639"/>
      <c r="N210" s="2639"/>
      <c r="O210" s="2639"/>
      <c r="P210" s="2639"/>
      <c r="Q210" s="2639"/>
      <c r="R210" s="2639"/>
      <c r="S210" s="2639"/>
      <c r="T210" s="2639"/>
      <c r="U210" s="2639"/>
      <c r="V210" s="2639"/>
      <c r="W210" s="2639"/>
      <c r="X210" s="2639"/>
      <c r="Y210" s="2639"/>
      <c r="Z210" s="2639"/>
      <c r="AA210" s="2639"/>
      <c r="AB210" s="2639"/>
      <c r="AC210" s="2639"/>
      <c r="AD210" s="2639"/>
      <c r="AE210" s="2639"/>
      <c r="AF210" s="2639"/>
      <c r="AG210" s="2639"/>
      <c r="AH210" s="2639"/>
      <c r="AI210" s="2639"/>
      <c r="AJ210" s="2675"/>
    </row>
    <row r="211" spans="1:36">
      <c r="A211" s="2827" t="s">
        <v>1104</v>
      </c>
      <c r="B211" s="2849">
        <f>House!B$60</f>
        <v>0</v>
      </c>
      <c r="C211" s="2776">
        <f>House!C$60</f>
        <v>0.18479956785822313</v>
      </c>
      <c r="D211" s="2776">
        <f>House!D$60</f>
        <v>0.36959913571644626</v>
      </c>
      <c r="E211" s="2776">
        <f>House!E$60</f>
        <v>0.55439870357466936</v>
      </c>
      <c r="F211" s="2776">
        <f>House!F$60</f>
        <v>0.73919827143289252</v>
      </c>
      <c r="G211" s="2776">
        <f>House!G$60</f>
        <v>0.92399783929111567</v>
      </c>
      <c r="H211" s="2776">
        <f>House!H$60</f>
        <v>1.1087974071493387</v>
      </c>
      <c r="I211" s="2776">
        <f>House!I$60</f>
        <v>1.2935969750075618</v>
      </c>
      <c r="J211" s="2776">
        <f>House!J$60</f>
        <v>1.4783965428657848</v>
      </c>
      <c r="K211" s="2776">
        <f>House!K$60</f>
        <v>1.6631961107240079</v>
      </c>
      <c r="L211" s="2776">
        <f>House!L$60</f>
        <v>1.8479956785822309</v>
      </c>
      <c r="M211" s="2776">
        <f>House!M$60</f>
        <v>2.032795246440454</v>
      </c>
      <c r="N211" s="2776">
        <f>House!N$60</f>
        <v>2.217594814298677</v>
      </c>
      <c r="O211" s="2776">
        <f>House!O$60</f>
        <v>2.4023943821569</v>
      </c>
      <c r="P211" s="2776">
        <f>House!P$60</f>
        <v>2.5871939500151231</v>
      </c>
      <c r="Q211" s="2776">
        <f>House!Q$60</f>
        <v>2.7719935178733461</v>
      </c>
      <c r="R211" s="2776">
        <f>House!R$60</f>
        <v>2.9567930857315692</v>
      </c>
      <c r="S211" s="2776">
        <f>House!S$60</f>
        <v>3.1415926535897922</v>
      </c>
      <c r="T211" s="2776">
        <f>House!T$60</f>
        <v>3.3263922214480153</v>
      </c>
      <c r="U211" s="2776">
        <f>House!U$60</f>
        <v>3.5111917893062383</v>
      </c>
      <c r="V211" s="2776">
        <f>House!V$60</f>
        <v>3.6959913571644614</v>
      </c>
      <c r="W211" s="2776">
        <f>House!W$60</f>
        <v>3.8807909250226844</v>
      </c>
      <c r="X211" s="2776">
        <f>House!X$60</f>
        <v>4.0655904928809079</v>
      </c>
      <c r="Y211" s="2776">
        <f>House!Y$60</f>
        <v>4.2503900607391314</v>
      </c>
      <c r="Z211" s="2776">
        <f>House!Z$60</f>
        <v>4.4351896285973549</v>
      </c>
      <c r="AA211" s="2776">
        <f>House!AA$60</f>
        <v>4.6199891964555784</v>
      </c>
      <c r="AB211" s="2777">
        <f>House!AB$60</f>
        <v>4.8047887643138019</v>
      </c>
      <c r="AC211" s="2776">
        <f>House!AC$60</f>
        <v>4.9895883321720254</v>
      </c>
      <c r="AD211" s="2776">
        <f>House!AD$60</f>
        <v>5.1743879000302488</v>
      </c>
      <c r="AE211" s="2776">
        <f>House!AE$60</f>
        <v>5.3591874678884723</v>
      </c>
      <c r="AF211" s="2776">
        <f>House!AF$60</f>
        <v>5.5439870357466958</v>
      </c>
      <c r="AG211" s="2776">
        <f>House!AG$60</f>
        <v>5.7287866036049193</v>
      </c>
      <c r="AH211" s="2776">
        <f>House!AH$60</f>
        <v>5.9135861714631428</v>
      </c>
      <c r="AI211" s="2776">
        <f>House!AI$60</f>
        <v>6.0983857393213663</v>
      </c>
      <c r="AJ211" s="2779">
        <f>House!AJ$60</f>
        <v>6.2831853071795898</v>
      </c>
    </row>
    <row r="212" spans="1:36">
      <c r="A212" s="2700" t="str">
        <f>"SPoD"</f>
        <v>SPoD</v>
      </c>
      <c r="B212" s="2816" t="e">
        <f t="shared" ref="B212:AJ212" ca="1" si="75">SP_oD/2*COS(B211)</f>
        <v>#REF!</v>
      </c>
      <c r="C212" s="2750" t="e">
        <f t="shared" ca="1" si="75"/>
        <v>#REF!</v>
      </c>
      <c r="D212" s="2750" t="e">
        <f t="shared" ca="1" si="75"/>
        <v>#REF!</v>
      </c>
      <c r="E212" s="2750" t="e">
        <f t="shared" ca="1" si="75"/>
        <v>#REF!</v>
      </c>
      <c r="F212" s="2750" t="e">
        <f t="shared" ca="1" si="75"/>
        <v>#REF!</v>
      </c>
      <c r="G212" s="2750" t="e">
        <f t="shared" ca="1" si="75"/>
        <v>#REF!</v>
      </c>
      <c r="H212" s="2750" t="e">
        <f t="shared" ca="1" si="75"/>
        <v>#REF!</v>
      </c>
      <c r="I212" s="2750" t="e">
        <f t="shared" ca="1" si="75"/>
        <v>#REF!</v>
      </c>
      <c r="J212" s="2750" t="e">
        <f t="shared" ca="1" si="75"/>
        <v>#REF!</v>
      </c>
      <c r="K212" s="2750" t="e">
        <f t="shared" ca="1" si="75"/>
        <v>#REF!</v>
      </c>
      <c r="L212" s="2750" t="e">
        <f t="shared" ca="1" si="75"/>
        <v>#REF!</v>
      </c>
      <c r="M212" s="2750" t="e">
        <f t="shared" ca="1" si="75"/>
        <v>#REF!</v>
      </c>
      <c r="N212" s="2750" t="e">
        <f t="shared" ca="1" si="75"/>
        <v>#REF!</v>
      </c>
      <c r="O212" s="2750" t="e">
        <f t="shared" ca="1" si="75"/>
        <v>#REF!</v>
      </c>
      <c r="P212" s="2750" t="e">
        <f t="shared" ca="1" si="75"/>
        <v>#REF!</v>
      </c>
      <c r="Q212" s="2750" t="e">
        <f t="shared" ca="1" si="75"/>
        <v>#REF!</v>
      </c>
      <c r="R212" s="2750" t="e">
        <f t="shared" ca="1" si="75"/>
        <v>#REF!</v>
      </c>
      <c r="S212" s="2750" t="e">
        <f t="shared" ca="1" si="75"/>
        <v>#REF!</v>
      </c>
      <c r="T212" s="2750" t="e">
        <f t="shared" ca="1" si="75"/>
        <v>#REF!</v>
      </c>
      <c r="U212" s="2750" t="e">
        <f t="shared" ca="1" si="75"/>
        <v>#REF!</v>
      </c>
      <c r="V212" s="2750" t="e">
        <f t="shared" ca="1" si="75"/>
        <v>#REF!</v>
      </c>
      <c r="W212" s="2750" t="e">
        <f t="shared" ca="1" si="75"/>
        <v>#REF!</v>
      </c>
      <c r="X212" s="2750" t="e">
        <f t="shared" ca="1" si="75"/>
        <v>#REF!</v>
      </c>
      <c r="Y212" s="2750" t="e">
        <f t="shared" ca="1" si="75"/>
        <v>#REF!</v>
      </c>
      <c r="Z212" s="2750" t="e">
        <f t="shared" ca="1" si="75"/>
        <v>#REF!</v>
      </c>
      <c r="AA212" s="2750" t="e">
        <f t="shared" ca="1" si="75"/>
        <v>#REF!</v>
      </c>
      <c r="AB212" s="2784" t="e">
        <f t="shared" ca="1" si="75"/>
        <v>#REF!</v>
      </c>
      <c r="AC212" s="2750" t="e">
        <f t="shared" ca="1" si="75"/>
        <v>#REF!</v>
      </c>
      <c r="AD212" s="2750" t="e">
        <f t="shared" ca="1" si="75"/>
        <v>#REF!</v>
      </c>
      <c r="AE212" s="2750" t="e">
        <f t="shared" ca="1" si="75"/>
        <v>#REF!</v>
      </c>
      <c r="AF212" s="2750" t="e">
        <f t="shared" ca="1" si="75"/>
        <v>#REF!</v>
      </c>
      <c r="AG212" s="2750" t="e">
        <f t="shared" ca="1" si="75"/>
        <v>#REF!</v>
      </c>
      <c r="AH212" s="2750" t="e">
        <f t="shared" ca="1" si="75"/>
        <v>#REF!</v>
      </c>
      <c r="AI212" s="2750" t="e">
        <f t="shared" ca="1" si="75"/>
        <v>#REF!</v>
      </c>
      <c r="AJ212" s="2786" t="e">
        <f t="shared" ca="1" si="75"/>
        <v>#REF!</v>
      </c>
    </row>
    <row r="213" spans="1:36">
      <c r="A213" s="2700" t="s">
        <v>3951</v>
      </c>
      <c r="B213" s="2813" t="e">
        <f t="shared" ref="B213:AJ213" ca="1" si="76">SP_oD/2*SIN(B211)+Center_H</f>
        <v>#REF!</v>
      </c>
      <c r="C213" s="2744" t="e">
        <f t="shared" ca="1" si="76"/>
        <v>#REF!</v>
      </c>
      <c r="D213" s="2744" t="e">
        <f t="shared" ca="1" si="76"/>
        <v>#REF!</v>
      </c>
      <c r="E213" s="2744" t="e">
        <f t="shared" ca="1" si="76"/>
        <v>#REF!</v>
      </c>
      <c r="F213" s="2744" t="e">
        <f t="shared" ca="1" si="76"/>
        <v>#REF!</v>
      </c>
      <c r="G213" s="2744" t="e">
        <f t="shared" ca="1" si="76"/>
        <v>#REF!</v>
      </c>
      <c r="H213" s="2744" t="e">
        <f t="shared" ca="1" si="76"/>
        <v>#REF!</v>
      </c>
      <c r="I213" s="2744" t="e">
        <f t="shared" ca="1" si="76"/>
        <v>#REF!</v>
      </c>
      <c r="J213" s="2744" t="e">
        <f t="shared" ca="1" si="76"/>
        <v>#REF!</v>
      </c>
      <c r="K213" s="2744" t="e">
        <f t="shared" ca="1" si="76"/>
        <v>#REF!</v>
      </c>
      <c r="L213" s="2744" t="e">
        <f t="shared" ca="1" si="76"/>
        <v>#REF!</v>
      </c>
      <c r="M213" s="2744" t="e">
        <f t="shared" ca="1" si="76"/>
        <v>#REF!</v>
      </c>
      <c r="N213" s="2744" t="e">
        <f t="shared" ca="1" si="76"/>
        <v>#REF!</v>
      </c>
      <c r="O213" s="2744" t="e">
        <f t="shared" ca="1" si="76"/>
        <v>#REF!</v>
      </c>
      <c r="P213" s="2744" t="e">
        <f t="shared" ca="1" si="76"/>
        <v>#REF!</v>
      </c>
      <c r="Q213" s="2744" t="e">
        <f t="shared" ca="1" si="76"/>
        <v>#REF!</v>
      </c>
      <c r="R213" s="2744" t="e">
        <f t="shared" ca="1" si="76"/>
        <v>#REF!</v>
      </c>
      <c r="S213" s="2744" t="e">
        <f t="shared" ca="1" si="76"/>
        <v>#REF!</v>
      </c>
      <c r="T213" s="2744" t="e">
        <f t="shared" ca="1" si="76"/>
        <v>#REF!</v>
      </c>
      <c r="U213" s="2744" t="e">
        <f t="shared" ca="1" si="76"/>
        <v>#REF!</v>
      </c>
      <c r="V213" s="2744" t="e">
        <f t="shared" ca="1" si="76"/>
        <v>#REF!</v>
      </c>
      <c r="W213" s="2744" t="e">
        <f t="shared" ca="1" si="76"/>
        <v>#REF!</v>
      </c>
      <c r="X213" s="2744" t="e">
        <f t="shared" ca="1" si="76"/>
        <v>#REF!</v>
      </c>
      <c r="Y213" s="2744" t="e">
        <f t="shared" ca="1" si="76"/>
        <v>#REF!</v>
      </c>
      <c r="Z213" s="2744" t="e">
        <f t="shared" ca="1" si="76"/>
        <v>#REF!</v>
      </c>
      <c r="AA213" s="2744" t="e">
        <f t="shared" ca="1" si="76"/>
        <v>#REF!</v>
      </c>
      <c r="AB213" s="2781" t="e">
        <f t="shared" ca="1" si="76"/>
        <v>#REF!</v>
      </c>
      <c r="AC213" s="2744" t="e">
        <f t="shared" ca="1" si="76"/>
        <v>#REF!</v>
      </c>
      <c r="AD213" s="2744" t="e">
        <f t="shared" ca="1" si="76"/>
        <v>#REF!</v>
      </c>
      <c r="AE213" s="2744" t="e">
        <f t="shared" ca="1" si="76"/>
        <v>#REF!</v>
      </c>
      <c r="AF213" s="2744" t="e">
        <f t="shared" ca="1" si="76"/>
        <v>#REF!</v>
      </c>
      <c r="AG213" s="2744" t="e">
        <f t="shared" ca="1" si="76"/>
        <v>#REF!</v>
      </c>
      <c r="AH213" s="2744" t="e">
        <f t="shared" ca="1" si="76"/>
        <v>#REF!</v>
      </c>
      <c r="AI213" s="2744" t="e">
        <f t="shared" ca="1" si="76"/>
        <v>#REF!</v>
      </c>
      <c r="AJ213" s="2783" t="e">
        <f t="shared" ca="1" si="76"/>
        <v>#REF!</v>
      </c>
    </row>
    <row r="214" spans="1:36">
      <c r="A214" s="2700" t="str">
        <f>"SPiD"</f>
        <v>SPiD</v>
      </c>
      <c r="B214" s="2816" t="e">
        <f t="shared" ref="B214:AJ214" ca="1" si="77">SP_iD/2*COS(B211)</f>
        <v>#REF!</v>
      </c>
      <c r="C214" s="2750" t="e">
        <f t="shared" ca="1" si="77"/>
        <v>#REF!</v>
      </c>
      <c r="D214" s="2750" t="e">
        <f t="shared" ca="1" si="77"/>
        <v>#REF!</v>
      </c>
      <c r="E214" s="2750" t="e">
        <f t="shared" ca="1" si="77"/>
        <v>#REF!</v>
      </c>
      <c r="F214" s="2750" t="e">
        <f t="shared" ca="1" si="77"/>
        <v>#REF!</v>
      </c>
      <c r="G214" s="2750" t="e">
        <f t="shared" ca="1" si="77"/>
        <v>#REF!</v>
      </c>
      <c r="H214" s="2750" t="e">
        <f t="shared" ca="1" si="77"/>
        <v>#REF!</v>
      </c>
      <c r="I214" s="2750" t="e">
        <f t="shared" ca="1" si="77"/>
        <v>#REF!</v>
      </c>
      <c r="J214" s="2750" t="e">
        <f t="shared" ca="1" si="77"/>
        <v>#REF!</v>
      </c>
      <c r="K214" s="2750" t="e">
        <f t="shared" ca="1" si="77"/>
        <v>#REF!</v>
      </c>
      <c r="L214" s="2750" t="e">
        <f t="shared" ca="1" si="77"/>
        <v>#REF!</v>
      </c>
      <c r="M214" s="2750" t="e">
        <f t="shared" ca="1" si="77"/>
        <v>#REF!</v>
      </c>
      <c r="N214" s="2750" t="e">
        <f t="shared" ca="1" si="77"/>
        <v>#REF!</v>
      </c>
      <c r="O214" s="2750" t="e">
        <f t="shared" ca="1" si="77"/>
        <v>#REF!</v>
      </c>
      <c r="P214" s="2750" t="e">
        <f t="shared" ca="1" si="77"/>
        <v>#REF!</v>
      </c>
      <c r="Q214" s="2750" t="e">
        <f t="shared" ca="1" si="77"/>
        <v>#REF!</v>
      </c>
      <c r="R214" s="2750" t="e">
        <f t="shared" ca="1" si="77"/>
        <v>#REF!</v>
      </c>
      <c r="S214" s="2750" t="e">
        <f t="shared" ca="1" si="77"/>
        <v>#REF!</v>
      </c>
      <c r="T214" s="2750" t="e">
        <f t="shared" ca="1" si="77"/>
        <v>#REF!</v>
      </c>
      <c r="U214" s="2750" t="e">
        <f t="shared" ca="1" si="77"/>
        <v>#REF!</v>
      </c>
      <c r="V214" s="2750" t="e">
        <f t="shared" ca="1" si="77"/>
        <v>#REF!</v>
      </c>
      <c r="W214" s="2750" t="e">
        <f t="shared" ca="1" si="77"/>
        <v>#REF!</v>
      </c>
      <c r="X214" s="2750" t="e">
        <f t="shared" ca="1" si="77"/>
        <v>#REF!</v>
      </c>
      <c r="Y214" s="2750" t="e">
        <f t="shared" ca="1" si="77"/>
        <v>#REF!</v>
      </c>
      <c r="Z214" s="2750" t="e">
        <f t="shared" ca="1" si="77"/>
        <v>#REF!</v>
      </c>
      <c r="AA214" s="2750" t="e">
        <f t="shared" ca="1" si="77"/>
        <v>#REF!</v>
      </c>
      <c r="AB214" s="2784" t="e">
        <f t="shared" ca="1" si="77"/>
        <v>#REF!</v>
      </c>
      <c r="AC214" s="2750" t="e">
        <f t="shared" ca="1" si="77"/>
        <v>#REF!</v>
      </c>
      <c r="AD214" s="2750" t="e">
        <f t="shared" ca="1" si="77"/>
        <v>#REF!</v>
      </c>
      <c r="AE214" s="2750" t="e">
        <f t="shared" ca="1" si="77"/>
        <v>#REF!</v>
      </c>
      <c r="AF214" s="2750" t="e">
        <f t="shared" ca="1" si="77"/>
        <v>#REF!</v>
      </c>
      <c r="AG214" s="2750" t="e">
        <f t="shared" ca="1" si="77"/>
        <v>#REF!</v>
      </c>
      <c r="AH214" s="2750" t="e">
        <f t="shared" ca="1" si="77"/>
        <v>#REF!</v>
      </c>
      <c r="AI214" s="2750" t="e">
        <f t="shared" ca="1" si="77"/>
        <v>#REF!</v>
      </c>
      <c r="AJ214" s="2786" t="e">
        <f t="shared" ca="1" si="77"/>
        <v>#REF!</v>
      </c>
    </row>
    <row r="215" spans="1:36" ht="15.75" thickBot="1">
      <c r="A215" s="2700" t="s">
        <v>3952</v>
      </c>
      <c r="B215" s="2850" t="e">
        <f t="shared" ref="B215:AJ215" ca="1" si="78">SP_iD/2*SIN(B211)+Center_H</f>
        <v>#REF!</v>
      </c>
      <c r="C215" s="2851" t="e">
        <f t="shared" ca="1" si="78"/>
        <v>#REF!</v>
      </c>
      <c r="D215" s="2851" t="e">
        <f t="shared" ca="1" si="78"/>
        <v>#REF!</v>
      </c>
      <c r="E215" s="2851" t="e">
        <f t="shared" ca="1" si="78"/>
        <v>#REF!</v>
      </c>
      <c r="F215" s="2851" t="e">
        <f t="shared" ca="1" si="78"/>
        <v>#REF!</v>
      </c>
      <c r="G215" s="2851" t="e">
        <f t="shared" ca="1" si="78"/>
        <v>#REF!</v>
      </c>
      <c r="H215" s="2851" t="e">
        <f t="shared" ca="1" si="78"/>
        <v>#REF!</v>
      </c>
      <c r="I215" s="2851" t="e">
        <f t="shared" ca="1" si="78"/>
        <v>#REF!</v>
      </c>
      <c r="J215" s="2851" t="e">
        <f t="shared" ca="1" si="78"/>
        <v>#REF!</v>
      </c>
      <c r="K215" s="2851" t="e">
        <f t="shared" ca="1" si="78"/>
        <v>#REF!</v>
      </c>
      <c r="L215" s="2851" t="e">
        <f t="shared" ca="1" si="78"/>
        <v>#REF!</v>
      </c>
      <c r="M215" s="2851" t="e">
        <f t="shared" ca="1" si="78"/>
        <v>#REF!</v>
      </c>
      <c r="N215" s="2851" t="e">
        <f t="shared" ca="1" si="78"/>
        <v>#REF!</v>
      </c>
      <c r="O215" s="2851" t="e">
        <f t="shared" ca="1" si="78"/>
        <v>#REF!</v>
      </c>
      <c r="P215" s="2851" t="e">
        <f t="shared" ca="1" si="78"/>
        <v>#REF!</v>
      </c>
      <c r="Q215" s="2851" t="e">
        <f t="shared" ca="1" si="78"/>
        <v>#REF!</v>
      </c>
      <c r="R215" s="2851" t="e">
        <f t="shared" ca="1" si="78"/>
        <v>#REF!</v>
      </c>
      <c r="S215" s="2851" t="e">
        <f t="shared" ca="1" si="78"/>
        <v>#REF!</v>
      </c>
      <c r="T215" s="2851" t="e">
        <f t="shared" ca="1" si="78"/>
        <v>#REF!</v>
      </c>
      <c r="U215" s="2851" t="e">
        <f t="shared" ca="1" si="78"/>
        <v>#REF!</v>
      </c>
      <c r="V215" s="2851" t="e">
        <f t="shared" ca="1" si="78"/>
        <v>#REF!</v>
      </c>
      <c r="W215" s="2851" t="e">
        <f t="shared" ca="1" si="78"/>
        <v>#REF!</v>
      </c>
      <c r="X215" s="2851" t="e">
        <f t="shared" ca="1" si="78"/>
        <v>#REF!</v>
      </c>
      <c r="Y215" s="2851" t="e">
        <f t="shared" ca="1" si="78"/>
        <v>#REF!</v>
      </c>
      <c r="Z215" s="2851" t="e">
        <f t="shared" ca="1" si="78"/>
        <v>#REF!</v>
      </c>
      <c r="AA215" s="2851" t="e">
        <f t="shared" ca="1" si="78"/>
        <v>#REF!</v>
      </c>
      <c r="AB215" s="2852" t="e">
        <f t="shared" ca="1" si="78"/>
        <v>#REF!</v>
      </c>
      <c r="AC215" s="2851" t="e">
        <f t="shared" ca="1" si="78"/>
        <v>#REF!</v>
      </c>
      <c r="AD215" s="2851" t="e">
        <f t="shared" ca="1" si="78"/>
        <v>#REF!</v>
      </c>
      <c r="AE215" s="2851" t="e">
        <f t="shared" ca="1" si="78"/>
        <v>#REF!</v>
      </c>
      <c r="AF215" s="2851" t="e">
        <f t="shared" ca="1" si="78"/>
        <v>#REF!</v>
      </c>
      <c r="AG215" s="2851" t="e">
        <f t="shared" ca="1" si="78"/>
        <v>#REF!</v>
      </c>
      <c r="AH215" s="2851" t="e">
        <f t="shared" ca="1" si="78"/>
        <v>#REF!</v>
      </c>
      <c r="AI215" s="2851" t="e">
        <f t="shared" ca="1" si="78"/>
        <v>#REF!</v>
      </c>
      <c r="AJ215" s="2853" t="e">
        <f t="shared" ca="1" si="78"/>
        <v>#REF!</v>
      </c>
    </row>
    <row r="216" spans="1:36" ht="15.75" thickBot="1">
      <c r="A216" s="2854"/>
      <c r="B216" s="3206"/>
      <c r="C216" s="2683"/>
      <c r="D216" s="2683"/>
      <c r="E216" s="2683"/>
      <c r="F216" s="2683"/>
      <c r="G216" s="2683"/>
      <c r="H216" s="2683"/>
      <c r="I216" s="2683"/>
      <c r="J216" s="2683"/>
      <c r="K216" s="2683"/>
      <c r="L216" s="2683"/>
      <c r="M216" s="2683"/>
      <c r="N216" s="2683"/>
      <c r="O216" s="2683"/>
      <c r="P216" s="2683"/>
      <c r="Q216" s="2683"/>
      <c r="R216" s="2683"/>
      <c r="S216" s="2683"/>
      <c r="T216" s="2683"/>
      <c r="U216" s="2683"/>
      <c r="V216" s="2683"/>
      <c r="W216" s="2683"/>
      <c r="X216" s="2683"/>
      <c r="Y216" s="2683"/>
      <c r="Z216" s="2683"/>
      <c r="AA216" s="2683"/>
      <c r="AB216" s="2683"/>
      <c r="AC216" s="2683"/>
      <c r="AD216" s="2683"/>
      <c r="AE216" s="2683"/>
      <c r="AF216" s="2683"/>
      <c r="AG216" s="2683"/>
      <c r="AH216" s="2683"/>
      <c r="AI216" s="2683"/>
      <c r="AJ216" s="2691"/>
    </row>
  </sheetData>
  <mergeCells count="84">
    <mergeCell ref="AE190:AF190"/>
    <mergeCell ref="AC190:AD190"/>
    <mergeCell ref="Y191:Z191"/>
    <mergeCell ref="AA191:AB191"/>
    <mergeCell ref="AC191:AD191"/>
    <mergeCell ref="AE191:AF191"/>
    <mergeCell ref="O91:P91"/>
    <mergeCell ref="Y92:Z92"/>
    <mergeCell ref="AA92:AB92"/>
    <mergeCell ref="Y190:Z190"/>
    <mergeCell ref="AA190:AB190"/>
    <mergeCell ref="H90:I90"/>
    <mergeCell ref="Y90:Z90"/>
    <mergeCell ref="AA90:AB90"/>
    <mergeCell ref="AC90:AD90"/>
    <mergeCell ref="AE90:AF90"/>
    <mergeCell ref="U46:AB46"/>
    <mergeCell ref="AC46:AJ46"/>
    <mergeCell ref="K53:L53"/>
    <mergeCell ref="K55:L55"/>
    <mergeCell ref="K56:L56"/>
    <mergeCell ref="D19:X19"/>
    <mergeCell ref="A5:G5"/>
    <mergeCell ref="D18:Z18"/>
    <mergeCell ref="D31:X31"/>
    <mergeCell ref="U45:AJ45"/>
    <mergeCell ref="D30:Z30"/>
    <mergeCell ref="AD13:AJ13"/>
    <mergeCell ref="A37:A38"/>
    <mergeCell ref="B37:AJ38"/>
    <mergeCell ref="U40:AJ40"/>
    <mergeCell ref="B40:Q40"/>
    <mergeCell ref="J41:Q41"/>
    <mergeCell ref="AC41:AJ41"/>
    <mergeCell ref="B41:I41"/>
    <mergeCell ref="U41:AB41"/>
    <mergeCell ref="B45:Q45"/>
    <mergeCell ref="C1:N1"/>
    <mergeCell ref="B2:L2"/>
    <mergeCell ref="M2:N2"/>
    <mergeCell ref="AD5:AJ5"/>
    <mergeCell ref="A4:AJ4"/>
    <mergeCell ref="J5:AC5"/>
    <mergeCell ref="B46:I46"/>
    <mergeCell ref="J46:Q46"/>
    <mergeCell ref="B78:H78"/>
    <mergeCell ref="B92:C92"/>
    <mergeCell ref="D92:E92"/>
    <mergeCell ref="F92:G92"/>
    <mergeCell ref="H92:I92"/>
    <mergeCell ref="B60:C60"/>
    <mergeCell ref="D60:E60"/>
    <mergeCell ref="B61:C61"/>
    <mergeCell ref="D61:E61"/>
    <mergeCell ref="B62:C62"/>
    <mergeCell ref="D62:E62"/>
    <mergeCell ref="B84:I84"/>
    <mergeCell ref="J84:Q84"/>
    <mergeCell ref="J79:Q79"/>
    <mergeCell ref="D210:E210"/>
    <mergeCell ref="B197:AJ197"/>
    <mergeCell ref="A75:A76"/>
    <mergeCell ref="U78:AA78"/>
    <mergeCell ref="U84:AB84"/>
    <mergeCell ref="AC84:AJ84"/>
    <mergeCell ref="AC79:AJ79"/>
    <mergeCell ref="B79:I79"/>
    <mergeCell ref="U79:AB79"/>
    <mergeCell ref="U83:AA83"/>
    <mergeCell ref="B83:H83"/>
    <mergeCell ref="AC92:AD92"/>
    <mergeCell ref="AE92:AF92"/>
    <mergeCell ref="B90:C90"/>
    <mergeCell ref="D90:E90"/>
    <mergeCell ref="F90:G90"/>
    <mergeCell ref="A157:A158"/>
    <mergeCell ref="B191:C191"/>
    <mergeCell ref="D191:E191"/>
    <mergeCell ref="F191:G191"/>
    <mergeCell ref="H191:I191"/>
    <mergeCell ref="B190:C190"/>
    <mergeCell ref="D190:E190"/>
    <mergeCell ref="F190:G190"/>
    <mergeCell ref="H190:I190"/>
  </mergeCells>
  <phoneticPr fontId="170" type="noConversion"/>
  <conditionalFormatting sqref="Y17">
    <cfRule type="expression" dxfId="271" priority="4">
      <formula>MJ_2&gt;J_2_max</formula>
    </cfRule>
  </conditionalFormatting>
  <conditionalFormatting sqref="Y17">
    <cfRule type="expression" dxfId="270" priority="3">
      <formula>MJ_2&gt;5</formula>
    </cfRule>
  </conditionalFormatting>
  <pageMargins left="0.7" right="0.7" top="0.75" bottom="0.75" header="0.3" footer="0.3"/>
  <pageSetup orientation="portrait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L102"/>
  <sheetViews>
    <sheetView zoomScale="60" zoomScaleNormal="60" workbookViewId="0">
      <pane xSplit="1" ySplit="16" topLeftCell="B56" activePane="bottomRight" state="frozen"/>
      <selection pane="topRight" activeCell="B1" sqref="B1"/>
      <selection pane="bottomLeft" activeCell="A17" sqref="A17"/>
      <selection pane="bottomRight" activeCell="B60" sqref="B60"/>
    </sheetView>
  </sheetViews>
  <sheetFormatPr defaultColWidth="9" defaultRowHeight="15"/>
  <cols>
    <col min="1" max="1" width="55.5703125" style="465" customWidth="1"/>
    <col min="2" max="16384" width="9" style="465"/>
  </cols>
  <sheetData>
    <row r="1" spans="1:36" s="243" customFormat="1" ht="19.5" thickBot="1">
      <c r="A1" s="115" t="str">
        <f>'Select Drive &amp; Motor'!A1</f>
        <v>ID</v>
      </c>
      <c r="B1" s="2148" t="str">
        <f>ID</f>
        <v>NBF191005</v>
      </c>
      <c r="C1" s="3614" t="str">
        <f>'Select Drive &amp; Motor'!C1:Q1</f>
        <v>, , XOE 273-90 REG, Direct, RD135</v>
      </c>
      <c r="D1" s="3614"/>
      <c r="E1" s="3614"/>
      <c r="F1" s="3614"/>
      <c r="G1" s="3614"/>
      <c r="H1" s="3614"/>
      <c r="I1" s="3614"/>
      <c r="J1" s="3614"/>
      <c r="K1" s="3614"/>
      <c r="L1" s="3614"/>
      <c r="M1" s="3614"/>
      <c r="N1" s="3795"/>
    </row>
    <row r="2" spans="1:36" s="243" customFormat="1" ht="19.5" thickBot="1">
      <c r="A2" s="115" t="str">
        <f>'Select Drive &amp; Motor'!A2</f>
        <v>Comments</v>
      </c>
      <c r="B2" s="3613">
        <f>'Select Drive &amp; Motor'!B2</f>
        <v>0</v>
      </c>
      <c r="C2" s="3614"/>
      <c r="D2" s="3614"/>
      <c r="E2" s="3614"/>
      <c r="F2" s="3614"/>
      <c r="G2" s="3614"/>
      <c r="H2" s="3614"/>
      <c r="I2" s="3614"/>
      <c r="J2" s="3614"/>
      <c r="K2" s="3614"/>
      <c r="L2" s="3615"/>
      <c r="M2" s="3611" t="str">
        <f>'Select Drive &amp; Motor'!P2</f>
        <v>190923</v>
      </c>
      <c r="N2" s="3612"/>
    </row>
    <row r="3" spans="1:36" s="802" customFormat="1" ht="19.5" thickBot="1">
      <c r="A3" s="163"/>
      <c r="B3" s="116"/>
      <c r="C3" s="116"/>
      <c r="D3" s="116"/>
      <c r="E3" s="116"/>
      <c r="F3" s="116"/>
      <c r="G3" s="116"/>
      <c r="H3" s="116"/>
      <c r="I3" s="116"/>
      <c r="J3" s="116"/>
      <c r="K3" s="116"/>
      <c r="L3" s="116"/>
      <c r="M3" s="801"/>
      <c r="N3" s="801"/>
    </row>
    <row r="4" spans="1:36" s="802" customFormat="1" ht="19.5" thickBot="1">
      <c r="A4" s="3796" t="s">
        <v>2644</v>
      </c>
      <c r="B4" s="3797"/>
      <c r="C4" s="3797"/>
      <c r="D4" s="3797"/>
      <c r="E4" s="3797"/>
      <c r="F4" s="3797"/>
      <c r="G4" s="3797"/>
      <c r="H4" s="3797"/>
      <c r="I4" s="3797"/>
      <c r="J4" s="3797"/>
      <c r="K4" s="3797"/>
      <c r="L4" s="3797"/>
      <c r="M4" s="3797"/>
      <c r="N4" s="3797"/>
      <c r="O4" s="3797"/>
      <c r="P4" s="3797"/>
      <c r="Q4" s="3797"/>
      <c r="R4" s="3797"/>
      <c r="S4" s="3797"/>
      <c r="T4" s="3797"/>
      <c r="U4" s="3797"/>
      <c r="V4" s="3797"/>
      <c r="W4" s="3797"/>
      <c r="X4" s="3797"/>
      <c r="Y4" s="3797"/>
      <c r="Z4" s="3797"/>
      <c r="AA4" s="3797"/>
      <c r="AB4" s="3797"/>
      <c r="AC4" s="3797"/>
      <c r="AD4" s="3797"/>
      <c r="AE4" s="3797"/>
      <c r="AF4" s="3797"/>
      <c r="AG4" s="3797"/>
      <c r="AH4" s="3797"/>
      <c r="AI4" s="3797"/>
      <c r="AJ4" s="3798"/>
    </row>
    <row r="5" spans="1:36">
      <c r="A5" s="3821" t="s">
        <v>1792</v>
      </c>
      <c r="B5" s="3819"/>
      <c r="C5" s="3819"/>
      <c r="D5" s="3819"/>
      <c r="E5" s="3819"/>
      <c r="F5" s="3819"/>
      <c r="G5" s="3819"/>
      <c r="H5" s="2512" t="s">
        <v>3957</v>
      </c>
      <c r="I5" s="2513" t="e">
        <f ca="1">Small_F</f>
        <v>#REF!</v>
      </c>
      <c r="J5" s="3818" t="str">
        <f>"House Frame, Drive side "&amp;$E$6&amp;" ,"&amp;$G$6&amp;" , (0) - DRIVE VIEW"</f>
        <v>House Frame, Drive side RD ,135 , (0) - DRIVE VIEW</v>
      </c>
      <c r="K5" s="3819"/>
      <c r="L5" s="3819"/>
      <c r="M5" s="3819"/>
      <c r="N5" s="3819"/>
      <c r="O5" s="3819"/>
      <c r="P5" s="3819"/>
      <c r="Q5" s="3819"/>
      <c r="R5" s="3819"/>
      <c r="S5" s="3819"/>
      <c r="T5" s="3819"/>
      <c r="U5" s="3819"/>
      <c r="V5" s="3819"/>
      <c r="W5" s="3819"/>
      <c r="X5" s="3819"/>
      <c r="Y5" s="3819"/>
      <c r="Z5" s="3819"/>
      <c r="AA5" s="3819"/>
      <c r="AB5" s="3819"/>
      <c r="AC5" s="3820"/>
      <c r="AD5" s="3803" t="s">
        <v>1796</v>
      </c>
      <c r="AE5" s="3804"/>
      <c r="AF5" s="3804"/>
      <c r="AG5" s="3804"/>
      <c r="AH5" s="3804"/>
      <c r="AI5" s="3804"/>
      <c r="AJ5" s="3805"/>
    </row>
    <row r="6" spans="1:36">
      <c r="A6" s="1305" t="str">
        <f>House!A6</f>
        <v>House Orientation &amp; Rotation</v>
      </c>
      <c r="B6" s="1305">
        <f>House!B6</f>
        <v>0</v>
      </c>
      <c r="C6" s="1285">
        <f>House!C6</f>
        <v>0</v>
      </c>
      <c r="D6" s="1282" t="str">
        <f>House!D6</f>
        <v>degr</v>
      </c>
      <c r="E6" s="1290" t="str">
        <f>House!E6</f>
        <v>RD</v>
      </c>
      <c r="F6" s="1291">
        <f>House!F6</f>
        <v>-1</v>
      </c>
      <c r="G6" s="1290">
        <f>House!G6</f>
        <v>135</v>
      </c>
      <c r="H6" s="1292">
        <f>House!H6</f>
        <v>2.3561944901923448</v>
      </c>
      <c r="I6" s="1293" t="str">
        <f>House!I6</f>
        <v>rad.</v>
      </c>
      <c r="J6" s="939"/>
      <c r="K6" s="940"/>
      <c r="L6" s="940"/>
      <c r="M6" s="940"/>
      <c r="N6" s="940"/>
      <c r="O6" s="518"/>
      <c r="P6" s="518"/>
      <c r="Q6" s="518"/>
      <c r="R6" s="528" t="e">
        <f ca="1">IF(Small_F,'House reinf, Support Plate Side'!R6,'House reinf, Central Frame Side'!U6)</f>
        <v>#REF!</v>
      </c>
      <c r="S6" s="528" t="e">
        <f ca="1">IF(Small_F,'House reinf, Support Plate Side'!S6,'House reinf, Central Frame Side'!V6)</f>
        <v>#REF!</v>
      </c>
      <c r="T6" s="528" t="e">
        <f ca="1">IF(Small_F,'House reinf, Support Plate Side'!T6,'House reinf, Central Frame Side'!W6)</f>
        <v>#REF!</v>
      </c>
      <c r="U6" s="528" t="e">
        <f ca="1">IF(Small_F,'House reinf, Support Plate Side'!U6,'House reinf, Central Frame Side'!X6)</f>
        <v>#REF!</v>
      </c>
      <c r="V6" s="528"/>
      <c r="W6" s="528"/>
      <c r="X6" s="528"/>
      <c r="Y6" s="528"/>
      <c r="Z6" s="528"/>
      <c r="AA6" s="528"/>
      <c r="AB6" s="2388"/>
      <c r="AC6" s="2389"/>
      <c r="AD6" s="1279"/>
      <c r="AE6" s="1294" t="str">
        <f>House!AE6</f>
        <v>d_2</v>
      </c>
      <c r="AF6" s="1281">
        <f>House!AF6</f>
        <v>1600</v>
      </c>
      <c r="AG6" s="1282" t="str">
        <f>House!AG6</f>
        <v>mm</v>
      </c>
      <c r="AH6" s="1282"/>
      <c r="AI6" s="1282"/>
      <c r="AJ6" s="1283"/>
    </row>
    <row r="7" spans="1:36">
      <c r="A7" s="1305" t="str">
        <f>House!A7</f>
        <v>r0</v>
      </c>
      <c r="B7" s="1305">
        <f>House!B7</f>
        <v>0.95050964215147715</v>
      </c>
      <c r="C7" s="1285" t="str">
        <f>House!C7</f>
        <v>m</v>
      </c>
      <c r="D7" s="1282"/>
      <c r="E7" s="1282"/>
      <c r="F7" s="1281"/>
      <c r="G7" s="1282"/>
      <c r="H7" s="1282"/>
      <c r="I7" s="1293"/>
      <c r="J7" s="941"/>
      <c r="K7" s="942"/>
      <c r="L7" s="942"/>
      <c r="M7" s="942"/>
      <c r="N7" s="942"/>
      <c r="O7" s="518"/>
      <c r="P7" s="518"/>
      <c r="Q7" s="528" t="e">
        <f ca="1">IF(Small_F,'House reinf, Support Plate Side'!Q7,'House reinf, Central Frame Side'!T6)</f>
        <v>#REF!</v>
      </c>
      <c r="R7" s="2418" t="e">
        <f ca="1">IF(Small_F,'House reinf, Support Plate Side'!R7,'House reinf, Central Frame Side'!U7)</f>
        <v>#REF!</v>
      </c>
      <c r="S7" s="816" t="e">
        <f ca="1">IF(Small_F,'House reinf, Support Plate Side'!S7,'House reinf, Central Frame Side'!V7)</f>
        <v>#REF!</v>
      </c>
      <c r="T7" s="816" t="e">
        <f ca="1">IF(Small_F,'House reinf, Support Plate Side'!T7,'House reinf, Central Frame Side'!W7)</f>
        <v>#REF!</v>
      </c>
      <c r="U7" s="816" t="e">
        <f ca="1">IF(Small_F,'House reinf, Support Plate Side'!U7,'House reinf, Central Frame Side'!X7)</f>
        <v>#REF!</v>
      </c>
      <c r="V7" s="528"/>
      <c r="W7" s="528"/>
      <c r="X7" s="528"/>
      <c r="Y7" s="528"/>
      <c r="Z7" s="528"/>
      <c r="AA7" s="528"/>
      <c r="AB7" s="518"/>
      <c r="AC7" s="521"/>
      <c r="AD7" s="1279"/>
      <c r="AE7" s="1294" t="str">
        <f>House!AE7</f>
        <v>inlet_D_ext</v>
      </c>
      <c r="AF7" s="1281">
        <f>House!AF7</f>
        <v>950</v>
      </c>
      <c r="AG7" s="1282" t="str">
        <f>House!AG7</f>
        <v>mm</v>
      </c>
      <c r="AH7" s="1282" t="str">
        <f>House!AH7</f>
        <v>inlet_R_m</v>
      </c>
      <c r="AI7" s="1282">
        <f>House!AI7</f>
        <v>0.47499999999999998</v>
      </c>
      <c r="AJ7" s="1283" t="str">
        <f>House!AJ7</f>
        <v>m</v>
      </c>
    </row>
    <row r="8" spans="1:36">
      <c r="A8" s="1305" t="str">
        <f>House!A8</f>
        <v>K_House</v>
      </c>
      <c r="B8" s="1305">
        <f>House!B8</f>
        <v>7.9312948555555277E-2</v>
      </c>
      <c r="C8" s="1285" t="str">
        <f>House!C8</f>
        <v>1/rad</v>
      </c>
      <c r="D8" s="1282"/>
      <c r="E8" s="1282"/>
      <c r="F8" s="1281"/>
      <c r="G8" s="1282"/>
      <c r="H8" s="1282"/>
      <c r="I8" s="1293"/>
      <c r="J8" s="939"/>
      <c r="K8" s="942"/>
      <c r="L8" s="1367"/>
      <c r="M8" s="518"/>
      <c r="N8" s="518"/>
      <c r="O8" s="518"/>
      <c r="P8" s="518"/>
      <c r="Q8" s="528" t="e">
        <f ca="1">IF(Small_F,'House reinf, Support Plate Side'!Q8,'House reinf, Central Frame Side'!Q7)</f>
        <v>#REF!</v>
      </c>
      <c r="R8" s="2433" t="e">
        <f ca="1">IF(Small_F,'House reinf, Support Plate Side'!R8,'House reinf, Central Frame Side'!U8)</f>
        <v>#REF!</v>
      </c>
      <c r="S8" s="2433" t="e">
        <f ca="1">IF(Small_F,'House reinf, Support Plate Side'!S8,'House reinf, Central Frame Side'!V8)</f>
        <v>#REF!</v>
      </c>
      <c r="T8" s="2433" t="e">
        <f ca="1">IF(Small_F,'House reinf, Support Plate Side'!T8,'House reinf, Central Frame Side'!W8)</f>
        <v>#REF!</v>
      </c>
      <c r="U8" s="2433" t="e">
        <f ca="1">IF(Small_F,'House reinf, Support Plate Side'!U8,'House reinf, Central Frame Side'!X8)</f>
        <v>#REF!</v>
      </c>
      <c r="V8" s="1362"/>
      <c r="W8" s="528"/>
      <c r="X8" s="528"/>
      <c r="Y8" s="528"/>
      <c r="Z8" s="528"/>
      <c r="AA8" s="528"/>
      <c r="AB8" s="1323"/>
      <c r="AC8" s="2085"/>
      <c r="AD8" s="1279"/>
      <c r="AE8" s="1294" t="str">
        <f>House!AE8</f>
        <v>d_in</v>
      </c>
      <c r="AF8" s="1281">
        <f>House!AF8</f>
        <v>700</v>
      </c>
      <c r="AG8" s="1282" t="str">
        <f>House!AG8</f>
        <v>mm</v>
      </c>
      <c r="AH8" s="1282" t="str">
        <f>House!AH8</f>
        <v>r_in_m</v>
      </c>
      <c r="AI8" s="1282">
        <f>House!AI8</f>
        <v>0.35</v>
      </c>
      <c r="AJ8" s="1283" t="str">
        <f>House!AJ8</f>
        <v>m</v>
      </c>
    </row>
    <row r="9" spans="1:36">
      <c r="A9" s="1305" t="str">
        <f>House!A9</f>
        <v>alfastart (tongue position)</v>
      </c>
      <c r="B9" s="1305">
        <f>House!B9</f>
        <v>1.1344640137963142</v>
      </c>
      <c r="C9" s="1285" t="str">
        <f>House!C9</f>
        <v>rad</v>
      </c>
      <c r="D9" s="1282"/>
      <c r="E9" s="1295" t="str">
        <f>House!E9</f>
        <v>Tongue_delta</v>
      </c>
      <c r="F9" s="1281">
        <f>House!F9</f>
        <v>0</v>
      </c>
      <c r="G9" s="1282" t="str">
        <f>House!G9</f>
        <v>rad</v>
      </c>
      <c r="H9" s="1304">
        <f>House!H9</f>
        <v>65</v>
      </c>
      <c r="I9" s="1293" t="str">
        <f>House!I9</f>
        <v>degr</v>
      </c>
      <c r="J9" s="2390"/>
      <c r="K9" s="2405"/>
      <c r="L9" s="1367"/>
      <c r="M9" s="2391"/>
      <c r="N9" s="2391"/>
      <c r="O9" s="518"/>
      <c r="P9" s="518"/>
      <c r="Q9" s="509" t="e">
        <f ca="1">IF(Small_F,'House reinf, Support Plate Side'!Q9,'House reinf, Central Frame Side'!P9)</f>
        <v>#REF!</v>
      </c>
      <c r="R9" s="2114" t="e">
        <f ca="1">IF(Small_F,'House reinf, Support Plate Side'!R9,'House reinf, Central Frame Side'!U9)</f>
        <v>#REF!</v>
      </c>
      <c r="S9" s="2114" t="e">
        <f ca="1">IF(Small_F,'House reinf, Support Plate Side'!S9,'House reinf, Central Frame Side'!V9)</f>
        <v>#REF!</v>
      </c>
      <c r="T9" s="2114" t="e">
        <f ca="1">IF(Small_F,'House reinf, Support Plate Side'!T9,'House reinf, Central Frame Side'!W9)</f>
        <v>#REF!</v>
      </c>
      <c r="U9" s="2114" t="e">
        <f ca="1">IF(Small_F,'House reinf, Support Plate Side'!U9,'House reinf, Central Frame Side'!X9)</f>
        <v>#REF!</v>
      </c>
      <c r="V9" s="528"/>
      <c r="W9" s="528"/>
      <c r="X9" s="528"/>
      <c r="Y9" s="528"/>
      <c r="Z9" s="528"/>
      <c r="AA9" s="528"/>
      <c r="AB9" s="518"/>
      <c r="AC9" s="545"/>
      <c r="AD9" s="1279"/>
      <c r="AE9" s="1294" t="str">
        <f>House!AE9</f>
        <v>b_in</v>
      </c>
      <c r="AF9" s="1281">
        <f>House!AF9</f>
        <v>365</v>
      </c>
      <c r="AG9" s="1282" t="str">
        <f>House!AG9</f>
        <v>mm</v>
      </c>
      <c r="AH9" s="1282"/>
      <c r="AI9" s="1282"/>
      <c r="AJ9" s="1283"/>
    </row>
    <row r="10" spans="1:36">
      <c r="A10" s="1305" t="str">
        <f>House!A10</f>
        <v>alfaend</v>
      </c>
      <c r="B10" s="1305">
        <f>House!B10</f>
        <v>6.2831853071795862</v>
      </c>
      <c r="C10" s="1285" t="str">
        <f>House!C10</f>
        <v>rad</v>
      </c>
      <c r="D10" s="1282"/>
      <c r="E10" s="1282"/>
      <c r="F10" s="1282"/>
      <c r="G10" s="1282"/>
      <c r="H10" s="1282"/>
      <c r="I10" s="1293"/>
      <c r="J10" s="2390"/>
      <c r="K10" s="2405"/>
      <c r="L10" s="1367"/>
      <c r="M10" s="2391"/>
      <c r="N10" s="2391"/>
      <c r="O10" s="518"/>
      <c r="P10" s="518"/>
      <c r="Q10" s="509" t="e">
        <f ca="1">IF(Small_F,'House reinf, Support Plate Side'!Q10,'House reinf, Central Frame Side'!P10)</f>
        <v>#REF!</v>
      </c>
      <c r="R10" s="2114" t="e">
        <f ca="1">IF(Small_F,'House reinf, Support Plate Side'!R10,'House reinf, Central Frame Side'!U10)</f>
        <v>#REF!</v>
      </c>
      <c r="S10" s="2114" t="e">
        <f ca="1">IF(Small_F,'House reinf, Support Plate Side'!S10,'House reinf, Central Frame Side'!V10)</f>
        <v>#REF!</v>
      </c>
      <c r="T10" s="2114" t="e">
        <f ca="1">IF(Small_F,'House reinf, Support Plate Side'!T10,'House reinf, Central Frame Side'!W10)</f>
        <v>#REF!</v>
      </c>
      <c r="U10" s="2114" t="e">
        <f ca="1">IF(Small_F,'House reinf, Support Plate Side'!U10,'House reinf, Central Frame Side'!X10)</f>
        <v>#REF!</v>
      </c>
      <c r="V10" s="522"/>
      <c r="W10" s="518"/>
      <c r="X10" s="518"/>
      <c r="Y10" s="518"/>
      <c r="Z10" s="518"/>
      <c r="AA10" s="518"/>
      <c r="AB10" s="518"/>
      <c r="AC10" s="545"/>
      <c r="AD10" s="1279"/>
      <c r="AE10" s="1294" t="str">
        <f>House!AE10</f>
        <v>b1_blad_FP</v>
      </c>
      <c r="AF10" s="1281">
        <f>House!AF10</f>
        <v>253</v>
      </c>
      <c r="AG10" s="1282" t="str">
        <f>House!AG10</f>
        <v>mm</v>
      </c>
      <c r="AH10" s="1282"/>
      <c r="AI10" s="1282"/>
      <c r="AJ10" s="1283"/>
    </row>
    <row r="11" spans="1:36">
      <c r="A11" s="1305" t="str">
        <f>House!A11</f>
        <v>Funnel height</v>
      </c>
      <c r="B11" s="1305">
        <f>House!B11</f>
        <v>1076.6210889730671</v>
      </c>
      <c r="C11" s="1285" t="str">
        <f>House!C11</f>
        <v>mm</v>
      </c>
      <c r="D11" s="1282"/>
      <c r="E11" s="1282"/>
      <c r="F11" s="1282"/>
      <c r="G11" s="1282"/>
      <c r="H11" s="1282"/>
      <c r="I11" s="1293"/>
      <c r="J11" s="2390"/>
      <c r="K11" s="2405"/>
      <c r="L11" s="1367"/>
      <c r="M11" s="2391"/>
      <c r="N11" s="2391"/>
      <c r="O11" s="518"/>
      <c r="P11" s="518"/>
      <c r="Q11" s="509" t="e">
        <f ca="1">IF(Small_F,'House reinf, Support Plate Side'!Q11,'House reinf, Central Frame Side'!P11)</f>
        <v>#REF!</v>
      </c>
      <c r="R11" s="2114" t="e">
        <f ca="1">IF(Small_F,'House reinf, Support Plate Side'!R11,'House reinf, Central Frame Side'!U11)</f>
        <v>#REF!</v>
      </c>
      <c r="S11" s="2114" t="e">
        <f ca="1">IF(Small_F,'House reinf, Support Plate Side'!S11,'House reinf, Central Frame Side'!V11)</f>
        <v>#REF!</v>
      </c>
      <c r="T11" s="2114" t="e">
        <f ca="1">IF(Small_F,'House reinf, Support Plate Side'!T11,'House reinf, Central Frame Side'!W11)</f>
        <v>#REF!</v>
      </c>
      <c r="U11" s="2114" t="e">
        <f ca="1">IF(Small_F,'House reinf, Support Plate Side'!U11,'House reinf, Central Frame Side'!X11)</f>
        <v>#REF!</v>
      </c>
      <c r="V11" s="806"/>
      <c r="W11" s="805"/>
      <c r="X11" s="805"/>
      <c r="Y11" s="805"/>
      <c r="Z11" s="805"/>
      <c r="AA11" s="805"/>
      <c r="AB11" s="805"/>
      <c r="AC11" s="545"/>
      <c r="AD11" s="1284"/>
      <c r="AE11" s="1294" t="str">
        <f>House!AE11</f>
        <v>CH (RD,135)</v>
      </c>
      <c r="AF11" s="1285">
        <f>House!AF11</f>
        <v>1269</v>
      </c>
      <c r="AG11" s="1282">
        <f>House!AG11</f>
        <v>1.1000000000000001</v>
      </c>
      <c r="AH11" s="1286">
        <f>House!AH11</f>
        <v>1270</v>
      </c>
      <c r="AI11" s="1286">
        <f>House!AI11</f>
        <v>1268</v>
      </c>
      <c r="AJ11" s="1283"/>
    </row>
    <row r="12" spans="1:36">
      <c r="A12" s="1305" t="str">
        <f>House!A12</f>
        <v>House Plate thickness</v>
      </c>
      <c r="B12" s="1305">
        <f>House!B12</f>
        <v>5</v>
      </c>
      <c r="C12" s="1285" t="str">
        <f>House!C12</f>
        <v>mm</v>
      </c>
      <c r="D12" s="1282"/>
      <c r="E12" s="1282"/>
      <c r="F12" s="1282"/>
      <c r="G12" s="1282"/>
      <c r="H12" s="1282"/>
      <c r="I12" s="1293"/>
      <c r="J12" s="2390"/>
      <c r="K12" s="2405"/>
      <c r="L12" s="1367"/>
      <c r="M12" s="2391"/>
      <c r="N12" s="2391"/>
      <c r="O12" s="518"/>
      <c r="P12" s="518"/>
      <c r="Q12" s="509" t="e">
        <f ca="1">IF(Small_F,'House reinf, Support Plate Side'!Q12,'House reinf, Central Frame Side'!P12)</f>
        <v>#REF!</v>
      </c>
      <c r="R12" s="2114" t="e">
        <f ca="1">IF(Small_F,'House reinf, Support Plate Side'!R12,'House reinf, Central Frame Side'!U12)</f>
        <v>#REF!</v>
      </c>
      <c r="S12" s="2114" t="e">
        <f ca="1">IF(Small_F,'House reinf, Support Plate Side'!S12,'House reinf, Central Frame Side'!V12)</f>
        <v>#REF!</v>
      </c>
      <c r="T12" s="2114" t="e">
        <f ca="1">IF(Small_F,'House reinf, Support Plate Side'!T12,'House reinf, Central Frame Side'!W12)</f>
        <v>#REF!</v>
      </c>
      <c r="U12" s="2114" t="e">
        <f ca="1">IF(Small_F,'House reinf, Support Plate Side'!U12,'House reinf, Central Frame Side'!X12)</f>
        <v>#REF!</v>
      </c>
      <c r="V12" s="806"/>
      <c r="W12" s="805"/>
      <c r="X12" s="805"/>
      <c r="Y12" s="805"/>
      <c r="Z12" s="805"/>
      <c r="AA12" s="805"/>
      <c r="AB12" s="805"/>
      <c r="AC12" s="545"/>
      <c r="AD12" s="1284"/>
      <c r="AE12" s="1294" t="str">
        <f>House!AE12</f>
        <v>stdCH (LG,0)</v>
      </c>
      <c r="AF12" s="1285">
        <f>House!AF12</f>
        <v>1530</v>
      </c>
      <c r="AG12" s="1282"/>
      <c r="AH12" s="1286">
        <f>House!AH12</f>
        <v>0</v>
      </c>
      <c r="AI12" s="1286">
        <f>House!AI12</f>
        <v>0</v>
      </c>
      <c r="AJ12" s="1283"/>
    </row>
    <row r="13" spans="1:36">
      <c r="A13" s="1305" t="str">
        <f>House!A13</f>
        <v>HouseB_ins</v>
      </c>
      <c r="B13" s="1305">
        <f>House!B13</f>
        <v>630</v>
      </c>
      <c r="C13" s="1285" t="str">
        <f>House!C13</f>
        <v>mm</v>
      </c>
      <c r="D13" s="1282"/>
      <c r="E13" s="1282"/>
      <c r="F13" s="1282"/>
      <c r="G13" s="1282"/>
      <c r="H13" s="1282"/>
      <c r="I13" s="1293"/>
      <c r="J13" s="522"/>
      <c r="K13" s="518"/>
      <c r="L13" s="518"/>
      <c r="M13" s="518"/>
      <c r="N13" s="518"/>
      <c r="O13" s="518"/>
      <c r="P13" s="518"/>
      <c r="Q13" s="509" t="e">
        <f ca="1">IF(Small_F,'House reinf, Support Plate Side'!Q13,'House reinf, Central Frame Side'!P13)</f>
        <v>#REF!</v>
      </c>
      <c r="R13" s="2114" t="e">
        <f ca="1">IF(Small_F,'House reinf, Support Plate Side'!R13,'House reinf, Central Frame Side'!U13)</f>
        <v>#REF!</v>
      </c>
      <c r="S13" s="2114" t="e">
        <f ca="1">IF(Small_F,'House reinf, Support Plate Side'!S13,'House reinf, Central Frame Side'!V13)</f>
        <v>#REF!</v>
      </c>
      <c r="T13" s="2114" t="e">
        <f ca="1">IF(Small_F,'House reinf, Support Plate Side'!T13,'House reinf, Central Frame Side'!W13)</f>
        <v>#REF!</v>
      </c>
      <c r="U13" s="2114" t="e">
        <f ca="1">IF(Small_F,'House reinf, Support Plate Side'!U13,'House reinf, Central Frame Side'!X13)</f>
        <v>#REF!</v>
      </c>
      <c r="V13" s="510"/>
      <c r="W13" s="510"/>
      <c r="X13" s="510"/>
      <c r="Y13" s="510"/>
      <c r="Z13" s="510"/>
      <c r="AA13" s="510"/>
      <c r="AB13" s="1234"/>
      <c r="AC13" s="545"/>
      <c r="AD13" s="3806" t="s">
        <v>1801</v>
      </c>
      <c r="AE13" s="3807"/>
      <c r="AF13" s="3807"/>
      <c r="AG13" s="3807"/>
      <c r="AH13" s="3807"/>
      <c r="AI13" s="3807"/>
      <c r="AJ13" s="3808"/>
    </row>
    <row r="14" spans="1:36">
      <c r="A14" s="1305" t="str">
        <f>House!A14</f>
        <v>HouseC_ins</v>
      </c>
      <c r="B14" s="2329">
        <f>House!B14</f>
        <v>1125</v>
      </c>
      <c r="C14" s="1285" t="str">
        <f>House!C14</f>
        <v>mm</v>
      </c>
      <c r="D14" s="1282"/>
      <c r="E14" s="1282"/>
      <c r="F14" s="1282"/>
      <c r="G14" s="1282"/>
      <c r="H14" s="1304"/>
      <c r="I14" s="1293"/>
      <c r="J14" s="522"/>
      <c r="K14" s="518"/>
      <c r="L14" s="518"/>
      <c r="M14" s="518"/>
      <c r="N14" s="518"/>
      <c r="O14" s="518"/>
      <c r="P14" s="518"/>
      <c r="Q14" s="509" t="e">
        <f ca="1">IF(Small_F,'House reinf, Support Plate Side'!Q14,'House reinf, Central Frame Side'!P14)</f>
        <v>#REF!</v>
      </c>
      <c r="R14" s="2114" t="e">
        <f ca="1">IF(Small_F,'House reinf, Support Plate Side'!R14,'House reinf, Central Frame Side'!U14)</f>
        <v>#REF!</v>
      </c>
      <c r="S14" s="2114" t="e">
        <f ca="1">IF(Small_F,'House reinf, Support Plate Side'!S14,'House reinf, Central Frame Side'!V14)</f>
        <v>#REF!</v>
      </c>
      <c r="T14" s="2114" t="e">
        <f ca="1">IF(Small_F,'House reinf, Support Plate Side'!T14,'House reinf, Central Frame Side'!W14)</f>
        <v>#REF!</v>
      </c>
      <c r="U14" s="2114" t="e">
        <f ca="1">IF(Small_F,'House reinf, Support Plate Side'!U14,'House reinf, Central Frame Side'!X14)</f>
        <v>#REF!</v>
      </c>
      <c r="V14" s="510"/>
      <c r="W14" s="510"/>
      <c r="X14" s="510"/>
      <c r="Y14" s="510"/>
      <c r="Z14" s="510"/>
      <c r="AA14" s="510"/>
      <c r="AB14" s="510"/>
      <c r="AC14" s="545"/>
      <c r="AD14" s="1287"/>
      <c r="AE14" s="1295" t="str">
        <f>House!AE14</f>
        <v>Insulation</v>
      </c>
      <c r="AF14" s="1282">
        <f>House!AF14</f>
        <v>0</v>
      </c>
      <c r="AG14" s="1282" t="str">
        <f>House!AG14</f>
        <v>mm</v>
      </c>
      <c r="AH14" s="1282"/>
      <c r="AI14" s="1282"/>
      <c r="AJ14" s="1283"/>
    </row>
    <row r="15" spans="1:36">
      <c r="A15" s="1305" t="str">
        <f>House!A15</f>
        <v>Welding space</v>
      </c>
      <c r="B15" s="1305">
        <f>House!B15</f>
        <v>0.01</v>
      </c>
      <c r="C15" s="1285" t="str">
        <f>House!C15</f>
        <v>m</v>
      </c>
      <c r="D15" s="1282"/>
      <c r="E15" s="1282"/>
      <c r="F15" s="1282"/>
      <c r="G15" s="1282"/>
      <c r="H15" s="1304"/>
      <c r="I15" s="1293"/>
      <c r="J15" s="939"/>
      <c r="K15" s="942"/>
      <c r="L15" s="942"/>
      <c r="M15" s="518"/>
      <c r="N15" s="518"/>
      <c r="O15" s="518"/>
      <c r="P15" s="518"/>
      <c r="Q15" s="509" t="e">
        <f ca="1">IF(Small_F,'House reinf, Support Plate Side'!Q15,'House reinf, Central Frame Side'!T15)</f>
        <v>#REF!</v>
      </c>
      <c r="R15" s="2114" t="e">
        <f ca="1">IF(Small_F,'House reinf, Support Plate Side'!R15,'House reinf, Central Frame Side'!U15)</f>
        <v>#REF!</v>
      </c>
      <c r="S15" s="2114" t="e">
        <f ca="1">IF(Small_F,'House reinf, Support Plate Side'!S15,'House reinf, Central Frame Side'!V15)</f>
        <v>#REF!</v>
      </c>
      <c r="T15" s="2114" t="e">
        <f ca="1">IF(Small_F,'House reinf, Support Plate Side'!T15,'House reinf, Central Frame Side'!W15)</f>
        <v>#REF!</v>
      </c>
      <c r="U15" s="2114" t="e">
        <f ca="1">IF(Small_F,'House reinf, Support Plate Side'!U15,'House reinf, Central Frame Side'!X15)</f>
        <v>#REF!</v>
      </c>
      <c r="V15" s="510"/>
      <c r="W15" s="510"/>
      <c r="X15" s="510"/>
      <c r="Y15" s="510"/>
      <c r="Z15" s="510"/>
      <c r="AA15" s="510"/>
      <c r="AB15" s="510"/>
      <c r="AC15" s="545"/>
      <c r="AD15" s="1287"/>
      <c r="AE15" s="1295" t="str">
        <f>House!AE15</f>
        <v>Steel_density</v>
      </c>
      <c r="AF15" s="1282">
        <f>House!AF15</f>
        <v>7850</v>
      </c>
      <c r="AG15" s="1282" t="str">
        <f>House!AG15</f>
        <v>kg/m3</v>
      </c>
      <c r="AH15" s="1282"/>
      <c r="AI15" s="1282"/>
      <c r="AJ15" s="1283"/>
    </row>
    <row r="16" spans="1:36" ht="15.75" thickBot="1">
      <c r="A16" s="1322" t="str">
        <f>House!A16</f>
        <v>Reinf_HousePT (used for reinf calc only)</v>
      </c>
      <c r="B16" s="1322">
        <f>House!B16</f>
        <v>4</v>
      </c>
      <c r="C16" s="2153" t="str">
        <f>House!C16</f>
        <v>mm</v>
      </c>
      <c r="D16" s="1288"/>
      <c r="E16" s="1288"/>
      <c r="F16" s="1288"/>
      <c r="G16" s="1288"/>
      <c r="H16" s="2151"/>
      <c r="I16" s="2152"/>
      <c r="J16" s="1306"/>
      <c r="K16" s="1307"/>
      <c r="L16" s="1307"/>
      <c r="M16" s="556"/>
      <c r="N16" s="556"/>
      <c r="O16" s="556"/>
      <c r="P16" s="556"/>
      <c r="Q16" s="808" t="e">
        <f ca="1">IF(Small_F,'House reinf, Support Plate Side'!Q16,'House reinf, Central Frame Side'!T16)</f>
        <v>#REF!</v>
      </c>
      <c r="R16" s="2359" t="e">
        <f ca="1">IF(Small_F,'House reinf, Support Plate Side'!R16,'House reinf, Central Frame Side'!U16)</f>
        <v>#REF!</v>
      </c>
      <c r="S16" s="2359" t="e">
        <f ca="1">IF(Small_F,'House reinf, Support Plate Side'!S16,'House reinf, Central Frame Side'!V16)</f>
        <v>#REF!</v>
      </c>
      <c r="T16" s="2359" t="e">
        <f ca="1">IF(Small_F,'House reinf, Support Plate Side'!T16,'House reinf, Central Frame Side'!W16)</f>
        <v>#REF!</v>
      </c>
      <c r="U16" s="2359" t="e">
        <f ca="1">IF(Small_F,'House reinf, Support Plate Side'!U16,'House reinf, Central Frame Side'!X16)</f>
        <v>#REF!</v>
      </c>
      <c r="V16" s="547"/>
      <c r="W16" s="547"/>
      <c r="X16" s="547"/>
      <c r="Y16" s="547"/>
      <c r="Z16" s="547"/>
      <c r="AA16" s="547"/>
      <c r="AB16" s="547"/>
      <c r="AC16" s="548"/>
      <c r="AD16" s="549"/>
      <c r="AE16" s="556"/>
      <c r="AF16" s="556"/>
      <c r="AG16" s="556"/>
      <c r="AH16" s="556"/>
      <c r="AI16" s="556"/>
      <c r="AJ16" s="561"/>
    </row>
    <row r="17" spans="1:36" ht="15.75" thickBot="1">
      <c r="A17" s="518"/>
      <c r="B17" s="2060"/>
      <c r="C17" s="813"/>
      <c r="D17" s="518"/>
      <c r="E17" s="685"/>
      <c r="F17" s="813"/>
      <c r="G17" s="518"/>
      <c r="H17" s="510"/>
      <c r="I17" s="518"/>
      <c r="J17" s="518"/>
      <c r="K17" s="518"/>
      <c r="L17" s="518"/>
      <c r="M17" s="518"/>
      <c r="N17" s="518"/>
      <c r="O17" s="509"/>
      <c r="P17" s="510"/>
      <c r="Q17" s="510"/>
      <c r="R17" s="510"/>
      <c r="S17" s="510"/>
      <c r="T17" s="805"/>
      <c r="U17" s="805"/>
      <c r="V17" s="510"/>
      <c r="W17" s="518"/>
      <c r="X17" s="518"/>
      <c r="Y17" s="2245"/>
      <c r="Z17" s="2245"/>
      <c r="AA17" s="518"/>
      <c r="AB17" s="518"/>
      <c r="AC17" s="518"/>
      <c r="AD17" s="518"/>
      <c r="AE17" s="518"/>
      <c r="AF17" s="518"/>
      <c r="AG17" s="518"/>
      <c r="AH17" s="518"/>
      <c r="AI17" s="518"/>
      <c r="AJ17" s="518"/>
    </row>
    <row r="18" spans="1:36" ht="15.75" thickBot="1">
      <c r="A18" s="2569" t="s">
        <v>2645</v>
      </c>
      <c r="B18" s="2370" t="str">
        <f>House!B18</f>
        <v>alfa incr</v>
      </c>
      <c r="C18" s="2370">
        <f>House!C18</f>
        <v>0.25743606466916358</v>
      </c>
      <c r="D18" s="3799" t="s">
        <v>3562</v>
      </c>
      <c r="E18" s="3800"/>
      <c r="F18" s="3800"/>
      <c r="G18" s="3800"/>
      <c r="H18" s="3800"/>
      <c r="I18" s="3800"/>
      <c r="J18" s="3800"/>
      <c r="K18" s="3800"/>
      <c r="L18" s="3800"/>
      <c r="M18" s="3800"/>
      <c r="N18" s="3800"/>
      <c r="O18" s="3800"/>
      <c r="P18" s="3800"/>
      <c r="Q18" s="3800"/>
      <c r="R18" s="3800"/>
      <c r="S18" s="3800"/>
      <c r="T18" s="3800"/>
      <c r="U18" s="3800"/>
      <c r="V18" s="3800"/>
      <c r="W18" s="3800"/>
      <c r="X18" s="3800"/>
      <c r="Y18" s="3800"/>
      <c r="Z18" s="3837"/>
      <c r="AA18" s="1147"/>
      <c r="AB18" s="1147"/>
      <c r="AC18" s="1147"/>
      <c r="AD18" s="1147"/>
      <c r="AE18" s="1147"/>
      <c r="AF18" s="1147"/>
      <c r="AG18" s="1147"/>
      <c r="AH18" s="1147"/>
      <c r="AI18" s="1147"/>
      <c r="AJ18" s="2344"/>
    </row>
    <row r="19" spans="1:36">
      <c r="A19" s="2237"/>
      <c r="B19" s="3107" t="str">
        <f>House!B19</f>
        <v>Lreinf</v>
      </c>
      <c r="C19" s="3107" t="str">
        <f>House!C19</f>
        <v>LF stop</v>
      </c>
      <c r="D19" s="3839" t="s">
        <v>1098</v>
      </c>
      <c r="E19" s="3840"/>
      <c r="F19" s="3840"/>
      <c r="G19" s="3840"/>
      <c r="H19" s="3840"/>
      <c r="I19" s="3840"/>
      <c r="J19" s="3840"/>
      <c r="K19" s="3840"/>
      <c r="L19" s="3840"/>
      <c r="M19" s="3840"/>
      <c r="N19" s="3840"/>
      <c r="O19" s="3840"/>
      <c r="P19" s="3840"/>
      <c r="Q19" s="3840"/>
      <c r="R19" s="3840"/>
      <c r="S19" s="3840"/>
      <c r="T19" s="3840"/>
      <c r="U19" s="3840"/>
      <c r="V19" s="3840"/>
      <c r="W19" s="3840"/>
      <c r="X19" s="3841"/>
      <c r="Y19" s="3107" t="str">
        <f>House!Y19</f>
        <v>RF stop</v>
      </c>
      <c r="Z19" s="3107" t="str">
        <f>House!Z19</f>
        <v>Rreinf</v>
      </c>
      <c r="AA19" s="522"/>
      <c r="AB19" s="518"/>
      <c r="AC19" s="518"/>
      <c r="AD19" s="518"/>
      <c r="AE19" s="518"/>
      <c r="AF19" s="518"/>
      <c r="AG19" s="518"/>
      <c r="AH19" s="518"/>
      <c r="AI19" s="518"/>
      <c r="AJ19" s="527"/>
    </row>
    <row r="20" spans="1:36" s="1346" customFormat="1">
      <c r="A20" s="2347" t="s">
        <v>1104</v>
      </c>
      <c r="B20" s="1383">
        <f>House!B20</f>
        <v>7.4176493209759009</v>
      </c>
      <c r="C20" s="1383">
        <f>House!C20</f>
        <v>7.4647083367135298</v>
      </c>
      <c r="D20" s="1384">
        <f>House!D20</f>
        <v>1.1344640137963142</v>
      </c>
      <c r="E20" s="1385">
        <f>House!E20</f>
        <v>1.3919000784654778</v>
      </c>
      <c r="F20" s="1385">
        <f>House!F20</f>
        <v>1.6493361431346414</v>
      </c>
      <c r="G20" s="1385">
        <f>House!G20</f>
        <v>1.906772207803805</v>
      </c>
      <c r="H20" s="1385">
        <f>House!H20</f>
        <v>2.1642082724729685</v>
      </c>
      <c r="I20" s="1385">
        <f>House!I20</f>
        <v>2.4216443371421321</v>
      </c>
      <c r="J20" s="1385">
        <f>House!J20</f>
        <v>2.6790804018112957</v>
      </c>
      <c r="K20" s="1385">
        <f>House!K20</f>
        <v>2.9365164664804593</v>
      </c>
      <c r="L20" s="1385">
        <f>House!L20</f>
        <v>3.1939525311496229</v>
      </c>
      <c r="M20" s="1385">
        <f>House!M20</f>
        <v>3.4513885958187864</v>
      </c>
      <c r="N20" s="1385">
        <f>House!N20</f>
        <v>3.70882466048795</v>
      </c>
      <c r="O20" s="1385">
        <f>House!O20</f>
        <v>3.9662607251571136</v>
      </c>
      <c r="P20" s="1385">
        <f>House!P20</f>
        <v>4.2236967898262776</v>
      </c>
      <c r="Q20" s="1385">
        <f>House!Q20</f>
        <v>4.4811328544954412</v>
      </c>
      <c r="R20" s="1385">
        <f>House!R20</f>
        <v>4.7385689191646048</v>
      </c>
      <c r="S20" s="1385">
        <f>House!S20</f>
        <v>4.9960049838337683</v>
      </c>
      <c r="T20" s="1385">
        <f>House!T20</f>
        <v>5.2534410485029319</v>
      </c>
      <c r="U20" s="1385">
        <f>House!U20</f>
        <v>5.5108771131720955</v>
      </c>
      <c r="V20" s="1385">
        <f>House!V20</f>
        <v>5.7683131778412591</v>
      </c>
      <c r="W20" s="1385">
        <f>House!W20</f>
        <v>6.0257492425104227</v>
      </c>
      <c r="X20" s="1386">
        <f>House!X20</f>
        <v>6.2831853071795862</v>
      </c>
      <c r="Y20" s="1383">
        <f>House!Y20</f>
        <v>6.8844223146173196</v>
      </c>
      <c r="Z20" s="1383">
        <f>House!Z20</f>
        <v>6.8261204245285274</v>
      </c>
      <c r="AA20" s="523"/>
      <c r="AB20" s="544"/>
      <c r="AC20" s="544"/>
      <c r="AD20" s="1382" t="str">
        <f>House!AD20</f>
        <v>curve</v>
      </c>
      <c r="AE20" s="1382"/>
      <c r="AF20" s="544"/>
      <c r="AG20" s="544"/>
      <c r="AH20" s="544"/>
      <c r="AI20" s="544"/>
      <c r="AJ20" s="524"/>
    </row>
    <row r="21" spans="1:36">
      <c r="A21" s="1275" t="s">
        <v>1105</v>
      </c>
      <c r="B21" s="1296">
        <f>House!B21</f>
        <v>1045</v>
      </c>
      <c r="C21" s="1371">
        <f>House!C21</f>
        <v>1163.6818291472891</v>
      </c>
      <c r="D21" s="1297">
        <f>House!D21</f>
        <v>1045</v>
      </c>
      <c r="E21" s="1297">
        <f>House!E21</f>
        <v>1066.4530024332412</v>
      </c>
      <c r="F21" s="1297">
        <f>House!F21</f>
        <v>1088.3485349755213</v>
      </c>
      <c r="G21" s="1297">
        <f>House!G21</f>
        <v>1110.6957260879037</v>
      </c>
      <c r="H21" s="1297">
        <f>House!H21</f>
        <v>1133.5038925323154</v>
      </c>
      <c r="I21" s="1297">
        <f>House!I21</f>
        <v>1156.7825432557938</v>
      </c>
      <c r="J21" s="1297">
        <f>House!J21</f>
        <v>1180.5413833548621</v>
      </c>
      <c r="K21" s="1297">
        <f>House!K21</f>
        <v>1204.7903181216768</v>
      </c>
      <c r="L21" s="1297">
        <f>House!L21</f>
        <v>1229.5394571736417</v>
      </c>
      <c r="M21" s="1297">
        <f>House!M21</f>
        <v>1254.799118668205</v>
      </c>
      <c r="N21" s="1297">
        <f>House!N21</f>
        <v>1280.5798336046005</v>
      </c>
      <c r="O21" s="1297">
        <f>House!O21</f>
        <v>1306.8923502143243</v>
      </c>
      <c r="P21" s="1297">
        <f>House!P21</f>
        <v>1333.7476384421761</v>
      </c>
      <c r="Q21" s="1297">
        <f>House!Q21</f>
        <v>1361.1568945197369</v>
      </c>
      <c r="R21" s="1297">
        <f>House!R21</f>
        <v>1389.1315456331872</v>
      </c>
      <c r="S21" s="1297">
        <f>House!S21</f>
        <v>1417.683254687413</v>
      </c>
      <c r="T21" s="1297">
        <f>House!T21</f>
        <v>1446.8239251683819</v>
      </c>
      <c r="U21" s="1297">
        <f>House!U21</f>
        <v>1476.5657061058264</v>
      </c>
      <c r="V21" s="1297">
        <f>House!V21</f>
        <v>1506.9209971382902</v>
      </c>
      <c r="W21" s="1297">
        <f>House!W21</f>
        <v>1537.9024536826591</v>
      </c>
      <c r="X21" s="1297">
        <f>House!X21</f>
        <v>1569.5229922103276</v>
      </c>
      <c r="Y21" s="1296">
        <f>House!Y21</f>
        <v>1903.2906746733174</v>
      </c>
      <c r="Z21" s="1296">
        <f>House!Z21</f>
        <v>1833.1352903729805</v>
      </c>
      <c r="AA21" s="518"/>
      <c r="AB21" s="518"/>
      <c r="AC21" s="518"/>
      <c r="AD21" s="1303" t="str">
        <f>House!AD21</f>
        <v>max</v>
      </c>
      <c r="AE21" s="1303" t="str">
        <f>House!AE21</f>
        <v>min</v>
      </c>
      <c r="AF21" s="518"/>
      <c r="AG21" s="518"/>
      <c r="AH21" s="518"/>
      <c r="AI21" s="518"/>
      <c r="AJ21" s="527"/>
    </row>
    <row r="22" spans="1:36">
      <c r="A22" s="2238" t="s">
        <v>1094</v>
      </c>
      <c r="B22" s="1298">
        <f>House!B22</f>
        <v>441.63608351903093</v>
      </c>
      <c r="C22" s="1299">
        <f>House!C22</f>
        <v>441.63608351903093</v>
      </c>
      <c r="D22" s="1300">
        <f>House!D22</f>
        <v>441.63608351903093</v>
      </c>
      <c r="E22" s="1300">
        <f>House!E22</f>
        <v>189.76842833419454</v>
      </c>
      <c r="F22" s="1300">
        <f>House!F22</f>
        <v>-85.390841890904142</v>
      </c>
      <c r="G22" s="1300">
        <f>House!G22</f>
        <v>-366.18599062454092</v>
      </c>
      <c r="H22" s="1300">
        <f>House!H22</f>
        <v>-633.84733276053862</v>
      </c>
      <c r="I22" s="1300">
        <f>House!I22</f>
        <v>-869.71516461647775</v>
      </c>
      <c r="J22" s="1300">
        <f>House!J22</f>
        <v>-1056.507049257455</v>
      </c>
      <c r="K22" s="1300">
        <f>House!K22</f>
        <v>-1179.5445062502893</v>
      </c>
      <c r="L22" s="1300">
        <f>House!L22</f>
        <v>-1227.8544160797051</v>
      </c>
      <c r="M22" s="1300">
        <f>House!M22</f>
        <v>-1195.0654100156862</v>
      </c>
      <c r="N22" s="1300">
        <f>House!N22</f>
        <v>-1080.0300773426088</v>
      </c>
      <c r="O22" s="1300">
        <f>House!O22</f>
        <v>-887.11950165678206</v>
      </c>
      <c r="P22" s="1300">
        <f>House!P22</f>
        <v>-626.15658818143959</v>
      </c>
      <c r="Q22" s="1300">
        <f>House!Q22</f>
        <v>-311.97769233066299</v>
      </c>
      <c r="R22" s="1300">
        <f>House!R22</f>
        <v>36.363224662875822</v>
      </c>
      <c r="S22" s="1300">
        <f>House!S22</f>
        <v>396.70890736742643</v>
      </c>
      <c r="T22" s="1300">
        <f>House!T22</f>
        <v>745.16940915253167</v>
      </c>
      <c r="U22" s="1300">
        <f>House!U22</f>
        <v>1057.6668848778002</v>
      </c>
      <c r="V22" s="1300">
        <f>House!V22</f>
        <v>1311.5572731907439</v>
      </c>
      <c r="W22" s="1300">
        <f>House!W22</f>
        <v>1487.222322279604</v>
      </c>
      <c r="X22" s="1300">
        <f>House!X22</f>
        <v>1569.5229922103276</v>
      </c>
      <c r="Y22" s="1298">
        <f>House!Y22</f>
        <v>1569.5229922103276</v>
      </c>
      <c r="Z22" s="1298">
        <f>House!Z22</f>
        <v>1569.5229922103276</v>
      </c>
      <c r="AA22" s="522"/>
      <c r="AB22" s="518"/>
      <c r="AC22" s="518"/>
      <c r="AD22" s="1303">
        <f>House!AD22</f>
        <v>1569.5229922103276</v>
      </c>
      <c r="AE22" s="1303">
        <f>House!AE22</f>
        <v>-1227.8544160797051</v>
      </c>
      <c r="AF22" s="518"/>
      <c r="AG22" s="518"/>
      <c r="AH22" s="518"/>
      <c r="AI22" s="518"/>
      <c r="AJ22" s="527"/>
    </row>
    <row r="23" spans="1:36">
      <c r="A23" s="2238" t="s">
        <v>1095</v>
      </c>
      <c r="B23" s="1296">
        <f>House!B23</f>
        <v>947.0916374532992</v>
      </c>
      <c r="C23" s="1301">
        <f>House!C23</f>
        <v>1076.6210889730667</v>
      </c>
      <c r="D23" s="1302">
        <f>House!D23</f>
        <v>947.0916374532992</v>
      </c>
      <c r="E23" s="1296">
        <f>House!E23</f>
        <v>1049.4331565213881</v>
      </c>
      <c r="F23" s="1296">
        <f>House!F23</f>
        <v>1084.9935196601525</v>
      </c>
      <c r="G23" s="1296">
        <f>House!G23</f>
        <v>1048.5956399967813</v>
      </c>
      <c r="H23" s="1296">
        <f>House!H23</f>
        <v>939.71731554668168</v>
      </c>
      <c r="I23" s="1296">
        <f>House!I23</f>
        <v>762.71972887652214</v>
      </c>
      <c r="J23" s="1296">
        <f>House!J23</f>
        <v>526.75498353856813</v>
      </c>
      <c r="K23" s="1296">
        <f>House!K23</f>
        <v>245.34561013903004</v>
      </c>
      <c r="L23" s="1296">
        <f>House!L23</f>
        <v>-64.349123229612289</v>
      </c>
      <c r="M23" s="1296">
        <f>House!M23</f>
        <v>-382.54345373374764</v>
      </c>
      <c r="N23" s="1296">
        <f>House!N23</f>
        <v>-688.05504305259228</v>
      </c>
      <c r="O23" s="1296">
        <f>House!O23</f>
        <v>-959.68047017168317</v>
      </c>
      <c r="P23" s="1296">
        <f>House!P23</f>
        <v>-1177.629266843798</v>
      </c>
      <c r="Q23" s="1296">
        <f>House!Q23</f>
        <v>-1324.9218886359483</v>
      </c>
      <c r="R23" s="1296">
        <f>House!R23</f>
        <v>-1388.6555249468331</v>
      </c>
      <c r="S23" s="1296">
        <f>House!S23</f>
        <v>-1361.0466022280202</v>
      </c>
      <c r="T23" s="1296">
        <f>House!T23</f>
        <v>-1240.170158527817</v>
      </c>
      <c r="U23" s="1296">
        <f>House!U23</f>
        <v>-1030.3334630500399</v>
      </c>
      <c r="V23" s="1296">
        <f>House!V23</f>
        <v>-742.04340220550364</v>
      </c>
      <c r="W23" s="1296">
        <f>House!W23</f>
        <v>-391.55296085766645</v>
      </c>
      <c r="X23" s="1296">
        <f>House!X23</f>
        <v>-3.8457973377000741E-13</v>
      </c>
      <c r="Y23" s="1296">
        <f>House!Y23</f>
        <v>1076.6210889730667</v>
      </c>
      <c r="Z23" s="1296">
        <f>House!Z23</f>
        <v>947.0916374532992</v>
      </c>
      <c r="AA23" s="522"/>
      <c r="AB23" s="518"/>
      <c r="AC23" s="518"/>
      <c r="AD23" s="1303">
        <f>House!AD23</f>
        <v>1084.9935196601525</v>
      </c>
      <c r="AE23" s="1303">
        <f>House!AE23</f>
        <v>-1388.6555249468331</v>
      </c>
      <c r="AF23" s="518"/>
      <c r="AG23" s="518"/>
      <c r="AH23" s="518"/>
      <c r="AI23" s="518"/>
      <c r="AJ23" s="527"/>
    </row>
    <row r="24" spans="1:36">
      <c r="A24" s="2238"/>
      <c r="B24" s="503"/>
      <c r="C24" s="510"/>
      <c r="D24" s="685"/>
      <c r="E24" s="510"/>
      <c r="F24" s="510"/>
      <c r="G24" s="510"/>
      <c r="H24" s="510"/>
      <c r="I24" s="510"/>
      <c r="J24" s="510"/>
      <c r="K24" s="510"/>
      <c r="L24" s="510"/>
      <c r="M24" s="510"/>
      <c r="N24" s="510"/>
      <c r="O24" s="510"/>
      <c r="P24" s="510"/>
      <c r="Q24" s="510"/>
      <c r="R24" s="510"/>
      <c r="S24" s="510"/>
      <c r="T24" s="510"/>
      <c r="U24" s="510"/>
      <c r="V24" s="510"/>
      <c r="W24" s="510"/>
      <c r="X24" s="510"/>
      <c r="Y24" s="510"/>
      <c r="Z24" s="510"/>
      <c r="AA24" s="518"/>
      <c r="AB24" s="518"/>
      <c r="AC24" s="518"/>
      <c r="AD24" s="518"/>
      <c r="AE24" s="518"/>
      <c r="AF24" s="518"/>
      <c r="AG24" s="518"/>
      <c r="AH24" s="518"/>
      <c r="AI24" s="518"/>
      <c r="AJ24" s="527"/>
    </row>
    <row r="25" spans="1:36">
      <c r="A25" s="2238"/>
      <c r="B25" s="503"/>
      <c r="C25" s="510"/>
      <c r="D25" s="685"/>
      <c r="E25" s="510"/>
      <c r="F25" s="510"/>
      <c r="G25" s="510"/>
      <c r="H25" s="510"/>
      <c r="I25" s="510"/>
      <c r="J25" s="510"/>
      <c r="K25" s="510"/>
      <c r="L25" s="510"/>
      <c r="M25" s="510"/>
      <c r="N25" s="510"/>
      <c r="O25" s="510"/>
      <c r="P25" s="510"/>
      <c r="Q25" s="510"/>
      <c r="R25" s="510"/>
      <c r="S25" s="510"/>
      <c r="T25" s="510"/>
      <c r="U25" s="510"/>
      <c r="V25" s="510"/>
      <c r="W25" s="510"/>
      <c r="X25" s="510"/>
      <c r="Y25" s="510"/>
      <c r="Z25" s="510"/>
      <c r="AA25" s="518"/>
      <c r="AB25" s="518"/>
      <c r="AC25" s="518"/>
      <c r="AD25" s="518"/>
      <c r="AE25" s="518"/>
      <c r="AF25" s="518"/>
      <c r="AG25" s="518"/>
      <c r="AH25" s="518"/>
      <c r="AI25" s="518"/>
      <c r="AJ25" s="527"/>
    </row>
    <row r="26" spans="1:36">
      <c r="A26" s="2238"/>
      <c r="B26" s="503"/>
      <c r="C26" s="510"/>
      <c r="D26" s="685"/>
      <c r="E26" s="510"/>
      <c r="F26" s="510"/>
      <c r="G26" s="510"/>
      <c r="H26" s="510"/>
      <c r="I26" s="510"/>
      <c r="J26" s="510"/>
      <c r="K26" s="510"/>
      <c r="L26" s="510"/>
      <c r="M26" s="510"/>
      <c r="N26" s="510"/>
      <c r="O26" s="510"/>
      <c r="P26" s="510"/>
      <c r="Q26" s="510"/>
      <c r="R26" s="510"/>
      <c r="S26" s="510"/>
      <c r="T26" s="510"/>
      <c r="U26" s="510"/>
      <c r="V26" s="510"/>
      <c r="W26" s="510"/>
      <c r="X26" s="510"/>
      <c r="Y26" s="510"/>
      <c r="Z26" s="510"/>
      <c r="AA26" s="518"/>
      <c r="AB26" s="518"/>
      <c r="AC26" s="518"/>
      <c r="AD26" s="518"/>
      <c r="AE26" s="518"/>
      <c r="AF26" s="518"/>
      <c r="AG26" s="518"/>
      <c r="AH26" s="518"/>
      <c r="AI26" s="518"/>
      <c r="AJ26" s="527"/>
    </row>
    <row r="27" spans="1:36">
      <c r="A27" s="2238"/>
      <c r="B27" s="503"/>
      <c r="C27" s="510"/>
      <c r="D27" s="685"/>
      <c r="E27" s="510"/>
      <c r="F27" s="510"/>
      <c r="G27" s="510"/>
      <c r="H27" s="510"/>
      <c r="I27" s="510"/>
      <c r="J27" s="510"/>
      <c r="K27" s="510"/>
      <c r="L27" s="510"/>
      <c r="M27" s="510"/>
      <c r="N27" s="510"/>
      <c r="O27" s="510"/>
      <c r="P27" s="510"/>
      <c r="Q27" s="510"/>
      <c r="R27" s="510"/>
      <c r="S27" s="510"/>
      <c r="T27" s="510"/>
      <c r="U27" s="510"/>
      <c r="V27" s="510"/>
      <c r="W27" s="510"/>
      <c r="X27" s="510"/>
      <c r="Y27" s="510"/>
      <c r="Z27" s="510"/>
      <c r="AA27" s="518"/>
      <c r="AB27" s="518"/>
      <c r="AC27" s="518"/>
      <c r="AD27" s="518"/>
      <c r="AE27" s="518"/>
      <c r="AF27" s="518"/>
      <c r="AG27" s="518"/>
      <c r="AH27" s="518"/>
      <c r="AI27" s="518"/>
      <c r="AJ27" s="527"/>
    </row>
    <row r="28" spans="1:36">
      <c r="A28" s="2238"/>
      <c r="B28" s="503"/>
      <c r="C28" s="510"/>
      <c r="D28" s="685"/>
      <c r="E28" s="510"/>
      <c r="F28" s="510"/>
      <c r="G28" s="510"/>
      <c r="H28" s="510"/>
      <c r="I28" s="510"/>
      <c r="J28" s="510"/>
      <c r="K28" s="510"/>
      <c r="L28" s="510"/>
      <c r="M28" s="510"/>
      <c r="N28" s="510"/>
      <c r="O28" s="510"/>
      <c r="P28" s="510"/>
      <c r="Q28" s="510"/>
      <c r="R28" s="510"/>
      <c r="S28" s="510"/>
      <c r="T28" s="510"/>
      <c r="U28" s="510"/>
      <c r="V28" s="510"/>
      <c r="W28" s="510"/>
      <c r="X28" s="510"/>
      <c r="Y28" s="510"/>
      <c r="Z28" s="510"/>
      <c r="AA28" s="518"/>
      <c r="AB28" s="518"/>
      <c r="AC28" s="518"/>
      <c r="AD28" s="518"/>
      <c r="AE28" s="518"/>
      <c r="AF28" s="518"/>
      <c r="AG28" s="518"/>
      <c r="AH28" s="518"/>
      <c r="AI28" s="518"/>
      <c r="AJ28" s="527"/>
    </row>
    <row r="29" spans="1:36" ht="15.75" thickBot="1">
      <c r="AA29" s="518"/>
      <c r="AB29" s="518"/>
      <c r="AC29" s="518"/>
      <c r="AD29" s="518"/>
      <c r="AE29" s="518"/>
      <c r="AF29" s="518"/>
      <c r="AG29" s="518"/>
      <c r="AH29" s="518"/>
      <c r="AI29" s="518"/>
      <c r="AJ29" s="527"/>
    </row>
    <row r="30" spans="1:36" ht="15.75" thickBot="1">
      <c r="A30" s="2569" t="s">
        <v>2645</v>
      </c>
      <c r="B30" s="2571" t="str">
        <f>House!B30</f>
        <v>alfa incr</v>
      </c>
      <c r="C30" s="2572">
        <f>House!C30</f>
        <v>0.25743606466916358</v>
      </c>
      <c r="D30" s="3799" t="str">
        <f>"HOUSE (LG), "&amp;G6&amp;", (0) "</f>
        <v xml:space="preserve">HOUSE (LG), 135, (0) </v>
      </c>
      <c r="E30" s="3800"/>
      <c r="F30" s="3800"/>
      <c r="G30" s="3800"/>
      <c r="H30" s="3800"/>
      <c r="I30" s="3800"/>
      <c r="J30" s="3800"/>
      <c r="K30" s="3800"/>
      <c r="L30" s="3800"/>
      <c r="M30" s="3800"/>
      <c r="N30" s="3800"/>
      <c r="O30" s="3800"/>
      <c r="P30" s="3800"/>
      <c r="Q30" s="3800"/>
      <c r="R30" s="3800"/>
      <c r="S30" s="3800"/>
      <c r="T30" s="3800"/>
      <c r="U30" s="3800"/>
      <c r="V30" s="3800"/>
      <c r="W30" s="3800"/>
      <c r="X30" s="3800"/>
      <c r="Y30" s="3800"/>
      <c r="Z30" s="3837"/>
      <c r="AA30" s="518"/>
      <c r="AB30" s="518"/>
      <c r="AC30" s="518"/>
      <c r="AD30" s="518"/>
      <c r="AE30" s="518"/>
      <c r="AF30" s="518"/>
      <c r="AG30" s="518"/>
      <c r="AH30" s="518"/>
      <c r="AI30" s="518"/>
      <c r="AJ30" s="527"/>
    </row>
    <row r="31" spans="1:36" s="1346" customFormat="1">
      <c r="A31" s="2237"/>
      <c r="B31" s="3107" t="str">
        <f>House!B31</f>
        <v>Lreinf</v>
      </c>
      <c r="C31" s="3107" t="str">
        <f>House!C31</f>
        <v>LF stop</v>
      </c>
      <c r="D31" s="3839" t="s">
        <v>1099</v>
      </c>
      <c r="E31" s="3840"/>
      <c r="F31" s="3840"/>
      <c r="G31" s="3840"/>
      <c r="H31" s="3840"/>
      <c r="I31" s="3840"/>
      <c r="J31" s="3840"/>
      <c r="K31" s="3840"/>
      <c r="L31" s="3840"/>
      <c r="M31" s="3840"/>
      <c r="N31" s="3840"/>
      <c r="O31" s="3840"/>
      <c r="P31" s="3840"/>
      <c r="Q31" s="3840"/>
      <c r="R31" s="3840"/>
      <c r="S31" s="3840"/>
      <c r="T31" s="3840"/>
      <c r="U31" s="3840"/>
      <c r="V31" s="3840"/>
      <c r="W31" s="3840"/>
      <c r="X31" s="3841"/>
      <c r="Y31" s="3107" t="str">
        <f>House!Y31</f>
        <v>RF stop</v>
      </c>
      <c r="Z31" s="3107" t="str">
        <f>House!Z31</f>
        <v>Rreinf</v>
      </c>
      <c r="AA31" s="544"/>
      <c r="AB31" s="544"/>
      <c r="AC31" s="544"/>
      <c r="AD31" s="544"/>
      <c r="AE31" s="544"/>
      <c r="AF31" s="544"/>
      <c r="AG31" s="544"/>
      <c r="AH31" s="544"/>
      <c r="AI31" s="544"/>
      <c r="AJ31" s="524"/>
    </row>
    <row r="32" spans="1:36">
      <c r="A32" s="2347" t="s">
        <v>1104</v>
      </c>
      <c r="B32" s="1380">
        <f>House!B32</f>
        <v>9.7738438111682449</v>
      </c>
      <c r="C32" s="1380">
        <f>House!C32</f>
        <v>9.8209028269058756</v>
      </c>
      <c r="D32" s="1381">
        <f>House!D32</f>
        <v>3.4906585039886591</v>
      </c>
      <c r="E32" s="1382">
        <f>House!E32</f>
        <v>3.7480945686578226</v>
      </c>
      <c r="F32" s="1382">
        <f>House!F32</f>
        <v>4.0055306333269858</v>
      </c>
      <c r="G32" s="1382">
        <f>House!G32</f>
        <v>4.2629666979961502</v>
      </c>
      <c r="H32" s="1382">
        <f>House!H32</f>
        <v>4.5204027626653129</v>
      </c>
      <c r="I32" s="1382">
        <f>House!I32</f>
        <v>4.7778388273344774</v>
      </c>
      <c r="J32" s="1382">
        <f>House!J32</f>
        <v>5.0352748920036401</v>
      </c>
      <c r="K32" s="1382">
        <f>House!K32</f>
        <v>5.2927109566728046</v>
      </c>
      <c r="L32" s="1382">
        <f>House!L32</f>
        <v>5.5501470213419672</v>
      </c>
      <c r="M32" s="1382">
        <f>House!M32</f>
        <v>5.8075830860111317</v>
      </c>
      <c r="N32" s="1382">
        <f>House!N32</f>
        <v>6.0650191506802944</v>
      </c>
      <c r="O32" s="1382">
        <f>House!O32</f>
        <v>6.3224552153494589</v>
      </c>
      <c r="P32" s="1382">
        <f>House!P32</f>
        <v>6.5798912800186224</v>
      </c>
      <c r="Q32" s="1382">
        <f>House!Q32</f>
        <v>6.837327344687786</v>
      </c>
      <c r="R32" s="1382">
        <f>House!R32</f>
        <v>7.0947634093569496</v>
      </c>
      <c r="S32" s="1382">
        <f>House!S32</f>
        <v>7.3521994740261132</v>
      </c>
      <c r="T32" s="1382">
        <f>House!T32</f>
        <v>7.6096355386952768</v>
      </c>
      <c r="U32" s="1382">
        <f>House!U32</f>
        <v>7.8670716033644403</v>
      </c>
      <c r="V32" s="1382">
        <f>House!V32</f>
        <v>8.1245076680336048</v>
      </c>
      <c r="W32" s="1382">
        <f>House!W32</f>
        <v>8.3819437327027675</v>
      </c>
      <c r="X32" s="1382">
        <f>House!X32</f>
        <v>8.6393797973719302</v>
      </c>
      <c r="Y32" s="1380">
        <f>House!Y32</f>
        <v>9.2406168048096653</v>
      </c>
      <c r="Z32" s="1380">
        <f>House!Z32</f>
        <v>9.1823149147208731</v>
      </c>
      <c r="AA32" s="518"/>
      <c r="AB32" s="518"/>
      <c r="AC32" s="518"/>
      <c r="AD32" s="518"/>
      <c r="AE32" s="518"/>
      <c r="AF32" s="518"/>
      <c r="AG32" s="518"/>
      <c r="AH32" s="518"/>
      <c r="AI32" s="518"/>
      <c r="AJ32" s="527"/>
    </row>
    <row r="33" spans="1:36">
      <c r="A33" s="1275" t="s">
        <v>1105</v>
      </c>
      <c r="B33" s="1296">
        <f>House!B33</f>
        <v>1045.0161529852062</v>
      </c>
      <c r="C33" s="1296">
        <f>House!C33</f>
        <v>1163.7087092567451</v>
      </c>
      <c r="D33" s="1297">
        <f>House!D33</f>
        <v>1045</v>
      </c>
      <c r="E33" s="1297">
        <f>House!E33</f>
        <v>1066.4530024332412</v>
      </c>
      <c r="F33" s="1297">
        <f>House!F33</f>
        <v>1088.3485349755213</v>
      </c>
      <c r="G33" s="1297">
        <f>House!G33</f>
        <v>1110.6957260879037</v>
      </c>
      <c r="H33" s="1297">
        <f>House!H33</f>
        <v>1133.5038925323154</v>
      </c>
      <c r="I33" s="1297">
        <f>House!I33</f>
        <v>1156.7825432557941</v>
      </c>
      <c r="J33" s="1297">
        <f>House!J33</f>
        <v>1180.5413833548621</v>
      </c>
      <c r="K33" s="1297">
        <f>House!K33</f>
        <v>1204.790318121677</v>
      </c>
      <c r="L33" s="1297">
        <f>House!L33</f>
        <v>1229.5394571736417</v>
      </c>
      <c r="M33" s="1297">
        <f>House!M33</f>
        <v>1254.799118668205</v>
      </c>
      <c r="N33" s="1297">
        <f>House!N33</f>
        <v>1280.5798336046005</v>
      </c>
      <c r="O33" s="1297">
        <f>House!O33</f>
        <v>1306.8923502143243</v>
      </c>
      <c r="P33" s="1297">
        <f>House!P33</f>
        <v>1333.7476384421761</v>
      </c>
      <c r="Q33" s="1297">
        <f>House!Q33</f>
        <v>1361.1568945197369</v>
      </c>
      <c r="R33" s="1297">
        <f>House!R33</f>
        <v>1389.1315456331872</v>
      </c>
      <c r="S33" s="1297">
        <f>House!S33</f>
        <v>1417.683254687413</v>
      </c>
      <c r="T33" s="1297">
        <f>House!T33</f>
        <v>1446.8239251683819</v>
      </c>
      <c r="U33" s="1297">
        <f>House!U33</f>
        <v>1476.5657061058264</v>
      </c>
      <c r="V33" s="1297">
        <f>House!V33</f>
        <v>1506.9209971382902</v>
      </c>
      <c r="W33" s="1297">
        <f>House!W33</f>
        <v>1537.9024536826591</v>
      </c>
      <c r="X33" s="1297">
        <f>House!X33</f>
        <v>1569.5229922103274</v>
      </c>
      <c r="Y33" s="1296">
        <f>House!Y33</f>
        <v>1903.2780826773578</v>
      </c>
      <c r="Z33" s="1296">
        <f>House!Z33</f>
        <v>1833.1143608624095</v>
      </c>
      <c r="AA33" s="510"/>
      <c r="AB33" s="518"/>
      <c r="AC33" s="518"/>
      <c r="AD33" s="518"/>
      <c r="AE33" s="518"/>
      <c r="AF33" s="518"/>
      <c r="AG33" s="518"/>
      <c r="AH33" s="518"/>
      <c r="AI33" s="518"/>
      <c r="AJ33" s="527"/>
    </row>
    <row r="34" spans="1:36">
      <c r="A34" s="2238" t="s">
        <v>1092</v>
      </c>
      <c r="B34" s="1300">
        <f>House!B34</f>
        <v>-982</v>
      </c>
      <c r="C34" s="1300">
        <f>House!C34</f>
        <v>-1073.5999999999999</v>
      </c>
      <c r="D34" s="1300">
        <f>House!D34</f>
        <v>-982</v>
      </c>
      <c r="E34" s="1300">
        <f>House!E34</f>
        <v>-876.2</v>
      </c>
      <c r="F34" s="1300">
        <f>House!F34</f>
        <v>-706.8</v>
      </c>
      <c r="G34" s="1300">
        <f>House!G34</f>
        <v>-482.5</v>
      </c>
      <c r="H34" s="1300">
        <f>House!H34</f>
        <v>-216.3</v>
      </c>
      <c r="I34" s="1300">
        <f>House!I34</f>
        <v>75.7</v>
      </c>
      <c r="J34" s="1300">
        <f>House!J34</f>
        <v>374.6</v>
      </c>
      <c r="K34" s="1300">
        <f>House!K34</f>
        <v>660.6</v>
      </c>
      <c r="L34" s="1300">
        <f>House!L34</f>
        <v>913.7</v>
      </c>
      <c r="M34" s="1300">
        <f>House!M34</f>
        <v>1115.5</v>
      </c>
      <c r="N34" s="1300">
        <f>House!N34</f>
        <v>1250.2</v>
      </c>
      <c r="O34" s="1300">
        <f>House!O34</f>
        <v>1305.9000000000001</v>
      </c>
      <c r="P34" s="1300">
        <f>House!P34</f>
        <v>1275.5</v>
      </c>
      <c r="Q34" s="1300">
        <f>House!Q34</f>
        <v>1157.5</v>
      </c>
      <c r="R34" s="1300">
        <f>House!R34</f>
        <v>956.2</v>
      </c>
      <c r="S34" s="1300">
        <f>House!S34</f>
        <v>681.9</v>
      </c>
      <c r="T34" s="1300">
        <f>House!T34</f>
        <v>350</v>
      </c>
      <c r="U34" s="1300">
        <f>House!U34</f>
        <v>-19.3</v>
      </c>
      <c r="V34" s="1300">
        <f>House!V34</f>
        <v>-402.7</v>
      </c>
      <c r="W34" s="1300">
        <f>House!W34</f>
        <v>-774.8</v>
      </c>
      <c r="X34" s="1300">
        <f>House!X34</f>
        <v>-1109.8</v>
      </c>
      <c r="Y34" s="1300">
        <f>House!Y34</f>
        <v>-1871.1</v>
      </c>
      <c r="Z34" s="1300">
        <f>House!Z34</f>
        <v>-1779.5</v>
      </c>
      <c r="AA34" s="510"/>
      <c r="AB34" s="518"/>
      <c r="AC34" s="518"/>
      <c r="AD34" s="518"/>
      <c r="AE34" s="518"/>
      <c r="AF34" s="518"/>
      <c r="AG34" s="518"/>
      <c r="AH34" s="518"/>
      <c r="AI34" s="518"/>
      <c r="AJ34" s="527"/>
    </row>
    <row r="35" spans="1:36">
      <c r="A35" s="3014" t="s">
        <v>1093</v>
      </c>
      <c r="B35" s="1296">
        <f>House!B35</f>
        <v>-357.4</v>
      </c>
      <c r="C35" s="1296">
        <f>House!C35</f>
        <v>-449</v>
      </c>
      <c r="D35" s="1296">
        <f>House!D35</f>
        <v>-357.4</v>
      </c>
      <c r="E35" s="1296">
        <f>House!E35</f>
        <v>-607.9</v>
      </c>
      <c r="F35" s="1296">
        <f>House!F35</f>
        <v>-827.6</v>
      </c>
      <c r="G35" s="1296">
        <f>House!G35</f>
        <v>-1000.4</v>
      </c>
      <c r="H35" s="1296">
        <f>House!H35</f>
        <v>-1112.7</v>
      </c>
      <c r="I35" s="1296">
        <f>House!I35</f>
        <v>-1154.3</v>
      </c>
      <c r="J35" s="1296">
        <f>House!J35</f>
        <v>-1119.5</v>
      </c>
      <c r="K35" s="1296">
        <f>House!K35</f>
        <v>-1007.5</v>
      </c>
      <c r="L35" s="1296">
        <f>House!L35</f>
        <v>-822.7</v>
      </c>
      <c r="M35" s="1296">
        <f>House!M35</f>
        <v>-574.5</v>
      </c>
      <c r="N35" s="1296">
        <f>House!N35</f>
        <v>-277.2</v>
      </c>
      <c r="O35" s="1296">
        <f>House!O35</f>
        <v>51.3</v>
      </c>
      <c r="P35" s="1296">
        <f>House!P35</f>
        <v>390</v>
      </c>
      <c r="Q35" s="1296">
        <f>House!Q35</f>
        <v>716.3</v>
      </c>
      <c r="R35" s="1296">
        <f>House!R35</f>
        <v>1007.6</v>
      </c>
      <c r="S35" s="1296">
        <f>House!S35</f>
        <v>1242.9000000000001</v>
      </c>
      <c r="T35" s="1296">
        <f>House!T35</f>
        <v>1403.8</v>
      </c>
      <c r="U35" s="1296">
        <f>House!U35</f>
        <v>1476.4</v>
      </c>
      <c r="V35" s="1296">
        <f>House!V35</f>
        <v>1452.1</v>
      </c>
      <c r="W35" s="1296">
        <f>House!W35</f>
        <v>1328.5</v>
      </c>
      <c r="X35" s="1296">
        <f>House!X35</f>
        <v>1109.8</v>
      </c>
      <c r="Y35" s="1296">
        <f>House!Y35</f>
        <v>348.5</v>
      </c>
      <c r="Z35" s="1296">
        <f>House!Z35</f>
        <v>440.1</v>
      </c>
      <c r="AA35" s="510"/>
      <c r="AB35" s="518"/>
      <c r="AC35" s="518"/>
      <c r="AD35" s="518"/>
      <c r="AE35" s="518"/>
      <c r="AF35" s="518"/>
      <c r="AG35" s="518"/>
      <c r="AH35" s="518"/>
      <c r="AI35" s="518"/>
      <c r="AJ35" s="527"/>
    </row>
    <row r="36" spans="1:36" ht="15.75" thickBot="1">
      <c r="A36" s="2701"/>
      <c r="B36" s="2640"/>
      <c r="C36" s="2703"/>
      <c r="D36" s="2704"/>
      <c r="E36" s="2704"/>
      <c r="F36" s="2704"/>
      <c r="G36" s="2704"/>
      <c r="H36" s="2704"/>
      <c r="I36" s="2704"/>
      <c r="J36" s="2704"/>
      <c r="K36" s="2704"/>
      <c r="L36" s="2704"/>
      <c r="M36" s="2704"/>
      <c r="N36" s="2704"/>
      <c r="O36" s="2704"/>
      <c r="P36" s="2704"/>
      <c r="Q36" s="2704"/>
      <c r="R36" s="2704"/>
      <c r="S36" s="2704"/>
      <c r="T36" s="2704"/>
      <c r="U36" s="2704"/>
      <c r="V36" s="2704"/>
      <c r="W36" s="2704"/>
      <c r="X36" s="2704"/>
      <c r="Y36" s="2640"/>
      <c r="Z36" s="2640"/>
      <c r="AA36" s="2639"/>
      <c r="AB36" s="2639"/>
      <c r="AC36" s="2674"/>
      <c r="AD36" s="2639"/>
      <c r="AE36" s="2639"/>
      <c r="AF36" s="2639"/>
      <c r="AG36" s="2639"/>
      <c r="AH36" s="2639"/>
      <c r="AI36" s="2639"/>
      <c r="AJ36" s="2675"/>
    </row>
    <row r="37" spans="1:36">
      <c r="A37" s="3849" t="s">
        <v>2645</v>
      </c>
      <c r="B37" s="3858" t="str">
        <f>"Drive Side Reinf "&amp;$E$6&amp;", "&amp;$G$6&amp;", "&amp;Center_H</f>
        <v>Drive Side Reinf RD, 135, 1269</v>
      </c>
      <c r="C37" s="3858"/>
      <c r="D37" s="3858"/>
      <c r="E37" s="3858"/>
      <c r="F37" s="3858"/>
      <c r="G37" s="3858"/>
      <c r="H37" s="3858"/>
      <c r="I37" s="3858"/>
      <c r="J37" s="3858"/>
      <c r="K37" s="3858"/>
      <c r="L37" s="3858"/>
      <c r="M37" s="3858"/>
      <c r="N37" s="3858"/>
      <c r="O37" s="3858"/>
      <c r="P37" s="3858"/>
      <c r="Q37" s="3858"/>
      <c r="R37" s="3858"/>
      <c r="S37" s="3858"/>
      <c r="T37" s="3858"/>
      <c r="U37" s="3858"/>
      <c r="V37" s="3858"/>
      <c r="W37" s="3858"/>
      <c r="X37" s="3858"/>
      <c r="Y37" s="3858"/>
      <c r="Z37" s="3858"/>
      <c r="AA37" s="3858"/>
      <c r="AB37" s="3858"/>
      <c r="AC37" s="3858"/>
      <c r="AD37" s="3858"/>
      <c r="AE37" s="3858"/>
      <c r="AF37" s="3858"/>
      <c r="AG37" s="3858"/>
      <c r="AH37" s="3858"/>
      <c r="AI37" s="3858"/>
      <c r="AJ37" s="3859"/>
    </row>
    <row r="38" spans="1:36" ht="15.75" thickBot="1">
      <c r="A38" s="3850"/>
      <c r="B38" s="3860"/>
      <c r="C38" s="3860"/>
      <c r="D38" s="3860"/>
      <c r="E38" s="3860"/>
      <c r="F38" s="3860"/>
      <c r="G38" s="3860"/>
      <c r="H38" s="3860"/>
      <c r="I38" s="3860"/>
      <c r="J38" s="3860"/>
      <c r="K38" s="3860"/>
      <c r="L38" s="3860"/>
      <c r="M38" s="3860"/>
      <c r="N38" s="3860"/>
      <c r="O38" s="3860"/>
      <c r="P38" s="3860"/>
      <c r="Q38" s="3860"/>
      <c r="R38" s="3860"/>
      <c r="S38" s="3860"/>
      <c r="T38" s="3860"/>
      <c r="U38" s="3860"/>
      <c r="V38" s="3860"/>
      <c r="W38" s="3860"/>
      <c r="X38" s="3860"/>
      <c r="Y38" s="3860"/>
      <c r="Z38" s="3860"/>
      <c r="AA38" s="3860"/>
      <c r="AB38" s="3860"/>
      <c r="AC38" s="3860"/>
      <c r="AD38" s="3860"/>
      <c r="AE38" s="3860"/>
      <c r="AF38" s="3860"/>
      <c r="AG38" s="3860"/>
      <c r="AH38" s="3860"/>
      <c r="AI38" s="3860"/>
      <c r="AJ38" s="3861"/>
    </row>
    <row r="39" spans="1:36">
      <c r="A39" s="526"/>
      <c r="B39" s="2424"/>
      <c r="C39" s="1147"/>
      <c r="D39" s="1147"/>
      <c r="E39" s="1147"/>
      <c r="F39" s="1147"/>
      <c r="G39" s="1147"/>
      <c r="H39" s="1147"/>
      <c r="I39" s="1147"/>
      <c r="J39" s="1147"/>
      <c r="K39" s="1147"/>
      <c r="L39" s="1147"/>
      <c r="M39" s="1147"/>
      <c r="N39" s="1147"/>
      <c r="O39" s="1147"/>
      <c r="P39" s="1147"/>
      <c r="Q39" s="1147"/>
      <c r="R39" s="1147"/>
      <c r="S39" s="1147"/>
      <c r="T39" s="1147"/>
      <c r="U39" s="1147"/>
      <c r="V39" s="1147"/>
      <c r="W39" s="1147"/>
      <c r="X39" s="1147"/>
      <c r="Y39" s="1147"/>
      <c r="Z39" s="1147"/>
      <c r="AA39" s="1147"/>
      <c r="AB39" s="1147"/>
      <c r="AC39" s="1147"/>
      <c r="AD39" s="1147"/>
      <c r="AE39" s="1147"/>
      <c r="AF39" s="1147"/>
      <c r="AG39" s="1147"/>
      <c r="AH39" s="1147"/>
      <c r="AI39" s="1147"/>
      <c r="AJ39" s="2344"/>
    </row>
    <row r="40" spans="1:36">
      <c r="A40" s="2408"/>
      <c r="B40" s="2423"/>
      <c r="C40" s="3262"/>
      <c r="D40" s="3262"/>
      <c r="E40" s="3262"/>
      <c r="F40" s="2379"/>
      <c r="G40" s="2376"/>
      <c r="H40" s="3276"/>
      <c r="I40" s="3262"/>
      <c r="J40" s="2796"/>
      <c r="K40" s="2796"/>
      <c r="L40" s="2796"/>
      <c r="M40" s="2796"/>
      <c r="N40" s="2796"/>
      <c r="O40" s="2796"/>
      <c r="P40" s="2796"/>
      <c r="Q40" s="2796"/>
      <c r="R40" s="2796"/>
      <c r="S40" s="2639"/>
      <c r="T40" s="2639"/>
      <c r="U40" s="2639"/>
      <c r="V40" s="2639"/>
      <c r="W40" s="2639"/>
      <c r="X40" s="2639"/>
      <c r="Y40" s="2639"/>
      <c r="Z40" s="2639"/>
      <c r="AA40" s="2796"/>
      <c r="AB40" s="3272"/>
      <c r="AC40" s="3272"/>
      <c r="AD40" s="3272"/>
      <c r="AE40" s="3272"/>
      <c r="AF40" s="3272"/>
      <c r="AG40" s="3272"/>
      <c r="AH40" s="3272"/>
      <c r="AI40" s="3272"/>
      <c r="AJ40" s="3228"/>
    </row>
    <row r="41" spans="1:36">
      <c r="A41" s="2408"/>
      <c r="B41" s="526"/>
      <c r="C41" s="518"/>
      <c r="D41" s="518"/>
      <c r="E41" s="2379"/>
      <c r="F41" s="3277"/>
      <c r="G41" s="2376"/>
      <c r="H41" s="2379"/>
      <c r="I41" s="2379"/>
      <c r="J41" s="2796"/>
      <c r="K41" s="2796"/>
      <c r="L41" s="2796"/>
      <c r="M41" s="2796"/>
      <c r="N41" s="2796"/>
      <c r="O41" s="2796"/>
      <c r="P41" s="2796"/>
      <c r="Q41" s="2796"/>
      <c r="R41" s="2796"/>
      <c r="S41" s="2639"/>
      <c r="T41" s="2639"/>
      <c r="U41" s="2639"/>
      <c r="V41" s="2639"/>
      <c r="W41" s="2639"/>
      <c r="X41" s="2639"/>
      <c r="Y41" s="2639"/>
      <c r="Z41" s="2639"/>
      <c r="AA41" s="2796"/>
      <c r="AB41" s="3273"/>
      <c r="AC41" s="2695"/>
      <c r="AD41" s="2695"/>
      <c r="AE41" s="2695"/>
      <c r="AF41" s="2695"/>
      <c r="AG41" s="2695"/>
      <c r="AH41" s="2695"/>
      <c r="AI41" s="2695"/>
      <c r="AJ41" s="2730"/>
    </row>
    <row r="42" spans="1:36">
      <c r="A42" s="2408"/>
      <c r="B42" s="3278"/>
      <c r="C42" s="3268"/>
      <c r="D42" s="3268"/>
      <c r="E42" s="3268"/>
      <c r="F42" s="3268"/>
      <c r="G42" s="3268"/>
      <c r="H42" s="3268"/>
      <c r="I42" s="3268"/>
      <c r="J42" s="2796"/>
      <c r="K42" s="2796"/>
      <c r="L42" s="2796"/>
      <c r="M42" s="2796"/>
      <c r="N42" s="2796"/>
      <c r="O42" s="2796"/>
      <c r="P42" s="2796"/>
      <c r="Q42" s="2796"/>
      <c r="R42" s="2796"/>
      <c r="S42" s="2639"/>
      <c r="T42" s="2639"/>
      <c r="U42" s="2639"/>
      <c r="V42" s="2639"/>
      <c r="W42" s="2639"/>
      <c r="X42" s="2639"/>
      <c r="Y42" s="2639"/>
      <c r="Z42" s="2639"/>
      <c r="AA42" s="2796"/>
      <c r="AB42" s="3177"/>
      <c r="AC42" s="3274"/>
      <c r="AD42" s="3274"/>
      <c r="AE42" s="3274"/>
      <c r="AF42" s="3274"/>
      <c r="AG42" s="3274"/>
      <c r="AH42" s="3274"/>
      <c r="AI42" s="3274"/>
      <c r="AJ42" s="3275"/>
    </row>
    <row r="43" spans="1:36">
      <c r="A43" s="2408"/>
      <c r="B43" s="3278"/>
      <c r="C43" s="3268"/>
      <c r="D43" s="3268"/>
      <c r="E43" s="3268"/>
      <c r="F43" s="3268"/>
      <c r="G43" s="3268"/>
      <c r="H43" s="3268"/>
      <c r="I43" s="3268"/>
      <c r="J43" s="2796"/>
      <c r="K43" s="2796"/>
      <c r="L43" s="2796"/>
      <c r="M43" s="2796"/>
      <c r="N43" s="2796"/>
      <c r="O43" s="2796"/>
      <c r="P43" s="2796"/>
      <c r="Q43" s="2796"/>
      <c r="R43" s="2796"/>
      <c r="S43" s="2639"/>
      <c r="T43" s="2639"/>
      <c r="U43" s="2639"/>
      <c r="V43" s="2639"/>
      <c r="W43" s="2639"/>
      <c r="X43" s="2639"/>
      <c r="Y43" s="2639"/>
      <c r="Z43" s="2639"/>
      <c r="AA43" s="2796"/>
      <c r="AB43" s="3177"/>
      <c r="AC43" s="3274"/>
      <c r="AD43" s="3274"/>
      <c r="AE43" s="3274"/>
      <c r="AF43" s="3274"/>
      <c r="AG43" s="3274"/>
      <c r="AH43" s="3274"/>
      <c r="AI43" s="3274"/>
      <c r="AJ43" s="3275"/>
    </row>
    <row r="44" spans="1:36">
      <c r="A44" s="2431"/>
      <c r="B44" s="3279"/>
      <c r="C44" s="2376"/>
      <c r="D44" s="2376"/>
      <c r="E44" s="2376"/>
      <c r="F44" s="2376"/>
      <c r="G44" s="2376"/>
      <c r="H44" s="2376"/>
      <c r="I44" s="2376"/>
      <c r="J44" s="2796"/>
      <c r="K44" s="2796"/>
      <c r="L44" s="2796"/>
      <c r="M44" s="2796"/>
      <c r="N44" s="2796"/>
      <c r="O44" s="2796"/>
      <c r="P44" s="2796"/>
      <c r="Q44" s="2796"/>
      <c r="R44" s="2796"/>
      <c r="S44" s="2639"/>
      <c r="T44" s="2639"/>
      <c r="U44" s="2639"/>
      <c r="V44" s="2639"/>
      <c r="W44" s="2639"/>
      <c r="X44" s="2639"/>
      <c r="Y44" s="2639"/>
      <c r="Z44" s="2639"/>
      <c r="AA44" s="2796"/>
      <c r="AB44" s="2664"/>
      <c r="AC44" s="2704"/>
      <c r="AD44" s="2704"/>
      <c r="AE44" s="2704"/>
      <c r="AF44" s="2704"/>
      <c r="AG44" s="2704"/>
      <c r="AH44" s="2704"/>
      <c r="AI44" s="2704"/>
      <c r="AJ44" s="2743"/>
    </row>
    <row r="45" spans="1:36">
      <c r="A45" s="2431"/>
      <c r="B45" s="3279"/>
      <c r="C45" s="2376"/>
      <c r="D45" s="2376"/>
      <c r="E45" s="2376"/>
      <c r="F45" s="2376"/>
      <c r="G45" s="2376"/>
      <c r="H45" s="2376"/>
      <c r="I45" s="2376"/>
      <c r="J45" s="2796"/>
      <c r="K45" s="2796"/>
      <c r="L45" s="2796"/>
      <c r="M45" s="2796"/>
      <c r="N45" s="2796"/>
      <c r="O45" s="2796"/>
      <c r="P45" s="2796"/>
      <c r="Q45" s="2796"/>
      <c r="R45" s="2796"/>
      <c r="S45" s="2639"/>
      <c r="T45" s="2639"/>
      <c r="U45" s="2639"/>
      <c r="V45" s="2639"/>
      <c r="W45" s="2639"/>
      <c r="X45" s="2639"/>
      <c r="Y45" s="2639"/>
      <c r="Z45" s="2639"/>
      <c r="AA45" s="2796"/>
      <c r="AB45" s="2664"/>
      <c r="AC45" s="2704"/>
      <c r="AD45" s="2704"/>
      <c r="AE45" s="2704"/>
      <c r="AF45" s="2704"/>
      <c r="AG45" s="2704"/>
      <c r="AH45" s="2704"/>
      <c r="AI45" s="2704"/>
      <c r="AJ45" s="2743"/>
    </row>
    <row r="46" spans="1:36">
      <c r="A46" s="2431"/>
      <c r="B46" s="3279"/>
      <c r="C46" s="2376"/>
      <c r="D46" s="2376"/>
      <c r="E46" s="2376"/>
      <c r="F46" s="2376"/>
      <c r="G46" s="2376"/>
      <c r="H46" s="2376"/>
      <c r="I46" s="2376"/>
      <c r="J46" s="2796"/>
      <c r="K46" s="2796"/>
      <c r="L46" s="2796"/>
      <c r="M46" s="2796"/>
      <c r="N46" s="2796"/>
      <c r="O46" s="2796"/>
      <c r="P46" s="2796"/>
      <c r="Q46" s="2796"/>
      <c r="R46" s="2796"/>
      <c r="S46" s="2639"/>
      <c r="T46" s="2639"/>
      <c r="U46" s="2639"/>
      <c r="V46" s="2639"/>
      <c r="W46" s="2639"/>
      <c r="X46" s="2639"/>
      <c r="Y46" s="2639"/>
      <c r="Z46" s="2639"/>
      <c r="AA46" s="2796"/>
      <c r="AB46" s="2664"/>
      <c r="AC46" s="2704"/>
      <c r="AD46" s="2704"/>
      <c r="AE46" s="2704"/>
      <c r="AF46" s="2704"/>
      <c r="AG46" s="2704"/>
      <c r="AH46" s="2704"/>
      <c r="AI46" s="2704"/>
      <c r="AJ46" s="2743"/>
    </row>
    <row r="47" spans="1:36">
      <c r="A47" s="2431"/>
      <c r="B47" s="3279"/>
      <c r="C47" s="2376"/>
      <c r="D47" s="2376"/>
      <c r="E47" s="2376"/>
      <c r="F47" s="2376"/>
      <c r="G47" s="2376"/>
      <c r="H47" s="2376"/>
      <c r="I47" s="2376"/>
      <c r="J47" s="2796"/>
      <c r="K47" s="2796"/>
      <c r="L47" s="2796"/>
      <c r="M47" s="2796"/>
      <c r="N47" s="2796"/>
      <c r="O47" s="2796"/>
      <c r="P47" s="2796"/>
      <c r="Q47" s="2796"/>
      <c r="R47" s="2796"/>
      <c r="S47" s="2639"/>
      <c r="T47" s="2639"/>
      <c r="U47" s="2639"/>
      <c r="V47" s="2639"/>
      <c r="W47" s="2639"/>
      <c r="X47" s="2639"/>
      <c r="Y47" s="2639"/>
      <c r="Z47" s="2639"/>
      <c r="AA47" s="2796"/>
      <c r="AB47" s="2664"/>
      <c r="AC47" s="2704"/>
      <c r="AD47" s="2704"/>
      <c r="AE47" s="2704"/>
      <c r="AF47" s="2704"/>
      <c r="AG47" s="2704"/>
      <c r="AH47" s="2704"/>
      <c r="AI47" s="2704"/>
      <c r="AJ47" s="2743"/>
    </row>
    <row r="48" spans="1:36" ht="15.75" thickBot="1">
      <c r="A48" s="526"/>
      <c r="B48" s="526"/>
      <c r="C48" s="518"/>
      <c r="D48" s="518"/>
      <c r="E48" s="518"/>
      <c r="F48" s="518"/>
      <c r="G48" s="518"/>
      <c r="H48" s="518"/>
      <c r="I48" s="518"/>
      <c r="J48" s="518"/>
      <c r="K48" s="518"/>
      <c r="L48" s="518"/>
      <c r="M48" s="518"/>
      <c r="N48" s="518"/>
      <c r="O48" s="518"/>
      <c r="P48" s="518"/>
      <c r="Q48" s="518"/>
      <c r="R48" s="518"/>
      <c r="S48" s="518"/>
      <c r="T48" s="518"/>
      <c r="U48" s="518"/>
      <c r="V48" s="518"/>
      <c r="W48" s="518"/>
      <c r="X48" s="518"/>
      <c r="Y48" s="518"/>
      <c r="Z48" s="518"/>
      <c r="AA48" s="518"/>
      <c r="AB48" s="518"/>
      <c r="AC48" s="518"/>
      <c r="AD48" s="518"/>
      <c r="AE48" s="518"/>
      <c r="AF48" s="518"/>
      <c r="AG48" s="518"/>
      <c r="AH48" s="518"/>
      <c r="AI48" s="518"/>
      <c r="AJ48" s="527"/>
    </row>
    <row r="49" spans="1:36" ht="15.75" thickBot="1">
      <c r="A49" s="2023"/>
      <c r="B49" s="3095" t="str">
        <f>"SP Frame "&amp;$E$6&amp;", "&amp;$G$6&amp;", "&amp;Center_H</f>
        <v>SP Frame RD, 135, 1269</v>
      </c>
      <c r="C49" s="2567"/>
      <c r="D49" s="2567"/>
      <c r="E49" s="3207" t="s">
        <v>4011</v>
      </c>
      <c r="F49" s="3208" t="e">
        <f ca="1">IF(Small_F,(SQRT((B55/1000-B53/1000)^2+(B56/1000-B54/1000)^2)+SQRT((C55/1000-C53/1000)^2+(C56/1000-C54/1000)^2)+SQRT((D55/1000-D53/1000)^2+(D56/1000-D54/1000)^2)+SQRT((E55/1000-E53/1000)^2+(E56/1000-E54/1000)^2))*$T$7/1000*$U$7/1000*steel_density+H49,0)</f>
        <v>#REF!</v>
      </c>
      <c r="G49" s="3207" t="s">
        <v>3962</v>
      </c>
      <c r="H49" s="3201" t="e">
        <f ca="1">IF(Small_F,(SQRT((F55/1000-F53/1000)^2+(F56/1000-F54/1000)^2)+SQRT((G55/1000-G53/1000)^2+(G56/1000-G54/1000)^2)+SQRT((H55/1000-H53/1000)^2+(H56/1000-H54/1000)^2)+SQRT((I55/1000-I53/1000)^2+(I56/1000-I54/1000)^2))*$T$7/1000*$U$7/1000*steel_density,0)</f>
        <v>#REF!</v>
      </c>
      <c r="I49" s="3209" t="s">
        <v>131</v>
      </c>
      <c r="J49" s="518"/>
      <c r="K49" s="528"/>
      <c r="L49" s="518"/>
      <c r="M49" s="518"/>
      <c r="N49" s="518"/>
      <c r="O49" s="518"/>
      <c r="P49" s="528"/>
      <c r="Q49" s="813"/>
      <c r="R49" s="813"/>
      <c r="S49" s="813"/>
      <c r="T49" s="528"/>
      <c r="U49" s="518"/>
      <c r="V49" s="518"/>
      <c r="W49" s="518"/>
      <c r="X49" s="528"/>
      <c r="Y49" s="510"/>
      <c r="Z49" s="518"/>
      <c r="AA49" s="518"/>
      <c r="AC49" s="3095" t="str">
        <f>"SP Frame "&amp;$E$6&amp;", (0), (0)"</f>
        <v>SP Frame RD, (0), (0)</v>
      </c>
      <c r="AD49" s="2567"/>
      <c r="AE49" s="2567"/>
      <c r="AF49" s="2567"/>
      <c r="AG49" s="2567"/>
      <c r="AH49" s="2567"/>
      <c r="AI49" s="2567"/>
      <c r="AJ49" s="2568"/>
    </row>
    <row r="50" spans="1:36" s="2013" customFormat="1" ht="14.45" customHeight="1">
      <c r="A50" s="2382" t="e">
        <f ca="1">IF(Small_F,'House reinf, Support Plate Side'!A170,"")</f>
        <v>#REF!</v>
      </c>
      <c r="B50" s="3306" t="s">
        <v>3987</v>
      </c>
      <c r="C50" s="3307" t="s">
        <v>3988</v>
      </c>
      <c r="D50" s="3307" t="s">
        <v>3989</v>
      </c>
      <c r="E50" s="3307" t="s">
        <v>3990</v>
      </c>
      <c r="F50" s="3308" t="s">
        <v>3991</v>
      </c>
      <c r="G50" s="3308" t="s">
        <v>3992</v>
      </c>
      <c r="H50" s="3308" t="s">
        <v>3993</v>
      </c>
      <c r="I50" s="3309" t="s">
        <v>3994</v>
      </c>
      <c r="J50" s="2379"/>
      <c r="K50" s="2379"/>
      <c r="L50" s="2379"/>
      <c r="M50" s="2379"/>
      <c r="N50" s="2379"/>
      <c r="O50" s="2379"/>
      <c r="P50" s="2379"/>
      <c r="Q50" s="2379"/>
      <c r="R50" s="2379"/>
      <c r="S50" s="2379"/>
      <c r="T50" s="2379"/>
      <c r="U50" s="2379"/>
      <c r="V50" s="2379"/>
      <c r="W50" s="2379"/>
      <c r="X50" s="2379"/>
      <c r="Y50" s="2379"/>
      <c r="Z50" s="2379"/>
      <c r="AA50" s="2379"/>
      <c r="AB50" s="3280" t="e">
        <f ca="1">IF(Small_F,'House reinf, Support Plate Side'!AB170,"")</f>
        <v>#REF!</v>
      </c>
      <c r="AC50" s="3313" t="s">
        <v>3987</v>
      </c>
      <c r="AD50" s="3314" t="s">
        <v>3988</v>
      </c>
      <c r="AE50" s="3314" t="s">
        <v>3989</v>
      </c>
      <c r="AF50" s="3314" t="s">
        <v>3990</v>
      </c>
      <c r="AG50" s="3314" t="s">
        <v>3991</v>
      </c>
      <c r="AH50" s="3314" t="s">
        <v>3992</v>
      </c>
      <c r="AI50" s="3314" t="s">
        <v>3993</v>
      </c>
      <c r="AJ50" s="3315" t="s">
        <v>3994</v>
      </c>
    </row>
    <row r="51" spans="1:36" s="2013" customFormat="1">
      <c r="A51" s="2382" t="e">
        <f ca="1">IF(Small_F,'House reinf, Support Plate Side'!A171,"")</f>
        <v>#REF!</v>
      </c>
      <c r="B51" s="3305" t="e">
        <f ca="1">IF(Small_F,'House reinf, Support Plate Side'!B171,FALSE)</f>
        <v>#REF!</v>
      </c>
      <c r="C51" s="3287" t="e">
        <f ca="1">IF(Small_F,'House reinf, Support Plate Side'!C171,FALSE)</f>
        <v>#REF!</v>
      </c>
      <c r="D51" s="3287" t="e">
        <f ca="1">IF(Small_F,'House reinf, Support Plate Side'!D171,FALSE)</f>
        <v>#REF!</v>
      </c>
      <c r="E51" s="3287" t="e">
        <f ca="1">IF(Small_F,'House reinf, Support Plate Side'!E171,FALSE)</f>
        <v>#REF!</v>
      </c>
      <c r="F51" s="3287" t="e">
        <f ca="1">IF(Small_F,'House reinf, Support Plate Side'!F171,FALSE)</f>
        <v>#REF!</v>
      </c>
      <c r="G51" s="3287" t="e">
        <f ca="1">IF(Small_F,'House reinf, Support Plate Side'!G171,FALSE)</f>
        <v>#REF!</v>
      </c>
      <c r="H51" s="3287" t="e">
        <f ca="1">IF(Small_F,'House reinf, Support Plate Side'!H171,FALSE)</f>
        <v>#REF!</v>
      </c>
      <c r="I51" s="3289" t="e">
        <f ca="1">IF(Small_F,'House reinf, Support Plate Side'!I171,FALSE)</f>
        <v>#REF!</v>
      </c>
      <c r="J51" s="2379"/>
      <c r="K51" s="2379"/>
      <c r="L51" s="2379"/>
      <c r="M51" s="2379"/>
      <c r="N51" s="2379"/>
      <c r="O51" s="2379"/>
      <c r="P51" s="2379"/>
      <c r="Q51" s="2379"/>
      <c r="R51" s="2379"/>
      <c r="S51" s="2379"/>
      <c r="T51" s="2379"/>
      <c r="U51" s="2379"/>
      <c r="V51" s="2379"/>
      <c r="W51" s="2379"/>
      <c r="X51" s="2379"/>
      <c r="Y51" s="2379"/>
      <c r="Z51" s="2379"/>
      <c r="AA51" s="2379"/>
      <c r="AB51" s="3322" t="e">
        <f ca="1">IF(Small_F,'House reinf, Support Plate Side'!AB171,"")</f>
        <v>#REF!</v>
      </c>
      <c r="AC51" s="3310" t="e">
        <f ca="1">IF(Small_F,'House reinf, Support Plate Side'!AC171,FALSE)</f>
        <v>#REF!</v>
      </c>
      <c r="AD51" s="3311" t="e">
        <f ca="1">IF(Small_F,'House reinf, Support Plate Side'!AD171,FALSE)</f>
        <v>#REF!</v>
      </c>
      <c r="AE51" s="3311" t="e">
        <f ca="1">IF(Small_F,'House reinf, Support Plate Side'!AE171,FALSE)</f>
        <v>#REF!</v>
      </c>
      <c r="AF51" s="3311" t="e">
        <f ca="1">IF(Small_F,'House reinf, Support Plate Side'!AF171,FALSE)</f>
        <v>#REF!</v>
      </c>
      <c r="AG51" s="3311" t="e">
        <f ca="1">IF(Small_F,'House reinf, Support Plate Side'!AG171,FALSE)</f>
        <v>#REF!</v>
      </c>
      <c r="AH51" s="3311" t="e">
        <f ca="1">IF(Small_F,'House reinf, Support Plate Side'!AH171,FALSE)</f>
        <v>#REF!</v>
      </c>
      <c r="AI51" s="3311" t="e">
        <f ca="1">IF(Small_F,'House reinf, Support Plate Side'!AI171,FALSE)</f>
        <v>#REF!</v>
      </c>
      <c r="AJ51" s="3312" t="e">
        <f ca="1">IF(Small_F,'House reinf, Support Plate Side'!AJ171,FALSE)</f>
        <v>#REF!</v>
      </c>
    </row>
    <row r="52" spans="1:36" s="2013" customFormat="1" ht="14.45" customHeight="1">
      <c r="A52" s="2382" t="e">
        <f ca="1">IF(Small_F,'House reinf, Support Plate Side'!A172,"")</f>
        <v>#REF!</v>
      </c>
      <c r="B52" s="3181" t="e">
        <f ca="1">IF(Small_F,'House reinf, Support Plate Side'!B172,0)</f>
        <v>#REF!</v>
      </c>
      <c r="C52" s="3182" t="e">
        <f ca="1">IF(Small_F,'House reinf, Support Plate Side'!C172,0)</f>
        <v>#REF!</v>
      </c>
      <c r="D52" s="3182" t="e">
        <f ca="1">IF(Small_F,'House reinf, Support Plate Side'!D172,0)</f>
        <v>#REF!</v>
      </c>
      <c r="E52" s="3182" t="e">
        <f ca="1">IF(Small_F,'House reinf, Support Plate Side'!E172,0)</f>
        <v>#REF!</v>
      </c>
      <c r="F52" s="3183" t="e">
        <f ca="1">IF(Small_F,'House reinf, Support Plate Side'!F172,0)</f>
        <v>#REF!</v>
      </c>
      <c r="G52" s="3183" t="e">
        <f ca="1">IF(Small_F,'House reinf, Support Plate Side'!G172,0)</f>
        <v>#REF!</v>
      </c>
      <c r="H52" s="3183" t="e">
        <f ca="1">IF(Small_F,'House reinf, Support Plate Side'!H172,0)</f>
        <v>#REF!</v>
      </c>
      <c r="I52" s="3184" t="e">
        <f ca="1">IF(Small_F,'House reinf, Support Plate Side'!I172,0)</f>
        <v>#REF!</v>
      </c>
      <c r="J52" s="2379"/>
      <c r="K52" s="2379"/>
      <c r="L52" s="2379"/>
      <c r="M52" s="2379"/>
      <c r="N52" s="2379"/>
      <c r="O52" s="2379"/>
      <c r="P52" s="2379"/>
      <c r="Q52" s="2379"/>
      <c r="R52" s="2379"/>
      <c r="S52" s="2379"/>
      <c r="T52" s="2379"/>
      <c r="U52" s="2379"/>
      <c r="V52" s="2379"/>
      <c r="W52" s="2379"/>
      <c r="X52" s="2379"/>
      <c r="Y52" s="2379"/>
      <c r="Z52" s="2379"/>
      <c r="AA52" s="2379"/>
      <c r="AB52" s="3226" t="e">
        <f ca="1">IF(Small_F,'House reinf, Support Plate Side'!AB172,"")</f>
        <v>#REF!</v>
      </c>
      <c r="AC52" s="3221" t="e">
        <f ca="1">IF(Small_F,'House reinf, Support Plate Side'!AC172,0)</f>
        <v>#REF!</v>
      </c>
      <c r="AD52" s="3185" t="e">
        <f ca="1">IF(Small_F,'House reinf, Support Plate Side'!AD172,0)</f>
        <v>#REF!</v>
      </c>
      <c r="AE52" s="3185" t="e">
        <f ca="1">IF(Small_F,'House reinf, Support Plate Side'!AE172,0)</f>
        <v>#REF!</v>
      </c>
      <c r="AF52" s="3185" t="e">
        <f ca="1">IF(Small_F,'House reinf, Support Plate Side'!AF172,0)</f>
        <v>#REF!</v>
      </c>
      <c r="AG52" s="3185" t="e">
        <f ca="1">IF(Small_F,'House reinf, Support Plate Side'!AG172,0)</f>
        <v>#REF!</v>
      </c>
      <c r="AH52" s="3185" t="e">
        <f ca="1">IF(Small_F,'House reinf, Support Plate Side'!AH172,0)</f>
        <v>#REF!</v>
      </c>
      <c r="AI52" s="3185" t="e">
        <f ca="1">IF(Small_F,'House reinf, Support Plate Side'!AI172,0)</f>
        <v>#REF!</v>
      </c>
      <c r="AJ52" s="3186" t="e">
        <f ca="1">IF(Small_F,'House reinf, Support Plate Side'!AJ172,0)</f>
        <v>#REF!</v>
      </c>
    </row>
    <row r="53" spans="1:36" s="2013" customFormat="1">
      <c r="A53" s="2382" t="e">
        <f ca="1">IF(Small_F,'House reinf, Support Plate Side'!A173,"")</f>
        <v>#REF!</v>
      </c>
      <c r="B53" s="2392" t="e">
        <f ca="1">IF(Small_F,'House reinf, Support Plate Side'!B173,0)</f>
        <v>#REF!</v>
      </c>
      <c r="C53" s="2393" t="e">
        <f ca="1">IF(Small_F,'House reinf, Support Plate Side'!C173,0)</f>
        <v>#REF!</v>
      </c>
      <c r="D53" s="2393" t="e">
        <f ca="1">IF(Small_F,'House reinf, Support Plate Side'!D173,0)</f>
        <v>#REF!</v>
      </c>
      <c r="E53" s="2393" t="e">
        <f ca="1">IF(Small_F,'House reinf, Support Plate Side'!E173,0)</f>
        <v>#REF!</v>
      </c>
      <c r="F53" s="2393" t="e">
        <f ca="1">IF(Small_F,'House reinf, Support Plate Side'!F173,0)</f>
        <v>#REF!</v>
      </c>
      <c r="G53" s="2393" t="e">
        <f ca="1">IF(Small_F,'House reinf, Support Plate Side'!G173,0)</f>
        <v>#REF!</v>
      </c>
      <c r="H53" s="2393" t="e">
        <f ca="1">IF(Small_F,'House reinf, Support Plate Side'!H173,0)</f>
        <v>#REF!</v>
      </c>
      <c r="I53" s="2394" t="e">
        <f ca="1">IF(Small_F,'House reinf, Support Plate Side'!I173,0)</f>
        <v>#REF!</v>
      </c>
      <c r="J53" s="2379"/>
      <c r="K53" s="2379"/>
      <c r="L53" s="2379"/>
      <c r="M53" s="2379"/>
      <c r="N53" s="2379"/>
      <c r="O53" s="2379"/>
      <c r="P53" s="2379"/>
      <c r="Q53" s="2379"/>
      <c r="R53" s="2379"/>
      <c r="S53" s="2379"/>
      <c r="T53" s="2379"/>
      <c r="U53" s="2379"/>
      <c r="V53" s="2379"/>
      <c r="W53" s="2379"/>
      <c r="X53" s="2379"/>
      <c r="Y53" s="2379"/>
      <c r="Z53" s="2379"/>
      <c r="AA53" s="2379"/>
      <c r="AB53" s="3226" t="e">
        <f ca="1">IF(Small_F,'House reinf, Support Plate Side'!AB173,"")</f>
        <v>#REF!</v>
      </c>
      <c r="AC53" s="3219" t="e">
        <f ca="1">IF(Small_F,'House reinf, Support Plate Side'!AC173,0)</f>
        <v>#REF!</v>
      </c>
      <c r="AD53" s="2145" t="e">
        <f ca="1">IF(Small_F,'House reinf, Support Plate Side'!AD173,0)</f>
        <v>#REF!</v>
      </c>
      <c r="AE53" s="2145" t="e">
        <f ca="1">IF(Small_F,'House reinf, Support Plate Side'!AE173,0)</f>
        <v>#REF!</v>
      </c>
      <c r="AF53" s="2145" t="e">
        <f ca="1">IF(Small_F,'House reinf, Support Plate Side'!AF173,0)</f>
        <v>#REF!</v>
      </c>
      <c r="AG53" s="2145" t="e">
        <f ca="1">IF(Small_F,'House reinf, Support Plate Side'!AG173,0)</f>
        <v>#REF!</v>
      </c>
      <c r="AH53" s="2145" t="e">
        <f ca="1">IF(Small_F,'House reinf, Support Plate Side'!AH173,0)</f>
        <v>#REF!</v>
      </c>
      <c r="AI53" s="2145" t="e">
        <f ca="1">IF(Small_F,'House reinf, Support Plate Side'!AI173,0)</f>
        <v>#REF!</v>
      </c>
      <c r="AJ53" s="3096" t="e">
        <f ca="1">IF(Small_F,'House reinf, Support Plate Side'!AJ173,0)</f>
        <v>#REF!</v>
      </c>
    </row>
    <row r="54" spans="1:36" s="2013" customFormat="1">
      <c r="A54" s="2382" t="e">
        <f ca="1">IF(Small_F,'House reinf, Support Plate Side'!A174,"")</f>
        <v>#REF!</v>
      </c>
      <c r="B54" s="2392" t="e">
        <f ca="1">IF(Small_F,'House reinf, Support Plate Side'!B174,0)</f>
        <v>#REF!</v>
      </c>
      <c r="C54" s="2393" t="e">
        <f ca="1">IF(Small_F,'House reinf, Support Plate Side'!C174,0)</f>
        <v>#REF!</v>
      </c>
      <c r="D54" s="2393" t="e">
        <f ca="1">IF(Small_F,'House reinf, Support Plate Side'!D174,0)</f>
        <v>#REF!</v>
      </c>
      <c r="E54" s="2393" t="e">
        <f ca="1">IF(Small_F,'House reinf, Support Plate Side'!E174,0)</f>
        <v>#REF!</v>
      </c>
      <c r="F54" s="2393" t="e">
        <f ca="1">IF(Small_F,'House reinf, Support Plate Side'!F174,0)</f>
        <v>#REF!</v>
      </c>
      <c r="G54" s="2393" t="e">
        <f ca="1">IF(Small_F,'House reinf, Support Plate Side'!G174,0)</f>
        <v>#REF!</v>
      </c>
      <c r="H54" s="2393" t="e">
        <f ca="1">IF(Small_F,'House reinf, Support Plate Side'!H174,0)</f>
        <v>#REF!</v>
      </c>
      <c r="I54" s="2394" t="e">
        <f ca="1">IF(Small_F,'House reinf, Support Plate Side'!I174,0)</f>
        <v>#REF!</v>
      </c>
      <c r="J54" s="2379"/>
      <c r="K54" s="2379"/>
      <c r="L54" s="2379"/>
      <c r="M54" s="2379"/>
      <c r="N54" s="2379"/>
      <c r="O54" s="2379"/>
      <c r="P54" s="2379"/>
      <c r="Q54" s="2379"/>
      <c r="R54" s="2379"/>
      <c r="S54" s="2379"/>
      <c r="T54" s="2379"/>
      <c r="U54" s="2379"/>
      <c r="V54" s="2379"/>
      <c r="W54" s="2379"/>
      <c r="X54" s="2379"/>
      <c r="Y54" s="2379"/>
      <c r="Z54" s="2379"/>
      <c r="AA54" s="2379"/>
      <c r="AB54" s="3226" t="e">
        <f ca="1">IF(Small_F,'House reinf, Support Plate Side'!AB174,"")</f>
        <v>#REF!</v>
      </c>
      <c r="AC54" s="3219" t="e">
        <f ca="1">IF(Small_F,'House reinf, Support Plate Side'!AC174,0)</f>
        <v>#REF!</v>
      </c>
      <c r="AD54" s="2145" t="e">
        <f ca="1">IF(Small_F,'House reinf, Support Plate Side'!AD174,0)</f>
        <v>#REF!</v>
      </c>
      <c r="AE54" s="2145" t="e">
        <f ca="1">IF(Small_F,'House reinf, Support Plate Side'!AE174,0)</f>
        <v>#REF!</v>
      </c>
      <c r="AF54" s="2145" t="e">
        <f ca="1">IF(Small_F,'House reinf, Support Plate Side'!AF174,0)</f>
        <v>#REF!</v>
      </c>
      <c r="AG54" s="2145" t="e">
        <f ca="1">IF(Small_F,'House reinf, Support Plate Side'!AG174,0)</f>
        <v>#REF!</v>
      </c>
      <c r="AH54" s="2145" t="e">
        <f ca="1">IF(Small_F,'House reinf, Support Plate Side'!AH174,0)</f>
        <v>#REF!</v>
      </c>
      <c r="AI54" s="2145" t="e">
        <f ca="1">IF(Small_F,'House reinf, Support Plate Side'!AI174,0)</f>
        <v>#REF!</v>
      </c>
      <c r="AJ54" s="3096" t="e">
        <f ca="1">IF(Small_F,'House reinf, Support Plate Side'!AJ174,0)</f>
        <v>#REF!</v>
      </c>
    </row>
    <row r="55" spans="1:36" s="2013" customFormat="1">
      <c r="A55" s="2382" t="e">
        <f ca="1">IF(Small_F,'House reinf, Support Plate Side'!A175,"")</f>
        <v>#REF!</v>
      </c>
      <c r="B55" s="2392" t="e">
        <f ca="1">IF(Small_F,'House reinf, Support Plate Side'!B175,0)</f>
        <v>#REF!</v>
      </c>
      <c r="C55" s="2393" t="e">
        <f ca="1">IF(Small_F,'House reinf, Support Plate Side'!C175,0)</f>
        <v>#REF!</v>
      </c>
      <c r="D55" s="2393" t="e">
        <f ca="1">IF(Small_F,'House reinf, Support Plate Side'!D175,0)</f>
        <v>#REF!</v>
      </c>
      <c r="E55" s="2393" t="e">
        <f ca="1">IF(Small_F,'House reinf, Support Plate Side'!E175,0)</f>
        <v>#REF!</v>
      </c>
      <c r="F55" s="2393" t="e">
        <f ca="1">IF(Small_F,'House reinf, Support Plate Side'!F175,0)</f>
        <v>#REF!</v>
      </c>
      <c r="G55" s="2393" t="e">
        <f ca="1">IF(Small_F,'House reinf, Support Plate Side'!G175,0)</f>
        <v>#REF!</v>
      </c>
      <c r="H55" s="2393" t="e">
        <f ca="1">IF(Small_F,'House reinf, Support Plate Side'!H175,0)</f>
        <v>#REF!</v>
      </c>
      <c r="I55" s="2394" t="e">
        <f ca="1">IF(Small_F,'House reinf, Support Plate Side'!I175,0)</f>
        <v>#REF!</v>
      </c>
      <c r="J55" s="2379"/>
      <c r="K55" s="2379"/>
      <c r="L55" s="2379"/>
      <c r="M55" s="2379"/>
      <c r="N55" s="2379"/>
      <c r="O55" s="2379"/>
      <c r="P55" s="2379"/>
      <c r="Q55" s="2379"/>
      <c r="R55" s="2379"/>
      <c r="S55" s="2379"/>
      <c r="T55" s="2379"/>
      <c r="U55" s="2379"/>
      <c r="V55" s="2379"/>
      <c r="W55" s="2379"/>
      <c r="X55" s="2379"/>
      <c r="Y55" s="2379"/>
      <c r="Z55" s="2379"/>
      <c r="AA55" s="2379"/>
      <c r="AB55" s="3226"/>
      <c r="AC55" s="3219"/>
      <c r="AD55" s="2145"/>
      <c r="AE55" s="2145"/>
      <c r="AF55" s="2145"/>
      <c r="AG55" s="2145"/>
      <c r="AH55" s="2145"/>
      <c r="AI55" s="2145"/>
      <c r="AJ55" s="3096"/>
    </row>
    <row r="56" spans="1:36" s="2013" customFormat="1" ht="15.75" thickBot="1">
      <c r="A56" s="2382" t="e">
        <f ca="1">IF(Small_F,'House reinf, Support Plate Side'!A176,"")</f>
        <v>#REF!</v>
      </c>
      <c r="B56" s="2395" t="e">
        <f ca="1">IF(Small_F,'House reinf, Support Plate Side'!B176,0)</f>
        <v>#REF!</v>
      </c>
      <c r="C56" s="2396" t="e">
        <f ca="1">IF(Small_F,'House reinf, Support Plate Side'!C176,0)</f>
        <v>#REF!</v>
      </c>
      <c r="D56" s="2396" t="e">
        <f ca="1">IF(Small_F,'House reinf, Support Plate Side'!D176,0)</f>
        <v>#REF!</v>
      </c>
      <c r="E56" s="2396" t="e">
        <f ca="1">IF(Small_F,'House reinf, Support Plate Side'!E176,0)</f>
        <v>#REF!</v>
      </c>
      <c r="F56" s="2396" t="e">
        <f ca="1">IF(Small_F,'House reinf, Support Plate Side'!F176,0)</f>
        <v>#REF!</v>
      </c>
      <c r="G56" s="2396" t="e">
        <f ca="1">IF(Small_F,'House reinf, Support Plate Side'!G176,0)</f>
        <v>#REF!</v>
      </c>
      <c r="H56" s="2396" t="e">
        <f ca="1">IF(Small_F,'House reinf, Support Plate Side'!H176,0)</f>
        <v>#REF!</v>
      </c>
      <c r="I56" s="2397" t="e">
        <f ca="1">IF(Small_F,'House reinf, Support Plate Side'!I176,0)</f>
        <v>#REF!</v>
      </c>
      <c r="J56" s="2379"/>
      <c r="K56" s="2379"/>
      <c r="L56" s="2379"/>
      <c r="M56" s="2379"/>
      <c r="N56" s="2379"/>
      <c r="O56" s="2379"/>
      <c r="P56" s="2379"/>
      <c r="Q56" s="2379"/>
      <c r="R56" s="2379"/>
      <c r="S56" s="2379"/>
      <c r="T56" s="2379"/>
      <c r="U56" s="2379"/>
      <c r="V56" s="2379"/>
      <c r="W56" s="2379"/>
      <c r="X56" s="2379"/>
      <c r="Y56" s="2379"/>
      <c r="Z56" s="2379"/>
      <c r="AA56" s="2379"/>
      <c r="AB56" s="3226" t="e">
        <f ca="1">IF(Small_F,'House reinf, Support Plate Side'!AB176,"")</f>
        <v>#REF!</v>
      </c>
      <c r="AC56" s="3220" t="e">
        <f ca="1">IF(Small_F,'House reinf, Support Plate Side'!AC176,0)</f>
        <v>#REF!</v>
      </c>
      <c r="AD56" s="2474" t="e">
        <f ca="1">IF(Small_F,'House reinf, Support Plate Side'!AD176,0)</f>
        <v>#REF!</v>
      </c>
      <c r="AE56" s="2474" t="e">
        <f ca="1">IF(Small_F,'House reinf, Support Plate Side'!AE176,0)</f>
        <v>#REF!</v>
      </c>
      <c r="AF56" s="2474" t="e">
        <f ca="1">IF(Small_F,'House reinf, Support Plate Side'!AF176,0)</f>
        <v>#REF!</v>
      </c>
      <c r="AG56" s="2474" t="e">
        <f ca="1">IF(Small_F,'House reinf, Support Plate Side'!AG176,0)</f>
        <v>#REF!</v>
      </c>
      <c r="AH56" s="2474" t="e">
        <f ca="1">IF(Small_F,'House reinf, Support Plate Side'!AH176,0)</f>
        <v>#REF!</v>
      </c>
      <c r="AI56" s="2474" t="e">
        <f ca="1">IF(Small_F,'House reinf, Support Plate Side'!AI176,0)</f>
        <v>#REF!</v>
      </c>
      <c r="AJ56" s="3097" t="e">
        <f ca="1">IF(Small_F,'House reinf, Support Plate Side'!AJ176,0)</f>
        <v>#REF!</v>
      </c>
    </row>
    <row r="57" spans="1:36" s="2378" customFormat="1" ht="15.75" thickBot="1">
      <c r="A57" s="2385"/>
      <c r="B57" s="3212"/>
      <c r="C57" s="2377"/>
      <c r="D57" s="2377"/>
      <c r="E57" s="2377"/>
      <c r="F57" s="2377"/>
      <c r="G57" s="2377"/>
      <c r="H57" s="2377"/>
      <c r="I57" s="2377"/>
      <c r="J57" s="2386"/>
      <c r="K57" s="2386"/>
      <c r="L57" s="2386"/>
      <c r="M57" s="2386"/>
      <c r="N57" s="2386"/>
      <c r="O57" s="2386"/>
      <c r="P57" s="2386"/>
      <c r="Q57" s="2386"/>
      <c r="R57" s="2386"/>
      <c r="S57" s="2386"/>
      <c r="T57" s="2386"/>
      <c r="U57" s="2386"/>
      <c r="V57" s="2386"/>
      <c r="W57" s="2386"/>
      <c r="X57" s="2386"/>
      <c r="Y57" s="2386"/>
      <c r="Z57" s="2386"/>
      <c r="AA57" s="2386"/>
      <c r="AB57" s="2386"/>
      <c r="AC57" s="2386"/>
      <c r="AD57" s="2386"/>
      <c r="AE57" s="2386"/>
      <c r="AF57" s="2386"/>
      <c r="AG57" s="2386"/>
      <c r="AH57" s="2386"/>
      <c r="AI57" s="2386"/>
      <c r="AJ57" s="2387"/>
    </row>
    <row r="58" spans="1:36" ht="15.75" thickBot="1">
      <c r="A58" s="2023"/>
      <c r="B58" s="3333" t="str">
        <f>"SP Rad. Reinf "&amp;$E$6&amp;", "&amp;$G$6&amp;", "&amp;Center_H</f>
        <v>SP Rad. Reinf RD, 135, 1269</v>
      </c>
      <c r="C58" s="3334"/>
      <c r="D58" s="3334"/>
      <c r="E58" s="3334"/>
      <c r="F58" s="3290"/>
      <c r="G58" s="3335" t="s">
        <v>4012</v>
      </c>
      <c r="H58" s="3336" t="e">
        <f ca="1">(SUM(B62:E62)/1000)*$T$7/1000*$U$7/1000*steel_density</f>
        <v>#REF!</v>
      </c>
      <c r="I58" s="3337" t="s">
        <v>131</v>
      </c>
      <c r="J58" s="510"/>
      <c r="K58" s="510"/>
      <c r="L58" s="510"/>
      <c r="M58" s="510"/>
      <c r="N58" s="510"/>
      <c r="O58" s="510"/>
      <c r="P58" s="510"/>
      <c r="Q58" s="510"/>
      <c r="R58" s="510"/>
      <c r="S58" s="510"/>
      <c r="T58" s="510"/>
      <c r="U58" s="510"/>
      <c r="V58" s="510"/>
      <c r="W58" s="510"/>
      <c r="X58" s="510"/>
      <c r="Y58" s="510"/>
      <c r="Z58" s="510"/>
      <c r="AA58" s="510"/>
      <c r="AB58" s="510"/>
      <c r="AC58" s="510"/>
      <c r="AD58" s="510"/>
      <c r="AE58" s="510"/>
      <c r="AF58" s="510"/>
      <c r="AG58" s="510"/>
      <c r="AH58" s="510"/>
      <c r="AI58" s="510"/>
      <c r="AJ58" s="1340"/>
    </row>
    <row r="59" spans="1:36">
      <c r="A59" s="2383"/>
      <c r="B59" s="2415" t="e">
        <f ca="1">IF(Small_F,'House reinf, Support Plate Side'!B179,0)</f>
        <v>#REF!</v>
      </c>
      <c r="C59" s="3286" t="e">
        <f ca="1">IF(Small_F,'House reinf, Support Plate Side'!C179,0)</f>
        <v>#REF!</v>
      </c>
      <c r="D59" s="3338" t="e">
        <f ca="1">IF(Small_F,'House reinf, Support Plate Side'!D179,0)</f>
        <v>#REF!</v>
      </c>
      <c r="E59" s="3338" t="e">
        <f ca="1">IF(Small_F,'House reinf, Support Plate Side'!E179,0)</f>
        <v>#REF!</v>
      </c>
      <c r="G59" s="510"/>
      <c r="H59" s="510"/>
      <c r="I59" s="1340"/>
      <c r="J59" s="510"/>
      <c r="K59" s="510"/>
      <c r="L59" s="510"/>
      <c r="M59" s="510"/>
      <c r="N59" s="510"/>
      <c r="O59" s="510"/>
      <c r="P59" s="510"/>
      <c r="Q59" s="510"/>
      <c r="R59" s="510"/>
      <c r="S59" s="510"/>
      <c r="T59" s="510"/>
      <c r="U59" s="510"/>
      <c r="V59" s="510"/>
      <c r="W59" s="510"/>
      <c r="X59" s="510"/>
      <c r="Y59" s="510"/>
      <c r="Z59" s="510"/>
      <c r="AA59" s="510"/>
      <c r="AB59" s="510"/>
      <c r="AC59" s="510"/>
      <c r="AD59" s="510"/>
      <c r="AE59" s="510"/>
      <c r="AF59" s="510"/>
      <c r="AG59" s="510"/>
      <c r="AH59" s="510"/>
      <c r="AI59" s="510"/>
      <c r="AJ59" s="1340"/>
    </row>
    <row r="60" spans="1:36">
      <c r="A60" s="1395"/>
      <c r="B60" s="807" t="e">
        <f ca="1">IF(Small_F,'House reinf, Support Plate Side'!B180,0)</f>
        <v>#REF!</v>
      </c>
      <c r="C60" s="780" t="e">
        <f ca="1">IF(Small_F,'House reinf, Support Plate Side'!C180,0)</f>
        <v>#REF!</v>
      </c>
      <c r="D60" s="780" t="e">
        <f ca="1">IF(Small_F,'House reinf, Support Plate Side'!D180,0)</f>
        <v>#REF!</v>
      </c>
      <c r="E60" s="780" t="e">
        <f ca="1">IF(Small_F,'House reinf, Support Plate Side'!E180,0)</f>
        <v>#REF!</v>
      </c>
      <c r="F60" s="510"/>
      <c r="G60" s="510"/>
      <c r="H60" s="510"/>
      <c r="I60" s="1340"/>
      <c r="J60" s="510"/>
      <c r="K60" s="510"/>
      <c r="L60" s="510"/>
      <c r="M60" s="510"/>
      <c r="N60" s="510"/>
      <c r="O60" s="510"/>
      <c r="P60" s="510"/>
      <c r="Q60" s="510"/>
      <c r="R60" s="510"/>
      <c r="S60" s="510"/>
      <c r="T60" s="510"/>
      <c r="U60" s="510"/>
      <c r="V60" s="510"/>
      <c r="W60" s="510"/>
      <c r="X60" s="510"/>
      <c r="Y60" s="510"/>
      <c r="Z60" s="510"/>
      <c r="AA60" s="510"/>
      <c r="AB60" s="510"/>
      <c r="AC60" s="510"/>
      <c r="AD60" s="510"/>
      <c r="AE60" s="510"/>
      <c r="AF60" s="510"/>
      <c r="AG60" s="510"/>
      <c r="AH60" s="510"/>
      <c r="AI60" s="510"/>
      <c r="AJ60" s="1340"/>
    </row>
    <row r="61" spans="1:36">
      <c r="A61" s="499"/>
      <c r="B61" s="1360" t="e">
        <f ca="1">IF(Small_F,'House reinf, Support Plate Side'!B181,0)</f>
        <v>#REF!</v>
      </c>
      <c r="C61" s="1133" t="e">
        <f ca="1">IF(Small_F,'House reinf, Support Plate Side'!C181,0)</f>
        <v>#REF!</v>
      </c>
      <c r="D61" s="1133" t="e">
        <f ca="1">IF(Small_F,'House reinf, Support Plate Side'!D181,0)</f>
        <v>#REF!</v>
      </c>
      <c r="E61" s="1133" t="e">
        <f ca="1">IF(Small_F,'House reinf, Support Plate Side'!E181,0)</f>
        <v>#REF!</v>
      </c>
      <c r="F61" s="806"/>
      <c r="G61" s="805"/>
      <c r="H61" s="805"/>
      <c r="I61" s="1375"/>
      <c r="J61" s="805"/>
      <c r="K61" s="805"/>
      <c r="L61" s="805"/>
      <c r="M61" s="805"/>
      <c r="N61" s="805"/>
      <c r="O61" s="805"/>
      <c r="P61" s="805"/>
      <c r="Q61" s="805"/>
      <c r="R61" s="805"/>
      <c r="S61" s="805"/>
      <c r="T61" s="805"/>
      <c r="U61" s="805"/>
      <c r="V61" s="805"/>
      <c r="W61" s="805"/>
      <c r="X61" s="805"/>
      <c r="Y61" s="805"/>
      <c r="Z61" s="805"/>
      <c r="AA61" s="805"/>
      <c r="AB61" s="805"/>
      <c r="AC61" s="805"/>
      <c r="AD61" s="805"/>
      <c r="AE61" s="805"/>
      <c r="AF61" s="805"/>
      <c r="AG61" s="805"/>
      <c r="AH61" s="805"/>
      <c r="AI61" s="805"/>
      <c r="AJ61" s="1375"/>
    </row>
    <row r="62" spans="1:36">
      <c r="A62" s="509"/>
      <c r="B62" s="529" t="e">
        <f ca="1">IF(Small_F,'House reinf, Support Plate Side'!B182,0)</f>
        <v>#REF!</v>
      </c>
      <c r="C62" s="504" t="e">
        <f ca="1">IF(Small_F,'House reinf, Support Plate Side'!C182,0)</f>
        <v>#REF!</v>
      </c>
      <c r="D62" s="504" t="e">
        <f ca="1">IF(Small_F,'House reinf, Support Plate Side'!D182,0)</f>
        <v>#REF!</v>
      </c>
      <c r="E62" s="504" t="e">
        <f ca="1">IF(Small_F,'House reinf, Support Plate Side'!E182,0)</f>
        <v>#REF!</v>
      </c>
      <c r="F62" s="503"/>
      <c r="G62" s="510"/>
      <c r="H62" s="510"/>
      <c r="I62" s="1340"/>
      <c r="J62" s="510"/>
      <c r="K62" s="510"/>
      <c r="L62" s="510"/>
      <c r="M62" s="510"/>
      <c r="N62" s="510"/>
      <c r="O62" s="510"/>
      <c r="P62" s="510"/>
      <c r="Q62" s="510"/>
      <c r="R62" s="510"/>
      <c r="S62" s="510"/>
      <c r="T62" s="510"/>
      <c r="U62" s="510"/>
      <c r="V62" s="510"/>
      <c r="W62" s="510"/>
      <c r="X62" s="510"/>
      <c r="Y62" s="510"/>
      <c r="Z62" s="510"/>
      <c r="AA62" s="510"/>
      <c r="AB62" s="510"/>
      <c r="AC62" s="510"/>
      <c r="AD62" s="510"/>
      <c r="AE62" s="510"/>
      <c r="AF62" s="510"/>
      <c r="AG62" s="510"/>
      <c r="AH62" s="510"/>
      <c r="AI62" s="510"/>
      <c r="AJ62" s="1340"/>
    </row>
    <row r="63" spans="1:36">
      <c r="A63" s="509"/>
      <c r="B63" s="529" t="e">
        <f ca="1">IF(Small_F,-'House reinf, Support Plate Side'!B183,0)</f>
        <v>#REF!</v>
      </c>
      <c r="C63" s="504" t="e">
        <f ca="1">IF(Small_F,-'House reinf, Support Plate Side'!C183,0)</f>
        <v>#REF!</v>
      </c>
      <c r="D63" s="504" t="e">
        <f ca="1">IF(Small_F,-'House reinf, Support Plate Side'!D183,0)</f>
        <v>#REF!</v>
      </c>
      <c r="E63" s="504" t="e">
        <f ca="1">IF(Small_F,-'House reinf, Support Plate Side'!E183,0)</f>
        <v>#REF!</v>
      </c>
      <c r="F63" s="503"/>
      <c r="G63" s="510"/>
      <c r="H63" s="510"/>
      <c r="I63" s="1340"/>
      <c r="J63" s="510"/>
      <c r="K63" s="510"/>
      <c r="L63" s="510"/>
      <c r="M63" s="510"/>
      <c r="N63" s="510"/>
      <c r="O63" s="510"/>
      <c r="P63" s="510"/>
      <c r="Q63" s="510"/>
      <c r="R63" s="510"/>
      <c r="S63" s="510"/>
      <c r="T63" s="510"/>
      <c r="U63" s="510"/>
      <c r="V63" s="510"/>
      <c r="W63" s="510"/>
      <c r="X63" s="510"/>
      <c r="Y63" s="510"/>
      <c r="Z63" s="510"/>
      <c r="AA63" s="510"/>
      <c r="AB63" s="510"/>
      <c r="AC63" s="510"/>
      <c r="AD63" s="510"/>
      <c r="AE63" s="510"/>
      <c r="AF63" s="510"/>
      <c r="AG63" s="510"/>
      <c r="AH63" s="510"/>
      <c r="AI63" s="510"/>
      <c r="AJ63" s="1340"/>
    </row>
    <row r="64" spans="1:36">
      <c r="A64" s="509"/>
      <c r="B64" s="531" t="e">
        <f ca="1">IF(Small_F,'House reinf, Support Plate Side'!B184,0)</f>
        <v>#REF!</v>
      </c>
      <c r="C64" s="508" t="e">
        <f ca="1">IF(Small_F,'House reinf, Support Plate Side'!C184,0)</f>
        <v>#REF!</v>
      </c>
      <c r="D64" s="508" t="e">
        <f ca="1">IF(Small_F,'House reinf, Support Plate Side'!D184,0)</f>
        <v>#REF!</v>
      </c>
      <c r="E64" s="508" t="e">
        <f ca="1">IF(Small_F,'House reinf, Support Plate Side'!E184,0)</f>
        <v>#REF!</v>
      </c>
      <c r="F64" s="503"/>
      <c r="G64" s="510"/>
      <c r="H64" s="510"/>
      <c r="I64" s="1340"/>
      <c r="J64" s="510"/>
      <c r="K64" s="510"/>
      <c r="L64" s="510"/>
      <c r="M64" s="510"/>
      <c r="N64" s="510"/>
      <c r="O64" s="510"/>
      <c r="P64" s="510"/>
      <c r="Q64" s="510"/>
      <c r="R64" s="510"/>
      <c r="S64" s="510"/>
      <c r="T64" s="510"/>
      <c r="U64" s="510"/>
      <c r="V64" s="510"/>
      <c r="W64" s="510"/>
      <c r="X64" s="510"/>
      <c r="Y64" s="510"/>
      <c r="Z64" s="510"/>
      <c r="AA64" s="510"/>
      <c r="AB64" s="510"/>
      <c r="AC64" s="510"/>
      <c r="AD64" s="510"/>
      <c r="AE64" s="510"/>
      <c r="AF64" s="510"/>
      <c r="AG64" s="510"/>
      <c r="AH64" s="510"/>
      <c r="AI64" s="510"/>
      <c r="AJ64" s="1340"/>
    </row>
    <row r="65" spans="1:36">
      <c r="A65" s="509"/>
      <c r="B65" s="529" t="e">
        <f ca="1">IF(Small_F,-'House reinf, Support Plate Side'!B185,0)</f>
        <v>#REF!</v>
      </c>
      <c r="C65" s="504" t="e">
        <f ca="1">IF(Small_F,-'House reinf, Support Plate Side'!C185,0)</f>
        <v>#REF!</v>
      </c>
      <c r="D65" s="504" t="e">
        <f ca="1">IF(Small_F,-'House reinf, Support Plate Side'!D185,0)</f>
        <v>#REF!</v>
      </c>
      <c r="E65" s="504" t="e">
        <f ca="1">IF(Small_F,-'House reinf, Support Plate Side'!E185,0)</f>
        <v>#REF!</v>
      </c>
      <c r="F65" s="503"/>
      <c r="G65" s="510"/>
      <c r="H65" s="510"/>
      <c r="I65" s="1340"/>
      <c r="J65" s="510"/>
      <c r="K65" s="510"/>
      <c r="L65" s="510"/>
      <c r="M65" s="510"/>
      <c r="N65" s="510"/>
      <c r="O65" s="510"/>
      <c r="P65" s="510"/>
      <c r="Q65" s="510"/>
      <c r="R65" s="510"/>
      <c r="S65" s="510"/>
      <c r="T65" s="510"/>
      <c r="U65" s="510"/>
      <c r="V65" s="510"/>
      <c r="W65" s="510"/>
      <c r="X65" s="510"/>
      <c r="Y65" s="510"/>
      <c r="Z65" s="510"/>
      <c r="AA65" s="510"/>
      <c r="AB65" s="510"/>
      <c r="AC65" s="510"/>
      <c r="AD65" s="510"/>
      <c r="AE65" s="510"/>
      <c r="AF65" s="510"/>
      <c r="AG65" s="510"/>
      <c r="AH65" s="510"/>
      <c r="AI65" s="510"/>
      <c r="AJ65" s="1340"/>
    </row>
    <row r="66" spans="1:36" ht="15.75" thickBot="1">
      <c r="A66" s="509"/>
      <c r="B66" s="534" t="e">
        <f ca="1">IF(Small_F,'House reinf, Support Plate Side'!B186,0)</f>
        <v>#REF!</v>
      </c>
      <c r="C66" s="535" t="e">
        <f ca="1">IF(Small_F,'House reinf, Support Plate Side'!C186,0)</f>
        <v>#REF!</v>
      </c>
      <c r="D66" s="535" t="e">
        <f ca="1">IF(Small_F,'House reinf, Support Plate Side'!D186,0)</f>
        <v>#REF!</v>
      </c>
      <c r="E66" s="535" t="e">
        <f ca="1">IF(Small_F,'House reinf, Support Plate Side'!E186,0)</f>
        <v>#REF!</v>
      </c>
      <c r="F66" s="546"/>
      <c r="G66" s="547"/>
      <c r="H66" s="547"/>
      <c r="I66" s="1377"/>
      <c r="J66" s="510"/>
      <c r="K66" s="510"/>
      <c r="L66" s="510"/>
      <c r="M66" s="510"/>
      <c r="N66" s="510"/>
      <c r="O66" s="510"/>
      <c r="P66" s="510"/>
      <c r="Q66" s="510"/>
      <c r="R66" s="510"/>
      <c r="S66" s="510"/>
      <c r="T66" s="510"/>
      <c r="U66" s="510"/>
      <c r="V66" s="510"/>
      <c r="W66" s="510"/>
      <c r="X66" s="510"/>
      <c r="Y66" s="510"/>
      <c r="Z66" s="510"/>
      <c r="AA66" s="510"/>
      <c r="AB66" s="510"/>
      <c r="AC66" s="510"/>
      <c r="AD66" s="510"/>
      <c r="AE66" s="510"/>
      <c r="AF66" s="510"/>
      <c r="AG66" s="510"/>
      <c r="AH66" s="510"/>
      <c r="AI66" s="510"/>
      <c r="AJ66" s="1340"/>
    </row>
    <row r="67" spans="1:36" s="2013" customFormat="1" ht="15.75" thickBot="1">
      <c r="A67" s="2023"/>
      <c r="B67" s="3211"/>
      <c r="C67" s="2016"/>
      <c r="D67" s="2379"/>
      <c r="E67" s="2016"/>
      <c r="F67" s="2379"/>
      <c r="G67" s="2379"/>
      <c r="H67" s="2379"/>
      <c r="I67" s="2379"/>
      <c r="J67" s="2379"/>
      <c r="K67" s="2379"/>
      <c r="L67" s="2379"/>
      <c r="M67" s="2379"/>
      <c r="N67" s="2379"/>
      <c r="O67" s="2379"/>
      <c r="P67" s="2379"/>
      <c r="Q67" s="2379"/>
      <c r="R67" s="2379"/>
      <c r="S67" s="2379"/>
      <c r="T67" s="2379"/>
      <c r="U67" s="2379"/>
      <c r="V67" s="2379"/>
      <c r="W67" s="2379"/>
      <c r="X67" s="2379"/>
      <c r="Y67" s="2379"/>
      <c r="Z67" s="2379"/>
      <c r="AA67" s="2379"/>
      <c r="AB67" s="2379"/>
      <c r="AC67" s="2379"/>
      <c r="AD67" s="2379"/>
      <c r="AE67" s="2379"/>
      <c r="AF67" s="2379"/>
      <c r="AG67" s="2379"/>
      <c r="AH67" s="2379"/>
      <c r="AI67" s="2379"/>
      <c r="AJ67" s="2380"/>
    </row>
    <row r="68" spans="1:36" s="2013" customFormat="1" ht="15.75" thickBot="1">
      <c r="A68" s="2023"/>
      <c r="B68" s="3092" t="str">
        <f>"DS Ext Frame "&amp;$E$6&amp;", "&amp;$G$6&amp;", "&amp;Center_H</f>
        <v>DS Ext Frame RD, 135, 1269</v>
      </c>
      <c r="C68" s="3093"/>
      <c r="D68" s="3093"/>
      <c r="E68" s="3194" t="s">
        <v>4010</v>
      </c>
      <c r="F68" s="3193" t="e">
        <f ca="1">IF(Small_F,(SQRT((B74/1000-B72/1000)^2+(B75/1000-B73/1000)^2)+SQRT((D74/1000-D72/1000)^2+(D75/1000-D73/1000)^2)+SQRT((F74/1000-F72/1000)^2+(F75/1000-F73/1000)^2)+SQRT((H74/1000-H72/1000)^2+(H75/1000-H73/1000)^2))*$T$7/1000*$U$7/1000*steel_density+H68,0)</f>
        <v>#REF!</v>
      </c>
      <c r="G68" s="3194" t="s">
        <v>4009</v>
      </c>
      <c r="H68" s="3193" t="e">
        <f ca="1">IF(Small_F,(SQRT((J74/1000-J72/1000)^2+(J75/1000-J73/1000)^2)+SQRT((K74/1000-K72/1000)^2+(K75/1000-K73/1000)^2)+SQRT((L74/1000-L72/1000)^2+(L75/1000-L73/1000)^2)+SQRT((M74/1000-M72/1000)^2+(M75/1000-M73/1000)^2))*$T$7/1000*$U$7/1000*steel_density,0)</f>
        <v>#REF!</v>
      </c>
      <c r="I68" s="3192" t="s">
        <v>131</v>
      </c>
      <c r="J68" s="3192"/>
      <c r="K68" s="3192"/>
      <c r="L68" s="3192"/>
      <c r="M68" s="3195"/>
      <c r="N68" s="2639"/>
      <c r="O68" s="2639"/>
      <c r="P68" s="2639"/>
      <c r="Q68" s="2639"/>
      <c r="R68" s="2639"/>
      <c r="S68" s="2639"/>
      <c r="T68" s="2639"/>
      <c r="U68" s="2639"/>
      <c r="V68" s="2639"/>
      <c r="W68" s="2639"/>
      <c r="Y68" s="3092" t="str">
        <f>"DS Ext Frame "&amp;$E$6&amp;", (0), (0)"</f>
        <v>DS Ext Frame RD, (0), (0)</v>
      </c>
      <c r="Z68" s="3192"/>
      <c r="AA68" s="3093"/>
      <c r="AB68" s="3192"/>
      <c r="AC68" s="3093"/>
      <c r="AD68" s="3192"/>
      <c r="AE68" s="3093"/>
      <c r="AF68" s="3192"/>
      <c r="AG68" s="3093"/>
      <c r="AH68" s="3093"/>
      <c r="AI68" s="3093"/>
      <c r="AJ68" s="3094"/>
    </row>
    <row r="69" spans="1:36" s="2013" customFormat="1" ht="14.45" customHeight="1">
      <c r="A69" s="2382" t="e">
        <f ca="1">IF(Small_F,'House reinf, Support Plate Side'!A189,"")</f>
        <v>#REF!</v>
      </c>
      <c r="B69" s="3294" t="s">
        <v>4140</v>
      </c>
      <c r="C69" s="3295" t="s">
        <v>4141</v>
      </c>
      <c r="D69" s="3295" t="s">
        <v>4142</v>
      </c>
      <c r="E69" s="3295" t="s">
        <v>4143</v>
      </c>
      <c r="F69" s="3295" t="s">
        <v>4144</v>
      </c>
      <c r="G69" s="3295" t="s">
        <v>4145</v>
      </c>
      <c r="H69" s="3295" t="s">
        <v>4146</v>
      </c>
      <c r="I69" s="3295" t="s">
        <v>4147</v>
      </c>
      <c r="J69" s="3295" t="s">
        <v>3995</v>
      </c>
      <c r="K69" s="3295" t="s">
        <v>3996</v>
      </c>
      <c r="L69" s="3295" t="s">
        <v>3997</v>
      </c>
      <c r="M69" s="3296" t="s">
        <v>3998</v>
      </c>
      <c r="N69" s="2641"/>
      <c r="O69" s="2641"/>
      <c r="P69" s="2641"/>
      <c r="Q69" s="2641"/>
      <c r="R69" s="2641"/>
      <c r="S69" s="2641"/>
      <c r="T69" s="2641"/>
      <c r="U69" s="2641"/>
      <c r="V69" s="2641"/>
      <c r="W69" s="2641"/>
      <c r="X69" s="3280" t="e">
        <f ca="1">IF(Small_F,'House reinf, Support Plate Side'!X189,"")</f>
        <v>#REF!</v>
      </c>
      <c r="Y69" s="3294" t="s">
        <v>4140</v>
      </c>
      <c r="Z69" s="3295" t="s">
        <v>4141</v>
      </c>
      <c r="AA69" s="3295" t="s">
        <v>4142</v>
      </c>
      <c r="AB69" s="3295" t="s">
        <v>4143</v>
      </c>
      <c r="AC69" s="3295" t="s">
        <v>4144</v>
      </c>
      <c r="AD69" s="3295" t="s">
        <v>4145</v>
      </c>
      <c r="AE69" s="3295" t="s">
        <v>4146</v>
      </c>
      <c r="AF69" s="3295" t="s">
        <v>4147</v>
      </c>
      <c r="AG69" s="3295" t="s">
        <v>3995</v>
      </c>
      <c r="AH69" s="3295" t="s">
        <v>3996</v>
      </c>
      <c r="AI69" s="3295" t="s">
        <v>3997</v>
      </c>
      <c r="AJ69" s="3296" t="s">
        <v>3998</v>
      </c>
    </row>
    <row r="70" spans="1:36" s="2013" customFormat="1">
      <c r="A70" s="2382" t="e">
        <f ca="1">IF(Small_F,'House reinf, Support Plate Side'!A190,"")</f>
        <v>#REF!</v>
      </c>
      <c r="B70" s="3881" t="e">
        <f ca="1">IF(Small_F,'House reinf, Support Plate Side'!B190,FALSE)</f>
        <v>#REF!</v>
      </c>
      <c r="C70" s="3882"/>
      <c r="D70" s="3883" t="e">
        <f ca="1">IF(Small_F,'House reinf, Support Plate Side'!D190,FALSE)</f>
        <v>#REF!</v>
      </c>
      <c r="E70" s="3882"/>
      <c r="F70" s="3883" t="e">
        <f ca="1">IF(Small_F,'House reinf, Support Plate Side'!F190,FALSE)</f>
        <v>#REF!</v>
      </c>
      <c r="G70" s="3882"/>
      <c r="H70" s="3838" t="e">
        <f ca="1">IF(Small_F,'House reinf, Support Plate Side'!H190,FALSE)</f>
        <v>#REF!</v>
      </c>
      <c r="I70" s="3882"/>
      <c r="J70" s="3174" t="e">
        <f ca="1">IF(Small_F,'House reinf, Support Plate Side'!J190,FALSE)</f>
        <v>#REF!</v>
      </c>
      <c r="K70" s="3174" t="e">
        <f ca="1">IF(Small_F,'House reinf, Support Plate Side'!K190,FALSE)</f>
        <v>#REF!</v>
      </c>
      <c r="L70" s="3174" t="e">
        <f ca="1">IF(Small_F,'House reinf, Support Plate Side'!L190,FALSE)</f>
        <v>#REF!</v>
      </c>
      <c r="M70" s="3178" t="e">
        <f ca="1">IF(Small_F,'House reinf, Support Plate Side'!M190,FALSE)</f>
        <v>#REF!</v>
      </c>
      <c r="N70" s="2639"/>
      <c r="O70" s="2639"/>
      <c r="P70" s="2639"/>
      <c r="Q70" s="2639"/>
      <c r="R70" s="2639"/>
      <c r="S70" s="2639"/>
      <c r="T70" s="2639"/>
      <c r="U70" s="2639"/>
      <c r="V70" s="2639"/>
      <c r="W70" s="2639"/>
      <c r="X70" s="3322" t="e">
        <f ca="1">IF(Small_F,'House reinf, Support Plate Side'!X190,"")</f>
        <v>#REF!</v>
      </c>
      <c r="Y70" s="3881" t="e">
        <f ca="1">IF(Small_F,'House reinf, Support Plate Side'!Y190,FALSE)</f>
        <v>#REF!</v>
      </c>
      <c r="Z70" s="3882"/>
      <c r="AA70" s="3883" t="e">
        <f ca="1">IF(Small_F,'House reinf, Support Plate Side'!AA190,FALSE)</f>
        <v>#REF!</v>
      </c>
      <c r="AB70" s="3882"/>
      <c r="AC70" s="3883" t="e">
        <f ca="1">IF(Small_F,'House reinf, Support Plate Side'!AC190,FALSE)</f>
        <v>#REF!</v>
      </c>
      <c r="AD70" s="3882"/>
      <c r="AE70" s="3883" t="e">
        <f ca="1">IF(Small_F,'House reinf, Support Plate Side'!AE190,FALSE)</f>
        <v>#REF!</v>
      </c>
      <c r="AF70" s="3882"/>
      <c r="AG70" s="3174" t="e">
        <f ca="1">IF(Small_F,'House reinf, Support Plate Side'!AG190,FALSE)</f>
        <v>#REF!</v>
      </c>
      <c r="AH70" s="3174" t="e">
        <f ca="1">IF(Small_F,'House reinf, Support Plate Side'!AH190,FALSE)</f>
        <v>#REF!</v>
      </c>
      <c r="AI70" s="3174" t="e">
        <f ca="1">IF(Small_F,'House reinf, Support Plate Side'!AI190,FALSE)</f>
        <v>#REF!</v>
      </c>
      <c r="AJ70" s="3178" t="e">
        <f ca="1">IF(Small_F,'House reinf, Support Plate Side'!AJ190,FALSE)</f>
        <v>#REF!</v>
      </c>
    </row>
    <row r="71" spans="1:36" s="2013" customFormat="1" ht="14.45" customHeight="1">
      <c r="A71" s="2382" t="e">
        <f ca="1">IF(Small_F,'House reinf, Support Plate Side'!A191,"")</f>
        <v>#REF!</v>
      </c>
      <c r="B71" s="3881" t="e">
        <f ca="1">IF(Small_F,'House reinf, Support Plate Side'!B191,0)</f>
        <v>#REF!</v>
      </c>
      <c r="C71" s="3882"/>
      <c r="D71" s="3883" t="e">
        <f ca="1">IF(Small_F,'House reinf, Support Plate Side'!D191,0)</f>
        <v>#REF!</v>
      </c>
      <c r="E71" s="3882"/>
      <c r="F71" s="3883" t="e">
        <f ca="1">IF(Small_F,'House reinf, Support Plate Side'!F191,0)</f>
        <v>#REF!</v>
      </c>
      <c r="G71" s="3882"/>
      <c r="H71" s="3838" t="e">
        <f ca="1">IF(Small_F,'House reinf, Support Plate Side'!H191,0)</f>
        <v>#REF!</v>
      </c>
      <c r="I71" s="3882"/>
      <c r="J71" s="3174" t="e">
        <f ca="1">IF(Small_F,'House reinf, Support Plate Side'!J191,0)</f>
        <v>#REF!</v>
      </c>
      <c r="K71" s="3174" t="e">
        <f ca="1">IF(Small_F,'House reinf, Support Plate Side'!K191,0)</f>
        <v>#REF!</v>
      </c>
      <c r="L71" s="3174" t="e">
        <f ca="1">IF(Small_F,'House reinf, Support Plate Side'!L191,0)</f>
        <v>#REF!</v>
      </c>
      <c r="M71" s="3178" t="e">
        <f ca="1">IF(Small_F,'House reinf, Support Plate Side'!M191,0)</f>
        <v>#REF!</v>
      </c>
      <c r="N71" s="2641"/>
      <c r="O71" s="2641"/>
      <c r="P71" s="2641"/>
      <c r="Q71" s="2641"/>
      <c r="R71" s="2641"/>
      <c r="S71" s="2641"/>
      <c r="T71" s="2641"/>
      <c r="U71" s="2641"/>
      <c r="V71" s="2641"/>
      <c r="W71" s="2641"/>
      <c r="X71" s="3229" t="e">
        <f ca="1">IF(Small_F,'House reinf, Support Plate Side'!X191,"")</f>
        <v>#REF!</v>
      </c>
      <c r="Y71" s="3881" t="e">
        <f ca="1">IF(Small_F,'House reinf, Support Plate Side'!Y191,0)</f>
        <v>#REF!</v>
      </c>
      <c r="Z71" s="3882"/>
      <c r="AA71" s="3883" t="e">
        <f ca="1">IF(Small_F,'House reinf, Support Plate Side'!AA191,0)</f>
        <v>#REF!</v>
      </c>
      <c r="AB71" s="3882"/>
      <c r="AC71" s="3883" t="e">
        <f ca="1">IF(Small_F,'House reinf, Support Plate Side'!AC191,0)</f>
        <v>#REF!</v>
      </c>
      <c r="AD71" s="3882"/>
      <c r="AE71" s="3883" t="e">
        <f ca="1">IF(Small_F,'House reinf, Support Plate Side'!AE191,0)</f>
        <v>#REF!</v>
      </c>
      <c r="AF71" s="3882"/>
      <c r="AG71" s="3174" t="e">
        <f ca="1">IF(Small_F,'House reinf, Support Plate Side'!AG191,0)</f>
        <v>#REF!</v>
      </c>
      <c r="AH71" s="3174" t="e">
        <f ca="1">IF(Small_F,'House reinf, Support Plate Side'!AH191,0)</f>
        <v>#REF!</v>
      </c>
      <c r="AI71" s="3174" t="e">
        <f ca="1">IF(Small_F,'House reinf, Support Plate Side'!AI191,0)</f>
        <v>#REF!</v>
      </c>
      <c r="AJ71" s="3178" t="e">
        <f ca="1">IF(Small_F,'House reinf, Support Plate Side'!AJ191,0)</f>
        <v>#REF!</v>
      </c>
    </row>
    <row r="72" spans="1:36" s="2013" customFormat="1">
      <c r="A72" s="2382" t="e">
        <f ca="1">IF(Small_F,'House reinf, Support Plate Side'!A192,"")</f>
        <v>#REF!</v>
      </c>
      <c r="B72" s="2805" t="e">
        <f ca="1">IF(Small_F,'House reinf, Support Plate Side'!B192,0)</f>
        <v>#REF!</v>
      </c>
      <c r="C72" s="2666" t="e">
        <f ca="1">IF(Small_F,'House reinf, Support Plate Side'!C192,0)</f>
        <v>#REF!</v>
      </c>
      <c r="D72" s="2666" t="e">
        <f ca="1">IF(Small_F,'House reinf, Support Plate Side'!D192,0)</f>
        <v>#REF!</v>
      </c>
      <c r="E72" s="2666" t="e">
        <f ca="1">IF(Small_F,'House reinf, Support Plate Side'!E192,0)</f>
        <v>#REF!</v>
      </c>
      <c r="F72" s="2666" t="e">
        <f ca="1">IF(Small_F,'House reinf, Support Plate Side'!F192,0)</f>
        <v>#REF!</v>
      </c>
      <c r="G72" s="2666" t="e">
        <f ca="1">IF(Small_F,'House reinf, Support Plate Side'!G192,0)</f>
        <v>#REF!</v>
      </c>
      <c r="H72" s="2666" t="e">
        <f ca="1">IF(Small_F,'House reinf, Support Plate Side'!H192,0)</f>
        <v>#REF!</v>
      </c>
      <c r="I72" s="2666" t="e">
        <f ca="1">IF(Small_F,'House reinf, Support Plate Side'!I192,0)</f>
        <v>#REF!</v>
      </c>
      <c r="J72" s="2666" t="e">
        <f ca="1">IF(Small_F,'House reinf, Support Plate Side'!J192,0)</f>
        <v>#REF!</v>
      </c>
      <c r="K72" s="2666" t="e">
        <f ca="1">IF(Small_F,'House reinf, Support Plate Side'!K192,0)</f>
        <v>#REF!</v>
      </c>
      <c r="L72" s="2666" t="e">
        <f ca="1">IF(Small_F,'House reinf, Support Plate Side'!L192,0)</f>
        <v>#REF!</v>
      </c>
      <c r="M72" s="2806" t="e">
        <f ca="1">IF(Small_F,'House reinf, Support Plate Side'!M192,0)</f>
        <v>#REF!</v>
      </c>
      <c r="N72" s="2641"/>
      <c r="O72" s="2641"/>
      <c r="P72" s="2641"/>
      <c r="Q72" s="2641"/>
      <c r="R72" s="2641"/>
      <c r="S72" s="2641"/>
      <c r="T72" s="2641"/>
      <c r="U72" s="2641"/>
      <c r="V72" s="2641"/>
      <c r="W72" s="2641"/>
      <c r="X72" s="3229" t="e">
        <f ca="1">IF(Small_F,'House reinf, Support Plate Side'!X192,"")</f>
        <v>#REF!</v>
      </c>
      <c r="Y72" s="2805" t="e">
        <f ca="1">IF(Small_F,'House reinf, Support Plate Side'!Y192,0)</f>
        <v>#REF!</v>
      </c>
      <c r="Z72" s="2666" t="e">
        <f ca="1">IF(Small_F,'House reinf, Support Plate Side'!Z192,0)</f>
        <v>#REF!</v>
      </c>
      <c r="AA72" s="2666" t="e">
        <f ca="1">IF(Small_F,'House reinf, Support Plate Side'!AA192,0)</f>
        <v>#REF!</v>
      </c>
      <c r="AB72" s="2666" t="e">
        <f ca="1">IF(Small_F,'House reinf, Support Plate Side'!AB192,0)</f>
        <v>#REF!</v>
      </c>
      <c r="AC72" s="2666" t="e">
        <f ca="1">IF(Small_F,'House reinf, Support Plate Side'!AC192,0)</f>
        <v>#REF!</v>
      </c>
      <c r="AD72" s="2666" t="e">
        <f ca="1">IF(Small_F,'House reinf, Support Plate Side'!AD192,0)</f>
        <v>#REF!</v>
      </c>
      <c r="AE72" s="2666" t="e">
        <f ca="1">IF(Small_F,'House reinf, Support Plate Side'!AE192,0)</f>
        <v>#REF!</v>
      </c>
      <c r="AF72" s="2666" t="e">
        <f ca="1">IF(Small_F,'House reinf, Support Plate Side'!AF192,0)</f>
        <v>#REF!</v>
      </c>
      <c r="AG72" s="2666" t="e">
        <f ca="1">IF(Small_F,'House reinf, Support Plate Side'!AG192,0)</f>
        <v>#REF!</v>
      </c>
      <c r="AH72" s="2666" t="e">
        <f ca="1">IF(Small_F,'House reinf, Support Plate Side'!AH192,0)</f>
        <v>#REF!</v>
      </c>
      <c r="AI72" s="2666" t="e">
        <f ca="1">IF(Small_F,'House reinf, Support Plate Side'!AI192,0)</f>
        <v>#REF!</v>
      </c>
      <c r="AJ72" s="2806" t="e">
        <f ca="1">IF(Small_F,'House reinf, Support Plate Side'!AJ192,0)</f>
        <v>#REF!</v>
      </c>
    </row>
    <row r="73" spans="1:36" s="2013" customFormat="1">
      <c r="A73" s="2382" t="e">
        <f ca="1">IF(Small_F,'House reinf, Support Plate Side'!A193,"")</f>
        <v>#REF!</v>
      </c>
      <c r="B73" s="2805" t="e">
        <f ca="1">IF(Small_F,'House reinf, Support Plate Side'!B193,0)</f>
        <v>#REF!</v>
      </c>
      <c r="C73" s="2666" t="e">
        <f ca="1">IF(Small_F,'House reinf, Support Plate Side'!C193,0)</f>
        <v>#REF!</v>
      </c>
      <c r="D73" s="2666" t="e">
        <f ca="1">IF(Small_F,'House reinf, Support Plate Side'!D193,0)</f>
        <v>#REF!</v>
      </c>
      <c r="E73" s="2666" t="e">
        <f ca="1">IF(Small_F,'House reinf, Support Plate Side'!E193,0)</f>
        <v>#REF!</v>
      </c>
      <c r="F73" s="2666" t="e">
        <f ca="1">IF(Small_F,'House reinf, Support Plate Side'!F193,0)</f>
        <v>#REF!</v>
      </c>
      <c r="G73" s="2666" t="e">
        <f ca="1">IF(Small_F,'House reinf, Support Plate Side'!G193,0)</f>
        <v>#REF!</v>
      </c>
      <c r="H73" s="2666" t="e">
        <f ca="1">IF(Small_F,'House reinf, Support Plate Side'!H193,0)</f>
        <v>#REF!</v>
      </c>
      <c r="I73" s="2666" t="e">
        <f ca="1">IF(Small_F,'House reinf, Support Plate Side'!I193,0)</f>
        <v>#REF!</v>
      </c>
      <c r="J73" s="2666" t="e">
        <f ca="1">IF(Small_F,'House reinf, Support Plate Side'!J193,0)</f>
        <v>#REF!</v>
      </c>
      <c r="K73" s="2666" t="e">
        <f ca="1">IF(Small_F,'House reinf, Support Plate Side'!K193,0)</f>
        <v>#REF!</v>
      </c>
      <c r="L73" s="2666" t="e">
        <f ca="1">IF(Small_F,'House reinf, Support Plate Side'!L193,0)</f>
        <v>#REF!</v>
      </c>
      <c r="M73" s="2806" t="e">
        <f ca="1">IF(Small_F,'House reinf, Support Plate Side'!M193,0)</f>
        <v>#REF!</v>
      </c>
      <c r="N73" s="2641"/>
      <c r="O73" s="2641"/>
      <c r="P73" s="2641"/>
      <c r="Q73" s="2641"/>
      <c r="R73" s="2641"/>
      <c r="S73" s="2641"/>
      <c r="T73" s="2641"/>
      <c r="U73" s="2641"/>
      <c r="V73" s="2641"/>
      <c r="W73" s="2641"/>
      <c r="X73" s="3229" t="e">
        <f ca="1">IF(Small_F,'House reinf, Support Plate Side'!X193,"")</f>
        <v>#REF!</v>
      </c>
      <c r="Y73" s="2805" t="e">
        <f ca="1">IF(Small_F,'House reinf, Support Plate Side'!Y193,0)</f>
        <v>#REF!</v>
      </c>
      <c r="Z73" s="2666" t="e">
        <f ca="1">IF(Small_F,'House reinf, Support Plate Side'!Z193,0)</f>
        <v>#REF!</v>
      </c>
      <c r="AA73" s="2666" t="e">
        <f ca="1">IF(Small_F,'House reinf, Support Plate Side'!AA193,0)</f>
        <v>#REF!</v>
      </c>
      <c r="AB73" s="2666" t="e">
        <f ca="1">IF(Small_F,'House reinf, Support Plate Side'!AB193,0)</f>
        <v>#REF!</v>
      </c>
      <c r="AC73" s="2666" t="e">
        <f ca="1">IF(Small_F,'House reinf, Support Plate Side'!AC193,0)</f>
        <v>#REF!</v>
      </c>
      <c r="AD73" s="2666" t="e">
        <f ca="1">IF(Small_F,'House reinf, Support Plate Side'!AD193,0)</f>
        <v>#REF!</v>
      </c>
      <c r="AE73" s="2666" t="e">
        <f ca="1">IF(Small_F,'House reinf, Support Plate Side'!AE193,0)</f>
        <v>#REF!</v>
      </c>
      <c r="AF73" s="2666" t="e">
        <f ca="1">IF(Small_F,'House reinf, Support Plate Side'!AF193,0)</f>
        <v>#REF!</v>
      </c>
      <c r="AG73" s="2666" t="e">
        <f ca="1">IF(Small_F,'House reinf, Support Plate Side'!AG193,0)</f>
        <v>#REF!</v>
      </c>
      <c r="AH73" s="2666" t="e">
        <f ca="1">IF(Small_F,'House reinf, Support Plate Side'!AH193,0)</f>
        <v>#REF!</v>
      </c>
      <c r="AI73" s="2666" t="e">
        <f ca="1">IF(Small_F,'House reinf, Support Plate Side'!AI193,0)</f>
        <v>#REF!</v>
      </c>
      <c r="AJ73" s="2806" t="e">
        <f ca="1">IF(Small_F,'House reinf, Support Plate Side'!AJ193,0)</f>
        <v>#REF!</v>
      </c>
    </row>
    <row r="74" spans="1:36" s="2013" customFormat="1">
      <c r="A74" s="2382" t="e">
        <f ca="1">IF(Small_F,'House reinf, Support Plate Side'!A194,"")</f>
        <v>#REF!</v>
      </c>
      <c r="B74" s="2805" t="e">
        <f ca="1">IF(Small_F,'House reinf, Support Plate Side'!B194,0)</f>
        <v>#REF!</v>
      </c>
      <c r="C74" s="2666" t="e">
        <f ca="1">IF(Small_F,'House reinf, Support Plate Side'!C194,0)</f>
        <v>#REF!</v>
      </c>
      <c r="D74" s="2666" t="e">
        <f ca="1">IF(Small_F,'House reinf, Support Plate Side'!D194,0)</f>
        <v>#REF!</v>
      </c>
      <c r="E74" s="2666" t="e">
        <f ca="1">IF(Small_F,'House reinf, Support Plate Side'!E194,0)</f>
        <v>#REF!</v>
      </c>
      <c r="F74" s="2666" t="e">
        <f ca="1">IF(Small_F,'House reinf, Support Plate Side'!F194,0)</f>
        <v>#REF!</v>
      </c>
      <c r="G74" s="2666" t="e">
        <f ca="1">IF(Small_F,'House reinf, Support Plate Side'!G194,0)</f>
        <v>#REF!</v>
      </c>
      <c r="H74" s="2666" t="e">
        <f ca="1">IF(Small_F,'House reinf, Support Plate Side'!H194,0)</f>
        <v>#REF!</v>
      </c>
      <c r="I74" s="2666" t="e">
        <f ca="1">IF(Small_F,'House reinf, Support Plate Side'!I194,0)</f>
        <v>#REF!</v>
      </c>
      <c r="J74" s="2666" t="e">
        <f ca="1">IF(Small_F,'House reinf, Support Plate Side'!J194,0)</f>
        <v>#REF!</v>
      </c>
      <c r="K74" s="2666" t="e">
        <f ca="1">IF(Small_F,'House reinf, Support Plate Side'!K194,0)</f>
        <v>#REF!</v>
      </c>
      <c r="L74" s="2666" t="e">
        <f ca="1">IF(Small_F,'House reinf, Support Plate Side'!L194,0)</f>
        <v>#REF!</v>
      </c>
      <c r="M74" s="2806" t="e">
        <f ca="1">IF(Small_F,'House reinf, Support Plate Side'!M194,0)</f>
        <v>#REF!</v>
      </c>
      <c r="N74" s="2641"/>
      <c r="O74" s="2641"/>
      <c r="P74" s="2641"/>
      <c r="Q74" s="2641"/>
      <c r="R74" s="2641"/>
      <c r="S74" s="2641"/>
      <c r="T74" s="2641"/>
      <c r="U74" s="2641"/>
      <c r="V74" s="2641"/>
      <c r="W74" s="2641"/>
      <c r="X74" s="3229"/>
      <c r="Y74" s="2805"/>
      <c r="Z74" s="2666"/>
      <c r="AA74" s="2666"/>
      <c r="AB74" s="2666"/>
      <c r="AC74" s="2666"/>
      <c r="AD74" s="2666"/>
      <c r="AE74" s="2666"/>
      <c r="AF74" s="2666"/>
      <c r="AG74" s="2666"/>
      <c r="AH74" s="2666"/>
      <c r="AI74" s="2666"/>
      <c r="AJ74" s="2806"/>
    </row>
    <row r="75" spans="1:36" s="2013" customFormat="1" ht="15.75" thickBot="1">
      <c r="A75" s="2382" t="e">
        <f ca="1">IF(Small_F,'House reinf, Support Plate Side'!A195,"")</f>
        <v>#REF!</v>
      </c>
      <c r="B75" s="2807" t="e">
        <f ca="1">IF(Small_F,'House reinf, Support Plate Side'!B195,0)</f>
        <v>#REF!</v>
      </c>
      <c r="C75" s="2685" t="e">
        <f ca="1">IF(Small_F,'House reinf, Support Plate Side'!C195,0)</f>
        <v>#REF!</v>
      </c>
      <c r="D75" s="2685" t="e">
        <f ca="1">IF(Small_F,'House reinf, Support Plate Side'!D195,0)</f>
        <v>#REF!</v>
      </c>
      <c r="E75" s="2685" t="e">
        <f ca="1">IF(Small_F,'House reinf, Support Plate Side'!E195,0)</f>
        <v>#REF!</v>
      </c>
      <c r="F75" s="2685" t="e">
        <f ca="1">IF(Small_F,'House reinf, Support Plate Side'!F195,0)</f>
        <v>#REF!</v>
      </c>
      <c r="G75" s="2685" t="e">
        <f ca="1">IF(Small_F,'House reinf, Support Plate Side'!G195,0)</f>
        <v>#REF!</v>
      </c>
      <c r="H75" s="2685" t="e">
        <f ca="1">IF(Small_F,'House reinf, Support Plate Side'!H195,0)</f>
        <v>#REF!</v>
      </c>
      <c r="I75" s="2685" t="e">
        <f ca="1">IF(Small_F,'House reinf, Support Plate Side'!I195,0)</f>
        <v>#REF!</v>
      </c>
      <c r="J75" s="2685" t="e">
        <f ca="1">IF(Small_F,'House reinf, Support Plate Side'!J195,0)</f>
        <v>#REF!</v>
      </c>
      <c r="K75" s="2685" t="e">
        <f ca="1">IF(Small_F,'House reinf, Support Plate Side'!K195,0)</f>
        <v>#REF!</v>
      </c>
      <c r="L75" s="2685" t="e">
        <f ca="1">IF(Small_F,'House reinf, Support Plate Side'!L195,0)</f>
        <v>#REF!</v>
      </c>
      <c r="M75" s="2808" t="e">
        <f ca="1">IF(Small_F,'House reinf, Support Plate Side'!M195,0)</f>
        <v>#REF!</v>
      </c>
      <c r="N75" s="2641"/>
      <c r="O75" s="2641"/>
      <c r="P75" s="2641"/>
      <c r="Q75" s="2641"/>
      <c r="R75" s="2641"/>
      <c r="S75" s="2641"/>
      <c r="T75" s="2641"/>
      <c r="U75" s="2641"/>
      <c r="V75" s="2641"/>
      <c r="W75" s="2641"/>
      <c r="X75" s="3229" t="e">
        <f ca="1">IF(Small_F,'House reinf, Support Plate Side'!X195,"")</f>
        <v>#REF!</v>
      </c>
      <c r="Y75" s="2807" t="e">
        <f ca="1">IF(Small_F,'House reinf, Support Plate Side'!Y195,0)</f>
        <v>#REF!</v>
      </c>
      <c r="Z75" s="2685" t="e">
        <f ca="1">IF(Small_F,'House reinf, Support Plate Side'!Z195,0)</f>
        <v>#REF!</v>
      </c>
      <c r="AA75" s="2685" t="e">
        <f ca="1">IF(Small_F,'House reinf, Support Plate Side'!AA195,0)</f>
        <v>#REF!</v>
      </c>
      <c r="AB75" s="2685" t="e">
        <f ca="1">IF(Small_F,'House reinf, Support Plate Side'!AB195,0)</f>
        <v>#REF!</v>
      </c>
      <c r="AC75" s="2685" t="e">
        <f ca="1">IF(Small_F,'House reinf, Support Plate Side'!AC195,0)</f>
        <v>#REF!</v>
      </c>
      <c r="AD75" s="2685" t="e">
        <f ca="1">IF(Small_F,'House reinf, Support Plate Side'!AD195,0)</f>
        <v>#REF!</v>
      </c>
      <c r="AE75" s="2685" t="e">
        <f ca="1">IF(Small_F,'House reinf, Support Plate Side'!AE195,0)</f>
        <v>#REF!</v>
      </c>
      <c r="AF75" s="2685" t="e">
        <f ca="1">IF(Small_F,'House reinf, Support Plate Side'!AF195,0)</f>
        <v>#REF!</v>
      </c>
      <c r="AG75" s="2685" t="e">
        <f ca="1">IF(Small_F,'House reinf, Support Plate Side'!AG195,0)</f>
        <v>#REF!</v>
      </c>
      <c r="AH75" s="2685" t="e">
        <f ca="1">IF(Small_F,'House reinf, Support Plate Side'!AH195,0)</f>
        <v>#REF!</v>
      </c>
      <c r="AI75" s="2685" t="e">
        <f ca="1">IF(Small_F,'House reinf, Support Plate Side'!AI195,0)</f>
        <v>#REF!</v>
      </c>
      <c r="AJ75" s="2808" t="e">
        <f ca="1">IF(Small_F,'House reinf, Support Plate Side'!AJ195,0)</f>
        <v>#REF!</v>
      </c>
    </row>
    <row r="76" spans="1:36" ht="15.75" thickBot="1">
      <c r="A76" s="509"/>
      <c r="B76" s="3213"/>
      <c r="C76" s="547"/>
      <c r="D76" s="547"/>
      <c r="E76" s="547"/>
      <c r="F76" s="547"/>
      <c r="G76" s="547"/>
      <c r="H76" s="547"/>
      <c r="I76" s="547"/>
      <c r="J76" s="547"/>
      <c r="K76" s="547"/>
      <c r="L76" s="547"/>
      <c r="M76" s="547"/>
      <c r="N76" s="547"/>
      <c r="O76" s="547"/>
      <c r="P76" s="547"/>
      <c r="Q76" s="547"/>
      <c r="R76" s="556"/>
      <c r="S76" s="556"/>
      <c r="T76" s="556"/>
      <c r="U76" s="556"/>
      <c r="V76" s="556"/>
      <c r="W76" s="556"/>
      <c r="X76" s="556"/>
      <c r="Y76" s="556"/>
      <c r="Z76" s="547"/>
      <c r="AA76" s="547"/>
      <c r="AB76" s="547"/>
      <c r="AC76" s="547"/>
      <c r="AD76" s="547"/>
      <c r="AE76" s="547"/>
      <c r="AF76" s="547"/>
      <c r="AG76" s="547"/>
      <c r="AH76" s="547"/>
      <c r="AI76" s="547"/>
      <c r="AJ76" s="1377"/>
    </row>
    <row r="77" spans="1:36" s="2013" customFormat="1" ht="15.75" thickBot="1">
      <c r="A77" s="2023"/>
      <c r="B77" s="3799" t="str">
        <f>"DS Rad. Reinf "&amp;$E$6&amp;", "&amp;$G$6&amp;", "&amp;Center_H</f>
        <v>DS Rad. Reinf RD, 135, 1269</v>
      </c>
      <c r="C77" s="3800"/>
      <c r="D77" s="3800"/>
      <c r="E77" s="3800"/>
      <c r="F77" s="3800"/>
      <c r="G77" s="3800"/>
      <c r="H77" s="3800"/>
      <c r="I77" s="3800"/>
      <c r="J77" s="3800"/>
      <c r="K77" s="3800"/>
      <c r="L77" s="3800"/>
      <c r="M77" s="3800"/>
      <c r="N77" s="3800"/>
      <c r="O77" s="3800"/>
      <c r="P77" s="3800"/>
      <c r="Q77" s="3800"/>
      <c r="R77" s="3800"/>
      <c r="S77" s="3800"/>
      <c r="T77" s="3800"/>
      <c r="U77" s="3800"/>
      <c r="V77" s="3800"/>
      <c r="W77" s="3800"/>
      <c r="X77" s="3800"/>
      <c r="Y77" s="3800"/>
      <c r="Z77" s="3800"/>
      <c r="AA77" s="3800"/>
      <c r="AB77" s="3800"/>
      <c r="AC77" s="3800"/>
      <c r="AD77" s="3800"/>
      <c r="AE77" s="3800"/>
      <c r="AF77" s="3800"/>
      <c r="AG77" s="3800"/>
      <c r="AH77" s="3800"/>
      <c r="AI77" s="3800"/>
      <c r="AJ77" s="3837"/>
    </row>
    <row r="78" spans="1:36" s="518" customFormat="1">
      <c r="A78" s="1152"/>
      <c r="B78" s="2410" t="s">
        <v>4148</v>
      </c>
      <c r="C78" s="2416" t="e">
        <f ca="1">dist_mult</f>
        <v>#REF!</v>
      </c>
      <c r="D78" s="2078"/>
      <c r="E78" s="2079" t="s">
        <v>3847</v>
      </c>
      <c r="F78" s="513" t="e">
        <f ca="1">(SUM(B82:AJ82)/1000+($Z$22/1000-$B$22/1000))*$T$7/1000*$U$7/1000*steel_density</f>
        <v>#REF!</v>
      </c>
      <c r="G78" s="2078" t="s">
        <v>131</v>
      </c>
      <c r="H78" s="2078"/>
      <c r="I78" s="2079"/>
      <c r="J78" s="1179"/>
      <c r="K78" s="2078"/>
      <c r="L78" s="501"/>
      <c r="M78" s="501"/>
      <c r="N78" s="501"/>
      <c r="O78" s="501"/>
      <c r="P78" s="501"/>
      <c r="Q78" s="501"/>
      <c r="R78" s="501"/>
      <c r="S78" s="501"/>
      <c r="T78" s="501"/>
      <c r="U78" s="501"/>
      <c r="V78" s="501"/>
      <c r="W78" s="501"/>
      <c r="X78" s="501"/>
      <c r="Y78" s="501"/>
      <c r="Z78" s="501"/>
      <c r="AA78" s="2078"/>
      <c r="AB78" s="2078"/>
      <c r="AC78" s="2103" t="s">
        <v>2795</v>
      </c>
      <c r="AD78" s="1178"/>
      <c r="AE78" s="1178"/>
      <c r="AF78" s="2096"/>
      <c r="AG78" s="1178" t="s">
        <v>2796</v>
      </c>
      <c r="AH78" s="1178"/>
      <c r="AI78" s="1178"/>
      <c r="AJ78" s="2096"/>
    </row>
    <row r="79" spans="1:36" s="497" customFormat="1">
      <c r="A79" s="2058" t="e">
        <f ca="1">IF(Small_F,'House reinf, Support Plate Side'!A199,'House reinf, Central Frame Side'!A199)</f>
        <v>#REF!</v>
      </c>
      <c r="B79" s="807" t="e">
        <f ca="1">IF(Small_F,'House reinf, Support Plate Side'!B199,'House reinf, Central Frame Side'!B199)</f>
        <v>#REF!</v>
      </c>
      <c r="C79" s="780" t="e">
        <f ca="1">IF(Small_F,'House reinf, Support Plate Side'!C199,'House reinf, Central Frame Side'!C199)</f>
        <v>#REF!</v>
      </c>
      <c r="D79" s="780" t="e">
        <f ca="1">IF(Small_F,'House reinf, Support Plate Side'!D199,'House reinf, Central Frame Side'!D199)</f>
        <v>#REF!</v>
      </c>
      <c r="E79" s="780" t="e">
        <f ca="1">IF(Small_F,'House reinf, Support Plate Side'!E199,'House reinf, Central Frame Side'!E199)</f>
        <v>#REF!</v>
      </c>
      <c r="F79" s="780" t="e">
        <f ca="1">IF(Small_F,'House reinf, Support Plate Side'!F199,'House reinf, Central Frame Side'!F199)</f>
        <v>#REF!</v>
      </c>
      <c r="G79" s="780" t="e">
        <f ca="1">IF(Small_F,'House reinf, Support Plate Side'!G199,'House reinf, Central Frame Side'!G199)</f>
        <v>#REF!</v>
      </c>
      <c r="H79" s="780" t="e">
        <f ca="1">IF(Small_F,'House reinf, Support Plate Side'!H199,'House reinf, Central Frame Side'!H199)</f>
        <v>#REF!</v>
      </c>
      <c r="I79" s="780" t="e">
        <f ca="1">IF(Small_F,'House reinf, Support Plate Side'!I199,'House reinf, Central Frame Side'!I199)</f>
        <v>#REF!</v>
      </c>
      <c r="J79" s="780" t="e">
        <f ca="1">IF(Small_F,'House reinf, Support Plate Side'!J199,'House reinf, Central Frame Side'!J199)</f>
        <v>#REF!</v>
      </c>
      <c r="K79" s="780" t="e">
        <f ca="1">IF(Small_F,'House reinf, Support Plate Side'!K199,'House reinf, Central Frame Side'!K199)</f>
        <v>#REF!</v>
      </c>
      <c r="L79" s="780" t="e">
        <f ca="1">IF(Small_F,'House reinf, Support Plate Side'!L199,'House reinf, Central Frame Side'!L199)</f>
        <v>#REF!</v>
      </c>
      <c r="M79" s="780" t="e">
        <f ca="1">IF(Small_F,'House reinf, Support Plate Side'!M199,'House reinf, Central Frame Side'!M199)</f>
        <v>#REF!</v>
      </c>
      <c r="N79" s="780" t="e">
        <f ca="1">IF(Small_F,'House reinf, Support Plate Side'!N199,'House reinf, Central Frame Side'!N199)</f>
        <v>#REF!</v>
      </c>
      <c r="O79" s="780" t="e">
        <f ca="1">IF(Small_F,'House reinf, Support Plate Side'!O199,'House reinf, Central Frame Side'!O199)</f>
        <v>#REF!</v>
      </c>
      <c r="P79" s="780" t="e">
        <f ca="1">IF(Small_F,'House reinf, Support Plate Side'!P199,'House reinf, Central Frame Side'!P199)</f>
        <v>#REF!</v>
      </c>
      <c r="Q79" s="780" t="e">
        <f ca="1">IF(Small_F,'House reinf, Support Plate Side'!Q199,'House reinf, Central Frame Side'!Q199)</f>
        <v>#REF!</v>
      </c>
      <c r="R79" s="780" t="e">
        <f ca="1">IF(Small_F,'House reinf, Support Plate Side'!R199,'House reinf, Central Frame Side'!R199)</f>
        <v>#REF!</v>
      </c>
      <c r="S79" s="780" t="e">
        <f ca="1">IF(Small_F,'House reinf, Support Plate Side'!S199,'House reinf, Central Frame Side'!S199)</f>
        <v>#REF!</v>
      </c>
      <c r="T79" s="780" t="e">
        <f ca="1">IF(Small_F,'House reinf, Support Plate Side'!T199,'House reinf, Central Frame Side'!T199)</f>
        <v>#REF!</v>
      </c>
      <c r="U79" s="780" t="e">
        <f ca="1">IF(Small_F,'House reinf, Support Plate Side'!U199,'House reinf, Central Frame Side'!U199)</f>
        <v>#REF!</v>
      </c>
      <c r="V79" s="780" t="e">
        <f ca="1">IF(Small_F,'House reinf, Support Plate Side'!V199,'House reinf, Central Frame Side'!V199)</f>
        <v>#REF!</v>
      </c>
      <c r="W79" s="780" t="e">
        <f ca="1">IF(Small_F,'House reinf, Support Plate Side'!W199,'House reinf, Central Frame Side'!W199)</f>
        <v>#REF!</v>
      </c>
      <c r="X79" s="780" t="e">
        <f ca="1">IF(Small_F,'House reinf, Support Plate Side'!X199,'House reinf, Central Frame Side'!X199)</f>
        <v>#REF!</v>
      </c>
      <c r="Y79" s="780" t="e">
        <f ca="1">IF(Small_F,'House reinf, Support Plate Side'!Y199,'House reinf, Central Frame Side'!Y199)</f>
        <v>#REF!</v>
      </c>
      <c r="Z79" s="780" t="e">
        <f ca="1">IF(Small_F,'House reinf, Support Plate Side'!Z199,'House reinf, Central Frame Side'!Z199)</f>
        <v>#REF!</v>
      </c>
      <c r="AA79" s="508" t="e">
        <f ca="1">IF(Small_F,'House reinf, Support Plate Side'!AA199,'House reinf, Central Frame Side'!AA199)</f>
        <v>#REF!</v>
      </c>
      <c r="AB79" s="506" t="e">
        <f ca="1">IF(Small_F,'House reinf, Support Plate Side'!AB199,'House reinf, Central Frame Side'!AB199)</f>
        <v>#REF!</v>
      </c>
      <c r="AC79" s="2106" t="e">
        <f ca="1">IF(Small_F,'House reinf, Support Plate Side'!AC199,'House reinf, Central Frame Side'!AC199)</f>
        <v>#REF!</v>
      </c>
      <c r="AD79" s="508" t="e">
        <f ca="1">IF(Small_F,'House reinf, Support Plate Side'!AD199,'House reinf, Central Frame Side'!AD199)</f>
        <v>#REF!</v>
      </c>
      <c r="AE79" s="508" t="e">
        <f ca="1">IF(Small_F,'House reinf, Support Plate Side'!AE199,'House reinf, Central Frame Side'!AE199)</f>
        <v>#REF!</v>
      </c>
      <c r="AF79" s="532" t="e">
        <f ca="1">IF(Small_F,'House reinf, Support Plate Side'!AF199,'House reinf, Central Frame Side'!AF199)</f>
        <v>#REF!</v>
      </c>
      <c r="AG79" s="1153" t="e">
        <f ca="1">IF(Small_F,'House reinf, Support Plate Side'!AG199,'House reinf, Central Frame Side'!AG199)</f>
        <v>#REF!</v>
      </c>
      <c r="AH79" s="508" t="e">
        <f ca="1">IF(Small_F,'House reinf, Support Plate Side'!AH199,'House reinf, Central Frame Side'!AH199)</f>
        <v>#REF!</v>
      </c>
      <c r="AI79" s="508" t="e">
        <f ca="1">IF(Small_F,'House reinf, Support Plate Side'!AI199,'House reinf, Central Frame Side'!AI199)</f>
        <v>#REF!</v>
      </c>
      <c r="AJ79" s="532" t="e">
        <f ca="1">IF(Small_F,'House reinf, Support Plate Side'!AJ199,'House reinf, Central Frame Side'!AJ199)</f>
        <v>#REF!</v>
      </c>
    </row>
    <row r="80" spans="1:36" s="1132" customFormat="1">
      <c r="A80" s="1188" t="e">
        <f ca="1">IF(Small_F,'House reinf, Support Plate Side'!A200,'House reinf, Central Frame Side'!A200)</f>
        <v>#REF!</v>
      </c>
      <c r="B80" s="1360" t="e">
        <f ca="1">IF(Small_F,'House reinf, Support Plate Side'!B200,'House reinf, Central Frame Side'!B200)</f>
        <v>#REF!</v>
      </c>
      <c r="C80" s="1133" t="e">
        <f ca="1">IF(Small_F,'House reinf, Support Plate Side'!C200,'House reinf, Central Frame Side'!C200)</f>
        <v>#REF!</v>
      </c>
      <c r="D80" s="1133" t="e">
        <f ca="1">IF(Small_F,'House reinf, Support Plate Side'!D200,'House reinf, Central Frame Side'!D200)</f>
        <v>#REF!</v>
      </c>
      <c r="E80" s="1133" t="e">
        <f ca="1">IF(Small_F,'House reinf, Support Plate Side'!E200,'House reinf, Central Frame Side'!E200)</f>
        <v>#REF!</v>
      </c>
      <c r="F80" s="1133" t="e">
        <f ca="1">IF(Small_F,'House reinf, Support Plate Side'!F200,'House reinf, Central Frame Side'!F200)</f>
        <v>#REF!</v>
      </c>
      <c r="G80" s="1133" t="e">
        <f ca="1">IF(Small_F,'House reinf, Support Plate Side'!G200,'House reinf, Central Frame Side'!G200)</f>
        <v>#REF!</v>
      </c>
      <c r="H80" s="1133" t="e">
        <f ca="1">IF(Small_F,'House reinf, Support Plate Side'!H200,'House reinf, Central Frame Side'!H200)</f>
        <v>#REF!</v>
      </c>
      <c r="I80" s="1133" t="e">
        <f ca="1">IF(Small_F,'House reinf, Support Plate Side'!I200,'House reinf, Central Frame Side'!I200)</f>
        <v>#REF!</v>
      </c>
      <c r="J80" s="1133" t="e">
        <f ca="1">IF(Small_F,'House reinf, Support Plate Side'!J200,'House reinf, Central Frame Side'!J200)</f>
        <v>#REF!</v>
      </c>
      <c r="K80" s="1133" t="e">
        <f ca="1">IF(Small_F,'House reinf, Support Plate Side'!K200,'House reinf, Central Frame Side'!K200)</f>
        <v>#REF!</v>
      </c>
      <c r="L80" s="1133" t="e">
        <f ca="1">IF(Small_F,'House reinf, Support Plate Side'!L200,'House reinf, Central Frame Side'!L200)</f>
        <v>#REF!</v>
      </c>
      <c r="M80" s="1133" t="e">
        <f ca="1">IF(Small_F,'House reinf, Support Plate Side'!M200,'House reinf, Central Frame Side'!M200)</f>
        <v>#REF!</v>
      </c>
      <c r="N80" s="1133" t="e">
        <f ca="1">IF(Small_F,'House reinf, Support Plate Side'!N200,'House reinf, Central Frame Side'!N200)</f>
        <v>#REF!</v>
      </c>
      <c r="O80" s="1133" t="e">
        <f ca="1">IF(Small_F,'House reinf, Support Plate Side'!O200,'House reinf, Central Frame Side'!O200)</f>
        <v>#REF!</v>
      </c>
      <c r="P80" s="1133" t="e">
        <f ca="1">IF(Small_F,'House reinf, Support Plate Side'!P200,'House reinf, Central Frame Side'!P200)</f>
        <v>#REF!</v>
      </c>
      <c r="Q80" s="1133" t="e">
        <f ca="1">IF(Small_F,'House reinf, Support Plate Side'!Q200,'House reinf, Central Frame Side'!Q200)</f>
        <v>#REF!</v>
      </c>
      <c r="R80" s="1133" t="e">
        <f ca="1">IF(Small_F,'House reinf, Support Plate Side'!R200,'House reinf, Central Frame Side'!R200)</f>
        <v>#REF!</v>
      </c>
      <c r="S80" s="1133" t="e">
        <f ca="1">IF(Small_F,'House reinf, Support Plate Side'!S200,'House reinf, Central Frame Side'!S200)</f>
        <v>#REF!</v>
      </c>
      <c r="T80" s="1133" t="e">
        <f ca="1">IF(Small_F,'House reinf, Support Plate Side'!T200,'House reinf, Central Frame Side'!T200)</f>
        <v>#REF!</v>
      </c>
      <c r="U80" s="1133" t="e">
        <f ca="1">IF(Small_F,'House reinf, Support Plate Side'!U200,'House reinf, Central Frame Side'!U200)</f>
        <v>#REF!</v>
      </c>
      <c r="V80" s="1133" t="e">
        <f ca="1">IF(Small_F,'House reinf, Support Plate Side'!V200,'House reinf, Central Frame Side'!V200)</f>
        <v>#REF!</v>
      </c>
      <c r="W80" s="1133" t="e">
        <f ca="1">IF(Small_F,'House reinf, Support Plate Side'!W200,'House reinf, Central Frame Side'!W200)</f>
        <v>#REF!</v>
      </c>
      <c r="X80" s="1133" t="e">
        <f ca="1">IF(Small_F,'House reinf, Support Plate Side'!X200,'House reinf, Central Frame Side'!X200)</f>
        <v>#REF!</v>
      </c>
      <c r="Y80" s="1133" t="e">
        <f ca="1">IF(Small_F,'House reinf, Support Plate Side'!Y200,'House reinf, Central Frame Side'!Y200)</f>
        <v>#REF!</v>
      </c>
      <c r="Z80" s="1133" t="e">
        <f ca="1">IF(Small_F,'House reinf, Support Plate Side'!Z200,'House reinf, Central Frame Side'!Z200)</f>
        <v>#REF!</v>
      </c>
      <c r="AA80" s="2088" t="e">
        <f ca="1">IF(Small_F,'House reinf, Support Plate Side'!AA200,'House reinf, Central Frame Side'!AA200)</f>
        <v>#REF!</v>
      </c>
      <c r="AB80" s="2095" t="e">
        <f ca="1">IF(Small_F,'House reinf, Support Plate Side'!AB200,'House reinf, Central Frame Side'!AB200)</f>
        <v>#REF!</v>
      </c>
      <c r="AC80" s="2105" t="e">
        <f ca="1">IF(Small_F,'House reinf, Support Plate Side'!AC200,'House reinf, Central Frame Side'!AC200)</f>
        <v>#REF!</v>
      </c>
      <c r="AD80" s="2088" t="e">
        <f ca="1">IF(Small_F,'House reinf, Support Plate Side'!AD200,'House reinf, Central Frame Side'!AD200)</f>
        <v>#REF!</v>
      </c>
      <c r="AE80" s="2088" t="e">
        <f ca="1">IF(Small_F,'House reinf, Support Plate Side'!AE200,'House reinf, Central Frame Side'!AE200)</f>
        <v>#REF!</v>
      </c>
      <c r="AF80" s="2089" t="e">
        <f ca="1">IF(Small_F,'House reinf, Support Plate Side'!AF200,'House reinf, Central Frame Side'!AF200)</f>
        <v>#REF!</v>
      </c>
      <c r="AG80" s="2098" t="e">
        <f ca="1">IF(Small_F,'House reinf, Support Plate Side'!AG200,'House reinf, Central Frame Side'!AG200)</f>
        <v>#REF!</v>
      </c>
      <c r="AH80" s="2088" t="e">
        <f ca="1">IF(Small_F,'House reinf, Support Plate Side'!AH200,'House reinf, Central Frame Side'!AH200)</f>
        <v>#REF!</v>
      </c>
      <c r="AI80" s="2088" t="e">
        <f ca="1">IF(Small_F,'House reinf, Support Plate Side'!AI200,'House reinf, Central Frame Side'!AI200)</f>
        <v>#REF!</v>
      </c>
      <c r="AJ80" s="2089" t="e">
        <f ca="1">IF(Small_F,'House reinf, Support Plate Side'!AJ200,'House reinf, Central Frame Side'!AJ200)</f>
        <v>#REF!</v>
      </c>
    </row>
    <row r="81" spans="1:38" s="497" customFormat="1">
      <c r="A81" s="952" t="e">
        <f ca="1">IF(Small_F,'House reinf, Support Plate Side'!A201,'House reinf, Central Frame Side'!A201)</f>
        <v>#REF!</v>
      </c>
      <c r="B81" s="807" t="e">
        <f ca="1">IF(Small_F,'House reinf, Support Plate Side'!B201,'House reinf, Central Frame Side'!B201)</f>
        <v>#REF!</v>
      </c>
      <c r="C81" s="780" t="e">
        <f ca="1">IF(Small_F,'House reinf, Support Plate Side'!C201,'House reinf, Central Frame Side'!C201)</f>
        <v>#REF!</v>
      </c>
      <c r="D81" s="780" t="e">
        <f ca="1">IF(Small_F,'House reinf, Support Plate Side'!D201,'House reinf, Central Frame Side'!D201)</f>
        <v>#REF!</v>
      </c>
      <c r="E81" s="780" t="e">
        <f ca="1">IF(Small_F,'House reinf, Support Plate Side'!E201,'House reinf, Central Frame Side'!E201)</f>
        <v>#REF!</v>
      </c>
      <c r="F81" s="780" t="e">
        <f ca="1">IF(Small_F,'House reinf, Support Plate Side'!F201,'House reinf, Central Frame Side'!F201)</f>
        <v>#REF!</v>
      </c>
      <c r="G81" s="780" t="e">
        <f ca="1">IF(Small_F,'House reinf, Support Plate Side'!G201,'House reinf, Central Frame Side'!G201)</f>
        <v>#REF!</v>
      </c>
      <c r="H81" s="780" t="e">
        <f ca="1">IF(Small_F,'House reinf, Support Plate Side'!H201,'House reinf, Central Frame Side'!H201)</f>
        <v>#REF!</v>
      </c>
      <c r="I81" s="780" t="e">
        <f ca="1">IF(Small_F,'House reinf, Support Plate Side'!I201,'House reinf, Central Frame Side'!I201)</f>
        <v>#REF!</v>
      </c>
      <c r="J81" s="780" t="e">
        <f ca="1">IF(Small_F,'House reinf, Support Plate Side'!J201,'House reinf, Central Frame Side'!J201)</f>
        <v>#REF!</v>
      </c>
      <c r="K81" s="780" t="e">
        <f ca="1">IF(Small_F,'House reinf, Support Plate Side'!K201,'House reinf, Central Frame Side'!K201)</f>
        <v>#REF!</v>
      </c>
      <c r="L81" s="780" t="e">
        <f ca="1">IF(Small_F,'House reinf, Support Plate Side'!L201,'House reinf, Central Frame Side'!L201)</f>
        <v>#REF!</v>
      </c>
      <c r="M81" s="780" t="e">
        <f ca="1">IF(Small_F,'House reinf, Support Plate Side'!M201,'House reinf, Central Frame Side'!M201)</f>
        <v>#REF!</v>
      </c>
      <c r="N81" s="780" t="e">
        <f ca="1">IF(Small_F,'House reinf, Support Plate Side'!N201,'House reinf, Central Frame Side'!N201)</f>
        <v>#REF!</v>
      </c>
      <c r="O81" s="780" t="e">
        <f ca="1">IF(Small_F,'House reinf, Support Plate Side'!O201,'House reinf, Central Frame Side'!O201)</f>
        <v>#REF!</v>
      </c>
      <c r="P81" s="780" t="e">
        <f ca="1">IF(Small_F,'House reinf, Support Plate Side'!P201,'House reinf, Central Frame Side'!P201)</f>
        <v>#REF!</v>
      </c>
      <c r="Q81" s="780" t="e">
        <f ca="1">IF(Small_F,'House reinf, Support Plate Side'!Q201,'House reinf, Central Frame Side'!Q201)</f>
        <v>#REF!</v>
      </c>
      <c r="R81" s="780" t="e">
        <f ca="1">IF(Small_F,'House reinf, Support Plate Side'!R201,'House reinf, Central Frame Side'!R201)</f>
        <v>#REF!</v>
      </c>
      <c r="S81" s="780" t="e">
        <f ca="1">IF(Small_F,'House reinf, Support Plate Side'!S201,'House reinf, Central Frame Side'!S201)</f>
        <v>#REF!</v>
      </c>
      <c r="T81" s="780" t="e">
        <f ca="1">IF(Small_F,'House reinf, Support Plate Side'!T201,'House reinf, Central Frame Side'!T201)</f>
        <v>#REF!</v>
      </c>
      <c r="U81" s="780" t="e">
        <f ca="1">IF(Small_F,'House reinf, Support Plate Side'!U201,'House reinf, Central Frame Side'!U201)</f>
        <v>#REF!</v>
      </c>
      <c r="V81" s="780" t="e">
        <f ca="1">IF(Small_F,'House reinf, Support Plate Side'!V201,'House reinf, Central Frame Side'!V201)</f>
        <v>#REF!</v>
      </c>
      <c r="W81" s="780" t="e">
        <f ca="1">IF(Small_F,'House reinf, Support Plate Side'!W201,'House reinf, Central Frame Side'!W201)</f>
        <v>#REF!</v>
      </c>
      <c r="X81" s="780" t="e">
        <f ca="1">IF(Small_F,'House reinf, Support Plate Side'!X201,'House reinf, Central Frame Side'!X201)</f>
        <v>#REF!</v>
      </c>
      <c r="Y81" s="780" t="e">
        <f ca="1">IF(Small_F,'House reinf, Support Plate Side'!Y201,'House reinf, Central Frame Side'!Y201)</f>
        <v>#REF!</v>
      </c>
      <c r="Z81" s="780" t="e">
        <f ca="1">IF(Small_F,'House reinf, Support Plate Side'!Z201,'House reinf, Central Frame Side'!Z201)</f>
        <v>#REF!</v>
      </c>
      <c r="AA81" s="508" t="e">
        <f ca="1">IF(Small_F,'House reinf, Support Plate Side'!AA201,'House reinf, Central Frame Side'!AA201)</f>
        <v>#REF!</v>
      </c>
      <c r="AB81" s="506" t="e">
        <f ca="1">IF(Small_F,'House reinf, Support Plate Side'!AB201,'House reinf, Central Frame Side'!AB201)</f>
        <v>#REF!</v>
      </c>
      <c r="AC81" s="2106" t="e">
        <f ca="1">IF(Small_F,'House reinf, Support Plate Side'!AC201,'House reinf, Central Frame Side'!AC201)</f>
        <v>#REF!</v>
      </c>
      <c r="AD81" s="508" t="e">
        <f ca="1">IF(Small_F,'House reinf, Support Plate Side'!AD201,'House reinf, Central Frame Side'!AD201)</f>
        <v>#REF!</v>
      </c>
      <c r="AE81" s="508" t="e">
        <f ca="1">IF(Small_F,'House reinf, Support Plate Side'!AE201,'House reinf, Central Frame Side'!AE201)</f>
        <v>#REF!</v>
      </c>
      <c r="AF81" s="532" t="e">
        <f ca="1">IF(Small_F,'House reinf, Support Plate Side'!AF201,'House reinf, Central Frame Side'!AF201)</f>
        <v>#REF!</v>
      </c>
      <c r="AG81" s="1153" t="e">
        <f ca="1">IF(Small_F,'House reinf, Support Plate Side'!AG201,'House reinf, Central Frame Side'!AG201)</f>
        <v>#REF!</v>
      </c>
      <c r="AH81" s="508" t="e">
        <f ca="1">IF(Small_F,'House reinf, Support Plate Side'!AH201,'House reinf, Central Frame Side'!AH201)</f>
        <v>#REF!</v>
      </c>
      <c r="AI81" s="508" t="e">
        <f ca="1">IF(Small_F,'House reinf, Support Plate Side'!AI201,'House reinf, Central Frame Side'!AI201)</f>
        <v>#REF!</v>
      </c>
      <c r="AJ81" s="532" t="e">
        <f ca="1">IF(Small_F,'House reinf, Support Plate Side'!AJ201,'House reinf, Central Frame Side'!AJ201)</f>
        <v>#REF!</v>
      </c>
    </row>
    <row r="82" spans="1:38" s="497" customFormat="1" ht="14.45" customHeight="1">
      <c r="A82" s="952" t="e">
        <f ca="1">IF(Small_F,'House reinf, Support Plate Side'!A202,'House reinf, Central Frame Side'!A202)</f>
        <v>#REF!</v>
      </c>
      <c r="B82" s="807" t="e">
        <f ca="1">IF(Small_F,'House reinf, Support Plate Side'!B202,'House reinf, Central Frame Side'!B202)</f>
        <v>#REF!</v>
      </c>
      <c r="C82" s="780" t="e">
        <f ca="1">IF(Small_F,'House reinf, Support Plate Side'!C202,'House reinf, Central Frame Side'!C202)</f>
        <v>#REF!</v>
      </c>
      <c r="D82" s="780" t="e">
        <f ca="1">IF(Small_F,'House reinf, Support Plate Side'!D202,'House reinf, Central Frame Side'!D202)</f>
        <v>#REF!</v>
      </c>
      <c r="E82" s="780" t="e">
        <f ca="1">IF(Small_F,'House reinf, Support Plate Side'!E202,'House reinf, Central Frame Side'!E202)</f>
        <v>#REF!</v>
      </c>
      <c r="F82" s="780" t="e">
        <f ca="1">IF(Small_F,'House reinf, Support Plate Side'!F202,'House reinf, Central Frame Side'!F202)</f>
        <v>#REF!</v>
      </c>
      <c r="G82" s="780" t="e">
        <f ca="1">IF(Small_F,'House reinf, Support Plate Side'!G202,'House reinf, Central Frame Side'!G202)</f>
        <v>#REF!</v>
      </c>
      <c r="H82" s="780" t="e">
        <f ca="1">IF(Small_F,'House reinf, Support Plate Side'!H202,'House reinf, Central Frame Side'!H202)</f>
        <v>#REF!</v>
      </c>
      <c r="I82" s="780" t="e">
        <f ca="1">IF(Small_F,'House reinf, Support Plate Side'!I202,'House reinf, Central Frame Side'!I202)</f>
        <v>#REF!</v>
      </c>
      <c r="J82" s="780" t="e">
        <f ca="1">IF(Small_F,'House reinf, Support Plate Side'!J202,'House reinf, Central Frame Side'!J202)</f>
        <v>#REF!</v>
      </c>
      <c r="K82" s="780" t="e">
        <f ca="1">IF(Small_F,'House reinf, Support Plate Side'!K202,'House reinf, Central Frame Side'!K202)</f>
        <v>#REF!</v>
      </c>
      <c r="L82" s="780" t="e">
        <f ca="1">IF(Small_F,'House reinf, Support Plate Side'!L202,'House reinf, Central Frame Side'!L202)</f>
        <v>#REF!</v>
      </c>
      <c r="M82" s="780" t="e">
        <f ca="1">IF(Small_F,'House reinf, Support Plate Side'!M202,'House reinf, Central Frame Side'!M202)</f>
        <v>#REF!</v>
      </c>
      <c r="N82" s="780" t="e">
        <f ca="1">IF(Small_F,'House reinf, Support Plate Side'!N202,'House reinf, Central Frame Side'!N202)</f>
        <v>#REF!</v>
      </c>
      <c r="O82" s="780" t="e">
        <f ca="1">IF(Small_F,'House reinf, Support Plate Side'!O202,'House reinf, Central Frame Side'!O202)</f>
        <v>#REF!</v>
      </c>
      <c r="P82" s="780" t="e">
        <f ca="1">IF(Small_F,'House reinf, Support Plate Side'!P202,'House reinf, Central Frame Side'!P202)</f>
        <v>#REF!</v>
      </c>
      <c r="Q82" s="780" t="e">
        <f ca="1">IF(Small_F,'House reinf, Support Plate Side'!Q202,'House reinf, Central Frame Side'!Q202)</f>
        <v>#REF!</v>
      </c>
      <c r="R82" s="780" t="e">
        <f ca="1">IF(Small_F,'House reinf, Support Plate Side'!R202,'House reinf, Central Frame Side'!R202)</f>
        <v>#REF!</v>
      </c>
      <c r="S82" s="780" t="e">
        <f ca="1">IF(Small_F,'House reinf, Support Plate Side'!S202,'House reinf, Central Frame Side'!S202)</f>
        <v>#REF!</v>
      </c>
      <c r="T82" s="780" t="e">
        <f ca="1">IF(Small_F,'House reinf, Support Plate Side'!T202,'House reinf, Central Frame Side'!T202)</f>
        <v>#REF!</v>
      </c>
      <c r="U82" s="780" t="e">
        <f ca="1">IF(Small_F,'House reinf, Support Plate Side'!U202,'House reinf, Central Frame Side'!U202)</f>
        <v>#REF!</v>
      </c>
      <c r="V82" s="780" t="e">
        <f ca="1">IF(Small_F,'House reinf, Support Plate Side'!V202,'House reinf, Central Frame Side'!V202)</f>
        <v>#REF!</v>
      </c>
      <c r="W82" s="780" t="e">
        <f ca="1">IF(Small_F,'House reinf, Support Plate Side'!W202,'House reinf, Central Frame Side'!W202)</f>
        <v>#REF!</v>
      </c>
      <c r="X82" s="780" t="e">
        <f ca="1">IF(Small_F,'House reinf, Support Plate Side'!X202,'House reinf, Central Frame Side'!X202)</f>
        <v>#REF!</v>
      </c>
      <c r="Y82" s="780" t="e">
        <f ca="1">IF(Small_F,'House reinf, Support Plate Side'!Y202,'House reinf, Central Frame Side'!Y202)</f>
        <v>#REF!</v>
      </c>
      <c r="Z82" s="780" t="e">
        <f ca="1">IF(Small_F,'House reinf, Support Plate Side'!Z202,'House reinf, Central Frame Side'!Z202)</f>
        <v>#REF!</v>
      </c>
      <c r="AA82" s="780" t="e">
        <f ca="1">IF(Small_F,'House reinf, Support Plate Side'!AA202,'House reinf, Central Frame Side'!AA202)</f>
        <v>#REF!</v>
      </c>
      <c r="AB82" s="780" t="e">
        <f ca="1">IF(Small_F,'House reinf, Support Plate Side'!AB202,'House reinf, Central Frame Side'!AB202)</f>
        <v>#REF!</v>
      </c>
      <c r="AC82" s="2107" t="e">
        <f ca="1">IF(Small_F,'House reinf, Support Plate Side'!AC202,'House reinf, Central Frame Side'!AC202)</f>
        <v>#REF!</v>
      </c>
      <c r="AD82" s="780" t="e">
        <f ca="1">IF(Small_F,'House reinf, Support Plate Side'!AD202,'House reinf, Central Frame Side'!AD202)</f>
        <v>#REF!</v>
      </c>
      <c r="AE82" s="780" t="e">
        <f ca="1">IF(Small_F,'House reinf, Support Plate Side'!AE202,'House reinf, Central Frame Side'!AE202)</f>
        <v>#REF!</v>
      </c>
      <c r="AF82" s="781" t="e">
        <f ca="1">IF(Small_F,'House reinf, Support Plate Side'!AF202,'House reinf, Central Frame Side'!AF202)</f>
        <v>#REF!</v>
      </c>
      <c r="AG82" s="2099" t="e">
        <f ca="1">IF(Small_F,'House reinf, Support Plate Side'!AG202,'House reinf, Central Frame Side'!AG202)</f>
        <v>#REF!</v>
      </c>
      <c r="AH82" s="780" t="e">
        <f ca="1">IF(Small_F,'House reinf, Support Plate Side'!AH202,'House reinf, Central Frame Side'!AH202)</f>
        <v>#REF!</v>
      </c>
      <c r="AI82" s="780" t="e">
        <f ca="1">IF(Small_F,'House reinf, Support Plate Side'!AI202,'House reinf, Central Frame Side'!AI202)</f>
        <v>#REF!</v>
      </c>
      <c r="AJ82" s="781" t="e">
        <f ca="1">IF(Small_F,'House reinf, Support Plate Side'!AJ202,'House reinf, Central Frame Side'!AJ202)</f>
        <v>#REF!</v>
      </c>
    </row>
    <row r="83" spans="1:38">
      <c r="A83" s="1275" t="e">
        <f ca="1">IF(Small_F,'House reinf, Support Plate Side'!A203,'House reinf, Central Frame Side'!A203)</f>
        <v>#REF!</v>
      </c>
      <c r="B83" s="529" t="e">
        <f ca="1">IF(Small_F,'House reinf, Support Plate Side'!B203,'House reinf, Central Frame Side'!B203)</f>
        <v>#REF!</v>
      </c>
      <c r="C83" s="504" t="e">
        <f ca="1">IF(Small_F,'House reinf, Support Plate Side'!C203,'House reinf, Central Frame Side'!C203)</f>
        <v>#REF!</v>
      </c>
      <c r="D83" s="504" t="e">
        <f ca="1">IF(Small_F,'House reinf, Support Plate Side'!D203,'House reinf, Central Frame Side'!D203)</f>
        <v>#REF!</v>
      </c>
      <c r="E83" s="504" t="e">
        <f ca="1">IF(Small_F,'House reinf, Support Plate Side'!E203,'House reinf, Central Frame Side'!E203)</f>
        <v>#REF!</v>
      </c>
      <c r="F83" s="504" t="e">
        <f ca="1">IF(Small_F,'House reinf, Support Plate Side'!F203,'House reinf, Central Frame Side'!F203)</f>
        <v>#REF!</v>
      </c>
      <c r="G83" s="504" t="e">
        <f ca="1">IF(Small_F,'House reinf, Support Plate Side'!G203,'House reinf, Central Frame Side'!G203)</f>
        <v>#REF!</v>
      </c>
      <c r="H83" s="504" t="e">
        <f ca="1">IF(Small_F,'House reinf, Support Plate Side'!H203,'House reinf, Central Frame Side'!H203)</f>
        <v>#REF!</v>
      </c>
      <c r="I83" s="504" t="e">
        <f ca="1">IF(Small_F,'House reinf, Support Plate Side'!I203,'House reinf, Central Frame Side'!I203)</f>
        <v>#REF!</v>
      </c>
      <c r="J83" s="504" t="e">
        <f ca="1">IF(Small_F,'House reinf, Support Plate Side'!J203,'House reinf, Central Frame Side'!J203)</f>
        <v>#REF!</v>
      </c>
      <c r="K83" s="504" t="e">
        <f ca="1">IF(Small_F,'House reinf, Support Plate Side'!K203,'House reinf, Central Frame Side'!K203)</f>
        <v>#REF!</v>
      </c>
      <c r="L83" s="504" t="e">
        <f ca="1">IF(Small_F,'House reinf, Support Plate Side'!L203,'House reinf, Central Frame Side'!L203)</f>
        <v>#REF!</v>
      </c>
      <c r="M83" s="504" t="e">
        <f ca="1">IF(Small_F,'House reinf, Support Plate Side'!M203,'House reinf, Central Frame Side'!M203)</f>
        <v>#REF!</v>
      </c>
      <c r="N83" s="504" t="e">
        <f ca="1">IF(Small_F,'House reinf, Support Plate Side'!N203,'House reinf, Central Frame Side'!N203)</f>
        <v>#REF!</v>
      </c>
      <c r="O83" s="504" t="e">
        <f ca="1">IF(Small_F,'House reinf, Support Plate Side'!O203,'House reinf, Central Frame Side'!O203)</f>
        <v>#REF!</v>
      </c>
      <c r="P83" s="504" t="e">
        <f ca="1">IF(Small_F,'House reinf, Support Plate Side'!P203,'House reinf, Central Frame Side'!P203)</f>
        <v>#REF!</v>
      </c>
      <c r="Q83" s="504" t="e">
        <f ca="1">IF(Small_F,'House reinf, Support Plate Side'!Q203,'House reinf, Central Frame Side'!Q203)</f>
        <v>#REF!</v>
      </c>
      <c r="R83" s="504" t="e">
        <f ca="1">IF(Small_F,'House reinf, Support Plate Side'!R203,'House reinf, Central Frame Side'!R203)</f>
        <v>#REF!</v>
      </c>
      <c r="S83" s="504" t="e">
        <f ca="1">IF(Small_F,'House reinf, Support Plate Side'!S203,'House reinf, Central Frame Side'!S203)</f>
        <v>#REF!</v>
      </c>
      <c r="T83" s="504" t="e">
        <f ca="1">IF(Small_F,'House reinf, Support Plate Side'!T203,'House reinf, Central Frame Side'!T203)</f>
        <v>#REF!</v>
      </c>
      <c r="U83" s="504" t="e">
        <f ca="1">IF(Small_F,'House reinf, Support Plate Side'!U203,'House reinf, Central Frame Side'!U203)</f>
        <v>#REF!</v>
      </c>
      <c r="V83" s="504" t="e">
        <f ca="1">IF(Small_F,'House reinf, Support Plate Side'!V203,'House reinf, Central Frame Side'!V203)</f>
        <v>#REF!</v>
      </c>
      <c r="W83" s="504" t="e">
        <f ca="1">IF(Small_F,'House reinf, Support Plate Side'!W203,'House reinf, Central Frame Side'!W203)</f>
        <v>#REF!</v>
      </c>
      <c r="X83" s="504" t="e">
        <f ca="1">IF(Small_F,'House reinf, Support Plate Side'!X203,'House reinf, Central Frame Side'!X203)</f>
        <v>#REF!</v>
      </c>
      <c r="Y83" s="504" t="e">
        <f ca="1">IF(Small_F,'House reinf, Support Plate Side'!Y203,'House reinf, Central Frame Side'!Y203)</f>
        <v>#REF!</v>
      </c>
      <c r="Z83" s="504" t="e">
        <f ca="1">IF(Small_F,'House reinf, Support Plate Side'!Z203,'House reinf, Central Frame Side'!Z203)</f>
        <v>#REF!</v>
      </c>
      <c r="AA83" s="504" t="e">
        <f ca="1">IF(Small_F,'House reinf, Support Plate Side'!AA203,'House reinf, Central Frame Side'!AA203)</f>
        <v>#REF!</v>
      </c>
      <c r="AB83" s="511" t="e">
        <f ca="1">IF(Small_F,'House reinf, Support Plate Side'!AB203,'House reinf, Central Frame Side'!AB203)</f>
        <v>#REF!</v>
      </c>
      <c r="AC83" s="2108" t="e">
        <f ca="1">IF(Small_F,'House reinf, Support Plate Side'!AC203,'House reinf, Central Frame Side'!AC203)</f>
        <v>#REF!</v>
      </c>
      <c r="AD83" s="1168" t="e">
        <f ca="1">IF(Small_F,'House reinf, Support Plate Side'!AD203,'House reinf, Central Frame Side'!AD203)</f>
        <v>#REF!</v>
      </c>
      <c r="AE83" s="1168" t="e">
        <f ca="1">IF(Small_F,'House reinf, Support Plate Side'!AE203,'House reinf, Central Frame Side'!AE203)</f>
        <v>#REF!</v>
      </c>
      <c r="AF83" s="2090" t="e">
        <f ca="1">IF(Small_F,'House reinf, Support Plate Side'!AF203,'House reinf, Central Frame Side'!AF203)</f>
        <v>#REF!</v>
      </c>
      <c r="AG83" s="2100" t="e">
        <f ca="1">IF(Small_F,'House reinf, Support Plate Side'!AG203,'House reinf, Central Frame Side'!AG203)</f>
        <v>#REF!</v>
      </c>
      <c r="AH83" s="1168" t="e">
        <f ca="1">IF(Small_F,'House reinf, Support Plate Side'!AH203,'House reinf, Central Frame Side'!AH203)</f>
        <v>#REF!</v>
      </c>
      <c r="AI83" s="1168" t="e">
        <f ca="1">IF(Small_F,'House reinf, Support Plate Side'!AI203,'House reinf, Central Frame Side'!AI203)</f>
        <v>#REF!</v>
      </c>
      <c r="AJ83" s="2090" t="e">
        <f ca="1">IF(Small_F,'House reinf, Support Plate Side'!AJ203,'House reinf, Central Frame Side'!AJ203)</f>
        <v>#REF!</v>
      </c>
    </row>
    <row r="84" spans="1:38">
      <c r="A84" s="1275" t="e">
        <f ca="1">IF(Small_F,'House reinf, Support Plate Side'!A204,'House reinf, Central Frame Side'!A204)</f>
        <v>#REF!</v>
      </c>
      <c r="B84" s="531" t="e">
        <f ca="1">IF(Small_F,'House reinf, Support Plate Side'!B204,'House reinf, Central Frame Side'!B204)</f>
        <v>#REF!</v>
      </c>
      <c r="C84" s="508" t="e">
        <f ca="1">IF(Small_F,'House reinf, Support Plate Side'!C204,'House reinf, Central Frame Side'!C204)</f>
        <v>#REF!</v>
      </c>
      <c r="D84" s="508" t="e">
        <f ca="1">IF(Small_F,'House reinf, Support Plate Side'!D204,'House reinf, Central Frame Side'!D204)</f>
        <v>#REF!</v>
      </c>
      <c r="E84" s="508" t="e">
        <f ca="1">IF(Small_F,'House reinf, Support Plate Side'!E204,'House reinf, Central Frame Side'!E204)</f>
        <v>#REF!</v>
      </c>
      <c r="F84" s="508" t="e">
        <f ca="1">IF(Small_F,'House reinf, Support Plate Side'!F204,'House reinf, Central Frame Side'!F204)</f>
        <v>#REF!</v>
      </c>
      <c r="G84" s="508" t="e">
        <f ca="1">IF(Small_F,'House reinf, Support Plate Side'!G204,'House reinf, Central Frame Side'!G204)</f>
        <v>#REF!</v>
      </c>
      <c r="H84" s="508" t="e">
        <f ca="1">IF(Small_F,'House reinf, Support Plate Side'!H204,'House reinf, Central Frame Side'!H204)</f>
        <v>#REF!</v>
      </c>
      <c r="I84" s="508" t="e">
        <f ca="1">IF(Small_F,'House reinf, Support Plate Side'!I204,'House reinf, Central Frame Side'!I204)</f>
        <v>#REF!</v>
      </c>
      <c r="J84" s="508" t="e">
        <f ca="1">IF(Small_F,'House reinf, Support Plate Side'!J204,'House reinf, Central Frame Side'!J204)</f>
        <v>#REF!</v>
      </c>
      <c r="K84" s="508" t="e">
        <f ca="1">IF(Small_F,'House reinf, Support Plate Side'!K204,'House reinf, Central Frame Side'!K204)</f>
        <v>#REF!</v>
      </c>
      <c r="L84" s="508" t="e">
        <f ca="1">IF(Small_F,'House reinf, Support Plate Side'!L204,'House reinf, Central Frame Side'!L204)</f>
        <v>#REF!</v>
      </c>
      <c r="M84" s="508" t="e">
        <f ca="1">IF(Small_F,'House reinf, Support Plate Side'!M204,'House reinf, Central Frame Side'!M204)</f>
        <v>#REF!</v>
      </c>
      <c r="N84" s="508" t="e">
        <f ca="1">IF(Small_F,'House reinf, Support Plate Side'!N204,'House reinf, Central Frame Side'!N204)</f>
        <v>#REF!</v>
      </c>
      <c r="O84" s="508" t="e">
        <f ca="1">IF(Small_F,'House reinf, Support Plate Side'!O204,'House reinf, Central Frame Side'!O204)</f>
        <v>#REF!</v>
      </c>
      <c r="P84" s="508" t="e">
        <f ca="1">IF(Small_F,'House reinf, Support Plate Side'!P204,'House reinf, Central Frame Side'!P204)</f>
        <v>#REF!</v>
      </c>
      <c r="Q84" s="508" t="e">
        <f ca="1">IF(Small_F,'House reinf, Support Plate Side'!Q204,'House reinf, Central Frame Side'!Q204)</f>
        <v>#REF!</v>
      </c>
      <c r="R84" s="508" t="e">
        <f ca="1">IF(Small_F,'House reinf, Support Plate Side'!R204,'House reinf, Central Frame Side'!R204)</f>
        <v>#REF!</v>
      </c>
      <c r="S84" s="508" t="e">
        <f ca="1">IF(Small_F,'House reinf, Support Plate Side'!S204,'House reinf, Central Frame Side'!S204)</f>
        <v>#REF!</v>
      </c>
      <c r="T84" s="508" t="e">
        <f ca="1">IF(Small_F,'House reinf, Support Plate Side'!T204,'House reinf, Central Frame Side'!T204)</f>
        <v>#REF!</v>
      </c>
      <c r="U84" s="508" t="e">
        <f ca="1">IF(Small_F,'House reinf, Support Plate Side'!U204,'House reinf, Central Frame Side'!U204)</f>
        <v>#REF!</v>
      </c>
      <c r="V84" s="508" t="e">
        <f ca="1">IF(Small_F,'House reinf, Support Plate Side'!V204,'House reinf, Central Frame Side'!V204)</f>
        <v>#REF!</v>
      </c>
      <c r="W84" s="508" t="e">
        <f ca="1">IF(Small_F,'House reinf, Support Plate Side'!W204,'House reinf, Central Frame Side'!W204)</f>
        <v>#REF!</v>
      </c>
      <c r="X84" s="508" t="e">
        <f ca="1">IF(Small_F,'House reinf, Support Plate Side'!X204,'House reinf, Central Frame Side'!X204)</f>
        <v>#REF!</v>
      </c>
      <c r="Y84" s="508" t="e">
        <f ca="1">IF(Small_F,'House reinf, Support Plate Side'!Y204,'House reinf, Central Frame Side'!Y204)</f>
        <v>#REF!</v>
      </c>
      <c r="Z84" s="508" t="e">
        <f ca="1">IF(Small_F,'House reinf, Support Plate Side'!Z204,'House reinf, Central Frame Side'!Z204)</f>
        <v>#REF!</v>
      </c>
      <c r="AA84" s="508" t="e">
        <f ca="1">IF(Small_F,'House reinf, Support Plate Side'!AA204,'House reinf, Central Frame Side'!AA204)</f>
        <v>#REF!</v>
      </c>
      <c r="AB84" s="506" t="e">
        <f ca="1">IF(Small_F,'House reinf, Support Plate Side'!AB204,'House reinf, Central Frame Side'!AB204)</f>
        <v>#REF!</v>
      </c>
      <c r="AC84" s="2109" t="e">
        <f ca="1">IF(Small_F,'House reinf, Support Plate Side'!AC204,'House reinf, Central Frame Side'!AC204)</f>
        <v>#REF!</v>
      </c>
      <c r="AD84" s="1169" t="e">
        <f ca="1">IF(Small_F,'House reinf, Support Plate Side'!AD204,'House reinf, Central Frame Side'!AD204)</f>
        <v>#REF!</v>
      </c>
      <c r="AE84" s="1169" t="e">
        <f ca="1">IF(Small_F,'House reinf, Support Plate Side'!AE204,'House reinf, Central Frame Side'!AE204)</f>
        <v>#REF!</v>
      </c>
      <c r="AF84" s="2102" t="e">
        <f ca="1">IF(Small_F,'House reinf, Support Plate Side'!AF204,'House reinf, Central Frame Side'!AF204)</f>
        <v>#REF!</v>
      </c>
      <c r="AG84" s="2128" t="e">
        <f ca="1">IF(Small_F,'House reinf, Support Plate Side'!AG204,'House reinf, Central Frame Side'!AG204)</f>
        <v>#REF!</v>
      </c>
      <c r="AH84" s="2129" t="e">
        <f ca="1">IF(Small_F,'House reinf, Support Plate Side'!AH204,'House reinf, Central Frame Side'!AH204)</f>
        <v>#REF!</v>
      </c>
      <c r="AI84" s="2129" t="e">
        <f ca="1">IF(Small_F,'House reinf, Support Plate Side'!AI204,'House reinf, Central Frame Side'!AI204)</f>
        <v>#REF!</v>
      </c>
      <c r="AJ84" s="2130" t="e">
        <f ca="1">IF(Small_F,'House reinf, Support Plate Side'!AJ204,'House reinf, Central Frame Side'!AJ204)</f>
        <v>#REF!</v>
      </c>
    </row>
    <row r="85" spans="1:38">
      <c r="A85" s="1275" t="e">
        <f ca="1">IF(Small_F,'House reinf, Support Plate Side'!A205,'House reinf, Central Frame Side'!A205)</f>
        <v>#REF!</v>
      </c>
      <c r="B85" s="529" t="e">
        <f ca="1">IF(Small_F,'House reinf, Support Plate Side'!B205,'House reinf, Central Frame Side'!B205)</f>
        <v>#REF!</v>
      </c>
      <c r="C85" s="504" t="e">
        <f ca="1">IF(Small_F,'House reinf, Support Plate Side'!C205,'House reinf, Central Frame Side'!C205)</f>
        <v>#REF!</v>
      </c>
      <c r="D85" s="504" t="e">
        <f ca="1">IF(Small_F,'House reinf, Support Plate Side'!D205,'House reinf, Central Frame Side'!D205)</f>
        <v>#REF!</v>
      </c>
      <c r="E85" s="504" t="e">
        <f ca="1">IF(Small_F,'House reinf, Support Plate Side'!E205,'House reinf, Central Frame Side'!E205)</f>
        <v>#REF!</v>
      </c>
      <c r="F85" s="504" t="e">
        <f ca="1">IF(Small_F,'House reinf, Support Plate Side'!F205,'House reinf, Central Frame Side'!F205)</f>
        <v>#REF!</v>
      </c>
      <c r="G85" s="504" t="e">
        <f ca="1">IF(Small_F,'House reinf, Support Plate Side'!G205,'House reinf, Central Frame Side'!G205)</f>
        <v>#REF!</v>
      </c>
      <c r="H85" s="504" t="e">
        <f ca="1">IF(Small_F,'House reinf, Support Plate Side'!H205,'House reinf, Central Frame Side'!H205)</f>
        <v>#REF!</v>
      </c>
      <c r="I85" s="504" t="e">
        <f ca="1">IF(Small_F,'House reinf, Support Plate Side'!I205,'House reinf, Central Frame Side'!I205)</f>
        <v>#REF!</v>
      </c>
      <c r="J85" s="504" t="e">
        <f ca="1">IF(Small_F,'House reinf, Support Plate Side'!J205,'House reinf, Central Frame Side'!J205)</f>
        <v>#REF!</v>
      </c>
      <c r="K85" s="504" t="e">
        <f ca="1">IF(Small_F,'House reinf, Support Plate Side'!K205,'House reinf, Central Frame Side'!K205)</f>
        <v>#REF!</v>
      </c>
      <c r="L85" s="504" t="e">
        <f ca="1">IF(Small_F,'House reinf, Support Plate Side'!L205,'House reinf, Central Frame Side'!L205)</f>
        <v>#REF!</v>
      </c>
      <c r="M85" s="504" t="e">
        <f ca="1">IF(Small_F,'House reinf, Support Plate Side'!M205,'House reinf, Central Frame Side'!M205)</f>
        <v>#REF!</v>
      </c>
      <c r="N85" s="504" t="e">
        <f ca="1">IF(Small_F,'House reinf, Support Plate Side'!N205,'House reinf, Central Frame Side'!N205)</f>
        <v>#REF!</v>
      </c>
      <c r="O85" s="504" t="e">
        <f ca="1">IF(Small_F,'House reinf, Support Plate Side'!O205,'House reinf, Central Frame Side'!O205)</f>
        <v>#REF!</v>
      </c>
      <c r="P85" s="504" t="e">
        <f ca="1">IF(Small_F,'House reinf, Support Plate Side'!P205,'House reinf, Central Frame Side'!P205)</f>
        <v>#REF!</v>
      </c>
      <c r="Q85" s="504" t="e">
        <f ca="1">IF(Small_F,'House reinf, Support Plate Side'!Q205,'House reinf, Central Frame Side'!Q205)</f>
        <v>#REF!</v>
      </c>
      <c r="R85" s="504" t="e">
        <f ca="1">IF(Small_F,'House reinf, Support Plate Side'!R205,'House reinf, Central Frame Side'!R205)</f>
        <v>#REF!</v>
      </c>
      <c r="S85" s="504" t="e">
        <f ca="1">IF(Small_F,'House reinf, Support Plate Side'!S205,'House reinf, Central Frame Side'!S205)</f>
        <v>#REF!</v>
      </c>
      <c r="T85" s="504" t="e">
        <f ca="1">IF(Small_F,'House reinf, Support Plate Side'!T205,'House reinf, Central Frame Side'!T205)</f>
        <v>#REF!</v>
      </c>
      <c r="U85" s="504" t="e">
        <f ca="1">IF(Small_F,'House reinf, Support Plate Side'!U205,'House reinf, Central Frame Side'!U205)</f>
        <v>#REF!</v>
      </c>
      <c r="V85" s="504" t="e">
        <f ca="1">IF(Small_F,'House reinf, Support Plate Side'!V205,'House reinf, Central Frame Side'!V205)</f>
        <v>#REF!</v>
      </c>
      <c r="W85" s="504" t="e">
        <f ca="1">IF(Small_F,'House reinf, Support Plate Side'!W205,'House reinf, Central Frame Side'!W205)</f>
        <v>#REF!</v>
      </c>
      <c r="X85" s="504" t="e">
        <f ca="1">IF(Small_F,'House reinf, Support Plate Side'!X205,'House reinf, Central Frame Side'!X205)</f>
        <v>#REF!</v>
      </c>
      <c r="Y85" s="504" t="e">
        <f ca="1">IF(Small_F,'House reinf, Support Plate Side'!Y205,'House reinf, Central Frame Side'!Y205)</f>
        <v>#REF!</v>
      </c>
      <c r="Z85" s="504" t="e">
        <f ca="1">IF(Small_F,'House reinf, Support Plate Side'!Z205,'House reinf, Central Frame Side'!Z205)</f>
        <v>#REF!</v>
      </c>
      <c r="AA85" s="504" t="e">
        <f ca="1">IF(Small_F,'House reinf, Support Plate Side'!AA205,'House reinf, Central Frame Side'!AA205)</f>
        <v>#REF!</v>
      </c>
      <c r="AB85" s="511" t="e">
        <f ca="1">IF(Small_F,'House reinf, Support Plate Side'!AB205,'House reinf, Central Frame Side'!AB205)</f>
        <v>#REF!</v>
      </c>
      <c r="AC85" s="2110" t="e">
        <f ca="1">IF(Small_F,'House reinf, Support Plate Side'!AC205,'House reinf, Central Frame Side'!AC205)</f>
        <v>#REF!</v>
      </c>
      <c r="AD85" s="504" t="e">
        <f ca="1">IF(Small_F,'House reinf, Support Plate Side'!AD205,'House reinf, Central Frame Side'!AD205)</f>
        <v>#REF!</v>
      </c>
      <c r="AE85" s="504" t="e">
        <f ca="1">IF(Small_F,'House reinf, Support Plate Side'!AE205,'House reinf, Central Frame Side'!AE205)</f>
        <v>#REF!</v>
      </c>
      <c r="AF85" s="530" t="e">
        <f ca="1">IF(Small_F,'House reinf, Support Plate Side'!AF205,'House reinf, Central Frame Side'!AF205)</f>
        <v>#REF!</v>
      </c>
      <c r="AG85" s="2101" t="e">
        <f ca="1">IF(Small_F,'House reinf, Support Plate Side'!AG205,'House reinf, Central Frame Side'!AG205)</f>
        <v>#REF!</v>
      </c>
      <c r="AH85" s="504" t="e">
        <f ca="1">IF(Small_F,'House reinf, Support Plate Side'!AH205,'House reinf, Central Frame Side'!AH205)</f>
        <v>#REF!</v>
      </c>
      <c r="AI85" s="504" t="e">
        <f ca="1">IF(Small_F,'House reinf, Support Plate Side'!AI205,'House reinf, Central Frame Side'!AI205)</f>
        <v>#REF!</v>
      </c>
      <c r="AJ85" s="530" t="e">
        <f ca="1">IF(Small_F,'House reinf, Support Plate Side'!AJ205,'House reinf, Central Frame Side'!AJ205)</f>
        <v>#REF!</v>
      </c>
    </row>
    <row r="86" spans="1:38" ht="15.75" thickBot="1">
      <c r="A86" s="1275" t="e">
        <f ca="1">IF(Small_F,'House reinf, Support Plate Side'!A206,'House reinf, Central Frame Side'!A206)</f>
        <v>#REF!</v>
      </c>
      <c r="B86" s="534" t="e">
        <f ca="1">IF(Small_F,'House reinf, Support Plate Side'!B206,'House reinf, Central Frame Side'!B206)</f>
        <v>#REF!</v>
      </c>
      <c r="C86" s="535" t="e">
        <f ca="1">IF(Small_F,'House reinf, Support Plate Side'!C206,'House reinf, Central Frame Side'!C206)</f>
        <v>#REF!</v>
      </c>
      <c r="D86" s="535" t="e">
        <f ca="1">IF(Small_F,'House reinf, Support Plate Side'!D206,'House reinf, Central Frame Side'!D206)</f>
        <v>#REF!</v>
      </c>
      <c r="E86" s="535" t="e">
        <f ca="1">IF(Small_F,'House reinf, Support Plate Side'!E206,'House reinf, Central Frame Side'!E206)</f>
        <v>#REF!</v>
      </c>
      <c r="F86" s="535" t="e">
        <f ca="1">IF(Small_F,'House reinf, Support Plate Side'!F206,'House reinf, Central Frame Side'!F206)</f>
        <v>#REF!</v>
      </c>
      <c r="G86" s="535" t="e">
        <f ca="1">IF(Small_F,'House reinf, Support Plate Side'!G206,'House reinf, Central Frame Side'!G206)</f>
        <v>#REF!</v>
      </c>
      <c r="H86" s="535" t="e">
        <f ca="1">IF(Small_F,'House reinf, Support Plate Side'!H206,'House reinf, Central Frame Side'!H206)</f>
        <v>#REF!</v>
      </c>
      <c r="I86" s="535" t="e">
        <f ca="1">IF(Small_F,'House reinf, Support Plate Side'!I206,'House reinf, Central Frame Side'!I206)</f>
        <v>#REF!</v>
      </c>
      <c r="J86" s="535" t="e">
        <f ca="1">IF(Small_F,'House reinf, Support Plate Side'!J206,'House reinf, Central Frame Side'!J206)</f>
        <v>#REF!</v>
      </c>
      <c r="K86" s="535" t="e">
        <f ca="1">IF(Small_F,'House reinf, Support Plate Side'!K206,'House reinf, Central Frame Side'!K206)</f>
        <v>#REF!</v>
      </c>
      <c r="L86" s="535" t="e">
        <f ca="1">IF(Small_F,'House reinf, Support Plate Side'!L206,'House reinf, Central Frame Side'!L206)</f>
        <v>#REF!</v>
      </c>
      <c r="M86" s="535" t="e">
        <f ca="1">IF(Small_F,'House reinf, Support Plate Side'!M206,'House reinf, Central Frame Side'!M206)</f>
        <v>#REF!</v>
      </c>
      <c r="N86" s="535" t="e">
        <f ca="1">IF(Small_F,'House reinf, Support Plate Side'!N206,'House reinf, Central Frame Side'!N206)</f>
        <v>#REF!</v>
      </c>
      <c r="O86" s="535" t="e">
        <f ca="1">IF(Small_F,'House reinf, Support Plate Side'!O206,'House reinf, Central Frame Side'!O206)</f>
        <v>#REF!</v>
      </c>
      <c r="P86" s="535" t="e">
        <f ca="1">IF(Small_F,'House reinf, Support Plate Side'!P206,'House reinf, Central Frame Side'!P206)</f>
        <v>#REF!</v>
      </c>
      <c r="Q86" s="535" t="e">
        <f ca="1">IF(Small_F,'House reinf, Support Plate Side'!Q206,'House reinf, Central Frame Side'!Q206)</f>
        <v>#REF!</v>
      </c>
      <c r="R86" s="535" t="e">
        <f ca="1">IF(Small_F,'House reinf, Support Plate Side'!R206,'House reinf, Central Frame Side'!R206)</f>
        <v>#REF!</v>
      </c>
      <c r="S86" s="535" t="e">
        <f ca="1">IF(Small_F,'House reinf, Support Plate Side'!S206,'House reinf, Central Frame Side'!S206)</f>
        <v>#REF!</v>
      </c>
      <c r="T86" s="535" t="e">
        <f ca="1">IF(Small_F,'House reinf, Support Plate Side'!T206,'House reinf, Central Frame Side'!T206)</f>
        <v>#REF!</v>
      </c>
      <c r="U86" s="535" t="e">
        <f ca="1">IF(Small_F,'House reinf, Support Plate Side'!U206,'House reinf, Central Frame Side'!U206)</f>
        <v>#REF!</v>
      </c>
      <c r="V86" s="535" t="e">
        <f ca="1">IF(Small_F,'House reinf, Support Plate Side'!V206,'House reinf, Central Frame Side'!V206)</f>
        <v>#REF!</v>
      </c>
      <c r="W86" s="535" t="e">
        <f ca="1">IF(Small_F,'House reinf, Support Plate Side'!W206,'House reinf, Central Frame Side'!W206)</f>
        <v>#REF!</v>
      </c>
      <c r="X86" s="535" t="e">
        <f ca="1">IF(Small_F,'House reinf, Support Plate Side'!X206,'House reinf, Central Frame Side'!X206)</f>
        <v>#REF!</v>
      </c>
      <c r="Y86" s="535" t="e">
        <f ca="1">IF(Small_F,'House reinf, Support Plate Side'!Y206,'House reinf, Central Frame Side'!Y206)</f>
        <v>#REF!</v>
      </c>
      <c r="Z86" s="535" t="e">
        <f ca="1">IF(Small_F,'House reinf, Support Plate Side'!Z206,'House reinf, Central Frame Side'!Z206)</f>
        <v>#REF!</v>
      </c>
      <c r="AA86" s="535" t="e">
        <f ca="1">IF(Small_F,'House reinf, Support Plate Side'!AA206,'House reinf, Central Frame Side'!AA206)</f>
        <v>#REF!</v>
      </c>
      <c r="AB86" s="546" t="e">
        <f ca="1">IF(Small_F,'House reinf, Support Plate Side'!AB206,'House reinf, Central Frame Side'!AB206)</f>
        <v>#REF!</v>
      </c>
      <c r="AC86" s="2111" t="e">
        <f ca="1">IF(Small_F,'House reinf, Support Plate Side'!AC206,'House reinf, Central Frame Side'!AC206)</f>
        <v>#REF!</v>
      </c>
      <c r="AD86" s="535" t="e">
        <f ca="1">IF(Small_F,'House reinf, Support Plate Side'!AD206,'House reinf, Central Frame Side'!AD206)</f>
        <v>#REF!</v>
      </c>
      <c r="AE86" s="535" t="e">
        <f ca="1">IF(Small_F,'House reinf, Support Plate Side'!AE206,'House reinf, Central Frame Side'!AE206)</f>
        <v>#REF!</v>
      </c>
      <c r="AF86" s="536" t="e">
        <f ca="1">IF(Small_F,'House reinf, Support Plate Side'!AF206,'House reinf, Central Frame Side'!AF206)</f>
        <v>#REF!</v>
      </c>
      <c r="AG86" s="548" t="e">
        <f ca="1">IF(Small_F,'House reinf, Support Plate Side'!AG206,'House reinf, Central Frame Side'!AG206)</f>
        <v>#REF!</v>
      </c>
      <c r="AH86" s="535" t="e">
        <f ca="1">IF(Small_F,'House reinf, Support Plate Side'!AH206,'House reinf, Central Frame Side'!AH206)</f>
        <v>#REF!</v>
      </c>
      <c r="AI86" s="535" t="e">
        <f ca="1">IF(Small_F,'House reinf, Support Plate Side'!AI206,'House reinf, Central Frame Side'!AI206)</f>
        <v>#REF!</v>
      </c>
      <c r="AJ86" s="536" t="e">
        <f ca="1">IF(Small_F,'House reinf, Support Plate Side'!AJ206,'House reinf, Central Frame Side'!AJ206)</f>
        <v>#REF!</v>
      </c>
    </row>
    <row r="87" spans="1:38">
      <c r="A87" s="1275"/>
      <c r="B87" s="510"/>
      <c r="C87" s="510"/>
      <c r="D87" s="510"/>
      <c r="E87" s="510"/>
      <c r="F87" s="510"/>
      <c r="G87" s="510"/>
      <c r="H87" s="510"/>
      <c r="I87" s="510"/>
      <c r="J87" s="510"/>
      <c r="K87" s="510"/>
      <c r="L87" s="510"/>
      <c r="M87" s="510"/>
      <c r="N87" s="510"/>
      <c r="O87" s="510"/>
      <c r="P87" s="510"/>
      <c r="Q87" s="510"/>
      <c r="R87" s="510"/>
      <c r="S87" s="510"/>
      <c r="T87" s="510"/>
      <c r="U87" s="510"/>
      <c r="V87" s="510"/>
      <c r="W87" s="510"/>
      <c r="X87" s="510"/>
      <c r="Y87" s="510"/>
      <c r="Z87" s="510"/>
      <c r="AA87" s="510"/>
      <c r="AB87" s="510"/>
      <c r="AC87" s="518"/>
      <c r="AD87" s="518"/>
      <c r="AE87" s="518"/>
      <c r="AF87" s="518"/>
      <c r="AG87" s="518"/>
      <c r="AH87" s="518"/>
      <c r="AI87" s="518"/>
      <c r="AJ87" s="2344"/>
    </row>
    <row r="88" spans="1:38" ht="15.75" thickBot="1">
      <c r="A88" s="1275"/>
      <c r="B88" s="518"/>
      <c r="C88" s="518"/>
      <c r="D88" s="518"/>
      <c r="E88" s="518"/>
      <c r="F88" s="518"/>
      <c r="G88" s="518"/>
      <c r="H88" s="518"/>
      <c r="I88" s="518"/>
      <c r="J88" s="518"/>
      <c r="K88" s="518"/>
      <c r="L88" s="518"/>
      <c r="M88" s="518"/>
      <c r="N88" s="518"/>
      <c r="O88" s="518"/>
      <c r="P88" s="518"/>
      <c r="Q88" s="518"/>
      <c r="R88" s="518"/>
      <c r="S88" s="518"/>
      <c r="T88" s="518"/>
      <c r="U88" s="518"/>
      <c r="V88" s="518"/>
      <c r="W88" s="518"/>
      <c r="X88" s="518"/>
      <c r="Y88" s="518"/>
      <c r="Z88" s="518"/>
      <c r="AA88" s="518"/>
      <c r="AB88" s="518"/>
      <c r="AC88" s="518"/>
      <c r="AD88" s="518"/>
      <c r="AE88" s="518"/>
      <c r="AF88" s="518"/>
      <c r="AG88" s="518"/>
      <c r="AH88" s="518"/>
      <c r="AI88" s="518"/>
      <c r="AJ88" s="527"/>
      <c r="AK88" s="518"/>
      <c r="AL88" s="518"/>
    </row>
    <row r="89" spans="1:38" ht="15.75" thickBot="1">
      <c r="A89" s="2423"/>
      <c r="B89" s="3799" t="str">
        <f>"Support Plate "&amp;$E$6&amp;", "&amp;$G$6&amp;", "&amp;Center_H</f>
        <v>Support Plate RD, 135, 1269</v>
      </c>
      <c r="C89" s="3800"/>
      <c r="D89" s="3800"/>
      <c r="E89" s="3800"/>
      <c r="F89" s="3800"/>
      <c r="G89" s="3800"/>
      <c r="H89" s="3800"/>
      <c r="I89" s="3800"/>
      <c r="J89" s="3800"/>
      <c r="K89" s="3800"/>
      <c r="L89" s="3800"/>
      <c r="M89" s="3800"/>
      <c r="N89" s="3800"/>
      <c r="O89" s="3800"/>
      <c r="P89" s="3800"/>
      <c r="Q89" s="3800"/>
      <c r="R89" s="3800"/>
      <c r="S89" s="3800"/>
      <c r="T89" s="3800"/>
      <c r="U89" s="3800"/>
      <c r="V89" s="3800"/>
      <c r="W89" s="3800"/>
      <c r="X89" s="3800"/>
      <c r="Y89" s="3800"/>
      <c r="Z89" s="3800"/>
      <c r="AA89" s="3800"/>
      <c r="AB89" s="3800"/>
      <c r="AC89" s="3800"/>
      <c r="AD89" s="3800"/>
      <c r="AE89" s="3800"/>
      <c r="AF89" s="3800"/>
      <c r="AG89" s="3800"/>
      <c r="AH89" s="3800"/>
      <c r="AI89" s="3800"/>
      <c r="AJ89" s="3837"/>
    </row>
    <row r="90" spans="1:38">
      <c r="A90" s="2023"/>
      <c r="B90" s="2424"/>
      <c r="C90" s="518"/>
      <c r="D90" s="3944" t="s">
        <v>4030</v>
      </c>
      <c r="E90" s="3945"/>
      <c r="F90" s="513" t="e">
        <f ca="1">I90*$U$7/1000*steel_density</f>
        <v>#REF!</v>
      </c>
      <c r="G90" s="508" t="s">
        <v>131</v>
      </c>
      <c r="H90" s="528" t="s">
        <v>4032</v>
      </c>
      <c r="I90" s="544" t="e">
        <f ca="1">IF(Small_F,PI()/4*((SP_oD/1000)^2-(SP_iD/1000)^2),0)</f>
        <v>#REF!</v>
      </c>
      <c r="J90" s="518" t="s">
        <v>2511</v>
      </c>
      <c r="K90" s="518"/>
      <c r="L90" s="518"/>
      <c r="M90" s="518"/>
      <c r="N90" s="518"/>
      <c r="O90" s="518"/>
      <c r="P90" s="518"/>
      <c r="Q90" s="518"/>
      <c r="R90" s="518"/>
      <c r="S90" s="518"/>
      <c r="T90" s="518"/>
      <c r="U90" s="518"/>
      <c r="V90" s="518"/>
      <c r="W90" s="518"/>
      <c r="X90" s="518"/>
      <c r="Y90" s="518"/>
      <c r="Z90" s="518"/>
      <c r="AA90" s="518"/>
      <c r="AB90" s="518"/>
      <c r="AC90" s="518"/>
      <c r="AD90" s="518"/>
      <c r="AE90" s="518"/>
      <c r="AF90" s="518"/>
      <c r="AG90" s="518"/>
      <c r="AH90" s="518"/>
      <c r="AI90" s="518"/>
      <c r="AJ90" s="527"/>
    </row>
    <row r="91" spans="1:38">
      <c r="A91" s="2345" t="s">
        <v>1104</v>
      </c>
      <c r="B91" s="2426">
        <f>House!B$60</f>
        <v>0</v>
      </c>
      <c r="C91" s="1133">
        <f>House!C$60</f>
        <v>0.18479956785822313</v>
      </c>
      <c r="D91" s="1133">
        <f>House!D$60</f>
        <v>0.36959913571644626</v>
      </c>
      <c r="E91" s="1133">
        <f>House!E$60</f>
        <v>0.55439870357466936</v>
      </c>
      <c r="F91" s="1133">
        <f>House!F$60</f>
        <v>0.73919827143289252</v>
      </c>
      <c r="G91" s="1133">
        <f>House!G$60</f>
        <v>0.92399783929111567</v>
      </c>
      <c r="H91" s="1133">
        <f>House!H$60</f>
        <v>1.1087974071493387</v>
      </c>
      <c r="I91" s="1133">
        <f>House!I$60</f>
        <v>1.2935969750075618</v>
      </c>
      <c r="J91" s="1133">
        <f>House!J$60</f>
        <v>1.4783965428657848</v>
      </c>
      <c r="K91" s="1133">
        <f>House!K$60</f>
        <v>1.6631961107240079</v>
      </c>
      <c r="L91" s="1133">
        <f>House!L$60</f>
        <v>1.8479956785822309</v>
      </c>
      <c r="M91" s="1133">
        <f>House!M$60</f>
        <v>2.032795246440454</v>
      </c>
      <c r="N91" s="1133">
        <f>House!N$60</f>
        <v>2.217594814298677</v>
      </c>
      <c r="O91" s="1133">
        <f>House!O$60</f>
        <v>2.4023943821569</v>
      </c>
      <c r="P91" s="1133">
        <f>House!P$60</f>
        <v>2.5871939500151231</v>
      </c>
      <c r="Q91" s="1133">
        <f>House!Q$60</f>
        <v>2.7719935178733461</v>
      </c>
      <c r="R91" s="1133">
        <f>House!R$60</f>
        <v>2.9567930857315692</v>
      </c>
      <c r="S91" s="1133">
        <f>House!S$60</f>
        <v>3.1415926535897922</v>
      </c>
      <c r="T91" s="1133">
        <f>House!T$60</f>
        <v>3.3263922214480153</v>
      </c>
      <c r="U91" s="1133">
        <f>House!U$60</f>
        <v>3.5111917893062383</v>
      </c>
      <c r="V91" s="1133">
        <f>House!V$60</f>
        <v>3.6959913571644614</v>
      </c>
      <c r="W91" s="1133">
        <f>House!W$60</f>
        <v>3.8807909250226844</v>
      </c>
      <c r="X91" s="1133">
        <f>House!X$60</f>
        <v>4.0655904928809079</v>
      </c>
      <c r="Y91" s="1133">
        <f>House!Y$60</f>
        <v>4.2503900607391314</v>
      </c>
      <c r="Z91" s="1133">
        <f>House!Z$60</f>
        <v>4.4351896285973549</v>
      </c>
      <c r="AA91" s="1133">
        <f>House!AA$60</f>
        <v>4.6199891964555784</v>
      </c>
      <c r="AB91" s="1368">
        <f>House!AB$60</f>
        <v>4.8047887643138019</v>
      </c>
      <c r="AC91" s="1133">
        <f>House!AC$60</f>
        <v>4.9895883321720254</v>
      </c>
      <c r="AD91" s="1133">
        <f>House!AD$60</f>
        <v>5.1743879000302488</v>
      </c>
      <c r="AE91" s="1133">
        <f>House!AE$60</f>
        <v>5.3591874678884723</v>
      </c>
      <c r="AF91" s="1133">
        <f>House!AF$60</f>
        <v>5.5439870357466958</v>
      </c>
      <c r="AG91" s="1133">
        <f>House!AG$60</f>
        <v>5.7287866036049193</v>
      </c>
      <c r="AH91" s="1133">
        <f>House!AH$60</f>
        <v>5.9135861714631428</v>
      </c>
      <c r="AI91" s="1133">
        <f>House!AI$60</f>
        <v>6.0983857393213663</v>
      </c>
      <c r="AJ91" s="1157">
        <f>House!AJ$60</f>
        <v>6.2831853071795898</v>
      </c>
    </row>
    <row r="92" spans="1:38">
      <c r="A92" s="1275" t="e">
        <f ca="1">IF(Small_F,"SPoD","")</f>
        <v>#REF!</v>
      </c>
      <c r="B92" s="529" t="e">
        <f t="shared" ref="B92:AJ92" ca="1" si="0">IF(Small_F,mirror*SP_oD/2*COS(B91),0)</f>
        <v>#REF!</v>
      </c>
      <c r="C92" s="504" t="e">
        <f t="shared" ca="1" si="0"/>
        <v>#REF!</v>
      </c>
      <c r="D92" s="504" t="e">
        <f t="shared" ca="1" si="0"/>
        <v>#REF!</v>
      </c>
      <c r="E92" s="504" t="e">
        <f t="shared" ca="1" si="0"/>
        <v>#REF!</v>
      </c>
      <c r="F92" s="504" t="e">
        <f t="shared" ca="1" si="0"/>
        <v>#REF!</v>
      </c>
      <c r="G92" s="504" t="e">
        <f t="shared" ca="1" si="0"/>
        <v>#REF!</v>
      </c>
      <c r="H92" s="504" t="e">
        <f t="shared" ca="1" si="0"/>
        <v>#REF!</v>
      </c>
      <c r="I92" s="504" t="e">
        <f t="shared" ca="1" si="0"/>
        <v>#REF!</v>
      </c>
      <c r="J92" s="504" t="e">
        <f t="shared" ca="1" si="0"/>
        <v>#REF!</v>
      </c>
      <c r="K92" s="504" t="e">
        <f t="shared" ca="1" si="0"/>
        <v>#REF!</v>
      </c>
      <c r="L92" s="504" t="e">
        <f t="shared" ca="1" si="0"/>
        <v>#REF!</v>
      </c>
      <c r="M92" s="504" t="e">
        <f t="shared" ca="1" si="0"/>
        <v>#REF!</v>
      </c>
      <c r="N92" s="504" t="e">
        <f t="shared" ca="1" si="0"/>
        <v>#REF!</v>
      </c>
      <c r="O92" s="504" t="e">
        <f t="shared" ca="1" si="0"/>
        <v>#REF!</v>
      </c>
      <c r="P92" s="504" t="e">
        <f t="shared" ca="1" si="0"/>
        <v>#REF!</v>
      </c>
      <c r="Q92" s="504" t="e">
        <f t="shared" ca="1" si="0"/>
        <v>#REF!</v>
      </c>
      <c r="R92" s="504" t="e">
        <f t="shared" ca="1" si="0"/>
        <v>#REF!</v>
      </c>
      <c r="S92" s="504" t="e">
        <f t="shared" ca="1" si="0"/>
        <v>#REF!</v>
      </c>
      <c r="T92" s="504" t="e">
        <f t="shared" ca="1" si="0"/>
        <v>#REF!</v>
      </c>
      <c r="U92" s="504" t="e">
        <f t="shared" ca="1" si="0"/>
        <v>#REF!</v>
      </c>
      <c r="V92" s="504" t="e">
        <f t="shared" ca="1" si="0"/>
        <v>#REF!</v>
      </c>
      <c r="W92" s="504" t="e">
        <f t="shared" ca="1" si="0"/>
        <v>#REF!</v>
      </c>
      <c r="X92" s="504" t="e">
        <f t="shared" ca="1" si="0"/>
        <v>#REF!</v>
      </c>
      <c r="Y92" s="504" t="e">
        <f t="shared" ca="1" si="0"/>
        <v>#REF!</v>
      </c>
      <c r="Z92" s="504" t="e">
        <f t="shared" ca="1" si="0"/>
        <v>#REF!</v>
      </c>
      <c r="AA92" s="504" t="e">
        <f t="shared" ca="1" si="0"/>
        <v>#REF!</v>
      </c>
      <c r="AB92" s="511" t="e">
        <f t="shared" ca="1" si="0"/>
        <v>#REF!</v>
      </c>
      <c r="AC92" s="504" t="e">
        <f t="shared" ca="1" si="0"/>
        <v>#REF!</v>
      </c>
      <c r="AD92" s="504" t="e">
        <f t="shared" ca="1" si="0"/>
        <v>#REF!</v>
      </c>
      <c r="AE92" s="504" t="e">
        <f t="shared" ca="1" si="0"/>
        <v>#REF!</v>
      </c>
      <c r="AF92" s="504" t="e">
        <f t="shared" ca="1" si="0"/>
        <v>#REF!</v>
      </c>
      <c r="AG92" s="504" t="e">
        <f t="shared" ca="1" si="0"/>
        <v>#REF!</v>
      </c>
      <c r="AH92" s="504" t="e">
        <f t="shared" ca="1" si="0"/>
        <v>#REF!</v>
      </c>
      <c r="AI92" s="504" t="e">
        <f t="shared" ca="1" si="0"/>
        <v>#REF!</v>
      </c>
      <c r="AJ92" s="530" t="e">
        <f t="shared" ca="1" si="0"/>
        <v>#REF!</v>
      </c>
    </row>
    <row r="93" spans="1:38">
      <c r="A93" s="1275" t="e">
        <f ca="1">IF(Small_F,"SPoDy","")</f>
        <v>#REF!</v>
      </c>
      <c r="B93" s="807" t="e">
        <f t="shared" ref="B93:AJ93" ca="1" si="1">IF(Small_F,SP_oD/2*SIN(B91)+Center_H,0)</f>
        <v>#REF!</v>
      </c>
      <c r="C93" s="780" t="e">
        <f t="shared" ca="1" si="1"/>
        <v>#REF!</v>
      </c>
      <c r="D93" s="780" t="e">
        <f t="shared" ca="1" si="1"/>
        <v>#REF!</v>
      </c>
      <c r="E93" s="780" t="e">
        <f t="shared" ca="1" si="1"/>
        <v>#REF!</v>
      </c>
      <c r="F93" s="780" t="e">
        <f t="shared" ca="1" si="1"/>
        <v>#REF!</v>
      </c>
      <c r="G93" s="780" t="e">
        <f t="shared" ca="1" si="1"/>
        <v>#REF!</v>
      </c>
      <c r="H93" s="780" t="e">
        <f t="shared" ca="1" si="1"/>
        <v>#REF!</v>
      </c>
      <c r="I93" s="780" t="e">
        <f t="shared" ca="1" si="1"/>
        <v>#REF!</v>
      </c>
      <c r="J93" s="780" t="e">
        <f t="shared" ca="1" si="1"/>
        <v>#REF!</v>
      </c>
      <c r="K93" s="780" t="e">
        <f t="shared" ca="1" si="1"/>
        <v>#REF!</v>
      </c>
      <c r="L93" s="780" t="e">
        <f t="shared" ca="1" si="1"/>
        <v>#REF!</v>
      </c>
      <c r="M93" s="780" t="e">
        <f t="shared" ca="1" si="1"/>
        <v>#REF!</v>
      </c>
      <c r="N93" s="780" t="e">
        <f t="shared" ca="1" si="1"/>
        <v>#REF!</v>
      </c>
      <c r="O93" s="780" t="e">
        <f t="shared" ca="1" si="1"/>
        <v>#REF!</v>
      </c>
      <c r="P93" s="780" t="e">
        <f t="shared" ca="1" si="1"/>
        <v>#REF!</v>
      </c>
      <c r="Q93" s="780" t="e">
        <f t="shared" ca="1" si="1"/>
        <v>#REF!</v>
      </c>
      <c r="R93" s="780" t="e">
        <f t="shared" ca="1" si="1"/>
        <v>#REF!</v>
      </c>
      <c r="S93" s="780" t="e">
        <f t="shared" ca="1" si="1"/>
        <v>#REF!</v>
      </c>
      <c r="T93" s="780" t="e">
        <f t="shared" ca="1" si="1"/>
        <v>#REF!</v>
      </c>
      <c r="U93" s="780" t="e">
        <f t="shared" ca="1" si="1"/>
        <v>#REF!</v>
      </c>
      <c r="V93" s="780" t="e">
        <f t="shared" ca="1" si="1"/>
        <v>#REF!</v>
      </c>
      <c r="W93" s="780" t="e">
        <f t="shared" ca="1" si="1"/>
        <v>#REF!</v>
      </c>
      <c r="X93" s="780" t="e">
        <f t="shared" ca="1" si="1"/>
        <v>#REF!</v>
      </c>
      <c r="Y93" s="780" t="e">
        <f t="shared" ca="1" si="1"/>
        <v>#REF!</v>
      </c>
      <c r="Z93" s="780" t="e">
        <f t="shared" ca="1" si="1"/>
        <v>#REF!</v>
      </c>
      <c r="AA93" s="780" t="e">
        <f t="shared" ca="1" si="1"/>
        <v>#REF!</v>
      </c>
      <c r="AB93" s="1369" t="e">
        <f t="shared" ca="1" si="1"/>
        <v>#REF!</v>
      </c>
      <c r="AC93" s="780" t="e">
        <f t="shared" ca="1" si="1"/>
        <v>#REF!</v>
      </c>
      <c r="AD93" s="780" t="e">
        <f t="shared" ca="1" si="1"/>
        <v>#REF!</v>
      </c>
      <c r="AE93" s="780" t="e">
        <f t="shared" ca="1" si="1"/>
        <v>#REF!</v>
      </c>
      <c r="AF93" s="780" t="e">
        <f t="shared" ca="1" si="1"/>
        <v>#REF!</v>
      </c>
      <c r="AG93" s="780" t="e">
        <f t="shared" ca="1" si="1"/>
        <v>#REF!</v>
      </c>
      <c r="AH93" s="780" t="e">
        <f t="shared" ca="1" si="1"/>
        <v>#REF!</v>
      </c>
      <c r="AI93" s="780" t="e">
        <f t="shared" ca="1" si="1"/>
        <v>#REF!</v>
      </c>
      <c r="AJ93" s="781" t="e">
        <f t="shared" ca="1" si="1"/>
        <v>#REF!</v>
      </c>
    </row>
    <row r="94" spans="1:38">
      <c r="A94" s="1275" t="e">
        <f ca="1">IF(Small_F,"SPiD","")</f>
        <v>#REF!</v>
      </c>
      <c r="B94" s="529" t="e">
        <f t="shared" ref="B94:AJ94" ca="1" si="2">IF(Small_F,mirror*SP_iD/2*COS(B91),0)</f>
        <v>#REF!</v>
      </c>
      <c r="C94" s="504" t="e">
        <f t="shared" ca="1" si="2"/>
        <v>#REF!</v>
      </c>
      <c r="D94" s="504" t="e">
        <f t="shared" ca="1" si="2"/>
        <v>#REF!</v>
      </c>
      <c r="E94" s="504" t="e">
        <f t="shared" ca="1" si="2"/>
        <v>#REF!</v>
      </c>
      <c r="F94" s="504" t="e">
        <f t="shared" ca="1" si="2"/>
        <v>#REF!</v>
      </c>
      <c r="G94" s="504" t="e">
        <f t="shared" ca="1" si="2"/>
        <v>#REF!</v>
      </c>
      <c r="H94" s="504" t="e">
        <f t="shared" ca="1" si="2"/>
        <v>#REF!</v>
      </c>
      <c r="I94" s="504" t="e">
        <f t="shared" ca="1" si="2"/>
        <v>#REF!</v>
      </c>
      <c r="J94" s="504" t="e">
        <f t="shared" ca="1" si="2"/>
        <v>#REF!</v>
      </c>
      <c r="K94" s="504" t="e">
        <f t="shared" ca="1" si="2"/>
        <v>#REF!</v>
      </c>
      <c r="L94" s="504" t="e">
        <f t="shared" ca="1" si="2"/>
        <v>#REF!</v>
      </c>
      <c r="M94" s="504" t="e">
        <f t="shared" ca="1" si="2"/>
        <v>#REF!</v>
      </c>
      <c r="N94" s="504" t="e">
        <f t="shared" ca="1" si="2"/>
        <v>#REF!</v>
      </c>
      <c r="O94" s="504" t="e">
        <f t="shared" ca="1" si="2"/>
        <v>#REF!</v>
      </c>
      <c r="P94" s="504" t="e">
        <f t="shared" ca="1" si="2"/>
        <v>#REF!</v>
      </c>
      <c r="Q94" s="504" t="e">
        <f t="shared" ca="1" si="2"/>
        <v>#REF!</v>
      </c>
      <c r="R94" s="504" t="e">
        <f t="shared" ca="1" si="2"/>
        <v>#REF!</v>
      </c>
      <c r="S94" s="504" t="e">
        <f t="shared" ca="1" si="2"/>
        <v>#REF!</v>
      </c>
      <c r="T94" s="504" t="e">
        <f t="shared" ca="1" si="2"/>
        <v>#REF!</v>
      </c>
      <c r="U94" s="504" t="e">
        <f t="shared" ca="1" si="2"/>
        <v>#REF!</v>
      </c>
      <c r="V94" s="504" t="e">
        <f t="shared" ca="1" si="2"/>
        <v>#REF!</v>
      </c>
      <c r="W94" s="504" t="e">
        <f t="shared" ca="1" si="2"/>
        <v>#REF!</v>
      </c>
      <c r="X94" s="504" t="e">
        <f t="shared" ca="1" si="2"/>
        <v>#REF!</v>
      </c>
      <c r="Y94" s="504" t="e">
        <f t="shared" ca="1" si="2"/>
        <v>#REF!</v>
      </c>
      <c r="Z94" s="504" t="e">
        <f t="shared" ca="1" si="2"/>
        <v>#REF!</v>
      </c>
      <c r="AA94" s="504" t="e">
        <f t="shared" ca="1" si="2"/>
        <v>#REF!</v>
      </c>
      <c r="AB94" s="511" t="e">
        <f t="shared" ca="1" si="2"/>
        <v>#REF!</v>
      </c>
      <c r="AC94" s="504" t="e">
        <f t="shared" ca="1" si="2"/>
        <v>#REF!</v>
      </c>
      <c r="AD94" s="504" t="e">
        <f t="shared" ca="1" si="2"/>
        <v>#REF!</v>
      </c>
      <c r="AE94" s="504" t="e">
        <f t="shared" ca="1" si="2"/>
        <v>#REF!</v>
      </c>
      <c r="AF94" s="504" t="e">
        <f t="shared" ca="1" si="2"/>
        <v>#REF!</v>
      </c>
      <c r="AG94" s="504" t="e">
        <f t="shared" ca="1" si="2"/>
        <v>#REF!</v>
      </c>
      <c r="AH94" s="504" t="e">
        <f t="shared" ca="1" si="2"/>
        <v>#REF!</v>
      </c>
      <c r="AI94" s="504" t="e">
        <f t="shared" ca="1" si="2"/>
        <v>#REF!</v>
      </c>
      <c r="AJ94" s="530" t="e">
        <f t="shared" ca="1" si="2"/>
        <v>#REF!</v>
      </c>
    </row>
    <row r="95" spans="1:38" ht="15.75" thickBot="1">
      <c r="A95" s="1275" t="e">
        <f ca="1">IF(Small_F,"SPiDy","")</f>
        <v>#REF!</v>
      </c>
      <c r="B95" s="2427" t="e">
        <f t="shared" ref="B95:AJ95" ca="1" si="3">IF(Small_F,SP_iD/2*SIN(B91)+Center_H,0)</f>
        <v>#REF!</v>
      </c>
      <c r="C95" s="2428" t="e">
        <f t="shared" ca="1" si="3"/>
        <v>#REF!</v>
      </c>
      <c r="D95" s="2428" t="e">
        <f t="shared" ca="1" si="3"/>
        <v>#REF!</v>
      </c>
      <c r="E95" s="2428" t="e">
        <f t="shared" ca="1" si="3"/>
        <v>#REF!</v>
      </c>
      <c r="F95" s="2428" t="e">
        <f t="shared" ca="1" si="3"/>
        <v>#REF!</v>
      </c>
      <c r="G95" s="2428" t="e">
        <f t="shared" ca="1" si="3"/>
        <v>#REF!</v>
      </c>
      <c r="H95" s="2428" t="e">
        <f t="shared" ca="1" si="3"/>
        <v>#REF!</v>
      </c>
      <c r="I95" s="2428" t="e">
        <f t="shared" ca="1" si="3"/>
        <v>#REF!</v>
      </c>
      <c r="J95" s="2428" t="e">
        <f t="shared" ca="1" si="3"/>
        <v>#REF!</v>
      </c>
      <c r="K95" s="2428" t="e">
        <f t="shared" ca="1" si="3"/>
        <v>#REF!</v>
      </c>
      <c r="L95" s="2428" t="e">
        <f t="shared" ca="1" si="3"/>
        <v>#REF!</v>
      </c>
      <c r="M95" s="2428" t="e">
        <f t="shared" ca="1" si="3"/>
        <v>#REF!</v>
      </c>
      <c r="N95" s="2428" t="e">
        <f t="shared" ca="1" si="3"/>
        <v>#REF!</v>
      </c>
      <c r="O95" s="2428" t="e">
        <f t="shared" ca="1" si="3"/>
        <v>#REF!</v>
      </c>
      <c r="P95" s="2428" t="e">
        <f t="shared" ca="1" si="3"/>
        <v>#REF!</v>
      </c>
      <c r="Q95" s="2428" t="e">
        <f t="shared" ca="1" si="3"/>
        <v>#REF!</v>
      </c>
      <c r="R95" s="2428" t="e">
        <f t="shared" ca="1" si="3"/>
        <v>#REF!</v>
      </c>
      <c r="S95" s="2428" t="e">
        <f t="shared" ca="1" si="3"/>
        <v>#REF!</v>
      </c>
      <c r="T95" s="2428" t="e">
        <f t="shared" ca="1" si="3"/>
        <v>#REF!</v>
      </c>
      <c r="U95" s="2428" t="e">
        <f t="shared" ca="1" si="3"/>
        <v>#REF!</v>
      </c>
      <c r="V95" s="2428" t="e">
        <f t="shared" ca="1" si="3"/>
        <v>#REF!</v>
      </c>
      <c r="W95" s="2428" t="e">
        <f t="shared" ca="1" si="3"/>
        <v>#REF!</v>
      </c>
      <c r="X95" s="2428" t="e">
        <f t="shared" ca="1" si="3"/>
        <v>#REF!</v>
      </c>
      <c r="Y95" s="2428" t="e">
        <f t="shared" ca="1" si="3"/>
        <v>#REF!</v>
      </c>
      <c r="Z95" s="2428" t="e">
        <f t="shared" ca="1" si="3"/>
        <v>#REF!</v>
      </c>
      <c r="AA95" s="2428" t="e">
        <f t="shared" ca="1" si="3"/>
        <v>#REF!</v>
      </c>
      <c r="AB95" s="2429" t="e">
        <f t="shared" ca="1" si="3"/>
        <v>#REF!</v>
      </c>
      <c r="AC95" s="2428" t="e">
        <f t="shared" ca="1" si="3"/>
        <v>#REF!</v>
      </c>
      <c r="AD95" s="2428" t="e">
        <f t="shared" ca="1" si="3"/>
        <v>#REF!</v>
      </c>
      <c r="AE95" s="2428" t="e">
        <f t="shared" ca="1" si="3"/>
        <v>#REF!</v>
      </c>
      <c r="AF95" s="2428" t="e">
        <f t="shared" ca="1" si="3"/>
        <v>#REF!</v>
      </c>
      <c r="AG95" s="2428" t="e">
        <f t="shared" ca="1" si="3"/>
        <v>#REF!</v>
      </c>
      <c r="AH95" s="2428" t="e">
        <f t="shared" ca="1" si="3"/>
        <v>#REF!</v>
      </c>
      <c r="AI95" s="2428" t="e">
        <f t="shared" ca="1" si="3"/>
        <v>#REF!</v>
      </c>
      <c r="AJ95" s="2430" t="e">
        <f t="shared" ca="1" si="3"/>
        <v>#REF!</v>
      </c>
    </row>
    <row r="96" spans="1:38" ht="15.75" thickBot="1">
      <c r="A96" s="2425"/>
      <c r="B96" s="547"/>
      <c r="C96" s="556"/>
      <c r="D96" s="556"/>
      <c r="E96" s="556"/>
      <c r="F96" s="556"/>
      <c r="G96" s="556"/>
      <c r="H96" s="556"/>
      <c r="I96" s="556"/>
      <c r="J96" s="556"/>
      <c r="K96" s="556"/>
      <c r="L96" s="556"/>
      <c r="M96" s="556"/>
      <c r="N96" s="556"/>
      <c r="O96" s="556"/>
      <c r="P96" s="556"/>
      <c r="Q96" s="556"/>
      <c r="R96" s="556"/>
      <c r="S96" s="556"/>
      <c r="T96" s="556"/>
      <c r="U96" s="556"/>
      <c r="V96" s="556"/>
      <c r="W96" s="556"/>
      <c r="X96" s="556"/>
      <c r="Y96" s="556"/>
      <c r="Z96" s="556"/>
      <c r="AA96" s="556"/>
      <c r="AB96" s="556"/>
      <c r="AC96" s="556"/>
      <c r="AD96" s="556"/>
      <c r="AE96" s="556"/>
      <c r="AF96" s="556"/>
      <c r="AG96" s="556"/>
      <c r="AH96" s="556"/>
      <c r="AI96" s="556"/>
      <c r="AJ96" s="561"/>
    </row>
    <row r="100" spans="2:5">
      <c r="E100" s="2074"/>
    </row>
    <row r="101" spans="2:5">
      <c r="B101" s="510"/>
    </row>
    <row r="102" spans="2:5">
      <c r="B102" s="510"/>
    </row>
  </sheetData>
  <mergeCells count="33">
    <mergeCell ref="C1:N1"/>
    <mergeCell ref="B2:L2"/>
    <mergeCell ref="M2:N2"/>
    <mergeCell ref="A4:AJ4"/>
    <mergeCell ref="D19:X19"/>
    <mergeCell ref="AD5:AJ5"/>
    <mergeCell ref="AD13:AJ13"/>
    <mergeCell ref="J5:AC5"/>
    <mergeCell ref="A5:G5"/>
    <mergeCell ref="D18:Z18"/>
    <mergeCell ref="D30:Z30"/>
    <mergeCell ref="D90:E90"/>
    <mergeCell ref="D31:X31"/>
    <mergeCell ref="B77:AJ77"/>
    <mergeCell ref="B89:AJ89"/>
    <mergeCell ref="AA70:AB70"/>
    <mergeCell ref="AC70:AD70"/>
    <mergeCell ref="AE70:AF70"/>
    <mergeCell ref="B71:C71"/>
    <mergeCell ref="D71:E71"/>
    <mergeCell ref="F71:G71"/>
    <mergeCell ref="H71:I71"/>
    <mergeCell ref="Y71:Z71"/>
    <mergeCell ref="AA71:AB71"/>
    <mergeCell ref="AC71:AD71"/>
    <mergeCell ref="AE71:AF71"/>
    <mergeCell ref="D70:E70"/>
    <mergeCell ref="F70:G70"/>
    <mergeCell ref="H70:I70"/>
    <mergeCell ref="Y70:Z70"/>
    <mergeCell ref="A37:A38"/>
    <mergeCell ref="B37:AJ38"/>
    <mergeCell ref="B70:C70"/>
  </mergeCells>
  <phoneticPr fontId="170" type="noConversion"/>
  <pageMargins left="0.7" right="0.7" top="0.75" bottom="0.75" header="0.3" footer="0.3"/>
  <pageSetup paperSize="9"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J96"/>
  <sheetViews>
    <sheetView zoomScale="60" zoomScaleNormal="60" workbookViewId="0">
      <pane xSplit="1" ySplit="16" topLeftCell="B56" activePane="bottomRight" state="frozen"/>
      <selection pane="topRight" activeCell="B1" sqref="B1"/>
      <selection pane="bottomLeft" activeCell="A17" sqref="A17"/>
      <selection pane="bottomRight" activeCell="B60" sqref="B60"/>
    </sheetView>
  </sheetViews>
  <sheetFormatPr defaultColWidth="9" defaultRowHeight="15"/>
  <cols>
    <col min="1" max="1" width="55.5703125" style="465" customWidth="1"/>
    <col min="2" max="16384" width="9" style="465"/>
  </cols>
  <sheetData>
    <row r="1" spans="1:36" s="243" customFormat="1" ht="19.5" thickBot="1">
      <c r="A1" s="115" t="str">
        <f>'Select Drive &amp; Motor'!A1</f>
        <v>ID</v>
      </c>
      <c r="B1" s="2148" t="str">
        <f>ID</f>
        <v>NBF191005</v>
      </c>
      <c r="C1" s="3614" t="str">
        <f>'Select Drive &amp; Motor'!C1:Q1</f>
        <v>, , XOE 273-90 REG, Direct, RD135</v>
      </c>
      <c r="D1" s="3614"/>
      <c r="E1" s="3614"/>
      <c r="F1" s="3614"/>
      <c r="G1" s="3614"/>
      <c r="H1" s="3614"/>
      <c r="I1" s="3614"/>
      <c r="J1" s="3614"/>
      <c r="K1" s="3614"/>
      <c r="L1" s="3614"/>
      <c r="M1" s="3614"/>
      <c r="N1" s="3795"/>
    </row>
    <row r="2" spans="1:36" s="243" customFormat="1" ht="19.5" thickBot="1">
      <c r="A2" s="115" t="str">
        <f>'Select Drive &amp; Motor'!A2</f>
        <v>Comments</v>
      </c>
      <c r="B2" s="3613">
        <f>'Select Drive &amp; Motor'!B2</f>
        <v>0</v>
      </c>
      <c r="C2" s="3614"/>
      <c r="D2" s="3614"/>
      <c r="E2" s="3614"/>
      <c r="F2" s="3614"/>
      <c r="G2" s="3614"/>
      <c r="H2" s="3614"/>
      <c r="I2" s="3614"/>
      <c r="J2" s="3614"/>
      <c r="K2" s="3614"/>
      <c r="L2" s="3615"/>
      <c r="M2" s="3611" t="str">
        <f>'Select Drive &amp; Motor'!P2</f>
        <v>190923</v>
      </c>
      <c r="N2" s="3612"/>
    </row>
    <row r="3" spans="1:36" s="802" customFormat="1" ht="19.5" thickBot="1">
      <c r="A3" s="163"/>
      <c r="B3" s="116"/>
      <c r="C3" s="116"/>
      <c r="D3" s="116"/>
      <c r="E3" s="116"/>
      <c r="F3" s="116"/>
      <c r="G3" s="116"/>
      <c r="H3" s="116"/>
      <c r="I3" s="116"/>
      <c r="J3" s="116"/>
      <c r="K3" s="116"/>
      <c r="L3" s="116"/>
      <c r="M3" s="801"/>
      <c r="N3" s="801"/>
    </row>
    <row r="4" spans="1:36" s="802" customFormat="1" ht="19.5" thickBot="1">
      <c r="A4" s="2481" t="s">
        <v>2644</v>
      </c>
      <c r="B4" s="2482"/>
      <c r="C4" s="2482"/>
      <c r="D4" s="2482"/>
      <c r="E4" s="2482"/>
      <c r="F4" s="2482"/>
      <c r="G4" s="2482"/>
      <c r="H4" s="2482"/>
      <c r="I4" s="2482"/>
      <c r="J4" s="2482"/>
      <c r="K4" s="2482"/>
      <c r="L4" s="2482"/>
      <c r="M4" s="2482"/>
      <c r="N4" s="2482"/>
      <c r="O4" s="2482"/>
      <c r="P4" s="2482"/>
      <c r="Q4" s="2482"/>
      <c r="R4" s="2482"/>
      <c r="S4" s="2482"/>
      <c r="T4" s="2482"/>
      <c r="U4" s="2482"/>
      <c r="V4" s="2482"/>
      <c r="W4" s="2482"/>
      <c r="X4" s="2482"/>
      <c r="Y4" s="2482"/>
      <c r="Z4" s="2482"/>
      <c r="AA4" s="2482"/>
      <c r="AB4" s="2482"/>
      <c r="AC4" s="2482"/>
      <c r="AD4" s="2482"/>
      <c r="AE4" s="2482"/>
      <c r="AF4" s="2482"/>
      <c r="AG4" s="2482"/>
      <c r="AH4" s="2482"/>
      <c r="AI4" s="2482"/>
      <c r="AJ4" s="2483"/>
    </row>
    <row r="5" spans="1:36">
      <c r="A5" s="3821" t="s">
        <v>1792</v>
      </c>
      <c r="B5" s="3819"/>
      <c r="C5" s="3819"/>
      <c r="D5" s="3819"/>
      <c r="E5" s="3819"/>
      <c r="F5" s="3819"/>
      <c r="G5" s="3819"/>
      <c r="H5" s="2512" t="s">
        <v>3957</v>
      </c>
      <c r="I5" s="2513" t="e">
        <f ca="1">Small_F</f>
        <v>#REF!</v>
      </c>
      <c r="J5" s="3818" t="str">
        <f>"IS HOUSE FRAME data "&amp;E6&amp;", (0, 0) - DRIVE VIEW"</f>
        <v>IS HOUSE FRAME data RD, (0, 0) - DRIVE VIEW</v>
      </c>
      <c r="K5" s="3819"/>
      <c r="L5" s="3819"/>
      <c r="M5" s="3819"/>
      <c r="N5" s="3819"/>
      <c r="O5" s="3819"/>
      <c r="P5" s="3819"/>
      <c r="Q5" s="3819"/>
      <c r="R5" s="3819"/>
      <c r="S5" s="3819"/>
      <c r="T5" s="3819"/>
      <c r="U5" s="3819"/>
      <c r="V5" s="3819"/>
      <c r="W5" s="3819"/>
      <c r="X5" s="3819"/>
      <c r="Y5" s="3819"/>
      <c r="Z5" s="3819"/>
      <c r="AA5" s="3819"/>
      <c r="AB5" s="3819"/>
      <c r="AC5" s="3820"/>
      <c r="AD5" s="3803" t="s">
        <v>1796</v>
      </c>
      <c r="AE5" s="3804"/>
      <c r="AF5" s="3804"/>
      <c r="AG5" s="3804"/>
      <c r="AH5" s="3804"/>
      <c r="AI5" s="3804"/>
      <c r="AJ5" s="3805"/>
    </row>
    <row r="6" spans="1:36">
      <c r="A6" s="1305" t="str">
        <f>House!A6</f>
        <v>House Orientation &amp; Rotation</v>
      </c>
      <c r="B6" s="1305">
        <f>House!B6</f>
        <v>0</v>
      </c>
      <c r="C6" s="1285">
        <f>House!C6</f>
        <v>0</v>
      </c>
      <c r="D6" s="1282" t="str">
        <f>House!D6</f>
        <v>degr</v>
      </c>
      <c r="E6" s="1290" t="str">
        <f>House!E6</f>
        <v>RD</v>
      </c>
      <c r="F6" s="1291">
        <f>House!F6</f>
        <v>-1</v>
      </c>
      <c r="G6" s="1290">
        <f>House!G6</f>
        <v>135</v>
      </c>
      <c r="H6" s="1292">
        <f>House!H6</f>
        <v>2.3561944901923448</v>
      </c>
      <c r="I6" s="1293" t="str">
        <f>House!I6</f>
        <v>rad.</v>
      </c>
      <c r="J6" s="939"/>
      <c r="K6" s="942"/>
      <c r="L6" s="940"/>
      <c r="M6" s="940"/>
      <c r="N6" s="940"/>
      <c r="O6" s="518"/>
      <c r="P6" s="518"/>
      <c r="Q6" s="518"/>
      <c r="R6" s="528" t="e">
        <f ca="1">IF(Small_F,'House reinf, Central Frame Side'!U6,'House reinf, Support Plate Side'!R6)</f>
        <v>#REF!</v>
      </c>
      <c r="S6" s="528" t="e">
        <f ca="1">IF(Small_F,'House reinf, Central Frame Side'!V6,'House reinf, Support Plate Side'!S6)</f>
        <v>#REF!</v>
      </c>
      <c r="T6" s="528" t="e">
        <f ca="1">IF(Small_F,'House reinf, Central Frame Side'!W6,'House reinf, Support Plate Side'!T6)</f>
        <v>#REF!</v>
      </c>
      <c r="U6" s="528" t="e">
        <f ca="1">IF(Small_F,'House reinf, Central Frame Side'!X6,'House reinf, Support Plate Side'!U6)</f>
        <v>#REF!</v>
      </c>
      <c r="W6" s="2639"/>
      <c r="X6" s="2640" t="s">
        <v>4013</v>
      </c>
      <c r="Y6" s="2640" t="s">
        <v>346</v>
      </c>
      <c r="Z6" s="2640" t="s">
        <v>304</v>
      </c>
      <c r="AA6" s="2640" t="s">
        <v>348</v>
      </c>
      <c r="AC6" s="545"/>
      <c r="AD6" s="1279"/>
      <c r="AE6" s="1294" t="str">
        <f>House!AE6</f>
        <v>d_2</v>
      </c>
      <c r="AF6" s="1281">
        <f>House!AF6</f>
        <v>1600</v>
      </c>
      <c r="AG6" s="1282" t="str">
        <f>House!AG6</f>
        <v>mm</v>
      </c>
      <c r="AH6" s="1282"/>
      <c r="AI6" s="1282"/>
      <c r="AJ6" s="1283"/>
    </row>
    <row r="7" spans="1:36">
      <c r="A7" s="1305" t="str">
        <f>House!A7</f>
        <v>r0</v>
      </c>
      <c r="B7" s="1305">
        <f>House!B7</f>
        <v>0.95050964215147715</v>
      </c>
      <c r="C7" s="1285" t="str">
        <f>House!C7</f>
        <v>m</v>
      </c>
      <c r="D7" s="1282"/>
      <c r="E7" s="1282"/>
      <c r="F7" s="1281"/>
      <c r="G7" s="1282"/>
      <c r="H7" s="1282"/>
      <c r="I7" s="1293"/>
      <c r="J7" s="1362"/>
      <c r="K7" s="510"/>
      <c r="L7" s="510"/>
      <c r="M7" s="942"/>
      <c r="N7" s="942"/>
      <c r="O7" s="518"/>
      <c r="P7" s="518"/>
      <c r="Q7" s="528" t="e">
        <f ca="1">IF(Small_F,'House reinf, Central Frame Side'!T6,'House reinf, Support Plate Side'!Q7)</f>
        <v>#REF!</v>
      </c>
      <c r="R7" s="2418" t="e">
        <f ca="1">IF(Small_F,'House reinf, Central Frame Side'!U7,'House reinf, Support Plate Side'!R7)</f>
        <v>#REF!</v>
      </c>
      <c r="S7" s="816" t="e">
        <f ca="1">IF(Small_F,'House reinf, Central Frame Side'!V7,'House reinf, Support Plate Side'!S7)</f>
        <v>#REF!</v>
      </c>
      <c r="T7" s="816" t="e">
        <f ca="1">IF(Small_F,'House reinf, Central Frame Side'!W7,'House reinf, Support Plate Side'!T7)</f>
        <v>#REF!</v>
      </c>
      <c r="U7" s="816" t="e">
        <f ca="1">IF(Small_F,'House reinf, Central Frame Side'!X7,'House reinf, Support Plate Side'!U7)</f>
        <v>#REF!</v>
      </c>
      <c r="V7" s="518"/>
      <c r="W7" s="2640" t="s">
        <v>4209</v>
      </c>
      <c r="X7" s="2650" t="str">
        <f>H_extF_SURe</f>
        <v>SU</v>
      </c>
      <c r="Y7" s="2651">
        <f>VLOOKUP($X7,Iron_dim,2,FALSE)</f>
        <v>110</v>
      </c>
      <c r="Z7" s="2651">
        <f>VLOOKUP($X7,Iron_dim,3,FALSE)</f>
        <v>80</v>
      </c>
      <c r="AA7" s="2651">
        <f>VLOOKUP($X7,Iron_dim,4,FALSE)</f>
        <v>4</v>
      </c>
      <c r="AB7" s="528"/>
      <c r="AC7" s="521"/>
      <c r="AD7" s="1279"/>
      <c r="AE7" s="1294" t="str">
        <f>House!AE7</f>
        <v>inlet_D_ext</v>
      </c>
      <c r="AF7" s="1281">
        <f>House!AF7</f>
        <v>950</v>
      </c>
      <c r="AG7" s="1282" t="str">
        <f>House!AG7</f>
        <v>mm</v>
      </c>
      <c r="AH7" s="1282" t="str">
        <f>House!AH7</f>
        <v>inlet_R_m</v>
      </c>
      <c r="AI7" s="1282">
        <f>House!AI7</f>
        <v>0.47499999999999998</v>
      </c>
      <c r="AJ7" s="1283" t="str">
        <f>House!AJ7</f>
        <v>m</v>
      </c>
    </row>
    <row r="8" spans="1:36">
      <c r="A8" s="1305" t="str">
        <f>House!A8</f>
        <v>K_House</v>
      </c>
      <c r="B8" s="1305">
        <f>House!B8</f>
        <v>7.9312948555555277E-2</v>
      </c>
      <c r="C8" s="1285" t="str">
        <f>House!C8</f>
        <v>1/rad</v>
      </c>
      <c r="D8" s="1282"/>
      <c r="E8" s="1282"/>
      <c r="F8" s="1281"/>
      <c r="G8" s="1282"/>
      <c r="H8" s="1282"/>
      <c r="I8" s="1293"/>
      <c r="J8" s="939"/>
      <c r="K8" s="942"/>
      <c r="L8" s="942"/>
      <c r="M8" s="518"/>
      <c r="N8" s="518"/>
      <c r="O8" s="518"/>
      <c r="P8" s="518"/>
      <c r="Q8" s="528" t="e">
        <f ca="1">IF(Small_F,'House reinf, Central Frame Side'!Q7,'House reinf, Support Plate Side'!Q8)</f>
        <v>#REF!</v>
      </c>
      <c r="R8" s="2433" t="e">
        <f ca="1">IF(Small_F,'House reinf, Central Frame Side'!U8,'House reinf, Support Plate Side'!R8)</f>
        <v>#REF!</v>
      </c>
      <c r="S8" s="2433" t="e">
        <f ca="1">IF(Small_F,'House reinf, Central Frame Side'!V8,'House reinf, Support Plate Side'!S8)</f>
        <v>#REF!</v>
      </c>
      <c r="T8" s="2433" t="e">
        <f ca="1">IF(Small_F,'House reinf, Central Frame Side'!W8,'House reinf, Support Plate Side'!T8)</f>
        <v>#REF!</v>
      </c>
      <c r="U8" s="2433" t="e">
        <f ca="1">IF(Small_F,'House reinf, Central Frame Side'!X8,'House reinf, Support Plate Side'!U8)</f>
        <v>#REF!</v>
      </c>
      <c r="AC8" s="545"/>
      <c r="AD8" s="1279"/>
      <c r="AE8" s="1294" t="str">
        <f>House!AE8</f>
        <v>d_in</v>
      </c>
      <c r="AF8" s="1281">
        <f>House!AF8</f>
        <v>700</v>
      </c>
      <c r="AG8" s="1282" t="str">
        <f>House!AG8</f>
        <v>mm</v>
      </c>
      <c r="AH8" s="1282" t="str">
        <f>House!AH8</f>
        <v>r_in_m</v>
      </c>
      <c r="AI8" s="1282">
        <f>House!AI8</f>
        <v>0.35</v>
      </c>
      <c r="AJ8" s="1283" t="str">
        <f>House!AJ8</f>
        <v>m</v>
      </c>
    </row>
    <row r="9" spans="1:36">
      <c r="A9" s="1305" t="str">
        <f>House!A9</f>
        <v>alfastart (tongue position)</v>
      </c>
      <c r="B9" s="1305">
        <f>House!B9</f>
        <v>1.1344640137963142</v>
      </c>
      <c r="C9" s="1285" t="str">
        <f>House!C9</f>
        <v>rad</v>
      </c>
      <c r="D9" s="1282"/>
      <c r="E9" s="1295" t="str">
        <f>House!E9</f>
        <v>Tongue_delta</v>
      </c>
      <c r="F9" s="1281">
        <f>House!F9</f>
        <v>0</v>
      </c>
      <c r="G9" s="1282" t="str">
        <f>House!G9</f>
        <v>rad</v>
      </c>
      <c r="H9" s="1304">
        <f>House!H9</f>
        <v>65</v>
      </c>
      <c r="I9" s="1293" t="str">
        <f>House!I9</f>
        <v>degr</v>
      </c>
      <c r="O9" s="518"/>
      <c r="P9" s="518"/>
      <c r="Q9" s="509" t="e">
        <f ca="1">IF(Small_F,'House reinf, Central Frame Side'!P9,'House reinf, Support Plate Side'!Q9)</f>
        <v>#REF!</v>
      </c>
      <c r="R9" s="2114" t="e">
        <f ca="1">IF(Small_F,'House reinf, Central Frame Side'!U9,'House reinf, Support Plate Side'!R9)</f>
        <v>#REF!</v>
      </c>
      <c r="S9" s="2114" t="e">
        <f ca="1">IF(Small_F,'House reinf, Central Frame Side'!V9,'House reinf, Support Plate Side'!S9)</f>
        <v>#REF!</v>
      </c>
      <c r="T9" s="2114" t="e">
        <f ca="1">IF(Small_F,'House reinf, Central Frame Side'!W9,'House reinf, Support Plate Side'!T9)</f>
        <v>#REF!</v>
      </c>
      <c r="U9" s="2114" t="e">
        <f ca="1">IF(Small_F,'House reinf, Central Frame Side'!X9,'House reinf, Support Plate Side'!U9)</f>
        <v>#REF!</v>
      </c>
      <c r="V9" s="805"/>
      <c r="W9" s="805"/>
      <c r="X9" s="805"/>
      <c r="Y9" s="805"/>
      <c r="Z9" s="805"/>
      <c r="AA9" s="805"/>
      <c r="AB9" s="805"/>
      <c r="AC9" s="545"/>
      <c r="AD9" s="1279"/>
      <c r="AE9" s="1294" t="str">
        <f>House!AE9</f>
        <v>b_in</v>
      </c>
      <c r="AF9" s="1281">
        <f>House!AF9</f>
        <v>365</v>
      </c>
      <c r="AG9" s="1282" t="str">
        <f>House!AG9</f>
        <v>mm</v>
      </c>
      <c r="AH9" s="1282"/>
      <c r="AI9" s="1282"/>
      <c r="AJ9" s="1283"/>
    </row>
    <row r="10" spans="1:36">
      <c r="A10" s="1305" t="str">
        <f>House!A10</f>
        <v>alfaend</v>
      </c>
      <c r="B10" s="1305">
        <f>House!B10</f>
        <v>6.2831853071795862</v>
      </c>
      <c r="C10" s="1285" t="str">
        <f>House!C10</f>
        <v>rad</v>
      </c>
      <c r="D10" s="1282"/>
      <c r="E10" s="1282"/>
      <c r="F10" s="1282"/>
      <c r="G10" s="1282"/>
      <c r="H10" s="1282"/>
      <c r="I10" s="1293"/>
      <c r="O10" s="518"/>
      <c r="P10" s="518"/>
      <c r="Q10" s="509" t="e">
        <f ca="1">IF(Small_F,'House reinf, Central Frame Side'!P10,'House reinf, Support Plate Side'!Q10)</f>
        <v>#REF!</v>
      </c>
      <c r="R10" s="2114" t="e">
        <f ca="1">IF(Small_F,'House reinf, Central Frame Side'!U10,'House reinf, Support Plate Side'!R10)</f>
        <v>#REF!</v>
      </c>
      <c r="S10" s="2114" t="e">
        <f ca="1">IF(Small_F,'House reinf, Central Frame Side'!V10,'House reinf, Support Plate Side'!S10)</f>
        <v>#REF!</v>
      </c>
      <c r="T10" s="2114" t="e">
        <f ca="1">IF(Small_F,'House reinf, Central Frame Side'!W10,'House reinf, Support Plate Side'!T10)</f>
        <v>#REF!</v>
      </c>
      <c r="U10" s="2114" t="e">
        <f ca="1">IF(Small_F,'House reinf, Central Frame Side'!X10,'House reinf, Support Plate Side'!U10)</f>
        <v>#REF!</v>
      </c>
      <c r="AC10" s="545"/>
      <c r="AD10" s="1279"/>
      <c r="AE10" s="1294" t="str">
        <f>House!AE10</f>
        <v>b1_blad_FP</v>
      </c>
      <c r="AF10" s="1281">
        <f>House!AF10</f>
        <v>253</v>
      </c>
      <c r="AG10" s="1282" t="str">
        <f>House!AG10</f>
        <v>mm</v>
      </c>
      <c r="AH10" s="1282"/>
      <c r="AI10" s="1282"/>
      <c r="AJ10" s="1283"/>
    </row>
    <row r="11" spans="1:36">
      <c r="A11" s="1305" t="str">
        <f>House!A11</f>
        <v>Funnel height</v>
      </c>
      <c r="B11" s="1305">
        <f>House!B11</f>
        <v>1076.6210889730671</v>
      </c>
      <c r="C11" s="1285" t="str">
        <f>House!C11</f>
        <v>mm</v>
      </c>
      <c r="D11" s="1282"/>
      <c r="E11" s="1282"/>
      <c r="F11" s="1282"/>
      <c r="G11" s="1282"/>
      <c r="H11" s="1282"/>
      <c r="I11" s="1293"/>
      <c r="O11" s="518"/>
      <c r="P11" s="518"/>
      <c r="Q11" s="509" t="e">
        <f ca="1">IF(Small_F,'House reinf, Central Frame Side'!P11,'House reinf, Support Plate Side'!Q11)</f>
        <v>#REF!</v>
      </c>
      <c r="R11" s="2114" t="e">
        <f ca="1">IF(Small_F,'House reinf, Central Frame Side'!U11,'House reinf, Support Plate Side'!R11)</f>
        <v>#REF!</v>
      </c>
      <c r="S11" s="2114" t="e">
        <f ca="1">IF(Small_F,'House reinf, Central Frame Side'!V11,'House reinf, Support Plate Side'!S11)</f>
        <v>#REF!</v>
      </c>
      <c r="T11" s="2114" t="e">
        <f ca="1">IF(Small_F,'House reinf, Central Frame Side'!W11,'House reinf, Support Plate Side'!T11)</f>
        <v>#REF!</v>
      </c>
      <c r="U11" s="2114" t="e">
        <f ca="1">IF(Small_F,'House reinf, Central Frame Side'!X11,'House reinf, Support Plate Side'!U11)</f>
        <v>#REF!</v>
      </c>
      <c r="V11" s="518"/>
      <c r="W11" s="518"/>
      <c r="X11" s="518"/>
      <c r="Y11" s="518"/>
      <c r="Z11" s="518"/>
      <c r="AA11" s="518"/>
      <c r="AB11" s="528"/>
      <c r="AC11" s="521"/>
      <c r="AD11" s="1284"/>
      <c r="AE11" s="1294" t="str">
        <f>House!AE11</f>
        <v>CH (RD,135)</v>
      </c>
      <c r="AF11" s="1285">
        <f>House!AF11</f>
        <v>1269</v>
      </c>
      <c r="AG11" s="1282">
        <f>House!AG11</f>
        <v>1.1000000000000001</v>
      </c>
      <c r="AH11" s="1286">
        <f>House!AH11</f>
        <v>1270</v>
      </c>
      <c r="AI11" s="1286">
        <f>House!AI11</f>
        <v>1268</v>
      </c>
      <c r="AJ11" s="1283"/>
    </row>
    <row r="12" spans="1:36">
      <c r="A12" s="1305" t="str">
        <f>House!A12</f>
        <v>House Plate thickness</v>
      </c>
      <c r="B12" s="1305">
        <f>House!B12</f>
        <v>5</v>
      </c>
      <c r="C12" s="1285" t="str">
        <f>House!C12</f>
        <v>mm</v>
      </c>
      <c r="D12" s="1282"/>
      <c r="E12" s="1282"/>
      <c r="F12" s="1282"/>
      <c r="G12" s="1282"/>
      <c r="H12" s="1282"/>
      <c r="I12" s="1293"/>
      <c r="O12" s="518"/>
      <c r="P12" s="518"/>
      <c r="Q12" s="509" t="e">
        <f ca="1">IF(Small_F,'House reinf, Central Frame Side'!P12,'House reinf, Support Plate Side'!Q12)</f>
        <v>#REF!</v>
      </c>
      <c r="R12" s="2114" t="e">
        <f ca="1">IF(Small_F,'House reinf, Central Frame Side'!U12,'House reinf, Support Plate Side'!R12)</f>
        <v>#REF!</v>
      </c>
      <c r="S12" s="2114" t="e">
        <f ca="1">IF(Small_F,'House reinf, Central Frame Side'!V12,'House reinf, Support Plate Side'!S12)</f>
        <v>#REF!</v>
      </c>
      <c r="T12" s="2114" t="e">
        <f ca="1">IF(Small_F,'House reinf, Central Frame Side'!W12,'House reinf, Support Plate Side'!T12)</f>
        <v>#REF!</v>
      </c>
      <c r="U12" s="2114" t="e">
        <f ca="1">IF(Small_F,'House reinf, Central Frame Side'!X12,'House reinf, Support Plate Side'!U12)</f>
        <v>#REF!</v>
      </c>
      <c r="AC12" s="545"/>
      <c r="AD12" s="1284"/>
      <c r="AE12" s="1294" t="str">
        <f>House!AE12</f>
        <v>stdCH (LG,0)</v>
      </c>
      <c r="AF12" s="1285">
        <f>House!AF12</f>
        <v>1530</v>
      </c>
      <c r="AG12" s="1282"/>
      <c r="AH12" s="1286">
        <f>House!AH12</f>
        <v>0</v>
      </c>
      <c r="AI12" s="1286">
        <f>House!AI12</f>
        <v>0</v>
      </c>
      <c r="AJ12" s="1283"/>
    </row>
    <row r="13" spans="1:36">
      <c r="A13" s="1305" t="str">
        <f>House!A13</f>
        <v>HouseB_ins</v>
      </c>
      <c r="B13" s="1305">
        <f>House!B13</f>
        <v>630</v>
      </c>
      <c r="C13" s="1285" t="str">
        <f>House!C13</f>
        <v>mm</v>
      </c>
      <c r="D13" s="1282"/>
      <c r="E13" s="1282"/>
      <c r="F13" s="1282"/>
      <c r="G13" s="1282"/>
      <c r="H13" s="1282"/>
      <c r="I13" s="1293"/>
      <c r="J13" s="939"/>
      <c r="K13" s="942"/>
      <c r="L13" s="942"/>
      <c r="M13" s="942"/>
      <c r="N13" s="942"/>
      <c r="O13" s="518"/>
      <c r="P13" s="518"/>
      <c r="Q13" s="509" t="e">
        <f ca="1">IF(Small_F,'House reinf, Central Frame Side'!P13,'House reinf, Support Plate Side'!Q13)</f>
        <v>#REF!</v>
      </c>
      <c r="R13" s="2114" t="e">
        <f ca="1">IF(Small_F,'House reinf, Central Frame Side'!U13,'House reinf, Support Plate Side'!R13)</f>
        <v>#REF!</v>
      </c>
      <c r="S13" s="2114" t="e">
        <f ca="1">IF(Small_F,'House reinf, Central Frame Side'!V13,'House reinf, Support Plate Side'!S13)</f>
        <v>#REF!</v>
      </c>
      <c r="T13" s="2114" t="e">
        <f ca="1">IF(Small_F,'House reinf, Central Frame Side'!W13,'House reinf, Support Plate Side'!T13)</f>
        <v>#REF!</v>
      </c>
      <c r="U13" s="2114" t="e">
        <f ca="1">IF(Small_F,'House reinf, Central Frame Side'!X13,'House reinf, Support Plate Side'!U13)</f>
        <v>#REF!</v>
      </c>
      <c r="V13" s="805"/>
      <c r="W13" s="805"/>
      <c r="X13" s="805"/>
      <c r="Y13" s="805"/>
      <c r="Z13" s="805"/>
      <c r="AA13" s="805"/>
      <c r="AB13" s="805"/>
      <c r="AC13" s="545"/>
      <c r="AD13" s="3806" t="s">
        <v>1801</v>
      </c>
      <c r="AE13" s="3807"/>
      <c r="AF13" s="3807"/>
      <c r="AG13" s="3807"/>
      <c r="AH13" s="3807"/>
      <c r="AI13" s="3807"/>
      <c r="AJ13" s="3808"/>
    </row>
    <row r="14" spans="1:36">
      <c r="A14" s="1305" t="str">
        <f>House!A14</f>
        <v>HouseC_ins</v>
      </c>
      <c r="B14" s="2329">
        <f>House!B14</f>
        <v>1125</v>
      </c>
      <c r="C14" s="1285" t="str">
        <f>House!C14</f>
        <v>mm</v>
      </c>
      <c r="D14" s="1282"/>
      <c r="E14" s="1282"/>
      <c r="F14" s="1282"/>
      <c r="G14" s="1282"/>
      <c r="H14" s="1304"/>
      <c r="I14" s="1293"/>
      <c r="J14" s="939"/>
      <c r="K14" s="942"/>
      <c r="L14" s="942"/>
      <c r="M14" s="942"/>
      <c r="N14" s="942"/>
      <c r="O14" s="518"/>
      <c r="P14" s="518"/>
      <c r="Q14" s="509" t="e">
        <f ca="1">IF(Small_F,'House reinf, Central Frame Side'!P14,'House reinf, Support Plate Side'!Q14)</f>
        <v>#REF!</v>
      </c>
      <c r="R14" s="2114" t="e">
        <f ca="1">IF(Small_F,'House reinf, Central Frame Side'!U14,'House reinf, Support Plate Side'!R14)</f>
        <v>#REF!</v>
      </c>
      <c r="S14" s="2114" t="e">
        <f ca="1">IF(Small_F,'House reinf, Central Frame Side'!V14,'House reinf, Support Plate Side'!S14)</f>
        <v>#REF!</v>
      </c>
      <c r="T14" s="2114" t="e">
        <f ca="1">IF(Small_F,'House reinf, Central Frame Side'!W14,'House reinf, Support Plate Side'!T14)</f>
        <v>#REF!</v>
      </c>
      <c r="U14" s="2114" t="e">
        <f ca="1">IF(Small_F,'House reinf, Central Frame Side'!X14,'House reinf, Support Plate Side'!U14)</f>
        <v>#REF!</v>
      </c>
      <c r="V14" s="821"/>
      <c r="W14" s="821"/>
      <c r="X14" s="821"/>
      <c r="Y14" s="821"/>
      <c r="Z14" s="821"/>
      <c r="AA14" s="821"/>
      <c r="AC14" s="545"/>
      <c r="AD14" s="1287"/>
      <c r="AE14" s="1295" t="str">
        <f>House!AE14</f>
        <v>Insulation</v>
      </c>
      <c r="AF14" s="1282">
        <f>House!AF14</f>
        <v>0</v>
      </c>
      <c r="AG14" s="1282" t="str">
        <f>House!AG14</f>
        <v>mm</v>
      </c>
      <c r="AH14" s="1282"/>
      <c r="AI14" s="1282"/>
      <c r="AJ14" s="1283"/>
    </row>
    <row r="15" spans="1:36">
      <c r="A15" s="1305" t="str">
        <f>House!A15</f>
        <v>Welding space</v>
      </c>
      <c r="B15" s="1305">
        <f>House!B15</f>
        <v>0.01</v>
      </c>
      <c r="C15" s="1285" t="str">
        <f>House!C15</f>
        <v>m</v>
      </c>
      <c r="D15" s="1282"/>
      <c r="E15" s="1282"/>
      <c r="F15" s="1282"/>
      <c r="G15" s="1282"/>
      <c r="H15" s="1304"/>
      <c r="I15" s="1293"/>
      <c r="J15" s="939"/>
      <c r="K15" s="942"/>
      <c r="L15" s="942"/>
      <c r="M15" s="942"/>
      <c r="N15" s="942"/>
      <c r="O15" s="518"/>
      <c r="P15" s="518"/>
      <c r="Q15" s="509" t="e">
        <f ca="1">IF(Small_F,'House reinf, Central Frame Side'!T15,'House reinf, Support Plate Side'!Q15)</f>
        <v>#REF!</v>
      </c>
      <c r="R15" s="2114" t="e">
        <f ca="1">IF(Small_F,'House reinf, Central Frame Side'!U15,'House reinf, Support Plate Side'!R15)</f>
        <v>#REF!</v>
      </c>
      <c r="S15" s="2114" t="e">
        <f ca="1">IF(Small_F,'House reinf, Central Frame Side'!V15,'House reinf, Support Plate Side'!S15)</f>
        <v>#REF!</v>
      </c>
      <c r="T15" s="2114" t="e">
        <f ca="1">IF(Small_F,'House reinf, Central Frame Side'!W15,'House reinf, Support Plate Side'!T15)</f>
        <v>#REF!</v>
      </c>
      <c r="U15" s="2114" t="e">
        <f ca="1">IF(Small_F,'House reinf, Central Frame Side'!X15,'House reinf, Support Plate Side'!U15)</f>
        <v>#REF!</v>
      </c>
      <c r="AD15" s="1287"/>
      <c r="AE15" s="1295" t="str">
        <f>House!AE15</f>
        <v>Steel_density</v>
      </c>
      <c r="AF15" s="1282">
        <f>House!AF15</f>
        <v>7850</v>
      </c>
      <c r="AG15" s="1282" t="str">
        <f>House!AG15</f>
        <v>kg/m3</v>
      </c>
      <c r="AH15" s="1282"/>
      <c r="AI15" s="1282"/>
      <c r="AJ15" s="1283"/>
    </row>
    <row r="16" spans="1:36" ht="15.75" thickBot="1">
      <c r="A16" s="1322" t="str">
        <f>House!A16</f>
        <v>Reinf_HousePT (used for reinf calc only)</v>
      </c>
      <c r="B16" s="1322">
        <f>House!B16</f>
        <v>4</v>
      </c>
      <c r="C16" s="2153" t="str">
        <f>House!C16</f>
        <v>mm</v>
      </c>
      <c r="D16" s="1288"/>
      <c r="E16" s="1288"/>
      <c r="F16" s="1288"/>
      <c r="G16" s="1288"/>
      <c r="H16" s="2151"/>
      <c r="I16" s="2152"/>
      <c r="J16" s="1306"/>
      <c r="K16" s="1307"/>
      <c r="L16" s="1307"/>
      <c r="M16" s="1307"/>
      <c r="N16" s="1307"/>
      <c r="O16" s="556"/>
      <c r="P16" s="556"/>
      <c r="Q16" s="808" t="e">
        <f ca="1">IF(Small_F,'House reinf, Central Frame Side'!T16,'House reinf, Support Plate Side'!Q16)</f>
        <v>#REF!</v>
      </c>
      <c r="R16" s="2359" t="e">
        <f ca="1">IF(Small_F,'House reinf, Central Frame Side'!U16,'House reinf, Support Plate Side'!R16)</f>
        <v>#REF!</v>
      </c>
      <c r="S16" s="2359" t="e">
        <f ca="1">IF(Small_F,'House reinf, Central Frame Side'!V16,'House reinf, Support Plate Side'!S16)</f>
        <v>#REF!</v>
      </c>
      <c r="T16" s="2359" t="e">
        <f ca="1">IF(Small_F,'House reinf, Central Frame Side'!W16,'House reinf, Support Plate Side'!T16)</f>
        <v>#REF!</v>
      </c>
      <c r="U16" s="2359" t="e">
        <f ca="1">IF(Small_F,'House reinf, Central Frame Side'!X16,'House reinf, Support Plate Side'!U16)</f>
        <v>#REF!</v>
      </c>
      <c r="V16" s="1312"/>
      <c r="W16" s="1312"/>
      <c r="X16" s="1312"/>
      <c r="Y16" s="1312"/>
      <c r="Z16" s="1312"/>
      <c r="AA16" s="1312"/>
      <c r="AB16" s="1312"/>
      <c r="AC16" s="1310"/>
      <c r="AD16" s="549"/>
      <c r="AE16" s="556"/>
      <c r="AF16" s="556"/>
      <c r="AG16" s="556"/>
      <c r="AH16" s="1307"/>
      <c r="AI16" s="1307"/>
      <c r="AJ16" s="1313"/>
    </row>
    <row r="17" spans="1:36" s="496" customFormat="1" ht="15.75" thickBot="1">
      <c r="A17" s="942"/>
      <c r="B17" s="942"/>
      <c r="C17" s="942"/>
      <c r="D17" s="813"/>
      <c r="E17" s="813"/>
      <c r="F17" s="813"/>
      <c r="G17" s="813"/>
      <c r="H17" s="685"/>
      <c r="I17" s="813"/>
      <c r="J17" s="942"/>
      <c r="K17" s="942"/>
      <c r="L17" s="942"/>
      <c r="M17" s="942"/>
      <c r="N17" s="813"/>
      <c r="O17" s="509"/>
      <c r="P17" s="685"/>
      <c r="Q17" s="685"/>
      <c r="R17" s="685"/>
      <c r="S17" s="685"/>
      <c r="T17" s="1309"/>
      <c r="U17" s="1309"/>
      <c r="V17" s="1308"/>
      <c r="W17" s="813"/>
      <c r="X17" s="509"/>
      <c r="Y17" s="2339"/>
      <c r="Z17" s="2339"/>
      <c r="AA17" s="942"/>
      <c r="AB17" s="942"/>
      <c r="AC17" s="942"/>
    </row>
    <row r="18" spans="1:36" ht="15.75" thickBot="1">
      <c r="A18" s="2569" t="s">
        <v>2645</v>
      </c>
      <c r="B18" s="2370" t="str">
        <f>House!B18</f>
        <v>alfa incr</v>
      </c>
      <c r="C18" s="2370">
        <f>House!C18</f>
        <v>0.25743606466916358</v>
      </c>
      <c r="D18" s="3799" t="s">
        <v>3562</v>
      </c>
      <c r="E18" s="3800"/>
      <c r="F18" s="3800"/>
      <c r="G18" s="3800"/>
      <c r="H18" s="3800"/>
      <c r="I18" s="3800"/>
      <c r="J18" s="3800"/>
      <c r="K18" s="3800"/>
      <c r="L18" s="3800"/>
      <c r="M18" s="3800"/>
      <c r="N18" s="3800"/>
      <c r="O18" s="3800"/>
      <c r="P18" s="3800"/>
      <c r="Q18" s="3800"/>
      <c r="R18" s="3800"/>
      <c r="S18" s="3800"/>
      <c r="T18" s="3800"/>
      <c r="U18" s="3800"/>
      <c r="V18" s="3800"/>
      <c r="W18" s="3800"/>
      <c r="X18" s="3800"/>
      <c r="Y18" s="3800"/>
      <c r="Z18" s="3837"/>
      <c r="AA18" s="1147"/>
      <c r="AB18" s="1147"/>
      <c r="AC18" s="1147"/>
      <c r="AD18" s="1147"/>
      <c r="AE18" s="1147"/>
      <c r="AF18" s="1147"/>
      <c r="AG18" s="1147"/>
      <c r="AH18" s="1147"/>
      <c r="AI18" s="1147"/>
      <c r="AJ18" s="2344"/>
    </row>
    <row r="19" spans="1:36">
      <c r="A19" s="2237"/>
      <c r="B19" s="3107" t="str">
        <f>House!B19</f>
        <v>Lreinf</v>
      </c>
      <c r="C19" s="3107" t="str">
        <f>House!C19</f>
        <v>LF stop</v>
      </c>
      <c r="D19" s="3839" t="s">
        <v>1098</v>
      </c>
      <c r="E19" s="3840"/>
      <c r="F19" s="3840"/>
      <c r="G19" s="3840"/>
      <c r="H19" s="3840"/>
      <c r="I19" s="3840"/>
      <c r="J19" s="3840"/>
      <c r="K19" s="3840"/>
      <c r="L19" s="3840"/>
      <c r="M19" s="3840"/>
      <c r="N19" s="3840"/>
      <c r="O19" s="3840"/>
      <c r="P19" s="3840"/>
      <c r="Q19" s="3840"/>
      <c r="R19" s="3840"/>
      <c r="S19" s="3840"/>
      <c r="T19" s="3840"/>
      <c r="U19" s="3840"/>
      <c r="V19" s="3840"/>
      <c r="W19" s="3840"/>
      <c r="X19" s="3841"/>
      <c r="Y19" s="3107" t="str">
        <f>House!Y19</f>
        <v>RF stop</v>
      </c>
      <c r="Z19" s="3107" t="str">
        <f>House!Z19</f>
        <v>Rreinf</v>
      </c>
      <c r="AA19" s="522"/>
      <c r="AB19" s="518"/>
      <c r="AC19" s="518"/>
      <c r="AD19" s="518"/>
      <c r="AE19" s="518"/>
      <c r="AF19" s="518"/>
      <c r="AG19" s="518"/>
      <c r="AH19" s="518"/>
      <c r="AI19" s="518"/>
      <c r="AJ19" s="527"/>
    </row>
    <row r="20" spans="1:36">
      <c r="A20" s="2347" t="s">
        <v>1104</v>
      </c>
      <c r="B20" s="1383">
        <f>House!B20</f>
        <v>7.4176493209759009</v>
      </c>
      <c r="C20" s="1383">
        <f>House!C20</f>
        <v>7.4647083367135298</v>
      </c>
      <c r="D20" s="1384">
        <f>House!D20</f>
        <v>1.1344640137963142</v>
      </c>
      <c r="E20" s="1385">
        <f>House!E20</f>
        <v>1.3919000784654778</v>
      </c>
      <c r="F20" s="1385">
        <f>House!F20</f>
        <v>1.6493361431346414</v>
      </c>
      <c r="G20" s="1385">
        <f>House!G20</f>
        <v>1.906772207803805</v>
      </c>
      <c r="H20" s="1385">
        <f>House!H20</f>
        <v>2.1642082724729685</v>
      </c>
      <c r="I20" s="1385">
        <f>House!I20</f>
        <v>2.4216443371421321</v>
      </c>
      <c r="J20" s="1385">
        <f>House!J20</f>
        <v>2.6790804018112957</v>
      </c>
      <c r="K20" s="1385">
        <f>House!K20</f>
        <v>2.9365164664804593</v>
      </c>
      <c r="L20" s="1385">
        <f>House!L20</f>
        <v>3.1939525311496229</v>
      </c>
      <c r="M20" s="1385">
        <f>House!M20</f>
        <v>3.4513885958187864</v>
      </c>
      <c r="N20" s="1385">
        <f>House!N20</f>
        <v>3.70882466048795</v>
      </c>
      <c r="O20" s="1385">
        <f>House!O20</f>
        <v>3.9662607251571136</v>
      </c>
      <c r="P20" s="1385">
        <f>House!P20</f>
        <v>4.2236967898262776</v>
      </c>
      <c r="Q20" s="1385">
        <f>House!Q20</f>
        <v>4.4811328544954412</v>
      </c>
      <c r="R20" s="1385">
        <f>House!R20</f>
        <v>4.7385689191646048</v>
      </c>
      <c r="S20" s="1385">
        <f>House!S20</f>
        <v>4.9960049838337683</v>
      </c>
      <c r="T20" s="1385">
        <f>House!T20</f>
        <v>5.2534410485029319</v>
      </c>
      <c r="U20" s="1385">
        <f>House!U20</f>
        <v>5.5108771131720955</v>
      </c>
      <c r="V20" s="1385">
        <f>House!V20</f>
        <v>5.7683131778412591</v>
      </c>
      <c r="W20" s="1385">
        <f>House!W20</f>
        <v>6.0257492425104227</v>
      </c>
      <c r="X20" s="1386">
        <f>House!X20</f>
        <v>6.2831853071795862</v>
      </c>
      <c r="Y20" s="1383">
        <f>House!Y20</f>
        <v>6.8844223146173196</v>
      </c>
      <c r="Z20" s="1383">
        <f>House!Z20</f>
        <v>6.8261204245285274</v>
      </c>
      <c r="AA20" s="523"/>
      <c r="AB20" s="544"/>
      <c r="AC20" s="544"/>
      <c r="AD20" s="1382" t="str">
        <f>House!AD20</f>
        <v>curve</v>
      </c>
      <c r="AE20" s="1382"/>
      <c r="AF20" s="544"/>
      <c r="AG20" s="544"/>
      <c r="AH20" s="544"/>
      <c r="AI20" s="544"/>
      <c r="AJ20" s="524"/>
    </row>
    <row r="21" spans="1:36">
      <c r="A21" s="1275" t="s">
        <v>1105</v>
      </c>
      <c r="B21" s="1296">
        <f>House!B21</f>
        <v>1045</v>
      </c>
      <c r="C21" s="1371">
        <f>House!C21</f>
        <v>1163.6818291472891</v>
      </c>
      <c r="D21" s="1297">
        <f>House!D21</f>
        <v>1045</v>
      </c>
      <c r="E21" s="1297">
        <f>House!E21</f>
        <v>1066.4530024332412</v>
      </c>
      <c r="F21" s="1297">
        <f>House!F21</f>
        <v>1088.3485349755213</v>
      </c>
      <c r="G21" s="1297">
        <f>House!G21</f>
        <v>1110.6957260879037</v>
      </c>
      <c r="H21" s="1297">
        <f>House!H21</f>
        <v>1133.5038925323154</v>
      </c>
      <c r="I21" s="1297">
        <f>House!I21</f>
        <v>1156.7825432557938</v>
      </c>
      <c r="J21" s="1297">
        <f>House!J21</f>
        <v>1180.5413833548621</v>
      </c>
      <c r="K21" s="1297">
        <f>House!K21</f>
        <v>1204.7903181216768</v>
      </c>
      <c r="L21" s="1297">
        <f>House!L21</f>
        <v>1229.5394571736417</v>
      </c>
      <c r="M21" s="1297">
        <f>House!M21</f>
        <v>1254.799118668205</v>
      </c>
      <c r="N21" s="1297">
        <f>House!N21</f>
        <v>1280.5798336046005</v>
      </c>
      <c r="O21" s="1297">
        <f>House!O21</f>
        <v>1306.8923502143243</v>
      </c>
      <c r="P21" s="1297">
        <f>House!P21</f>
        <v>1333.7476384421761</v>
      </c>
      <c r="Q21" s="1297">
        <f>House!Q21</f>
        <v>1361.1568945197369</v>
      </c>
      <c r="R21" s="1297">
        <f>House!R21</f>
        <v>1389.1315456331872</v>
      </c>
      <c r="S21" s="1297">
        <f>House!S21</f>
        <v>1417.683254687413</v>
      </c>
      <c r="T21" s="1297">
        <f>House!T21</f>
        <v>1446.8239251683819</v>
      </c>
      <c r="U21" s="1297">
        <f>House!U21</f>
        <v>1476.5657061058264</v>
      </c>
      <c r="V21" s="1297">
        <f>House!V21</f>
        <v>1506.9209971382902</v>
      </c>
      <c r="W21" s="1297">
        <f>House!W21</f>
        <v>1537.9024536826591</v>
      </c>
      <c r="X21" s="1297">
        <f>House!X21</f>
        <v>1569.5229922103276</v>
      </c>
      <c r="Y21" s="1296">
        <f>House!Y21</f>
        <v>1903.2906746733174</v>
      </c>
      <c r="Z21" s="1296">
        <f>House!Z21</f>
        <v>1833.1352903729805</v>
      </c>
      <c r="AA21" s="518"/>
      <c r="AB21" s="518"/>
      <c r="AC21" s="518"/>
      <c r="AD21" s="1303" t="str">
        <f>House!AD21</f>
        <v>max</v>
      </c>
      <c r="AE21" s="1303" t="str">
        <f>House!AE21</f>
        <v>min</v>
      </c>
      <c r="AF21" s="518"/>
      <c r="AG21" s="518"/>
      <c r="AH21" s="518"/>
      <c r="AI21" s="518"/>
      <c r="AJ21" s="527"/>
    </row>
    <row r="22" spans="1:36">
      <c r="A22" s="2238" t="s">
        <v>1094</v>
      </c>
      <c r="B22" s="1298">
        <f>House!B22</f>
        <v>441.63608351903093</v>
      </c>
      <c r="C22" s="1299">
        <f>House!C22</f>
        <v>441.63608351903093</v>
      </c>
      <c r="D22" s="1300">
        <f>House!D22</f>
        <v>441.63608351903093</v>
      </c>
      <c r="E22" s="1300">
        <f>House!E22</f>
        <v>189.76842833419454</v>
      </c>
      <c r="F22" s="1300">
        <f>House!F22</f>
        <v>-85.390841890904142</v>
      </c>
      <c r="G22" s="1300">
        <f>House!G22</f>
        <v>-366.18599062454092</v>
      </c>
      <c r="H22" s="1300">
        <f>House!H22</f>
        <v>-633.84733276053862</v>
      </c>
      <c r="I22" s="1300">
        <f>House!I22</f>
        <v>-869.71516461647775</v>
      </c>
      <c r="J22" s="1300">
        <f>House!J22</f>
        <v>-1056.507049257455</v>
      </c>
      <c r="K22" s="1300">
        <f>House!K22</f>
        <v>-1179.5445062502893</v>
      </c>
      <c r="L22" s="1300">
        <f>House!L22</f>
        <v>-1227.8544160797051</v>
      </c>
      <c r="M22" s="1300">
        <f>House!M22</f>
        <v>-1195.0654100156862</v>
      </c>
      <c r="N22" s="1300">
        <f>House!N22</f>
        <v>-1080.0300773426088</v>
      </c>
      <c r="O22" s="1300">
        <f>House!O22</f>
        <v>-887.11950165678206</v>
      </c>
      <c r="P22" s="1300">
        <f>House!P22</f>
        <v>-626.15658818143959</v>
      </c>
      <c r="Q22" s="1300">
        <f>House!Q22</f>
        <v>-311.97769233066299</v>
      </c>
      <c r="R22" s="1300">
        <f>House!R22</f>
        <v>36.363224662875822</v>
      </c>
      <c r="S22" s="1300">
        <f>House!S22</f>
        <v>396.70890736742643</v>
      </c>
      <c r="T22" s="1300">
        <f>House!T22</f>
        <v>745.16940915253167</v>
      </c>
      <c r="U22" s="1300">
        <f>House!U22</f>
        <v>1057.6668848778002</v>
      </c>
      <c r="V22" s="1300">
        <f>House!V22</f>
        <v>1311.5572731907439</v>
      </c>
      <c r="W22" s="1300">
        <f>House!W22</f>
        <v>1487.222322279604</v>
      </c>
      <c r="X22" s="1300">
        <f>House!X22</f>
        <v>1569.5229922103276</v>
      </c>
      <c r="Y22" s="1298">
        <f>House!Y22</f>
        <v>1569.5229922103276</v>
      </c>
      <c r="Z22" s="1298">
        <f>House!Z22</f>
        <v>1569.5229922103276</v>
      </c>
      <c r="AA22" s="522"/>
      <c r="AB22" s="518"/>
      <c r="AC22" s="518"/>
      <c r="AD22" s="1303">
        <f>House!AD22</f>
        <v>1569.5229922103276</v>
      </c>
      <c r="AE22" s="1303">
        <f>House!AE22</f>
        <v>-1227.8544160797051</v>
      </c>
      <c r="AF22" s="518"/>
      <c r="AG22" s="518"/>
      <c r="AH22" s="518"/>
      <c r="AI22" s="518"/>
      <c r="AJ22" s="527"/>
    </row>
    <row r="23" spans="1:36">
      <c r="A23" s="2238" t="s">
        <v>1095</v>
      </c>
      <c r="B23" s="1296">
        <f>House!B23</f>
        <v>947.0916374532992</v>
      </c>
      <c r="C23" s="1301">
        <f>House!C23</f>
        <v>1076.6210889730667</v>
      </c>
      <c r="D23" s="1302">
        <f>House!D23</f>
        <v>947.0916374532992</v>
      </c>
      <c r="E23" s="1296">
        <f>House!E23</f>
        <v>1049.4331565213881</v>
      </c>
      <c r="F23" s="1296">
        <f>House!F23</f>
        <v>1084.9935196601525</v>
      </c>
      <c r="G23" s="1296">
        <f>House!G23</f>
        <v>1048.5956399967813</v>
      </c>
      <c r="H23" s="1296">
        <f>House!H23</f>
        <v>939.71731554668168</v>
      </c>
      <c r="I23" s="1296">
        <f>House!I23</f>
        <v>762.71972887652214</v>
      </c>
      <c r="J23" s="1296">
        <f>House!J23</f>
        <v>526.75498353856813</v>
      </c>
      <c r="K23" s="1296">
        <f>House!K23</f>
        <v>245.34561013903004</v>
      </c>
      <c r="L23" s="1296">
        <f>House!L23</f>
        <v>-64.349123229612289</v>
      </c>
      <c r="M23" s="1296">
        <f>House!M23</f>
        <v>-382.54345373374764</v>
      </c>
      <c r="N23" s="1296">
        <f>House!N23</f>
        <v>-688.05504305259228</v>
      </c>
      <c r="O23" s="1296">
        <f>House!O23</f>
        <v>-959.68047017168317</v>
      </c>
      <c r="P23" s="1296">
        <f>House!P23</f>
        <v>-1177.629266843798</v>
      </c>
      <c r="Q23" s="1296">
        <f>House!Q23</f>
        <v>-1324.9218886359483</v>
      </c>
      <c r="R23" s="1296">
        <f>House!R23</f>
        <v>-1388.6555249468331</v>
      </c>
      <c r="S23" s="1296">
        <f>House!S23</f>
        <v>-1361.0466022280202</v>
      </c>
      <c r="T23" s="1296">
        <f>House!T23</f>
        <v>-1240.170158527817</v>
      </c>
      <c r="U23" s="1296">
        <f>House!U23</f>
        <v>-1030.3334630500399</v>
      </c>
      <c r="V23" s="1296">
        <f>House!V23</f>
        <v>-742.04340220550364</v>
      </c>
      <c r="W23" s="1296">
        <f>House!W23</f>
        <v>-391.55296085766645</v>
      </c>
      <c r="X23" s="1296">
        <f>House!X23</f>
        <v>-3.8457973377000741E-13</v>
      </c>
      <c r="Y23" s="1296">
        <f>House!Y23</f>
        <v>1076.6210889730667</v>
      </c>
      <c r="Z23" s="1296">
        <f>House!Z23</f>
        <v>947.0916374532992</v>
      </c>
      <c r="AA23" s="522"/>
      <c r="AB23" s="518"/>
      <c r="AC23" s="518"/>
      <c r="AD23" s="1303">
        <f>House!AD23</f>
        <v>1084.9935196601525</v>
      </c>
      <c r="AE23" s="1303">
        <f>House!AE23</f>
        <v>-1388.6555249468331</v>
      </c>
      <c r="AF23" s="518"/>
      <c r="AG23" s="518"/>
      <c r="AH23" s="518"/>
      <c r="AI23" s="518"/>
      <c r="AJ23" s="527"/>
    </row>
    <row r="24" spans="1:36" s="518" customFormat="1">
      <c r="A24" s="2238"/>
      <c r="B24" s="503"/>
      <c r="C24" s="510"/>
      <c r="D24" s="685"/>
      <c r="E24" s="510"/>
      <c r="F24" s="510"/>
      <c r="G24" s="510"/>
      <c r="H24" s="510"/>
      <c r="I24" s="510"/>
      <c r="J24" s="510"/>
      <c r="K24" s="510"/>
      <c r="L24" s="510"/>
      <c r="M24" s="510"/>
      <c r="N24" s="510"/>
      <c r="O24" s="510"/>
      <c r="P24" s="510"/>
      <c r="Q24" s="510"/>
      <c r="R24" s="510"/>
      <c r="S24" s="510"/>
      <c r="T24" s="510"/>
      <c r="U24" s="510"/>
      <c r="V24" s="510"/>
      <c r="W24" s="510"/>
      <c r="X24" s="510"/>
      <c r="Y24" s="510"/>
      <c r="Z24" s="510"/>
      <c r="AJ24" s="527"/>
    </row>
    <row r="25" spans="1:36" s="518" customFormat="1">
      <c r="A25" s="2238"/>
      <c r="B25" s="503"/>
      <c r="C25" s="510"/>
      <c r="D25" s="685"/>
      <c r="E25" s="510"/>
      <c r="F25" s="510"/>
      <c r="G25" s="510"/>
      <c r="H25" s="510"/>
      <c r="I25" s="510"/>
      <c r="J25" s="510"/>
      <c r="K25" s="510"/>
      <c r="L25" s="510"/>
      <c r="M25" s="510"/>
      <c r="N25" s="510"/>
      <c r="O25" s="510"/>
      <c r="P25" s="510"/>
      <c r="Q25" s="510"/>
      <c r="R25" s="510"/>
      <c r="S25" s="510"/>
      <c r="T25" s="510"/>
      <c r="U25" s="510"/>
      <c r="V25" s="510"/>
      <c r="W25" s="510"/>
      <c r="X25" s="510"/>
      <c r="Y25" s="510"/>
      <c r="Z25" s="510"/>
      <c r="AJ25" s="527"/>
    </row>
    <row r="26" spans="1:36" s="518" customFormat="1">
      <c r="A26" s="2238"/>
      <c r="B26" s="503"/>
      <c r="C26" s="510"/>
      <c r="D26" s="685"/>
      <c r="E26" s="510"/>
      <c r="F26" s="510"/>
      <c r="G26" s="510"/>
      <c r="H26" s="510"/>
      <c r="I26" s="510"/>
      <c r="J26" s="510"/>
      <c r="K26" s="510"/>
      <c r="L26" s="510"/>
      <c r="M26" s="510"/>
      <c r="N26" s="510"/>
      <c r="O26" s="510"/>
      <c r="P26" s="510"/>
      <c r="Q26" s="510"/>
      <c r="R26" s="510"/>
      <c r="S26" s="510"/>
      <c r="T26" s="510"/>
      <c r="U26" s="510"/>
      <c r="V26" s="510"/>
      <c r="W26" s="510"/>
      <c r="X26" s="510"/>
      <c r="Y26" s="510"/>
      <c r="Z26" s="510"/>
      <c r="AJ26" s="527"/>
    </row>
    <row r="27" spans="1:36" s="518" customFormat="1">
      <c r="A27" s="2238"/>
      <c r="B27" s="503"/>
      <c r="C27" s="510"/>
      <c r="D27" s="685"/>
      <c r="E27" s="510"/>
      <c r="F27" s="510"/>
      <c r="G27" s="510"/>
      <c r="H27" s="510"/>
      <c r="I27" s="510"/>
      <c r="J27" s="510"/>
      <c r="K27" s="510"/>
      <c r="L27" s="510"/>
      <c r="M27" s="510"/>
      <c r="N27" s="510"/>
      <c r="O27" s="510"/>
      <c r="P27" s="510"/>
      <c r="Q27" s="510"/>
      <c r="R27" s="510"/>
      <c r="S27" s="510"/>
      <c r="T27" s="510"/>
      <c r="U27" s="510"/>
      <c r="V27" s="510"/>
      <c r="W27" s="510"/>
      <c r="X27" s="510"/>
      <c r="Y27" s="510"/>
      <c r="Z27" s="510"/>
      <c r="AJ27" s="527"/>
    </row>
    <row r="28" spans="1:36" s="518" customFormat="1">
      <c r="A28" s="2238"/>
      <c r="B28" s="503"/>
      <c r="C28" s="510"/>
      <c r="D28" s="685"/>
      <c r="E28" s="510"/>
      <c r="F28" s="510"/>
      <c r="G28" s="510"/>
      <c r="H28" s="510"/>
      <c r="I28" s="510"/>
      <c r="J28" s="510"/>
      <c r="K28" s="510"/>
      <c r="L28" s="510"/>
      <c r="M28" s="510"/>
      <c r="N28" s="510"/>
      <c r="O28" s="510"/>
      <c r="P28" s="510"/>
      <c r="Q28" s="510"/>
      <c r="R28" s="510"/>
      <c r="S28" s="510"/>
      <c r="T28" s="510"/>
      <c r="U28" s="510"/>
      <c r="V28" s="510"/>
      <c r="W28" s="510"/>
      <c r="X28" s="510"/>
      <c r="Y28" s="510"/>
      <c r="Z28" s="510"/>
      <c r="AJ28" s="527"/>
    </row>
    <row r="29" spans="1:36" ht="15.75" thickBot="1">
      <c r="AA29" s="518"/>
      <c r="AB29" s="518"/>
      <c r="AC29" s="518"/>
      <c r="AD29" s="518"/>
      <c r="AE29" s="518"/>
      <c r="AF29" s="518"/>
      <c r="AG29" s="518"/>
      <c r="AH29" s="518"/>
      <c r="AI29" s="518"/>
      <c r="AJ29" s="527"/>
    </row>
    <row r="30" spans="1:36" ht="15.75" thickBot="1">
      <c r="A30" s="2569" t="s">
        <v>2645</v>
      </c>
      <c r="B30" s="2571" t="str">
        <f>House!B30</f>
        <v>alfa incr</v>
      </c>
      <c r="C30" s="2572">
        <f>House!C30</f>
        <v>0.25743606466916358</v>
      </c>
      <c r="D30" s="3799" t="str">
        <f>"HOUSE (LG), "&amp;G6&amp;", (0) "</f>
        <v xml:space="preserve">HOUSE (LG), 135, (0) </v>
      </c>
      <c r="E30" s="3800"/>
      <c r="F30" s="3800"/>
      <c r="G30" s="3800"/>
      <c r="H30" s="3800"/>
      <c r="I30" s="3800"/>
      <c r="J30" s="3800"/>
      <c r="K30" s="3800"/>
      <c r="L30" s="3800"/>
      <c r="M30" s="3800"/>
      <c r="N30" s="3800"/>
      <c r="O30" s="3800"/>
      <c r="P30" s="3800"/>
      <c r="Q30" s="3800"/>
      <c r="R30" s="3800"/>
      <c r="S30" s="3800"/>
      <c r="T30" s="3800"/>
      <c r="U30" s="3800"/>
      <c r="V30" s="3800"/>
      <c r="W30" s="3800"/>
      <c r="X30" s="3800"/>
      <c r="Y30" s="3800"/>
      <c r="Z30" s="3837"/>
      <c r="AA30" s="518"/>
      <c r="AB30" s="518"/>
      <c r="AC30" s="518"/>
      <c r="AD30" s="518"/>
      <c r="AE30" s="518"/>
      <c r="AF30" s="518"/>
      <c r="AG30" s="518"/>
      <c r="AH30" s="518"/>
      <c r="AI30" s="518"/>
      <c r="AJ30" s="527"/>
    </row>
    <row r="31" spans="1:36">
      <c r="A31" s="2237"/>
      <c r="B31" s="3107" t="str">
        <f>House!B31</f>
        <v>Lreinf</v>
      </c>
      <c r="C31" s="3107" t="str">
        <f>House!C31</f>
        <v>LF stop</v>
      </c>
      <c r="D31" s="3839" t="s">
        <v>1099</v>
      </c>
      <c r="E31" s="3840"/>
      <c r="F31" s="3840"/>
      <c r="G31" s="3840"/>
      <c r="H31" s="3840"/>
      <c r="I31" s="3840"/>
      <c r="J31" s="3840"/>
      <c r="K31" s="3840"/>
      <c r="L31" s="3840"/>
      <c r="M31" s="3840"/>
      <c r="N31" s="3840"/>
      <c r="O31" s="3840"/>
      <c r="P31" s="3840"/>
      <c r="Q31" s="3840"/>
      <c r="R31" s="3840"/>
      <c r="S31" s="3840"/>
      <c r="T31" s="3840"/>
      <c r="U31" s="3840"/>
      <c r="V31" s="3840"/>
      <c r="W31" s="3840"/>
      <c r="X31" s="3841"/>
      <c r="Y31" s="3107" t="str">
        <f>House!Y31</f>
        <v>RF stop</v>
      </c>
      <c r="Z31" s="3107" t="str">
        <f>House!Z31</f>
        <v>Rreinf</v>
      </c>
      <c r="AA31" s="544"/>
      <c r="AB31" s="544"/>
      <c r="AC31" s="544"/>
      <c r="AD31" s="544"/>
      <c r="AE31" s="544"/>
      <c r="AF31" s="544"/>
      <c r="AG31" s="544"/>
      <c r="AH31" s="544"/>
      <c r="AI31" s="544"/>
      <c r="AJ31" s="524"/>
    </row>
    <row r="32" spans="1:36">
      <c r="A32" s="2347" t="s">
        <v>1104</v>
      </c>
      <c r="B32" s="1380">
        <f>House!B32</f>
        <v>9.7738438111682449</v>
      </c>
      <c r="C32" s="1380">
        <f>House!C32</f>
        <v>9.8209028269058756</v>
      </c>
      <c r="D32" s="1381">
        <f>House!D32</f>
        <v>3.4906585039886591</v>
      </c>
      <c r="E32" s="1382">
        <f>House!E32</f>
        <v>3.7480945686578226</v>
      </c>
      <c r="F32" s="1382">
        <f>House!F32</f>
        <v>4.0055306333269858</v>
      </c>
      <c r="G32" s="1382">
        <f>House!G32</f>
        <v>4.2629666979961502</v>
      </c>
      <c r="H32" s="1382">
        <f>House!H32</f>
        <v>4.5204027626653129</v>
      </c>
      <c r="I32" s="1382">
        <f>House!I32</f>
        <v>4.7778388273344774</v>
      </c>
      <c r="J32" s="1382">
        <f>House!J32</f>
        <v>5.0352748920036401</v>
      </c>
      <c r="K32" s="1382">
        <f>House!K32</f>
        <v>5.2927109566728046</v>
      </c>
      <c r="L32" s="1382">
        <f>House!L32</f>
        <v>5.5501470213419672</v>
      </c>
      <c r="M32" s="1382">
        <f>House!M32</f>
        <v>5.8075830860111317</v>
      </c>
      <c r="N32" s="1382">
        <f>House!N32</f>
        <v>6.0650191506802944</v>
      </c>
      <c r="O32" s="1382">
        <f>House!O32</f>
        <v>6.3224552153494589</v>
      </c>
      <c r="P32" s="1382">
        <f>House!P32</f>
        <v>6.5798912800186224</v>
      </c>
      <c r="Q32" s="1382">
        <f>House!Q32</f>
        <v>6.837327344687786</v>
      </c>
      <c r="R32" s="1382">
        <f>House!R32</f>
        <v>7.0947634093569496</v>
      </c>
      <c r="S32" s="1382">
        <f>House!S32</f>
        <v>7.3521994740261132</v>
      </c>
      <c r="T32" s="1382">
        <f>House!T32</f>
        <v>7.6096355386952768</v>
      </c>
      <c r="U32" s="1382">
        <f>House!U32</f>
        <v>7.8670716033644403</v>
      </c>
      <c r="V32" s="1382">
        <f>House!V32</f>
        <v>8.1245076680336048</v>
      </c>
      <c r="W32" s="1382">
        <f>House!W32</f>
        <v>8.3819437327027675</v>
      </c>
      <c r="X32" s="1382">
        <f>House!X32</f>
        <v>8.6393797973719302</v>
      </c>
      <c r="Y32" s="1380">
        <f>House!Y32</f>
        <v>9.2406168048096653</v>
      </c>
      <c r="Z32" s="1380">
        <f>House!Z32</f>
        <v>9.1823149147208731</v>
      </c>
      <c r="AA32" s="518"/>
      <c r="AB32" s="518"/>
      <c r="AC32" s="518"/>
      <c r="AD32" s="518"/>
      <c r="AE32" s="518"/>
      <c r="AF32" s="518"/>
      <c r="AG32" s="518"/>
      <c r="AH32" s="518"/>
      <c r="AI32" s="518"/>
      <c r="AJ32" s="527"/>
    </row>
    <row r="33" spans="1:36">
      <c r="A33" s="1275" t="s">
        <v>1105</v>
      </c>
      <c r="B33" s="1296">
        <f>House!B33</f>
        <v>1045.0161529852062</v>
      </c>
      <c r="C33" s="1296">
        <f>House!C33</f>
        <v>1163.7087092567451</v>
      </c>
      <c r="D33" s="1297">
        <f>House!D33</f>
        <v>1045</v>
      </c>
      <c r="E33" s="1297">
        <f>House!E33</f>
        <v>1066.4530024332412</v>
      </c>
      <c r="F33" s="1297">
        <f>House!F33</f>
        <v>1088.3485349755213</v>
      </c>
      <c r="G33" s="1297">
        <f>House!G33</f>
        <v>1110.6957260879037</v>
      </c>
      <c r="H33" s="1297">
        <f>House!H33</f>
        <v>1133.5038925323154</v>
      </c>
      <c r="I33" s="1297">
        <f>House!I33</f>
        <v>1156.7825432557941</v>
      </c>
      <c r="J33" s="1297">
        <f>House!J33</f>
        <v>1180.5413833548621</v>
      </c>
      <c r="K33" s="1297">
        <f>House!K33</f>
        <v>1204.790318121677</v>
      </c>
      <c r="L33" s="1297">
        <f>House!L33</f>
        <v>1229.5394571736417</v>
      </c>
      <c r="M33" s="1297">
        <f>House!M33</f>
        <v>1254.799118668205</v>
      </c>
      <c r="N33" s="1297">
        <f>House!N33</f>
        <v>1280.5798336046005</v>
      </c>
      <c r="O33" s="1297">
        <f>House!O33</f>
        <v>1306.8923502143243</v>
      </c>
      <c r="P33" s="1297">
        <f>House!P33</f>
        <v>1333.7476384421761</v>
      </c>
      <c r="Q33" s="1297">
        <f>House!Q33</f>
        <v>1361.1568945197369</v>
      </c>
      <c r="R33" s="1297">
        <f>House!R33</f>
        <v>1389.1315456331872</v>
      </c>
      <c r="S33" s="1297">
        <f>House!S33</f>
        <v>1417.683254687413</v>
      </c>
      <c r="T33" s="1297">
        <f>House!T33</f>
        <v>1446.8239251683819</v>
      </c>
      <c r="U33" s="1297">
        <f>House!U33</f>
        <v>1476.5657061058264</v>
      </c>
      <c r="V33" s="1297">
        <f>House!V33</f>
        <v>1506.9209971382902</v>
      </c>
      <c r="W33" s="1297">
        <f>House!W33</f>
        <v>1537.9024536826591</v>
      </c>
      <c r="X33" s="1297">
        <f>House!X33</f>
        <v>1569.5229922103274</v>
      </c>
      <c r="Y33" s="1296">
        <f>House!Y33</f>
        <v>1903.2780826773578</v>
      </c>
      <c r="Z33" s="1296">
        <f>House!Z33</f>
        <v>1833.1143608624095</v>
      </c>
      <c r="AA33" s="510"/>
      <c r="AB33" s="518"/>
      <c r="AC33" s="518"/>
      <c r="AD33" s="518"/>
      <c r="AE33" s="518"/>
      <c r="AF33" s="518"/>
      <c r="AG33" s="518"/>
      <c r="AH33" s="518"/>
      <c r="AI33" s="518"/>
      <c r="AJ33" s="527"/>
    </row>
    <row r="34" spans="1:36">
      <c r="A34" s="2238" t="s">
        <v>1092</v>
      </c>
      <c r="B34" s="1300">
        <f>House!B34</f>
        <v>-982</v>
      </c>
      <c r="C34" s="1300">
        <f>House!C34</f>
        <v>-1073.5999999999999</v>
      </c>
      <c r="D34" s="1300">
        <f>House!D34</f>
        <v>-982</v>
      </c>
      <c r="E34" s="1300">
        <f>House!E34</f>
        <v>-876.2</v>
      </c>
      <c r="F34" s="1300">
        <f>House!F34</f>
        <v>-706.8</v>
      </c>
      <c r="G34" s="1300">
        <f>House!G34</f>
        <v>-482.5</v>
      </c>
      <c r="H34" s="1300">
        <f>House!H34</f>
        <v>-216.3</v>
      </c>
      <c r="I34" s="1300">
        <f>House!I34</f>
        <v>75.7</v>
      </c>
      <c r="J34" s="1300">
        <f>House!J34</f>
        <v>374.6</v>
      </c>
      <c r="K34" s="1300">
        <f>House!K34</f>
        <v>660.6</v>
      </c>
      <c r="L34" s="1300">
        <f>House!L34</f>
        <v>913.7</v>
      </c>
      <c r="M34" s="1300">
        <f>House!M34</f>
        <v>1115.5</v>
      </c>
      <c r="N34" s="1300">
        <f>House!N34</f>
        <v>1250.2</v>
      </c>
      <c r="O34" s="1300">
        <f>House!O34</f>
        <v>1305.9000000000001</v>
      </c>
      <c r="P34" s="1300">
        <f>House!P34</f>
        <v>1275.5</v>
      </c>
      <c r="Q34" s="1300">
        <f>House!Q34</f>
        <v>1157.5</v>
      </c>
      <c r="R34" s="1300">
        <f>House!R34</f>
        <v>956.2</v>
      </c>
      <c r="S34" s="1300">
        <f>House!S34</f>
        <v>681.9</v>
      </c>
      <c r="T34" s="1300">
        <f>House!T34</f>
        <v>350</v>
      </c>
      <c r="U34" s="1300">
        <f>House!U34</f>
        <v>-19.3</v>
      </c>
      <c r="V34" s="1300">
        <f>House!V34</f>
        <v>-402.7</v>
      </c>
      <c r="W34" s="1300">
        <f>House!W34</f>
        <v>-774.8</v>
      </c>
      <c r="X34" s="1300">
        <f>House!X34</f>
        <v>-1109.8</v>
      </c>
      <c r="Y34" s="1300">
        <f>House!Y34</f>
        <v>-1871.1</v>
      </c>
      <c r="Z34" s="1300">
        <f>House!Z34</f>
        <v>-1779.5</v>
      </c>
      <c r="AA34" s="510"/>
      <c r="AB34" s="518"/>
      <c r="AC34" s="518"/>
      <c r="AD34" s="518"/>
      <c r="AE34" s="518"/>
      <c r="AF34" s="518"/>
      <c r="AG34" s="518"/>
      <c r="AH34" s="518"/>
      <c r="AI34" s="518"/>
      <c r="AJ34" s="527"/>
    </row>
    <row r="35" spans="1:36">
      <c r="A35" s="3014" t="s">
        <v>1093</v>
      </c>
      <c r="B35" s="1296">
        <f>House!B35</f>
        <v>-357.4</v>
      </c>
      <c r="C35" s="1296">
        <f>House!C35</f>
        <v>-449</v>
      </c>
      <c r="D35" s="1296">
        <f>House!D35</f>
        <v>-357.4</v>
      </c>
      <c r="E35" s="1296">
        <f>House!E35</f>
        <v>-607.9</v>
      </c>
      <c r="F35" s="1296">
        <f>House!F35</f>
        <v>-827.6</v>
      </c>
      <c r="G35" s="1296">
        <f>House!G35</f>
        <v>-1000.4</v>
      </c>
      <c r="H35" s="1296">
        <f>House!H35</f>
        <v>-1112.7</v>
      </c>
      <c r="I35" s="1296">
        <f>House!I35</f>
        <v>-1154.3</v>
      </c>
      <c r="J35" s="1296">
        <f>House!J35</f>
        <v>-1119.5</v>
      </c>
      <c r="K35" s="1296">
        <f>House!K35</f>
        <v>-1007.5</v>
      </c>
      <c r="L35" s="1296">
        <f>House!L35</f>
        <v>-822.7</v>
      </c>
      <c r="M35" s="1296">
        <f>House!M35</f>
        <v>-574.5</v>
      </c>
      <c r="N35" s="1296">
        <f>House!N35</f>
        <v>-277.2</v>
      </c>
      <c r="O35" s="1296">
        <f>House!O35</f>
        <v>51.3</v>
      </c>
      <c r="P35" s="1296">
        <f>House!P35</f>
        <v>390</v>
      </c>
      <c r="Q35" s="1296">
        <f>House!Q35</f>
        <v>716.3</v>
      </c>
      <c r="R35" s="1296">
        <f>House!R35</f>
        <v>1007.6</v>
      </c>
      <c r="S35" s="1296">
        <f>House!S35</f>
        <v>1242.9000000000001</v>
      </c>
      <c r="T35" s="1296">
        <f>House!T35</f>
        <v>1403.8</v>
      </c>
      <c r="U35" s="1296">
        <f>House!U35</f>
        <v>1476.4</v>
      </c>
      <c r="V35" s="1296">
        <f>House!V35</f>
        <v>1452.1</v>
      </c>
      <c r="W35" s="1296">
        <f>House!W35</f>
        <v>1328.5</v>
      </c>
      <c r="X35" s="1296">
        <f>House!X35</f>
        <v>1109.8</v>
      </c>
      <c r="Y35" s="1296">
        <f>House!Y35</f>
        <v>348.5</v>
      </c>
      <c r="Z35" s="1296">
        <f>House!Z35</f>
        <v>440.1</v>
      </c>
      <c r="AA35" s="510"/>
      <c r="AB35" s="518"/>
      <c r="AC35" s="518"/>
      <c r="AD35" s="518"/>
      <c r="AE35" s="518"/>
      <c r="AF35" s="518"/>
      <c r="AG35" s="518"/>
      <c r="AH35" s="518"/>
      <c r="AI35" s="518"/>
      <c r="AJ35" s="527"/>
    </row>
    <row r="36" spans="1:36" s="518" customFormat="1" ht="15.75" thickBot="1">
      <c r="A36" s="2701"/>
      <c r="B36" s="2640"/>
      <c r="C36" s="2703"/>
      <c r="D36" s="2704"/>
      <c r="E36" s="2704"/>
      <c r="F36" s="2704"/>
      <c r="G36" s="2704"/>
      <c r="H36" s="2704"/>
      <c r="I36" s="2704"/>
      <c r="J36" s="2704"/>
      <c r="K36" s="2704"/>
      <c r="L36" s="2704"/>
      <c r="M36" s="2704"/>
      <c r="N36" s="2704"/>
      <c r="O36" s="2704"/>
      <c r="P36" s="2704"/>
      <c r="Q36" s="2704"/>
      <c r="R36" s="2704"/>
      <c r="S36" s="2704"/>
      <c r="T36" s="2704"/>
      <c r="U36" s="2704"/>
      <c r="V36" s="2704"/>
      <c r="W36" s="2704"/>
      <c r="X36" s="2704"/>
      <c r="Y36" s="2640"/>
      <c r="Z36" s="2640"/>
      <c r="AA36" s="2639"/>
      <c r="AB36" s="2639"/>
      <c r="AC36" s="2674"/>
      <c r="AD36" s="2639"/>
      <c r="AE36" s="2639"/>
      <c r="AF36" s="2639"/>
      <c r="AG36" s="2639"/>
      <c r="AH36" s="2639"/>
      <c r="AI36" s="2639"/>
      <c r="AJ36" s="2675"/>
    </row>
    <row r="37" spans="1:36">
      <c r="A37" s="3879" t="s">
        <v>2646</v>
      </c>
      <c r="B37" s="3849" t="str">
        <f>"Inlet Side Reinf "&amp;$E$6&amp;", "&amp;$G$6&amp;", "&amp;Center_H</f>
        <v>Inlet Side Reinf RD, 135, 1269</v>
      </c>
      <c r="C37" s="3858"/>
      <c r="D37" s="3858"/>
      <c r="E37" s="3858"/>
      <c r="F37" s="3858"/>
      <c r="G37" s="3858"/>
      <c r="H37" s="3858"/>
      <c r="I37" s="3858"/>
      <c r="J37" s="3858"/>
      <c r="K37" s="3858"/>
      <c r="L37" s="3858"/>
      <c r="M37" s="3858"/>
      <c r="N37" s="3858"/>
      <c r="O37" s="3858"/>
      <c r="P37" s="3858"/>
      <c r="Q37" s="3858"/>
      <c r="R37" s="3858"/>
      <c r="S37" s="3858"/>
      <c r="T37" s="3858"/>
      <c r="U37" s="3858"/>
      <c r="V37" s="3858"/>
      <c r="W37" s="3858"/>
      <c r="X37" s="3858"/>
      <c r="Y37" s="3858"/>
      <c r="Z37" s="3858"/>
      <c r="AA37" s="3858"/>
      <c r="AB37" s="3858"/>
      <c r="AC37" s="3858"/>
      <c r="AD37" s="3858"/>
      <c r="AE37" s="3858"/>
      <c r="AF37" s="3858"/>
      <c r="AG37" s="3858"/>
      <c r="AH37" s="3858"/>
      <c r="AI37" s="3858"/>
      <c r="AJ37" s="3859"/>
    </row>
    <row r="38" spans="1:36" ht="15.75" thickBot="1">
      <c r="A38" s="3880"/>
      <c r="B38" s="3850"/>
      <c r="C38" s="3860"/>
      <c r="D38" s="3860"/>
      <c r="E38" s="3860"/>
      <c r="F38" s="3860"/>
      <c r="G38" s="3860"/>
      <c r="H38" s="3860"/>
      <c r="I38" s="3860"/>
      <c r="J38" s="3860"/>
      <c r="K38" s="3860"/>
      <c r="L38" s="3860"/>
      <c r="M38" s="3860"/>
      <c r="N38" s="3860"/>
      <c r="O38" s="3860"/>
      <c r="P38" s="3860"/>
      <c r="Q38" s="3860"/>
      <c r="R38" s="3860"/>
      <c r="S38" s="3860"/>
      <c r="T38" s="3860"/>
      <c r="U38" s="3860"/>
      <c r="V38" s="3860"/>
      <c r="W38" s="3860"/>
      <c r="X38" s="3860"/>
      <c r="Y38" s="3860"/>
      <c r="Z38" s="3860"/>
      <c r="AA38" s="3860"/>
      <c r="AB38" s="3860"/>
      <c r="AC38" s="3860"/>
      <c r="AD38" s="3860"/>
      <c r="AE38" s="3860"/>
      <c r="AF38" s="3860"/>
      <c r="AG38" s="3860"/>
      <c r="AH38" s="3860"/>
      <c r="AI38" s="3860"/>
      <c r="AJ38" s="3861"/>
    </row>
    <row r="39" spans="1:36" ht="15.75" thickBot="1">
      <c r="A39" s="2407"/>
      <c r="B39" s="3199"/>
      <c r="C39" s="3200"/>
      <c r="D39" s="3200"/>
      <c r="E39" s="3200"/>
      <c r="F39" s="3200"/>
      <c r="G39" s="3200"/>
      <c r="H39" s="3200"/>
      <c r="I39" s="3200"/>
      <c r="J39" s="3216"/>
      <c r="K39" s="3216"/>
      <c r="L39" s="3216"/>
      <c r="M39" s="3216"/>
      <c r="N39" s="3216"/>
      <c r="O39" s="3216"/>
      <c r="P39" s="3216"/>
      <c r="Q39" s="3216"/>
      <c r="R39" s="3216"/>
      <c r="S39" s="3216"/>
      <c r="T39" s="3216"/>
      <c r="U39" s="3216"/>
      <c r="V39" s="3216"/>
      <c r="W39" s="3216"/>
      <c r="X39" s="3216"/>
      <c r="Y39" s="3216"/>
      <c r="Z39" s="3216"/>
      <c r="AA39" s="3216"/>
      <c r="AB39" s="3216"/>
      <c r="AC39" s="3216"/>
      <c r="AD39" s="3216"/>
      <c r="AE39" s="3216"/>
      <c r="AF39" s="3216"/>
      <c r="AG39" s="3216"/>
      <c r="AH39" s="3216"/>
      <c r="AI39" s="3216"/>
      <c r="AJ39" s="3217"/>
    </row>
    <row r="40" spans="1:36" ht="15.75" thickBot="1">
      <c r="A40" s="2408"/>
      <c r="B40" s="3095" t="str">
        <f>"IS Central Frame "&amp;$E$6&amp;", "&amp;$G$6&amp;", "&amp;Center_H</f>
        <v>IS Central Frame RD, 135, 1269</v>
      </c>
      <c r="C40" s="2567"/>
      <c r="D40" s="2567"/>
      <c r="E40" s="2567"/>
      <c r="F40" s="3290"/>
      <c r="G40" s="3207" t="s">
        <v>4018</v>
      </c>
      <c r="H40" s="3201" t="e">
        <f ca="1">(SQRT((B46/1000-B44/1000)^2+(B47/1000-B45/1000)^2)+SQRT((C46/1000-C44/1000)^2+(C47/1000-C45/1000)^2)+SQRT((D46/1000-D44/1000)^2+(D47/1000-D45/1000)^2)+SQRT((E46/1000-E44/1000)^2+(E47/1000-E45/1000)^2))*$T$7/1000*$U$7/1000*steel_density</f>
        <v>#REF!</v>
      </c>
      <c r="I40" s="3215" t="s">
        <v>131</v>
      </c>
      <c r="J40" s="2408"/>
      <c r="K40" s="2408"/>
      <c r="L40" s="2408"/>
      <c r="M40" s="2408"/>
      <c r="N40" s="2408"/>
      <c r="O40" s="2408"/>
      <c r="P40" s="2408"/>
      <c r="Q40" s="2408"/>
      <c r="R40" s="2408"/>
      <c r="S40" s="518"/>
      <c r="T40" s="518"/>
      <c r="U40" s="518"/>
      <c r="V40" s="518"/>
      <c r="W40" s="518"/>
      <c r="X40" s="518"/>
      <c r="Y40" s="518"/>
      <c r="Z40" s="518"/>
      <c r="AA40" s="2408"/>
      <c r="AB40" s="3262"/>
      <c r="AC40" s="3262"/>
      <c r="AD40" s="3262"/>
      <c r="AE40" s="3262"/>
      <c r="AF40" s="3262"/>
      <c r="AG40" s="3262"/>
      <c r="AH40" s="3262"/>
      <c r="AI40" s="3262"/>
      <c r="AJ40" s="3225"/>
    </row>
    <row r="41" spans="1:36" ht="14.45" customHeight="1">
      <c r="A41" s="2431" t="e">
        <f ca="1">IF(Small_F,'House reinf, Central Frame Side'!A161,"")</f>
        <v>#REF!</v>
      </c>
      <c r="B41" s="3291" t="s">
        <v>4014</v>
      </c>
      <c r="C41" s="3292" t="s">
        <v>4015</v>
      </c>
      <c r="D41" s="3292" t="s">
        <v>4016</v>
      </c>
      <c r="E41" s="3292" t="s">
        <v>4017</v>
      </c>
      <c r="F41" s="3292"/>
      <c r="G41" s="3292"/>
      <c r="H41" s="3292"/>
      <c r="I41" s="3293"/>
      <c r="J41" s="2408"/>
      <c r="K41" s="2408"/>
      <c r="L41" s="2408"/>
      <c r="M41" s="2408"/>
      <c r="N41" s="2408"/>
      <c r="O41" s="2408"/>
      <c r="P41" s="2408"/>
      <c r="Q41" s="2408"/>
      <c r="R41" s="2408"/>
      <c r="S41" s="518"/>
      <c r="T41" s="518"/>
      <c r="U41" s="518"/>
      <c r="V41" s="518"/>
      <c r="W41" s="518"/>
      <c r="X41" s="518"/>
      <c r="Y41" s="518"/>
      <c r="Z41" s="518"/>
      <c r="AA41" s="2408"/>
      <c r="AB41" s="3264"/>
      <c r="AC41" s="3268"/>
      <c r="AD41" s="3268"/>
      <c r="AE41" s="3268"/>
      <c r="AF41" s="3268"/>
      <c r="AG41" s="3268"/>
      <c r="AH41" s="3268"/>
      <c r="AI41" s="3268"/>
      <c r="AJ41" s="3269"/>
    </row>
    <row r="42" spans="1:36">
      <c r="A42" s="2431" t="e">
        <f ca="1">IF(Small_F,'House reinf, Central Frame Side'!A162,"")</f>
        <v>#REF!</v>
      </c>
      <c r="B42" s="543" t="e">
        <f ca="1">'House reinf, Central Frame Side'!B162</f>
        <v>#REF!</v>
      </c>
      <c r="C42" s="3286" t="e">
        <f ca="1">'House reinf, Central Frame Side'!C162</f>
        <v>#REF!</v>
      </c>
      <c r="D42" s="3286" t="e">
        <f ca="1">'House reinf, Central Frame Side'!D162</f>
        <v>#REF!</v>
      </c>
      <c r="E42" s="3287" t="e">
        <f ca="1">'House reinf, Central Frame Side'!E162</f>
        <v>#REF!</v>
      </c>
      <c r="F42" s="3288"/>
      <c r="G42" s="2015"/>
      <c r="H42" s="3287"/>
      <c r="I42" s="3289"/>
      <c r="J42" s="2408"/>
      <c r="K42" s="2408"/>
      <c r="L42" s="2408"/>
      <c r="M42" s="2408"/>
      <c r="N42" s="2408"/>
      <c r="O42" s="2408"/>
      <c r="P42" s="2408"/>
      <c r="Q42" s="2408"/>
      <c r="R42" s="2408"/>
      <c r="S42" s="518"/>
      <c r="T42" s="518"/>
      <c r="U42" s="518"/>
      <c r="V42" s="518"/>
      <c r="W42" s="518"/>
      <c r="X42" s="518"/>
      <c r="Y42" s="518"/>
      <c r="Z42" s="518"/>
      <c r="AA42" s="2408"/>
      <c r="AB42" s="3263"/>
      <c r="AC42" s="3266"/>
      <c r="AD42" s="3266"/>
      <c r="AE42" s="3266"/>
      <c r="AF42" s="3266"/>
      <c r="AG42" s="3266"/>
      <c r="AH42" s="3266"/>
      <c r="AI42" s="3266"/>
      <c r="AJ42" s="3267"/>
    </row>
    <row r="43" spans="1:36" ht="14.45" customHeight="1">
      <c r="A43" s="2431" t="e">
        <f ca="1">IF(Small_F,'House reinf, Central Frame Side'!A163,"")</f>
        <v>#REF!</v>
      </c>
      <c r="B43" s="3187" t="e">
        <f ca="1">'House reinf, Central Frame Side'!B163</f>
        <v>#REF!</v>
      </c>
      <c r="C43" s="3183" t="e">
        <f ca="1">'House reinf, Central Frame Side'!C163</f>
        <v>#REF!</v>
      </c>
      <c r="D43" s="3183" t="e">
        <f ca="1">'House reinf, Central Frame Side'!D163</f>
        <v>#REF!</v>
      </c>
      <c r="E43" s="3183" t="e">
        <f ca="1">'House reinf, Central Frame Side'!E163</f>
        <v>#REF!</v>
      </c>
      <c r="F43" s="3183"/>
      <c r="G43" s="3183"/>
      <c r="H43" s="3183"/>
      <c r="I43" s="3184"/>
      <c r="J43" s="2408"/>
      <c r="K43" s="2408"/>
      <c r="L43" s="2408"/>
      <c r="M43" s="2408"/>
      <c r="N43" s="2408"/>
      <c r="O43" s="2408"/>
      <c r="P43" s="2408"/>
      <c r="Q43" s="2408"/>
      <c r="R43" s="2408"/>
      <c r="S43" s="518"/>
      <c r="T43" s="518"/>
      <c r="U43" s="518"/>
      <c r="V43" s="518"/>
      <c r="W43" s="518"/>
      <c r="X43" s="518"/>
      <c r="Y43" s="518"/>
      <c r="Z43" s="518"/>
      <c r="AA43" s="2408"/>
      <c r="AB43" s="3264"/>
      <c r="AC43" s="3268"/>
      <c r="AD43" s="3268"/>
      <c r="AE43" s="3268"/>
      <c r="AF43" s="3268"/>
      <c r="AG43" s="3268"/>
      <c r="AH43" s="3268"/>
      <c r="AI43" s="3268"/>
      <c r="AJ43" s="3269"/>
    </row>
    <row r="44" spans="1:36">
      <c r="A44" s="2431" t="e">
        <f ca="1">IF(Small_F,'House reinf, Central Frame Side'!A164,"")</f>
        <v>#REF!</v>
      </c>
      <c r="B44" s="2134" t="e">
        <f ca="1">-'House reinf, Central Frame Side'!B164</f>
        <v>#REF!</v>
      </c>
      <c r="C44" s="2015" t="e">
        <f ca="1">-'House reinf, Central Frame Side'!C164</f>
        <v>#REF!</v>
      </c>
      <c r="D44" s="2015" t="e">
        <f ca="1">-'House reinf, Central Frame Side'!D164</f>
        <v>#REF!</v>
      </c>
      <c r="E44" s="2015" t="e">
        <f ca="1">-'House reinf, Central Frame Side'!E164</f>
        <v>#REF!</v>
      </c>
      <c r="F44" s="2015"/>
      <c r="G44" s="2015"/>
      <c r="H44" s="2015"/>
      <c r="I44" s="2131"/>
      <c r="J44" s="2408"/>
      <c r="K44" s="2408"/>
      <c r="L44" s="2408"/>
      <c r="M44" s="2408"/>
      <c r="N44" s="2408"/>
      <c r="O44" s="2408"/>
      <c r="P44" s="2408"/>
      <c r="Q44" s="2408"/>
      <c r="R44" s="2408"/>
      <c r="S44" s="518"/>
      <c r="T44" s="518"/>
      <c r="U44" s="518"/>
      <c r="V44" s="518"/>
      <c r="W44" s="518"/>
      <c r="X44" s="518"/>
      <c r="Y44" s="518"/>
      <c r="Z44" s="518"/>
      <c r="AA44" s="2408"/>
      <c r="AB44" s="3265" t="s">
        <v>1136</v>
      </c>
      <c r="AC44" s="3270"/>
      <c r="AD44" s="3270"/>
      <c r="AE44" s="3270"/>
      <c r="AF44" s="3270"/>
      <c r="AG44" s="3270"/>
      <c r="AH44" s="3270"/>
      <c r="AI44" s="3270"/>
      <c r="AJ44" s="3271"/>
    </row>
    <row r="45" spans="1:36">
      <c r="A45" s="2431" t="e">
        <f ca="1">IF(Small_F,'House reinf, Central Frame Side'!A165,"")</f>
        <v>#REF!</v>
      </c>
      <c r="B45" s="2134" t="e">
        <f ca="1">'House reinf, Central Frame Side'!B165</f>
        <v>#REF!</v>
      </c>
      <c r="C45" s="2015" t="e">
        <f ca="1">'House reinf, Central Frame Side'!C165</f>
        <v>#REF!</v>
      </c>
      <c r="D45" s="2015" t="e">
        <f ca="1">'House reinf, Central Frame Side'!D165</f>
        <v>#REF!</v>
      </c>
      <c r="E45" s="2015" t="e">
        <f ca="1">'House reinf, Central Frame Side'!E165</f>
        <v>#REF!</v>
      </c>
      <c r="F45" s="2015"/>
      <c r="G45" s="2015"/>
      <c r="H45" s="2015"/>
      <c r="I45" s="2131"/>
      <c r="J45" s="2408"/>
      <c r="K45" s="2408"/>
      <c r="L45" s="2408"/>
      <c r="M45" s="2408"/>
      <c r="N45" s="2408"/>
      <c r="O45" s="2408"/>
      <c r="P45" s="2408"/>
      <c r="Q45" s="2408"/>
      <c r="R45" s="2408"/>
      <c r="S45" s="518"/>
      <c r="T45" s="518"/>
      <c r="U45" s="518"/>
      <c r="V45" s="518"/>
      <c r="W45" s="518"/>
      <c r="X45" s="518"/>
      <c r="Y45" s="518"/>
      <c r="Z45" s="518"/>
      <c r="AA45" s="2408"/>
      <c r="AB45" s="3265" t="s">
        <v>1136</v>
      </c>
      <c r="AC45" s="3270"/>
      <c r="AD45" s="3270"/>
      <c r="AE45" s="3270"/>
      <c r="AF45" s="3270"/>
      <c r="AG45" s="3270"/>
      <c r="AH45" s="3270"/>
      <c r="AI45" s="3270"/>
      <c r="AJ45" s="3271"/>
    </row>
    <row r="46" spans="1:36">
      <c r="A46" s="2431" t="e">
        <f ca="1">IF(Small_F,'House reinf, Central Frame Side'!A166,"")</f>
        <v>#REF!</v>
      </c>
      <c r="B46" s="2134" t="e">
        <f ca="1">-'House reinf, Central Frame Side'!B166</f>
        <v>#REF!</v>
      </c>
      <c r="C46" s="2015" t="e">
        <f ca="1">-'House reinf, Central Frame Side'!C166</f>
        <v>#REF!</v>
      </c>
      <c r="D46" s="2015" t="e">
        <f ca="1">-'House reinf, Central Frame Side'!D166</f>
        <v>#REF!</v>
      </c>
      <c r="E46" s="2015" t="e">
        <f ca="1">-'House reinf, Central Frame Side'!E166</f>
        <v>#REF!</v>
      </c>
      <c r="F46" s="2015"/>
      <c r="G46" s="2015"/>
      <c r="H46" s="2015"/>
      <c r="I46" s="2131"/>
      <c r="J46" s="2408"/>
      <c r="K46" s="2408"/>
      <c r="L46" s="2408"/>
      <c r="M46" s="2408"/>
      <c r="N46" s="2408"/>
      <c r="O46" s="2408"/>
      <c r="P46" s="2408"/>
      <c r="Q46" s="2408"/>
      <c r="R46" s="2408"/>
      <c r="S46" s="518"/>
      <c r="T46" s="518"/>
      <c r="U46" s="518"/>
      <c r="V46" s="518"/>
      <c r="W46" s="518"/>
      <c r="X46" s="518"/>
      <c r="Y46" s="518"/>
      <c r="Z46" s="518"/>
      <c r="AA46" s="2408"/>
      <c r="AB46" s="3265" t="s">
        <v>1136</v>
      </c>
      <c r="AC46" s="3270"/>
      <c r="AD46" s="3270"/>
      <c r="AE46" s="3270"/>
      <c r="AF46" s="3270"/>
      <c r="AG46" s="3270"/>
      <c r="AH46" s="3270"/>
      <c r="AI46" s="3270"/>
      <c r="AJ46" s="3271"/>
    </row>
    <row r="47" spans="1:36" ht="15.75" thickBot="1">
      <c r="A47" s="2431" t="e">
        <f ca="1">IF(Small_F,'House reinf, Central Frame Side'!A167,"")</f>
        <v>#REF!</v>
      </c>
      <c r="B47" s="2135" t="e">
        <f ca="1">'House reinf, Central Frame Side'!B167</f>
        <v>#REF!</v>
      </c>
      <c r="C47" s="2132" t="e">
        <f ca="1">'House reinf, Central Frame Side'!C167</f>
        <v>#REF!</v>
      </c>
      <c r="D47" s="2132" t="e">
        <f ca="1">'House reinf, Central Frame Side'!D167</f>
        <v>#REF!</v>
      </c>
      <c r="E47" s="2132" t="e">
        <f ca="1">'House reinf, Central Frame Side'!E167</f>
        <v>#REF!</v>
      </c>
      <c r="F47" s="2132"/>
      <c r="G47" s="2132"/>
      <c r="H47" s="2132"/>
      <c r="I47" s="2133"/>
      <c r="J47" s="2408"/>
      <c r="K47" s="2408"/>
      <c r="L47" s="2408"/>
      <c r="M47" s="2408"/>
      <c r="N47" s="2408"/>
      <c r="O47" s="2408"/>
      <c r="P47" s="2408"/>
      <c r="Q47" s="2408"/>
      <c r="R47" s="2408"/>
      <c r="S47" s="518"/>
      <c r="T47" s="518"/>
      <c r="U47" s="518"/>
      <c r="V47" s="518"/>
      <c r="W47" s="518"/>
      <c r="X47" s="518"/>
      <c r="Y47" s="518"/>
      <c r="Z47" s="518"/>
      <c r="AA47" s="2408"/>
      <c r="AB47" s="3265" t="s">
        <v>1136</v>
      </c>
      <c r="AC47" s="3270"/>
      <c r="AD47" s="3270"/>
      <c r="AE47" s="3270"/>
      <c r="AF47" s="3270"/>
      <c r="AG47" s="3270"/>
      <c r="AH47" s="3270"/>
      <c r="AI47" s="3270"/>
      <c r="AJ47" s="3271"/>
    </row>
    <row r="48" spans="1:36" ht="15.75" thickBot="1">
      <c r="A48" s="526"/>
      <c r="B48" s="526"/>
      <c r="C48" s="518"/>
      <c r="D48" s="518"/>
      <c r="E48" s="518"/>
      <c r="F48" s="518"/>
      <c r="G48" s="518"/>
      <c r="H48" s="518"/>
      <c r="I48" s="518"/>
      <c r="J48" s="518"/>
      <c r="K48" s="518"/>
      <c r="L48" s="518"/>
      <c r="M48" s="518"/>
      <c r="N48" s="518"/>
      <c r="O48" s="518"/>
      <c r="P48" s="518"/>
      <c r="Q48" s="518"/>
      <c r="R48" s="518"/>
      <c r="S48" s="518"/>
      <c r="T48" s="518"/>
      <c r="U48" s="518"/>
      <c r="V48" s="518"/>
      <c r="W48" s="518"/>
      <c r="X48" s="518"/>
      <c r="Y48" s="518"/>
      <c r="Z48" s="518"/>
      <c r="AA48" s="518"/>
      <c r="AB48" s="518"/>
      <c r="AC48" s="518"/>
      <c r="AD48" s="518"/>
      <c r="AE48" s="518"/>
      <c r="AF48" s="518"/>
      <c r="AG48" s="518"/>
      <c r="AH48" s="518"/>
      <c r="AI48" s="518"/>
      <c r="AJ48" s="527"/>
    </row>
    <row r="49" spans="1:36" ht="15.75" thickBot="1">
      <c r="A49" s="2023"/>
      <c r="B49" s="3095" t="str">
        <f>"SP Frame "&amp;$E$6&amp;", "&amp;$G$6&amp;", "&amp;Center_H</f>
        <v>SP Frame RD, 135, 1269</v>
      </c>
      <c r="C49" s="2567"/>
      <c r="D49" s="2567"/>
      <c r="E49" s="3207" t="s">
        <v>4011</v>
      </c>
      <c r="F49" s="3201" t="e">
        <f ca="1">(SQRT((B55/1000-B53/1000)^2+(B56/1000-B54/1000)^2)+SQRT((C55/1000-C53/1000)^2+(C56/1000-C54/1000)^2)+SQRT((D55/1000-D53/1000)^2+(D56/1000-D54/1000)^2)+SQRT((E55/1000-E53/1000)^2+(E56/1000-E54/1000)^2))*$T$7/1000*$U$7/1000*steel_density+H49</f>
        <v>#REF!</v>
      </c>
      <c r="G49" s="3207" t="s">
        <v>4009</v>
      </c>
      <c r="H49" s="3201" t="e">
        <f ca="1">(SQRT((F55/1000-F53/1000)^2+(F56/1000-F54/1000)^2)+SQRT((G55/1000-G53/1000)^2+(G56/1000-G54/1000)^2)+SQRT((H55/1000-H53/1000)^2+(H56/1000-H54/1000)^2)+SQRT((I55/1000-I53/1000)^2+(I56/1000-I54/1000)^2))*$T$7/1000*$U$7/1000*steel_density</f>
        <v>#REF!</v>
      </c>
      <c r="I49" s="3210" t="s">
        <v>131</v>
      </c>
      <c r="J49" s="518"/>
      <c r="K49" s="528"/>
      <c r="L49" s="518"/>
      <c r="M49" s="518"/>
      <c r="N49" s="518"/>
      <c r="O49" s="518"/>
      <c r="P49" s="528"/>
      <c r="Q49" s="813"/>
      <c r="R49" s="813"/>
      <c r="S49" s="813"/>
      <c r="T49" s="528"/>
      <c r="U49" s="518"/>
      <c r="V49" s="518"/>
      <c r="W49" s="518"/>
      <c r="X49" s="528"/>
      <c r="Y49" s="510"/>
      <c r="Z49" s="518"/>
      <c r="AA49" s="518"/>
      <c r="AB49" s="527"/>
      <c r="AC49" s="3095" t="str">
        <f>"SP Frame "&amp;$E$6&amp;", (0), (0) -- DRIVE VIEW"</f>
        <v>SP Frame RD, (0), (0) -- DRIVE VIEW</v>
      </c>
      <c r="AD49" s="2567"/>
      <c r="AE49" s="2567"/>
      <c r="AF49" s="2567"/>
      <c r="AG49" s="2567"/>
      <c r="AH49" s="2567"/>
      <c r="AI49" s="2567"/>
      <c r="AJ49" s="2568"/>
    </row>
    <row r="50" spans="1:36" s="2013" customFormat="1" ht="14.45" customHeight="1">
      <c r="A50" s="2014" t="e">
        <f ca="1">IF(Small_F,"",'House reinf, Support Plate Side'!A170)</f>
        <v>#REF!</v>
      </c>
      <c r="B50" s="3317" t="s">
        <v>3987</v>
      </c>
      <c r="C50" s="3308" t="s">
        <v>3988</v>
      </c>
      <c r="D50" s="3308" t="s">
        <v>3989</v>
      </c>
      <c r="E50" s="3308" t="s">
        <v>3990</v>
      </c>
      <c r="F50" s="3308" t="s">
        <v>3991</v>
      </c>
      <c r="G50" s="3308" t="s">
        <v>3992</v>
      </c>
      <c r="H50" s="3308" t="s">
        <v>3993</v>
      </c>
      <c r="I50" s="3309" t="s">
        <v>3994</v>
      </c>
      <c r="J50" s="2379"/>
      <c r="K50" s="2379"/>
      <c r="L50" s="2379"/>
      <c r="M50" s="2379"/>
      <c r="N50" s="2379"/>
      <c r="O50" s="2379"/>
      <c r="P50" s="2379"/>
      <c r="Q50" s="2379"/>
      <c r="R50" s="2379"/>
      <c r="S50" s="2379"/>
      <c r="T50" s="2379"/>
      <c r="U50" s="2379"/>
      <c r="V50" s="2379"/>
      <c r="W50" s="2379"/>
      <c r="X50" s="2379"/>
      <c r="Y50" s="2379"/>
      <c r="Z50" s="2379"/>
      <c r="AA50" s="2379"/>
      <c r="AB50" s="3226" t="e">
        <f ca="1">IF(Small_F,"",'House reinf, Support Plate Side'!AB170)</f>
        <v>#REF!</v>
      </c>
      <c r="AC50" s="3317" t="s">
        <v>3987</v>
      </c>
      <c r="AD50" s="3308" t="s">
        <v>3988</v>
      </c>
      <c r="AE50" s="3308" t="s">
        <v>3989</v>
      </c>
      <c r="AF50" s="3308" t="s">
        <v>3990</v>
      </c>
      <c r="AG50" s="3308" t="s">
        <v>3991</v>
      </c>
      <c r="AH50" s="3308" t="s">
        <v>3992</v>
      </c>
      <c r="AI50" s="3308" t="s">
        <v>3993</v>
      </c>
      <c r="AJ50" s="3309" t="s">
        <v>3994</v>
      </c>
    </row>
    <row r="51" spans="1:36" s="2013" customFormat="1">
      <c r="A51" s="2014" t="e">
        <f ca="1">IF(Small_F,"",'House reinf, Support Plate Side'!A171)</f>
        <v>#REF!</v>
      </c>
      <c r="B51" s="3305" t="e">
        <f ca="1">'House reinf, Support Plate Side'!B171</f>
        <v>#REF!</v>
      </c>
      <c r="C51" s="3287" t="e">
        <f ca="1">'House reinf, Support Plate Side'!C171</f>
        <v>#REF!</v>
      </c>
      <c r="D51" s="3342" t="e">
        <f ca="1">'House reinf, Support Plate Side'!D171</f>
        <v>#REF!</v>
      </c>
      <c r="E51" s="3287" t="e">
        <f ca="1">'House reinf, Support Plate Side'!E171</f>
        <v>#REF!</v>
      </c>
      <c r="F51" s="3287" t="e">
        <f ca="1">'House reinf, Support Plate Side'!F171</f>
        <v>#REF!</v>
      </c>
      <c r="G51" s="3287" t="e">
        <f ca="1">'House reinf, Support Plate Side'!G171</f>
        <v>#REF!</v>
      </c>
      <c r="H51" s="3287" t="e">
        <f ca="1">'House reinf, Support Plate Side'!H171</f>
        <v>#REF!</v>
      </c>
      <c r="I51" s="3289" t="e">
        <f ca="1">'House reinf, Support Plate Side'!I171</f>
        <v>#REF!</v>
      </c>
      <c r="J51" s="2379"/>
      <c r="K51" s="2379"/>
      <c r="L51" s="2379"/>
      <c r="M51" s="2379"/>
      <c r="N51" s="2379"/>
      <c r="O51" s="2379"/>
      <c r="P51" s="2379"/>
      <c r="Q51" s="2379"/>
      <c r="R51" s="2379"/>
      <c r="S51" s="2379"/>
      <c r="T51" s="2379"/>
      <c r="U51" s="2379"/>
      <c r="V51" s="2379"/>
      <c r="W51" s="2379"/>
      <c r="X51" s="2379"/>
      <c r="Y51" s="2379"/>
      <c r="Z51" s="2379"/>
      <c r="AA51" s="2379"/>
      <c r="AB51" s="3226" t="e">
        <f ca="1">IF(Small_F,"",'House reinf, Support Plate Side'!AB171)</f>
        <v>#REF!</v>
      </c>
      <c r="AC51" s="3305" t="e">
        <f ca="1">'House reinf, Support Plate Side'!AC171</f>
        <v>#REF!</v>
      </c>
      <c r="AD51" s="3287" t="e">
        <f ca="1">'House reinf, Support Plate Side'!AD171</f>
        <v>#REF!</v>
      </c>
      <c r="AE51" s="3316" t="e">
        <f ca="1">'House reinf, Support Plate Side'!AE171</f>
        <v>#REF!</v>
      </c>
      <c r="AF51" s="3287" t="e">
        <f ca="1">'House reinf, Support Plate Side'!AF171</f>
        <v>#REF!</v>
      </c>
      <c r="AG51" s="3287" t="e">
        <f ca="1">'House reinf, Support Plate Side'!AG171</f>
        <v>#REF!</v>
      </c>
      <c r="AH51" s="3287" t="e">
        <f ca="1">'House reinf, Support Plate Side'!AH171</f>
        <v>#REF!</v>
      </c>
      <c r="AI51" s="3287" t="e">
        <f ca="1">'House reinf, Support Plate Side'!AI171</f>
        <v>#REF!</v>
      </c>
      <c r="AJ51" s="3289" t="e">
        <f ca="1">'House reinf, Support Plate Side'!AJ171</f>
        <v>#REF!</v>
      </c>
    </row>
    <row r="52" spans="1:36" s="2013" customFormat="1" ht="14.45" customHeight="1">
      <c r="A52" s="2014" t="e">
        <f ca="1">IF(Small_F,"",'House reinf, Support Plate Side'!A172)</f>
        <v>#REF!</v>
      </c>
      <c r="B52" s="3187" t="e">
        <f ca="1">'House reinf, Support Plate Side'!B172</f>
        <v>#REF!</v>
      </c>
      <c r="C52" s="3183" t="e">
        <f ca="1">'House reinf, Support Plate Side'!C172</f>
        <v>#REF!</v>
      </c>
      <c r="D52" s="3183" t="e">
        <f ca="1">'House reinf, Support Plate Side'!D172</f>
        <v>#REF!</v>
      </c>
      <c r="E52" s="3183" t="e">
        <f ca="1">'House reinf, Support Plate Side'!E172</f>
        <v>#REF!</v>
      </c>
      <c r="F52" s="3183" t="e">
        <f ca="1">'House reinf, Support Plate Side'!F172</f>
        <v>#REF!</v>
      </c>
      <c r="G52" s="3183" t="e">
        <f ca="1">'House reinf, Support Plate Side'!G172</f>
        <v>#REF!</v>
      </c>
      <c r="H52" s="3183" t="e">
        <f ca="1">'House reinf, Support Plate Side'!H172</f>
        <v>#REF!</v>
      </c>
      <c r="I52" s="3184" t="e">
        <f ca="1">'House reinf, Support Plate Side'!I172</f>
        <v>#REF!</v>
      </c>
      <c r="J52" s="2379"/>
      <c r="K52" s="2379"/>
      <c r="L52" s="2379"/>
      <c r="M52" s="2379"/>
      <c r="N52" s="2379"/>
      <c r="O52" s="2379"/>
      <c r="P52" s="2379"/>
      <c r="Q52" s="2379"/>
      <c r="R52" s="2379"/>
      <c r="S52" s="2379"/>
      <c r="T52" s="2379"/>
      <c r="U52" s="2379"/>
      <c r="V52" s="2379"/>
      <c r="W52" s="2379"/>
      <c r="X52" s="2379"/>
      <c r="Y52" s="2379"/>
      <c r="Z52" s="2379"/>
      <c r="AA52" s="2379"/>
      <c r="AB52" s="3226" t="e">
        <f ca="1">IF(Small_F,"",'House reinf, Support Plate Side'!AB172)</f>
        <v>#REF!</v>
      </c>
      <c r="AC52" s="3221" t="e">
        <f ca="1">'House reinf, Support Plate Side'!AC172</f>
        <v>#REF!</v>
      </c>
      <c r="AD52" s="3185" t="e">
        <f ca="1">'House reinf, Support Plate Side'!AD172</f>
        <v>#REF!</v>
      </c>
      <c r="AE52" s="3185" t="e">
        <f ca="1">'House reinf, Support Plate Side'!AE172</f>
        <v>#REF!</v>
      </c>
      <c r="AF52" s="3185" t="e">
        <f ca="1">'House reinf, Support Plate Side'!AF172</f>
        <v>#REF!</v>
      </c>
      <c r="AG52" s="3185" t="e">
        <f ca="1">'House reinf, Support Plate Side'!AG172</f>
        <v>#REF!</v>
      </c>
      <c r="AH52" s="3185" t="e">
        <f ca="1">'House reinf, Support Plate Side'!AH172</f>
        <v>#REF!</v>
      </c>
      <c r="AI52" s="3185" t="e">
        <f ca="1">'House reinf, Support Plate Side'!AI172</f>
        <v>#REF!</v>
      </c>
      <c r="AJ52" s="3186" t="e">
        <f ca="1">'House reinf, Support Plate Side'!AJ172</f>
        <v>#REF!</v>
      </c>
    </row>
    <row r="53" spans="1:36" s="2013" customFormat="1">
      <c r="A53" s="2014" t="e">
        <f ca="1">IF(Small_F,"",'House reinf, Support Plate Side'!A173)</f>
        <v>#REF!</v>
      </c>
      <c r="B53" s="2134" t="e">
        <f ca="1">-'House reinf, Support Plate Side'!B173</f>
        <v>#REF!</v>
      </c>
      <c r="C53" s="2015" t="e">
        <f ca="1">-'House reinf, Support Plate Side'!C173</f>
        <v>#REF!</v>
      </c>
      <c r="D53" s="2015" t="e">
        <f ca="1">-'House reinf, Support Plate Side'!D173</f>
        <v>#REF!</v>
      </c>
      <c r="E53" s="2015" t="e">
        <f ca="1">-'House reinf, Support Plate Side'!E173</f>
        <v>#REF!</v>
      </c>
      <c r="F53" s="2015" t="e">
        <f ca="1">-'House reinf, Support Plate Side'!F173</f>
        <v>#REF!</v>
      </c>
      <c r="G53" s="2015" t="e">
        <f ca="1">-'House reinf, Support Plate Side'!G173</f>
        <v>#REF!</v>
      </c>
      <c r="H53" s="2015" t="e">
        <f ca="1">-'House reinf, Support Plate Side'!H173</f>
        <v>#REF!</v>
      </c>
      <c r="I53" s="2131" t="e">
        <f ca="1">-'House reinf, Support Plate Side'!I173</f>
        <v>#REF!</v>
      </c>
      <c r="J53" s="2379"/>
      <c r="K53" s="2379"/>
      <c r="L53" s="2379"/>
      <c r="M53" s="2379"/>
      <c r="N53" s="2379"/>
      <c r="O53" s="2379"/>
      <c r="P53" s="2379"/>
      <c r="Q53" s="2379"/>
      <c r="R53" s="2379"/>
      <c r="S53" s="2379"/>
      <c r="T53" s="2379"/>
      <c r="U53" s="2379"/>
      <c r="V53" s="2379"/>
      <c r="W53" s="2379"/>
      <c r="X53" s="2379"/>
      <c r="Y53" s="2379"/>
      <c r="Z53" s="2379"/>
      <c r="AA53" s="2379"/>
      <c r="AB53" s="3226" t="e">
        <f ca="1">IF(Small_F,"",'House reinf, Support Plate Side'!AB173)</f>
        <v>#REF!</v>
      </c>
      <c r="AC53" s="3219" t="e">
        <f ca="1">-'House reinf, Support Plate Side'!AC173</f>
        <v>#REF!</v>
      </c>
      <c r="AD53" s="2145" t="e">
        <f ca="1">-'House reinf, Support Plate Side'!AD173</f>
        <v>#REF!</v>
      </c>
      <c r="AE53" s="2145" t="e">
        <f ca="1">-'House reinf, Support Plate Side'!AE173</f>
        <v>#REF!</v>
      </c>
      <c r="AF53" s="2145" t="e">
        <f ca="1">-'House reinf, Support Plate Side'!AF173</f>
        <v>#REF!</v>
      </c>
      <c r="AG53" s="2145" t="e">
        <f ca="1">-'House reinf, Support Plate Side'!AG173</f>
        <v>#REF!</v>
      </c>
      <c r="AH53" s="2145" t="e">
        <f ca="1">-'House reinf, Support Plate Side'!AH173</f>
        <v>#REF!</v>
      </c>
      <c r="AI53" s="2145" t="e">
        <f ca="1">-'House reinf, Support Plate Side'!AI173</f>
        <v>#REF!</v>
      </c>
      <c r="AJ53" s="3096" t="e">
        <f ca="1">-'House reinf, Support Plate Side'!AJ173</f>
        <v>#REF!</v>
      </c>
    </row>
    <row r="54" spans="1:36" s="2013" customFormat="1">
      <c r="A54" s="2014" t="e">
        <f ca="1">IF(Small_F,"",'House reinf, Support Plate Side'!A174)</f>
        <v>#REF!</v>
      </c>
      <c r="B54" s="2134" t="e">
        <f ca="1">'House reinf, Support Plate Side'!B174</f>
        <v>#REF!</v>
      </c>
      <c r="C54" s="2015" t="e">
        <f ca="1">'House reinf, Support Plate Side'!C174</f>
        <v>#REF!</v>
      </c>
      <c r="D54" s="2015" t="e">
        <f ca="1">'House reinf, Support Plate Side'!D174</f>
        <v>#REF!</v>
      </c>
      <c r="E54" s="2015" t="e">
        <f ca="1">'House reinf, Support Plate Side'!E174</f>
        <v>#REF!</v>
      </c>
      <c r="F54" s="2015" t="e">
        <f ca="1">'House reinf, Support Plate Side'!F174</f>
        <v>#REF!</v>
      </c>
      <c r="G54" s="2015" t="e">
        <f ca="1">'House reinf, Support Plate Side'!G174</f>
        <v>#REF!</v>
      </c>
      <c r="H54" s="2015" t="e">
        <f ca="1">'House reinf, Support Plate Side'!H174</f>
        <v>#REF!</v>
      </c>
      <c r="I54" s="2131" t="e">
        <f ca="1">'House reinf, Support Plate Side'!I174</f>
        <v>#REF!</v>
      </c>
      <c r="J54" s="2379"/>
      <c r="K54" s="2379"/>
      <c r="L54" s="2379"/>
      <c r="M54" s="2379"/>
      <c r="N54" s="2379"/>
      <c r="O54" s="2379"/>
      <c r="P54" s="2379"/>
      <c r="Q54" s="2379"/>
      <c r="R54" s="2379"/>
      <c r="S54" s="2379"/>
      <c r="T54" s="2379"/>
      <c r="U54" s="2379"/>
      <c r="V54" s="2379"/>
      <c r="W54" s="2379"/>
      <c r="X54" s="2379"/>
      <c r="Y54" s="2379"/>
      <c r="Z54" s="2379"/>
      <c r="AA54" s="2379"/>
      <c r="AB54" s="3226" t="e">
        <f ca="1">IF(Small_F,"",'House reinf, Support Plate Side'!AB174)</f>
        <v>#REF!</v>
      </c>
      <c r="AC54" s="3219" t="e">
        <f ca="1">'House reinf, Support Plate Side'!AC174</f>
        <v>#REF!</v>
      </c>
      <c r="AD54" s="2145" t="e">
        <f ca="1">'House reinf, Support Plate Side'!AD174</f>
        <v>#REF!</v>
      </c>
      <c r="AE54" s="2145" t="e">
        <f ca="1">'House reinf, Support Plate Side'!AE174</f>
        <v>#REF!</v>
      </c>
      <c r="AF54" s="2145" t="e">
        <f ca="1">'House reinf, Support Plate Side'!AF174</f>
        <v>#REF!</v>
      </c>
      <c r="AG54" s="2145" t="e">
        <f ca="1">'House reinf, Support Plate Side'!AG174</f>
        <v>#REF!</v>
      </c>
      <c r="AH54" s="2145" t="e">
        <f ca="1">'House reinf, Support Plate Side'!AH174</f>
        <v>#REF!</v>
      </c>
      <c r="AI54" s="2145" t="e">
        <f ca="1">'House reinf, Support Plate Side'!AI174</f>
        <v>#REF!</v>
      </c>
      <c r="AJ54" s="3096" t="e">
        <f ca="1">'House reinf, Support Plate Side'!AJ174</f>
        <v>#REF!</v>
      </c>
    </row>
    <row r="55" spans="1:36" s="2013" customFormat="1">
      <c r="A55" s="2014" t="e">
        <f ca="1">IF(Small_F,"",'House reinf, Support Plate Side'!A175)</f>
        <v>#REF!</v>
      </c>
      <c r="B55" s="2134" t="e">
        <f ca="1">-'House reinf, Support Plate Side'!B175</f>
        <v>#REF!</v>
      </c>
      <c r="C55" s="2015" t="e">
        <f ca="1">-'House reinf, Support Plate Side'!C175</f>
        <v>#REF!</v>
      </c>
      <c r="D55" s="2015" t="e">
        <f ca="1">-'House reinf, Support Plate Side'!D175</f>
        <v>#REF!</v>
      </c>
      <c r="E55" s="2015" t="e">
        <f ca="1">-'House reinf, Support Plate Side'!E175</f>
        <v>#REF!</v>
      </c>
      <c r="F55" s="2015" t="e">
        <f ca="1">-'House reinf, Support Plate Side'!F175</f>
        <v>#REF!</v>
      </c>
      <c r="G55" s="2015" t="e">
        <f ca="1">-'House reinf, Support Plate Side'!G175</f>
        <v>#REF!</v>
      </c>
      <c r="H55" s="2015" t="e">
        <f ca="1">-'House reinf, Support Plate Side'!H175</f>
        <v>#REF!</v>
      </c>
      <c r="I55" s="2131" t="e">
        <f ca="1">-'House reinf, Support Plate Side'!I175</f>
        <v>#REF!</v>
      </c>
      <c r="J55" s="2379"/>
      <c r="K55" s="2379"/>
      <c r="L55" s="2379"/>
      <c r="M55" s="2379"/>
      <c r="N55" s="2379"/>
      <c r="O55" s="2379"/>
      <c r="P55" s="2379"/>
      <c r="Q55" s="2379"/>
      <c r="R55" s="2379"/>
      <c r="S55" s="2379"/>
      <c r="T55" s="2379"/>
      <c r="U55" s="2379"/>
      <c r="V55" s="2379"/>
      <c r="W55" s="2379"/>
      <c r="X55" s="2379"/>
      <c r="Y55" s="2379"/>
      <c r="Z55" s="2379"/>
      <c r="AA55" s="2379"/>
      <c r="AB55" s="3226"/>
      <c r="AC55" s="3219"/>
      <c r="AD55" s="2145"/>
      <c r="AE55" s="2145"/>
      <c r="AF55" s="2145"/>
      <c r="AG55" s="2145"/>
      <c r="AH55" s="2145"/>
      <c r="AI55" s="2145"/>
      <c r="AJ55" s="3096"/>
    </row>
    <row r="56" spans="1:36" s="2013" customFormat="1" ht="15.75" thickBot="1">
      <c r="A56" s="2014" t="e">
        <f ca="1">IF(Small_F,"",'House reinf, Support Plate Side'!A176)</f>
        <v>#REF!</v>
      </c>
      <c r="B56" s="2135" t="e">
        <f ca="1">'House reinf, Support Plate Side'!B176</f>
        <v>#REF!</v>
      </c>
      <c r="C56" s="2132" t="e">
        <f ca="1">'House reinf, Support Plate Side'!C176</f>
        <v>#REF!</v>
      </c>
      <c r="D56" s="2132" t="e">
        <f ca="1">'House reinf, Support Plate Side'!D176</f>
        <v>#REF!</v>
      </c>
      <c r="E56" s="2132" t="e">
        <f ca="1">'House reinf, Support Plate Side'!E176</f>
        <v>#REF!</v>
      </c>
      <c r="F56" s="2132" t="e">
        <f ca="1">'House reinf, Support Plate Side'!F176</f>
        <v>#REF!</v>
      </c>
      <c r="G56" s="2132" t="e">
        <f ca="1">'House reinf, Support Plate Side'!G176</f>
        <v>#REF!</v>
      </c>
      <c r="H56" s="2132" t="e">
        <f ca="1">'House reinf, Support Plate Side'!H176</f>
        <v>#REF!</v>
      </c>
      <c r="I56" s="2133" t="e">
        <f ca="1">'House reinf, Support Plate Side'!I176</f>
        <v>#REF!</v>
      </c>
      <c r="J56" s="2379"/>
      <c r="K56" s="2379"/>
      <c r="L56" s="2379"/>
      <c r="M56" s="2379"/>
      <c r="N56" s="2379"/>
      <c r="O56" s="2379"/>
      <c r="P56" s="2379"/>
      <c r="Q56" s="2379"/>
      <c r="R56" s="2379"/>
      <c r="S56" s="2379"/>
      <c r="T56" s="2379"/>
      <c r="U56" s="2379"/>
      <c r="V56" s="2379"/>
      <c r="W56" s="2379"/>
      <c r="X56" s="2379"/>
      <c r="Y56" s="2379"/>
      <c r="Z56" s="2379"/>
      <c r="AA56" s="2379"/>
      <c r="AB56" s="3226" t="e">
        <f ca="1">IF(Small_F,"",'House reinf, Support Plate Side'!AB176)</f>
        <v>#REF!</v>
      </c>
      <c r="AC56" s="3220" t="e">
        <f ca="1">'House reinf, Support Plate Side'!AC176</f>
        <v>#REF!</v>
      </c>
      <c r="AD56" s="2474" t="e">
        <f ca="1">'House reinf, Support Plate Side'!AD176</f>
        <v>#REF!</v>
      </c>
      <c r="AE56" s="2474" t="e">
        <f ca="1">'House reinf, Support Plate Side'!AE176</f>
        <v>#REF!</v>
      </c>
      <c r="AF56" s="2474" t="e">
        <f ca="1">'House reinf, Support Plate Side'!AF176</f>
        <v>#REF!</v>
      </c>
      <c r="AG56" s="2474" t="e">
        <f ca="1">'House reinf, Support Plate Side'!AG176</f>
        <v>#REF!</v>
      </c>
      <c r="AH56" s="2474" t="e">
        <f ca="1">'House reinf, Support Plate Side'!AH176</f>
        <v>#REF!</v>
      </c>
      <c r="AI56" s="2474" t="e">
        <f ca="1">'House reinf, Support Plate Side'!AI176</f>
        <v>#REF!</v>
      </c>
      <c r="AJ56" s="3097" t="e">
        <f ca="1">'House reinf, Support Plate Side'!AJ176</f>
        <v>#REF!</v>
      </c>
    </row>
    <row r="57" spans="1:36" s="2378" customFormat="1" ht="15.75" thickBot="1">
      <c r="A57" s="2385"/>
      <c r="B57" s="3212"/>
      <c r="C57" s="2377"/>
      <c r="D57" s="2377"/>
      <c r="E57" s="2377"/>
      <c r="F57" s="2377"/>
      <c r="G57" s="2377"/>
      <c r="H57" s="2377"/>
      <c r="I57" s="2377"/>
      <c r="J57" s="2386"/>
      <c r="K57" s="2386"/>
      <c r="L57" s="2386"/>
      <c r="M57" s="2386"/>
      <c r="N57" s="2386"/>
      <c r="O57" s="2386"/>
      <c r="P57" s="2386"/>
      <c r="Q57" s="2386"/>
      <c r="R57" s="2386"/>
      <c r="S57" s="2386"/>
      <c r="T57" s="2386"/>
      <c r="U57" s="2386"/>
      <c r="V57" s="2386"/>
      <c r="W57" s="2386"/>
      <c r="X57" s="2386"/>
      <c r="Y57" s="2386"/>
      <c r="Z57" s="2386"/>
      <c r="AA57" s="2386"/>
      <c r="AB57" s="2386"/>
      <c r="AC57" s="2386"/>
      <c r="AD57" s="2386"/>
      <c r="AE57" s="2386"/>
      <c r="AF57" s="2386"/>
      <c r="AG57" s="2386"/>
      <c r="AH57" s="2386"/>
      <c r="AI57" s="2386"/>
      <c r="AJ57" s="2387"/>
    </row>
    <row r="58" spans="1:36" ht="15.75" thickBot="1">
      <c r="A58" s="2023"/>
      <c r="B58" s="3333" t="str">
        <f>"SP Rad. Reinf "&amp;$E$6&amp;", "&amp;$G$6&amp;", "&amp;Center_H</f>
        <v>SP Rad. Reinf RD, 135, 1269</v>
      </c>
      <c r="C58" s="3334"/>
      <c r="D58" s="3334"/>
      <c r="E58" s="3334"/>
      <c r="F58" s="3290"/>
      <c r="G58" s="3335" t="s">
        <v>4012</v>
      </c>
      <c r="H58" s="3336" t="e">
        <f ca="1">(SUM(B62:E62)/1000)*$T$7/1000*$U$7/1000*steel_density</f>
        <v>#REF!</v>
      </c>
      <c r="I58" s="3337" t="s">
        <v>131</v>
      </c>
      <c r="J58" s="510"/>
      <c r="K58" s="510"/>
      <c r="L58" s="510"/>
      <c r="M58" s="510"/>
      <c r="N58" s="510"/>
      <c r="O58" s="510"/>
      <c r="P58" s="510"/>
      <c r="Q58" s="510"/>
      <c r="R58" s="510"/>
      <c r="S58" s="510"/>
      <c r="T58" s="510"/>
      <c r="U58" s="510"/>
      <c r="V58" s="510"/>
      <c r="W58" s="510"/>
      <c r="X58" s="510"/>
      <c r="Y58" s="510"/>
      <c r="Z58" s="510"/>
      <c r="AA58" s="510"/>
      <c r="AB58" s="510"/>
      <c r="AC58" s="510"/>
      <c r="AD58" s="510"/>
      <c r="AE58" s="510"/>
      <c r="AF58" s="510"/>
      <c r="AG58" s="510"/>
      <c r="AH58" s="510"/>
      <c r="AI58" s="510"/>
      <c r="AJ58" s="1340"/>
    </row>
    <row r="59" spans="1:36">
      <c r="A59" s="2383" t="e">
        <f ca="1">IF(Small_F,"",'House reinf, Support Plate Side'!B179)</f>
        <v>#REF!</v>
      </c>
      <c r="B59" s="2415">
        <f>'House reinf, Support Plate Side'!BC179</f>
        <v>0</v>
      </c>
      <c r="C59" s="3286">
        <f>'House reinf, Support Plate Side'!BD179</f>
        <v>0</v>
      </c>
      <c r="D59" s="3338">
        <f>'House reinf, Support Plate Side'!BE179</f>
        <v>0</v>
      </c>
      <c r="E59" s="3338">
        <f>'House reinf, Support Plate Side'!BF179</f>
        <v>0</v>
      </c>
      <c r="G59" s="510"/>
      <c r="H59" s="510"/>
      <c r="I59" s="1340"/>
      <c r="J59" s="510"/>
      <c r="K59" s="510"/>
      <c r="L59" s="510"/>
      <c r="M59" s="510"/>
      <c r="N59" s="510"/>
      <c r="O59" s="510"/>
      <c r="P59" s="510"/>
      <c r="Q59" s="510"/>
      <c r="R59" s="510"/>
      <c r="S59" s="510"/>
      <c r="T59" s="510"/>
      <c r="U59" s="510"/>
      <c r="V59" s="510"/>
      <c r="W59" s="510"/>
      <c r="X59" s="510"/>
      <c r="Y59" s="510"/>
      <c r="Z59" s="510"/>
      <c r="AA59" s="510"/>
      <c r="AB59" s="510"/>
      <c r="AC59" s="510"/>
      <c r="AD59" s="510"/>
      <c r="AE59" s="510"/>
      <c r="AF59" s="510"/>
      <c r="AG59" s="510"/>
      <c r="AH59" s="510"/>
      <c r="AI59" s="510"/>
      <c r="AJ59" s="1340"/>
    </row>
    <row r="60" spans="1:36">
      <c r="A60" s="509" t="e">
        <f ca="1">IF(Small_F,"",'House reinf, Support Plate Side'!A180)</f>
        <v>#REF!</v>
      </c>
      <c r="B60" s="807" t="e">
        <f ca="1">'House reinf, Support Plate Side'!B180</f>
        <v>#REF!</v>
      </c>
      <c r="C60" s="780" t="e">
        <f ca="1">'House reinf, Support Plate Side'!C180</f>
        <v>#REF!</v>
      </c>
      <c r="D60" s="780" t="e">
        <f ca="1">'House reinf, Support Plate Side'!D180</f>
        <v>#REF!</v>
      </c>
      <c r="E60" s="780" t="e">
        <f ca="1">'House reinf, Support Plate Side'!E180</f>
        <v>#REF!</v>
      </c>
      <c r="F60" s="510"/>
      <c r="G60" s="510"/>
      <c r="H60" s="510"/>
      <c r="I60" s="1340"/>
      <c r="J60" s="510"/>
      <c r="K60" s="510"/>
      <c r="L60" s="510"/>
      <c r="M60" s="510"/>
      <c r="N60" s="510"/>
      <c r="O60" s="510"/>
      <c r="P60" s="510"/>
      <c r="Q60" s="510"/>
      <c r="R60" s="510"/>
      <c r="S60" s="510"/>
      <c r="T60" s="510"/>
      <c r="U60" s="510"/>
      <c r="V60" s="510"/>
      <c r="W60" s="510"/>
      <c r="X60" s="510"/>
      <c r="Y60" s="510"/>
      <c r="Z60" s="510"/>
      <c r="AA60" s="510"/>
      <c r="AB60" s="510"/>
      <c r="AC60" s="510"/>
      <c r="AD60" s="510"/>
      <c r="AE60" s="510"/>
      <c r="AF60" s="510"/>
      <c r="AG60" s="510"/>
      <c r="AH60" s="510"/>
      <c r="AI60" s="510"/>
      <c r="AJ60" s="1340"/>
    </row>
    <row r="61" spans="1:36">
      <c r="A61" s="509" t="e">
        <f ca="1">IF(Small_F,"",'House reinf, Support Plate Side'!A181)</f>
        <v>#REF!</v>
      </c>
      <c r="B61" s="1360" t="e">
        <f ca="1">'House reinf, Support Plate Side'!C181</f>
        <v>#REF!</v>
      </c>
      <c r="C61" s="1133" t="e">
        <f ca="1">'House reinf, Support Plate Side'!D181</f>
        <v>#REF!</v>
      </c>
      <c r="D61" s="1133" t="e">
        <f ca="1">'House reinf, Support Plate Side'!E181</f>
        <v>#REF!</v>
      </c>
      <c r="E61" s="1133">
        <f>'House reinf, Support Plate Side'!F181</f>
        <v>0</v>
      </c>
      <c r="F61" s="806"/>
      <c r="G61" s="805"/>
      <c r="H61" s="805"/>
      <c r="I61" s="1375"/>
      <c r="J61" s="805"/>
      <c r="K61" s="805"/>
      <c r="L61" s="805"/>
      <c r="M61" s="805"/>
      <c r="N61" s="805"/>
      <c r="O61" s="805"/>
      <c r="P61" s="805"/>
      <c r="Q61" s="805"/>
      <c r="R61" s="805"/>
      <c r="S61" s="805"/>
      <c r="T61" s="805"/>
      <c r="U61" s="805"/>
      <c r="V61" s="805"/>
      <c r="W61" s="805"/>
      <c r="X61" s="805"/>
      <c r="Y61" s="805"/>
      <c r="Z61" s="805"/>
      <c r="AA61" s="805"/>
      <c r="AB61" s="805"/>
      <c r="AC61" s="805"/>
      <c r="AD61" s="805"/>
      <c r="AE61" s="805"/>
      <c r="AF61" s="805"/>
      <c r="AG61" s="805"/>
      <c r="AH61" s="805"/>
      <c r="AI61" s="805"/>
      <c r="AJ61" s="1375"/>
    </row>
    <row r="62" spans="1:36">
      <c r="A62" s="509" t="e">
        <f ca="1">IF(Small_F,"",'House reinf, Support Plate Side'!A182)</f>
        <v>#REF!</v>
      </c>
      <c r="B62" s="529" t="e">
        <f ca="1">'House reinf, Support Plate Side'!C182</f>
        <v>#REF!</v>
      </c>
      <c r="C62" s="504" t="e">
        <f ca="1">'House reinf, Support Plate Side'!D182</f>
        <v>#REF!</v>
      </c>
      <c r="D62" s="504" t="e">
        <f ca="1">'House reinf, Support Plate Side'!E182</f>
        <v>#REF!</v>
      </c>
      <c r="E62" s="504">
        <f>'House reinf, Support Plate Side'!F182</f>
        <v>0</v>
      </c>
      <c r="F62" s="503"/>
      <c r="G62" s="510"/>
      <c r="H62" s="510"/>
      <c r="I62" s="1340"/>
      <c r="J62" s="510"/>
      <c r="K62" s="510"/>
      <c r="L62" s="510"/>
      <c r="M62" s="510"/>
      <c r="N62" s="510"/>
      <c r="O62" s="510"/>
      <c r="P62" s="510"/>
      <c r="Q62" s="510"/>
      <c r="R62" s="510"/>
      <c r="S62" s="510"/>
      <c r="T62" s="510"/>
      <c r="U62" s="510"/>
      <c r="V62" s="510"/>
      <c r="W62" s="510"/>
      <c r="X62" s="510"/>
      <c r="Y62" s="510"/>
      <c r="Z62" s="510"/>
      <c r="AA62" s="510"/>
      <c r="AB62" s="510"/>
      <c r="AC62" s="510"/>
      <c r="AD62" s="510"/>
      <c r="AE62" s="510"/>
      <c r="AF62" s="510"/>
      <c r="AG62" s="510"/>
      <c r="AH62" s="510"/>
      <c r="AI62" s="510"/>
      <c r="AJ62" s="1340"/>
    </row>
    <row r="63" spans="1:36">
      <c r="A63" s="509" t="e">
        <f ca="1">IF(Small_F,"",'House reinf, Support Plate Side'!A183)</f>
        <v>#REF!</v>
      </c>
      <c r="B63" s="529" t="e">
        <f ca="1">-'House reinf, Support Plate Side'!B183</f>
        <v>#REF!</v>
      </c>
      <c r="C63" s="504" t="e">
        <f ca="1">-'House reinf, Support Plate Side'!C183</f>
        <v>#REF!</v>
      </c>
      <c r="D63" s="504" t="e">
        <f ca="1">-'House reinf, Support Plate Side'!D183</f>
        <v>#REF!</v>
      </c>
      <c r="E63" s="504" t="e">
        <f ca="1">-'House reinf, Support Plate Side'!E183</f>
        <v>#REF!</v>
      </c>
      <c r="F63" s="503"/>
      <c r="G63" s="510"/>
      <c r="H63" s="510"/>
      <c r="I63" s="1340"/>
      <c r="J63" s="510"/>
      <c r="K63" s="510"/>
      <c r="L63" s="510"/>
      <c r="M63" s="510"/>
      <c r="N63" s="510"/>
      <c r="O63" s="510"/>
      <c r="P63" s="510"/>
      <c r="Q63" s="510"/>
      <c r="R63" s="510"/>
      <c r="S63" s="510"/>
      <c r="T63" s="510"/>
      <c r="U63" s="510"/>
      <c r="V63" s="510"/>
      <c r="W63" s="510"/>
      <c r="X63" s="510"/>
      <c r="Y63" s="510"/>
      <c r="Z63" s="510"/>
      <c r="AA63" s="510"/>
      <c r="AB63" s="510"/>
      <c r="AC63" s="510"/>
      <c r="AD63" s="510"/>
      <c r="AE63" s="510"/>
      <c r="AF63" s="510"/>
      <c r="AG63" s="510"/>
      <c r="AH63" s="510"/>
      <c r="AI63" s="510"/>
      <c r="AJ63" s="1340"/>
    </row>
    <row r="64" spans="1:36">
      <c r="A64" s="509" t="e">
        <f ca="1">IF(Small_F,"",'House reinf, Support Plate Side'!A184)</f>
        <v>#REF!</v>
      </c>
      <c r="B64" s="531" t="e">
        <f ca="1">'House reinf, Support Plate Side'!B184</f>
        <v>#REF!</v>
      </c>
      <c r="C64" s="508" t="e">
        <f ca="1">'House reinf, Support Plate Side'!C184</f>
        <v>#REF!</v>
      </c>
      <c r="D64" s="508" t="e">
        <f ca="1">'House reinf, Support Plate Side'!D184</f>
        <v>#REF!</v>
      </c>
      <c r="E64" s="508" t="e">
        <f ca="1">'House reinf, Support Plate Side'!E184</f>
        <v>#REF!</v>
      </c>
      <c r="F64" s="503"/>
      <c r="G64" s="510"/>
      <c r="H64" s="510"/>
      <c r="I64" s="1340"/>
      <c r="J64" s="510"/>
      <c r="K64" s="510"/>
      <c r="L64" s="510"/>
      <c r="M64" s="510"/>
      <c r="N64" s="510"/>
      <c r="O64" s="510"/>
      <c r="P64" s="510"/>
      <c r="Q64" s="510"/>
      <c r="R64" s="510"/>
      <c r="S64" s="510"/>
      <c r="T64" s="510"/>
      <c r="U64" s="510"/>
      <c r="V64" s="510"/>
      <c r="W64" s="510"/>
      <c r="X64" s="510"/>
      <c r="Y64" s="510"/>
      <c r="Z64" s="510"/>
      <c r="AA64" s="510"/>
      <c r="AB64" s="510"/>
      <c r="AC64" s="510"/>
      <c r="AD64" s="510"/>
      <c r="AE64" s="510"/>
      <c r="AF64" s="510"/>
      <c r="AG64" s="510"/>
      <c r="AH64" s="510"/>
      <c r="AI64" s="510"/>
      <c r="AJ64" s="1340"/>
    </row>
    <row r="65" spans="1:36">
      <c r="A65" s="509" t="e">
        <f ca="1">IF(Small_F,"",'House reinf, Support Plate Side'!A185)</f>
        <v>#REF!</v>
      </c>
      <c r="B65" s="529" t="e">
        <f ca="1">-'House reinf, Support Plate Side'!B185</f>
        <v>#REF!</v>
      </c>
      <c r="C65" s="504" t="e">
        <f ca="1">-'House reinf, Support Plate Side'!C185</f>
        <v>#REF!</v>
      </c>
      <c r="D65" s="504" t="e">
        <f ca="1">-'House reinf, Support Plate Side'!D185</f>
        <v>#REF!</v>
      </c>
      <c r="E65" s="504" t="e">
        <f ca="1">-'House reinf, Support Plate Side'!E185</f>
        <v>#REF!</v>
      </c>
      <c r="F65" s="503"/>
      <c r="G65" s="510"/>
      <c r="H65" s="510"/>
      <c r="I65" s="1340"/>
      <c r="J65" s="510"/>
      <c r="K65" s="510"/>
      <c r="L65" s="510"/>
      <c r="M65" s="510"/>
      <c r="N65" s="510"/>
      <c r="O65" s="510"/>
      <c r="P65" s="510"/>
      <c r="Q65" s="510"/>
      <c r="R65" s="510"/>
      <c r="S65" s="510"/>
      <c r="T65" s="510"/>
      <c r="U65" s="510"/>
      <c r="V65" s="510"/>
      <c r="W65" s="510"/>
      <c r="X65" s="510"/>
      <c r="Y65" s="510"/>
      <c r="Z65" s="510"/>
      <c r="AA65" s="510"/>
      <c r="AB65" s="510"/>
      <c r="AC65" s="510"/>
      <c r="AD65" s="510"/>
      <c r="AE65" s="510"/>
      <c r="AF65" s="510"/>
      <c r="AG65" s="510"/>
      <c r="AH65" s="510"/>
      <c r="AI65" s="510"/>
      <c r="AJ65" s="1340"/>
    </row>
    <row r="66" spans="1:36" ht="15.75" thickBot="1">
      <c r="A66" s="509" t="e">
        <f ca="1">IF(Small_F,"",'House reinf, Support Plate Side'!A186)</f>
        <v>#REF!</v>
      </c>
      <c r="B66" s="534" t="e">
        <f ca="1">'House reinf, Support Plate Side'!B186</f>
        <v>#REF!</v>
      </c>
      <c r="C66" s="535" t="e">
        <f ca="1">'House reinf, Support Plate Side'!C186</f>
        <v>#REF!</v>
      </c>
      <c r="D66" s="535" t="e">
        <f ca="1">'House reinf, Support Plate Side'!D186</f>
        <v>#REF!</v>
      </c>
      <c r="E66" s="535" t="e">
        <f ca="1">'House reinf, Support Plate Side'!E186</f>
        <v>#REF!</v>
      </c>
      <c r="F66" s="546"/>
      <c r="G66" s="547"/>
      <c r="H66" s="547"/>
      <c r="I66" s="1377"/>
      <c r="J66" s="510"/>
      <c r="K66" s="510"/>
      <c r="L66" s="510"/>
      <c r="M66" s="510"/>
      <c r="N66" s="510"/>
      <c r="O66" s="510"/>
      <c r="P66" s="510"/>
      <c r="Q66" s="510"/>
      <c r="R66" s="510"/>
      <c r="S66" s="510"/>
      <c r="T66" s="510"/>
      <c r="U66" s="510"/>
      <c r="V66" s="510"/>
      <c r="W66" s="510"/>
      <c r="X66" s="510"/>
      <c r="Y66" s="510"/>
      <c r="Z66" s="510"/>
      <c r="AA66" s="510"/>
      <c r="AB66" s="510"/>
      <c r="AC66" s="510"/>
      <c r="AD66" s="510"/>
      <c r="AE66" s="510"/>
      <c r="AF66" s="510"/>
      <c r="AG66" s="510"/>
      <c r="AH66" s="510"/>
      <c r="AI66" s="510"/>
      <c r="AJ66" s="1340"/>
    </row>
    <row r="67" spans="1:36" s="2013" customFormat="1" ht="15.75" thickBot="1">
      <c r="A67" s="2023"/>
      <c r="B67" s="3211"/>
      <c r="C67" s="2016"/>
      <c r="D67" s="2379"/>
      <c r="E67" s="2016"/>
      <c r="F67" s="2379"/>
      <c r="G67" s="2379"/>
      <c r="H67" s="2379"/>
      <c r="I67" s="2379"/>
      <c r="J67" s="2379"/>
      <c r="K67" s="2379"/>
      <c r="L67" s="2379"/>
      <c r="M67" s="2379"/>
      <c r="N67" s="2379"/>
      <c r="O67" s="2379"/>
      <c r="P67" s="2379"/>
      <c r="Q67" s="2379"/>
      <c r="R67" s="2379"/>
      <c r="S67" s="2379"/>
      <c r="T67" s="2379"/>
      <c r="U67" s="2379"/>
      <c r="V67" s="2379"/>
      <c r="W67" s="2379"/>
      <c r="X67" s="2379"/>
      <c r="Y67" s="2379"/>
      <c r="Z67" s="2379"/>
      <c r="AA67" s="2379"/>
      <c r="AB67" s="2379"/>
      <c r="AC67" s="2379"/>
      <c r="AD67" s="2379"/>
      <c r="AE67" s="2379"/>
      <c r="AF67" s="2379"/>
      <c r="AG67" s="2379"/>
      <c r="AH67" s="2379"/>
      <c r="AI67" s="2379"/>
      <c r="AJ67" s="2380"/>
    </row>
    <row r="68" spans="1:36" s="2013" customFormat="1" ht="15.75" thickBot="1">
      <c r="A68" s="2023"/>
      <c r="B68" s="3092" t="str">
        <f>"IS Ext Frame "&amp;$E$6&amp;", "&amp;$G$6&amp;", "&amp;Center_H</f>
        <v>IS Ext Frame RD, 135, 1269</v>
      </c>
      <c r="C68" s="3093"/>
      <c r="D68" s="3093"/>
      <c r="E68" s="3194" t="s">
        <v>4010</v>
      </c>
      <c r="F68" s="3193" t="e">
        <f ca="1">(SQRT((B74/1000-B72/1000)^2+(B75/1000-B73/1000)^2)+SQRT((D74/1000-D72/1000)^2+(D75/1000-D73/1000)^2)+SQRT((F74/1000-F72/1000)^2+(F75/1000-F73/1000)^2)+SQRT((H74/1000-H72/1000)^2+(H75/1000-H73/1000)^2)+($Z$22/1000-$B$22/1000))*$T$7/1000*$U$7/1000*steel_density+H68</f>
        <v>#REF!</v>
      </c>
      <c r="G68" s="3194" t="s">
        <v>4009</v>
      </c>
      <c r="H68" s="3193" t="e">
        <f ca="1">(SQRT((J74/1000-J72/1000)^2+(J75/1000-J73/1000)^2)+SQRT((K74/1000-K72/1000)^2+(K75/1000-K73/1000)^2)+SQRT((L74/1000-L72/1000)^2+(L75/1000-L73/1000)^2)+SQRT((M74/1000-M72/1000)^2+(M75/1000-M73/1000)^2))*$T$7/1000*$U$7/1000*steel_density</f>
        <v>#REF!</v>
      </c>
      <c r="I68" s="3192" t="s">
        <v>131</v>
      </c>
      <c r="J68" s="3192"/>
      <c r="K68" s="3192"/>
      <c r="L68" s="3192"/>
      <c r="M68" s="3195"/>
      <c r="N68" s="2381"/>
      <c r="O68" s="2379"/>
      <c r="P68" s="2379"/>
      <c r="Q68" s="2379"/>
      <c r="R68" s="2379"/>
      <c r="S68" s="2379"/>
      <c r="T68" s="2379"/>
      <c r="U68" s="2379"/>
      <c r="V68" s="2379"/>
      <c r="W68" s="2379"/>
      <c r="X68" s="2380"/>
      <c r="Y68" s="3318" t="str">
        <f>"IS Ext Frame "&amp;$E$6&amp;", (0), (0)"</f>
        <v>IS Ext Frame RD, (0), (0)</v>
      </c>
      <c r="Z68" s="3093"/>
      <c r="AA68" s="3093"/>
      <c r="AB68" s="3194"/>
      <c r="AC68" s="3193"/>
      <c r="AD68" s="3194"/>
      <c r="AE68" s="3193"/>
      <c r="AF68" s="3192"/>
      <c r="AG68" s="3192"/>
      <c r="AH68" s="3192"/>
      <c r="AI68" s="3192"/>
      <c r="AJ68" s="3195"/>
    </row>
    <row r="69" spans="1:36" s="2013" customFormat="1" ht="14.45" customHeight="1">
      <c r="A69" s="2406" t="e">
        <f ca="1">IF(Small_F,"",'House reinf, Support Plate Side'!A189)</f>
        <v>#REF!</v>
      </c>
      <c r="B69" s="3300" t="s">
        <v>4140</v>
      </c>
      <c r="C69" s="3301" t="s">
        <v>4141</v>
      </c>
      <c r="D69" s="3301" t="s">
        <v>4142</v>
      </c>
      <c r="E69" s="3301" t="s">
        <v>4143</v>
      </c>
      <c r="F69" s="3301" t="s">
        <v>4144</v>
      </c>
      <c r="G69" s="3301" t="s">
        <v>4145</v>
      </c>
      <c r="H69" s="3301" t="s">
        <v>4146</v>
      </c>
      <c r="I69" s="3301" t="s">
        <v>4147</v>
      </c>
      <c r="J69" s="3301" t="s">
        <v>3995</v>
      </c>
      <c r="K69" s="3301" t="s">
        <v>3996</v>
      </c>
      <c r="L69" s="3301" t="s">
        <v>3997</v>
      </c>
      <c r="M69" s="3302" t="s">
        <v>3998</v>
      </c>
      <c r="N69" s="2381"/>
      <c r="O69" s="2379"/>
      <c r="P69" s="2379"/>
      <c r="Q69" s="2379"/>
      <c r="R69" s="2379"/>
      <c r="S69" s="2379"/>
      <c r="T69" s="2379"/>
      <c r="U69" s="2379"/>
      <c r="V69" s="2379"/>
      <c r="W69" s="2379"/>
      <c r="X69" s="3226" t="e">
        <f ca="1">IF(Small_F,"",'House reinf, Support Plate Side'!X189)</f>
        <v>#REF!</v>
      </c>
      <c r="Y69" s="3300" t="s">
        <v>4140</v>
      </c>
      <c r="Z69" s="3301" t="s">
        <v>4141</v>
      </c>
      <c r="AA69" s="3301" t="s">
        <v>4142</v>
      </c>
      <c r="AB69" s="3301" t="s">
        <v>4143</v>
      </c>
      <c r="AC69" s="3301" t="s">
        <v>4144</v>
      </c>
      <c r="AD69" s="3301" t="s">
        <v>4145</v>
      </c>
      <c r="AE69" s="3301" t="s">
        <v>4146</v>
      </c>
      <c r="AF69" s="3301" t="s">
        <v>4147</v>
      </c>
      <c r="AG69" s="3301" t="s">
        <v>3995</v>
      </c>
      <c r="AH69" s="3301" t="s">
        <v>3996</v>
      </c>
      <c r="AI69" s="3301" t="s">
        <v>3997</v>
      </c>
      <c r="AJ69" s="3302" t="s">
        <v>3998</v>
      </c>
    </row>
    <row r="70" spans="1:36" s="2013" customFormat="1" ht="14.45" customHeight="1">
      <c r="A70" s="2406" t="e">
        <f ca="1">IF(Small_F,"",'House reinf, Support Plate Side'!A190)</f>
        <v>#REF!</v>
      </c>
      <c r="B70" s="3884" t="e">
        <f ca="1">IF(Small_F,FALSE,'House reinf, Support Plate Side'!B190)</f>
        <v>#REF!</v>
      </c>
      <c r="C70" s="3885" t="e">
        <f ca="1">IF(Small_F,FALSE,'House reinf, Support Plate Side'!C190)</f>
        <v>#REF!</v>
      </c>
      <c r="D70" s="3886" t="e">
        <f ca="1">IF(Small_F,FALSE,'House reinf, Support Plate Side'!D190)</f>
        <v>#REF!</v>
      </c>
      <c r="E70" s="3885" t="e">
        <f ca="1">IF(Small_F,FALSE,'House reinf, Support Plate Side'!E190)</f>
        <v>#REF!</v>
      </c>
      <c r="F70" s="3886" t="e">
        <f ca="1">IF(Small_F,FALSE,'House reinf, Support Plate Side'!F190)</f>
        <v>#REF!</v>
      </c>
      <c r="G70" s="3885" t="e">
        <f ca="1">IF(Small_F,FALSE,'House reinf, Support Plate Side'!G190)</f>
        <v>#REF!</v>
      </c>
      <c r="H70" s="3886" t="e">
        <f ca="1">IF(Small_F,FALSE,'House reinf, Support Plate Side'!H190)</f>
        <v>#REF!</v>
      </c>
      <c r="I70" s="3885" t="e">
        <f ca="1">IF(Small_F,FALSE,'House reinf, Support Plate Side'!I190)</f>
        <v>#REF!</v>
      </c>
      <c r="J70" s="3303" t="e">
        <f ca="1">IF(Small_F,FALSE,'House reinf, Support Plate Side'!J190)</f>
        <v>#REF!</v>
      </c>
      <c r="K70" s="3303" t="e">
        <f ca="1">IF(Small_F,FALSE,'House reinf, Support Plate Side'!K190)</f>
        <v>#REF!</v>
      </c>
      <c r="L70" s="3303" t="e">
        <f ca="1">IF(Small_F,FALSE,'House reinf, Support Plate Side'!L190)</f>
        <v>#REF!</v>
      </c>
      <c r="M70" s="3304" t="e">
        <f ca="1">IF(Small_F,FALSE,'House reinf, Support Plate Side'!M190)</f>
        <v>#REF!</v>
      </c>
      <c r="N70" s="2381"/>
      <c r="O70" s="2379"/>
      <c r="P70" s="2379"/>
      <c r="Q70" s="2379"/>
      <c r="R70" s="2379"/>
      <c r="S70" s="2379"/>
      <c r="T70" s="2379"/>
      <c r="U70" s="2379"/>
      <c r="V70" s="2379"/>
      <c r="W70" s="2379"/>
      <c r="X70" s="3226" t="e">
        <f ca="1">IF(Small_F,"",'House reinf, Support Plate Side'!X190)</f>
        <v>#REF!</v>
      </c>
      <c r="Y70" s="3884" t="e">
        <f ca="1">IF(Small_F,FALSE,'House reinf, Support Plate Side'!Y190)</f>
        <v>#REF!</v>
      </c>
      <c r="Z70" s="3885" t="e">
        <f ca="1">IF(Small_F,FALSE,'House reinf, Support Plate Side'!Z190)</f>
        <v>#REF!</v>
      </c>
      <c r="AA70" s="3886" t="e">
        <f ca="1">IF(Small_F,FALSE,'House reinf, Support Plate Side'!AA190)</f>
        <v>#REF!</v>
      </c>
      <c r="AB70" s="3885" t="e">
        <f ca="1">IF(Small_F,FALSE,'House reinf, Support Plate Side'!AB190)</f>
        <v>#REF!</v>
      </c>
      <c r="AC70" s="3886" t="e">
        <f ca="1">IF(Small_F,FALSE,'House reinf, Support Plate Side'!AC190)</f>
        <v>#REF!</v>
      </c>
      <c r="AD70" s="3885" t="e">
        <f ca="1">IF(Small_F,FALSE,'House reinf, Support Plate Side'!AD190)</f>
        <v>#REF!</v>
      </c>
      <c r="AE70" s="3886" t="e">
        <f ca="1">IF(Small_F,FALSE,'House reinf, Support Plate Side'!AE190)</f>
        <v>#REF!</v>
      </c>
      <c r="AF70" s="3885" t="e">
        <f ca="1">IF(Small_F,FALSE,'House reinf, Support Plate Side'!AF190)</f>
        <v>#REF!</v>
      </c>
      <c r="AG70" s="3303" t="e">
        <f ca="1">IF(Small_F,FALSE,'House reinf, Support Plate Side'!AG190)</f>
        <v>#REF!</v>
      </c>
      <c r="AH70" s="3303" t="e">
        <f ca="1">IF(Small_F,FALSE,'House reinf, Support Plate Side'!AH190)</f>
        <v>#REF!</v>
      </c>
      <c r="AI70" s="3303" t="e">
        <f ca="1">IF(Small_F,FALSE,'House reinf, Support Plate Side'!AI190)</f>
        <v>#REF!</v>
      </c>
      <c r="AJ70" s="3304" t="e">
        <f ca="1">IF(Small_F,FALSE,'House reinf, Support Plate Side'!AJ190)</f>
        <v>#REF!</v>
      </c>
    </row>
    <row r="71" spans="1:36" s="2013" customFormat="1" ht="14.45" customHeight="1">
      <c r="A71" s="2406" t="e">
        <f ca="1">IF(Small_F,"",'House reinf, Support Plate Side'!A191)</f>
        <v>#REF!</v>
      </c>
      <c r="B71" s="3881" t="e">
        <f ca="1">IF(Small_F,0,'House reinf, Support Plate Side'!B191)</f>
        <v>#REF!</v>
      </c>
      <c r="C71" s="3882" t="e">
        <f ca="1">IF(Small_F,0,'House reinf, Support Plate Side'!C191)</f>
        <v>#REF!</v>
      </c>
      <c r="D71" s="3883" t="e">
        <f ca="1">IF(Small_F,0,'House reinf, Support Plate Side'!D191)</f>
        <v>#REF!</v>
      </c>
      <c r="E71" s="3882" t="e">
        <f ca="1">IF(Small_F,0,'House reinf, Support Plate Side'!E191)</f>
        <v>#REF!</v>
      </c>
      <c r="F71" s="3883" t="e">
        <f ca="1">IF(Small_F,0,'House reinf, Support Plate Side'!F191)</f>
        <v>#REF!</v>
      </c>
      <c r="G71" s="3882" t="e">
        <f ca="1">IF(Small_F,0,'House reinf, Support Plate Side'!G191)</f>
        <v>#REF!</v>
      </c>
      <c r="H71" s="3838" t="e">
        <f ca="1">IF(Small_F,0,'House reinf, Support Plate Side'!H191)</f>
        <v>#REF!</v>
      </c>
      <c r="I71" s="3882" t="e">
        <f ca="1">IF(Small_F,0,'House reinf, Support Plate Side'!I191)</f>
        <v>#REF!</v>
      </c>
      <c r="J71" s="3174" t="e">
        <f ca="1">IF(Small_F,0,'House reinf, Support Plate Side'!J191)</f>
        <v>#REF!</v>
      </c>
      <c r="K71" s="3174" t="e">
        <f ca="1">IF(Small_F,0,'House reinf, Support Plate Side'!K191)</f>
        <v>#REF!</v>
      </c>
      <c r="L71" s="3174" t="e">
        <f ca="1">IF(Small_F,0,'House reinf, Support Plate Side'!L191)</f>
        <v>#REF!</v>
      </c>
      <c r="M71" s="3233" t="e">
        <f ca="1">IF(Small_F,0,'House reinf, Support Plate Side'!M191)</f>
        <v>#REF!</v>
      </c>
      <c r="N71" s="2381"/>
      <c r="O71" s="2379"/>
      <c r="P71" s="2379"/>
      <c r="Q71" s="2379"/>
      <c r="R71" s="2379"/>
      <c r="S71" s="2379"/>
      <c r="T71" s="2379"/>
      <c r="U71" s="2379"/>
      <c r="V71" s="2379"/>
      <c r="W71" s="2379"/>
      <c r="X71" s="3226" t="e">
        <f ca="1">IF(Small_F,"",'House reinf, Support Plate Side'!X191)</f>
        <v>#REF!</v>
      </c>
      <c r="Y71" s="3838" t="e">
        <f ca="1">IF(Small_F,0,'House reinf, Support Plate Side'!Y191)</f>
        <v>#REF!</v>
      </c>
      <c r="Z71" s="3882" t="e">
        <f ca="1">IF(Small_F,0,'House reinf, Support Plate Side'!Z191)</f>
        <v>#REF!</v>
      </c>
      <c r="AA71" s="3883" t="e">
        <f ca="1">IF(Small_F,0,'House reinf, Support Plate Side'!AA191)</f>
        <v>#REF!</v>
      </c>
      <c r="AB71" s="3882" t="e">
        <f ca="1">IF(Small_F,0,'House reinf, Support Plate Side'!AB191)</f>
        <v>#REF!</v>
      </c>
      <c r="AC71" s="3883" t="e">
        <f ca="1">IF(Small_F,0,'House reinf, Support Plate Side'!AC191)</f>
        <v>#REF!</v>
      </c>
      <c r="AD71" s="3882" t="e">
        <f ca="1">IF(Small_F,0,'House reinf, Support Plate Side'!AD191)</f>
        <v>#REF!</v>
      </c>
      <c r="AE71" s="3838" t="e">
        <f ca="1">IF(Small_F,0,'House reinf, Support Plate Side'!AE191)</f>
        <v>#REF!</v>
      </c>
      <c r="AF71" s="3882" t="e">
        <f ca="1">IF(Small_F,0,'House reinf, Support Plate Side'!AF191)</f>
        <v>#REF!</v>
      </c>
      <c r="AG71" s="3174" t="e">
        <f ca="1">IF(Small_F,0,'House reinf, Support Plate Side'!AG191)</f>
        <v>#REF!</v>
      </c>
      <c r="AH71" s="3174" t="e">
        <f ca="1">IF(Small_F,0,'House reinf, Support Plate Side'!AH191)</f>
        <v>#REF!</v>
      </c>
      <c r="AI71" s="3174" t="e">
        <f ca="1">IF(Small_F,0,'House reinf, Support Plate Side'!AI191)</f>
        <v>#REF!</v>
      </c>
      <c r="AJ71" s="3178" t="e">
        <f ca="1">IF(Small_F,0,'House reinf, Support Plate Side'!AJ191)</f>
        <v>#REF!</v>
      </c>
    </row>
    <row r="72" spans="1:36" s="2013" customFormat="1">
      <c r="A72" s="2406" t="e">
        <f ca="1">IF(Small_F,"",'House reinf, Support Plate Side'!A192)</f>
        <v>#REF!</v>
      </c>
      <c r="B72" s="2805" t="e">
        <f ca="1">-IF(Small_F,0,'House reinf, Support Plate Side'!B192)</f>
        <v>#REF!</v>
      </c>
      <c r="C72" s="2666" t="e">
        <f ca="1">-IF(Small_F,0,'House reinf, Support Plate Side'!C192)</f>
        <v>#REF!</v>
      </c>
      <c r="D72" s="2666" t="e">
        <f ca="1">-IF(Small_F,0,'House reinf, Support Plate Side'!D192)</f>
        <v>#REF!</v>
      </c>
      <c r="E72" s="2666" t="e">
        <f ca="1">-IF(Small_F,0,'House reinf, Support Plate Side'!E192)</f>
        <v>#REF!</v>
      </c>
      <c r="F72" s="2666" t="e">
        <f ca="1">-IF(Small_F,0,'House reinf, Support Plate Side'!F192)</f>
        <v>#REF!</v>
      </c>
      <c r="G72" s="2666" t="e">
        <f ca="1">-IF(Small_F,0,'House reinf, Support Plate Side'!G192)</f>
        <v>#REF!</v>
      </c>
      <c r="H72" s="2666" t="e">
        <f ca="1">-IF(Small_F,0,'House reinf, Support Plate Side'!H192)</f>
        <v>#REF!</v>
      </c>
      <c r="I72" s="2666" t="e">
        <f ca="1">-IF(Small_F,0,'House reinf, Support Plate Side'!I192)</f>
        <v>#REF!</v>
      </c>
      <c r="J72" s="2666" t="e">
        <f ca="1">-IF(Small_F,0,'House reinf, Support Plate Side'!J192)</f>
        <v>#REF!</v>
      </c>
      <c r="K72" s="2666" t="e">
        <f ca="1">-IF(Small_F,0,'House reinf, Support Plate Side'!K192)</f>
        <v>#REF!</v>
      </c>
      <c r="L72" s="2666" t="e">
        <f ca="1">-IF(Small_F,0,'House reinf, Support Plate Side'!L192)</f>
        <v>#REF!</v>
      </c>
      <c r="M72" s="3234" t="e">
        <f ca="1">-IF(Small_F,0,'House reinf, Support Plate Side'!M192)</f>
        <v>#REF!</v>
      </c>
      <c r="N72" s="2381"/>
      <c r="O72" s="2376"/>
      <c r="P72" s="2379"/>
      <c r="Q72" s="2379"/>
      <c r="R72" s="2379"/>
      <c r="S72" s="2379"/>
      <c r="T72" s="2379"/>
      <c r="U72" s="2379"/>
      <c r="V72" s="2379"/>
      <c r="W72" s="2379"/>
      <c r="X72" s="3226" t="e">
        <f ca="1">IF(Small_F,"",'House reinf, Support Plate Side'!X192)</f>
        <v>#REF!</v>
      </c>
      <c r="Y72" s="3231" t="e">
        <f ca="1">-IF(Small_F,0,'House reinf, Support Plate Side'!Y192)</f>
        <v>#REF!</v>
      </c>
      <c r="Z72" s="2666" t="e">
        <f ca="1">-IF(Small_F,0,'House reinf, Support Plate Side'!Z192)</f>
        <v>#REF!</v>
      </c>
      <c r="AA72" s="2666" t="e">
        <f ca="1">-IF(Small_F,0,'House reinf, Support Plate Side'!AA192)</f>
        <v>#REF!</v>
      </c>
      <c r="AB72" s="2666" t="e">
        <f ca="1">-IF(Small_F,0,'House reinf, Support Plate Side'!AB192)</f>
        <v>#REF!</v>
      </c>
      <c r="AC72" s="2666" t="e">
        <f ca="1">-IF(Small_F,0,'House reinf, Support Plate Side'!AC192)</f>
        <v>#REF!</v>
      </c>
      <c r="AD72" s="2666" t="e">
        <f ca="1">-IF(Small_F,0,'House reinf, Support Plate Side'!AD192)</f>
        <v>#REF!</v>
      </c>
      <c r="AE72" s="2666" t="e">
        <f ca="1">-IF(Small_F,0,'House reinf, Support Plate Side'!AE192)</f>
        <v>#REF!</v>
      </c>
      <c r="AF72" s="2666" t="e">
        <f ca="1">-IF(Small_F,0,'House reinf, Support Plate Side'!AF192)</f>
        <v>#REF!</v>
      </c>
      <c r="AG72" s="2666" t="e">
        <f ca="1">-IF(Small_F,0,'House reinf, Support Plate Side'!AG192)</f>
        <v>#REF!</v>
      </c>
      <c r="AH72" s="2666" t="e">
        <f ca="1">-IF(Small_F,0,'House reinf, Support Plate Side'!AH192)</f>
        <v>#REF!</v>
      </c>
      <c r="AI72" s="2666" t="e">
        <f ca="1">-IF(Small_F,0,'House reinf, Support Plate Side'!AI192)</f>
        <v>#REF!</v>
      </c>
      <c r="AJ72" s="2806" t="e">
        <f ca="1">-IF(Small_F,0,'House reinf, Support Plate Side'!AJ192)</f>
        <v>#REF!</v>
      </c>
    </row>
    <row r="73" spans="1:36" s="2013" customFormat="1">
      <c r="A73" s="2406" t="e">
        <f ca="1">IF(Small_F,"",'House reinf, Support Plate Side'!A193)</f>
        <v>#REF!</v>
      </c>
      <c r="B73" s="2805" t="e">
        <f ca="1">IF(Small_F,0,'House reinf, Support Plate Side'!B193)</f>
        <v>#REF!</v>
      </c>
      <c r="C73" s="2666" t="e">
        <f ca="1">IF(Small_F,0,'House reinf, Support Plate Side'!C193)</f>
        <v>#REF!</v>
      </c>
      <c r="D73" s="2666" t="e">
        <f ca="1">IF(Small_F,0,'House reinf, Support Plate Side'!D193)</f>
        <v>#REF!</v>
      </c>
      <c r="E73" s="2666" t="e">
        <f ca="1">IF(Small_F,0,'House reinf, Support Plate Side'!E193)</f>
        <v>#REF!</v>
      </c>
      <c r="F73" s="2666" t="e">
        <f ca="1">IF(Small_F,0,'House reinf, Support Plate Side'!F193)</f>
        <v>#REF!</v>
      </c>
      <c r="G73" s="2666" t="e">
        <f ca="1">IF(Small_F,0,'House reinf, Support Plate Side'!G193)</f>
        <v>#REF!</v>
      </c>
      <c r="H73" s="2666" t="e">
        <f ca="1">IF(Small_F,0,'House reinf, Support Plate Side'!H193)</f>
        <v>#REF!</v>
      </c>
      <c r="I73" s="2666" t="e">
        <f ca="1">IF(Small_F,0,'House reinf, Support Plate Side'!I193)</f>
        <v>#REF!</v>
      </c>
      <c r="J73" s="2666" t="e">
        <f ca="1">IF(Small_F,0,'House reinf, Support Plate Side'!J193)</f>
        <v>#REF!</v>
      </c>
      <c r="K73" s="2666" t="e">
        <f ca="1">IF(Small_F,0,'House reinf, Support Plate Side'!K193)</f>
        <v>#REF!</v>
      </c>
      <c r="L73" s="2666" t="e">
        <f ca="1">IF(Small_F,0,'House reinf, Support Plate Side'!L193)</f>
        <v>#REF!</v>
      </c>
      <c r="M73" s="3234" t="e">
        <f ca="1">IF(Small_F,0,'House reinf, Support Plate Side'!M193)</f>
        <v>#REF!</v>
      </c>
      <c r="N73" s="2381"/>
      <c r="O73" s="2376"/>
      <c r="P73" s="2379"/>
      <c r="Q73" s="2379"/>
      <c r="R73" s="2379"/>
      <c r="S73" s="2379"/>
      <c r="T73" s="2379"/>
      <c r="U73" s="2379"/>
      <c r="V73" s="2379"/>
      <c r="W73" s="2379"/>
      <c r="X73" s="3226" t="e">
        <f ca="1">IF(Small_F,"",'House reinf, Support Plate Side'!X193)</f>
        <v>#REF!</v>
      </c>
      <c r="Y73" s="3231" t="e">
        <f ca="1">IF(Small_F,0,'House reinf, Support Plate Side'!Y193)</f>
        <v>#REF!</v>
      </c>
      <c r="Z73" s="2666" t="e">
        <f ca="1">IF(Small_F,0,'House reinf, Support Plate Side'!Z193)</f>
        <v>#REF!</v>
      </c>
      <c r="AA73" s="2666" t="e">
        <f ca="1">IF(Small_F,0,'House reinf, Support Plate Side'!AA193)</f>
        <v>#REF!</v>
      </c>
      <c r="AB73" s="2666" t="e">
        <f ca="1">IF(Small_F,0,'House reinf, Support Plate Side'!AB193)</f>
        <v>#REF!</v>
      </c>
      <c r="AC73" s="2666" t="e">
        <f ca="1">IF(Small_F,0,'House reinf, Support Plate Side'!AC193)</f>
        <v>#REF!</v>
      </c>
      <c r="AD73" s="2666" t="e">
        <f ca="1">IF(Small_F,0,'House reinf, Support Plate Side'!AD193)</f>
        <v>#REF!</v>
      </c>
      <c r="AE73" s="2666" t="e">
        <f ca="1">IF(Small_F,0,'House reinf, Support Plate Side'!AE193)</f>
        <v>#REF!</v>
      </c>
      <c r="AF73" s="2666" t="e">
        <f ca="1">IF(Small_F,0,'House reinf, Support Plate Side'!AF193)</f>
        <v>#REF!</v>
      </c>
      <c r="AG73" s="2666" t="e">
        <f ca="1">IF(Small_F,0,'House reinf, Support Plate Side'!AG193)</f>
        <v>#REF!</v>
      </c>
      <c r="AH73" s="2666" t="e">
        <f ca="1">IF(Small_F,0,'House reinf, Support Plate Side'!AH193)</f>
        <v>#REF!</v>
      </c>
      <c r="AI73" s="2666" t="e">
        <f ca="1">IF(Small_F,0,'House reinf, Support Plate Side'!AI193)</f>
        <v>#REF!</v>
      </c>
      <c r="AJ73" s="2806" t="e">
        <f ca="1">IF(Small_F,0,'House reinf, Support Plate Side'!AJ193)</f>
        <v>#REF!</v>
      </c>
    </row>
    <row r="74" spans="1:36" s="2013" customFormat="1">
      <c r="A74" s="2406" t="e">
        <f ca="1">IF(Small_F,"",'House reinf, Support Plate Side'!A194)</f>
        <v>#REF!</v>
      </c>
      <c r="B74" s="2805" t="e">
        <f ca="1">-IF(Small_F,0,'House reinf, Support Plate Side'!B194)</f>
        <v>#REF!</v>
      </c>
      <c r="C74" s="2666" t="e">
        <f ca="1">-IF(Small_F,0,'House reinf, Support Plate Side'!C194)</f>
        <v>#REF!</v>
      </c>
      <c r="D74" s="2666" t="e">
        <f ca="1">-IF(Small_F,0,'House reinf, Support Plate Side'!D194)</f>
        <v>#REF!</v>
      </c>
      <c r="E74" s="2666" t="e">
        <f ca="1">-IF(Small_F,0,'House reinf, Support Plate Side'!E194)</f>
        <v>#REF!</v>
      </c>
      <c r="F74" s="2666" t="e">
        <f ca="1">-IF(Small_F,0,'House reinf, Support Plate Side'!F194)</f>
        <v>#REF!</v>
      </c>
      <c r="G74" s="2666" t="e">
        <f ca="1">-IF(Small_F,0,'House reinf, Support Plate Side'!G194)</f>
        <v>#REF!</v>
      </c>
      <c r="H74" s="2666" t="e">
        <f ca="1">-IF(Small_F,0,'House reinf, Support Plate Side'!H194)</f>
        <v>#REF!</v>
      </c>
      <c r="I74" s="2666" t="e">
        <f ca="1">-IF(Small_F,0,'House reinf, Support Plate Side'!I194)</f>
        <v>#REF!</v>
      </c>
      <c r="J74" s="2666" t="e">
        <f ca="1">-IF(Small_F,0,'House reinf, Support Plate Side'!J194)</f>
        <v>#REF!</v>
      </c>
      <c r="K74" s="2666" t="e">
        <f ca="1">-IF(Small_F,0,'House reinf, Support Plate Side'!K194)</f>
        <v>#REF!</v>
      </c>
      <c r="L74" s="2666" t="e">
        <f ca="1">-IF(Small_F,0,'House reinf, Support Plate Side'!L194)</f>
        <v>#REF!</v>
      </c>
      <c r="M74" s="3234" t="e">
        <f ca="1">-IF(Small_F,0,'House reinf, Support Plate Side'!M194)</f>
        <v>#REF!</v>
      </c>
      <c r="N74" s="2381"/>
      <c r="O74" s="2379"/>
      <c r="P74" s="2379"/>
      <c r="Q74" s="2379"/>
      <c r="R74" s="2379"/>
      <c r="S74" s="2379"/>
      <c r="T74" s="2379"/>
      <c r="U74" s="2379"/>
      <c r="V74" s="2379"/>
      <c r="W74" s="2379"/>
      <c r="X74" s="3226"/>
      <c r="Y74" s="3231"/>
      <c r="Z74" s="2666"/>
      <c r="AA74" s="2666"/>
      <c r="AB74" s="2666"/>
      <c r="AC74" s="2666"/>
      <c r="AD74" s="2666"/>
      <c r="AE74" s="2666"/>
      <c r="AF74" s="2666"/>
      <c r="AG74" s="2666"/>
      <c r="AH74" s="2666"/>
      <c r="AI74" s="2666"/>
      <c r="AJ74" s="2806"/>
    </row>
    <row r="75" spans="1:36" s="2013" customFormat="1" ht="15.75" thickBot="1">
      <c r="A75" s="2406" t="e">
        <f ca="1">IF(Small_F,"",'House reinf, Support Plate Side'!A195)</f>
        <v>#REF!</v>
      </c>
      <c r="B75" s="2807" t="e">
        <f ca="1">IF(Small_F,0,'House reinf, Support Plate Side'!B195)</f>
        <v>#REF!</v>
      </c>
      <c r="C75" s="2685" t="e">
        <f ca="1">IF(Small_F,0,'House reinf, Support Plate Side'!C195)</f>
        <v>#REF!</v>
      </c>
      <c r="D75" s="2685" t="e">
        <f ca="1">IF(Small_F,0,'House reinf, Support Plate Side'!D195)</f>
        <v>#REF!</v>
      </c>
      <c r="E75" s="2685" t="e">
        <f ca="1">IF(Small_F,0,'House reinf, Support Plate Side'!E195)</f>
        <v>#REF!</v>
      </c>
      <c r="F75" s="2685" t="e">
        <f ca="1">IF(Small_F,0,'House reinf, Support Plate Side'!F195)</f>
        <v>#REF!</v>
      </c>
      <c r="G75" s="2685" t="e">
        <f ca="1">IF(Small_F,0,'House reinf, Support Plate Side'!G195)</f>
        <v>#REF!</v>
      </c>
      <c r="H75" s="2685" t="e">
        <f ca="1">IF(Small_F,0,'House reinf, Support Plate Side'!H195)</f>
        <v>#REF!</v>
      </c>
      <c r="I75" s="2685" t="e">
        <f ca="1">IF(Small_F,0,'House reinf, Support Plate Side'!I195)</f>
        <v>#REF!</v>
      </c>
      <c r="J75" s="2685" t="e">
        <f ca="1">IF(Small_F,0,'House reinf, Support Plate Side'!J195)</f>
        <v>#REF!</v>
      </c>
      <c r="K75" s="2685" t="e">
        <f ca="1">IF(Small_F,0,'House reinf, Support Plate Side'!K195)</f>
        <v>#REF!</v>
      </c>
      <c r="L75" s="2685" t="e">
        <f ca="1">IF(Small_F,0,'House reinf, Support Plate Side'!L195)</f>
        <v>#REF!</v>
      </c>
      <c r="M75" s="3235" t="e">
        <f ca="1">IF(Small_F,0,'House reinf, Support Plate Side'!M195)</f>
        <v>#REF!</v>
      </c>
      <c r="N75" s="2381"/>
      <c r="O75" s="2379"/>
      <c r="P75" s="2379"/>
      <c r="Q75" s="2379"/>
      <c r="R75" s="2379"/>
      <c r="S75" s="2379"/>
      <c r="T75" s="2379"/>
      <c r="U75" s="2379"/>
      <c r="V75" s="2379"/>
      <c r="W75" s="2379"/>
      <c r="X75" s="3226" t="e">
        <f ca="1">IF(Small_F,"",'House reinf, Support Plate Side'!X195)</f>
        <v>#REF!</v>
      </c>
      <c r="Y75" s="3232" t="e">
        <f ca="1">IF(Small_F,0,'House reinf, Support Plate Side'!Y195)</f>
        <v>#REF!</v>
      </c>
      <c r="Z75" s="2685" t="e">
        <f ca="1">IF(Small_F,0,'House reinf, Support Plate Side'!Z195)</f>
        <v>#REF!</v>
      </c>
      <c r="AA75" s="2685" t="e">
        <f ca="1">IF(Small_F,0,'House reinf, Support Plate Side'!AA195)</f>
        <v>#REF!</v>
      </c>
      <c r="AB75" s="2685" t="e">
        <f ca="1">IF(Small_F,0,'House reinf, Support Plate Side'!AB195)</f>
        <v>#REF!</v>
      </c>
      <c r="AC75" s="2685" t="e">
        <f ca="1">IF(Small_F,0,'House reinf, Support Plate Side'!AC195)</f>
        <v>#REF!</v>
      </c>
      <c r="AD75" s="2685" t="e">
        <f ca="1">IF(Small_F,0,'House reinf, Support Plate Side'!AD195)</f>
        <v>#REF!</v>
      </c>
      <c r="AE75" s="2685" t="e">
        <f ca="1">IF(Small_F,0,'House reinf, Support Plate Side'!AE195)</f>
        <v>#REF!</v>
      </c>
      <c r="AF75" s="2685" t="e">
        <f ca="1">IF(Small_F,0,'House reinf, Support Plate Side'!AF195)</f>
        <v>#REF!</v>
      </c>
      <c r="AG75" s="2685" t="e">
        <f ca="1">IF(Small_F,0,'House reinf, Support Plate Side'!AG195)</f>
        <v>#REF!</v>
      </c>
      <c r="AH75" s="2685" t="e">
        <f ca="1">IF(Small_F,0,'House reinf, Support Plate Side'!AH195)</f>
        <v>#REF!</v>
      </c>
      <c r="AI75" s="2685" t="e">
        <f ca="1">IF(Small_F,0,'House reinf, Support Plate Side'!AI195)</f>
        <v>#REF!</v>
      </c>
      <c r="AJ75" s="2808" t="e">
        <f ca="1">IF(Small_F,0,'House reinf, Support Plate Side'!AJ195)</f>
        <v>#REF!</v>
      </c>
    </row>
    <row r="76" spans="1:36" ht="15.75" thickBot="1">
      <c r="A76" s="509"/>
      <c r="B76" s="3213"/>
      <c r="C76" s="547"/>
      <c r="D76" s="547"/>
      <c r="E76" s="547"/>
      <c r="F76" s="547"/>
      <c r="G76" s="547"/>
      <c r="H76" s="547"/>
      <c r="I76" s="547"/>
      <c r="J76" s="547"/>
      <c r="K76" s="547"/>
      <c r="L76" s="547"/>
      <c r="M76" s="547"/>
      <c r="N76" s="547"/>
      <c r="O76" s="547"/>
      <c r="P76" s="547"/>
      <c r="Q76" s="547"/>
      <c r="R76" s="556"/>
      <c r="S76" s="556"/>
      <c r="T76" s="556"/>
      <c r="U76" s="556"/>
      <c r="V76" s="556"/>
      <c r="W76" s="556"/>
      <c r="X76" s="556"/>
      <c r="Y76" s="556"/>
      <c r="Z76" s="547"/>
      <c r="AA76" s="547"/>
      <c r="AB76" s="547"/>
      <c r="AC76" s="547"/>
      <c r="AD76" s="547"/>
      <c r="AE76" s="547"/>
      <c r="AF76" s="547"/>
      <c r="AG76" s="547"/>
      <c r="AH76" s="547"/>
      <c r="AI76" s="547"/>
      <c r="AJ76" s="1377"/>
    </row>
    <row r="77" spans="1:36" s="518" customFormat="1" ht="15.75" thickBot="1">
      <c r="A77" s="1152"/>
      <c r="B77" s="3946" t="str">
        <f>"IS Rad. reinf "&amp;$E$6&amp;", "&amp;$G$6&amp;", "&amp;Center_H</f>
        <v>IS Rad. reinf RD, 135, 1269</v>
      </c>
      <c r="C77" s="3947" t="str">
        <f t="shared" ref="C77:AJ77" si="0">"INLET SIDE Rad. reinf "&amp;$E$6&amp;", "&amp;$G$6&amp;", "&amp;Center_H</f>
        <v>INLET SIDE Rad. reinf RD, 135, 1269</v>
      </c>
      <c r="D77" s="3948" t="str">
        <f t="shared" si="0"/>
        <v>INLET SIDE Rad. reinf RD, 135, 1269</v>
      </c>
      <c r="E77" s="3947" t="str">
        <f t="shared" si="0"/>
        <v>INLET SIDE Rad. reinf RD, 135, 1269</v>
      </c>
      <c r="F77" s="3947" t="str">
        <f t="shared" si="0"/>
        <v>INLET SIDE Rad. reinf RD, 135, 1269</v>
      </c>
      <c r="G77" s="3947" t="str">
        <f t="shared" si="0"/>
        <v>INLET SIDE Rad. reinf RD, 135, 1269</v>
      </c>
      <c r="H77" s="3947" t="str">
        <f t="shared" si="0"/>
        <v>INLET SIDE Rad. reinf RD, 135, 1269</v>
      </c>
      <c r="I77" s="3947" t="str">
        <f t="shared" si="0"/>
        <v>INLET SIDE Rad. reinf RD, 135, 1269</v>
      </c>
      <c r="J77" s="3947" t="str">
        <f t="shared" si="0"/>
        <v>INLET SIDE Rad. reinf RD, 135, 1269</v>
      </c>
      <c r="K77" s="3947" t="str">
        <f t="shared" si="0"/>
        <v>INLET SIDE Rad. reinf RD, 135, 1269</v>
      </c>
      <c r="L77" s="3947" t="str">
        <f t="shared" si="0"/>
        <v>INLET SIDE Rad. reinf RD, 135, 1269</v>
      </c>
      <c r="M77" s="3947" t="str">
        <f t="shared" si="0"/>
        <v>INLET SIDE Rad. reinf RD, 135, 1269</v>
      </c>
      <c r="N77" s="3947" t="str">
        <f t="shared" si="0"/>
        <v>INLET SIDE Rad. reinf RD, 135, 1269</v>
      </c>
      <c r="O77" s="3947" t="str">
        <f t="shared" si="0"/>
        <v>INLET SIDE Rad. reinf RD, 135, 1269</v>
      </c>
      <c r="P77" s="3947" t="str">
        <f t="shared" si="0"/>
        <v>INLET SIDE Rad. reinf RD, 135, 1269</v>
      </c>
      <c r="Q77" s="3947" t="str">
        <f t="shared" si="0"/>
        <v>INLET SIDE Rad. reinf RD, 135, 1269</v>
      </c>
      <c r="R77" s="3947" t="str">
        <f t="shared" si="0"/>
        <v>INLET SIDE Rad. reinf RD, 135, 1269</v>
      </c>
      <c r="S77" s="3947" t="str">
        <f t="shared" si="0"/>
        <v>INLET SIDE Rad. reinf RD, 135, 1269</v>
      </c>
      <c r="T77" s="3947" t="str">
        <f t="shared" si="0"/>
        <v>INLET SIDE Rad. reinf RD, 135, 1269</v>
      </c>
      <c r="U77" s="3947" t="str">
        <f t="shared" si="0"/>
        <v>INLET SIDE Rad. reinf RD, 135, 1269</v>
      </c>
      <c r="V77" s="3947" t="str">
        <f t="shared" si="0"/>
        <v>INLET SIDE Rad. reinf RD, 135, 1269</v>
      </c>
      <c r="W77" s="3947" t="str">
        <f t="shared" si="0"/>
        <v>INLET SIDE Rad. reinf RD, 135, 1269</v>
      </c>
      <c r="X77" s="3947" t="str">
        <f t="shared" si="0"/>
        <v>INLET SIDE Rad. reinf RD, 135, 1269</v>
      </c>
      <c r="Y77" s="3947" t="str">
        <f t="shared" si="0"/>
        <v>INLET SIDE Rad. reinf RD, 135, 1269</v>
      </c>
      <c r="Z77" s="3947" t="str">
        <f t="shared" si="0"/>
        <v>INLET SIDE Rad. reinf RD, 135, 1269</v>
      </c>
      <c r="AA77" s="3947" t="str">
        <f t="shared" si="0"/>
        <v>INLET SIDE Rad. reinf RD, 135, 1269</v>
      </c>
      <c r="AB77" s="3947" t="str">
        <f t="shared" si="0"/>
        <v>INLET SIDE Rad. reinf RD, 135, 1269</v>
      </c>
      <c r="AC77" s="3947" t="str">
        <f t="shared" si="0"/>
        <v>INLET SIDE Rad. reinf RD, 135, 1269</v>
      </c>
      <c r="AD77" s="3947" t="str">
        <f t="shared" si="0"/>
        <v>INLET SIDE Rad. reinf RD, 135, 1269</v>
      </c>
      <c r="AE77" s="3947" t="str">
        <f t="shared" si="0"/>
        <v>INLET SIDE Rad. reinf RD, 135, 1269</v>
      </c>
      <c r="AF77" s="3947" t="str">
        <f t="shared" si="0"/>
        <v>INLET SIDE Rad. reinf RD, 135, 1269</v>
      </c>
      <c r="AG77" s="3947" t="str">
        <f t="shared" si="0"/>
        <v>INLET SIDE Rad. reinf RD, 135, 1269</v>
      </c>
      <c r="AH77" s="3947" t="str">
        <f t="shared" si="0"/>
        <v>INLET SIDE Rad. reinf RD, 135, 1269</v>
      </c>
      <c r="AI77" s="3947" t="str">
        <f t="shared" si="0"/>
        <v>INLET SIDE Rad. reinf RD, 135, 1269</v>
      </c>
      <c r="AJ77" s="3949" t="str">
        <f t="shared" si="0"/>
        <v>INLET SIDE Rad. reinf RD, 135, 1269</v>
      </c>
    </row>
    <row r="78" spans="1:36">
      <c r="A78" s="514"/>
      <c r="B78" s="2414" t="s">
        <v>4148</v>
      </c>
      <c r="C78" s="1423" t="e">
        <f ca="1">dist_mult</f>
        <v>#REF!</v>
      </c>
      <c r="D78" s="1423"/>
      <c r="E78" s="2139" t="s">
        <v>3847</v>
      </c>
      <c r="F78" s="1144" t="e">
        <f ca="1">(SUM(B82:AJ82)/1000+($Z$22/1000-$B$22/1000))*$T$7/1000*$U$7/1000*steel_density</f>
        <v>#REF!</v>
      </c>
      <c r="G78" s="1144" t="s">
        <v>131</v>
      </c>
      <c r="H78" s="1144"/>
      <c r="I78" s="1144"/>
      <c r="J78" s="1144"/>
      <c r="K78" s="1144"/>
      <c r="L78" s="1144"/>
      <c r="M78" s="1144"/>
      <c r="N78" s="1144"/>
      <c r="O78" s="1144"/>
      <c r="P78" s="1144"/>
      <c r="Q78" s="1144"/>
      <c r="R78" s="1144"/>
      <c r="S78" s="1144"/>
      <c r="T78" s="1144"/>
      <c r="U78" s="1144"/>
      <c r="V78" s="1144"/>
      <c r="W78" s="1144"/>
      <c r="X78" s="1144"/>
      <c r="Y78" s="1144"/>
      <c r="Z78" s="1144"/>
      <c r="AA78" s="1144"/>
      <c r="AB78" s="1144"/>
      <c r="AC78" s="2103" t="s">
        <v>2795</v>
      </c>
      <c r="AD78" s="1178"/>
      <c r="AE78" s="1178"/>
      <c r="AF78" s="2096"/>
      <c r="AG78" s="1178" t="s">
        <v>2796</v>
      </c>
      <c r="AH78" s="1178"/>
      <c r="AI78" s="1178"/>
      <c r="AJ78" s="2096"/>
    </row>
    <row r="79" spans="1:36">
      <c r="A79" s="1395" t="e">
        <f ca="1">IF(Small_F,'House reinf, Central Frame Side'!A199,'House reinf, Support Plate Side'!A199)</f>
        <v>#REF!</v>
      </c>
      <c r="B79" s="1181" t="e">
        <f ca="1">IF(Small_F,'House reinf, Central Frame Side'!B199,'House reinf, Support Plate Side'!B199)</f>
        <v>#REF!</v>
      </c>
      <c r="C79" s="505" t="e">
        <f ca="1">IF(Small_F,'House reinf, Central Frame Side'!C199,'House reinf, Support Plate Side'!C199)</f>
        <v>#REF!</v>
      </c>
      <c r="D79" s="505" t="e">
        <f ca="1">IF(Small_F,'House reinf, Central Frame Side'!D199,'House reinf, Support Plate Side'!D199)</f>
        <v>#REF!</v>
      </c>
      <c r="E79" s="505" t="e">
        <f ca="1">IF(Small_F,'House reinf, Central Frame Side'!E199,'House reinf, Support Plate Side'!E199)</f>
        <v>#REF!</v>
      </c>
      <c r="F79" s="505" t="e">
        <f ca="1">IF(Small_F,'House reinf, Central Frame Side'!F199,'House reinf, Support Plate Side'!F199)</f>
        <v>#REF!</v>
      </c>
      <c r="G79" s="505" t="e">
        <f ca="1">IF(Small_F,'House reinf, Central Frame Side'!G199,'House reinf, Support Plate Side'!G199)</f>
        <v>#REF!</v>
      </c>
      <c r="H79" s="505" t="e">
        <f ca="1">IF(Small_F,'House reinf, Central Frame Side'!H199,'House reinf, Support Plate Side'!H199)</f>
        <v>#REF!</v>
      </c>
      <c r="I79" s="505" t="e">
        <f ca="1">IF(Small_F,'House reinf, Central Frame Side'!I199,'House reinf, Support Plate Side'!I199)</f>
        <v>#REF!</v>
      </c>
      <c r="J79" s="505" t="e">
        <f ca="1">IF(Small_F,'House reinf, Central Frame Side'!J199,'House reinf, Support Plate Side'!J199)</f>
        <v>#REF!</v>
      </c>
      <c r="K79" s="505" t="e">
        <f ca="1">IF(Small_F,'House reinf, Central Frame Side'!K199,'House reinf, Support Plate Side'!K199)</f>
        <v>#REF!</v>
      </c>
      <c r="L79" s="505" t="e">
        <f ca="1">IF(Small_F,'House reinf, Central Frame Side'!L199,'House reinf, Support Plate Side'!L199)</f>
        <v>#REF!</v>
      </c>
      <c r="M79" s="505" t="e">
        <f ca="1">IF(Small_F,'House reinf, Central Frame Side'!M199,'House reinf, Support Plate Side'!M199)</f>
        <v>#REF!</v>
      </c>
      <c r="N79" s="505" t="e">
        <f ca="1">IF(Small_F,'House reinf, Central Frame Side'!N199,'House reinf, Support Plate Side'!N199)</f>
        <v>#REF!</v>
      </c>
      <c r="O79" s="505" t="e">
        <f ca="1">IF(Small_F,'House reinf, Central Frame Side'!O199,'House reinf, Support Plate Side'!O199)</f>
        <v>#REF!</v>
      </c>
      <c r="P79" s="505" t="e">
        <f ca="1">IF(Small_F,'House reinf, Central Frame Side'!P199,'House reinf, Support Plate Side'!P199)</f>
        <v>#REF!</v>
      </c>
      <c r="Q79" s="505" t="e">
        <f ca="1">IF(Small_F,'House reinf, Central Frame Side'!Q199,'House reinf, Support Plate Side'!Q199)</f>
        <v>#REF!</v>
      </c>
      <c r="R79" s="505" t="e">
        <f ca="1">IF(Small_F,'House reinf, Central Frame Side'!R199,'House reinf, Support Plate Side'!R199)</f>
        <v>#REF!</v>
      </c>
      <c r="S79" s="505" t="e">
        <f ca="1">IF(Small_F,'House reinf, Central Frame Side'!S199,'House reinf, Support Plate Side'!S199)</f>
        <v>#REF!</v>
      </c>
      <c r="T79" s="505" t="e">
        <f ca="1">IF(Small_F,'House reinf, Central Frame Side'!T199,'House reinf, Support Plate Side'!T199)</f>
        <v>#REF!</v>
      </c>
      <c r="U79" s="505" t="e">
        <f ca="1">IF(Small_F,'House reinf, Central Frame Side'!U199,'House reinf, Support Plate Side'!U199)</f>
        <v>#REF!</v>
      </c>
      <c r="V79" s="505" t="e">
        <f ca="1">IF(Small_F,'House reinf, Central Frame Side'!V199,'House reinf, Support Plate Side'!V199)</f>
        <v>#REF!</v>
      </c>
      <c r="W79" s="505" t="e">
        <f ca="1">IF(Small_F,'House reinf, Central Frame Side'!W199,'House reinf, Support Plate Side'!W199)</f>
        <v>#REF!</v>
      </c>
      <c r="X79" s="505" t="e">
        <f ca="1">IF(Small_F,'House reinf, Central Frame Side'!X199,'House reinf, Support Plate Side'!X199)</f>
        <v>#REF!</v>
      </c>
      <c r="Y79" s="505" t="e">
        <f ca="1">IF(Small_F,'House reinf, Central Frame Side'!Y199,'House reinf, Support Plate Side'!Y199)</f>
        <v>#REF!</v>
      </c>
      <c r="Z79" s="505" t="e">
        <f ca="1">IF(Small_F,'House reinf, Central Frame Side'!Z199,'House reinf, Support Plate Side'!Z199)</f>
        <v>#REF!</v>
      </c>
      <c r="AA79" s="505" t="e">
        <f ca="1">IF(Small_F,'House reinf, Central Frame Side'!AA199,'House reinf, Support Plate Side'!AA199)</f>
        <v>#REF!</v>
      </c>
      <c r="AB79" s="505" t="e">
        <f ca="1">IF(Small_F,'House reinf, Central Frame Side'!AB199,'House reinf, Support Plate Side'!AB199)</f>
        <v>#REF!</v>
      </c>
      <c r="AC79" s="2104" t="e">
        <f ca="1">IF(Small_F,'House reinf, Central Frame Side'!AC199,'House reinf, Support Plate Side'!AC199)</f>
        <v>#REF!</v>
      </c>
      <c r="AD79" s="1378" t="e">
        <f ca="1">IF(Small_F,'House reinf, Central Frame Side'!AD199,'House reinf, Support Plate Side'!AD199)</f>
        <v>#REF!</v>
      </c>
      <c r="AE79" s="1378" t="e">
        <f ca="1">IF(Small_F,'House reinf, Central Frame Side'!AE199,'House reinf, Support Plate Side'!AE199)</f>
        <v>#REF!</v>
      </c>
      <c r="AF79" s="1379" t="e">
        <f ca="1">IF(Small_F,'House reinf, Central Frame Side'!AF199,'House reinf, Support Plate Side'!AF199)</f>
        <v>#REF!</v>
      </c>
      <c r="AG79" s="2097" t="e">
        <f ca="1">IF(Small_F,'House reinf, Central Frame Side'!AG199,'House reinf, Support Plate Side'!AG199)</f>
        <v>#REF!</v>
      </c>
      <c r="AH79" s="1378" t="e">
        <f ca="1">IF(Small_F,'House reinf, Central Frame Side'!AH199,'House reinf, Support Plate Side'!AH199)</f>
        <v>#REF!</v>
      </c>
      <c r="AI79" s="1378" t="e">
        <f ca="1">IF(Small_F,'House reinf, Central Frame Side'!AI199,'House reinf, Support Plate Side'!AI199)</f>
        <v>#REF!</v>
      </c>
      <c r="AJ79" s="1379" t="e">
        <f ca="1">IF(Small_F,'House reinf, Central Frame Side'!AJ199,'House reinf, Support Plate Side'!AJ199)</f>
        <v>#REF!</v>
      </c>
    </row>
    <row r="80" spans="1:36" s="1132" customFormat="1">
      <c r="A80" s="1188" t="e">
        <f ca="1">IF(Small_F,'House reinf, Central Frame Side'!A200,'House reinf, Support Plate Side'!A200)</f>
        <v>#REF!</v>
      </c>
      <c r="B80" s="1360" t="e">
        <f ca="1">IF(Small_F,'House reinf, Central Frame Side'!B200,'House reinf, Support Plate Side'!B200)</f>
        <v>#REF!</v>
      </c>
      <c r="C80" s="1133" t="e">
        <f ca="1">IF(Small_F,'House reinf, Central Frame Side'!C200,'House reinf, Support Plate Side'!C200)</f>
        <v>#REF!</v>
      </c>
      <c r="D80" s="1133" t="e">
        <f ca="1">IF(Small_F,'House reinf, Central Frame Side'!D200,'House reinf, Support Plate Side'!D200)</f>
        <v>#REF!</v>
      </c>
      <c r="E80" s="1133" t="e">
        <f ca="1">IF(Small_F,'House reinf, Central Frame Side'!E200,'House reinf, Support Plate Side'!E200)</f>
        <v>#REF!</v>
      </c>
      <c r="F80" s="1133" t="e">
        <f ca="1">IF(Small_F,'House reinf, Central Frame Side'!F200,'House reinf, Support Plate Side'!F200)</f>
        <v>#REF!</v>
      </c>
      <c r="G80" s="1133" t="e">
        <f ca="1">IF(Small_F,'House reinf, Central Frame Side'!G200,'House reinf, Support Plate Side'!G200)</f>
        <v>#REF!</v>
      </c>
      <c r="H80" s="1133" t="e">
        <f ca="1">IF(Small_F,'House reinf, Central Frame Side'!H200,'House reinf, Support Plate Side'!H200)</f>
        <v>#REF!</v>
      </c>
      <c r="I80" s="1133" t="e">
        <f ca="1">IF(Small_F,'House reinf, Central Frame Side'!I200,'House reinf, Support Plate Side'!I200)</f>
        <v>#REF!</v>
      </c>
      <c r="J80" s="1133" t="e">
        <f ca="1">IF(Small_F,'House reinf, Central Frame Side'!J200,'House reinf, Support Plate Side'!J200)</f>
        <v>#REF!</v>
      </c>
      <c r="K80" s="1133" t="e">
        <f ca="1">IF(Small_F,'House reinf, Central Frame Side'!K200,'House reinf, Support Plate Side'!K200)</f>
        <v>#REF!</v>
      </c>
      <c r="L80" s="1133" t="e">
        <f ca="1">IF(Small_F,'House reinf, Central Frame Side'!L200,'House reinf, Support Plate Side'!L200)</f>
        <v>#REF!</v>
      </c>
      <c r="M80" s="1133" t="e">
        <f ca="1">IF(Small_F,'House reinf, Central Frame Side'!M200,'House reinf, Support Plate Side'!M200)</f>
        <v>#REF!</v>
      </c>
      <c r="N80" s="1133" t="e">
        <f ca="1">IF(Small_F,'House reinf, Central Frame Side'!N200,'House reinf, Support Plate Side'!N200)</f>
        <v>#REF!</v>
      </c>
      <c r="O80" s="1133" t="e">
        <f ca="1">IF(Small_F,'House reinf, Central Frame Side'!O200,'House reinf, Support Plate Side'!O200)</f>
        <v>#REF!</v>
      </c>
      <c r="P80" s="1133" t="e">
        <f ca="1">IF(Small_F,'House reinf, Central Frame Side'!P200,'House reinf, Support Plate Side'!P200)</f>
        <v>#REF!</v>
      </c>
      <c r="Q80" s="1133" t="e">
        <f ca="1">IF(Small_F,'House reinf, Central Frame Side'!Q200,'House reinf, Support Plate Side'!Q200)</f>
        <v>#REF!</v>
      </c>
      <c r="R80" s="1133" t="e">
        <f ca="1">IF(Small_F,'House reinf, Central Frame Side'!R200,'House reinf, Support Plate Side'!R200)</f>
        <v>#REF!</v>
      </c>
      <c r="S80" s="1133" t="e">
        <f ca="1">IF(Small_F,'House reinf, Central Frame Side'!S200,'House reinf, Support Plate Side'!S200)</f>
        <v>#REF!</v>
      </c>
      <c r="T80" s="1133" t="e">
        <f ca="1">IF(Small_F,'House reinf, Central Frame Side'!T200,'House reinf, Support Plate Side'!T200)</f>
        <v>#REF!</v>
      </c>
      <c r="U80" s="1133" t="e">
        <f ca="1">IF(Small_F,'House reinf, Central Frame Side'!U200,'House reinf, Support Plate Side'!U200)</f>
        <v>#REF!</v>
      </c>
      <c r="V80" s="1133" t="e">
        <f ca="1">IF(Small_F,'House reinf, Central Frame Side'!V200,'House reinf, Support Plate Side'!V200)</f>
        <v>#REF!</v>
      </c>
      <c r="W80" s="1133" t="e">
        <f ca="1">IF(Small_F,'House reinf, Central Frame Side'!W200,'House reinf, Support Plate Side'!W200)</f>
        <v>#REF!</v>
      </c>
      <c r="X80" s="1133" t="e">
        <f ca="1">IF(Small_F,'House reinf, Central Frame Side'!X200,'House reinf, Support Plate Side'!X200)</f>
        <v>#REF!</v>
      </c>
      <c r="Y80" s="1133" t="e">
        <f ca="1">IF(Small_F,'House reinf, Central Frame Side'!Y200,'House reinf, Support Plate Side'!Y200)</f>
        <v>#REF!</v>
      </c>
      <c r="Z80" s="1133" t="e">
        <f ca="1">IF(Small_F,'House reinf, Central Frame Side'!Z200,'House reinf, Support Plate Side'!Z200)</f>
        <v>#REF!</v>
      </c>
      <c r="AA80" s="1133" t="e">
        <f ca="1">IF(Small_F,'House reinf, Central Frame Side'!AA200,'House reinf, Support Plate Side'!AA200)</f>
        <v>#REF!</v>
      </c>
      <c r="AB80" s="1133" t="e">
        <f ca="1">IF(Small_F,'House reinf, Central Frame Side'!AB200,'House reinf, Support Plate Side'!AB200)</f>
        <v>#REF!</v>
      </c>
      <c r="AC80" s="2105" t="e">
        <f ca="1">IF(Small_F,'House reinf, Central Frame Side'!AC200,'House reinf, Support Plate Side'!AC200)</f>
        <v>#REF!</v>
      </c>
      <c r="AD80" s="2088" t="e">
        <f ca="1">IF(Small_F,'House reinf, Central Frame Side'!AD200,'House reinf, Support Plate Side'!AD200)</f>
        <v>#REF!</v>
      </c>
      <c r="AE80" s="2088" t="e">
        <f ca="1">IF(Small_F,'House reinf, Central Frame Side'!AE200,'House reinf, Support Plate Side'!AE200)</f>
        <v>#REF!</v>
      </c>
      <c r="AF80" s="2089" t="e">
        <f ca="1">IF(Small_F,'House reinf, Central Frame Side'!AF200,'House reinf, Support Plate Side'!AF200)</f>
        <v>#REF!</v>
      </c>
      <c r="AG80" s="2098" t="e">
        <f ca="1">IF(Small_F,'House reinf, Central Frame Side'!AG200,'House reinf, Support Plate Side'!AG200)</f>
        <v>#REF!</v>
      </c>
      <c r="AH80" s="2088" t="e">
        <f ca="1">IF(Small_F,'House reinf, Central Frame Side'!AH200,'House reinf, Support Plate Side'!AH200)</f>
        <v>#REF!</v>
      </c>
      <c r="AI80" s="2088" t="e">
        <f ca="1">IF(Small_F,'House reinf, Central Frame Side'!AI200,'House reinf, Support Plate Side'!AI200)</f>
        <v>#REF!</v>
      </c>
      <c r="AJ80" s="2089" t="e">
        <f ca="1">IF(Small_F,'House reinf, Central Frame Side'!AJ200,'House reinf, Support Plate Side'!AJ200)</f>
        <v>#REF!</v>
      </c>
    </row>
    <row r="81" spans="1:36" s="1132" customFormat="1">
      <c r="A81" s="952" t="e">
        <f ca="1">IF(Small_F,'House reinf, Central Frame Side'!A201,'House reinf, Support Plate Side'!A201)</f>
        <v>#REF!</v>
      </c>
      <c r="B81" s="807" t="e">
        <f ca="1">IF(Small_F,'House reinf, Central Frame Side'!B201,'House reinf, Support Plate Side'!B201)</f>
        <v>#REF!</v>
      </c>
      <c r="C81" s="780" t="e">
        <f ca="1">IF(Small_F,'House reinf, Central Frame Side'!C201,'House reinf, Support Plate Side'!C201)</f>
        <v>#REF!</v>
      </c>
      <c r="D81" s="780" t="e">
        <f ca="1">IF(Small_F,'House reinf, Central Frame Side'!D201,'House reinf, Support Plate Side'!D201)</f>
        <v>#REF!</v>
      </c>
      <c r="E81" s="780" t="e">
        <f ca="1">IF(Small_F,'House reinf, Central Frame Side'!E201,'House reinf, Support Plate Side'!E201)</f>
        <v>#REF!</v>
      </c>
      <c r="F81" s="780" t="e">
        <f ca="1">IF(Small_F,'House reinf, Central Frame Side'!F201,'House reinf, Support Plate Side'!F201)</f>
        <v>#REF!</v>
      </c>
      <c r="G81" s="780" t="e">
        <f ca="1">IF(Small_F,'House reinf, Central Frame Side'!G201,'House reinf, Support Plate Side'!G201)</f>
        <v>#REF!</v>
      </c>
      <c r="H81" s="780" t="e">
        <f ca="1">IF(Small_F,'House reinf, Central Frame Side'!H201,'House reinf, Support Plate Side'!H201)</f>
        <v>#REF!</v>
      </c>
      <c r="I81" s="780" t="e">
        <f ca="1">IF(Small_F,'House reinf, Central Frame Side'!I201,'House reinf, Support Plate Side'!I201)</f>
        <v>#REF!</v>
      </c>
      <c r="J81" s="780" t="e">
        <f ca="1">IF(Small_F,'House reinf, Central Frame Side'!J201,'House reinf, Support Plate Side'!J201)</f>
        <v>#REF!</v>
      </c>
      <c r="K81" s="780" t="e">
        <f ca="1">IF(Small_F,'House reinf, Central Frame Side'!K201,'House reinf, Support Plate Side'!K201)</f>
        <v>#REF!</v>
      </c>
      <c r="L81" s="780" t="e">
        <f ca="1">IF(Small_F,'House reinf, Central Frame Side'!L201,'House reinf, Support Plate Side'!L201)</f>
        <v>#REF!</v>
      </c>
      <c r="M81" s="780" t="e">
        <f ca="1">IF(Small_F,'House reinf, Central Frame Side'!M201,'House reinf, Support Plate Side'!M201)</f>
        <v>#REF!</v>
      </c>
      <c r="N81" s="780" t="e">
        <f ca="1">IF(Small_F,'House reinf, Central Frame Side'!N201,'House reinf, Support Plate Side'!N201)</f>
        <v>#REF!</v>
      </c>
      <c r="O81" s="780" t="e">
        <f ca="1">IF(Small_F,'House reinf, Central Frame Side'!O201,'House reinf, Support Plate Side'!O201)</f>
        <v>#REF!</v>
      </c>
      <c r="P81" s="780" t="e">
        <f ca="1">IF(Small_F,'House reinf, Central Frame Side'!P201,'House reinf, Support Plate Side'!P201)</f>
        <v>#REF!</v>
      </c>
      <c r="Q81" s="780" t="e">
        <f ca="1">IF(Small_F,'House reinf, Central Frame Side'!Q201,'House reinf, Support Plate Side'!Q201)</f>
        <v>#REF!</v>
      </c>
      <c r="R81" s="780" t="e">
        <f ca="1">IF(Small_F,'House reinf, Central Frame Side'!R201,'House reinf, Support Plate Side'!R201)</f>
        <v>#REF!</v>
      </c>
      <c r="S81" s="780" t="e">
        <f ca="1">IF(Small_F,'House reinf, Central Frame Side'!S201,'House reinf, Support Plate Side'!S201)</f>
        <v>#REF!</v>
      </c>
      <c r="T81" s="780" t="e">
        <f ca="1">IF(Small_F,'House reinf, Central Frame Side'!T201,'House reinf, Support Plate Side'!T201)</f>
        <v>#REF!</v>
      </c>
      <c r="U81" s="780" t="e">
        <f ca="1">IF(Small_F,'House reinf, Central Frame Side'!U201,'House reinf, Support Plate Side'!U201)</f>
        <v>#REF!</v>
      </c>
      <c r="V81" s="780" t="e">
        <f ca="1">IF(Small_F,'House reinf, Central Frame Side'!V201,'House reinf, Support Plate Side'!V201)</f>
        <v>#REF!</v>
      </c>
      <c r="W81" s="780" t="e">
        <f ca="1">IF(Small_F,'House reinf, Central Frame Side'!W201,'House reinf, Support Plate Side'!W201)</f>
        <v>#REF!</v>
      </c>
      <c r="X81" s="780" t="e">
        <f ca="1">IF(Small_F,'House reinf, Central Frame Side'!X201,'House reinf, Support Plate Side'!X201)</f>
        <v>#REF!</v>
      </c>
      <c r="Y81" s="780" t="e">
        <f ca="1">IF(Small_F,'House reinf, Central Frame Side'!Y201,'House reinf, Support Plate Side'!Y201)</f>
        <v>#REF!</v>
      </c>
      <c r="Z81" s="780" t="e">
        <f ca="1">IF(Small_F,'House reinf, Central Frame Side'!Z201,'House reinf, Support Plate Side'!Z201)</f>
        <v>#REF!</v>
      </c>
      <c r="AA81" s="780" t="e">
        <f ca="1">IF(Small_F,'House reinf, Central Frame Side'!AA201,'House reinf, Support Plate Side'!AA201)</f>
        <v>#REF!</v>
      </c>
      <c r="AB81" s="780" t="e">
        <f ca="1">IF(Small_F,'House reinf, Central Frame Side'!AB201,'House reinf, Support Plate Side'!AB201)</f>
        <v>#REF!</v>
      </c>
      <c r="AC81" s="2106" t="e">
        <f ca="1">IF(Small_F,'House reinf, Central Frame Side'!AC201,'House reinf, Support Plate Side'!AC201)</f>
        <v>#REF!</v>
      </c>
      <c r="AD81" s="508" t="e">
        <f ca="1">IF(Small_F,'House reinf, Central Frame Side'!AD201,'House reinf, Support Plate Side'!AD201)</f>
        <v>#REF!</v>
      </c>
      <c r="AE81" s="508" t="e">
        <f ca="1">IF(Small_F,'House reinf, Central Frame Side'!AE201,'House reinf, Support Plate Side'!AE201)</f>
        <v>#REF!</v>
      </c>
      <c r="AF81" s="532" t="e">
        <f ca="1">IF(Small_F,'House reinf, Central Frame Side'!AF201,'House reinf, Support Plate Side'!AF201)</f>
        <v>#REF!</v>
      </c>
      <c r="AG81" s="1153" t="e">
        <f ca="1">IF(Small_F,'House reinf, Central Frame Side'!AG201,'House reinf, Support Plate Side'!AG201)</f>
        <v>#REF!</v>
      </c>
      <c r="AH81" s="508" t="e">
        <f ca="1">IF(Small_F,'House reinf, Central Frame Side'!AH201,'House reinf, Support Plate Side'!AH201)</f>
        <v>#REF!</v>
      </c>
      <c r="AI81" s="508" t="e">
        <f ca="1">IF(Small_F,'House reinf, Central Frame Side'!AI201,'House reinf, Support Plate Side'!AI201)</f>
        <v>#REF!</v>
      </c>
      <c r="AJ81" s="532" t="e">
        <f ca="1">IF(Small_F,'House reinf, Central Frame Side'!AJ201,'House reinf, Support Plate Side'!AJ201)</f>
        <v>#REF!</v>
      </c>
    </row>
    <row r="82" spans="1:36">
      <c r="A82" s="509" t="e">
        <f ca="1">IF(Small_F,'House reinf, Central Frame Side'!A202,'House reinf, Support Plate Side'!A202)</f>
        <v>#REF!</v>
      </c>
      <c r="B82" s="807" t="e">
        <f ca="1">IF(Small_F,'House reinf, Central Frame Side'!B202,'House reinf, Support Plate Side'!B202)</f>
        <v>#REF!</v>
      </c>
      <c r="C82" s="780" t="e">
        <f ca="1">IF(Small_F,'House reinf, Central Frame Side'!C202,'House reinf, Support Plate Side'!C202)</f>
        <v>#REF!</v>
      </c>
      <c r="D82" s="780" t="e">
        <f ca="1">IF(Small_F,'House reinf, Central Frame Side'!D202,'House reinf, Support Plate Side'!D202)</f>
        <v>#REF!</v>
      </c>
      <c r="E82" s="780" t="e">
        <f ca="1">IF(Small_F,'House reinf, Central Frame Side'!E202,'House reinf, Support Plate Side'!E202)</f>
        <v>#REF!</v>
      </c>
      <c r="F82" s="780" t="e">
        <f ca="1">IF(Small_F,'House reinf, Central Frame Side'!F202,'House reinf, Support Plate Side'!F202)</f>
        <v>#REF!</v>
      </c>
      <c r="G82" s="780" t="e">
        <f ca="1">IF(Small_F,'House reinf, Central Frame Side'!G202,'House reinf, Support Plate Side'!G202)</f>
        <v>#REF!</v>
      </c>
      <c r="H82" s="780" t="e">
        <f ca="1">IF(Small_F,'House reinf, Central Frame Side'!H202,'House reinf, Support Plate Side'!H202)</f>
        <v>#REF!</v>
      </c>
      <c r="I82" s="780" t="e">
        <f ca="1">IF(Small_F,'House reinf, Central Frame Side'!I202,'House reinf, Support Plate Side'!I202)</f>
        <v>#REF!</v>
      </c>
      <c r="J82" s="780" t="e">
        <f ca="1">IF(Small_F,'House reinf, Central Frame Side'!J202,'House reinf, Support Plate Side'!J202)</f>
        <v>#REF!</v>
      </c>
      <c r="K82" s="780" t="e">
        <f ca="1">IF(Small_F,'House reinf, Central Frame Side'!K202,'House reinf, Support Plate Side'!K202)</f>
        <v>#REF!</v>
      </c>
      <c r="L82" s="780" t="e">
        <f ca="1">IF(Small_F,'House reinf, Central Frame Side'!L202,'House reinf, Support Plate Side'!L202)</f>
        <v>#REF!</v>
      </c>
      <c r="M82" s="780" t="e">
        <f ca="1">IF(Small_F,'House reinf, Central Frame Side'!M202,'House reinf, Support Plate Side'!M202)</f>
        <v>#REF!</v>
      </c>
      <c r="N82" s="780" t="e">
        <f ca="1">IF(Small_F,'House reinf, Central Frame Side'!N202,'House reinf, Support Plate Side'!N202)</f>
        <v>#REF!</v>
      </c>
      <c r="O82" s="780" t="e">
        <f ca="1">IF(Small_F,'House reinf, Central Frame Side'!O202,'House reinf, Support Plate Side'!O202)</f>
        <v>#REF!</v>
      </c>
      <c r="P82" s="780" t="e">
        <f ca="1">IF(Small_F,'House reinf, Central Frame Side'!P202,'House reinf, Support Plate Side'!P202)</f>
        <v>#REF!</v>
      </c>
      <c r="Q82" s="780" t="e">
        <f ca="1">IF(Small_F,'House reinf, Central Frame Side'!Q202,'House reinf, Support Plate Side'!Q202)</f>
        <v>#REF!</v>
      </c>
      <c r="R82" s="780" t="e">
        <f ca="1">IF(Small_F,'House reinf, Central Frame Side'!R202,'House reinf, Support Plate Side'!R202)</f>
        <v>#REF!</v>
      </c>
      <c r="S82" s="780" t="e">
        <f ca="1">IF(Small_F,'House reinf, Central Frame Side'!S202,'House reinf, Support Plate Side'!S202)</f>
        <v>#REF!</v>
      </c>
      <c r="T82" s="780" t="e">
        <f ca="1">IF(Small_F,'House reinf, Central Frame Side'!T202,'House reinf, Support Plate Side'!T202)</f>
        <v>#REF!</v>
      </c>
      <c r="U82" s="780" t="e">
        <f ca="1">IF(Small_F,'House reinf, Central Frame Side'!U202,'House reinf, Support Plate Side'!U202)</f>
        <v>#REF!</v>
      </c>
      <c r="V82" s="780" t="e">
        <f ca="1">IF(Small_F,'House reinf, Central Frame Side'!V202,'House reinf, Support Plate Side'!V202)</f>
        <v>#REF!</v>
      </c>
      <c r="W82" s="780" t="e">
        <f ca="1">IF(Small_F,'House reinf, Central Frame Side'!W202,'House reinf, Support Plate Side'!W202)</f>
        <v>#REF!</v>
      </c>
      <c r="X82" s="780" t="e">
        <f ca="1">IF(Small_F,'House reinf, Central Frame Side'!X202,'House reinf, Support Plate Side'!X202)</f>
        <v>#REF!</v>
      </c>
      <c r="Y82" s="780" t="e">
        <f ca="1">IF(Small_F,'House reinf, Central Frame Side'!Y202,'House reinf, Support Plate Side'!Y202)</f>
        <v>#REF!</v>
      </c>
      <c r="Z82" s="780" t="e">
        <f ca="1">IF(Small_F,'House reinf, Central Frame Side'!Z202,'House reinf, Support Plate Side'!Z202)</f>
        <v>#REF!</v>
      </c>
      <c r="AA82" s="780" t="e">
        <f ca="1">IF(Small_F,'House reinf, Central Frame Side'!AA202,'House reinf, Support Plate Side'!AA202)</f>
        <v>#REF!</v>
      </c>
      <c r="AB82" s="780" t="e">
        <f ca="1">IF(Small_F,'House reinf, Central Frame Side'!AB202,'House reinf, Support Plate Side'!AB202)</f>
        <v>#REF!</v>
      </c>
      <c r="AC82" s="2107" t="e">
        <f ca="1">IF(Small_F,'House reinf, Central Frame Side'!AC202,'House reinf, Support Plate Side'!AC202)</f>
        <v>#REF!</v>
      </c>
      <c r="AD82" s="780" t="e">
        <f ca="1">IF(Small_F,'House reinf, Central Frame Side'!AD202,'House reinf, Support Plate Side'!AD202)</f>
        <v>#REF!</v>
      </c>
      <c r="AE82" s="780" t="e">
        <f ca="1">IF(Small_F,'House reinf, Central Frame Side'!AE202,'House reinf, Support Plate Side'!AE202)</f>
        <v>#REF!</v>
      </c>
      <c r="AF82" s="781" t="e">
        <f ca="1">IF(Small_F,'House reinf, Central Frame Side'!AF202,'House reinf, Support Plate Side'!AF202)</f>
        <v>#REF!</v>
      </c>
      <c r="AG82" s="2099" t="e">
        <f ca="1">IF(Small_F,'House reinf, Central Frame Side'!AG202,'House reinf, Support Plate Side'!AG202)</f>
        <v>#REF!</v>
      </c>
      <c r="AH82" s="780" t="e">
        <f ca="1">IF(Small_F,'House reinf, Central Frame Side'!AH202,'House reinf, Support Plate Side'!AH202)</f>
        <v>#REF!</v>
      </c>
      <c r="AI82" s="780" t="e">
        <f ca="1">IF(Small_F,'House reinf, Central Frame Side'!AI202,'House reinf, Support Plate Side'!AI202)</f>
        <v>#REF!</v>
      </c>
      <c r="AJ82" s="781" t="e">
        <f ca="1">IF(Small_F,'House reinf, Central Frame Side'!AJ202,'House reinf, Support Plate Side'!AJ202)</f>
        <v>#REF!</v>
      </c>
    </row>
    <row r="83" spans="1:36">
      <c r="A83" s="509" t="e">
        <f ca="1">IF(Small_F,'House reinf, Central Frame Side'!A203,'House reinf, Support Plate Side'!A203)</f>
        <v>#REF!</v>
      </c>
      <c r="B83" s="529" t="e">
        <f ca="1">-IF(Small_F,'House reinf, Central Frame Side'!B203,'House reinf, Support Plate Side'!B203)</f>
        <v>#REF!</v>
      </c>
      <c r="C83" s="504" t="e">
        <f ca="1">-IF(Small_F,'House reinf, Central Frame Side'!C203,'House reinf, Support Plate Side'!C203)</f>
        <v>#REF!</v>
      </c>
      <c r="D83" s="504" t="e">
        <f ca="1">-IF(Small_F,'House reinf, Central Frame Side'!D203,'House reinf, Support Plate Side'!D203)</f>
        <v>#REF!</v>
      </c>
      <c r="E83" s="504" t="e">
        <f ca="1">-IF(Small_F,'House reinf, Central Frame Side'!E203,'House reinf, Support Plate Side'!E203)</f>
        <v>#REF!</v>
      </c>
      <c r="F83" s="504" t="e">
        <f ca="1">-IF(Small_F,'House reinf, Central Frame Side'!F203,'House reinf, Support Plate Side'!F203)</f>
        <v>#REF!</v>
      </c>
      <c r="G83" s="504" t="e">
        <f ca="1">-IF(Small_F,'House reinf, Central Frame Side'!G203,'House reinf, Support Plate Side'!G203)</f>
        <v>#REF!</v>
      </c>
      <c r="H83" s="504" t="e">
        <f ca="1">-IF(Small_F,'House reinf, Central Frame Side'!H203,'House reinf, Support Plate Side'!H203)</f>
        <v>#REF!</v>
      </c>
      <c r="I83" s="504" t="e">
        <f ca="1">-IF(Small_F,'House reinf, Central Frame Side'!I203,'House reinf, Support Plate Side'!I203)</f>
        <v>#REF!</v>
      </c>
      <c r="J83" s="504" t="e">
        <f ca="1">-IF(Small_F,'House reinf, Central Frame Side'!J203,'House reinf, Support Plate Side'!J203)</f>
        <v>#REF!</v>
      </c>
      <c r="K83" s="504" t="e">
        <f ca="1">-IF(Small_F,'House reinf, Central Frame Side'!K203,'House reinf, Support Plate Side'!K203)</f>
        <v>#REF!</v>
      </c>
      <c r="L83" s="504" t="e">
        <f ca="1">-IF(Small_F,'House reinf, Central Frame Side'!L203,'House reinf, Support Plate Side'!L203)</f>
        <v>#REF!</v>
      </c>
      <c r="M83" s="504" t="e">
        <f ca="1">-IF(Small_F,'House reinf, Central Frame Side'!M203,'House reinf, Support Plate Side'!M203)</f>
        <v>#REF!</v>
      </c>
      <c r="N83" s="504" t="e">
        <f ca="1">-IF(Small_F,'House reinf, Central Frame Side'!N203,'House reinf, Support Plate Side'!N203)</f>
        <v>#REF!</v>
      </c>
      <c r="O83" s="504" t="e">
        <f ca="1">-IF(Small_F,'House reinf, Central Frame Side'!O203,'House reinf, Support Plate Side'!O203)</f>
        <v>#REF!</v>
      </c>
      <c r="P83" s="504" t="e">
        <f ca="1">-IF(Small_F,'House reinf, Central Frame Side'!P203,'House reinf, Support Plate Side'!P203)</f>
        <v>#REF!</v>
      </c>
      <c r="Q83" s="504" t="e">
        <f ca="1">-IF(Small_F,'House reinf, Central Frame Side'!Q203,'House reinf, Support Plate Side'!Q203)</f>
        <v>#REF!</v>
      </c>
      <c r="R83" s="504" t="e">
        <f ca="1">-IF(Small_F,'House reinf, Central Frame Side'!R203,'House reinf, Support Plate Side'!R203)</f>
        <v>#REF!</v>
      </c>
      <c r="S83" s="504" t="e">
        <f ca="1">-IF(Small_F,'House reinf, Central Frame Side'!S203,'House reinf, Support Plate Side'!S203)</f>
        <v>#REF!</v>
      </c>
      <c r="T83" s="504" t="e">
        <f ca="1">-IF(Small_F,'House reinf, Central Frame Side'!T203,'House reinf, Support Plate Side'!T203)</f>
        <v>#REF!</v>
      </c>
      <c r="U83" s="504" t="e">
        <f ca="1">-IF(Small_F,'House reinf, Central Frame Side'!U203,'House reinf, Support Plate Side'!U203)</f>
        <v>#REF!</v>
      </c>
      <c r="V83" s="504" t="e">
        <f ca="1">-IF(Small_F,'House reinf, Central Frame Side'!V203,'House reinf, Support Plate Side'!V203)</f>
        <v>#REF!</v>
      </c>
      <c r="W83" s="504" t="e">
        <f ca="1">-IF(Small_F,'House reinf, Central Frame Side'!W203,'House reinf, Support Plate Side'!W203)</f>
        <v>#REF!</v>
      </c>
      <c r="X83" s="504" t="e">
        <f ca="1">-IF(Small_F,'House reinf, Central Frame Side'!X203,'House reinf, Support Plate Side'!X203)</f>
        <v>#REF!</v>
      </c>
      <c r="Y83" s="504" t="e">
        <f ca="1">-IF(Small_F,'House reinf, Central Frame Side'!Y203,'House reinf, Support Plate Side'!Y203)</f>
        <v>#REF!</v>
      </c>
      <c r="Z83" s="504" t="e">
        <f ca="1">-IF(Small_F,'House reinf, Central Frame Side'!Z203,'House reinf, Support Plate Side'!Z203)</f>
        <v>#REF!</v>
      </c>
      <c r="AA83" s="504" t="e">
        <f ca="1">-IF(Small_F,'House reinf, Central Frame Side'!AA203,'House reinf, Support Plate Side'!AA203)</f>
        <v>#REF!</v>
      </c>
      <c r="AB83" s="504" t="e">
        <f ca="1">-IF(Small_F,'House reinf, Central Frame Side'!AB203,'House reinf, Support Plate Side'!AB203)</f>
        <v>#REF!</v>
      </c>
      <c r="AC83" s="2108" t="e">
        <f ca="1">-IF(Small_F,'House reinf, Central Frame Side'!AC203,'House reinf, Support Plate Side'!AC203)</f>
        <v>#REF!</v>
      </c>
      <c r="AD83" s="1168" t="e">
        <f ca="1">-IF(Small_F,'House reinf, Central Frame Side'!AD203,'House reinf, Support Plate Side'!AD203)</f>
        <v>#REF!</v>
      </c>
      <c r="AE83" s="1168" t="e">
        <f ca="1">-IF(Small_F,'House reinf, Central Frame Side'!AE203,'House reinf, Support Plate Side'!AE203)</f>
        <v>#REF!</v>
      </c>
      <c r="AF83" s="2090" t="e">
        <f ca="1">-IF(Small_F,'House reinf, Central Frame Side'!AF203,'House reinf, Support Plate Side'!AF203)</f>
        <v>#REF!</v>
      </c>
      <c r="AG83" s="2100" t="e">
        <f ca="1">-IF(Small_F,'House reinf, Central Frame Side'!AG203,'House reinf, Support Plate Side'!AG203)</f>
        <v>#REF!</v>
      </c>
      <c r="AH83" s="1168" t="e">
        <f ca="1">-IF(Small_F,'House reinf, Central Frame Side'!AH203,'House reinf, Support Plate Side'!AH203)</f>
        <v>#REF!</v>
      </c>
      <c r="AI83" s="1168" t="e">
        <f ca="1">-IF(Small_F,'House reinf, Central Frame Side'!AI203,'House reinf, Support Plate Side'!AI203)</f>
        <v>#REF!</v>
      </c>
      <c r="AJ83" s="2090" t="e">
        <f ca="1">-IF(Small_F,'House reinf, Central Frame Side'!AJ203,'House reinf, Support Plate Side'!AJ203)</f>
        <v>#REF!</v>
      </c>
    </row>
    <row r="84" spans="1:36">
      <c r="A84" s="509" t="e">
        <f ca="1">IF(Small_F,'House reinf, Central Frame Side'!A204,'House reinf, Support Plate Side'!A204)</f>
        <v>#REF!</v>
      </c>
      <c r="B84" s="531" t="e">
        <f ca="1">IF(Small_F,'House reinf, Central Frame Side'!B204,'House reinf, Support Plate Side'!B204)</f>
        <v>#REF!</v>
      </c>
      <c r="C84" s="508" t="e">
        <f ca="1">IF(Small_F,'House reinf, Central Frame Side'!C204,'House reinf, Support Plate Side'!C204)</f>
        <v>#REF!</v>
      </c>
      <c r="D84" s="508" t="e">
        <f ca="1">IF(Small_F,'House reinf, Central Frame Side'!D204,'House reinf, Support Plate Side'!D204)</f>
        <v>#REF!</v>
      </c>
      <c r="E84" s="508" t="e">
        <f ca="1">IF(Small_F,'House reinf, Central Frame Side'!E204,'House reinf, Support Plate Side'!E204)</f>
        <v>#REF!</v>
      </c>
      <c r="F84" s="508" t="e">
        <f ca="1">IF(Small_F,'House reinf, Central Frame Side'!F204,'House reinf, Support Plate Side'!F204)</f>
        <v>#REF!</v>
      </c>
      <c r="G84" s="508" t="e">
        <f ca="1">IF(Small_F,'House reinf, Central Frame Side'!G204,'House reinf, Support Plate Side'!G204)</f>
        <v>#REF!</v>
      </c>
      <c r="H84" s="508" t="e">
        <f ca="1">IF(Small_F,'House reinf, Central Frame Side'!H204,'House reinf, Support Plate Side'!H204)</f>
        <v>#REF!</v>
      </c>
      <c r="I84" s="508" t="e">
        <f ca="1">IF(Small_F,'House reinf, Central Frame Side'!I204,'House reinf, Support Plate Side'!I204)</f>
        <v>#REF!</v>
      </c>
      <c r="J84" s="508" t="e">
        <f ca="1">IF(Small_F,'House reinf, Central Frame Side'!J204,'House reinf, Support Plate Side'!J204)</f>
        <v>#REF!</v>
      </c>
      <c r="K84" s="508" t="e">
        <f ca="1">IF(Small_F,'House reinf, Central Frame Side'!K204,'House reinf, Support Plate Side'!K204)</f>
        <v>#REF!</v>
      </c>
      <c r="L84" s="508" t="e">
        <f ca="1">IF(Small_F,'House reinf, Central Frame Side'!L204,'House reinf, Support Plate Side'!L204)</f>
        <v>#REF!</v>
      </c>
      <c r="M84" s="508" t="e">
        <f ca="1">IF(Small_F,'House reinf, Central Frame Side'!M204,'House reinf, Support Plate Side'!M204)</f>
        <v>#REF!</v>
      </c>
      <c r="N84" s="508" t="e">
        <f ca="1">IF(Small_F,'House reinf, Central Frame Side'!N204,'House reinf, Support Plate Side'!N204)</f>
        <v>#REF!</v>
      </c>
      <c r="O84" s="508" t="e">
        <f ca="1">IF(Small_F,'House reinf, Central Frame Side'!O204,'House reinf, Support Plate Side'!O204)</f>
        <v>#REF!</v>
      </c>
      <c r="P84" s="508" t="e">
        <f ca="1">IF(Small_F,'House reinf, Central Frame Side'!P204,'House reinf, Support Plate Side'!P204)</f>
        <v>#REF!</v>
      </c>
      <c r="Q84" s="508" t="e">
        <f ca="1">IF(Small_F,'House reinf, Central Frame Side'!Q204,'House reinf, Support Plate Side'!Q204)</f>
        <v>#REF!</v>
      </c>
      <c r="R84" s="508" t="e">
        <f ca="1">IF(Small_F,'House reinf, Central Frame Side'!R204,'House reinf, Support Plate Side'!R204)</f>
        <v>#REF!</v>
      </c>
      <c r="S84" s="508" t="e">
        <f ca="1">IF(Small_F,'House reinf, Central Frame Side'!S204,'House reinf, Support Plate Side'!S204)</f>
        <v>#REF!</v>
      </c>
      <c r="T84" s="508" t="e">
        <f ca="1">IF(Small_F,'House reinf, Central Frame Side'!T204,'House reinf, Support Plate Side'!T204)</f>
        <v>#REF!</v>
      </c>
      <c r="U84" s="508" t="e">
        <f ca="1">IF(Small_F,'House reinf, Central Frame Side'!U204,'House reinf, Support Plate Side'!U204)</f>
        <v>#REF!</v>
      </c>
      <c r="V84" s="508" t="e">
        <f ca="1">IF(Small_F,'House reinf, Central Frame Side'!V204,'House reinf, Support Plate Side'!V204)</f>
        <v>#REF!</v>
      </c>
      <c r="W84" s="508" t="e">
        <f ca="1">IF(Small_F,'House reinf, Central Frame Side'!W204,'House reinf, Support Plate Side'!W204)</f>
        <v>#REF!</v>
      </c>
      <c r="X84" s="508" t="e">
        <f ca="1">IF(Small_F,'House reinf, Central Frame Side'!X204,'House reinf, Support Plate Side'!X204)</f>
        <v>#REF!</v>
      </c>
      <c r="Y84" s="508" t="e">
        <f ca="1">IF(Small_F,'House reinf, Central Frame Side'!Y204,'House reinf, Support Plate Side'!Y204)</f>
        <v>#REF!</v>
      </c>
      <c r="Z84" s="508" t="e">
        <f ca="1">IF(Small_F,'House reinf, Central Frame Side'!Z204,'House reinf, Support Plate Side'!Z204)</f>
        <v>#REF!</v>
      </c>
      <c r="AA84" s="508" t="e">
        <f ca="1">IF(Small_F,'House reinf, Central Frame Side'!AA204,'House reinf, Support Plate Side'!AA204)</f>
        <v>#REF!</v>
      </c>
      <c r="AB84" s="508" t="e">
        <f ca="1">IF(Small_F,'House reinf, Central Frame Side'!AB204,'House reinf, Support Plate Side'!AB204)</f>
        <v>#REF!</v>
      </c>
      <c r="AC84" s="2109" t="e">
        <f ca="1">IF(Small_F,'House reinf, Central Frame Side'!AC204,'House reinf, Support Plate Side'!AC204)</f>
        <v>#REF!</v>
      </c>
      <c r="AD84" s="1169" t="e">
        <f ca="1">IF(Small_F,'House reinf, Central Frame Side'!AD204,'House reinf, Support Plate Side'!AD204)</f>
        <v>#REF!</v>
      </c>
      <c r="AE84" s="1169" t="e">
        <f ca="1">IF(Small_F,'House reinf, Central Frame Side'!AE204,'House reinf, Support Plate Side'!AE204)</f>
        <v>#REF!</v>
      </c>
      <c r="AF84" s="2102" t="e">
        <f ca="1">IF(Small_F,'House reinf, Central Frame Side'!AF204,'House reinf, Support Plate Side'!AF204)</f>
        <v>#REF!</v>
      </c>
      <c r="AG84" s="2128" t="e">
        <f ca="1">IF(Small_F,'House reinf, Central Frame Side'!AG204,'House reinf, Support Plate Side'!AG204)</f>
        <v>#REF!</v>
      </c>
      <c r="AH84" s="2129" t="e">
        <f ca="1">IF(Small_F,'House reinf, Central Frame Side'!AH204,'House reinf, Support Plate Side'!AH204)</f>
        <v>#REF!</v>
      </c>
      <c r="AI84" s="2129" t="e">
        <f ca="1">IF(Small_F,'House reinf, Central Frame Side'!AI204,'House reinf, Support Plate Side'!AI204)</f>
        <v>#REF!</v>
      </c>
      <c r="AJ84" s="2130" t="e">
        <f ca="1">IF(Small_F,'House reinf, Central Frame Side'!AJ204,'House reinf, Support Plate Side'!AJ204)</f>
        <v>#REF!</v>
      </c>
    </row>
    <row r="85" spans="1:36">
      <c r="A85" s="509" t="e">
        <f ca="1">IF(Small_F,'House reinf, Central Frame Side'!A205,'House reinf, Support Plate Side'!A205)</f>
        <v>#REF!</v>
      </c>
      <c r="B85" s="529" t="e">
        <f ca="1">-IF(Small_F,'House reinf, Central Frame Side'!B205,'House reinf, Support Plate Side'!B205)</f>
        <v>#REF!</v>
      </c>
      <c r="C85" s="504" t="e">
        <f ca="1">-IF(Small_F,'House reinf, Central Frame Side'!C205,'House reinf, Support Plate Side'!C205)</f>
        <v>#REF!</v>
      </c>
      <c r="D85" s="504" t="e">
        <f ca="1">-IF(Small_F,'House reinf, Central Frame Side'!D205,'House reinf, Support Plate Side'!D205)</f>
        <v>#REF!</v>
      </c>
      <c r="E85" s="504" t="e">
        <f ca="1">-IF(Small_F,'House reinf, Central Frame Side'!E205,'House reinf, Support Plate Side'!E205)</f>
        <v>#REF!</v>
      </c>
      <c r="F85" s="504" t="e">
        <f ca="1">-IF(Small_F,'House reinf, Central Frame Side'!F205,'House reinf, Support Plate Side'!F205)</f>
        <v>#REF!</v>
      </c>
      <c r="G85" s="504" t="e">
        <f ca="1">-IF(Small_F,'House reinf, Central Frame Side'!G205,'House reinf, Support Plate Side'!G205)</f>
        <v>#REF!</v>
      </c>
      <c r="H85" s="504" t="e">
        <f ca="1">-IF(Small_F,'House reinf, Central Frame Side'!H205,'House reinf, Support Plate Side'!H205)</f>
        <v>#REF!</v>
      </c>
      <c r="I85" s="504" t="e">
        <f ca="1">-IF(Small_F,'House reinf, Central Frame Side'!I205,'House reinf, Support Plate Side'!I205)</f>
        <v>#REF!</v>
      </c>
      <c r="J85" s="504" t="e">
        <f ca="1">-IF(Small_F,'House reinf, Central Frame Side'!J205,'House reinf, Support Plate Side'!J205)</f>
        <v>#REF!</v>
      </c>
      <c r="K85" s="504" t="e">
        <f ca="1">-IF(Small_F,'House reinf, Central Frame Side'!K205,'House reinf, Support Plate Side'!K205)</f>
        <v>#REF!</v>
      </c>
      <c r="L85" s="504" t="e">
        <f ca="1">-IF(Small_F,'House reinf, Central Frame Side'!L205,'House reinf, Support Plate Side'!L205)</f>
        <v>#REF!</v>
      </c>
      <c r="M85" s="504" t="e">
        <f ca="1">-IF(Small_F,'House reinf, Central Frame Side'!M205,'House reinf, Support Plate Side'!M205)</f>
        <v>#REF!</v>
      </c>
      <c r="N85" s="504" t="e">
        <f ca="1">-IF(Small_F,'House reinf, Central Frame Side'!N205,'House reinf, Support Plate Side'!N205)</f>
        <v>#REF!</v>
      </c>
      <c r="O85" s="504" t="e">
        <f ca="1">-IF(Small_F,'House reinf, Central Frame Side'!O205,'House reinf, Support Plate Side'!O205)</f>
        <v>#REF!</v>
      </c>
      <c r="P85" s="504" t="e">
        <f ca="1">-IF(Small_F,'House reinf, Central Frame Side'!P205,'House reinf, Support Plate Side'!P205)</f>
        <v>#REF!</v>
      </c>
      <c r="Q85" s="504" t="e">
        <f ca="1">-IF(Small_F,'House reinf, Central Frame Side'!Q205,'House reinf, Support Plate Side'!Q205)</f>
        <v>#REF!</v>
      </c>
      <c r="R85" s="504" t="e">
        <f ca="1">-IF(Small_F,'House reinf, Central Frame Side'!R205,'House reinf, Support Plate Side'!R205)</f>
        <v>#REF!</v>
      </c>
      <c r="S85" s="504" t="e">
        <f ca="1">-IF(Small_F,'House reinf, Central Frame Side'!S205,'House reinf, Support Plate Side'!S205)</f>
        <v>#REF!</v>
      </c>
      <c r="T85" s="504" t="e">
        <f ca="1">-IF(Small_F,'House reinf, Central Frame Side'!T205,'House reinf, Support Plate Side'!T205)</f>
        <v>#REF!</v>
      </c>
      <c r="U85" s="504" t="e">
        <f ca="1">-IF(Small_F,'House reinf, Central Frame Side'!U205,'House reinf, Support Plate Side'!U205)</f>
        <v>#REF!</v>
      </c>
      <c r="V85" s="504" t="e">
        <f ca="1">-IF(Small_F,'House reinf, Central Frame Side'!V205,'House reinf, Support Plate Side'!V205)</f>
        <v>#REF!</v>
      </c>
      <c r="W85" s="504" t="e">
        <f ca="1">-IF(Small_F,'House reinf, Central Frame Side'!W205,'House reinf, Support Plate Side'!W205)</f>
        <v>#REF!</v>
      </c>
      <c r="X85" s="504" t="e">
        <f ca="1">-IF(Small_F,'House reinf, Central Frame Side'!X205,'House reinf, Support Plate Side'!X205)</f>
        <v>#REF!</v>
      </c>
      <c r="Y85" s="504" t="e">
        <f ca="1">-IF(Small_F,'House reinf, Central Frame Side'!Y205,'House reinf, Support Plate Side'!Y205)</f>
        <v>#REF!</v>
      </c>
      <c r="Z85" s="504" t="e">
        <f ca="1">-IF(Small_F,'House reinf, Central Frame Side'!Z205,'House reinf, Support Plate Side'!Z205)</f>
        <v>#REF!</v>
      </c>
      <c r="AA85" s="504" t="e">
        <f ca="1">-IF(Small_F,'House reinf, Central Frame Side'!AA205,'House reinf, Support Plate Side'!AA205)</f>
        <v>#REF!</v>
      </c>
      <c r="AB85" s="504" t="e">
        <f ca="1">-IF(Small_F,'House reinf, Central Frame Side'!AB205,'House reinf, Support Plate Side'!AB205)</f>
        <v>#REF!</v>
      </c>
      <c r="AC85" s="2110" t="e">
        <f ca="1">-IF(Small_F,'House reinf, Central Frame Side'!AC205,'House reinf, Support Plate Side'!AC205)</f>
        <v>#REF!</v>
      </c>
      <c r="AD85" s="504" t="e">
        <f ca="1">-IF(Small_F,'House reinf, Central Frame Side'!AD205,'House reinf, Support Plate Side'!AD205)</f>
        <v>#REF!</v>
      </c>
      <c r="AE85" s="504" t="e">
        <f ca="1">-IF(Small_F,'House reinf, Central Frame Side'!AE205,'House reinf, Support Plate Side'!AE205)</f>
        <v>#REF!</v>
      </c>
      <c r="AF85" s="530" t="e">
        <f ca="1">-IF(Small_F,'House reinf, Central Frame Side'!AF205,'House reinf, Support Plate Side'!AF205)</f>
        <v>#REF!</v>
      </c>
      <c r="AG85" s="2101" t="e">
        <f ca="1">-IF(Small_F,'House reinf, Central Frame Side'!AG205,'House reinf, Support Plate Side'!AG205)</f>
        <v>#REF!</v>
      </c>
      <c r="AH85" s="504" t="e">
        <f ca="1">-IF(Small_F,'House reinf, Central Frame Side'!AH205,'House reinf, Support Plate Side'!AH205)</f>
        <v>#REF!</v>
      </c>
      <c r="AI85" s="504" t="e">
        <f ca="1">-IF(Small_F,'House reinf, Central Frame Side'!AI205,'House reinf, Support Plate Side'!AI205)</f>
        <v>#REF!</v>
      </c>
      <c r="AJ85" s="530" t="e">
        <f ca="1">-IF(Small_F,'House reinf, Central Frame Side'!AJ205,'House reinf, Support Plate Side'!AJ205)</f>
        <v>#REF!</v>
      </c>
    </row>
    <row r="86" spans="1:36" ht="15.75" thickBot="1">
      <c r="A86" s="509" t="e">
        <f ca="1">IF(Small_F,'House reinf, Central Frame Side'!A206,'House reinf, Support Plate Side'!A206)</f>
        <v>#REF!</v>
      </c>
      <c r="B86" s="534" t="e">
        <f ca="1">IF(Small_F,'House reinf, Central Frame Side'!B206,'House reinf, Support Plate Side'!B206)</f>
        <v>#REF!</v>
      </c>
      <c r="C86" s="535" t="e">
        <f ca="1">IF(Small_F,'House reinf, Central Frame Side'!C206,'House reinf, Support Plate Side'!C206)</f>
        <v>#REF!</v>
      </c>
      <c r="D86" s="535" t="e">
        <f ca="1">IF(Small_F,'House reinf, Central Frame Side'!D206,'House reinf, Support Plate Side'!D206)</f>
        <v>#REF!</v>
      </c>
      <c r="E86" s="535" t="e">
        <f ca="1">IF(Small_F,'House reinf, Central Frame Side'!E206,'House reinf, Support Plate Side'!E206)</f>
        <v>#REF!</v>
      </c>
      <c r="F86" s="535" t="e">
        <f ca="1">IF(Small_F,'House reinf, Central Frame Side'!F206,'House reinf, Support Plate Side'!F206)</f>
        <v>#REF!</v>
      </c>
      <c r="G86" s="535" t="e">
        <f ca="1">IF(Small_F,'House reinf, Central Frame Side'!G206,'House reinf, Support Plate Side'!G206)</f>
        <v>#REF!</v>
      </c>
      <c r="H86" s="535" t="e">
        <f ca="1">IF(Small_F,'House reinf, Central Frame Side'!H206,'House reinf, Support Plate Side'!H206)</f>
        <v>#REF!</v>
      </c>
      <c r="I86" s="535" t="e">
        <f ca="1">IF(Small_F,'House reinf, Central Frame Side'!I206,'House reinf, Support Plate Side'!I206)</f>
        <v>#REF!</v>
      </c>
      <c r="J86" s="535" t="e">
        <f ca="1">IF(Small_F,'House reinf, Central Frame Side'!J206,'House reinf, Support Plate Side'!J206)</f>
        <v>#REF!</v>
      </c>
      <c r="K86" s="535" t="e">
        <f ca="1">IF(Small_F,'House reinf, Central Frame Side'!K206,'House reinf, Support Plate Side'!K206)</f>
        <v>#REF!</v>
      </c>
      <c r="L86" s="535" t="e">
        <f ca="1">IF(Small_F,'House reinf, Central Frame Side'!L206,'House reinf, Support Plate Side'!L206)</f>
        <v>#REF!</v>
      </c>
      <c r="M86" s="535" t="e">
        <f ca="1">IF(Small_F,'House reinf, Central Frame Side'!M206,'House reinf, Support Plate Side'!M206)</f>
        <v>#REF!</v>
      </c>
      <c r="N86" s="535" t="e">
        <f ca="1">IF(Small_F,'House reinf, Central Frame Side'!N206,'House reinf, Support Plate Side'!N206)</f>
        <v>#REF!</v>
      </c>
      <c r="O86" s="535" t="e">
        <f ca="1">IF(Small_F,'House reinf, Central Frame Side'!O206,'House reinf, Support Plate Side'!O206)</f>
        <v>#REF!</v>
      </c>
      <c r="P86" s="535" t="e">
        <f ca="1">IF(Small_F,'House reinf, Central Frame Side'!P206,'House reinf, Support Plate Side'!P206)</f>
        <v>#REF!</v>
      </c>
      <c r="Q86" s="535" t="e">
        <f ca="1">IF(Small_F,'House reinf, Central Frame Side'!Q206,'House reinf, Support Plate Side'!Q206)</f>
        <v>#REF!</v>
      </c>
      <c r="R86" s="535" t="e">
        <f ca="1">IF(Small_F,'House reinf, Central Frame Side'!R206,'House reinf, Support Plate Side'!R206)</f>
        <v>#REF!</v>
      </c>
      <c r="S86" s="535" t="e">
        <f ca="1">IF(Small_F,'House reinf, Central Frame Side'!S206,'House reinf, Support Plate Side'!S206)</f>
        <v>#REF!</v>
      </c>
      <c r="T86" s="535" t="e">
        <f ca="1">IF(Small_F,'House reinf, Central Frame Side'!T206,'House reinf, Support Plate Side'!T206)</f>
        <v>#REF!</v>
      </c>
      <c r="U86" s="535" t="e">
        <f ca="1">IF(Small_F,'House reinf, Central Frame Side'!U206,'House reinf, Support Plate Side'!U206)</f>
        <v>#REF!</v>
      </c>
      <c r="V86" s="535" t="e">
        <f ca="1">IF(Small_F,'House reinf, Central Frame Side'!V206,'House reinf, Support Plate Side'!V206)</f>
        <v>#REF!</v>
      </c>
      <c r="W86" s="535" t="e">
        <f ca="1">IF(Small_F,'House reinf, Central Frame Side'!W206,'House reinf, Support Plate Side'!W206)</f>
        <v>#REF!</v>
      </c>
      <c r="X86" s="535" t="e">
        <f ca="1">IF(Small_F,'House reinf, Central Frame Side'!X206,'House reinf, Support Plate Side'!X206)</f>
        <v>#REF!</v>
      </c>
      <c r="Y86" s="535" t="e">
        <f ca="1">IF(Small_F,'House reinf, Central Frame Side'!Y206,'House reinf, Support Plate Side'!Y206)</f>
        <v>#REF!</v>
      </c>
      <c r="Z86" s="535" t="e">
        <f ca="1">IF(Small_F,'House reinf, Central Frame Side'!Z206,'House reinf, Support Plate Side'!Z206)</f>
        <v>#REF!</v>
      </c>
      <c r="AA86" s="535" t="e">
        <f ca="1">IF(Small_F,'House reinf, Central Frame Side'!AA206,'House reinf, Support Plate Side'!AA206)</f>
        <v>#REF!</v>
      </c>
      <c r="AB86" s="535" t="e">
        <f ca="1">IF(Small_F,'House reinf, Central Frame Side'!AB206,'House reinf, Support Plate Side'!AB206)</f>
        <v>#REF!</v>
      </c>
      <c r="AC86" s="2111" t="e">
        <f ca="1">IF(Small_F,'House reinf, Central Frame Side'!AC206,'House reinf, Support Plate Side'!AC206)</f>
        <v>#REF!</v>
      </c>
      <c r="AD86" s="535" t="e">
        <f ca="1">IF(Small_F,'House reinf, Central Frame Side'!AD206,'House reinf, Support Plate Side'!AD206)</f>
        <v>#REF!</v>
      </c>
      <c r="AE86" s="535" t="e">
        <f ca="1">IF(Small_F,'House reinf, Central Frame Side'!AE206,'House reinf, Support Plate Side'!AE206)</f>
        <v>#REF!</v>
      </c>
      <c r="AF86" s="536" t="e">
        <f ca="1">IF(Small_F,'House reinf, Central Frame Side'!AF206,'House reinf, Support Plate Side'!AF206)</f>
        <v>#REF!</v>
      </c>
      <c r="AG86" s="548" t="e">
        <f ca="1">IF(Small_F,'House reinf, Central Frame Side'!AG206,'House reinf, Support Plate Side'!AG206)</f>
        <v>#REF!</v>
      </c>
      <c r="AH86" s="535" t="e">
        <f ca="1">IF(Small_F,'House reinf, Central Frame Side'!AH206,'House reinf, Support Plate Side'!AH206)</f>
        <v>#REF!</v>
      </c>
      <c r="AI86" s="535" t="e">
        <f ca="1">IF(Small_F,'House reinf, Central Frame Side'!AI206,'House reinf, Support Plate Side'!AI206)</f>
        <v>#REF!</v>
      </c>
      <c r="AJ86" s="536" t="e">
        <f ca="1">IF(Small_F,'House reinf, Central Frame Side'!AJ206,'House reinf, Support Plate Side'!AJ206)</f>
        <v>#REF!</v>
      </c>
    </row>
    <row r="87" spans="1:36">
      <c r="A87" s="1275"/>
      <c r="B87" s="510"/>
      <c r="C87" s="510"/>
      <c r="D87" s="510"/>
      <c r="E87" s="510"/>
      <c r="F87" s="510"/>
      <c r="G87" s="510"/>
      <c r="H87" s="510"/>
      <c r="I87" s="510"/>
      <c r="J87" s="510"/>
      <c r="K87" s="510"/>
      <c r="L87" s="510"/>
      <c r="M87" s="510"/>
      <c r="N87" s="510"/>
      <c r="O87" s="510"/>
      <c r="P87" s="510"/>
      <c r="Q87" s="510"/>
      <c r="R87" s="510"/>
      <c r="S87" s="510"/>
      <c r="T87" s="510"/>
      <c r="U87" s="510"/>
      <c r="V87" s="510"/>
      <c r="W87" s="510"/>
      <c r="X87" s="510"/>
      <c r="Y87" s="510"/>
      <c r="Z87" s="510"/>
      <c r="AA87" s="510"/>
      <c r="AB87" s="510"/>
      <c r="AC87" s="518"/>
      <c r="AD87" s="518"/>
      <c r="AE87" s="518"/>
      <c r="AF87" s="518"/>
      <c r="AG87" s="518"/>
      <c r="AH87" s="518"/>
      <c r="AI87" s="518"/>
      <c r="AJ87" s="2344"/>
    </row>
    <row r="88" spans="1:36" ht="15.75" thickBot="1">
      <c r="A88" s="1275"/>
      <c r="B88" s="518"/>
      <c r="C88" s="518"/>
      <c r="D88" s="518"/>
      <c r="E88" s="518"/>
      <c r="F88" s="518"/>
      <c r="G88" s="518"/>
      <c r="H88" s="518"/>
      <c r="I88" s="518"/>
      <c r="J88" s="518"/>
      <c r="K88" s="518"/>
      <c r="L88" s="518"/>
      <c r="M88" s="518"/>
      <c r="N88" s="518"/>
      <c r="O88" s="518"/>
      <c r="P88" s="518"/>
      <c r="Q88" s="518"/>
      <c r="R88" s="518"/>
      <c r="S88" s="518"/>
      <c r="T88" s="518"/>
      <c r="U88" s="518"/>
      <c r="V88" s="518"/>
      <c r="W88" s="518"/>
      <c r="X88" s="518"/>
      <c r="Y88" s="518"/>
      <c r="Z88" s="518"/>
      <c r="AA88" s="518"/>
      <c r="AB88" s="518"/>
      <c r="AC88" s="518"/>
      <c r="AD88" s="518"/>
      <c r="AE88" s="518"/>
      <c r="AF88" s="518"/>
      <c r="AG88" s="518"/>
      <c r="AH88" s="518"/>
      <c r="AI88" s="518"/>
      <c r="AJ88" s="527"/>
    </row>
    <row r="89" spans="1:36" s="2013" customFormat="1" ht="15.75" thickBot="1">
      <c r="A89" s="2423"/>
      <c r="B89" s="3799" t="str">
        <f>"Support Plate "&amp;$E$6&amp;", "&amp;$G$6&amp;", "&amp;Center_H</f>
        <v>Support Plate RD, 135, 1269</v>
      </c>
      <c r="C89" s="3800"/>
      <c r="D89" s="3800"/>
      <c r="E89" s="3800"/>
      <c r="F89" s="3800"/>
      <c r="G89" s="3800"/>
      <c r="H89" s="3800"/>
      <c r="I89" s="3800"/>
      <c r="J89" s="3800"/>
      <c r="K89" s="3800"/>
      <c r="L89" s="3800"/>
      <c r="M89" s="3800"/>
      <c r="N89" s="3800"/>
      <c r="O89" s="3800"/>
      <c r="P89" s="3800"/>
      <c r="Q89" s="3800"/>
      <c r="R89" s="3800"/>
      <c r="S89" s="3800"/>
      <c r="T89" s="3800"/>
      <c r="U89" s="3800"/>
      <c r="V89" s="3800"/>
      <c r="W89" s="3800"/>
      <c r="X89" s="3800"/>
      <c r="Y89" s="3800"/>
      <c r="Z89" s="3800"/>
      <c r="AA89" s="3800"/>
      <c r="AB89" s="3800"/>
      <c r="AC89" s="3800"/>
      <c r="AD89" s="3800"/>
      <c r="AE89" s="3800"/>
      <c r="AF89" s="3800"/>
      <c r="AG89" s="3800"/>
      <c r="AH89" s="3800"/>
      <c r="AI89" s="3800"/>
      <c r="AJ89" s="3837"/>
    </row>
    <row r="90" spans="1:36" s="2013" customFormat="1">
      <c r="A90" s="2023"/>
      <c r="B90" s="2424"/>
      <c r="C90" s="518"/>
      <c r="D90" s="3944" t="s">
        <v>4029</v>
      </c>
      <c r="E90" s="3945"/>
      <c r="F90" s="513" t="e">
        <f ca="1">I90*$U$7/1000*steel_density</f>
        <v>#REF!</v>
      </c>
      <c r="G90" s="508" t="s">
        <v>131</v>
      </c>
      <c r="H90" s="528" t="s">
        <v>4032</v>
      </c>
      <c r="I90" s="544" t="e">
        <f ca="1">IF(Small_F,0,PI()/4*((SP_oD/1000)^2-(SP_iD/1000)^2))</f>
        <v>#REF!</v>
      </c>
      <c r="J90" s="518" t="s">
        <v>2511</v>
      </c>
      <c r="K90" s="518"/>
      <c r="L90" s="518"/>
      <c r="M90" s="518"/>
      <c r="N90" s="518"/>
      <c r="O90" s="518"/>
      <c r="P90" s="518"/>
      <c r="Q90" s="518"/>
      <c r="R90" s="518"/>
      <c r="S90" s="518"/>
      <c r="T90" s="518"/>
      <c r="U90" s="518"/>
      <c r="V90" s="518"/>
      <c r="W90" s="518"/>
      <c r="X90" s="518"/>
      <c r="Y90" s="518"/>
      <c r="Z90" s="518"/>
      <c r="AA90" s="518"/>
      <c r="AB90" s="518"/>
      <c r="AC90" s="518"/>
      <c r="AD90" s="518"/>
      <c r="AE90" s="518"/>
      <c r="AF90" s="518"/>
      <c r="AG90" s="518"/>
      <c r="AH90" s="518"/>
      <c r="AI90" s="518"/>
      <c r="AJ90" s="527"/>
    </row>
    <row r="91" spans="1:36" s="2013" customFormat="1">
      <c r="A91" s="2345" t="s">
        <v>1104</v>
      </c>
      <c r="B91" s="2426">
        <f>House!B$60</f>
        <v>0</v>
      </c>
      <c r="C91" s="1133">
        <f>House!C$60</f>
        <v>0.18479956785822313</v>
      </c>
      <c r="D91" s="1133">
        <f>House!D$60</f>
        <v>0.36959913571644626</v>
      </c>
      <c r="E91" s="1133">
        <f>House!E$60</f>
        <v>0.55439870357466936</v>
      </c>
      <c r="F91" s="1133">
        <f>House!F$60</f>
        <v>0.73919827143289252</v>
      </c>
      <c r="G91" s="1133">
        <f>House!G$60</f>
        <v>0.92399783929111567</v>
      </c>
      <c r="H91" s="1133">
        <f>House!H$60</f>
        <v>1.1087974071493387</v>
      </c>
      <c r="I91" s="1133">
        <f>House!I$60</f>
        <v>1.2935969750075618</v>
      </c>
      <c r="J91" s="1133">
        <f>House!J$60</f>
        <v>1.4783965428657848</v>
      </c>
      <c r="K91" s="1133">
        <f>House!K$60</f>
        <v>1.6631961107240079</v>
      </c>
      <c r="L91" s="1133">
        <f>House!L$60</f>
        <v>1.8479956785822309</v>
      </c>
      <c r="M91" s="1133">
        <f>House!M$60</f>
        <v>2.032795246440454</v>
      </c>
      <c r="N91" s="1133">
        <f>House!N$60</f>
        <v>2.217594814298677</v>
      </c>
      <c r="O91" s="1133">
        <f>House!O$60</f>
        <v>2.4023943821569</v>
      </c>
      <c r="P91" s="1133">
        <f>House!P$60</f>
        <v>2.5871939500151231</v>
      </c>
      <c r="Q91" s="1133">
        <f>House!Q$60</f>
        <v>2.7719935178733461</v>
      </c>
      <c r="R91" s="1133">
        <f>House!R$60</f>
        <v>2.9567930857315692</v>
      </c>
      <c r="S91" s="1133">
        <f>House!S$60</f>
        <v>3.1415926535897922</v>
      </c>
      <c r="T91" s="1133">
        <f>House!T$60</f>
        <v>3.3263922214480153</v>
      </c>
      <c r="U91" s="1133">
        <f>House!U$60</f>
        <v>3.5111917893062383</v>
      </c>
      <c r="V91" s="1133">
        <f>House!V$60</f>
        <v>3.6959913571644614</v>
      </c>
      <c r="W91" s="1133">
        <f>House!W$60</f>
        <v>3.8807909250226844</v>
      </c>
      <c r="X91" s="1133">
        <f>House!X$60</f>
        <v>4.0655904928809079</v>
      </c>
      <c r="Y91" s="1133">
        <f>House!Y$60</f>
        <v>4.2503900607391314</v>
      </c>
      <c r="Z91" s="1133">
        <f>House!Z$60</f>
        <v>4.4351896285973549</v>
      </c>
      <c r="AA91" s="1133">
        <f>House!AA$60</f>
        <v>4.6199891964555784</v>
      </c>
      <c r="AB91" s="1368">
        <f>House!AB$60</f>
        <v>4.8047887643138019</v>
      </c>
      <c r="AC91" s="1133">
        <f>House!AC$60</f>
        <v>4.9895883321720254</v>
      </c>
      <c r="AD91" s="1133">
        <f>House!AD$60</f>
        <v>5.1743879000302488</v>
      </c>
      <c r="AE91" s="1133">
        <f>House!AE$60</f>
        <v>5.3591874678884723</v>
      </c>
      <c r="AF91" s="1133">
        <f>House!AF$60</f>
        <v>5.5439870357466958</v>
      </c>
      <c r="AG91" s="1133">
        <f>House!AG$60</f>
        <v>5.7287866036049193</v>
      </c>
      <c r="AH91" s="1133">
        <f>House!AH$60</f>
        <v>5.9135861714631428</v>
      </c>
      <c r="AI91" s="1133">
        <f>House!AI$60</f>
        <v>6.0983857393213663</v>
      </c>
      <c r="AJ91" s="1157">
        <f>House!AJ$60</f>
        <v>6.2831853071795898</v>
      </c>
    </row>
    <row r="92" spans="1:36" s="2013" customFormat="1">
      <c r="A92" s="1275" t="e">
        <f ca="1">IF(Small_F,"","SPoD")</f>
        <v>#REF!</v>
      </c>
      <c r="B92" s="529" t="e">
        <f t="shared" ref="B92:AJ92" ca="1" si="1">-IF(Small_F,0,mirror*SP_oD/2*COS(B91))</f>
        <v>#REF!</v>
      </c>
      <c r="C92" s="504" t="e">
        <f t="shared" ca="1" si="1"/>
        <v>#REF!</v>
      </c>
      <c r="D92" s="504" t="e">
        <f t="shared" ca="1" si="1"/>
        <v>#REF!</v>
      </c>
      <c r="E92" s="504" t="e">
        <f t="shared" ca="1" si="1"/>
        <v>#REF!</v>
      </c>
      <c r="F92" s="504" t="e">
        <f t="shared" ca="1" si="1"/>
        <v>#REF!</v>
      </c>
      <c r="G92" s="504" t="e">
        <f t="shared" ca="1" si="1"/>
        <v>#REF!</v>
      </c>
      <c r="H92" s="504" t="e">
        <f t="shared" ca="1" si="1"/>
        <v>#REF!</v>
      </c>
      <c r="I92" s="504" t="e">
        <f t="shared" ca="1" si="1"/>
        <v>#REF!</v>
      </c>
      <c r="J92" s="504" t="e">
        <f t="shared" ca="1" si="1"/>
        <v>#REF!</v>
      </c>
      <c r="K92" s="504" t="e">
        <f t="shared" ca="1" si="1"/>
        <v>#REF!</v>
      </c>
      <c r="L92" s="504" t="e">
        <f t="shared" ca="1" si="1"/>
        <v>#REF!</v>
      </c>
      <c r="M92" s="504" t="e">
        <f t="shared" ca="1" si="1"/>
        <v>#REF!</v>
      </c>
      <c r="N92" s="504" t="e">
        <f t="shared" ca="1" si="1"/>
        <v>#REF!</v>
      </c>
      <c r="O92" s="504" t="e">
        <f t="shared" ca="1" si="1"/>
        <v>#REF!</v>
      </c>
      <c r="P92" s="504" t="e">
        <f t="shared" ca="1" si="1"/>
        <v>#REF!</v>
      </c>
      <c r="Q92" s="504" t="e">
        <f t="shared" ca="1" si="1"/>
        <v>#REF!</v>
      </c>
      <c r="R92" s="504" t="e">
        <f t="shared" ca="1" si="1"/>
        <v>#REF!</v>
      </c>
      <c r="S92" s="504" t="e">
        <f t="shared" ca="1" si="1"/>
        <v>#REF!</v>
      </c>
      <c r="T92" s="504" t="e">
        <f t="shared" ca="1" si="1"/>
        <v>#REF!</v>
      </c>
      <c r="U92" s="504" t="e">
        <f t="shared" ca="1" si="1"/>
        <v>#REF!</v>
      </c>
      <c r="V92" s="504" t="e">
        <f t="shared" ca="1" si="1"/>
        <v>#REF!</v>
      </c>
      <c r="W92" s="504" t="e">
        <f t="shared" ca="1" si="1"/>
        <v>#REF!</v>
      </c>
      <c r="X92" s="504" t="e">
        <f t="shared" ca="1" si="1"/>
        <v>#REF!</v>
      </c>
      <c r="Y92" s="504" t="e">
        <f t="shared" ca="1" si="1"/>
        <v>#REF!</v>
      </c>
      <c r="Z92" s="504" t="e">
        <f t="shared" ca="1" si="1"/>
        <v>#REF!</v>
      </c>
      <c r="AA92" s="504" t="e">
        <f t="shared" ca="1" si="1"/>
        <v>#REF!</v>
      </c>
      <c r="AB92" s="511" t="e">
        <f t="shared" ca="1" si="1"/>
        <v>#REF!</v>
      </c>
      <c r="AC92" s="504" t="e">
        <f t="shared" ca="1" si="1"/>
        <v>#REF!</v>
      </c>
      <c r="AD92" s="504" t="e">
        <f t="shared" ca="1" si="1"/>
        <v>#REF!</v>
      </c>
      <c r="AE92" s="504" t="e">
        <f t="shared" ca="1" si="1"/>
        <v>#REF!</v>
      </c>
      <c r="AF92" s="504" t="e">
        <f t="shared" ca="1" si="1"/>
        <v>#REF!</v>
      </c>
      <c r="AG92" s="504" t="e">
        <f t="shared" ca="1" si="1"/>
        <v>#REF!</v>
      </c>
      <c r="AH92" s="504" t="e">
        <f t="shared" ca="1" si="1"/>
        <v>#REF!</v>
      </c>
      <c r="AI92" s="504" t="e">
        <f t="shared" ca="1" si="1"/>
        <v>#REF!</v>
      </c>
      <c r="AJ92" s="530" t="e">
        <f t="shared" ca="1" si="1"/>
        <v>#REF!</v>
      </c>
    </row>
    <row r="93" spans="1:36" s="2013" customFormat="1">
      <c r="A93" s="1275" t="e">
        <f ca="1">IF(Small_F,"","SPoDy")</f>
        <v>#REF!</v>
      </c>
      <c r="B93" s="807" t="e">
        <f t="shared" ref="B93:AJ93" ca="1" si="2">IF(Small_F,0,SP_oD/2*SIN(B91)+Center_H)</f>
        <v>#REF!</v>
      </c>
      <c r="C93" s="780" t="e">
        <f t="shared" ca="1" si="2"/>
        <v>#REF!</v>
      </c>
      <c r="D93" s="780" t="e">
        <f t="shared" ca="1" si="2"/>
        <v>#REF!</v>
      </c>
      <c r="E93" s="780" t="e">
        <f t="shared" ca="1" si="2"/>
        <v>#REF!</v>
      </c>
      <c r="F93" s="780" t="e">
        <f t="shared" ca="1" si="2"/>
        <v>#REF!</v>
      </c>
      <c r="G93" s="780" t="e">
        <f t="shared" ca="1" si="2"/>
        <v>#REF!</v>
      </c>
      <c r="H93" s="780" t="e">
        <f t="shared" ca="1" si="2"/>
        <v>#REF!</v>
      </c>
      <c r="I93" s="780" t="e">
        <f t="shared" ca="1" si="2"/>
        <v>#REF!</v>
      </c>
      <c r="J93" s="780" t="e">
        <f t="shared" ca="1" si="2"/>
        <v>#REF!</v>
      </c>
      <c r="K93" s="780" t="e">
        <f t="shared" ca="1" si="2"/>
        <v>#REF!</v>
      </c>
      <c r="L93" s="780" t="e">
        <f t="shared" ca="1" si="2"/>
        <v>#REF!</v>
      </c>
      <c r="M93" s="780" t="e">
        <f t="shared" ca="1" si="2"/>
        <v>#REF!</v>
      </c>
      <c r="N93" s="780" t="e">
        <f t="shared" ca="1" si="2"/>
        <v>#REF!</v>
      </c>
      <c r="O93" s="780" t="e">
        <f t="shared" ca="1" si="2"/>
        <v>#REF!</v>
      </c>
      <c r="P93" s="780" t="e">
        <f t="shared" ca="1" si="2"/>
        <v>#REF!</v>
      </c>
      <c r="Q93" s="780" t="e">
        <f t="shared" ca="1" si="2"/>
        <v>#REF!</v>
      </c>
      <c r="R93" s="780" t="e">
        <f t="shared" ca="1" si="2"/>
        <v>#REF!</v>
      </c>
      <c r="S93" s="780" t="e">
        <f t="shared" ca="1" si="2"/>
        <v>#REF!</v>
      </c>
      <c r="T93" s="780" t="e">
        <f t="shared" ca="1" si="2"/>
        <v>#REF!</v>
      </c>
      <c r="U93" s="780" t="e">
        <f t="shared" ca="1" si="2"/>
        <v>#REF!</v>
      </c>
      <c r="V93" s="780" t="e">
        <f t="shared" ca="1" si="2"/>
        <v>#REF!</v>
      </c>
      <c r="W93" s="780" t="e">
        <f t="shared" ca="1" si="2"/>
        <v>#REF!</v>
      </c>
      <c r="X93" s="780" t="e">
        <f t="shared" ca="1" si="2"/>
        <v>#REF!</v>
      </c>
      <c r="Y93" s="780" t="e">
        <f t="shared" ca="1" si="2"/>
        <v>#REF!</v>
      </c>
      <c r="Z93" s="780" t="e">
        <f t="shared" ca="1" si="2"/>
        <v>#REF!</v>
      </c>
      <c r="AA93" s="780" t="e">
        <f t="shared" ca="1" si="2"/>
        <v>#REF!</v>
      </c>
      <c r="AB93" s="1369" t="e">
        <f t="shared" ca="1" si="2"/>
        <v>#REF!</v>
      </c>
      <c r="AC93" s="780" t="e">
        <f t="shared" ca="1" si="2"/>
        <v>#REF!</v>
      </c>
      <c r="AD93" s="780" t="e">
        <f t="shared" ca="1" si="2"/>
        <v>#REF!</v>
      </c>
      <c r="AE93" s="780" t="e">
        <f t="shared" ca="1" si="2"/>
        <v>#REF!</v>
      </c>
      <c r="AF93" s="780" t="e">
        <f t="shared" ca="1" si="2"/>
        <v>#REF!</v>
      </c>
      <c r="AG93" s="780" t="e">
        <f t="shared" ca="1" si="2"/>
        <v>#REF!</v>
      </c>
      <c r="AH93" s="780" t="e">
        <f t="shared" ca="1" si="2"/>
        <v>#REF!</v>
      </c>
      <c r="AI93" s="780" t="e">
        <f t="shared" ca="1" si="2"/>
        <v>#REF!</v>
      </c>
      <c r="AJ93" s="781" t="e">
        <f t="shared" ca="1" si="2"/>
        <v>#REF!</v>
      </c>
    </row>
    <row r="94" spans="1:36">
      <c r="A94" s="1275" t="e">
        <f ca="1">IF(Small_F,"","SPiD")</f>
        <v>#REF!</v>
      </c>
      <c r="B94" s="529" t="e">
        <f t="shared" ref="B94:AJ94" ca="1" si="3">-IF(Small_F,0,mirror*SP_iD/2*COS(B91))</f>
        <v>#REF!</v>
      </c>
      <c r="C94" s="504" t="e">
        <f t="shared" ca="1" si="3"/>
        <v>#REF!</v>
      </c>
      <c r="D94" s="504" t="e">
        <f t="shared" ca="1" si="3"/>
        <v>#REF!</v>
      </c>
      <c r="E94" s="504" t="e">
        <f t="shared" ca="1" si="3"/>
        <v>#REF!</v>
      </c>
      <c r="F94" s="504" t="e">
        <f t="shared" ca="1" si="3"/>
        <v>#REF!</v>
      </c>
      <c r="G94" s="504" t="e">
        <f t="shared" ca="1" si="3"/>
        <v>#REF!</v>
      </c>
      <c r="H94" s="504" t="e">
        <f t="shared" ca="1" si="3"/>
        <v>#REF!</v>
      </c>
      <c r="I94" s="504" t="e">
        <f t="shared" ca="1" si="3"/>
        <v>#REF!</v>
      </c>
      <c r="J94" s="504" t="e">
        <f t="shared" ca="1" si="3"/>
        <v>#REF!</v>
      </c>
      <c r="K94" s="504" t="e">
        <f t="shared" ca="1" si="3"/>
        <v>#REF!</v>
      </c>
      <c r="L94" s="504" t="e">
        <f t="shared" ca="1" si="3"/>
        <v>#REF!</v>
      </c>
      <c r="M94" s="504" t="e">
        <f t="shared" ca="1" si="3"/>
        <v>#REF!</v>
      </c>
      <c r="N94" s="504" t="e">
        <f t="shared" ca="1" si="3"/>
        <v>#REF!</v>
      </c>
      <c r="O94" s="504" t="e">
        <f t="shared" ca="1" si="3"/>
        <v>#REF!</v>
      </c>
      <c r="P94" s="504" t="e">
        <f t="shared" ca="1" si="3"/>
        <v>#REF!</v>
      </c>
      <c r="Q94" s="504" t="e">
        <f t="shared" ca="1" si="3"/>
        <v>#REF!</v>
      </c>
      <c r="R94" s="504" t="e">
        <f t="shared" ca="1" si="3"/>
        <v>#REF!</v>
      </c>
      <c r="S94" s="504" t="e">
        <f t="shared" ca="1" si="3"/>
        <v>#REF!</v>
      </c>
      <c r="T94" s="504" t="e">
        <f t="shared" ca="1" si="3"/>
        <v>#REF!</v>
      </c>
      <c r="U94" s="504" t="e">
        <f t="shared" ca="1" si="3"/>
        <v>#REF!</v>
      </c>
      <c r="V94" s="504" t="e">
        <f t="shared" ca="1" si="3"/>
        <v>#REF!</v>
      </c>
      <c r="W94" s="504" t="e">
        <f t="shared" ca="1" si="3"/>
        <v>#REF!</v>
      </c>
      <c r="X94" s="504" t="e">
        <f t="shared" ca="1" si="3"/>
        <v>#REF!</v>
      </c>
      <c r="Y94" s="504" t="e">
        <f t="shared" ca="1" si="3"/>
        <v>#REF!</v>
      </c>
      <c r="Z94" s="504" t="e">
        <f t="shared" ca="1" si="3"/>
        <v>#REF!</v>
      </c>
      <c r="AA94" s="504" t="e">
        <f t="shared" ca="1" si="3"/>
        <v>#REF!</v>
      </c>
      <c r="AB94" s="511" t="e">
        <f t="shared" ca="1" si="3"/>
        <v>#REF!</v>
      </c>
      <c r="AC94" s="504" t="e">
        <f t="shared" ca="1" si="3"/>
        <v>#REF!</v>
      </c>
      <c r="AD94" s="504" t="e">
        <f t="shared" ca="1" si="3"/>
        <v>#REF!</v>
      </c>
      <c r="AE94" s="504" t="e">
        <f t="shared" ca="1" si="3"/>
        <v>#REF!</v>
      </c>
      <c r="AF94" s="504" t="e">
        <f t="shared" ca="1" si="3"/>
        <v>#REF!</v>
      </c>
      <c r="AG94" s="504" t="e">
        <f t="shared" ca="1" si="3"/>
        <v>#REF!</v>
      </c>
      <c r="AH94" s="504" t="e">
        <f t="shared" ca="1" si="3"/>
        <v>#REF!</v>
      </c>
      <c r="AI94" s="504" t="e">
        <f t="shared" ca="1" si="3"/>
        <v>#REF!</v>
      </c>
      <c r="AJ94" s="530" t="e">
        <f t="shared" ca="1" si="3"/>
        <v>#REF!</v>
      </c>
    </row>
    <row r="95" spans="1:36" ht="15.75" thickBot="1">
      <c r="A95" s="1275" t="e">
        <f ca="1">IF(Small_F,"","SPiDy")</f>
        <v>#REF!</v>
      </c>
      <c r="B95" s="2427" t="e">
        <f t="shared" ref="B95:AJ95" ca="1" si="4">IF(Small_F,0,SP_iD/2*SIN(B91)+Center_H)</f>
        <v>#REF!</v>
      </c>
      <c r="C95" s="2428" t="e">
        <f t="shared" ca="1" si="4"/>
        <v>#REF!</v>
      </c>
      <c r="D95" s="2428" t="e">
        <f t="shared" ca="1" si="4"/>
        <v>#REF!</v>
      </c>
      <c r="E95" s="2428" t="e">
        <f t="shared" ca="1" si="4"/>
        <v>#REF!</v>
      </c>
      <c r="F95" s="2428" t="e">
        <f t="shared" ca="1" si="4"/>
        <v>#REF!</v>
      </c>
      <c r="G95" s="2428" t="e">
        <f t="shared" ca="1" si="4"/>
        <v>#REF!</v>
      </c>
      <c r="H95" s="2428" t="e">
        <f t="shared" ca="1" si="4"/>
        <v>#REF!</v>
      </c>
      <c r="I95" s="2428" t="e">
        <f t="shared" ca="1" si="4"/>
        <v>#REF!</v>
      </c>
      <c r="J95" s="2428" t="e">
        <f t="shared" ca="1" si="4"/>
        <v>#REF!</v>
      </c>
      <c r="K95" s="2428" t="e">
        <f t="shared" ca="1" si="4"/>
        <v>#REF!</v>
      </c>
      <c r="L95" s="2428" t="e">
        <f t="shared" ca="1" si="4"/>
        <v>#REF!</v>
      </c>
      <c r="M95" s="2428" t="e">
        <f t="shared" ca="1" si="4"/>
        <v>#REF!</v>
      </c>
      <c r="N95" s="2428" t="e">
        <f t="shared" ca="1" si="4"/>
        <v>#REF!</v>
      </c>
      <c r="O95" s="2428" t="e">
        <f t="shared" ca="1" si="4"/>
        <v>#REF!</v>
      </c>
      <c r="P95" s="2428" t="e">
        <f t="shared" ca="1" si="4"/>
        <v>#REF!</v>
      </c>
      <c r="Q95" s="2428" t="e">
        <f t="shared" ca="1" si="4"/>
        <v>#REF!</v>
      </c>
      <c r="R95" s="2428" t="e">
        <f t="shared" ca="1" si="4"/>
        <v>#REF!</v>
      </c>
      <c r="S95" s="2428" t="e">
        <f t="shared" ca="1" si="4"/>
        <v>#REF!</v>
      </c>
      <c r="T95" s="2428" t="e">
        <f t="shared" ca="1" si="4"/>
        <v>#REF!</v>
      </c>
      <c r="U95" s="2428" t="e">
        <f t="shared" ca="1" si="4"/>
        <v>#REF!</v>
      </c>
      <c r="V95" s="2428" t="e">
        <f t="shared" ca="1" si="4"/>
        <v>#REF!</v>
      </c>
      <c r="W95" s="2428" t="e">
        <f t="shared" ca="1" si="4"/>
        <v>#REF!</v>
      </c>
      <c r="X95" s="2428" t="e">
        <f t="shared" ca="1" si="4"/>
        <v>#REF!</v>
      </c>
      <c r="Y95" s="2428" t="e">
        <f t="shared" ca="1" si="4"/>
        <v>#REF!</v>
      </c>
      <c r="Z95" s="2428" t="e">
        <f t="shared" ca="1" si="4"/>
        <v>#REF!</v>
      </c>
      <c r="AA95" s="2428" t="e">
        <f t="shared" ca="1" si="4"/>
        <v>#REF!</v>
      </c>
      <c r="AB95" s="2429" t="e">
        <f t="shared" ca="1" si="4"/>
        <v>#REF!</v>
      </c>
      <c r="AC95" s="2428" t="e">
        <f t="shared" ca="1" si="4"/>
        <v>#REF!</v>
      </c>
      <c r="AD95" s="2428" t="e">
        <f t="shared" ca="1" si="4"/>
        <v>#REF!</v>
      </c>
      <c r="AE95" s="2428" t="e">
        <f t="shared" ca="1" si="4"/>
        <v>#REF!</v>
      </c>
      <c r="AF95" s="2428" t="e">
        <f t="shared" ca="1" si="4"/>
        <v>#REF!</v>
      </c>
      <c r="AG95" s="2428" t="e">
        <f t="shared" ca="1" si="4"/>
        <v>#REF!</v>
      </c>
      <c r="AH95" s="2428" t="e">
        <f t="shared" ca="1" si="4"/>
        <v>#REF!</v>
      </c>
      <c r="AI95" s="2428" t="e">
        <f t="shared" ca="1" si="4"/>
        <v>#REF!</v>
      </c>
      <c r="AJ95" s="2430" t="e">
        <f t="shared" ca="1" si="4"/>
        <v>#REF!</v>
      </c>
    </row>
    <row r="96" spans="1:36" ht="15.75" thickBot="1">
      <c r="A96" s="2425"/>
      <c r="B96" s="547"/>
      <c r="C96" s="556"/>
      <c r="D96" s="556"/>
      <c r="E96" s="556"/>
      <c r="F96" s="556"/>
      <c r="G96" s="556"/>
      <c r="H96" s="556"/>
      <c r="I96" s="556"/>
      <c r="J96" s="556"/>
      <c r="K96" s="556"/>
      <c r="L96" s="556"/>
      <c r="M96" s="556"/>
      <c r="N96" s="556"/>
      <c r="O96" s="556"/>
      <c r="P96" s="556"/>
      <c r="Q96" s="556"/>
      <c r="R96" s="556"/>
      <c r="S96" s="556"/>
      <c r="T96" s="556"/>
      <c r="U96" s="556"/>
      <c r="V96" s="556"/>
      <c r="W96" s="556"/>
      <c r="X96" s="556"/>
      <c r="Y96" s="556"/>
      <c r="Z96" s="556"/>
      <c r="AA96" s="556"/>
      <c r="AB96" s="556"/>
      <c r="AC96" s="556"/>
      <c r="AD96" s="556"/>
      <c r="AE96" s="556"/>
      <c r="AF96" s="556"/>
      <c r="AG96" s="556"/>
      <c r="AH96" s="556"/>
      <c r="AI96" s="556"/>
      <c r="AJ96" s="561"/>
    </row>
  </sheetData>
  <mergeCells count="32">
    <mergeCell ref="AD13:AJ13"/>
    <mergeCell ref="D18:Z18"/>
    <mergeCell ref="AC71:AD71"/>
    <mergeCell ref="AE71:AF71"/>
    <mergeCell ref="Y70:Z70"/>
    <mergeCell ref="AA70:AB70"/>
    <mergeCell ref="AC70:AD70"/>
    <mergeCell ref="D19:X19"/>
    <mergeCell ref="D31:X31"/>
    <mergeCell ref="D30:Z30"/>
    <mergeCell ref="C1:N1"/>
    <mergeCell ref="B2:L2"/>
    <mergeCell ref="M2:N2"/>
    <mergeCell ref="AD5:AJ5"/>
    <mergeCell ref="A5:G5"/>
    <mergeCell ref="J5:AC5"/>
    <mergeCell ref="A37:A38"/>
    <mergeCell ref="AE70:AF70"/>
    <mergeCell ref="B89:AJ89"/>
    <mergeCell ref="D90:E90"/>
    <mergeCell ref="B77:AJ77"/>
    <mergeCell ref="B71:C71"/>
    <mergeCell ref="D71:E71"/>
    <mergeCell ref="F71:G71"/>
    <mergeCell ref="H71:I71"/>
    <mergeCell ref="Y71:Z71"/>
    <mergeCell ref="AA71:AB71"/>
    <mergeCell ref="B70:C70"/>
    <mergeCell ref="D70:E70"/>
    <mergeCell ref="F70:G70"/>
    <mergeCell ref="H70:I70"/>
    <mergeCell ref="B37:AJ38"/>
  </mergeCells>
  <phoneticPr fontId="170" type="noConversion"/>
  <conditionalFormatting sqref="Y17">
    <cfRule type="expression" dxfId="269" priority="2">
      <formula>MJ_2&gt;J_2_max</formula>
    </cfRule>
  </conditionalFormatting>
  <conditionalFormatting sqref="Y17">
    <cfRule type="expression" dxfId="268" priority="1">
      <formula>MJ_2&gt;5</formula>
    </cfRule>
  </conditionalFormatting>
  <pageMargins left="0.7" right="0.7" top="0.75" bottom="0.75" header="0.3" footer="0.3"/>
  <pageSetup orientation="portrait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pageSetUpPr fitToPage="1"/>
  </sheetPr>
  <dimension ref="A1:AG110"/>
  <sheetViews>
    <sheetView zoomScale="70" zoomScaleNormal="70" workbookViewId="0">
      <pane ySplit="2" topLeftCell="A30" activePane="bottomLeft" state="frozen"/>
      <selection pane="bottomLeft" activeCell="G51" sqref="G51"/>
    </sheetView>
  </sheetViews>
  <sheetFormatPr defaultColWidth="9.140625" defaultRowHeight="15"/>
  <cols>
    <col min="1" max="2" width="9.140625" style="462"/>
    <col min="3" max="3" width="9.140625" style="462" customWidth="1"/>
    <col min="4" max="4" width="9.140625" style="462"/>
    <col min="5" max="5" width="9.42578125" style="462" bestFit="1" customWidth="1"/>
    <col min="6" max="6" width="9.5703125" style="462" bestFit="1" customWidth="1"/>
    <col min="7" max="9" width="9.140625" style="462"/>
    <col min="10" max="10" width="9.42578125" style="462" bestFit="1" customWidth="1"/>
    <col min="11" max="17" width="9.140625" style="462"/>
    <col min="18" max="25" width="9.85546875" style="462" customWidth="1"/>
    <col min="26" max="16384" width="9.140625" style="462"/>
  </cols>
  <sheetData>
    <row r="1" spans="1:28">
      <c r="A1" s="3950" t="str">
        <f>DRIVE_Type</f>
        <v>Direct</v>
      </c>
      <c r="B1" s="3950"/>
      <c r="Q1" s="463"/>
      <c r="S1" s="464"/>
      <c r="T1" s="464"/>
      <c r="U1" s="464"/>
      <c r="V1" s="464"/>
      <c r="W1" s="464"/>
      <c r="X1" s="464"/>
    </row>
    <row r="2" spans="1:28" ht="15.75" thickBot="1">
      <c r="A2" s="3951"/>
      <c r="B2" s="3951"/>
      <c r="AB2" s="463"/>
    </row>
    <row r="3" spans="1:28">
      <c r="A3" s="1235" t="s">
        <v>1397</v>
      </c>
      <c r="B3" s="1235">
        <v>3000</v>
      </c>
      <c r="C3" s="1235"/>
      <c r="D3" s="1235"/>
      <c r="E3" s="1235" t="s">
        <v>1263</v>
      </c>
      <c r="F3" s="1235"/>
      <c r="G3" s="1235"/>
      <c r="H3" s="1235"/>
      <c r="I3" s="1235"/>
      <c r="J3" s="1235"/>
      <c r="K3" s="1235"/>
      <c r="L3" s="1235"/>
      <c r="M3" s="1235"/>
      <c r="N3" s="1235"/>
      <c r="S3" s="463"/>
    </row>
    <row r="4" spans="1:28">
      <c r="A4" s="1235" t="s">
        <v>1471</v>
      </c>
      <c r="B4" s="1235" t="s">
        <v>2636</v>
      </c>
      <c r="C4" s="1235" t="s">
        <v>2637</v>
      </c>
      <c r="D4" s="1235" t="s">
        <v>2638</v>
      </c>
      <c r="E4" s="1235" t="s">
        <v>2639</v>
      </c>
      <c r="F4" s="1235">
        <f>B3/6</f>
        <v>500</v>
      </c>
      <c r="G4" s="1235">
        <f>F4+500</f>
        <v>1000</v>
      </c>
      <c r="H4" s="1235">
        <f>G4+500</f>
        <v>1500</v>
      </c>
      <c r="I4" s="1235">
        <f>H4+500</f>
        <v>2000</v>
      </c>
      <c r="J4" s="1235">
        <f>I4+500</f>
        <v>2500</v>
      </c>
      <c r="K4" s="1235">
        <f>J4+500</f>
        <v>3000</v>
      </c>
      <c r="L4" s="1235"/>
      <c r="M4" s="1235"/>
      <c r="N4" s="1235"/>
    </row>
    <row r="5" spans="1:28" ht="14.45" customHeight="1">
      <c r="A5" s="1236"/>
      <c r="B5" s="1237">
        <v>60</v>
      </c>
      <c r="C5" s="1238">
        <v>16.666666666666668</v>
      </c>
      <c r="D5" s="1238">
        <v>80</v>
      </c>
      <c r="E5" s="1238">
        <f t="shared" ref="E5:E12" si="0">2*C5</f>
        <v>33.333333333333336</v>
      </c>
      <c r="F5" s="1239">
        <f t="shared" ref="F5:K12" si="1">$L$6+PI()*IF(DRIVE_Type="Direct",SQRT(($E5+$C5)*(F$4/1000)*((F$4-$D5)/1000)^2)/$L$9,SQRT($E5*(F$4/1000)*((F$4-$D5)/1000)^2+$C5*(F$4/1000)*((F$4-$B5)/1000)^2)/$L$9)</f>
        <v>5.2778756580308513E-2</v>
      </c>
      <c r="G5" s="1240">
        <f t="shared" si="1"/>
        <v>0.16349809212422786</v>
      </c>
      <c r="H5" s="1240">
        <f t="shared" si="1"/>
        <v>0.30907141166551066</v>
      </c>
      <c r="I5" s="1240">
        <f t="shared" si="1"/>
        <v>0.48254863159139216</v>
      </c>
      <c r="J5" s="1240">
        <f t="shared" si="1"/>
        <v>0.68000206596474222</v>
      </c>
      <c r="K5" s="1241">
        <f t="shared" si="1"/>
        <v>0.89881092097743431</v>
      </c>
      <c r="L5" s="1235" t="s">
        <v>1472</v>
      </c>
      <c r="M5" s="1235"/>
      <c r="N5" s="1235"/>
    </row>
    <row r="6" spans="1:28" ht="15.6" customHeight="1">
      <c r="A6" s="1236"/>
      <c r="B6" s="1242">
        <v>80</v>
      </c>
      <c r="C6" s="1243">
        <v>250</v>
      </c>
      <c r="D6" s="1243">
        <v>100</v>
      </c>
      <c r="E6" s="1243">
        <f t="shared" si="0"/>
        <v>500</v>
      </c>
      <c r="F6" s="1244">
        <f t="shared" si="1"/>
        <v>0.19467737644673339</v>
      </c>
      <c r="G6" s="1245">
        <f t="shared" si="1"/>
        <v>0.61945961863091148</v>
      </c>
      <c r="H6" s="1245">
        <f t="shared" si="1"/>
        <v>1.1801688748148418</v>
      </c>
      <c r="I6" s="1245">
        <f t="shared" si="1"/>
        <v>1.8494350762439669</v>
      </c>
      <c r="J6" s="1245">
        <f t="shared" si="1"/>
        <v>2.6118710844972735</v>
      </c>
      <c r="K6" s="1246">
        <f t="shared" si="1"/>
        <v>3.457236716497043</v>
      </c>
      <c r="L6" s="1247">
        <v>0</v>
      </c>
      <c r="M6" s="1235"/>
      <c r="N6" s="1235"/>
    </row>
    <row r="7" spans="1:28">
      <c r="A7" s="1248"/>
      <c r="B7" s="1242">
        <v>100</v>
      </c>
      <c r="C7" s="1243">
        <v>500</v>
      </c>
      <c r="D7" s="1243">
        <v>150</v>
      </c>
      <c r="E7" s="1243">
        <f t="shared" si="0"/>
        <v>1000</v>
      </c>
      <c r="F7" s="1244">
        <f t="shared" si="1"/>
        <v>0.24090096280091</v>
      </c>
      <c r="G7" s="1245">
        <f t="shared" si="1"/>
        <v>0.82737884989861665</v>
      </c>
      <c r="H7" s="1245">
        <f t="shared" si="1"/>
        <v>1.6094032990589684</v>
      </c>
      <c r="I7" s="1245">
        <f t="shared" si="1"/>
        <v>2.5466673210381918</v>
      </c>
      <c r="J7" s="1245">
        <f t="shared" si="1"/>
        <v>3.616790521056457</v>
      </c>
      <c r="K7" s="1246">
        <f t="shared" si="1"/>
        <v>4.8049732760318573</v>
      </c>
      <c r="L7" s="1235"/>
      <c r="M7" s="1235"/>
      <c r="N7" s="1235"/>
    </row>
    <row r="8" spans="1:28">
      <c r="A8" s="468"/>
      <c r="B8" s="1242">
        <v>110</v>
      </c>
      <c r="C8" s="1243">
        <v>750</v>
      </c>
      <c r="D8" s="1243">
        <v>200</v>
      </c>
      <c r="E8" s="1243">
        <f t="shared" si="0"/>
        <v>1500</v>
      </c>
      <c r="F8" s="1244">
        <f t="shared" si="1"/>
        <v>0.25289333031746619</v>
      </c>
      <c r="G8" s="1245">
        <f t="shared" si="1"/>
        <v>0.95372047351642564</v>
      </c>
      <c r="H8" s="1245">
        <f t="shared" si="1"/>
        <v>1.8981044203556503</v>
      </c>
      <c r="I8" s="1245">
        <f t="shared" si="1"/>
        <v>3.0347199638095939</v>
      </c>
      <c r="J8" s="1245">
        <f t="shared" si="1"/>
        <v>4.335397861953914</v>
      </c>
      <c r="K8" s="1246">
        <f t="shared" si="1"/>
        <v>5.7816231072218391</v>
      </c>
      <c r="L8" s="1249"/>
      <c r="M8" s="1235"/>
      <c r="N8" s="1235"/>
    </row>
    <row r="9" spans="1:28">
      <c r="A9" s="469"/>
      <c r="B9" s="1242">
        <v>120</v>
      </c>
      <c r="C9" s="1243">
        <v>1000</v>
      </c>
      <c r="D9" s="1243">
        <v>250</v>
      </c>
      <c r="E9" s="1243">
        <f t="shared" si="0"/>
        <v>2000</v>
      </c>
      <c r="F9" s="1244">
        <f t="shared" si="1"/>
        <v>0.24334672055841669</v>
      </c>
      <c r="G9" s="1245">
        <f t="shared" si="1"/>
        <v>1.0324326977181857</v>
      </c>
      <c r="H9" s="1245">
        <f t="shared" si="1"/>
        <v>2.1074444193122179</v>
      </c>
      <c r="I9" s="1245">
        <f t="shared" si="1"/>
        <v>3.4068540878178339</v>
      </c>
      <c r="J9" s="1245">
        <f t="shared" si="1"/>
        <v>4.8972582834323877</v>
      </c>
      <c r="K9" s="1246">
        <f t="shared" si="1"/>
        <v>6.5568282554254269</v>
      </c>
      <c r="L9" s="1235">
        <v>125</v>
      </c>
      <c r="M9" s="1235"/>
      <c r="N9" s="1235"/>
    </row>
    <row r="10" spans="1:28" s="470" customFormat="1">
      <c r="A10" s="468"/>
      <c r="B10" s="1250">
        <v>140</v>
      </c>
      <c r="C10" s="1243">
        <v>1250</v>
      </c>
      <c r="D10" s="1251">
        <v>300</v>
      </c>
      <c r="E10" s="1243">
        <f t="shared" si="0"/>
        <v>2500</v>
      </c>
      <c r="F10" s="1244">
        <f t="shared" si="1"/>
        <v>0.21765592370810613</v>
      </c>
      <c r="G10" s="1245">
        <f t="shared" si="1"/>
        <v>1.0773418573359657</v>
      </c>
      <c r="H10" s="1245">
        <f t="shared" si="1"/>
        <v>2.2619467105846511</v>
      </c>
      <c r="I10" s="1245">
        <f t="shared" si="1"/>
        <v>3.7001507030378038</v>
      </c>
      <c r="J10" s="1245">
        <f t="shared" si="1"/>
        <v>5.3536278522851681</v>
      </c>
      <c r="K10" s="1246">
        <f t="shared" si="1"/>
        <v>7.1974703598165535</v>
      </c>
      <c r="L10" s="1235"/>
      <c r="M10" s="1235"/>
      <c r="N10" s="1235"/>
      <c r="O10" s="462"/>
      <c r="P10" s="462"/>
      <c r="Q10" s="462"/>
      <c r="R10" s="462"/>
      <c r="S10" s="462"/>
      <c r="T10" s="462"/>
      <c r="U10" s="462"/>
      <c r="V10" s="462"/>
      <c r="W10" s="462"/>
      <c r="X10" s="462"/>
      <c r="Y10" s="462"/>
      <c r="Z10" s="462"/>
      <c r="AA10" s="462"/>
      <c r="AB10" s="462"/>
    </row>
    <row r="11" spans="1:28" s="470" customFormat="1">
      <c r="A11" s="1235"/>
      <c r="B11" s="1250">
        <v>160</v>
      </c>
      <c r="C11" s="1243">
        <v>1500</v>
      </c>
      <c r="D11" s="1251">
        <v>350</v>
      </c>
      <c r="E11" s="1243">
        <f t="shared" si="0"/>
        <v>3000</v>
      </c>
      <c r="F11" s="1244">
        <f t="shared" si="1"/>
        <v>0.17882258878432983</v>
      </c>
      <c r="G11" s="1245">
        <f t="shared" si="1"/>
        <v>1.0958710980423534</v>
      </c>
      <c r="H11" s="1245">
        <f t="shared" si="1"/>
        <v>2.3745952047518268</v>
      </c>
      <c r="I11" s="1245">
        <f t="shared" si="1"/>
        <v>3.9340969532552554</v>
      </c>
      <c r="J11" s="1245">
        <f t="shared" si="1"/>
        <v>5.7313189902242918</v>
      </c>
      <c r="K11" s="1246">
        <f t="shared" si="1"/>
        <v>7.7384257137576506</v>
      </c>
      <c r="L11" s="1235"/>
      <c r="M11" s="1235"/>
      <c r="N11" s="1235"/>
      <c r="O11" s="462"/>
      <c r="P11" s="462"/>
      <c r="Q11" s="462"/>
      <c r="R11" s="462"/>
      <c r="S11" s="462"/>
      <c r="T11" s="462"/>
      <c r="U11" s="462"/>
      <c r="V11" s="462"/>
      <c r="W11" s="462"/>
      <c r="X11" s="462"/>
      <c r="Y11" s="462"/>
      <c r="Z11" s="462"/>
      <c r="AA11" s="462"/>
      <c r="AB11" s="462"/>
    </row>
    <row r="12" spans="1:28" s="470" customFormat="1">
      <c r="A12" s="1235"/>
      <c r="B12" s="1252">
        <v>200</v>
      </c>
      <c r="C12" s="1253">
        <v>1750</v>
      </c>
      <c r="D12" s="1254">
        <v>400</v>
      </c>
      <c r="E12" s="1253">
        <f t="shared" si="0"/>
        <v>3500</v>
      </c>
      <c r="F12" s="1255">
        <f t="shared" si="1"/>
        <v>0.12876698099213993</v>
      </c>
      <c r="G12" s="1256">
        <f t="shared" si="1"/>
        <v>1.0926240654295369</v>
      </c>
      <c r="H12" s="1256">
        <f t="shared" si="1"/>
        <v>2.4533404875720644</v>
      </c>
      <c r="I12" s="1256">
        <f t="shared" si="1"/>
        <v>4.1205433917484777</v>
      </c>
      <c r="J12" s="1256">
        <f t="shared" si="1"/>
        <v>6.0465661778728119</v>
      </c>
      <c r="K12" s="1257">
        <f t="shared" si="1"/>
        <v>8.2007483778844819</v>
      </c>
      <c r="L12" s="1235"/>
      <c r="M12" s="1235"/>
      <c r="N12" s="1235"/>
      <c r="O12" s="462"/>
      <c r="P12" s="462"/>
      <c r="Q12" s="462"/>
      <c r="R12" s="462"/>
      <c r="S12" s="462"/>
      <c r="T12" s="462"/>
      <c r="U12" s="462"/>
      <c r="V12" s="462"/>
      <c r="W12" s="462"/>
      <c r="X12" s="462"/>
      <c r="Y12" s="462"/>
      <c r="Z12" s="462"/>
      <c r="AA12" s="462"/>
      <c r="AB12" s="462"/>
    </row>
    <row r="13" spans="1:28" s="470" customFormat="1">
      <c r="A13" s="1258" t="s">
        <v>2640</v>
      </c>
      <c r="B13" s="1259"/>
      <c r="C13" s="1259" t="s">
        <v>2641</v>
      </c>
      <c r="D13" s="1259"/>
      <c r="E13" s="1259"/>
      <c r="F13" s="1259"/>
      <c r="G13" s="1235"/>
      <c r="H13" s="1235"/>
      <c r="I13" s="1235"/>
      <c r="J13" s="1235"/>
      <c r="K13" s="1235"/>
      <c r="L13" s="1235"/>
      <c r="M13" s="1235"/>
      <c r="N13" s="1235"/>
      <c r="O13" s="462"/>
      <c r="P13" s="462"/>
      <c r="Q13" s="462"/>
      <c r="R13" s="462"/>
      <c r="S13" s="462"/>
      <c r="T13" s="462"/>
      <c r="U13" s="462"/>
      <c r="V13" s="462"/>
      <c r="W13" s="462"/>
      <c r="X13" s="462"/>
      <c r="Y13" s="462"/>
      <c r="Z13" s="462"/>
      <c r="AA13" s="462"/>
      <c r="AB13" s="462"/>
    </row>
    <row r="14" spans="1:28" s="470" customFormat="1">
      <c r="A14" s="1258" t="s">
        <v>2642</v>
      </c>
      <c r="B14" s="1259"/>
      <c r="C14" s="1259" t="s">
        <v>2643</v>
      </c>
      <c r="D14" s="1259"/>
      <c r="E14" s="1259"/>
      <c r="F14" s="1259"/>
      <c r="G14" s="1235"/>
      <c r="H14" s="1235"/>
      <c r="I14" s="1235"/>
      <c r="J14" s="1235"/>
      <c r="K14" s="1235"/>
      <c r="L14" s="1235"/>
      <c r="M14" s="1235"/>
      <c r="N14" s="1235"/>
      <c r="O14" s="462"/>
      <c r="P14" s="462"/>
      <c r="Q14" s="462"/>
      <c r="R14" s="462"/>
      <c r="S14" s="462"/>
      <c r="T14" s="462"/>
      <c r="U14" s="462"/>
      <c r="V14" s="462"/>
      <c r="W14" s="462"/>
      <c r="X14" s="462"/>
      <c r="Y14" s="462"/>
      <c r="Z14" s="462"/>
      <c r="AA14" s="462"/>
      <c r="AB14" s="462"/>
    </row>
    <row r="15" spans="1:28" s="470" customFormat="1">
      <c r="A15" s="1259"/>
      <c r="B15" s="1259"/>
      <c r="C15" s="1259"/>
      <c r="D15" s="1259"/>
      <c r="E15" s="1259"/>
      <c r="F15" s="1259"/>
      <c r="G15" s="1235"/>
      <c r="H15" s="1235"/>
      <c r="I15" s="1235"/>
      <c r="J15" s="1235"/>
      <c r="K15" s="1235"/>
      <c r="L15" s="1235"/>
      <c r="M15" s="1235"/>
      <c r="N15" s="1235"/>
      <c r="O15" s="462"/>
      <c r="P15" s="462"/>
      <c r="Q15" s="462"/>
      <c r="R15" s="462"/>
      <c r="S15" s="462"/>
      <c r="T15" s="462"/>
      <c r="U15" s="462"/>
      <c r="V15" s="462"/>
      <c r="W15" s="462"/>
      <c r="X15" s="462"/>
      <c r="Y15" s="462"/>
      <c r="Z15" s="462"/>
      <c r="AA15" s="462"/>
      <c r="AB15" s="462"/>
    </row>
    <row r="16" spans="1:28" s="470" customFormat="1">
      <c r="A16" s="471" t="s">
        <v>1061</v>
      </c>
      <c r="B16" s="1235"/>
      <c r="C16" s="1235"/>
      <c r="D16" s="1235"/>
      <c r="E16" s="1259"/>
      <c r="F16" s="1259"/>
      <c r="G16" s="1235"/>
      <c r="H16" s="1235"/>
      <c r="I16" s="1235"/>
      <c r="J16" s="1235"/>
      <c r="K16" s="1235"/>
      <c r="L16" s="1235"/>
      <c r="M16" s="1235"/>
      <c r="N16" s="1235"/>
      <c r="O16" s="462"/>
      <c r="P16" s="462"/>
      <c r="Q16" s="462"/>
      <c r="R16" s="462"/>
      <c r="S16" s="462"/>
      <c r="T16" s="462"/>
      <c r="U16" s="462"/>
      <c r="V16" s="462"/>
      <c r="W16" s="462"/>
      <c r="X16" s="462"/>
      <c r="Y16" s="462"/>
      <c r="Z16" s="462"/>
      <c r="AA16" s="462"/>
      <c r="AB16" s="462"/>
    </row>
    <row r="17" spans="1:33" s="470" customFormat="1">
      <c r="A17" s="1235"/>
      <c r="B17" s="1260" t="s">
        <v>258</v>
      </c>
      <c r="C17" s="1261">
        <f>Center_H</f>
        <v>1269</v>
      </c>
      <c r="D17" s="1235" t="s">
        <v>136</v>
      </c>
      <c r="E17" s="1259"/>
      <c r="F17" s="1259"/>
      <c r="G17" s="1235"/>
      <c r="H17" s="1235"/>
      <c r="I17" s="1235"/>
      <c r="J17" s="1235"/>
      <c r="K17" s="1235"/>
      <c r="L17" s="1235"/>
      <c r="M17" s="1235"/>
      <c r="N17" s="1235"/>
      <c r="O17" s="462"/>
      <c r="P17" s="462"/>
      <c r="Q17" s="462"/>
      <c r="R17" s="462"/>
      <c r="S17" s="462"/>
      <c r="T17" s="462"/>
      <c r="U17" s="462"/>
      <c r="V17" s="462"/>
      <c r="W17" s="462"/>
      <c r="X17" s="462"/>
      <c r="Y17" s="462"/>
      <c r="Z17" s="462"/>
      <c r="AA17" s="462"/>
      <c r="AB17" s="462"/>
    </row>
    <row r="18" spans="1:33" s="470" customFormat="1">
      <c r="A18" s="1235"/>
      <c r="B18" s="1337" t="s">
        <v>2652</v>
      </c>
      <c r="C18" s="470">
        <f>IF(DRIVE_Type="Direct",0,IF(Bearing_name=0,IF(BTY_it="REG",REG_H1_it,PDN_H1_it),B_H1))</f>
        <v>0</v>
      </c>
      <c r="D18" s="470" t="s">
        <v>136</v>
      </c>
      <c r="F18" s="1259"/>
      <c r="G18" s="1235"/>
      <c r="H18" s="1235"/>
      <c r="I18" s="1235"/>
      <c r="J18" s="1235"/>
      <c r="K18" s="1235"/>
      <c r="L18" s="1235"/>
      <c r="M18" s="1235"/>
      <c r="N18" s="1235"/>
      <c r="O18" s="462"/>
      <c r="P18" s="462"/>
      <c r="Q18" s="462"/>
      <c r="R18" s="462"/>
      <c r="S18" s="462"/>
      <c r="T18" s="462"/>
      <c r="U18" s="462"/>
      <c r="V18" s="462"/>
      <c r="W18" s="462"/>
      <c r="X18" s="462"/>
      <c r="Y18" s="462"/>
      <c r="Z18" s="462"/>
      <c r="AA18" s="462"/>
      <c r="AB18" s="462"/>
    </row>
    <row r="19" spans="1:33" s="470" customFormat="1">
      <c r="A19" s="1235"/>
      <c r="B19" s="1260" t="s">
        <v>4097</v>
      </c>
      <c r="C19" s="1249" t="e">
        <f ca="1">$L$6+PI()*IF(DRIVE_Type="DIRECT",SQRT((Mweight+Impeller_W)*(Center_H/1000)*((Center_H-MH)/1000)^2)/$L$9,SQRT(Mweight*(Center_H/1000)*((Center_H-MH)/1000)^2+Impeller_W*(Center_H/1000)*((Center_H-Bearing_H1)/1000)^2)/$L$9)</f>
        <v>#REF!</v>
      </c>
      <c r="D19" s="3019" t="s">
        <v>4099</v>
      </c>
      <c r="E19" s="1262" t="e">
        <f ca="1">IF(OR(stdJ_2&gt;=J_2_max,MJ_2&gt;=J_2_max),"J_2 OVERFLOW",IF(Small_F,1,MATCH(MAX(stdJ_2,MJ_2),J_2_range,1)))</f>
        <v>#REF!</v>
      </c>
      <c r="F19" s="1259"/>
      <c r="G19" s="1235"/>
      <c r="H19" s="1235"/>
      <c r="I19" s="1235"/>
      <c r="J19" s="1235"/>
      <c r="K19" s="1235" t="s">
        <v>2894</v>
      </c>
      <c r="L19" s="1263">
        <v>10</v>
      </c>
      <c r="M19" s="1235"/>
      <c r="N19" s="1235"/>
      <c r="O19" s="462"/>
      <c r="P19" s="462"/>
      <c r="Q19" s="462"/>
      <c r="R19" s="462"/>
      <c r="S19" s="462"/>
      <c r="T19" s="462"/>
      <c r="U19" s="462"/>
      <c r="V19" s="462"/>
      <c r="W19" s="462"/>
      <c r="X19" s="462"/>
      <c r="Y19" s="462"/>
      <c r="Z19" s="462"/>
      <c r="AA19" s="462"/>
      <c r="AB19" s="462"/>
    </row>
    <row r="20" spans="1:33" s="470" customFormat="1">
      <c r="A20" s="1259"/>
      <c r="B20" s="1260" t="s">
        <v>4098</v>
      </c>
      <c r="C20" s="1249" t="e">
        <f ca="1">$L$6+PI()*IF(DRIVE_Type="DIRECT",SQRT((Mweight+Impeller_W)*(stdCH/1000)*((stdCH-MH)/1000)^2)/$L$9,SQRT(Mweight*(stdCH/1000)*((stdCH-MH)/1000)^2+Impeller_W*(stdCH/1000)*((stdCH-Bearing_H1)/1000)^2)/$L$9)</f>
        <v>#REF!</v>
      </c>
      <c r="D20" s="1235" t="s">
        <v>4096</v>
      </c>
      <c r="E20" s="1262" t="e">
        <f ca="1">IF(stdJ_2&gt;=J_2_max,"BJ_2 OVERFLOW",IF(Small_F,1,MATCH(stdJ_2,J_2_range,1)))</f>
        <v>#REF!</v>
      </c>
      <c r="F20" s="1259"/>
      <c r="G20" s="1235"/>
      <c r="H20" s="1235"/>
      <c r="I20" s="1235"/>
      <c r="J20" s="1235"/>
      <c r="K20" s="1235"/>
      <c r="L20" s="1235"/>
      <c r="M20" s="1235"/>
      <c r="N20" s="1235"/>
      <c r="O20" s="462"/>
      <c r="P20" s="462"/>
      <c r="Q20" s="462"/>
      <c r="R20" s="462"/>
      <c r="S20" s="462"/>
      <c r="T20" s="462"/>
      <c r="U20" s="462"/>
      <c r="V20" s="462"/>
      <c r="W20" s="462"/>
      <c r="X20" s="462"/>
      <c r="Y20" s="462"/>
      <c r="Z20" s="462"/>
      <c r="AA20" s="462"/>
      <c r="AB20" s="462"/>
      <c r="AC20" s="462"/>
      <c r="AD20" s="462"/>
      <c r="AE20" s="462"/>
      <c r="AF20" s="462"/>
    </row>
    <row r="21" spans="1:33" s="470" customFormat="1">
      <c r="A21" s="1259"/>
      <c r="B21" s="1260" t="s">
        <v>1262</v>
      </c>
      <c r="C21" s="1259">
        <f>Fan_Max_rpm</f>
        <v>3000</v>
      </c>
      <c r="D21" s="1235" t="s">
        <v>134</v>
      </c>
      <c r="E21" s="1263">
        <f>MATCH(ROUNDUP(Fan_Max_rpm/100,0)*100,RPM_range,1)</f>
        <v>9</v>
      </c>
      <c r="F21" s="1259"/>
      <c r="G21" s="1235"/>
      <c r="H21" s="1235"/>
      <c r="I21" s="1235"/>
      <c r="J21" s="1235"/>
      <c r="K21" s="1235"/>
      <c r="L21" s="1235"/>
      <c r="M21" s="1235"/>
      <c r="N21" s="1235"/>
      <c r="O21" s="462"/>
      <c r="P21" s="462"/>
      <c r="Q21" s="462"/>
      <c r="R21" s="462"/>
      <c r="S21" s="462"/>
      <c r="T21" s="462"/>
      <c r="U21" s="462"/>
      <c r="V21" s="462"/>
      <c r="W21" s="462"/>
      <c r="X21" s="462"/>
      <c r="Y21" s="462"/>
      <c r="Z21" s="462"/>
      <c r="AA21" s="462"/>
      <c r="AB21" s="462"/>
      <c r="AC21" s="462"/>
      <c r="AD21" s="462"/>
      <c r="AE21" s="462"/>
      <c r="AF21" s="462"/>
    </row>
    <row r="22" spans="1:33" s="470" customFormat="1">
      <c r="A22" s="1259"/>
      <c r="B22" s="1259"/>
      <c r="C22" s="1259"/>
      <c r="D22" s="1259"/>
      <c r="E22" s="1259"/>
      <c r="F22" s="1259"/>
      <c r="G22" s="1235"/>
      <c r="H22" s="1235"/>
      <c r="I22" s="1235"/>
      <c r="J22" s="1235"/>
      <c r="K22" s="1235"/>
      <c r="L22" s="1235"/>
      <c r="M22" s="1235"/>
      <c r="N22" s="1235"/>
      <c r="O22" s="462"/>
      <c r="P22" s="462"/>
      <c r="Q22" s="462"/>
      <c r="R22" s="462"/>
      <c r="S22" s="462"/>
      <c r="T22" s="462"/>
      <c r="U22" s="462"/>
      <c r="V22" s="462"/>
      <c r="W22" s="462"/>
      <c r="X22" s="462"/>
      <c r="Y22" s="462"/>
      <c r="Z22" s="462"/>
      <c r="AA22" s="462"/>
      <c r="AB22" s="462"/>
      <c r="AC22" s="462"/>
      <c r="AD22" s="462"/>
      <c r="AE22" s="462"/>
      <c r="AF22" s="462"/>
    </row>
    <row r="23" spans="1:33" s="470" customFormat="1">
      <c r="A23" s="471" t="s">
        <v>259</v>
      </c>
      <c r="B23" s="462"/>
      <c r="C23" s="462"/>
      <c r="D23" s="462"/>
      <c r="F23" s="473"/>
      <c r="G23" s="462"/>
      <c r="H23" s="462"/>
      <c r="I23" s="462"/>
      <c r="J23" s="462"/>
      <c r="K23" s="462"/>
      <c r="L23" s="462"/>
      <c r="M23" s="462"/>
      <c r="N23" s="462"/>
      <c r="O23" s="462"/>
      <c r="P23" s="462"/>
      <c r="Q23" s="462"/>
      <c r="R23" s="462"/>
      <c r="S23" s="462"/>
      <c r="T23" s="462"/>
      <c r="U23" s="462"/>
      <c r="V23" s="462"/>
      <c r="W23" s="462"/>
      <c r="X23" s="462"/>
      <c r="Y23" s="462"/>
      <c r="Z23" s="462"/>
      <c r="AA23" s="462"/>
      <c r="AB23" s="462"/>
      <c r="AC23" s="462"/>
      <c r="AD23" s="462"/>
      <c r="AE23" s="462"/>
      <c r="AF23" s="462"/>
    </row>
    <row r="24" spans="1:33" s="856" customFormat="1" ht="29.1" customHeight="1">
      <c r="A24" s="854" t="s">
        <v>267</v>
      </c>
      <c r="B24" s="855" t="s">
        <v>268</v>
      </c>
      <c r="C24" s="3963" t="e">
        <f ca="1">Motor_Name</f>
        <v>#REF!</v>
      </c>
      <c r="D24" s="3963"/>
    </row>
    <row r="25" spans="1:33">
      <c r="B25" s="463" t="s">
        <v>262</v>
      </c>
      <c r="C25" s="1697">
        <v>75</v>
      </c>
      <c r="D25" s="462" t="s">
        <v>263</v>
      </c>
      <c r="E25" s="1698">
        <f>RADIANS(MFRa_angle)</f>
        <v>1.3089969389957472</v>
      </c>
      <c r="F25" s="462" t="s">
        <v>1250</v>
      </c>
    </row>
    <row r="26" spans="1:33">
      <c r="A26" s="3964" t="s">
        <v>1284</v>
      </c>
      <c r="B26" s="474" t="s">
        <v>265</v>
      </c>
      <c r="C26" s="1550" t="e">
        <f ca="1">IF(Small_F,'Frame Dimensions'!O104-'Frame Dimensions'!L104,'Frame Dimensions'!L33-'Frame Dimensions'!L29)</f>
        <v>#REF!</v>
      </c>
      <c r="D26" s="476" t="s">
        <v>136</v>
      </c>
      <c r="I26" s="477" t="s">
        <v>1023</v>
      </c>
      <c r="J26" s="244" t="s">
        <v>19</v>
      </c>
      <c r="K26" s="244" t="s">
        <v>1021</v>
      </c>
      <c r="L26" s="244"/>
      <c r="M26" s="245" t="s">
        <v>93</v>
      </c>
      <c r="N26" s="245" t="s">
        <v>233</v>
      </c>
      <c r="O26" s="245" t="s">
        <v>148</v>
      </c>
      <c r="P26" s="245" t="s">
        <v>2</v>
      </c>
      <c r="Q26" s="245" t="s">
        <v>87</v>
      </c>
      <c r="R26" s="245" t="s">
        <v>234</v>
      </c>
      <c r="S26" s="245" t="s">
        <v>235</v>
      </c>
      <c r="T26" s="245" t="s">
        <v>236</v>
      </c>
      <c r="U26" s="245" t="s">
        <v>2775</v>
      </c>
      <c r="V26" s="245" t="s">
        <v>237</v>
      </c>
      <c r="W26" s="245" t="s">
        <v>238</v>
      </c>
      <c r="X26" s="245" t="s">
        <v>239</v>
      </c>
      <c r="Y26" s="245" t="s">
        <v>240</v>
      </c>
      <c r="Z26" s="245" t="s">
        <v>241</v>
      </c>
      <c r="AA26" s="245" t="s">
        <v>98</v>
      </c>
      <c r="AB26" s="245" t="s">
        <v>242</v>
      </c>
      <c r="AC26" s="245" t="s">
        <v>243</v>
      </c>
      <c r="AD26" s="245" t="s">
        <v>1020</v>
      </c>
      <c r="AE26" s="245" t="s">
        <v>1020</v>
      </c>
      <c r="AF26" s="245" t="s">
        <v>270</v>
      </c>
    </row>
    <row r="27" spans="1:33">
      <c r="A27" s="3966"/>
      <c r="B27" s="478" t="s">
        <v>266</v>
      </c>
      <c r="C27" s="1549" t="e">
        <f ca="1">'Frame Dimensions'!U25</f>
        <v>#REF!</v>
      </c>
      <c r="D27" s="480" t="s">
        <v>136</v>
      </c>
      <c r="J27" s="481" t="e">
        <f ca="1">MPower</f>
        <v>#REF!</v>
      </c>
      <c r="K27" s="481" t="e">
        <f ca="1">Mweight</f>
        <v>#REF!</v>
      </c>
      <c r="L27" s="481"/>
      <c r="M27" s="481" t="e">
        <f ca="1">MPoles</f>
        <v>#REF!</v>
      </c>
      <c r="N27" s="481" t="e">
        <f ca="1">MA</f>
        <v>#REF!</v>
      </c>
      <c r="O27" s="481" t="e">
        <f ca="1">MB</f>
        <v>#REF!</v>
      </c>
      <c r="P27" s="481" t="e">
        <f ca="1">MC</f>
        <v>#REF!</v>
      </c>
      <c r="Q27" s="481" t="e">
        <f ca="1">SD</f>
        <v>#REF!</v>
      </c>
      <c r="R27" s="481" t="e">
        <f ca="1">SE</f>
        <v>#REF!</v>
      </c>
      <c r="S27" s="481" t="e">
        <f ca="1">SF</f>
        <v>#REF!</v>
      </c>
      <c r="T27" s="481" t="e">
        <f ca="1">SG</f>
        <v>#REF!</v>
      </c>
      <c r="U27" s="481" t="e">
        <f ca="1">SFb</f>
        <v>#REF!</v>
      </c>
      <c r="V27" s="481" t="e">
        <f ca="1">MDH</f>
        <v>#REF!</v>
      </c>
      <c r="W27" s="481" t="e">
        <f ca="1">MH</f>
        <v>#REF!</v>
      </c>
      <c r="X27" s="481" t="e">
        <f ca="1">MK</f>
        <v>#REF!</v>
      </c>
      <c r="Y27" s="481" t="e">
        <f ca="1">MAB</f>
        <v>#REF!</v>
      </c>
      <c r="Z27" s="481" t="e">
        <f ca="1">MAC</f>
        <v>#REF!</v>
      </c>
      <c r="AA27" s="481" t="e">
        <f ca="1">MAD</f>
        <v>#REF!</v>
      </c>
      <c r="AB27" s="481" t="e">
        <f ca="1">MHD</f>
        <v>#REF!</v>
      </c>
      <c r="AC27" s="481" t="e">
        <f ca="1">ML</f>
        <v>#REF!</v>
      </c>
      <c r="AD27" s="481" t="e">
        <f ca="1">MBe_1</f>
        <v>#REF!</v>
      </c>
      <c r="AE27" s="481" t="e">
        <f ca="1">MBe_2</f>
        <v>#REF!</v>
      </c>
      <c r="AF27" s="481" t="e">
        <f ca="1">MAA</f>
        <v>#REF!</v>
      </c>
      <c r="AG27" s="482"/>
    </row>
    <row r="28" spans="1:33">
      <c r="A28" s="3964" t="s">
        <v>1285</v>
      </c>
      <c r="B28" s="483" t="s">
        <v>1287</v>
      </c>
      <c r="C28" s="588" t="e">
        <f ca="1">Center_H-MH</f>
        <v>#REF!</v>
      </c>
      <c r="D28" s="476" t="s">
        <v>136</v>
      </c>
      <c r="W28" s="1233">
        <v>6</v>
      </c>
    </row>
    <row r="29" spans="1:33">
      <c r="A29" s="3966"/>
      <c r="B29" s="485" t="str">
        <f>IF(DRIVE_Type="Coupling","DMF_BF","DBrH")</f>
        <v>DBrH</v>
      </c>
      <c r="C29" s="1549">
        <f>IF(DRIVE_Type="Coupling",DMF_BF,DRaH)</f>
        <v>0</v>
      </c>
      <c r="D29" s="480" t="s">
        <v>136</v>
      </c>
    </row>
    <row r="31" spans="1:33">
      <c r="A31" s="471" t="s">
        <v>52</v>
      </c>
      <c r="C31" s="462" t="str">
        <f>B_Type</f>
        <v>No Bearing</v>
      </c>
    </row>
    <row r="32" spans="1:33" s="856" customFormat="1" ht="29.1" customHeight="1">
      <c r="A32" s="854" t="s">
        <v>2653</v>
      </c>
      <c r="C32" s="1164">
        <f>IF(DRIVE_Type="Coupling",Bearing_name,0)</f>
        <v>0</v>
      </c>
      <c r="D32" s="850"/>
      <c r="R32" s="855"/>
    </row>
    <row r="33" spans="1:21" ht="15.6" customHeight="1">
      <c r="A33" s="3964" t="s">
        <v>1284</v>
      </c>
      <c r="B33" s="486" t="s">
        <v>271</v>
      </c>
      <c r="C33" s="588">
        <f>IF(DRIVE_Type&lt;&gt;"Coupling",0,IF(Small_F,'Frame Dimensions'!O112-'Frame Dimensions'!L112,'Frame Dimensions'!L65-'Frame Dimensions'!L61))</f>
        <v>0</v>
      </c>
      <c r="D33" s="476" t="s">
        <v>136</v>
      </c>
      <c r="E33" s="462" t="s">
        <v>52</v>
      </c>
      <c r="G33" s="462">
        <v>1</v>
      </c>
      <c r="I33" s="482" t="s">
        <v>273</v>
      </c>
      <c r="J33" s="487" t="s">
        <v>1406</v>
      </c>
      <c r="K33" s="488" t="s">
        <v>1405</v>
      </c>
      <c r="L33" s="488" t="s">
        <v>1404</v>
      </c>
      <c r="M33" s="488" t="s">
        <v>243</v>
      </c>
      <c r="N33" s="488" t="s">
        <v>270</v>
      </c>
      <c r="O33" s="487" t="s">
        <v>1412</v>
      </c>
      <c r="P33" s="487" t="s">
        <v>1402</v>
      </c>
      <c r="R33" s="487" t="s">
        <v>1400</v>
      </c>
      <c r="S33" s="487" t="s">
        <v>238</v>
      </c>
      <c r="T33" s="487" t="s">
        <v>233</v>
      </c>
      <c r="U33" s="487" t="s">
        <v>1493</v>
      </c>
    </row>
    <row r="34" spans="1:21">
      <c r="A34" s="3966"/>
      <c r="B34" s="489" t="s">
        <v>272</v>
      </c>
      <c r="C34" s="1549">
        <f>'Frame Dimensions'!U26</f>
        <v>0</v>
      </c>
      <c r="D34" s="480" t="s">
        <v>136</v>
      </c>
      <c r="E34" s="462" t="s">
        <v>309</v>
      </c>
      <c r="G34" s="462">
        <v>2</v>
      </c>
      <c r="I34" s="482" t="s">
        <v>303</v>
      </c>
      <c r="J34" s="490">
        <v>4</v>
      </c>
      <c r="K34" s="490">
        <v>5</v>
      </c>
      <c r="L34" s="490">
        <v>8</v>
      </c>
      <c r="M34" s="490">
        <v>6</v>
      </c>
      <c r="N34" s="488"/>
      <c r="O34" s="487">
        <v>7</v>
      </c>
      <c r="P34" s="487">
        <v>9</v>
      </c>
      <c r="R34" s="487">
        <f>MATCH(R33,'Bearing Data'!$A$2:$M$2,0)</f>
        <v>13</v>
      </c>
      <c r="S34" s="487">
        <f>MATCH(S33,'Bearing Data'!$A$2:$M$2,0)</f>
        <v>8</v>
      </c>
      <c r="T34" s="487">
        <f>MATCH(T33,'Bearing Data'!$A$2:$M$2,0)</f>
        <v>12</v>
      </c>
      <c r="U34" s="487">
        <f>MATCH(U33,'Bearing Data'!$A$2:$M$2,0)</f>
        <v>11</v>
      </c>
    </row>
    <row r="35" spans="1:21" ht="15.6" customHeight="1">
      <c r="A35" s="3964" t="s">
        <v>1285</v>
      </c>
      <c r="B35" s="491" t="s">
        <v>1286</v>
      </c>
      <c r="C35" s="588">
        <f>IF(DRIVE_Type="Coupling",Center_H-B_H1,0)</f>
        <v>0</v>
      </c>
      <c r="D35" s="476" t="s">
        <v>136</v>
      </c>
      <c r="E35" s="462" t="s">
        <v>70</v>
      </c>
      <c r="G35" s="462">
        <v>3</v>
      </c>
    </row>
    <row r="36" spans="1:21" ht="15.6" customHeight="1">
      <c r="A36" s="3965"/>
      <c r="B36" s="495" t="s">
        <v>1770</v>
      </c>
      <c r="C36" s="598">
        <f>IF(DRIVE_Type="Coupling",IF(B_Type="REG",DRa6H_REG,DRa6H_PDN),0)</f>
        <v>0</v>
      </c>
      <c r="D36" s="494" t="s">
        <v>136</v>
      </c>
      <c r="E36" s="462" t="s">
        <v>1410</v>
      </c>
      <c r="G36" s="462">
        <v>4</v>
      </c>
      <c r="J36" s="487">
        <f>IF(DRIVE_Type&lt;&gt;"Coupling",0,IF(B_Type="REG",IF('REG. Axle &amp; Bearing Calculation'!N6&lt;&gt;0,'REG. Axle &amp; Bearing Calculation'!N6,INDEX(REG_B_Specs,J34,MATCH(Bearing_name,REG_Bearing_Type,0))),IF('PDN Axle &amp; Bearing Calculation'!N6&lt;&gt;0,'PDN Axle &amp; Bearing Calculation'!N6,INDEX(PDN_B_Specs,J34,MATCH(Bearing_name,PDN_Bearing_Type,0)))))</f>
        <v>0</v>
      </c>
      <c r="K36" s="487">
        <f>IF(DRIVE_Type&lt;&gt;"Coupling",0,IF(B_Type="REG",IF('REG. Axle &amp; Bearing Calculation'!N7&lt;&gt;0,'REG. Axle &amp; Bearing Calculation'!N7,INDEX(REG_B_Specs,K34,MATCH(Bearing_name,REG_Bearing_Type,0))),IF('PDN Axle &amp; Bearing Calculation'!N7&lt;&gt;0,'PDN Axle &amp; Bearing Calculation'!N7,INDEX(PDN_B_Specs,K34,MATCH(Bearing_name,PDN_Bearing_Type,0)))))</f>
        <v>0</v>
      </c>
      <c r="L36" s="487">
        <f>IF(DRIVE_Type&lt;&gt;"Coupling",0,IF(B_Type="REG",IF('REG. Axle &amp; Bearing Calculation'!N10&lt;&gt;0,'REG. Axle &amp; Bearing Calculation'!N10,INDEX(REG_B_Specs,L34,MATCH(Bearing_name,REG_Bearing_Type,0))),IF('PDN Axle &amp; Bearing Calculation'!N10&lt;&gt;0,'PDN Axle &amp; Bearing Calculation'!N10,INDEX(PDN_B_Specs,L34,MATCH(Bearing_name,PDN_Bearing_Type,0)))))</f>
        <v>0</v>
      </c>
      <c r="M36" s="487">
        <f>IF(DRIVE_Type&lt;&gt;"Coupling",0,IF(B_Type="REG",IF('REG. Axle &amp; Bearing Calculation'!N8&lt;&gt;0,'REG. Axle &amp; Bearing Calculation'!N8,INDEX(REG_B_Specs,M34,MATCH(Bearing_name,REG_Bearing_Type,0))),IF('PDN Axle &amp; Bearing Calculation'!N8&lt;&gt;0,'PDN Axle &amp; Bearing Calculation'!N8,INDEX(PDN_B_Specs,M34,MATCH(Bearing_name,PDN_Bearing_Type,0)))))</f>
        <v>0</v>
      </c>
      <c r="N36" s="487">
        <f>(B_L-B_J)/2</f>
        <v>0</v>
      </c>
      <c r="O36" s="487">
        <f>IF(DRIVE_Type&lt;&gt;"Coupling",0,IF(B_Type="REG",IF('REG. Axle &amp; Bearing Calculation'!N9&lt;&gt;0,'REG. Axle &amp; Bearing Calculation'!N9,INDEX(REG_B_Specs,O34,MATCH(Bearing_name,REG_Bearing_Type,0))),IF('PDN Axle &amp; Bearing Calculation'!N9&lt;&gt;0,'PDN Axle &amp; Bearing Calculation'!N9,INDEX(PDN_B_Specs,O34,MATCH(Bearing_name,PDN_Bearing_Type,0)))))</f>
        <v>0</v>
      </c>
      <c r="P36" s="487">
        <f>IF(DRIVE_Type&lt;&gt;"Coupling",0,IF(B_Type="REG",IF('REG. Axle &amp; Bearing Calculation'!N11&lt;&gt;0,'REG. Axle &amp; Bearing Calculation'!N11,INDEX(REG_B_Specs,P34,MATCH(Bearing_name,REG_Bearing_Type,0))),IF('PDN Axle &amp; Bearing Calculation'!N11&lt;&gt;0,'PDN Axle &amp; Bearing Calculation'!N11,INDEX(PDN_B_Specs,P34,MATCH(Bearing_name,PDN_Bearing_Type,0)))))</f>
        <v>0</v>
      </c>
      <c r="R36" s="487">
        <f>IF(ISERROR(VLOOKUP(Bearing_name,REG_B_constr_data,R34,FALSE)),0,VLOOKUP(Bearing_name,REG_B_constr_data,R34,FALSE))</f>
        <v>0</v>
      </c>
      <c r="S36" s="487">
        <f>IF(ISERROR(VLOOKUP(Bearing_name,REG_B_constr_data,S34,FALSE)),0,VLOOKUP(Bearing_name,REG_B_constr_data,S34,FALSE))</f>
        <v>0</v>
      </c>
      <c r="T36" s="487">
        <f>IF(ISERROR(VLOOKUP(Bearing_name,REG_B_constr_data,T34,FALSE)),0,VLOOKUP(Bearing_name,REG_B_constr_data,T34,FALSE))</f>
        <v>0</v>
      </c>
      <c r="U36" s="487">
        <f>IF(ISERROR(VLOOKUP(Bearing_name,REG_B_constr_data,U34,FALSE)),0,VLOOKUP(Bearing_name,REG_B_constr_data,U34,FALSE))</f>
        <v>0</v>
      </c>
    </row>
    <row r="37" spans="1:21">
      <c r="A37" s="3965"/>
      <c r="B37" s="492" t="s">
        <v>1747</v>
      </c>
      <c r="C37" s="598">
        <f>IF(DRIVE_Type="Coupling",IF(B_Type="REG",DBdRa6_REG,DBdRa6_PDN),0)</f>
        <v>0</v>
      </c>
      <c r="D37" s="494" t="s">
        <v>136</v>
      </c>
      <c r="E37" s="462" t="s">
        <v>1407</v>
      </c>
      <c r="F37" s="463"/>
      <c r="G37" s="462">
        <v>5</v>
      </c>
    </row>
    <row r="38" spans="1:21">
      <c r="A38" s="3965"/>
      <c r="B38" s="492" t="s">
        <v>1746</v>
      </c>
      <c r="C38" s="598">
        <f>IF(DRIVE_Type="Coupling",IF(B_Type="REG",DRa5Ra6_REG,DRa5Ra6_PDN),0)</f>
        <v>0</v>
      </c>
      <c r="D38" s="494" t="s">
        <v>136</v>
      </c>
      <c r="E38" s="462" t="s">
        <v>1411</v>
      </c>
      <c r="G38" s="462">
        <v>6</v>
      </c>
    </row>
    <row r="39" spans="1:21">
      <c r="A39" s="3965"/>
      <c r="B39" s="492" t="s">
        <v>1745</v>
      </c>
      <c r="C39" s="598">
        <f>IF(DRIVE_Type="Coupling",IF(B_Type="REG",DBndRa5_REG,DBndRa5_PDN),0)</f>
        <v>0</v>
      </c>
      <c r="D39" s="494" t="s">
        <v>136</v>
      </c>
      <c r="E39" s="462" t="s">
        <v>1412</v>
      </c>
      <c r="G39" s="462">
        <v>7</v>
      </c>
    </row>
    <row r="40" spans="1:21">
      <c r="A40" s="3965"/>
      <c r="B40" s="495" t="s">
        <v>255</v>
      </c>
      <c r="C40" s="1547">
        <f>IF(DRIVE_Type="Coupling",IF(B_Type="REG",DBB_REG,DBB_PDN),0)</f>
        <v>0</v>
      </c>
      <c r="D40" s="494" t="s">
        <v>136</v>
      </c>
      <c r="E40" s="462" t="s">
        <v>1408</v>
      </c>
      <c r="G40" s="462">
        <v>8</v>
      </c>
    </row>
    <row r="41" spans="1:21">
      <c r="A41" s="3965"/>
      <c r="B41" s="492" t="s">
        <v>1277</v>
      </c>
      <c r="C41" s="1547">
        <f>IF(DRIVE_Type="Coupling",IF(B_Type="REG",DBI_REG,DBI_PDN),0)</f>
        <v>0</v>
      </c>
      <c r="D41" s="494" t="s">
        <v>136</v>
      </c>
      <c r="E41" s="462" t="s">
        <v>1409</v>
      </c>
      <c r="G41" s="462">
        <v>9</v>
      </c>
    </row>
    <row r="42" spans="1:21">
      <c r="A42" s="3965"/>
      <c r="B42" s="495" t="s">
        <v>256</v>
      </c>
      <c r="C42" s="1547">
        <f>IF(DRIVE_Type="Coupling",IF(B_Type="REG",DBH_REG,DBH_PDN),0)</f>
        <v>0</v>
      </c>
      <c r="D42" s="494" t="s">
        <v>136</v>
      </c>
      <c r="E42" s="462" t="s">
        <v>38</v>
      </c>
      <c r="G42" s="462">
        <v>10</v>
      </c>
    </row>
    <row r="43" spans="1:21">
      <c r="A43" s="3965"/>
      <c r="B43" s="495" t="s">
        <v>1853</v>
      </c>
      <c r="C43" s="1547" t="e">
        <f ca="1">IF(DRIVE_Type="Coupling",IF(B_Type="REG",DIHo_C_REG,DIHo_C_PDN),DIHo_D)</f>
        <v>#REF!</v>
      </c>
      <c r="D43" s="494" t="s">
        <v>136</v>
      </c>
    </row>
    <row r="44" spans="1:21" ht="14.45" customHeight="1">
      <c r="A44" s="3966"/>
      <c r="B44" s="766" t="s">
        <v>292</v>
      </c>
      <c r="C44" s="1551">
        <f>IF(DRIVE_Type="Coupling",IF(B_Type="REG",AE_Reg,AE_PDN),0)</f>
        <v>0</v>
      </c>
      <c r="D44" s="480" t="s">
        <v>136</v>
      </c>
    </row>
    <row r="45" spans="1:21" ht="14.45" customHeight="1">
      <c r="A45" s="857"/>
      <c r="B45" s="858"/>
      <c r="C45" s="767"/>
      <c r="D45" s="493"/>
    </row>
    <row r="46" spans="1:21" s="856" customFormat="1" ht="29.1" customHeight="1">
      <c r="A46" s="3959" t="s">
        <v>2654</v>
      </c>
      <c r="B46" s="3959"/>
      <c r="C46" s="3967" t="e">
        <f ca="1">IF(DRIVE_Type="Coupling",IF(B_Type="REG",'Coupling driven'!$F$50&amp;" / "&amp;'Coupling driven'!$G$50,'Coupling driven'!$F$103&amp;" / "&amp;'Coupling driven'!$G$103),'Direct driven'!$F$48&amp;" / "&amp;'Direct driven'!$G$48)</f>
        <v>#REF!</v>
      </c>
      <c r="D46" s="3967"/>
      <c r="E46" s="1156" t="e">
        <f ca="1">IF(DRIVE_Type="Coupling",IF(B_Type="REG",'Coupling driven'!$F$52,'Coupling driven'!$F$105),'Direct driven'!$F$50)</f>
        <v>#REF!</v>
      </c>
    </row>
    <row r="47" spans="1:21">
      <c r="A47" s="3964" t="s">
        <v>1285</v>
      </c>
      <c r="B47" s="491"/>
      <c r="C47" s="475"/>
      <c r="D47" s="476"/>
    </row>
    <row r="48" spans="1:21">
      <c r="A48" s="3965"/>
      <c r="B48" s="495" t="s">
        <v>2551</v>
      </c>
      <c r="C48" s="1547" t="e">
        <f ca="1">IF(DRIVE_Type="Coupling",IF(B_Type="REG",'Coupling driven'!$F$52,'Coupling driven'!$F$105),'Direct driven'!$F$50)</f>
        <v>#REF!</v>
      </c>
      <c r="D48" s="494"/>
    </row>
    <row r="49" spans="1:8">
      <c r="A49" s="3966"/>
      <c r="B49" s="619" t="s">
        <v>2552</v>
      </c>
      <c r="C49" s="1551" t="e">
        <f ca="1">IF(DRIVE_Type="Coupling",IF(B_Type="REG",'Coupling driven'!$G$52,'Coupling driven'!$G$105),'Direct driven'!$G$50)</f>
        <v>#REF!</v>
      </c>
      <c r="D49" s="480" t="s">
        <v>136</v>
      </c>
    </row>
    <row r="50" spans="1:8">
      <c r="A50" s="857"/>
      <c r="B50" s="858"/>
      <c r="C50" s="767"/>
      <c r="D50" s="493"/>
    </row>
    <row r="51" spans="1:8" s="856" customFormat="1" ht="29.1" customHeight="1">
      <c r="A51" s="3959" t="s">
        <v>2655</v>
      </c>
      <c r="B51" s="3959"/>
      <c r="C51" s="1164">
        <f>IF(DRIVE_Type&lt;&gt;"Coupling",0,Coupling_name)</f>
        <v>0</v>
      </c>
      <c r="D51" s="850">
        <f>IF(DRIVE_Type&lt;&gt;"Coupling",0,INDEX(Coupling_Selection,MATCH(Coupling_name,CouplingName,0),1))</f>
        <v>0</v>
      </c>
    </row>
    <row r="52" spans="1:8">
      <c r="A52" s="3964" t="s">
        <v>1285</v>
      </c>
      <c r="B52" s="491" t="s">
        <v>254</v>
      </c>
      <c r="C52" s="1550">
        <f>IF(DRIVE_Type="Coupling",IF(B_Type="REG",DCB_REG,DCB_PDN),0)</f>
        <v>0</v>
      </c>
      <c r="D52" s="476" t="s">
        <v>136</v>
      </c>
    </row>
    <row r="53" spans="1:8">
      <c r="A53" s="3965"/>
      <c r="B53" s="495" t="s">
        <v>1769</v>
      </c>
      <c r="C53" s="1547">
        <f>IF(DRIVE_Type="Coupling",IF(B_Type="REG",DCRa5_REG,DCRa5_PDN),0)</f>
        <v>0</v>
      </c>
      <c r="D53" s="494" t="s">
        <v>136</v>
      </c>
    </row>
    <row r="54" spans="1:8">
      <c r="A54" s="3966"/>
      <c r="B54" s="619" t="s">
        <v>2517</v>
      </c>
      <c r="C54" s="1549">
        <f>IF(DRIVE_Type="Coupling",IF(B_Type="REG",C_Gap_REG,C_Gap_PDN),0)</f>
        <v>0</v>
      </c>
      <c r="D54" s="480" t="s">
        <v>136</v>
      </c>
    </row>
    <row r="56" spans="1:8" ht="29.1" customHeight="1">
      <c r="A56" s="854" t="s">
        <v>2187</v>
      </c>
      <c r="B56" s="856"/>
      <c r="C56" s="856">
        <f>IF(DRIVE_Type="Coupling",IF(B_Type="REG",Axle_Hub_Type_REG,Axle_Hub_Type_PDN),0)</f>
        <v>0</v>
      </c>
      <c r="D56" s="856"/>
      <c r="E56" s="856"/>
      <c r="F56" s="856"/>
      <c r="G56" s="856"/>
    </row>
    <row r="57" spans="1:8">
      <c r="A57" s="949"/>
      <c r="B57" s="484" t="s">
        <v>2186</v>
      </c>
      <c r="C57" s="588" t="e">
        <f ca="1">IF(DRIVE_Type="Coupling",IF(B_Type="REG",'Coupling driven'!B36,'Coupling driven'!B89),'Direct driven'!B12)</f>
        <v>#REF!</v>
      </c>
      <c r="D57" s="476" t="s">
        <v>136</v>
      </c>
    </row>
    <row r="58" spans="1:8" s="856" customFormat="1" ht="14.45" customHeight="1">
      <c r="A58" s="950"/>
      <c r="B58" s="493" t="s">
        <v>2188</v>
      </c>
      <c r="C58" s="598" t="e">
        <f ca="1">IF(DRIVE_Type="Coupling",IF(B_Type="REG",'Coupling driven'!B37,'Coupling driven'!B90),'Direct driven'!B13)</f>
        <v>#REF!</v>
      </c>
      <c r="D58" s="494" t="s">
        <v>136</v>
      </c>
      <c r="E58" s="462"/>
      <c r="F58" s="462"/>
      <c r="G58" s="462"/>
      <c r="H58" s="462"/>
    </row>
    <row r="59" spans="1:8" ht="14.45" customHeight="1">
      <c r="A59" s="950"/>
      <c r="B59" s="493" t="s">
        <v>2189</v>
      </c>
      <c r="C59" s="598">
        <f>IF(DRIVE_Type="Coupling",IF(B_Type="REG",'Coupling driven'!B40,'Coupling driven'!B93),0)</f>
        <v>0</v>
      </c>
      <c r="D59" s="494" t="s">
        <v>136</v>
      </c>
      <c r="H59" s="856"/>
    </row>
    <row r="60" spans="1:8">
      <c r="A60" s="950"/>
      <c r="B60" s="493" t="s">
        <v>2190</v>
      </c>
      <c r="C60" s="598">
        <f>IF(DRIVE_Type="Coupling",IF(B_Type="REG",'Coupling driven'!D40,'Coupling driven'!D93),0)</f>
        <v>0</v>
      </c>
      <c r="D60" s="494" t="s">
        <v>136</v>
      </c>
    </row>
    <row r="61" spans="1:8">
      <c r="A61" s="950"/>
      <c r="B61" s="493" t="s">
        <v>2191</v>
      </c>
      <c r="C61" s="598">
        <f>IF(DRIVE_Type="Coupling",IF(B_Type="REG",'Coupling driven'!B45,'Coupling driven'!D93),0)</f>
        <v>0</v>
      </c>
      <c r="D61" s="494" t="s">
        <v>136</v>
      </c>
    </row>
    <row r="62" spans="1:8">
      <c r="A62" s="951"/>
      <c r="B62" s="479" t="s">
        <v>2192</v>
      </c>
      <c r="C62" s="1549">
        <f>IF(DRIVE_Type="Coupling",IF(B_Type="REG",'Coupling driven'!E40,'Coupling driven'!E93),0)</f>
        <v>0</v>
      </c>
      <c r="D62" s="480"/>
    </row>
    <row r="63" spans="1:8" ht="14.45" customHeight="1">
      <c r="A63" s="857"/>
      <c r="B63" s="858"/>
      <c r="C63" s="767"/>
      <c r="D63" s="493"/>
    </row>
    <row r="64" spans="1:8" ht="29.1" customHeight="1">
      <c r="A64" s="854" t="s">
        <v>1855</v>
      </c>
      <c r="B64" s="856"/>
      <c r="C64" s="856"/>
      <c r="D64" s="856"/>
      <c r="E64" s="856"/>
      <c r="F64" s="856"/>
      <c r="G64" s="856"/>
    </row>
    <row r="65" spans="1:4" ht="14.45" customHeight="1">
      <c r="A65" s="630"/>
      <c r="B65" s="483" t="s">
        <v>1857</v>
      </c>
      <c r="C65" s="588">
        <f>Hub_C_iHe</f>
        <v>66.269330410535758</v>
      </c>
      <c r="D65" s="476" t="s">
        <v>136</v>
      </c>
    </row>
    <row r="66" spans="1:4" ht="14.45" customHeight="1">
      <c r="A66" s="492"/>
      <c r="B66" s="859" t="s">
        <v>1849</v>
      </c>
      <c r="C66" s="1547" t="e">
        <f ca="1">IF(DRIVE_Type="Coupling",IF(B_Type="REG",Hub_C_iD_REG,Hub_C_iD_PDN),Hub_C_iD_D)</f>
        <v>#REF!</v>
      </c>
      <c r="D66" s="494" t="s">
        <v>136</v>
      </c>
    </row>
    <row r="67" spans="1:4">
      <c r="A67" s="492"/>
      <c r="B67" s="859" t="s">
        <v>1856</v>
      </c>
      <c r="C67" s="1547" t="e">
        <f ca="1">IF(DRIVE_Type="Coupling",IF(B_Type="REG",Hub_C_tL_REG,Hub_C_tL_PDN),Hub_C_tL_D)</f>
        <v>#REF!</v>
      </c>
      <c r="D67" s="494" t="s">
        <v>136</v>
      </c>
    </row>
    <row r="68" spans="1:4">
      <c r="A68" s="492"/>
      <c r="B68" s="859" t="s">
        <v>2808</v>
      </c>
      <c r="C68" s="1547" t="e">
        <f ca="1">IF(DRIVE_Type="Coupling",IF(B_Type="REG",Hub_C_eD_REG,Hub_C_eD_PDN),Hub_C_eD_D)</f>
        <v>#REF!</v>
      </c>
      <c r="D68" s="494" t="s">
        <v>136</v>
      </c>
    </row>
    <row r="69" spans="1:4">
      <c r="A69" s="492"/>
      <c r="B69" s="859" t="s">
        <v>2803</v>
      </c>
      <c r="C69" s="1548" t="e">
        <f ca="1">IF(DRIVE_Type="Coupling",IF(B_Type="REG",WHub_C_REG,WHub_C_PDN),WHub_C_D)</f>
        <v>#REF!</v>
      </c>
      <c r="D69" s="494" t="s">
        <v>131</v>
      </c>
    </row>
    <row r="70" spans="1:4">
      <c r="A70" s="492"/>
      <c r="B70" s="859" t="s">
        <v>2776</v>
      </c>
      <c r="C70" s="1547" t="e">
        <f ca="1">IF(DRIVE_Type="Coupling",VLOOKUP(Hub_C_iD,HubKey_DB,3,TRUE),SF)</f>
        <v>#REF!</v>
      </c>
      <c r="D70" s="494" t="s">
        <v>136</v>
      </c>
    </row>
    <row r="71" spans="1:4">
      <c r="A71" s="492"/>
      <c r="B71" s="859" t="s">
        <v>2777</v>
      </c>
      <c r="C71" s="1547" t="e">
        <f ca="1">IF(DRIVE_Type="Coupling",VLOOKUP(Hub_C_iD,HubKey_DB,4,TRUE),SF)</f>
        <v>#REF!</v>
      </c>
      <c r="D71" s="494" t="s">
        <v>136</v>
      </c>
    </row>
    <row r="72" spans="1:4">
      <c r="A72" s="619"/>
      <c r="B72" s="485" t="s">
        <v>2778</v>
      </c>
      <c r="C72" s="1549" t="e">
        <f ca="1">IF(DRIVE_Type="Coupling",VLOOKUP(Hub_C_iD,HubKey_DB,9,TRUE),SF)</f>
        <v>#REF!</v>
      </c>
      <c r="D72" s="480" t="s">
        <v>136</v>
      </c>
    </row>
    <row r="73" spans="1:4">
      <c r="A73" s="493"/>
      <c r="B73" s="647"/>
      <c r="C73" s="767"/>
      <c r="D73" s="493"/>
    </row>
    <row r="74" spans="1:4" ht="29.1" customHeight="1">
      <c r="A74" s="854" t="s">
        <v>2395</v>
      </c>
      <c r="B74" s="856"/>
      <c r="C74" s="856"/>
      <c r="D74" s="856"/>
    </row>
    <row r="75" spans="1:4">
      <c r="A75" s="630"/>
      <c r="B75" s="483" t="s">
        <v>2396</v>
      </c>
      <c r="C75" s="588">
        <f>House!$D$65</f>
        <v>41.669481622770547</v>
      </c>
      <c r="D75" s="476" t="s">
        <v>136</v>
      </c>
    </row>
    <row r="76" spans="1:4">
      <c r="A76" s="492"/>
      <c r="B76" s="859" t="s">
        <v>2397</v>
      </c>
      <c r="C76" s="1547">
        <f>House!$F$65</f>
        <v>115.64676679210334</v>
      </c>
      <c r="D76" s="494" t="s">
        <v>136</v>
      </c>
    </row>
    <row r="77" spans="1:4">
      <c r="A77" s="492"/>
      <c r="B77" s="859"/>
      <c r="C77" s="767"/>
      <c r="D77" s="494"/>
    </row>
    <row r="78" spans="1:4">
      <c r="A78" s="619"/>
      <c r="B78" s="485"/>
      <c r="C78" s="768"/>
      <c r="D78" s="480"/>
    </row>
    <row r="80" spans="1:4" ht="15.75" thickBot="1"/>
    <row r="81" spans="1:12" ht="15.75">
      <c r="A81" s="3960" t="str">
        <f>"Small frame data, old build - "&amp;DRIVE_Type</f>
        <v>Small frame data, old build - Direct</v>
      </c>
      <c r="B81" s="3961"/>
      <c r="C81" s="3961"/>
      <c r="D81" s="3961"/>
      <c r="E81" s="3961"/>
      <c r="F81" s="3961"/>
      <c r="G81" s="3961"/>
      <c r="H81" s="3961"/>
      <c r="I81" s="3961"/>
      <c r="J81" s="3961"/>
      <c r="K81" s="3961"/>
      <c r="L81" s="3962"/>
    </row>
    <row r="82" spans="1:12" ht="15.75">
      <c r="A82" s="3956">
        <f>IF(DRIVE_Type&lt;&gt;"Coupling",18,30)</f>
        <v>18</v>
      </c>
      <c r="B82" s="3954"/>
      <c r="C82" s="1211" t="s">
        <v>2605</v>
      </c>
      <c r="D82" s="581"/>
      <c r="E82" s="581"/>
      <c r="F82" s="581"/>
      <c r="G82" s="581"/>
      <c r="H82" s="581"/>
      <c r="I82" s="581"/>
      <c r="J82" s="581"/>
      <c r="K82" s="493"/>
      <c r="L82" s="583"/>
    </row>
    <row r="83" spans="1:12" ht="15.75">
      <c r="A83" s="3957"/>
      <c r="B83" s="3955"/>
      <c r="C83" s="1211" t="s">
        <v>2617</v>
      </c>
      <c r="D83" s="581"/>
      <c r="E83" s="581"/>
      <c r="F83" s="581"/>
      <c r="G83" s="581"/>
      <c r="H83" s="581"/>
      <c r="I83" s="581"/>
      <c r="J83" s="581"/>
      <c r="K83" s="493"/>
      <c r="L83" s="583"/>
    </row>
    <row r="84" spans="1:12" ht="15.75">
      <c r="A84" s="3958" t="e">
        <f ca="1">IF(DRIVE_Type&lt;&gt;"Coupling",2*l_1 + 2*l_2 + 3*b_11 + 3*b_12 + 4*h_1 + 4*h_2,2*l_1 + 2*l_2 + 2*l_3 + 2*l_4 + 3*b_11 + 5*b_12 + 2*b_13 + 4*h_1 + 4*h_3 + 4*h_2)/1000</f>
        <v>#REF!</v>
      </c>
      <c r="B84" s="3953" t="s">
        <v>1135</v>
      </c>
      <c r="C84" s="1211" t="s">
        <v>2606</v>
      </c>
      <c r="D84" s="581"/>
      <c r="E84" s="581"/>
      <c r="F84" s="581"/>
      <c r="G84" s="581"/>
      <c r="H84" s="581"/>
      <c r="I84" s="581"/>
      <c r="J84" s="581"/>
      <c r="K84" s="493"/>
      <c r="L84" s="583"/>
    </row>
    <row r="85" spans="1:12" ht="15.75">
      <c r="A85" s="3958"/>
      <c r="B85" s="3953"/>
      <c r="C85" s="1211" t="s">
        <v>2607</v>
      </c>
      <c r="D85" s="581"/>
      <c r="E85" s="581"/>
      <c r="F85" s="581"/>
      <c r="G85" s="581"/>
      <c r="H85" s="581"/>
      <c r="I85" s="581"/>
      <c r="J85" s="581"/>
      <c r="K85" s="493"/>
      <c r="L85" s="583"/>
    </row>
    <row r="86" spans="1:12" ht="15.75">
      <c r="A86" s="3958">
        <f>IF(DRIVE_Type&lt;&gt;"Coupling",2*5*5+2*2*3,2*9*5+2*2*3+2*2*2)*63/1000</f>
        <v>3.9060000000000001</v>
      </c>
      <c r="B86" s="3953" t="s">
        <v>1135</v>
      </c>
      <c r="C86" s="1211" t="s">
        <v>2608</v>
      </c>
      <c r="D86" s="581"/>
      <c r="E86" s="581"/>
      <c r="F86" s="581"/>
      <c r="G86" s="581"/>
      <c r="H86" s="581"/>
      <c r="I86" s="581"/>
      <c r="J86" s="581"/>
      <c r="K86" s="493"/>
      <c r="L86" s="583"/>
    </row>
    <row r="87" spans="1:12" ht="15.75">
      <c r="A87" s="3958"/>
      <c r="B87" s="3953"/>
      <c r="C87" s="1211" t="s">
        <v>2609</v>
      </c>
      <c r="D87" s="581"/>
      <c r="E87" s="581"/>
      <c r="F87" s="581"/>
      <c r="G87" s="581"/>
      <c r="H87" s="581"/>
      <c r="I87" s="581"/>
      <c r="J87" s="581"/>
      <c r="K87" s="493"/>
      <c r="L87" s="583"/>
    </row>
    <row r="88" spans="1:12" ht="15.75">
      <c r="A88" s="3952">
        <f>A82+IF(DRIVE_Type&lt;&gt;"Coupling",2*5*1+2*2*1,2*9*1+2*2*1+2*2*0)</f>
        <v>32</v>
      </c>
      <c r="B88" s="3953"/>
      <c r="C88" s="1211" t="s">
        <v>2610</v>
      </c>
      <c r="D88" s="581"/>
      <c r="E88" s="581"/>
      <c r="F88" s="581"/>
      <c r="G88" s="581"/>
      <c r="H88" s="581"/>
      <c r="I88" s="581"/>
      <c r="J88" s="581"/>
      <c r="K88" s="493"/>
      <c r="L88" s="583"/>
    </row>
    <row r="89" spans="1:12" ht="15.75">
      <c r="A89" s="3952"/>
      <c r="B89" s="3953"/>
      <c r="C89" s="1211" t="s">
        <v>2618</v>
      </c>
      <c r="D89" s="581"/>
      <c r="E89" s="581"/>
      <c r="F89" s="581"/>
      <c r="G89" s="581"/>
      <c r="H89" s="581"/>
      <c r="I89" s="581"/>
      <c r="J89" s="581"/>
      <c r="K89" s="493"/>
      <c r="L89" s="583"/>
    </row>
    <row r="90" spans="1:12" ht="15.75">
      <c r="A90" s="622"/>
      <c r="B90" s="581"/>
      <c r="C90" s="1211"/>
      <c r="D90" s="581"/>
      <c r="E90" s="581"/>
      <c r="F90" s="581"/>
      <c r="G90" s="581"/>
      <c r="H90" s="581"/>
      <c r="I90" s="581"/>
      <c r="J90" s="581"/>
      <c r="K90" s="493"/>
      <c r="L90" s="583"/>
    </row>
    <row r="91" spans="1:12" ht="15.75">
      <c r="A91" s="579"/>
      <c r="B91" s="1215" t="s">
        <v>2616</v>
      </c>
      <c r="C91" s="1214" t="e">
        <f ca="1">A84*VLOOKUP("L63,6",Iron_dim,7,FALSE)</f>
        <v>#REF!</v>
      </c>
      <c r="D91" s="581" t="s">
        <v>131</v>
      </c>
      <c r="E91" s="581"/>
      <c r="F91" s="646" t="s">
        <v>2623</v>
      </c>
      <c r="G91" s="581">
        <f>A88*5</f>
        <v>160</v>
      </c>
      <c r="H91" s="581" t="s">
        <v>104</v>
      </c>
      <c r="J91" s="646" t="s">
        <v>2626</v>
      </c>
      <c r="K91" s="493">
        <f>2*A86*10*5</f>
        <v>390.6</v>
      </c>
      <c r="L91" s="583" t="s">
        <v>104</v>
      </c>
    </row>
    <row r="92" spans="1:12">
      <c r="C92" s="581"/>
      <c r="D92" s="581"/>
      <c r="E92" s="581"/>
      <c r="F92" s="581"/>
      <c r="G92" s="581"/>
      <c r="H92" s="581"/>
      <c r="I92" s="581"/>
      <c r="J92" s="581"/>
      <c r="K92" s="493"/>
      <c r="L92" s="583"/>
    </row>
    <row r="93" spans="1:12" ht="15.75">
      <c r="A93" s="622"/>
      <c r="B93" s="581"/>
      <c r="C93" s="1211" t="s">
        <v>2593</v>
      </c>
      <c r="D93" s="581"/>
      <c r="E93" s="581"/>
      <c r="F93" s="581"/>
      <c r="G93" s="581"/>
      <c r="H93" s="581"/>
      <c r="I93" s="581"/>
      <c r="J93" s="581"/>
      <c r="K93" s="493"/>
      <c r="L93" s="583"/>
    </row>
    <row r="94" spans="1:12" ht="15.75">
      <c r="A94" s="622"/>
      <c r="B94" s="581"/>
      <c r="C94" s="1211" t="s">
        <v>2594</v>
      </c>
      <c r="D94" s="581"/>
      <c r="E94" s="581"/>
      <c r="F94" s="581"/>
      <c r="G94" s="581"/>
      <c r="H94" s="581"/>
      <c r="I94" s="581"/>
      <c r="J94" s="581"/>
      <c r="K94" s="493"/>
      <c r="L94" s="583"/>
    </row>
    <row r="95" spans="1:12" ht="16.5" thickBot="1">
      <c r="A95" s="678"/>
      <c r="B95" s="679"/>
      <c r="C95" s="1212" t="s">
        <v>2595</v>
      </c>
      <c r="D95" s="679"/>
      <c r="E95" s="679"/>
      <c r="F95" s="679"/>
      <c r="G95" s="679"/>
      <c r="H95" s="679"/>
      <c r="I95" s="679"/>
      <c r="J95" s="679"/>
      <c r="K95" s="638"/>
      <c r="L95" s="663"/>
    </row>
    <row r="96" spans="1:12" ht="15.75" thickBot="1"/>
    <row r="97" spans="1:16" ht="15.75">
      <c r="A97" s="3960" t="str">
        <f>"Small frame data, new build - "&amp;DRIVE_Type</f>
        <v>Small frame data, new build - Direct</v>
      </c>
      <c r="B97" s="3961"/>
      <c r="C97" s="3961"/>
      <c r="D97" s="3961"/>
      <c r="E97" s="3961"/>
      <c r="F97" s="3961"/>
      <c r="G97" s="3961"/>
      <c r="H97" s="3961"/>
      <c r="I97" s="3961"/>
      <c r="J97" s="3961"/>
      <c r="K97" s="3961"/>
      <c r="L97" s="3962"/>
    </row>
    <row r="98" spans="1:16" ht="15.75">
      <c r="A98" s="3956">
        <f>IF(DRIVE_Type&lt;&gt;"Coupling",6,10)</f>
        <v>6</v>
      </c>
      <c r="B98" s="3954"/>
      <c r="C98" s="1211" t="s">
        <v>2619</v>
      </c>
      <c r="D98" s="581"/>
      <c r="E98" s="581"/>
      <c r="F98" s="581"/>
      <c r="G98" s="581"/>
      <c r="H98" s="581"/>
      <c r="I98" s="581"/>
      <c r="J98" s="581"/>
      <c r="K98" s="493"/>
      <c r="L98" s="583"/>
      <c r="P98" s="1210"/>
    </row>
    <row r="99" spans="1:16" ht="15.75">
      <c r="A99" s="3957"/>
      <c r="B99" s="3955"/>
      <c r="C99" s="1211" t="s">
        <v>2620</v>
      </c>
      <c r="D99" s="581"/>
      <c r="E99" s="581"/>
      <c r="F99" s="581"/>
      <c r="G99" s="581"/>
      <c r="H99" s="581"/>
      <c r="I99" s="581"/>
      <c r="J99" s="581"/>
      <c r="K99" s="493"/>
      <c r="L99" s="583"/>
      <c r="P99" s="1210"/>
    </row>
    <row r="100" spans="1:16" ht="15.75">
      <c r="A100" s="3958" t="e">
        <f ca="1">IF(DRIVE_Type&lt;&gt;"Coupling",l_1*(2*h_1+2*b_14+b_11) + 2*(l_2-l_1)*(h_2+b_14) + 2*(b_12+b_11)/2*h_1/2 + h_2/2*b_12,l_1*(2*h_1+2*b_14+b_11) + l_3*(2*h_3+2*b_14+b_13)+ l_4*(2*h_1+2*b_14+b_11) + 2*(l_2-(l_1+l_3+l_4))*(h_2+b_14) + 4*(b_12+b_11)/2*h_1/2 + h_2/2*b_12)/1000/1000</f>
        <v>#REF!</v>
      </c>
      <c r="B100" s="3953" t="s">
        <v>2511</v>
      </c>
      <c r="C100" s="1210" t="s">
        <v>2611</v>
      </c>
      <c r="D100" s="581"/>
      <c r="E100" s="581"/>
      <c r="F100" s="581"/>
      <c r="G100" s="581"/>
      <c r="H100" s="581"/>
      <c r="I100" s="581"/>
      <c r="J100" s="581"/>
      <c r="K100" s="493"/>
      <c r="L100" s="583"/>
      <c r="P100" s="1210"/>
    </row>
    <row r="101" spans="1:16" ht="15.75">
      <c r="A101" s="3958"/>
      <c r="B101" s="3953"/>
      <c r="C101" s="1210" t="s">
        <v>2612</v>
      </c>
      <c r="D101" s="581"/>
      <c r="E101" s="581"/>
      <c r="F101" s="581"/>
      <c r="G101" s="581"/>
      <c r="H101" s="581"/>
      <c r="I101" s="581"/>
      <c r="J101" s="581"/>
      <c r="K101" s="493"/>
      <c r="L101" s="583"/>
      <c r="P101" s="1213"/>
    </row>
    <row r="102" spans="1:16" ht="15.75">
      <c r="A102" s="3958" t="e">
        <f ca="1">IF(DRIVE_Type&lt;&gt;"Coupling",2*(h_2+b_14) + 4*h_1/2 +2*h_2/2,2*(h_1+b_14) + 2*(h_1+b_14) + 2*(h_2+b_14) + 4*2*h_1/2 + 2*h_2/2)/1000</f>
        <v>#REF!</v>
      </c>
      <c r="B102" s="3953" t="s">
        <v>1135</v>
      </c>
      <c r="C102" s="1210" t="s">
        <v>2614</v>
      </c>
      <c r="D102" s="581"/>
      <c r="E102" s="581"/>
      <c r="F102" s="581"/>
      <c r="G102" s="581"/>
      <c r="H102" s="581"/>
      <c r="I102" s="581"/>
      <c r="J102" s="581"/>
      <c r="K102" s="493"/>
      <c r="L102" s="583"/>
    </row>
    <row r="103" spans="1:16" ht="15.75">
      <c r="A103" s="3958"/>
      <c r="B103" s="3953"/>
      <c r="C103" s="1213" t="s">
        <v>2613</v>
      </c>
      <c r="D103" s="581"/>
      <c r="E103" s="581"/>
      <c r="F103" s="581"/>
      <c r="G103" s="581"/>
      <c r="H103" s="581"/>
      <c r="I103" s="581"/>
      <c r="J103" s="581"/>
      <c r="K103" s="493"/>
      <c r="L103" s="583"/>
      <c r="P103" s="1210"/>
    </row>
    <row r="104" spans="1:16" ht="15.75">
      <c r="A104" s="3958" t="e">
        <f ca="1">IF(DRIVE_Type&lt;&gt;"Coupling",2*(2*h_1+2*b_14+b_11) + 2*(2*h_2+(l_2-l_1)) + 2*((b_11+b_12)/2+2*h_1/2) + (2*h_2/2+b_12),2*(2*h_1+2*b_14+b_11) + 2*(2*h_3+2*b_14+b_13)  + 2*(2*h_1+2*b_14+b_11)  + 2*(h_2+b_14+(l_2-(l_1+l_3+l_4))) + 4*((b_11+b_12)/2+2*h_1/2) + (2*h_2/2+b_12))/1000</f>
        <v>#REF!</v>
      </c>
      <c r="B104" s="3953" t="s">
        <v>1135</v>
      </c>
      <c r="C104" s="1210" t="s">
        <v>2621</v>
      </c>
      <c r="D104" s="581"/>
      <c r="E104" s="581"/>
      <c r="F104" s="581"/>
      <c r="G104" s="581"/>
      <c r="H104" s="581"/>
      <c r="I104" s="581"/>
      <c r="J104" s="581"/>
      <c r="K104" s="493"/>
      <c r="L104" s="583"/>
      <c r="P104" s="1210"/>
    </row>
    <row r="105" spans="1:16" ht="15.75">
      <c r="A105" s="3958"/>
      <c r="B105" s="3953"/>
      <c r="C105" s="1210" t="s">
        <v>2622</v>
      </c>
      <c r="D105" s="581"/>
      <c r="E105" s="581"/>
      <c r="F105" s="581"/>
      <c r="G105" s="581"/>
      <c r="H105" s="581"/>
      <c r="I105" s="581"/>
      <c r="J105" s="581"/>
      <c r="K105" s="493"/>
      <c r="L105" s="583"/>
      <c r="P105" s="1210"/>
    </row>
    <row r="106" spans="1:16" ht="15.75">
      <c r="A106" s="3952">
        <f>IF(DRIVE_Type&lt;&gt;"Coupling",6,14)</f>
        <v>6</v>
      </c>
      <c r="B106" s="3953"/>
      <c r="C106" s="1210" t="s">
        <v>2627</v>
      </c>
      <c r="D106" s="581"/>
      <c r="E106" s="581"/>
      <c r="F106" s="581"/>
      <c r="G106" s="581"/>
      <c r="H106" s="581"/>
      <c r="I106" s="581"/>
      <c r="J106" s="581"/>
      <c r="K106" s="493"/>
      <c r="L106" s="583"/>
      <c r="P106" s="1210"/>
    </row>
    <row r="107" spans="1:16" ht="15.75">
      <c r="A107" s="3952"/>
      <c r="B107" s="3953"/>
      <c r="C107" s="1210" t="s">
        <v>2628</v>
      </c>
      <c r="D107" s="581"/>
      <c r="E107" s="581"/>
      <c r="F107" s="581"/>
      <c r="G107" s="581"/>
      <c r="H107" s="581"/>
      <c r="I107" s="581"/>
      <c r="J107" s="581"/>
      <c r="K107" s="493"/>
      <c r="L107" s="583"/>
      <c r="P107" s="1210"/>
    </row>
    <row r="108" spans="1:16" ht="15.75">
      <c r="A108" s="622"/>
      <c r="B108" s="581"/>
      <c r="E108" s="581"/>
      <c r="F108" s="581"/>
      <c r="G108" s="581"/>
      <c r="H108" s="581"/>
      <c r="I108" s="581"/>
      <c r="J108" s="581"/>
      <c r="K108" s="493"/>
      <c r="L108" s="583"/>
      <c r="P108" s="1210"/>
    </row>
    <row r="109" spans="1:16" ht="15.75">
      <c r="A109" s="579"/>
      <c r="B109" s="1215" t="s">
        <v>2616</v>
      </c>
      <c r="C109" s="1214" t="e">
        <f ca="1">A100*VLOOKUP("p6",Iron_dim,7,FALSE)</f>
        <v>#REF!</v>
      </c>
      <c r="D109" s="581" t="s">
        <v>131</v>
      </c>
      <c r="E109" s="581"/>
      <c r="F109" s="646" t="s">
        <v>2624</v>
      </c>
      <c r="G109" s="581">
        <f>A106*5</f>
        <v>30</v>
      </c>
      <c r="H109" s="581" t="s">
        <v>104</v>
      </c>
      <c r="J109" s="646" t="s">
        <v>2625</v>
      </c>
      <c r="K109" s="493" t="e">
        <f ca="1">A102*10*5</f>
        <v>#REF!</v>
      </c>
      <c r="L109" s="583" t="s">
        <v>104</v>
      </c>
      <c r="P109" s="1210"/>
    </row>
    <row r="110" spans="1:16" ht="16.5" thickBot="1">
      <c r="A110" s="678"/>
      <c r="B110" s="679"/>
      <c r="C110" s="679"/>
      <c r="D110" s="679"/>
      <c r="E110" s="679"/>
      <c r="F110" s="679"/>
      <c r="G110" s="679"/>
      <c r="H110" s="679"/>
      <c r="I110" s="679"/>
      <c r="J110" s="679"/>
      <c r="K110" s="638"/>
      <c r="L110" s="663"/>
      <c r="P110" s="1210"/>
    </row>
  </sheetData>
  <mergeCells count="31">
    <mergeCell ref="A81:L81"/>
    <mergeCell ref="A35:A44"/>
    <mergeCell ref="A52:A54"/>
    <mergeCell ref="A33:A34"/>
    <mergeCell ref="A26:A27"/>
    <mergeCell ref="A28:A29"/>
    <mergeCell ref="A47:A49"/>
    <mergeCell ref="C46:D46"/>
    <mergeCell ref="B84:B85"/>
    <mergeCell ref="B86:B87"/>
    <mergeCell ref="B88:B89"/>
    <mergeCell ref="A82:A83"/>
    <mergeCell ref="A84:A85"/>
    <mergeCell ref="A86:A87"/>
    <mergeCell ref="A88:A89"/>
    <mergeCell ref="A1:B2"/>
    <mergeCell ref="A106:A107"/>
    <mergeCell ref="B106:B107"/>
    <mergeCell ref="B98:B99"/>
    <mergeCell ref="B100:B101"/>
    <mergeCell ref="B102:B103"/>
    <mergeCell ref="B104:B105"/>
    <mergeCell ref="A98:A99"/>
    <mergeCell ref="A100:A101"/>
    <mergeCell ref="A102:A103"/>
    <mergeCell ref="A104:A105"/>
    <mergeCell ref="A46:B46"/>
    <mergeCell ref="A51:B51"/>
    <mergeCell ref="A97:L97"/>
    <mergeCell ref="C24:D24"/>
    <mergeCell ref="B82:B83"/>
  </mergeCells>
  <phoneticPr fontId="170" type="noConversion"/>
  <pageMargins left="0.70866141732283472" right="0.70866141732283472" top="0.74803149606299213" bottom="0.74803149606299213" header="0.31496062992125984" footer="0.31496062992125984"/>
  <pageSetup paperSize="9" scale="39" orientation="landscape" r:id="rId1"/>
  <headerFooter>
    <oddHeader>&amp;L&amp;F / &amp;A&amp;R&amp;D</oddHeader>
    <oddFooter>&amp;L&amp;12CONFIDENTIAL&amp;C&amp;12BARKER JET&amp;Rpage &amp;P / &amp;N</oddFooter>
  </headerFooter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0">
    <pageSetUpPr fitToPage="1"/>
  </sheetPr>
  <dimension ref="A1:AJ210"/>
  <sheetViews>
    <sheetView topLeftCell="A21" zoomScale="60" zoomScaleNormal="60" workbookViewId="0">
      <pane xSplit="4" ySplit="2" topLeftCell="E125" activePane="bottomRight" state="frozen"/>
      <selection activeCell="K96" sqref="K96"/>
      <selection pane="topRight" activeCell="K96" sqref="K96"/>
      <selection pane="bottomLeft" activeCell="K96" sqref="K96"/>
      <selection pane="bottomRight" activeCell="C90" sqref="C90"/>
    </sheetView>
  </sheetViews>
  <sheetFormatPr defaultColWidth="10.7109375" defaultRowHeight="15"/>
  <cols>
    <col min="1" max="1" width="15" style="464" customWidth="1"/>
    <col min="2" max="9" width="10.7109375" style="464" customWidth="1"/>
    <col min="10" max="15" width="8.7109375" style="464" customWidth="1"/>
    <col min="16" max="16" width="8.7109375" style="462" customWidth="1"/>
    <col min="17" max="17" width="8.7109375" style="464" customWidth="1"/>
    <col min="18" max="35" width="10.7109375" style="464"/>
    <col min="36" max="36" width="10.7109375" style="466"/>
    <col min="37" max="16384" width="10.7109375" style="464"/>
  </cols>
  <sheetData>
    <row r="1" spans="1:29">
      <c r="A1" s="562" t="s">
        <v>1191</v>
      </c>
      <c r="F1" s="462"/>
      <c r="G1" s="462"/>
      <c r="H1" s="462"/>
      <c r="I1" s="462"/>
      <c r="J1" s="462"/>
      <c r="K1" s="462"/>
      <c r="L1" s="462"/>
      <c r="M1" s="462"/>
      <c r="N1" s="462"/>
      <c r="O1" s="462"/>
      <c r="Q1" s="462"/>
      <c r="R1" s="462"/>
      <c r="S1" s="462"/>
      <c r="T1" s="462"/>
      <c r="U1" s="462"/>
      <c r="V1" s="462"/>
      <c r="W1" s="462"/>
      <c r="X1" s="462"/>
      <c r="Y1" s="462"/>
      <c r="Z1" s="462"/>
      <c r="AA1" s="462"/>
      <c r="AB1" s="462"/>
      <c r="AC1" s="462"/>
    </row>
    <row r="2" spans="1:29">
      <c r="A2" s="562"/>
      <c r="B2" s="464" t="s">
        <v>235</v>
      </c>
      <c r="C2" s="464" t="s">
        <v>1022</v>
      </c>
      <c r="E2" s="680"/>
      <c r="F2" s="462" t="s">
        <v>1477</v>
      </c>
      <c r="G2" s="462"/>
      <c r="H2" s="462"/>
      <c r="I2" s="462"/>
      <c r="J2" s="462"/>
      <c r="K2" s="462"/>
      <c r="L2" s="462"/>
      <c r="M2" s="462"/>
      <c r="N2" s="462"/>
      <c r="O2" s="462"/>
      <c r="Q2" s="462"/>
      <c r="R2" s="462"/>
      <c r="S2" s="462"/>
      <c r="T2" s="462" t="s">
        <v>1056</v>
      </c>
      <c r="U2" s="462"/>
      <c r="V2" s="462" t="s">
        <v>96</v>
      </c>
      <c r="W2" s="462"/>
      <c r="X2" s="463" t="s">
        <v>255</v>
      </c>
      <c r="Y2" s="462"/>
      <c r="AA2" s="462" t="s">
        <v>256</v>
      </c>
      <c r="AB2" s="462"/>
      <c r="AC2" s="462"/>
    </row>
    <row r="3" spans="1:29">
      <c r="A3" s="562"/>
      <c r="B3" s="464" t="s">
        <v>1202</v>
      </c>
      <c r="C3" s="464" t="s">
        <v>1201</v>
      </c>
      <c r="E3" s="676"/>
      <c r="F3" s="462" t="s">
        <v>1478</v>
      </c>
      <c r="G3" s="462"/>
      <c r="H3" s="462"/>
      <c r="I3" s="482" t="s">
        <v>58</v>
      </c>
      <c r="J3" s="462"/>
      <c r="K3" s="462"/>
      <c r="L3" s="462"/>
      <c r="M3" s="462"/>
      <c r="N3" s="462"/>
      <c r="O3" s="462"/>
      <c r="P3" s="463" t="s">
        <v>58</v>
      </c>
      <c r="Q3" s="462"/>
      <c r="R3" s="462"/>
      <c r="S3" s="462"/>
      <c r="T3" s="462"/>
      <c r="U3" s="462"/>
      <c r="V3" s="462"/>
      <c r="W3" s="462"/>
      <c r="X3" s="462"/>
      <c r="Y3" s="462"/>
      <c r="Z3" s="462"/>
      <c r="AA3" s="462"/>
      <c r="AB3" s="462"/>
      <c r="AC3" s="462"/>
    </row>
    <row r="4" spans="1:29">
      <c r="B4" s="464" t="s">
        <v>1192</v>
      </c>
      <c r="C4" s="464" t="s">
        <v>267</v>
      </c>
      <c r="E4" s="677"/>
      <c r="F4" s="462" t="s">
        <v>1479</v>
      </c>
      <c r="G4" s="462"/>
      <c r="H4" s="462"/>
      <c r="I4" s="462"/>
      <c r="J4" s="462"/>
      <c r="K4" s="462"/>
      <c r="L4" s="462"/>
      <c r="M4" s="462"/>
      <c r="N4" s="462"/>
      <c r="O4" s="462"/>
      <c r="Q4" s="462" t="s">
        <v>257</v>
      </c>
      <c r="R4" s="462"/>
      <c r="S4" s="462"/>
      <c r="T4" s="462"/>
      <c r="U4" s="462"/>
      <c r="V4" s="462"/>
      <c r="W4" s="462"/>
      <c r="X4" s="462"/>
      <c r="Y4" s="462"/>
      <c r="Z4" s="462"/>
      <c r="AA4" s="463"/>
      <c r="AB4" s="462"/>
      <c r="AC4" s="462"/>
    </row>
    <row r="5" spans="1:29">
      <c r="B5" s="464" t="s">
        <v>148</v>
      </c>
      <c r="C5" s="464" t="s">
        <v>0</v>
      </c>
      <c r="E5" s="1208"/>
      <c r="F5" s="1209" t="s">
        <v>2592</v>
      </c>
      <c r="G5" s="468"/>
      <c r="H5" s="462"/>
      <c r="I5" s="462"/>
      <c r="J5" s="462"/>
      <c r="K5" s="462"/>
      <c r="L5" s="462"/>
      <c r="M5" s="462"/>
      <c r="N5" s="462"/>
      <c r="O5" s="462"/>
      <c r="Q5" s="462"/>
      <c r="R5" s="462"/>
      <c r="S5" s="462"/>
      <c r="T5" s="462"/>
      <c r="U5" s="463" t="s">
        <v>2633</v>
      </c>
      <c r="V5" s="462"/>
      <c r="W5" s="462"/>
      <c r="X5" s="462"/>
      <c r="Y5" s="462"/>
      <c r="Z5" s="462"/>
      <c r="AA5" s="462"/>
      <c r="AB5" s="462"/>
      <c r="AC5" s="462"/>
    </row>
    <row r="6" spans="1:29">
      <c r="B6" s="464" t="s">
        <v>238</v>
      </c>
      <c r="C6" s="464" t="s">
        <v>110</v>
      </c>
      <c r="F6" s="468"/>
      <c r="G6" s="468"/>
      <c r="H6" s="462"/>
      <c r="I6" s="462"/>
      <c r="J6" s="462" t="s">
        <v>1032</v>
      </c>
      <c r="K6" s="462"/>
      <c r="L6" s="462"/>
      <c r="M6" s="462"/>
      <c r="N6" s="462"/>
      <c r="O6" s="462"/>
      <c r="Q6" s="462"/>
      <c r="R6" s="462"/>
      <c r="S6" s="462"/>
      <c r="T6" s="462"/>
      <c r="U6" s="462"/>
      <c r="V6" s="462"/>
      <c r="W6" s="462"/>
      <c r="X6" s="462"/>
      <c r="Y6" s="462"/>
      <c r="Z6" s="462"/>
      <c r="AA6" s="462"/>
      <c r="AB6" s="462"/>
      <c r="AC6" s="462"/>
    </row>
    <row r="7" spans="1:29">
      <c r="B7" s="464" t="s">
        <v>1193</v>
      </c>
      <c r="C7" s="464" t="s">
        <v>1194</v>
      </c>
      <c r="F7" s="468"/>
      <c r="G7" s="468"/>
      <c r="H7" s="462"/>
      <c r="I7" s="462"/>
      <c r="J7" s="462"/>
      <c r="K7" s="462"/>
      <c r="L7" s="462"/>
      <c r="M7" s="462"/>
      <c r="N7" s="462"/>
      <c r="O7" s="462"/>
      <c r="Q7" s="462"/>
      <c r="R7" s="462"/>
      <c r="S7" s="462"/>
      <c r="T7" s="462"/>
      <c r="U7" s="462"/>
      <c r="V7" s="462"/>
      <c r="W7" s="462"/>
      <c r="X7" s="463"/>
      <c r="Y7" s="462"/>
      <c r="Z7" s="462"/>
      <c r="AA7" s="462"/>
      <c r="AB7" s="462"/>
      <c r="AC7" s="462"/>
    </row>
    <row r="8" spans="1:29">
      <c r="B8" s="464" t="s">
        <v>53</v>
      </c>
      <c r="C8" s="464" t="s">
        <v>1195</v>
      </c>
      <c r="F8" s="462"/>
      <c r="G8" s="462"/>
      <c r="H8" s="462"/>
      <c r="I8" s="462" t="s">
        <v>1054</v>
      </c>
      <c r="J8" s="462"/>
      <c r="K8" s="462"/>
      <c r="L8" s="462"/>
      <c r="M8" s="462"/>
      <c r="N8" s="462"/>
      <c r="O8" s="462"/>
      <c r="Q8" s="462"/>
      <c r="R8" s="462"/>
      <c r="S8" s="462"/>
      <c r="T8" s="462"/>
      <c r="U8" s="462"/>
      <c r="V8" s="462"/>
      <c r="W8" s="462"/>
      <c r="X8" s="462"/>
      <c r="Y8" s="462"/>
      <c r="Z8" s="462"/>
      <c r="AA8" s="462"/>
      <c r="AB8" s="462"/>
      <c r="AC8" s="462"/>
    </row>
    <row r="9" spans="1:29">
      <c r="B9" s="464" t="s">
        <v>252</v>
      </c>
      <c r="C9" s="464" t="s">
        <v>1186</v>
      </c>
      <c r="F9" s="462"/>
      <c r="G9" s="462"/>
      <c r="H9" s="462"/>
      <c r="I9" s="462"/>
      <c r="J9" s="462"/>
      <c r="K9" s="462"/>
      <c r="L9" s="462"/>
      <c r="M9" s="462"/>
      <c r="N9" s="462"/>
      <c r="O9" s="462"/>
      <c r="Q9" s="462"/>
      <c r="R9" s="462"/>
      <c r="S9" s="462"/>
      <c r="T9" s="462"/>
      <c r="U9" s="462"/>
      <c r="V9" s="463"/>
      <c r="W9" s="462"/>
      <c r="X9" s="462"/>
      <c r="Y9" s="462"/>
      <c r="Z9" s="463"/>
      <c r="AA9" s="462"/>
      <c r="AB9" s="462"/>
      <c r="AC9" s="462"/>
    </row>
    <row r="10" spans="1:29">
      <c r="B10" s="464" t="s">
        <v>243</v>
      </c>
      <c r="C10" s="464" t="s">
        <v>1187</v>
      </c>
      <c r="F10" s="462"/>
      <c r="G10" s="462"/>
      <c r="H10" s="462" t="s">
        <v>266</v>
      </c>
      <c r="I10" s="462"/>
      <c r="J10" s="463"/>
      <c r="K10" s="563" t="s">
        <v>1031</v>
      </c>
      <c r="L10" s="462"/>
      <c r="M10" s="462" t="s">
        <v>260</v>
      </c>
      <c r="N10" s="462"/>
      <c r="O10" s="463"/>
      <c r="Q10" s="462"/>
      <c r="R10" s="563"/>
      <c r="S10" s="462"/>
      <c r="T10" s="563"/>
      <c r="U10" s="463"/>
      <c r="V10" s="482"/>
      <c r="W10" s="462"/>
      <c r="X10" s="462"/>
      <c r="Y10" s="563"/>
      <c r="Z10" s="462"/>
      <c r="AA10" s="462"/>
      <c r="AB10" s="462"/>
      <c r="AC10" s="462"/>
    </row>
    <row r="11" spans="1:29">
      <c r="A11" s="564"/>
      <c r="B11" s="464" t="s">
        <v>147</v>
      </c>
      <c r="C11" s="464" t="s">
        <v>1188</v>
      </c>
      <c r="F11" s="462"/>
      <c r="G11" s="462"/>
      <c r="H11" s="462"/>
      <c r="I11" s="462"/>
      <c r="J11" s="462"/>
      <c r="K11" s="462"/>
      <c r="L11" s="462"/>
      <c r="M11" s="462"/>
      <c r="N11" s="462"/>
      <c r="O11" s="462"/>
      <c r="Q11" s="563" t="s">
        <v>3374</v>
      </c>
      <c r="R11" s="462"/>
      <c r="S11" s="462"/>
      <c r="T11" s="563" t="s">
        <v>3375</v>
      </c>
      <c r="U11" s="462"/>
      <c r="V11" s="462"/>
      <c r="W11" s="463" t="s">
        <v>3376</v>
      </c>
      <c r="X11" s="462"/>
      <c r="Y11" s="463" t="s">
        <v>3377</v>
      </c>
      <c r="Z11" s="462"/>
      <c r="AA11" s="462"/>
      <c r="AB11" s="462"/>
      <c r="AC11" s="462"/>
    </row>
    <row r="12" spans="1:29">
      <c r="B12" s="464" t="s">
        <v>243</v>
      </c>
      <c r="C12" s="464" t="s">
        <v>1187</v>
      </c>
      <c r="F12" s="462"/>
      <c r="G12" s="462"/>
      <c r="H12" s="462"/>
      <c r="I12" s="462"/>
      <c r="J12" s="462"/>
      <c r="K12" s="462"/>
      <c r="L12" s="462"/>
      <c r="M12" s="462"/>
      <c r="N12" s="462"/>
      <c r="O12" s="462"/>
      <c r="Q12" s="462"/>
      <c r="R12" s="462"/>
      <c r="S12" s="462"/>
      <c r="T12" s="462"/>
      <c r="U12" s="462"/>
      <c r="V12" s="462"/>
      <c r="W12" s="462"/>
      <c r="X12" s="462"/>
      <c r="Y12" s="462"/>
      <c r="Z12" s="462"/>
      <c r="AA12" s="462"/>
      <c r="AB12" s="462"/>
      <c r="AC12" s="462"/>
    </row>
    <row r="13" spans="1:29">
      <c r="B13" s="464" t="s">
        <v>1206</v>
      </c>
      <c r="C13" s="464" t="s">
        <v>1207</v>
      </c>
      <c r="F13" s="462"/>
      <c r="G13" s="462"/>
      <c r="H13" s="462"/>
      <c r="I13" s="462"/>
      <c r="J13" s="462"/>
      <c r="K13" s="462"/>
      <c r="L13" s="462"/>
      <c r="M13" s="462"/>
      <c r="N13" s="462"/>
      <c r="O13" s="462"/>
      <c r="Q13" s="462"/>
      <c r="R13" s="462"/>
      <c r="S13" s="462"/>
      <c r="T13" s="462"/>
      <c r="U13" s="462"/>
      <c r="V13" s="462"/>
      <c r="W13" s="462"/>
      <c r="X13" s="462"/>
      <c r="Y13" s="462"/>
      <c r="Z13" s="462"/>
      <c r="AA13" s="462"/>
      <c r="AB13" s="462"/>
      <c r="AC13" s="462"/>
    </row>
    <row r="14" spans="1:29">
      <c r="B14" s="464" t="s">
        <v>1198</v>
      </c>
      <c r="C14" s="464" t="s">
        <v>1199</v>
      </c>
      <c r="F14" s="462"/>
      <c r="G14" s="462"/>
      <c r="H14" s="462"/>
      <c r="I14" s="462" t="s">
        <v>2836</v>
      </c>
      <c r="J14" s="462"/>
      <c r="K14" s="462"/>
      <c r="L14" s="462"/>
      <c r="M14" s="462"/>
      <c r="N14" s="462"/>
      <c r="O14" s="462"/>
      <c r="Q14" s="462"/>
      <c r="R14" s="462"/>
      <c r="S14" s="462"/>
      <c r="T14" s="462"/>
      <c r="U14" s="462"/>
      <c r="V14" s="462"/>
      <c r="W14" s="462"/>
      <c r="X14" s="462"/>
      <c r="Y14" s="462"/>
      <c r="Z14" s="462"/>
      <c r="AA14" s="462"/>
      <c r="AB14" s="462"/>
      <c r="AC14" s="462"/>
    </row>
    <row r="15" spans="1:29">
      <c r="B15" s="464" t="s">
        <v>1200</v>
      </c>
      <c r="C15" s="464" t="s">
        <v>1189</v>
      </c>
      <c r="F15" s="462"/>
      <c r="G15" s="462"/>
      <c r="H15" s="462"/>
      <c r="I15" s="462"/>
      <c r="J15" s="462"/>
      <c r="K15" s="462"/>
      <c r="L15" s="462"/>
      <c r="M15" s="462"/>
      <c r="N15" s="462"/>
      <c r="O15" s="462"/>
      <c r="P15" s="482"/>
      <c r="Q15" s="462"/>
      <c r="R15" s="462"/>
      <c r="S15" s="462"/>
      <c r="T15" s="462"/>
      <c r="U15" s="462"/>
      <c r="V15" s="463"/>
      <c r="W15" s="462"/>
      <c r="X15" s="462"/>
      <c r="Y15" s="462"/>
      <c r="Z15" s="462"/>
      <c r="AA15" s="462"/>
      <c r="AB15" s="462"/>
      <c r="AC15" s="462"/>
    </row>
    <row r="16" spans="1:29">
      <c r="B16" s="464" t="s">
        <v>234</v>
      </c>
      <c r="C16" s="464" t="s">
        <v>1210</v>
      </c>
      <c r="F16" s="462"/>
      <c r="G16" s="462"/>
      <c r="H16" s="462" t="s">
        <v>264</v>
      </c>
      <c r="J16" s="462"/>
      <c r="K16" s="462"/>
      <c r="L16" s="462"/>
      <c r="M16" s="462"/>
      <c r="N16" s="462"/>
      <c r="O16" s="462"/>
      <c r="Q16" s="462"/>
      <c r="R16" s="462"/>
      <c r="S16" s="462"/>
      <c r="T16" s="462"/>
      <c r="U16" s="462"/>
      <c r="V16" s="462"/>
      <c r="W16" s="462"/>
      <c r="X16" s="462"/>
      <c r="Y16" s="462"/>
      <c r="Z16" s="462"/>
      <c r="AA16" s="462"/>
      <c r="AB16" s="462"/>
      <c r="AC16" s="462"/>
    </row>
    <row r="17" spans="1:36">
      <c r="B17" s="464" t="s">
        <v>1196</v>
      </c>
      <c r="C17" s="464" t="s">
        <v>1208</v>
      </c>
      <c r="F17" s="468"/>
      <c r="G17" s="565" t="s">
        <v>1033</v>
      </c>
      <c r="H17" s="462"/>
      <c r="I17" s="462"/>
      <c r="J17" s="462"/>
      <c r="K17" s="462"/>
      <c r="L17" s="462" t="s">
        <v>1034</v>
      </c>
      <c r="M17" s="462"/>
      <c r="N17" s="563" t="s">
        <v>269</v>
      </c>
      <c r="O17" s="462"/>
      <c r="Q17" s="462"/>
      <c r="R17" s="462"/>
      <c r="S17" s="462"/>
      <c r="T17" s="462"/>
      <c r="U17" s="462"/>
      <c r="V17" s="462"/>
      <c r="W17" s="462"/>
      <c r="X17" s="462"/>
      <c r="Y17" s="462"/>
      <c r="Z17" s="563" t="s">
        <v>57</v>
      </c>
      <c r="AA17" s="463" t="s">
        <v>1480</v>
      </c>
      <c r="AB17" s="462"/>
      <c r="AC17" s="462"/>
    </row>
    <row r="18" spans="1:36">
      <c r="B18" s="464" t="s">
        <v>1197</v>
      </c>
      <c r="C18" s="464" t="s">
        <v>1209</v>
      </c>
      <c r="F18" s="462"/>
      <c r="G18" s="462"/>
      <c r="H18" s="462"/>
      <c r="I18" s="462"/>
      <c r="J18" s="462"/>
      <c r="K18" s="462"/>
      <c r="L18" s="462"/>
      <c r="M18" s="462"/>
      <c r="N18" s="462"/>
      <c r="O18" s="462"/>
      <c r="Q18" s="462"/>
      <c r="R18" s="462"/>
      <c r="S18" s="462"/>
      <c r="T18" s="462"/>
      <c r="U18" s="462"/>
      <c r="V18" s="462"/>
      <c r="W18" s="462"/>
      <c r="X18" s="462"/>
      <c r="Y18" s="462"/>
      <c r="Z18" s="462" t="s">
        <v>57</v>
      </c>
      <c r="AA18" s="462"/>
      <c r="AB18" s="462"/>
      <c r="AC18" s="462"/>
    </row>
    <row r="19" spans="1:36">
      <c r="F19" s="462"/>
      <c r="G19" s="462"/>
      <c r="H19" s="462"/>
      <c r="I19" s="463" t="s">
        <v>265</v>
      </c>
      <c r="J19" s="462"/>
      <c r="K19" s="462"/>
      <c r="L19" s="462"/>
      <c r="M19" s="462"/>
      <c r="N19" s="462"/>
      <c r="O19" s="462"/>
      <c r="Q19" s="462"/>
      <c r="R19" s="462"/>
      <c r="S19" s="462" t="s">
        <v>266</v>
      </c>
      <c r="T19" s="462"/>
      <c r="U19" s="462"/>
      <c r="V19" s="462"/>
      <c r="W19" s="462"/>
      <c r="X19" s="462" t="s">
        <v>1057</v>
      </c>
      <c r="Y19" s="462"/>
      <c r="Z19" s="462"/>
      <c r="AA19" s="462"/>
      <c r="AB19" s="462"/>
      <c r="AC19" s="462"/>
    </row>
    <row r="20" spans="1:36" ht="15.75" thickBot="1">
      <c r="F20" s="462"/>
      <c r="G20" s="462"/>
      <c r="H20" s="462"/>
      <c r="I20" s="462"/>
      <c r="J20" s="462"/>
      <c r="K20" s="462"/>
      <c r="L20" s="463"/>
      <c r="M20" s="462"/>
      <c r="N20" s="462"/>
      <c r="O20" s="462"/>
      <c r="Q20" s="462"/>
      <c r="R20" s="462"/>
      <c r="S20" s="462"/>
      <c r="T20" s="462"/>
      <c r="U20" s="462"/>
      <c r="V20" s="462"/>
      <c r="W20" s="462"/>
      <c r="X20" s="462"/>
      <c r="Y20" s="462"/>
      <c r="Z20" s="462"/>
      <c r="AA20" s="462"/>
      <c r="AB20" s="462"/>
      <c r="AC20" s="462"/>
    </row>
    <row r="21" spans="1:36" ht="14.45" customHeight="1">
      <c r="A21" s="3968" t="s">
        <v>3459</v>
      </c>
      <c r="B21" s="3970" t="str">
        <f>DRIVE_Type</f>
        <v>Direct</v>
      </c>
      <c r="C21" s="3972" t="e">
        <f ca="1">IF(Small_F,"Small", "Normal")</f>
        <v>#REF!</v>
      </c>
      <c r="D21" s="3974" t="e">
        <f ca="1">Drive+IF(Small_F,0.1,0)</f>
        <v>#REF!</v>
      </c>
    </row>
    <row r="22" spans="1:36" ht="15" customHeight="1" thickBot="1">
      <c r="A22" s="3969"/>
      <c r="B22" s="3971"/>
      <c r="C22" s="3973"/>
      <c r="D22" s="3975"/>
      <c r="AJ22" s="464"/>
    </row>
    <row r="23" spans="1:36" ht="15.75" thickTop="1">
      <c r="A23" s="1683" t="s">
        <v>3534</v>
      </c>
      <c r="B23" s="1906"/>
      <c r="C23" s="1907"/>
      <c r="D23" s="566"/>
      <c r="E23" s="566"/>
      <c r="F23" s="566"/>
      <c r="G23" s="566"/>
      <c r="H23" s="566"/>
      <c r="I23" s="566"/>
      <c r="J23" s="567" t="s">
        <v>277</v>
      </c>
      <c r="K23" s="568"/>
      <c r="L23" s="568"/>
      <c r="M23" s="567" t="s">
        <v>278</v>
      </c>
      <c r="N23" s="568"/>
      <c r="O23" s="569"/>
      <c r="P23" s="1908"/>
      <c r="Q23" s="1909"/>
      <c r="R23" s="570"/>
      <c r="AJ23" s="464"/>
    </row>
    <row r="24" spans="1:36">
      <c r="A24" s="622"/>
      <c r="B24" s="573"/>
      <c r="C24" s="574" t="s">
        <v>268</v>
      </c>
      <c r="D24" s="1539" t="s">
        <v>243</v>
      </c>
      <c r="E24" s="1539" t="s">
        <v>346</v>
      </c>
      <c r="F24" s="1539" t="s">
        <v>304</v>
      </c>
      <c r="G24" s="1539" t="s">
        <v>348</v>
      </c>
      <c r="H24" s="574" t="s">
        <v>1053</v>
      </c>
      <c r="I24" s="575" t="s">
        <v>280</v>
      </c>
      <c r="J24" s="576" t="s">
        <v>57</v>
      </c>
      <c r="K24" s="575" t="s">
        <v>58</v>
      </c>
      <c r="L24" s="575" t="s">
        <v>269</v>
      </c>
      <c r="M24" s="576" t="s">
        <v>57</v>
      </c>
      <c r="N24" s="575" t="s">
        <v>58</v>
      </c>
      <c r="O24" s="624" t="s">
        <v>269</v>
      </c>
      <c r="P24" s="577" t="e">
        <f ca="1">SUM(P25:P136)</f>
        <v>#REF!</v>
      </c>
      <c r="Q24" s="1451" t="e">
        <f ca="1">SUM(Q25:Q136)</f>
        <v>#REF!</v>
      </c>
      <c r="R24" s="578"/>
      <c r="AJ24" s="464"/>
    </row>
    <row r="25" spans="1:36">
      <c r="A25" s="614" t="s">
        <v>3374</v>
      </c>
      <c r="B25" s="1902" t="e">
        <f ca="1">IF(DRIVE_Type="Direct",IF(Small_F,"","MF1_T"),"")</f>
        <v>#REF!</v>
      </c>
      <c r="C25" s="484" t="e">
        <f ca="1">MF_Ra</f>
        <v>#REF!</v>
      </c>
      <c r="D25" s="587" t="e">
        <f ca="1">SQRT((N25-K25)^2+(O25-L25)^2)</f>
        <v>#REF!</v>
      </c>
      <c r="E25" s="587" t="e">
        <f ca="1">IF(DRIVE_Type="Direct",IF(Small_F,0,VLOOKUP($C25,Iron_dim,2,FALSE)),0)</f>
        <v>#REF!</v>
      </c>
      <c r="F25" s="587" t="e">
        <f ca="1">IF(DRIVE_Type="Direct",IF(Small_F,0,VLOOKUP($C25,Iron_dim,3,FALSE)),0)</f>
        <v>#REF!</v>
      </c>
      <c r="G25" s="587" t="e">
        <f ca="1">IF(DRIVE_Type="Direct",IF(Small_F,0,VLOOKUP($C25,Iron_dim,4,FALSE)),0)</f>
        <v>#REF!</v>
      </c>
      <c r="H25" s="484"/>
      <c r="I25" s="1643" t="s">
        <v>1045</v>
      </c>
      <c r="J25" s="1939">
        <v>0</v>
      </c>
      <c r="K25" s="587" t="e">
        <f ca="1">IF(DRIVE_Type="Direct",IF(Small_F,0,MFHe),0)</f>
        <v>#REF!</v>
      </c>
      <c r="L25" s="1903" t="e">
        <f ca="1">IF(DRIVE_Type="Direct",IF(Small_F,0,IF((MA+MK_mult*MK+2*(F25*TAN(R_angle/2)))&lt;MAB,-MAB/2,-(MA+MK_mult*MK+2*(F25*TAN(R_angle/2)))/2)),0)</f>
        <v>#REF!</v>
      </c>
      <c r="M25" s="615">
        <f>J25</f>
        <v>0</v>
      </c>
      <c r="N25" s="613" t="e">
        <f ca="1">K25</f>
        <v>#REF!</v>
      </c>
      <c r="O25" s="2176" t="e">
        <f ca="1">-L25</f>
        <v>#REF!</v>
      </c>
      <c r="P25" s="632" t="e">
        <f ca="1">VLOOKUP($C25,Iron_dim,7,FALSE)*D25/1000</f>
        <v>#REF!</v>
      </c>
      <c r="Q25" s="1456" t="e">
        <f ca="1">IF(G25=0,0,P25/steel_density/(G25/1000))</f>
        <v>#REF!</v>
      </c>
      <c r="R25" s="493"/>
      <c r="AJ25" s="464"/>
    </row>
    <row r="26" spans="1:36">
      <c r="B26" s="585" t="e">
        <f ca="1">IF(DRIVE_Type="Direct",IF(Small_F,"","mf1_T"),"")</f>
        <v>#REF!</v>
      </c>
      <c r="C26" s="582"/>
      <c r="D26" s="580"/>
      <c r="E26" s="493"/>
      <c r="F26" s="493"/>
      <c r="G26" s="493"/>
      <c r="H26" s="493"/>
      <c r="I26" s="493"/>
      <c r="J26" s="609">
        <f>J25</f>
        <v>0</v>
      </c>
      <c r="K26" s="493" t="e">
        <f ca="1">K25-F25</f>
        <v>#REF!</v>
      </c>
      <c r="L26" s="582" t="e">
        <f ca="1">L25+F25*TAN(R_angle/2)</f>
        <v>#REF!</v>
      </c>
      <c r="M26" s="609">
        <f>J26</f>
        <v>0</v>
      </c>
      <c r="N26" s="608" t="e">
        <f ca="1">K26</f>
        <v>#REF!</v>
      </c>
      <c r="O26" s="2175" t="e">
        <f ca="1">-L26</f>
        <v>#REF!</v>
      </c>
      <c r="P26" s="584"/>
      <c r="Q26" s="1450"/>
      <c r="R26" s="493"/>
      <c r="AJ26" s="464"/>
    </row>
    <row r="27" spans="1:36" ht="14.45" customHeight="1">
      <c r="B27" s="604" t="e">
        <f ca="1">IF(DRIVE_Type="Direct",IF(Small_F,"","MF1_T+"),"")</f>
        <v>#REF!</v>
      </c>
      <c r="C27" s="580"/>
      <c r="D27" s="580"/>
      <c r="E27" s="493"/>
      <c r="F27" s="493"/>
      <c r="G27" s="493"/>
      <c r="H27" s="493"/>
      <c r="I27" s="493"/>
      <c r="J27" s="599" t="e">
        <f ca="1">J25+E25</f>
        <v>#REF!</v>
      </c>
      <c r="K27" s="608" t="e">
        <f ca="1">K25</f>
        <v>#REF!</v>
      </c>
      <c r="L27" s="608" t="e">
        <f ca="1">L25</f>
        <v>#REF!</v>
      </c>
      <c r="M27" s="609" t="e">
        <f t="shared" ref="M27:N54" ca="1" si="0">J27</f>
        <v>#REF!</v>
      </c>
      <c r="N27" s="608" t="e">
        <f ca="1">N25</f>
        <v>#REF!</v>
      </c>
      <c r="O27" s="611" t="e">
        <f ca="1">O25</f>
        <v>#REF!</v>
      </c>
      <c r="P27" s="584"/>
      <c r="Q27" s="1450"/>
      <c r="R27" s="582"/>
      <c r="AJ27" s="464"/>
    </row>
    <row r="28" spans="1:36">
      <c r="A28" s="628"/>
      <c r="B28" s="604" t="e">
        <f ca="1">IF(DRIVE_Type="Direct",IF(Small_F,"","mf1_T+"),"")</f>
        <v>#REF!</v>
      </c>
      <c r="C28" s="580"/>
      <c r="D28" s="580"/>
      <c r="E28" s="493"/>
      <c r="F28" s="493"/>
      <c r="G28" s="493"/>
      <c r="H28" s="493"/>
      <c r="I28" s="580"/>
      <c r="J28" s="609" t="e">
        <f ca="1">J27</f>
        <v>#REF!</v>
      </c>
      <c r="K28" s="608" t="e">
        <f ca="1">K26</f>
        <v>#REF!</v>
      </c>
      <c r="L28" s="608" t="e">
        <f ca="1">L26</f>
        <v>#REF!</v>
      </c>
      <c r="M28" s="609" t="e">
        <f t="shared" ca="1" si="0"/>
        <v>#REF!</v>
      </c>
      <c r="N28" s="608" t="e">
        <f ca="1">N26</f>
        <v>#REF!</v>
      </c>
      <c r="O28" s="608" t="e">
        <f ca="1">O26</f>
        <v>#REF!</v>
      </c>
      <c r="P28" s="602"/>
      <c r="Q28" s="1454"/>
      <c r="R28" s="582"/>
      <c r="AJ28" s="464"/>
    </row>
    <row r="29" spans="1:36">
      <c r="A29" s="1682"/>
      <c r="B29" s="579" t="e">
        <f ca="1">IF(DRIVE_Type="Direct",IF(Small_F,"","MF1_L"),"")</f>
        <v>#REF!</v>
      </c>
      <c r="C29" s="580" t="e">
        <f ca="1">MF_Ra</f>
        <v>#REF!</v>
      </c>
      <c r="D29" s="580" t="e">
        <f ca="1">SQRT((N29-K29)^2+(O29-L29)^2)</f>
        <v>#REF!</v>
      </c>
      <c r="E29" s="580" t="e">
        <f ca="1">IF(DRIVE_Type="Direct",IF(Small_F,0,VLOOKUP($C29,Iron_dim,2,FALSE)),0)</f>
        <v>#REF!</v>
      </c>
      <c r="F29" s="580" t="e">
        <f ca="1">IF(DRIVE_Type="Direct",IF(Small_F,0,VLOOKUP($C29,Iron_dim,3,FALSE)),0)</f>
        <v>#REF!</v>
      </c>
      <c r="G29" s="580" t="e">
        <f ca="1">IF(DRIVE_Type="Direct",IF(Small_F,0,VLOOKUP($C29,Iron_dim,4,FALSE)),0)</f>
        <v>#REF!</v>
      </c>
      <c r="H29" s="493"/>
      <c r="I29" s="581" t="s">
        <v>1045</v>
      </c>
      <c r="J29" s="609">
        <f>J25</f>
        <v>0</v>
      </c>
      <c r="K29" s="580" t="e">
        <f ca="1">IF(Small_F,0,G120)</f>
        <v>#REF!</v>
      </c>
      <c r="L29" s="582" t="e">
        <f ca="1">O29-(N29-K29)/TAN(R_angle)</f>
        <v>#REF!</v>
      </c>
      <c r="M29" s="609">
        <f t="shared" si="0"/>
        <v>0</v>
      </c>
      <c r="N29" s="608" t="e">
        <f ca="1">K25</f>
        <v>#REF!</v>
      </c>
      <c r="O29" s="612" t="e">
        <f ca="1">L25</f>
        <v>#REF!</v>
      </c>
      <c r="P29" s="584" t="e">
        <f ca="1">VLOOKUP($C29,Iron_dim,7,FALSE)*D29/1000</f>
        <v>#REF!</v>
      </c>
      <c r="Q29" s="1450" t="e">
        <f ca="1">IF(G29=0,0,P29/steel_density/(G29/1000))</f>
        <v>#REF!</v>
      </c>
      <c r="R29" s="582"/>
      <c r="AJ29" s="464"/>
    </row>
    <row r="30" spans="1:36">
      <c r="A30" s="1680"/>
      <c r="B30" s="585" t="e">
        <f ca="1">IF(DRIVE_Type="Direct",IF(Small_F,"","mf1_L"),"")</f>
        <v>#REF!</v>
      </c>
      <c r="C30" s="582"/>
      <c r="D30" s="580"/>
      <c r="E30" s="493"/>
      <c r="F30" s="493"/>
      <c r="G30" s="493"/>
      <c r="H30" s="493"/>
      <c r="I30" s="493"/>
      <c r="J30" s="609">
        <f>J29</f>
        <v>0</v>
      </c>
      <c r="K30" s="608" t="e">
        <f ca="1">K29</f>
        <v>#REF!</v>
      </c>
      <c r="L30" s="582" t="e">
        <f ca="1">L29+F29/SIN(R_angle)</f>
        <v>#REF!</v>
      </c>
      <c r="M30" s="609">
        <f t="shared" si="0"/>
        <v>0</v>
      </c>
      <c r="N30" s="608" t="e">
        <f ca="1">K26</f>
        <v>#REF!</v>
      </c>
      <c r="O30" s="612" t="e">
        <f ca="1">L26</f>
        <v>#REF!</v>
      </c>
      <c r="P30" s="584"/>
      <c r="Q30" s="1450"/>
      <c r="R30" s="1189"/>
      <c r="AJ30" s="464"/>
    </row>
    <row r="31" spans="1:36">
      <c r="A31" s="604"/>
      <c r="B31" s="604" t="e">
        <f ca="1">IF(DRIVE_Type="Direct",IF(Small_F,"","MF1_L+"),"")</f>
        <v>#REF!</v>
      </c>
      <c r="C31" s="582"/>
      <c r="D31" s="580"/>
      <c r="E31" s="493"/>
      <c r="F31" s="493"/>
      <c r="G31" s="493"/>
      <c r="H31" s="493"/>
      <c r="I31" s="603"/>
      <c r="J31" s="492" t="e">
        <f ca="1">J29+E29</f>
        <v>#REF!</v>
      </c>
      <c r="K31" s="608" t="e">
        <f ca="1">K29</f>
        <v>#REF!</v>
      </c>
      <c r="L31" s="608" t="e">
        <f ca="1">L29</f>
        <v>#REF!</v>
      </c>
      <c r="M31" s="609" t="e">
        <f t="shared" ca="1" si="0"/>
        <v>#REF!</v>
      </c>
      <c r="N31" s="608" t="e">
        <f ca="1">N29</f>
        <v>#REF!</v>
      </c>
      <c r="O31" s="611" t="e">
        <f ca="1">O29</f>
        <v>#REF!</v>
      </c>
      <c r="P31" s="584"/>
      <c r="Q31" s="1450"/>
      <c r="R31" s="644"/>
      <c r="AJ31" s="464"/>
    </row>
    <row r="32" spans="1:36">
      <c r="A32" s="622"/>
      <c r="B32" s="604" t="e">
        <f ca="1">IF(DRIVE_Type="Direct",IF(Small_F,"","mf1_L+"),"")</f>
        <v>#REF!</v>
      </c>
      <c r="C32" s="582"/>
      <c r="D32" s="493"/>
      <c r="E32" s="493"/>
      <c r="F32" s="493"/>
      <c r="G32" s="493"/>
      <c r="H32" s="493"/>
      <c r="I32" s="493"/>
      <c r="J32" s="609" t="e">
        <f ca="1">J31</f>
        <v>#REF!</v>
      </c>
      <c r="K32" s="608" t="e">
        <f ca="1">K30</f>
        <v>#REF!</v>
      </c>
      <c r="L32" s="608" t="e">
        <f ca="1">L30</f>
        <v>#REF!</v>
      </c>
      <c r="M32" s="609" t="e">
        <f t="shared" ca="1" si="0"/>
        <v>#REF!</v>
      </c>
      <c r="N32" s="608" t="e">
        <f ca="1">N30</f>
        <v>#REF!</v>
      </c>
      <c r="O32" s="611" t="e">
        <f ca="1">O30</f>
        <v>#REF!</v>
      </c>
      <c r="P32" s="584"/>
      <c r="Q32" s="1450"/>
      <c r="R32" s="1189"/>
      <c r="AJ32" s="464"/>
    </row>
    <row r="33" spans="1:36">
      <c r="A33" s="1682"/>
      <c r="B33" s="579" t="e">
        <f ca="1">IF(DRIVE_Type="Direct",IF(Small_F,"","MF1_R"),"")</f>
        <v>#REF!</v>
      </c>
      <c r="C33" s="580" t="e">
        <f ca="1">MF_Ra</f>
        <v>#REF!</v>
      </c>
      <c r="D33" s="580" t="e">
        <f ca="1">SQRT((N33-K33)^2+(O33-L33)^2)</f>
        <v>#REF!</v>
      </c>
      <c r="E33" s="580" t="e">
        <f ca="1">IF(DRIVE_Type="Direct",IF(Small_F,0,VLOOKUP($C33,Iron_dim,2,FALSE)),0)</f>
        <v>#REF!</v>
      </c>
      <c r="F33" s="580" t="e">
        <f ca="1">IF(DRIVE_Type="Direct",IF(Small_F,0,VLOOKUP($C33,Iron_dim,3,FALSE)),0)</f>
        <v>#REF!</v>
      </c>
      <c r="G33" s="580" t="e">
        <f ca="1">IF(DRIVE_Type="Direct",IF(Small_F,0,VLOOKUP($C33,Iron_dim,4,FALSE)),0)</f>
        <v>#REF!</v>
      </c>
      <c r="H33" s="493"/>
      <c r="I33" s="581" t="s">
        <v>1046</v>
      </c>
      <c r="J33" s="609">
        <f>M25</f>
        <v>0</v>
      </c>
      <c r="K33" s="580" t="e">
        <f ca="1">IF(Small_F,0,G124)</f>
        <v>#REF!</v>
      </c>
      <c r="L33" s="582" t="e">
        <f ca="1">O33+(N33-K33)/TAN(R_angle)</f>
        <v>#REF!</v>
      </c>
      <c r="M33" s="609">
        <f t="shared" si="0"/>
        <v>0</v>
      </c>
      <c r="N33" s="608" t="e">
        <f ca="1">N25</f>
        <v>#REF!</v>
      </c>
      <c r="O33" s="612" t="e">
        <f ca="1">O25</f>
        <v>#REF!</v>
      </c>
      <c r="P33" s="584" t="e">
        <f ca="1">VLOOKUP($C33,Iron_dim,7,FALSE)*D33/1000</f>
        <v>#REF!</v>
      </c>
      <c r="Q33" s="1450" t="e">
        <f ca="1">IF(G33=0,0,P33/steel_density/(G33/1000))</f>
        <v>#REF!</v>
      </c>
      <c r="R33" s="644"/>
      <c r="AJ33" s="464"/>
    </row>
    <row r="34" spans="1:36" s="621" customFormat="1">
      <c r="A34" s="1680"/>
      <c r="B34" s="585" t="e">
        <f ca="1">IF(DRIVE_Type="Direct",IF(Small_F,"","mf1_R"),"")</f>
        <v>#REF!</v>
      </c>
      <c r="C34" s="582"/>
      <c r="D34" s="580"/>
      <c r="E34" s="493"/>
      <c r="F34" s="493"/>
      <c r="G34" s="493"/>
      <c r="H34" s="493"/>
      <c r="I34" s="493"/>
      <c r="J34" s="609">
        <f>J33</f>
        <v>0</v>
      </c>
      <c r="K34" s="608" t="e">
        <f ca="1">K33</f>
        <v>#REF!</v>
      </c>
      <c r="L34" s="582" t="e">
        <f ca="1">L33-F33/SIN(R_angle)</f>
        <v>#REF!</v>
      </c>
      <c r="M34" s="609">
        <f t="shared" si="0"/>
        <v>0</v>
      </c>
      <c r="N34" s="608" t="e">
        <f ca="1">N26</f>
        <v>#REF!</v>
      </c>
      <c r="O34" s="612" t="e">
        <f ca="1">O26</f>
        <v>#REF!</v>
      </c>
      <c r="P34" s="584"/>
      <c r="Q34" s="1450"/>
      <c r="R34" s="644"/>
      <c r="S34" s="603"/>
      <c r="T34" s="603"/>
      <c r="U34" s="603"/>
      <c r="V34" s="603"/>
      <c r="W34" s="603"/>
      <c r="X34" s="603"/>
      <c r="Y34" s="603"/>
      <c r="Z34" s="603"/>
      <c r="AA34" s="603"/>
      <c r="AB34" s="603"/>
      <c r="AC34" s="603"/>
      <c r="AD34" s="603"/>
      <c r="AE34" s="603"/>
      <c r="AF34" s="603"/>
      <c r="AG34" s="603"/>
      <c r="AH34" s="603"/>
      <c r="AI34" s="603"/>
    </row>
    <row r="35" spans="1:36">
      <c r="A35" s="604"/>
      <c r="B35" s="604" t="e">
        <f ca="1">IF(DRIVE_Type="Direct",IF(Small_F,"","MF1_R+"),"")</f>
        <v>#REF!</v>
      </c>
      <c r="C35" s="582"/>
      <c r="D35" s="580"/>
      <c r="E35" s="493"/>
      <c r="F35" s="493"/>
      <c r="G35" s="493"/>
      <c r="H35" s="493"/>
      <c r="I35" s="603"/>
      <c r="J35" s="492" t="e">
        <f ca="1">M33+E33</f>
        <v>#REF!</v>
      </c>
      <c r="K35" s="608" t="e">
        <f ca="1">K33</f>
        <v>#REF!</v>
      </c>
      <c r="L35" s="608" t="e">
        <f ca="1">L33</f>
        <v>#REF!</v>
      </c>
      <c r="M35" s="609" t="e">
        <f t="shared" ca="1" si="0"/>
        <v>#REF!</v>
      </c>
      <c r="N35" s="608" t="e">
        <f ca="1">N33</f>
        <v>#REF!</v>
      </c>
      <c r="O35" s="611" t="e">
        <f ca="1">O33</f>
        <v>#REF!</v>
      </c>
      <c r="P35" s="584"/>
      <c r="Q35" s="1450"/>
      <c r="R35" s="644"/>
      <c r="S35" s="603"/>
      <c r="T35" s="603"/>
      <c r="U35" s="603"/>
      <c r="V35" s="603"/>
      <c r="W35" s="603"/>
      <c r="X35" s="603"/>
      <c r="Y35" s="603"/>
      <c r="Z35" s="603"/>
      <c r="AA35" s="603"/>
      <c r="AB35" s="603"/>
      <c r="AC35" s="603"/>
      <c r="AD35" s="603"/>
      <c r="AE35" s="603"/>
      <c r="AF35" s="603"/>
      <c r="AG35" s="603"/>
      <c r="AH35" s="603"/>
      <c r="AI35" s="603"/>
      <c r="AJ35" s="464"/>
    </row>
    <row r="36" spans="1:36" s="621" customFormat="1">
      <c r="A36" s="604"/>
      <c r="B36" s="604" t="e">
        <f ca="1">IF(DRIVE_Type="Direct",IF(Small_F,"","mf1_R+"),"")</f>
        <v>#REF!</v>
      </c>
      <c r="C36" s="493"/>
      <c r="D36" s="493"/>
      <c r="E36" s="493"/>
      <c r="F36" s="493"/>
      <c r="G36" s="493"/>
      <c r="H36" s="493"/>
      <c r="I36" s="493"/>
      <c r="J36" s="609" t="e">
        <f ca="1">J35</f>
        <v>#REF!</v>
      </c>
      <c r="K36" s="608" t="e">
        <f ca="1">K34</f>
        <v>#REF!</v>
      </c>
      <c r="L36" s="608" t="e">
        <f ca="1">L34</f>
        <v>#REF!</v>
      </c>
      <c r="M36" s="609" t="e">
        <f t="shared" ca="1" si="0"/>
        <v>#REF!</v>
      </c>
      <c r="N36" s="608" t="e">
        <f ca="1">N34</f>
        <v>#REF!</v>
      </c>
      <c r="O36" s="611" t="e">
        <f ca="1">O34</f>
        <v>#REF!</v>
      </c>
      <c r="P36" s="584"/>
      <c r="Q36" s="1450"/>
      <c r="R36" s="644"/>
      <c r="S36" s="603"/>
      <c r="T36" s="603"/>
      <c r="U36" s="603"/>
      <c r="V36" s="603"/>
      <c r="W36" s="603"/>
      <c r="X36" s="603"/>
      <c r="Y36" s="603"/>
      <c r="Z36" s="603"/>
      <c r="AA36" s="603"/>
      <c r="AB36" s="603"/>
      <c r="AC36" s="603"/>
      <c r="AD36" s="603"/>
      <c r="AE36" s="603"/>
      <c r="AF36" s="603"/>
      <c r="AG36" s="603"/>
      <c r="AH36" s="603"/>
      <c r="AI36" s="603"/>
    </row>
    <row r="37" spans="1:36">
      <c r="A37" s="1680"/>
      <c r="B37" s="1540" t="str">
        <f>IF(DRIVE_Type="Direct","MFTr1","")</f>
        <v>MFTr1</v>
      </c>
      <c r="C37" s="493" t="e">
        <f ca="1">MF_Tr</f>
        <v>#REF!</v>
      </c>
      <c r="D37" s="580" t="e">
        <f ca="1">O38-L38</f>
        <v>#REF!</v>
      </c>
      <c r="E37" s="580" t="e">
        <f ca="1">IF(DRIVE_Type="Direct",IF(Small_F,E120,MFTr1_Hefactor*(K26-K38)),0)</f>
        <v>#REF!</v>
      </c>
      <c r="F37" s="580" t="e">
        <f ca="1">IF(Small_F,VLOOKUP($C37,Iron_dim,3,FALSE),F120)</f>
        <v>#REF!</v>
      </c>
      <c r="G37" s="580" t="e">
        <f ca="1">IF(DRIVE_Type="Direct",VLOOKUP($C37,Iron_dim,4,FALSE),0)</f>
        <v>#REF!</v>
      </c>
      <c r="H37" s="580"/>
      <c r="I37" s="581" t="s">
        <v>1047</v>
      </c>
      <c r="J37" s="609">
        <f>J33</f>
        <v>0</v>
      </c>
      <c r="K37" s="580" t="e">
        <f ca="1">IF(Small_F,E37,K38+E37)</f>
        <v>#REF!</v>
      </c>
      <c r="L37" s="600" t="e">
        <f ca="1">L38+E37/TAN(R_angle)</f>
        <v>#REF!</v>
      </c>
      <c r="M37" s="609">
        <f t="shared" si="0"/>
        <v>0</v>
      </c>
      <c r="N37" s="608" t="e">
        <f t="shared" ca="1" si="0"/>
        <v>#REF!</v>
      </c>
      <c r="O37" s="2175" t="e">
        <f ca="1">-L37</f>
        <v>#REF!</v>
      </c>
      <c r="P37" s="584" t="e">
        <f ca="1">(E37/1000+F37/1000)*G37/1000*D37/1000*steel_density</f>
        <v>#REF!</v>
      </c>
      <c r="Q37" s="1450" t="e">
        <f ca="1">IF(G37=0,0,P37/steel_density/(G37/1000))</f>
        <v>#REF!</v>
      </c>
      <c r="R37" s="644"/>
      <c r="S37" s="603"/>
      <c r="T37" s="580"/>
      <c r="U37" s="580"/>
      <c r="V37" s="580"/>
      <c r="W37" s="603"/>
      <c r="X37" s="603"/>
      <c r="Y37" s="603"/>
      <c r="Z37" s="603"/>
      <c r="AA37" s="603"/>
      <c r="AB37" s="603"/>
      <c r="AC37" s="603"/>
      <c r="AD37" s="603"/>
      <c r="AE37" s="603"/>
      <c r="AF37" s="603"/>
      <c r="AG37" s="603"/>
      <c r="AH37" s="603"/>
      <c r="AI37" s="603"/>
      <c r="AJ37" s="464"/>
    </row>
    <row r="38" spans="1:36">
      <c r="A38" s="1681"/>
      <c r="B38" s="585" t="str">
        <f>IF(DRIVE_Type="Direct","mftr1","")</f>
        <v>mftr1</v>
      </c>
      <c r="C38" s="493"/>
      <c r="D38" s="580"/>
      <c r="E38" s="580"/>
      <c r="F38" s="580"/>
      <c r="G38" s="580"/>
      <c r="H38" s="580"/>
      <c r="I38" s="603"/>
      <c r="J38" s="609">
        <f>J37</f>
        <v>0</v>
      </c>
      <c r="K38" s="580" t="e">
        <f ca="1">IF(Small_F,0,K120+G120)</f>
        <v>#REF!</v>
      </c>
      <c r="L38" s="600" t="e">
        <f ca="1">IF(Small_F,L104,L30)+G120/SIN(R_angle)</f>
        <v>#REF!</v>
      </c>
      <c r="M38" s="609">
        <f t="shared" si="0"/>
        <v>0</v>
      </c>
      <c r="N38" s="608" t="e">
        <f t="shared" ca="1" si="0"/>
        <v>#REF!</v>
      </c>
      <c r="O38" s="2175" t="e">
        <f ca="1">-L38</f>
        <v>#REF!</v>
      </c>
      <c r="P38" s="602"/>
      <c r="Q38" s="1454"/>
      <c r="R38" s="644"/>
      <c r="S38" s="603"/>
      <c r="T38" s="580"/>
      <c r="U38" s="580"/>
      <c r="V38" s="580"/>
      <c r="W38" s="603"/>
      <c r="X38" s="603"/>
      <c r="Y38" s="603"/>
      <c r="Z38" s="603"/>
      <c r="AA38" s="603"/>
      <c r="AB38" s="603"/>
      <c r="AC38" s="603"/>
      <c r="AD38" s="603"/>
      <c r="AE38" s="603"/>
      <c r="AF38" s="603"/>
      <c r="AG38" s="603"/>
      <c r="AH38" s="603"/>
      <c r="AI38" s="603"/>
      <c r="AJ38" s="464"/>
    </row>
    <row r="39" spans="1:36" s="621" customFormat="1">
      <c r="A39" s="604"/>
      <c r="B39" s="604" t="str">
        <f>IF(DRIVE_Type="Direct","MFTr1-","")</f>
        <v>MFTr1-</v>
      </c>
      <c r="C39" s="493"/>
      <c r="D39" s="580"/>
      <c r="E39" s="580"/>
      <c r="F39" s="580"/>
      <c r="G39" s="580"/>
      <c r="H39" s="580"/>
      <c r="I39" s="603"/>
      <c r="J39" s="1946" t="e">
        <f ca="1">J37+F37</f>
        <v>#REF!</v>
      </c>
      <c r="K39" s="1918" t="e">
        <f ca="1">K38</f>
        <v>#REF!</v>
      </c>
      <c r="L39" s="1918" t="e">
        <f ca="1">L38</f>
        <v>#REF!</v>
      </c>
      <c r="M39" s="1917" t="e">
        <f ca="1">J39</f>
        <v>#REF!</v>
      </c>
      <c r="N39" s="1918" t="e">
        <f ca="1">K39</f>
        <v>#REF!</v>
      </c>
      <c r="O39" s="1919" t="e">
        <f ca="1">O38</f>
        <v>#REF!</v>
      </c>
      <c r="P39" s="584"/>
      <c r="Q39" s="1450"/>
      <c r="R39" s="644"/>
      <c r="S39" s="603"/>
      <c r="T39" s="603"/>
      <c r="U39" s="603"/>
      <c r="V39" s="603"/>
      <c r="W39" s="603"/>
      <c r="X39" s="603"/>
      <c r="Y39" s="603"/>
      <c r="Z39" s="603"/>
      <c r="AA39" s="603"/>
      <c r="AB39" s="580"/>
      <c r="AC39" s="603"/>
      <c r="AD39" s="603"/>
      <c r="AE39" s="603"/>
      <c r="AF39" s="603"/>
      <c r="AG39" s="603"/>
      <c r="AH39" s="603"/>
      <c r="AI39" s="603"/>
    </row>
    <row r="40" spans="1:36" s="621" customFormat="1">
      <c r="A40" s="604"/>
      <c r="B40" s="633" t="str">
        <f>IF(DRIVE_Type="Direct","mftr1-","")</f>
        <v>mftr1-</v>
      </c>
      <c r="C40" s="479"/>
      <c r="D40" s="479"/>
      <c r="E40" s="479"/>
      <c r="F40" s="479"/>
      <c r="G40" s="479"/>
      <c r="H40" s="479"/>
      <c r="I40" s="479"/>
      <c r="J40" s="618" t="e">
        <f ca="1">J39</f>
        <v>#REF!</v>
      </c>
      <c r="K40" s="616" t="e">
        <f ca="1">K39</f>
        <v>#REF!</v>
      </c>
      <c r="L40" s="616" t="e">
        <f ca="1">L39</f>
        <v>#REF!</v>
      </c>
      <c r="M40" s="618" t="e">
        <f ca="1">M39</f>
        <v>#REF!</v>
      </c>
      <c r="N40" s="616" t="e">
        <f ca="1">N39</f>
        <v>#REF!</v>
      </c>
      <c r="O40" s="634" t="e">
        <f ca="1">O39</f>
        <v>#REF!</v>
      </c>
      <c r="P40" s="605"/>
      <c r="Q40" s="1455"/>
      <c r="R40" s="644"/>
      <c r="S40" s="603"/>
      <c r="T40" s="603"/>
      <c r="U40" s="603"/>
      <c r="V40" s="603"/>
      <c r="W40" s="603"/>
      <c r="X40" s="603"/>
      <c r="Y40" s="603"/>
      <c r="Z40" s="603"/>
      <c r="AA40" s="603"/>
      <c r="AB40" s="580"/>
      <c r="AC40" s="603"/>
      <c r="AD40" s="603"/>
      <c r="AE40" s="603"/>
      <c r="AF40" s="603"/>
      <c r="AG40" s="603"/>
      <c r="AH40" s="603"/>
      <c r="AI40" s="603"/>
    </row>
    <row r="41" spans="1:36">
      <c r="A41" s="1938" t="s">
        <v>3375</v>
      </c>
      <c r="B41" s="1902" t="e">
        <f ca="1">IF(DRIVE_Type="Direct",IF(Small_F,"","MF2_T"),"")</f>
        <v>#REF!</v>
      </c>
      <c r="C41" s="484" t="e">
        <f ca="1">MF_Ra</f>
        <v>#REF!</v>
      </c>
      <c r="D41" s="587" t="e">
        <f ca="1">SQRT((N41-K41)^2+(O41-L41)^2)</f>
        <v>#REF!</v>
      </c>
      <c r="E41" s="587" t="e">
        <f ca="1">IF(DRIVE_Type="Direct",IF(Small_F,0,VLOOKUP($C41,Iron_dim,2,FALSE)),0)</f>
        <v>#REF!</v>
      </c>
      <c r="F41" s="587" t="e">
        <f ca="1">IF(DRIVE_Type="Direct",IF(Small_F,0,VLOOKUP($C41,Iron_dim,3,FALSE)),0)</f>
        <v>#REF!</v>
      </c>
      <c r="G41" s="587" t="e">
        <f ca="1">IF(DRIVE_Type="Direct",IF(Small_F,0,VLOOKUP($C41,Iron_dim,4,FALSE)),0)</f>
        <v>#REF!</v>
      </c>
      <c r="H41" s="580"/>
      <c r="I41" s="581" t="s">
        <v>1045</v>
      </c>
      <c r="J41" s="599" t="e">
        <f ca="1">IF(DRIVE_Type="Direct",IF(Small_F,0,IF(J25+E25/2+MB-E41/2-J27&lt;40,J25+E25/2+MB-(VLOOKUP(MF_Ra,Iron_dim,4,FALSE)+VLOOKUP(MF_Ra,Iron_dim,6,FALSE)+HoleD_mult*MK),J25+E25/2+MB-E41/2)),0)</f>
        <v>#REF!</v>
      </c>
      <c r="K41" s="608" t="e">
        <f ca="1">K25</f>
        <v>#REF!</v>
      </c>
      <c r="L41" s="610" t="e">
        <f ca="1">L25</f>
        <v>#REF!</v>
      </c>
      <c r="M41" s="609" t="e">
        <f t="shared" ca="1" si="0"/>
        <v>#REF!</v>
      </c>
      <c r="N41" s="608" t="e">
        <f ca="1">K41</f>
        <v>#REF!</v>
      </c>
      <c r="O41" s="611" t="e">
        <f ca="1">O25</f>
        <v>#REF!</v>
      </c>
      <c r="P41" s="584" t="e">
        <f ca="1">VLOOKUP($C41,Iron_dim,7,FALSE)*D41/1000</f>
        <v>#REF!</v>
      </c>
      <c r="Q41" s="1450" t="e">
        <f ca="1">IF(G41=0,0,P41/steel_density/(G41/1000))</f>
        <v>#REF!</v>
      </c>
      <c r="R41" s="644"/>
      <c r="S41" s="603"/>
      <c r="T41" s="603"/>
      <c r="U41" s="639"/>
      <c r="V41" s="603"/>
      <c r="W41" s="603"/>
      <c r="X41" s="603"/>
      <c r="Y41" s="603"/>
      <c r="Z41" s="637"/>
      <c r="AA41" s="637"/>
      <c r="AB41" s="637"/>
      <c r="AC41" s="637"/>
      <c r="AD41" s="637"/>
      <c r="AE41" s="637"/>
      <c r="AF41" s="580"/>
      <c r="AG41" s="580"/>
      <c r="AH41" s="580"/>
      <c r="AI41" s="580"/>
      <c r="AJ41" s="464"/>
    </row>
    <row r="42" spans="1:36">
      <c r="B42" s="585" t="e">
        <f ca="1">IF(DRIVE_Type="Direct",IF(Small_F,"","mf2_T"),"")</f>
        <v>#REF!</v>
      </c>
      <c r="C42" s="582"/>
      <c r="D42" s="580"/>
      <c r="E42" s="493"/>
      <c r="F42" s="493"/>
      <c r="G42" s="493"/>
      <c r="H42" s="580"/>
      <c r="I42" s="580"/>
      <c r="J42" s="609" t="e">
        <f ca="1">J41</f>
        <v>#REF!</v>
      </c>
      <c r="K42" s="608" t="e">
        <f ca="1">K26</f>
        <v>#REF!</v>
      </c>
      <c r="L42" s="610" t="e">
        <f ca="1">L26</f>
        <v>#REF!</v>
      </c>
      <c r="M42" s="609" t="e">
        <f t="shared" ca="1" si="0"/>
        <v>#REF!</v>
      </c>
      <c r="N42" s="608" t="e">
        <f ca="1">K42</f>
        <v>#REF!</v>
      </c>
      <c r="O42" s="611" t="e">
        <f ca="1">O26</f>
        <v>#REF!</v>
      </c>
      <c r="P42" s="602"/>
      <c r="Q42" s="1454"/>
      <c r="R42" s="640"/>
      <c r="S42" s="580"/>
      <c r="T42" s="580"/>
      <c r="U42" s="636"/>
      <c r="V42" s="636"/>
      <c r="W42" s="636"/>
      <c r="X42" s="636"/>
      <c r="Y42" s="636"/>
      <c r="Z42" s="637"/>
      <c r="AA42" s="637"/>
      <c r="AB42" s="637"/>
      <c r="AC42" s="637"/>
      <c r="AD42" s="637"/>
      <c r="AE42" s="637"/>
      <c r="AF42" s="580"/>
      <c r="AG42" s="580"/>
      <c r="AH42" s="580"/>
      <c r="AI42" s="580"/>
      <c r="AJ42" s="464"/>
    </row>
    <row r="43" spans="1:36">
      <c r="A43" s="622"/>
      <c r="B43" s="604" t="e">
        <f ca="1">IF(DRIVE_Type="Direct",IF(Small_F,"","MF2_T+"),"")</f>
        <v>#REF!</v>
      </c>
      <c r="C43" s="580"/>
      <c r="D43" s="580"/>
      <c r="E43" s="493"/>
      <c r="F43" s="493"/>
      <c r="G43" s="493"/>
      <c r="H43" s="580"/>
      <c r="I43" s="580"/>
      <c r="J43" s="492" t="e">
        <f ca="1">J41+E41</f>
        <v>#REF!</v>
      </c>
      <c r="K43" s="608" t="e">
        <f ca="1">K41</f>
        <v>#REF!</v>
      </c>
      <c r="L43" s="608" t="e">
        <f ca="1">L41</f>
        <v>#REF!</v>
      </c>
      <c r="M43" s="609" t="e">
        <f t="shared" ca="1" si="0"/>
        <v>#REF!</v>
      </c>
      <c r="N43" s="608" t="e">
        <f ca="1">N41</f>
        <v>#REF!</v>
      </c>
      <c r="O43" s="608" t="e">
        <f ca="1">O41</f>
        <v>#REF!</v>
      </c>
      <c r="P43" s="584"/>
      <c r="Q43" s="1450"/>
      <c r="R43" s="1189"/>
      <c r="S43" s="603"/>
      <c r="T43" s="603"/>
      <c r="U43" s="603"/>
      <c r="V43" s="603"/>
      <c r="W43" s="603"/>
      <c r="X43" s="603"/>
      <c r="Y43" s="603"/>
      <c r="Z43" s="603"/>
      <c r="AA43" s="603"/>
      <c r="AB43" s="603"/>
      <c r="AC43" s="603"/>
      <c r="AD43" s="603"/>
      <c r="AE43" s="603"/>
      <c r="AF43" s="603"/>
      <c r="AG43" s="603"/>
      <c r="AH43" s="603"/>
      <c r="AI43" s="580"/>
      <c r="AJ43" s="464"/>
    </row>
    <row r="44" spans="1:36">
      <c r="A44" s="628"/>
      <c r="B44" s="604" t="e">
        <f ca="1">IF(DRIVE_Type="Direct",IF(Small_F,"","mf2_T+"),"")</f>
        <v>#REF!</v>
      </c>
      <c r="C44" s="580"/>
      <c r="D44" s="580"/>
      <c r="E44" s="493"/>
      <c r="F44" s="493"/>
      <c r="G44" s="493"/>
      <c r="H44" s="580"/>
      <c r="I44" s="580"/>
      <c r="J44" s="609" t="e">
        <f ca="1">J43</f>
        <v>#REF!</v>
      </c>
      <c r="K44" s="608" t="e">
        <f ca="1">K42</f>
        <v>#REF!</v>
      </c>
      <c r="L44" s="608" t="e">
        <f ca="1">L42</f>
        <v>#REF!</v>
      </c>
      <c r="M44" s="609" t="e">
        <f t="shared" ca="1" si="0"/>
        <v>#REF!</v>
      </c>
      <c r="N44" s="608" t="e">
        <f ca="1">N42</f>
        <v>#REF!</v>
      </c>
      <c r="O44" s="608" t="e">
        <f ca="1">O42</f>
        <v>#REF!</v>
      </c>
      <c r="P44" s="602"/>
      <c r="Q44" s="1454"/>
      <c r="R44" s="1502"/>
      <c r="S44" s="603"/>
      <c r="T44" s="603"/>
      <c r="U44" s="603"/>
      <c r="V44" s="603"/>
      <c r="W44" s="603"/>
      <c r="X44" s="603"/>
      <c r="Y44" s="603"/>
      <c r="Z44" s="603"/>
      <c r="AA44" s="603"/>
      <c r="AB44" s="603"/>
      <c r="AC44" s="603"/>
      <c r="AD44" s="603"/>
      <c r="AE44" s="603"/>
      <c r="AF44" s="603"/>
      <c r="AG44" s="603"/>
      <c r="AH44" s="603"/>
      <c r="AI44" s="580"/>
      <c r="AJ44" s="464"/>
    </row>
    <row r="45" spans="1:36">
      <c r="A45" s="1682"/>
      <c r="B45" s="579" t="e">
        <f ca="1">IF(DRIVE_Type="Direct",IF(Small_F,"","MF2_L"),"")</f>
        <v>#REF!</v>
      </c>
      <c r="C45" s="580" t="e">
        <f ca="1">MF_Ra</f>
        <v>#REF!</v>
      </c>
      <c r="D45" s="580" t="e">
        <f ca="1">SQRT((N45-K45)^2+(O45-L45)^2)</f>
        <v>#REF!</v>
      </c>
      <c r="E45" s="580" t="e">
        <f ca="1">IF(DRIVE_Type="Direct",IF(Small_F,0,VLOOKUP($C45,Iron_dim,2,FALSE)),0)</f>
        <v>#REF!</v>
      </c>
      <c r="F45" s="580" t="e">
        <f ca="1">IF(DRIVE_Type="Direct",IF(Small_F,0,VLOOKUP($C45,Iron_dim,3,FALSE)),0)</f>
        <v>#REF!</v>
      </c>
      <c r="G45" s="580" t="e">
        <f ca="1">IF(DRIVE_Type="Direct",IF(Small_F,0,VLOOKUP($C45,Iron_dim,4,FALSE)),0)</f>
        <v>#REF!</v>
      </c>
      <c r="H45" s="580"/>
      <c r="I45" s="581" t="s">
        <v>1045</v>
      </c>
      <c r="J45" s="609" t="e">
        <f ca="1">J41</f>
        <v>#REF!</v>
      </c>
      <c r="K45" s="608" t="e">
        <f ca="1">K29</f>
        <v>#REF!</v>
      </c>
      <c r="L45" s="610" t="e">
        <f ca="1">L29</f>
        <v>#REF!</v>
      </c>
      <c r="M45" s="609" t="e">
        <f t="shared" ca="1" si="0"/>
        <v>#REF!</v>
      </c>
      <c r="N45" s="608" t="e">
        <f ca="1">K41</f>
        <v>#REF!</v>
      </c>
      <c r="O45" s="612" t="e">
        <f ca="1">L41</f>
        <v>#REF!</v>
      </c>
      <c r="P45" s="584" t="e">
        <f ca="1">VLOOKUP($C45,Iron_dim,7,FALSE)*D45/1000</f>
        <v>#REF!</v>
      </c>
      <c r="Q45" s="1450" t="e">
        <f ca="1">IF(G45=0,0,P45/steel_density/(G45/1000))</f>
        <v>#REF!</v>
      </c>
      <c r="R45" s="1503"/>
      <c r="S45" s="603"/>
      <c r="T45" s="603"/>
      <c r="U45" s="603"/>
      <c r="V45" s="603"/>
      <c r="W45" s="603"/>
      <c r="X45" s="603"/>
      <c r="Y45" s="603"/>
      <c r="Z45" s="603"/>
      <c r="AA45" s="603"/>
      <c r="AB45" s="603"/>
      <c r="AC45" s="603"/>
      <c r="AD45" s="603"/>
      <c r="AE45" s="603"/>
      <c r="AF45" s="603"/>
      <c r="AG45" s="603"/>
      <c r="AH45" s="603"/>
      <c r="AI45" s="580"/>
      <c r="AJ45" s="464"/>
    </row>
    <row r="46" spans="1:36">
      <c r="A46" s="1680"/>
      <c r="B46" s="585" t="e">
        <f ca="1">IF(DRIVE_Type="Direct",IF(Small_F,"","mf2_L"),"")</f>
        <v>#REF!</v>
      </c>
      <c r="C46" s="582"/>
      <c r="D46" s="580"/>
      <c r="E46" s="493"/>
      <c r="F46" s="493"/>
      <c r="G46" s="493"/>
      <c r="H46" s="493"/>
      <c r="I46" s="493"/>
      <c r="J46" s="609" t="e">
        <f ca="1">J45</f>
        <v>#REF!</v>
      </c>
      <c r="K46" s="608" t="e">
        <f ca="1">K30</f>
        <v>#REF!</v>
      </c>
      <c r="L46" s="610" t="e">
        <f ca="1">L30</f>
        <v>#REF!</v>
      </c>
      <c r="M46" s="609" t="e">
        <f t="shared" ca="1" si="0"/>
        <v>#REF!</v>
      </c>
      <c r="N46" s="608" t="e">
        <f ca="1">K42</f>
        <v>#REF!</v>
      </c>
      <c r="O46" s="612" t="e">
        <f ca="1">L42</f>
        <v>#REF!</v>
      </c>
      <c r="P46" s="602"/>
      <c r="Q46" s="1454"/>
      <c r="R46" s="644"/>
      <c r="S46" s="603"/>
      <c r="T46" s="603"/>
      <c r="U46" s="603"/>
      <c r="V46" s="603"/>
      <c r="W46" s="603"/>
      <c r="X46" s="603"/>
      <c r="Y46" s="603"/>
      <c r="Z46" s="603"/>
      <c r="AA46" s="603"/>
      <c r="AB46" s="603"/>
      <c r="AC46" s="603"/>
      <c r="AD46" s="603"/>
      <c r="AE46" s="603"/>
      <c r="AF46" s="603"/>
      <c r="AG46" s="603"/>
      <c r="AH46" s="603"/>
      <c r="AI46" s="603"/>
      <c r="AJ46" s="464"/>
    </row>
    <row r="47" spans="1:36">
      <c r="A47" s="604"/>
      <c r="B47" s="604" t="e">
        <f ca="1">IF(DRIVE_Type="Direct",IF(Small_F,"","MF2_L+"),"")</f>
        <v>#REF!</v>
      </c>
      <c r="C47" s="582"/>
      <c r="D47" s="580"/>
      <c r="E47" s="493"/>
      <c r="F47" s="493"/>
      <c r="G47" s="493"/>
      <c r="H47" s="493"/>
      <c r="I47" s="493"/>
      <c r="J47" s="492" t="e">
        <f ca="1">J45+E45</f>
        <v>#REF!</v>
      </c>
      <c r="K47" s="608" t="e">
        <f ca="1">K45</f>
        <v>#REF!</v>
      </c>
      <c r="L47" s="608" t="e">
        <f ca="1">L45</f>
        <v>#REF!</v>
      </c>
      <c r="M47" s="609" t="e">
        <f t="shared" ca="1" si="0"/>
        <v>#REF!</v>
      </c>
      <c r="N47" s="608" t="e">
        <f ca="1">N45</f>
        <v>#REF!</v>
      </c>
      <c r="O47" s="611" t="e">
        <f ca="1">O45</f>
        <v>#REF!</v>
      </c>
      <c r="P47" s="584"/>
      <c r="Q47" s="1450"/>
      <c r="R47" s="644"/>
      <c r="S47" s="603"/>
      <c r="T47" s="603"/>
      <c r="U47" s="603"/>
      <c r="V47" s="603"/>
      <c r="W47" s="603"/>
      <c r="X47" s="603"/>
      <c r="Y47" s="603"/>
      <c r="Z47" s="603"/>
      <c r="AA47" s="603"/>
      <c r="AB47" s="603"/>
      <c r="AC47" s="603"/>
      <c r="AD47" s="603"/>
      <c r="AE47" s="603"/>
      <c r="AF47" s="603"/>
      <c r="AG47" s="603"/>
      <c r="AH47" s="603"/>
      <c r="AI47" s="603"/>
      <c r="AJ47" s="464"/>
    </row>
    <row r="48" spans="1:36">
      <c r="A48" s="622"/>
      <c r="B48" s="604" t="e">
        <f ca="1">IF(DRIVE_Type="Direct",IF(Small_F,"","mf2_L+"),"")</f>
        <v>#REF!</v>
      </c>
      <c r="C48" s="582"/>
      <c r="D48" s="493"/>
      <c r="E48" s="493"/>
      <c r="F48" s="493"/>
      <c r="G48" s="493"/>
      <c r="H48" s="493"/>
      <c r="I48" s="493"/>
      <c r="J48" s="609" t="e">
        <f ca="1">J47</f>
        <v>#REF!</v>
      </c>
      <c r="K48" s="608" t="e">
        <f ca="1">K46</f>
        <v>#REF!</v>
      </c>
      <c r="L48" s="608" t="e">
        <f ca="1">L46</f>
        <v>#REF!</v>
      </c>
      <c r="M48" s="609" t="e">
        <f t="shared" ca="1" si="0"/>
        <v>#REF!</v>
      </c>
      <c r="N48" s="608" t="e">
        <f ca="1">N46</f>
        <v>#REF!</v>
      </c>
      <c r="O48" s="611" t="e">
        <f ca="1">O46</f>
        <v>#REF!</v>
      </c>
      <c r="P48" s="584"/>
      <c r="Q48" s="1450"/>
      <c r="R48" s="1189"/>
      <c r="S48" s="603"/>
      <c r="T48" s="603"/>
      <c r="U48" s="603"/>
      <c r="V48" s="603"/>
      <c r="W48" s="603"/>
      <c r="X48" s="603"/>
      <c r="Y48" s="603"/>
      <c r="Z48" s="603"/>
      <c r="AA48" s="603"/>
      <c r="AB48" s="603"/>
      <c r="AC48" s="603"/>
      <c r="AD48" s="603"/>
      <c r="AE48" s="603"/>
      <c r="AF48" s="603"/>
      <c r="AG48" s="603"/>
      <c r="AH48" s="603"/>
      <c r="AI48" s="603"/>
      <c r="AJ48" s="464"/>
    </row>
    <row r="49" spans="1:36">
      <c r="A49" s="1682"/>
      <c r="B49" s="579" t="e">
        <f ca="1">IF(DRIVE_Type="Direct",IF(Small_F,"","MF2_R"),"")</f>
        <v>#REF!</v>
      </c>
      <c r="C49" s="580" t="e">
        <f ca="1">MF_Ra</f>
        <v>#REF!</v>
      </c>
      <c r="D49" s="580" t="e">
        <f ca="1">SQRT((N49-K49)^2+(O49-L49)^2)</f>
        <v>#REF!</v>
      </c>
      <c r="E49" s="580" t="e">
        <f ca="1">IF(DRIVE_Type="Direct",IF(Small_F,0,VLOOKUP($C49,Iron_dim,2,FALSE)),0)</f>
        <v>#REF!</v>
      </c>
      <c r="F49" s="580" t="e">
        <f ca="1">IF(DRIVE_Type="Direct",IF(Small_F,0,VLOOKUP($C49,Iron_dim,3,FALSE)),0)</f>
        <v>#REF!</v>
      </c>
      <c r="G49" s="580" t="e">
        <f ca="1">IF(DRIVE_Type="Direct",IF(Small_F,0,VLOOKUP($C49,Iron_dim,4,FALSE)),0)</f>
        <v>#REF!</v>
      </c>
      <c r="H49" s="580"/>
      <c r="I49" s="581" t="s">
        <v>1046</v>
      </c>
      <c r="J49" s="609" t="e">
        <f ca="1">M41</f>
        <v>#REF!</v>
      </c>
      <c r="K49" s="608" t="e">
        <f ca="1">K33</f>
        <v>#REF!</v>
      </c>
      <c r="L49" s="610" t="e">
        <f ca="1">L33</f>
        <v>#REF!</v>
      </c>
      <c r="M49" s="609" t="e">
        <f t="shared" ca="1" si="0"/>
        <v>#REF!</v>
      </c>
      <c r="N49" s="608" t="e">
        <f ca="1">N41</f>
        <v>#REF!</v>
      </c>
      <c r="O49" s="612" t="e">
        <f ca="1">O41</f>
        <v>#REF!</v>
      </c>
      <c r="P49" s="584" t="e">
        <f ca="1">VLOOKUP($C49,Iron_dim,7,FALSE)*D49/1000</f>
        <v>#REF!</v>
      </c>
      <c r="Q49" s="1450" t="e">
        <f ca="1">IF(G49=0,0,P49/steel_density/(G49/1000))</f>
        <v>#REF!</v>
      </c>
      <c r="R49" s="1189"/>
      <c r="S49" s="603"/>
      <c r="T49" s="603"/>
      <c r="U49" s="603"/>
      <c r="V49" s="603"/>
      <c r="W49" s="603"/>
      <c r="X49" s="603"/>
      <c r="Y49" s="603"/>
      <c r="Z49" s="603"/>
      <c r="AA49" s="603"/>
      <c r="AB49" s="603"/>
      <c r="AC49" s="603"/>
      <c r="AD49" s="603"/>
      <c r="AE49" s="603"/>
      <c r="AF49" s="603"/>
      <c r="AG49" s="603"/>
      <c r="AH49" s="603"/>
      <c r="AI49" s="603"/>
      <c r="AJ49" s="464"/>
    </row>
    <row r="50" spans="1:36">
      <c r="A50" s="1680"/>
      <c r="B50" s="585" t="e">
        <f ca="1">IF(DRIVE_Type="Direct",IF(Small_F,"","mf2_R"),"")</f>
        <v>#REF!</v>
      </c>
      <c r="C50" s="582"/>
      <c r="D50" s="493"/>
      <c r="E50" s="493"/>
      <c r="F50" s="493"/>
      <c r="G50" s="493"/>
      <c r="H50" s="493"/>
      <c r="I50" s="493"/>
      <c r="J50" s="609" t="e">
        <f ca="1">J49</f>
        <v>#REF!</v>
      </c>
      <c r="K50" s="608" t="e">
        <f ca="1">K34</f>
        <v>#REF!</v>
      </c>
      <c r="L50" s="610" t="e">
        <f ca="1">L34</f>
        <v>#REF!</v>
      </c>
      <c r="M50" s="609" t="e">
        <f t="shared" ca="1" si="0"/>
        <v>#REF!</v>
      </c>
      <c r="N50" s="608" t="e">
        <f ca="1">N42</f>
        <v>#REF!</v>
      </c>
      <c r="O50" s="612" t="e">
        <f ca="1">O42</f>
        <v>#REF!</v>
      </c>
      <c r="P50" s="602"/>
      <c r="Q50" s="1454"/>
      <c r="R50" s="1189"/>
      <c r="S50" s="603"/>
      <c r="T50" s="603"/>
      <c r="U50" s="603"/>
      <c r="V50" s="603"/>
      <c r="W50" s="603"/>
      <c r="X50" s="603"/>
      <c r="Y50" s="603"/>
      <c r="Z50" s="603"/>
      <c r="AA50" s="603"/>
      <c r="AB50" s="603"/>
      <c r="AC50" s="603"/>
      <c r="AD50" s="603"/>
      <c r="AE50" s="603"/>
      <c r="AF50" s="603"/>
      <c r="AG50" s="603"/>
      <c r="AH50" s="603"/>
      <c r="AI50" s="603"/>
      <c r="AJ50" s="464"/>
    </row>
    <row r="51" spans="1:36">
      <c r="A51" s="604"/>
      <c r="B51" s="604" t="e">
        <f ca="1">IF(DRIVE_Type="Direct",IF(Small_F,"","MF2_R+"),"")</f>
        <v>#REF!</v>
      </c>
      <c r="C51" s="582"/>
      <c r="D51" s="493"/>
      <c r="E51" s="493"/>
      <c r="F51" s="493"/>
      <c r="G51" s="493"/>
      <c r="H51" s="493"/>
      <c r="I51" s="493"/>
      <c r="J51" s="492" t="e">
        <f ca="1">J49+E49</f>
        <v>#REF!</v>
      </c>
      <c r="K51" s="608" t="e">
        <f ca="1">K49</f>
        <v>#REF!</v>
      </c>
      <c r="L51" s="608" t="e">
        <f ca="1">L49</f>
        <v>#REF!</v>
      </c>
      <c r="M51" s="609" t="e">
        <f t="shared" ca="1" si="0"/>
        <v>#REF!</v>
      </c>
      <c r="N51" s="608" t="e">
        <f ca="1">N49</f>
        <v>#REF!</v>
      </c>
      <c r="O51" s="611" t="e">
        <f ca="1">O49</f>
        <v>#REF!</v>
      </c>
      <c r="P51" s="584"/>
      <c r="Q51" s="1450"/>
      <c r="R51" s="644"/>
      <c r="S51" s="603"/>
      <c r="T51" s="603"/>
      <c r="U51" s="603"/>
      <c r="V51" s="603"/>
      <c r="W51" s="603"/>
      <c r="X51" s="603"/>
      <c r="Y51" s="603"/>
      <c r="Z51" s="603"/>
      <c r="AA51" s="603"/>
      <c r="AB51" s="603"/>
      <c r="AC51" s="603"/>
      <c r="AD51" s="603"/>
      <c r="AE51" s="603"/>
      <c r="AF51" s="603"/>
      <c r="AG51" s="603"/>
      <c r="AH51" s="603"/>
      <c r="AI51" s="603"/>
      <c r="AJ51" s="464"/>
    </row>
    <row r="52" spans="1:36">
      <c r="A52" s="604"/>
      <c r="B52" s="604" t="e">
        <f ca="1">IF(DRIVE_Type="Direct",IF(Small_F,"","mf2_R+"),"")</f>
        <v>#REF!</v>
      </c>
      <c r="C52" s="493"/>
      <c r="D52" s="493"/>
      <c r="E52" s="493"/>
      <c r="F52" s="493"/>
      <c r="G52" s="493"/>
      <c r="H52" s="493"/>
      <c r="I52" s="493"/>
      <c r="J52" s="609" t="e">
        <f ca="1">J51</f>
        <v>#REF!</v>
      </c>
      <c r="K52" s="608" t="e">
        <f ca="1">K50</f>
        <v>#REF!</v>
      </c>
      <c r="L52" s="608" t="e">
        <f ca="1">L50</f>
        <v>#REF!</v>
      </c>
      <c r="M52" s="609" t="e">
        <f t="shared" ca="1" si="0"/>
        <v>#REF!</v>
      </c>
      <c r="N52" s="608" t="e">
        <f ca="1">N50</f>
        <v>#REF!</v>
      </c>
      <c r="O52" s="611" t="e">
        <f ca="1">O50</f>
        <v>#REF!</v>
      </c>
      <c r="P52" s="584"/>
      <c r="Q52" s="1450"/>
      <c r="R52" s="644"/>
      <c r="S52" s="603"/>
      <c r="T52" s="603"/>
      <c r="U52" s="580"/>
      <c r="V52" s="603"/>
      <c r="W52" s="603"/>
      <c r="X52" s="603"/>
      <c r="Y52" s="603"/>
      <c r="Z52" s="603"/>
      <c r="AA52" s="603"/>
      <c r="AB52" s="603"/>
      <c r="AC52" s="603"/>
      <c r="AD52" s="603"/>
      <c r="AE52" s="603"/>
      <c r="AF52" s="603"/>
      <c r="AG52" s="603"/>
      <c r="AH52" s="603"/>
      <c r="AI52" s="603"/>
      <c r="AJ52" s="464"/>
    </row>
    <row r="53" spans="1:36">
      <c r="A53" s="1680"/>
      <c r="B53" s="1540" t="e">
        <f ca="1">IF(DRIVE_Type="Direct",IF(Small_F,"","MFTr2"),"")</f>
        <v>#REF!</v>
      </c>
      <c r="C53" s="493" t="e">
        <f ca="1">MF_Tr</f>
        <v>#REF!</v>
      </c>
      <c r="D53" s="580" t="e">
        <f ca="1">IF(Small_F,0,O54-L54)</f>
        <v>#REF!</v>
      </c>
      <c r="E53" s="580" t="e">
        <f ca="1">IF(DRIVE_Type="Direct",IF(Small_F,0,MFTr2_Hefactor*(K42-K54)),0)</f>
        <v>#REF!</v>
      </c>
      <c r="F53" s="580" t="e">
        <f ca="1">IF(Small_F,0,F120)</f>
        <v>#REF!</v>
      </c>
      <c r="G53" s="580" t="e">
        <f ca="1">IF(DRIVE_Type="Direct",IF(Small_F,0,VLOOKUP($C53,Iron_dim,4,FALSE)),0)</f>
        <v>#REF!</v>
      </c>
      <c r="H53" s="580"/>
      <c r="I53" s="603" t="s">
        <v>1049</v>
      </c>
      <c r="J53" s="609" t="e">
        <f ca="1">J51</f>
        <v>#REF!</v>
      </c>
      <c r="K53" s="580" t="e">
        <f ca="1">IF(Small_F,0,K54+E53)</f>
        <v>#REF!</v>
      </c>
      <c r="L53" s="600" t="e">
        <f ca="1">IF(Small_F,0,L54+E53/TAN(R_angle))</f>
        <v>#REF!</v>
      </c>
      <c r="M53" s="609" t="e">
        <f t="shared" ca="1" si="0"/>
        <v>#REF!</v>
      </c>
      <c r="N53" s="580" t="e">
        <f ca="1">IF(Small_F,0,K53)</f>
        <v>#REF!</v>
      </c>
      <c r="O53" s="1412" t="e">
        <f ca="1">IF(Small_F,0,-L53)</f>
        <v>#REF!</v>
      </c>
      <c r="P53" s="584" t="e">
        <f ca="1">(E53/1000+F53/1000)*G53/1000*D53/1000*steel_density</f>
        <v>#REF!</v>
      </c>
      <c r="Q53" s="1450" t="e">
        <f ca="1">IF(G53=0,0,P53/steel_density/(G53/1000))</f>
        <v>#REF!</v>
      </c>
      <c r="R53" s="644"/>
      <c r="S53" s="603"/>
      <c r="T53" s="603"/>
      <c r="U53" s="603"/>
      <c r="V53" s="603"/>
      <c r="W53" s="603"/>
      <c r="X53" s="603"/>
      <c r="Y53" s="603"/>
      <c r="Z53" s="603"/>
      <c r="AA53" s="603"/>
      <c r="AB53" s="603"/>
      <c r="AC53" s="603"/>
      <c r="AD53" s="603"/>
      <c r="AE53" s="603"/>
      <c r="AF53" s="603"/>
      <c r="AG53" s="603"/>
      <c r="AH53" s="603"/>
      <c r="AI53" s="603"/>
      <c r="AJ53" s="464"/>
    </row>
    <row r="54" spans="1:36">
      <c r="A54" s="1680"/>
      <c r="B54" s="585" t="e">
        <f ca="1">IF(DRIVE_Type="Direct",IF(Small_F,"","mftr2"),"")</f>
        <v>#REF!</v>
      </c>
      <c r="C54" s="580"/>
      <c r="D54" s="580"/>
      <c r="E54" s="580"/>
      <c r="F54" s="580"/>
      <c r="G54" s="580"/>
      <c r="H54" s="580"/>
      <c r="I54" s="603"/>
      <c r="J54" s="609" t="e">
        <f ca="1">J53</f>
        <v>#REF!</v>
      </c>
      <c r="K54" s="580" t="e">
        <f ca="1">IF(Small_F,0,K120+G120)</f>
        <v>#REF!</v>
      </c>
      <c r="L54" s="600" t="e">
        <f ca="1">IF(Small_F,0,L46+G120/SIN(R_angle))</f>
        <v>#REF!</v>
      </c>
      <c r="M54" s="609" t="e">
        <f t="shared" ca="1" si="0"/>
        <v>#REF!</v>
      </c>
      <c r="N54" s="580" t="e">
        <f ca="1">IF(Small_F,0,K54)</f>
        <v>#REF!</v>
      </c>
      <c r="O54" s="1412" t="e">
        <f ca="1">IF(Small_F,0,-L54)</f>
        <v>#REF!</v>
      </c>
      <c r="P54" s="602"/>
      <c r="Q54" s="1454"/>
      <c r="R54" s="644"/>
      <c r="S54" s="603"/>
      <c r="T54" s="603"/>
      <c r="U54" s="603"/>
      <c r="V54" s="603"/>
      <c r="W54" s="603"/>
      <c r="X54" s="603"/>
      <c r="Y54" s="603"/>
      <c r="Z54" s="603"/>
      <c r="AA54" s="603"/>
      <c r="AB54" s="603"/>
      <c r="AC54" s="603"/>
      <c r="AD54" s="603"/>
      <c r="AE54" s="603"/>
      <c r="AF54" s="603"/>
      <c r="AG54" s="603"/>
      <c r="AH54" s="603"/>
      <c r="AI54" s="603"/>
      <c r="AJ54" s="464"/>
    </row>
    <row r="55" spans="1:36">
      <c r="A55" s="604"/>
      <c r="B55" s="604" t="e">
        <f ca="1">IF(DRIVE_Type="Direct",IF(Small_F,"","MFTr2-"),"")</f>
        <v>#REF!</v>
      </c>
      <c r="C55" s="493"/>
      <c r="D55" s="580"/>
      <c r="E55" s="580"/>
      <c r="F55" s="580"/>
      <c r="G55" s="580"/>
      <c r="H55" s="580"/>
      <c r="I55" s="603"/>
      <c r="J55" s="1920" t="e">
        <f ca="1">J53-F53</f>
        <v>#REF!</v>
      </c>
      <c r="K55" s="1918" t="e">
        <f ca="1">K54</f>
        <v>#REF!</v>
      </c>
      <c r="L55" s="1918" t="e">
        <f ca="1">L54</f>
        <v>#REF!</v>
      </c>
      <c r="M55" s="1917" t="e">
        <f ca="1">J55</f>
        <v>#REF!</v>
      </c>
      <c r="N55" s="1918" t="e">
        <f ca="1">K55</f>
        <v>#REF!</v>
      </c>
      <c r="O55" s="1919" t="e">
        <f ca="1">O54</f>
        <v>#REF!</v>
      </c>
      <c r="P55" s="584"/>
      <c r="Q55" s="1450"/>
      <c r="R55" s="644"/>
      <c r="S55" s="603"/>
      <c r="T55" s="603"/>
      <c r="U55" s="603"/>
      <c r="V55" s="603"/>
      <c r="W55" s="603"/>
      <c r="X55" s="603"/>
      <c r="Y55" s="603"/>
      <c r="Z55" s="603"/>
      <c r="AA55" s="603"/>
      <c r="AB55" s="603"/>
      <c r="AC55" s="603"/>
      <c r="AD55" s="603"/>
      <c r="AE55" s="603"/>
      <c r="AF55" s="603"/>
      <c r="AG55" s="603"/>
      <c r="AH55" s="603"/>
      <c r="AI55" s="603"/>
      <c r="AJ55" s="464"/>
    </row>
    <row r="56" spans="1:36">
      <c r="A56" s="604"/>
      <c r="B56" s="633" t="e">
        <f ca="1">IF(DRIVE_Type="Direct",IF(Small_F,"","mftr2-"),"")</f>
        <v>#REF!</v>
      </c>
      <c r="C56" s="479"/>
      <c r="D56" s="479"/>
      <c r="E56" s="479"/>
      <c r="F56" s="479"/>
      <c r="G56" s="479"/>
      <c r="H56" s="479"/>
      <c r="I56" s="479"/>
      <c r="J56" s="609" t="e">
        <f ca="1">J55</f>
        <v>#REF!</v>
      </c>
      <c r="K56" s="608" t="e">
        <f ca="1">K55</f>
        <v>#REF!</v>
      </c>
      <c r="L56" s="608" t="e">
        <f ca="1">L55</f>
        <v>#REF!</v>
      </c>
      <c r="M56" s="609" t="e">
        <f ca="1">M55</f>
        <v>#REF!</v>
      </c>
      <c r="N56" s="608" t="e">
        <f ca="1">N55</f>
        <v>#REF!</v>
      </c>
      <c r="O56" s="611" t="e">
        <f ca="1">O55</f>
        <v>#REF!</v>
      </c>
      <c r="P56" s="605"/>
      <c r="Q56" s="1455"/>
      <c r="R56" s="644"/>
      <c r="S56" s="603"/>
      <c r="T56" s="603"/>
      <c r="U56" s="603"/>
      <c r="V56" s="603"/>
      <c r="W56" s="603"/>
      <c r="X56" s="603"/>
      <c r="Y56" s="603"/>
      <c r="Z56" s="603"/>
      <c r="AA56" s="603"/>
      <c r="AB56" s="603"/>
      <c r="AC56" s="603"/>
      <c r="AD56" s="603"/>
      <c r="AE56" s="603"/>
      <c r="AF56" s="603"/>
      <c r="AG56" s="603"/>
      <c r="AH56" s="603"/>
      <c r="AI56" s="603"/>
      <c r="AJ56" s="464"/>
    </row>
    <row r="57" spans="1:36">
      <c r="A57" s="1643"/>
      <c r="B57" s="2195" t="str">
        <f>""</f>
        <v/>
      </c>
      <c r="C57" s="2196"/>
      <c r="D57" s="2196"/>
      <c r="E57" s="2196"/>
      <c r="F57" s="2196"/>
      <c r="G57" s="2197"/>
      <c r="H57" s="2197"/>
      <c r="I57" s="2198"/>
      <c r="J57" s="2171">
        <v>0</v>
      </c>
      <c r="K57" s="2172">
        <v>0</v>
      </c>
      <c r="L57" s="2173">
        <v>0</v>
      </c>
      <c r="M57" s="2171">
        <v>0</v>
      </c>
      <c r="N57" s="2172">
        <v>0</v>
      </c>
      <c r="O57" s="2174">
        <v>0</v>
      </c>
      <c r="P57" s="632"/>
      <c r="Q57" s="1456">
        <f>IF(G57=0,0,P57/steel_density/(G57/1000))</f>
        <v>0</v>
      </c>
      <c r="R57" s="1189"/>
      <c r="S57" s="603"/>
      <c r="T57" s="603"/>
      <c r="U57" s="603"/>
      <c r="V57" s="603"/>
      <c r="W57" s="603"/>
      <c r="X57" s="603"/>
      <c r="Y57" s="603"/>
      <c r="Z57" s="603"/>
      <c r="AA57" s="603"/>
      <c r="AB57" s="603"/>
      <c r="AC57" s="603"/>
      <c r="AD57" s="603"/>
      <c r="AE57" s="603"/>
      <c r="AF57" s="603"/>
      <c r="AG57" s="603"/>
      <c r="AH57" s="603"/>
      <c r="AI57" s="603"/>
      <c r="AJ57" s="464"/>
    </row>
    <row r="58" spans="1:36">
      <c r="B58" s="2199" t="str">
        <f>""</f>
        <v/>
      </c>
      <c r="C58" s="2200"/>
      <c r="D58" s="2201"/>
      <c r="E58" s="2202"/>
      <c r="F58" s="2202"/>
      <c r="G58" s="2202"/>
      <c r="H58" s="2202"/>
      <c r="I58" s="2203"/>
      <c r="J58" s="2161">
        <v>0</v>
      </c>
      <c r="K58" s="2162">
        <v>0</v>
      </c>
      <c r="L58" s="2169">
        <v>0</v>
      </c>
      <c r="M58" s="2161">
        <v>0</v>
      </c>
      <c r="N58" s="2162">
        <v>0</v>
      </c>
      <c r="O58" s="2163">
        <v>0</v>
      </c>
      <c r="P58" s="584"/>
      <c r="Q58" s="1450"/>
      <c r="R58" s="1502"/>
      <c r="S58" s="603"/>
      <c r="T58" s="572"/>
      <c r="U58" s="572"/>
      <c r="V58" s="572"/>
      <c r="W58" s="603"/>
      <c r="X58" s="603"/>
      <c r="Y58" s="603"/>
      <c r="Z58" s="603"/>
      <c r="AA58" s="603"/>
      <c r="AB58" s="603"/>
      <c r="AC58" s="603"/>
      <c r="AD58" s="603"/>
      <c r="AE58" s="603"/>
      <c r="AF58" s="603"/>
      <c r="AG58" s="603"/>
      <c r="AH58" s="603"/>
      <c r="AI58" s="603"/>
      <c r="AJ58" s="464"/>
    </row>
    <row r="59" spans="1:36">
      <c r="A59" s="622"/>
      <c r="B59" s="2204" t="str">
        <f>""</f>
        <v/>
      </c>
      <c r="C59" s="2200"/>
      <c r="D59" s="2201"/>
      <c r="E59" s="2202"/>
      <c r="F59" s="2202"/>
      <c r="G59" s="2202"/>
      <c r="H59" s="2202"/>
      <c r="I59" s="2203"/>
      <c r="J59" s="2161">
        <v>0</v>
      </c>
      <c r="K59" s="2162">
        <v>0</v>
      </c>
      <c r="L59" s="2162">
        <v>0</v>
      </c>
      <c r="M59" s="2161">
        <v>0</v>
      </c>
      <c r="N59" s="2162">
        <v>0</v>
      </c>
      <c r="O59" s="2163">
        <v>0</v>
      </c>
      <c r="P59" s="584"/>
      <c r="Q59" s="1450"/>
      <c r="R59" s="1189"/>
      <c r="S59" s="603"/>
      <c r="T59" s="603"/>
      <c r="U59" s="603"/>
      <c r="V59" s="603"/>
      <c r="W59" s="603"/>
      <c r="X59" s="603"/>
      <c r="Y59" s="603"/>
      <c r="Z59" s="603"/>
      <c r="AA59" s="603"/>
      <c r="AB59" s="603"/>
      <c r="AC59" s="603"/>
      <c r="AD59" s="603"/>
      <c r="AE59" s="603"/>
      <c r="AF59" s="603"/>
      <c r="AG59" s="603"/>
      <c r="AH59" s="603"/>
      <c r="AI59" s="603"/>
      <c r="AJ59" s="464"/>
    </row>
    <row r="60" spans="1:36">
      <c r="A60" s="628"/>
      <c r="B60" s="2204" t="str">
        <f>""</f>
        <v/>
      </c>
      <c r="C60" s="2201"/>
      <c r="D60" s="2201"/>
      <c r="E60" s="2202"/>
      <c r="F60" s="2202"/>
      <c r="G60" s="2202"/>
      <c r="H60" s="2202"/>
      <c r="I60" s="2203"/>
      <c r="J60" s="2161">
        <v>0</v>
      </c>
      <c r="K60" s="2162">
        <v>0</v>
      </c>
      <c r="L60" s="2162">
        <v>0</v>
      </c>
      <c r="M60" s="2161">
        <v>0</v>
      </c>
      <c r="N60" s="2162">
        <v>0</v>
      </c>
      <c r="O60" s="2163">
        <v>0</v>
      </c>
      <c r="P60" s="602"/>
      <c r="Q60" s="1454"/>
      <c r="R60" s="644"/>
      <c r="S60" s="603"/>
      <c r="T60" s="603"/>
      <c r="U60" s="603"/>
      <c r="V60" s="603"/>
      <c r="W60" s="603"/>
      <c r="X60" s="603"/>
      <c r="Y60" s="603"/>
      <c r="Z60" s="603"/>
      <c r="AA60" s="603"/>
      <c r="AB60" s="603"/>
      <c r="AC60" s="603"/>
      <c r="AD60" s="603"/>
      <c r="AE60" s="603"/>
      <c r="AF60" s="603"/>
      <c r="AG60" s="603"/>
      <c r="AH60" s="603"/>
      <c r="AI60" s="603"/>
      <c r="AJ60" s="464"/>
    </row>
    <row r="61" spans="1:36">
      <c r="A61" s="1682"/>
      <c r="B61" s="2205" t="str">
        <f>""</f>
        <v/>
      </c>
      <c r="C61" s="2201"/>
      <c r="D61" s="2201"/>
      <c r="E61" s="2201"/>
      <c r="F61" s="2201"/>
      <c r="G61" s="2202"/>
      <c r="H61" s="2202"/>
      <c r="I61" s="2206"/>
      <c r="J61" s="2161">
        <v>0</v>
      </c>
      <c r="K61" s="2162">
        <v>0</v>
      </c>
      <c r="L61" s="2169">
        <v>0</v>
      </c>
      <c r="M61" s="2161">
        <v>0</v>
      </c>
      <c r="N61" s="2162">
        <v>0</v>
      </c>
      <c r="O61" s="2170">
        <v>0</v>
      </c>
      <c r="P61" s="584"/>
      <c r="Q61" s="1450">
        <f>IF(G61=0,0,P61/steel_density/(G61/1000))</f>
        <v>0</v>
      </c>
      <c r="R61" s="1503"/>
      <c r="S61" s="603"/>
      <c r="T61" s="603"/>
      <c r="U61" s="603"/>
      <c r="V61" s="603"/>
      <c r="W61" s="603"/>
      <c r="X61" s="603"/>
      <c r="Y61" s="603"/>
      <c r="Z61" s="603"/>
      <c r="AA61" s="603"/>
      <c r="AB61" s="603"/>
      <c r="AC61" s="603"/>
      <c r="AD61" s="603"/>
      <c r="AE61" s="603"/>
      <c r="AF61" s="603"/>
      <c r="AG61" s="603"/>
      <c r="AH61" s="603"/>
      <c r="AI61" s="603"/>
      <c r="AJ61" s="464"/>
    </row>
    <row r="62" spans="1:36">
      <c r="A62" s="1680"/>
      <c r="B62" s="2199" t="str">
        <f>""</f>
        <v/>
      </c>
      <c r="C62" s="2202"/>
      <c r="D62" s="2202"/>
      <c r="E62" s="2202"/>
      <c r="F62" s="2202"/>
      <c r="G62" s="2202"/>
      <c r="H62" s="2202"/>
      <c r="I62" s="2203"/>
      <c r="J62" s="2161">
        <v>0</v>
      </c>
      <c r="K62" s="2162">
        <v>0</v>
      </c>
      <c r="L62" s="2169">
        <v>0</v>
      </c>
      <c r="M62" s="2161">
        <v>0</v>
      </c>
      <c r="N62" s="2162">
        <v>0</v>
      </c>
      <c r="O62" s="2170">
        <v>0</v>
      </c>
      <c r="P62" s="584"/>
      <c r="Q62" s="1450"/>
      <c r="R62" s="1189"/>
      <c r="S62" s="603"/>
      <c r="T62" s="603"/>
      <c r="U62" s="603"/>
      <c r="V62" s="603"/>
      <c r="W62" s="603"/>
      <c r="X62" s="603"/>
      <c r="Y62" s="603"/>
      <c r="Z62" s="603"/>
      <c r="AA62" s="603"/>
      <c r="AB62" s="603"/>
      <c r="AC62" s="603"/>
      <c r="AD62" s="603"/>
      <c r="AE62" s="603"/>
      <c r="AF62" s="603"/>
      <c r="AG62" s="603"/>
      <c r="AH62" s="603"/>
      <c r="AI62" s="603"/>
      <c r="AJ62" s="464"/>
    </row>
    <row r="63" spans="1:36">
      <c r="A63" s="642"/>
      <c r="B63" s="2204" t="str">
        <f>""</f>
        <v/>
      </c>
      <c r="C63" s="2202"/>
      <c r="D63" s="2202"/>
      <c r="E63" s="2202"/>
      <c r="F63" s="2202"/>
      <c r="G63" s="2202"/>
      <c r="H63" s="2202"/>
      <c r="I63" s="2207"/>
      <c r="J63" s="2161">
        <v>0</v>
      </c>
      <c r="K63" s="2162">
        <v>0</v>
      </c>
      <c r="L63" s="2162">
        <v>0</v>
      </c>
      <c r="M63" s="2161">
        <v>0</v>
      </c>
      <c r="N63" s="2162">
        <v>0</v>
      </c>
      <c r="O63" s="2163">
        <v>0</v>
      </c>
      <c r="P63" s="584"/>
      <c r="Q63" s="1450"/>
      <c r="R63" s="1189"/>
      <c r="S63" s="603"/>
      <c r="T63" s="603"/>
      <c r="U63" s="603"/>
      <c r="V63" s="603"/>
      <c r="W63" s="603"/>
      <c r="X63" s="603"/>
      <c r="Y63" s="603"/>
      <c r="Z63" s="603"/>
      <c r="AA63" s="603"/>
      <c r="AB63" s="603"/>
      <c r="AC63" s="603"/>
      <c r="AD63" s="603"/>
      <c r="AE63" s="603"/>
      <c r="AF63" s="603"/>
      <c r="AG63" s="603"/>
      <c r="AH63" s="603"/>
      <c r="AI63" s="603"/>
      <c r="AJ63" s="464"/>
    </row>
    <row r="64" spans="1:36">
      <c r="A64" s="622"/>
      <c r="B64" s="2204" t="str">
        <f>""</f>
        <v/>
      </c>
      <c r="C64" s="2202"/>
      <c r="D64" s="2202"/>
      <c r="E64" s="2202"/>
      <c r="F64" s="2202"/>
      <c r="G64" s="2202"/>
      <c r="H64" s="2202"/>
      <c r="I64" s="2203"/>
      <c r="J64" s="2161">
        <v>0</v>
      </c>
      <c r="K64" s="2162">
        <v>0</v>
      </c>
      <c r="L64" s="2162">
        <v>0</v>
      </c>
      <c r="M64" s="2161">
        <v>0</v>
      </c>
      <c r="N64" s="2162">
        <v>0</v>
      </c>
      <c r="O64" s="2163">
        <v>0</v>
      </c>
      <c r="P64" s="584"/>
      <c r="Q64" s="1450"/>
      <c r="R64" s="1189"/>
      <c r="S64" s="603"/>
      <c r="T64" s="603"/>
      <c r="U64" s="603"/>
      <c r="V64" s="603"/>
      <c r="W64" s="603"/>
      <c r="X64" s="603"/>
      <c r="Y64" s="603"/>
      <c r="Z64" s="603"/>
      <c r="AA64" s="603"/>
      <c r="AB64" s="603"/>
      <c r="AC64" s="603"/>
      <c r="AD64" s="603"/>
      <c r="AE64" s="603"/>
      <c r="AF64" s="603"/>
      <c r="AG64" s="603"/>
      <c r="AH64" s="603"/>
      <c r="AI64" s="603"/>
      <c r="AJ64" s="464"/>
    </row>
    <row r="65" spans="1:36">
      <c r="A65" s="1682"/>
      <c r="B65" s="2205" t="str">
        <f>""</f>
        <v/>
      </c>
      <c r="C65" s="2201"/>
      <c r="D65" s="2201"/>
      <c r="E65" s="2201"/>
      <c r="F65" s="2201"/>
      <c r="G65" s="2202"/>
      <c r="H65" s="2202"/>
      <c r="I65" s="2206"/>
      <c r="J65" s="2161">
        <v>0</v>
      </c>
      <c r="K65" s="2162">
        <v>0</v>
      </c>
      <c r="L65" s="2169">
        <v>0</v>
      </c>
      <c r="M65" s="2161">
        <v>0</v>
      </c>
      <c r="N65" s="2162">
        <v>0</v>
      </c>
      <c r="O65" s="2170">
        <v>0</v>
      </c>
      <c r="P65" s="584"/>
      <c r="Q65" s="1450">
        <f>IF(G65=0,0,P65/steel_density/(G65/1000))</f>
        <v>0</v>
      </c>
      <c r="R65" s="1189"/>
      <c r="S65" s="603"/>
      <c r="T65" s="603"/>
      <c r="U65" s="603"/>
      <c r="V65" s="603"/>
      <c r="W65" s="603"/>
      <c r="X65" s="603"/>
      <c r="Y65" s="603"/>
      <c r="Z65" s="603"/>
      <c r="AA65" s="603"/>
      <c r="AB65" s="603"/>
      <c r="AC65" s="603"/>
      <c r="AD65" s="603"/>
      <c r="AE65" s="603"/>
      <c r="AF65" s="603"/>
      <c r="AG65" s="603"/>
      <c r="AH65" s="603"/>
      <c r="AI65" s="603"/>
      <c r="AJ65" s="464"/>
    </row>
    <row r="66" spans="1:36">
      <c r="A66" s="1680"/>
      <c r="B66" s="2199" t="str">
        <f>""</f>
        <v/>
      </c>
      <c r="C66" s="2202"/>
      <c r="D66" s="2202"/>
      <c r="E66" s="2202"/>
      <c r="F66" s="2202"/>
      <c r="G66" s="2202"/>
      <c r="H66" s="2202"/>
      <c r="I66" s="2203"/>
      <c r="J66" s="2161">
        <v>0</v>
      </c>
      <c r="K66" s="2162">
        <v>0</v>
      </c>
      <c r="L66" s="2169">
        <v>0</v>
      </c>
      <c r="M66" s="2161">
        <v>0</v>
      </c>
      <c r="N66" s="2162">
        <v>0</v>
      </c>
      <c r="O66" s="2170">
        <v>0</v>
      </c>
      <c r="P66" s="584"/>
      <c r="Q66" s="1450"/>
      <c r="R66" s="644"/>
      <c r="S66" s="603"/>
      <c r="T66" s="603"/>
      <c r="U66" s="603"/>
      <c r="V66" s="603"/>
      <c r="W66" s="603"/>
      <c r="X66" s="603"/>
      <c r="Y66" s="603"/>
      <c r="Z66" s="603"/>
      <c r="AA66" s="603"/>
      <c r="AB66" s="603"/>
      <c r="AC66" s="603"/>
      <c r="AD66" s="603"/>
      <c r="AE66" s="603"/>
      <c r="AF66" s="603"/>
      <c r="AG66" s="603"/>
      <c r="AH66" s="603"/>
      <c r="AI66" s="603"/>
      <c r="AJ66" s="464"/>
    </row>
    <row r="67" spans="1:36">
      <c r="A67" s="604"/>
      <c r="B67" s="2204" t="str">
        <f>""</f>
        <v/>
      </c>
      <c r="C67" s="2202"/>
      <c r="D67" s="2202"/>
      <c r="E67" s="2202"/>
      <c r="F67" s="2202"/>
      <c r="G67" s="2202"/>
      <c r="H67" s="2202"/>
      <c r="I67" s="2207"/>
      <c r="J67" s="2161">
        <v>0</v>
      </c>
      <c r="K67" s="2162">
        <v>0</v>
      </c>
      <c r="L67" s="2162">
        <v>0</v>
      </c>
      <c r="M67" s="2161">
        <v>0</v>
      </c>
      <c r="N67" s="2162">
        <v>0</v>
      </c>
      <c r="O67" s="2163">
        <v>0</v>
      </c>
      <c r="P67" s="584"/>
      <c r="Q67" s="1450"/>
      <c r="R67" s="644"/>
      <c r="S67" s="603"/>
      <c r="T67" s="603"/>
      <c r="U67" s="603"/>
      <c r="V67" s="603"/>
      <c r="W67" s="603"/>
      <c r="X67" s="603"/>
      <c r="Y67" s="603"/>
      <c r="Z67" s="603"/>
      <c r="AA67" s="603"/>
      <c r="AB67" s="603"/>
      <c r="AC67" s="603"/>
      <c r="AD67" s="603"/>
      <c r="AE67" s="603"/>
      <c r="AF67" s="603"/>
      <c r="AG67" s="603"/>
      <c r="AH67" s="603"/>
      <c r="AI67" s="603"/>
      <c r="AJ67" s="464"/>
    </row>
    <row r="68" spans="1:36">
      <c r="A68" s="604"/>
      <c r="B68" s="2204" t="str">
        <f>""</f>
        <v/>
      </c>
      <c r="C68" s="2202"/>
      <c r="D68" s="2202"/>
      <c r="E68" s="2202"/>
      <c r="F68" s="2202"/>
      <c r="G68" s="2202"/>
      <c r="H68" s="2202"/>
      <c r="I68" s="2203"/>
      <c r="J68" s="2161">
        <v>0</v>
      </c>
      <c r="K68" s="2162">
        <v>0</v>
      </c>
      <c r="L68" s="2162">
        <v>0</v>
      </c>
      <c r="M68" s="2161">
        <v>0</v>
      </c>
      <c r="N68" s="2162">
        <v>0</v>
      </c>
      <c r="O68" s="2163">
        <v>0</v>
      </c>
      <c r="P68" s="584"/>
      <c r="Q68" s="1450"/>
      <c r="R68" s="1189"/>
      <c r="S68" s="603"/>
      <c r="T68" s="603"/>
      <c r="U68" s="603"/>
      <c r="V68" s="603"/>
      <c r="W68" s="603"/>
      <c r="X68" s="603"/>
      <c r="Y68" s="603"/>
      <c r="Z68" s="603"/>
      <c r="AA68" s="603"/>
      <c r="AB68" s="603"/>
      <c r="AC68" s="603"/>
      <c r="AD68" s="603"/>
      <c r="AE68" s="603"/>
      <c r="AF68" s="603"/>
      <c r="AG68" s="603"/>
      <c r="AH68" s="603"/>
      <c r="AI68" s="603"/>
      <c r="AJ68" s="464"/>
    </row>
    <row r="69" spans="1:36">
      <c r="A69" s="1680"/>
      <c r="B69" s="2208" t="str">
        <f>""</f>
        <v/>
      </c>
      <c r="C69" s="2201"/>
      <c r="D69" s="2201"/>
      <c r="E69" s="2201"/>
      <c r="F69" s="2201"/>
      <c r="G69" s="2201"/>
      <c r="H69" s="2201"/>
      <c r="I69" s="2207"/>
      <c r="J69" s="2161">
        <v>0</v>
      </c>
      <c r="K69" s="2162">
        <v>0</v>
      </c>
      <c r="L69" s="2169">
        <v>0</v>
      </c>
      <c r="M69" s="2161">
        <v>0</v>
      </c>
      <c r="N69" s="2162">
        <v>0</v>
      </c>
      <c r="O69" s="2163">
        <v>0</v>
      </c>
      <c r="P69" s="584"/>
      <c r="Q69" s="1450">
        <f>IF(G69=0,0,P69/steel_density/(G69/1000))</f>
        <v>0</v>
      </c>
      <c r="R69" s="644"/>
      <c r="S69" s="603"/>
      <c r="T69" s="580"/>
      <c r="U69" s="580"/>
      <c r="V69" s="580"/>
      <c r="W69" s="603"/>
      <c r="X69" s="603"/>
      <c r="Y69" s="603"/>
      <c r="Z69" s="603"/>
      <c r="AA69" s="603"/>
      <c r="AB69" s="603"/>
      <c r="AC69" s="603"/>
      <c r="AD69" s="603"/>
      <c r="AE69" s="603"/>
      <c r="AF69" s="603"/>
      <c r="AG69" s="603"/>
      <c r="AH69" s="603"/>
      <c r="AI69" s="603"/>
      <c r="AJ69" s="464"/>
    </row>
    <row r="70" spans="1:36">
      <c r="A70" s="1680"/>
      <c r="B70" s="2199" t="str">
        <f>""</f>
        <v/>
      </c>
      <c r="C70" s="2202"/>
      <c r="D70" s="2201"/>
      <c r="E70" s="2201"/>
      <c r="F70" s="2201"/>
      <c r="G70" s="2201"/>
      <c r="H70" s="2201"/>
      <c r="I70" s="2207"/>
      <c r="J70" s="2161">
        <v>0</v>
      </c>
      <c r="K70" s="2162">
        <v>0</v>
      </c>
      <c r="L70" s="2169">
        <v>0</v>
      </c>
      <c r="M70" s="2161">
        <v>0</v>
      </c>
      <c r="N70" s="2162">
        <v>0</v>
      </c>
      <c r="O70" s="2163">
        <v>0</v>
      </c>
      <c r="P70" s="602"/>
      <c r="Q70" s="1454"/>
      <c r="R70" s="644"/>
      <c r="S70" s="603"/>
      <c r="T70" s="603"/>
      <c r="U70" s="603"/>
      <c r="V70" s="603"/>
      <c r="W70" s="603"/>
      <c r="X70" s="603"/>
      <c r="Y70" s="603"/>
      <c r="Z70" s="603"/>
      <c r="AA70" s="603"/>
      <c r="AB70" s="603"/>
      <c r="AC70" s="603"/>
      <c r="AD70" s="603"/>
      <c r="AE70" s="603"/>
      <c r="AF70" s="603"/>
      <c r="AG70" s="603"/>
      <c r="AH70" s="603"/>
      <c r="AI70" s="603"/>
      <c r="AJ70" s="464"/>
    </row>
    <row r="71" spans="1:36">
      <c r="A71" s="604"/>
      <c r="B71" s="2204" t="str">
        <f>""</f>
        <v/>
      </c>
      <c r="C71" s="2202"/>
      <c r="D71" s="2201"/>
      <c r="E71" s="2201"/>
      <c r="F71" s="2201"/>
      <c r="G71" s="2201"/>
      <c r="H71" s="2201"/>
      <c r="I71" s="2207"/>
      <c r="J71" s="2161">
        <v>0</v>
      </c>
      <c r="K71" s="2162">
        <v>0</v>
      </c>
      <c r="L71" s="2162">
        <v>0</v>
      </c>
      <c r="M71" s="2161">
        <v>0</v>
      </c>
      <c r="N71" s="2162">
        <v>0</v>
      </c>
      <c r="O71" s="2163">
        <v>0</v>
      </c>
      <c r="P71" s="584"/>
      <c r="Q71" s="1450"/>
      <c r="R71" s="644"/>
      <c r="S71" s="603"/>
      <c r="T71" s="603"/>
      <c r="U71" s="603"/>
      <c r="V71" s="603"/>
      <c r="W71" s="603"/>
      <c r="X71" s="603"/>
      <c r="Y71" s="603"/>
      <c r="Z71" s="603"/>
      <c r="AA71" s="603"/>
      <c r="AB71" s="603"/>
      <c r="AC71" s="603"/>
      <c r="AD71" s="603"/>
      <c r="AE71" s="603"/>
      <c r="AF71" s="603"/>
      <c r="AG71" s="603"/>
      <c r="AH71" s="603"/>
      <c r="AI71" s="603"/>
      <c r="AJ71" s="464"/>
    </row>
    <row r="72" spans="1:36">
      <c r="A72" s="604"/>
      <c r="B72" s="2209" t="str">
        <f>""</f>
        <v/>
      </c>
      <c r="C72" s="2210"/>
      <c r="D72" s="2210"/>
      <c r="E72" s="2210"/>
      <c r="F72" s="2210"/>
      <c r="G72" s="2210"/>
      <c r="H72" s="2210"/>
      <c r="I72" s="2211"/>
      <c r="J72" s="2161">
        <v>0</v>
      </c>
      <c r="K72" s="2162">
        <v>0</v>
      </c>
      <c r="L72" s="2162">
        <v>0</v>
      </c>
      <c r="M72" s="2161">
        <v>0</v>
      </c>
      <c r="N72" s="2162">
        <v>0</v>
      </c>
      <c r="O72" s="2163">
        <v>0</v>
      </c>
      <c r="P72" s="605"/>
      <c r="Q72" s="1455"/>
      <c r="R72" s="644"/>
      <c r="S72" s="603"/>
      <c r="T72" s="603"/>
      <c r="U72" s="603"/>
      <c r="V72" s="603"/>
      <c r="W72" s="603"/>
      <c r="X72" s="603"/>
      <c r="Y72" s="603"/>
      <c r="Z72" s="603"/>
      <c r="AA72" s="603"/>
      <c r="AB72" s="603"/>
      <c r="AC72" s="603"/>
      <c r="AD72" s="603"/>
      <c r="AE72" s="603"/>
      <c r="AF72" s="603"/>
      <c r="AG72" s="603"/>
      <c r="AH72" s="603"/>
      <c r="AI72" s="603"/>
      <c r="AJ72" s="464"/>
    </row>
    <row r="73" spans="1:36">
      <c r="A73" s="1937"/>
      <c r="B73" s="2195" t="str">
        <f>""</f>
        <v/>
      </c>
      <c r="C73" s="2196"/>
      <c r="D73" s="2196"/>
      <c r="E73" s="2196"/>
      <c r="F73" s="2196"/>
      <c r="G73" s="2197"/>
      <c r="H73" s="2197"/>
      <c r="I73" s="2198"/>
      <c r="J73" s="2171">
        <v>0</v>
      </c>
      <c r="K73" s="2172">
        <v>0</v>
      </c>
      <c r="L73" s="2173">
        <v>0</v>
      </c>
      <c r="M73" s="2171">
        <v>0</v>
      </c>
      <c r="N73" s="2172">
        <v>0</v>
      </c>
      <c r="O73" s="2174">
        <v>0</v>
      </c>
      <c r="P73" s="632"/>
      <c r="Q73" s="1456">
        <f>IF(G73=0,0,P73/steel_density/(G73/1000))</f>
        <v>0</v>
      </c>
      <c r="R73" s="644"/>
      <c r="S73" s="603"/>
      <c r="T73" s="603"/>
      <c r="U73" s="580"/>
      <c r="V73" s="603"/>
      <c r="W73" s="603"/>
      <c r="X73" s="603"/>
      <c r="Y73" s="603"/>
      <c r="Z73" s="603"/>
      <c r="AA73" s="603"/>
      <c r="AB73" s="603"/>
      <c r="AC73" s="603"/>
      <c r="AD73" s="603"/>
      <c r="AE73" s="603"/>
      <c r="AF73" s="603"/>
      <c r="AG73" s="603"/>
      <c r="AH73" s="603"/>
      <c r="AI73" s="603"/>
      <c r="AJ73" s="464"/>
    </row>
    <row r="74" spans="1:36">
      <c r="B74" s="2199" t="str">
        <f>""</f>
        <v/>
      </c>
      <c r="C74" s="2200"/>
      <c r="D74" s="2201"/>
      <c r="E74" s="2202"/>
      <c r="F74" s="2202"/>
      <c r="G74" s="2202"/>
      <c r="H74" s="2202"/>
      <c r="I74" s="2203"/>
      <c r="J74" s="2161">
        <v>0</v>
      </c>
      <c r="K74" s="2162">
        <v>0</v>
      </c>
      <c r="L74" s="2169">
        <v>0</v>
      </c>
      <c r="M74" s="2161">
        <v>0</v>
      </c>
      <c r="N74" s="2162">
        <v>0</v>
      </c>
      <c r="O74" s="2163">
        <v>0</v>
      </c>
      <c r="P74" s="584"/>
      <c r="Q74" s="1450"/>
      <c r="R74" s="644"/>
      <c r="S74" s="603"/>
      <c r="T74" s="603"/>
      <c r="U74" s="580"/>
      <c r="V74" s="603"/>
      <c r="W74" s="603"/>
      <c r="X74" s="603"/>
      <c r="Y74" s="603"/>
      <c r="Z74" s="603"/>
      <c r="AA74" s="603"/>
      <c r="AB74" s="603"/>
      <c r="AC74" s="603"/>
      <c r="AD74" s="603"/>
      <c r="AE74" s="603"/>
      <c r="AF74" s="603"/>
      <c r="AG74" s="603"/>
      <c r="AH74" s="603"/>
      <c r="AI74" s="603"/>
      <c r="AJ74" s="464"/>
    </row>
    <row r="75" spans="1:36">
      <c r="A75" s="622"/>
      <c r="B75" s="2204" t="str">
        <f>""</f>
        <v/>
      </c>
      <c r="C75" s="2200"/>
      <c r="D75" s="2201"/>
      <c r="E75" s="2202"/>
      <c r="F75" s="2202"/>
      <c r="G75" s="2202"/>
      <c r="H75" s="2202"/>
      <c r="I75" s="2203"/>
      <c r="J75" s="2161">
        <v>0</v>
      </c>
      <c r="K75" s="2162">
        <v>0</v>
      </c>
      <c r="L75" s="2162">
        <v>0</v>
      </c>
      <c r="M75" s="2161">
        <v>0</v>
      </c>
      <c r="N75" s="2162">
        <v>0</v>
      </c>
      <c r="O75" s="2163">
        <v>0</v>
      </c>
      <c r="P75" s="584"/>
      <c r="Q75" s="1450"/>
      <c r="R75" s="644"/>
      <c r="S75" s="603"/>
      <c r="T75" s="603"/>
      <c r="U75" s="580"/>
      <c r="V75" s="603"/>
      <c r="W75" s="603"/>
      <c r="X75" s="603"/>
      <c r="Y75" s="603"/>
      <c r="Z75" s="603"/>
      <c r="AA75" s="603"/>
      <c r="AB75" s="603"/>
      <c r="AC75" s="603"/>
      <c r="AD75" s="603"/>
      <c r="AE75" s="603"/>
      <c r="AF75" s="603"/>
      <c r="AG75" s="603"/>
      <c r="AH75" s="603"/>
      <c r="AI75" s="603"/>
      <c r="AJ75" s="464"/>
    </row>
    <row r="76" spans="1:36">
      <c r="A76" s="628"/>
      <c r="B76" s="2204" t="str">
        <f>""</f>
        <v/>
      </c>
      <c r="C76" s="2201"/>
      <c r="D76" s="2201"/>
      <c r="E76" s="2202"/>
      <c r="F76" s="2202"/>
      <c r="G76" s="2202"/>
      <c r="H76" s="2202"/>
      <c r="I76" s="2203"/>
      <c r="J76" s="2161">
        <v>0</v>
      </c>
      <c r="K76" s="2162">
        <v>0</v>
      </c>
      <c r="L76" s="2162">
        <v>0</v>
      </c>
      <c r="M76" s="2161">
        <v>0</v>
      </c>
      <c r="N76" s="2162">
        <v>0</v>
      </c>
      <c r="O76" s="2163">
        <v>0</v>
      </c>
      <c r="P76" s="602"/>
      <c r="Q76" s="1454"/>
      <c r="R76" s="644"/>
      <c r="S76" s="603"/>
      <c r="T76" s="603"/>
      <c r="U76" s="580"/>
      <c r="V76" s="603"/>
      <c r="W76" s="603"/>
      <c r="X76" s="603"/>
      <c r="Y76" s="603"/>
      <c r="Z76" s="603"/>
      <c r="AA76" s="603"/>
      <c r="AB76" s="603"/>
      <c r="AC76" s="603"/>
      <c r="AD76" s="603"/>
      <c r="AE76" s="603"/>
      <c r="AF76" s="603"/>
      <c r="AG76" s="603"/>
      <c r="AH76" s="603"/>
      <c r="AI76" s="603"/>
      <c r="AJ76" s="464"/>
    </row>
    <row r="77" spans="1:36">
      <c r="A77" s="1682"/>
      <c r="B77" s="2205" t="str">
        <f>""</f>
        <v/>
      </c>
      <c r="C77" s="2201"/>
      <c r="D77" s="2201"/>
      <c r="E77" s="2201"/>
      <c r="F77" s="2201"/>
      <c r="G77" s="2202"/>
      <c r="H77" s="2202"/>
      <c r="I77" s="2206"/>
      <c r="J77" s="2161">
        <v>0</v>
      </c>
      <c r="K77" s="2162">
        <v>0</v>
      </c>
      <c r="L77" s="2169">
        <v>0</v>
      </c>
      <c r="M77" s="2161">
        <v>0</v>
      </c>
      <c r="N77" s="2162">
        <v>0</v>
      </c>
      <c r="O77" s="2170">
        <v>0</v>
      </c>
      <c r="P77" s="584"/>
      <c r="Q77" s="1450">
        <f>IF(G77=0,0,P77/steel_density/(G77/1000))</f>
        <v>0</v>
      </c>
      <c r="R77" s="644"/>
      <c r="S77" s="603"/>
      <c r="T77" s="603"/>
      <c r="U77" s="639"/>
      <c r="V77" s="603"/>
      <c r="W77" s="603"/>
      <c r="X77" s="603"/>
      <c r="Y77" s="603"/>
      <c r="Z77" s="637"/>
      <c r="AA77" s="637"/>
      <c r="AB77" s="637"/>
      <c r="AC77" s="637"/>
      <c r="AD77" s="637"/>
      <c r="AE77" s="637"/>
      <c r="AF77" s="580"/>
      <c r="AG77" s="580"/>
      <c r="AH77" s="580"/>
      <c r="AI77" s="580"/>
      <c r="AJ77" s="464"/>
    </row>
    <row r="78" spans="1:36">
      <c r="A78" s="1680"/>
      <c r="B78" s="2199" t="str">
        <f>""</f>
        <v/>
      </c>
      <c r="C78" s="2202"/>
      <c r="D78" s="2202"/>
      <c r="E78" s="2202"/>
      <c r="F78" s="2202"/>
      <c r="G78" s="2202"/>
      <c r="H78" s="2202"/>
      <c r="I78" s="2203"/>
      <c r="J78" s="2161">
        <v>0</v>
      </c>
      <c r="K78" s="2162">
        <v>0</v>
      </c>
      <c r="L78" s="2169">
        <v>0</v>
      </c>
      <c r="M78" s="2161">
        <v>0</v>
      </c>
      <c r="N78" s="2162">
        <v>0</v>
      </c>
      <c r="O78" s="2170">
        <v>0</v>
      </c>
      <c r="P78" s="584"/>
      <c r="Q78" s="1450"/>
      <c r="R78" s="640"/>
      <c r="S78" s="580"/>
      <c r="T78" s="580"/>
      <c r="U78" s="636"/>
      <c r="V78" s="636"/>
      <c r="W78" s="636"/>
      <c r="X78" s="636"/>
      <c r="Y78" s="636"/>
      <c r="Z78" s="637"/>
      <c r="AA78" s="637"/>
      <c r="AB78" s="637"/>
      <c r="AC78" s="637"/>
      <c r="AD78" s="637"/>
      <c r="AE78" s="637"/>
      <c r="AF78" s="580"/>
      <c r="AG78" s="580"/>
      <c r="AH78" s="580"/>
      <c r="AI78" s="580"/>
      <c r="AJ78" s="464"/>
    </row>
    <row r="79" spans="1:36">
      <c r="A79" s="604"/>
      <c r="B79" s="2204" t="str">
        <f>""</f>
        <v/>
      </c>
      <c r="C79" s="2202"/>
      <c r="D79" s="2202"/>
      <c r="E79" s="2202"/>
      <c r="F79" s="2202"/>
      <c r="G79" s="2202"/>
      <c r="H79" s="2202"/>
      <c r="I79" s="2207"/>
      <c r="J79" s="2161">
        <v>0</v>
      </c>
      <c r="K79" s="2162">
        <v>0</v>
      </c>
      <c r="L79" s="2162">
        <v>0</v>
      </c>
      <c r="M79" s="2161">
        <v>0</v>
      </c>
      <c r="N79" s="2162">
        <v>0</v>
      </c>
      <c r="O79" s="2163">
        <v>0</v>
      </c>
      <c r="P79" s="584"/>
      <c r="Q79" s="1450"/>
      <c r="R79" s="1189"/>
      <c r="S79" s="603"/>
      <c r="T79" s="603"/>
      <c r="U79" s="603"/>
      <c r="V79" s="603"/>
      <c r="W79" s="603"/>
      <c r="X79" s="603"/>
      <c r="Y79" s="603"/>
      <c r="Z79" s="603"/>
      <c r="AA79" s="603"/>
      <c r="AB79" s="603"/>
      <c r="AC79" s="603"/>
      <c r="AD79" s="603"/>
      <c r="AE79" s="603"/>
      <c r="AF79" s="603"/>
      <c r="AG79" s="603"/>
      <c r="AH79" s="603"/>
      <c r="AI79" s="603"/>
      <c r="AJ79" s="464"/>
    </row>
    <row r="80" spans="1:36">
      <c r="A80" s="622"/>
      <c r="B80" s="2204" t="str">
        <f>""</f>
        <v/>
      </c>
      <c r="C80" s="2202"/>
      <c r="D80" s="2202"/>
      <c r="E80" s="2202"/>
      <c r="F80" s="2202"/>
      <c r="G80" s="2202"/>
      <c r="H80" s="2202"/>
      <c r="I80" s="2203"/>
      <c r="J80" s="2161">
        <v>0</v>
      </c>
      <c r="K80" s="2162">
        <v>0</v>
      </c>
      <c r="L80" s="2162">
        <v>0</v>
      </c>
      <c r="M80" s="2161">
        <v>0</v>
      </c>
      <c r="N80" s="2162">
        <v>0</v>
      </c>
      <c r="O80" s="2163">
        <v>0</v>
      </c>
      <c r="P80" s="584"/>
      <c r="Q80" s="1450"/>
      <c r="R80" s="1189"/>
      <c r="S80" s="603"/>
      <c r="T80" s="603"/>
      <c r="U80" s="603"/>
      <c r="V80" s="603"/>
      <c r="W80" s="603"/>
      <c r="X80" s="603"/>
      <c r="Y80" s="603"/>
      <c r="Z80" s="603"/>
      <c r="AA80" s="603"/>
      <c r="AB80" s="603"/>
      <c r="AC80" s="603"/>
      <c r="AD80" s="603"/>
      <c r="AE80" s="603"/>
      <c r="AF80" s="603"/>
      <c r="AG80" s="603"/>
      <c r="AH80" s="603"/>
      <c r="AI80" s="603"/>
      <c r="AJ80" s="464"/>
    </row>
    <row r="81" spans="1:36">
      <c r="A81" s="1682"/>
      <c r="B81" s="2205" t="str">
        <f>""</f>
        <v/>
      </c>
      <c r="C81" s="2201"/>
      <c r="D81" s="2201"/>
      <c r="E81" s="2201"/>
      <c r="F81" s="2201"/>
      <c r="G81" s="2202"/>
      <c r="H81" s="2202"/>
      <c r="I81" s="2206"/>
      <c r="J81" s="2161">
        <v>0</v>
      </c>
      <c r="K81" s="2162">
        <v>0</v>
      </c>
      <c r="L81" s="2169">
        <v>0</v>
      </c>
      <c r="M81" s="2161">
        <v>0</v>
      </c>
      <c r="N81" s="2162">
        <v>0</v>
      </c>
      <c r="O81" s="2170">
        <v>0</v>
      </c>
      <c r="P81" s="584"/>
      <c r="Q81" s="1450">
        <f>IF(G81=0,0,P81/steel_density/(G81/1000))</f>
        <v>0</v>
      </c>
      <c r="R81" s="1502"/>
      <c r="S81" s="603"/>
      <c r="T81" s="572"/>
      <c r="U81" s="572"/>
      <c r="V81" s="572"/>
      <c r="W81" s="603"/>
      <c r="X81" s="603"/>
      <c r="Y81" s="603"/>
      <c r="Z81" s="603"/>
      <c r="AA81" s="603"/>
      <c r="AB81" s="603"/>
      <c r="AC81" s="603"/>
      <c r="AD81" s="603"/>
      <c r="AE81" s="603"/>
      <c r="AF81" s="603"/>
      <c r="AG81" s="603"/>
      <c r="AH81" s="603"/>
      <c r="AI81" s="603"/>
      <c r="AJ81" s="464"/>
    </row>
    <row r="82" spans="1:36">
      <c r="A82" s="1680"/>
      <c r="B82" s="2199" t="str">
        <f>""</f>
        <v/>
      </c>
      <c r="C82" s="2202"/>
      <c r="D82" s="2202"/>
      <c r="E82" s="2202"/>
      <c r="F82" s="2202"/>
      <c r="G82" s="2202"/>
      <c r="H82" s="2202"/>
      <c r="I82" s="2203"/>
      <c r="J82" s="2161">
        <v>0</v>
      </c>
      <c r="K82" s="2162">
        <v>0</v>
      </c>
      <c r="L82" s="2169">
        <v>0</v>
      </c>
      <c r="M82" s="2161">
        <v>0</v>
      </c>
      <c r="N82" s="2162">
        <v>0</v>
      </c>
      <c r="O82" s="2170">
        <v>0</v>
      </c>
      <c r="P82" s="584"/>
      <c r="Q82" s="1450"/>
      <c r="R82" s="1189"/>
      <c r="S82" s="603"/>
      <c r="T82" s="603"/>
      <c r="U82" s="603"/>
      <c r="V82" s="603"/>
      <c r="W82" s="603"/>
      <c r="X82" s="603"/>
      <c r="Y82" s="603"/>
      <c r="Z82" s="603"/>
      <c r="AA82" s="603"/>
      <c r="AB82" s="603"/>
      <c r="AC82" s="603"/>
      <c r="AD82" s="603"/>
      <c r="AE82" s="603"/>
      <c r="AF82" s="603"/>
      <c r="AG82" s="603"/>
      <c r="AH82" s="603"/>
      <c r="AI82" s="603"/>
      <c r="AJ82" s="464"/>
    </row>
    <row r="83" spans="1:36">
      <c r="A83" s="604"/>
      <c r="B83" s="2204" t="str">
        <f>""</f>
        <v/>
      </c>
      <c r="C83" s="2202"/>
      <c r="D83" s="2202"/>
      <c r="E83" s="2202"/>
      <c r="F83" s="2202"/>
      <c r="G83" s="2202"/>
      <c r="H83" s="2202"/>
      <c r="I83" s="2207"/>
      <c r="J83" s="2161">
        <v>0</v>
      </c>
      <c r="K83" s="2162">
        <v>0</v>
      </c>
      <c r="L83" s="2162">
        <v>0</v>
      </c>
      <c r="M83" s="2161">
        <v>0</v>
      </c>
      <c r="N83" s="2162">
        <v>0</v>
      </c>
      <c r="O83" s="2163">
        <v>0</v>
      </c>
      <c r="P83" s="584"/>
      <c r="Q83" s="1450"/>
      <c r="R83" s="644"/>
      <c r="S83" s="603"/>
      <c r="T83" s="603"/>
      <c r="U83" s="603"/>
      <c r="V83" s="603"/>
      <c r="W83" s="603"/>
      <c r="X83" s="603"/>
      <c r="Y83" s="603"/>
      <c r="Z83" s="603"/>
      <c r="AA83" s="603"/>
      <c r="AB83" s="603"/>
      <c r="AC83" s="603"/>
      <c r="AD83" s="603"/>
      <c r="AE83" s="603"/>
      <c r="AF83" s="603"/>
      <c r="AG83" s="603"/>
      <c r="AH83" s="603"/>
      <c r="AI83" s="603"/>
      <c r="AJ83" s="464"/>
    </row>
    <row r="84" spans="1:36">
      <c r="A84" s="604"/>
      <c r="B84" s="2204" t="str">
        <f>""</f>
        <v/>
      </c>
      <c r="C84" s="2202"/>
      <c r="D84" s="2202"/>
      <c r="E84" s="2202"/>
      <c r="F84" s="2202"/>
      <c r="G84" s="2202"/>
      <c r="H84" s="2202"/>
      <c r="I84" s="2203"/>
      <c r="J84" s="2161">
        <v>0</v>
      </c>
      <c r="K84" s="2162">
        <v>0</v>
      </c>
      <c r="L84" s="2162">
        <v>0</v>
      </c>
      <c r="M84" s="2161">
        <v>0</v>
      </c>
      <c r="N84" s="2162">
        <v>0</v>
      </c>
      <c r="O84" s="2163">
        <v>0</v>
      </c>
      <c r="P84" s="584"/>
      <c r="Q84" s="1450"/>
      <c r="R84" s="1503"/>
      <c r="S84" s="603"/>
      <c r="T84" s="603"/>
      <c r="U84" s="603"/>
      <c r="V84" s="603"/>
      <c r="W84" s="603"/>
      <c r="X84" s="603"/>
      <c r="Y84" s="603"/>
      <c r="Z84" s="603"/>
      <c r="AA84" s="603"/>
      <c r="AB84" s="603"/>
      <c r="AC84" s="603"/>
      <c r="AD84" s="603"/>
      <c r="AE84" s="603"/>
      <c r="AF84" s="603"/>
      <c r="AG84" s="603"/>
      <c r="AH84" s="603"/>
      <c r="AI84" s="603"/>
      <c r="AJ84" s="464"/>
    </row>
    <row r="85" spans="1:36">
      <c r="A85" s="604"/>
      <c r="B85" s="2208" t="str">
        <f>""</f>
        <v/>
      </c>
      <c r="C85" s="2201"/>
      <c r="D85" s="2201"/>
      <c r="E85" s="2201"/>
      <c r="F85" s="2201"/>
      <c r="G85" s="2201"/>
      <c r="H85" s="2201"/>
      <c r="I85" s="2207"/>
      <c r="J85" s="2161">
        <v>0</v>
      </c>
      <c r="K85" s="2162">
        <v>0</v>
      </c>
      <c r="L85" s="2169">
        <v>0</v>
      </c>
      <c r="M85" s="2161">
        <v>0</v>
      </c>
      <c r="N85" s="2162">
        <v>0</v>
      </c>
      <c r="O85" s="2170">
        <v>0</v>
      </c>
      <c r="P85" s="584"/>
      <c r="Q85" s="1450">
        <f>IF(G85=0,0,P85/steel_density/(G85/1000))</f>
        <v>0</v>
      </c>
      <c r="R85" s="644"/>
      <c r="S85" s="603"/>
      <c r="T85" s="603"/>
      <c r="U85" s="603"/>
      <c r="V85" s="603"/>
      <c r="W85" s="603"/>
      <c r="X85" s="603"/>
      <c r="Y85" s="603"/>
      <c r="Z85" s="603"/>
      <c r="AA85" s="603"/>
      <c r="AB85" s="603"/>
      <c r="AC85" s="603"/>
      <c r="AD85" s="603"/>
      <c r="AE85" s="603"/>
      <c r="AF85" s="603"/>
      <c r="AG85" s="603"/>
      <c r="AH85" s="603"/>
      <c r="AI85" s="603"/>
      <c r="AJ85" s="464"/>
    </row>
    <row r="86" spans="1:36">
      <c r="A86" s="604"/>
      <c r="B86" s="2199" t="str">
        <f>""</f>
        <v/>
      </c>
      <c r="C86" s="2202"/>
      <c r="D86" s="2201"/>
      <c r="E86" s="2201"/>
      <c r="F86" s="2201"/>
      <c r="G86" s="2201"/>
      <c r="H86" s="2201"/>
      <c r="I86" s="2207"/>
      <c r="J86" s="2161">
        <v>0</v>
      </c>
      <c r="K86" s="2162">
        <v>0</v>
      </c>
      <c r="L86" s="2169">
        <v>0</v>
      </c>
      <c r="M86" s="2161">
        <v>0</v>
      </c>
      <c r="N86" s="2162">
        <v>0</v>
      </c>
      <c r="O86" s="2170">
        <v>0</v>
      </c>
      <c r="P86" s="602"/>
      <c r="Q86" s="1454"/>
      <c r="R86" s="644"/>
      <c r="S86" s="603"/>
      <c r="T86" s="603"/>
      <c r="U86" s="603"/>
      <c r="V86" s="603"/>
      <c r="W86" s="603"/>
      <c r="X86" s="603"/>
      <c r="Y86" s="603"/>
      <c r="Z86" s="603"/>
      <c r="AA86" s="603"/>
      <c r="AB86" s="603"/>
      <c r="AC86" s="603"/>
      <c r="AD86" s="603"/>
      <c r="AE86" s="603"/>
      <c r="AF86" s="603"/>
      <c r="AG86" s="603"/>
      <c r="AH86" s="603"/>
      <c r="AI86" s="603"/>
      <c r="AJ86" s="464"/>
    </row>
    <row r="87" spans="1:36">
      <c r="A87" s="1680"/>
      <c r="B87" s="2204" t="str">
        <f>""</f>
        <v/>
      </c>
      <c r="C87" s="2202"/>
      <c r="D87" s="2201"/>
      <c r="E87" s="2201"/>
      <c r="F87" s="2201"/>
      <c r="G87" s="2201"/>
      <c r="H87" s="2201"/>
      <c r="I87" s="2207"/>
      <c r="J87" s="2161">
        <v>0</v>
      </c>
      <c r="K87" s="2162">
        <v>0</v>
      </c>
      <c r="L87" s="2162">
        <v>0</v>
      </c>
      <c r="M87" s="2161">
        <v>0</v>
      </c>
      <c r="N87" s="2162">
        <v>0</v>
      </c>
      <c r="O87" s="2163">
        <v>0</v>
      </c>
      <c r="P87" s="584"/>
      <c r="Q87" s="1450"/>
      <c r="R87" s="644"/>
      <c r="S87" s="603"/>
      <c r="T87" s="603"/>
      <c r="U87" s="603"/>
      <c r="V87" s="603"/>
      <c r="W87" s="603"/>
      <c r="X87" s="603"/>
      <c r="Y87" s="603"/>
      <c r="Z87" s="603"/>
      <c r="AA87" s="603"/>
      <c r="AB87" s="603"/>
      <c r="AC87" s="603"/>
      <c r="AD87" s="603"/>
      <c r="AE87" s="603"/>
      <c r="AF87" s="603"/>
      <c r="AG87" s="603"/>
      <c r="AH87" s="603"/>
      <c r="AI87" s="603"/>
      <c r="AJ87" s="464"/>
    </row>
    <row r="88" spans="1:36" ht="15.75" thickBot="1">
      <c r="A88" s="1684"/>
      <c r="B88" s="2209" t="str">
        <f>""</f>
        <v/>
      </c>
      <c r="C88" s="2210"/>
      <c r="D88" s="2210"/>
      <c r="E88" s="2210"/>
      <c r="F88" s="2210"/>
      <c r="G88" s="2210"/>
      <c r="H88" s="2210"/>
      <c r="I88" s="2211"/>
      <c r="J88" s="2164">
        <v>0</v>
      </c>
      <c r="K88" s="2165">
        <v>0</v>
      </c>
      <c r="L88" s="2165">
        <v>0</v>
      </c>
      <c r="M88" s="2164">
        <v>0</v>
      </c>
      <c r="N88" s="2165">
        <v>0</v>
      </c>
      <c r="O88" s="2166">
        <v>0</v>
      </c>
      <c r="P88" s="605"/>
      <c r="Q88" s="1455"/>
      <c r="R88" s="644"/>
      <c r="S88" s="603"/>
      <c r="T88" s="603"/>
      <c r="U88" s="580"/>
      <c r="V88" s="603"/>
      <c r="W88" s="603"/>
      <c r="X88" s="603"/>
      <c r="Y88" s="603"/>
      <c r="Z88" s="603"/>
      <c r="AA88" s="603"/>
      <c r="AB88" s="603"/>
      <c r="AC88" s="603"/>
      <c r="AD88" s="603"/>
      <c r="AE88" s="603"/>
      <c r="AF88" s="603"/>
      <c r="AG88" s="603"/>
      <c r="AH88" s="603"/>
      <c r="AI88" s="603"/>
      <c r="AJ88" s="464"/>
    </row>
    <row r="89" spans="1:36">
      <c r="A89" s="642"/>
      <c r="B89" s="642"/>
      <c r="C89" s="580"/>
      <c r="D89" s="580"/>
      <c r="E89" s="580"/>
      <c r="F89" s="580"/>
      <c r="G89" s="580"/>
      <c r="H89" s="580"/>
      <c r="I89" s="580"/>
      <c r="J89" s="599"/>
      <c r="K89" s="580"/>
      <c r="L89" s="580"/>
      <c r="M89" s="599"/>
      <c r="N89" s="580"/>
      <c r="O89" s="601"/>
      <c r="P89" s="602"/>
      <c r="Q89" s="1454"/>
      <c r="R89" s="1189"/>
      <c r="S89" s="603"/>
      <c r="T89" s="603"/>
      <c r="U89" s="603"/>
      <c r="V89" s="603"/>
      <c r="W89" s="603"/>
      <c r="X89" s="603"/>
      <c r="Y89" s="603"/>
      <c r="Z89" s="603"/>
      <c r="AA89" s="603"/>
      <c r="AB89" s="603"/>
      <c r="AC89" s="603"/>
      <c r="AD89" s="603"/>
      <c r="AE89" s="603"/>
      <c r="AF89" s="603"/>
      <c r="AG89" s="603"/>
      <c r="AH89" s="603"/>
      <c r="AI89" s="603"/>
      <c r="AJ89" s="464"/>
    </row>
    <row r="90" spans="1:36">
      <c r="A90" s="1921" t="s">
        <v>1051</v>
      </c>
      <c r="B90" s="1921" t="str">
        <f>IF(DRIVE_Type="Direct","VHF_L","")</f>
        <v>VHF_L</v>
      </c>
      <c r="C90" s="484" t="e">
        <f ca="1">HF_V</f>
        <v>#REF!</v>
      </c>
      <c r="D90" s="587" t="e">
        <f ca="1">K90-K92</f>
        <v>#REF!</v>
      </c>
      <c r="E90" s="587" t="e">
        <f ca="1">IF(DRIVE_Type="Direct",VLOOKUP($C90,Iron_dim,2,FALSE),0)</f>
        <v>#REF!</v>
      </c>
      <c r="F90" s="587" t="e">
        <f ca="1">IF(DRIVE_Type="Direct",VLOOKUP($C90,Iron_dim,3,FALSE),0)</f>
        <v>#REF!</v>
      </c>
      <c r="G90" s="484" t="e">
        <f ca="1">IF(DRIVE_Type="Direct",VLOOKUP($C90,Iron_dim,4,FALSE),0)</f>
        <v>#REF!</v>
      </c>
      <c r="H90" s="484">
        <v>90</v>
      </c>
      <c r="I90" s="1922" t="s">
        <v>1049</v>
      </c>
      <c r="J90" s="630" t="e">
        <f ca="1">IF(DRIVE_Type="Direct",M90-VLOOKUP(H_STD_Re,Iron_dim,3,FALSE),0)</f>
        <v>#REF!</v>
      </c>
      <c r="K90" s="613" t="e">
        <f ca="1">N90</f>
        <v>#REF!</v>
      </c>
      <c r="L90" s="2434" t="e">
        <f ca="1">IF(DRIVE_Type="Direct",IF(VHFL_Z&lt;&gt;0,VHFL_Z,IF(Small_F,'House reinf, Drive Side'!$R$9,L41)),0)</f>
        <v>#REF!</v>
      </c>
      <c r="M90" s="630" t="e">
        <f ca="1">IF(DRIVE_Type="Direct",IF(Small_F,MB+MC,J47)+DRa2H_D,0)</f>
        <v>#REF!</v>
      </c>
      <c r="N90" s="1934" t="e">
        <f ca="1">IF(DRIVE_Type="Direct",'House reinf, Drive Side'!$U$9+Center_H+IF(INS=0,0,INS+Lift_He),0)</f>
        <v>#REF!</v>
      </c>
      <c r="O90" s="631" t="e">
        <f ca="1">L90</f>
        <v>#REF!</v>
      </c>
      <c r="P90" s="632" t="e">
        <f ca="1">D90/1000*(M90-J90+M91-J92)/2000*G90/1000*steel_density</f>
        <v>#REF!</v>
      </c>
      <c r="Q90" s="1456" t="e">
        <f ca="1">IF(G90=0,0,P90/steel_density/(G90/1000))</f>
        <v>#REF!</v>
      </c>
      <c r="R90" s="644"/>
      <c r="S90" s="603"/>
      <c r="T90" s="603"/>
      <c r="U90" s="580"/>
      <c r="V90" s="603"/>
      <c r="W90" s="603"/>
      <c r="X90" s="603"/>
      <c r="Y90" s="603"/>
      <c r="Z90" s="603"/>
      <c r="AA90" s="603"/>
      <c r="AB90" s="603"/>
      <c r="AC90" s="603"/>
      <c r="AD90" s="603"/>
      <c r="AE90" s="603"/>
      <c r="AF90" s="603"/>
      <c r="AG90" s="603"/>
      <c r="AH90" s="603"/>
      <c r="AI90" s="603"/>
      <c r="AJ90" s="464"/>
    </row>
    <row r="91" spans="1:36">
      <c r="A91" s="604"/>
      <c r="B91" s="604" t="str">
        <f>IF(DRIVE_Type="Direct","vhf_L1","")</f>
        <v>vhf_L1</v>
      </c>
      <c r="C91" s="493"/>
      <c r="D91" s="493"/>
      <c r="E91" s="493"/>
      <c r="F91" s="493"/>
      <c r="G91" s="493"/>
      <c r="H91" s="493"/>
      <c r="I91" s="493"/>
      <c r="J91" s="609" t="e">
        <f ca="1">J92</f>
        <v>#REF!</v>
      </c>
      <c r="K91" s="580" t="e">
        <f ca="1">IF(DRIVE_Type="Direct",IF(Small_F,K92+VLOOKUP("U100",Iron_dim,3,FALSE),K92+F29),0)</f>
        <v>#REF!</v>
      </c>
      <c r="L91" s="608" t="e">
        <f ca="1">L90</f>
        <v>#REF!</v>
      </c>
      <c r="M91" s="609" t="e">
        <f ca="1">M90</f>
        <v>#REF!</v>
      </c>
      <c r="N91" s="608" t="e">
        <f ca="1">K92</f>
        <v>#REF!</v>
      </c>
      <c r="O91" s="611" t="e">
        <f t="shared" ref="O91" ca="1" si="1">L91</f>
        <v>#REF!</v>
      </c>
      <c r="P91" s="584"/>
      <c r="Q91" s="1450"/>
      <c r="R91" s="644"/>
      <c r="S91" s="603"/>
      <c r="T91" s="603"/>
      <c r="U91" s="639"/>
      <c r="V91" s="603"/>
      <c r="W91" s="603"/>
      <c r="X91" s="603"/>
      <c r="Y91" s="603"/>
      <c r="Z91" s="637"/>
      <c r="AA91" s="637"/>
      <c r="AB91" s="637"/>
      <c r="AC91" s="637"/>
      <c r="AD91" s="637"/>
      <c r="AE91" s="637"/>
      <c r="AF91" s="580"/>
      <c r="AG91" s="580"/>
      <c r="AH91" s="580"/>
      <c r="AI91" s="580"/>
      <c r="AJ91" s="464"/>
    </row>
    <row r="92" spans="1:36">
      <c r="A92" s="604"/>
      <c r="B92" s="604" t="str">
        <f>IF(DRIVE_Type="Direct","vhf_L2","")</f>
        <v>vhf_L2</v>
      </c>
      <c r="C92" s="493"/>
      <c r="D92" s="493"/>
      <c r="E92" s="493"/>
      <c r="F92" s="493"/>
      <c r="G92" s="493"/>
      <c r="H92" s="493"/>
      <c r="I92" s="493"/>
      <c r="J92" s="599" t="e">
        <f ca="1">IF(DRIVE_Type="Direct",IF(Small_F,MB+MC,M47),0)</f>
        <v>#REF!</v>
      </c>
      <c r="K92" s="1935" t="e">
        <f ca="1">IF(DRIVE_Type="Direct",'House reinf, Drive Side'!$S$9+Center_H,0)</f>
        <v>#REF!</v>
      </c>
      <c r="L92" s="608" t="e">
        <f ca="1">L91</f>
        <v>#REF!</v>
      </c>
      <c r="M92" s="599"/>
      <c r="N92" s="580"/>
      <c r="O92" s="583"/>
      <c r="P92" s="584"/>
      <c r="Q92" s="1450"/>
      <c r="R92" s="640"/>
      <c r="S92" s="580"/>
      <c r="T92" s="580"/>
      <c r="U92" s="636"/>
      <c r="V92" s="636"/>
      <c r="W92" s="636"/>
      <c r="X92" s="636"/>
      <c r="Y92" s="636"/>
      <c r="Z92" s="637"/>
      <c r="AA92" s="637"/>
      <c r="AB92" s="637"/>
      <c r="AC92" s="637"/>
      <c r="AD92" s="637"/>
      <c r="AE92" s="637"/>
      <c r="AF92" s="580"/>
      <c r="AG92" s="580"/>
      <c r="AH92" s="580"/>
      <c r="AI92" s="580"/>
      <c r="AJ92" s="464"/>
    </row>
    <row r="93" spans="1:36" s="621" customFormat="1">
      <c r="A93" s="1682"/>
      <c r="B93" s="622" t="str">
        <f>IF(DRIVE_Type="Direct","VHF_R","")</f>
        <v>VHF_R</v>
      </c>
      <c r="C93" s="493" t="e">
        <f ca="1">HF_V</f>
        <v>#REF!</v>
      </c>
      <c r="D93" s="580" t="e">
        <f ca="1">K93-K95</f>
        <v>#REF!</v>
      </c>
      <c r="E93" s="580" t="e">
        <f ca="1">IF(DRIVE_Type="Direct",VLOOKUP($C93,Iron_dim,2,FALSE),0)</f>
        <v>#REF!</v>
      </c>
      <c r="F93" s="580" t="e">
        <f ca="1">IF(DRIVE_Type="Direct",VLOOKUP($C93,Iron_dim,3,FALSE),0)</f>
        <v>#REF!</v>
      </c>
      <c r="G93" s="493" t="e">
        <f ca="1">IF(DRIVE_Type="Direct",VLOOKUP($C93,Iron_dim,4,FALSE),0)</f>
        <v>#REF!</v>
      </c>
      <c r="H93" s="493">
        <v>90</v>
      </c>
      <c r="I93" s="623" t="s">
        <v>1048</v>
      </c>
      <c r="J93" s="492" t="e">
        <f ca="1">IF(DRIVE_Type="Direct",M93-VLOOKUP(H_STD_Re,Iron_dim,3,FALSE),0)</f>
        <v>#REF!</v>
      </c>
      <c r="K93" s="608" t="e">
        <f ca="1">N93</f>
        <v>#REF!</v>
      </c>
      <c r="L93" s="2435" t="e">
        <f ca="1">IF(DRIVE_Type="Direct",IF(VHFR_Z&lt;&gt;0,VHFR_Z,IF(Small_F,'House reinf, Drive Side'!$R$10,O41)),0)</f>
        <v>#REF!</v>
      </c>
      <c r="M93" s="492" t="e">
        <f ca="1">IF(DRIVE_Type="Direct",IF(Small_F,MB+MC,M51)+DRa2H_D,0)</f>
        <v>#REF!</v>
      </c>
      <c r="N93" s="1935" t="e">
        <f ca="1">IF(DRIVE_Type="Direct",'House reinf, Drive Side'!$U$10+Center_H+IF(INS=0,0,INS+Lift_He),0)</f>
        <v>#REF!</v>
      </c>
      <c r="O93" s="611" t="e">
        <f ca="1">L93</f>
        <v>#REF!</v>
      </c>
      <c r="P93" s="584" t="e">
        <f ca="1">D93/1000*(M93-J93+M94-J95)/2000*G93/1000*steel_density</f>
        <v>#REF!</v>
      </c>
      <c r="Q93" s="1450" t="e">
        <f ca="1">IF(G93=0,0,P93/steel_density/(G93/1000))</f>
        <v>#REF!</v>
      </c>
      <c r="R93" s="1189"/>
      <c r="S93" s="603"/>
      <c r="T93" s="603"/>
      <c r="U93" s="603"/>
      <c r="V93" s="603"/>
      <c r="W93" s="603"/>
      <c r="X93" s="603"/>
      <c r="Y93" s="603"/>
      <c r="Z93" s="603"/>
      <c r="AA93" s="603"/>
      <c r="AB93" s="603"/>
      <c r="AC93" s="603"/>
      <c r="AD93" s="603"/>
      <c r="AE93" s="603"/>
      <c r="AF93" s="603"/>
      <c r="AG93" s="603"/>
      <c r="AH93" s="603"/>
      <c r="AI93" s="603"/>
    </row>
    <row r="94" spans="1:36">
      <c r="A94" s="1680"/>
      <c r="B94" s="604" t="str">
        <f>IF(DRIVE_Type="Direct","vhf_R1","")</f>
        <v>vhf_R1</v>
      </c>
      <c r="C94" s="493"/>
      <c r="D94" s="493"/>
      <c r="E94" s="493"/>
      <c r="F94" s="493"/>
      <c r="G94" s="493"/>
      <c r="H94" s="493"/>
      <c r="I94" s="493"/>
      <c r="J94" s="609" t="e">
        <f ca="1">J95</f>
        <v>#REF!</v>
      </c>
      <c r="K94" s="580" t="e">
        <f ca="1">IF(DRIVE_Type="Direct",IF(Small_F,K95+VLOOKUP("U100",Iron_dim,3,FALSE),K95+F33),0)</f>
        <v>#REF!</v>
      </c>
      <c r="L94" s="608" t="e">
        <f ca="1">L93</f>
        <v>#REF!</v>
      </c>
      <c r="M94" s="609" t="e">
        <f ca="1">M93</f>
        <v>#REF!</v>
      </c>
      <c r="N94" s="608" t="e">
        <f ca="1">K95</f>
        <v>#REF!</v>
      </c>
      <c r="O94" s="611" t="e">
        <f t="shared" ref="O94" ca="1" si="2">L94</f>
        <v>#REF!</v>
      </c>
      <c r="P94" s="584"/>
      <c r="Q94" s="1450"/>
      <c r="R94" s="1189"/>
      <c r="S94" s="603"/>
      <c r="T94" s="603"/>
      <c r="U94" s="603"/>
      <c r="V94" s="603"/>
      <c r="W94" s="603"/>
      <c r="X94" s="603"/>
      <c r="Y94" s="603"/>
      <c r="Z94" s="603"/>
      <c r="AA94" s="603"/>
      <c r="AB94" s="603"/>
      <c r="AC94" s="603"/>
      <c r="AD94" s="603"/>
      <c r="AE94" s="603"/>
      <c r="AF94" s="603"/>
      <c r="AG94" s="603"/>
      <c r="AH94" s="603"/>
      <c r="AI94" s="603"/>
      <c r="AJ94" s="464"/>
    </row>
    <row r="95" spans="1:36">
      <c r="A95" s="1680"/>
      <c r="B95" s="642" t="str">
        <f>IF(DRIVE_Type="Direct","vhf_R2","")</f>
        <v>vhf_R2</v>
      </c>
      <c r="C95" s="580"/>
      <c r="D95" s="580"/>
      <c r="E95" s="580"/>
      <c r="F95" s="580"/>
      <c r="G95" s="580"/>
      <c r="H95" s="580"/>
      <c r="I95" s="580"/>
      <c r="J95" s="599" t="e">
        <f ca="1">IF(DRIVE_Type="Direct",IF(Small_F,MB+MC,M51),0)</f>
        <v>#REF!</v>
      </c>
      <c r="K95" s="1935" t="e">
        <f ca="1">IF(DRIVE_Type="Direct",'House reinf, Drive Side'!$S$10+Center_H,0)</f>
        <v>#REF!</v>
      </c>
      <c r="L95" s="608" t="e">
        <f ca="1">L94</f>
        <v>#REF!</v>
      </c>
      <c r="M95" s="599"/>
      <c r="N95" s="580"/>
      <c r="O95" s="601"/>
      <c r="P95" s="584"/>
      <c r="Q95" s="1450"/>
      <c r="R95" s="644"/>
      <c r="S95" s="603"/>
      <c r="T95" s="603"/>
      <c r="U95" s="603"/>
      <c r="V95" s="603"/>
      <c r="W95" s="603"/>
      <c r="X95" s="603"/>
      <c r="Y95" s="603"/>
      <c r="Z95" s="603"/>
      <c r="AA95" s="603"/>
      <c r="AB95" s="603"/>
      <c r="AC95" s="603"/>
      <c r="AD95" s="603"/>
      <c r="AE95" s="603"/>
      <c r="AF95" s="603"/>
      <c r="AG95" s="603"/>
      <c r="AH95" s="603"/>
      <c r="AI95" s="603"/>
      <c r="AJ95" s="464"/>
    </row>
    <row r="96" spans="1:36">
      <c r="A96" s="1682"/>
      <c r="B96" s="622" t="str">
        <f>IF(DRIVE_Type="Direct","HFHi","")</f>
        <v>HFHi</v>
      </c>
      <c r="C96" s="493" t="e">
        <f ca="1">H_STD_Re</f>
        <v>#REF!</v>
      </c>
      <c r="D96" s="493" t="e">
        <f ca="1">O96-L96</f>
        <v>#REF!</v>
      </c>
      <c r="E96" s="580" t="e">
        <f ca="1">IF(DRIVE_Type="Direct",VLOOKUP($C96,Iron_dim,2,FALSE),0)</f>
        <v>#REF!</v>
      </c>
      <c r="F96" s="580" t="e">
        <f ca="1">IF(DRIVE_Type="Direct",VLOOKUP($C96,Iron_dim,3,FALSE),0)</f>
        <v>#REF!</v>
      </c>
      <c r="G96" s="493" t="e">
        <f ca="1">IF(DRIVE_Type="Direct",VLOOKUP($C96,Iron_dim,4,FALSE),0)</f>
        <v>#REF!</v>
      </c>
      <c r="H96" s="493"/>
      <c r="I96" s="623" t="s">
        <v>1049</v>
      </c>
      <c r="J96" s="492" t="e">
        <f ca="1">IF(DRIVE_Type="Direct",M93-F96,0)</f>
        <v>#REF!</v>
      </c>
      <c r="K96" s="580" t="e">
        <f ca="1">IF(DRIVE_Type="Direct",'House reinf, Drive Side'!$S$13+Center_H,0)</f>
        <v>#REF!</v>
      </c>
      <c r="L96" s="600" t="e">
        <f ca="1">IF(DRIVE_Type="Direct",'House reinf, Drive Side'!$R$13,0)</f>
        <v>#REF!</v>
      </c>
      <c r="M96" s="609" t="e">
        <f ca="1">M91</f>
        <v>#REF!</v>
      </c>
      <c r="N96" s="608" t="e">
        <f ca="1">K96</f>
        <v>#REF!</v>
      </c>
      <c r="O96" s="2240" t="e">
        <f ca="1">-L96</f>
        <v>#REF!</v>
      </c>
      <c r="P96" s="584" t="e">
        <f ca="1">D96/1000*F96/1000*G96/1000*steel_density</f>
        <v>#REF!</v>
      </c>
      <c r="Q96" s="1450" t="e">
        <f ca="1">IF(G96=0,0,P96/steel_density/(G96/1000))</f>
        <v>#REF!</v>
      </c>
      <c r="R96" s="644"/>
      <c r="S96" s="603"/>
      <c r="T96" s="603"/>
      <c r="U96" s="603"/>
      <c r="V96" s="603"/>
      <c r="W96" s="603"/>
      <c r="X96" s="603"/>
      <c r="Y96" s="603"/>
      <c r="Z96" s="603"/>
      <c r="AA96" s="603"/>
      <c r="AB96" s="603"/>
      <c r="AC96" s="603"/>
      <c r="AD96" s="603"/>
      <c r="AE96" s="603"/>
      <c r="AF96" s="603"/>
      <c r="AG96" s="603"/>
      <c r="AH96" s="603"/>
      <c r="AI96" s="603"/>
      <c r="AJ96" s="464"/>
    </row>
    <row r="97" spans="1:36">
      <c r="A97" s="1680"/>
      <c r="B97" s="585" t="str">
        <f>IF(DRIVE_Type="Direct","hfhi","")</f>
        <v>hfhi</v>
      </c>
      <c r="C97" s="582"/>
      <c r="D97" s="493"/>
      <c r="E97" s="493"/>
      <c r="F97" s="493"/>
      <c r="G97" s="493"/>
      <c r="H97" s="493"/>
      <c r="I97" s="494"/>
      <c r="J97" s="609" t="e">
        <f ca="1">J96</f>
        <v>#REF!</v>
      </c>
      <c r="K97" s="493" t="e">
        <f ca="1">IF(DRIVE_Type="Direct",K96-G96,0)</f>
        <v>#REF!</v>
      </c>
      <c r="L97" s="610" t="e">
        <f ca="1">L96</f>
        <v>#REF!</v>
      </c>
      <c r="M97" s="609" t="e">
        <f ca="1">M96</f>
        <v>#REF!</v>
      </c>
      <c r="N97" s="608" t="e">
        <f ca="1">K97</f>
        <v>#REF!</v>
      </c>
      <c r="O97" s="2240" t="e">
        <f ca="1">-L97</f>
        <v>#REF!</v>
      </c>
      <c r="P97" s="584"/>
      <c r="Q97" s="1450"/>
      <c r="R97" s="1189"/>
      <c r="S97" s="603"/>
      <c r="T97" s="603"/>
      <c r="U97" s="603"/>
      <c r="V97" s="603"/>
      <c r="W97" s="603"/>
      <c r="X97" s="603"/>
      <c r="Y97" s="603"/>
      <c r="Z97" s="603"/>
      <c r="AA97" s="603"/>
      <c r="AB97" s="603"/>
      <c r="AC97" s="603"/>
      <c r="AD97" s="603"/>
      <c r="AE97" s="603"/>
      <c r="AF97" s="603"/>
      <c r="AG97" s="603"/>
      <c r="AH97" s="603"/>
      <c r="AI97" s="603"/>
      <c r="AJ97" s="464"/>
    </row>
    <row r="98" spans="1:36">
      <c r="A98" s="1951"/>
      <c r="B98" s="629" t="e">
        <f ca="1">IF(DRIVE_Type="Direct",'House reinf, Inlet Side'!$Q$15,"")</f>
        <v>#REF!</v>
      </c>
      <c r="C98" s="1944" t="str">
        <f>HS_P</f>
        <v>P5</v>
      </c>
      <c r="D98" s="587"/>
      <c r="E98" s="587" t="e">
        <f ca="1">(N98-K98)/SIN(R_angle)</f>
        <v>#REF!</v>
      </c>
      <c r="F98" s="587" t="e">
        <f ca="1">M98-J98</f>
        <v>#REF!</v>
      </c>
      <c r="G98" s="484">
        <f>IF(DRIVE_Type="Direct",VLOOKUP($C98,Iron_dim,4,FALSE),0)</f>
        <v>5</v>
      </c>
      <c r="H98" s="1643"/>
      <c r="I98" s="1953"/>
      <c r="J98" s="1955" t="e">
        <f ca="1">IF(DRIVE_Type="Direct",IF(Small_F,0,J47),0)</f>
        <v>#REF!</v>
      </c>
      <c r="K98" s="1945" t="e">
        <f ca="1">IF(DRIVE_Type="Direct",'House reinf, Drive Side'!$S$15+Center_H,0)</f>
        <v>#REF!</v>
      </c>
      <c r="L98" s="1956" t="e">
        <f ca="1">IF(DRIVE_Type="Direct",IF(B98="C_HSP",0,'House reinf, Drive Side'!$R$15),0)</f>
        <v>#REF!</v>
      </c>
      <c r="M98" s="1961" t="e">
        <f ca="1">M122</f>
        <v>#REF!</v>
      </c>
      <c r="N98" s="1945" t="e">
        <f ca="1">IF(DRIVE_Type="Direct",'House reinf, Drive Side'!$U$15+Center_H,0)</f>
        <v>#REF!</v>
      </c>
      <c r="O98" s="1957" t="e">
        <f ca="1">IF(DRIVE_Type="Direct",'House reinf, Drive Side'!$T$15,0)</f>
        <v>#REF!</v>
      </c>
      <c r="P98" s="590" t="e">
        <f ca="1">E98/1000*F98/1000*G98/1000*steel_density</f>
        <v>#REF!</v>
      </c>
      <c r="Q98" s="1452" t="e">
        <f ca="1">IF(G98=0,0,P98/steel_density/(G98/1000))</f>
        <v>#REF!</v>
      </c>
      <c r="R98" s="644"/>
      <c r="S98" s="603"/>
      <c r="T98" s="603"/>
      <c r="U98" s="580"/>
      <c r="V98" s="603"/>
      <c r="W98" s="603"/>
      <c r="X98" s="603"/>
      <c r="Y98" s="603"/>
      <c r="Z98" s="603"/>
      <c r="AA98" s="603"/>
      <c r="AB98" s="603"/>
      <c r="AC98" s="603"/>
      <c r="AD98" s="603"/>
      <c r="AE98" s="603"/>
      <c r="AF98" s="603"/>
      <c r="AG98" s="603"/>
      <c r="AH98" s="603"/>
      <c r="AI98" s="603"/>
      <c r="AJ98" s="464"/>
    </row>
    <row r="99" spans="1:36">
      <c r="A99" s="1952"/>
      <c r="B99" s="1647" t="e">
        <f ca="1">IF(DRIVE_Type="Direct",'House reinf, Inlet Side'!$Q$16,"")</f>
        <v>#REF!</v>
      </c>
      <c r="C99" s="593" t="str">
        <f>HS_P</f>
        <v>P5</v>
      </c>
      <c r="D99" s="593"/>
      <c r="E99" s="593" t="e">
        <f ca="1">(N99-K99)/SIN(R_angle)</f>
        <v>#REF!</v>
      </c>
      <c r="F99" s="593" t="e">
        <f ca="1">M99-J99</f>
        <v>#REF!</v>
      </c>
      <c r="G99" s="479">
        <f>IF(DRIVE_Type="Direct",VLOOKUP($C99,Iron_dim,4,FALSE),0)</f>
        <v>5</v>
      </c>
      <c r="H99" s="1787"/>
      <c r="I99" s="1954"/>
      <c r="J99" s="1958" t="e">
        <f ca="1">IF(DRIVE_Type="Direct",IF(Small_F,0,M51),0)</f>
        <v>#REF!</v>
      </c>
      <c r="K99" s="1936" t="e">
        <f ca="1">IF(DRIVE_Type="Direct",'House reinf, Drive Side'!$S$16+Center_H,0)</f>
        <v>#REF!</v>
      </c>
      <c r="L99" s="1959" t="e">
        <f ca="1">IF(DRIVE_Type="Direct",IF(B99="C_HSP",0,'House reinf, Drive Side'!$R$16),0)</f>
        <v>#REF!</v>
      </c>
      <c r="M99" s="1962" t="e">
        <f ca="1">M126</f>
        <v>#REF!</v>
      </c>
      <c r="N99" s="1936" t="e">
        <f ca="1">IF(DRIVE_Type="Direct",'House reinf, Drive Side'!$U$16+Center_H,0)</f>
        <v>#REF!</v>
      </c>
      <c r="O99" s="1960" t="e">
        <f ca="1">IF(DRIVE_Type="Direct",'House reinf, Drive Side'!$T$16,0)</f>
        <v>#REF!</v>
      </c>
      <c r="P99" s="605" t="e">
        <f ca="1">E99/1000*F99/1000*G99/1000*steel_density</f>
        <v>#REF!</v>
      </c>
      <c r="Q99" s="1455" t="e">
        <f ca="1">IF(G99=0,0,P99/steel_density/(G99/1000))</f>
        <v>#REF!</v>
      </c>
      <c r="R99" s="1189"/>
      <c r="S99" s="603"/>
      <c r="T99" s="603"/>
      <c r="U99" s="603"/>
      <c r="V99" s="603"/>
      <c r="W99" s="603"/>
      <c r="X99" s="603"/>
      <c r="Y99" s="603"/>
      <c r="Z99" s="603"/>
      <c r="AA99" s="603"/>
      <c r="AB99" s="603"/>
      <c r="AC99" s="603"/>
      <c r="AD99" s="603"/>
      <c r="AE99" s="603"/>
      <c r="AF99" s="603"/>
      <c r="AG99" s="603"/>
      <c r="AH99" s="603"/>
      <c r="AI99" s="603"/>
      <c r="AJ99" s="464"/>
    </row>
    <row r="100" spans="1:36">
      <c r="A100" s="1951"/>
      <c r="B100" s="1963" t="e">
        <f ca="1">IF(DRIVE_Type="Direct",'House reinf, Inlet Side'!$Q$15,"")</f>
        <v>#REF!</v>
      </c>
      <c r="C100" s="1964" t="s">
        <v>3424</v>
      </c>
      <c r="D100" s="1964"/>
      <c r="E100" s="1965"/>
      <c r="F100" s="1965"/>
      <c r="G100" s="1965"/>
      <c r="H100" s="1966"/>
      <c r="I100" s="1710"/>
      <c r="J100" s="609" t="e">
        <f ca="1">J98</f>
        <v>#REF!</v>
      </c>
      <c r="K100" s="608" t="e">
        <f ca="1">K98</f>
        <v>#REF!</v>
      </c>
      <c r="L100" s="2179" t="e">
        <f ca="1">-L98</f>
        <v>#REF!</v>
      </c>
      <c r="M100" s="609" t="e">
        <f ca="1">M98</f>
        <v>#REF!</v>
      </c>
      <c r="N100" s="608" t="e">
        <f ca="1">N98</f>
        <v>#REF!</v>
      </c>
      <c r="O100" s="2181" t="e">
        <f ca="1">-O98</f>
        <v>#REF!</v>
      </c>
      <c r="P100" s="602"/>
      <c r="Q100" s="1454"/>
      <c r="R100" s="1189"/>
      <c r="S100" s="603"/>
      <c r="T100" s="603"/>
      <c r="U100" s="603"/>
      <c r="V100" s="603"/>
      <c r="W100" s="603"/>
      <c r="X100" s="603"/>
      <c r="Y100" s="603"/>
      <c r="Z100" s="603"/>
      <c r="AA100" s="603"/>
      <c r="AB100" s="603"/>
      <c r="AC100" s="603"/>
      <c r="AD100" s="603"/>
      <c r="AE100" s="603"/>
      <c r="AF100" s="603"/>
      <c r="AG100" s="603"/>
      <c r="AH100" s="603"/>
      <c r="AI100" s="603"/>
      <c r="AJ100" s="464"/>
    </row>
    <row r="101" spans="1:36">
      <c r="A101" s="1952"/>
      <c r="B101" s="1967" t="e">
        <f ca="1">IF(DRIVE_Type="Direct",'House reinf, Inlet Side'!$Q$16,"")</f>
        <v>#REF!</v>
      </c>
      <c r="C101" s="1968" t="s">
        <v>3424</v>
      </c>
      <c r="D101" s="1968"/>
      <c r="E101" s="1969"/>
      <c r="F101" s="1969"/>
      <c r="G101" s="1969"/>
      <c r="H101" s="1968"/>
      <c r="I101" s="1711"/>
      <c r="J101" s="618" t="e">
        <f ca="1">J99</f>
        <v>#REF!</v>
      </c>
      <c r="K101" s="616" t="e">
        <f ca="1">K99</f>
        <v>#REF!</v>
      </c>
      <c r="L101" s="2180" t="e">
        <f ca="1">-L99</f>
        <v>#REF!</v>
      </c>
      <c r="M101" s="618" t="e">
        <f ca="1">M99</f>
        <v>#REF!</v>
      </c>
      <c r="N101" s="616" t="e">
        <f ca="1">N99</f>
        <v>#REF!</v>
      </c>
      <c r="O101" s="2182" t="e">
        <f ca="1">-O99</f>
        <v>#REF!</v>
      </c>
      <c r="P101" s="605"/>
      <c r="Q101" s="1455"/>
      <c r="R101" s="1502"/>
      <c r="S101" s="603"/>
      <c r="T101" s="572"/>
      <c r="U101" s="572"/>
      <c r="V101" s="572"/>
      <c r="W101" s="603"/>
      <c r="X101" s="603"/>
      <c r="Y101" s="603"/>
      <c r="Z101" s="603"/>
      <c r="AA101" s="603"/>
      <c r="AB101" s="603"/>
      <c r="AC101" s="603"/>
      <c r="AD101" s="603"/>
      <c r="AE101" s="603"/>
      <c r="AF101" s="603"/>
      <c r="AG101" s="603"/>
      <c r="AH101" s="603"/>
      <c r="AI101" s="603"/>
      <c r="AJ101" s="464"/>
    </row>
    <row r="102" spans="1:36">
      <c r="A102" s="641"/>
      <c r="B102" s="642"/>
      <c r="C102" s="603"/>
      <c r="D102" s="580"/>
      <c r="E102" s="580"/>
      <c r="F102" s="580"/>
      <c r="G102" s="580"/>
      <c r="H102" s="580"/>
      <c r="I102" s="580"/>
      <c r="J102" s="599"/>
      <c r="K102" s="580"/>
      <c r="L102" s="580"/>
      <c r="M102" s="599"/>
      <c r="N102" s="580"/>
      <c r="O102" s="601"/>
      <c r="P102" s="602"/>
      <c r="Q102" s="1454"/>
      <c r="R102" s="1189"/>
      <c r="S102" s="603"/>
      <c r="T102" s="603"/>
      <c r="U102" s="603"/>
      <c r="V102" s="603"/>
      <c r="W102" s="603"/>
      <c r="X102" s="603"/>
      <c r="Y102" s="603"/>
      <c r="Z102" s="603"/>
      <c r="AA102" s="603"/>
      <c r="AB102" s="603"/>
      <c r="AC102" s="603"/>
      <c r="AD102" s="603"/>
      <c r="AE102" s="603"/>
      <c r="AF102" s="603"/>
      <c r="AG102" s="603"/>
      <c r="AH102" s="603"/>
      <c r="AI102" s="603"/>
      <c r="AJ102" s="464"/>
    </row>
    <row r="103" spans="1:36">
      <c r="A103" s="1923" t="s">
        <v>3235</v>
      </c>
      <c r="B103" s="629" t="str">
        <f>IF(DRIVE_Type="Direct","MSMM","")</f>
        <v>MSMM</v>
      </c>
      <c r="C103" s="484" t="e">
        <f ca="1">MS_P</f>
        <v>#REF!</v>
      </c>
      <c r="D103" s="587" t="e">
        <f ca="1">2*E103+(O103-L103)-2*2*(G103+G103)*TAN(R_angle/2)+2*(G103+G103*H103)*R_angle</f>
        <v>#REF!</v>
      </c>
      <c r="E103" s="587" t="e">
        <f ca="1">IF(DRIVE_Type="Direct",IF(Small_F,(MFHe-G120)/SIN(R_angle)-E104,MS_Hemm),0)</f>
        <v>#REF!</v>
      </c>
      <c r="F103" s="587" t="e">
        <f ca="1">J105-J103</f>
        <v>#REF!</v>
      </c>
      <c r="G103" s="587" t="e">
        <f ca="1">IF(DRIVE_Type="Direct",VLOOKUP($C103,Iron_dim,4,FALSE),0)</f>
        <v>#REF!</v>
      </c>
      <c r="H103" s="614" t="e">
        <f ca="1">IF(DRIVE_Type="Direct",LOOKUP(G103/G103,{0,0.3,0.5,1,1.5,2,3,4,5,6,7,8},{0.3333,0.34,0.37,0.41,0.44,0.45,0.46,0.47,0.48,0.49,0.5,0.5}),0)</f>
        <v>#REF!</v>
      </c>
      <c r="I103" s="614" t="s">
        <v>1045</v>
      </c>
      <c r="J103" s="589" t="e">
        <f ca="1">IF(DRIVE_Type="Direct",IF(Small_F,J37,J27),0)</f>
        <v>#REF!</v>
      </c>
      <c r="K103" s="587" t="e">
        <f ca="1">IF(DRIVE_Type="Direct",IF(Small_F,MFHe,K25-1/3*F25),0)</f>
        <v>#REF!</v>
      </c>
      <c r="L103" s="1646" t="e">
        <f ca="1">IF(DRIVE_Type="Direct",IF(Small_F,IF(MA+MK_mult*MK+4*G103&lt;MAB,-MAB/2,-(MA+MK_mult*MK+4*G103)/2),L25+1/3*F25*TAN(R_angle/2)),0)</f>
        <v>#REF!</v>
      </c>
      <c r="M103" s="615" t="e">
        <f ca="1">J103</f>
        <v>#REF!</v>
      </c>
      <c r="N103" s="613" t="e">
        <f ca="1">K103</f>
        <v>#REF!</v>
      </c>
      <c r="O103" s="2176" t="e">
        <f ca="1">-L103</f>
        <v>#REF!</v>
      </c>
      <c r="P103" s="590" t="e">
        <f ca="1">MSMM_w/1000*F103/1000*G103/1000*steel_density</f>
        <v>#REF!</v>
      </c>
      <c r="Q103" s="1452" t="e">
        <f ca="1">IF(G103=0,0,P103/steel_density/(G103/1000))</f>
        <v>#REF!</v>
      </c>
      <c r="R103" s="644"/>
      <c r="S103" s="603"/>
      <c r="T103" s="603"/>
      <c r="U103" s="603"/>
      <c r="V103" s="603"/>
      <c r="W103" s="603"/>
      <c r="X103" s="603"/>
      <c r="Y103" s="603"/>
      <c r="Z103" s="603"/>
      <c r="AA103" s="603"/>
      <c r="AB103" s="603"/>
      <c r="AC103" s="603"/>
      <c r="AD103" s="603"/>
      <c r="AE103" s="603"/>
      <c r="AF103" s="603"/>
      <c r="AG103" s="603"/>
      <c r="AH103" s="603"/>
      <c r="AI103" s="603"/>
      <c r="AJ103" s="464"/>
    </row>
    <row r="104" spans="1:36">
      <c r="A104" s="1924"/>
      <c r="B104" s="642" t="str">
        <f>IF(DRIVE_Type="Direct","msmm","")</f>
        <v>msmm</v>
      </c>
      <c r="C104" s="603"/>
      <c r="D104" s="580"/>
      <c r="E104" s="580" t="e">
        <f ca="1">4*G103</f>
        <v>#REF!</v>
      </c>
      <c r="F104" s="580"/>
      <c r="G104" s="580"/>
      <c r="H104" s="603"/>
      <c r="I104" s="580"/>
      <c r="J104" s="609" t="e">
        <f ca="1">J103</f>
        <v>#REF!</v>
      </c>
      <c r="K104" s="580" t="e">
        <f ca="1">IF(DRIVE_Type="Direct",K103-E103*SIN(R_angle),0)</f>
        <v>#REF!</v>
      </c>
      <c r="L104" s="600" t="e">
        <f ca="1">IF(DRIVE_Type="Direct",L103-(K103-K104)/TAN(R_angle),0)</f>
        <v>#REF!</v>
      </c>
      <c r="M104" s="609" t="e">
        <f ca="1">J104</f>
        <v>#REF!</v>
      </c>
      <c r="N104" s="608" t="e">
        <f ca="1">K104</f>
        <v>#REF!</v>
      </c>
      <c r="O104" s="2175" t="e">
        <f ca="1">-L104</f>
        <v>#REF!</v>
      </c>
      <c r="P104" s="1901"/>
      <c r="Q104" s="1454"/>
      <c r="R104" s="1503"/>
      <c r="S104" s="603"/>
      <c r="T104" s="603"/>
      <c r="U104" s="603"/>
      <c r="V104" s="603"/>
      <c r="W104" s="603"/>
      <c r="X104" s="603"/>
      <c r="Y104" s="603"/>
      <c r="Z104" s="603"/>
      <c r="AA104" s="603"/>
      <c r="AB104" s="603"/>
      <c r="AC104" s="603"/>
      <c r="AD104" s="603"/>
      <c r="AE104" s="603"/>
      <c r="AF104" s="603"/>
      <c r="AG104" s="603"/>
      <c r="AH104" s="603"/>
      <c r="AI104" s="603"/>
      <c r="AJ104" s="464"/>
    </row>
    <row r="105" spans="1:36">
      <c r="A105" s="1925"/>
      <c r="B105" s="1648" t="str">
        <f>IF(DRIVE_Type="Direct","MSMM+","")</f>
        <v>MSMM+</v>
      </c>
      <c r="C105" s="580"/>
      <c r="D105" s="580"/>
      <c r="E105" s="580"/>
      <c r="F105" s="580"/>
      <c r="G105" s="580"/>
      <c r="H105" s="580"/>
      <c r="I105" s="580"/>
      <c r="J105" s="599" t="e">
        <f ca="1">IF(DRIVE_Type="Direct",IF(Small_F,MB+MC+DRa2H_D,J41),0)</f>
        <v>#REF!</v>
      </c>
      <c r="K105" s="608" t="e">
        <f ca="1">K103</f>
        <v>#REF!</v>
      </c>
      <c r="L105" s="610" t="e">
        <f ca="1">L103</f>
        <v>#REF!</v>
      </c>
      <c r="M105" s="609" t="e">
        <f t="shared" ref="M105:M106" ca="1" si="3">J105</f>
        <v>#REF!</v>
      </c>
      <c r="N105" s="608" t="e">
        <f ca="1">K105</f>
        <v>#REF!</v>
      </c>
      <c r="O105" s="2189" t="e">
        <f ca="1">-L105</f>
        <v>#REF!</v>
      </c>
      <c r="P105" s="602"/>
      <c r="Q105" s="1454"/>
      <c r="R105" s="1189"/>
      <c r="S105" s="603"/>
      <c r="T105" s="603"/>
      <c r="U105" s="603"/>
      <c r="V105" s="603"/>
      <c r="W105" s="603"/>
      <c r="X105" s="603"/>
      <c r="Y105" s="603"/>
      <c r="Z105" s="603"/>
      <c r="AA105" s="603"/>
      <c r="AB105" s="603"/>
      <c r="AC105" s="603"/>
      <c r="AD105" s="603"/>
      <c r="AE105" s="603"/>
      <c r="AF105" s="603"/>
      <c r="AG105" s="603"/>
      <c r="AH105" s="603"/>
      <c r="AI105" s="603"/>
      <c r="AJ105" s="464"/>
    </row>
    <row r="106" spans="1:36">
      <c r="A106" s="1925"/>
      <c r="B106" s="1541" t="str">
        <f>IF(DRIVE_Type="Direct","msmm+","")</f>
        <v>msmm+</v>
      </c>
      <c r="C106" s="593"/>
      <c r="D106" s="595"/>
      <c r="E106" s="593"/>
      <c r="F106" s="593"/>
      <c r="G106" s="593"/>
      <c r="H106" s="593"/>
      <c r="I106" s="594"/>
      <c r="J106" s="609" t="e">
        <f ca="1">J105</f>
        <v>#REF!</v>
      </c>
      <c r="K106" s="2241" t="e">
        <f ca="1">K104</f>
        <v>#REF!</v>
      </c>
      <c r="L106" s="610" t="e">
        <f ca="1">L104</f>
        <v>#REF!</v>
      </c>
      <c r="M106" s="609" t="e">
        <f t="shared" ca="1" si="3"/>
        <v>#REF!</v>
      </c>
      <c r="N106" s="608" t="e">
        <f ca="1">K106</f>
        <v>#REF!</v>
      </c>
      <c r="O106" s="2189" t="e">
        <f ca="1">-L106</f>
        <v>#REF!</v>
      </c>
      <c r="P106" s="596"/>
      <c r="Q106" s="1453"/>
      <c r="R106" s="1189"/>
      <c r="S106" s="603"/>
      <c r="T106" s="603"/>
      <c r="U106" s="603"/>
      <c r="V106" s="603"/>
      <c r="W106" s="603"/>
      <c r="X106" s="603"/>
      <c r="Y106" s="603"/>
      <c r="Z106" s="603"/>
      <c r="AA106" s="603"/>
      <c r="AB106" s="603"/>
      <c r="AC106" s="603"/>
      <c r="AD106" s="603"/>
      <c r="AE106" s="603"/>
      <c r="AF106" s="603"/>
      <c r="AG106" s="603"/>
      <c r="AH106" s="603"/>
      <c r="AI106" s="603"/>
      <c r="AJ106" s="464"/>
    </row>
    <row r="107" spans="1:36">
      <c r="A107" s="1923" t="s">
        <v>3536</v>
      </c>
      <c r="B107" s="2212" t="str">
        <f>""</f>
        <v/>
      </c>
      <c r="C107" s="2196"/>
      <c r="D107" s="2196"/>
      <c r="E107" s="2196"/>
      <c r="F107" s="2196"/>
      <c r="G107" s="2196"/>
      <c r="H107" s="2213"/>
      <c r="I107" s="2214"/>
      <c r="J107" s="2171">
        <v>0</v>
      </c>
      <c r="K107" s="2172">
        <v>0</v>
      </c>
      <c r="L107" s="2172">
        <v>0</v>
      </c>
      <c r="M107" s="2171">
        <v>0</v>
      </c>
      <c r="N107" s="2172">
        <v>0</v>
      </c>
      <c r="O107" s="2174">
        <v>0</v>
      </c>
      <c r="P107" s="590"/>
      <c r="Q107" s="1452">
        <f>IF(G107=0,0,P107/steel_density/(G107/1000))</f>
        <v>0</v>
      </c>
      <c r="R107" s="1189"/>
      <c r="S107" s="603"/>
      <c r="T107" s="603"/>
      <c r="U107" s="603"/>
      <c r="V107" s="603"/>
      <c r="W107" s="603"/>
      <c r="X107" s="603"/>
      <c r="Y107" s="603"/>
      <c r="Z107" s="603"/>
      <c r="AA107" s="603"/>
      <c r="AB107" s="603"/>
      <c r="AC107" s="603"/>
      <c r="AD107" s="603"/>
      <c r="AE107" s="603"/>
      <c r="AF107" s="603"/>
      <c r="AG107" s="603"/>
      <c r="AH107" s="603"/>
      <c r="AI107" s="603"/>
      <c r="AJ107" s="464"/>
    </row>
    <row r="108" spans="1:36">
      <c r="A108" s="1924"/>
      <c r="B108" s="2215" t="str">
        <f>""</f>
        <v/>
      </c>
      <c r="C108" s="2216"/>
      <c r="D108" s="2201"/>
      <c r="E108" s="2201"/>
      <c r="F108" s="2201"/>
      <c r="G108" s="2201"/>
      <c r="H108" s="2216"/>
      <c r="I108" s="2217"/>
      <c r="J108" s="2161">
        <v>0</v>
      </c>
      <c r="K108" s="2162">
        <v>0</v>
      </c>
      <c r="L108" s="2162">
        <v>0</v>
      </c>
      <c r="M108" s="2161">
        <v>0</v>
      </c>
      <c r="N108" s="2162">
        <v>0</v>
      </c>
      <c r="O108" s="2163">
        <v>0</v>
      </c>
      <c r="P108" s="602"/>
      <c r="Q108" s="1454"/>
      <c r="R108" s="644"/>
      <c r="S108" s="603"/>
      <c r="T108" s="603"/>
      <c r="U108" s="603"/>
      <c r="V108" s="603"/>
      <c r="W108" s="603"/>
      <c r="X108" s="603"/>
      <c r="Y108" s="603"/>
      <c r="Z108" s="603"/>
      <c r="AA108" s="603"/>
      <c r="AB108" s="603"/>
      <c r="AC108" s="603"/>
      <c r="AD108" s="603"/>
      <c r="AE108" s="603"/>
      <c r="AF108" s="603"/>
      <c r="AG108" s="603"/>
      <c r="AH108" s="603"/>
      <c r="AI108" s="603"/>
      <c r="AJ108" s="464"/>
    </row>
    <row r="109" spans="1:36">
      <c r="A109" s="1925"/>
      <c r="B109" s="2218" t="str">
        <f>""</f>
        <v/>
      </c>
      <c r="C109" s="2201"/>
      <c r="D109" s="2201"/>
      <c r="E109" s="2201"/>
      <c r="F109" s="2201"/>
      <c r="G109" s="2201"/>
      <c r="H109" s="2201"/>
      <c r="I109" s="2217"/>
      <c r="J109" s="2161">
        <v>0</v>
      </c>
      <c r="K109" s="2162">
        <v>0</v>
      </c>
      <c r="L109" s="2169">
        <v>0</v>
      </c>
      <c r="M109" s="2161">
        <v>0</v>
      </c>
      <c r="N109" s="2162">
        <v>0</v>
      </c>
      <c r="O109" s="2170">
        <v>0</v>
      </c>
      <c r="P109" s="602"/>
      <c r="Q109" s="1454"/>
      <c r="R109" s="1189"/>
      <c r="S109" s="603"/>
      <c r="T109" s="603"/>
      <c r="U109" s="603"/>
      <c r="V109" s="603"/>
      <c r="W109" s="603"/>
      <c r="X109" s="603"/>
      <c r="Y109" s="603"/>
      <c r="Z109" s="603"/>
      <c r="AA109" s="603"/>
      <c r="AB109" s="603"/>
      <c r="AC109" s="603"/>
      <c r="AD109" s="603"/>
      <c r="AE109" s="603"/>
      <c r="AF109" s="603"/>
      <c r="AG109" s="603"/>
      <c r="AH109" s="603"/>
      <c r="AI109" s="603"/>
      <c r="AJ109" s="464"/>
    </row>
    <row r="110" spans="1:36">
      <c r="A110" s="1926"/>
      <c r="B110" s="2219" t="str">
        <f>""</f>
        <v/>
      </c>
      <c r="C110" s="2220"/>
      <c r="D110" s="2221"/>
      <c r="E110" s="2220"/>
      <c r="F110" s="2220"/>
      <c r="G110" s="2220"/>
      <c r="H110" s="2220"/>
      <c r="I110" s="2222"/>
      <c r="J110" s="2161">
        <v>0</v>
      </c>
      <c r="K110" s="2162">
        <v>0</v>
      </c>
      <c r="L110" s="2169">
        <v>0</v>
      </c>
      <c r="M110" s="2161">
        <v>0</v>
      </c>
      <c r="N110" s="2162">
        <v>0</v>
      </c>
      <c r="O110" s="2170">
        <v>0</v>
      </c>
      <c r="P110" s="596"/>
      <c r="Q110" s="1453"/>
      <c r="R110" s="644"/>
      <c r="S110" s="603"/>
      <c r="T110" s="603"/>
      <c r="U110" s="603"/>
      <c r="V110" s="603"/>
      <c r="W110" s="603"/>
      <c r="X110" s="603"/>
      <c r="Y110" s="603"/>
      <c r="Z110" s="603"/>
      <c r="AA110" s="603"/>
      <c r="AB110" s="603"/>
      <c r="AC110" s="603"/>
      <c r="AD110" s="603"/>
      <c r="AE110" s="603"/>
      <c r="AF110" s="603"/>
      <c r="AG110" s="603"/>
      <c r="AH110" s="603"/>
      <c r="AI110" s="603"/>
      <c r="AJ110" s="464"/>
    </row>
    <row r="111" spans="1:36">
      <c r="A111" s="1927" t="s">
        <v>3535</v>
      </c>
      <c r="B111" s="2212" t="str">
        <f>""</f>
        <v/>
      </c>
      <c r="C111" s="2196"/>
      <c r="D111" s="2196"/>
      <c r="E111" s="2196"/>
      <c r="F111" s="2196"/>
      <c r="G111" s="2196"/>
      <c r="H111" s="2213"/>
      <c r="I111" s="2214"/>
      <c r="J111" s="2171">
        <v>0</v>
      </c>
      <c r="K111" s="2172">
        <v>0</v>
      </c>
      <c r="L111" s="2173">
        <v>0</v>
      </c>
      <c r="M111" s="2171">
        <v>0</v>
      </c>
      <c r="N111" s="2172">
        <v>0</v>
      </c>
      <c r="O111" s="2174">
        <v>0</v>
      </c>
      <c r="P111" s="590"/>
      <c r="Q111" s="1452">
        <f>IF(G111=0,0,P111/steel_density/(G111/1000))</f>
        <v>0</v>
      </c>
      <c r="R111" s="644"/>
      <c r="S111" s="603"/>
      <c r="T111" s="580"/>
      <c r="U111" s="580"/>
      <c r="V111" s="580"/>
      <c r="W111" s="603"/>
      <c r="X111" s="603"/>
      <c r="Y111" s="603"/>
      <c r="Z111" s="603"/>
      <c r="AA111" s="603"/>
      <c r="AB111" s="603"/>
      <c r="AC111" s="603"/>
      <c r="AD111" s="603"/>
      <c r="AE111" s="603"/>
      <c r="AF111" s="603"/>
      <c r="AG111" s="603"/>
      <c r="AH111" s="603"/>
      <c r="AI111" s="603"/>
      <c r="AJ111" s="464"/>
    </row>
    <row r="112" spans="1:36">
      <c r="A112" s="1925"/>
      <c r="B112" s="2215" t="str">
        <f>""</f>
        <v/>
      </c>
      <c r="C112" s="2216"/>
      <c r="D112" s="2201"/>
      <c r="E112" s="2201"/>
      <c r="F112" s="2201"/>
      <c r="G112" s="2201"/>
      <c r="H112" s="2216"/>
      <c r="I112" s="2217"/>
      <c r="J112" s="2161">
        <v>0</v>
      </c>
      <c r="K112" s="2162">
        <v>0</v>
      </c>
      <c r="L112" s="2169">
        <v>0</v>
      </c>
      <c r="M112" s="2161">
        <v>0</v>
      </c>
      <c r="N112" s="2162">
        <v>0</v>
      </c>
      <c r="O112" s="2163">
        <v>0</v>
      </c>
      <c r="P112" s="602"/>
      <c r="Q112" s="1454"/>
      <c r="R112" s="644"/>
      <c r="S112" s="603"/>
      <c r="T112" s="603"/>
      <c r="U112" s="603"/>
      <c r="V112" s="603"/>
      <c r="W112" s="603"/>
      <c r="X112" s="603"/>
      <c r="Y112" s="603"/>
      <c r="Z112" s="603"/>
      <c r="AA112" s="603"/>
      <c r="AB112" s="603"/>
      <c r="AC112" s="603"/>
      <c r="AD112" s="603"/>
      <c r="AE112" s="603"/>
      <c r="AF112" s="603"/>
      <c r="AG112" s="603"/>
      <c r="AH112" s="603"/>
      <c r="AI112" s="603"/>
      <c r="AJ112" s="464"/>
    </row>
    <row r="113" spans="1:36">
      <c r="A113" s="1928"/>
      <c r="B113" s="2218" t="str">
        <f>""</f>
        <v/>
      </c>
      <c r="C113" s="2201"/>
      <c r="D113" s="2201"/>
      <c r="E113" s="2201"/>
      <c r="F113" s="2201"/>
      <c r="G113" s="2201"/>
      <c r="H113" s="2201"/>
      <c r="I113" s="2217"/>
      <c r="J113" s="2161">
        <v>0</v>
      </c>
      <c r="K113" s="2162">
        <v>0</v>
      </c>
      <c r="L113" s="2162">
        <v>0</v>
      </c>
      <c r="M113" s="2161">
        <v>0</v>
      </c>
      <c r="N113" s="2162">
        <v>0</v>
      </c>
      <c r="O113" s="2163">
        <v>0</v>
      </c>
      <c r="P113" s="602"/>
      <c r="Q113" s="1454"/>
      <c r="R113" s="644"/>
      <c r="S113" s="603"/>
      <c r="T113" s="603"/>
      <c r="U113" s="603"/>
      <c r="V113" s="603"/>
      <c r="W113" s="603"/>
      <c r="X113" s="603"/>
      <c r="Y113" s="603"/>
      <c r="Z113" s="603"/>
      <c r="AA113" s="603"/>
      <c r="AB113" s="603"/>
      <c r="AC113" s="603"/>
      <c r="AD113" s="603"/>
      <c r="AE113" s="603"/>
      <c r="AF113" s="603"/>
      <c r="AG113" s="603"/>
      <c r="AH113" s="603"/>
      <c r="AI113" s="603"/>
      <c r="AJ113" s="464"/>
    </row>
    <row r="114" spans="1:36" s="621" customFormat="1" ht="15.75" thickBot="1">
      <c r="A114" s="1929"/>
      <c r="B114" s="2219" t="str">
        <f>""</f>
        <v/>
      </c>
      <c r="C114" s="2220"/>
      <c r="D114" s="2221"/>
      <c r="E114" s="2220"/>
      <c r="F114" s="2220"/>
      <c r="G114" s="2220"/>
      <c r="H114" s="2220"/>
      <c r="I114" s="2222"/>
      <c r="J114" s="2164">
        <v>0</v>
      </c>
      <c r="K114" s="2165">
        <v>0</v>
      </c>
      <c r="L114" s="2165">
        <v>0</v>
      </c>
      <c r="M114" s="2164">
        <v>0</v>
      </c>
      <c r="N114" s="2165">
        <v>0</v>
      </c>
      <c r="O114" s="2166">
        <v>0</v>
      </c>
      <c r="P114" s="596"/>
      <c r="Q114" s="1453"/>
      <c r="R114" s="644"/>
      <c r="S114" s="603"/>
      <c r="T114" s="603"/>
      <c r="U114" s="603"/>
      <c r="V114" s="603"/>
      <c r="W114" s="603"/>
      <c r="X114" s="603"/>
      <c r="Y114" s="603"/>
      <c r="Z114" s="603"/>
      <c r="AA114" s="603"/>
      <c r="AB114" s="603"/>
      <c r="AC114" s="603"/>
      <c r="AD114" s="603"/>
      <c r="AE114" s="603"/>
      <c r="AF114" s="603"/>
      <c r="AG114" s="603"/>
      <c r="AH114" s="603"/>
      <c r="AI114" s="603"/>
    </row>
    <row r="115" spans="1:36">
      <c r="A115" s="1927" t="s">
        <v>3537</v>
      </c>
      <c r="B115" s="641" t="str">
        <f>IF(DRIVE_Type="Direct","SFX","")</f>
        <v>SFX</v>
      </c>
      <c r="C115" s="580" t="e">
        <f ca="1">SF_P</f>
        <v>#REF!</v>
      </c>
      <c r="D115" s="580" t="e">
        <f ca="1">2*E115+(O115-L115)-2*2*(G115+G115)*TAN(R_angle/2)+2*(G115+G115*H115)*R_angle</f>
        <v>#REF!</v>
      </c>
      <c r="E115" s="580" t="e">
        <f ca="1">(K115-K116)/SIN(R_angle)</f>
        <v>#REF!</v>
      </c>
      <c r="F115" s="580" t="e">
        <f ca="1">J117-J115</f>
        <v>#REF!</v>
      </c>
      <c r="G115" s="580" t="e">
        <f ca="1">IF(DRIVE_Type="Direct",IF(Small_F,0,VLOOKUP($C115,Iron_dim,4,FALSE)),0)</f>
        <v>#REF!</v>
      </c>
      <c r="H115" s="614" t="e">
        <f ca="1">IF(DRIVE_Type="Direct",IF(Small_F,0,LOOKUP(G115/G115,{0,0.3,0.5,1,1.5,2,3,4,5,6,7,8},{0.3333,0.34,0.37,0.41,0.44,0.45,0.46,0.47,0.48,0.49,0.5,0.5})),0)</f>
        <v>#REF!</v>
      </c>
      <c r="I115" s="603" t="s">
        <v>1045</v>
      </c>
      <c r="J115" s="599" t="e">
        <f ca="1">IF(DRIVE_Type="Direct",IF(Small_F,0,J43),0)</f>
        <v>#REF!</v>
      </c>
      <c r="K115" s="580" t="e">
        <f ca="1">IF(DRIVE_Type="Direct",IF(Small_F,0,K26+G115),0)</f>
        <v>#REF!</v>
      </c>
      <c r="L115" s="1905" t="e">
        <f ca="1">IF(DRIVE_Type="Direct",IF(Small_F,0,L26-G115*TAN(R_angle/2)),0)</f>
        <v>#REF!</v>
      </c>
      <c r="M115" s="609" t="e">
        <f ca="1">J115</f>
        <v>#REF!</v>
      </c>
      <c r="N115" s="608" t="e">
        <f ca="1">K115</f>
        <v>#REF!</v>
      </c>
      <c r="O115" s="2176" t="e">
        <f ca="1">-L115</f>
        <v>#REF!</v>
      </c>
      <c r="P115" s="590" t="e">
        <f ca="1">SFX_w/1000*F115/1000*G115/1000*steel_density</f>
        <v>#REF!</v>
      </c>
      <c r="Q115" s="1452" t="e">
        <f ca="1">IF(G115=0,0,P115/steel_density/(G115/1000))</f>
        <v>#REF!</v>
      </c>
      <c r="R115" s="644"/>
      <c r="S115" s="603"/>
      <c r="T115" s="580"/>
      <c r="U115" s="580"/>
      <c r="V115" s="580"/>
      <c r="W115" s="603"/>
      <c r="X115" s="603"/>
      <c r="Y115" s="603"/>
      <c r="Z115" s="603"/>
      <c r="AA115" s="603"/>
      <c r="AB115" s="603"/>
      <c r="AC115" s="603"/>
      <c r="AD115" s="603"/>
      <c r="AE115" s="603"/>
      <c r="AF115" s="603"/>
      <c r="AG115" s="603"/>
      <c r="AH115" s="603"/>
      <c r="AI115" s="603"/>
      <c r="AJ115" s="464"/>
    </row>
    <row r="116" spans="1:36">
      <c r="A116" s="1927"/>
      <c r="B116" s="642" t="str">
        <f>IF(DRIVE_Type="Direct","sfx","")</f>
        <v>sfx</v>
      </c>
      <c r="C116" s="603"/>
      <c r="D116" s="580"/>
      <c r="E116" s="580"/>
      <c r="F116" s="603"/>
      <c r="G116" s="580"/>
      <c r="H116" s="603"/>
      <c r="I116" s="580"/>
      <c r="J116" s="609" t="e">
        <f ca="1">J115</f>
        <v>#REF!</v>
      </c>
      <c r="K116" s="580" t="e">
        <f ca="1">IF(DRIVE_Type="Direct",IF(Small_F,0,G120),0)</f>
        <v>#REF!</v>
      </c>
      <c r="L116" s="1905" t="e">
        <f ca="1">IF(DRIVE_Type="Direct",IF(Small_F,0,L115-(K115-K116)/TAN(R_angle)),0)</f>
        <v>#REF!</v>
      </c>
      <c r="M116" s="609" t="e">
        <f ca="1">J116</f>
        <v>#REF!</v>
      </c>
      <c r="N116" s="608" t="e">
        <f ca="1">K116</f>
        <v>#REF!</v>
      </c>
      <c r="O116" s="2175" t="e">
        <f ca="1">-L116</f>
        <v>#REF!</v>
      </c>
      <c r="P116" s="602"/>
      <c r="Q116" s="1454"/>
      <c r="R116" s="644"/>
      <c r="S116" s="603"/>
      <c r="T116" s="580"/>
      <c r="U116" s="580"/>
      <c r="V116" s="580"/>
      <c r="W116" s="603"/>
      <c r="X116" s="603"/>
      <c r="Y116" s="603"/>
      <c r="Z116" s="603"/>
      <c r="AA116" s="603"/>
      <c r="AB116" s="603"/>
      <c r="AC116" s="603"/>
      <c r="AD116" s="603"/>
      <c r="AE116" s="603"/>
      <c r="AF116" s="603"/>
      <c r="AG116" s="603"/>
      <c r="AH116" s="603"/>
      <c r="AI116" s="603"/>
      <c r="AJ116" s="464"/>
    </row>
    <row r="117" spans="1:36">
      <c r="A117" s="1928"/>
      <c r="B117" s="642" t="str">
        <f>IF(DRIVE_Type="Direct","SFX+","")</f>
        <v>SFX+</v>
      </c>
      <c r="C117" s="493"/>
      <c r="D117" s="600"/>
      <c r="E117" s="580"/>
      <c r="F117" s="580"/>
      <c r="G117" s="580"/>
      <c r="H117" s="580"/>
      <c r="I117" s="603"/>
      <c r="J117" s="599" t="e">
        <f ca="1">IF(DRIVE_Type="Direct",IF(Small_F,0,M90),0)</f>
        <v>#REF!</v>
      </c>
      <c r="K117" s="608" t="e">
        <f ca="1">K115</f>
        <v>#REF!</v>
      </c>
      <c r="L117" s="608" t="e">
        <f ca="1">L115</f>
        <v>#REF!</v>
      </c>
      <c r="M117" s="609" t="e">
        <f t="shared" ref="M117:M118" ca="1" si="4">J117</f>
        <v>#REF!</v>
      </c>
      <c r="N117" s="580" t="e">
        <f ca="1">IF(Small_F,0,N115)</f>
        <v>#REF!</v>
      </c>
      <c r="O117" s="2189" t="e">
        <f ca="1">-L117</f>
        <v>#REF!</v>
      </c>
      <c r="P117" s="602"/>
      <c r="Q117" s="1454"/>
      <c r="R117" s="644"/>
      <c r="S117" s="603"/>
      <c r="T117" s="603"/>
      <c r="U117" s="603"/>
      <c r="V117" s="603"/>
      <c r="W117" s="603"/>
      <c r="X117" s="603"/>
      <c r="Y117" s="603"/>
      <c r="Z117" s="603"/>
      <c r="AA117" s="603"/>
      <c r="AB117" s="603"/>
      <c r="AC117" s="603"/>
      <c r="AD117" s="603"/>
      <c r="AE117" s="603"/>
      <c r="AF117" s="603"/>
      <c r="AG117" s="603"/>
      <c r="AH117" s="603"/>
      <c r="AI117" s="603"/>
      <c r="AJ117" s="464"/>
    </row>
    <row r="118" spans="1:36" s="621" customFormat="1">
      <c r="A118" s="1929"/>
      <c r="B118" s="643" t="str">
        <f>IF(DRIVE_Type="Direct","sfx+","")</f>
        <v>sfx+</v>
      </c>
      <c r="C118" s="594"/>
      <c r="D118" s="593"/>
      <c r="E118" s="593"/>
      <c r="F118" s="593"/>
      <c r="G118" s="593"/>
      <c r="H118" s="594"/>
      <c r="I118" s="593"/>
      <c r="J118" s="618" t="e">
        <f ca="1">J117</f>
        <v>#REF!</v>
      </c>
      <c r="K118" s="616" t="e">
        <f ca="1">K116</f>
        <v>#REF!</v>
      </c>
      <c r="L118" s="616" t="e">
        <f ca="1">L116</f>
        <v>#REF!</v>
      </c>
      <c r="M118" s="618" t="e">
        <f t="shared" ca="1" si="4"/>
        <v>#REF!</v>
      </c>
      <c r="N118" s="616" t="e">
        <f ca="1">N116</f>
        <v>#REF!</v>
      </c>
      <c r="O118" s="2189" t="e">
        <f ca="1">-L118</f>
        <v>#REF!</v>
      </c>
      <c r="P118" s="596"/>
      <c r="Q118" s="1453"/>
      <c r="R118" s="644"/>
      <c r="S118" s="603"/>
      <c r="T118" s="603"/>
      <c r="U118" s="603"/>
      <c r="V118" s="603"/>
      <c r="W118" s="603"/>
      <c r="X118" s="603"/>
      <c r="Y118" s="603"/>
      <c r="Z118" s="603"/>
      <c r="AA118" s="603"/>
      <c r="AB118" s="603"/>
      <c r="AC118" s="603"/>
      <c r="AD118" s="603"/>
      <c r="AE118" s="603"/>
      <c r="AF118" s="603"/>
      <c r="AG118" s="603"/>
      <c r="AH118" s="603"/>
      <c r="AI118" s="603"/>
    </row>
    <row r="119" spans="1:36">
      <c r="A119" s="1930"/>
      <c r="B119" s="1910"/>
      <c r="C119" s="1911"/>
      <c r="D119" s="1912"/>
      <c r="E119" s="1912"/>
      <c r="F119" s="1912"/>
      <c r="G119" s="1912"/>
      <c r="H119" s="1912"/>
      <c r="I119" s="1912"/>
      <c r="J119" s="1913"/>
      <c r="K119" s="1912"/>
      <c r="L119" s="1912"/>
      <c r="M119" s="1913"/>
      <c r="N119" s="1912"/>
      <c r="O119" s="1914"/>
      <c r="P119" s="1915"/>
      <c r="Q119" s="1916"/>
      <c r="R119" s="644"/>
      <c r="S119" s="603"/>
      <c r="T119" s="603"/>
      <c r="U119" s="580"/>
      <c r="V119" s="603"/>
      <c r="W119" s="603"/>
      <c r="X119" s="603"/>
      <c r="Y119" s="603"/>
      <c r="Z119" s="603"/>
      <c r="AA119" s="603"/>
      <c r="AB119" s="603"/>
      <c r="AC119" s="603"/>
      <c r="AD119" s="603"/>
      <c r="AE119" s="603"/>
      <c r="AF119" s="603"/>
      <c r="AG119" s="603"/>
      <c r="AH119" s="603"/>
      <c r="AI119" s="603"/>
      <c r="AJ119" s="464"/>
    </row>
    <row r="120" spans="1:36">
      <c r="A120" s="1925" t="s">
        <v>1052</v>
      </c>
      <c r="B120" s="1642" t="str">
        <f>IF(DRIVE_Type="Direct","SFBase_L","")</f>
        <v>SFBase_L</v>
      </c>
      <c r="C120" s="484" t="e">
        <f ca="1">SF_Base</f>
        <v>#REF!</v>
      </c>
      <c r="D120" s="587" t="e">
        <f ca="1">J122-J120</f>
        <v>#REF!</v>
      </c>
      <c r="E120" s="587" t="e">
        <f ca="1">IF(DRIVE_Type="Direct",IF(Small_F,G120/SIN(R_angle)+8*G120,VLOOKUP($C120,Iron_dim,2,FALSE)),0)</f>
        <v>#REF!</v>
      </c>
      <c r="F120" s="587" t="e">
        <f ca="1">IF(DRIVE_Type="Direct",IF(Small_F,50,MAX(ROUND(F29/SIN(R_angle)/10,0)*10,VLOOKUP(C120,Iron_dim,3,FALSE))),0)</f>
        <v>#REF!</v>
      </c>
      <c r="G120" s="580" t="e">
        <f ca="1">IF(DRIVE_Type="Direct",VLOOKUP($C120,Iron_dim,4,FALSE),0)</f>
        <v>#REF!</v>
      </c>
      <c r="H120" s="587"/>
      <c r="I120" s="1643" t="s">
        <v>1047</v>
      </c>
      <c r="J120" s="615">
        <f>J29</f>
        <v>0</v>
      </c>
      <c r="K120" s="1644">
        <v>0</v>
      </c>
      <c r="L120" s="1646" t="e">
        <f ca="1">IF(DRIVE_Type="Direct",IF(Small_F,O120-F120,L29),0)</f>
        <v>#REF!</v>
      </c>
      <c r="M120" s="615">
        <f>J120</f>
        <v>0</v>
      </c>
      <c r="N120" s="1542">
        <f>K120</f>
        <v>0</v>
      </c>
      <c r="O120" s="1645" t="e">
        <f ca="1">IF(DRIVE_Type="Direct",IF(Small_F,L104-(K104-G120)/TAN(R_angle)+G103/SIN(R_angle)+G120*TAN(R_angle/2),L120+F120),0)</f>
        <v>#REF!</v>
      </c>
      <c r="P120" s="584" t="e">
        <f ca="1">(E120/1000+F120/1000)*G120/1000*D120/1000*steel_density</f>
        <v>#REF!</v>
      </c>
      <c r="Q120" s="1450" t="e">
        <f ca="1">IF(G120=0,0,P120/steel_density/(G120/1000))</f>
        <v>#REF!</v>
      </c>
      <c r="R120" s="644"/>
      <c r="S120" s="603"/>
      <c r="T120" s="603"/>
      <c r="U120" s="603"/>
      <c r="V120" s="603"/>
      <c r="W120" s="603"/>
      <c r="X120" s="603"/>
      <c r="Y120" s="603"/>
      <c r="Z120" s="603"/>
      <c r="AA120" s="603"/>
      <c r="AB120" s="603"/>
      <c r="AC120" s="603"/>
      <c r="AD120" s="603"/>
      <c r="AE120" s="603"/>
      <c r="AF120" s="603"/>
      <c r="AG120" s="603"/>
      <c r="AH120" s="603"/>
      <c r="AI120" s="603"/>
      <c r="AJ120" s="464"/>
    </row>
    <row r="121" spans="1:36">
      <c r="A121" s="1925"/>
      <c r="B121" s="1648" t="str">
        <f>IF(DRIVE_Type="Direct","sfbase_L","")</f>
        <v>sfbase_L</v>
      </c>
      <c r="C121" s="580"/>
      <c r="D121" s="580"/>
      <c r="E121" s="580"/>
      <c r="F121" s="580"/>
      <c r="G121" s="580"/>
      <c r="H121" s="580"/>
      <c r="I121" s="603"/>
      <c r="J121" s="609">
        <f>J120</f>
        <v>0</v>
      </c>
      <c r="K121" s="1699">
        <f>K120</f>
        <v>0</v>
      </c>
      <c r="L121" s="2242" t="e">
        <f ca="1">IF(DRIVE_Type="Direct",IF(Small_F,O120,0),0)</f>
        <v>#REF!</v>
      </c>
      <c r="M121" s="609">
        <f t="shared" ref="M121:M127" si="5">J121</f>
        <v>0</v>
      </c>
      <c r="N121" s="2244" t="e">
        <f ca="1">IF(DRIVE_Type="Direct",IF(Small_F,SFBase_He_L*SIN(R_angle),0),0)</f>
        <v>#REF!</v>
      </c>
      <c r="O121" s="2243" t="e">
        <f ca="1">IF(DRIVE_Type="Direct",IF(Small_F,O120+(N121-N120)/TAN(R_angle),0),0)</f>
        <v>#REF!</v>
      </c>
      <c r="P121" s="602"/>
      <c r="Q121" s="1454"/>
      <c r="R121" s="644"/>
      <c r="S121" s="603"/>
      <c r="T121" s="580"/>
      <c r="U121" s="580"/>
      <c r="V121" s="580"/>
      <c r="W121" s="603"/>
      <c r="X121" s="603"/>
      <c r="Y121" s="603"/>
      <c r="Z121" s="603"/>
      <c r="AA121" s="603"/>
      <c r="AB121" s="603"/>
      <c r="AC121" s="603"/>
      <c r="AD121" s="603"/>
      <c r="AE121" s="603"/>
      <c r="AF121" s="603"/>
      <c r="AG121" s="603"/>
      <c r="AH121" s="603"/>
      <c r="AI121" s="603"/>
      <c r="AJ121" s="464"/>
    </row>
    <row r="122" spans="1:36">
      <c r="A122" s="1925"/>
      <c r="B122" s="604" t="str">
        <f>IF(DRIVE_Type="Direct","SFBase_L+","")</f>
        <v>SFBase_L+</v>
      </c>
      <c r="C122" s="580"/>
      <c r="D122" s="603"/>
      <c r="E122" s="603"/>
      <c r="F122" s="580"/>
      <c r="G122" s="580"/>
      <c r="H122" s="603"/>
      <c r="I122" s="580"/>
      <c r="J122" s="599" t="e">
        <f ca="1">IF(DRIVE_Type="Direct",M90+IF(L100=0,0,House_B_ins+House_P_T),0)</f>
        <v>#REF!</v>
      </c>
      <c r="K122" s="608">
        <f>K120</f>
        <v>0</v>
      </c>
      <c r="L122" s="608" t="e">
        <f ca="1">L120</f>
        <v>#REF!</v>
      </c>
      <c r="M122" s="609" t="e">
        <f t="shared" ca="1" si="5"/>
        <v>#REF!</v>
      </c>
      <c r="N122" s="608">
        <f>N120</f>
        <v>0</v>
      </c>
      <c r="O122" s="611" t="e">
        <f ca="1">O120</f>
        <v>#REF!</v>
      </c>
      <c r="P122" s="584"/>
      <c r="Q122" s="1450"/>
      <c r="R122" s="644"/>
      <c r="S122" s="603"/>
      <c r="T122" s="603"/>
      <c r="U122" s="603"/>
      <c r="V122" s="603"/>
      <c r="W122" s="603"/>
      <c r="X122" s="603"/>
      <c r="Y122" s="603"/>
      <c r="Z122" s="603"/>
      <c r="AA122" s="603"/>
      <c r="AB122" s="603"/>
      <c r="AC122" s="603"/>
      <c r="AD122" s="603"/>
      <c r="AE122" s="603"/>
      <c r="AF122" s="603"/>
      <c r="AG122" s="603"/>
      <c r="AH122" s="603"/>
      <c r="AI122" s="603"/>
      <c r="AJ122" s="464"/>
    </row>
    <row r="123" spans="1:36">
      <c r="A123" s="1925"/>
      <c r="B123" s="604" t="str">
        <f>IF(DRIVE_Type="Direct","sfbase_L+","")</f>
        <v>sfbase_L+</v>
      </c>
      <c r="C123" s="580"/>
      <c r="D123" s="580"/>
      <c r="E123" s="580"/>
      <c r="F123" s="580"/>
      <c r="G123" s="580"/>
      <c r="H123" s="603"/>
      <c r="I123" s="580"/>
      <c r="J123" s="609" t="e">
        <f ca="1">J122</f>
        <v>#REF!</v>
      </c>
      <c r="K123" s="608">
        <f>K121</f>
        <v>0</v>
      </c>
      <c r="L123" s="608" t="e">
        <f ca="1">L121</f>
        <v>#REF!</v>
      </c>
      <c r="M123" s="609" t="e">
        <f t="shared" ca="1" si="5"/>
        <v>#REF!</v>
      </c>
      <c r="N123" s="608" t="e">
        <f ca="1">N121</f>
        <v>#REF!</v>
      </c>
      <c r="O123" s="611" t="e">
        <f ca="1">O121</f>
        <v>#REF!</v>
      </c>
      <c r="P123" s="584"/>
      <c r="Q123" s="1450"/>
      <c r="R123" s="644"/>
      <c r="S123" s="603"/>
      <c r="T123" s="603"/>
      <c r="U123" s="603"/>
      <c r="V123" s="603"/>
      <c r="W123" s="603"/>
      <c r="X123" s="603"/>
      <c r="Y123" s="603"/>
      <c r="Z123" s="603"/>
      <c r="AA123" s="603"/>
      <c r="AB123" s="603"/>
      <c r="AC123" s="603"/>
      <c r="AD123" s="603"/>
      <c r="AE123" s="603"/>
      <c r="AF123" s="603"/>
      <c r="AG123" s="603"/>
      <c r="AH123" s="603"/>
      <c r="AI123" s="603"/>
      <c r="AJ123" s="464"/>
    </row>
    <row r="124" spans="1:36">
      <c r="A124" s="1925"/>
      <c r="B124" s="597" t="str">
        <f>IF(DRIVE_Type="Direct","SFBase_R","")</f>
        <v>SFBase_R</v>
      </c>
      <c r="C124" s="493" t="e">
        <f ca="1">SF_Base</f>
        <v>#REF!</v>
      </c>
      <c r="D124" s="580" t="e">
        <f ca="1">J126-J124</f>
        <v>#REF!</v>
      </c>
      <c r="E124" s="580" t="e">
        <f ca="1">IF(DRIVE_Type="Direct",IF(Small_F,G124/SIN(R_angle)+8*G124,VLOOKUP($C124,Iron_dim,2,FALSE)),0)</f>
        <v>#REF!</v>
      </c>
      <c r="F124" s="580" t="e">
        <f ca="1">IF(DRIVE_Type="Direct",IF(Small_F,50,MAX(ROUND(F33/SIN(R_angle)/10,0)*10,VLOOKUP(C124,Iron_dim,3,FALSE))),0)</f>
        <v>#REF!</v>
      </c>
      <c r="G124" s="580" t="e">
        <f ca="1">IF(DRIVE_Type="Direct",VLOOKUP($C124,Iron_dim,4,FALSE),0)</f>
        <v>#REF!</v>
      </c>
      <c r="H124" s="603"/>
      <c r="I124" s="581" t="s">
        <v>1050</v>
      </c>
      <c r="J124" s="609">
        <f>J33</f>
        <v>0</v>
      </c>
      <c r="K124" s="681">
        <v>0</v>
      </c>
      <c r="L124" s="600" t="e">
        <f ca="1">IF(DRIVE_Type="Direct",IF(Small_F,O124+F124,L33),0)</f>
        <v>#REF!</v>
      </c>
      <c r="M124" s="609">
        <f t="shared" si="5"/>
        <v>0</v>
      </c>
      <c r="N124" s="608">
        <f>K124</f>
        <v>0</v>
      </c>
      <c r="O124" s="601" t="e">
        <f ca="1">IF(DRIVE_Type="Direct",IF(Small_F,O104+(N104-G124)/TAN(R_angle)-G103/SIN(R_angle)-G124*TAN(R_angle/2),L124-F124),0)</f>
        <v>#REF!</v>
      </c>
      <c r="P124" s="584" t="e">
        <f ca="1">(E124/1000+F124/1000)*G124/1000*D124/1000*steel_density</f>
        <v>#REF!</v>
      </c>
      <c r="Q124" s="1450" t="e">
        <f ca="1">IF(G124=0,0,P124/steel_density/(G124/1000))</f>
        <v>#REF!</v>
      </c>
      <c r="R124" s="644"/>
      <c r="S124" s="603"/>
      <c r="T124" s="603"/>
      <c r="U124" s="603"/>
      <c r="V124" s="603"/>
      <c r="W124" s="603"/>
      <c r="X124" s="603"/>
      <c r="Y124" s="603"/>
      <c r="Z124" s="603"/>
      <c r="AA124" s="603"/>
      <c r="AB124" s="603"/>
      <c r="AC124" s="603"/>
      <c r="AD124" s="603"/>
      <c r="AE124" s="603"/>
      <c r="AF124" s="603"/>
      <c r="AG124" s="603"/>
      <c r="AH124" s="603"/>
      <c r="AI124" s="603"/>
      <c r="AJ124" s="464"/>
    </row>
    <row r="125" spans="1:36" s="621" customFormat="1">
      <c r="A125" s="1924"/>
      <c r="B125" s="1648" t="str">
        <f>IF(DRIVE_Type="Direct","sfbase_R","")</f>
        <v>sfbase_R</v>
      </c>
      <c r="C125" s="580"/>
      <c r="D125" s="580"/>
      <c r="E125" s="580"/>
      <c r="F125" s="580"/>
      <c r="G125" s="580"/>
      <c r="H125" s="580"/>
      <c r="I125" s="603"/>
      <c r="J125" s="609">
        <f>J124</f>
        <v>0</v>
      </c>
      <c r="K125" s="1699">
        <f>K124</f>
        <v>0</v>
      </c>
      <c r="L125" s="2242" t="e">
        <f ca="1">IF(DRIVE_Type="Direct",IF(Small_F,O124,0),0)</f>
        <v>#REF!</v>
      </c>
      <c r="M125" s="609">
        <f t="shared" si="5"/>
        <v>0</v>
      </c>
      <c r="N125" s="2244" t="e">
        <f ca="1">IF(DRIVE_Type="Direct",IF(Small_F,SFBase_He_L*SIN(R_angle),0),0)</f>
        <v>#REF!</v>
      </c>
      <c r="O125" s="2243" t="e">
        <f ca="1">IF(DRIVE_Type="Direct",IF(Small_F,O124-(N125-N124)/TAN(R_angle),0),0)</f>
        <v>#REF!</v>
      </c>
      <c r="P125" s="602"/>
      <c r="Q125" s="1454"/>
      <c r="R125" s="644"/>
      <c r="S125" s="603"/>
      <c r="T125" s="603"/>
      <c r="U125" s="603"/>
      <c r="V125" s="603"/>
      <c r="W125" s="603"/>
      <c r="X125" s="603"/>
      <c r="Y125" s="603"/>
      <c r="Z125" s="603"/>
      <c r="AA125" s="603"/>
      <c r="AB125" s="580"/>
      <c r="AC125" s="603"/>
      <c r="AD125" s="603"/>
      <c r="AE125" s="603"/>
      <c r="AF125" s="603"/>
      <c r="AG125" s="603"/>
      <c r="AH125" s="603"/>
      <c r="AI125" s="603"/>
    </row>
    <row r="126" spans="1:36">
      <c r="A126" s="1925"/>
      <c r="B126" s="604" t="str">
        <f>IF(DRIVE_Type="Direct","SFBase_R+","")</f>
        <v>SFBase_R+</v>
      </c>
      <c r="C126" s="580"/>
      <c r="D126" s="580"/>
      <c r="E126" s="580"/>
      <c r="F126" s="580"/>
      <c r="G126" s="580"/>
      <c r="H126" s="580"/>
      <c r="I126" s="493"/>
      <c r="J126" s="599" t="e">
        <f ca="1">IF(DRIVE_Type="Direct",M93+IF(L101=0,0,House_B_ins+House_P_T),0)</f>
        <v>#REF!</v>
      </c>
      <c r="K126" s="608">
        <f>K124</f>
        <v>0</v>
      </c>
      <c r="L126" s="608" t="e">
        <f ca="1">L124</f>
        <v>#REF!</v>
      </c>
      <c r="M126" s="609" t="e">
        <f t="shared" ca="1" si="5"/>
        <v>#REF!</v>
      </c>
      <c r="N126" s="608">
        <f>N124</f>
        <v>0</v>
      </c>
      <c r="O126" s="611" t="e">
        <f ca="1">O124</f>
        <v>#REF!</v>
      </c>
      <c r="P126" s="584"/>
      <c r="Q126" s="1450"/>
      <c r="R126" s="644"/>
      <c r="S126" s="603"/>
      <c r="T126" s="603"/>
      <c r="U126" s="603"/>
      <c r="V126" s="603"/>
      <c r="W126" s="603"/>
      <c r="X126" s="603"/>
      <c r="Y126" s="603"/>
      <c r="Z126" s="603"/>
      <c r="AA126" s="603"/>
      <c r="AB126" s="603"/>
      <c r="AC126" s="603"/>
      <c r="AD126" s="603"/>
      <c r="AE126" s="603"/>
      <c r="AF126" s="603"/>
      <c r="AG126" s="603"/>
      <c r="AH126" s="603"/>
      <c r="AI126" s="603"/>
      <c r="AJ126" s="464"/>
    </row>
    <row r="127" spans="1:36">
      <c r="A127" s="1925"/>
      <c r="B127" s="633" t="str">
        <f>IF(DRIVE_Type="Direct","sfbase_R+","")</f>
        <v>sfbase_R+</v>
      </c>
      <c r="C127" s="593"/>
      <c r="D127" s="593"/>
      <c r="E127" s="593"/>
      <c r="F127" s="593"/>
      <c r="G127" s="593"/>
      <c r="H127" s="593"/>
      <c r="I127" s="479"/>
      <c r="J127" s="618" t="e">
        <f ca="1">J126</f>
        <v>#REF!</v>
      </c>
      <c r="K127" s="616">
        <f>K125</f>
        <v>0</v>
      </c>
      <c r="L127" s="616" t="e">
        <f ca="1">L125</f>
        <v>#REF!</v>
      </c>
      <c r="M127" s="618" t="e">
        <f t="shared" ca="1" si="5"/>
        <v>#REF!</v>
      </c>
      <c r="N127" s="616" t="e">
        <f ca="1">N125</f>
        <v>#REF!</v>
      </c>
      <c r="O127" s="634" t="e">
        <f ca="1">O125</f>
        <v>#REF!</v>
      </c>
      <c r="P127" s="605"/>
      <c r="Q127" s="1455"/>
      <c r="R127" s="644"/>
      <c r="S127" s="603"/>
      <c r="T127" s="603"/>
      <c r="U127" s="603"/>
      <c r="V127" s="603"/>
      <c r="W127" s="603"/>
      <c r="X127" s="603"/>
      <c r="Y127" s="603"/>
      <c r="Z127" s="603"/>
      <c r="AA127" s="603"/>
      <c r="AB127" s="603"/>
      <c r="AC127" s="603"/>
      <c r="AD127" s="603"/>
      <c r="AE127" s="603"/>
      <c r="AF127" s="603"/>
      <c r="AG127" s="603"/>
      <c r="AH127" s="603"/>
      <c r="AI127" s="603"/>
      <c r="AJ127" s="464"/>
    </row>
    <row r="128" spans="1:36" ht="14.45" customHeight="1">
      <c r="A128" s="1925"/>
      <c r="B128" s="629" t="e">
        <f ca="1">IF(DRIVE_Type="Direct",IF(Small_F,"","SFMM_L"),"")</f>
        <v>#REF!</v>
      </c>
      <c r="C128" s="580" t="e">
        <f ca="1">SF_P</f>
        <v>#REF!</v>
      </c>
      <c r="D128" s="580"/>
      <c r="E128" s="580" t="e">
        <f ca="1">IF(DRIVE_Type="Direct",ROUND(IF(Small_F,0,SF_Hefactor*(K104-G120))/SIN(R_angle)/5,0)*5,0)</f>
        <v>#REF!</v>
      </c>
      <c r="F128" s="580" t="e">
        <f ca="1">IF(Small_F,0,M128-J128)</f>
        <v>#REF!</v>
      </c>
      <c r="G128" s="587" t="e">
        <f ca="1">IF(Small_F,0,VLOOKUP($C128,Iron_dim,4,FALSE))</f>
        <v>#REF!</v>
      </c>
      <c r="H128" s="493"/>
      <c r="I128" s="603" t="s">
        <v>281</v>
      </c>
      <c r="J128" s="609" t="e">
        <f ca="1">J31</f>
        <v>#REF!</v>
      </c>
      <c r="K128" s="580" t="e">
        <f ca="1">IF(DRIVE_Type="Direct",IF(Small_F,0,K129+E128*SIN(R_angle)),0)</f>
        <v>#REF!</v>
      </c>
      <c r="L128" s="580" t="e">
        <f ca="1">IF(DRIVE_Type="Direct",IF(Small_F,0,L129+(K128-K129)/TAN(R_angle)),0)</f>
        <v>#REF!</v>
      </c>
      <c r="M128" s="609" t="e">
        <f ca="1">J45</f>
        <v>#REF!</v>
      </c>
      <c r="N128" s="608" t="e">
        <f t="shared" ref="N128:O131" ca="1" si="6">K128</f>
        <v>#REF!</v>
      </c>
      <c r="O128" s="611" t="e">
        <f t="shared" ca="1" si="6"/>
        <v>#REF!</v>
      </c>
      <c r="P128" s="632" t="e">
        <f ca="1">E128/1000*F128/1000*G128/1000*steel_density</f>
        <v>#REF!</v>
      </c>
      <c r="Q128" s="1456" t="e">
        <f ca="1">IF(G128=0,0,P128/steel_density/(G128/1000))</f>
        <v>#REF!</v>
      </c>
      <c r="R128" s="644"/>
      <c r="S128" s="603"/>
      <c r="T128" s="603"/>
      <c r="U128" s="603"/>
      <c r="V128" s="603"/>
      <c r="W128" s="603"/>
      <c r="X128" s="603"/>
      <c r="Y128" s="603"/>
      <c r="Z128" s="603"/>
      <c r="AA128" s="603"/>
      <c r="AB128" s="603"/>
      <c r="AC128" s="603"/>
      <c r="AD128" s="603"/>
      <c r="AE128" s="603"/>
      <c r="AF128" s="603"/>
      <c r="AG128" s="603"/>
      <c r="AH128" s="603"/>
      <c r="AI128" s="603"/>
      <c r="AJ128" s="464"/>
    </row>
    <row r="129" spans="1:36">
      <c r="A129" s="1931"/>
      <c r="B129" s="633" t="e">
        <f ca="1">IF(DRIVE_Type="Direct",IF(Small_F,"","sfmmL"),"")</f>
        <v>#REF!</v>
      </c>
      <c r="C129" s="594"/>
      <c r="D129" s="479"/>
      <c r="E129" s="479"/>
      <c r="F129" s="479"/>
      <c r="G129" s="479"/>
      <c r="H129" s="479"/>
      <c r="I129" s="479"/>
      <c r="J129" s="618" t="e">
        <f ca="1">J128</f>
        <v>#REF!</v>
      </c>
      <c r="K129" s="616" t="e">
        <f ca="1">K31</f>
        <v>#REF!</v>
      </c>
      <c r="L129" s="593" t="e">
        <f ca="1">IF(DRIVE_Type="Direct",IF(Small_F,0,L29+1/3*F29/SIN(R_angle)),0)</f>
        <v>#REF!</v>
      </c>
      <c r="M129" s="618" t="e">
        <f ca="1">M128</f>
        <v>#REF!</v>
      </c>
      <c r="N129" s="616" t="e">
        <f t="shared" ca="1" si="6"/>
        <v>#REF!</v>
      </c>
      <c r="O129" s="634" t="e">
        <f t="shared" ca="1" si="6"/>
        <v>#REF!</v>
      </c>
      <c r="P129" s="605"/>
      <c r="Q129" s="1455"/>
      <c r="R129" s="644"/>
      <c r="S129" s="603"/>
      <c r="T129" s="603"/>
      <c r="U129" s="603"/>
      <c r="V129" s="603"/>
      <c r="W129" s="603"/>
      <c r="X129" s="603"/>
      <c r="Y129" s="603"/>
      <c r="Z129" s="603"/>
      <c r="AA129" s="603"/>
      <c r="AB129" s="603"/>
      <c r="AC129" s="603"/>
      <c r="AD129" s="603"/>
      <c r="AE129" s="603"/>
      <c r="AF129" s="603"/>
      <c r="AG129" s="603"/>
      <c r="AH129" s="603"/>
      <c r="AI129" s="603"/>
      <c r="AJ129" s="464"/>
    </row>
    <row r="130" spans="1:36" s="621" customFormat="1">
      <c r="A130" s="1925"/>
      <c r="B130" s="629" t="e">
        <f ca="1">IF(DRIVE_Type="Direct",IF(Small_F,"","SFMM_R"),"")</f>
        <v>#REF!</v>
      </c>
      <c r="C130" s="580" t="e">
        <f ca="1">SF_P</f>
        <v>#REF!</v>
      </c>
      <c r="D130" s="580"/>
      <c r="E130" s="2194" t="e">
        <f ca="1">E128</f>
        <v>#REF!</v>
      </c>
      <c r="F130" s="580" t="e">
        <f ca="1">IF(Small_F,0,M130-J130)</f>
        <v>#REF!</v>
      </c>
      <c r="G130" s="587" t="e">
        <f ca="1">IF(Small_F,0,VLOOKUP($C130,Iron_dim,4,FALSE))</f>
        <v>#REF!</v>
      </c>
      <c r="H130" s="484"/>
      <c r="I130" s="614" t="s">
        <v>281</v>
      </c>
      <c r="J130" s="615" t="e">
        <f ca="1">J35</f>
        <v>#REF!</v>
      </c>
      <c r="K130" s="587" t="e">
        <f ca="1">IF(DRIVE_Type="Direct",IF(Small_F,0,K131+E130*SIN(R_angle)),0)</f>
        <v>#REF!</v>
      </c>
      <c r="L130" s="580" t="e">
        <f ca="1">IF(DRIVE_Type="Direct",IF(Small_F,0,L131-(K130-K131)/TAN(R_angle)),0)</f>
        <v>#REF!</v>
      </c>
      <c r="M130" s="615" t="e">
        <f ca="1">J49</f>
        <v>#REF!</v>
      </c>
      <c r="N130" s="613" t="e">
        <f t="shared" ca="1" si="6"/>
        <v>#REF!</v>
      </c>
      <c r="O130" s="631" t="e">
        <f t="shared" ca="1" si="6"/>
        <v>#REF!</v>
      </c>
      <c r="P130" s="632" t="e">
        <f ca="1">E130/1000*F130/1000*G130/1000*steel_density</f>
        <v>#REF!</v>
      </c>
      <c r="Q130" s="1456" t="e">
        <f ca="1">IF(G130=0,0,P130/steel_density/(G130/1000))</f>
        <v>#REF!</v>
      </c>
      <c r="R130" s="1189"/>
      <c r="S130" s="603"/>
      <c r="T130" s="603"/>
      <c r="U130" s="603"/>
      <c r="V130" s="603"/>
      <c r="W130" s="603"/>
      <c r="X130" s="603"/>
      <c r="Y130" s="603"/>
      <c r="Z130" s="603"/>
      <c r="AA130" s="603"/>
      <c r="AB130" s="603"/>
      <c r="AC130" s="603"/>
      <c r="AD130" s="603"/>
      <c r="AE130" s="603"/>
      <c r="AF130" s="603"/>
      <c r="AG130" s="603"/>
      <c r="AH130" s="603"/>
      <c r="AI130" s="603"/>
    </row>
    <row r="131" spans="1:36">
      <c r="A131" s="1925"/>
      <c r="B131" s="633" t="e">
        <f ca="1">IF(DRIVE_Type="Direct",IF(Small_F,"","sfmmR"),"")</f>
        <v>#REF!</v>
      </c>
      <c r="C131" s="594"/>
      <c r="D131" s="479"/>
      <c r="E131" s="479"/>
      <c r="F131" s="479"/>
      <c r="G131" s="479"/>
      <c r="H131" s="479"/>
      <c r="I131" s="479"/>
      <c r="J131" s="609" t="e">
        <f ca="1">J130</f>
        <v>#REF!</v>
      </c>
      <c r="K131" s="608" t="e">
        <f ca="1">K35</f>
        <v>#REF!</v>
      </c>
      <c r="L131" s="580" t="e">
        <f ca="1">IF(DRIVE_Type="Direct",IF(Small_F,0,L35-1/3*F33/SIN(R_angle)),0)</f>
        <v>#REF!</v>
      </c>
      <c r="M131" s="609" t="e">
        <f ca="1">M130</f>
        <v>#REF!</v>
      </c>
      <c r="N131" s="608" t="e">
        <f t="shared" ca="1" si="6"/>
        <v>#REF!</v>
      </c>
      <c r="O131" s="611" t="e">
        <f t="shared" ca="1" si="6"/>
        <v>#REF!</v>
      </c>
      <c r="P131" s="605"/>
      <c r="Q131" s="1455"/>
      <c r="R131" s="1502"/>
      <c r="S131" s="580"/>
      <c r="T131" s="572"/>
      <c r="U131" s="572"/>
      <c r="V131" s="572"/>
      <c r="W131" s="580"/>
      <c r="X131" s="580"/>
      <c r="Y131" s="580"/>
      <c r="Z131" s="580"/>
      <c r="AA131" s="580"/>
      <c r="AB131" s="580"/>
      <c r="AC131" s="603"/>
      <c r="AD131" s="603"/>
      <c r="AE131" s="603"/>
      <c r="AF131" s="603"/>
      <c r="AG131" s="603"/>
      <c r="AH131" s="603"/>
      <c r="AI131" s="603"/>
      <c r="AJ131" s="464"/>
    </row>
    <row r="132" spans="1:36">
      <c r="A132" s="1931"/>
      <c r="B132" s="2223" t="str">
        <f>""</f>
        <v/>
      </c>
      <c r="C132" s="2196"/>
      <c r="D132" s="2196"/>
      <c r="E132" s="2196"/>
      <c r="F132" s="2196"/>
      <c r="G132" s="2196"/>
      <c r="H132" s="2197"/>
      <c r="I132" s="2214"/>
      <c r="J132" s="2171">
        <v>0</v>
      </c>
      <c r="K132" s="2172">
        <v>0</v>
      </c>
      <c r="L132" s="2172">
        <v>0</v>
      </c>
      <c r="M132" s="2171">
        <v>0</v>
      </c>
      <c r="N132" s="2172">
        <v>0</v>
      </c>
      <c r="O132" s="2174">
        <v>0</v>
      </c>
      <c r="P132" s="632"/>
      <c r="Q132" s="1456">
        <f>IF(G132=0,0,P132/steel_density/(G132/1000))</f>
        <v>0</v>
      </c>
      <c r="R132" s="1503"/>
      <c r="S132" s="603"/>
      <c r="T132" s="603"/>
      <c r="U132" s="603"/>
      <c r="V132" s="603"/>
      <c r="W132" s="603"/>
      <c r="X132" s="603"/>
      <c r="Y132" s="603"/>
      <c r="Z132" s="603"/>
      <c r="AA132" s="603"/>
      <c r="AB132" s="580"/>
      <c r="AC132" s="603"/>
      <c r="AD132" s="603"/>
      <c r="AE132" s="603"/>
      <c r="AF132" s="603"/>
      <c r="AG132" s="603"/>
      <c r="AH132" s="603"/>
      <c r="AI132" s="603"/>
      <c r="AJ132" s="464"/>
    </row>
    <row r="133" spans="1:36">
      <c r="A133" s="1931"/>
      <c r="B133" s="2209" t="str">
        <f>""</f>
        <v/>
      </c>
      <c r="C133" s="2224"/>
      <c r="D133" s="2210"/>
      <c r="E133" s="2210"/>
      <c r="F133" s="2210"/>
      <c r="G133" s="2210"/>
      <c r="H133" s="2210"/>
      <c r="I133" s="2211"/>
      <c r="J133" s="2161">
        <v>0</v>
      </c>
      <c r="K133" s="2162">
        <v>0</v>
      </c>
      <c r="L133" s="2162">
        <v>0</v>
      </c>
      <c r="M133" s="2161">
        <v>0</v>
      </c>
      <c r="N133" s="2162">
        <v>0</v>
      </c>
      <c r="O133" s="2163">
        <v>0</v>
      </c>
      <c r="P133" s="605"/>
      <c r="Q133" s="1455"/>
      <c r="R133" s="644"/>
      <c r="S133" s="603"/>
      <c r="T133" s="603"/>
      <c r="U133" s="603"/>
      <c r="V133" s="603"/>
      <c r="W133" s="603"/>
      <c r="X133" s="603"/>
      <c r="Y133" s="603"/>
      <c r="Z133" s="603"/>
      <c r="AA133" s="603"/>
      <c r="AB133" s="580"/>
      <c r="AC133" s="603"/>
      <c r="AD133" s="603"/>
      <c r="AE133" s="603"/>
      <c r="AF133" s="603"/>
      <c r="AG133" s="603"/>
      <c r="AH133" s="603"/>
      <c r="AI133" s="603"/>
      <c r="AJ133" s="464"/>
    </row>
    <row r="134" spans="1:36" s="621" customFormat="1">
      <c r="A134" s="1931"/>
      <c r="B134" s="2223" t="str">
        <f>""</f>
        <v/>
      </c>
      <c r="C134" s="2201"/>
      <c r="D134" s="2201"/>
      <c r="E134" s="2162"/>
      <c r="F134" s="2201"/>
      <c r="G134" s="2196"/>
      <c r="H134" s="2197"/>
      <c r="I134" s="2214"/>
      <c r="J134" s="2171">
        <v>0</v>
      </c>
      <c r="K134" s="2172">
        <v>0</v>
      </c>
      <c r="L134" s="2172">
        <v>0</v>
      </c>
      <c r="M134" s="2171">
        <v>0</v>
      </c>
      <c r="N134" s="2172">
        <v>0</v>
      </c>
      <c r="O134" s="2174">
        <v>0</v>
      </c>
      <c r="P134" s="632"/>
      <c r="Q134" s="1456">
        <f>IF(G134=0,0,P134/steel_density/(G134/1000))</f>
        <v>0</v>
      </c>
      <c r="R134" s="644"/>
      <c r="S134" s="603"/>
      <c r="T134" s="603"/>
      <c r="U134" s="603"/>
      <c r="V134" s="603"/>
      <c r="W134" s="603"/>
      <c r="X134" s="603"/>
      <c r="Y134" s="603"/>
      <c r="Z134" s="603"/>
      <c r="AA134" s="603"/>
      <c r="AB134" s="580"/>
      <c r="AC134" s="603"/>
      <c r="AD134" s="603"/>
      <c r="AE134" s="603"/>
      <c r="AF134" s="603"/>
      <c r="AG134" s="603"/>
      <c r="AH134" s="603"/>
      <c r="AI134" s="603"/>
    </row>
    <row r="135" spans="1:36" ht="15.75" thickBot="1">
      <c r="A135" s="1931"/>
      <c r="B135" s="2209" t="str">
        <f>""</f>
        <v/>
      </c>
      <c r="C135" s="2224"/>
      <c r="D135" s="2210"/>
      <c r="E135" s="2210"/>
      <c r="F135" s="2210"/>
      <c r="G135" s="2210"/>
      <c r="H135" s="2210"/>
      <c r="I135" s="2211"/>
      <c r="J135" s="2164">
        <v>0</v>
      </c>
      <c r="K135" s="2165">
        <v>0</v>
      </c>
      <c r="L135" s="2165">
        <v>0</v>
      </c>
      <c r="M135" s="2164">
        <v>0</v>
      </c>
      <c r="N135" s="2165">
        <v>0</v>
      </c>
      <c r="O135" s="2166">
        <v>0</v>
      </c>
      <c r="P135" s="605"/>
      <c r="Q135" s="1455"/>
      <c r="R135" s="644"/>
      <c r="S135" s="603"/>
      <c r="T135" s="603"/>
      <c r="U135" s="603"/>
      <c r="V135" s="603"/>
      <c r="W135" s="603"/>
      <c r="X135" s="603"/>
      <c r="Y135" s="603"/>
      <c r="Z135" s="603"/>
      <c r="AA135" s="603"/>
      <c r="AB135" s="580"/>
      <c r="AC135" s="603"/>
      <c r="AD135" s="603"/>
      <c r="AE135" s="603"/>
      <c r="AF135" s="603"/>
      <c r="AG135" s="603"/>
      <c r="AH135" s="603"/>
      <c r="AI135" s="603"/>
      <c r="AJ135" s="464"/>
    </row>
    <row r="136" spans="1:36" ht="15.75" thickBot="1">
      <c r="A136" s="1910"/>
      <c r="B136" s="1910"/>
      <c r="C136" s="1911"/>
      <c r="D136" s="1912"/>
      <c r="E136" s="1912"/>
      <c r="F136" s="1912"/>
      <c r="G136" s="1912"/>
      <c r="H136" s="1912"/>
      <c r="I136" s="1912"/>
      <c r="J136" s="2167"/>
      <c r="K136" s="593"/>
      <c r="L136" s="593"/>
      <c r="M136" s="2167"/>
      <c r="N136" s="593"/>
      <c r="O136" s="2168"/>
      <c r="P136" s="1915"/>
      <c r="Q136" s="1916"/>
      <c r="R136" s="644"/>
      <c r="S136" s="603"/>
      <c r="T136" s="580"/>
      <c r="U136" s="580"/>
      <c r="V136" s="580"/>
      <c r="W136" s="603"/>
      <c r="X136" s="603"/>
      <c r="Y136" s="603"/>
      <c r="Z136" s="603"/>
      <c r="AA136" s="603"/>
      <c r="AB136" s="603"/>
      <c r="AC136" s="603"/>
      <c r="AD136" s="603"/>
      <c r="AE136" s="603"/>
      <c r="AF136" s="603"/>
      <c r="AG136" s="603"/>
      <c r="AH136" s="603"/>
      <c r="AI136" s="603"/>
      <c r="AJ136" s="464"/>
    </row>
    <row r="137" spans="1:36">
      <c r="A137" s="1898" t="s">
        <v>2567</v>
      </c>
      <c r="B137" s="1899"/>
      <c r="C137" s="1899"/>
      <c r="D137" s="1899"/>
      <c r="E137" s="1899"/>
      <c r="F137" s="1899"/>
      <c r="G137" s="1899"/>
      <c r="H137" s="1899"/>
      <c r="I137" s="1900"/>
      <c r="J137" s="649" t="s">
        <v>277</v>
      </c>
      <c r="K137" s="650"/>
      <c r="L137" s="650"/>
      <c r="M137" s="649" t="s">
        <v>278</v>
      </c>
      <c r="N137" s="650"/>
      <c r="O137" s="651"/>
      <c r="P137" s="652"/>
      <c r="Q137" s="1457"/>
      <c r="R137" s="644"/>
      <c r="S137" s="603"/>
      <c r="T137" s="603"/>
      <c r="U137" s="603"/>
      <c r="V137" s="603"/>
      <c r="W137" s="603"/>
      <c r="X137" s="603"/>
      <c r="Y137" s="603"/>
      <c r="Z137" s="603"/>
      <c r="AA137" s="603"/>
      <c r="AB137" s="603"/>
      <c r="AC137" s="603"/>
      <c r="AD137" s="603"/>
      <c r="AE137" s="603"/>
      <c r="AF137" s="603"/>
      <c r="AG137" s="603"/>
      <c r="AH137" s="603"/>
      <c r="AI137" s="603"/>
      <c r="AJ137" s="464"/>
    </row>
    <row r="138" spans="1:36">
      <c r="A138" s="606" t="s">
        <v>1291</v>
      </c>
      <c r="B138" s="653"/>
      <c r="C138" s="654"/>
      <c r="D138" s="655"/>
      <c r="E138" s="655"/>
      <c r="F138" s="655"/>
      <c r="G138" s="655"/>
      <c r="H138" s="655"/>
      <c r="I138" s="656"/>
      <c r="J138" s="657" t="s">
        <v>57</v>
      </c>
      <c r="K138" s="607" t="s">
        <v>58</v>
      </c>
      <c r="L138" s="607" t="s">
        <v>269</v>
      </c>
      <c r="M138" s="657" t="s">
        <v>57</v>
      </c>
      <c r="N138" s="607" t="s">
        <v>58</v>
      </c>
      <c r="O138" s="658" t="s">
        <v>269</v>
      </c>
      <c r="P138" s="659"/>
      <c r="Q138" s="1458"/>
      <c r="R138" s="644"/>
      <c r="S138" s="603"/>
      <c r="T138" s="603"/>
      <c r="U138" s="603"/>
      <c r="V138" s="603"/>
      <c r="W138" s="603"/>
      <c r="X138" s="603"/>
      <c r="Y138" s="603"/>
      <c r="Z138" s="603"/>
      <c r="AA138" s="603"/>
      <c r="AB138" s="603"/>
      <c r="AC138" s="603"/>
      <c r="AD138" s="603"/>
      <c r="AE138" s="603"/>
      <c r="AF138" s="603"/>
      <c r="AG138" s="603"/>
      <c r="AH138" s="603"/>
      <c r="AI138" s="603"/>
      <c r="AJ138" s="464"/>
    </row>
    <row r="139" spans="1:36">
      <c r="A139" s="622"/>
      <c r="B139" s="604" t="s">
        <v>1292</v>
      </c>
      <c r="C139" s="581"/>
      <c r="D139" s="493"/>
      <c r="E139" s="493"/>
      <c r="F139" s="493"/>
      <c r="G139" s="493"/>
      <c r="H139" s="493"/>
      <c r="I139" s="581"/>
      <c r="J139" s="599" t="e">
        <f ca="1">IF(DRIVE_Type="Direct",IF(Small_F,MB+MC,J47)+DRa2H_D,0)</f>
        <v>#REF!</v>
      </c>
      <c r="K139" s="1935">
        <f>IF(DRIVE_Type="Direct",House!H98,0)</f>
        <v>114.70000000000005</v>
      </c>
      <c r="L139" s="493"/>
      <c r="M139" s="609" t="e">
        <f ca="1">J139</f>
        <v>#REF!</v>
      </c>
      <c r="N139" s="1935">
        <f>IF(DRIVE_Type="Direct",House!G98,0)</f>
        <v>2745.4</v>
      </c>
      <c r="O139" s="583"/>
      <c r="P139" s="660"/>
      <c r="Q139" s="1459"/>
      <c r="R139" s="644"/>
      <c r="S139" s="603"/>
      <c r="T139" s="603"/>
      <c r="U139" s="603"/>
      <c r="V139" s="603"/>
      <c r="W139" s="603"/>
      <c r="X139" s="603"/>
      <c r="Y139" s="603"/>
      <c r="Z139" s="603"/>
      <c r="AA139" s="603"/>
      <c r="AB139" s="603"/>
      <c r="AC139" s="603"/>
      <c r="AD139" s="603"/>
      <c r="AE139" s="603"/>
      <c r="AF139" s="603"/>
      <c r="AG139" s="603"/>
      <c r="AH139" s="603"/>
      <c r="AI139" s="603"/>
      <c r="AJ139" s="464"/>
    </row>
    <row r="140" spans="1:36">
      <c r="A140" s="604"/>
      <c r="B140" s="604" t="s">
        <v>1293</v>
      </c>
      <c r="C140" s="646"/>
      <c r="D140" s="493"/>
      <c r="E140" s="493"/>
      <c r="F140" s="493"/>
      <c r="G140" s="493"/>
      <c r="H140" s="493"/>
      <c r="I140" s="493"/>
      <c r="J140" s="492" t="e">
        <f ca="1">IF(DRIVE_Type="Direct",J139+House_B_ins+House_P_T+House_P_T,0)</f>
        <v>#REF!</v>
      </c>
      <c r="K140" s="1935">
        <f>IF(DRIVE_Type="Direct",House!J98,0)</f>
        <v>114.70000000000005</v>
      </c>
      <c r="L140" s="493"/>
      <c r="M140" s="609" t="e">
        <f ca="1">J140</f>
        <v>#REF!</v>
      </c>
      <c r="N140" s="1935">
        <f>IF(DRIVE_Type="Direct",House!I98,0)</f>
        <v>2745.4</v>
      </c>
      <c r="O140" s="583"/>
      <c r="P140" s="660"/>
      <c r="Q140" s="1459"/>
      <c r="R140" s="644"/>
      <c r="S140" s="603"/>
      <c r="T140" s="603"/>
      <c r="U140" s="603"/>
      <c r="V140" s="603"/>
      <c r="W140" s="603"/>
      <c r="X140" s="603"/>
      <c r="Y140" s="603"/>
      <c r="Z140" s="603"/>
      <c r="AA140" s="603"/>
      <c r="AB140" s="603"/>
      <c r="AC140" s="603"/>
      <c r="AD140" s="603"/>
      <c r="AE140" s="603"/>
      <c r="AF140" s="603"/>
      <c r="AG140" s="603"/>
      <c r="AH140" s="603"/>
      <c r="AI140" s="603"/>
      <c r="AJ140" s="464"/>
    </row>
    <row r="141" spans="1:36">
      <c r="A141" s="604"/>
      <c r="B141" s="604" t="s">
        <v>3232</v>
      </c>
      <c r="C141" s="646"/>
      <c r="D141" s="493"/>
      <c r="E141" s="493"/>
      <c r="F141" s="493"/>
      <c r="G141" s="493"/>
      <c r="H141" s="493"/>
      <c r="I141" s="493"/>
      <c r="J141" s="609" t="e">
        <f ca="1">J140</f>
        <v>#REF!</v>
      </c>
      <c r="K141" s="580">
        <f>IF(DRIVE_Type="Direct",IF(House!S16=0,0,House!T16+Center_H),0)</f>
        <v>0</v>
      </c>
      <c r="L141" s="493"/>
      <c r="M141" s="609" t="e">
        <f ca="1">J141</f>
        <v>#REF!</v>
      </c>
      <c r="N141" s="608">
        <f>N126</f>
        <v>0</v>
      </c>
      <c r="O141" s="583"/>
      <c r="P141" s="660"/>
      <c r="Q141" s="1459"/>
      <c r="R141" s="644"/>
      <c r="S141" s="603"/>
      <c r="T141" s="603"/>
      <c r="U141" s="603"/>
      <c r="V141" s="603"/>
      <c r="W141" s="603"/>
      <c r="X141" s="603"/>
      <c r="Y141" s="603"/>
      <c r="Z141" s="603"/>
      <c r="AA141" s="603"/>
      <c r="AB141" s="603"/>
      <c r="AC141" s="603"/>
      <c r="AD141" s="603"/>
      <c r="AE141" s="603"/>
      <c r="AF141" s="603"/>
      <c r="AG141" s="603"/>
      <c r="AH141" s="603"/>
      <c r="AI141" s="603"/>
      <c r="AJ141" s="464"/>
    </row>
    <row r="142" spans="1:36">
      <c r="A142" s="622"/>
      <c r="B142" s="604" t="s">
        <v>1481</v>
      </c>
      <c r="C142" s="581"/>
      <c r="D142" s="493"/>
      <c r="E142" s="493"/>
      <c r="F142" s="493"/>
      <c r="G142" s="493"/>
      <c r="H142" s="493"/>
      <c r="I142" s="493"/>
      <c r="J142" s="609" t="e">
        <f ca="1">M139</f>
        <v>#REF!</v>
      </c>
      <c r="K142" s="608">
        <f>N139</f>
        <v>2745.4</v>
      </c>
      <c r="L142" s="493"/>
      <c r="M142" s="609" t="e">
        <f ca="1">M140</f>
        <v>#REF!</v>
      </c>
      <c r="N142" s="608">
        <f>K142</f>
        <v>2745.4</v>
      </c>
      <c r="O142" s="583"/>
      <c r="P142" s="660"/>
      <c r="Q142" s="1459"/>
      <c r="R142" s="644"/>
      <c r="S142" s="603"/>
      <c r="T142" s="603"/>
      <c r="U142" s="603"/>
      <c r="V142" s="603"/>
      <c r="W142" s="603"/>
      <c r="X142" s="603"/>
      <c r="Y142" s="603"/>
      <c r="Z142" s="603"/>
      <c r="AA142" s="603"/>
      <c r="AB142" s="603"/>
      <c r="AC142" s="603"/>
      <c r="AD142" s="603"/>
      <c r="AE142" s="603"/>
      <c r="AF142" s="603"/>
      <c r="AG142" s="603"/>
      <c r="AH142" s="603"/>
      <c r="AI142" s="603"/>
      <c r="AJ142" s="464"/>
    </row>
    <row r="143" spans="1:36">
      <c r="A143" s="622"/>
      <c r="B143" s="604" t="s">
        <v>1482</v>
      </c>
      <c r="C143" s="581"/>
      <c r="D143" s="493"/>
      <c r="E143" s="493"/>
      <c r="F143" s="493"/>
      <c r="G143" s="493"/>
      <c r="H143" s="493"/>
      <c r="I143" s="493"/>
      <c r="J143" s="609" t="e">
        <f ca="1">J139</f>
        <v>#REF!</v>
      </c>
      <c r="K143" s="608">
        <f>K139</f>
        <v>114.70000000000005</v>
      </c>
      <c r="L143" s="493"/>
      <c r="M143" s="609" t="e">
        <f ca="1">J140</f>
        <v>#REF!</v>
      </c>
      <c r="N143" s="608">
        <f>K143</f>
        <v>114.70000000000005</v>
      </c>
      <c r="O143" s="583"/>
      <c r="P143" s="660"/>
      <c r="Q143" s="1459"/>
      <c r="R143" s="644"/>
      <c r="S143" s="603"/>
      <c r="T143" s="603"/>
      <c r="U143" s="603"/>
      <c r="V143" s="603"/>
      <c r="W143" s="603"/>
      <c r="X143" s="603"/>
      <c r="Y143" s="603"/>
      <c r="Z143" s="603"/>
      <c r="AA143" s="603"/>
      <c r="AB143" s="603"/>
      <c r="AC143" s="603"/>
      <c r="AD143" s="603"/>
      <c r="AE143" s="603"/>
      <c r="AF143" s="603"/>
      <c r="AG143" s="603"/>
      <c r="AH143" s="603"/>
      <c r="AI143" s="603"/>
      <c r="AJ143" s="464"/>
    </row>
    <row r="144" spans="1:36">
      <c r="A144" s="622"/>
      <c r="B144" s="604" t="s">
        <v>1295</v>
      </c>
      <c r="C144" s="581"/>
      <c r="D144" s="493"/>
      <c r="E144" s="493"/>
      <c r="F144" s="493"/>
      <c r="G144" s="493"/>
      <c r="H144" s="493"/>
      <c r="I144" s="493"/>
      <c r="J144" s="609" t="e">
        <f ca="1">J139</f>
        <v>#REF!</v>
      </c>
      <c r="K144" s="1935">
        <f>IF(DRIVE_Type="Direct",House!B98,0)</f>
        <v>911.6</v>
      </c>
      <c r="L144" s="493"/>
      <c r="M144" s="609" t="e">
        <f ca="1">J140</f>
        <v>#REF!</v>
      </c>
      <c r="N144" s="608">
        <f>K144</f>
        <v>911.6</v>
      </c>
      <c r="O144" s="583"/>
      <c r="P144" s="660"/>
      <c r="Q144" s="1459"/>
      <c r="R144" s="644"/>
      <c r="S144" s="603"/>
      <c r="T144" s="603"/>
      <c r="U144" s="603"/>
      <c r="V144" s="603"/>
      <c r="W144" s="603"/>
      <c r="X144" s="603"/>
      <c r="Y144" s="603"/>
      <c r="Z144" s="603"/>
      <c r="AA144" s="603"/>
      <c r="AB144" s="603"/>
      <c r="AC144" s="603"/>
      <c r="AD144" s="603"/>
      <c r="AE144" s="603"/>
      <c r="AF144" s="603"/>
      <c r="AG144" s="603"/>
      <c r="AH144" s="603"/>
      <c r="AI144" s="603"/>
      <c r="AJ144" s="464"/>
    </row>
    <row r="145" spans="1:36">
      <c r="A145" s="622"/>
      <c r="B145" s="604" t="s">
        <v>1395</v>
      </c>
      <c r="C145" s="581"/>
      <c r="D145" s="493"/>
      <c r="E145" s="493"/>
      <c r="F145" s="493"/>
      <c r="G145" s="493"/>
      <c r="H145" s="493"/>
      <c r="I145" s="493"/>
      <c r="J145" s="609" t="e">
        <f ca="1">M139</f>
        <v>#REF!</v>
      </c>
      <c r="K145" s="1935">
        <f>IF(DRIVE_Type="Direct",House!C58,0)</f>
        <v>820</v>
      </c>
      <c r="L145" s="493"/>
      <c r="M145" s="492" t="e">
        <f ca="1">IF(DRIVE_Type="Direct",J145+House_B_ins+House_P_T+House_P_T,0)</f>
        <v>#REF!</v>
      </c>
      <c r="N145" s="608">
        <f>K145</f>
        <v>820</v>
      </c>
      <c r="O145" s="583"/>
      <c r="P145" s="660"/>
      <c r="Q145" s="1459"/>
      <c r="R145" s="644"/>
      <c r="S145" s="603"/>
      <c r="T145" s="603"/>
      <c r="U145" s="603"/>
      <c r="V145" s="603"/>
      <c r="W145" s="603"/>
      <c r="X145" s="603"/>
      <c r="Y145" s="603"/>
      <c r="Z145" s="603"/>
      <c r="AA145" s="603"/>
      <c r="AB145" s="603"/>
      <c r="AC145" s="603"/>
      <c r="AD145" s="603"/>
      <c r="AE145" s="603"/>
      <c r="AF145" s="603"/>
      <c r="AG145" s="603"/>
      <c r="AH145" s="603"/>
      <c r="AI145" s="603"/>
      <c r="AJ145" s="464"/>
    </row>
    <row r="146" spans="1:36">
      <c r="A146" s="604"/>
      <c r="B146" s="604" t="s">
        <v>1396</v>
      </c>
      <c r="C146" s="646"/>
      <c r="D146" s="493"/>
      <c r="E146" s="493"/>
      <c r="F146" s="493"/>
      <c r="G146" s="493"/>
      <c r="H146" s="493"/>
      <c r="I146" s="493"/>
      <c r="J146" s="609" t="e">
        <f ca="1">M139</f>
        <v>#REF!</v>
      </c>
      <c r="K146" s="1935">
        <f>IF(DRIVE_Type="Direct",House!Y58,0)</f>
        <v>1617.5</v>
      </c>
      <c r="L146" s="493"/>
      <c r="M146" s="492" t="e">
        <f ca="1">IF(DRIVE_Type="Direct",J146+House_B_ins+House_P_T+House_P_T,0)</f>
        <v>#REF!</v>
      </c>
      <c r="N146" s="608">
        <f>K146</f>
        <v>1617.5</v>
      </c>
      <c r="O146" s="583"/>
      <c r="P146" s="660"/>
      <c r="Q146" s="1459"/>
      <c r="R146" s="644"/>
      <c r="S146" s="603"/>
      <c r="T146" s="603"/>
      <c r="U146" s="603"/>
      <c r="V146" s="603"/>
      <c r="W146" s="603"/>
      <c r="X146" s="603"/>
      <c r="Y146" s="603"/>
      <c r="Z146" s="603"/>
      <c r="AA146" s="603"/>
      <c r="AB146" s="603"/>
      <c r="AC146" s="603"/>
      <c r="AD146" s="603"/>
      <c r="AE146" s="603"/>
      <c r="AF146" s="603"/>
      <c r="AG146" s="603"/>
      <c r="AH146" s="603"/>
      <c r="AI146" s="603"/>
      <c r="AJ146" s="464"/>
    </row>
    <row r="147" spans="1:36">
      <c r="A147" s="1170" t="s">
        <v>3231</v>
      </c>
      <c r="B147" s="1170" t="s">
        <v>2561</v>
      </c>
      <c r="C147" s="591"/>
      <c r="D147" s="484"/>
      <c r="E147" s="484"/>
      <c r="F147" s="484"/>
      <c r="G147" s="484"/>
      <c r="H147" s="484"/>
      <c r="I147" s="484"/>
      <c r="J147" s="589" t="e">
        <f ca="1">J139-INS</f>
        <v>#REF!</v>
      </c>
      <c r="K147" s="1934">
        <f>IF(DRIVE_Type="Direct",House!H102,0)</f>
        <v>114.70000000000005</v>
      </c>
      <c r="L147" s="587"/>
      <c r="M147" s="615" t="e">
        <f ca="1">J147</f>
        <v>#REF!</v>
      </c>
      <c r="N147" s="1934">
        <f>IF(DRIVE_Type="Direct",House!G102,0)</f>
        <v>2745.4</v>
      </c>
      <c r="O147" s="1171"/>
      <c r="P147" s="1172"/>
      <c r="Q147" s="1460"/>
      <c r="R147" s="644"/>
      <c r="S147" s="603"/>
      <c r="T147" s="603"/>
      <c r="U147" s="603"/>
      <c r="V147" s="603"/>
      <c r="W147" s="603"/>
      <c r="X147" s="603"/>
      <c r="Y147" s="603"/>
      <c r="Z147" s="603"/>
      <c r="AA147" s="603"/>
      <c r="AB147" s="603"/>
      <c r="AC147" s="603"/>
      <c r="AD147" s="603"/>
      <c r="AE147" s="603"/>
      <c r="AF147" s="603"/>
      <c r="AG147" s="603"/>
      <c r="AH147" s="603"/>
      <c r="AI147" s="603"/>
      <c r="AJ147" s="464"/>
    </row>
    <row r="148" spans="1:36">
      <c r="A148" s="604"/>
      <c r="B148" s="604" t="s">
        <v>2562</v>
      </c>
      <c r="C148" s="646"/>
      <c r="D148" s="493"/>
      <c r="E148" s="493"/>
      <c r="F148" s="493"/>
      <c r="G148" s="493"/>
      <c r="H148" s="493"/>
      <c r="I148" s="493"/>
      <c r="J148" s="599" t="e">
        <f ca="1">J140+INS</f>
        <v>#REF!</v>
      </c>
      <c r="K148" s="1935">
        <f>IF(DRIVE_Type="Direct",House!J102,0)</f>
        <v>114.70000000000005</v>
      </c>
      <c r="L148" s="580"/>
      <c r="M148" s="609" t="e">
        <f ca="1">J148</f>
        <v>#REF!</v>
      </c>
      <c r="N148" s="1935">
        <f>IF(DRIVE_Type="Direct",House!G102,0)</f>
        <v>2745.4</v>
      </c>
      <c r="O148" s="583"/>
      <c r="P148" s="660"/>
      <c r="Q148" s="1459"/>
      <c r="R148" s="1189"/>
      <c r="S148" s="603"/>
      <c r="T148" s="603"/>
      <c r="U148" s="603"/>
      <c r="V148" s="603"/>
      <c r="W148" s="603"/>
      <c r="X148" s="603"/>
      <c r="Y148" s="603"/>
      <c r="Z148" s="603"/>
      <c r="AA148" s="603"/>
      <c r="AB148" s="603"/>
      <c r="AC148" s="603"/>
      <c r="AD148" s="603"/>
      <c r="AE148" s="603"/>
      <c r="AF148" s="603"/>
      <c r="AG148" s="603"/>
      <c r="AH148" s="603"/>
      <c r="AI148" s="603"/>
      <c r="AJ148" s="464"/>
    </row>
    <row r="149" spans="1:36">
      <c r="A149" s="604"/>
      <c r="B149" s="604" t="s">
        <v>2563</v>
      </c>
      <c r="C149" s="646"/>
      <c r="D149" s="493"/>
      <c r="E149" s="493"/>
      <c r="F149" s="493"/>
      <c r="G149" s="493"/>
      <c r="H149" s="493"/>
      <c r="I149" s="493"/>
      <c r="J149" s="609" t="e">
        <f ca="1">M147</f>
        <v>#REF!</v>
      </c>
      <c r="K149" s="608">
        <f>N147</f>
        <v>2745.4</v>
      </c>
      <c r="L149" s="580"/>
      <c r="M149" s="609" t="e">
        <f ca="1">M148</f>
        <v>#REF!</v>
      </c>
      <c r="N149" s="608">
        <f>K149</f>
        <v>2745.4</v>
      </c>
      <c r="O149" s="583"/>
      <c r="P149" s="660"/>
      <c r="Q149" s="1459"/>
      <c r="R149" s="1189"/>
      <c r="S149" s="603"/>
      <c r="T149" s="603"/>
      <c r="U149" s="603"/>
      <c r="V149" s="603"/>
      <c r="W149" s="603"/>
      <c r="X149" s="603"/>
      <c r="Y149" s="603"/>
      <c r="Z149" s="603"/>
      <c r="AA149" s="603"/>
      <c r="AB149" s="603"/>
      <c r="AC149" s="603"/>
      <c r="AD149" s="603"/>
      <c r="AE149" s="603"/>
      <c r="AF149" s="603"/>
      <c r="AG149" s="603"/>
      <c r="AH149" s="603"/>
      <c r="AI149" s="603"/>
      <c r="AJ149" s="464"/>
    </row>
    <row r="150" spans="1:36" ht="15.75" thickBot="1">
      <c r="A150" s="661"/>
      <c r="B150" s="661" t="s">
        <v>2564</v>
      </c>
      <c r="C150" s="662"/>
      <c r="D150" s="638"/>
      <c r="E150" s="638"/>
      <c r="F150" s="638"/>
      <c r="G150" s="638"/>
      <c r="H150" s="638"/>
      <c r="I150" s="638"/>
      <c r="J150" s="682" t="e">
        <f ca="1">J147</f>
        <v>#REF!</v>
      </c>
      <c r="K150" s="683">
        <f>K147</f>
        <v>114.70000000000005</v>
      </c>
      <c r="L150" s="620"/>
      <c r="M150" s="682" t="e">
        <f ca="1">M149</f>
        <v>#REF!</v>
      </c>
      <c r="N150" s="683">
        <f>K150</f>
        <v>114.70000000000005</v>
      </c>
      <c r="O150" s="663"/>
      <c r="P150" s="664"/>
      <c r="Q150" s="1461"/>
      <c r="R150" s="644"/>
      <c r="S150" s="603"/>
      <c r="T150" s="603"/>
      <c r="U150" s="603"/>
      <c r="V150" s="603"/>
      <c r="W150" s="603"/>
      <c r="X150" s="603"/>
      <c r="Y150" s="603"/>
      <c r="Z150" s="603"/>
      <c r="AA150" s="603"/>
      <c r="AB150" s="603"/>
      <c r="AC150" s="603"/>
      <c r="AD150" s="603"/>
      <c r="AE150" s="603"/>
      <c r="AF150" s="603"/>
      <c r="AG150" s="603"/>
      <c r="AH150" s="603"/>
      <c r="AI150" s="603"/>
      <c r="AJ150" s="464"/>
    </row>
    <row r="151" spans="1:36">
      <c r="A151" s="665" t="s">
        <v>285</v>
      </c>
      <c r="B151" s="665" t="s">
        <v>285</v>
      </c>
      <c r="C151" s="666"/>
      <c r="D151" s="667"/>
      <c r="E151" s="667"/>
      <c r="F151" s="667"/>
      <c r="G151" s="667"/>
      <c r="H151" s="667"/>
      <c r="I151" s="667"/>
      <c r="J151" s="668" t="s">
        <v>57</v>
      </c>
      <c r="K151" s="667" t="s">
        <v>58</v>
      </c>
      <c r="L151" s="667" t="s">
        <v>269</v>
      </c>
      <c r="M151" s="668" t="s">
        <v>57</v>
      </c>
      <c r="N151" s="667" t="s">
        <v>58</v>
      </c>
      <c r="O151" s="669" t="s">
        <v>269</v>
      </c>
      <c r="P151" s="670"/>
      <c r="Q151" s="1462"/>
      <c r="R151" s="644"/>
      <c r="S151" s="603"/>
      <c r="T151" s="580"/>
      <c r="U151" s="580"/>
      <c r="V151" s="580"/>
      <c r="W151" s="603"/>
      <c r="X151" s="603"/>
      <c r="Y151" s="603"/>
      <c r="Z151" s="603"/>
      <c r="AA151" s="603"/>
      <c r="AB151" s="603"/>
      <c r="AC151" s="603"/>
      <c r="AD151" s="603"/>
      <c r="AE151" s="603"/>
      <c r="AF151" s="603"/>
      <c r="AG151" s="603"/>
      <c r="AH151" s="603"/>
      <c r="AI151" s="603"/>
      <c r="AJ151" s="464"/>
    </row>
    <row r="152" spans="1:36">
      <c r="B152" s="604" t="s">
        <v>286</v>
      </c>
      <c r="C152" s="581"/>
      <c r="D152" s="493"/>
      <c r="E152" s="493"/>
      <c r="F152" s="493"/>
      <c r="G152" s="493"/>
      <c r="H152" s="493"/>
      <c r="I152" s="493"/>
      <c r="J152" s="492" t="e">
        <f ca="1">IF(DRIVE_Type="Direct",IF(Small_F,J25+MC/2+MB+MC,J25+E25/2+MB+MC),0)</f>
        <v>#REF!</v>
      </c>
      <c r="K152" s="493" t="e">
        <f ca="1">IF(DRIVE_Type="Direct",MFHe+MH,0)</f>
        <v>#REF!</v>
      </c>
      <c r="L152" s="681">
        <v>0</v>
      </c>
      <c r="M152" s="492" t="e">
        <f ca="1">IF(DRIVE_Type="Direct",J152+SE,0)</f>
        <v>#REF!</v>
      </c>
      <c r="N152" s="608" t="e">
        <f ca="1">K152</f>
        <v>#REF!</v>
      </c>
      <c r="O152" s="2175">
        <f>-L152</f>
        <v>0</v>
      </c>
      <c r="P152" s="660"/>
      <c r="Q152" s="1459"/>
      <c r="R152" s="644"/>
      <c r="S152" s="603"/>
      <c r="T152" s="603"/>
      <c r="U152" s="603"/>
      <c r="V152" s="603"/>
      <c r="W152" s="603"/>
      <c r="X152" s="603"/>
      <c r="Y152" s="603"/>
      <c r="Z152" s="603"/>
      <c r="AA152" s="603"/>
      <c r="AB152" s="603"/>
      <c r="AC152" s="603"/>
      <c r="AD152" s="603"/>
      <c r="AE152" s="603"/>
      <c r="AF152" s="603"/>
      <c r="AG152" s="603"/>
      <c r="AH152" s="603"/>
      <c r="AI152" s="603"/>
      <c r="AJ152" s="464"/>
    </row>
    <row r="153" spans="1:36">
      <c r="B153" s="604" t="s">
        <v>294</v>
      </c>
      <c r="C153" s="581"/>
      <c r="D153" s="493"/>
      <c r="E153" s="493"/>
      <c r="F153" s="493"/>
      <c r="G153" s="493"/>
      <c r="H153" s="493"/>
      <c r="I153" s="493"/>
      <c r="J153" s="609" t="e">
        <f ca="1">J152</f>
        <v>#REF!</v>
      </c>
      <c r="K153" s="493" t="e">
        <f ca="1">IF(DRIVE_Type="Direct",MFHe+MAC,0)</f>
        <v>#REF!</v>
      </c>
      <c r="L153" s="493" t="e">
        <f ca="1">IF(DRIVE_Type="Direct",-MAB/2,0)</f>
        <v>#REF!</v>
      </c>
      <c r="M153" s="492" t="e">
        <f ca="1">IF(DRIVE_Type="Direct",J153-(ML-SE),0)</f>
        <v>#REF!</v>
      </c>
      <c r="N153" s="608" t="e">
        <f ca="1">K153</f>
        <v>#REF!</v>
      </c>
      <c r="O153" s="2175" t="e">
        <f ca="1">-L153</f>
        <v>#REF!</v>
      </c>
      <c r="P153" s="660"/>
      <c r="Q153" s="1459"/>
      <c r="R153" s="644"/>
      <c r="S153" s="603"/>
      <c r="T153" s="603"/>
      <c r="U153" s="603"/>
      <c r="V153" s="603"/>
      <c r="W153" s="603"/>
      <c r="X153" s="603"/>
      <c r="Y153" s="603"/>
      <c r="Z153" s="603"/>
      <c r="AA153" s="603"/>
      <c r="AB153" s="603"/>
      <c r="AC153" s="603"/>
      <c r="AD153" s="603"/>
      <c r="AE153" s="603"/>
      <c r="AF153" s="603"/>
      <c r="AG153" s="603"/>
      <c r="AH153" s="603"/>
      <c r="AI153" s="603"/>
      <c r="AJ153" s="464"/>
    </row>
    <row r="154" spans="1:36" ht="14.45" customHeight="1">
      <c r="B154" s="604"/>
      <c r="C154" s="646"/>
      <c r="D154" s="493"/>
      <c r="E154" s="493"/>
      <c r="F154" s="493"/>
      <c r="G154" s="493"/>
      <c r="H154" s="493"/>
      <c r="I154" s="493"/>
      <c r="J154" s="609" t="e">
        <f ca="1">J153</f>
        <v>#REF!</v>
      </c>
      <c r="K154" s="493" t="e">
        <f ca="1">IF(DRIVE_Type="Direct",MFHe,0)</f>
        <v>#REF!</v>
      </c>
      <c r="L154" s="608" t="e">
        <f ca="1">L153</f>
        <v>#REF!</v>
      </c>
      <c r="M154" s="492" t="e">
        <f ca="1">IF(DRIVE_Type="Direct",J154-(ML-SE),0)</f>
        <v>#REF!</v>
      </c>
      <c r="N154" s="608" t="e">
        <f ca="1">K154</f>
        <v>#REF!</v>
      </c>
      <c r="O154" s="2175" t="e">
        <f ca="1">-L154</f>
        <v>#REF!</v>
      </c>
      <c r="P154" s="660"/>
      <c r="Q154" s="1459"/>
      <c r="R154" s="644"/>
      <c r="S154" s="603"/>
      <c r="T154" s="603"/>
      <c r="U154" s="603"/>
      <c r="V154" s="603"/>
      <c r="W154" s="603"/>
      <c r="X154" s="603"/>
      <c r="Y154" s="603"/>
      <c r="Z154" s="603"/>
      <c r="AA154" s="603"/>
      <c r="AB154" s="603"/>
      <c r="AC154" s="603"/>
      <c r="AD154" s="603"/>
      <c r="AE154" s="603"/>
      <c r="AF154" s="603"/>
      <c r="AG154" s="603"/>
      <c r="AH154" s="603"/>
      <c r="AI154" s="603"/>
      <c r="AJ154" s="464"/>
    </row>
    <row r="155" spans="1:36">
      <c r="B155" s="604" t="s">
        <v>295</v>
      </c>
      <c r="C155" s="581"/>
      <c r="D155" s="493"/>
      <c r="E155" s="493"/>
      <c r="F155" s="493"/>
      <c r="G155" s="493"/>
      <c r="H155" s="493"/>
      <c r="I155" s="493"/>
      <c r="J155" s="492" t="e">
        <f ca="1">IF(DRIVE_Type="Direct",IF(Small_F,J25+MC/2,J25+E25/2),0)</f>
        <v>#REF!</v>
      </c>
      <c r="K155" s="493" t="e">
        <f ca="1">IF(DRIVE_Type="Direct",MFHe,0)</f>
        <v>#REF!</v>
      </c>
      <c r="L155" s="493" t="e">
        <f ca="1">IF(DRIVE_Type="Direct",MA/2,0)</f>
        <v>#REF!</v>
      </c>
      <c r="M155" s="609" t="e">
        <f ca="1">J155</f>
        <v>#REF!</v>
      </c>
      <c r="N155" s="493" t="e">
        <f ca="1">IF(DRIVE_Type="Direct",MFHe+50,0)</f>
        <v>#REF!</v>
      </c>
      <c r="O155" s="611" t="e">
        <f ca="1">L155</f>
        <v>#REF!</v>
      </c>
      <c r="P155" s="660"/>
      <c r="Q155" s="1459"/>
      <c r="R155" s="644"/>
      <c r="S155" s="603"/>
      <c r="T155" s="603"/>
      <c r="U155" s="603"/>
      <c r="V155" s="603"/>
      <c r="W155" s="603"/>
      <c r="X155" s="603"/>
      <c r="Y155" s="603"/>
      <c r="Z155" s="603"/>
      <c r="AA155" s="603"/>
      <c r="AB155" s="603"/>
      <c r="AC155" s="603"/>
      <c r="AD155" s="603"/>
      <c r="AE155" s="603"/>
      <c r="AF155" s="603"/>
      <c r="AG155" s="603"/>
      <c r="AH155" s="603"/>
      <c r="AI155" s="603"/>
      <c r="AJ155" s="464"/>
    </row>
    <row r="156" spans="1:36">
      <c r="A156" s="604"/>
      <c r="B156" s="604" t="s">
        <v>296</v>
      </c>
      <c r="C156" s="646"/>
      <c r="D156" s="493"/>
      <c r="E156" s="493"/>
      <c r="F156" s="493"/>
      <c r="G156" s="493"/>
      <c r="H156" s="493"/>
      <c r="I156" s="493"/>
      <c r="J156" s="492" t="e">
        <f ca="1">IF(DRIVE_Type="Direct",J155+MB,0)</f>
        <v>#REF!</v>
      </c>
      <c r="K156" s="608" t="e">
        <f ca="1">K155</f>
        <v>#REF!</v>
      </c>
      <c r="L156" s="608" t="e">
        <f ca="1">L155</f>
        <v>#REF!</v>
      </c>
      <c r="M156" s="609" t="e">
        <f ca="1">J156</f>
        <v>#REF!</v>
      </c>
      <c r="N156" s="608" t="e">
        <f ca="1">N155</f>
        <v>#REF!</v>
      </c>
      <c r="O156" s="611" t="e">
        <f ca="1">L156</f>
        <v>#REF!</v>
      </c>
      <c r="P156" s="660"/>
      <c r="Q156" s="1459"/>
      <c r="R156" s="644"/>
      <c r="S156" s="603"/>
      <c r="T156" s="603"/>
      <c r="U156" s="639"/>
      <c r="V156" s="603"/>
      <c r="W156" s="603"/>
      <c r="X156" s="603"/>
      <c r="Y156" s="603"/>
      <c r="Z156" s="637"/>
      <c r="AA156" s="637"/>
      <c r="AB156" s="637"/>
      <c r="AC156" s="637"/>
      <c r="AD156" s="637"/>
      <c r="AE156" s="637"/>
      <c r="AF156" s="580"/>
      <c r="AG156" s="580"/>
      <c r="AH156" s="580"/>
      <c r="AI156" s="580"/>
      <c r="AJ156" s="464"/>
    </row>
    <row r="157" spans="1:36">
      <c r="A157" s="622"/>
      <c r="B157" s="604" t="s">
        <v>297</v>
      </c>
      <c r="C157" s="581"/>
      <c r="D157" s="493"/>
      <c r="E157" s="493"/>
      <c r="F157" s="493"/>
      <c r="G157" s="493"/>
      <c r="H157" s="493"/>
      <c r="I157" s="493"/>
      <c r="J157" s="609" t="e">
        <f ca="1">J155</f>
        <v>#REF!</v>
      </c>
      <c r="K157" s="608" t="e">
        <f ca="1">K155</f>
        <v>#REF!</v>
      </c>
      <c r="L157" s="2177" t="e">
        <f ca="1">-L155</f>
        <v>#REF!</v>
      </c>
      <c r="M157" s="609" t="e">
        <f ca="1">M155</f>
        <v>#REF!</v>
      </c>
      <c r="N157" s="608" t="e">
        <f ca="1">N155</f>
        <v>#REF!</v>
      </c>
      <c r="O157" s="611" t="e">
        <f ca="1">L157</f>
        <v>#REF!</v>
      </c>
      <c r="P157" s="660"/>
      <c r="Q157" s="1459"/>
      <c r="R157" s="640"/>
      <c r="S157" s="580"/>
      <c r="T157" s="580"/>
      <c r="U157" s="636"/>
      <c r="V157" s="636"/>
      <c r="W157" s="636"/>
      <c r="X157" s="636"/>
      <c r="Y157" s="636"/>
      <c r="Z157" s="637"/>
      <c r="AA157" s="637"/>
      <c r="AB157" s="637"/>
      <c r="AC157" s="637"/>
      <c r="AD157" s="637"/>
      <c r="AE157" s="637"/>
      <c r="AF157" s="580"/>
      <c r="AG157" s="580"/>
      <c r="AH157" s="580"/>
      <c r="AI157" s="580"/>
      <c r="AJ157" s="464"/>
    </row>
    <row r="158" spans="1:36" ht="15.75" thickBot="1">
      <c r="A158" s="604"/>
      <c r="B158" s="604" t="s">
        <v>298</v>
      </c>
      <c r="C158" s="646"/>
      <c r="D158" s="493"/>
      <c r="E158" s="493"/>
      <c r="F158" s="493"/>
      <c r="G158" s="493"/>
      <c r="H158" s="493"/>
      <c r="I158" s="493"/>
      <c r="J158" s="609" t="e">
        <f ca="1">J156</f>
        <v>#REF!</v>
      </c>
      <c r="K158" s="608" t="e">
        <f ca="1">K156</f>
        <v>#REF!</v>
      </c>
      <c r="L158" s="2177" t="e">
        <f ca="1">-L156</f>
        <v>#REF!</v>
      </c>
      <c r="M158" s="609" t="e">
        <f ca="1">M156</f>
        <v>#REF!</v>
      </c>
      <c r="N158" s="608" t="e">
        <f ca="1">N155</f>
        <v>#REF!</v>
      </c>
      <c r="O158" s="611" t="e">
        <f ca="1">L158</f>
        <v>#REF!</v>
      </c>
      <c r="P158" s="660"/>
      <c r="Q158" s="1459"/>
      <c r="R158" s="644"/>
      <c r="S158" s="603"/>
      <c r="T158" s="603"/>
      <c r="U158" s="639"/>
      <c r="V158" s="603"/>
      <c r="W158" s="603"/>
      <c r="X158" s="603"/>
      <c r="Y158" s="603"/>
      <c r="Z158" s="637"/>
      <c r="AA158" s="637"/>
      <c r="AB158" s="637"/>
      <c r="AC158" s="637"/>
      <c r="AD158" s="637"/>
      <c r="AE158" s="637"/>
      <c r="AF158" s="580"/>
      <c r="AG158" s="580"/>
      <c r="AH158" s="580"/>
      <c r="AI158" s="580"/>
      <c r="AJ158" s="464"/>
    </row>
    <row r="159" spans="1:36">
      <c r="A159" s="665"/>
      <c r="B159" s="671"/>
      <c r="C159" s="672"/>
      <c r="D159" s="673"/>
      <c r="E159" s="673"/>
      <c r="F159" s="673"/>
      <c r="G159" s="673"/>
      <c r="H159" s="673"/>
      <c r="I159" s="672"/>
      <c r="J159" s="668" t="s">
        <v>57</v>
      </c>
      <c r="K159" s="667" t="s">
        <v>58</v>
      </c>
      <c r="L159" s="667" t="s">
        <v>269</v>
      </c>
      <c r="M159" s="668" t="s">
        <v>57</v>
      </c>
      <c r="N159" s="667" t="s">
        <v>58</v>
      </c>
      <c r="O159" s="669" t="s">
        <v>269</v>
      </c>
      <c r="P159" s="674"/>
      <c r="Q159" s="1463"/>
      <c r="R159" s="640"/>
      <c r="S159" s="580"/>
      <c r="T159" s="580"/>
      <c r="U159" s="636"/>
      <c r="V159" s="636"/>
      <c r="W159" s="636"/>
      <c r="X159" s="636"/>
      <c r="Y159" s="636"/>
      <c r="Z159" s="637"/>
      <c r="AA159" s="637"/>
      <c r="AB159" s="637"/>
      <c r="AC159" s="637"/>
      <c r="AD159" s="637"/>
      <c r="AE159" s="637"/>
      <c r="AF159" s="580"/>
      <c r="AG159" s="580"/>
      <c r="AH159" s="580"/>
      <c r="AI159" s="580"/>
      <c r="AJ159" s="464"/>
    </row>
    <row r="160" spans="1:36">
      <c r="A160" s="675" t="s">
        <v>293</v>
      </c>
      <c r="B160" s="604"/>
      <c r="C160" s="646"/>
      <c r="D160" s="493"/>
      <c r="E160" s="493"/>
      <c r="F160" s="493"/>
      <c r="G160" s="493"/>
      <c r="H160" s="493"/>
      <c r="I160" s="581"/>
      <c r="J160" s="492"/>
      <c r="K160" s="493"/>
      <c r="L160" s="493"/>
      <c r="M160" s="492"/>
      <c r="N160" s="493"/>
      <c r="O160" s="583"/>
      <c r="P160" s="660"/>
      <c r="Q160" s="1459"/>
      <c r="R160" s="644"/>
      <c r="S160" s="603"/>
      <c r="T160" s="603"/>
      <c r="U160" s="639"/>
      <c r="V160" s="603"/>
      <c r="W160" s="603"/>
      <c r="X160" s="603"/>
      <c r="Y160" s="603"/>
      <c r="Z160" s="637"/>
      <c r="AA160" s="637"/>
      <c r="AB160" s="637"/>
      <c r="AC160" s="637"/>
      <c r="AD160" s="637"/>
      <c r="AE160" s="637"/>
      <c r="AF160" s="580"/>
      <c r="AG160" s="580"/>
      <c r="AH160" s="580"/>
      <c r="AI160" s="580"/>
      <c r="AJ160" s="464"/>
    </row>
    <row r="161" spans="1:36">
      <c r="A161" s="622"/>
      <c r="B161" s="2204" t="str">
        <f>""</f>
        <v/>
      </c>
      <c r="C161" s="2226"/>
      <c r="D161" s="2202"/>
      <c r="E161" s="2202"/>
      <c r="F161" s="2202"/>
      <c r="G161" s="2202"/>
      <c r="H161" s="2202"/>
      <c r="I161" s="2206"/>
      <c r="J161" s="2161">
        <v>0</v>
      </c>
      <c r="K161" s="2162">
        <v>0</v>
      </c>
      <c r="L161" s="2162">
        <v>0</v>
      </c>
      <c r="M161" s="2161">
        <v>0</v>
      </c>
      <c r="N161" s="2162">
        <v>0</v>
      </c>
      <c r="O161" s="2163">
        <v>0</v>
      </c>
      <c r="P161" s="660"/>
      <c r="Q161" s="1459"/>
      <c r="R161" s="640"/>
      <c r="S161" s="580"/>
      <c r="T161" s="580"/>
      <c r="U161" s="636"/>
      <c r="V161" s="636"/>
      <c r="W161" s="636"/>
      <c r="X161" s="636"/>
      <c r="Y161" s="636"/>
      <c r="Z161" s="637"/>
      <c r="AA161" s="637"/>
      <c r="AB161" s="637"/>
      <c r="AC161" s="637"/>
      <c r="AD161" s="637"/>
      <c r="AE161" s="637"/>
      <c r="AF161" s="580"/>
      <c r="AG161" s="580"/>
      <c r="AH161" s="580"/>
      <c r="AI161" s="580"/>
      <c r="AJ161" s="464"/>
    </row>
    <row r="162" spans="1:36">
      <c r="A162" s="604"/>
      <c r="B162" s="2204" t="str">
        <f>""</f>
        <v/>
      </c>
      <c r="C162" s="2227"/>
      <c r="D162" s="2202"/>
      <c r="E162" s="2202"/>
      <c r="F162" s="2202"/>
      <c r="G162" s="2202"/>
      <c r="H162" s="2202"/>
      <c r="I162" s="2203"/>
      <c r="J162" s="2161">
        <v>0</v>
      </c>
      <c r="K162" s="2162">
        <v>0</v>
      </c>
      <c r="L162" s="2162">
        <v>0</v>
      </c>
      <c r="M162" s="2161">
        <v>0</v>
      </c>
      <c r="N162" s="2162">
        <v>0</v>
      </c>
      <c r="O162" s="2163">
        <v>0</v>
      </c>
      <c r="P162" s="660"/>
      <c r="Q162" s="1459"/>
      <c r="R162" s="644"/>
      <c r="S162" s="603"/>
      <c r="T162" s="603"/>
      <c r="U162" s="639"/>
      <c r="V162" s="603"/>
      <c r="W162" s="603"/>
      <c r="X162" s="603"/>
      <c r="Y162" s="603"/>
      <c r="Z162" s="637"/>
      <c r="AA162" s="637"/>
      <c r="AB162" s="637"/>
      <c r="AC162" s="637"/>
      <c r="AD162" s="637"/>
      <c r="AE162" s="637"/>
      <c r="AF162" s="580"/>
      <c r="AG162" s="580"/>
      <c r="AH162" s="580"/>
      <c r="AI162" s="580"/>
      <c r="AJ162" s="464"/>
    </row>
    <row r="163" spans="1:36">
      <c r="A163" s="622"/>
      <c r="B163" s="2204" t="str">
        <f>""</f>
        <v/>
      </c>
      <c r="C163" s="2226"/>
      <c r="D163" s="2202"/>
      <c r="E163" s="2202"/>
      <c r="F163" s="2202"/>
      <c r="G163" s="2202"/>
      <c r="H163" s="2202"/>
      <c r="I163" s="2203"/>
      <c r="J163" s="2161">
        <v>0</v>
      </c>
      <c r="K163" s="2162">
        <v>0</v>
      </c>
      <c r="L163" s="2162">
        <v>0</v>
      </c>
      <c r="M163" s="2161">
        <v>0</v>
      </c>
      <c r="N163" s="2162">
        <v>0</v>
      </c>
      <c r="O163" s="2163">
        <v>0</v>
      </c>
      <c r="P163" s="660"/>
      <c r="Q163" s="1459"/>
      <c r="R163" s="640"/>
      <c r="S163" s="580"/>
      <c r="T163" s="580"/>
      <c r="U163" s="636"/>
      <c r="V163" s="636"/>
      <c r="W163" s="636"/>
      <c r="X163" s="636"/>
      <c r="Y163" s="636"/>
      <c r="Z163" s="637"/>
      <c r="AA163" s="637"/>
      <c r="AB163" s="637"/>
      <c r="AC163" s="637"/>
      <c r="AD163" s="637"/>
      <c r="AE163" s="637"/>
      <c r="AF163" s="580"/>
      <c r="AG163" s="580"/>
      <c r="AH163" s="580"/>
      <c r="AI163" s="580"/>
      <c r="AJ163" s="464"/>
    </row>
    <row r="164" spans="1:36" s="603" customFormat="1" ht="15.75" thickBot="1">
      <c r="A164" s="661"/>
      <c r="B164" s="2228" t="str">
        <f>""</f>
        <v/>
      </c>
      <c r="C164" s="2229"/>
      <c r="D164" s="2230"/>
      <c r="E164" s="2230"/>
      <c r="F164" s="2230"/>
      <c r="G164" s="2230"/>
      <c r="H164" s="2230"/>
      <c r="I164" s="2231"/>
      <c r="J164" s="2164">
        <v>0</v>
      </c>
      <c r="K164" s="2165">
        <v>0</v>
      </c>
      <c r="L164" s="2165">
        <v>0</v>
      </c>
      <c r="M164" s="2164">
        <v>0</v>
      </c>
      <c r="N164" s="2165">
        <v>0</v>
      </c>
      <c r="O164" s="2166">
        <v>0</v>
      </c>
      <c r="P164" s="664"/>
      <c r="Q164" s="1461"/>
      <c r="R164" s="644"/>
      <c r="U164" s="639"/>
      <c r="Z164" s="637"/>
      <c r="AA164" s="637"/>
      <c r="AB164" s="637"/>
      <c r="AC164" s="637"/>
      <c r="AD164" s="637"/>
      <c r="AE164" s="637"/>
      <c r="AF164" s="580"/>
      <c r="AG164" s="580"/>
      <c r="AH164" s="580"/>
      <c r="AI164" s="580"/>
    </row>
    <row r="165" spans="1:36" s="621" customFormat="1">
      <c r="A165" s="665"/>
      <c r="B165" s="671"/>
      <c r="C165" s="672"/>
      <c r="D165" s="673"/>
      <c r="E165" s="673"/>
      <c r="F165" s="673"/>
      <c r="G165" s="673"/>
      <c r="H165" s="673"/>
      <c r="I165" s="672"/>
      <c r="J165" s="668" t="s">
        <v>57</v>
      </c>
      <c r="K165" s="667" t="s">
        <v>58</v>
      </c>
      <c r="L165" s="667" t="s">
        <v>269</v>
      </c>
      <c r="M165" s="668" t="s">
        <v>57</v>
      </c>
      <c r="N165" s="667" t="s">
        <v>58</v>
      </c>
      <c r="O165" s="669" t="s">
        <v>269</v>
      </c>
      <c r="P165" s="674"/>
      <c r="Q165" s="1463"/>
      <c r="R165" s="640"/>
      <c r="S165" s="580"/>
      <c r="T165" s="580"/>
      <c r="U165" s="636"/>
      <c r="V165" s="636"/>
      <c r="W165" s="636"/>
      <c r="X165" s="636"/>
      <c r="Y165" s="636"/>
      <c r="Z165" s="637"/>
      <c r="AA165" s="637"/>
      <c r="AB165" s="637"/>
      <c r="AC165" s="637"/>
      <c r="AD165" s="637"/>
      <c r="AE165" s="637"/>
      <c r="AF165" s="580"/>
      <c r="AG165" s="580"/>
      <c r="AH165" s="580"/>
      <c r="AI165" s="580"/>
    </row>
    <row r="166" spans="1:36" s="621" customFormat="1">
      <c r="A166" s="675" t="s">
        <v>1855</v>
      </c>
      <c r="B166" s="604"/>
      <c r="C166" s="646"/>
      <c r="D166" s="493"/>
      <c r="E166" s="493"/>
      <c r="F166" s="493"/>
      <c r="G166" s="493"/>
      <c r="H166" s="493"/>
      <c r="I166" s="581"/>
      <c r="J166" s="492"/>
      <c r="K166" s="493"/>
      <c r="L166" s="493"/>
      <c r="M166" s="492"/>
      <c r="N166" s="493"/>
      <c r="O166" s="583"/>
      <c r="P166" s="660"/>
      <c r="Q166" s="1459"/>
      <c r="R166" s="640"/>
      <c r="S166" s="580"/>
      <c r="T166" s="580"/>
      <c r="U166" s="636"/>
      <c r="V166" s="636"/>
      <c r="W166" s="636"/>
      <c r="X166" s="636"/>
      <c r="Y166" s="636"/>
      <c r="Z166" s="637"/>
      <c r="AA166" s="637"/>
      <c r="AB166" s="637"/>
      <c r="AC166" s="637"/>
      <c r="AD166" s="637"/>
      <c r="AE166" s="637"/>
      <c r="AF166" s="580"/>
      <c r="AG166" s="580"/>
      <c r="AH166" s="580"/>
      <c r="AI166" s="580"/>
    </row>
    <row r="167" spans="1:36" s="621" customFormat="1">
      <c r="A167" s="622"/>
      <c r="B167" s="604" t="s">
        <v>1862</v>
      </c>
      <c r="C167" s="581"/>
      <c r="D167" s="493"/>
      <c r="E167" s="493"/>
      <c r="F167" s="493"/>
      <c r="G167" s="493"/>
      <c r="H167" s="493"/>
      <c r="I167" s="581"/>
      <c r="J167" s="492" t="e">
        <f ca="1">-(Hub_C_tL-Hub_C_iHe-Hub_P_T-Back_P_T-DIHo)</f>
        <v>#REF!</v>
      </c>
      <c r="K167" s="580" t="e">
        <f ca="1">Hub_C_eD/2</f>
        <v>#REF!</v>
      </c>
      <c r="L167" s="580"/>
      <c r="M167" s="599" t="e">
        <f ca="1">DIHo+Hub_P_T+Back_P_T</f>
        <v>#REF!</v>
      </c>
      <c r="N167" s="608" t="e">
        <f ca="1">K167</f>
        <v>#REF!</v>
      </c>
      <c r="O167" s="601"/>
      <c r="P167" s="660"/>
      <c r="Q167" s="1459"/>
      <c r="R167" s="644"/>
      <c r="S167" s="603"/>
      <c r="T167" s="603"/>
      <c r="U167" s="639"/>
      <c r="V167" s="603"/>
      <c r="W167" s="603"/>
      <c r="X167" s="603"/>
      <c r="Y167" s="603"/>
      <c r="Z167" s="637"/>
      <c r="AA167" s="637"/>
      <c r="AB167" s="637"/>
      <c r="AC167" s="637"/>
      <c r="AD167" s="637"/>
      <c r="AE167" s="637"/>
      <c r="AF167" s="580"/>
      <c r="AG167" s="580"/>
      <c r="AH167" s="580"/>
      <c r="AI167" s="580"/>
    </row>
    <row r="168" spans="1:36" s="621" customFormat="1">
      <c r="A168" s="604"/>
      <c r="B168" s="604" t="s">
        <v>1863</v>
      </c>
      <c r="C168" s="646"/>
      <c r="D168" s="493"/>
      <c r="E168" s="493"/>
      <c r="F168" s="493"/>
      <c r="G168" s="493"/>
      <c r="H168" s="493"/>
      <c r="I168" s="493"/>
      <c r="J168" s="609" t="e">
        <f ca="1">M167</f>
        <v>#REF!</v>
      </c>
      <c r="K168" s="580" t="e">
        <f ca="1">Hub_C_iD/2</f>
        <v>#REF!</v>
      </c>
      <c r="L168" s="580"/>
      <c r="M168" s="599" t="e">
        <f ca="1">J168+Hub_C_iHe</f>
        <v>#REF!</v>
      </c>
      <c r="N168" s="608" t="e">
        <f ca="1">K168</f>
        <v>#REF!</v>
      </c>
      <c r="O168" s="601"/>
      <c r="P168" s="660"/>
      <c r="Q168" s="1459"/>
      <c r="R168" s="640"/>
      <c r="S168" s="580"/>
      <c r="T168" s="580"/>
      <c r="U168" s="636"/>
      <c r="V168" s="636"/>
      <c r="W168" s="636"/>
      <c r="X168" s="636"/>
      <c r="Y168" s="636"/>
      <c r="Z168" s="637"/>
      <c r="AA168" s="637"/>
      <c r="AB168" s="637"/>
      <c r="AC168" s="637"/>
      <c r="AD168" s="637"/>
      <c r="AE168" s="637"/>
      <c r="AF168" s="580"/>
      <c r="AG168" s="580"/>
      <c r="AH168" s="580"/>
      <c r="AI168" s="580"/>
    </row>
    <row r="169" spans="1:36" s="621" customFormat="1">
      <c r="A169" s="622"/>
      <c r="B169" s="604" t="s">
        <v>1864</v>
      </c>
      <c r="C169" s="581"/>
      <c r="D169" s="493"/>
      <c r="E169" s="493"/>
      <c r="F169" s="493"/>
      <c r="G169" s="493"/>
      <c r="H169" s="493"/>
      <c r="I169" s="493"/>
      <c r="J169" s="609" t="e">
        <f ca="1">J167</f>
        <v>#REF!</v>
      </c>
      <c r="K169" s="580" t="e">
        <f ca="1">-K167</f>
        <v>#REF!</v>
      </c>
      <c r="L169" s="580"/>
      <c r="M169" s="609" t="e">
        <f ca="1">M167</f>
        <v>#REF!</v>
      </c>
      <c r="N169" s="580" t="e">
        <f ca="1">-N167</f>
        <v>#REF!</v>
      </c>
      <c r="O169" s="601"/>
      <c r="P169" s="660"/>
      <c r="Q169" s="1459"/>
      <c r="R169" s="644"/>
      <c r="S169" s="603"/>
      <c r="T169" s="603"/>
      <c r="U169" s="639"/>
      <c r="V169" s="603"/>
      <c r="W169" s="603"/>
      <c r="X169" s="603"/>
      <c r="Y169" s="603"/>
      <c r="Z169" s="637"/>
      <c r="AA169" s="637"/>
      <c r="AB169" s="637"/>
      <c r="AC169" s="637"/>
      <c r="AD169" s="637"/>
      <c r="AE169" s="637"/>
      <c r="AF169" s="580"/>
      <c r="AG169" s="580"/>
      <c r="AH169" s="580"/>
      <c r="AI169" s="580"/>
      <c r="AJ169" s="603"/>
    </row>
    <row r="170" spans="1:36" s="621" customFormat="1" ht="15.75" thickBot="1">
      <c r="A170" s="661"/>
      <c r="B170" s="661" t="s">
        <v>1865</v>
      </c>
      <c r="C170" s="662"/>
      <c r="D170" s="638"/>
      <c r="E170" s="638"/>
      <c r="F170" s="638"/>
      <c r="G170" s="638"/>
      <c r="H170" s="638"/>
      <c r="I170" s="638"/>
      <c r="J170" s="682" t="e">
        <f ca="1">J168</f>
        <v>#REF!</v>
      </c>
      <c r="K170" s="620" t="e">
        <f ca="1">-K168</f>
        <v>#REF!</v>
      </c>
      <c r="L170" s="620"/>
      <c r="M170" s="682" t="e">
        <f ca="1">M168</f>
        <v>#REF!</v>
      </c>
      <c r="N170" s="620" t="e">
        <f ca="1">-N168</f>
        <v>#REF!</v>
      </c>
      <c r="O170" s="648"/>
      <c r="P170" s="664"/>
      <c r="Q170" s="1461"/>
      <c r="R170" s="640"/>
      <c r="S170" s="580"/>
      <c r="T170" s="580"/>
      <c r="U170" s="636"/>
      <c r="V170" s="636"/>
      <c r="W170" s="636"/>
      <c r="X170" s="636"/>
      <c r="Y170" s="636"/>
      <c r="Z170" s="637"/>
      <c r="AA170" s="637"/>
      <c r="AB170" s="637"/>
      <c r="AC170" s="637"/>
      <c r="AD170" s="637"/>
      <c r="AE170" s="637"/>
      <c r="AF170" s="580"/>
      <c r="AG170" s="580"/>
      <c r="AH170" s="580"/>
      <c r="AI170" s="580"/>
      <c r="AJ170" s="603"/>
    </row>
    <row r="171" spans="1:36" s="621" customFormat="1">
      <c r="A171" s="464"/>
      <c r="B171" s="464"/>
      <c r="C171" s="464"/>
      <c r="D171" s="464"/>
      <c r="E171" s="464"/>
      <c r="F171" s="464"/>
      <c r="G171" s="464"/>
      <c r="H171" s="464"/>
      <c r="I171" s="464"/>
      <c r="J171" s="464"/>
      <c r="K171" s="464"/>
      <c r="L171" s="464"/>
      <c r="M171" s="464"/>
      <c r="N171" s="464"/>
      <c r="O171" s="464"/>
      <c r="P171" s="462"/>
      <c r="Q171" s="464"/>
      <c r="R171" s="640"/>
      <c r="S171" s="603"/>
      <c r="T171" s="603"/>
      <c r="U171" s="639"/>
      <c r="V171" s="603"/>
      <c r="W171" s="603"/>
      <c r="X171" s="603"/>
      <c r="Y171" s="603"/>
      <c r="Z171" s="637"/>
      <c r="AA171" s="637"/>
      <c r="AB171" s="637"/>
      <c r="AC171" s="637"/>
      <c r="AD171" s="637"/>
      <c r="AE171" s="637"/>
      <c r="AF171" s="580"/>
      <c r="AG171" s="580"/>
      <c r="AH171" s="580"/>
      <c r="AI171" s="580"/>
      <c r="AJ171" s="603"/>
    </row>
    <row r="172" spans="1:36" s="621" customFormat="1">
      <c r="A172" s="625" t="s">
        <v>292</v>
      </c>
      <c r="B172" s="604"/>
      <c r="C172" s="603"/>
      <c r="D172" s="2225">
        <v>0</v>
      </c>
      <c r="E172" s="464"/>
      <c r="F172" s="626" t="s">
        <v>1290</v>
      </c>
      <c r="G172" s="2225">
        <v>0</v>
      </c>
      <c r="H172" s="493"/>
      <c r="I172" s="493"/>
      <c r="J172" s="492"/>
      <c r="K172" s="493"/>
      <c r="L172" s="493"/>
      <c r="M172" s="492"/>
      <c r="N172" s="493"/>
      <c r="O172" s="583"/>
      <c r="P172" s="584"/>
      <c r="Q172" s="1450"/>
      <c r="R172" s="640"/>
      <c r="S172" s="580"/>
      <c r="T172" s="580"/>
      <c r="U172" s="636"/>
      <c r="V172" s="636"/>
      <c r="W172" s="636"/>
      <c r="X172" s="636"/>
      <c r="Y172" s="636"/>
      <c r="Z172" s="637"/>
      <c r="AA172" s="637"/>
      <c r="AB172" s="637"/>
      <c r="AC172" s="637"/>
      <c r="AD172" s="637"/>
      <c r="AE172" s="637"/>
      <c r="AF172" s="580"/>
      <c r="AG172" s="580"/>
      <c r="AH172" s="580"/>
      <c r="AI172" s="580"/>
      <c r="AJ172" s="603"/>
    </row>
    <row r="173" spans="1:36" s="621" customFormat="1">
      <c r="A173" s="625" t="s">
        <v>1288</v>
      </c>
      <c r="B173" s="604"/>
      <c r="C173" s="603"/>
      <c r="D173" s="2225">
        <v>0</v>
      </c>
      <c r="E173" s="464"/>
      <c r="F173" s="493"/>
      <c r="G173" s="493"/>
      <c r="H173" s="493"/>
      <c r="I173" s="493"/>
      <c r="J173" s="492"/>
      <c r="K173" s="493"/>
      <c r="L173" s="493"/>
      <c r="M173" s="492"/>
      <c r="N173" s="493"/>
      <c r="O173" s="583"/>
      <c r="P173" s="584"/>
      <c r="Q173" s="1450"/>
      <c r="R173" s="640"/>
      <c r="S173" s="580"/>
      <c r="T173" s="580"/>
      <c r="U173" s="636"/>
      <c r="V173" s="636"/>
      <c r="W173" s="636"/>
      <c r="X173" s="636"/>
      <c r="Y173" s="636"/>
      <c r="Z173" s="637"/>
      <c r="AA173" s="637"/>
      <c r="AB173" s="637"/>
      <c r="AC173" s="637"/>
      <c r="AD173" s="637"/>
      <c r="AE173" s="637"/>
      <c r="AF173" s="580"/>
      <c r="AG173" s="580"/>
      <c r="AH173" s="580"/>
      <c r="AI173" s="580"/>
      <c r="AJ173" s="603"/>
    </row>
    <row r="174" spans="1:36" s="621" customFormat="1">
      <c r="A174" s="625" t="s">
        <v>1835</v>
      </c>
      <c r="B174" s="604"/>
      <c r="C174" s="603"/>
      <c r="D174" s="2178" t="e">
        <f ca="1">IF(DRIVE_Type="Direct",M51+DRa2H_D-IF(Small_F,J53,J51),0)</f>
        <v>#REF!</v>
      </c>
      <c r="E174" s="464"/>
      <c r="F174" s="626" t="s">
        <v>1290</v>
      </c>
      <c r="G174" s="627" t="e">
        <f ca="1">IF(DRIVE_Type="Direct",DRa2H_D,0)</f>
        <v>#REF!</v>
      </c>
      <c r="H174" s="580"/>
      <c r="I174" s="580"/>
      <c r="J174" s="492"/>
      <c r="K174" s="493"/>
      <c r="L174" s="493"/>
      <c r="M174" s="492"/>
      <c r="N174" s="493"/>
      <c r="O174" s="583"/>
      <c r="P174" s="584"/>
      <c r="Q174" s="1450"/>
      <c r="R174" s="644"/>
      <c r="S174" s="603"/>
      <c r="T174" s="603"/>
      <c r="U174" s="639"/>
      <c r="V174" s="603"/>
      <c r="W174" s="603"/>
      <c r="X174" s="603"/>
      <c r="Y174" s="603"/>
      <c r="Z174" s="637"/>
      <c r="AA174" s="637"/>
      <c r="AB174" s="637"/>
      <c r="AC174" s="637"/>
      <c r="AD174" s="637"/>
      <c r="AE174" s="637"/>
      <c r="AF174" s="580"/>
      <c r="AG174" s="580"/>
      <c r="AH174" s="580"/>
      <c r="AI174" s="580"/>
    </row>
    <row r="175" spans="1:36" s="621" customFormat="1">
      <c r="A175" s="625" t="s">
        <v>1190</v>
      </c>
      <c r="B175" s="604"/>
      <c r="C175" s="603"/>
      <c r="D175" s="2225">
        <v>0</v>
      </c>
      <c r="E175" s="464"/>
      <c r="F175" s="626" t="s">
        <v>1290</v>
      </c>
      <c r="G175" s="2225">
        <v>0</v>
      </c>
      <c r="H175" s="580"/>
      <c r="I175" s="580"/>
      <c r="J175" s="492"/>
      <c r="K175" s="493"/>
      <c r="L175" s="493"/>
      <c r="M175" s="492"/>
      <c r="N175" s="493"/>
      <c r="O175" s="583"/>
      <c r="P175" s="584"/>
      <c r="Q175" s="1450"/>
      <c r="R175" s="640"/>
      <c r="S175" s="580"/>
      <c r="T175" s="580"/>
      <c r="U175" s="636"/>
      <c r="V175" s="636"/>
      <c r="W175" s="636"/>
      <c r="X175" s="636"/>
      <c r="Y175" s="636"/>
      <c r="Z175" s="637"/>
      <c r="AA175" s="637"/>
      <c r="AB175" s="637"/>
      <c r="AC175" s="637"/>
      <c r="AD175" s="637"/>
      <c r="AE175" s="637"/>
      <c r="AF175" s="580"/>
      <c r="AG175" s="580"/>
      <c r="AH175" s="580"/>
      <c r="AI175" s="580"/>
    </row>
    <row r="176" spans="1:36" s="621" customFormat="1">
      <c r="A176" s="464"/>
      <c r="B176" s="464"/>
      <c r="C176" s="464"/>
      <c r="D176" s="464"/>
      <c r="E176" s="464"/>
      <c r="F176" s="464"/>
      <c r="G176" s="464"/>
      <c r="H176" s="464"/>
      <c r="I176" s="464"/>
      <c r="J176" s="464"/>
      <c r="K176" s="464"/>
      <c r="L176" s="464"/>
      <c r="M176" s="464"/>
      <c r="N176" s="464"/>
      <c r="O176" s="464"/>
      <c r="P176" s="462"/>
      <c r="Q176" s="464"/>
      <c r="R176" s="640"/>
      <c r="S176" s="580"/>
      <c r="T176" s="580"/>
      <c r="U176" s="636"/>
      <c r="V176" s="636"/>
      <c r="W176" s="636"/>
      <c r="X176" s="636"/>
      <c r="Y176" s="636"/>
      <c r="Z176" s="637"/>
      <c r="AA176" s="637"/>
      <c r="AB176" s="637"/>
      <c r="AC176" s="637"/>
      <c r="AD176" s="637"/>
      <c r="AE176" s="637"/>
      <c r="AF176" s="580"/>
      <c r="AG176" s="580"/>
      <c r="AH176" s="580"/>
      <c r="AI176" s="580"/>
    </row>
    <row r="177" spans="18:36">
      <c r="R177" s="1502"/>
      <c r="S177" s="603"/>
      <c r="T177" s="603"/>
      <c r="U177" s="603"/>
      <c r="V177" s="572"/>
      <c r="W177" s="603"/>
      <c r="X177" s="603"/>
      <c r="Y177" s="603"/>
      <c r="Z177" s="603"/>
      <c r="AA177" s="603"/>
      <c r="AB177" s="603"/>
      <c r="AC177" s="603"/>
      <c r="AD177" s="603"/>
      <c r="AE177" s="603"/>
      <c r="AF177" s="603"/>
      <c r="AG177" s="603"/>
      <c r="AH177" s="603"/>
      <c r="AI177" s="603"/>
      <c r="AJ177" s="621"/>
    </row>
    <row r="178" spans="18:36">
      <c r="R178" s="644"/>
      <c r="S178" s="603"/>
      <c r="T178" s="603"/>
      <c r="U178" s="603"/>
      <c r="V178" s="603"/>
      <c r="W178" s="603"/>
      <c r="X178" s="603"/>
      <c r="Y178" s="603"/>
      <c r="Z178" s="603"/>
      <c r="AA178" s="603"/>
      <c r="AB178" s="603"/>
      <c r="AC178" s="603"/>
      <c r="AD178" s="603"/>
      <c r="AE178" s="603"/>
      <c r="AF178" s="603"/>
      <c r="AG178" s="603"/>
      <c r="AH178" s="603"/>
      <c r="AI178" s="603"/>
      <c r="AJ178" s="464"/>
    </row>
    <row r="179" spans="18:36">
      <c r="R179" s="644"/>
      <c r="S179" s="603"/>
      <c r="T179" s="603"/>
      <c r="U179" s="603"/>
      <c r="V179" s="603"/>
      <c r="W179" s="603"/>
      <c r="X179" s="603"/>
      <c r="Y179" s="603"/>
      <c r="Z179" s="603"/>
      <c r="AA179" s="603"/>
      <c r="AB179" s="603"/>
      <c r="AC179" s="603"/>
      <c r="AD179" s="603"/>
      <c r="AE179" s="603"/>
      <c r="AF179" s="603"/>
      <c r="AG179" s="603"/>
      <c r="AH179" s="603"/>
      <c r="AI179" s="603"/>
      <c r="AJ179" s="464"/>
    </row>
    <row r="180" spans="18:36">
      <c r="R180" s="644"/>
      <c r="S180" s="603"/>
      <c r="T180" s="603"/>
      <c r="U180" s="603"/>
      <c r="V180" s="603"/>
      <c r="W180" s="603"/>
      <c r="X180" s="603"/>
      <c r="Y180" s="603"/>
      <c r="Z180" s="603"/>
      <c r="AA180" s="603"/>
      <c r="AB180" s="603"/>
      <c r="AC180" s="603"/>
      <c r="AD180" s="603"/>
      <c r="AE180" s="603"/>
      <c r="AF180" s="603"/>
      <c r="AG180" s="603"/>
      <c r="AH180" s="603"/>
      <c r="AI180" s="603"/>
      <c r="AJ180" s="464"/>
    </row>
    <row r="181" spans="18:36">
      <c r="R181" s="644"/>
      <c r="S181" s="603"/>
      <c r="T181" s="603"/>
      <c r="U181" s="603"/>
      <c r="V181" s="603"/>
      <c r="W181" s="603"/>
      <c r="X181" s="603"/>
      <c r="Y181" s="603"/>
      <c r="Z181" s="603"/>
      <c r="AA181" s="603"/>
      <c r="AB181" s="603"/>
      <c r="AC181" s="603"/>
      <c r="AD181" s="603"/>
      <c r="AE181" s="603"/>
      <c r="AF181" s="603"/>
      <c r="AG181" s="603"/>
      <c r="AH181" s="603"/>
      <c r="AI181" s="603"/>
      <c r="AJ181" s="464"/>
    </row>
    <row r="182" spans="18:36">
      <c r="R182" s="644"/>
      <c r="S182" s="603"/>
      <c r="T182" s="603"/>
      <c r="U182" s="603"/>
      <c r="V182" s="603"/>
      <c r="W182" s="603"/>
      <c r="X182" s="603"/>
      <c r="Y182" s="603"/>
      <c r="Z182" s="603"/>
      <c r="AA182" s="603"/>
      <c r="AB182" s="603"/>
      <c r="AC182" s="603"/>
      <c r="AD182" s="603"/>
      <c r="AE182" s="603"/>
      <c r="AF182" s="603"/>
      <c r="AG182" s="603"/>
      <c r="AH182" s="603"/>
      <c r="AI182" s="603"/>
      <c r="AJ182" s="464"/>
    </row>
    <row r="183" spans="18:36">
      <c r="R183" s="644"/>
      <c r="S183" s="603"/>
      <c r="T183" s="603"/>
      <c r="U183" s="603"/>
      <c r="V183" s="603"/>
      <c r="W183" s="603"/>
      <c r="X183" s="603"/>
      <c r="Y183" s="603"/>
      <c r="Z183" s="603"/>
      <c r="AA183" s="603"/>
      <c r="AB183" s="603"/>
      <c r="AC183" s="603"/>
      <c r="AD183" s="603"/>
      <c r="AE183" s="603"/>
      <c r="AF183" s="603"/>
      <c r="AG183" s="603"/>
      <c r="AH183" s="603"/>
      <c r="AI183" s="603"/>
      <c r="AJ183" s="464"/>
    </row>
    <row r="184" spans="18:36">
      <c r="R184" s="644"/>
      <c r="S184" s="603"/>
      <c r="T184" s="603"/>
      <c r="U184" s="603"/>
      <c r="V184" s="603"/>
      <c r="W184" s="603"/>
      <c r="X184" s="603"/>
      <c r="Y184" s="603"/>
      <c r="Z184" s="603"/>
      <c r="AA184" s="603"/>
      <c r="AB184" s="603"/>
      <c r="AC184" s="603"/>
      <c r="AD184" s="603"/>
      <c r="AE184" s="603"/>
      <c r="AF184" s="603"/>
      <c r="AG184" s="603"/>
      <c r="AH184" s="603"/>
      <c r="AI184" s="603"/>
      <c r="AJ184" s="464"/>
    </row>
    <row r="185" spans="18:36">
      <c r="R185" s="644"/>
      <c r="S185" s="603"/>
      <c r="T185" s="603"/>
      <c r="U185" s="603"/>
      <c r="V185" s="603"/>
      <c r="W185" s="603"/>
      <c r="X185" s="603"/>
      <c r="Y185" s="603"/>
      <c r="Z185" s="603"/>
      <c r="AA185" s="603"/>
      <c r="AB185" s="603"/>
      <c r="AC185" s="603"/>
      <c r="AD185" s="603"/>
      <c r="AE185" s="603"/>
      <c r="AF185" s="603"/>
      <c r="AG185" s="603"/>
      <c r="AH185" s="603"/>
      <c r="AI185" s="603"/>
      <c r="AJ185" s="464"/>
    </row>
    <row r="186" spans="18:36">
      <c r="R186" s="644"/>
      <c r="S186" s="603"/>
      <c r="T186" s="603"/>
      <c r="U186" s="603"/>
      <c r="V186" s="603"/>
      <c r="W186" s="603"/>
      <c r="X186" s="603"/>
      <c r="Y186" s="603"/>
      <c r="Z186" s="603"/>
      <c r="AA186" s="603"/>
      <c r="AB186" s="603"/>
      <c r="AC186" s="603"/>
      <c r="AD186" s="603"/>
      <c r="AE186" s="603"/>
      <c r="AF186" s="603"/>
      <c r="AG186" s="603"/>
      <c r="AH186" s="603"/>
      <c r="AI186" s="603"/>
      <c r="AJ186" s="464"/>
    </row>
    <row r="187" spans="18:36">
      <c r="R187" s="644"/>
      <c r="S187" s="603"/>
      <c r="T187" s="603"/>
      <c r="U187" s="603"/>
      <c r="V187" s="603"/>
      <c r="W187" s="603"/>
      <c r="X187" s="603"/>
      <c r="Y187" s="603"/>
      <c r="Z187" s="603"/>
      <c r="AA187" s="603"/>
      <c r="AB187" s="603"/>
      <c r="AC187" s="603"/>
      <c r="AD187" s="603"/>
      <c r="AE187" s="603"/>
      <c r="AF187" s="603"/>
      <c r="AG187" s="603"/>
      <c r="AH187" s="603"/>
      <c r="AI187" s="603"/>
      <c r="AJ187" s="464"/>
    </row>
    <row r="188" spans="18:36">
      <c r="R188" s="644"/>
      <c r="S188" s="603"/>
      <c r="T188" s="603"/>
      <c r="U188" s="603"/>
      <c r="V188" s="603"/>
      <c r="W188" s="603"/>
      <c r="X188" s="603"/>
      <c r="Y188" s="603"/>
      <c r="Z188" s="603"/>
      <c r="AA188" s="603"/>
      <c r="AB188" s="603"/>
      <c r="AC188" s="603"/>
      <c r="AD188" s="603"/>
      <c r="AE188" s="603"/>
      <c r="AF188" s="603"/>
      <c r="AG188" s="603"/>
      <c r="AH188" s="603"/>
      <c r="AI188" s="603"/>
      <c r="AJ188" s="464"/>
    </row>
    <row r="189" spans="18:36">
      <c r="R189" s="644"/>
      <c r="S189" s="603"/>
      <c r="T189" s="603"/>
      <c r="U189" s="603"/>
      <c r="V189" s="603"/>
      <c r="W189" s="603"/>
      <c r="X189" s="603"/>
      <c r="Y189" s="603"/>
      <c r="Z189" s="603"/>
      <c r="AA189" s="603"/>
      <c r="AB189" s="603"/>
      <c r="AC189" s="603"/>
      <c r="AD189" s="603"/>
      <c r="AE189" s="603"/>
      <c r="AF189" s="603"/>
      <c r="AG189" s="603"/>
      <c r="AH189" s="603"/>
      <c r="AI189" s="603"/>
      <c r="AJ189" s="464"/>
    </row>
    <row r="190" spans="18:36">
      <c r="R190" s="644"/>
      <c r="S190" s="603"/>
      <c r="T190" s="603"/>
      <c r="U190" s="603"/>
      <c r="V190" s="603"/>
      <c r="W190" s="603"/>
      <c r="X190" s="603"/>
      <c r="Y190" s="603"/>
      <c r="Z190" s="603"/>
      <c r="AA190" s="603"/>
      <c r="AB190" s="603"/>
      <c r="AC190" s="603"/>
      <c r="AD190" s="603"/>
      <c r="AE190" s="603"/>
      <c r="AF190" s="603"/>
      <c r="AG190" s="603"/>
      <c r="AH190" s="603"/>
      <c r="AI190" s="603"/>
      <c r="AJ190" s="464"/>
    </row>
    <row r="191" spans="18:36">
      <c r="R191" s="644"/>
      <c r="S191" s="603"/>
      <c r="T191" s="603"/>
      <c r="U191" s="603"/>
      <c r="V191" s="603"/>
      <c r="W191" s="603"/>
      <c r="X191" s="603"/>
      <c r="Y191" s="603"/>
      <c r="Z191" s="603"/>
      <c r="AA191" s="603"/>
      <c r="AB191" s="603"/>
      <c r="AC191" s="603"/>
      <c r="AD191" s="603"/>
      <c r="AE191" s="603"/>
      <c r="AF191" s="603"/>
      <c r="AG191" s="603"/>
      <c r="AH191" s="603"/>
      <c r="AI191" s="603"/>
      <c r="AJ191" s="464"/>
    </row>
    <row r="192" spans="18:36">
      <c r="R192" s="493"/>
      <c r="AJ192" s="464"/>
    </row>
    <row r="193" spans="18:36">
      <c r="R193" s="493"/>
      <c r="AJ193" s="464"/>
    </row>
    <row r="194" spans="18:36">
      <c r="R194" s="493"/>
      <c r="AJ194" s="464"/>
    </row>
    <row r="195" spans="18:36">
      <c r="R195" s="493"/>
      <c r="AJ195" s="464"/>
    </row>
    <row r="196" spans="18:36">
      <c r="R196" s="493"/>
      <c r="AJ196" s="464"/>
    </row>
    <row r="197" spans="18:36">
      <c r="R197" s="493"/>
      <c r="AJ197" s="464"/>
    </row>
    <row r="198" spans="18:36">
      <c r="R198" s="493"/>
      <c r="AJ198" s="464"/>
    </row>
    <row r="199" spans="18:36">
      <c r="AJ199" s="464"/>
    </row>
    <row r="200" spans="18:36">
      <c r="AJ200" s="464"/>
    </row>
    <row r="201" spans="18:36">
      <c r="AJ201" s="464"/>
    </row>
    <row r="202" spans="18:36">
      <c r="AJ202" s="464"/>
    </row>
    <row r="203" spans="18:36">
      <c r="AJ203" s="464"/>
    </row>
    <row r="204" spans="18:36">
      <c r="AJ204" s="464"/>
    </row>
    <row r="205" spans="18:36">
      <c r="AJ205" s="464"/>
    </row>
    <row r="206" spans="18:36">
      <c r="AJ206" s="464"/>
    </row>
    <row r="207" spans="18:36">
      <c r="AJ207" s="464"/>
    </row>
    <row r="208" spans="18:36">
      <c r="AJ208" s="464"/>
    </row>
    <row r="209" spans="36:36">
      <c r="AJ209" s="464"/>
    </row>
    <row r="210" spans="36:36">
      <c r="AJ210" s="464"/>
    </row>
  </sheetData>
  <mergeCells count="4">
    <mergeCell ref="A21:A22"/>
    <mergeCell ref="B21:B22"/>
    <mergeCell ref="C21:C22"/>
    <mergeCell ref="D21:D22"/>
  </mergeCells>
  <phoneticPr fontId="170" type="noConversion"/>
  <pageMargins left="0.70866141732283472" right="0.70866141732283472" top="0.74803149606299213" bottom="0.74803149606299213" header="0.31496062992125984" footer="0.31496062992125984"/>
  <pageSetup paperSize="9" scale="19" orientation="landscape" r:id="rId1"/>
  <headerFooter>
    <oddHeader>&amp;L&amp;F / &amp;A&amp;R&amp;D</oddHeader>
    <oddFooter>&amp;L&amp;12CONFIDENTIAL&amp;C&amp;12BARKER JET&amp;Rpage &amp;P / &amp;N</oddFooter>
  </headerFooter>
  <drawing r:id="rId2"/>
  <legacyDrawing r:id="rId3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1">
    <pageSetUpPr fitToPage="1"/>
  </sheetPr>
  <dimension ref="A1:AJ210"/>
  <sheetViews>
    <sheetView topLeftCell="A21" zoomScale="70" zoomScaleNormal="70" workbookViewId="0">
      <pane xSplit="4" ySplit="2" topLeftCell="E122" activePane="bottomRight" state="frozen"/>
      <selection activeCell="K96" sqref="K96"/>
      <selection pane="topRight" activeCell="K96" sqref="K96"/>
      <selection pane="bottomLeft" activeCell="K96" sqref="K96"/>
      <selection pane="bottomRight" activeCell="D99" sqref="D99"/>
    </sheetView>
  </sheetViews>
  <sheetFormatPr defaultColWidth="10.7109375" defaultRowHeight="15"/>
  <cols>
    <col min="1" max="1" width="15" style="464" customWidth="1"/>
    <col min="2" max="9" width="10.7109375" style="464" customWidth="1"/>
    <col min="10" max="15" width="8.7109375" style="464" customWidth="1"/>
    <col min="16" max="16" width="8.7109375" style="462" customWidth="1"/>
    <col min="17" max="17" width="8.7109375" style="464" customWidth="1"/>
    <col min="18" max="35" width="10.7109375" style="464"/>
    <col min="36" max="36" width="10.7109375" style="466"/>
    <col min="37" max="16384" width="10.7109375" style="464"/>
  </cols>
  <sheetData>
    <row r="1" spans="1:29">
      <c r="A1" s="562" t="s">
        <v>1191</v>
      </c>
      <c r="F1" s="462"/>
      <c r="G1" s="462"/>
      <c r="H1" s="462"/>
      <c r="I1" s="462"/>
      <c r="J1" s="462"/>
      <c r="K1" s="462"/>
      <c r="L1" s="462"/>
      <c r="M1" s="462"/>
      <c r="N1" s="462"/>
      <c r="O1" s="462"/>
      <c r="Q1" s="462"/>
      <c r="R1" s="462"/>
      <c r="S1" s="462"/>
      <c r="T1" s="462"/>
      <c r="U1" s="462"/>
      <c r="V1" s="462"/>
      <c r="W1" s="462"/>
      <c r="X1" s="462"/>
      <c r="Y1" s="462"/>
      <c r="Z1" s="462"/>
      <c r="AA1" s="462"/>
      <c r="AB1" s="462"/>
      <c r="AC1" s="462"/>
    </row>
    <row r="2" spans="1:29">
      <c r="A2" s="562"/>
      <c r="B2" s="464" t="s">
        <v>235</v>
      </c>
      <c r="C2" s="464" t="s">
        <v>1022</v>
      </c>
      <c r="E2" s="680"/>
      <c r="F2" s="462" t="s">
        <v>1477</v>
      </c>
      <c r="G2" s="462"/>
      <c r="H2" s="462"/>
      <c r="I2" s="462"/>
      <c r="J2" s="462"/>
      <c r="K2" s="462"/>
      <c r="L2" s="462"/>
      <c r="M2" s="462"/>
      <c r="N2" s="462"/>
      <c r="O2" s="462"/>
      <c r="Q2" s="462"/>
      <c r="R2" s="462"/>
      <c r="S2" s="462"/>
      <c r="T2" s="462" t="s">
        <v>1056</v>
      </c>
      <c r="U2" s="462"/>
      <c r="V2" s="462" t="s">
        <v>96</v>
      </c>
      <c r="W2" s="462"/>
      <c r="X2" s="463" t="s">
        <v>255</v>
      </c>
      <c r="Y2" s="462"/>
      <c r="AA2" s="462" t="s">
        <v>256</v>
      </c>
      <c r="AB2" s="462"/>
      <c r="AC2" s="462"/>
    </row>
    <row r="3" spans="1:29">
      <c r="A3" s="562"/>
      <c r="B3" s="464" t="s">
        <v>1202</v>
      </c>
      <c r="C3" s="464" t="s">
        <v>1201</v>
      </c>
      <c r="E3" s="676"/>
      <c r="F3" s="462" t="s">
        <v>1478</v>
      </c>
      <c r="G3" s="462"/>
      <c r="H3" s="462"/>
      <c r="I3" s="482" t="s">
        <v>58</v>
      </c>
      <c r="J3" s="462"/>
      <c r="K3" s="462"/>
      <c r="L3" s="462"/>
      <c r="M3" s="462"/>
      <c r="N3" s="462"/>
      <c r="O3" s="462"/>
      <c r="P3" s="463" t="s">
        <v>58</v>
      </c>
      <c r="Q3" s="462"/>
      <c r="R3" s="462"/>
      <c r="S3" s="462"/>
      <c r="T3" s="462"/>
      <c r="U3" s="462"/>
      <c r="V3" s="462"/>
      <c r="W3" s="462"/>
      <c r="X3" s="462"/>
      <c r="Y3" s="462"/>
      <c r="Z3" s="462"/>
      <c r="AA3" s="462"/>
      <c r="AB3" s="462"/>
      <c r="AC3" s="462"/>
    </row>
    <row r="4" spans="1:29">
      <c r="B4" s="464" t="s">
        <v>1192</v>
      </c>
      <c r="C4" s="464" t="s">
        <v>267</v>
      </c>
      <c r="E4" s="677"/>
      <c r="F4" s="462" t="s">
        <v>1479</v>
      </c>
      <c r="G4" s="462"/>
      <c r="H4" s="462"/>
      <c r="I4" s="462"/>
      <c r="J4" s="462"/>
      <c r="K4" s="462"/>
      <c r="L4" s="462"/>
      <c r="M4" s="462"/>
      <c r="N4" s="462"/>
      <c r="O4" s="462"/>
      <c r="Q4" s="462" t="s">
        <v>257</v>
      </c>
      <c r="R4" s="462"/>
      <c r="S4" s="462"/>
      <c r="T4" s="462"/>
      <c r="U4" s="462"/>
      <c r="V4" s="462"/>
      <c r="W4" s="462"/>
      <c r="X4" s="462"/>
      <c r="Y4" s="462"/>
      <c r="Z4" s="462"/>
      <c r="AA4" s="463"/>
      <c r="AB4" s="462"/>
      <c r="AC4" s="462"/>
    </row>
    <row r="5" spans="1:29">
      <c r="B5" s="464" t="s">
        <v>148</v>
      </c>
      <c r="C5" s="464" t="s">
        <v>0</v>
      </c>
      <c r="E5" s="1208"/>
      <c r="F5" s="1209" t="s">
        <v>2592</v>
      </c>
      <c r="G5" s="468"/>
      <c r="H5" s="462"/>
      <c r="I5" s="462"/>
      <c r="J5" s="462"/>
      <c r="K5" s="462"/>
      <c r="L5" s="462"/>
      <c r="M5" s="462"/>
      <c r="N5" s="462"/>
      <c r="O5" s="462"/>
      <c r="Q5" s="462"/>
      <c r="R5" s="462"/>
      <c r="S5" s="462"/>
      <c r="T5" s="462"/>
      <c r="U5" s="463" t="s">
        <v>2633</v>
      </c>
      <c r="V5" s="462"/>
      <c r="W5" s="462"/>
      <c r="X5" s="462"/>
      <c r="Y5" s="462"/>
      <c r="Z5" s="462"/>
      <c r="AA5" s="462"/>
      <c r="AB5" s="462"/>
      <c r="AC5" s="462"/>
    </row>
    <row r="6" spans="1:29">
      <c r="B6" s="464" t="s">
        <v>238</v>
      </c>
      <c r="C6" s="464" t="s">
        <v>110</v>
      </c>
      <c r="F6" s="468"/>
      <c r="G6" s="468"/>
      <c r="H6" s="462"/>
      <c r="I6" s="462"/>
      <c r="J6" s="462" t="s">
        <v>1032</v>
      </c>
      <c r="K6" s="462"/>
      <c r="L6" s="462"/>
      <c r="M6" s="462"/>
      <c r="N6" s="462"/>
      <c r="O6" s="462"/>
      <c r="Q6" s="462"/>
      <c r="R6" s="462"/>
      <c r="S6" s="462"/>
      <c r="T6" s="462"/>
      <c r="U6" s="462"/>
      <c r="V6" s="462"/>
      <c r="W6" s="462"/>
      <c r="X6" s="462"/>
      <c r="Y6" s="462"/>
      <c r="Z6" s="462"/>
      <c r="AA6" s="462"/>
      <c r="AB6" s="462"/>
      <c r="AC6" s="462"/>
    </row>
    <row r="7" spans="1:29">
      <c r="B7" s="464" t="s">
        <v>1193</v>
      </c>
      <c r="C7" s="464" t="s">
        <v>1194</v>
      </c>
      <c r="F7" s="468"/>
      <c r="G7" s="468"/>
      <c r="H7" s="462"/>
      <c r="I7" s="462"/>
      <c r="J7" s="462"/>
      <c r="K7" s="462"/>
      <c r="L7" s="462"/>
      <c r="M7" s="462"/>
      <c r="N7" s="462"/>
      <c r="O7" s="462"/>
      <c r="Q7" s="462"/>
      <c r="R7" s="462"/>
      <c r="S7" s="462"/>
      <c r="T7" s="462"/>
      <c r="U7" s="462"/>
      <c r="V7" s="462"/>
      <c r="W7" s="462"/>
      <c r="X7" s="463"/>
      <c r="Y7" s="462"/>
      <c r="Z7" s="462"/>
      <c r="AA7" s="462"/>
      <c r="AB7" s="462"/>
      <c r="AC7" s="462"/>
    </row>
    <row r="8" spans="1:29">
      <c r="B8" s="464" t="s">
        <v>53</v>
      </c>
      <c r="C8" s="464" t="s">
        <v>1195</v>
      </c>
      <c r="F8" s="462"/>
      <c r="G8" s="462"/>
      <c r="H8" s="462"/>
      <c r="I8" s="462" t="s">
        <v>1054</v>
      </c>
      <c r="J8" s="462"/>
      <c r="K8" s="462"/>
      <c r="L8" s="462"/>
      <c r="M8" s="462"/>
      <c r="N8" s="462"/>
      <c r="O8" s="462"/>
      <c r="Q8" s="462"/>
      <c r="R8" s="462"/>
      <c r="S8" s="462"/>
      <c r="T8" s="462"/>
      <c r="U8" s="462"/>
      <c r="V8" s="462"/>
      <c r="W8" s="462"/>
      <c r="X8" s="462"/>
      <c r="Y8" s="462"/>
      <c r="Z8" s="462"/>
      <c r="AA8" s="462"/>
      <c r="AB8" s="462"/>
      <c r="AC8" s="462"/>
    </row>
    <row r="9" spans="1:29">
      <c r="B9" s="464" t="s">
        <v>252</v>
      </c>
      <c r="C9" s="464" t="s">
        <v>1186</v>
      </c>
      <c r="F9" s="462"/>
      <c r="G9" s="462"/>
      <c r="H9" s="462"/>
      <c r="I9" s="462"/>
      <c r="J9" s="462"/>
      <c r="K9" s="462"/>
      <c r="L9" s="462"/>
      <c r="M9" s="462"/>
      <c r="N9" s="462"/>
      <c r="O9" s="462"/>
      <c r="Q9" s="462"/>
      <c r="R9" s="462"/>
      <c r="S9" s="462"/>
      <c r="T9" s="462"/>
      <c r="U9" s="462"/>
      <c r="V9" s="463"/>
      <c r="W9" s="462"/>
      <c r="X9" s="462"/>
      <c r="Y9" s="462"/>
      <c r="Z9" s="463"/>
      <c r="AA9" s="462"/>
      <c r="AB9" s="462"/>
      <c r="AC9" s="462"/>
    </row>
    <row r="10" spans="1:29">
      <c r="B10" s="464" t="s">
        <v>243</v>
      </c>
      <c r="C10" s="464" t="s">
        <v>1187</v>
      </c>
      <c r="F10" s="462"/>
      <c r="G10" s="462"/>
      <c r="H10" s="462" t="s">
        <v>266</v>
      </c>
      <c r="I10" s="462"/>
      <c r="J10" s="463"/>
      <c r="K10" s="563" t="s">
        <v>1031</v>
      </c>
      <c r="L10" s="462"/>
      <c r="M10" s="462" t="s">
        <v>260</v>
      </c>
      <c r="N10" s="462"/>
      <c r="O10" s="463"/>
      <c r="Q10" s="462"/>
      <c r="R10" s="563"/>
      <c r="S10" s="462"/>
      <c r="T10" s="563"/>
      <c r="U10" s="463"/>
      <c r="V10" s="482"/>
      <c r="W10" s="462"/>
      <c r="X10" s="462"/>
      <c r="Y10" s="563"/>
      <c r="Z10" s="462"/>
      <c r="AA10" s="462"/>
      <c r="AB10" s="462"/>
      <c r="AC10" s="462"/>
    </row>
    <row r="11" spans="1:29">
      <c r="A11" s="564"/>
      <c r="B11" s="464" t="s">
        <v>147</v>
      </c>
      <c r="C11" s="464" t="s">
        <v>1188</v>
      </c>
      <c r="F11" s="462"/>
      <c r="G11" s="462"/>
      <c r="H11" s="462"/>
      <c r="I11" s="462"/>
      <c r="J11" s="462"/>
      <c r="K11" s="462"/>
      <c r="L11" s="462"/>
      <c r="M11" s="462"/>
      <c r="N11" s="462"/>
      <c r="O11" s="462"/>
      <c r="Q11" s="563" t="s">
        <v>3374</v>
      </c>
      <c r="R11" s="462"/>
      <c r="S11" s="462"/>
      <c r="T11" s="563" t="s">
        <v>3375</v>
      </c>
      <c r="U11" s="462"/>
      <c r="V11" s="462"/>
      <c r="W11" s="463" t="s">
        <v>3376</v>
      </c>
      <c r="X11" s="462"/>
      <c r="Y11" s="463" t="s">
        <v>3377</v>
      </c>
      <c r="Z11" s="462"/>
      <c r="AA11" s="462"/>
      <c r="AB11" s="462"/>
      <c r="AC11" s="462"/>
    </row>
    <row r="12" spans="1:29">
      <c r="B12" s="464" t="s">
        <v>243</v>
      </c>
      <c r="C12" s="464" t="s">
        <v>1187</v>
      </c>
      <c r="F12" s="462"/>
      <c r="G12" s="462"/>
      <c r="H12" s="462"/>
      <c r="I12" s="462"/>
      <c r="J12" s="462"/>
      <c r="K12" s="462"/>
      <c r="L12" s="462"/>
      <c r="M12" s="462"/>
      <c r="N12" s="462"/>
      <c r="O12" s="462"/>
      <c r="Q12" s="462"/>
      <c r="R12" s="462"/>
      <c r="S12" s="462"/>
      <c r="T12" s="462"/>
      <c r="U12" s="462"/>
      <c r="V12" s="462"/>
      <c r="W12" s="462"/>
      <c r="X12" s="462"/>
      <c r="Y12" s="462"/>
      <c r="Z12" s="462"/>
      <c r="AA12" s="462"/>
      <c r="AB12" s="462"/>
      <c r="AC12" s="462"/>
    </row>
    <row r="13" spans="1:29">
      <c r="B13" s="464" t="s">
        <v>1206</v>
      </c>
      <c r="C13" s="464" t="s">
        <v>1207</v>
      </c>
      <c r="F13" s="462"/>
      <c r="G13" s="462"/>
      <c r="H13" s="462"/>
      <c r="I13" s="462"/>
      <c r="J13" s="462"/>
      <c r="K13" s="462"/>
      <c r="L13" s="462"/>
      <c r="M13" s="462"/>
      <c r="N13" s="462"/>
      <c r="O13" s="462"/>
      <c r="Q13" s="462"/>
      <c r="R13" s="462"/>
      <c r="S13" s="462"/>
      <c r="T13" s="462"/>
      <c r="U13" s="462"/>
      <c r="V13" s="462"/>
      <c r="W13" s="462"/>
      <c r="X13" s="462"/>
      <c r="Y13" s="462"/>
      <c r="Z13" s="462"/>
      <c r="AA13" s="462"/>
      <c r="AB13" s="462"/>
      <c r="AC13" s="462"/>
    </row>
    <row r="14" spans="1:29">
      <c r="B14" s="464" t="s">
        <v>1198</v>
      </c>
      <c r="C14" s="464" t="s">
        <v>1199</v>
      </c>
      <c r="F14" s="462"/>
      <c r="G14" s="462"/>
      <c r="H14" s="462"/>
      <c r="I14" s="462" t="s">
        <v>2836</v>
      </c>
      <c r="J14" s="462"/>
      <c r="K14" s="462"/>
      <c r="L14" s="462"/>
      <c r="M14" s="462"/>
      <c r="N14" s="462"/>
      <c r="O14" s="462"/>
      <c r="Q14" s="462"/>
      <c r="R14" s="462"/>
      <c r="S14" s="462"/>
      <c r="T14" s="462"/>
      <c r="U14" s="462"/>
      <c r="V14" s="462"/>
      <c r="W14" s="462"/>
      <c r="X14" s="462"/>
      <c r="Y14" s="462"/>
      <c r="Z14" s="462"/>
      <c r="AA14" s="462"/>
      <c r="AB14" s="462"/>
      <c r="AC14" s="462"/>
    </row>
    <row r="15" spans="1:29">
      <c r="B15" s="464" t="s">
        <v>1200</v>
      </c>
      <c r="C15" s="464" t="s">
        <v>1189</v>
      </c>
      <c r="F15" s="462"/>
      <c r="G15" s="462"/>
      <c r="H15" s="462"/>
      <c r="I15" s="462"/>
      <c r="J15" s="462"/>
      <c r="K15" s="462"/>
      <c r="L15" s="462"/>
      <c r="M15" s="462"/>
      <c r="N15" s="462"/>
      <c r="O15" s="462"/>
      <c r="P15" s="482"/>
      <c r="Q15" s="462"/>
      <c r="R15" s="462"/>
      <c r="S15" s="462"/>
      <c r="T15" s="462"/>
      <c r="U15" s="462"/>
      <c r="V15" s="463"/>
      <c r="W15" s="462"/>
      <c r="X15" s="462"/>
      <c r="Y15" s="462"/>
      <c r="Z15" s="462"/>
      <c r="AA15" s="462"/>
      <c r="AB15" s="462"/>
      <c r="AC15" s="462"/>
    </row>
    <row r="16" spans="1:29">
      <c r="B16" s="464" t="s">
        <v>234</v>
      </c>
      <c r="C16" s="464" t="s">
        <v>1210</v>
      </c>
      <c r="F16" s="462"/>
      <c r="G16" s="462"/>
      <c r="H16" s="462" t="s">
        <v>264</v>
      </c>
      <c r="J16" s="462"/>
      <c r="K16" s="462"/>
      <c r="L16" s="462"/>
      <c r="M16" s="462"/>
      <c r="N16" s="462"/>
      <c r="O16" s="462"/>
      <c r="Q16" s="462"/>
      <c r="R16" s="462"/>
      <c r="S16" s="462"/>
      <c r="T16" s="462"/>
      <c r="U16" s="462"/>
      <c r="V16" s="462"/>
      <c r="W16" s="462"/>
      <c r="X16" s="462"/>
      <c r="Y16" s="462"/>
      <c r="Z16" s="462"/>
      <c r="AA16" s="462"/>
      <c r="AB16" s="462"/>
      <c r="AC16" s="462"/>
    </row>
    <row r="17" spans="1:36">
      <c r="B17" s="464" t="s">
        <v>1196</v>
      </c>
      <c r="C17" s="464" t="s">
        <v>1208</v>
      </c>
      <c r="F17" s="468"/>
      <c r="G17" s="565" t="s">
        <v>1033</v>
      </c>
      <c r="H17" s="462"/>
      <c r="I17" s="462"/>
      <c r="J17" s="462"/>
      <c r="K17" s="462"/>
      <c r="L17" s="462" t="s">
        <v>1034</v>
      </c>
      <c r="M17" s="462"/>
      <c r="N17" s="563" t="s">
        <v>269</v>
      </c>
      <c r="O17" s="462"/>
      <c r="Q17" s="462"/>
      <c r="R17" s="462"/>
      <c r="S17" s="462"/>
      <c r="T17" s="462"/>
      <c r="U17" s="462"/>
      <c r="V17" s="462"/>
      <c r="W17" s="462"/>
      <c r="X17" s="462"/>
      <c r="Y17" s="462"/>
      <c r="Z17" s="563" t="s">
        <v>57</v>
      </c>
      <c r="AA17" s="463" t="s">
        <v>1480</v>
      </c>
      <c r="AB17" s="462"/>
      <c r="AC17" s="462"/>
    </row>
    <row r="18" spans="1:36">
      <c r="B18" s="464" t="s">
        <v>1197</v>
      </c>
      <c r="C18" s="464" t="s">
        <v>1209</v>
      </c>
      <c r="F18" s="462"/>
      <c r="G18" s="462"/>
      <c r="H18" s="462"/>
      <c r="I18" s="462"/>
      <c r="J18" s="462"/>
      <c r="K18" s="462"/>
      <c r="L18" s="462"/>
      <c r="M18" s="462"/>
      <c r="N18" s="462"/>
      <c r="O18" s="462"/>
      <c r="Q18" s="462"/>
      <c r="R18" s="462"/>
      <c r="S18" s="462"/>
      <c r="T18" s="462"/>
      <c r="U18" s="462"/>
      <c r="V18" s="462"/>
      <c r="W18" s="462"/>
      <c r="X18" s="462"/>
      <c r="Y18" s="462"/>
      <c r="Z18" s="462" t="s">
        <v>57</v>
      </c>
      <c r="AA18" s="462"/>
      <c r="AB18" s="462"/>
      <c r="AC18" s="462"/>
    </row>
    <row r="19" spans="1:36">
      <c r="F19" s="462"/>
      <c r="G19" s="462"/>
      <c r="H19" s="462"/>
      <c r="I19" s="463" t="s">
        <v>265</v>
      </c>
      <c r="J19" s="462"/>
      <c r="K19" s="462"/>
      <c r="L19" s="462"/>
      <c r="M19" s="462"/>
      <c r="N19" s="462"/>
      <c r="O19" s="462"/>
      <c r="Q19" s="462"/>
      <c r="R19" s="462"/>
      <c r="S19" s="462" t="s">
        <v>266</v>
      </c>
      <c r="T19" s="462"/>
      <c r="U19" s="462"/>
      <c r="V19" s="462"/>
      <c r="W19" s="462"/>
      <c r="X19" s="462" t="s">
        <v>1057</v>
      </c>
      <c r="Y19" s="462"/>
      <c r="Z19" s="462"/>
      <c r="AA19" s="462"/>
      <c r="AB19" s="462"/>
      <c r="AC19" s="462"/>
    </row>
    <row r="20" spans="1:36" ht="15.75" thickBot="1">
      <c r="F20" s="462"/>
      <c r="G20" s="462"/>
      <c r="H20" s="462"/>
      <c r="I20" s="462"/>
      <c r="J20" s="462"/>
      <c r="K20" s="462"/>
      <c r="L20" s="463"/>
      <c r="M20" s="462"/>
      <c r="N20" s="462"/>
      <c r="O20" s="462"/>
      <c r="Q20" s="462"/>
      <c r="R20" s="462"/>
      <c r="S20" s="462"/>
      <c r="T20" s="462"/>
      <c r="U20" s="462"/>
      <c r="V20" s="462"/>
      <c r="W20" s="462"/>
      <c r="X20" s="462"/>
      <c r="Y20" s="462"/>
      <c r="Z20" s="462"/>
      <c r="AA20" s="462"/>
      <c r="AB20" s="462"/>
      <c r="AC20" s="462"/>
    </row>
    <row r="21" spans="1:36" ht="14.45" customHeight="1">
      <c r="A21" s="3968" t="s">
        <v>3459</v>
      </c>
      <c r="B21" s="3970" t="str">
        <f>DRIVE_Type</f>
        <v>Direct</v>
      </c>
      <c r="C21" s="3972" t="e">
        <f ca="1">IF(Small_F,"Small", "Normal")</f>
        <v>#REF!</v>
      </c>
      <c r="D21" s="3974" t="e">
        <f ca="1">Drive+IF(Small_F,0.1,0)</f>
        <v>#REF!</v>
      </c>
    </row>
    <row r="22" spans="1:36" ht="15" customHeight="1" thickBot="1">
      <c r="A22" s="3969"/>
      <c r="B22" s="3971"/>
      <c r="C22" s="3973"/>
      <c r="D22" s="3975"/>
    </row>
    <row r="23" spans="1:36" ht="15.75" thickTop="1">
      <c r="A23" s="1683" t="s">
        <v>3534</v>
      </c>
      <c r="B23" s="1906"/>
      <c r="C23" s="1907"/>
      <c r="D23" s="566"/>
      <c r="E23" s="566"/>
      <c r="F23" s="566"/>
      <c r="G23" s="566"/>
      <c r="H23" s="566"/>
      <c r="I23" s="566"/>
      <c r="J23" s="567" t="s">
        <v>277</v>
      </c>
      <c r="K23" s="568"/>
      <c r="L23" s="568"/>
      <c r="M23" s="567" t="s">
        <v>278</v>
      </c>
      <c r="N23" s="568"/>
      <c r="O23" s="569"/>
      <c r="P23" s="1908"/>
      <c r="Q23" s="1909"/>
      <c r="R23" s="570"/>
      <c r="AJ23" s="464"/>
    </row>
    <row r="24" spans="1:36">
      <c r="A24" s="622"/>
      <c r="B24" s="573"/>
      <c r="C24" s="574" t="s">
        <v>268</v>
      </c>
      <c r="D24" s="1539" t="s">
        <v>243</v>
      </c>
      <c r="E24" s="1539" t="s">
        <v>346</v>
      </c>
      <c r="F24" s="1539" t="s">
        <v>304</v>
      </c>
      <c r="G24" s="1539" t="s">
        <v>348</v>
      </c>
      <c r="H24" s="574" t="s">
        <v>1053</v>
      </c>
      <c r="I24" s="575" t="s">
        <v>280</v>
      </c>
      <c r="J24" s="576" t="s">
        <v>57</v>
      </c>
      <c r="K24" s="575" t="s">
        <v>58</v>
      </c>
      <c r="L24" s="575" t="s">
        <v>269</v>
      </c>
      <c r="M24" s="576" t="s">
        <v>57</v>
      </c>
      <c r="N24" s="575" t="s">
        <v>58</v>
      </c>
      <c r="O24" s="624" t="s">
        <v>269</v>
      </c>
      <c r="P24" s="577" t="e">
        <f ca="1">SUM(P25:P136)</f>
        <v>#REF!</v>
      </c>
      <c r="Q24" s="1451" t="e">
        <f ca="1">SUM(Q25:Q136)</f>
        <v>#REF!</v>
      </c>
      <c r="R24" s="578"/>
      <c r="AJ24" s="464"/>
    </row>
    <row r="25" spans="1:36">
      <c r="A25" s="614" t="s">
        <v>3374</v>
      </c>
      <c r="B25" s="1902" t="str">
        <f>IF(DRIVE_Type="Coupling",IF(Small_F,"","MF1_T"),"")</f>
        <v/>
      </c>
      <c r="C25" s="484" t="e">
        <f ca="1">MF_Ra</f>
        <v>#REF!</v>
      </c>
      <c r="D25" s="587" t="e">
        <f ca="1">IF(Small_F,0,SQRT((N25-K25)^2+(O25-L25)^2))</f>
        <v>#REF!</v>
      </c>
      <c r="E25" s="587">
        <f>IF(DRIVE_Type="Coupling",IF(Small_F,0,VLOOKUP($C25,Iron_dim,2,FALSE)),0)</f>
        <v>0</v>
      </c>
      <c r="F25" s="587">
        <f>IF(DRIVE_Type="Coupling",IF(Small_F,0,VLOOKUP($C25,Iron_dim,3,FALSE)),0)</f>
        <v>0</v>
      </c>
      <c r="G25" s="587">
        <f>IF(DRIVE_Type="Coupling",IF(Small_F,0,VLOOKUP($C25,Iron_dim,4,FALSE)),0)</f>
        <v>0</v>
      </c>
      <c r="H25" s="484"/>
      <c r="I25" s="1643" t="s">
        <v>1045</v>
      </c>
      <c r="J25" s="1939">
        <v>0</v>
      </c>
      <c r="K25" s="587">
        <f>IF(DRIVE_Type="Coupling",IF(Small_F,0,MFHe),0)</f>
        <v>0</v>
      </c>
      <c r="L25" s="1903">
        <f>IF(DRIVE_Type="Coupling",IF(Small_F,0,IF((MA+MK_mult*MK+2*(F25*TAN(R_angle/2)))&lt;MAB,-MAB/2,-(MA+MK_mult*MK+2*(F25*TAN(R_angle/2)))/2)),0)</f>
        <v>0</v>
      </c>
      <c r="M25" s="615">
        <f>J25</f>
        <v>0</v>
      </c>
      <c r="N25" s="613">
        <f>K25</f>
        <v>0</v>
      </c>
      <c r="O25" s="2176">
        <f>-L25</f>
        <v>0</v>
      </c>
      <c r="P25" s="632" t="e">
        <f ca="1">VLOOKUP($C25,Iron_dim,7,FALSE)*D25/1000</f>
        <v>#REF!</v>
      </c>
      <c r="Q25" s="1456">
        <f>IF(G25=0,0,P25/steel_density/(G25/1000))</f>
        <v>0</v>
      </c>
      <c r="R25" s="493"/>
      <c r="AJ25" s="464"/>
    </row>
    <row r="26" spans="1:36">
      <c r="B26" s="585" t="str">
        <f>IF(DRIVE_Type="Coupling",IF(Small_F,"","mf1_T"),"")</f>
        <v/>
      </c>
      <c r="C26" s="582"/>
      <c r="D26" s="580"/>
      <c r="E26" s="493"/>
      <c r="F26" s="493"/>
      <c r="G26" s="493"/>
      <c r="H26" s="493"/>
      <c r="I26" s="493"/>
      <c r="J26" s="609">
        <f>J25</f>
        <v>0</v>
      </c>
      <c r="K26" s="493">
        <f>K25-F25</f>
        <v>0</v>
      </c>
      <c r="L26" s="582">
        <f>L25+F25*TAN(R_angle/2)</f>
        <v>0</v>
      </c>
      <c r="M26" s="609">
        <f>J26</f>
        <v>0</v>
      </c>
      <c r="N26" s="608">
        <f>K26</f>
        <v>0</v>
      </c>
      <c r="O26" s="2175">
        <f>-L26</f>
        <v>0</v>
      </c>
      <c r="P26" s="584"/>
      <c r="Q26" s="1450"/>
      <c r="R26" s="493"/>
      <c r="AJ26" s="464"/>
    </row>
    <row r="27" spans="1:36" ht="14.45" customHeight="1">
      <c r="B27" s="604" t="str">
        <f>IF(DRIVE_Type="Coupling",IF(Small_F,"","MF1_T+"),"")</f>
        <v/>
      </c>
      <c r="C27" s="580"/>
      <c r="D27" s="580"/>
      <c r="E27" s="493"/>
      <c r="F27" s="493"/>
      <c r="G27" s="493"/>
      <c r="H27" s="493"/>
      <c r="I27" s="493"/>
      <c r="J27" s="599">
        <f>J25+E25</f>
        <v>0</v>
      </c>
      <c r="K27" s="608">
        <f>K25</f>
        <v>0</v>
      </c>
      <c r="L27" s="608">
        <f>L25</f>
        <v>0</v>
      </c>
      <c r="M27" s="609">
        <f t="shared" ref="M27:N60" si="0">J27</f>
        <v>0</v>
      </c>
      <c r="N27" s="608">
        <f>N25</f>
        <v>0</v>
      </c>
      <c r="O27" s="611">
        <f>O25</f>
        <v>0</v>
      </c>
      <c r="P27" s="584"/>
      <c r="Q27" s="1450"/>
      <c r="R27" s="582"/>
      <c r="AJ27" s="464"/>
    </row>
    <row r="28" spans="1:36">
      <c r="A28" s="628"/>
      <c r="B28" s="604" t="str">
        <f>IF(DRIVE_Type="Coupling",IF(Small_F,"","mf1_T+"),"")</f>
        <v/>
      </c>
      <c r="C28" s="580"/>
      <c r="D28" s="580"/>
      <c r="E28" s="493"/>
      <c r="F28" s="493"/>
      <c r="G28" s="493"/>
      <c r="H28" s="493"/>
      <c r="I28" s="580"/>
      <c r="J28" s="609">
        <f>J27</f>
        <v>0</v>
      </c>
      <c r="K28" s="608">
        <f>K26</f>
        <v>0</v>
      </c>
      <c r="L28" s="608">
        <f>L26</f>
        <v>0</v>
      </c>
      <c r="M28" s="609">
        <f t="shared" si="0"/>
        <v>0</v>
      </c>
      <c r="N28" s="608">
        <f>N26</f>
        <v>0</v>
      </c>
      <c r="O28" s="608">
        <f>O26</f>
        <v>0</v>
      </c>
      <c r="P28" s="602"/>
      <c r="Q28" s="1454"/>
      <c r="R28" s="582"/>
      <c r="AJ28" s="464"/>
    </row>
    <row r="29" spans="1:36">
      <c r="A29" s="1682"/>
      <c r="B29" s="579" t="str">
        <f>IF(DRIVE_Type="Coupling",IF(Small_F,"","MF1_L"),"")</f>
        <v/>
      </c>
      <c r="C29" s="580" t="e">
        <f ca="1">MF_Ra</f>
        <v>#REF!</v>
      </c>
      <c r="D29" s="580" t="e">
        <f ca="1">IF(Small_F,0,SQRT((N29-K29)^2+(O29-L29)^2))</f>
        <v>#REF!</v>
      </c>
      <c r="E29" s="580">
        <f>IF(DRIVE_Type="Coupling",IF(Small_F,0,VLOOKUP($C29,Iron_dim,2,FALSE)),0)</f>
        <v>0</v>
      </c>
      <c r="F29" s="580">
        <f>IF(DRIVE_Type="Coupling",IF(Small_F,0,VLOOKUP($C29,Iron_dim,3,FALSE)),0)</f>
        <v>0</v>
      </c>
      <c r="G29" s="580">
        <f>IF(DRIVE_Type="Coupling",IF(Small_F,0,VLOOKUP($C29,Iron_dim,4,FALSE)),0)</f>
        <v>0</v>
      </c>
      <c r="H29" s="493"/>
      <c r="I29" s="581" t="s">
        <v>1045</v>
      </c>
      <c r="J29" s="609">
        <f>J25</f>
        <v>0</v>
      </c>
      <c r="K29" s="580" t="e">
        <f ca="1">IF(Small_F,0,G120)</f>
        <v>#REF!</v>
      </c>
      <c r="L29" s="582" t="e">
        <f ca="1">O29-(N29-K29)/TAN(R_angle)</f>
        <v>#REF!</v>
      </c>
      <c r="M29" s="609">
        <f t="shared" si="0"/>
        <v>0</v>
      </c>
      <c r="N29" s="608">
        <f>K25</f>
        <v>0</v>
      </c>
      <c r="O29" s="612">
        <f>L25</f>
        <v>0</v>
      </c>
      <c r="P29" s="584" t="e">
        <f ca="1">VLOOKUP($C29,Iron_dim,7,FALSE)*D29/1000</f>
        <v>#REF!</v>
      </c>
      <c r="Q29" s="1450">
        <f>IF(G29=0,0,P29/steel_density/(G29/1000))</f>
        <v>0</v>
      </c>
      <c r="R29" s="582"/>
      <c r="AJ29" s="464"/>
    </row>
    <row r="30" spans="1:36">
      <c r="A30" s="1680"/>
      <c r="B30" s="585" t="str">
        <f>IF(DRIVE_Type="Coupling",IF(Small_F,"","mf1_L"),"")</f>
        <v/>
      </c>
      <c r="C30" s="582"/>
      <c r="D30" s="580"/>
      <c r="E30" s="493"/>
      <c r="F30" s="493"/>
      <c r="G30" s="493"/>
      <c r="H30" s="493"/>
      <c r="I30" s="493"/>
      <c r="J30" s="609">
        <f>J29</f>
        <v>0</v>
      </c>
      <c r="K30" s="608" t="e">
        <f ca="1">K29</f>
        <v>#REF!</v>
      </c>
      <c r="L30" s="582" t="e">
        <f ca="1">L29+F29/SIN(R_angle)</f>
        <v>#REF!</v>
      </c>
      <c r="M30" s="609">
        <f t="shared" si="0"/>
        <v>0</v>
      </c>
      <c r="N30" s="608">
        <f>K26</f>
        <v>0</v>
      </c>
      <c r="O30" s="612">
        <f>L26</f>
        <v>0</v>
      </c>
      <c r="P30" s="584"/>
      <c r="Q30" s="1450"/>
      <c r="R30" s="1189"/>
      <c r="AJ30" s="464"/>
    </row>
    <row r="31" spans="1:36">
      <c r="A31" s="604"/>
      <c r="B31" s="604" t="str">
        <f>IF(DRIVE_Type="Coupling",IF(Small_F,"","MF1_L+"),"")</f>
        <v/>
      </c>
      <c r="C31" s="582"/>
      <c r="D31" s="580"/>
      <c r="E31" s="493"/>
      <c r="F31" s="493"/>
      <c r="G31" s="493"/>
      <c r="H31" s="493"/>
      <c r="I31" s="603"/>
      <c r="J31" s="492">
        <f>J29+E29</f>
        <v>0</v>
      </c>
      <c r="K31" s="608" t="e">
        <f ca="1">K29</f>
        <v>#REF!</v>
      </c>
      <c r="L31" s="608" t="e">
        <f ca="1">L29</f>
        <v>#REF!</v>
      </c>
      <c r="M31" s="609">
        <f t="shared" si="0"/>
        <v>0</v>
      </c>
      <c r="N31" s="608">
        <f>N29</f>
        <v>0</v>
      </c>
      <c r="O31" s="611">
        <f>O29</f>
        <v>0</v>
      </c>
      <c r="P31" s="584"/>
      <c r="Q31" s="1450"/>
      <c r="R31" s="644"/>
      <c r="AJ31" s="464"/>
    </row>
    <row r="32" spans="1:36">
      <c r="A32" s="622"/>
      <c r="B32" s="604" t="str">
        <f>IF(DRIVE_Type="Coupling",IF(Small_F,"","mf1_L+"),"")</f>
        <v/>
      </c>
      <c r="C32" s="582"/>
      <c r="D32" s="493"/>
      <c r="E32" s="493"/>
      <c r="F32" s="493"/>
      <c r="G32" s="493"/>
      <c r="H32" s="493"/>
      <c r="I32" s="493"/>
      <c r="J32" s="609">
        <f>J31</f>
        <v>0</v>
      </c>
      <c r="K32" s="608" t="e">
        <f ca="1">K30</f>
        <v>#REF!</v>
      </c>
      <c r="L32" s="608" t="e">
        <f ca="1">L30</f>
        <v>#REF!</v>
      </c>
      <c r="M32" s="609">
        <f t="shared" si="0"/>
        <v>0</v>
      </c>
      <c r="N32" s="608">
        <f>N30</f>
        <v>0</v>
      </c>
      <c r="O32" s="611">
        <f>O30</f>
        <v>0</v>
      </c>
      <c r="P32" s="584"/>
      <c r="Q32" s="1450"/>
      <c r="R32" s="1189"/>
      <c r="AJ32" s="464"/>
    </row>
    <row r="33" spans="1:36">
      <c r="A33" s="1682"/>
      <c r="B33" s="579" t="str">
        <f>IF(DRIVE_Type="Coupling",IF(Small_F,"","MF1_R"),"")</f>
        <v/>
      </c>
      <c r="C33" s="580" t="e">
        <f ca="1">MF_Ra</f>
        <v>#REF!</v>
      </c>
      <c r="D33" s="580" t="e">
        <f ca="1">IF(Small_F,0,SQRT((N33-K33)^2+(O33-L33)^2))</f>
        <v>#REF!</v>
      </c>
      <c r="E33" s="580">
        <f>IF(DRIVE_Type="Coupling",IF(Small_F,0,VLOOKUP($C33,Iron_dim,2,FALSE)),0)</f>
        <v>0</v>
      </c>
      <c r="F33" s="580">
        <f>IF(DRIVE_Type="Coupling",IF(Small_F,0,VLOOKUP($C33,Iron_dim,3,FALSE)),0)</f>
        <v>0</v>
      </c>
      <c r="G33" s="580">
        <f>IF(DRIVE_Type="Coupling",IF(Small_F,0,VLOOKUP($C33,Iron_dim,4,FALSE)),0)</f>
        <v>0</v>
      </c>
      <c r="H33" s="493"/>
      <c r="I33" s="581" t="s">
        <v>1046</v>
      </c>
      <c r="J33" s="609">
        <f>M25</f>
        <v>0</v>
      </c>
      <c r="K33" s="580" t="e">
        <f ca="1">IF(Small_F,0,G124)</f>
        <v>#REF!</v>
      </c>
      <c r="L33" s="582" t="e">
        <f ca="1">O33+(N33-K33)/TAN(R_angle)</f>
        <v>#REF!</v>
      </c>
      <c r="M33" s="609">
        <f t="shared" si="0"/>
        <v>0</v>
      </c>
      <c r="N33" s="608">
        <f>N25</f>
        <v>0</v>
      </c>
      <c r="O33" s="612">
        <f>O25</f>
        <v>0</v>
      </c>
      <c r="P33" s="584" t="e">
        <f ca="1">VLOOKUP($C33,Iron_dim,7,FALSE)*D33/1000</f>
        <v>#REF!</v>
      </c>
      <c r="Q33" s="1450">
        <f>IF(G33=0,0,P33/steel_density/(G33/1000))</f>
        <v>0</v>
      </c>
      <c r="R33" s="644"/>
      <c r="AJ33" s="464"/>
    </row>
    <row r="34" spans="1:36" s="621" customFormat="1">
      <c r="A34" s="1680"/>
      <c r="B34" s="585" t="str">
        <f>IF(DRIVE_Type="Coupling",IF(Small_F,"","mf1_R"),"")</f>
        <v/>
      </c>
      <c r="C34" s="582"/>
      <c r="D34" s="580"/>
      <c r="E34" s="493"/>
      <c r="F34" s="493"/>
      <c r="G34" s="493"/>
      <c r="H34" s="493"/>
      <c r="I34" s="493"/>
      <c r="J34" s="609">
        <f>J33</f>
        <v>0</v>
      </c>
      <c r="K34" s="608" t="e">
        <f ca="1">K33</f>
        <v>#REF!</v>
      </c>
      <c r="L34" s="582" t="e">
        <f ca="1">L33-F33/SIN(R_angle)</f>
        <v>#REF!</v>
      </c>
      <c r="M34" s="609">
        <f t="shared" si="0"/>
        <v>0</v>
      </c>
      <c r="N34" s="608">
        <f>N26</f>
        <v>0</v>
      </c>
      <c r="O34" s="612">
        <f>O26</f>
        <v>0</v>
      </c>
      <c r="P34" s="584"/>
      <c r="Q34" s="1450"/>
      <c r="R34" s="644"/>
    </row>
    <row r="35" spans="1:36">
      <c r="A35" s="604"/>
      <c r="B35" s="604" t="str">
        <f>IF(DRIVE_Type="Coupling",IF(Small_F,"","MF1_R+"),"")</f>
        <v/>
      </c>
      <c r="C35" s="582"/>
      <c r="D35" s="580"/>
      <c r="E35" s="493"/>
      <c r="F35" s="493"/>
      <c r="G35" s="493"/>
      <c r="H35" s="493"/>
      <c r="I35" s="603"/>
      <c r="J35" s="492">
        <f>M33+E33</f>
        <v>0</v>
      </c>
      <c r="K35" s="608" t="e">
        <f ca="1">K33</f>
        <v>#REF!</v>
      </c>
      <c r="L35" s="608" t="e">
        <f ca="1">L33</f>
        <v>#REF!</v>
      </c>
      <c r="M35" s="609">
        <f t="shared" si="0"/>
        <v>0</v>
      </c>
      <c r="N35" s="608">
        <f>N33</f>
        <v>0</v>
      </c>
      <c r="O35" s="611">
        <f>O33</f>
        <v>0</v>
      </c>
      <c r="P35" s="584"/>
      <c r="Q35" s="1450"/>
      <c r="R35" s="644"/>
      <c r="S35" s="603"/>
      <c r="T35" s="603"/>
      <c r="U35" s="603"/>
      <c r="V35" s="603"/>
      <c r="W35" s="603"/>
      <c r="X35" s="603"/>
      <c r="Y35" s="603"/>
      <c r="Z35" s="603"/>
      <c r="AA35" s="603"/>
      <c r="AB35" s="603"/>
      <c r="AC35" s="603"/>
      <c r="AD35" s="603"/>
      <c r="AE35" s="603"/>
      <c r="AF35" s="603"/>
      <c r="AG35" s="603"/>
      <c r="AH35" s="603"/>
      <c r="AI35" s="603"/>
      <c r="AJ35" s="464"/>
    </row>
    <row r="36" spans="1:36" s="621" customFormat="1">
      <c r="A36" s="604"/>
      <c r="B36" s="604" t="str">
        <f>IF(DRIVE_Type="Coupling",IF(Small_F,"","mf1_R+"),"")</f>
        <v/>
      </c>
      <c r="C36" s="493"/>
      <c r="D36" s="493"/>
      <c r="E36" s="493"/>
      <c r="F36" s="493"/>
      <c r="G36" s="493"/>
      <c r="H36" s="493"/>
      <c r="I36" s="493"/>
      <c r="J36" s="609">
        <f>J35</f>
        <v>0</v>
      </c>
      <c r="K36" s="608" t="e">
        <f ca="1">K34</f>
        <v>#REF!</v>
      </c>
      <c r="L36" s="608" t="e">
        <f ca="1">L34</f>
        <v>#REF!</v>
      </c>
      <c r="M36" s="609">
        <f t="shared" si="0"/>
        <v>0</v>
      </c>
      <c r="N36" s="608">
        <f>N34</f>
        <v>0</v>
      </c>
      <c r="O36" s="611">
        <f>O34</f>
        <v>0</v>
      </c>
      <c r="P36" s="584"/>
      <c r="Q36" s="1450"/>
      <c r="R36" s="644"/>
      <c r="S36" s="603"/>
      <c r="T36" s="603"/>
      <c r="U36" s="603"/>
      <c r="V36" s="603"/>
      <c r="W36" s="603"/>
      <c r="X36" s="603"/>
      <c r="Y36" s="603"/>
      <c r="Z36" s="603"/>
      <c r="AA36" s="603"/>
      <c r="AB36" s="603"/>
      <c r="AC36" s="603"/>
      <c r="AD36" s="603"/>
      <c r="AE36" s="603"/>
      <c r="AF36" s="603"/>
      <c r="AG36" s="603"/>
      <c r="AH36" s="603"/>
      <c r="AI36" s="603"/>
    </row>
    <row r="37" spans="1:36">
      <c r="A37" s="1680"/>
      <c r="B37" s="1540" t="str">
        <f>IF(DRIVE_Type="Coupling","MFTr1","")</f>
        <v/>
      </c>
      <c r="C37" s="493" t="e">
        <f ca="1">MF_Tr</f>
        <v>#REF!</v>
      </c>
      <c r="D37" s="580" t="e">
        <f ca="1">O38-L38</f>
        <v>#REF!</v>
      </c>
      <c r="E37" s="580">
        <f>IF(DRIVE_Type="Coupling",IF(Small_F,SFBase_He_L,MFTr1_Hefactor*(K26-K38)),0)</f>
        <v>0</v>
      </c>
      <c r="F37" s="608">
        <f>F120</f>
        <v>0</v>
      </c>
      <c r="G37" s="580">
        <f>IF(DRIVE_Type="Coupling",VLOOKUP($C37,Iron_dim,4,FALSE),0)</f>
        <v>0</v>
      </c>
      <c r="H37" s="580"/>
      <c r="I37" s="581" t="s">
        <v>1047</v>
      </c>
      <c r="J37" s="609">
        <f>J33</f>
        <v>0</v>
      </c>
      <c r="K37" s="580" t="e">
        <f ca="1">IF(Small_F,E37,K38+E37)</f>
        <v>#REF!</v>
      </c>
      <c r="L37" s="600" t="e">
        <f ca="1">L38+E37/TAN(R_angle)</f>
        <v>#REF!</v>
      </c>
      <c r="M37" s="609">
        <f t="shared" si="0"/>
        <v>0</v>
      </c>
      <c r="N37" s="608" t="e">
        <f t="shared" ca="1" si="0"/>
        <v>#REF!</v>
      </c>
      <c r="O37" s="2175" t="e">
        <f ca="1">-L37</f>
        <v>#REF!</v>
      </c>
      <c r="P37" s="584" t="e">
        <f ca="1">(E37/1000+F37/1000)*G37/1000*D37/1000*steel_density</f>
        <v>#REF!</v>
      </c>
      <c r="Q37" s="1450">
        <f>IF(G37=0,0,P37/steel_density/(G37/1000))</f>
        <v>0</v>
      </c>
      <c r="R37" s="644"/>
      <c r="S37" s="603"/>
      <c r="T37" s="580"/>
      <c r="U37" s="580"/>
      <c r="V37" s="580"/>
      <c r="W37" s="603"/>
      <c r="X37" s="603"/>
      <c r="Y37" s="603"/>
      <c r="Z37" s="603"/>
      <c r="AA37" s="603"/>
      <c r="AB37" s="603"/>
      <c r="AC37" s="603"/>
      <c r="AD37" s="603"/>
      <c r="AE37" s="603"/>
      <c r="AF37" s="603"/>
      <c r="AG37" s="603"/>
      <c r="AH37" s="603"/>
      <c r="AI37" s="603"/>
      <c r="AJ37" s="464"/>
    </row>
    <row r="38" spans="1:36">
      <c r="A38" s="1681"/>
      <c r="B38" s="585" t="str">
        <f>IF(DRIVE_Type="Coupling","mftr1","")</f>
        <v/>
      </c>
      <c r="C38" s="493"/>
      <c r="D38" s="580"/>
      <c r="E38" s="580"/>
      <c r="F38" s="580"/>
      <c r="G38" s="580"/>
      <c r="H38" s="580"/>
      <c r="I38" s="603"/>
      <c r="J38" s="609">
        <f>J37</f>
        <v>0</v>
      </c>
      <c r="K38" s="580" t="e">
        <f ca="1">IF(Small_F,0,K120+G120)</f>
        <v>#REF!</v>
      </c>
      <c r="L38" s="600" t="e">
        <f ca="1">IF(Small_F,O120,L30)</f>
        <v>#REF!</v>
      </c>
      <c r="M38" s="609">
        <f t="shared" si="0"/>
        <v>0</v>
      </c>
      <c r="N38" s="608" t="e">
        <f t="shared" ca="1" si="0"/>
        <v>#REF!</v>
      </c>
      <c r="O38" s="2175" t="e">
        <f ca="1">-L38</f>
        <v>#REF!</v>
      </c>
      <c r="P38" s="602"/>
      <c r="Q38" s="1454"/>
      <c r="R38" s="644"/>
      <c r="S38" s="603"/>
      <c r="T38" s="580"/>
      <c r="U38" s="580"/>
      <c r="V38" s="580"/>
      <c r="W38" s="603"/>
      <c r="X38" s="603"/>
      <c r="Y38" s="603"/>
      <c r="Z38" s="603"/>
      <c r="AA38" s="603"/>
      <c r="AB38" s="603"/>
      <c r="AC38" s="603"/>
      <c r="AD38" s="603"/>
      <c r="AE38" s="603"/>
      <c r="AF38" s="603"/>
      <c r="AG38" s="603"/>
      <c r="AH38" s="603"/>
      <c r="AI38" s="603"/>
      <c r="AJ38" s="464"/>
    </row>
    <row r="39" spans="1:36" s="621" customFormat="1">
      <c r="A39" s="604"/>
      <c r="B39" s="604" t="str">
        <f>IF(DRIVE_Type="Coupling","MFTr1-","")</f>
        <v/>
      </c>
      <c r="C39" s="493"/>
      <c r="D39" s="580"/>
      <c r="E39" s="580"/>
      <c r="F39" s="580"/>
      <c r="G39" s="580"/>
      <c r="H39" s="580"/>
      <c r="I39" s="603"/>
      <c r="J39" s="1946">
        <f>J37+F37</f>
        <v>0</v>
      </c>
      <c r="K39" s="1918" t="e">
        <f ca="1">K38</f>
        <v>#REF!</v>
      </c>
      <c r="L39" s="1918" t="e">
        <f ca="1">L38</f>
        <v>#REF!</v>
      </c>
      <c r="M39" s="1917">
        <f>J39</f>
        <v>0</v>
      </c>
      <c r="N39" s="1918" t="e">
        <f ca="1">K39</f>
        <v>#REF!</v>
      </c>
      <c r="O39" s="1919" t="e">
        <f ca="1">O38</f>
        <v>#REF!</v>
      </c>
      <c r="P39" s="584"/>
      <c r="Q39" s="1450"/>
      <c r="R39" s="644"/>
      <c r="S39" s="603"/>
      <c r="T39" s="603"/>
      <c r="U39" s="603"/>
      <c r="V39" s="603"/>
      <c r="W39" s="603"/>
      <c r="X39" s="603"/>
      <c r="Y39" s="603"/>
      <c r="Z39" s="603"/>
      <c r="AA39" s="603"/>
      <c r="AB39" s="580"/>
      <c r="AC39" s="603"/>
      <c r="AD39" s="603"/>
      <c r="AE39" s="603"/>
      <c r="AF39" s="603"/>
      <c r="AG39" s="603"/>
      <c r="AH39" s="603"/>
      <c r="AI39" s="603"/>
    </row>
    <row r="40" spans="1:36" s="621" customFormat="1">
      <c r="A40" s="604"/>
      <c r="B40" s="633" t="str">
        <f>IF(DRIVE_Type="Coupling","mftr1-","")</f>
        <v/>
      </c>
      <c r="C40" s="479"/>
      <c r="D40" s="479"/>
      <c r="E40" s="479"/>
      <c r="F40" s="479"/>
      <c r="G40" s="479"/>
      <c r="H40" s="479"/>
      <c r="I40" s="479"/>
      <c r="J40" s="618">
        <f>J39</f>
        <v>0</v>
      </c>
      <c r="K40" s="616" t="e">
        <f ca="1">K39</f>
        <v>#REF!</v>
      </c>
      <c r="L40" s="616" t="e">
        <f ca="1">L39</f>
        <v>#REF!</v>
      </c>
      <c r="M40" s="618">
        <f>M39</f>
        <v>0</v>
      </c>
      <c r="N40" s="616" t="e">
        <f ca="1">N39</f>
        <v>#REF!</v>
      </c>
      <c r="O40" s="634" t="e">
        <f ca="1">O39</f>
        <v>#REF!</v>
      </c>
      <c r="P40" s="605"/>
      <c r="Q40" s="1455"/>
      <c r="R40" s="644"/>
      <c r="S40" s="603"/>
      <c r="T40" s="603"/>
      <c r="U40" s="603"/>
      <c r="V40" s="603"/>
      <c r="W40" s="603"/>
      <c r="X40" s="603"/>
      <c r="Y40" s="603"/>
      <c r="Z40" s="603"/>
      <c r="AA40" s="603"/>
      <c r="AB40" s="580"/>
      <c r="AC40" s="603"/>
      <c r="AD40" s="603"/>
      <c r="AE40" s="603"/>
      <c r="AF40" s="603"/>
      <c r="AG40" s="603"/>
      <c r="AH40" s="603"/>
      <c r="AI40" s="603"/>
    </row>
    <row r="41" spans="1:36">
      <c r="A41" s="1938" t="s">
        <v>3375</v>
      </c>
      <c r="B41" s="1902" t="str">
        <f>IF(DRIVE_Type="Coupling",IF(Small_F,"","MF2_T"),"")</f>
        <v/>
      </c>
      <c r="C41" s="484" t="e">
        <f ca="1">MF_Ra</f>
        <v>#REF!</v>
      </c>
      <c r="D41" s="580" t="e">
        <f ca="1">IF(Small_F,0,SQRT((N41-K41)^2+(O41-L41)^2))</f>
        <v>#REF!</v>
      </c>
      <c r="E41" s="587">
        <f>IF(DRIVE_Type="Coupling",IF(Small_F,0,VLOOKUP($C41,Iron_dim,2,FALSE)),0)</f>
        <v>0</v>
      </c>
      <c r="F41" s="587">
        <f>IF(DRIVE_Type="Coupling",IF(Small_F,0,VLOOKUP($C41,Iron_dim,3,FALSE)),0)</f>
        <v>0</v>
      </c>
      <c r="G41" s="587">
        <f>IF(DRIVE_Type="Coupling",IF(Small_F,0,VLOOKUP($C41,Iron_dim,4,FALSE)),0)</f>
        <v>0</v>
      </c>
      <c r="H41" s="580"/>
      <c r="I41" s="581" t="s">
        <v>1045</v>
      </c>
      <c r="J41" s="599">
        <f>IF(DRIVE_Type="Coupling",IF(Small_F,0,IF(J25+E25/2+MB-E41/2-J27&lt;40,J25+E25/2+MB-(VLOOKUP(MF_Ra,Iron_dim,4,FALSE)+VLOOKUP(MF_Ra,Iron_dim,6,FALSE)+HoleD_mult*MK),J25+E25/2+MB-E41/2)),0)</f>
        <v>0</v>
      </c>
      <c r="K41" s="608">
        <f>K25</f>
        <v>0</v>
      </c>
      <c r="L41" s="610">
        <f>L25</f>
        <v>0</v>
      </c>
      <c r="M41" s="609">
        <f t="shared" si="0"/>
        <v>0</v>
      </c>
      <c r="N41" s="608">
        <f>K41</f>
        <v>0</v>
      </c>
      <c r="O41" s="611">
        <f>O25</f>
        <v>0</v>
      </c>
      <c r="P41" s="584" t="e">
        <f ca="1">VLOOKUP($C41,Iron_dim,7,FALSE)*D41/1000</f>
        <v>#REF!</v>
      </c>
      <c r="Q41" s="1450">
        <f>IF(G41=0,0,P41/steel_density/(G41/1000))</f>
        <v>0</v>
      </c>
      <c r="R41" s="644"/>
      <c r="S41" s="603"/>
      <c r="T41" s="603"/>
      <c r="U41" s="639"/>
      <c r="V41" s="603"/>
      <c r="W41" s="603"/>
      <c r="X41" s="603"/>
      <c r="Y41" s="603"/>
      <c r="Z41" s="637"/>
      <c r="AA41" s="637"/>
      <c r="AB41" s="637"/>
      <c r="AC41" s="637"/>
      <c r="AD41" s="637"/>
      <c r="AE41" s="637"/>
      <c r="AF41" s="580"/>
      <c r="AG41" s="580"/>
      <c r="AH41" s="580"/>
      <c r="AI41" s="580"/>
      <c r="AJ41" s="464"/>
    </row>
    <row r="42" spans="1:36">
      <c r="B42" s="585" t="str">
        <f>IF(DRIVE_Type="Coupling",IF(Small_F,"","mf2_T"),"")</f>
        <v/>
      </c>
      <c r="C42" s="582"/>
      <c r="D42" s="580"/>
      <c r="E42" s="580"/>
      <c r="F42" s="580"/>
      <c r="G42" s="580"/>
      <c r="H42" s="580"/>
      <c r="I42" s="580"/>
      <c r="J42" s="609">
        <f>J41</f>
        <v>0</v>
      </c>
      <c r="K42" s="608">
        <f>K26</f>
        <v>0</v>
      </c>
      <c r="L42" s="610">
        <f>L26</f>
        <v>0</v>
      </c>
      <c r="M42" s="609">
        <f t="shared" si="0"/>
        <v>0</v>
      </c>
      <c r="N42" s="608">
        <f>K42</f>
        <v>0</v>
      </c>
      <c r="O42" s="611">
        <f>O26</f>
        <v>0</v>
      </c>
      <c r="P42" s="602"/>
      <c r="Q42" s="1454"/>
      <c r="R42" s="640"/>
      <c r="S42" s="580"/>
      <c r="T42" s="580"/>
      <c r="U42" s="636"/>
      <c r="V42" s="636"/>
      <c r="W42" s="636"/>
      <c r="X42" s="636"/>
      <c r="Y42" s="636"/>
      <c r="Z42" s="637"/>
      <c r="AA42" s="637"/>
      <c r="AB42" s="637"/>
      <c r="AC42" s="637"/>
      <c r="AD42" s="637"/>
      <c r="AE42" s="637"/>
      <c r="AF42" s="580"/>
      <c r="AG42" s="580"/>
      <c r="AH42" s="580"/>
      <c r="AI42" s="580"/>
      <c r="AJ42" s="464"/>
    </row>
    <row r="43" spans="1:36">
      <c r="A43" s="622"/>
      <c r="B43" s="604" t="str">
        <f>IF(DRIVE_Type="Coupling",IF(Small_F,"","MF2_T+"),"")</f>
        <v/>
      </c>
      <c r="C43" s="580"/>
      <c r="D43" s="580"/>
      <c r="E43" s="580"/>
      <c r="F43" s="580"/>
      <c r="G43" s="580"/>
      <c r="H43" s="580"/>
      <c r="I43" s="580"/>
      <c r="J43" s="492">
        <f>J41+E41</f>
        <v>0</v>
      </c>
      <c r="K43" s="608">
        <f>K41</f>
        <v>0</v>
      </c>
      <c r="L43" s="608">
        <f>L41</f>
        <v>0</v>
      </c>
      <c r="M43" s="609">
        <f t="shared" si="0"/>
        <v>0</v>
      </c>
      <c r="N43" s="608">
        <f>N41</f>
        <v>0</v>
      </c>
      <c r="O43" s="608">
        <f>O41</f>
        <v>0</v>
      </c>
      <c r="P43" s="584"/>
      <c r="Q43" s="1450"/>
      <c r="R43" s="1189"/>
      <c r="S43" s="603"/>
      <c r="T43" s="603"/>
      <c r="U43" s="603"/>
      <c r="V43" s="603"/>
      <c r="W43" s="603"/>
      <c r="X43" s="603"/>
      <c r="Y43" s="603"/>
      <c r="Z43" s="603"/>
      <c r="AA43" s="603"/>
      <c r="AB43" s="603"/>
      <c r="AC43" s="603"/>
      <c r="AD43" s="603"/>
      <c r="AE43" s="603"/>
      <c r="AF43" s="603"/>
      <c r="AG43" s="603"/>
      <c r="AH43" s="603"/>
      <c r="AI43" s="580"/>
      <c r="AJ43" s="464"/>
    </row>
    <row r="44" spans="1:36">
      <c r="A44" s="628"/>
      <c r="B44" s="604" t="str">
        <f>IF(DRIVE_Type="Coupling",IF(Small_F,"","mf2_T+"),"")</f>
        <v/>
      </c>
      <c r="C44" s="580"/>
      <c r="D44" s="580"/>
      <c r="E44" s="580"/>
      <c r="F44" s="580"/>
      <c r="G44" s="580"/>
      <c r="H44" s="580"/>
      <c r="I44" s="580"/>
      <c r="J44" s="609">
        <f>J43</f>
        <v>0</v>
      </c>
      <c r="K44" s="608">
        <f>K42</f>
        <v>0</v>
      </c>
      <c r="L44" s="608">
        <f>L42</f>
        <v>0</v>
      </c>
      <c r="M44" s="609">
        <f t="shared" si="0"/>
        <v>0</v>
      </c>
      <c r="N44" s="608">
        <f>N42</f>
        <v>0</v>
      </c>
      <c r="O44" s="608">
        <f>O42</f>
        <v>0</v>
      </c>
      <c r="P44" s="602"/>
      <c r="Q44" s="1454"/>
      <c r="R44" s="1502"/>
      <c r="S44" s="603"/>
      <c r="T44" s="603"/>
      <c r="U44" s="603"/>
      <c r="V44" s="603"/>
      <c r="W44" s="603"/>
      <c r="X44" s="603"/>
      <c r="Y44" s="603"/>
      <c r="Z44" s="603"/>
      <c r="AA44" s="603"/>
      <c r="AB44" s="603"/>
      <c r="AC44" s="603"/>
      <c r="AD44" s="603"/>
      <c r="AE44" s="603"/>
      <c r="AF44" s="603"/>
      <c r="AG44" s="603"/>
      <c r="AH44" s="603"/>
      <c r="AI44" s="580"/>
      <c r="AJ44" s="464"/>
    </row>
    <row r="45" spans="1:36">
      <c r="A45" s="1682"/>
      <c r="B45" s="579" t="str">
        <f>IF(DRIVE_Type="Coupling",IF(Small_F,"","MF2_L"),"")</f>
        <v/>
      </c>
      <c r="C45" s="580" t="e">
        <f ca="1">MF_Ra</f>
        <v>#REF!</v>
      </c>
      <c r="D45" s="580" t="e">
        <f ca="1">IF(Small_F,0,SQRT((N45-K45)^2+(O45-L45)^2))</f>
        <v>#REF!</v>
      </c>
      <c r="E45" s="580">
        <f>IF(DRIVE_Type="Coupling",IF(Small_F,0,VLOOKUP($C45,Iron_dim,2,FALSE)),0)</f>
        <v>0</v>
      </c>
      <c r="F45" s="580">
        <f>IF(DRIVE_Type="Coupling",IF(Small_F,0,VLOOKUP($C45,Iron_dim,3,FALSE)),0)</f>
        <v>0</v>
      </c>
      <c r="G45" s="580">
        <f>IF(DRIVE_Type="Coupling",IF(Small_F,0,VLOOKUP($C45,Iron_dim,4,FALSE)),0)</f>
        <v>0</v>
      </c>
      <c r="H45" s="580"/>
      <c r="I45" s="581" t="s">
        <v>1045</v>
      </c>
      <c r="J45" s="609">
        <f>J41</f>
        <v>0</v>
      </c>
      <c r="K45" s="608" t="e">
        <f ca="1">K29</f>
        <v>#REF!</v>
      </c>
      <c r="L45" s="610" t="e">
        <f ca="1">L29</f>
        <v>#REF!</v>
      </c>
      <c r="M45" s="609">
        <f t="shared" si="0"/>
        <v>0</v>
      </c>
      <c r="N45" s="608">
        <f>K41</f>
        <v>0</v>
      </c>
      <c r="O45" s="612">
        <f>L41</f>
        <v>0</v>
      </c>
      <c r="P45" s="584" t="e">
        <f ca="1">VLOOKUP($C45,Iron_dim,7,FALSE)*D45/1000</f>
        <v>#REF!</v>
      </c>
      <c r="Q45" s="1450">
        <f>IF(G45=0,0,P45/steel_density/(G45/1000))</f>
        <v>0</v>
      </c>
      <c r="R45" s="1503"/>
      <c r="S45" s="603"/>
      <c r="T45" s="603"/>
      <c r="U45" s="603"/>
      <c r="V45" s="603"/>
      <c r="W45" s="603"/>
      <c r="X45" s="603"/>
      <c r="Y45" s="603"/>
      <c r="Z45" s="603"/>
      <c r="AA45" s="603"/>
      <c r="AB45" s="603"/>
      <c r="AC45" s="603"/>
      <c r="AD45" s="603"/>
      <c r="AE45" s="603"/>
      <c r="AF45" s="603"/>
      <c r="AG45" s="603"/>
      <c r="AH45" s="603"/>
      <c r="AI45" s="580"/>
      <c r="AJ45" s="464"/>
    </row>
    <row r="46" spans="1:36">
      <c r="A46" s="1680"/>
      <c r="B46" s="585" t="str">
        <f>IF(DRIVE_Type="Coupling",IF(Small_F,"","mf2_L"),"")</f>
        <v/>
      </c>
      <c r="C46" s="582"/>
      <c r="D46" s="493"/>
      <c r="E46" s="493"/>
      <c r="F46" s="493"/>
      <c r="G46" s="493"/>
      <c r="H46" s="493"/>
      <c r="I46" s="493"/>
      <c r="J46" s="609">
        <f>J45</f>
        <v>0</v>
      </c>
      <c r="K46" s="608" t="e">
        <f ca="1">K30</f>
        <v>#REF!</v>
      </c>
      <c r="L46" s="610" t="e">
        <f ca="1">L30</f>
        <v>#REF!</v>
      </c>
      <c r="M46" s="609">
        <f t="shared" si="0"/>
        <v>0</v>
      </c>
      <c r="N46" s="608">
        <f>K42</f>
        <v>0</v>
      </c>
      <c r="O46" s="612">
        <f>L42</f>
        <v>0</v>
      </c>
      <c r="P46" s="602"/>
      <c r="Q46" s="1454"/>
      <c r="R46" s="644"/>
      <c r="S46" s="603"/>
      <c r="T46" s="603"/>
      <c r="U46" s="603"/>
      <c r="V46" s="603"/>
      <c r="W46" s="603"/>
      <c r="X46" s="603"/>
      <c r="Y46" s="603"/>
      <c r="Z46" s="603"/>
      <c r="AA46" s="603"/>
      <c r="AB46" s="603"/>
      <c r="AC46" s="603"/>
      <c r="AD46" s="603"/>
      <c r="AE46" s="603"/>
      <c r="AF46" s="603"/>
      <c r="AG46" s="603"/>
      <c r="AH46" s="603"/>
      <c r="AI46" s="603"/>
      <c r="AJ46" s="464"/>
    </row>
    <row r="47" spans="1:36">
      <c r="A47" s="604"/>
      <c r="B47" s="604" t="str">
        <f>IF(DRIVE_Type="Coupling",IF(Small_F,"","MF2_L+"),"")</f>
        <v/>
      </c>
      <c r="C47" s="582"/>
      <c r="D47" s="493"/>
      <c r="E47" s="493"/>
      <c r="F47" s="493"/>
      <c r="G47" s="493"/>
      <c r="H47" s="493"/>
      <c r="I47" s="493"/>
      <c r="J47" s="492">
        <f>J45+E45</f>
        <v>0</v>
      </c>
      <c r="K47" s="608" t="e">
        <f ca="1">K45</f>
        <v>#REF!</v>
      </c>
      <c r="L47" s="608" t="e">
        <f ca="1">L45</f>
        <v>#REF!</v>
      </c>
      <c r="M47" s="609">
        <f t="shared" si="0"/>
        <v>0</v>
      </c>
      <c r="N47" s="608">
        <f>N45</f>
        <v>0</v>
      </c>
      <c r="O47" s="611">
        <f>O45</f>
        <v>0</v>
      </c>
      <c r="P47" s="584"/>
      <c r="Q47" s="1450"/>
      <c r="R47" s="644"/>
      <c r="S47" s="603"/>
      <c r="T47" s="603"/>
      <c r="U47" s="603"/>
      <c r="V47" s="603"/>
      <c r="W47" s="603"/>
      <c r="X47" s="603"/>
      <c r="Y47" s="603"/>
      <c r="Z47" s="603"/>
      <c r="AA47" s="603"/>
      <c r="AB47" s="603"/>
      <c r="AC47" s="603"/>
      <c r="AD47" s="603"/>
      <c r="AE47" s="603"/>
      <c r="AF47" s="603"/>
      <c r="AG47" s="603"/>
      <c r="AH47" s="603"/>
      <c r="AI47" s="603"/>
      <c r="AJ47" s="464"/>
    </row>
    <row r="48" spans="1:36">
      <c r="A48" s="622"/>
      <c r="B48" s="604" t="str">
        <f>IF(DRIVE_Type="Coupling",IF(Small_F,"","mf2_L+"),"")</f>
        <v/>
      </c>
      <c r="C48" s="582"/>
      <c r="D48" s="493"/>
      <c r="E48" s="493"/>
      <c r="F48" s="493"/>
      <c r="G48" s="493"/>
      <c r="H48" s="493"/>
      <c r="I48" s="493"/>
      <c r="J48" s="609">
        <f>J47</f>
        <v>0</v>
      </c>
      <c r="K48" s="608" t="e">
        <f ca="1">K46</f>
        <v>#REF!</v>
      </c>
      <c r="L48" s="608" t="e">
        <f ca="1">L46</f>
        <v>#REF!</v>
      </c>
      <c r="M48" s="609">
        <f t="shared" si="0"/>
        <v>0</v>
      </c>
      <c r="N48" s="608">
        <f>N46</f>
        <v>0</v>
      </c>
      <c r="O48" s="611">
        <f>O46</f>
        <v>0</v>
      </c>
      <c r="P48" s="584"/>
      <c r="Q48" s="1450"/>
      <c r="R48" s="1189"/>
      <c r="S48" s="603"/>
      <c r="T48" s="603"/>
      <c r="U48" s="603"/>
      <c r="V48" s="603"/>
      <c r="W48" s="603"/>
      <c r="X48" s="603"/>
      <c r="Y48" s="603"/>
      <c r="Z48" s="603"/>
      <c r="AA48" s="603"/>
      <c r="AB48" s="603"/>
      <c r="AC48" s="603"/>
      <c r="AD48" s="603"/>
      <c r="AE48" s="603"/>
      <c r="AF48" s="603"/>
      <c r="AG48" s="603"/>
      <c r="AH48" s="603"/>
      <c r="AI48" s="603"/>
      <c r="AJ48" s="464"/>
    </row>
    <row r="49" spans="1:36">
      <c r="A49" s="1682"/>
      <c r="B49" s="579" t="str">
        <f>IF(DRIVE_Type="Coupling",IF(Small_F,"","MF2_R"),"")</f>
        <v/>
      </c>
      <c r="C49" s="580" t="e">
        <f ca="1">MF_Ra</f>
        <v>#REF!</v>
      </c>
      <c r="D49" s="580" t="e">
        <f ca="1">IF(Small_F,0,SQRT((N49-K49)^2+(O49-L49)^2))</f>
        <v>#REF!</v>
      </c>
      <c r="E49" s="580">
        <f>IF(DRIVE_Type="Coupling",IF(Small_F,0,VLOOKUP($C49,Iron_dim,2,FALSE)),0)</f>
        <v>0</v>
      </c>
      <c r="F49" s="580">
        <f>IF(DRIVE_Type="Coupling",IF(Small_F,0,VLOOKUP($C49,Iron_dim,3,FALSE)),0)</f>
        <v>0</v>
      </c>
      <c r="G49" s="580">
        <f>IF(DRIVE_Type="Coupling",IF(Small_F,0,VLOOKUP($C49,Iron_dim,4,FALSE)),0)</f>
        <v>0</v>
      </c>
      <c r="H49" s="580"/>
      <c r="I49" s="581" t="s">
        <v>1046</v>
      </c>
      <c r="J49" s="609">
        <f>M41</f>
        <v>0</v>
      </c>
      <c r="K49" s="608" t="e">
        <f ca="1">K33</f>
        <v>#REF!</v>
      </c>
      <c r="L49" s="610" t="e">
        <f ca="1">L33</f>
        <v>#REF!</v>
      </c>
      <c r="M49" s="609">
        <f t="shared" si="0"/>
        <v>0</v>
      </c>
      <c r="N49" s="608">
        <f>N41</f>
        <v>0</v>
      </c>
      <c r="O49" s="612">
        <f>O41</f>
        <v>0</v>
      </c>
      <c r="P49" s="584" t="e">
        <f ca="1">VLOOKUP($C49,Iron_dim,7,FALSE)*D49/1000</f>
        <v>#REF!</v>
      </c>
      <c r="Q49" s="1450">
        <f>IF(G49=0,0,P49/steel_density/(G49/1000))</f>
        <v>0</v>
      </c>
      <c r="R49" s="1189"/>
      <c r="S49" s="603"/>
      <c r="T49" s="603"/>
      <c r="U49" s="603"/>
      <c r="V49" s="603"/>
      <c r="W49" s="603"/>
      <c r="X49" s="603"/>
      <c r="Y49" s="603"/>
      <c r="Z49" s="603"/>
      <c r="AA49" s="603"/>
      <c r="AB49" s="603"/>
      <c r="AC49" s="603"/>
      <c r="AD49" s="603"/>
      <c r="AE49" s="603"/>
      <c r="AF49" s="603"/>
      <c r="AG49" s="603"/>
      <c r="AH49" s="603"/>
      <c r="AI49" s="603"/>
      <c r="AJ49" s="464"/>
    </row>
    <row r="50" spans="1:36">
      <c r="A50" s="1680"/>
      <c r="B50" s="585" t="str">
        <f>IF(DRIVE_Type="Coupling",IF(Small_F,"","mf2_R"),"")</f>
        <v/>
      </c>
      <c r="C50" s="582"/>
      <c r="D50" s="493"/>
      <c r="E50" s="493"/>
      <c r="F50" s="493"/>
      <c r="G50" s="493"/>
      <c r="H50" s="493"/>
      <c r="I50" s="493"/>
      <c r="J50" s="609">
        <f>J49</f>
        <v>0</v>
      </c>
      <c r="K50" s="608" t="e">
        <f ca="1">K34</f>
        <v>#REF!</v>
      </c>
      <c r="L50" s="610" t="e">
        <f ca="1">L34</f>
        <v>#REF!</v>
      </c>
      <c r="M50" s="609">
        <f t="shared" si="0"/>
        <v>0</v>
      </c>
      <c r="N50" s="608">
        <f>N42</f>
        <v>0</v>
      </c>
      <c r="O50" s="612">
        <f>O42</f>
        <v>0</v>
      </c>
      <c r="P50" s="602"/>
      <c r="Q50" s="1454"/>
      <c r="R50" s="1189"/>
      <c r="S50" s="603"/>
      <c r="T50" s="603"/>
      <c r="U50" s="603"/>
      <c r="V50" s="603"/>
      <c r="W50" s="603"/>
      <c r="X50" s="603"/>
      <c r="Y50" s="603"/>
      <c r="Z50" s="603"/>
      <c r="AA50" s="603"/>
      <c r="AB50" s="603"/>
      <c r="AC50" s="603"/>
      <c r="AD50" s="603"/>
      <c r="AE50" s="603"/>
      <c r="AF50" s="603"/>
      <c r="AG50" s="603"/>
      <c r="AH50" s="603"/>
      <c r="AI50" s="603"/>
      <c r="AJ50" s="464"/>
    </row>
    <row r="51" spans="1:36">
      <c r="A51" s="604"/>
      <c r="B51" s="604" t="str">
        <f>IF(DRIVE_Type="Coupling",IF(Small_F,"","MF2_R+"),"")</f>
        <v/>
      </c>
      <c r="C51" s="582"/>
      <c r="D51" s="493"/>
      <c r="E51" s="493"/>
      <c r="F51" s="493"/>
      <c r="G51" s="493"/>
      <c r="H51" s="493"/>
      <c r="I51" s="493"/>
      <c r="J51" s="492">
        <f>J49+E49</f>
        <v>0</v>
      </c>
      <c r="K51" s="608" t="e">
        <f ca="1">K49</f>
        <v>#REF!</v>
      </c>
      <c r="L51" s="608" t="e">
        <f ca="1">L49</f>
        <v>#REF!</v>
      </c>
      <c r="M51" s="609">
        <f t="shared" si="0"/>
        <v>0</v>
      </c>
      <c r="N51" s="608">
        <f>N49</f>
        <v>0</v>
      </c>
      <c r="O51" s="611">
        <f>O49</f>
        <v>0</v>
      </c>
      <c r="P51" s="584"/>
      <c r="Q51" s="1450"/>
      <c r="R51" s="644"/>
      <c r="S51" s="603"/>
      <c r="T51" s="603"/>
      <c r="U51" s="603"/>
      <c r="V51" s="603"/>
      <c r="W51" s="603"/>
      <c r="X51" s="603"/>
      <c r="Y51" s="603"/>
      <c r="Z51" s="603"/>
      <c r="AA51" s="603"/>
      <c r="AB51" s="603"/>
      <c r="AC51" s="603"/>
      <c r="AD51" s="603"/>
      <c r="AE51" s="603"/>
      <c r="AF51" s="603"/>
      <c r="AG51" s="603"/>
      <c r="AH51" s="603"/>
      <c r="AI51" s="603"/>
      <c r="AJ51" s="464"/>
    </row>
    <row r="52" spans="1:36">
      <c r="A52" s="604"/>
      <c r="B52" s="604" t="str">
        <f>IF(DRIVE_Type="Coupling",IF(Small_F,"","mf2_R+"),"")</f>
        <v/>
      </c>
      <c r="C52" s="493"/>
      <c r="D52" s="493"/>
      <c r="E52" s="493"/>
      <c r="F52" s="493"/>
      <c r="G52" s="493"/>
      <c r="H52" s="493"/>
      <c r="I52" s="493"/>
      <c r="J52" s="609">
        <f>J51</f>
        <v>0</v>
      </c>
      <c r="K52" s="608" t="e">
        <f ca="1">K50</f>
        <v>#REF!</v>
      </c>
      <c r="L52" s="608" t="e">
        <f ca="1">L50</f>
        <v>#REF!</v>
      </c>
      <c r="M52" s="609">
        <f t="shared" si="0"/>
        <v>0</v>
      </c>
      <c r="N52" s="608">
        <f>N50</f>
        <v>0</v>
      </c>
      <c r="O52" s="611">
        <f>O50</f>
        <v>0</v>
      </c>
      <c r="P52" s="584"/>
      <c r="Q52" s="1450"/>
      <c r="R52" s="644"/>
      <c r="S52" s="603"/>
      <c r="T52" s="603"/>
      <c r="U52" s="580"/>
      <c r="V52" s="603"/>
      <c r="W52" s="603"/>
      <c r="X52" s="603"/>
      <c r="Y52" s="603"/>
      <c r="Z52" s="603"/>
      <c r="AA52" s="603"/>
      <c r="AB52" s="603"/>
      <c r="AC52" s="603"/>
      <c r="AD52" s="603"/>
      <c r="AE52" s="603"/>
      <c r="AF52" s="603"/>
      <c r="AG52" s="603"/>
      <c r="AH52" s="603"/>
      <c r="AI52" s="603"/>
      <c r="AJ52" s="464"/>
    </row>
    <row r="53" spans="1:36">
      <c r="A53" s="1680"/>
      <c r="B53" s="1540" t="str">
        <f>IF(DRIVE_Type="Coupling",IF(Small_F,"","MFTr2"),"")</f>
        <v/>
      </c>
      <c r="C53" s="493" t="e">
        <f ca="1">MF_Tr</f>
        <v>#REF!</v>
      </c>
      <c r="D53" s="580" t="e">
        <f ca="1">IF(Small_F,0,O54-L54)</f>
        <v>#REF!</v>
      </c>
      <c r="E53" s="580">
        <f>IF(DRIVE_Type="Coupling",IF(Small_F,0,MFTr2_Hefactor*(K26-K38)),0)</f>
        <v>0</v>
      </c>
      <c r="F53" s="580" t="e">
        <f ca="1">IF(Small_F,0,F120)</f>
        <v>#REF!</v>
      </c>
      <c r="G53" s="580">
        <f>IF(DRIVE_Type="Coupling",IF(Small_F,0,VLOOKUP($C53,Iron_dim,4,FALSE)),0)</f>
        <v>0</v>
      </c>
      <c r="H53" s="580"/>
      <c r="I53" s="603" t="s">
        <v>1049</v>
      </c>
      <c r="J53" s="609">
        <f>J51</f>
        <v>0</v>
      </c>
      <c r="K53" s="580" t="e">
        <f ca="1">IF(Small_F,0,K54+E53)</f>
        <v>#REF!</v>
      </c>
      <c r="L53" s="600" t="e">
        <f ca="1">IF(Small_F,0,L54+E53/TAN(R_angle))</f>
        <v>#REF!</v>
      </c>
      <c r="M53" s="609">
        <f t="shared" si="0"/>
        <v>0</v>
      </c>
      <c r="N53" s="580" t="e">
        <f ca="1">IF(Small_F,0,K53)</f>
        <v>#REF!</v>
      </c>
      <c r="O53" s="1412" t="e">
        <f ca="1">IF(Small_F,0,-L53)</f>
        <v>#REF!</v>
      </c>
      <c r="P53" s="584" t="e">
        <f ca="1">(E53/1000+F53/1000)*G53/1000*D53/1000*steel_density</f>
        <v>#REF!</v>
      </c>
      <c r="Q53" s="1450">
        <f>IF(G53=0,0,P53/steel_density/(G53/1000))</f>
        <v>0</v>
      </c>
      <c r="R53" s="644"/>
      <c r="S53" s="603"/>
      <c r="T53" s="603"/>
      <c r="U53" s="603"/>
      <c r="V53" s="603"/>
      <c r="W53" s="603"/>
      <c r="X53" s="603"/>
      <c r="Y53" s="603"/>
      <c r="Z53" s="603"/>
      <c r="AA53" s="603"/>
      <c r="AB53" s="603"/>
      <c r="AC53" s="603"/>
      <c r="AD53" s="603"/>
      <c r="AE53" s="603"/>
      <c r="AF53" s="603"/>
      <c r="AG53" s="603"/>
      <c r="AH53" s="603"/>
      <c r="AI53" s="603"/>
      <c r="AJ53" s="464"/>
    </row>
    <row r="54" spans="1:36">
      <c r="A54" s="1680"/>
      <c r="B54" s="585" t="str">
        <f>IF(DRIVE_Type="Coupling",IF(Small_F,"","mftr2"),"")</f>
        <v/>
      </c>
      <c r="C54" s="580"/>
      <c r="D54" s="580"/>
      <c r="E54" s="580"/>
      <c r="F54" s="580"/>
      <c r="G54" s="580"/>
      <c r="H54" s="580"/>
      <c r="I54" s="603"/>
      <c r="J54" s="609">
        <f>J53</f>
        <v>0</v>
      </c>
      <c r="K54" s="580" t="e">
        <f ca="1">IF(Small_F,0,K120+G120)</f>
        <v>#REF!</v>
      </c>
      <c r="L54" s="600" t="e">
        <f ca="1">IF(Small_F,0,L46)</f>
        <v>#REF!</v>
      </c>
      <c r="M54" s="609">
        <f t="shared" si="0"/>
        <v>0</v>
      </c>
      <c r="N54" s="580" t="e">
        <f ca="1">IF(Small_F,0,K54)</f>
        <v>#REF!</v>
      </c>
      <c r="O54" s="1412" t="e">
        <f ca="1">IF(Small_F,0,-L54)</f>
        <v>#REF!</v>
      </c>
      <c r="P54" s="602"/>
      <c r="Q54" s="1454"/>
      <c r="R54" s="644"/>
      <c r="S54" s="603"/>
      <c r="T54" s="603"/>
      <c r="U54" s="603"/>
      <c r="V54" s="603"/>
      <c r="W54" s="603"/>
      <c r="X54" s="603"/>
      <c r="Y54" s="603"/>
      <c r="Z54" s="603"/>
      <c r="AA54" s="603"/>
      <c r="AB54" s="603"/>
      <c r="AC54" s="603"/>
      <c r="AD54" s="603"/>
      <c r="AE54" s="603"/>
      <c r="AF54" s="603"/>
      <c r="AG54" s="603"/>
      <c r="AH54" s="603"/>
      <c r="AI54" s="603"/>
      <c r="AJ54" s="464"/>
    </row>
    <row r="55" spans="1:36">
      <c r="A55" s="604"/>
      <c r="B55" s="604" t="str">
        <f>IF(DRIVE_Type="Coupling",IF(Small_F,"","MFTr2-"),"")</f>
        <v/>
      </c>
      <c r="C55" s="493"/>
      <c r="D55" s="580"/>
      <c r="E55" s="580"/>
      <c r="F55" s="580"/>
      <c r="G55" s="580"/>
      <c r="H55" s="580"/>
      <c r="I55" s="603"/>
      <c r="J55" s="1920" t="e">
        <f ca="1">J53-F53</f>
        <v>#REF!</v>
      </c>
      <c r="K55" s="1918" t="e">
        <f ca="1">K54</f>
        <v>#REF!</v>
      </c>
      <c r="L55" s="1918" t="e">
        <f ca="1">L54</f>
        <v>#REF!</v>
      </c>
      <c r="M55" s="1917" t="e">
        <f ca="1">J55</f>
        <v>#REF!</v>
      </c>
      <c r="N55" s="1918" t="e">
        <f ca="1">K55</f>
        <v>#REF!</v>
      </c>
      <c r="O55" s="1919" t="e">
        <f ca="1">O54</f>
        <v>#REF!</v>
      </c>
      <c r="P55" s="584"/>
      <c r="Q55" s="1450"/>
      <c r="R55" s="644"/>
      <c r="S55" s="603"/>
      <c r="T55" s="603"/>
      <c r="U55" s="603"/>
      <c r="V55" s="603"/>
      <c r="W55" s="603"/>
      <c r="X55" s="603"/>
      <c r="Y55" s="603"/>
      <c r="Z55" s="603"/>
      <c r="AA55" s="603"/>
      <c r="AB55" s="603"/>
      <c r="AC55" s="603"/>
      <c r="AD55" s="603"/>
      <c r="AE55" s="603"/>
      <c r="AF55" s="603"/>
      <c r="AG55" s="603"/>
      <c r="AH55" s="603"/>
      <c r="AI55" s="603"/>
      <c r="AJ55" s="464"/>
    </row>
    <row r="56" spans="1:36">
      <c r="A56" s="604"/>
      <c r="B56" s="633" t="str">
        <f>IF(DRIVE_Type="Coupling",IF(Small_F,"","mftr2-"),"")</f>
        <v/>
      </c>
      <c r="C56" s="479"/>
      <c r="D56" s="479"/>
      <c r="E56" s="479"/>
      <c r="F56" s="479"/>
      <c r="G56" s="479"/>
      <c r="H56" s="479"/>
      <c r="I56" s="479"/>
      <c r="J56" s="618" t="e">
        <f ca="1">J55</f>
        <v>#REF!</v>
      </c>
      <c r="K56" s="616" t="e">
        <f ca="1">K55</f>
        <v>#REF!</v>
      </c>
      <c r="L56" s="616" t="e">
        <f ca="1">L55</f>
        <v>#REF!</v>
      </c>
      <c r="M56" s="618" t="e">
        <f ca="1">M55</f>
        <v>#REF!</v>
      </c>
      <c r="N56" s="616" t="e">
        <f ca="1">N55</f>
        <v>#REF!</v>
      </c>
      <c r="O56" s="634" t="e">
        <f ca="1">O55</f>
        <v>#REF!</v>
      </c>
      <c r="P56" s="605"/>
      <c r="Q56" s="1455"/>
      <c r="R56" s="644"/>
      <c r="S56" s="603"/>
      <c r="T56" s="603"/>
      <c r="U56" s="603"/>
      <c r="V56" s="603"/>
      <c r="W56" s="603"/>
      <c r="X56" s="603"/>
      <c r="Y56" s="603"/>
      <c r="Z56" s="603"/>
      <c r="AA56" s="603"/>
      <c r="AB56" s="603"/>
      <c r="AC56" s="603"/>
      <c r="AD56" s="603"/>
      <c r="AE56" s="603"/>
      <c r="AF56" s="603"/>
      <c r="AG56" s="603"/>
      <c r="AH56" s="603"/>
      <c r="AI56" s="603"/>
      <c r="AJ56" s="464"/>
    </row>
    <row r="57" spans="1:36">
      <c r="A57" s="1643" t="s">
        <v>3538</v>
      </c>
      <c r="B57" s="1902" t="str">
        <f>IF(DRIVE_Type="Coupling",IF(Small_F,"","BF5_T"),"")</f>
        <v/>
      </c>
      <c r="C57" s="580" t="e">
        <f ca="1">BF_Ra</f>
        <v>#REF!</v>
      </c>
      <c r="D57" s="580" t="e">
        <f ca="1">IF(Small_F,0,SQRT((N57-K57)^2+(O57-L57)^2))</f>
        <v>#REF!</v>
      </c>
      <c r="E57" s="587">
        <f>IF(DRIVE_Type="Coupling",IF(Small_F,0,VLOOKUP($C57,Iron_dim,2,FALSE)),0)</f>
        <v>0</v>
      </c>
      <c r="F57" s="587">
        <f>IF(DRIVE_Type="Coupling",IF(Small_F,0,VLOOKUP($C57,Iron_dim,3,FALSE)),0)</f>
        <v>0</v>
      </c>
      <c r="G57" s="587">
        <f>IF(DRIVE_Type="Coupling",IF(Small_F,0,VLOOKUP($C57,Iron_dim,4,FALSE)),0)</f>
        <v>0</v>
      </c>
      <c r="H57" s="484"/>
      <c r="I57" s="1643" t="s">
        <v>1045</v>
      </c>
      <c r="J57" s="630">
        <f>IF(DRIVE_Type="Coupling",IF(Small_F,0,J41+E41/2+MC+SE+C_Gap/2+DCRa5),0)</f>
        <v>0</v>
      </c>
      <c r="K57" s="587">
        <f>IF(DRIVE_Type="Coupling",IF(Small_F,0,Center_H-B_H1),0)</f>
        <v>0</v>
      </c>
      <c r="L57" s="1903">
        <f>IF(DRIVE_Type="Coupling",IF(Small_F,0,L120+(K57-G120)/TAN(R_angle)),0)</f>
        <v>0</v>
      </c>
      <c r="M57" s="615">
        <f t="shared" si="0"/>
        <v>0</v>
      </c>
      <c r="N57" s="613">
        <f>K57</f>
        <v>0</v>
      </c>
      <c r="O57" s="2176">
        <f>-L57</f>
        <v>0</v>
      </c>
      <c r="P57" s="632" t="e">
        <f ca="1">VLOOKUP($C57,Iron_dim,7,FALSE)*D57/1000</f>
        <v>#REF!</v>
      </c>
      <c r="Q57" s="1456">
        <f>IF(G57=0,0,P57/steel_density/(G57/1000))</f>
        <v>0</v>
      </c>
      <c r="R57" s="1189"/>
      <c r="S57" s="603"/>
      <c r="T57" s="603"/>
      <c r="U57" s="603"/>
      <c r="V57" s="603"/>
      <c r="W57" s="603"/>
      <c r="X57" s="603"/>
      <c r="Y57" s="603"/>
      <c r="Z57" s="603"/>
      <c r="AA57" s="603"/>
      <c r="AB57" s="603"/>
      <c r="AC57" s="603"/>
      <c r="AD57" s="603"/>
      <c r="AE57" s="603"/>
      <c r="AF57" s="603"/>
      <c r="AG57" s="603"/>
      <c r="AH57" s="603"/>
      <c r="AI57" s="603"/>
      <c r="AJ57" s="464"/>
    </row>
    <row r="58" spans="1:36">
      <c r="B58" s="585" t="str">
        <f>IF(DRIVE_Type="Coupling",IF(Small_F,"","bf5_T"),"")</f>
        <v/>
      </c>
      <c r="C58" s="600"/>
      <c r="D58" s="580"/>
      <c r="E58" s="580"/>
      <c r="F58" s="580"/>
      <c r="G58" s="580"/>
      <c r="H58" s="493"/>
      <c r="I58" s="493"/>
      <c r="J58" s="609">
        <f>J57</f>
        <v>0</v>
      </c>
      <c r="K58" s="493">
        <f>K57-F57</f>
        <v>0</v>
      </c>
      <c r="L58" s="582">
        <f>L57+F57*TAN(R_angle/2)</f>
        <v>0</v>
      </c>
      <c r="M58" s="609">
        <f t="shared" si="0"/>
        <v>0</v>
      </c>
      <c r="N58" s="608">
        <f>K58</f>
        <v>0</v>
      </c>
      <c r="O58" s="2175">
        <f>-L58</f>
        <v>0</v>
      </c>
      <c r="P58" s="584"/>
      <c r="Q58" s="1450"/>
      <c r="R58" s="1502"/>
      <c r="S58" s="603"/>
      <c r="T58" s="572"/>
      <c r="U58" s="572"/>
      <c r="V58" s="572"/>
      <c r="W58" s="603"/>
      <c r="X58" s="603"/>
      <c r="Y58" s="603"/>
      <c r="Z58" s="603"/>
      <c r="AA58" s="603"/>
      <c r="AB58" s="603"/>
      <c r="AC58" s="603"/>
      <c r="AD58" s="603"/>
      <c r="AE58" s="603"/>
      <c r="AF58" s="603"/>
      <c r="AG58" s="603"/>
      <c r="AH58" s="603"/>
      <c r="AI58" s="603"/>
      <c r="AJ58" s="464"/>
    </row>
    <row r="59" spans="1:36">
      <c r="A59" s="622"/>
      <c r="B59" s="604" t="str">
        <f>IF(DRIVE_Type="Coupling",IF(Small_F,"","BF5_T+"),"")</f>
        <v/>
      </c>
      <c r="C59" s="600"/>
      <c r="D59" s="580"/>
      <c r="E59" s="580"/>
      <c r="F59" s="580"/>
      <c r="G59" s="580"/>
      <c r="H59" s="493"/>
      <c r="I59" s="493"/>
      <c r="J59" s="492">
        <f>J57+E57</f>
        <v>0</v>
      </c>
      <c r="K59" s="608">
        <f>K57</f>
        <v>0</v>
      </c>
      <c r="L59" s="608">
        <f>L57</f>
        <v>0</v>
      </c>
      <c r="M59" s="609">
        <f t="shared" si="0"/>
        <v>0</v>
      </c>
      <c r="N59" s="608">
        <f>N57</f>
        <v>0</v>
      </c>
      <c r="O59" s="611">
        <f>O57</f>
        <v>0</v>
      </c>
      <c r="P59" s="584"/>
      <c r="Q59" s="1450"/>
      <c r="R59" s="1189"/>
      <c r="S59" s="603"/>
      <c r="T59" s="603"/>
      <c r="U59" s="603"/>
      <c r="V59" s="603"/>
      <c r="W59" s="603"/>
      <c r="X59" s="603"/>
      <c r="Y59" s="603"/>
      <c r="Z59" s="603"/>
      <c r="AA59" s="603"/>
      <c r="AB59" s="603"/>
      <c r="AC59" s="603"/>
      <c r="AD59" s="603"/>
      <c r="AE59" s="603"/>
      <c r="AF59" s="603"/>
      <c r="AG59" s="603"/>
      <c r="AH59" s="603"/>
      <c r="AI59" s="603"/>
      <c r="AJ59" s="464"/>
    </row>
    <row r="60" spans="1:36">
      <c r="A60" s="628"/>
      <c r="B60" s="604" t="str">
        <f>IF(DRIVE_Type="Coupling",IF(Small_F,"","bf5_T+"),"")</f>
        <v/>
      </c>
      <c r="C60" s="580"/>
      <c r="D60" s="580"/>
      <c r="E60" s="580"/>
      <c r="F60" s="580"/>
      <c r="G60" s="580"/>
      <c r="H60" s="493"/>
      <c r="I60" s="493"/>
      <c r="J60" s="609">
        <f>J59</f>
        <v>0</v>
      </c>
      <c r="K60" s="608">
        <f>K58</f>
        <v>0</v>
      </c>
      <c r="L60" s="608">
        <f>L58</f>
        <v>0</v>
      </c>
      <c r="M60" s="609">
        <f t="shared" si="0"/>
        <v>0</v>
      </c>
      <c r="N60" s="608">
        <f>N58</f>
        <v>0</v>
      </c>
      <c r="O60" s="608">
        <f>O58</f>
        <v>0</v>
      </c>
      <c r="P60" s="602"/>
      <c r="Q60" s="1454"/>
      <c r="R60" s="644"/>
      <c r="S60" s="603"/>
      <c r="T60" s="603"/>
      <c r="U60" s="603"/>
      <c r="V60" s="603"/>
      <c r="W60" s="603"/>
      <c r="X60" s="603"/>
      <c r="Y60" s="603"/>
      <c r="Z60" s="603"/>
      <c r="AA60" s="603"/>
      <c r="AB60" s="603"/>
      <c r="AC60" s="603"/>
      <c r="AD60" s="603"/>
      <c r="AE60" s="603"/>
      <c r="AF60" s="603"/>
      <c r="AG60" s="603"/>
      <c r="AH60" s="603"/>
      <c r="AI60" s="603"/>
      <c r="AJ60" s="464"/>
    </row>
    <row r="61" spans="1:36">
      <c r="A61" s="1682"/>
      <c r="B61" s="579" t="str">
        <f>IF(DRIVE_Type="Coupling",IF(Small_F,"","BF5_L"),"")</f>
        <v/>
      </c>
      <c r="C61" s="580" t="e">
        <f ca="1">BF_Ra</f>
        <v>#REF!</v>
      </c>
      <c r="D61" s="580" t="e">
        <f ca="1">IF(Small_F,0,SQRT((N61-K61)^2+(O61-L61)^2))</f>
        <v>#REF!</v>
      </c>
      <c r="E61" s="580">
        <f>IF(DRIVE_Type="Coupling",IF(Small_F,0,VLOOKUP($C61,Iron_dim,2,FALSE)),0)</f>
        <v>0</v>
      </c>
      <c r="F61" s="580">
        <f>IF(DRIVE_Type="Coupling",IF(Small_F,0,VLOOKUP($C61,Iron_dim,3,FALSE)),0)</f>
        <v>0</v>
      </c>
      <c r="G61" s="580">
        <f>IF(DRIVE_Type="Coupling",IF(Small_F,0,VLOOKUP($C61,Iron_dim,4,FALSE)),0)</f>
        <v>0</v>
      </c>
      <c r="H61" s="493"/>
      <c r="I61" s="581" t="s">
        <v>1045</v>
      </c>
      <c r="J61" s="609">
        <f>J57</f>
        <v>0</v>
      </c>
      <c r="K61" s="580">
        <f>IF(DRIVE_Type="Coupling",IF(Small_F,0,G120),0)</f>
        <v>0</v>
      </c>
      <c r="L61" s="582">
        <f>O61-(N61-K61)/TAN(R_angle)</f>
        <v>0</v>
      </c>
      <c r="M61" s="609">
        <f t="shared" ref="M61:N86" si="1">J61</f>
        <v>0</v>
      </c>
      <c r="N61" s="608">
        <f>K57</f>
        <v>0</v>
      </c>
      <c r="O61" s="612">
        <f>L57</f>
        <v>0</v>
      </c>
      <c r="P61" s="584" t="e">
        <f ca="1">VLOOKUP($C61,Iron_dim,7,FALSE)*D61/1000</f>
        <v>#REF!</v>
      </c>
      <c r="Q61" s="1450">
        <f>IF(G61=0,0,P61/steel_density/(G61/1000))</f>
        <v>0</v>
      </c>
      <c r="R61" s="1503"/>
      <c r="S61" s="603"/>
      <c r="T61" s="603"/>
      <c r="U61" s="603"/>
      <c r="V61" s="603"/>
      <c r="W61" s="603"/>
      <c r="X61" s="603"/>
      <c r="Y61" s="603"/>
      <c r="Z61" s="603"/>
      <c r="AA61" s="603"/>
      <c r="AB61" s="603"/>
      <c r="AC61" s="603"/>
      <c r="AD61" s="603"/>
      <c r="AE61" s="603"/>
      <c r="AF61" s="603"/>
      <c r="AG61" s="603"/>
      <c r="AH61" s="603"/>
      <c r="AI61" s="603"/>
      <c r="AJ61" s="464"/>
    </row>
    <row r="62" spans="1:36">
      <c r="A62" s="1680"/>
      <c r="B62" s="585" t="str">
        <f>IF(DRIVE_Type="Coupling",IF(Small_F,"","bf5_L"),"")</f>
        <v/>
      </c>
      <c r="C62" s="493"/>
      <c r="D62" s="493"/>
      <c r="E62" s="493"/>
      <c r="F62" s="493"/>
      <c r="G62" s="493"/>
      <c r="H62" s="493"/>
      <c r="I62" s="493"/>
      <c r="J62" s="609">
        <f>J61</f>
        <v>0</v>
      </c>
      <c r="K62" s="608">
        <f>K61</f>
        <v>0</v>
      </c>
      <c r="L62" s="582">
        <f>L61+F61/SIN(R_angle)</f>
        <v>0</v>
      </c>
      <c r="M62" s="609">
        <f t="shared" si="1"/>
        <v>0</v>
      </c>
      <c r="N62" s="608">
        <f>K58</f>
        <v>0</v>
      </c>
      <c r="O62" s="612">
        <f>L58</f>
        <v>0</v>
      </c>
      <c r="P62" s="584"/>
      <c r="Q62" s="1450"/>
      <c r="R62" s="1189"/>
      <c r="S62" s="603"/>
      <c r="T62" s="603"/>
      <c r="U62" s="603"/>
      <c r="V62" s="603"/>
      <c r="W62" s="603"/>
      <c r="X62" s="603"/>
      <c r="Y62" s="603"/>
      <c r="Z62" s="603"/>
      <c r="AA62" s="603"/>
      <c r="AB62" s="603"/>
      <c r="AC62" s="603"/>
      <c r="AD62" s="603"/>
      <c r="AE62" s="603"/>
      <c r="AF62" s="603"/>
      <c r="AG62" s="603"/>
      <c r="AH62" s="603"/>
      <c r="AI62" s="603"/>
      <c r="AJ62" s="464"/>
    </row>
    <row r="63" spans="1:36">
      <c r="A63" s="642"/>
      <c r="B63" s="604" t="str">
        <f>IF(DRIVE_Type="Coupling",IF(Small_F,"","BF5_L+"),"")</f>
        <v/>
      </c>
      <c r="C63" s="493"/>
      <c r="D63" s="493"/>
      <c r="E63" s="493"/>
      <c r="F63" s="493"/>
      <c r="G63" s="493"/>
      <c r="H63" s="493"/>
      <c r="I63" s="603"/>
      <c r="J63" s="492">
        <f>J61+E61</f>
        <v>0</v>
      </c>
      <c r="K63" s="608">
        <f>K61</f>
        <v>0</v>
      </c>
      <c r="L63" s="608">
        <f>L61</f>
        <v>0</v>
      </c>
      <c r="M63" s="609">
        <f t="shared" si="1"/>
        <v>0</v>
      </c>
      <c r="N63" s="608">
        <f>N61</f>
        <v>0</v>
      </c>
      <c r="O63" s="611">
        <f>O61</f>
        <v>0</v>
      </c>
      <c r="P63" s="584"/>
      <c r="Q63" s="1450"/>
      <c r="R63" s="1189"/>
      <c r="S63" s="603"/>
      <c r="T63" s="603"/>
      <c r="U63" s="603"/>
      <c r="V63" s="603"/>
      <c r="W63" s="603"/>
      <c r="X63" s="603"/>
      <c r="Y63" s="603"/>
      <c r="Z63" s="603"/>
      <c r="AA63" s="603"/>
      <c r="AB63" s="603"/>
      <c r="AC63" s="603"/>
      <c r="AD63" s="603"/>
      <c r="AE63" s="603"/>
      <c r="AF63" s="603"/>
      <c r="AG63" s="603"/>
      <c r="AH63" s="603"/>
      <c r="AI63" s="603"/>
      <c r="AJ63" s="464"/>
    </row>
    <row r="64" spans="1:36">
      <c r="A64" s="622"/>
      <c r="B64" s="604" t="str">
        <f>IF(DRIVE_Type="Coupling",IF(Small_F,"","bf5_L+"),"")</f>
        <v/>
      </c>
      <c r="C64" s="493"/>
      <c r="D64" s="493"/>
      <c r="E64" s="493"/>
      <c r="F64" s="493"/>
      <c r="G64" s="493"/>
      <c r="H64" s="493"/>
      <c r="I64" s="493"/>
      <c r="J64" s="609">
        <f>J63</f>
        <v>0</v>
      </c>
      <c r="K64" s="608">
        <f>K62</f>
        <v>0</v>
      </c>
      <c r="L64" s="608">
        <f>L62</f>
        <v>0</v>
      </c>
      <c r="M64" s="609">
        <f t="shared" si="1"/>
        <v>0</v>
      </c>
      <c r="N64" s="608">
        <f>N62</f>
        <v>0</v>
      </c>
      <c r="O64" s="611">
        <f>O62</f>
        <v>0</v>
      </c>
      <c r="P64" s="584"/>
      <c r="Q64" s="1450"/>
      <c r="R64" s="1189"/>
      <c r="S64" s="603"/>
      <c r="T64" s="603"/>
      <c r="U64" s="603"/>
      <c r="V64" s="603"/>
      <c r="W64" s="603"/>
      <c r="X64" s="603"/>
      <c r="Y64" s="603"/>
      <c r="Z64" s="603"/>
      <c r="AA64" s="603"/>
      <c r="AB64" s="603"/>
      <c r="AC64" s="603"/>
      <c r="AD64" s="603"/>
      <c r="AE64" s="603"/>
      <c r="AF64" s="603"/>
      <c r="AG64" s="603"/>
      <c r="AH64" s="603"/>
      <c r="AI64" s="603"/>
      <c r="AJ64" s="464"/>
    </row>
    <row r="65" spans="1:36">
      <c r="A65" s="1682"/>
      <c r="B65" s="579" t="str">
        <f>IF(DRIVE_Type="Coupling",IF(Small_F,"","BF5_R"),"")</f>
        <v/>
      </c>
      <c r="C65" s="580" t="e">
        <f ca="1">BF_Ra</f>
        <v>#REF!</v>
      </c>
      <c r="D65" s="580" t="e">
        <f ca="1">IF(Small_F,0,SQRT((N65-K65)^2+(O65-L65)^2))</f>
        <v>#REF!</v>
      </c>
      <c r="E65" s="580">
        <f>IF(DRIVE_Type="Coupling",IF(Small_F,0,VLOOKUP($C65,Iron_dim,2,FALSE)),0)</f>
        <v>0</v>
      </c>
      <c r="F65" s="580">
        <f>IF(DRIVE_Type="Coupling",IF(Small_F,0,VLOOKUP($C65,Iron_dim,3,FALSE)),0)</f>
        <v>0</v>
      </c>
      <c r="G65" s="580">
        <f>IF(DRIVE_Type="Coupling",IF(Small_F,0,VLOOKUP($C65,Iron_dim,4,FALSE)),0)</f>
        <v>0</v>
      </c>
      <c r="H65" s="493"/>
      <c r="I65" s="581" t="s">
        <v>1046</v>
      </c>
      <c r="J65" s="609">
        <f>M57</f>
        <v>0</v>
      </c>
      <c r="K65" s="580">
        <f>IF(DRIVE_Type="Coupling",IF(Small_F,0,G124),0)</f>
        <v>0</v>
      </c>
      <c r="L65" s="582">
        <f>O65+(N65-K65)/TAN(R_angle)</f>
        <v>0</v>
      </c>
      <c r="M65" s="609">
        <f t="shared" si="1"/>
        <v>0</v>
      </c>
      <c r="N65" s="608">
        <f>N57</f>
        <v>0</v>
      </c>
      <c r="O65" s="612">
        <f>O57</f>
        <v>0</v>
      </c>
      <c r="P65" s="584" t="e">
        <f ca="1">VLOOKUP($C65,Iron_dim,7,FALSE)*D65/1000</f>
        <v>#REF!</v>
      </c>
      <c r="Q65" s="1450">
        <f>IF(G65=0,0,P65/steel_density/(G65/1000))</f>
        <v>0</v>
      </c>
      <c r="R65" s="1189"/>
      <c r="S65" s="603"/>
      <c r="T65" s="603"/>
      <c r="U65" s="603"/>
      <c r="V65" s="603"/>
      <c r="W65" s="603"/>
      <c r="X65" s="603"/>
      <c r="Y65" s="603"/>
      <c r="Z65" s="603"/>
      <c r="AA65" s="603"/>
      <c r="AB65" s="603"/>
      <c r="AC65" s="603"/>
      <c r="AD65" s="603"/>
      <c r="AE65" s="603"/>
      <c r="AF65" s="603"/>
      <c r="AG65" s="603"/>
      <c r="AH65" s="603"/>
      <c r="AI65" s="603"/>
      <c r="AJ65" s="464"/>
    </row>
    <row r="66" spans="1:36">
      <c r="A66" s="1680"/>
      <c r="B66" s="585" t="str">
        <f>IF(DRIVE_Type="Coupling",IF(Small_F,"","bf5_R"),"")</f>
        <v/>
      </c>
      <c r="C66" s="493"/>
      <c r="D66" s="580"/>
      <c r="E66" s="493"/>
      <c r="F66" s="493"/>
      <c r="G66" s="493"/>
      <c r="H66" s="493"/>
      <c r="I66" s="493"/>
      <c r="J66" s="609">
        <f>J65</f>
        <v>0</v>
      </c>
      <c r="K66" s="608">
        <f>K65</f>
        <v>0</v>
      </c>
      <c r="L66" s="582">
        <f>L65-F65/SIN(R_angle)</f>
        <v>0</v>
      </c>
      <c r="M66" s="609">
        <f t="shared" si="1"/>
        <v>0</v>
      </c>
      <c r="N66" s="608">
        <f>N58</f>
        <v>0</v>
      </c>
      <c r="O66" s="612">
        <f>O58</f>
        <v>0</v>
      </c>
      <c r="P66" s="584"/>
      <c r="Q66" s="1450"/>
      <c r="R66" s="644"/>
      <c r="S66" s="603"/>
      <c r="T66" s="603"/>
      <c r="U66" s="603"/>
      <c r="V66" s="603"/>
      <c r="W66" s="603"/>
      <c r="X66" s="603"/>
      <c r="Y66" s="603"/>
      <c r="Z66" s="603"/>
      <c r="AA66" s="603"/>
      <c r="AB66" s="603"/>
      <c r="AC66" s="603"/>
      <c r="AD66" s="603"/>
      <c r="AE66" s="603"/>
      <c r="AF66" s="603"/>
      <c r="AG66" s="603"/>
      <c r="AH66" s="603"/>
      <c r="AI66" s="603"/>
      <c r="AJ66" s="464"/>
    </row>
    <row r="67" spans="1:36">
      <c r="A67" s="604"/>
      <c r="B67" s="604" t="str">
        <f>IF(DRIVE_Type="Coupling",IF(Small_F,"","BF5_R+"),"")</f>
        <v/>
      </c>
      <c r="C67" s="493"/>
      <c r="D67" s="580"/>
      <c r="E67" s="493"/>
      <c r="F67" s="493"/>
      <c r="G67" s="493"/>
      <c r="H67" s="493"/>
      <c r="I67" s="603"/>
      <c r="J67" s="492">
        <f>M65+E65</f>
        <v>0</v>
      </c>
      <c r="K67" s="608">
        <f>K65</f>
        <v>0</v>
      </c>
      <c r="L67" s="608">
        <f>L65</f>
        <v>0</v>
      </c>
      <c r="M67" s="609">
        <f t="shared" si="1"/>
        <v>0</v>
      </c>
      <c r="N67" s="608">
        <f>N65</f>
        <v>0</v>
      </c>
      <c r="O67" s="611">
        <f>O65</f>
        <v>0</v>
      </c>
      <c r="P67" s="584"/>
      <c r="Q67" s="1450"/>
      <c r="R67" s="644"/>
      <c r="S67" s="603"/>
      <c r="T67" s="603"/>
      <c r="U67" s="603"/>
      <c r="V67" s="603"/>
      <c r="W67" s="603"/>
      <c r="X67" s="603"/>
      <c r="Y67" s="603"/>
      <c r="Z67" s="603"/>
      <c r="AA67" s="603"/>
      <c r="AB67" s="603"/>
      <c r="AC67" s="603"/>
      <c r="AD67" s="603"/>
      <c r="AE67" s="603"/>
      <c r="AF67" s="603"/>
      <c r="AG67" s="603"/>
      <c r="AH67" s="603"/>
      <c r="AI67" s="603"/>
      <c r="AJ67" s="464"/>
    </row>
    <row r="68" spans="1:36">
      <c r="A68" s="604"/>
      <c r="B68" s="604" t="str">
        <f>IF(DRIVE_Type="Coupling",IF(Small_F,"","bf5_R+"),"")</f>
        <v/>
      </c>
      <c r="C68" s="493"/>
      <c r="D68" s="493"/>
      <c r="E68" s="493"/>
      <c r="F68" s="493"/>
      <c r="G68" s="493"/>
      <c r="H68" s="493"/>
      <c r="I68" s="493"/>
      <c r="J68" s="609">
        <f>J67</f>
        <v>0</v>
      </c>
      <c r="K68" s="608">
        <f>K66</f>
        <v>0</v>
      </c>
      <c r="L68" s="608">
        <f>L66</f>
        <v>0</v>
      </c>
      <c r="M68" s="609">
        <f t="shared" si="1"/>
        <v>0</v>
      </c>
      <c r="N68" s="608">
        <f>N66</f>
        <v>0</v>
      </c>
      <c r="O68" s="611">
        <f>O66</f>
        <v>0</v>
      </c>
      <c r="P68" s="584"/>
      <c r="Q68" s="1450"/>
      <c r="R68" s="1189"/>
      <c r="S68" s="603"/>
      <c r="T68" s="603"/>
      <c r="U68" s="603"/>
      <c r="V68" s="603"/>
      <c r="W68" s="603"/>
      <c r="X68" s="603"/>
      <c r="Y68" s="603"/>
      <c r="Z68" s="603"/>
      <c r="AA68" s="603"/>
      <c r="AB68" s="603"/>
      <c r="AC68" s="603"/>
      <c r="AD68" s="603"/>
      <c r="AE68" s="603"/>
      <c r="AF68" s="603"/>
      <c r="AG68" s="603"/>
      <c r="AH68" s="603"/>
      <c r="AI68" s="603"/>
      <c r="AJ68" s="464"/>
    </row>
    <row r="69" spans="1:36">
      <c r="A69" s="1680"/>
      <c r="B69" s="1540" t="str">
        <f>IF(DRIVE_Type="Coupling","BFTr5","")</f>
        <v/>
      </c>
      <c r="C69" s="580" t="e">
        <f ca="1">BF_Tr</f>
        <v>#REF!</v>
      </c>
      <c r="D69" s="580">
        <f>IF(DRIVE_Type="Coupling",O70-L70,0)</f>
        <v>0</v>
      </c>
      <c r="E69" s="580">
        <f>IF(DRIVE_Type="Coupling",IF(Small_F,SFBase_He_L,BFTr5_Hefactor*(K58-K70)),0)</f>
        <v>0</v>
      </c>
      <c r="F69" s="580">
        <f>IF(DRIVE_Type="Coupling",F120,0)</f>
        <v>0</v>
      </c>
      <c r="G69" s="580">
        <f>IF(DRIVE_Type="Coupling",VLOOKUP($C69,Iron_dim,4,FALSE),0)</f>
        <v>0</v>
      </c>
      <c r="H69" s="580"/>
      <c r="I69" s="603" t="s">
        <v>1047</v>
      </c>
      <c r="J69" s="599">
        <f>IF(DRIVE_Type="Coupling",IF(Small_F,MB+MC+MC/2+SE+C_Gap/2+DCRa5,J61),0)</f>
        <v>0</v>
      </c>
      <c r="K69" s="580" t="e">
        <f ca="1">IF(Small_F,E69,K70+E69)</f>
        <v>#REF!</v>
      </c>
      <c r="L69" s="600">
        <f>L70+E69/TAN(R_angle)</f>
        <v>0</v>
      </c>
      <c r="M69" s="609">
        <f t="shared" si="1"/>
        <v>0</v>
      </c>
      <c r="N69" s="608" t="e">
        <f t="shared" ca="1" si="1"/>
        <v>#REF!</v>
      </c>
      <c r="O69" s="2175">
        <f>-L69</f>
        <v>0</v>
      </c>
      <c r="P69" s="584">
        <f>(E69/1000+F69/1000)*G69/1000*D69/1000*steel_density</f>
        <v>0</v>
      </c>
      <c r="Q69" s="1450">
        <f>IF(G69=0,0,P69/steel_density/(G69/1000))</f>
        <v>0</v>
      </c>
      <c r="R69" s="644"/>
      <c r="S69" s="603"/>
      <c r="T69" s="580"/>
      <c r="U69" s="580"/>
      <c r="V69" s="580"/>
      <c r="W69" s="603"/>
      <c r="X69" s="603"/>
      <c r="Y69" s="603"/>
      <c r="Z69" s="603"/>
      <c r="AA69" s="603"/>
      <c r="AB69" s="603"/>
      <c r="AC69" s="603"/>
      <c r="AD69" s="603"/>
      <c r="AE69" s="603"/>
      <c r="AF69" s="603"/>
      <c r="AG69" s="603"/>
      <c r="AH69" s="603"/>
      <c r="AI69" s="603"/>
      <c r="AJ69" s="464"/>
    </row>
    <row r="70" spans="1:36">
      <c r="A70" s="1680"/>
      <c r="B70" s="585" t="str">
        <f>IF(DRIVE_Type="Coupling","bftr5","")</f>
        <v/>
      </c>
      <c r="C70" s="493"/>
      <c r="D70" s="580"/>
      <c r="E70" s="580"/>
      <c r="F70" s="580"/>
      <c r="G70" s="580"/>
      <c r="H70" s="580"/>
      <c r="I70" s="603"/>
      <c r="J70" s="609">
        <f>J69</f>
        <v>0</v>
      </c>
      <c r="K70" s="580">
        <f>IF(DRIVE_Type="Coupling",IF(Small_F,0,K120+G120),0)</f>
        <v>0</v>
      </c>
      <c r="L70" s="600">
        <f>IF(DRIVE_Type="Coupling",IF(Small_F,O120,L62),0)</f>
        <v>0</v>
      </c>
      <c r="M70" s="609">
        <f t="shared" si="1"/>
        <v>0</v>
      </c>
      <c r="N70" s="608">
        <f t="shared" si="1"/>
        <v>0</v>
      </c>
      <c r="O70" s="2175">
        <f>-L70</f>
        <v>0</v>
      </c>
      <c r="P70" s="602"/>
      <c r="Q70" s="1454"/>
      <c r="R70" s="644"/>
      <c r="S70" s="603"/>
      <c r="T70" s="603"/>
      <c r="U70" s="603"/>
      <c r="V70" s="603"/>
      <c r="W70" s="603"/>
      <c r="X70" s="603"/>
      <c r="Y70" s="603"/>
      <c r="Z70" s="603"/>
      <c r="AA70" s="603"/>
      <c r="AB70" s="603"/>
      <c r="AC70" s="603"/>
      <c r="AD70" s="603"/>
      <c r="AE70" s="603"/>
      <c r="AF70" s="603"/>
      <c r="AG70" s="603"/>
      <c r="AH70" s="603"/>
      <c r="AI70" s="603"/>
      <c r="AJ70" s="464"/>
    </row>
    <row r="71" spans="1:36">
      <c r="A71" s="604"/>
      <c r="B71" s="604" t="str">
        <f>IF(DRIVE_Type="Coupling","BFTr5-","")</f>
        <v/>
      </c>
      <c r="C71" s="493"/>
      <c r="D71" s="580"/>
      <c r="E71" s="580"/>
      <c r="F71" s="580"/>
      <c r="G71" s="580"/>
      <c r="H71" s="580"/>
      <c r="I71" s="603"/>
      <c r="J71" s="1920">
        <f>J69+F69</f>
        <v>0</v>
      </c>
      <c r="K71" s="1918">
        <f>K70</f>
        <v>0</v>
      </c>
      <c r="L71" s="1918">
        <f>L70</f>
        <v>0</v>
      </c>
      <c r="M71" s="1917">
        <f>J71</f>
        <v>0</v>
      </c>
      <c r="N71" s="1918">
        <f>K71</f>
        <v>0</v>
      </c>
      <c r="O71" s="1919">
        <f>O70</f>
        <v>0</v>
      </c>
      <c r="P71" s="584"/>
      <c r="Q71" s="1450"/>
      <c r="R71" s="644"/>
      <c r="S71" s="603"/>
      <c r="T71" s="603"/>
      <c r="U71" s="603"/>
      <c r="V71" s="603"/>
      <c r="W71" s="603"/>
      <c r="X71" s="603"/>
      <c r="Y71" s="603"/>
      <c r="Z71" s="603"/>
      <c r="AA71" s="603"/>
      <c r="AB71" s="603"/>
      <c r="AC71" s="603"/>
      <c r="AD71" s="603"/>
      <c r="AE71" s="603"/>
      <c r="AF71" s="603"/>
      <c r="AG71" s="603"/>
      <c r="AH71" s="603"/>
      <c r="AI71" s="603"/>
      <c r="AJ71" s="464"/>
    </row>
    <row r="72" spans="1:36">
      <c r="A72" s="604"/>
      <c r="B72" s="633" t="str">
        <f>IF(DRIVE_Type="Coupling","bftr5-","")</f>
        <v/>
      </c>
      <c r="C72" s="479"/>
      <c r="D72" s="479"/>
      <c r="E72" s="479"/>
      <c r="F72" s="479"/>
      <c r="G72" s="479"/>
      <c r="H72" s="479"/>
      <c r="I72" s="479"/>
      <c r="J72" s="618">
        <f>J71</f>
        <v>0</v>
      </c>
      <c r="K72" s="616">
        <f>K71</f>
        <v>0</v>
      </c>
      <c r="L72" s="616">
        <f>L71</f>
        <v>0</v>
      </c>
      <c r="M72" s="618">
        <f>M71</f>
        <v>0</v>
      </c>
      <c r="N72" s="616">
        <f>N71</f>
        <v>0</v>
      </c>
      <c r="O72" s="634">
        <f>O71</f>
        <v>0</v>
      </c>
      <c r="P72" s="605"/>
      <c r="Q72" s="1455"/>
      <c r="R72" s="644"/>
      <c r="S72" s="603"/>
      <c r="T72" s="603"/>
      <c r="U72" s="603"/>
      <c r="V72" s="603"/>
      <c r="W72" s="603"/>
      <c r="X72" s="603"/>
      <c r="Y72" s="603"/>
      <c r="Z72" s="603"/>
      <c r="AA72" s="603"/>
      <c r="AB72" s="603"/>
      <c r="AC72" s="603"/>
      <c r="AD72" s="603"/>
      <c r="AE72" s="603"/>
      <c r="AF72" s="603"/>
      <c r="AG72" s="603"/>
      <c r="AH72" s="603"/>
      <c r="AI72" s="603"/>
      <c r="AJ72" s="464"/>
    </row>
    <row r="73" spans="1:36">
      <c r="A73" s="1937" t="s">
        <v>3539</v>
      </c>
      <c r="B73" s="1902" t="str">
        <f>IF(DRIVE_Type="Coupling",IF(Small_F,"","BF6_T"),"")</f>
        <v/>
      </c>
      <c r="C73" s="580" t="e">
        <f ca="1">BF_Ra</f>
        <v>#REF!</v>
      </c>
      <c r="D73" s="580" t="e">
        <f ca="1">IF(Small_F,0,SQRT((N73-K73)^2+(O73-L73)^2))</f>
        <v>#REF!</v>
      </c>
      <c r="E73" s="587">
        <f>IF(DRIVE_Type="Coupling",IF(Small_F,0,VLOOKUP($C73,Iron_dim,2,FALSE)),0)</f>
        <v>0</v>
      </c>
      <c r="F73" s="587">
        <f>IF(DRIVE_Type="Coupling",IF(Small_F,0,VLOOKUP($C73,Iron_dim,3,FALSE)),0)</f>
        <v>0</v>
      </c>
      <c r="G73" s="587">
        <f>IF(DRIVE_Type="Coupling",IF(Small_F,0,VLOOKUP($C73,Iron_dim,4,FALSE)),0)</f>
        <v>0</v>
      </c>
      <c r="H73" s="580"/>
      <c r="I73" s="603" t="s">
        <v>1045</v>
      </c>
      <c r="J73" s="599">
        <f>IF(DRIVE_Type="Coupling",IF(Small_F,0,J57+DBndRa5+DBB-(E73-DBdRa6)),0)</f>
        <v>0</v>
      </c>
      <c r="K73" s="608">
        <f>K57</f>
        <v>0</v>
      </c>
      <c r="L73" s="610">
        <f>L57</f>
        <v>0</v>
      </c>
      <c r="M73" s="609">
        <f t="shared" si="1"/>
        <v>0</v>
      </c>
      <c r="N73" s="608">
        <f>N57</f>
        <v>0</v>
      </c>
      <c r="O73" s="611">
        <f>O57</f>
        <v>0</v>
      </c>
      <c r="P73" s="632" t="e">
        <f ca="1">VLOOKUP($C73,Iron_dim,7,FALSE)*D73/1000</f>
        <v>#REF!</v>
      </c>
      <c r="Q73" s="1456">
        <f>IF(G73=0,0,P73/steel_density/(G73/1000))</f>
        <v>0</v>
      </c>
      <c r="R73" s="644"/>
      <c r="S73" s="603"/>
      <c r="T73" s="603"/>
      <c r="U73" s="580"/>
      <c r="V73" s="603"/>
      <c r="W73" s="603"/>
      <c r="X73" s="603"/>
      <c r="Y73" s="603"/>
      <c r="Z73" s="603"/>
      <c r="AA73" s="603"/>
      <c r="AB73" s="603"/>
      <c r="AC73" s="603"/>
      <c r="AD73" s="603"/>
      <c r="AE73" s="603"/>
      <c r="AF73" s="603"/>
      <c r="AG73" s="603"/>
      <c r="AH73" s="603"/>
      <c r="AI73" s="603"/>
      <c r="AJ73" s="464"/>
    </row>
    <row r="74" spans="1:36">
      <c r="B74" s="585" t="str">
        <f>IF(DRIVE_Type="Coupling",IF(Small_F,"","bf6_T"),"")</f>
        <v/>
      </c>
      <c r="C74" s="600"/>
      <c r="D74" s="580"/>
      <c r="E74" s="580"/>
      <c r="F74" s="580"/>
      <c r="G74" s="580"/>
      <c r="H74" s="600"/>
      <c r="I74" s="580"/>
      <c r="J74" s="609">
        <f>J73</f>
        <v>0</v>
      </c>
      <c r="K74" s="608">
        <f>K58</f>
        <v>0</v>
      </c>
      <c r="L74" s="610">
        <f>L58</f>
        <v>0</v>
      </c>
      <c r="M74" s="609">
        <f t="shared" si="1"/>
        <v>0</v>
      </c>
      <c r="N74" s="608">
        <f>N58</f>
        <v>0</v>
      </c>
      <c r="O74" s="611">
        <f>O58</f>
        <v>0</v>
      </c>
      <c r="P74" s="584"/>
      <c r="Q74" s="1450"/>
      <c r="R74" s="644"/>
      <c r="S74" s="603"/>
      <c r="T74" s="603"/>
      <c r="U74" s="580"/>
      <c r="V74" s="603"/>
      <c r="W74" s="603"/>
      <c r="X74" s="603"/>
      <c r="Y74" s="603"/>
      <c r="Z74" s="603"/>
      <c r="AA74" s="603"/>
      <c r="AB74" s="603"/>
      <c r="AC74" s="603"/>
      <c r="AD74" s="603"/>
      <c r="AE74" s="603"/>
      <c r="AF74" s="603"/>
      <c r="AG74" s="603"/>
      <c r="AH74" s="603"/>
      <c r="AI74" s="603"/>
      <c r="AJ74" s="464"/>
    </row>
    <row r="75" spans="1:36">
      <c r="A75" s="622"/>
      <c r="B75" s="604" t="str">
        <f>IF(DRIVE_Type="Coupling",IF(Small_F,"","BF6_T+"),"")</f>
        <v/>
      </c>
      <c r="C75" s="600"/>
      <c r="D75" s="580"/>
      <c r="E75" s="580"/>
      <c r="F75" s="580"/>
      <c r="G75" s="580"/>
      <c r="H75" s="493"/>
      <c r="I75" s="493"/>
      <c r="J75" s="492">
        <f>J73+E73</f>
        <v>0</v>
      </c>
      <c r="K75" s="608">
        <f>K73</f>
        <v>0</v>
      </c>
      <c r="L75" s="608">
        <f>L73</f>
        <v>0</v>
      </c>
      <c r="M75" s="609">
        <f t="shared" si="1"/>
        <v>0</v>
      </c>
      <c r="N75" s="608">
        <f>N73</f>
        <v>0</v>
      </c>
      <c r="O75" s="608">
        <f>O73</f>
        <v>0</v>
      </c>
      <c r="P75" s="584"/>
      <c r="Q75" s="1450"/>
      <c r="R75" s="644"/>
      <c r="S75" s="603"/>
      <c r="T75" s="603"/>
      <c r="U75" s="580"/>
      <c r="V75" s="603"/>
      <c r="W75" s="603"/>
      <c r="X75" s="603"/>
      <c r="Y75" s="603"/>
      <c r="Z75" s="603"/>
      <c r="AA75" s="603"/>
      <c r="AB75" s="603"/>
      <c r="AC75" s="603"/>
      <c r="AD75" s="603"/>
      <c r="AE75" s="603"/>
      <c r="AF75" s="603"/>
      <c r="AG75" s="603"/>
      <c r="AH75" s="603"/>
      <c r="AI75" s="603"/>
      <c r="AJ75" s="464"/>
    </row>
    <row r="76" spans="1:36">
      <c r="A76" s="628"/>
      <c r="B76" s="604" t="str">
        <f>IF(DRIVE_Type="Coupling",IF(Small_F,"","bf6_T+"),"")</f>
        <v/>
      </c>
      <c r="C76" s="580"/>
      <c r="D76" s="580"/>
      <c r="E76" s="580"/>
      <c r="F76" s="580"/>
      <c r="G76" s="580"/>
      <c r="H76" s="580"/>
      <c r="I76" s="580"/>
      <c r="J76" s="609">
        <f>J75</f>
        <v>0</v>
      </c>
      <c r="K76" s="608">
        <f>K74</f>
        <v>0</v>
      </c>
      <c r="L76" s="608">
        <f>L74</f>
        <v>0</v>
      </c>
      <c r="M76" s="609">
        <f t="shared" si="1"/>
        <v>0</v>
      </c>
      <c r="N76" s="608">
        <f>N74</f>
        <v>0</v>
      </c>
      <c r="O76" s="608">
        <f>O74</f>
        <v>0</v>
      </c>
      <c r="P76" s="602"/>
      <c r="Q76" s="1454"/>
      <c r="R76" s="644"/>
      <c r="S76" s="603"/>
      <c r="T76" s="603"/>
      <c r="U76" s="580"/>
      <c r="V76" s="603"/>
      <c r="W76" s="603"/>
      <c r="X76" s="603"/>
      <c r="Y76" s="603"/>
      <c r="Z76" s="603"/>
      <c r="AA76" s="603"/>
      <c r="AB76" s="603"/>
      <c r="AC76" s="603"/>
      <c r="AD76" s="603"/>
      <c r="AE76" s="603"/>
      <c r="AF76" s="603"/>
      <c r="AG76" s="603"/>
      <c r="AH76" s="603"/>
      <c r="AI76" s="603"/>
      <c r="AJ76" s="464"/>
    </row>
    <row r="77" spans="1:36">
      <c r="A77" s="1682"/>
      <c r="B77" s="579" t="str">
        <f>IF(DRIVE_Type="Coupling",IF(Small_F,"","BF6_L"),"")</f>
        <v/>
      </c>
      <c r="C77" s="580" t="e">
        <f ca="1">BF_Ra</f>
        <v>#REF!</v>
      </c>
      <c r="D77" s="580" t="e">
        <f ca="1">IF(Small_F,0,SQRT((N77-K77)^2+(O77-L77)^2))</f>
        <v>#REF!</v>
      </c>
      <c r="E77" s="580">
        <f>IF(DRIVE_Type="Coupling",IF(Small_F,0,VLOOKUP($C77,Iron_dim,2,FALSE)),0)</f>
        <v>0</v>
      </c>
      <c r="F77" s="580">
        <f>IF(DRIVE_Type="Coupling",IF(Small_F,0,VLOOKUP($C77,Iron_dim,3,FALSE)),0)</f>
        <v>0</v>
      </c>
      <c r="G77" s="580">
        <f>IF(DRIVE_Type="Coupling",IF(Small_F,0,VLOOKUP($C77,Iron_dim,4,FALSE)),0)</f>
        <v>0</v>
      </c>
      <c r="H77" s="580"/>
      <c r="I77" s="603" t="s">
        <v>1045</v>
      </c>
      <c r="J77" s="609">
        <f>J73</f>
        <v>0</v>
      </c>
      <c r="K77" s="608">
        <f>K61</f>
        <v>0</v>
      </c>
      <c r="L77" s="610">
        <f>L61</f>
        <v>0</v>
      </c>
      <c r="M77" s="609">
        <f t="shared" si="1"/>
        <v>0</v>
      </c>
      <c r="N77" s="608">
        <f>K73</f>
        <v>0</v>
      </c>
      <c r="O77" s="612">
        <f>L73</f>
        <v>0</v>
      </c>
      <c r="P77" s="584" t="e">
        <f ca="1">VLOOKUP($C77,Iron_dim,7,FALSE)*D77/1000</f>
        <v>#REF!</v>
      </c>
      <c r="Q77" s="1450">
        <f>IF(G77=0,0,P77/steel_density/(G77/1000))</f>
        <v>0</v>
      </c>
      <c r="R77" s="644"/>
      <c r="S77" s="603"/>
      <c r="T77" s="603"/>
      <c r="U77" s="639"/>
      <c r="V77" s="603"/>
      <c r="W77" s="603"/>
      <c r="X77" s="603"/>
      <c r="Y77" s="603"/>
      <c r="Z77" s="637"/>
      <c r="AA77" s="637"/>
      <c r="AB77" s="637"/>
      <c r="AC77" s="637"/>
      <c r="AD77" s="637"/>
      <c r="AE77" s="637"/>
      <c r="AF77" s="580"/>
      <c r="AG77" s="580"/>
      <c r="AH77" s="580"/>
      <c r="AI77" s="580"/>
      <c r="AJ77" s="464"/>
    </row>
    <row r="78" spans="1:36">
      <c r="A78" s="1680"/>
      <c r="B78" s="585" t="str">
        <f>IF(DRIVE_Type="Coupling",IF(Small_F,"","bf6_L"),"")</f>
        <v/>
      </c>
      <c r="C78" s="493"/>
      <c r="D78" s="493"/>
      <c r="E78" s="493"/>
      <c r="F78" s="493"/>
      <c r="G78" s="493"/>
      <c r="H78" s="493"/>
      <c r="I78" s="493"/>
      <c r="J78" s="609">
        <f>J77</f>
        <v>0</v>
      </c>
      <c r="K78" s="608">
        <f>K62</f>
        <v>0</v>
      </c>
      <c r="L78" s="610">
        <f>L62</f>
        <v>0</v>
      </c>
      <c r="M78" s="609">
        <f t="shared" si="1"/>
        <v>0</v>
      </c>
      <c r="N78" s="608">
        <f>K74</f>
        <v>0</v>
      </c>
      <c r="O78" s="612">
        <f>L74</f>
        <v>0</v>
      </c>
      <c r="P78" s="584"/>
      <c r="Q78" s="1450"/>
      <c r="R78" s="640"/>
      <c r="S78" s="580"/>
      <c r="T78" s="580"/>
      <c r="U78" s="636"/>
      <c r="V78" s="636"/>
      <c r="W78" s="636"/>
      <c r="X78" s="636"/>
      <c r="Y78" s="636"/>
      <c r="Z78" s="637"/>
      <c r="AA78" s="637"/>
      <c r="AB78" s="637"/>
      <c r="AC78" s="637"/>
      <c r="AD78" s="637"/>
      <c r="AE78" s="637"/>
      <c r="AF78" s="580"/>
      <c r="AG78" s="580"/>
      <c r="AH78" s="580"/>
      <c r="AI78" s="580"/>
      <c r="AJ78" s="464"/>
    </row>
    <row r="79" spans="1:36">
      <c r="A79" s="604"/>
      <c r="B79" s="604" t="str">
        <f>IF(DRIVE_Type="Coupling",IF(Small_F,"","BF6_L+"),"")</f>
        <v/>
      </c>
      <c r="C79" s="493"/>
      <c r="D79" s="493"/>
      <c r="E79" s="493"/>
      <c r="F79" s="493"/>
      <c r="G79" s="493"/>
      <c r="H79" s="493"/>
      <c r="I79" s="493"/>
      <c r="J79" s="492">
        <f>J77+E77</f>
        <v>0</v>
      </c>
      <c r="K79" s="608">
        <f>K77</f>
        <v>0</v>
      </c>
      <c r="L79" s="608">
        <f>L77</f>
        <v>0</v>
      </c>
      <c r="M79" s="609">
        <f t="shared" si="1"/>
        <v>0</v>
      </c>
      <c r="N79" s="608">
        <f>N77</f>
        <v>0</v>
      </c>
      <c r="O79" s="611">
        <f>O77</f>
        <v>0</v>
      </c>
      <c r="P79" s="584"/>
      <c r="Q79" s="1450"/>
      <c r="R79" s="1189"/>
      <c r="S79" s="603"/>
      <c r="T79" s="603"/>
      <c r="U79" s="603"/>
      <c r="V79" s="603"/>
      <c r="W79" s="603"/>
      <c r="X79" s="603"/>
      <c r="Y79" s="603"/>
      <c r="Z79" s="603"/>
      <c r="AA79" s="603"/>
      <c r="AB79" s="603"/>
      <c r="AC79" s="603"/>
      <c r="AD79" s="603"/>
      <c r="AE79" s="603"/>
      <c r="AF79" s="603"/>
      <c r="AG79" s="603"/>
      <c r="AH79" s="603"/>
      <c r="AI79" s="603"/>
      <c r="AJ79" s="464"/>
    </row>
    <row r="80" spans="1:36">
      <c r="A80" s="622"/>
      <c r="B80" s="604" t="str">
        <f>IF(DRIVE_Type="Coupling",IF(Small_F,"","bf6_L+"),"")</f>
        <v/>
      </c>
      <c r="C80" s="493"/>
      <c r="D80" s="493"/>
      <c r="E80" s="493"/>
      <c r="F80" s="493"/>
      <c r="G80" s="493"/>
      <c r="H80" s="493"/>
      <c r="I80" s="493"/>
      <c r="J80" s="609">
        <f>J79</f>
        <v>0</v>
      </c>
      <c r="K80" s="608">
        <f>K78</f>
        <v>0</v>
      </c>
      <c r="L80" s="608">
        <f>L78</f>
        <v>0</v>
      </c>
      <c r="M80" s="609">
        <f t="shared" si="1"/>
        <v>0</v>
      </c>
      <c r="N80" s="608">
        <f>N78</f>
        <v>0</v>
      </c>
      <c r="O80" s="611">
        <f>O78</f>
        <v>0</v>
      </c>
      <c r="P80" s="584"/>
      <c r="Q80" s="1450"/>
      <c r="R80" s="1189"/>
      <c r="S80" s="603"/>
      <c r="T80" s="603"/>
      <c r="U80" s="603"/>
      <c r="V80" s="603"/>
      <c r="W80" s="603"/>
      <c r="X80" s="603"/>
      <c r="Y80" s="603"/>
      <c r="Z80" s="603"/>
      <c r="AA80" s="603"/>
      <c r="AB80" s="603"/>
      <c r="AC80" s="603"/>
      <c r="AD80" s="603"/>
      <c r="AE80" s="603"/>
      <c r="AF80" s="603"/>
      <c r="AG80" s="603"/>
      <c r="AH80" s="603"/>
      <c r="AI80" s="603"/>
      <c r="AJ80" s="464"/>
    </row>
    <row r="81" spans="1:36">
      <c r="A81" s="1682"/>
      <c r="B81" s="579" t="str">
        <f>IF(DRIVE_Type="Coupling",IF(Small_F,"","BF6_R"),"")</f>
        <v/>
      </c>
      <c r="C81" s="580" t="e">
        <f ca="1">BF_Ra</f>
        <v>#REF!</v>
      </c>
      <c r="D81" s="580" t="e">
        <f ca="1">IF(Small_F,0,SQRT((N81-K81)^2+(O81-L81)^2))</f>
        <v>#REF!</v>
      </c>
      <c r="E81" s="580">
        <f>IF(DRIVE_Type="Coupling",IF(Small_F,0,VLOOKUP($C81,Iron_dim,2,FALSE)),0)</f>
        <v>0</v>
      </c>
      <c r="F81" s="580">
        <f>IF(DRIVE_Type="Coupling",IF(Small_F,0,VLOOKUP($C81,Iron_dim,3,FALSE)),0)</f>
        <v>0</v>
      </c>
      <c r="G81" s="580">
        <f>IF(DRIVE_Type="Coupling",IF(Small_F,0,VLOOKUP($C81,Iron_dim,4,FALSE)),0)</f>
        <v>0</v>
      </c>
      <c r="H81" s="580"/>
      <c r="I81" s="603" t="s">
        <v>1045</v>
      </c>
      <c r="J81" s="609">
        <f>M73</f>
        <v>0</v>
      </c>
      <c r="K81" s="608">
        <f>K65</f>
        <v>0</v>
      </c>
      <c r="L81" s="610">
        <f>L65</f>
        <v>0</v>
      </c>
      <c r="M81" s="609">
        <f t="shared" si="1"/>
        <v>0</v>
      </c>
      <c r="N81" s="608">
        <f>N73</f>
        <v>0</v>
      </c>
      <c r="O81" s="612">
        <f>O73</f>
        <v>0</v>
      </c>
      <c r="P81" s="584" t="e">
        <f ca="1">VLOOKUP($C81,Iron_dim,7,FALSE)*D81/1000</f>
        <v>#REF!</v>
      </c>
      <c r="Q81" s="1450">
        <f>IF(G81=0,0,P81/steel_density/(G81/1000))</f>
        <v>0</v>
      </c>
      <c r="R81" s="1502"/>
      <c r="S81" s="603"/>
      <c r="T81" s="572"/>
      <c r="U81" s="572"/>
      <c r="V81" s="572"/>
      <c r="W81" s="603"/>
      <c r="X81" s="603"/>
      <c r="Y81" s="603"/>
      <c r="Z81" s="603"/>
      <c r="AA81" s="603"/>
      <c r="AB81" s="603"/>
      <c r="AC81" s="603"/>
      <c r="AD81" s="603"/>
      <c r="AE81" s="603"/>
      <c r="AF81" s="603"/>
      <c r="AG81" s="603"/>
      <c r="AH81" s="603"/>
      <c r="AI81" s="603"/>
      <c r="AJ81" s="464"/>
    </row>
    <row r="82" spans="1:36">
      <c r="A82" s="1680"/>
      <c r="B82" s="585" t="str">
        <f>IF(DRIVE_Type="Coupling",IF(Small_F,"","bf6_R"),"")</f>
        <v/>
      </c>
      <c r="C82" s="493"/>
      <c r="D82" s="493"/>
      <c r="E82" s="493"/>
      <c r="F82" s="493"/>
      <c r="G82" s="493"/>
      <c r="H82" s="493"/>
      <c r="I82" s="493"/>
      <c r="J82" s="609">
        <f>J81</f>
        <v>0</v>
      </c>
      <c r="K82" s="608">
        <f>K66</f>
        <v>0</v>
      </c>
      <c r="L82" s="610">
        <f>L66</f>
        <v>0</v>
      </c>
      <c r="M82" s="609">
        <f t="shared" si="1"/>
        <v>0</v>
      </c>
      <c r="N82" s="608">
        <f>N74</f>
        <v>0</v>
      </c>
      <c r="O82" s="612">
        <f>O74</f>
        <v>0</v>
      </c>
      <c r="P82" s="584"/>
      <c r="Q82" s="1450"/>
      <c r="R82" s="1189"/>
      <c r="S82" s="603"/>
      <c r="T82" s="603"/>
      <c r="U82" s="603"/>
      <c r="V82" s="603"/>
      <c r="W82" s="603"/>
      <c r="X82" s="603"/>
      <c r="Y82" s="603"/>
      <c r="Z82" s="603"/>
      <c r="AA82" s="603"/>
      <c r="AB82" s="603"/>
      <c r="AC82" s="603"/>
      <c r="AD82" s="603"/>
      <c r="AE82" s="603"/>
      <c r="AF82" s="603"/>
      <c r="AG82" s="603"/>
      <c r="AH82" s="603"/>
      <c r="AI82" s="603"/>
      <c r="AJ82" s="464"/>
    </row>
    <row r="83" spans="1:36">
      <c r="A83" s="604"/>
      <c r="B83" s="604" t="str">
        <f>IF(DRIVE_Type="Coupling",IF(Small_F,"","BF6_R+"),"")</f>
        <v/>
      </c>
      <c r="C83" s="493"/>
      <c r="D83" s="493"/>
      <c r="E83" s="493"/>
      <c r="F83" s="493"/>
      <c r="G83" s="493"/>
      <c r="H83" s="493"/>
      <c r="I83" s="493"/>
      <c r="J83" s="492">
        <f>J81+E81</f>
        <v>0</v>
      </c>
      <c r="K83" s="608">
        <f>K81</f>
        <v>0</v>
      </c>
      <c r="L83" s="608">
        <f>L81</f>
        <v>0</v>
      </c>
      <c r="M83" s="609">
        <f t="shared" si="1"/>
        <v>0</v>
      </c>
      <c r="N83" s="608">
        <f>N81</f>
        <v>0</v>
      </c>
      <c r="O83" s="611">
        <f>O81</f>
        <v>0</v>
      </c>
      <c r="P83" s="584"/>
      <c r="Q83" s="1450"/>
      <c r="R83" s="644"/>
      <c r="S83" s="603"/>
      <c r="T83" s="603"/>
      <c r="U83" s="603"/>
      <c r="V83" s="603"/>
      <c r="W83" s="603"/>
      <c r="X83" s="603"/>
      <c r="Y83" s="603"/>
      <c r="Z83" s="603"/>
      <c r="AA83" s="603"/>
      <c r="AB83" s="603"/>
      <c r="AC83" s="603"/>
      <c r="AD83" s="603"/>
      <c r="AE83" s="603"/>
      <c r="AF83" s="603"/>
      <c r="AG83" s="603"/>
      <c r="AH83" s="603"/>
      <c r="AI83" s="603"/>
      <c r="AJ83" s="464"/>
    </row>
    <row r="84" spans="1:36">
      <c r="A84" s="604"/>
      <c r="B84" s="604" t="str">
        <f>IF(DRIVE_Type="Coupling",IF(Small_F,"","bf6_R+"),"")</f>
        <v/>
      </c>
      <c r="C84" s="493"/>
      <c r="D84" s="493"/>
      <c r="E84" s="493"/>
      <c r="F84" s="493"/>
      <c r="G84" s="493"/>
      <c r="H84" s="493"/>
      <c r="I84" s="493"/>
      <c r="J84" s="609">
        <f>J83</f>
        <v>0</v>
      </c>
      <c r="K84" s="608">
        <f>K82</f>
        <v>0</v>
      </c>
      <c r="L84" s="608">
        <f>L82</f>
        <v>0</v>
      </c>
      <c r="M84" s="609">
        <f t="shared" si="1"/>
        <v>0</v>
      </c>
      <c r="N84" s="608">
        <f>N82</f>
        <v>0</v>
      </c>
      <c r="O84" s="611">
        <f>O82</f>
        <v>0</v>
      </c>
      <c r="P84" s="584"/>
      <c r="Q84" s="1450"/>
      <c r="R84" s="1503"/>
      <c r="S84" s="603"/>
      <c r="T84" s="603"/>
      <c r="U84" s="603"/>
      <c r="V84" s="603"/>
      <c r="W84" s="603"/>
      <c r="X84" s="603"/>
      <c r="Y84" s="603"/>
      <c r="Z84" s="603"/>
      <c r="AA84" s="603"/>
      <c r="AB84" s="603"/>
      <c r="AC84" s="603"/>
      <c r="AD84" s="603"/>
      <c r="AE84" s="603"/>
      <c r="AF84" s="603"/>
      <c r="AG84" s="603"/>
      <c r="AH84" s="603"/>
      <c r="AI84" s="603"/>
      <c r="AJ84" s="464"/>
    </row>
    <row r="85" spans="1:36">
      <c r="A85" s="604"/>
      <c r="B85" s="1540" t="str">
        <f>IF(DRIVE_Type="Coupling",IF(Small_F,"","BFTr6"),"")</f>
        <v/>
      </c>
      <c r="C85" s="580" t="e">
        <f ca="1">BF_Tr</f>
        <v>#REF!</v>
      </c>
      <c r="D85" s="580">
        <f>IF(DRIVE_Type="Coupling",IF(Small_F,0,O86-L86),0)</f>
        <v>0</v>
      </c>
      <c r="E85" s="580">
        <f>IF(DRIVE_Type="Coupling",IF(Small_F,0,BFTr6_Hefactor*(K58-K70)),0)</f>
        <v>0</v>
      </c>
      <c r="F85" s="580">
        <f>IF(DRIVE_Type="Coupling",IF(Small_F,0,F120),0)</f>
        <v>0</v>
      </c>
      <c r="G85" s="580">
        <f>IF(DRIVE_Type="Coupling",IF(Small_F,0,VLOOKUP($C85,Iron_dim,4,FALSE)),0)</f>
        <v>0</v>
      </c>
      <c r="H85" s="493"/>
      <c r="I85" s="603" t="s">
        <v>1049</v>
      </c>
      <c r="J85" s="609">
        <f>J83</f>
        <v>0</v>
      </c>
      <c r="K85" s="580" t="e">
        <f ca="1">IF(Small_F,0,K86+E85)</f>
        <v>#REF!</v>
      </c>
      <c r="L85" s="600" t="e">
        <f ca="1">IF(Small_F,0,L86+E85/TAN(R_angle))</f>
        <v>#REF!</v>
      </c>
      <c r="M85" s="609">
        <f t="shared" si="1"/>
        <v>0</v>
      </c>
      <c r="N85" s="580" t="e">
        <f ca="1">IF(Small_F,0,K85)</f>
        <v>#REF!</v>
      </c>
      <c r="O85" s="1412" t="e">
        <f ca="1">IF(Small_F,0,-L85)</f>
        <v>#REF!</v>
      </c>
      <c r="P85" s="584">
        <f>(E85/1000+F85/1000)*G85/1000*D85/1000*steel_density</f>
        <v>0</v>
      </c>
      <c r="Q85" s="1450">
        <f>IF(G85=0,0,P85/steel_density/(G85/1000))</f>
        <v>0</v>
      </c>
      <c r="R85" s="644"/>
      <c r="S85" s="603"/>
      <c r="T85" s="603"/>
      <c r="U85" s="603"/>
      <c r="V85" s="603"/>
      <c r="W85" s="603"/>
      <c r="X85" s="603"/>
      <c r="Y85" s="603"/>
      <c r="Z85" s="603"/>
      <c r="AA85" s="603"/>
      <c r="AB85" s="603"/>
      <c r="AC85" s="603"/>
      <c r="AD85" s="603"/>
      <c r="AE85" s="603"/>
      <c r="AF85" s="603"/>
      <c r="AG85" s="603"/>
      <c r="AH85" s="603"/>
      <c r="AI85" s="603"/>
      <c r="AJ85" s="464"/>
    </row>
    <row r="86" spans="1:36">
      <c r="A86" s="604"/>
      <c r="B86" s="585" t="str">
        <f>IF(DRIVE_Type="Coupling",IF(Small_F,"","bftr6"),"")</f>
        <v/>
      </c>
      <c r="C86" s="493"/>
      <c r="D86" s="493"/>
      <c r="E86" s="493"/>
      <c r="F86" s="493"/>
      <c r="G86" s="493"/>
      <c r="H86" s="493"/>
      <c r="I86" s="493"/>
      <c r="J86" s="609">
        <f>J85</f>
        <v>0</v>
      </c>
      <c r="K86" s="580">
        <f>IF(DRIVE_Type="Coupling",IF(Small_F,0,K120+G120),0)</f>
        <v>0</v>
      </c>
      <c r="L86" s="600" t="e">
        <f ca="1">IF(Small_F,0,L78)</f>
        <v>#REF!</v>
      </c>
      <c r="M86" s="609">
        <f t="shared" si="1"/>
        <v>0</v>
      </c>
      <c r="N86" s="580" t="e">
        <f ca="1">IF(Small_F,0,K86)</f>
        <v>#REF!</v>
      </c>
      <c r="O86" s="1412" t="e">
        <f ca="1">IF(Small_F,0,-L86)</f>
        <v>#REF!</v>
      </c>
      <c r="P86" s="602"/>
      <c r="Q86" s="1454"/>
      <c r="R86" s="644"/>
      <c r="S86" s="603"/>
      <c r="T86" s="603"/>
      <c r="U86" s="603"/>
      <c r="V86" s="603"/>
      <c r="W86" s="603"/>
      <c r="X86" s="603"/>
      <c r="Y86" s="603"/>
      <c r="Z86" s="603"/>
      <c r="AA86" s="603"/>
      <c r="AB86" s="603"/>
      <c r="AC86" s="603"/>
      <c r="AD86" s="603"/>
      <c r="AE86" s="603"/>
      <c r="AF86" s="603"/>
      <c r="AG86" s="603"/>
      <c r="AH86" s="603"/>
      <c r="AI86" s="603"/>
      <c r="AJ86" s="464"/>
    </row>
    <row r="87" spans="1:36">
      <c r="A87" s="1680"/>
      <c r="B87" s="604" t="str">
        <f>IF(DRIVE_Type="Coupling",IF(Small_F,"","BFTr6-"),"")</f>
        <v/>
      </c>
      <c r="C87" s="493"/>
      <c r="D87" s="493"/>
      <c r="E87" s="493"/>
      <c r="F87" s="493"/>
      <c r="G87" s="493"/>
      <c r="H87" s="493"/>
      <c r="I87" s="493"/>
      <c r="J87" s="1920">
        <f>J85-F85</f>
        <v>0</v>
      </c>
      <c r="K87" s="1918">
        <f>K86</f>
        <v>0</v>
      </c>
      <c r="L87" s="1918" t="e">
        <f ca="1">L86</f>
        <v>#REF!</v>
      </c>
      <c r="M87" s="1917">
        <f>J87</f>
        <v>0</v>
      </c>
      <c r="N87" s="1918">
        <f>K87</f>
        <v>0</v>
      </c>
      <c r="O87" s="1919" t="e">
        <f ca="1">O86</f>
        <v>#REF!</v>
      </c>
      <c r="P87" s="584"/>
      <c r="Q87" s="1450"/>
      <c r="R87" s="644"/>
      <c r="S87" s="603"/>
      <c r="T87" s="603"/>
      <c r="U87" s="603"/>
      <c r="V87" s="603"/>
      <c r="W87" s="603"/>
      <c r="X87" s="603"/>
      <c r="Y87" s="603"/>
      <c r="Z87" s="603"/>
      <c r="AA87" s="603"/>
      <c r="AB87" s="603"/>
      <c r="AC87" s="603"/>
      <c r="AD87" s="603"/>
      <c r="AE87" s="603"/>
      <c r="AF87" s="603"/>
      <c r="AG87" s="603"/>
      <c r="AH87" s="603"/>
      <c r="AI87" s="603"/>
      <c r="AJ87" s="464"/>
    </row>
    <row r="88" spans="1:36">
      <c r="A88" s="1684"/>
      <c r="B88" s="633" t="str">
        <f>IF(DRIVE_Type="Coupling",IF(Small_F,"","bftr6-"),"")</f>
        <v/>
      </c>
      <c r="C88" s="479"/>
      <c r="D88" s="593"/>
      <c r="E88" s="593"/>
      <c r="F88" s="593"/>
      <c r="G88" s="593"/>
      <c r="H88" s="593"/>
      <c r="I88" s="594"/>
      <c r="J88" s="618">
        <f>J87</f>
        <v>0</v>
      </c>
      <c r="K88" s="616">
        <f>K87</f>
        <v>0</v>
      </c>
      <c r="L88" s="616" t="e">
        <f ca="1">L87</f>
        <v>#REF!</v>
      </c>
      <c r="M88" s="618">
        <f>M87</f>
        <v>0</v>
      </c>
      <c r="N88" s="616">
        <f>N87</f>
        <v>0</v>
      </c>
      <c r="O88" s="634" t="e">
        <f ca="1">O87</f>
        <v>#REF!</v>
      </c>
      <c r="P88" s="605"/>
      <c r="Q88" s="1455"/>
      <c r="R88" s="644"/>
      <c r="S88" s="603"/>
      <c r="T88" s="603"/>
      <c r="U88" s="580"/>
      <c r="V88" s="603"/>
      <c r="W88" s="603"/>
      <c r="X88" s="603"/>
      <c r="Y88" s="603"/>
      <c r="Z88" s="603"/>
      <c r="AA88" s="603"/>
      <c r="AB88" s="603"/>
      <c r="AC88" s="603"/>
      <c r="AD88" s="603"/>
      <c r="AE88" s="603"/>
      <c r="AF88" s="603"/>
      <c r="AG88" s="603"/>
      <c r="AH88" s="603"/>
      <c r="AI88" s="603"/>
      <c r="AJ88" s="464"/>
    </row>
    <row r="89" spans="1:36">
      <c r="A89" s="642"/>
      <c r="B89" s="642"/>
      <c r="C89" s="580"/>
      <c r="D89" s="580"/>
      <c r="E89" s="580"/>
      <c r="F89" s="580"/>
      <c r="G89" s="580"/>
      <c r="H89" s="580"/>
      <c r="I89" s="580"/>
      <c r="J89" s="599"/>
      <c r="K89" s="580"/>
      <c r="L89" s="580"/>
      <c r="M89" s="599"/>
      <c r="N89" s="580"/>
      <c r="O89" s="601"/>
      <c r="P89" s="602"/>
      <c r="Q89" s="1454"/>
      <c r="R89" s="1189"/>
      <c r="S89" s="603"/>
      <c r="T89" s="603"/>
      <c r="U89" s="603"/>
      <c r="V89" s="603"/>
      <c r="W89" s="603"/>
      <c r="X89" s="603"/>
      <c r="Y89" s="603"/>
      <c r="Z89" s="603"/>
      <c r="AA89" s="603"/>
      <c r="AB89" s="603"/>
      <c r="AC89" s="603"/>
      <c r="AD89" s="603"/>
      <c r="AE89" s="603"/>
      <c r="AF89" s="603"/>
      <c r="AG89" s="603"/>
      <c r="AH89" s="603"/>
      <c r="AI89" s="603"/>
      <c r="AJ89" s="464"/>
    </row>
    <row r="90" spans="1:36">
      <c r="A90" s="1921" t="s">
        <v>1051</v>
      </c>
      <c r="B90" s="1921" t="str">
        <f>IF(DRIVE_Type="Coupling","VHF_L","")</f>
        <v/>
      </c>
      <c r="C90" s="484" t="e">
        <f ca="1">HF_V</f>
        <v>#REF!</v>
      </c>
      <c r="D90" s="587">
        <f>K90-K92</f>
        <v>0</v>
      </c>
      <c r="E90" s="587" t="e">
        <f ca="1">VLOOKUP($C90,Iron_dim,2,FALSE)</f>
        <v>#REF!</v>
      </c>
      <c r="F90" s="587" t="e">
        <f ca="1">VLOOKUP(H_STD_Re,Iron_dim,3,FALSE)</f>
        <v>#REF!</v>
      </c>
      <c r="G90" s="484" t="e">
        <f ca="1">VLOOKUP($C90,Iron_dim,4,FALSE)</f>
        <v>#REF!</v>
      </c>
      <c r="H90" s="484">
        <v>90</v>
      </c>
      <c r="I90" s="1922" t="s">
        <v>1049</v>
      </c>
      <c r="J90" s="630">
        <f>IF(DRIVE_Type="Coupling",M90-VLOOKUP(H_STD_Re,Iron_dim,3,FALSE),0)</f>
        <v>0</v>
      </c>
      <c r="K90" s="613">
        <f>N90</f>
        <v>0</v>
      </c>
      <c r="L90" s="2434">
        <f>IF(DRIVE_Type="Coupling",IF(VHFL_Z&lt;&gt;0,VHFL_Z,IF(Small_F,'House reinf, Drive Side'!$R$9,L73)),0)</f>
        <v>0</v>
      </c>
      <c r="M90" s="630">
        <f>IF(DRIVE_Type="Coupling",IF(Small_F,J69+DBndRa5+DBB+DBdRa6,J79)+DRa6H_C,0)</f>
        <v>0</v>
      </c>
      <c r="N90" s="1934">
        <f>IF(DRIVE_Type="Coupling",'House reinf, Drive Side'!$U$9+Center_H+IF(INS=0,0,INS+Lift_He),0)</f>
        <v>0</v>
      </c>
      <c r="O90" s="631">
        <f>L90</f>
        <v>0</v>
      </c>
      <c r="P90" s="632" t="e">
        <f ca="1">D90/1000*(M90-J90+M91-J92)/2000*G90/1000*steel_density</f>
        <v>#REF!</v>
      </c>
      <c r="Q90" s="1456" t="e">
        <f ca="1">IF(G90=0,0,P90/steel_density/(G90/1000))</f>
        <v>#REF!</v>
      </c>
      <c r="R90" s="644"/>
      <c r="S90" s="603"/>
      <c r="T90" s="603"/>
      <c r="U90" s="580"/>
      <c r="V90" s="603"/>
      <c r="W90" s="603"/>
      <c r="X90" s="603"/>
      <c r="Y90" s="603"/>
      <c r="Z90" s="603"/>
      <c r="AA90" s="603"/>
      <c r="AB90" s="603"/>
      <c r="AC90" s="603"/>
      <c r="AD90" s="603"/>
      <c r="AE90" s="603"/>
      <c r="AF90" s="603"/>
      <c r="AG90" s="603"/>
      <c r="AH90" s="603"/>
      <c r="AI90" s="603"/>
      <c r="AJ90" s="464"/>
    </row>
    <row r="91" spans="1:36">
      <c r="A91" s="604"/>
      <c r="B91" s="604" t="str">
        <f>IF(DRIVE_Type="Coupling","vhf_L1","")</f>
        <v/>
      </c>
      <c r="C91" s="493"/>
      <c r="D91" s="493"/>
      <c r="E91" s="493"/>
      <c r="F91" s="493"/>
      <c r="G91" s="493"/>
      <c r="H91" s="493"/>
      <c r="I91" s="493"/>
      <c r="J91" s="609">
        <f>J92</f>
        <v>0</v>
      </c>
      <c r="K91" s="580">
        <f>IF(DRIVE_Type="Coupling",IF(Small_F,K111,K73+F73),0)</f>
        <v>0</v>
      </c>
      <c r="L91" s="608">
        <f>L90</f>
        <v>0</v>
      </c>
      <c r="M91" s="609">
        <f>M90</f>
        <v>0</v>
      </c>
      <c r="N91" s="608">
        <f>K92</f>
        <v>0</v>
      </c>
      <c r="O91" s="611">
        <f t="shared" ref="O91" si="2">L91</f>
        <v>0</v>
      </c>
      <c r="P91" s="584"/>
      <c r="Q91" s="1450"/>
      <c r="R91" s="644"/>
      <c r="S91" s="603"/>
      <c r="T91" s="603"/>
      <c r="U91" s="639"/>
      <c r="V91" s="603"/>
      <c r="W91" s="603"/>
      <c r="X91" s="603"/>
      <c r="Y91" s="603"/>
      <c r="Z91" s="637"/>
      <c r="AA91" s="637"/>
      <c r="AB91" s="637"/>
      <c r="AC91" s="637"/>
      <c r="AD91" s="637"/>
      <c r="AE91" s="637"/>
      <c r="AF91" s="580"/>
      <c r="AG91" s="580"/>
      <c r="AH91" s="580"/>
      <c r="AI91" s="580"/>
      <c r="AJ91" s="464"/>
    </row>
    <row r="92" spans="1:36">
      <c r="A92" s="604"/>
      <c r="B92" s="604" t="str">
        <f>IF(DRIVE_Type="Coupling","vhf_L2","")</f>
        <v/>
      </c>
      <c r="C92" s="493"/>
      <c r="D92" s="493"/>
      <c r="E92" s="493"/>
      <c r="F92" s="493"/>
      <c r="G92" s="493"/>
      <c r="H92" s="493"/>
      <c r="I92" s="493"/>
      <c r="J92" s="599">
        <f>IF(DRIVE_Type="Coupling",IF(Small_F,J69+DBndRa5+DBB+DBdRa6,M79),0)</f>
        <v>0</v>
      </c>
      <c r="K92" s="1935">
        <f>IF(DRIVE_Type="Coupling",'House reinf, Drive Side'!$S$9+Center_H,0)</f>
        <v>0</v>
      </c>
      <c r="L92" s="608">
        <f>L91</f>
        <v>0</v>
      </c>
      <c r="M92" s="599"/>
      <c r="N92" s="580"/>
      <c r="O92" s="583"/>
      <c r="P92" s="584"/>
      <c r="Q92" s="1450"/>
      <c r="R92" s="640"/>
      <c r="S92" s="580"/>
      <c r="T92" s="580"/>
      <c r="U92" s="636"/>
      <c r="V92" s="636"/>
      <c r="W92" s="636"/>
      <c r="X92" s="636"/>
      <c r="Y92" s="636"/>
      <c r="Z92" s="637"/>
      <c r="AA92" s="637"/>
      <c r="AB92" s="637"/>
      <c r="AC92" s="637"/>
      <c r="AD92" s="637"/>
      <c r="AE92" s="637"/>
      <c r="AF92" s="580"/>
      <c r="AG92" s="580"/>
      <c r="AH92" s="580"/>
      <c r="AI92" s="580"/>
      <c r="AJ92" s="464"/>
    </row>
    <row r="93" spans="1:36" s="621" customFormat="1">
      <c r="A93" s="1682"/>
      <c r="B93" s="622" t="str">
        <f>IF(DRIVE_Type="Coupling","VHF_R","")</f>
        <v/>
      </c>
      <c r="C93" s="493" t="e">
        <f ca="1">HF_V</f>
        <v>#REF!</v>
      </c>
      <c r="D93" s="580">
        <f>K93-K95</f>
        <v>0</v>
      </c>
      <c r="E93" s="580" t="e">
        <f ca="1">VLOOKUP($C93,Iron_dim,2,FALSE)</f>
        <v>#REF!</v>
      </c>
      <c r="F93" s="608" t="e">
        <f ca="1">F96</f>
        <v>#REF!</v>
      </c>
      <c r="G93" s="493" t="e">
        <f ca="1">VLOOKUP($C93,Iron_dim,4,FALSE)</f>
        <v>#REF!</v>
      </c>
      <c r="H93" s="493">
        <v>90</v>
      </c>
      <c r="I93" s="623" t="s">
        <v>1048</v>
      </c>
      <c r="J93" s="492">
        <f>IF(DRIVE_Type="Coupling",M93-VLOOKUP(H_STD_Re,Iron_dim,3,FALSE),0)</f>
        <v>0</v>
      </c>
      <c r="K93" s="608">
        <f>N93</f>
        <v>0</v>
      </c>
      <c r="L93" s="2435">
        <f>IF(DRIVE_Type="Coupling",IF(VHFR_Z&lt;&gt;0,VHFR_Z,IF(Small_F,'House reinf, Drive Side'!$R$10,O73)),0)</f>
        <v>0</v>
      </c>
      <c r="M93" s="492">
        <f>IF(DRIVE_Type="Coupling",IF(Small_F,M69+DBndRa5+DBB+DBdRa6,M83)+DRa6H_C,0)</f>
        <v>0</v>
      </c>
      <c r="N93" s="1935">
        <f>IF(DRIVE_Type="Coupling",'House reinf, Drive Side'!$U$10+Center_H+IF(INS=0,0,INS+Lift_He),0)</f>
        <v>0</v>
      </c>
      <c r="O93" s="611">
        <f>L93</f>
        <v>0</v>
      </c>
      <c r="P93" s="584" t="e">
        <f ca="1">D93/1000*(M93-J93+M94-J95)/2000*G93/1000*steel_density</f>
        <v>#REF!</v>
      </c>
      <c r="Q93" s="1450" t="e">
        <f ca="1">IF(G93=0,0,P93/steel_density/(G93/1000))</f>
        <v>#REF!</v>
      </c>
      <c r="R93" s="1189"/>
      <c r="S93" s="603"/>
      <c r="T93" s="603"/>
      <c r="U93" s="603"/>
      <c r="V93" s="603"/>
      <c r="W93" s="603"/>
      <c r="X93" s="603"/>
      <c r="Y93" s="603"/>
      <c r="Z93" s="603"/>
      <c r="AA93" s="603"/>
      <c r="AB93" s="603"/>
      <c r="AC93" s="603"/>
      <c r="AD93" s="603"/>
      <c r="AE93" s="603"/>
      <c r="AF93" s="603"/>
      <c r="AG93" s="603"/>
      <c r="AH93" s="603"/>
      <c r="AI93" s="603"/>
    </row>
    <row r="94" spans="1:36">
      <c r="A94" s="1680"/>
      <c r="B94" s="604" t="str">
        <f>IF(DRIVE_Type="Coupling","vhf_R1","")</f>
        <v/>
      </c>
      <c r="C94" s="493"/>
      <c r="D94" s="493"/>
      <c r="E94" s="493"/>
      <c r="F94" s="493"/>
      <c r="G94" s="493"/>
      <c r="H94" s="493"/>
      <c r="I94" s="493"/>
      <c r="J94" s="609">
        <f>J95</f>
        <v>0</v>
      </c>
      <c r="K94" s="580">
        <f>IF(DRIVE_Type="Coupling",IF(Small_F,N111,N73+F73),0)</f>
        <v>0</v>
      </c>
      <c r="L94" s="608">
        <f>L93</f>
        <v>0</v>
      </c>
      <c r="M94" s="609">
        <f>M93</f>
        <v>0</v>
      </c>
      <c r="N94" s="608">
        <f>K95</f>
        <v>0</v>
      </c>
      <c r="O94" s="611">
        <f t="shared" ref="O94" si="3">L94</f>
        <v>0</v>
      </c>
      <c r="P94" s="584"/>
      <c r="Q94" s="1450"/>
      <c r="R94" s="1189"/>
      <c r="S94" s="603"/>
      <c r="T94" s="603"/>
      <c r="U94" s="603"/>
      <c r="V94" s="603"/>
      <c r="W94" s="603"/>
      <c r="X94" s="603"/>
      <c r="Y94" s="603"/>
      <c r="Z94" s="603"/>
      <c r="AA94" s="603"/>
      <c r="AB94" s="603"/>
      <c r="AC94" s="603"/>
      <c r="AD94" s="603"/>
      <c r="AE94" s="603"/>
      <c r="AF94" s="603"/>
      <c r="AG94" s="603"/>
      <c r="AH94" s="603"/>
      <c r="AI94" s="603"/>
      <c r="AJ94" s="464"/>
    </row>
    <row r="95" spans="1:36">
      <c r="A95" s="1680"/>
      <c r="B95" s="642" t="str">
        <f>IF(DRIVE_Type="Coupling","vhf_R2","")</f>
        <v/>
      </c>
      <c r="C95" s="580"/>
      <c r="D95" s="580"/>
      <c r="E95" s="580"/>
      <c r="F95" s="580"/>
      <c r="G95" s="580"/>
      <c r="H95" s="580"/>
      <c r="I95" s="580"/>
      <c r="J95" s="599">
        <f>IF(DRIVE_Type="Coupling",IF(Small_F,J69+DBndRa5+DBB+DBdRa6,M83),0)</f>
        <v>0</v>
      </c>
      <c r="K95" s="1935">
        <f>IF(DRIVE_Type="Coupling",'House reinf, Drive Side'!$S$10+Center_H,0)</f>
        <v>0</v>
      </c>
      <c r="L95" s="608">
        <f>L94</f>
        <v>0</v>
      </c>
      <c r="M95" s="599"/>
      <c r="N95" s="580"/>
      <c r="O95" s="601"/>
      <c r="P95" s="584"/>
      <c r="Q95" s="1450"/>
      <c r="R95" s="644"/>
      <c r="S95" s="603"/>
      <c r="T95" s="603"/>
      <c r="U95" s="603"/>
      <c r="V95" s="603"/>
      <c r="W95" s="603"/>
      <c r="X95" s="603"/>
      <c r="Y95" s="603"/>
      <c r="Z95" s="603"/>
      <c r="AA95" s="603"/>
      <c r="AB95" s="603"/>
      <c r="AC95" s="603"/>
      <c r="AD95" s="603"/>
      <c r="AE95" s="603"/>
      <c r="AF95" s="603"/>
      <c r="AG95" s="603"/>
      <c r="AH95" s="603"/>
      <c r="AI95" s="603"/>
      <c r="AJ95" s="464"/>
    </row>
    <row r="96" spans="1:36">
      <c r="A96" s="1682"/>
      <c r="B96" s="622" t="str">
        <f>IF(DRIVE_Type="Coupling","HFHi","")</f>
        <v/>
      </c>
      <c r="C96" s="493" t="e">
        <f ca="1">H_STD_Re</f>
        <v>#REF!</v>
      </c>
      <c r="D96" s="493">
        <f>O96-L96</f>
        <v>0</v>
      </c>
      <c r="E96" s="580" t="e">
        <f ca="1">VLOOKUP($C96,Iron_dim,2,FALSE)</f>
        <v>#REF!</v>
      </c>
      <c r="F96" s="580" t="e">
        <f ca="1">VLOOKUP($C96,Iron_dim,3,FALSE)</f>
        <v>#REF!</v>
      </c>
      <c r="G96" s="493" t="e">
        <f ca="1">VLOOKUP($C96,Iron_dim,4,FALSE)</f>
        <v>#REF!</v>
      </c>
      <c r="H96" s="493"/>
      <c r="I96" s="623" t="s">
        <v>1049</v>
      </c>
      <c r="J96" s="492">
        <f>IF(DRIVE_Type="Coupling",M93-F96,0)</f>
        <v>0</v>
      </c>
      <c r="K96" s="580">
        <f>IF(DRIVE_Type="Coupling",MIN(Center_H+(Center_H-IF(Small_F,K103,K115)),VHFL_He-1.5*F96,VHFR_He-1.5*F96)+G96,0)</f>
        <v>0</v>
      </c>
      <c r="L96" s="600">
        <f>IF(DRIVE_Type="Coupling",L90+G90,0)</f>
        <v>0</v>
      </c>
      <c r="M96" s="609">
        <f>M91</f>
        <v>0</v>
      </c>
      <c r="N96" s="608">
        <f>K96</f>
        <v>0</v>
      </c>
      <c r="O96" s="1412">
        <f>IF(DRIVE_Type="Coupling",O93-G93,0)</f>
        <v>0</v>
      </c>
      <c r="P96" s="584" t="e">
        <f ca="1">D96/1000*F96/1000*G96/1000*steel_density</f>
        <v>#REF!</v>
      </c>
      <c r="Q96" s="1450" t="e">
        <f ca="1">IF(G96=0,0,P96/steel_density/(G96/1000))</f>
        <v>#REF!</v>
      </c>
      <c r="R96" s="644"/>
      <c r="S96" s="603"/>
      <c r="T96" s="603"/>
      <c r="U96" s="603"/>
      <c r="V96" s="603"/>
      <c r="W96" s="603"/>
      <c r="X96" s="603"/>
      <c r="Y96" s="603"/>
      <c r="Z96" s="603"/>
      <c r="AA96" s="603"/>
      <c r="AB96" s="603"/>
      <c r="AC96" s="603"/>
      <c r="AD96" s="603"/>
      <c r="AE96" s="603"/>
      <c r="AF96" s="603"/>
      <c r="AG96" s="603"/>
      <c r="AH96" s="603"/>
      <c r="AI96" s="603"/>
      <c r="AJ96" s="464"/>
    </row>
    <row r="97" spans="1:36">
      <c r="A97" s="1680"/>
      <c r="B97" s="585" t="str">
        <f>IF(DRIVE_Type="Coupling","hfhi","")</f>
        <v/>
      </c>
      <c r="C97" s="582"/>
      <c r="D97" s="493"/>
      <c r="E97" s="493"/>
      <c r="F97" s="493"/>
      <c r="G97" s="493"/>
      <c r="H97" s="493"/>
      <c r="I97" s="494"/>
      <c r="J97" s="609">
        <f>J96</f>
        <v>0</v>
      </c>
      <c r="K97" s="493">
        <f>IF(DRIVE_Type="Coupling",N96-G96,0)</f>
        <v>0</v>
      </c>
      <c r="L97" s="610">
        <f>L96</f>
        <v>0</v>
      </c>
      <c r="M97" s="609">
        <f>M96</f>
        <v>0</v>
      </c>
      <c r="N97" s="608">
        <f>K97</f>
        <v>0</v>
      </c>
      <c r="O97" s="612">
        <f>O96</f>
        <v>0</v>
      </c>
      <c r="P97" s="584"/>
      <c r="Q97" s="1450"/>
      <c r="R97" s="1189"/>
      <c r="S97" s="603"/>
      <c r="T97" s="603"/>
      <c r="U97" s="603"/>
      <c r="V97" s="603"/>
      <c r="W97" s="603"/>
      <c r="X97" s="603"/>
      <c r="Y97" s="603"/>
      <c r="Z97" s="603"/>
      <c r="AA97" s="603"/>
      <c r="AB97" s="603"/>
      <c r="AC97" s="603"/>
      <c r="AD97" s="603"/>
      <c r="AE97" s="603"/>
      <c r="AF97" s="603"/>
      <c r="AG97" s="603"/>
      <c r="AH97" s="603"/>
      <c r="AI97" s="603"/>
      <c r="AJ97" s="464"/>
    </row>
    <row r="98" spans="1:36">
      <c r="A98" s="1951"/>
      <c r="B98" s="629" t="str">
        <f>IF(DRIVE_Type="Coupling",'House reinf, Inlet Side'!$Q$15,"")</f>
        <v/>
      </c>
      <c r="C98" s="1944" t="str">
        <f>HS_P</f>
        <v>P5</v>
      </c>
      <c r="D98" s="587"/>
      <c r="E98" s="587">
        <f>(N98-K98)/SIN(R_angle)</f>
        <v>0</v>
      </c>
      <c r="F98" s="587">
        <f>M98-J98</f>
        <v>0</v>
      </c>
      <c r="G98" s="484">
        <f>VLOOKUP($C98,Iron_dim,4,FALSE)</f>
        <v>5</v>
      </c>
      <c r="H98" s="1643"/>
      <c r="I98" s="1953"/>
      <c r="J98" s="1955">
        <f>IF(DRIVE_Type="Coupling",IF(Small_F,J69+DBndRa5+DBB+DBdRa6,J79),0)</f>
        <v>0</v>
      </c>
      <c r="K98" s="1945">
        <f>IF(DRIVE_Type="Coupling",'House reinf, Drive Side'!$S$15+Center_H,0)</f>
        <v>0</v>
      </c>
      <c r="L98" s="1956">
        <f>IF(DRIVE_Type="Coupling",IF(B98="C_HSP",0,'House reinf, Drive Side'!$R$15),0)</f>
        <v>0</v>
      </c>
      <c r="M98" s="1961">
        <f>M122</f>
        <v>0</v>
      </c>
      <c r="N98" s="1945">
        <f>IF(DRIVE_Type="Coupling",'House reinf, Drive Side'!$U$15+Center_H,0)</f>
        <v>0</v>
      </c>
      <c r="O98" s="1957">
        <f>IF(DRIVE_Type="Coupling",'House reinf, Drive Side'!$T$15,0)</f>
        <v>0</v>
      </c>
      <c r="P98" s="590">
        <f>E98/1000*F98/1000*G98/1000*steel_density</f>
        <v>0</v>
      </c>
      <c r="Q98" s="1452">
        <f>IF(G98=0,0,P98/steel_density/(G98/1000))</f>
        <v>0</v>
      </c>
      <c r="R98" s="644"/>
      <c r="S98" s="603"/>
      <c r="T98" s="603"/>
      <c r="U98" s="580"/>
      <c r="V98" s="603"/>
      <c r="W98" s="603"/>
      <c r="X98" s="603"/>
      <c r="Y98" s="603"/>
      <c r="Z98" s="603"/>
      <c r="AA98" s="603"/>
      <c r="AB98" s="603"/>
      <c r="AC98" s="603"/>
      <c r="AD98" s="603"/>
      <c r="AE98" s="603"/>
      <c r="AF98" s="603"/>
      <c r="AG98" s="603"/>
      <c r="AH98" s="603"/>
      <c r="AI98" s="603"/>
      <c r="AJ98" s="464"/>
    </row>
    <row r="99" spans="1:36">
      <c r="A99" s="1952"/>
      <c r="B99" s="1647" t="str">
        <f>IF(DRIVE_Type="Coupling",'House reinf, Inlet Side'!$Q$16,"")</f>
        <v/>
      </c>
      <c r="C99" s="593" t="str">
        <f>HS_P</f>
        <v>P5</v>
      </c>
      <c r="D99" s="593"/>
      <c r="E99" s="593">
        <f>(N99-K99)/SIN(R_angle)</f>
        <v>0</v>
      </c>
      <c r="F99" s="593">
        <f>M99-J99</f>
        <v>0</v>
      </c>
      <c r="G99" s="479">
        <f>VLOOKUP($C99,Iron_dim,4,FALSE)</f>
        <v>5</v>
      </c>
      <c r="H99" s="1787"/>
      <c r="I99" s="1954"/>
      <c r="J99" s="1958">
        <f>IF(DRIVE_Type="Coupling",IF(Small_F,M69+DBndRa5+DBB+DBdRa6,M83),0)</f>
        <v>0</v>
      </c>
      <c r="K99" s="1936">
        <f>IF(DRIVE_Type="Coupling",'House reinf, Drive Side'!$S$16+Center_H,0)</f>
        <v>0</v>
      </c>
      <c r="L99" s="1959">
        <f>IF(DRIVE_Type="Coupling",IF(B99="C_HSP",0,'House reinf, Drive Side'!$R$16),0)</f>
        <v>0</v>
      </c>
      <c r="M99" s="1962">
        <f>M126</f>
        <v>0</v>
      </c>
      <c r="N99" s="1936">
        <f>IF(DRIVE_Type="Coupling",'House reinf, Drive Side'!$U$16+Center_H,0)</f>
        <v>0</v>
      </c>
      <c r="O99" s="1960">
        <f>IF(DRIVE_Type="Coupling",'House reinf, Drive Side'!$T$16,0)</f>
        <v>0</v>
      </c>
      <c r="P99" s="605">
        <f>E99/1000*F99/1000*G99/1000*steel_density</f>
        <v>0</v>
      </c>
      <c r="Q99" s="1455">
        <f>IF(G99=0,0,P99/steel_density/(G99/1000))</f>
        <v>0</v>
      </c>
      <c r="R99" s="1189"/>
      <c r="S99" s="603"/>
      <c r="T99" s="603"/>
      <c r="U99" s="603"/>
      <c r="V99" s="603"/>
      <c r="W99" s="603"/>
      <c r="X99" s="603"/>
      <c r="Y99" s="603"/>
      <c r="Z99" s="603"/>
      <c r="AA99" s="603"/>
      <c r="AB99" s="603"/>
      <c r="AC99" s="603"/>
      <c r="AD99" s="603"/>
      <c r="AE99" s="603"/>
      <c r="AF99" s="603"/>
      <c r="AG99" s="603"/>
      <c r="AH99" s="603"/>
      <c r="AI99" s="603"/>
      <c r="AJ99" s="464"/>
    </row>
    <row r="100" spans="1:36">
      <c r="A100" s="1951"/>
      <c r="B100" s="1963" t="str">
        <f>IF(DRIVE_Type="Coupling",'House reinf, Inlet Side'!$Q$15,"")</f>
        <v/>
      </c>
      <c r="C100" s="1964" t="s">
        <v>3424</v>
      </c>
      <c r="D100" s="1964"/>
      <c r="E100" s="1965"/>
      <c r="F100" s="1965"/>
      <c r="G100" s="1965"/>
      <c r="H100" s="1966"/>
      <c r="I100" s="1710"/>
      <c r="J100" s="609">
        <f>J98</f>
        <v>0</v>
      </c>
      <c r="K100" s="608">
        <f>K98</f>
        <v>0</v>
      </c>
      <c r="L100" s="1685">
        <f>-L98</f>
        <v>0</v>
      </c>
      <c r="M100" s="609">
        <f>M98</f>
        <v>0</v>
      </c>
      <c r="N100" s="608">
        <f>N98</f>
        <v>0</v>
      </c>
      <c r="O100" s="1687">
        <f>-O98</f>
        <v>0</v>
      </c>
      <c r="P100" s="602"/>
      <c r="Q100" s="1454"/>
      <c r="R100" s="1189"/>
      <c r="S100" s="603"/>
      <c r="T100" s="603"/>
      <c r="U100" s="603"/>
      <c r="V100" s="603"/>
      <c r="W100" s="603"/>
      <c r="X100" s="603"/>
      <c r="Y100" s="603"/>
      <c r="Z100" s="603"/>
      <c r="AA100" s="603"/>
      <c r="AB100" s="603"/>
      <c r="AC100" s="603"/>
      <c r="AD100" s="603"/>
      <c r="AE100" s="603"/>
      <c r="AF100" s="603"/>
      <c r="AG100" s="603"/>
      <c r="AH100" s="603"/>
      <c r="AI100" s="603"/>
      <c r="AJ100" s="464"/>
    </row>
    <row r="101" spans="1:36">
      <c r="A101" s="1952"/>
      <c r="B101" s="1967" t="str">
        <f>IF(DRIVE_Type="Coupling",'House reinf, Inlet Side'!$Q$16,"")</f>
        <v/>
      </c>
      <c r="C101" s="1968" t="s">
        <v>3424</v>
      </c>
      <c r="D101" s="1968"/>
      <c r="E101" s="1969"/>
      <c r="F101" s="1969"/>
      <c r="G101" s="1969"/>
      <c r="H101" s="1968"/>
      <c r="I101" s="1711"/>
      <c r="J101" s="618">
        <f>J99</f>
        <v>0</v>
      </c>
      <c r="K101" s="616">
        <f>K99</f>
        <v>0</v>
      </c>
      <c r="L101" s="1686">
        <f>-L99</f>
        <v>0</v>
      </c>
      <c r="M101" s="618">
        <f>M99</f>
        <v>0</v>
      </c>
      <c r="N101" s="616">
        <f>N99</f>
        <v>0</v>
      </c>
      <c r="O101" s="1688">
        <f>-O99</f>
        <v>0</v>
      </c>
      <c r="P101" s="605"/>
      <c r="Q101" s="1455"/>
      <c r="R101" s="1502"/>
      <c r="S101" s="603"/>
      <c r="T101" s="572"/>
      <c r="U101" s="572"/>
      <c r="V101" s="572"/>
      <c r="W101" s="603"/>
      <c r="X101" s="603"/>
      <c r="Y101" s="603"/>
      <c r="Z101" s="603"/>
      <c r="AA101" s="603"/>
      <c r="AB101" s="603"/>
      <c r="AC101" s="603"/>
      <c r="AD101" s="603"/>
      <c r="AE101" s="603"/>
      <c r="AF101" s="603"/>
      <c r="AG101" s="603"/>
      <c r="AH101" s="603"/>
      <c r="AI101" s="603"/>
      <c r="AJ101" s="464"/>
    </row>
    <row r="102" spans="1:36">
      <c r="A102" s="641"/>
      <c r="B102" s="642"/>
      <c r="C102" s="603"/>
      <c r="D102" s="580"/>
      <c r="E102" s="580"/>
      <c r="F102" s="580"/>
      <c r="G102" s="580"/>
      <c r="H102" s="580"/>
      <c r="I102" s="580"/>
      <c r="J102" s="599"/>
      <c r="K102" s="580"/>
      <c r="L102" s="580"/>
      <c r="M102" s="599"/>
      <c r="N102" s="580"/>
      <c r="O102" s="2175"/>
      <c r="P102" s="602"/>
      <c r="Q102" s="1454"/>
      <c r="R102" s="1189"/>
      <c r="S102" s="603"/>
      <c r="T102" s="603"/>
      <c r="U102" s="603"/>
      <c r="V102" s="603"/>
      <c r="W102" s="603"/>
      <c r="X102" s="603"/>
      <c r="Y102" s="603"/>
      <c r="Z102" s="603"/>
      <c r="AA102" s="603"/>
      <c r="AB102" s="603"/>
      <c r="AC102" s="603"/>
      <c r="AD102" s="603"/>
      <c r="AE102" s="603"/>
      <c r="AF102" s="603"/>
      <c r="AG102" s="603"/>
      <c r="AH102" s="603"/>
      <c r="AI102" s="603"/>
      <c r="AJ102" s="464"/>
    </row>
    <row r="103" spans="1:36">
      <c r="A103" s="1923" t="s">
        <v>3235</v>
      </c>
      <c r="B103" s="629" t="str">
        <f>IF(DRIVE_Type="Coupling","MSMM","")</f>
        <v/>
      </c>
      <c r="C103" s="484" t="e">
        <f ca="1">MS_P</f>
        <v>#REF!</v>
      </c>
      <c r="D103" s="587">
        <f>IF(DRIVE_Type="Coupling",2*E103+(O103-L103)-2*2*(G103+G103)*TAN(R_angle/2)+2*(G103+G103*H103)*R_angle,0)</f>
        <v>0</v>
      </c>
      <c r="E103" s="587">
        <f>IF(DRIVE_Type="Coupling",IF(Small_F,(MFHe-G120)/SIN(R_angle)-E104,MS_Hemm),0)</f>
        <v>0</v>
      </c>
      <c r="F103" s="587">
        <f>J105-J103</f>
        <v>0</v>
      </c>
      <c r="G103" s="587">
        <f>IF(DRIVE_Type="Coupling",VLOOKUP($C103,Iron_dim,4,FALSE),0)</f>
        <v>0</v>
      </c>
      <c r="H103" s="614" t="e">
        <f>LOOKUP(G103/G103,{0,0.3,0.5,1,1.5,2,3,4,5,6,7,8},{0.3333,0.34,0.37,0.41,0.44,0.45,0.46,0.47,0.48,0.49,0.5,0.5})</f>
        <v>#DIV/0!</v>
      </c>
      <c r="I103" s="614" t="s">
        <v>1045</v>
      </c>
      <c r="J103" s="589">
        <f>IF(DRIVE_Type="Coupling",IF(Small_F,J25,J27),0)</f>
        <v>0</v>
      </c>
      <c r="K103" s="587">
        <f>IF(DRIVE_Type="Coupling",IF(Small_F,MFHe,K25-1/3*F25),0)</f>
        <v>0</v>
      </c>
      <c r="L103" s="1646">
        <f>IF(DRIVE_Type="Coupling",IF(Small_F,IF(MA+MK_mult*MK+4*G103&lt;MAB,-MAB/2,-(MA+MK_mult*MK+4*G103)/2),L25+1/3*F25*TAN(R_angle/2)),0)</f>
        <v>0</v>
      </c>
      <c r="M103" s="2183">
        <f>J103</f>
        <v>0</v>
      </c>
      <c r="N103" s="2184">
        <f>K103</f>
        <v>0</v>
      </c>
      <c r="O103" s="2176">
        <f>-L103</f>
        <v>0</v>
      </c>
      <c r="P103" s="590" t="e">
        <f ca="1">MSMM_w/1000*F103/1000*G103/1000*steel_density</f>
        <v>#REF!</v>
      </c>
      <c r="Q103" s="1452">
        <f>IF(G103=0,0,P103/steel_density/(G103/1000))</f>
        <v>0</v>
      </c>
      <c r="R103" s="644"/>
      <c r="S103" s="603"/>
      <c r="T103" s="603"/>
      <c r="U103" s="603"/>
      <c r="V103" s="603"/>
      <c r="W103" s="603"/>
      <c r="X103" s="603"/>
      <c r="Y103" s="603"/>
      <c r="Z103" s="603"/>
      <c r="AA103" s="603"/>
      <c r="AB103" s="603"/>
      <c r="AC103" s="603"/>
      <c r="AD103" s="603"/>
      <c r="AE103" s="603"/>
      <c r="AF103" s="603"/>
      <c r="AG103" s="603"/>
      <c r="AH103" s="603"/>
      <c r="AI103" s="603"/>
      <c r="AJ103" s="464"/>
    </row>
    <row r="104" spans="1:36">
      <c r="A104" s="1924"/>
      <c r="B104" s="642" t="str">
        <f>IF(DRIVE_Type="Coupling","msmm","")</f>
        <v/>
      </c>
      <c r="C104" s="603"/>
      <c r="D104" s="580"/>
      <c r="E104" s="580">
        <f>4*G103</f>
        <v>0</v>
      </c>
      <c r="F104" s="580"/>
      <c r="G104" s="580"/>
      <c r="H104" s="603"/>
      <c r="I104" s="580"/>
      <c r="J104" s="599">
        <f>IF(DRIVE_Type="Coupling",J103,0)</f>
        <v>0</v>
      </c>
      <c r="K104" s="580">
        <f>IF(DRIVE_Type="Coupling",K103-E103*SIN(R_angle),0)</f>
        <v>0</v>
      </c>
      <c r="L104" s="600">
        <f>IF(DRIVE_Type="Coupling",L103-(K103-K104)/TAN(R_angle),0)</f>
        <v>0</v>
      </c>
      <c r="M104" s="2185">
        <f>J104</f>
        <v>0</v>
      </c>
      <c r="N104" s="2186">
        <f>K104</f>
        <v>0</v>
      </c>
      <c r="O104" s="2175">
        <f>-L104</f>
        <v>0</v>
      </c>
      <c r="P104" s="1901"/>
      <c r="Q104" s="1454"/>
      <c r="R104" s="1503"/>
      <c r="S104" s="603"/>
      <c r="T104" s="603"/>
      <c r="U104" s="603"/>
      <c r="V104" s="603"/>
      <c r="W104" s="603"/>
      <c r="X104" s="603"/>
      <c r="Y104" s="603"/>
      <c r="Z104" s="603"/>
      <c r="AA104" s="603"/>
      <c r="AB104" s="603"/>
      <c r="AC104" s="603"/>
      <c r="AD104" s="603"/>
      <c r="AE104" s="603"/>
      <c r="AF104" s="603"/>
      <c r="AG104" s="603"/>
      <c r="AH104" s="603"/>
      <c r="AI104" s="603"/>
      <c r="AJ104" s="464"/>
    </row>
    <row r="105" spans="1:36">
      <c r="A105" s="1925"/>
      <c r="B105" s="1648" t="str">
        <f>IF(DRIVE_Type="Coupling","MSMM+","")</f>
        <v/>
      </c>
      <c r="C105" s="580"/>
      <c r="D105" s="580"/>
      <c r="E105" s="580"/>
      <c r="F105" s="580"/>
      <c r="G105" s="580"/>
      <c r="H105" s="580"/>
      <c r="I105" s="580"/>
      <c r="J105" s="599">
        <f>IF(DRIVE_Type="Coupling",IF(Small_F,M90,J41),0)</f>
        <v>0</v>
      </c>
      <c r="K105" s="2186">
        <f>K103</f>
        <v>0</v>
      </c>
      <c r="L105" s="2191">
        <f>L103</f>
        <v>0</v>
      </c>
      <c r="M105" s="2185">
        <f t="shared" ref="M105:M106" si="4">J105</f>
        <v>0</v>
      </c>
      <c r="N105" s="2186">
        <f t="shared" ref="N105:N118" si="5">K105</f>
        <v>0</v>
      </c>
      <c r="O105" s="2189">
        <f t="shared" ref="O105:O106" si="6">-L105</f>
        <v>0</v>
      </c>
      <c r="P105" s="602"/>
      <c r="Q105" s="1454"/>
      <c r="R105" s="1189"/>
      <c r="S105" s="603"/>
      <c r="T105" s="603"/>
      <c r="U105" s="603"/>
      <c r="V105" s="603"/>
      <c r="W105" s="603"/>
      <c r="X105" s="603"/>
      <c r="Y105" s="603"/>
      <c r="Z105" s="603"/>
      <c r="AA105" s="603"/>
      <c r="AB105" s="603"/>
      <c r="AC105" s="603"/>
      <c r="AD105" s="603"/>
      <c r="AE105" s="603"/>
      <c r="AF105" s="603"/>
      <c r="AG105" s="603"/>
      <c r="AH105" s="603"/>
      <c r="AI105" s="603"/>
      <c r="AJ105" s="464"/>
    </row>
    <row r="106" spans="1:36">
      <c r="A106" s="1925"/>
      <c r="B106" s="1541" t="str">
        <f>IF(DRIVE_Type="Coupling","msmm+","")</f>
        <v/>
      </c>
      <c r="C106" s="593"/>
      <c r="D106" s="595"/>
      <c r="E106" s="593"/>
      <c r="F106" s="593"/>
      <c r="G106" s="593"/>
      <c r="H106" s="593"/>
      <c r="I106" s="594"/>
      <c r="J106" s="2187">
        <f>J105</f>
        <v>0</v>
      </c>
      <c r="K106" s="2188">
        <f>K104</f>
        <v>0</v>
      </c>
      <c r="L106" s="2192">
        <f>L104</f>
        <v>0</v>
      </c>
      <c r="M106" s="2187">
        <f t="shared" si="4"/>
        <v>0</v>
      </c>
      <c r="N106" s="2188">
        <f t="shared" si="5"/>
        <v>0</v>
      </c>
      <c r="O106" s="2190">
        <f t="shared" si="6"/>
        <v>0</v>
      </c>
      <c r="P106" s="596"/>
      <c r="Q106" s="1453"/>
      <c r="R106" s="1189"/>
      <c r="S106" s="603"/>
      <c r="T106" s="603"/>
      <c r="U106" s="603"/>
      <c r="V106" s="603"/>
      <c r="W106" s="603"/>
      <c r="X106" s="603"/>
      <c r="Y106" s="603"/>
      <c r="Z106" s="603"/>
      <c r="AA106" s="603"/>
      <c r="AB106" s="603"/>
      <c r="AC106" s="603"/>
      <c r="AD106" s="603"/>
      <c r="AE106" s="603"/>
      <c r="AF106" s="603"/>
      <c r="AG106" s="603"/>
      <c r="AH106" s="603"/>
      <c r="AI106" s="603"/>
      <c r="AJ106" s="464"/>
    </row>
    <row r="107" spans="1:36">
      <c r="A107" s="1923" t="s">
        <v>3536</v>
      </c>
      <c r="B107" s="645" t="e">
        <f ca="1">IF(OR(DRIVE_Type&lt;&gt;"Coupling",Small_F),"","MSMB")</f>
        <v>#REF!</v>
      </c>
      <c r="C107" s="587" t="e">
        <f ca="1">MS_P</f>
        <v>#REF!</v>
      </c>
      <c r="D107" s="587">
        <f>IF(DRIVE_Type="Coupling",IF(Small_F,0,2*E107+(O107-L107)-2*2*(G107+G107)*TAN(R_angle/2)+2*(G107+G107*H107)*R_angle),0)</f>
        <v>0</v>
      </c>
      <c r="E107" s="587">
        <f>IF(DRIVE_Type="Coupling",IF(Small_F,0,(K107-K108)/SIN(R_angle)),0)</f>
        <v>0</v>
      </c>
      <c r="F107" s="587">
        <f>IF(DRIVE_Type="Coupling",IF(Small_F,0,J109-J107),0)</f>
        <v>0</v>
      </c>
      <c r="G107" s="587">
        <f>IF(DRIVE_Type="Coupling",IF(Small_F,0,VLOOKUP($C107,Iron_dim,4,FALSE)),0)</f>
        <v>0</v>
      </c>
      <c r="H107" s="614" t="e">
        <f ca="1">IF(Small_F,0,LOOKUP(G107/G107,{0,0.3,0.5,1,1.5,2,3,4,5,6,7,8},{0.3333,0.34,0.37,0.41,0.44,0.45,0.46,0.47,0.48,0.49,0.5,0.5}))</f>
        <v>#REF!</v>
      </c>
      <c r="I107" s="614" t="s">
        <v>1045</v>
      </c>
      <c r="J107" s="589">
        <f>IF(DRIVE_Type="Coupling",IF(Small_F,0,J47),0)</f>
        <v>0</v>
      </c>
      <c r="K107" s="587">
        <f>IF(DRIVE_Type="Coupling",IF(Small_F,0,K103),0)</f>
        <v>0</v>
      </c>
      <c r="L107" s="587">
        <f>IF(DRIVE_Type="Coupling",IF(Small_F,0,L103),0)</f>
        <v>0</v>
      </c>
      <c r="M107" s="615">
        <f t="shared" ref="M107:M110" si="7">J107</f>
        <v>0</v>
      </c>
      <c r="N107" s="613">
        <f t="shared" si="5"/>
        <v>0</v>
      </c>
      <c r="O107" s="1645">
        <f>IF(DRIVE_Type="Coupling",IF(Small_F,0,O103),0)</f>
        <v>0</v>
      </c>
      <c r="P107" s="590">
        <f>MSMB_w/1000*F107/1000*G107/1000*steel_density</f>
        <v>0</v>
      </c>
      <c r="Q107" s="1452">
        <f>IF(G107=0,0,P107/steel_density/(G107/1000))</f>
        <v>0</v>
      </c>
      <c r="R107" s="1189"/>
      <c r="S107" s="603"/>
      <c r="T107" s="603"/>
      <c r="U107" s="603"/>
      <c r="V107" s="603"/>
      <c r="W107" s="603"/>
      <c r="X107" s="603"/>
      <c r="Y107" s="603"/>
      <c r="Z107" s="603"/>
      <c r="AA107" s="603"/>
      <c r="AB107" s="603"/>
      <c r="AC107" s="603"/>
      <c r="AD107" s="603"/>
      <c r="AE107" s="603"/>
      <c r="AF107" s="603"/>
      <c r="AG107" s="603"/>
      <c r="AH107" s="603"/>
      <c r="AI107" s="603"/>
      <c r="AJ107" s="464"/>
    </row>
    <row r="108" spans="1:36">
      <c r="A108" s="1924"/>
      <c r="B108" s="642" t="e">
        <f ca="1">IF(OR(DRIVE_Type&lt;&gt;"Coupling",Small_F),"","msmb")</f>
        <v>#REF!</v>
      </c>
      <c r="C108" s="603"/>
      <c r="D108" s="580"/>
      <c r="E108" s="580"/>
      <c r="F108" s="580"/>
      <c r="G108" s="580"/>
      <c r="H108" s="603"/>
      <c r="I108" s="580"/>
      <c r="J108" s="609">
        <f>J107</f>
        <v>0</v>
      </c>
      <c r="K108" s="580">
        <f>IF(DRIVE_Type="Coupling",IF(Small_F,0,K120+G120),0)</f>
        <v>0</v>
      </c>
      <c r="L108" s="580">
        <f>IF(DRIVE_Type="Coupling",IF(Small_F,0,L45+1/3*F45/SIN(R_angle)),0)</f>
        <v>0</v>
      </c>
      <c r="M108" s="609">
        <f t="shared" si="7"/>
        <v>0</v>
      </c>
      <c r="N108" s="608">
        <f t="shared" si="5"/>
        <v>0</v>
      </c>
      <c r="O108" s="601">
        <f>IF(DRIVE_Type="Coupling",IF(Small_F,0,L49-1/3*F49/SIN(R_angle)),0)</f>
        <v>0</v>
      </c>
      <c r="P108" s="602"/>
      <c r="Q108" s="1454"/>
      <c r="R108" s="644"/>
      <c r="S108" s="603"/>
      <c r="T108" s="603"/>
      <c r="U108" s="603"/>
      <c r="V108" s="603"/>
      <c r="W108" s="603"/>
      <c r="X108" s="603"/>
      <c r="Y108" s="603"/>
      <c r="Z108" s="603"/>
      <c r="AA108" s="603"/>
      <c r="AB108" s="603"/>
      <c r="AC108" s="603"/>
      <c r="AD108" s="603"/>
      <c r="AE108" s="603"/>
      <c r="AF108" s="603"/>
      <c r="AG108" s="603"/>
      <c r="AH108" s="603"/>
      <c r="AI108" s="603"/>
      <c r="AJ108" s="464"/>
    </row>
    <row r="109" spans="1:36">
      <c r="A109" s="1925"/>
      <c r="B109" s="1648" t="e">
        <f ca="1">IF(OR(DRIVE_Type&lt;&gt;"Coupling",Small_F),"","MSMB+")</f>
        <v>#REF!</v>
      </c>
      <c r="C109" s="580"/>
      <c r="D109" s="580"/>
      <c r="E109" s="580"/>
      <c r="F109" s="580"/>
      <c r="G109" s="580"/>
      <c r="H109" s="580"/>
      <c r="I109" s="580"/>
      <c r="J109" s="599">
        <f>IF(DRIVE_Type="Coupling",IF(Small_F,0,J57),0)</f>
        <v>0</v>
      </c>
      <c r="K109" s="608">
        <f>K107</f>
        <v>0</v>
      </c>
      <c r="L109" s="610">
        <f>L107</f>
        <v>0</v>
      </c>
      <c r="M109" s="609">
        <f t="shared" si="7"/>
        <v>0</v>
      </c>
      <c r="N109" s="608">
        <f t="shared" si="5"/>
        <v>0</v>
      </c>
      <c r="O109" s="610">
        <f>O107</f>
        <v>0</v>
      </c>
      <c r="P109" s="602"/>
      <c r="Q109" s="1454"/>
      <c r="R109" s="1189"/>
      <c r="S109" s="603"/>
      <c r="T109" s="603"/>
      <c r="U109" s="603"/>
      <c r="V109" s="603"/>
      <c r="W109" s="603"/>
      <c r="X109" s="603"/>
      <c r="Y109" s="603"/>
      <c r="Z109" s="603"/>
      <c r="AA109" s="603"/>
      <c r="AB109" s="603"/>
      <c r="AC109" s="603"/>
      <c r="AD109" s="603"/>
      <c r="AE109" s="603"/>
      <c r="AF109" s="603"/>
      <c r="AG109" s="603"/>
      <c r="AH109" s="603"/>
      <c r="AI109" s="603"/>
      <c r="AJ109" s="464"/>
    </row>
    <row r="110" spans="1:36">
      <c r="A110" s="1926"/>
      <c r="B110" s="1541" t="e">
        <f ca="1">IF(OR(DRIVE_Type&lt;&gt;"Coupling",Small_F),"","msmb+")</f>
        <v>#REF!</v>
      </c>
      <c r="C110" s="593"/>
      <c r="D110" s="595"/>
      <c r="E110" s="593"/>
      <c r="F110" s="593"/>
      <c r="G110" s="593"/>
      <c r="H110" s="593"/>
      <c r="I110" s="594"/>
      <c r="J110" s="618">
        <f>J109</f>
        <v>0</v>
      </c>
      <c r="K110" s="616">
        <f>K108</f>
        <v>0</v>
      </c>
      <c r="L110" s="617">
        <f>L108</f>
        <v>0</v>
      </c>
      <c r="M110" s="618">
        <f t="shared" si="7"/>
        <v>0</v>
      </c>
      <c r="N110" s="616">
        <f t="shared" si="5"/>
        <v>0</v>
      </c>
      <c r="O110" s="617">
        <f>O108</f>
        <v>0</v>
      </c>
      <c r="P110" s="596"/>
      <c r="Q110" s="1453"/>
      <c r="R110" s="644"/>
      <c r="S110" s="603"/>
      <c r="T110" s="603"/>
      <c r="U110" s="603"/>
      <c r="V110" s="603"/>
      <c r="W110" s="603"/>
      <c r="X110" s="603"/>
      <c r="Y110" s="603"/>
      <c r="Z110" s="603"/>
      <c r="AA110" s="603"/>
      <c r="AB110" s="603"/>
      <c r="AC110" s="603"/>
      <c r="AD110" s="603"/>
      <c r="AE110" s="603"/>
      <c r="AF110" s="603"/>
      <c r="AG110" s="603"/>
      <c r="AH110" s="603"/>
      <c r="AI110" s="603"/>
      <c r="AJ110" s="464"/>
    </row>
    <row r="111" spans="1:36">
      <c r="A111" s="1927" t="s">
        <v>3535</v>
      </c>
      <c r="B111" s="1642" t="str">
        <f>IF(DRIVE_Type&lt;&gt;"Coupling","","BSBB")</f>
        <v/>
      </c>
      <c r="C111" s="484" t="e">
        <f ca="1">BS_P</f>
        <v>#REF!</v>
      </c>
      <c r="D111" s="580">
        <f>IF(DRIVE_Type="Coupling",2*E111+(O111-L111)-2*2*(G111+G111)*TAN(R_angle/2)+2*(G111+G111*H111)*R_angle,0)</f>
        <v>0</v>
      </c>
      <c r="E111" s="580">
        <f>IF(DRIVE_Type="Coupling",IF(Small_F,(BFHe-K103)/SIN(R_angle),BS_Hemm),0)</f>
        <v>0</v>
      </c>
      <c r="F111" s="587">
        <f>IF(DRIVE_Type="Coupling",IF(Small_F,0,J113-J111),0)</f>
        <v>0</v>
      </c>
      <c r="G111" s="587">
        <f>IF(DRIVE_Type="Coupling",VLOOKUP($C111,Iron_dim,4,FALSE),0)</f>
        <v>0</v>
      </c>
      <c r="H111" s="614" t="e">
        <f>LOOKUP(G111/G111,{0,0.3,0.5,1,1.5,2,3,4,5,6,7,8},{0.3333,0.34,0.37,0.41,0.44,0.45,0.46,0.47,0.48,0.49,0.5,0.5})</f>
        <v>#DIV/0!</v>
      </c>
      <c r="I111" s="1643" t="s">
        <v>1045</v>
      </c>
      <c r="J111" s="589">
        <f>IF(DRIVE_Type="Coupling",IF(Small_F,J69,J59),0)</f>
        <v>0</v>
      </c>
      <c r="K111" s="587">
        <f>IF(DRIVE_Type="Coupling",IF(Small_F,BFHe,BFHe-1/3*F57),0)</f>
        <v>0</v>
      </c>
      <c r="L111" s="1646">
        <f>IF(DRIVE_Type="Coupling",IF(Small_F,L104-K104/TAN(R_angle)+BFHe/TAN(R_angle),L57+1/3*F57*TAN(R_angle/2)),0)</f>
        <v>0</v>
      </c>
      <c r="M111" s="615">
        <f>J111</f>
        <v>0</v>
      </c>
      <c r="N111" s="613">
        <f t="shared" si="5"/>
        <v>0</v>
      </c>
      <c r="O111" s="2176">
        <f t="shared" ref="O111:O118" si="8">-L111</f>
        <v>0</v>
      </c>
      <c r="P111" s="590">
        <f>BSBB_w/1000*F111/1000*G111/1000*steel_density</f>
        <v>0</v>
      </c>
      <c r="Q111" s="1452">
        <f>IF(G111=0,0,P111/steel_density/(G111/1000))</f>
        <v>0</v>
      </c>
      <c r="R111" s="644"/>
      <c r="S111" s="603"/>
      <c r="T111" s="580"/>
      <c r="U111" s="580"/>
      <c r="V111" s="580"/>
      <c r="W111" s="603"/>
      <c r="X111" s="603"/>
      <c r="Y111" s="603"/>
      <c r="Z111" s="603"/>
      <c r="AA111" s="603"/>
      <c r="AB111" s="603"/>
      <c r="AC111" s="603"/>
      <c r="AD111" s="603"/>
      <c r="AE111" s="603"/>
      <c r="AF111" s="603"/>
      <c r="AG111" s="603"/>
      <c r="AH111" s="603"/>
      <c r="AI111" s="603"/>
      <c r="AJ111" s="464"/>
    </row>
    <row r="112" spans="1:36">
      <c r="A112" s="1925"/>
      <c r="B112" s="585" t="str">
        <f>IF(DRIVE_Type&lt;&gt;"Coupling","","bsbb")</f>
        <v/>
      </c>
      <c r="C112" s="493"/>
      <c r="D112" s="600"/>
      <c r="E112" s="580"/>
      <c r="F112" s="580"/>
      <c r="G112" s="580"/>
      <c r="H112" s="580"/>
      <c r="I112" s="603"/>
      <c r="J112" s="609">
        <f>J111</f>
        <v>0</v>
      </c>
      <c r="K112" s="580">
        <f>IF(DRIVE_Type="Coupling",K111-BSBB_He*SIN(R_angle),0)</f>
        <v>0</v>
      </c>
      <c r="L112" s="600">
        <f>IF(DRIVE_Type="Coupling",L111-(K111-K112)/TAN(R_angle),0)</f>
        <v>0</v>
      </c>
      <c r="M112" s="609">
        <f>J112</f>
        <v>0</v>
      </c>
      <c r="N112" s="608">
        <f t="shared" si="5"/>
        <v>0</v>
      </c>
      <c r="O112" s="2175">
        <f t="shared" si="8"/>
        <v>0</v>
      </c>
      <c r="P112" s="602"/>
      <c r="Q112" s="1454"/>
      <c r="R112" s="644"/>
      <c r="S112" s="603"/>
      <c r="T112" s="603"/>
      <c r="U112" s="603"/>
      <c r="V112" s="603"/>
      <c r="W112" s="603"/>
      <c r="X112" s="603"/>
      <c r="Y112" s="603"/>
      <c r="Z112" s="603"/>
      <c r="AA112" s="603"/>
      <c r="AB112" s="603"/>
      <c r="AC112" s="603"/>
      <c r="AD112" s="603"/>
      <c r="AE112" s="603"/>
      <c r="AF112" s="603"/>
      <c r="AG112" s="603"/>
      <c r="AH112" s="603"/>
      <c r="AI112" s="603"/>
      <c r="AJ112" s="464"/>
    </row>
    <row r="113" spans="1:36">
      <c r="A113" s="1928"/>
      <c r="B113" s="642" t="str">
        <f>IF(DRIVE_Type&lt;&gt;"Coupling","","BSBB+")</f>
        <v/>
      </c>
      <c r="C113" s="493"/>
      <c r="D113" s="600"/>
      <c r="E113" s="580"/>
      <c r="F113" s="580"/>
      <c r="G113" s="580"/>
      <c r="H113" s="580"/>
      <c r="I113" s="603"/>
      <c r="J113" s="599">
        <f>IF(DRIVE_Type="Coupling",IF(Small_F,J69+DBndRa5+DBB-(F73-DBdRa6),J73),0)</f>
        <v>0</v>
      </c>
      <c r="K113" s="608">
        <f>K111</f>
        <v>0</v>
      </c>
      <c r="L113" s="608">
        <f>L111</f>
        <v>0</v>
      </c>
      <c r="M113" s="609">
        <f t="shared" ref="M113:M114" si="9">J113</f>
        <v>0</v>
      </c>
      <c r="N113" s="608">
        <f t="shared" si="5"/>
        <v>0</v>
      </c>
      <c r="O113" s="2175">
        <f t="shared" si="8"/>
        <v>0</v>
      </c>
      <c r="P113" s="602"/>
      <c r="Q113" s="1454"/>
      <c r="R113" s="644"/>
      <c r="S113" s="603"/>
      <c r="T113" s="603"/>
      <c r="U113" s="603"/>
      <c r="V113" s="603"/>
      <c r="W113" s="603"/>
      <c r="X113" s="603"/>
      <c r="Y113" s="603"/>
      <c r="Z113" s="603"/>
      <c r="AA113" s="603"/>
      <c r="AB113" s="603"/>
      <c r="AC113" s="603"/>
      <c r="AD113" s="603"/>
      <c r="AE113" s="603"/>
      <c r="AF113" s="603"/>
      <c r="AG113" s="603"/>
      <c r="AH113" s="603"/>
      <c r="AI113" s="603"/>
      <c r="AJ113" s="464"/>
    </row>
    <row r="114" spans="1:36" s="621" customFormat="1">
      <c r="A114" s="1929"/>
      <c r="B114" s="643" t="str">
        <f>IF(DRIVE_Type&lt;&gt;"Coupling","","bsbb+")</f>
        <v/>
      </c>
      <c r="C114" s="594"/>
      <c r="D114" s="593"/>
      <c r="E114" s="593"/>
      <c r="F114" s="593"/>
      <c r="G114" s="593"/>
      <c r="H114" s="594"/>
      <c r="I114" s="593"/>
      <c r="J114" s="618">
        <f>J113</f>
        <v>0</v>
      </c>
      <c r="K114" s="616">
        <f>K112</f>
        <v>0</v>
      </c>
      <c r="L114" s="616">
        <f>L112</f>
        <v>0</v>
      </c>
      <c r="M114" s="618">
        <f t="shared" si="9"/>
        <v>0</v>
      </c>
      <c r="N114" s="616">
        <f t="shared" si="5"/>
        <v>0</v>
      </c>
      <c r="O114" s="2193">
        <f t="shared" si="8"/>
        <v>0</v>
      </c>
      <c r="P114" s="596"/>
      <c r="Q114" s="1453"/>
      <c r="R114" s="644"/>
      <c r="S114" s="603"/>
      <c r="T114" s="603"/>
      <c r="U114" s="603"/>
      <c r="V114" s="603"/>
      <c r="W114" s="603"/>
      <c r="X114" s="603"/>
      <c r="Y114" s="603"/>
      <c r="Z114" s="603"/>
      <c r="AA114" s="603"/>
      <c r="AB114" s="603"/>
      <c r="AC114" s="603"/>
      <c r="AD114" s="603"/>
      <c r="AE114" s="603"/>
      <c r="AF114" s="603"/>
      <c r="AG114" s="603"/>
      <c r="AH114" s="603"/>
      <c r="AI114" s="603"/>
    </row>
    <row r="115" spans="1:36">
      <c r="A115" s="1927" t="s">
        <v>3537</v>
      </c>
      <c r="B115" s="641" t="str">
        <f>IF(DRIVE_Type="Coupling","SFX","")</f>
        <v/>
      </c>
      <c r="C115" s="580" t="e">
        <f ca="1">SF_P</f>
        <v>#REF!</v>
      </c>
      <c r="D115" s="580">
        <f>IF(DRIVE_Type="Coupling",2*E115+(O115-L115)-2*2*(G115+G115)*TAN(R_angle/2)+2*(G115+G115*H115)*R_angle,0)</f>
        <v>0</v>
      </c>
      <c r="E115" s="580">
        <f>IF(DRIVE_Type="Coupling",(K115-K116)/SIN(R_angle),0)</f>
        <v>0</v>
      </c>
      <c r="F115" s="580">
        <f>J117-J115</f>
        <v>0</v>
      </c>
      <c r="G115" s="580">
        <f>IF(DRIVE_Type="Coupling",VLOOKUP($C115,Iron_dim,4,FALSE),0)</f>
        <v>0</v>
      </c>
      <c r="H115" s="603" t="e">
        <f>LOOKUP(G115/G115,{0,0.3,0.5,1,1.5,2,3,4,5,6,7,8},{0.3333,0.34,0.37,0.41,0.44,0.45,0.46,0.47,0.48,0.49,0.5,0.5})</f>
        <v>#DIV/0!</v>
      </c>
      <c r="I115" s="603" t="s">
        <v>1045</v>
      </c>
      <c r="J115" s="609">
        <f>J75</f>
        <v>0</v>
      </c>
      <c r="K115" s="580">
        <f>IF(DRIVE_Type="Coupling",IF(Small_F,0,K26+G115),0)</f>
        <v>0</v>
      </c>
      <c r="L115" s="1905">
        <f>IF(DRIVE_Type="Coupling",IF(Small_F,0,L26-G115*TAN(R_angle/2)),0)</f>
        <v>0</v>
      </c>
      <c r="M115" s="615">
        <f>J115</f>
        <v>0</v>
      </c>
      <c r="N115" s="613">
        <f t="shared" si="5"/>
        <v>0</v>
      </c>
      <c r="O115" s="2176">
        <f t="shared" si="8"/>
        <v>0</v>
      </c>
      <c r="P115" s="590" t="e">
        <f ca="1">SFX_w/1000*F115/1000*G115/1000*steel_density</f>
        <v>#REF!</v>
      </c>
      <c r="Q115" s="1452">
        <f>IF(G115=0,0,P115/steel_density/(G115/1000))</f>
        <v>0</v>
      </c>
      <c r="R115" s="644"/>
      <c r="S115" s="603"/>
      <c r="T115" s="580"/>
      <c r="U115" s="580"/>
      <c r="V115" s="580"/>
      <c r="W115" s="603"/>
      <c r="X115" s="603"/>
      <c r="Y115" s="603"/>
      <c r="Z115" s="603"/>
      <c r="AA115" s="603"/>
      <c r="AB115" s="603"/>
      <c r="AC115" s="603"/>
      <c r="AD115" s="603"/>
      <c r="AE115" s="603"/>
      <c r="AF115" s="603"/>
      <c r="AG115" s="603"/>
      <c r="AH115" s="603"/>
      <c r="AI115" s="603"/>
      <c r="AJ115" s="464"/>
    </row>
    <row r="116" spans="1:36">
      <c r="A116" s="1927"/>
      <c r="B116" s="642" t="str">
        <f>IF(DRIVE_Type="Coupling","sfx","")</f>
        <v/>
      </c>
      <c r="C116" s="603"/>
      <c r="D116" s="580"/>
      <c r="E116" s="580"/>
      <c r="F116" s="603"/>
      <c r="G116" s="580"/>
      <c r="H116" s="603"/>
      <c r="I116" s="580"/>
      <c r="J116" s="609">
        <f>J115</f>
        <v>0</v>
      </c>
      <c r="K116" s="580" t="e">
        <f ca="1">IF(DRIVE_Type="Coupling",IF(Small_F,0,G120),'Frame Dimensions - D'!K116)</f>
        <v>#REF!</v>
      </c>
      <c r="L116" s="1905">
        <f>IF(DRIVE_Type="Coupling",L115-(K115-K116)/TAN(R_angle),0)</f>
        <v>0</v>
      </c>
      <c r="M116" s="609">
        <f>J116</f>
        <v>0</v>
      </c>
      <c r="N116" s="608" t="e">
        <f t="shared" ca="1" si="5"/>
        <v>#REF!</v>
      </c>
      <c r="O116" s="2175">
        <f t="shared" si="8"/>
        <v>0</v>
      </c>
      <c r="P116" s="602"/>
      <c r="Q116" s="1454"/>
      <c r="R116" s="644"/>
      <c r="S116" s="603"/>
      <c r="T116" s="580"/>
      <c r="U116" s="580"/>
      <c r="V116" s="580"/>
      <c r="W116" s="603"/>
      <c r="X116" s="603"/>
      <c r="Y116" s="603"/>
      <c r="Z116" s="603"/>
      <c r="AA116" s="603"/>
      <c r="AB116" s="603"/>
      <c r="AC116" s="603"/>
      <c r="AD116" s="603"/>
      <c r="AE116" s="603"/>
      <c r="AF116" s="603"/>
      <c r="AG116" s="603"/>
      <c r="AH116" s="603"/>
      <c r="AI116" s="603"/>
      <c r="AJ116" s="464"/>
    </row>
    <row r="117" spans="1:36">
      <c r="A117" s="1928"/>
      <c r="B117" s="642" t="str">
        <f>IF(DRIVE_Type="Coupling","SFX+","")</f>
        <v/>
      </c>
      <c r="C117" s="493"/>
      <c r="D117" s="600"/>
      <c r="E117" s="580"/>
      <c r="F117" s="580"/>
      <c r="G117" s="580"/>
      <c r="H117" s="580"/>
      <c r="I117" s="603"/>
      <c r="J117" s="599">
        <f>IF(DRIVE_Type="Coupling",IF(Small_F,0,M90),0)</f>
        <v>0</v>
      </c>
      <c r="K117" s="608">
        <f>K115</f>
        <v>0</v>
      </c>
      <c r="L117" s="608">
        <f>L115</f>
        <v>0</v>
      </c>
      <c r="M117" s="609">
        <f>J117</f>
        <v>0</v>
      </c>
      <c r="N117" s="608">
        <f t="shared" si="5"/>
        <v>0</v>
      </c>
      <c r="O117" s="2175">
        <f t="shared" si="8"/>
        <v>0</v>
      </c>
      <c r="P117" s="602"/>
      <c r="Q117" s="1454"/>
      <c r="R117" s="644"/>
      <c r="S117" s="603"/>
      <c r="T117" s="603"/>
      <c r="U117" s="603"/>
      <c r="V117" s="603"/>
      <c r="W117" s="603"/>
      <c r="X117" s="603"/>
      <c r="Y117" s="603"/>
      <c r="Z117" s="603"/>
      <c r="AA117" s="603"/>
      <c r="AB117" s="603"/>
      <c r="AC117" s="603"/>
      <c r="AD117" s="603"/>
      <c r="AE117" s="603"/>
      <c r="AF117" s="603"/>
      <c r="AG117" s="603"/>
      <c r="AH117" s="603"/>
      <c r="AI117" s="603"/>
      <c r="AJ117" s="464"/>
    </row>
    <row r="118" spans="1:36" s="621" customFormat="1">
      <c r="A118" s="1929"/>
      <c r="B118" s="643" t="str">
        <f>IF(DRIVE_Type="Coupling","sfx+","")</f>
        <v/>
      </c>
      <c r="C118" s="594"/>
      <c r="D118" s="593"/>
      <c r="E118" s="593"/>
      <c r="F118" s="593"/>
      <c r="G118" s="593"/>
      <c r="H118" s="594"/>
      <c r="I118" s="593"/>
      <c r="J118" s="618">
        <f>J117</f>
        <v>0</v>
      </c>
      <c r="K118" s="616" t="e">
        <f ca="1">K116</f>
        <v>#REF!</v>
      </c>
      <c r="L118" s="616">
        <f>L116</f>
        <v>0</v>
      </c>
      <c r="M118" s="618">
        <f>J118</f>
        <v>0</v>
      </c>
      <c r="N118" s="616" t="e">
        <f t="shared" ca="1" si="5"/>
        <v>#REF!</v>
      </c>
      <c r="O118" s="2193">
        <f t="shared" si="8"/>
        <v>0</v>
      </c>
      <c r="P118" s="596"/>
      <c r="Q118" s="1453"/>
      <c r="R118" s="644"/>
      <c r="S118" s="603"/>
      <c r="T118" s="603"/>
      <c r="U118" s="603"/>
      <c r="V118" s="603"/>
      <c r="W118" s="603"/>
      <c r="X118" s="603"/>
      <c r="Y118" s="603"/>
      <c r="Z118" s="603"/>
      <c r="AA118" s="603"/>
      <c r="AB118" s="603"/>
      <c r="AC118" s="603"/>
      <c r="AD118" s="603"/>
      <c r="AE118" s="603"/>
      <c r="AF118" s="603"/>
      <c r="AG118" s="603"/>
      <c r="AH118" s="603"/>
      <c r="AI118" s="603"/>
    </row>
    <row r="119" spans="1:36">
      <c r="A119" s="1930"/>
      <c r="B119" s="1910"/>
      <c r="C119" s="1911"/>
      <c r="D119" s="1912"/>
      <c r="E119" s="1912"/>
      <c r="F119" s="1912"/>
      <c r="G119" s="1912"/>
      <c r="H119" s="1912"/>
      <c r="I119" s="1912"/>
      <c r="J119" s="1913"/>
      <c r="K119" s="1912"/>
      <c r="L119" s="1912"/>
      <c r="M119" s="1913"/>
      <c r="N119" s="1912"/>
      <c r="O119" s="1914"/>
      <c r="P119" s="1915"/>
      <c r="Q119" s="1916"/>
      <c r="R119" s="644"/>
      <c r="S119" s="603"/>
      <c r="T119" s="603"/>
      <c r="U119" s="580"/>
      <c r="V119" s="603"/>
      <c r="W119" s="603"/>
      <c r="X119" s="603"/>
      <c r="Y119" s="603"/>
      <c r="Z119" s="603"/>
      <c r="AA119" s="603"/>
      <c r="AB119" s="603"/>
      <c r="AC119" s="603"/>
      <c r="AD119" s="603"/>
      <c r="AE119" s="603"/>
      <c r="AF119" s="603"/>
      <c r="AG119" s="603"/>
      <c r="AH119" s="603"/>
      <c r="AI119" s="603"/>
      <c r="AJ119" s="464"/>
    </row>
    <row r="120" spans="1:36">
      <c r="A120" s="1925" t="s">
        <v>1052</v>
      </c>
      <c r="B120" s="1642" t="str">
        <f>IF(DRIVE_Type="Coupling","SFBase_L","")</f>
        <v/>
      </c>
      <c r="C120" s="484" t="e">
        <f ca="1">SF_Base</f>
        <v>#REF!</v>
      </c>
      <c r="D120" s="587">
        <f>J122-J120</f>
        <v>0</v>
      </c>
      <c r="E120" s="587">
        <f>IF(DRIVE_Type="Coupling",IF(Small_F,G120/SIN(R_angle)+8*G120,VLOOKUP($C120,Iron_dim,2,FALSE)),0)</f>
        <v>0</v>
      </c>
      <c r="F120" s="587">
        <f>IF(DRIVE_Type="Coupling",IF(Small_F,50,MAX(ROUND(F29/SIN(R_angle)/10,0)*10,VLOOKUP(C120,Iron_dim,3,FALSE))),0)</f>
        <v>0</v>
      </c>
      <c r="G120" s="484">
        <f>IF(DRIVE_Type="Coupling",VLOOKUP($C120,Iron_dim,4,FALSE),0)</f>
        <v>0</v>
      </c>
      <c r="H120" s="587"/>
      <c r="I120" s="1643" t="s">
        <v>1047</v>
      </c>
      <c r="J120" s="615">
        <f>J29</f>
        <v>0</v>
      </c>
      <c r="K120" s="1644">
        <v>0</v>
      </c>
      <c r="L120" s="1646">
        <f>IF(DRIVE_Type="Coupling",IF(Small_F,O120-F120,L29),0)</f>
        <v>0</v>
      </c>
      <c r="M120" s="615">
        <f>J120</f>
        <v>0</v>
      </c>
      <c r="N120" s="1542">
        <f>K120</f>
        <v>0</v>
      </c>
      <c r="O120" s="1645">
        <f>IF(DRIVE_Type="Coupling",IF(Small_F,L104-(K104-G120)/TAN(R_angle)+G103/SIN(R_angle)+G120*TAN(R_angle/2),L120+F120),0)</f>
        <v>0</v>
      </c>
      <c r="P120" s="584">
        <f>(E120/1000+F120/1000)*G120/1000*D120/1000*steel_density</f>
        <v>0</v>
      </c>
      <c r="Q120" s="1450">
        <f>IF(G120=0,0,P120/steel_density/(G120/1000))</f>
        <v>0</v>
      </c>
      <c r="R120" s="644"/>
      <c r="S120" s="603"/>
      <c r="T120" s="603"/>
      <c r="U120" s="603"/>
      <c r="V120" s="603"/>
      <c r="W120" s="603"/>
      <c r="X120" s="603"/>
      <c r="Y120" s="603"/>
      <c r="Z120" s="603"/>
      <c r="AA120" s="603"/>
      <c r="AB120" s="603"/>
      <c r="AC120" s="603"/>
      <c r="AD120" s="603"/>
      <c r="AE120" s="603"/>
      <c r="AF120" s="603"/>
      <c r="AG120" s="603"/>
      <c r="AH120" s="603"/>
      <c r="AI120" s="603"/>
      <c r="AJ120" s="464"/>
    </row>
    <row r="121" spans="1:36">
      <c r="A121" s="1925"/>
      <c r="B121" s="1648" t="str">
        <f>IF(DRIVE_Type="Coupling","sfbase_L","")</f>
        <v/>
      </c>
      <c r="C121" s="580"/>
      <c r="D121" s="580"/>
      <c r="E121" s="580"/>
      <c r="F121" s="580"/>
      <c r="G121" s="580"/>
      <c r="H121" s="580"/>
      <c r="I121" s="603"/>
      <c r="J121" s="609">
        <f>J120</f>
        <v>0</v>
      </c>
      <c r="K121" s="1699">
        <f>K120</f>
        <v>0</v>
      </c>
      <c r="L121" s="600">
        <f>IF(DRIVE_Type="Coupling",IF(Small_F,O120,0),0)</f>
        <v>0</v>
      </c>
      <c r="M121" s="609">
        <f t="shared" ref="M121:M127" si="10">J121</f>
        <v>0</v>
      </c>
      <c r="N121" s="637">
        <f>IF(DRIVE_Type="Coupling",IF(Small_F,SFBase_He_L*SIN(R_angle),0),0)</f>
        <v>0</v>
      </c>
      <c r="O121" s="601">
        <f>IF(DRIVE_Type="Coupling",IF(Small_F,O120+(N121-N120)/TAN(R_angle),0),0)</f>
        <v>0</v>
      </c>
      <c r="P121" s="602"/>
      <c r="Q121" s="1454"/>
      <c r="R121" s="644"/>
      <c r="S121" s="603"/>
      <c r="T121" s="580"/>
      <c r="U121" s="580"/>
      <c r="V121" s="580"/>
      <c r="W121" s="603"/>
      <c r="X121" s="603"/>
      <c r="Y121" s="603"/>
      <c r="Z121" s="603"/>
      <c r="AA121" s="603"/>
      <c r="AB121" s="603"/>
      <c r="AC121" s="603"/>
      <c r="AD121" s="603"/>
      <c r="AE121" s="603"/>
      <c r="AF121" s="603"/>
      <c r="AG121" s="603"/>
      <c r="AH121" s="603"/>
      <c r="AI121" s="603"/>
      <c r="AJ121" s="464"/>
    </row>
    <row r="122" spans="1:36">
      <c r="A122" s="1925"/>
      <c r="B122" s="604" t="str">
        <f>IF(DRIVE_Type="Coupling","SFBase_L+","")</f>
        <v/>
      </c>
      <c r="C122" s="580"/>
      <c r="D122" s="603"/>
      <c r="E122" s="603"/>
      <c r="F122" s="580"/>
      <c r="G122" s="580"/>
      <c r="H122" s="603"/>
      <c r="I122" s="580"/>
      <c r="J122" s="599">
        <f>IF(DRIVE_Type="Coupling",M90+IF(L100=0,0,House_B_ins+House_P_T),0)</f>
        <v>0</v>
      </c>
      <c r="K122" s="608">
        <f>K120</f>
        <v>0</v>
      </c>
      <c r="L122" s="608">
        <f>L120</f>
        <v>0</v>
      </c>
      <c r="M122" s="609">
        <f t="shared" si="10"/>
        <v>0</v>
      </c>
      <c r="N122" s="608">
        <f>N120</f>
        <v>0</v>
      </c>
      <c r="O122" s="611">
        <f>O120</f>
        <v>0</v>
      </c>
      <c r="P122" s="584"/>
      <c r="Q122" s="1450"/>
      <c r="R122" s="644"/>
      <c r="S122" s="603"/>
      <c r="T122" s="603"/>
      <c r="U122" s="603"/>
      <c r="V122" s="603"/>
      <c r="W122" s="603"/>
      <c r="X122" s="603"/>
      <c r="Y122" s="603"/>
      <c r="Z122" s="603"/>
      <c r="AA122" s="603"/>
      <c r="AB122" s="603"/>
      <c r="AC122" s="603"/>
      <c r="AD122" s="603"/>
      <c r="AE122" s="603"/>
      <c r="AF122" s="603"/>
      <c r="AG122" s="603"/>
      <c r="AH122" s="603"/>
      <c r="AI122" s="603"/>
      <c r="AJ122" s="464"/>
    </row>
    <row r="123" spans="1:36">
      <c r="A123" s="1925"/>
      <c r="B123" s="604" t="str">
        <f>IF(DRIVE_Type="Coupling","sfbase_L+","")</f>
        <v/>
      </c>
      <c r="C123" s="580"/>
      <c r="D123" s="580"/>
      <c r="E123" s="580"/>
      <c r="F123" s="580"/>
      <c r="G123" s="580"/>
      <c r="H123" s="603"/>
      <c r="I123" s="580"/>
      <c r="J123" s="609">
        <f>J122</f>
        <v>0</v>
      </c>
      <c r="K123" s="608">
        <f>K121</f>
        <v>0</v>
      </c>
      <c r="L123" s="608">
        <f>L121</f>
        <v>0</v>
      </c>
      <c r="M123" s="609">
        <f t="shared" si="10"/>
        <v>0</v>
      </c>
      <c r="N123" s="608">
        <f>N121</f>
        <v>0</v>
      </c>
      <c r="O123" s="611">
        <f>O121</f>
        <v>0</v>
      </c>
      <c r="P123" s="584"/>
      <c r="Q123" s="1450"/>
      <c r="R123" s="644"/>
      <c r="S123" s="603"/>
      <c r="T123" s="603"/>
      <c r="U123" s="603"/>
      <c r="V123" s="603"/>
      <c r="W123" s="603"/>
      <c r="X123" s="603"/>
      <c r="Y123" s="603"/>
      <c r="Z123" s="603"/>
      <c r="AA123" s="603"/>
      <c r="AB123" s="603"/>
      <c r="AC123" s="603"/>
      <c r="AD123" s="603"/>
      <c r="AE123" s="603"/>
      <c r="AF123" s="603"/>
      <c r="AG123" s="603"/>
      <c r="AH123" s="603"/>
      <c r="AI123" s="603"/>
      <c r="AJ123" s="464"/>
    </row>
    <row r="124" spans="1:36">
      <c r="A124" s="1925"/>
      <c r="B124" s="597" t="str">
        <f>IF(DRIVE_Type="Coupling","SFBase_R","")</f>
        <v/>
      </c>
      <c r="C124" s="493" t="e">
        <f ca="1">SF_Base</f>
        <v>#REF!</v>
      </c>
      <c r="D124" s="580">
        <f>J126-J124</f>
        <v>0</v>
      </c>
      <c r="E124" s="580">
        <f>IF(DRIVE_Type="Coupling",IF(Small_F,G124/SIN(R_angle)+8*G124,VLOOKUP($C124,Iron_dim,2,FALSE)),0)</f>
        <v>0</v>
      </c>
      <c r="F124" s="580">
        <f>IF(DRIVE_Type="Coupling",IF(Small_F,50,MAX(ROUND(F33/SIN(R_angle)/10,0)*10,VLOOKUP(C124,Iron_dim,3,FALSE))),0)</f>
        <v>0</v>
      </c>
      <c r="G124" s="493">
        <f>IF(DRIVE_Type="Coupling",VLOOKUP($C124,Iron_dim,4,FALSE),0)</f>
        <v>0</v>
      </c>
      <c r="H124" s="603"/>
      <c r="I124" s="581" t="s">
        <v>1050</v>
      </c>
      <c r="J124" s="609">
        <f>J33</f>
        <v>0</v>
      </c>
      <c r="K124" s="681">
        <v>0</v>
      </c>
      <c r="L124" s="600">
        <f>IF(DRIVE_Type="Coupling",IF(Small_F,O124+F124,L33),0)</f>
        <v>0</v>
      </c>
      <c r="M124" s="609">
        <f t="shared" si="10"/>
        <v>0</v>
      </c>
      <c r="N124" s="608">
        <f>K124</f>
        <v>0</v>
      </c>
      <c r="O124" s="601">
        <f>IF(DRIVE_Type="Coupling",IF(Small_F,O104+(N104-G124)/TAN(R_angle)-G103/SIN(R_angle)-G124*TAN(R_angle/2),L124-F124),0)</f>
        <v>0</v>
      </c>
      <c r="P124" s="584">
        <f>(E124/1000+F124/1000)*G124/1000*D124/1000*steel_density</f>
        <v>0</v>
      </c>
      <c r="Q124" s="1450">
        <f>IF(G124=0,0,P124/steel_density/(G124/1000))</f>
        <v>0</v>
      </c>
      <c r="R124" s="644"/>
      <c r="S124" s="603"/>
      <c r="T124" s="603"/>
      <c r="U124" s="603"/>
      <c r="V124" s="603"/>
      <c r="W124" s="603"/>
      <c r="X124" s="603"/>
      <c r="Y124" s="603"/>
      <c r="Z124" s="603"/>
      <c r="AA124" s="603"/>
      <c r="AB124" s="603"/>
      <c r="AC124" s="603"/>
      <c r="AD124" s="603"/>
      <c r="AE124" s="603"/>
      <c r="AF124" s="603"/>
      <c r="AG124" s="603"/>
      <c r="AH124" s="603"/>
      <c r="AI124" s="603"/>
      <c r="AJ124" s="464"/>
    </row>
    <row r="125" spans="1:36" s="621" customFormat="1">
      <c r="A125" s="1924"/>
      <c r="B125" s="1648" t="str">
        <f>IF(DRIVE_Type="Coupling","sfbase_R","")</f>
        <v/>
      </c>
      <c r="C125" s="580"/>
      <c r="D125" s="580"/>
      <c r="E125" s="580"/>
      <c r="F125" s="580"/>
      <c r="G125" s="580"/>
      <c r="H125" s="580"/>
      <c r="I125" s="603"/>
      <c r="J125" s="609">
        <f>J124</f>
        <v>0</v>
      </c>
      <c r="K125" s="1699">
        <f>K124</f>
        <v>0</v>
      </c>
      <c r="L125" s="600">
        <f>IF(DRIVE_Type="Coupling",IF(Small_F,O124,0),0)</f>
        <v>0</v>
      </c>
      <c r="M125" s="609">
        <f t="shared" si="10"/>
        <v>0</v>
      </c>
      <c r="N125" s="637">
        <f>IF(DRIVE_Type="Coupling",IF(Small_F,SFBase_He_R*SIN(R_angle),0),0)</f>
        <v>0</v>
      </c>
      <c r="O125" s="601">
        <f>IF(DRIVE_Type="Coupling",IF(Small_F,O124-(N125-N124)/TAN(R_angle),0),0)</f>
        <v>0</v>
      </c>
      <c r="P125" s="602"/>
      <c r="Q125" s="1454"/>
      <c r="R125" s="644"/>
      <c r="S125" s="603"/>
      <c r="T125" s="603"/>
      <c r="U125" s="603"/>
      <c r="V125" s="603"/>
      <c r="W125" s="603"/>
      <c r="X125" s="603"/>
      <c r="Y125" s="603"/>
      <c r="Z125" s="603"/>
      <c r="AA125" s="603"/>
      <c r="AB125" s="580"/>
      <c r="AC125" s="603"/>
      <c r="AD125" s="603"/>
      <c r="AE125" s="603"/>
      <c r="AF125" s="603"/>
      <c r="AG125" s="603"/>
      <c r="AH125" s="603"/>
      <c r="AI125" s="603"/>
    </row>
    <row r="126" spans="1:36">
      <c r="A126" s="1925"/>
      <c r="B126" s="604" t="str">
        <f>IF(DRIVE_Type="Coupling","SFBase_R+","")</f>
        <v/>
      </c>
      <c r="C126" s="580"/>
      <c r="D126" s="580"/>
      <c r="E126" s="580"/>
      <c r="F126" s="580"/>
      <c r="G126" s="580"/>
      <c r="H126" s="580"/>
      <c r="I126" s="493"/>
      <c r="J126" s="599">
        <f>IF(DRIVE_Type="Coupling",M93+IF(L101=0,0,House_B_ins+House_P_T),0)</f>
        <v>0</v>
      </c>
      <c r="K126" s="608">
        <f>K124</f>
        <v>0</v>
      </c>
      <c r="L126" s="608">
        <f>L124</f>
        <v>0</v>
      </c>
      <c r="M126" s="609">
        <f t="shared" si="10"/>
        <v>0</v>
      </c>
      <c r="N126" s="608">
        <f>N124</f>
        <v>0</v>
      </c>
      <c r="O126" s="611">
        <f>O124</f>
        <v>0</v>
      </c>
      <c r="P126" s="584"/>
      <c r="Q126" s="1450"/>
      <c r="R126" s="644"/>
      <c r="S126" s="603"/>
      <c r="T126" s="603"/>
      <c r="U126" s="603"/>
      <c r="V126" s="603"/>
      <c r="W126" s="603"/>
      <c r="X126" s="603"/>
      <c r="Y126" s="603"/>
      <c r="Z126" s="603"/>
      <c r="AA126" s="603"/>
      <c r="AB126" s="603"/>
      <c r="AC126" s="603"/>
      <c r="AD126" s="603"/>
      <c r="AE126" s="603"/>
      <c r="AF126" s="603"/>
      <c r="AG126" s="603"/>
      <c r="AH126" s="603"/>
      <c r="AI126" s="603"/>
      <c r="AJ126" s="464"/>
    </row>
    <row r="127" spans="1:36">
      <c r="A127" s="1925"/>
      <c r="B127" s="633" t="str">
        <f>IF(DRIVE_Type="Coupling","sfbase_R+","")</f>
        <v/>
      </c>
      <c r="C127" s="593"/>
      <c r="D127" s="593"/>
      <c r="E127" s="593"/>
      <c r="F127" s="593"/>
      <c r="G127" s="593"/>
      <c r="H127" s="593"/>
      <c r="I127" s="479"/>
      <c r="J127" s="618">
        <f>J126</f>
        <v>0</v>
      </c>
      <c r="K127" s="616">
        <f>K125</f>
        <v>0</v>
      </c>
      <c r="L127" s="616">
        <f>L125</f>
        <v>0</v>
      </c>
      <c r="M127" s="618">
        <f t="shared" si="10"/>
        <v>0</v>
      </c>
      <c r="N127" s="616">
        <f>N125</f>
        <v>0</v>
      </c>
      <c r="O127" s="634">
        <f>O125</f>
        <v>0</v>
      </c>
      <c r="P127" s="605"/>
      <c r="Q127" s="1455"/>
      <c r="R127" s="644"/>
      <c r="S127" s="603"/>
      <c r="T127" s="603"/>
      <c r="U127" s="603"/>
      <c r="V127" s="603"/>
      <c r="W127" s="603"/>
      <c r="X127" s="603"/>
      <c r="Y127" s="603"/>
      <c r="Z127" s="603"/>
      <c r="AA127" s="603"/>
      <c r="AB127" s="603"/>
      <c r="AC127" s="603"/>
      <c r="AD127" s="603"/>
      <c r="AE127" s="603"/>
      <c r="AF127" s="603"/>
      <c r="AG127" s="603"/>
      <c r="AH127" s="603"/>
      <c r="AI127" s="603"/>
      <c r="AJ127" s="464"/>
    </row>
    <row r="128" spans="1:36" ht="14.45" customHeight="1">
      <c r="A128" s="1925"/>
      <c r="B128" s="628" t="str">
        <f>IF(DRIVE_Type="Coupling",IF(Small_F,"","SFMM_L"),"")</f>
        <v/>
      </c>
      <c r="C128" s="580" t="e">
        <f ca="1">SF_P</f>
        <v>#REF!</v>
      </c>
      <c r="D128" s="580"/>
      <c r="E128" s="580">
        <f>IF(DRIVE_Type="Coupling",ROUND(IF(Small_F,0,SF_Hefactor*(K104-G120))/SIN(R_angle)/5,0)*5,0)</f>
        <v>0</v>
      </c>
      <c r="F128" s="580">
        <f>IF(DRIVE_Type="Coupling",IF(Small_F,0,M128-J128),0)</f>
        <v>0</v>
      </c>
      <c r="G128" s="587">
        <f>IF(DRIVE_Type="Coupling",IF(Small_F,0,VLOOKUP($C128,Iron_dim,4,FALSE)),0)</f>
        <v>0</v>
      </c>
      <c r="H128" s="493"/>
      <c r="I128" s="603" t="s">
        <v>281</v>
      </c>
      <c r="J128" s="609">
        <f>J31</f>
        <v>0</v>
      </c>
      <c r="K128" s="580" t="e">
        <f ca="1">K129+E128*SIN(R_angle)</f>
        <v>#REF!</v>
      </c>
      <c r="L128" s="580" t="e">
        <f ca="1">L129+(K128-K129)/TAN(R_angle)</f>
        <v>#REF!</v>
      </c>
      <c r="M128" s="609">
        <f>J45</f>
        <v>0</v>
      </c>
      <c r="N128" s="608" t="e">
        <f t="shared" ref="N128:O135" ca="1" si="11">K128</f>
        <v>#REF!</v>
      </c>
      <c r="O128" s="611" t="e">
        <f t="shared" ca="1" si="11"/>
        <v>#REF!</v>
      </c>
      <c r="P128" s="632">
        <f>E128/1000*F128/1000*G128/1000*steel_density</f>
        <v>0</v>
      </c>
      <c r="Q128" s="1456">
        <f>IF(G128=0,0,P128/steel_density/(G128/1000))</f>
        <v>0</v>
      </c>
      <c r="R128" s="644"/>
      <c r="S128" s="603"/>
      <c r="T128" s="603"/>
      <c r="U128" s="603"/>
      <c r="V128" s="603"/>
      <c r="W128" s="603"/>
      <c r="X128" s="603"/>
      <c r="Y128" s="603"/>
      <c r="Z128" s="603"/>
      <c r="AA128" s="603"/>
      <c r="AB128" s="603"/>
      <c r="AC128" s="603"/>
      <c r="AD128" s="603"/>
      <c r="AE128" s="603"/>
      <c r="AF128" s="603"/>
      <c r="AG128" s="603"/>
      <c r="AH128" s="603"/>
      <c r="AI128" s="603"/>
      <c r="AJ128" s="464"/>
    </row>
    <row r="129" spans="1:36">
      <c r="A129" s="1931"/>
      <c r="B129" s="633" t="str">
        <f>IF(DRIVE_Type="Coupling",IF(Small_F,"","sfmmL"),"")</f>
        <v/>
      </c>
      <c r="C129" s="594"/>
      <c r="D129" s="479"/>
      <c r="E129" s="479"/>
      <c r="F129" s="479"/>
      <c r="G129" s="479"/>
      <c r="H129" s="479"/>
      <c r="I129" s="479"/>
      <c r="J129" s="618">
        <f>J128</f>
        <v>0</v>
      </c>
      <c r="K129" s="616" t="e">
        <f ca="1">K31</f>
        <v>#REF!</v>
      </c>
      <c r="L129" s="593" t="e">
        <f ca="1">L29+1/3*F29/SIN(R_angle)</f>
        <v>#REF!</v>
      </c>
      <c r="M129" s="618">
        <f>M128</f>
        <v>0</v>
      </c>
      <c r="N129" s="616" t="e">
        <f t="shared" ca="1" si="11"/>
        <v>#REF!</v>
      </c>
      <c r="O129" s="634" t="e">
        <f t="shared" ca="1" si="11"/>
        <v>#REF!</v>
      </c>
      <c r="P129" s="605"/>
      <c r="Q129" s="1455"/>
      <c r="R129" s="644"/>
      <c r="S129" s="603"/>
      <c r="T129" s="603"/>
      <c r="U129" s="603"/>
      <c r="V129" s="603"/>
      <c r="W129" s="603"/>
      <c r="X129" s="603"/>
      <c r="Y129" s="603"/>
      <c r="Z129" s="603"/>
      <c r="AA129" s="603"/>
      <c r="AB129" s="603"/>
      <c r="AC129" s="603"/>
      <c r="AD129" s="603"/>
      <c r="AE129" s="603"/>
      <c r="AF129" s="603"/>
      <c r="AG129" s="603"/>
      <c r="AH129" s="603"/>
      <c r="AI129" s="603"/>
      <c r="AJ129" s="464"/>
    </row>
    <row r="130" spans="1:36" s="621" customFormat="1">
      <c r="A130" s="1925"/>
      <c r="B130" s="629" t="str">
        <f>IF(DRIVE_Type="Coupling",IF(Small_F,"","SFMM_R"),"")</f>
        <v/>
      </c>
      <c r="C130" s="580" t="e">
        <f ca="1">SF_P</f>
        <v>#REF!</v>
      </c>
      <c r="D130" s="580"/>
      <c r="E130" s="2194">
        <f>E128</f>
        <v>0</v>
      </c>
      <c r="F130" s="580">
        <f>IF(DRIVE_Type="Coupling",IF(Small_F,0,M130-J130),0)</f>
        <v>0</v>
      </c>
      <c r="G130" s="587">
        <f>IF(DRIVE_Type="Coupling",IF(Small_F,0,VLOOKUP($C130,Iron_dim,4,FALSE)),0)</f>
        <v>0</v>
      </c>
      <c r="H130" s="484"/>
      <c r="I130" s="614" t="s">
        <v>281</v>
      </c>
      <c r="J130" s="615">
        <f>J35</f>
        <v>0</v>
      </c>
      <c r="K130" s="587" t="e">
        <f ca="1">K131+E130*SIN(R_angle)</f>
        <v>#REF!</v>
      </c>
      <c r="L130" s="587" t="e">
        <f ca="1">L131-(K130-K131)/TAN(R_angle)</f>
        <v>#REF!</v>
      </c>
      <c r="M130" s="615">
        <f>J49</f>
        <v>0</v>
      </c>
      <c r="N130" s="613" t="e">
        <f t="shared" ca="1" si="11"/>
        <v>#REF!</v>
      </c>
      <c r="O130" s="631" t="e">
        <f t="shared" ca="1" si="11"/>
        <v>#REF!</v>
      </c>
      <c r="P130" s="632">
        <f>E130/1000*F130/1000*G130/1000*steel_density</f>
        <v>0</v>
      </c>
      <c r="Q130" s="1456">
        <f>IF(G130=0,0,P130/steel_density/(G130/1000))</f>
        <v>0</v>
      </c>
      <c r="R130" s="1189"/>
      <c r="S130" s="603"/>
      <c r="T130" s="603"/>
      <c r="U130" s="603"/>
      <c r="V130" s="603"/>
      <c r="W130" s="603"/>
      <c r="X130" s="603"/>
      <c r="Y130" s="603"/>
      <c r="Z130" s="603"/>
      <c r="AA130" s="603"/>
      <c r="AB130" s="603"/>
      <c r="AC130" s="603"/>
      <c r="AD130" s="603"/>
      <c r="AE130" s="603"/>
      <c r="AF130" s="603"/>
      <c r="AG130" s="603"/>
      <c r="AH130" s="603"/>
      <c r="AI130" s="603"/>
    </row>
    <row r="131" spans="1:36">
      <c r="A131" s="1925"/>
      <c r="B131" s="633" t="str">
        <f>IF(DRIVE_Type="Coupling",IF(Small_F,"","sfmmR"),"")</f>
        <v/>
      </c>
      <c r="C131" s="594"/>
      <c r="D131" s="479"/>
      <c r="E131" s="593"/>
      <c r="F131" s="479"/>
      <c r="G131" s="479"/>
      <c r="H131" s="479"/>
      <c r="I131" s="479"/>
      <c r="J131" s="618">
        <f>J130</f>
        <v>0</v>
      </c>
      <c r="K131" s="616" t="e">
        <f ca="1">K35</f>
        <v>#REF!</v>
      </c>
      <c r="L131" s="593" t="e">
        <f ca="1">L35-1/3*F33/SIN(R_angle)</f>
        <v>#REF!</v>
      </c>
      <c r="M131" s="618">
        <f>M130</f>
        <v>0</v>
      </c>
      <c r="N131" s="616" t="e">
        <f t="shared" ca="1" si="11"/>
        <v>#REF!</v>
      </c>
      <c r="O131" s="634" t="e">
        <f t="shared" ca="1" si="11"/>
        <v>#REF!</v>
      </c>
      <c r="P131" s="605"/>
      <c r="Q131" s="1455"/>
      <c r="R131" s="1502"/>
      <c r="S131" s="580"/>
      <c r="T131" s="572"/>
      <c r="U131" s="572"/>
      <c r="V131" s="572"/>
      <c r="W131" s="580"/>
      <c r="X131" s="580"/>
      <c r="Y131" s="580"/>
      <c r="Z131" s="580"/>
      <c r="AA131" s="580"/>
      <c r="AB131" s="580"/>
      <c r="AC131" s="603"/>
      <c r="AD131" s="603"/>
      <c r="AE131" s="603"/>
      <c r="AF131" s="603"/>
      <c r="AG131" s="603"/>
      <c r="AH131" s="603"/>
      <c r="AI131" s="603"/>
      <c r="AJ131" s="464"/>
    </row>
    <row r="132" spans="1:36">
      <c r="A132" s="1931"/>
      <c r="B132" s="635" t="str">
        <f>IF(DRIVE_Type="Coupling",IF(Small_F,"","SFBB_L"),"")</f>
        <v/>
      </c>
      <c r="C132" s="580" t="e">
        <f ca="1">SF_P</f>
        <v>#REF!</v>
      </c>
      <c r="D132" s="580"/>
      <c r="E132" s="580">
        <f>IF(DRIVE_Type="Coupling",ROUND(IF(Small_F,0,SF_Hefactor*(K112-G112))/SIN(R_angle)/5,0)*5,0)</f>
        <v>0</v>
      </c>
      <c r="F132" s="580">
        <f>IF(DRIVE_Type="Coupling",IF(Small_F,0,M132-J132),0)</f>
        <v>0</v>
      </c>
      <c r="G132" s="587">
        <f>IF(DRIVE_Type="Coupling",IF(Small_F,0,VLOOKUP($C132,Iron_dim,4,FALSE)),0)</f>
        <v>0</v>
      </c>
      <c r="H132" s="484"/>
      <c r="I132" s="614" t="s">
        <v>281</v>
      </c>
      <c r="J132" s="615">
        <f>J63</f>
        <v>0</v>
      </c>
      <c r="K132" s="587">
        <f>K133+E132*SIN(R_angle)</f>
        <v>0</v>
      </c>
      <c r="L132" s="587">
        <f>L133+(K132-K133)/TAN(R_angle)</f>
        <v>0</v>
      </c>
      <c r="M132" s="615">
        <f>J77</f>
        <v>0</v>
      </c>
      <c r="N132" s="613">
        <f t="shared" si="11"/>
        <v>0</v>
      </c>
      <c r="O132" s="631">
        <f t="shared" si="11"/>
        <v>0</v>
      </c>
      <c r="P132" s="632">
        <f>E132/1000*F132/1000*G132/1000*steel_density</f>
        <v>0</v>
      </c>
      <c r="Q132" s="1456">
        <f>IF(G132=0,0,P132/steel_density/(G132/1000))</f>
        <v>0</v>
      </c>
      <c r="R132" s="1503"/>
      <c r="S132" s="603"/>
      <c r="T132" s="603"/>
      <c r="U132" s="603"/>
      <c r="V132" s="603"/>
      <c r="W132" s="603"/>
      <c r="X132" s="603"/>
      <c r="Y132" s="603"/>
      <c r="Z132" s="603"/>
      <c r="AA132" s="603"/>
      <c r="AB132" s="580"/>
      <c r="AC132" s="603"/>
      <c r="AD132" s="603"/>
      <c r="AE132" s="603"/>
      <c r="AF132" s="603"/>
      <c r="AG132" s="603"/>
      <c r="AH132" s="603"/>
      <c r="AI132" s="603"/>
      <c r="AJ132" s="464"/>
    </row>
    <row r="133" spans="1:36">
      <c r="A133" s="1931"/>
      <c r="B133" s="633" t="str">
        <f>IF(DRIVE_Type="Coupling",IF(Small_F,"","sfbbL"),"")</f>
        <v/>
      </c>
      <c r="C133" s="594"/>
      <c r="D133" s="479"/>
      <c r="E133" s="479"/>
      <c r="F133" s="479"/>
      <c r="G133" s="479"/>
      <c r="H133" s="479"/>
      <c r="I133" s="479"/>
      <c r="J133" s="618">
        <f>J132</f>
        <v>0</v>
      </c>
      <c r="K133" s="616">
        <f>K63</f>
        <v>0</v>
      </c>
      <c r="L133" s="593">
        <f>L63+1/3*F63/SIN(R_angle)</f>
        <v>0</v>
      </c>
      <c r="M133" s="618">
        <f>M132</f>
        <v>0</v>
      </c>
      <c r="N133" s="616">
        <f t="shared" si="11"/>
        <v>0</v>
      </c>
      <c r="O133" s="634">
        <f t="shared" si="11"/>
        <v>0</v>
      </c>
      <c r="P133" s="605"/>
      <c r="Q133" s="1455"/>
      <c r="R133" s="644"/>
      <c r="S133" s="603"/>
      <c r="T133" s="603"/>
      <c r="U133" s="603"/>
      <c r="V133" s="603"/>
      <c r="W133" s="603"/>
      <c r="X133" s="603"/>
      <c r="Y133" s="603"/>
      <c r="Z133" s="603"/>
      <c r="AA133" s="603"/>
      <c r="AB133" s="580"/>
      <c r="AC133" s="603"/>
      <c r="AD133" s="603"/>
      <c r="AE133" s="603"/>
      <c r="AF133" s="603"/>
      <c r="AG133" s="603"/>
      <c r="AH133" s="603"/>
      <c r="AI133" s="603"/>
      <c r="AJ133" s="464"/>
    </row>
    <row r="134" spans="1:36" s="621" customFormat="1">
      <c r="A134" s="1931"/>
      <c r="B134" s="635" t="str">
        <f>IF(DRIVE_Type="Coupling",IF(Small_F,"","SFBB_R"),"")</f>
        <v/>
      </c>
      <c r="C134" s="580" t="e">
        <f ca="1">SF_P</f>
        <v>#REF!</v>
      </c>
      <c r="D134" s="580"/>
      <c r="E134" s="2194">
        <f>E132</f>
        <v>0</v>
      </c>
      <c r="F134" s="580">
        <f>IF(DRIVE_Type="Coupling",IF(Small_F,0,M134-J134),0)</f>
        <v>0</v>
      </c>
      <c r="G134" s="587">
        <f>IF(DRIVE_Type="Coupling",IF(Small_F,0,VLOOKUP($C134,Iron_dim,4,FALSE)),0)</f>
        <v>0</v>
      </c>
      <c r="H134" s="484"/>
      <c r="I134" s="614" t="s">
        <v>281</v>
      </c>
      <c r="J134" s="615">
        <f>J67</f>
        <v>0</v>
      </c>
      <c r="K134" s="587">
        <f>K135+E134*SIN(R_angle)</f>
        <v>0</v>
      </c>
      <c r="L134" s="587">
        <f>L135-(K134-K135)/TAN(R_angle)</f>
        <v>0</v>
      </c>
      <c r="M134" s="615">
        <f>J81</f>
        <v>0</v>
      </c>
      <c r="N134" s="613">
        <f t="shared" si="11"/>
        <v>0</v>
      </c>
      <c r="O134" s="631">
        <f t="shared" si="11"/>
        <v>0</v>
      </c>
      <c r="P134" s="632">
        <f>E134/1000*F134/1000*G134/1000*steel_density</f>
        <v>0</v>
      </c>
      <c r="Q134" s="1456">
        <f>IF(G134=0,0,P134/steel_density/(G134/1000))</f>
        <v>0</v>
      </c>
      <c r="R134" s="644"/>
      <c r="S134" s="603"/>
      <c r="T134" s="603"/>
      <c r="U134" s="603"/>
      <c r="V134" s="603"/>
      <c r="W134" s="603"/>
      <c r="X134" s="603"/>
      <c r="Y134" s="603"/>
      <c r="Z134" s="603"/>
      <c r="AA134" s="603"/>
      <c r="AB134" s="580"/>
      <c r="AC134" s="603"/>
      <c r="AD134" s="603"/>
      <c r="AE134" s="603"/>
      <c r="AF134" s="603"/>
      <c r="AG134" s="603"/>
      <c r="AH134" s="603"/>
      <c r="AI134" s="603"/>
    </row>
    <row r="135" spans="1:36">
      <c r="A135" s="1931"/>
      <c r="B135" s="633" t="str">
        <f>IF(DRIVE_Type="Coupling",IF(Small_F,"","sfbbR"),"")</f>
        <v/>
      </c>
      <c r="C135" s="594"/>
      <c r="D135" s="479"/>
      <c r="E135" s="479"/>
      <c r="F135" s="479"/>
      <c r="G135" s="479"/>
      <c r="H135" s="479"/>
      <c r="I135" s="479"/>
      <c r="J135" s="618">
        <f>J134</f>
        <v>0</v>
      </c>
      <c r="K135" s="616">
        <f>K67</f>
        <v>0</v>
      </c>
      <c r="L135" s="593">
        <f>L67-1/3*F67/SIN(R_angle)</f>
        <v>0</v>
      </c>
      <c r="M135" s="618">
        <f>M134</f>
        <v>0</v>
      </c>
      <c r="N135" s="616">
        <f t="shared" si="11"/>
        <v>0</v>
      </c>
      <c r="O135" s="634">
        <f t="shared" si="11"/>
        <v>0</v>
      </c>
      <c r="P135" s="605"/>
      <c r="Q135" s="1455"/>
      <c r="R135" s="644"/>
      <c r="S135" s="603"/>
      <c r="T135" s="603"/>
      <c r="U135" s="603"/>
      <c r="V135" s="603"/>
      <c r="W135" s="603"/>
      <c r="X135" s="603"/>
      <c r="Y135" s="603"/>
      <c r="Z135" s="603"/>
      <c r="AA135" s="603"/>
      <c r="AB135" s="580"/>
      <c r="AC135" s="603"/>
      <c r="AD135" s="603"/>
      <c r="AE135" s="603"/>
      <c r="AF135" s="603"/>
      <c r="AG135" s="603"/>
      <c r="AH135" s="603"/>
      <c r="AI135" s="603"/>
      <c r="AJ135" s="464"/>
    </row>
    <row r="136" spans="1:36" ht="15.75" thickBot="1">
      <c r="A136" s="1910"/>
      <c r="B136" s="1910"/>
      <c r="C136" s="1911"/>
      <c r="D136" s="1912"/>
      <c r="E136" s="1912"/>
      <c r="F136" s="1912"/>
      <c r="G136" s="1912"/>
      <c r="H136" s="1912"/>
      <c r="I136" s="1912"/>
      <c r="J136" s="1913"/>
      <c r="K136" s="1912"/>
      <c r="L136" s="1912"/>
      <c r="M136" s="1913"/>
      <c r="N136" s="1912"/>
      <c r="O136" s="1914"/>
      <c r="P136" s="1915"/>
      <c r="Q136" s="1916"/>
      <c r="R136" s="644"/>
      <c r="S136" s="603"/>
      <c r="T136" s="580"/>
      <c r="U136" s="580"/>
      <c r="V136" s="580"/>
      <c r="W136" s="603"/>
      <c r="X136" s="603"/>
      <c r="Y136" s="603"/>
      <c r="Z136" s="603"/>
      <c r="AA136" s="603"/>
      <c r="AB136" s="603"/>
      <c r="AC136" s="603"/>
      <c r="AD136" s="603"/>
      <c r="AE136" s="603"/>
      <c r="AF136" s="603"/>
      <c r="AG136" s="603"/>
      <c r="AH136" s="603"/>
      <c r="AI136" s="603"/>
      <c r="AJ136" s="464"/>
    </row>
    <row r="137" spans="1:36">
      <c r="A137" s="1898" t="s">
        <v>2567</v>
      </c>
      <c r="B137" s="1899"/>
      <c r="C137" s="1899"/>
      <c r="D137" s="1899"/>
      <c r="E137" s="1899"/>
      <c r="F137" s="1899"/>
      <c r="G137" s="1899"/>
      <c r="H137" s="1899"/>
      <c r="I137" s="1900"/>
      <c r="J137" s="649" t="s">
        <v>277</v>
      </c>
      <c r="K137" s="650"/>
      <c r="L137" s="650"/>
      <c r="M137" s="649" t="s">
        <v>278</v>
      </c>
      <c r="N137" s="650"/>
      <c r="O137" s="651"/>
      <c r="P137" s="652"/>
      <c r="Q137" s="1457"/>
      <c r="R137" s="644"/>
      <c r="S137" s="603"/>
      <c r="T137" s="603"/>
      <c r="U137" s="603"/>
      <c r="V137" s="603"/>
      <c r="W137" s="603"/>
      <c r="X137" s="603"/>
      <c r="Y137" s="603"/>
      <c r="Z137" s="603"/>
      <c r="AA137" s="603"/>
      <c r="AB137" s="603"/>
      <c r="AC137" s="603"/>
      <c r="AD137" s="603"/>
      <c r="AE137" s="603"/>
      <c r="AF137" s="603"/>
      <c r="AG137" s="603"/>
      <c r="AH137" s="603"/>
      <c r="AI137" s="603"/>
      <c r="AJ137" s="464"/>
    </row>
    <row r="138" spans="1:36">
      <c r="A138" s="606" t="s">
        <v>1291</v>
      </c>
      <c r="B138" s="653"/>
      <c r="C138" s="654"/>
      <c r="D138" s="655"/>
      <c r="E138" s="655"/>
      <c r="F138" s="655"/>
      <c r="G138" s="655"/>
      <c r="H138" s="655"/>
      <c r="I138" s="656"/>
      <c r="J138" s="657" t="s">
        <v>57</v>
      </c>
      <c r="K138" s="607" t="s">
        <v>58</v>
      </c>
      <c r="L138" s="607" t="s">
        <v>269</v>
      </c>
      <c r="M138" s="657" t="s">
        <v>57</v>
      </c>
      <c r="N138" s="607" t="s">
        <v>58</v>
      </c>
      <c r="O138" s="658" t="s">
        <v>269</v>
      </c>
      <c r="P138" s="659"/>
      <c r="Q138" s="1458"/>
      <c r="R138" s="644"/>
      <c r="S138" s="603"/>
      <c r="T138" s="603"/>
      <c r="U138" s="603"/>
      <c r="V138" s="603"/>
      <c r="W138" s="603"/>
      <c r="X138" s="603"/>
      <c r="Y138" s="603"/>
      <c r="Z138" s="603"/>
      <c r="AA138" s="603"/>
      <c r="AB138" s="603"/>
      <c r="AC138" s="603"/>
      <c r="AD138" s="603"/>
      <c r="AE138" s="603"/>
      <c r="AF138" s="603"/>
      <c r="AG138" s="603"/>
      <c r="AH138" s="603"/>
      <c r="AI138" s="603"/>
      <c r="AJ138" s="464"/>
    </row>
    <row r="139" spans="1:36">
      <c r="A139" s="622"/>
      <c r="B139" s="604" t="s">
        <v>1292</v>
      </c>
      <c r="C139" s="581"/>
      <c r="D139" s="493"/>
      <c r="E139" s="493"/>
      <c r="F139" s="493"/>
      <c r="G139" s="493"/>
      <c r="H139" s="493"/>
      <c r="I139" s="581"/>
      <c r="J139" s="609">
        <f>M90</f>
        <v>0</v>
      </c>
      <c r="K139" s="1935">
        <f>House!H98</f>
        <v>114.70000000000005</v>
      </c>
      <c r="L139" s="493"/>
      <c r="M139" s="609">
        <f>J139</f>
        <v>0</v>
      </c>
      <c r="N139" s="1935">
        <f>House!G98</f>
        <v>2745.4</v>
      </c>
      <c r="O139" s="583"/>
      <c r="P139" s="660"/>
      <c r="Q139" s="1459"/>
      <c r="R139" s="644"/>
      <c r="S139" s="603"/>
      <c r="T139" s="603"/>
      <c r="U139" s="603"/>
      <c r="V139" s="603"/>
      <c r="W139" s="603"/>
      <c r="X139" s="603"/>
      <c r="Y139" s="603"/>
      <c r="Z139" s="603"/>
      <c r="AA139" s="603"/>
      <c r="AB139" s="603"/>
      <c r="AC139" s="603"/>
      <c r="AD139" s="603"/>
      <c r="AE139" s="603"/>
      <c r="AF139" s="603"/>
      <c r="AG139" s="603"/>
      <c r="AH139" s="603"/>
      <c r="AI139" s="603"/>
      <c r="AJ139" s="464"/>
    </row>
    <row r="140" spans="1:36">
      <c r="A140" s="604"/>
      <c r="B140" s="604" t="s">
        <v>1293</v>
      </c>
      <c r="C140" s="646"/>
      <c r="D140" s="493"/>
      <c r="E140" s="493"/>
      <c r="F140" s="493"/>
      <c r="G140" s="493"/>
      <c r="H140" s="493"/>
      <c r="I140" s="493"/>
      <c r="J140" s="492">
        <f>J139+House_B_ins+House_P_T+House_P_T</f>
        <v>640</v>
      </c>
      <c r="K140" s="1935">
        <f>House!J98</f>
        <v>114.70000000000005</v>
      </c>
      <c r="L140" s="493"/>
      <c r="M140" s="609">
        <f>J140</f>
        <v>640</v>
      </c>
      <c r="N140" s="1935">
        <f>House!I98</f>
        <v>2745.4</v>
      </c>
      <c r="O140" s="583"/>
      <c r="P140" s="660"/>
      <c r="Q140" s="1459"/>
      <c r="R140" s="644"/>
      <c r="S140" s="603"/>
      <c r="T140" s="603"/>
      <c r="U140" s="603"/>
      <c r="V140" s="603"/>
      <c r="W140" s="603"/>
      <c r="X140" s="603"/>
      <c r="Y140" s="603"/>
      <c r="Z140" s="603"/>
      <c r="AA140" s="603"/>
      <c r="AB140" s="603"/>
      <c r="AC140" s="603"/>
      <c r="AD140" s="603"/>
      <c r="AE140" s="603"/>
      <c r="AF140" s="603"/>
      <c r="AG140" s="603"/>
      <c r="AH140" s="603"/>
      <c r="AI140" s="603"/>
      <c r="AJ140" s="464"/>
    </row>
    <row r="141" spans="1:36">
      <c r="A141" s="604"/>
      <c r="B141" s="604" t="s">
        <v>3232</v>
      </c>
      <c r="C141" s="646"/>
      <c r="D141" s="493"/>
      <c r="E141" s="493"/>
      <c r="F141" s="493"/>
      <c r="G141" s="493"/>
      <c r="H141" s="493"/>
      <c r="I141" s="493"/>
      <c r="J141" s="609">
        <f>J140</f>
        <v>640</v>
      </c>
      <c r="K141" s="608">
        <f>N99</f>
        <v>0</v>
      </c>
      <c r="L141" s="493"/>
      <c r="M141" s="609">
        <f>J141</f>
        <v>640</v>
      </c>
      <c r="N141" s="608">
        <f>N126</f>
        <v>0</v>
      </c>
      <c r="O141" s="583"/>
      <c r="P141" s="660"/>
      <c r="Q141" s="1459"/>
      <c r="R141" s="644"/>
      <c r="S141" s="603"/>
      <c r="T141" s="603"/>
      <c r="U141" s="603"/>
      <c r="V141" s="603"/>
      <c r="W141" s="603"/>
      <c r="X141" s="603"/>
      <c r="Y141" s="603"/>
      <c r="Z141" s="603"/>
      <c r="AA141" s="603"/>
      <c r="AB141" s="603"/>
      <c r="AC141" s="603"/>
      <c r="AD141" s="603"/>
      <c r="AE141" s="603"/>
      <c r="AF141" s="603"/>
      <c r="AG141" s="603"/>
      <c r="AH141" s="603"/>
      <c r="AI141" s="603"/>
      <c r="AJ141" s="464"/>
    </row>
    <row r="142" spans="1:36">
      <c r="A142" s="622"/>
      <c r="B142" s="604" t="s">
        <v>1481</v>
      </c>
      <c r="C142" s="581"/>
      <c r="D142" s="493"/>
      <c r="E142" s="493"/>
      <c r="F142" s="493"/>
      <c r="G142" s="493"/>
      <c r="H142" s="493"/>
      <c r="I142" s="493"/>
      <c r="J142" s="609">
        <f>M139</f>
        <v>0</v>
      </c>
      <c r="K142" s="608">
        <f>N139</f>
        <v>2745.4</v>
      </c>
      <c r="L142" s="493"/>
      <c r="M142" s="609">
        <f>M140</f>
        <v>640</v>
      </c>
      <c r="N142" s="608">
        <f>K142</f>
        <v>2745.4</v>
      </c>
      <c r="O142" s="583"/>
      <c r="P142" s="660"/>
      <c r="Q142" s="1459"/>
      <c r="R142" s="644"/>
      <c r="S142" s="603"/>
      <c r="T142" s="603"/>
      <c r="U142" s="603"/>
      <c r="V142" s="603"/>
      <c r="W142" s="603"/>
      <c r="X142" s="603"/>
      <c r="Y142" s="603"/>
      <c r="Z142" s="603"/>
      <c r="AA142" s="603"/>
      <c r="AB142" s="603"/>
      <c r="AC142" s="603"/>
      <c r="AD142" s="603"/>
      <c r="AE142" s="603"/>
      <c r="AF142" s="603"/>
      <c r="AG142" s="603"/>
      <c r="AH142" s="603"/>
      <c r="AI142" s="603"/>
      <c r="AJ142" s="464"/>
    </row>
    <row r="143" spans="1:36">
      <c r="A143" s="622"/>
      <c r="B143" s="604" t="s">
        <v>1482</v>
      </c>
      <c r="C143" s="581"/>
      <c r="D143" s="493"/>
      <c r="E143" s="493"/>
      <c r="F143" s="493"/>
      <c r="G143" s="493"/>
      <c r="H143" s="493"/>
      <c r="I143" s="493"/>
      <c r="J143" s="609">
        <f>J139</f>
        <v>0</v>
      </c>
      <c r="K143" s="608">
        <f>K139</f>
        <v>114.70000000000005</v>
      </c>
      <c r="L143" s="493"/>
      <c r="M143" s="609">
        <f>J140</f>
        <v>640</v>
      </c>
      <c r="N143" s="608">
        <f>K143</f>
        <v>114.70000000000005</v>
      </c>
      <c r="O143" s="583"/>
      <c r="P143" s="660"/>
      <c r="Q143" s="1459"/>
      <c r="R143" s="644"/>
      <c r="S143" s="603"/>
      <c r="T143" s="603"/>
      <c r="U143" s="603"/>
      <c r="V143" s="603"/>
      <c r="W143" s="603"/>
      <c r="X143" s="603"/>
      <c r="Y143" s="603"/>
      <c r="Z143" s="603"/>
      <c r="AA143" s="603"/>
      <c r="AB143" s="603"/>
      <c r="AC143" s="603"/>
      <c r="AD143" s="603"/>
      <c r="AE143" s="603"/>
      <c r="AF143" s="603"/>
      <c r="AG143" s="603"/>
      <c r="AH143" s="603"/>
      <c r="AI143" s="603"/>
      <c r="AJ143" s="464"/>
    </row>
    <row r="144" spans="1:36">
      <c r="A144" s="622"/>
      <c r="B144" s="604" t="s">
        <v>1295</v>
      </c>
      <c r="C144" s="581"/>
      <c r="D144" s="493"/>
      <c r="E144" s="493"/>
      <c r="F144" s="493"/>
      <c r="G144" s="493"/>
      <c r="H144" s="493"/>
      <c r="I144" s="493"/>
      <c r="J144" s="609">
        <f>J139</f>
        <v>0</v>
      </c>
      <c r="K144" s="1935">
        <f>House!B98</f>
        <v>911.6</v>
      </c>
      <c r="L144" s="493"/>
      <c r="M144" s="609">
        <f>J140</f>
        <v>640</v>
      </c>
      <c r="N144" s="608">
        <f>K144</f>
        <v>911.6</v>
      </c>
      <c r="O144" s="583"/>
      <c r="P144" s="660"/>
      <c r="Q144" s="1459"/>
      <c r="R144" s="644"/>
      <c r="S144" s="603"/>
      <c r="T144" s="603"/>
      <c r="U144" s="603"/>
      <c r="V144" s="603"/>
      <c r="W144" s="603"/>
      <c r="X144" s="603"/>
      <c r="Y144" s="603"/>
      <c r="Z144" s="603"/>
      <c r="AA144" s="603"/>
      <c r="AB144" s="603"/>
      <c r="AC144" s="603"/>
      <c r="AD144" s="603"/>
      <c r="AE144" s="603"/>
      <c r="AF144" s="603"/>
      <c r="AG144" s="603"/>
      <c r="AH144" s="603"/>
      <c r="AI144" s="603"/>
      <c r="AJ144" s="464"/>
    </row>
    <row r="145" spans="1:36">
      <c r="A145" s="622"/>
      <c r="B145" s="604" t="s">
        <v>1395</v>
      </c>
      <c r="C145" s="581"/>
      <c r="D145" s="493"/>
      <c r="E145" s="493"/>
      <c r="F145" s="493"/>
      <c r="G145" s="493"/>
      <c r="H145" s="493"/>
      <c r="I145" s="493"/>
      <c r="J145" s="609">
        <f>M139</f>
        <v>0</v>
      </c>
      <c r="K145" s="1935">
        <f>House!C58</f>
        <v>820</v>
      </c>
      <c r="L145" s="493"/>
      <c r="M145" s="492">
        <f>J145+House_B_ins+House_P_T+House_P_T</f>
        <v>640</v>
      </c>
      <c r="N145" s="608">
        <f>K145</f>
        <v>820</v>
      </c>
      <c r="O145" s="583"/>
      <c r="P145" s="660"/>
      <c r="Q145" s="1459"/>
      <c r="R145" s="644"/>
      <c r="S145" s="603"/>
      <c r="T145" s="603"/>
      <c r="U145" s="603"/>
      <c r="V145" s="603"/>
      <c r="W145" s="603"/>
      <c r="X145" s="603"/>
      <c r="Y145" s="603"/>
      <c r="Z145" s="603"/>
      <c r="AA145" s="603"/>
      <c r="AB145" s="603"/>
      <c r="AC145" s="603"/>
      <c r="AD145" s="603"/>
      <c r="AE145" s="603"/>
      <c r="AF145" s="603"/>
      <c r="AG145" s="603"/>
      <c r="AH145" s="603"/>
      <c r="AI145" s="603"/>
      <c r="AJ145" s="464"/>
    </row>
    <row r="146" spans="1:36">
      <c r="A146" s="604"/>
      <c r="B146" s="604" t="s">
        <v>1396</v>
      </c>
      <c r="C146" s="646"/>
      <c r="D146" s="493"/>
      <c r="E146" s="493"/>
      <c r="F146" s="493"/>
      <c r="G146" s="493"/>
      <c r="H146" s="493"/>
      <c r="I146" s="493"/>
      <c r="J146" s="609">
        <f>M139</f>
        <v>0</v>
      </c>
      <c r="K146" s="1935">
        <f>House!Y58</f>
        <v>1617.5</v>
      </c>
      <c r="L146" s="493"/>
      <c r="M146" s="492">
        <f>J146+House_B_ins+House_P_T+House_P_T</f>
        <v>640</v>
      </c>
      <c r="N146" s="608">
        <f>K146</f>
        <v>1617.5</v>
      </c>
      <c r="O146" s="583"/>
      <c r="P146" s="660"/>
      <c r="Q146" s="1459"/>
      <c r="R146" s="644"/>
      <c r="S146" s="603"/>
      <c r="T146" s="603"/>
      <c r="U146" s="603"/>
      <c r="V146" s="603"/>
      <c r="W146" s="603"/>
      <c r="X146" s="603"/>
      <c r="Y146" s="603"/>
      <c r="Z146" s="603"/>
      <c r="AA146" s="603"/>
      <c r="AB146" s="603"/>
      <c r="AC146" s="603"/>
      <c r="AD146" s="603"/>
      <c r="AE146" s="603"/>
      <c r="AF146" s="603"/>
      <c r="AG146" s="603"/>
      <c r="AH146" s="603"/>
      <c r="AI146" s="603"/>
      <c r="AJ146" s="464"/>
    </row>
    <row r="147" spans="1:36">
      <c r="A147" s="1170" t="s">
        <v>3231</v>
      </c>
      <c r="B147" s="1170" t="s">
        <v>2561</v>
      </c>
      <c r="C147" s="591"/>
      <c r="D147" s="484"/>
      <c r="E147" s="484"/>
      <c r="F147" s="484"/>
      <c r="G147" s="484"/>
      <c r="H147" s="484"/>
      <c r="I147" s="484"/>
      <c r="J147" s="589">
        <f>J139-INS</f>
        <v>0</v>
      </c>
      <c r="K147" s="1934">
        <f>House!H102</f>
        <v>114.70000000000005</v>
      </c>
      <c r="L147" s="587"/>
      <c r="M147" s="615">
        <f>J147</f>
        <v>0</v>
      </c>
      <c r="N147" s="1934">
        <f>House!G102</f>
        <v>2745.4</v>
      </c>
      <c r="O147" s="1171"/>
      <c r="P147" s="1172"/>
      <c r="Q147" s="1460"/>
      <c r="R147" s="644"/>
      <c r="S147" s="603"/>
      <c r="T147" s="603"/>
      <c r="U147" s="603"/>
      <c r="V147" s="603"/>
      <c r="W147" s="603"/>
      <c r="X147" s="603"/>
      <c r="Y147" s="603"/>
      <c r="Z147" s="603"/>
      <c r="AA147" s="603"/>
      <c r="AB147" s="603"/>
      <c r="AC147" s="603"/>
      <c r="AD147" s="603"/>
      <c r="AE147" s="603"/>
      <c r="AF147" s="603"/>
      <c r="AG147" s="603"/>
      <c r="AH147" s="603"/>
      <c r="AI147" s="603"/>
      <c r="AJ147" s="464"/>
    </row>
    <row r="148" spans="1:36">
      <c r="A148" s="604"/>
      <c r="B148" s="604" t="s">
        <v>2562</v>
      </c>
      <c r="C148" s="646"/>
      <c r="D148" s="493"/>
      <c r="E148" s="493"/>
      <c r="F148" s="493"/>
      <c r="G148" s="493"/>
      <c r="H148" s="493"/>
      <c r="I148" s="493"/>
      <c r="J148" s="599">
        <f>J140+INS</f>
        <v>640</v>
      </c>
      <c r="K148" s="1935">
        <f>House!J102</f>
        <v>114.70000000000005</v>
      </c>
      <c r="L148" s="580"/>
      <c r="M148" s="609">
        <f>J148</f>
        <v>640</v>
      </c>
      <c r="N148" s="1935">
        <f>House!G102</f>
        <v>2745.4</v>
      </c>
      <c r="O148" s="583"/>
      <c r="P148" s="660"/>
      <c r="Q148" s="1459"/>
      <c r="R148" s="1189"/>
      <c r="S148" s="603"/>
      <c r="T148" s="603"/>
      <c r="U148" s="603"/>
      <c r="V148" s="603"/>
      <c r="W148" s="603"/>
      <c r="X148" s="603"/>
      <c r="Y148" s="603"/>
      <c r="Z148" s="603"/>
      <c r="AA148" s="603"/>
      <c r="AB148" s="603"/>
      <c r="AC148" s="603"/>
      <c r="AD148" s="603"/>
      <c r="AE148" s="603"/>
      <c r="AF148" s="603"/>
      <c r="AG148" s="603"/>
      <c r="AH148" s="603"/>
      <c r="AI148" s="603"/>
      <c r="AJ148" s="464"/>
    </row>
    <row r="149" spans="1:36">
      <c r="A149" s="604"/>
      <c r="B149" s="604" t="s">
        <v>2563</v>
      </c>
      <c r="C149" s="646"/>
      <c r="D149" s="493"/>
      <c r="E149" s="493"/>
      <c r="F149" s="493"/>
      <c r="G149" s="493"/>
      <c r="H149" s="493"/>
      <c r="I149" s="493"/>
      <c r="J149" s="609">
        <f>M147</f>
        <v>0</v>
      </c>
      <c r="K149" s="608">
        <f>N147</f>
        <v>2745.4</v>
      </c>
      <c r="L149" s="580"/>
      <c r="M149" s="609">
        <f>M148</f>
        <v>640</v>
      </c>
      <c r="N149" s="608">
        <f>K149</f>
        <v>2745.4</v>
      </c>
      <c r="O149" s="583"/>
      <c r="P149" s="660"/>
      <c r="Q149" s="1459"/>
      <c r="R149" s="1189"/>
      <c r="S149" s="603"/>
      <c r="T149" s="603"/>
      <c r="U149" s="603"/>
      <c r="V149" s="603"/>
      <c r="W149" s="603"/>
      <c r="X149" s="603"/>
      <c r="Y149" s="603"/>
      <c r="Z149" s="603"/>
      <c r="AA149" s="603"/>
      <c r="AB149" s="603"/>
      <c r="AC149" s="603"/>
      <c r="AD149" s="603"/>
      <c r="AE149" s="603"/>
      <c r="AF149" s="603"/>
      <c r="AG149" s="603"/>
      <c r="AH149" s="603"/>
      <c r="AI149" s="603"/>
      <c r="AJ149" s="464"/>
    </row>
    <row r="150" spans="1:36" ht="15.75" thickBot="1">
      <c r="A150" s="661"/>
      <c r="B150" s="661" t="s">
        <v>2564</v>
      </c>
      <c r="C150" s="662"/>
      <c r="D150" s="638"/>
      <c r="E150" s="638"/>
      <c r="F150" s="638"/>
      <c r="G150" s="638"/>
      <c r="H150" s="638"/>
      <c r="I150" s="638"/>
      <c r="J150" s="682">
        <f>J147</f>
        <v>0</v>
      </c>
      <c r="K150" s="683">
        <f>K147</f>
        <v>114.70000000000005</v>
      </c>
      <c r="L150" s="620"/>
      <c r="M150" s="682">
        <f>M149</f>
        <v>640</v>
      </c>
      <c r="N150" s="683">
        <f>K150</f>
        <v>114.70000000000005</v>
      </c>
      <c r="O150" s="663"/>
      <c r="P150" s="664"/>
      <c r="Q150" s="1461"/>
      <c r="R150" s="644"/>
      <c r="S150" s="603"/>
      <c r="T150" s="603"/>
      <c r="U150" s="603"/>
      <c r="V150" s="603"/>
      <c r="W150" s="603"/>
      <c r="X150" s="603"/>
      <c r="Y150" s="603"/>
      <c r="Z150" s="603"/>
      <c r="AA150" s="603"/>
      <c r="AB150" s="603"/>
      <c r="AC150" s="603"/>
      <c r="AD150" s="603"/>
      <c r="AE150" s="603"/>
      <c r="AF150" s="603"/>
      <c r="AG150" s="603"/>
      <c r="AH150" s="603"/>
      <c r="AI150" s="603"/>
      <c r="AJ150" s="464"/>
    </row>
    <row r="151" spans="1:36">
      <c r="A151" s="665" t="s">
        <v>285</v>
      </c>
      <c r="B151" s="665" t="s">
        <v>285</v>
      </c>
      <c r="C151" s="666"/>
      <c r="D151" s="667"/>
      <c r="E151" s="667"/>
      <c r="F151" s="667"/>
      <c r="G151" s="667"/>
      <c r="H151" s="667"/>
      <c r="I151" s="667"/>
      <c r="J151" s="668" t="s">
        <v>57</v>
      </c>
      <c r="K151" s="667" t="s">
        <v>58</v>
      </c>
      <c r="L151" s="667" t="s">
        <v>269</v>
      </c>
      <c r="M151" s="668" t="s">
        <v>57</v>
      </c>
      <c r="N151" s="667" t="s">
        <v>58</v>
      </c>
      <c r="O151" s="669" t="s">
        <v>269</v>
      </c>
      <c r="P151" s="670"/>
      <c r="Q151" s="1462"/>
      <c r="R151" s="644"/>
      <c r="S151" s="603"/>
      <c r="T151" s="580"/>
      <c r="U151" s="580"/>
      <c r="V151" s="580"/>
      <c r="W151" s="603"/>
      <c r="X151" s="603"/>
      <c r="Y151" s="603"/>
      <c r="Z151" s="603"/>
      <c r="AA151" s="603"/>
      <c r="AB151" s="603"/>
      <c r="AC151" s="603"/>
      <c r="AD151" s="603"/>
      <c r="AE151" s="603"/>
      <c r="AF151" s="603"/>
      <c r="AG151" s="603"/>
      <c r="AH151" s="603"/>
      <c r="AI151" s="603"/>
      <c r="AJ151" s="464"/>
    </row>
    <row r="152" spans="1:36">
      <c r="B152" s="604" t="s">
        <v>286</v>
      </c>
      <c r="C152" s="581"/>
      <c r="D152" s="493"/>
      <c r="E152" s="493"/>
      <c r="F152" s="493"/>
      <c r="G152" s="493"/>
      <c r="H152" s="493"/>
      <c r="I152" s="493"/>
      <c r="J152" s="492" t="e">
        <f ca="1">IF(Small_F,J25+MC/2+MB+MC,J25+E25/2+MB+MC)</f>
        <v>#REF!</v>
      </c>
      <c r="K152" s="493" t="e">
        <f ca="1">MFHe+MH</f>
        <v>#REF!</v>
      </c>
      <c r="L152" s="681">
        <v>0</v>
      </c>
      <c r="M152" s="492" t="e">
        <f ca="1">J152+SE</f>
        <v>#REF!</v>
      </c>
      <c r="N152" s="608" t="e">
        <f ca="1">K152</f>
        <v>#REF!</v>
      </c>
      <c r="O152" s="611">
        <f>L152</f>
        <v>0</v>
      </c>
      <c r="P152" s="660"/>
      <c r="Q152" s="1459"/>
      <c r="R152" s="644"/>
      <c r="S152" s="603"/>
      <c r="T152" s="603"/>
      <c r="U152" s="603"/>
      <c r="V152" s="603"/>
      <c r="W152" s="603"/>
      <c r="X152" s="603"/>
      <c r="Y152" s="603"/>
      <c r="Z152" s="603"/>
      <c r="AA152" s="603"/>
      <c r="AB152" s="603"/>
      <c r="AC152" s="603"/>
      <c r="AD152" s="603"/>
      <c r="AE152" s="603"/>
      <c r="AF152" s="603"/>
      <c r="AG152" s="603"/>
      <c r="AH152" s="603"/>
      <c r="AI152" s="603"/>
      <c r="AJ152" s="464"/>
    </row>
    <row r="153" spans="1:36">
      <c r="B153" s="604" t="s">
        <v>294</v>
      </c>
      <c r="C153" s="581"/>
      <c r="D153" s="493"/>
      <c r="E153" s="493"/>
      <c r="F153" s="493"/>
      <c r="G153" s="493"/>
      <c r="H153" s="493"/>
      <c r="I153" s="493"/>
      <c r="J153" s="492" t="e">
        <f ca="1">IF(Small_F,J25+MC/2+MB+MC,J25+E25/2+MB+MC)</f>
        <v>#REF!</v>
      </c>
      <c r="K153" s="493" t="e">
        <f ca="1">MFHe+MAC</f>
        <v>#REF!</v>
      </c>
      <c r="L153" s="493" t="e">
        <f ca="1">-MAB/2</f>
        <v>#REF!</v>
      </c>
      <c r="M153" s="492" t="e">
        <f ca="1">J153-(ML-SE)</f>
        <v>#REF!</v>
      </c>
      <c r="N153" s="608" t="e">
        <f ca="1">K153</f>
        <v>#REF!</v>
      </c>
      <c r="O153" s="583" t="e">
        <f ca="1">-L153</f>
        <v>#REF!</v>
      </c>
      <c r="P153" s="660"/>
      <c r="Q153" s="1459"/>
      <c r="R153" s="644"/>
      <c r="S153" s="603"/>
      <c r="T153" s="603"/>
      <c r="U153" s="603"/>
      <c r="V153" s="603"/>
      <c r="W153" s="603"/>
      <c r="X153" s="603"/>
      <c r="Y153" s="603"/>
      <c r="Z153" s="603"/>
      <c r="AA153" s="603"/>
      <c r="AB153" s="603"/>
      <c r="AC153" s="603"/>
      <c r="AD153" s="603"/>
      <c r="AE153" s="603"/>
      <c r="AF153" s="603"/>
      <c r="AG153" s="603"/>
      <c r="AH153" s="603"/>
      <c r="AI153" s="603"/>
      <c r="AJ153" s="464"/>
    </row>
    <row r="154" spans="1:36" ht="14.45" customHeight="1">
      <c r="B154" s="604"/>
      <c r="C154" s="646"/>
      <c r="D154" s="493"/>
      <c r="E154" s="493"/>
      <c r="F154" s="493"/>
      <c r="G154" s="493"/>
      <c r="H154" s="493"/>
      <c r="I154" s="493"/>
      <c r="J154" s="609" t="e">
        <f ca="1">J153</f>
        <v>#REF!</v>
      </c>
      <c r="K154" s="493" t="e">
        <f ca="1">MFHe</f>
        <v>#REF!</v>
      </c>
      <c r="L154" s="608" t="e">
        <f ca="1">L153</f>
        <v>#REF!</v>
      </c>
      <c r="M154" s="492" t="e">
        <f ca="1">J154-(ML-SE)</f>
        <v>#REF!</v>
      </c>
      <c r="N154" s="608" t="e">
        <f ca="1">K154</f>
        <v>#REF!</v>
      </c>
      <c r="O154" s="583" t="e">
        <f ca="1">-L154</f>
        <v>#REF!</v>
      </c>
      <c r="P154" s="660"/>
      <c r="Q154" s="1459"/>
      <c r="R154" s="644"/>
      <c r="S154" s="603"/>
      <c r="T154" s="603"/>
      <c r="U154" s="603"/>
      <c r="V154" s="603"/>
      <c r="W154" s="603"/>
      <c r="X154" s="603"/>
      <c r="Y154" s="603"/>
      <c r="Z154" s="603"/>
      <c r="AA154" s="603"/>
      <c r="AB154" s="603"/>
      <c r="AC154" s="603"/>
      <c r="AD154" s="603"/>
      <c r="AE154" s="603"/>
      <c r="AF154" s="603"/>
      <c r="AG154" s="603"/>
      <c r="AH154" s="603"/>
      <c r="AI154" s="603"/>
      <c r="AJ154" s="464"/>
    </row>
    <row r="155" spans="1:36">
      <c r="B155" s="604" t="s">
        <v>295</v>
      </c>
      <c r="C155" s="581"/>
      <c r="D155" s="493"/>
      <c r="E155" s="493"/>
      <c r="F155" s="493"/>
      <c r="G155" s="493"/>
      <c r="H155" s="493"/>
      <c r="I155" s="493"/>
      <c r="J155" s="492" t="e">
        <f ca="1">IF(Small_F,J25+MC/2,J25+E25/2)</f>
        <v>#REF!</v>
      </c>
      <c r="K155" s="493" t="e">
        <f ca="1">MFHe</f>
        <v>#REF!</v>
      </c>
      <c r="L155" s="493" t="e">
        <f ca="1">MA/2</f>
        <v>#REF!</v>
      </c>
      <c r="M155" s="609" t="e">
        <f ca="1">J155</f>
        <v>#REF!</v>
      </c>
      <c r="N155" s="493" t="e">
        <f ca="1">MFHe+50</f>
        <v>#REF!</v>
      </c>
      <c r="O155" s="611" t="e">
        <f ca="1">L155</f>
        <v>#REF!</v>
      </c>
      <c r="P155" s="660"/>
      <c r="Q155" s="1459"/>
      <c r="R155" s="644"/>
      <c r="S155" s="603"/>
      <c r="T155" s="603"/>
      <c r="U155" s="603"/>
      <c r="V155" s="603"/>
      <c r="W155" s="603"/>
      <c r="X155" s="603"/>
      <c r="Y155" s="603"/>
      <c r="Z155" s="603"/>
      <c r="AA155" s="603"/>
      <c r="AB155" s="603"/>
      <c r="AC155" s="603"/>
      <c r="AD155" s="603"/>
      <c r="AE155" s="603"/>
      <c r="AF155" s="603"/>
      <c r="AG155" s="603"/>
      <c r="AH155" s="603"/>
      <c r="AI155" s="603"/>
      <c r="AJ155" s="464"/>
    </row>
    <row r="156" spans="1:36">
      <c r="A156" s="604"/>
      <c r="B156" s="604" t="s">
        <v>296</v>
      </c>
      <c r="C156" s="646"/>
      <c r="D156" s="493"/>
      <c r="E156" s="493"/>
      <c r="F156" s="493"/>
      <c r="G156" s="493"/>
      <c r="H156" s="493"/>
      <c r="I156" s="493"/>
      <c r="J156" s="492" t="e">
        <f ca="1">J155+MB</f>
        <v>#REF!</v>
      </c>
      <c r="K156" s="608" t="e">
        <f ca="1">K155</f>
        <v>#REF!</v>
      </c>
      <c r="L156" s="608" t="e">
        <f ca="1">L155</f>
        <v>#REF!</v>
      </c>
      <c r="M156" s="609" t="e">
        <f ca="1">J156</f>
        <v>#REF!</v>
      </c>
      <c r="N156" s="608" t="e">
        <f ca="1">N155</f>
        <v>#REF!</v>
      </c>
      <c r="O156" s="611" t="e">
        <f ca="1">L156</f>
        <v>#REF!</v>
      </c>
      <c r="P156" s="660"/>
      <c r="Q156" s="1459"/>
      <c r="R156" s="644"/>
      <c r="S156" s="603"/>
      <c r="T156" s="603"/>
      <c r="U156" s="639"/>
      <c r="V156" s="603"/>
      <c r="W156" s="603"/>
      <c r="X156" s="603"/>
      <c r="Y156" s="603"/>
      <c r="Z156" s="637"/>
      <c r="AA156" s="637"/>
      <c r="AB156" s="637"/>
      <c r="AC156" s="637"/>
      <c r="AD156" s="637"/>
      <c r="AE156" s="637"/>
      <c r="AF156" s="580"/>
      <c r="AG156" s="580"/>
      <c r="AH156" s="580"/>
      <c r="AI156" s="580"/>
      <c r="AJ156" s="464"/>
    </row>
    <row r="157" spans="1:36">
      <c r="A157" s="622"/>
      <c r="B157" s="604" t="s">
        <v>297</v>
      </c>
      <c r="C157" s="581"/>
      <c r="D157" s="493"/>
      <c r="E157" s="493"/>
      <c r="F157" s="493"/>
      <c r="G157" s="493"/>
      <c r="H157" s="493"/>
      <c r="I157" s="493"/>
      <c r="J157" s="609" t="e">
        <f ca="1">J155</f>
        <v>#REF!</v>
      </c>
      <c r="K157" s="608" t="e">
        <f ca="1">K155</f>
        <v>#REF!</v>
      </c>
      <c r="L157" s="493" t="e">
        <f ca="1">-L155</f>
        <v>#REF!</v>
      </c>
      <c r="M157" s="609" t="e">
        <f ca="1">M155</f>
        <v>#REF!</v>
      </c>
      <c r="N157" s="608" t="e">
        <f ca="1">N155</f>
        <v>#REF!</v>
      </c>
      <c r="O157" s="583" t="e">
        <f ca="1">-O155</f>
        <v>#REF!</v>
      </c>
      <c r="P157" s="660"/>
      <c r="Q157" s="1459"/>
      <c r="R157" s="640"/>
      <c r="S157" s="580"/>
      <c r="T157" s="580"/>
      <c r="U157" s="636"/>
      <c r="V157" s="636"/>
      <c r="W157" s="636"/>
      <c r="X157" s="636"/>
      <c r="Y157" s="636"/>
      <c r="Z157" s="637"/>
      <c r="AA157" s="637"/>
      <c r="AB157" s="637"/>
      <c r="AC157" s="637"/>
      <c r="AD157" s="637"/>
      <c r="AE157" s="637"/>
      <c r="AF157" s="580"/>
      <c r="AG157" s="580"/>
      <c r="AH157" s="580"/>
      <c r="AI157" s="580"/>
      <c r="AJ157" s="464"/>
    </row>
    <row r="158" spans="1:36" ht="15.75" thickBot="1">
      <c r="A158" s="604"/>
      <c r="B158" s="604" t="s">
        <v>298</v>
      </c>
      <c r="C158" s="646"/>
      <c r="D158" s="493"/>
      <c r="E158" s="493"/>
      <c r="F158" s="493"/>
      <c r="G158" s="493"/>
      <c r="H158" s="493"/>
      <c r="I158" s="493"/>
      <c r="J158" s="609" t="e">
        <f ca="1">J156</f>
        <v>#REF!</v>
      </c>
      <c r="K158" s="608" t="e">
        <f ca="1">K156</f>
        <v>#REF!</v>
      </c>
      <c r="L158" s="493" t="e">
        <f ca="1">-L156</f>
        <v>#REF!</v>
      </c>
      <c r="M158" s="609" t="e">
        <f ca="1">M156</f>
        <v>#REF!</v>
      </c>
      <c r="N158" s="608" t="e">
        <f ca="1">N155</f>
        <v>#REF!</v>
      </c>
      <c r="O158" s="583" t="e">
        <f ca="1">-O156</f>
        <v>#REF!</v>
      </c>
      <c r="P158" s="660"/>
      <c r="Q158" s="1459"/>
      <c r="R158" s="644"/>
      <c r="S158" s="603"/>
      <c r="T158" s="603"/>
      <c r="U158" s="639"/>
      <c r="V158" s="603"/>
      <c r="W158" s="603"/>
      <c r="X158" s="603"/>
      <c r="Y158" s="603"/>
      <c r="Z158" s="637"/>
      <c r="AA158" s="637"/>
      <c r="AB158" s="637"/>
      <c r="AC158" s="637"/>
      <c r="AD158" s="637"/>
      <c r="AE158" s="637"/>
      <c r="AF158" s="580"/>
      <c r="AG158" s="580"/>
      <c r="AH158" s="580"/>
      <c r="AI158" s="580"/>
      <c r="AJ158" s="464"/>
    </row>
    <row r="159" spans="1:36">
      <c r="A159" s="665"/>
      <c r="B159" s="671"/>
      <c r="C159" s="672"/>
      <c r="D159" s="673"/>
      <c r="E159" s="673"/>
      <c r="F159" s="673"/>
      <c r="G159" s="673"/>
      <c r="H159" s="673"/>
      <c r="I159" s="672"/>
      <c r="J159" s="668" t="s">
        <v>57</v>
      </c>
      <c r="K159" s="667" t="s">
        <v>58</v>
      </c>
      <c r="L159" s="667" t="s">
        <v>269</v>
      </c>
      <c r="M159" s="668" t="s">
        <v>57</v>
      </c>
      <c r="N159" s="667" t="s">
        <v>58</v>
      </c>
      <c r="O159" s="669" t="s">
        <v>269</v>
      </c>
      <c r="P159" s="674"/>
      <c r="Q159" s="1463"/>
      <c r="R159" s="640"/>
      <c r="S159" s="580"/>
      <c r="T159" s="580"/>
      <c r="U159" s="636"/>
      <c r="V159" s="636"/>
      <c r="W159" s="636"/>
      <c r="X159" s="636"/>
      <c r="Y159" s="636"/>
      <c r="Z159" s="637"/>
      <c r="AA159" s="637"/>
      <c r="AB159" s="637"/>
      <c r="AC159" s="637"/>
      <c r="AD159" s="637"/>
      <c r="AE159" s="637"/>
      <c r="AF159" s="580"/>
      <c r="AG159" s="580"/>
      <c r="AH159" s="580"/>
      <c r="AI159" s="580"/>
      <c r="AJ159" s="464"/>
    </row>
    <row r="160" spans="1:36">
      <c r="A160" s="675" t="s">
        <v>293</v>
      </c>
      <c r="B160" s="604"/>
      <c r="C160" s="646"/>
      <c r="D160" s="493"/>
      <c r="E160" s="493"/>
      <c r="F160" s="493"/>
      <c r="G160" s="493"/>
      <c r="H160" s="493"/>
      <c r="I160" s="581"/>
      <c r="J160" s="492"/>
      <c r="K160" s="493"/>
      <c r="L160" s="493"/>
      <c r="M160" s="492"/>
      <c r="N160" s="493"/>
      <c r="O160" s="583"/>
      <c r="P160" s="660"/>
      <c r="Q160" s="1459"/>
      <c r="R160" s="644"/>
      <c r="S160" s="603"/>
      <c r="T160" s="603"/>
      <c r="U160" s="639"/>
      <c r="V160" s="603"/>
      <c r="W160" s="603"/>
      <c r="X160" s="603"/>
      <c r="Y160" s="603"/>
      <c r="Z160" s="637"/>
      <c r="AA160" s="637"/>
      <c r="AB160" s="637"/>
      <c r="AC160" s="637"/>
      <c r="AD160" s="637"/>
      <c r="AE160" s="637"/>
      <c r="AF160" s="580"/>
      <c r="AG160" s="580"/>
      <c r="AH160" s="580"/>
      <c r="AI160" s="580"/>
      <c r="AJ160" s="464"/>
    </row>
    <row r="161" spans="1:36">
      <c r="A161" s="622"/>
      <c r="B161" s="604" t="s">
        <v>299</v>
      </c>
      <c r="C161" s="581"/>
      <c r="D161" s="493"/>
      <c r="E161" s="493"/>
      <c r="F161" s="493"/>
      <c r="G161" s="493"/>
      <c r="H161" s="493"/>
      <c r="I161" s="581"/>
      <c r="J161" s="492">
        <f>IF(DRIVE_Type&lt;&gt;"Coupling",0,IF(Small_F,J69+DBndRa5,J57+DBndRa5))</f>
        <v>0</v>
      </c>
      <c r="K161" s="493">
        <f>IF(DRIVE_Type&lt;&gt;"Coupling",0,BFHe)</f>
        <v>0</v>
      </c>
      <c r="L161" s="493">
        <f>IF(DRIVE_Type&lt;&gt;"Coupling",0,B_J/2)</f>
        <v>0</v>
      </c>
      <c r="M161" s="609">
        <f>J161</f>
        <v>0</v>
      </c>
      <c r="N161" s="493">
        <f>IF(DRIVE_Type&lt;&gt;"Coupling",0,K161+50)</f>
        <v>0</v>
      </c>
      <c r="O161" s="611">
        <f>L161</f>
        <v>0</v>
      </c>
      <c r="P161" s="660"/>
      <c r="Q161" s="1459"/>
      <c r="R161" s="640"/>
      <c r="S161" s="580"/>
      <c r="T161" s="580"/>
      <c r="U161" s="636"/>
      <c r="V161" s="636"/>
      <c r="W161" s="636"/>
      <c r="X161" s="636"/>
      <c r="Y161" s="636"/>
      <c r="Z161" s="637"/>
      <c r="AA161" s="637"/>
      <c r="AB161" s="637"/>
      <c r="AC161" s="637"/>
      <c r="AD161" s="637"/>
      <c r="AE161" s="637"/>
      <c r="AF161" s="580"/>
      <c r="AG161" s="580"/>
      <c r="AH161" s="580"/>
      <c r="AI161" s="580"/>
      <c r="AJ161" s="464"/>
    </row>
    <row r="162" spans="1:36">
      <c r="A162" s="604"/>
      <c r="B162" s="604" t="s">
        <v>300</v>
      </c>
      <c r="C162" s="646"/>
      <c r="D162" s="493"/>
      <c r="E162" s="493"/>
      <c r="F162" s="493"/>
      <c r="G162" s="493"/>
      <c r="H162" s="493"/>
      <c r="I162" s="493"/>
      <c r="J162" s="492">
        <f>IF(DRIVE_Type&lt;&gt;"Coupling",0,J161+DBB)</f>
        <v>0</v>
      </c>
      <c r="K162" s="608">
        <f>K161</f>
        <v>0</v>
      </c>
      <c r="L162" s="608">
        <f>L161</f>
        <v>0</v>
      </c>
      <c r="M162" s="609">
        <f>J162</f>
        <v>0</v>
      </c>
      <c r="N162" s="608">
        <f>N161</f>
        <v>0</v>
      </c>
      <c r="O162" s="611">
        <f>L162</f>
        <v>0</v>
      </c>
      <c r="P162" s="660"/>
      <c r="Q162" s="1459"/>
      <c r="R162" s="644"/>
      <c r="S162" s="603"/>
      <c r="T162" s="603"/>
      <c r="U162" s="639"/>
      <c r="V162" s="603"/>
      <c r="W162" s="603"/>
      <c r="X162" s="603"/>
      <c r="Y162" s="603"/>
      <c r="Z162" s="637"/>
      <c r="AA162" s="637"/>
      <c r="AB162" s="637"/>
      <c r="AC162" s="637"/>
      <c r="AD162" s="637"/>
      <c r="AE162" s="637"/>
      <c r="AF162" s="580"/>
      <c r="AG162" s="580"/>
      <c r="AH162" s="580"/>
      <c r="AI162" s="580"/>
      <c r="AJ162" s="464"/>
    </row>
    <row r="163" spans="1:36">
      <c r="A163" s="622"/>
      <c r="B163" s="604" t="s">
        <v>301</v>
      </c>
      <c r="C163" s="581"/>
      <c r="D163" s="493"/>
      <c r="E163" s="493"/>
      <c r="F163" s="493"/>
      <c r="G163" s="493"/>
      <c r="H163" s="493"/>
      <c r="I163" s="493"/>
      <c r="J163" s="609">
        <f>J161</f>
        <v>0</v>
      </c>
      <c r="K163" s="608">
        <f>K161</f>
        <v>0</v>
      </c>
      <c r="L163" s="493">
        <f>-L161</f>
        <v>0</v>
      </c>
      <c r="M163" s="609">
        <f>M161</f>
        <v>0</v>
      </c>
      <c r="N163" s="608">
        <f>N161</f>
        <v>0</v>
      </c>
      <c r="O163" s="583">
        <f>-O161</f>
        <v>0</v>
      </c>
      <c r="P163" s="660"/>
      <c r="Q163" s="1459"/>
      <c r="R163" s="640"/>
      <c r="S163" s="580"/>
      <c r="T163" s="580"/>
      <c r="U163" s="636"/>
      <c r="V163" s="636"/>
      <c r="W163" s="636"/>
      <c r="X163" s="636"/>
      <c r="Y163" s="636"/>
      <c r="Z163" s="637"/>
      <c r="AA163" s="637"/>
      <c r="AB163" s="637"/>
      <c r="AC163" s="637"/>
      <c r="AD163" s="637"/>
      <c r="AE163" s="637"/>
      <c r="AF163" s="580"/>
      <c r="AG163" s="580"/>
      <c r="AH163" s="580"/>
      <c r="AI163" s="580"/>
      <c r="AJ163" s="464"/>
    </row>
    <row r="164" spans="1:36" s="603" customFormat="1" ht="15.75" thickBot="1">
      <c r="A164" s="661"/>
      <c r="B164" s="661" t="s">
        <v>302</v>
      </c>
      <c r="C164" s="662"/>
      <c r="D164" s="638"/>
      <c r="E164" s="638"/>
      <c r="F164" s="638"/>
      <c r="G164" s="638"/>
      <c r="H164" s="638"/>
      <c r="I164" s="638"/>
      <c r="J164" s="682">
        <f>J162</f>
        <v>0</v>
      </c>
      <c r="K164" s="683">
        <f>K162</f>
        <v>0</v>
      </c>
      <c r="L164" s="638">
        <f>-L162</f>
        <v>0</v>
      </c>
      <c r="M164" s="682">
        <f>M162</f>
        <v>0</v>
      </c>
      <c r="N164" s="683">
        <f>N161</f>
        <v>0</v>
      </c>
      <c r="O164" s="663">
        <f>-O162</f>
        <v>0</v>
      </c>
      <c r="P164" s="664"/>
      <c r="Q164" s="1461"/>
      <c r="R164" s="644"/>
      <c r="U164" s="639"/>
      <c r="Z164" s="637"/>
      <c r="AA164" s="637"/>
      <c r="AB164" s="637"/>
      <c r="AC164" s="637"/>
      <c r="AD164" s="637"/>
      <c r="AE164" s="637"/>
      <c r="AF164" s="580"/>
      <c r="AG164" s="580"/>
      <c r="AH164" s="580"/>
      <c r="AI164" s="580"/>
    </row>
    <row r="165" spans="1:36" s="621" customFormat="1">
      <c r="A165" s="665"/>
      <c r="B165" s="671"/>
      <c r="C165" s="672"/>
      <c r="D165" s="673"/>
      <c r="E165" s="673"/>
      <c r="F165" s="673"/>
      <c r="G165" s="673"/>
      <c r="H165" s="673"/>
      <c r="I165" s="672"/>
      <c r="J165" s="668" t="s">
        <v>57</v>
      </c>
      <c r="K165" s="667" t="s">
        <v>58</v>
      </c>
      <c r="L165" s="667" t="s">
        <v>269</v>
      </c>
      <c r="M165" s="668" t="s">
        <v>57</v>
      </c>
      <c r="N165" s="667" t="s">
        <v>58</v>
      </c>
      <c r="O165" s="669" t="s">
        <v>269</v>
      </c>
      <c r="P165" s="674"/>
      <c r="Q165" s="1463"/>
      <c r="R165" s="640"/>
      <c r="S165" s="580"/>
      <c r="T165" s="580"/>
      <c r="U165" s="636"/>
      <c r="V165" s="636"/>
      <c r="W165" s="636"/>
      <c r="X165" s="636"/>
      <c r="Y165" s="636"/>
      <c r="Z165" s="637"/>
      <c r="AA165" s="637"/>
      <c r="AB165" s="637"/>
      <c r="AC165" s="637"/>
      <c r="AD165" s="637"/>
      <c r="AE165" s="637"/>
      <c r="AF165" s="580"/>
      <c r="AG165" s="580"/>
      <c r="AH165" s="580"/>
      <c r="AI165" s="580"/>
    </row>
    <row r="166" spans="1:36" s="621" customFormat="1">
      <c r="A166" s="675" t="s">
        <v>1855</v>
      </c>
      <c r="B166" s="604"/>
      <c r="C166" s="646"/>
      <c r="D166" s="493"/>
      <c r="E166" s="493"/>
      <c r="F166" s="493"/>
      <c r="G166" s="493"/>
      <c r="H166" s="493"/>
      <c r="I166" s="581"/>
      <c r="J166" s="492"/>
      <c r="K166" s="493"/>
      <c r="L166" s="493"/>
      <c r="M166" s="492"/>
      <c r="N166" s="493"/>
      <c r="O166" s="583"/>
      <c r="P166" s="660"/>
      <c r="Q166" s="1459"/>
      <c r="R166" s="640"/>
      <c r="S166" s="580"/>
      <c r="T166" s="580"/>
      <c r="U166" s="636"/>
      <c r="V166" s="636"/>
      <c r="W166" s="636"/>
      <c r="X166" s="636"/>
      <c r="Y166" s="636"/>
      <c r="Z166" s="637"/>
      <c r="AA166" s="637"/>
      <c r="AB166" s="637"/>
      <c r="AC166" s="637"/>
      <c r="AD166" s="637"/>
      <c r="AE166" s="637"/>
      <c r="AF166" s="580"/>
      <c r="AG166" s="580"/>
      <c r="AH166" s="580"/>
      <c r="AI166" s="580"/>
    </row>
    <row r="167" spans="1:36" s="621" customFormat="1">
      <c r="A167" s="622"/>
      <c r="B167" s="604" t="s">
        <v>1862</v>
      </c>
      <c r="C167" s="581"/>
      <c r="D167" s="493"/>
      <c r="E167" s="493"/>
      <c r="F167" s="493"/>
      <c r="G167" s="493"/>
      <c r="H167" s="493"/>
      <c r="I167" s="581"/>
      <c r="J167" s="492" t="e">
        <f ca="1">-(Hub_C_tL-Hub_C_iHe-Hub_P_T-Back_P_T-DIHo)</f>
        <v>#REF!</v>
      </c>
      <c r="K167" s="580" t="e">
        <f ca="1">Hub_C_eD/2</f>
        <v>#REF!</v>
      </c>
      <c r="L167" s="580"/>
      <c r="M167" s="599" t="e">
        <f ca="1">DIHo+Hub_P_T+Back_P_T</f>
        <v>#REF!</v>
      </c>
      <c r="N167" s="608" t="e">
        <f ca="1">K167</f>
        <v>#REF!</v>
      </c>
      <c r="O167" s="601"/>
      <c r="P167" s="660"/>
      <c r="Q167" s="1459"/>
      <c r="R167" s="644"/>
      <c r="S167" s="603"/>
      <c r="T167" s="603"/>
      <c r="U167" s="639"/>
      <c r="V167" s="603"/>
      <c r="W167" s="603"/>
      <c r="X167" s="603"/>
      <c r="Y167" s="603"/>
      <c r="Z167" s="637"/>
      <c r="AA167" s="637"/>
      <c r="AB167" s="637"/>
      <c r="AC167" s="637"/>
      <c r="AD167" s="637"/>
      <c r="AE167" s="637"/>
      <c r="AF167" s="580"/>
      <c r="AG167" s="580"/>
      <c r="AH167" s="580"/>
      <c r="AI167" s="580"/>
    </row>
    <row r="168" spans="1:36" s="621" customFormat="1">
      <c r="A168" s="604"/>
      <c r="B168" s="604" t="s">
        <v>1863</v>
      </c>
      <c r="C168" s="646"/>
      <c r="D168" s="493"/>
      <c r="E168" s="493"/>
      <c r="F168" s="493"/>
      <c r="G168" s="493"/>
      <c r="H168" s="493"/>
      <c r="I168" s="493"/>
      <c r="J168" s="609" t="e">
        <f ca="1">M167</f>
        <v>#REF!</v>
      </c>
      <c r="K168" s="580" t="e">
        <f ca="1">Hub_C_iD/2</f>
        <v>#REF!</v>
      </c>
      <c r="L168" s="580"/>
      <c r="M168" s="599" t="e">
        <f ca="1">J168+Hub_C_iHe</f>
        <v>#REF!</v>
      </c>
      <c r="N168" s="608" t="e">
        <f ca="1">K168</f>
        <v>#REF!</v>
      </c>
      <c r="O168" s="601"/>
      <c r="P168" s="660"/>
      <c r="Q168" s="1459"/>
      <c r="R168" s="640"/>
      <c r="S168" s="580"/>
      <c r="T168" s="580"/>
      <c r="U168" s="636"/>
      <c r="V168" s="636"/>
      <c r="W168" s="636"/>
      <c r="X168" s="636"/>
      <c r="Y168" s="636"/>
      <c r="Z168" s="637"/>
      <c r="AA168" s="637"/>
      <c r="AB168" s="637"/>
      <c r="AC168" s="637"/>
      <c r="AD168" s="637"/>
      <c r="AE168" s="637"/>
      <c r="AF168" s="580"/>
      <c r="AG168" s="580"/>
      <c r="AH168" s="580"/>
      <c r="AI168" s="580"/>
    </row>
    <row r="169" spans="1:36" s="621" customFormat="1">
      <c r="A169" s="622"/>
      <c r="B169" s="604" t="s">
        <v>1864</v>
      </c>
      <c r="C169" s="581"/>
      <c r="D169" s="493"/>
      <c r="E169" s="493"/>
      <c r="F169" s="493"/>
      <c r="G169" s="493"/>
      <c r="H169" s="493"/>
      <c r="I169" s="493"/>
      <c r="J169" s="609" t="e">
        <f ca="1">J167</f>
        <v>#REF!</v>
      </c>
      <c r="K169" s="580" t="e">
        <f ca="1">-K167</f>
        <v>#REF!</v>
      </c>
      <c r="L169" s="580"/>
      <c r="M169" s="609" t="e">
        <f ca="1">M167</f>
        <v>#REF!</v>
      </c>
      <c r="N169" s="580" t="e">
        <f ca="1">-N167</f>
        <v>#REF!</v>
      </c>
      <c r="O169" s="601"/>
      <c r="P169" s="660"/>
      <c r="Q169" s="1459"/>
      <c r="R169" s="644"/>
      <c r="S169" s="603"/>
      <c r="T169" s="603"/>
      <c r="U169" s="639"/>
      <c r="V169" s="603"/>
      <c r="W169" s="603"/>
      <c r="X169" s="603"/>
      <c r="Y169" s="603"/>
      <c r="Z169" s="637"/>
      <c r="AA169" s="637"/>
      <c r="AB169" s="637"/>
      <c r="AC169" s="637"/>
      <c r="AD169" s="637"/>
      <c r="AE169" s="637"/>
      <c r="AF169" s="580"/>
      <c r="AG169" s="580"/>
      <c r="AH169" s="580"/>
      <c r="AI169" s="580"/>
      <c r="AJ169" s="603"/>
    </row>
    <row r="170" spans="1:36" s="621" customFormat="1" ht="15.75" thickBot="1">
      <c r="A170" s="661"/>
      <c r="B170" s="661" t="s">
        <v>1865</v>
      </c>
      <c r="C170" s="662"/>
      <c r="D170" s="638"/>
      <c r="E170" s="638"/>
      <c r="F170" s="638"/>
      <c r="G170" s="638"/>
      <c r="H170" s="638"/>
      <c r="I170" s="638"/>
      <c r="J170" s="682" t="e">
        <f ca="1">J168</f>
        <v>#REF!</v>
      </c>
      <c r="K170" s="620" t="e">
        <f ca="1">-K168</f>
        <v>#REF!</v>
      </c>
      <c r="L170" s="620"/>
      <c r="M170" s="682" t="e">
        <f ca="1">M168</f>
        <v>#REF!</v>
      </c>
      <c r="N170" s="620" t="e">
        <f ca="1">-N168</f>
        <v>#REF!</v>
      </c>
      <c r="O170" s="648"/>
      <c r="P170" s="664"/>
      <c r="Q170" s="1461"/>
      <c r="R170" s="640"/>
      <c r="S170" s="580"/>
      <c r="T170" s="580"/>
      <c r="U170" s="636"/>
      <c r="V170" s="636"/>
      <c r="W170" s="636"/>
      <c r="X170" s="636"/>
      <c r="Y170" s="636"/>
      <c r="Z170" s="637"/>
      <c r="AA170" s="637"/>
      <c r="AB170" s="637"/>
      <c r="AC170" s="637"/>
      <c r="AD170" s="637"/>
      <c r="AE170" s="637"/>
      <c r="AF170" s="580"/>
      <c r="AG170" s="580"/>
      <c r="AH170" s="580"/>
      <c r="AI170" s="580"/>
      <c r="AJ170" s="603"/>
    </row>
    <row r="171" spans="1:36" s="621" customFormat="1">
      <c r="A171" s="464"/>
      <c r="B171" s="464"/>
      <c r="C171" s="464"/>
      <c r="D171" s="464"/>
      <c r="E171" s="464"/>
      <c r="F171" s="464"/>
      <c r="G171" s="464"/>
      <c r="H171" s="464"/>
      <c r="I171" s="464"/>
      <c r="J171" s="464"/>
      <c r="K171" s="464"/>
      <c r="L171" s="464"/>
      <c r="M171" s="464"/>
      <c r="N171" s="464"/>
      <c r="O171" s="464"/>
      <c r="P171" s="462"/>
      <c r="Q171" s="464"/>
      <c r="R171" s="640"/>
      <c r="S171" s="603"/>
      <c r="T171" s="603"/>
      <c r="U171" s="639"/>
      <c r="V171" s="603"/>
      <c r="W171" s="603"/>
      <c r="X171" s="603"/>
      <c r="Y171" s="603"/>
      <c r="Z171" s="637"/>
      <c r="AA171" s="637"/>
      <c r="AB171" s="637"/>
      <c r="AC171" s="637"/>
      <c r="AD171" s="637"/>
      <c r="AE171" s="637"/>
      <c r="AF171" s="580"/>
      <c r="AG171" s="580"/>
      <c r="AH171" s="580"/>
      <c r="AI171" s="580"/>
      <c r="AJ171" s="603"/>
    </row>
    <row r="172" spans="1:36" s="621" customFormat="1">
      <c r="A172" s="625" t="s">
        <v>292</v>
      </c>
      <c r="B172" s="604"/>
      <c r="C172" s="603"/>
      <c r="D172" s="462">
        <f>IF(DRIVE_Type="Coupling",M93-IF(Small_F,J69,J65),0)</f>
        <v>0</v>
      </c>
      <c r="E172" s="464"/>
      <c r="F172" s="626" t="s">
        <v>1290</v>
      </c>
      <c r="G172" s="627">
        <f>IF(DRIVE_Type="Coupling",AE_M,0)</f>
        <v>0</v>
      </c>
      <c r="H172" s="493"/>
      <c r="I172" s="493"/>
      <c r="J172" s="492"/>
      <c r="K172" s="493"/>
      <c r="L172" s="493"/>
      <c r="M172" s="492"/>
      <c r="N172" s="493"/>
      <c r="O172" s="583"/>
      <c r="P172" s="584"/>
      <c r="Q172" s="1450"/>
      <c r="R172" s="640"/>
      <c r="S172" s="580"/>
      <c r="T172" s="580"/>
      <c r="U172" s="636"/>
      <c r="V172" s="636"/>
      <c r="W172" s="636"/>
      <c r="X172" s="636"/>
      <c r="Y172" s="636"/>
      <c r="Z172" s="637"/>
      <c r="AA172" s="637"/>
      <c r="AB172" s="637"/>
      <c r="AC172" s="637"/>
      <c r="AD172" s="637"/>
      <c r="AE172" s="637"/>
      <c r="AF172" s="580"/>
      <c r="AG172" s="580"/>
      <c r="AH172" s="580"/>
      <c r="AI172" s="580"/>
      <c r="AJ172" s="603"/>
    </row>
    <row r="173" spans="1:36" s="621" customFormat="1">
      <c r="A173" s="625" t="s">
        <v>1288</v>
      </c>
      <c r="B173" s="604"/>
      <c r="C173" s="603"/>
      <c r="D173" s="2178">
        <f>IF(DRIVE_Type="Coupling",IF(Small_F,J69-(MB+MC),J65-J51),0)</f>
        <v>0</v>
      </c>
      <c r="E173" s="464"/>
      <c r="F173" s="493"/>
      <c r="G173" s="493"/>
      <c r="H173" s="493"/>
      <c r="I173" s="493"/>
      <c r="J173" s="492"/>
      <c r="K173" s="493"/>
      <c r="L173" s="493"/>
      <c r="M173" s="492"/>
      <c r="N173" s="493"/>
      <c r="O173" s="583"/>
      <c r="P173" s="584"/>
      <c r="Q173" s="1450"/>
      <c r="R173" s="640"/>
      <c r="S173" s="580"/>
      <c r="T173" s="580"/>
      <c r="U173" s="636"/>
      <c r="V173" s="636"/>
      <c r="W173" s="636"/>
      <c r="X173" s="636"/>
      <c r="Y173" s="636"/>
      <c r="Z173" s="637"/>
      <c r="AA173" s="637"/>
      <c r="AB173" s="637"/>
      <c r="AC173" s="637"/>
      <c r="AD173" s="637"/>
      <c r="AE173" s="637"/>
      <c r="AF173" s="580"/>
      <c r="AG173" s="580"/>
      <c r="AH173" s="580"/>
      <c r="AI173" s="580"/>
      <c r="AJ173" s="603"/>
    </row>
    <row r="174" spans="1:36" s="621" customFormat="1">
      <c r="A174" s="625" t="s">
        <v>1835</v>
      </c>
      <c r="B174" s="604"/>
      <c r="C174" s="603"/>
      <c r="D174" s="2178">
        <f>IF(DRIVE_Type="Coupling",M93-IF(Small_F,J69,J65)-DBdRa6-DBB-DBndRa5,0)</f>
        <v>0</v>
      </c>
      <c r="E174" s="464"/>
      <c r="F174" s="626" t="s">
        <v>1290</v>
      </c>
      <c r="G174" s="627">
        <f>IF(DRIVE_Type="Coupling",DRa6H_C,0)</f>
        <v>0</v>
      </c>
      <c r="H174" s="580"/>
      <c r="I174" s="580"/>
      <c r="J174" s="492"/>
      <c r="K174" s="493"/>
      <c r="L174" s="493"/>
      <c r="M174" s="492"/>
      <c r="N174" s="493"/>
      <c r="O174" s="583"/>
      <c r="P174" s="584"/>
      <c r="Q174" s="1450"/>
      <c r="R174" s="644"/>
      <c r="S174" s="603"/>
      <c r="T174" s="603"/>
      <c r="U174" s="639"/>
      <c r="V174" s="603"/>
      <c r="W174" s="603"/>
      <c r="X174" s="603"/>
      <c r="Y174" s="603"/>
      <c r="Z174" s="637"/>
      <c r="AA174" s="637"/>
      <c r="AB174" s="637"/>
      <c r="AC174" s="637"/>
      <c r="AD174" s="637"/>
      <c r="AE174" s="637"/>
      <c r="AF174" s="580"/>
      <c r="AG174" s="580"/>
      <c r="AH174" s="580"/>
      <c r="AI174" s="580"/>
    </row>
    <row r="175" spans="1:36" s="621" customFormat="1">
      <c r="A175" s="625" t="s">
        <v>1190</v>
      </c>
      <c r="B175" s="604"/>
      <c r="C175" s="603"/>
      <c r="D175" s="462">
        <f>IF(DRIVE_Type="Coupling",IF(Small_F,M90-J69-DRa6H_C-2*VLOOKUP(BF_Ra,Iron_dim,2),J81-J67),0)</f>
        <v>0</v>
      </c>
      <c r="E175" s="464"/>
      <c r="F175" s="626" t="s">
        <v>1290</v>
      </c>
      <c r="G175" s="627">
        <f>IF(DRIVE_Type="Coupling",IF(Small_F,DBB-(VLOOKUP(BF_Ra,Iron_dim,2)-DBndRa5)-(VLOOKUP(BF_Ra,Iron_dim,2)-DBdRa6),DRa5Ra6),0)</f>
        <v>0</v>
      </c>
      <c r="H175" s="580"/>
      <c r="I175" s="580"/>
      <c r="J175" s="492"/>
      <c r="K175" s="493"/>
      <c r="L175" s="493"/>
      <c r="M175" s="492"/>
      <c r="N175" s="493"/>
      <c r="O175" s="583"/>
      <c r="P175" s="584"/>
      <c r="Q175" s="1450"/>
      <c r="R175" s="640"/>
      <c r="S175" s="580"/>
      <c r="T175" s="580"/>
      <c r="U175" s="636"/>
      <c r="V175" s="636"/>
      <c r="W175" s="636"/>
      <c r="X175" s="636"/>
      <c r="Y175" s="636"/>
      <c r="Z175" s="637"/>
      <c r="AA175" s="637"/>
      <c r="AB175" s="637"/>
      <c r="AC175" s="637"/>
      <c r="AD175" s="637"/>
      <c r="AE175" s="637"/>
      <c r="AF175" s="580"/>
      <c r="AG175" s="580"/>
      <c r="AH175" s="580"/>
      <c r="AI175" s="580"/>
    </row>
    <row r="176" spans="1:36" s="621" customFormat="1">
      <c r="A176" s="464"/>
      <c r="B176" s="464"/>
      <c r="C176" s="464"/>
      <c r="D176" s="464"/>
      <c r="E176" s="464"/>
      <c r="F176" s="464"/>
      <c r="G176" s="464"/>
      <c r="H176" s="464"/>
      <c r="I176" s="464"/>
      <c r="J176" s="464"/>
      <c r="K176" s="464"/>
      <c r="L176" s="464"/>
      <c r="M176" s="464"/>
      <c r="N176" s="464"/>
      <c r="O176" s="464"/>
      <c r="P176" s="462"/>
      <c r="Q176" s="464"/>
      <c r="R176" s="640"/>
      <c r="S176" s="580"/>
      <c r="T176" s="580"/>
      <c r="U176" s="636"/>
      <c r="V176" s="636"/>
      <c r="W176" s="636"/>
      <c r="X176" s="636"/>
      <c r="Y176" s="636"/>
      <c r="Z176" s="637"/>
      <c r="AA176" s="637"/>
      <c r="AB176" s="637"/>
      <c r="AC176" s="637"/>
      <c r="AD176" s="637"/>
      <c r="AE176" s="637"/>
      <c r="AF176" s="580"/>
      <c r="AG176" s="580"/>
      <c r="AH176" s="580"/>
      <c r="AI176" s="580"/>
    </row>
    <row r="177" spans="18:36">
      <c r="R177" s="1502"/>
      <c r="S177" s="603"/>
      <c r="T177" s="603"/>
      <c r="U177" s="603"/>
      <c r="V177" s="572"/>
      <c r="W177" s="603"/>
      <c r="X177" s="603"/>
      <c r="Y177" s="603"/>
      <c r="Z177" s="603"/>
      <c r="AA177" s="603"/>
      <c r="AB177" s="603"/>
      <c r="AC177" s="603"/>
      <c r="AD177" s="603"/>
      <c r="AE177" s="603"/>
      <c r="AF177" s="603"/>
      <c r="AG177" s="603"/>
      <c r="AH177" s="603"/>
      <c r="AI177" s="603"/>
      <c r="AJ177" s="621"/>
    </row>
    <row r="178" spans="18:36">
      <c r="R178" s="644"/>
      <c r="S178" s="603"/>
      <c r="T178" s="603"/>
      <c r="U178" s="603"/>
      <c r="V178" s="603"/>
      <c r="W178" s="603"/>
      <c r="X178" s="603"/>
      <c r="Y178" s="603"/>
      <c r="Z178" s="603"/>
      <c r="AA178" s="603"/>
      <c r="AB178" s="603"/>
      <c r="AC178" s="603"/>
      <c r="AD178" s="603"/>
      <c r="AE178" s="603"/>
      <c r="AF178" s="603"/>
      <c r="AG178" s="603"/>
      <c r="AH178" s="603"/>
      <c r="AI178" s="603"/>
      <c r="AJ178" s="464"/>
    </row>
    <row r="179" spans="18:36">
      <c r="R179" s="644"/>
      <c r="S179" s="603"/>
      <c r="T179" s="603"/>
      <c r="U179" s="603"/>
      <c r="V179" s="603"/>
      <c r="W179" s="603"/>
      <c r="X179" s="603"/>
      <c r="Y179" s="603"/>
      <c r="Z179" s="603"/>
      <c r="AA179" s="603"/>
      <c r="AB179" s="603"/>
      <c r="AC179" s="603"/>
      <c r="AD179" s="603"/>
      <c r="AE179" s="603"/>
      <c r="AF179" s="603"/>
      <c r="AG179" s="603"/>
      <c r="AH179" s="603"/>
      <c r="AI179" s="603"/>
      <c r="AJ179" s="464"/>
    </row>
    <row r="180" spans="18:36">
      <c r="R180" s="644"/>
      <c r="S180" s="603"/>
      <c r="T180" s="603"/>
      <c r="U180" s="603"/>
      <c r="V180" s="603"/>
      <c r="W180" s="603"/>
      <c r="X180" s="603"/>
      <c r="Y180" s="603"/>
      <c r="Z180" s="603"/>
      <c r="AA180" s="603"/>
      <c r="AB180" s="603"/>
      <c r="AC180" s="603"/>
      <c r="AD180" s="603"/>
      <c r="AE180" s="603"/>
      <c r="AF180" s="603"/>
      <c r="AG180" s="603"/>
      <c r="AH180" s="603"/>
      <c r="AI180" s="603"/>
      <c r="AJ180" s="464"/>
    </row>
    <row r="181" spans="18:36">
      <c r="R181" s="644"/>
      <c r="S181" s="603"/>
      <c r="T181" s="603"/>
      <c r="U181" s="603"/>
      <c r="V181" s="603"/>
      <c r="W181" s="603"/>
      <c r="X181" s="603"/>
      <c r="Y181" s="603"/>
      <c r="Z181" s="603"/>
      <c r="AA181" s="603"/>
      <c r="AB181" s="603"/>
      <c r="AC181" s="603"/>
      <c r="AD181" s="603"/>
      <c r="AE181" s="603"/>
      <c r="AF181" s="603"/>
      <c r="AG181" s="603"/>
      <c r="AH181" s="603"/>
      <c r="AI181" s="603"/>
      <c r="AJ181" s="464"/>
    </row>
    <row r="182" spans="18:36">
      <c r="R182" s="644"/>
      <c r="S182" s="603"/>
      <c r="T182" s="603"/>
      <c r="U182" s="603"/>
      <c r="V182" s="603"/>
      <c r="W182" s="603"/>
      <c r="X182" s="603"/>
      <c r="Y182" s="603"/>
      <c r="Z182" s="603"/>
      <c r="AA182" s="603"/>
      <c r="AB182" s="603"/>
      <c r="AC182" s="603"/>
      <c r="AD182" s="603"/>
      <c r="AE182" s="603"/>
      <c r="AF182" s="603"/>
      <c r="AG182" s="603"/>
      <c r="AH182" s="603"/>
      <c r="AI182" s="603"/>
      <c r="AJ182" s="464"/>
    </row>
    <row r="183" spans="18:36">
      <c r="R183" s="644"/>
      <c r="S183" s="603"/>
      <c r="T183" s="603"/>
      <c r="U183" s="603"/>
      <c r="V183" s="603"/>
      <c r="W183" s="603"/>
      <c r="X183" s="603"/>
      <c r="Y183" s="603"/>
      <c r="Z183" s="603"/>
      <c r="AA183" s="603"/>
      <c r="AB183" s="603"/>
      <c r="AC183" s="603"/>
      <c r="AD183" s="603"/>
      <c r="AE183" s="603"/>
      <c r="AF183" s="603"/>
      <c r="AG183" s="603"/>
      <c r="AH183" s="603"/>
      <c r="AI183" s="603"/>
      <c r="AJ183" s="464"/>
    </row>
    <row r="184" spans="18:36">
      <c r="R184" s="644"/>
      <c r="S184" s="603"/>
      <c r="T184" s="603"/>
      <c r="U184" s="603"/>
      <c r="V184" s="603"/>
      <c r="W184" s="603"/>
      <c r="X184" s="603"/>
      <c r="Y184" s="603"/>
      <c r="Z184" s="603"/>
      <c r="AA184" s="603"/>
      <c r="AB184" s="603"/>
      <c r="AC184" s="603"/>
      <c r="AD184" s="603"/>
      <c r="AE184" s="603"/>
      <c r="AF184" s="603"/>
      <c r="AG184" s="603"/>
      <c r="AH184" s="603"/>
      <c r="AI184" s="603"/>
      <c r="AJ184" s="464"/>
    </row>
    <row r="185" spans="18:36">
      <c r="R185" s="644"/>
      <c r="S185" s="603"/>
      <c r="T185" s="603"/>
      <c r="U185" s="603"/>
      <c r="V185" s="603"/>
      <c r="W185" s="603"/>
      <c r="X185" s="603"/>
      <c r="Y185" s="603"/>
      <c r="Z185" s="603"/>
      <c r="AA185" s="603"/>
      <c r="AB185" s="603"/>
      <c r="AC185" s="603"/>
      <c r="AD185" s="603"/>
      <c r="AE185" s="603"/>
      <c r="AF185" s="603"/>
      <c r="AG185" s="603"/>
      <c r="AH185" s="603"/>
      <c r="AI185" s="603"/>
      <c r="AJ185" s="464"/>
    </row>
    <row r="186" spans="18:36">
      <c r="R186" s="644"/>
      <c r="S186" s="603"/>
      <c r="T186" s="603"/>
      <c r="U186" s="603"/>
      <c r="V186" s="603"/>
      <c r="W186" s="603"/>
      <c r="X186" s="603"/>
      <c r="Y186" s="603"/>
      <c r="Z186" s="603"/>
      <c r="AA186" s="603"/>
      <c r="AB186" s="603"/>
      <c r="AC186" s="603"/>
      <c r="AD186" s="603"/>
      <c r="AE186" s="603"/>
      <c r="AF186" s="603"/>
      <c r="AG186" s="603"/>
      <c r="AH186" s="603"/>
      <c r="AI186" s="603"/>
      <c r="AJ186" s="464"/>
    </row>
    <row r="187" spans="18:36">
      <c r="R187" s="644"/>
      <c r="S187" s="603"/>
      <c r="T187" s="603"/>
      <c r="U187" s="603"/>
      <c r="V187" s="603"/>
      <c r="W187" s="603"/>
      <c r="X187" s="603"/>
      <c r="Y187" s="603"/>
      <c r="Z187" s="603"/>
      <c r="AA187" s="603"/>
      <c r="AB187" s="603"/>
      <c r="AC187" s="603"/>
      <c r="AD187" s="603"/>
      <c r="AE187" s="603"/>
      <c r="AF187" s="603"/>
      <c r="AG187" s="603"/>
      <c r="AH187" s="603"/>
      <c r="AI187" s="603"/>
      <c r="AJ187" s="464"/>
    </row>
    <row r="188" spans="18:36">
      <c r="R188" s="644"/>
      <c r="S188" s="603"/>
      <c r="T188" s="603"/>
      <c r="U188" s="603"/>
      <c r="V188" s="603"/>
      <c r="W188" s="603"/>
      <c r="X188" s="603"/>
      <c r="Y188" s="603"/>
      <c r="Z188" s="603"/>
      <c r="AA188" s="603"/>
      <c r="AB188" s="603"/>
      <c r="AC188" s="603"/>
      <c r="AD188" s="603"/>
      <c r="AE188" s="603"/>
      <c r="AF188" s="603"/>
      <c r="AG188" s="603"/>
      <c r="AH188" s="603"/>
      <c r="AI188" s="603"/>
      <c r="AJ188" s="464"/>
    </row>
    <row r="189" spans="18:36">
      <c r="R189" s="644"/>
      <c r="S189" s="603"/>
      <c r="T189" s="603"/>
      <c r="U189" s="603"/>
      <c r="V189" s="603"/>
      <c r="W189" s="603"/>
      <c r="X189" s="603"/>
      <c r="Y189" s="603"/>
      <c r="Z189" s="603"/>
      <c r="AA189" s="603"/>
      <c r="AB189" s="603"/>
      <c r="AC189" s="603"/>
      <c r="AD189" s="603"/>
      <c r="AE189" s="603"/>
      <c r="AF189" s="603"/>
      <c r="AG189" s="603"/>
      <c r="AH189" s="603"/>
      <c r="AI189" s="603"/>
      <c r="AJ189" s="464"/>
    </row>
    <row r="190" spans="18:36">
      <c r="R190" s="644"/>
      <c r="S190" s="603"/>
      <c r="T190" s="603"/>
      <c r="U190" s="603"/>
      <c r="V190" s="603"/>
      <c r="W190" s="603"/>
      <c r="X190" s="603"/>
      <c r="Y190" s="603"/>
      <c r="Z190" s="603"/>
      <c r="AA190" s="603"/>
      <c r="AB190" s="603"/>
      <c r="AC190" s="603"/>
      <c r="AD190" s="603"/>
      <c r="AE190" s="603"/>
      <c r="AF190" s="603"/>
      <c r="AG190" s="603"/>
      <c r="AH190" s="603"/>
      <c r="AI190" s="603"/>
      <c r="AJ190" s="464"/>
    </row>
    <row r="191" spans="18:36">
      <c r="R191" s="644"/>
      <c r="S191" s="603"/>
      <c r="T191" s="603"/>
      <c r="U191" s="603"/>
      <c r="V191" s="603"/>
      <c r="W191" s="603"/>
      <c r="X191" s="603"/>
      <c r="Y191" s="603"/>
      <c r="Z191" s="603"/>
      <c r="AA191" s="603"/>
      <c r="AB191" s="603"/>
      <c r="AC191" s="603"/>
      <c r="AD191" s="603"/>
      <c r="AE191" s="603"/>
      <c r="AF191" s="603"/>
      <c r="AG191" s="603"/>
      <c r="AH191" s="603"/>
      <c r="AI191" s="603"/>
      <c r="AJ191" s="464"/>
    </row>
    <row r="192" spans="18:36">
      <c r="R192" s="493"/>
      <c r="AJ192" s="464"/>
    </row>
    <row r="193" spans="18:36">
      <c r="R193" s="493"/>
      <c r="AJ193" s="464"/>
    </row>
    <row r="194" spans="18:36">
      <c r="R194" s="493"/>
      <c r="AJ194" s="464"/>
    </row>
    <row r="195" spans="18:36">
      <c r="R195" s="493"/>
      <c r="AJ195" s="464"/>
    </row>
    <row r="196" spans="18:36">
      <c r="R196" s="493"/>
      <c r="AJ196" s="464"/>
    </row>
    <row r="197" spans="18:36">
      <c r="R197" s="493"/>
      <c r="AJ197" s="464"/>
    </row>
    <row r="198" spans="18:36">
      <c r="R198" s="493"/>
      <c r="AJ198" s="464"/>
    </row>
    <row r="199" spans="18:36">
      <c r="AJ199" s="464"/>
    </row>
    <row r="200" spans="18:36">
      <c r="AJ200" s="464"/>
    </row>
    <row r="201" spans="18:36">
      <c r="AJ201" s="464"/>
    </row>
    <row r="202" spans="18:36">
      <c r="AJ202" s="464"/>
    </row>
    <row r="203" spans="18:36">
      <c r="AJ203" s="464"/>
    </row>
    <row r="204" spans="18:36">
      <c r="AJ204" s="464"/>
    </row>
    <row r="205" spans="18:36">
      <c r="AJ205" s="464"/>
    </row>
    <row r="206" spans="18:36">
      <c r="AJ206" s="464"/>
    </row>
    <row r="207" spans="18:36">
      <c r="AJ207" s="464"/>
    </row>
    <row r="208" spans="18:36">
      <c r="AJ208" s="464"/>
    </row>
    <row r="209" spans="36:36">
      <c r="AJ209" s="464"/>
    </row>
    <row r="210" spans="36:36">
      <c r="AJ210" s="464"/>
    </row>
  </sheetData>
  <mergeCells count="4">
    <mergeCell ref="A21:A22"/>
    <mergeCell ref="B21:B22"/>
    <mergeCell ref="C21:C22"/>
    <mergeCell ref="D21:D22"/>
  </mergeCells>
  <phoneticPr fontId="170" type="noConversion"/>
  <pageMargins left="0.70866141732283472" right="0.70866141732283472" top="0.74803149606299213" bottom="0.74803149606299213" header="0.31496062992125984" footer="0.31496062992125984"/>
  <pageSetup paperSize="9" scale="19" orientation="landscape" r:id="rId1"/>
  <headerFooter>
    <oddHeader>&amp;L&amp;F / &amp;A&amp;R&amp;D</oddHeader>
    <oddFooter>&amp;L&amp;12CONFIDENTIAL&amp;C&amp;12BARKER JET&amp;Rpage &amp;P / &amp;N</oddFooter>
  </headerFooter>
  <drawing r:id="rId2"/>
  <legacyDrawing r:id="rId3"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pageSetUpPr fitToPage="1"/>
  </sheetPr>
  <dimension ref="A1:AJ210"/>
  <sheetViews>
    <sheetView topLeftCell="A21" zoomScale="60" zoomScaleNormal="60" workbookViewId="0">
      <pane xSplit="4" ySplit="2" topLeftCell="E155" activePane="bottomRight" state="frozen"/>
      <selection activeCell="K96" sqref="K96"/>
      <selection pane="topRight" activeCell="K96" sqref="K96"/>
      <selection pane="bottomLeft" activeCell="K96" sqref="K96"/>
      <selection pane="bottomRight" activeCell="B26" sqref="B26"/>
    </sheetView>
  </sheetViews>
  <sheetFormatPr defaultColWidth="10.7109375" defaultRowHeight="15"/>
  <cols>
    <col min="1" max="1" width="15" style="464" customWidth="1"/>
    <col min="2" max="9" width="10.7109375" style="464" customWidth="1"/>
    <col min="10" max="15" width="8.7109375" style="464" customWidth="1"/>
    <col min="16" max="16" width="8.7109375" style="462" customWidth="1"/>
    <col min="17" max="17" width="8.7109375" style="464" customWidth="1"/>
    <col min="18" max="35" width="10.7109375" style="464"/>
    <col min="36" max="36" width="10.7109375" style="466"/>
    <col min="37" max="16384" width="10.7109375" style="464"/>
  </cols>
  <sheetData>
    <row r="1" spans="1:29">
      <c r="A1" s="562" t="s">
        <v>1191</v>
      </c>
      <c r="F1" s="462"/>
      <c r="G1" s="462"/>
      <c r="H1" s="462"/>
      <c r="I1" s="462"/>
      <c r="J1" s="462"/>
      <c r="K1" s="462"/>
      <c r="L1" s="462"/>
      <c r="M1" s="462"/>
      <c r="N1" s="462"/>
      <c r="O1" s="462"/>
      <c r="Q1" s="462"/>
      <c r="R1" s="462"/>
      <c r="S1" s="462"/>
      <c r="T1" s="462"/>
      <c r="U1" s="462"/>
      <c r="V1" s="462"/>
      <c r="W1" s="462"/>
      <c r="X1" s="462"/>
      <c r="Y1" s="462"/>
      <c r="Z1" s="462"/>
      <c r="AA1" s="462"/>
      <c r="AB1" s="462"/>
      <c r="AC1" s="462"/>
    </row>
    <row r="2" spans="1:29">
      <c r="A2" s="562"/>
      <c r="B2" s="464" t="s">
        <v>235</v>
      </c>
      <c r="C2" s="464" t="s">
        <v>1022</v>
      </c>
      <c r="E2" s="680"/>
      <c r="F2" s="462" t="s">
        <v>1477</v>
      </c>
      <c r="G2" s="462"/>
      <c r="H2" s="462"/>
      <c r="I2" s="462"/>
      <c r="J2" s="462"/>
      <c r="K2" s="462"/>
      <c r="L2" s="462"/>
      <c r="M2" s="462"/>
      <c r="N2" s="462"/>
      <c r="O2" s="462"/>
      <c r="Q2" s="462"/>
      <c r="R2" s="462"/>
      <c r="S2" s="462"/>
      <c r="T2" s="462" t="s">
        <v>1056</v>
      </c>
      <c r="U2" s="462"/>
      <c r="V2" s="462" t="s">
        <v>96</v>
      </c>
      <c r="W2" s="462"/>
      <c r="X2" s="463" t="s">
        <v>255</v>
      </c>
      <c r="Y2" s="462"/>
      <c r="AA2" s="462" t="s">
        <v>256</v>
      </c>
      <c r="AB2" s="462"/>
      <c r="AC2" s="462"/>
    </row>
    <row r="3" spans="1:29">
      <c r="A3" s="562"/>
      <c r="B3" s="464" t="s">
        <v>1202</v>
      </c>
      <c r="C3" s="464" t="s">
        <v>1201</v>
      </c>
      <c r="E3" s="676"/>
      <c r="F3" s="462" t="s">
        <v>1478</v>
      </c>
      <c r="G3" s="462"/>
      <c r="H3" s="462"/>
      <c r="I3" s="482" t="s">
        <v>58</v>
      </c>
      <c r="J3" s="462"/>
      <c r="K3" s="462"/>
      <c r="L3" s="462"/>
      <c r="M3" s="462"/>
      <c r="N3" s="462"/>
      <c r="O3" s="462"/>
      <c r="P3" s="463" t="s">
        <v>58</v>
      </c>
      <c r="Q3" s="462"/>
      <c r="R3" s="462"/>
      <c r="S3" s="462"/>
      <c r="T3" s="462"/>
      <c r="U3" s="462"/>
      <c r="V3" s="462"/>
      <c r="W3" s="462"/>
      <c r="X3" s="462"/>
      <c r="Y3" s="462"/>
      <c r="Z3" s="462"/>
      <c r="AA3" s="462"/>
      <c r="AB3" s="462"/>
      <c r="AC3" s="462"/>
    </row>
    <row r="4" spans="1:29">
      <c r="B4" s="464" t="s">
        <v>1192</v>
      </c>
      <c r="C4" s="464" t="s">
        <v>267</v>
      </c>
      <c r="E4" s="677"/>
      <c r="F4" s="462" t="s">
        <v>1479</v>
      </c>
      <c r="G4" s="462"/>
      <c r="H4" s="462"/>
      <c r="I4" s="462"/>
      <c r="J4" s="462"/>
      <c r="K4" s="462"/>
      <c r="L4" s="462"/>
      <c r="M4" s="462"/>
      <c r="N4" s="462"/>
      <c r="O4" s="462"/>
      <c r="Q4" s="462" t="s">
        <v>257</v>
      </c>
      <c r="R4" s="462"/>
      <c r="S4" s="462"/>
      <c r="T4" s="462"/>
      <c r="U4" s="462"/>
      <c r="V4" s="462"/>
      <c r="W4" s="462"/>
      <c r="X4" s="462"/>
      <c r="Y4" s="462"/>
      <c r="Z4" s="462"/>
      <c r="AA4" s="463"/>
      <c r="AB4" s="462"/>
      <c r="AC4" s="462"/>
    </row>
    <row r="5" spans="1:29">
      <c r="B5" s="464" t="s">
        <v>148</v>
      </c>
      <c r="C5" s="464" t="s">
        <v>0</v>
      </c>
      <c r="E5" s="1208"/>
      <c r="F5" s="1209" t="s">
        <v>2592</v>
      </c>
      <c r="G5" s="468"/>
      <c r="H5" s="462"/>
      <c r="I5" s="462"/>
      <c r="J5" s="462"/>
      <c r="K5" s="462"/>
      <c r="L5" s="462"/>
      <c r="M5" s="462"/>
      <c r="N5" s="462"/>
      <c r="O5" s="462"/>
      <c r="Q5" s="462"/>
      <c r="R5" s="462"/>
      <c r="S5" s="462"/>
      <c r="T5" s="462"/>
      <c r="U5" s="463" t="s">
        <v>2633</v>
      </c>
      <c r="V5" s="462"/>
      <c r="W5" s="462"/>
      <c r="X5" s="462"/>
      <c r="Y5" s="462"/>
      <c r="Z5" s="462"/>
      <c r="AA5" s="462"/>
      <c r="AB5" s="462"/>
      <c r="AC5" s="462"/>
    </row>
    <row r="6" spans="1:29">
      <c r="B6" s="464" t="s">
        <v>238</v>
      </c>
      <c r="C6" s="464" t="s">
        <v>110</v>
      </c>
      <c r="F6" s="468"/>
      <c r="G6" s="468"/>
      <c r="H6" s="462"/>
      <c r="I6" s="462"/>
      <c r="J6" s="462" t="s">
        <v>1032</v>
      </c>
      <c r="K6" s="462"/>
      <c r="L6" s="462"/>
      <c r="M6" s="462"/>
      <c r="N6" s="462"/>
      <c r="O6" s="462"/>
      <c r="Q6" s="462"/>
      <c r="R6" s="462"/>
      <c r="S6" s="462"/>
      <c r="T6" s="462"/>
      <c r="U6" s="462"/>
      <c r="V6" s="462"/>
      <c r="W6" s="462"/>
      <c r="X6" s="462"/>
      <c r="Y6" s="462"/>
      <c r="Z6" s="462"/>
      <c r="AA6" s="462"/>
      <c r="AB6" s="462"/>
      <c r="AC6" s="462"/>
    </row>
    <row r="7" spans="1:29">
      <c r="B7" s="464" t="s">
        <v>1193</v>
      </c>
      <c r="C7" s="464" t="s">
        <v>1194</v>
      </c>
      <c r="F7" s="468"/>
      <c r="G7" s="468"/>
      <c r="H7" s="462"/>
      <c r="I7" s="462"/>
      <c r="J7" s="462"/>
      <c r="K7" s="462"/>
      <c r="L7" s="462"/>
      <c r="M7" s="462"/>
      <c r="N7" s="462"/>
      <c r="O7" s="462"/>
      <c r="Q7" s="462"/>
      <c r="R7" s="462"/>
      <c r="S7" s="462"/>
      <c r="T7" s="462"/>
      <c r="U7" s="462"/>
      <c r="V7" s="462"/>
      <c r="W7" s="462"/>
      <c r="X7" s="463"/>
      <c r="Y7" s="462"/>
      <c r="Z7" s="462"/>
      <c r="AA7" s="462"/>
      <c r="AB7" s="462"/>
      <c r="AC7" s="462"/>
    </row>
    <row r="8" spans="1:29">
      <c r="B8" s="464" t="s">
        <v>53</v>
      </c>
      <c r="C8" s="464" t="s">
        <v>1195</v>
      </c>
      <c r="F8" s="462"/>
      <c r="G8" s="462"/>
      <c r="H8" s="462"/>
      <c r="I8" s="462" t="s">
        <v>1054</v>
      </c>
      <c r="J8" s="462"/>
      <c r="K8" s="462"/>
      <c r="L8" s="462"/>
      <c r="M8" s="462"/>
      <c r="N8" s="462"/>
      <c r="O8" s="462"/>
      <c r="Q8" s="462"/>
      <c r="R8" s="462"/>
      <c r="S8" s="462"/>
      <c r="T8" s="462"/>
      <c r="U8" s="462"/>
      <c r="V8" s="462"/>
      <c r="W8" s="462"/>
      <c r="X8" s="462"/>
      <c r="Y8" s="462"/>
      <c r="Z8" s="462"/>
      <c r="AA8" s="462"/>
      <c r="AB8" s="462"/>
      <c r="AC8" s="462"/>
    </row>
    <row r="9" spans="1:29">
      <c r="B9" s="464" t="s">
        <v>252</v>
      </c>
      <c r="C9" s="464" t="s">
        <v>1186</v>
      </c>
      <c r="F9" s="462"/>
      <c r="G9" s="462"/>
      <c r="H9" s="462"/>
      <c r="I9" s="462"/>
      <c r="J9" s="462"/>
      <c r="K9" s="462"/>
      <c r="L9" s="462"/>
      <c r="M9" s="462"/>
      <c r="N9" s="462"/>
      <c r="O9" s="462"/>
      <c r="Q9" s="462"/>
      <c r="R9" s="462"/>
      <c r="S9" s="462"/>
      <c r="T9" s="462"/>
      <c r="U9" s="462"/>
      <c r="V9" s="463"/>
      <c r="W9" s="462"/>
      <c r="X9" s="462"/>
      <c r="Y9" s="462"/>
      <c r="Z9" s="463"/>
      <c r="AA9" s="462"/>
      <c r="AB9" s="462"/>
      <c r="AC9" s="462"/>
    </row>
    <row r="10" spans="1:29">
      <c r="B10" s="464" t="s">
        <v>243</v>
      </c>
      <c r="C10" s="464" t="s">
        <v>1187</v>
      </c>
      <c r="F10" s="462"/>
      <c r="G10" s="462"/>
      <c r="H10" s="462" t="s">
        <v>266</v>
      </c>
      <c r="I10" s="462"/>
      <c r="J10" s="463"/>
      <c r="K10" s="563" t="s">
        <v>1031</v>
      </c>
      <c r="L10" s="462"/>
      <c r="M10" s="462" t="s">
        <v>260</v>
      </c>
      <c r="N10" s="462"/>
      <c r="O10" s="463"/>
      <c r="Q10" s="462"/>
      <c r="R10" s="563"/>
      <c r="S10" s="462"/>
      <c r="T10" s="563"/>
      <c r="U10" s="463"/>
      <c r="V10" s="482"/>
      <c r="W10" s="462"/>
      <c r="X10" s="462"/>
      <c r="Y10" s="563"/>
      <c r="Z10" s="462"/>
      <c r="AA10" s="462"/>
      <c r="AB10" s="462"/>
      <c r="AC10" s="462"/>
    </row>
    <row r="11" spans="1:29">
      <c r="A11" s="564"/>
      <c r="B11" s="464" t="s">
        <v>147</v>
      </c>
      <c r="C11" s="464" t="s">
        <v>1188</v>
      </c>
      <c r="F11" s="462"/>
      <c r="G11" s="462"/>
      <c r="H11" s="462"/>
      <c r="I11" s="462"/>
      <c r="J11" s="462"/>
      <c r="K11" s="462"/>
      <c r="L11" s="462"/>
      <c r="M11" s="462"/>
      <c r="N11" s="462"/>
      <c r="O11" s="462"/>
      <c r="Q11" s="563" t="s">
        <v>3374</v>
      </c>
      <c r="R11" s="462"/>
      <c r="S11" s="462"/>
      <c r="T11" s="563" t="s">
        <v>3375</v>
      </c>
      <c r="U11" s="462"/>
      <c r="V11" s="462"/>
      <c r="W11" s="463" t="s">
        <v>3376</v>
      </c>
      <c r="X11" s="462"/>
      <c r="Y11" s="463" t="s">
        <v>3377</v>
      </c>
      <c r="Z11" s="462"/>
      <c r="AA11" s="462"/>
      <c r="AB11" s="462"/>
      <c r="AC11" s="462"/>
    </row>
    <row r="12" spans="1:29">
      <c r="B12" s="464" t="s">
        <v>243</v>
      </c>
      <c r="C12" s="464" t="s">
        <v>1187</v>
      </c>
      <c r="F12" s="462"/>
      <c r="G12" s="462"/>
      <c r="H12" s="462"/>
      <c r="I12" s="462"/>
      <c r="J12" s="462"/>
      <c r="K12" s="462"/>
      <c r="L12" s="462"/>
      <c r="M12" s="462"/>
      <c r="N12" s="462"/>
      <c r="O12" s="462"/>
      <c r="Q12" s="462"/>
      <c r="R12" s="462"/>
      <c r="S12" s="462"/>
      <c r="T12" s="462"/>
      <c r="U12" s="462"/>
      <c r="V12" s="462"/>
      <c r="W12" s="462"/>
      <c r="X12" s="462"/>
      <c r="Y12" s="462"/>
      <c r="Z12" s="462"/>
      <c r="AA12" s="462"/>
      <c r="AB12" s="462"/>
      <c r="AC12" s="462"/>
    </row>
    <row r="13" spans="1:29">
      <c r="B13" s="464" t="s">
        <v>1206</v>
      </c>
      <c r="C13" s="464" t="s">
        <v>1207</v>
      </c>
      <c r="F13" s="462"/>
      <c r="G13" s="462"/>
      <c r="H13" s="462"/>
      <c r="I13" s="462"/>
      <c r="J13" s="462"/>
      <c r="K13" s="462"/>
      <c r="L13" s="462"/>
      <c r="M13" s="462"/>
      <c r="N13" s="462"/>
      <c r="O13" s="462"/>
      <c r="Q13" s="462"/>
      <c r="R13" s="462"/>
      <c r="S13" s="462"/>
      <c r="T13" s="462"/>
      <c r="U13" s="462"/>
      <c r="V13" s="462"/>
      <c r="W13" s="462"/>
      <c r="X13" s="462"/>
      <c r="Y13" s="462"/>
      <c r="Z13" s="462"/>
      <c r="AA13" s="462"/>
      <c r="AB13" s="462"/>
      <c r="AC13" s="462"/>
    </row>
    <row r="14" spans="1:29">
      <c r="B14" s="464" t="s">
        <v>1198</v>
      </c>
      <c r="C14" s="464" t="s">
        <v>1199</v>
      </c>
      <c r="F14" s="462"/>
      <c r="G14" s="462"/>
      <c r="H14" s="462"/>
      <c r="I14" s="462" t="s">
        <v>2836</v>
      </c>
      <c r="J14" s="462"/>
      <c r="K14" s="462"/>
      <c r="L14" s="462"/>
      <c r="M14" s="462"/>
      <c r="N14" s="462"/>
      <c r="O14" s="462"/>
      <c r="Q14" s="462"/>
      <c r="R14" s="462"/>
      <c r="S14" s="462"/>
      <c r="T14" s="462"/>
      <c r="U14" s="462"/>
      <c r="V14" s="462"/>
      <c r="W14" s="462"/>
      <c r="X14" s="462"/>
      <c r="Y14" s="462"/>
      <c r="Z14" s="462"/>
      <c r="AA14" s="462"/>
      <c r="AB14" s="462"/>
      <c r="AC14" s="462"/>
    </row>
    <row r="15" spans="1:29">
      <c r="B15" s="464" t="s">
        <v>1200</v>
      </c>
      <c r="C15" s="464" t="s">
        <v>1189</v>
      </c>
      <c r="F15" s="462"/>
      <c r="G15" s="462"/>
      <c r="H15" s="462"/>
      <c r="I15" s="462"/>
      <c r="J15" s="462"/>
      <c r="K15" s="462"/>
      <c r="L15" s="462"/>
      <c r="M15" s="462"/>
      <c r="N15" s="462"/>
      <c r="O15" s="462"/>
      <c r="P15" s="482"/>
      <c r="Q15" s="462"/>
      <c r="R15" s="462"/>
      <c r="S15" s="462"/>
      <c r="T15" s="462"/>
      <c r="U15" s="462"/>
      <c r="V15" s="463"/>
      <c r="W15" s="462"/>
      <c r="X15" s="462"/>
      <c r="Y15" s="462"/>
      <c r="Z15" s="462"/>
      <c r="AA15" s="462"/>
      <c r="AB15" s="462"/>
      <c r="AC15" s="462"/>
    </row>
    <row r="16" spans="1:29">
      <c r="B16" s="464" t="s">
        <v>234</v>
      </c>
      <c r="C16" s="464" t="s">
        <v>1210</v>
      </c>
      <c r="F16" s="462"/>
      <c r="G16" s="462"/>
      <c r="H16" s="462" t="s">
        <v>264</v>
      </c>
      <c r="J16" s="462"/>
      <c r="K16" s="462"/>
      <c r="L16" s="462"/>
      <c r="M16" s="462"/>
      <c r="N16" s="462"/>
      <c r="O16" s="462"/>
      <c r="Q16" s="462"/>
      <c r="R16" s="462"/>
      <c r="S16" s="462"/>
      <c r="T16" s="462"/>
      <c r="U16" s="462"/>
      <c r="V16" s="462"/>
      <c r="W16" s="462"/>
      <c r="X16" s="462"/>
      <c r="Y16" s="462"/>
      <c r="Z16" s="462"/>
      <c r="AA16" s="462"/>
      <c r="AB16" s="462"/>
      <c r="AC16" s="462"/>
    </row>
    <row r="17" spans="1:36">
      <c r="B17" s="464" t="s">
        <v>1196</v>
      </c>
      <c r="C17" s="464" t="s">
        <v>1208</v>
      </c>
      <c r="F17" s="468"/>
      <c r="G17" s="565" t="s">
        <v>1033</v>
      </c>
      <c r="H17" s="462"/>
      <c r="I17" s="462"/>
      <c r="J17" s="462"/>
      <c r="K17" s="462"/>
      <c r="L17" s="462" t="s">
        <v>1034</v>
      </c>
      <c r="M17" s="462"/>
      <c r="N17" s="563" t="s">
        <v>269</v>
      </c>
      <c r="O17" s="462"/>
      <c r="Q17" s="462"/>
      <c r="R17" s="462"/>
      <c r="S17" s="462"/>
      <c r="T17" s="462"/>
      <c r="U17" s="462"/>
      <c r="V17" s="462"/>
      <c r="W17" s="462"/>
      <c r="X17" s="462"/>
      <c r="Y17" s="462"/>
      <c r="Z17" s="563" t="s">
        <v>57</v>
      </c>
      <c r="AA17" s="463" t="s">
        <v>1480</v>
      </c>
      <c r="AB17" s="462"/>
      <c r="AC17" s="462"/>
    </row>
    <row r="18" spans="1:36">
      <c r="B18" s="464" t="s">
        <v>1197</v>
      </c>
      <c r="C18" s="464" t="s">
        <v>1209</v>
      </c>
      <c r="F18" s="462"/>
      <c r="G18" s="462"/>
      <c r="H18" s="462"/>
      <c r="I18" s="462"/>
      <c r="J18" s="462"/>
      <c r="K18" s="462"/>
      <c r="L18" s="462"/>
      <c r="M18" s="462"/>
      <c r="N18" s="462"/>
      <c r="O18" s="462"/>
      <c r="Q18" s="462"/>
      <c r="R18" s="462"/>
      <c r="S18" s="462"/>
      <c r="T18" s="462"/>
      <c r="U18" s="462"/>
      <c r="V18" s="462"/>
      <c r="W18" s="462"/>
      <c r="X18" s="462"/>
      <c r="Y18" s="462"/>
      <c r="Z18" s="462" t="s">
        <v>57</v>
      </c>
      <c r="AA18" s="462"/>
      <c r="AB18" s="462"/>
      <c r="AC18" s="462"/>
    </row>
    <row r="19" spans="1:36">
      <c r="F19" s="462"/>
      <c r="G19" s="462"/>
      <c r="H19" s="462"/>
      <c r="I19" s="463" t="s">
        <v>265</v>
      </c>
      <c r="J19" s="462"/>
      <c r="K19" s="462"/>
      <c r="L19" s="462"/>
      <c r="M19" s="462"/>
      <c r="N19" s="462"/>
      <c r="O19" s="462"/>
      <c r="Q19" s="462"/>
      <c r="R19" s="462"/>
      <c r="S19" s="462" t="s">
        <v>266</v>
      </c>
      <c r="T19" s="462"/>
      <c r="U19" s="462"/>
      <c r="V19" s="462"/>
      <c r="W19" s="462"/>
      <c r="X19" s="462" t="s">
        <v>1057</v>
      </c>
      <c r="Y19" s="462"/>
      <c r="Z19" s="462"/>
      <c r="AA19" s="462"/>
      <c r="AB19" s="462"/>
      <c r="AC19" s="462"/>
    </row>
    <row r="20" spans="1:36" ht="15.75" thickBot="1">
      <c r="F20" s="462"/>
      <c r="G20" s="462"/>
      <c r="H20" s="462"/>
      <c r="I20" s="462"/>
      <c r="J20" s="462"/>
      <c r="K20" s="462"/>
      <c r="L20" s="463"/>
      <c r="M20" s="462"/>
      <c r="N20" s="462"/>
      <c r="O20" s="462"/>
      <c r="Q20" s="462"/>
      <c r="R20" s="462"/>
      <c r="S20" s="462"/>
      <c r="T20" s="462"/>
      <c r="U20" s="462"/>
      <c r="V20" s="462"/>
      <c r="W20" s="462"/>
      <c r="X20" s="462"/>
      <c r="Y20" s="462"/>
      <c r="Z20" s="462"/>
      <c r="AA20" s="462"/>
      <c r="AB20" s="462"/>
      <c r="AC20" s="462"/>
    </row>
    <row r="21" spans="1:36" ht="14.45" customHeight="1">
      <c r="A21" s="3968" t="s">
        <v>3459</v>
      </c>
      <c r="B21" s="3970" t="str">
        <f>DRIVE_Type</f>
        <v>Direct</v>
      </c>
      <c r="C21" s="3972" t="e">
        <f ca="1">IF(Small_F,"Small", "Normal")</f>
        <v>#REF!</v>
      </c>
      <c r="D21" s="3974" t="e">
        <f ca="1">Drive+IF(Small_F,0.1,0)</f>
        <v>#REF!</v>
      </c>
    </row>
    <row r="22" spans="1:36" ht="15" customHeight="1" thickBot="1">
      <c r="A22" s="3969"/>
      <c r="B22" s="3971"/>
      <c r="C22" s="3973"/>
      <c r="D22" s="3975"/>
    </row>
    <row r="23" spans="1:36" ht="15.75" thickTop="1">
      <c r="A23" s="1683" t="s">
        <v>3534</v>
      </c>
      <c r="B23" s="1906"/>
      <c r="C23" s="1907"/>
      <c r="D23" s="566"/>
      <c r="E23" s="566"/>
      <c r="F23" s="566"/>
      <c r="G23" s="566"/>
      <c r="H23" s="566"/>
      <c r="I23" s="566"/>
      <c r="J23" s="567" t="s">
        <v>277</v>
      </c>
      <c r="K23" s="568"/>
      <c r="L23" s="568"/>
      <c r="M23" s="567" t="s">
        <v>278</v>
      </c>
      <c r="N23" s="568"/>
      <c r="O23" s="569"/>
      <c r="P23" s="1908"/>
      <c r="Q23" s="1909"/>
      <c r="R23" s="570"/>
      <c r="T23" s="571" t="s">
        <v>1251</v>
      </c>
      <c r="U23" s="472" t="e">
        <f ca="1">P24</f>
        <v>#REF!</v>
      </c>
      <c r="V23" s="464" t="s">
        <v>131</v>
      </c>
      <c r="X23" s="1501" t="s">
        <v>1474</v>
      </c>
      <c r="Y23" s="572" t="s">
        <v>274</v>
      </c>
      <c r="Z23" s="572" t="s">
        <v>275</v>
      </c>
      <c r="AA23" s="572" t="s">
        <v>276</v>
      </c>
      <c r="AJ23" s="464"/>
    </row>
    <row r="24" spans="1:36">
      <c r="A24" s="622"/>
      <c r="B24" s="573"/>
      <c r="C24" s="574" t="s">
        <v>268</v>
      </c>
      <c r="D24" s="1539" t="s">
        <v>243</v>
      </c>
      <c r="E24" s="1539" t="s">
        <v>346</v>
      </c>
      <c r="F24" s="1539" t="s">
        <v>304</v>
      </c>
      <c r="G24" s="1539" t="s">
        <v>348</v>
      </c>
      <c r="H24" s="574" t="s">
        <v>1053</v>
      </c>
      <c r="I24" s="575" t="s">
        <v>280</v>
      </c>
      <c r="J24" s="576" t="s">
        <v>57</v>
      </c>
      <c r="K24" s="575" t="s">
        <v>58</v>
      </c>
      <c r="L24" s="575" t="s">
        <v>269</v>
      </c>
      <c r="M24" s="576" t="s">
        <v>57</v>
      </c>
      <c r="N24" s="575" t="s">
        <v>58</v>
      </c>
      <c r="O24" s="624" t="s">
        <v>269</v>
      </c>
      <c r="P24" s="577" t="e">
        <f ca="1">SUM(P25:P136)</f>
        <v>#REF!</v>
      </c>
      <c r="Q24" s="1451" t="e">
        <f ca="1">SUM(Q25:Q136)</f>
        <v>#REF!</v>
      </c>
      <c r="R24" s="578"/>
      <c r="T24" s="571" t="s">
        <v>2811</v>
      </c>
      <c r="U24" s="2003" t="e">
        <f ca="1">Q24*2</f>
        <v>#REF!</v>
      </c>
      <c r="V24" s="464" t="s">
        <v>2511</v>
      </c>
      <c r="X24" s="1501"/>
      <c r="Y24" s="462" t="e">
        <f ca="1">ROUNDUP(MAX(1.1*MAX(J23:O164)/500-1,1),0)*500</f>
        <v>#REF!</v>
      </c>
      <c r="Z24" s="462" t="e">
        <f ca="1">ROUNDUP(1.1*MAX(J23:O164)/500,0)*500-250</f>
        <v>#REF!</v>
      </c>
      <c r="AA24" s="462" t="e">
        <f ca="1">ROUNDUP(MAX(1.1*MAX(J23:O164)/500-1,1),0)*500</f>
        <v>#REF!</v>
      </c>
      <c r="AJ24" s="464"/>
    </row>
    <row r="25" spans="1:36">
      <c r="A25" s="614" t="s">
        <v>3374</v>
      </c>
      <c r="B25" s="1902" t="e">
        <f ca="1">IF(DRIVE_Type="Direct",IF('Frame Dimensions - D'!B25="",0,'Frame Dimensions - D'!B25),IF('Frame Dimensions - C'!B25="",0,'Frame Dimensions - C'!B25))</f>
        <v>#REF!</v>
      </c>
      <c r="C25" s="484" t="e">
        <f ca="1">IF(DRIVE_Type="Direct",IF('Frame Dimensions - D'!C25="",0,'Frame Dimensions - D'!C25),IF('Frame Dimensions - C'!C25="",0,'Frame Dimensions - C'!C25))</f>
        <v>#REF!</v>
      </c>
      <c r="D25" s="587" t="e">
        <f ca="1">IF(DRIVE_Type="Direct",IF('Frame Dimensions - D'!D25="",0,'Frame Dimensions - D'!D25),IF('Frame Dimensions - C'!D25="",0,'Frame Dimensions - C'!D25))</f>
        <v>#REF!</v>
      </c>
      <c r="E25" s="587" t="e">
        <f ca="1">IF(DRIVE_Type="Direct",IF('Frame Dimensions - D'!E25="",0,'Frame Dimensions - D'!E25),IF('Frame Dimensions - C'!E25="",0,'Frame Dimensions - C'!E25))</f>
        <v>#REF!</v>
      </c>
      <c r="F25" s="587" t="e">
        <f ca="1">IF(DRIVE_Type="Direct",IF('Frame Dimensions - D'!F25="",0,'Frame Dimensions - D'!F25),IF('Frame Dimensions - C'!F25="",0,'Frame Dimensions - C'!F25))</f>
        <v>#REF!</v>
      </c>
      <c r="G25" s="587" t="e">
        <f ca="1">IF(DRIVE_Type="Direct",IF('Frame Dimensions - D'!G25="",0,'Frame Dimensions - D'!G25),IF('Frame Dimensions - C'!G25="",0,'Frame Dimensions - C'!G25))</f>
        <v>#REF!</v>
      </c>
      <c r="H25" s="484">
        <f>IF(DRIVE_Type="Direct",IF('Frame Dimensions - D'!H25="",0,'Frame Dimensions - D'!H25),IF('Frame Dimensions - C'!H25="",0,'Frame Dimensions - C'!H25))</f>
        <v>0</v>
      </c>
      <c r="I25" s="1643" t="str">
        <f>IF(DRIVE_Type="Direct",IF('Frame Dimensions - D'!I25="",0,'Frame Dimensions - D'!I25),IF('Frame Dimensions - C'!I25="",0,'Frame Dimensions - C'!I25))</f>
        <v>X+Y-Z+</v>
      </c>
      <c r="J25" s="1939">
        <f>IF(DRIVE_Type="Direct",IF('Frame Dimensions - D'!J25="",0,'Frame Dimensions - D'!J25),IF('Frame Dimensions - C'!J25="",0,'Frame Dimensions - C'!J25))</f>
        <v>0</v>
      </c>
      <c r="K25" s="587" t="e">
        <f ca="1">IF(DRIVE_Type="Direct",IF('Frame Dimensions - D'!K25="",0,'Frame Dimensions - D'!K25),IF('Frame Dimensions - C'!K25="",0,'Frame Dimensions - C'!K25))</f>
        <v>#REF!</v>
      </c>
      <c r="L25" s="1903" t="e">
        <f ca="1">IF(DRIVE_Type="Direct",IF('Frame Dimensions - D'!L25="",0,'Frame Dimensions - D'!L25),IF('Frame Dimensions - C'!L25="",0,'Frame Dimensions - C'!L25))</f>
        <v>#REF!</v>
      </c>
      <c r="M25" s="615">
        <f>IF(DRIVE_Type="Direct",IF('Frame Dimensions - D'!M25="",0,'Frame Dimensions - D'!M25),IF('Frame Dimensions - C'!M25="",0,'Frame Dimensions - C'!M25))</f>
        <v>0</v>
      </c>
      <c r="N25" s="613" t="e">
        <f ca="1">IF(DRIVE_Type="Direct",IF('Frame Dimensions - D'!N25="",0,'Frame Dimensions - D'!N25),IF('Frame Dimensions - C'!N25="",0,'Frame Dimensions - C'!N25))</f>
        <v>#REF!</v>
      </c>
      <c r="O25" s="1171" t="e">
        <f ca="1">IF(DRIVE_Type="Direct",IF('Frame Dimensions - D'!O25="",0,'Frame Dimensions - D'!O25),IF('Frame Dimensions - C'!O25="",0,'Frame Dimensions - C'!O25))</f>
        <v>#REF!</v>
      </c>
      <c r="P25" s="632" t="e">
        <f ca="1">IF(DRIVE_Type="Direct",IF('Frame Dimensions - D'!P25="",0,'Frame Dimensions - D'!P25),IF('Frame Dimensions - C'!P25="",0,'Frame Dimensions - C'!P25))</f>
        <v>#REF!</v>
      </c>
      <c r="Q25" s="1456" t="e">
        <f ca="1">IF(DRIVE_Type="Direct",IF('Frame Dimensions - D'!Q25="",0,'Frame Dimensions - D'!Q25),IF('Frame Dimensions - C'!Q25="",0,'Frame Dimensions - C'!Q25))</f>
        <v>#REF!</v>
      </c>
      <c r="R25" s="493"/>
      <c r="T25" s="571" t="s">
        <v>1058</v>
      </c>
      <c r="U25" s="462" t="e">
        <f ca="1">IF(DRIVE_Type&lt;&gt;"Coupling",IF(Small_F,J105,J117),IF(Small_F,J105,J109))</f>
        <v>#REF!</v>
      </c>
      <c r="V25" s="464" t="s">
        <v>136</v>
      </c>
      <c r="X25" s="1501"/>
      <c r="Y25" s="462" t="e">
        <f ca="1">-Y24</f>
        <v>#REF!</v>
      </c>
      <c r="Z25" s="464">
        <v>0</v>
      </c>
      <c r="AA25" s="462" t="e">
        <f ca="1">-AA24</f>
        <v>#REF!</v>
      </c>
      <c r="AJ25" s="464"/>
    </row>
    <row r="26" spans="1:36" ht="15.75" thickBot="1">
      <c r="B26" s="604" t="e">
        <f ca="1">IF(DRIVE_Type="Direct",IF('Frame Dimensions - D'!B26="",0,'Frame Dimensions - D'!B26),IF('Frame Dimensions - C'!B26="",0,'Frame Dimensions - C'!B26))</f>
        <v>#REF!</v>
      </c>
      <c r="C26" s="582">
        <f>IF(DRIVE_Type="Direct",IF('Frame Dimensions - D'!C26="",0,'Frame Dimensions - D'!C26),IF('Frame Dimensions - C'!C26="",0,'Frame Dimensions - C'!C26))</f>
        <v>0</v>
      </c>
      <c r="D26" s="580">
        <f>IF(DRIVE_Type="Direct",IF('Frame Dimensions - D'!D26="",0,'Frame Dimensions - D'!D26),IF('Frame Dimensions - C'!D26="",0,'Frame Dimensions - C'!D26))</f>
        <v>0</v>
      </c>
      <c r="E26" s="493">
        <f>IF(DRIVE_Type="Direct",IF('Frame Dimensions - D'!E26="",0,'Frame Dimensions - D'!E26),IF('Frame Dimensions - C'!E26="",0,'Frame Dimensions - C'!E26))</f>
        <v>0</v>
      </c>
      <c r="F26" s="493">
        <f>IF(DRIVE_Type="Direct",IF('Frame Dimensions - D'!F26="",0,'Frame Dimensions - D'!F26),IF('Frame Dimensions - C'!F26="",0,'Frame Dimensions - C'!F26))</f>
        <v>0</v>
      </c>
      <c r="G26" s="493">
        <f>IF(DRIVE_Type="Direct",IF('Frame Dimensions - D'!G26="",0,'Frame Dimensions - D'!G26),IF('Frame Dimensions - C'!G26="",0,'Frame Dimensions - C'!G26))</f>
        <v>0</v>
      </c>
      <c r="H26" s="493">
        <f>IF(DRIVE_Type="Direct",IF('Frame Dimensions - D'!H26="",0,'Frame Dimensions - D'!H26),IF('Frame Dimensions - C'!H26="",0,'Frame Dimensions - C'!H26))</f>
        <v>0</v>
      </c>
      <c r="I26" s="493">
        <f>IF(DRIVE_Type="Direct",IF('Frame Dimensions - D'!I26="",0,'Frame Dimensions - D'!I26),IF('Frame Dimensions - C'!I26="",0,'Frame Dimensions - C'!I26))</f>
        <v>0</v>
      </c>
      <c r="J26" s="609">
        <f>IF(DRIVE_Type="Direct",IF('Frame Dimensions - D'!J26="",0,'Frame Dimensions - D'!J26),IF('Frame Dimensions - C'!J26="",0,'Frame Dimensions - C'!J26))</f>
        <v>0</v>
      </c>
      <c r="K26" s="493" t="e">
        <f ca="1">IF(DRIVE_Type="Direct",IF('Frame Dimensions - D'!K26="",0,'Frame Dimensions - D'!K26),IF('Frame Dimensions - C'!K26="",0,'Frame Dimensions - C'!K26))</f>
        <v>#REF!</v>
      </c>
      <c r="L26" s="582" t="e">
        <f ca="1">IF(DRIVE_Type="Direct",IF('Frame Dimensions - D'!L26="",0,'Frame Dimensions - D'!L26),IF('Frame Dimensions - C'!L26="",0,'Frame Dimensions - C'!L26))</f>
        <v>#REF!</v>
      </c>
      <c r="M26" s="609">
        <f>IF(DRIVE_Type="Direct",IF('Frame Dimensions - D'!M26="",0,'Frame Dimensions - D'!M26),IF('Frame Dimensions - C'!M26="",0,'Frame Dimensions - C'!M26))</f>
        <v>0</v>
      </c>
      <c r="N26" s="608" t="e">
        <f ca="1">IF(DRIVE_Type="Direct",IF('Frame Dimensions - D'!N26="",0,'Frame Dimensions - D'!N26),IF('Frame Dimensions - C'!N26="",0,'Frame Dimensions - C'!N26))</f>
        <v>#REF!</v>
      </c>
      <c r="O26" s="583" t="e">
        <f ca="1">IF(DRIVE_Type="Direct",IF('Frame Dimensions - D'!O26="",0,'Frame Dimensions - D'!O26),IF('Frame Dimensions - C'!O26="",0,'Frame Dimensions - C'!O26))</f>
        <v>#REF!</v>
      </c>
      <c r="P26" s="584">
        <f>IF(DRIVE_Type="Direct",IF('Frame Dimensions - D'!P26="",0,'Frame Dimensions - D'!P26),IF('Frame Dimensions - C'!P26="",0,'Frame Dimensions - C'!P26))</f>
        <v>0</v>
      </c>
      <c r="Q26" s="1450">
        <f>IF(DRIVE_Type="Direct",IF('Frame Dimensions - D'!Q26="",0,'Frame Dimensions - D'!Q26),IF('Frame Dimensions - C'!Q26="",0,'Frame Dimensions - C'!Q26))</f>
        <v>0</v>
      </c>
      <c r="R26" s="493"/>
      <c r="T26" s="571" t="s">
        <v>284</v>
      </c>
      <c r="U26" s="462">
        <f>IF(DRIVE_Type&lt;&gt;"Coupling",0,IF(Small_F,F111,J75-J59))</f>
        <v>0</v>
      </c>
      <c r="V26" s="464" t="s">
        <v>136</v>
      </c>
      <c r="X26" s="586"/>
      <c r="Y26" s="580"/>
      <c r="AJ26" s="464"/>
    </row>
    <row r="27" spans="1:36">
      <c r="B27" s="604" t="e">
        <f ca="1">IF(DRIVE_Type="Direct",IF('Frame Dimensions - D'!B27="",0,'Frame Dimensions - D'!B27),IF('Frame Dimensions - C'!B27="",0,'Frame Dimensions - C'!B27))</f>
        <v>#REF!</v>
      </c>
      <c r="C27" s="580">
        <f>IF(DRIVE_Type="Direct",IF('Frame Dimensions - D'!C27="",0,'Frame Dimensions - D'!C27),IF('Frame Dimensions - C'!C27="",0,'Frame Dimensions - C'!C27))</f>
        <v>0</v>
      </c>
      <c r="D27" s="580">
        <f>IF(DRIVE_Type="Direct",IF('Frame Dimensions - D'!D27="",0,'Frame Dimensions - D'!D27),IF('Frame Dimensions - C'!D27="",0,'Frame Dimensions - C'!D27))</f>
        <v>0</v>
      </c>
      <c r="E27" s="493">
        <f>IF(DRIVE_Type="Direct",IF('Frame Dimensions - D'!E27="",0,'Frame Dimensions - D'!E27),IF('Frame Dimensions - C'!E27="",0,'Frame Dimensions - C'!E27))</f>
        <v>0</v>
      </c>
      <c r="F27" s="493">
        <f>IF(DRIVE_Type="Direct",IF('Frame Dimensions - D'!F27="",0,'Frame Dimensions - D'!F27),IF('Frame Dimensions - C'!F27="",0,'Frame Dimensions - C'!F27))</f>
        <v>0</v>
      </c>
      <c r="G27" s="493">
        <f>IF(DRIVE_Type="Direct",IF('Frame Dimensions - D'!G27="",0,'Frame Dimensions - D'!G27),IF('Frame Dimensions - C'!G27="",0,'Frame Dimensions - C'!G27))</f>
        <v>0</v>
      </c>
      <c r="H27" s="493">
        <f>IF(DRIVE_Type="Direct",IF('Frame Dimensions - D'!H27="",0,'Frame Dimensions - D'!H27),IF('Frame Dimensions - C'!H27="",0,'Frame Dimensions - C'!H27))</f>
        <v>0</v>
      </c>
      <c r="I27" s="493">
        <f>IF(DRIVE_Type="Direct",IF('Frame Dimensions - D'!I27="",0,'Frame Dimensions - D'!I27),IF('Frame Dimensions - C'!I27="",0,'Frame Dimensions - C'!I27))</f>
        <v>0</v>
      </c>
      <c r="J27" s="599" t="e">
        <f ca="1">IF(DRIVE_Type="Direct",IF('Frame Dimensions - D'!J27="",0,'Frame Dimensions - D'!J27),IF('Frame Dimensions - C'!J27="",0,'Frame Dimensions - C'!J27))</f>
        <v>#REF!</v>
      </c>
      <c r="K27" s="608" t="e">
        <f ca="1">IF(DRIVE_Type="Direct",IF('Frame Dimensions - D'!K27="",0,'Frame Dimensions - D'!K27),IF('Frame Dimensions - C'!K27="",0,'Frame Dimensions - C'!K27))</f>
        <v>#REF!</v>
      </c>
      <c r="L27" s="608" t="e">
        <f ca="1">IF(DRIVE_Type="Direct",IF('Frame Dimensions - D'!L27="",0,'Frame Dimensions - D'!L27),IF('Frame Dimensions - C'!L27="",0,'Frame Dimensions - C'!L27))</f>
        <v>#REF!</v>
      </c>
      <c r="M27" s="609" t="e">
        <f ca="1">IF(DRIVE_Type="Direct",IF('Frame Dimensions - D'!M27="",0,'Frame Dimensions - D'!M27),IF('Frame Dimensions - C'!M27="",0,'Frame Dimensions - C'!M27))</f>
        <v>#REF!</v>
      </c>
      <c r="N27" s="608" t="e">
        <f ca="1">IF(DRIVE_Type="Direct",IF('Frame Dimensions - D'!N27="",0,'Frame Dimensions - D'!N27),IF('Frame Dimensions - C'!N27="",0,'Frame Dimensions - C'!N27))</f>
        <v>#REF!</v>
      </c>
      <c r="O27" s="611" t="e">
        <f ca="1">IF(DRIVE_Type="Direct",IF('Frame Dimensions - D'!O27="",0,'Frame Dimensions - D'!O27),IF('Frame Dimensions - C'!O27="",0,'Frame Dimensions - C'!O27))</f>
        <v>#REF!</v>
      </c>
      <c r="P27" s="584">
        <f>IF(DRIVE_Type="Direct",IF('Frame Dimensions - D'!P27="",0,'Frame Dimensions - D'!P27),IF('Frame Dimensions - C'!P27="",0,'Frame Dimensions - C'!P27))</f>
        <v>0</v>
      </c>
      <c r="Q27" s="1450">
        <f>IF(DRIVE_Type="Direct",IF('Frame Dimensions - D'!Q27="",0,'Frame Dimensions - D'!Q27),IF('Frame Dimensions - C'!Q27="",0,'Frame Dimensions - C'!Q27))</f>
        <v>0</v>
      </c>
      <c r="R27" s="582"/>
      <c r="T27" s="571" t="s">
        <v>1059</v>
      </c>
      <c r="U27" s="462" t="e">
        <f ca="1">MAX(J126,J122)</f>
        <v>#REF!</v>
      </c>
      <c r="V27" s="464" t="s">
        <v>136</v>
      </c>
      <c r="X27" s="3976" t="s">
        <v>2634</v>
      </c>
      <c r="Y27" s="1226" t="s">
        <v>2596</v>
      </c>
      <c r="Z27" s="1227" t="e">
        <f ca="1">U25</f>
        <v>#REF!</v>
      </c>
      <c r="AA27" s="1228" t="s">
        <v>2597</v>
      </c>
      <c r="AB27" s="1227" t="e">
        <f ca="1">D124</f>
        <v>#REF!</v>
      </c>
      <c r="AC27" s="1228" t="s">
        <v>2598</v>
      </c>
      <c r="AD27" s="1227">
        <f>IF(DRIVE_Type&lt;&gt;"Coupling",0,M63-M52)</f>
        <v>0</v>
      </c>
      <c r="AE27" s="1228" t="s">
        <v>2599</v>
      </c>
      <c r="AF27" s="1229">
        <f>IF(DRIVE_Type&lt;&gt;"Coupling",0,M115-J115)</f>
        <v>0</v>
      </c>
      <c r="AJ27" s="464"/>
    </row>
    <row r="28" spans="1:36">
      <c r="A28" s="628"/>
      <c r="B28" s="604" t="e">
        <f ca="1">IF(DRIVE_Type="Direct",IF('Frame Dimensions - D'!B28="",0,'Frame Dimensions - D'!B28),IF('Frame Dimensions - C'!B28="",0,'Frame Dimensions - C'!B28))</f>
        <v>#REF!</v>
      </c>
      <c r="C28" s="580">
        <f>IF(DRIVE_Type="Direct",IF('Frame Dimensions - D'!C28="",0,'Frame Dimensions - D'!C28),IF('Frame Dimensions - C'!C28="",0,'Frame Dimensions - C'!C28))</f>
        <v>0</v>
      </c>
      <c r="D28" s="580">
        <f>IF(DRIVE_Type="Direct",IF('Frame Dimensions - D'!D28="",0,'Frame Dimensions - D'!D28),IF('Frame Dimensions - C'!D28="",0,'Frame Dimensions - C'!D28))</f>
        <v>0</v>
      </c>
      <c r="E28" s="493">
        <f>IF(DRIVE_Type="Direct",IF('Frame Dimensions - D'!E28="",0,'Frame Dimensions - D'!E28),IF('Frame Dimensions - C'!E28="",0,'Frame Dimensions - C'!E28))</f>
        <v>0</v>
      </c>
      <c r="F28" s="493">
        <f>IF(DRIVE_Type="Direct",IF('Frame Dimensions - D'!F28="",0,'Frame Dimensions - D'!F28),IF('Frame Dimensions - C'!F28="",0,'Frame Dimensions - C'!F28))</f>
        <v>0</v>
      </c>
      <c r="G28" s="493">
        <f>IF(DRIVE_Type="Direct",IF('Frame Dimensions - D'!G28="",0,'Frame Dimensions - D'!G28),IF('Frame Dimensions - C'!G28="",0,'Frame Dimensions - C'!G28))</f>
        <v>0</v>
      </c>
      <c r="H28" s="493">
        <f>IF(DRIVE_Type="Direct",IF('Frame Dimensions - D'!H28="",0,'Frame Dimensions - D'!H28),IF('Frame Dimensions - C'!H28="",0,'Frame Dimensions - C'!H28))</f>
        <v>0</v>
      </c>
      <c r="I28" s="580">
        <f>IF(DRIVE_Type="Direct",IF('Frame Dimensions - D'!I28="",0,'Frame Dimensions - D'!I28),IF('Frame Dimensions - C'!I28="",0,'Frame Dimensions - C'!I28))</f>
        <v>0</v>
      </c>
      <c r="J28" s="609" t="e">
        <f ca="1">IF(DRIVE_Type="Direct",IF('Frame Dimensions - D'!J28="",0,'Frame Dimensions - D'!J28),IF('Frame Dimensions - C'!J28="",0,'Frame Dimensions - C'!J28))</f>
        <v>#REF!</v>
      </c>
      <c r="K28" s="608" t="e">
        <f ca="1">IF(DRIVE_Type="Direct",IF('Frame Dimensions - D'!K28="",0,'Frame Dimensions - D'!K28),IF('Frame Dimensions - C'!K28="",0,'Frame Dimensions - C'!K28))</f>
        <v>#REF!</v>
      </c>
      <c r="L28" s="608" t="e">
        <f ca="1">IF(DRIVE_Type="Direct",IF('Frame Dimensions - D'!L28="",0,'Frame Dimensions - D'!L28),IF('Frame Dimensions - C'!L28="",0,'Frame Dimensions - C'!L28))</f>
        <v>#REF!</v>
      </c>
      <c r="M28" s="609" t="e">
        <f ca="1">IF(DRIVE_Type="Direct",IF('Frame Dimensions - D'!M28="",0,'Frame Dimensions - D'!M28),IF('Frame Dimensions - C'!M28="",0,'Frame Dimensions - C'!M28))</f>
        <v>#REF!</v>
      </c>
      <c r="N28" s="608" t="e">
        <f ca="1">IF(DRIVE_Type="Direct",IF('Frame Dimensions - D'!N28="",0,'Frame Dimensions - D'!N28),IF('Frame Dimensions - C'!N28="",0,'Frame Dimensions - C'!N28))</f>
        <v>#REF!</v>
      </c>
      <c r="O28" s="608" t="e">
        <f ca="1">IF(DRIVE_Type="Direct",IF('Frame Dimensions - D'!O28="",0,'Frame Dimensions - D'!O28),IF('Frame Dimensions - C'!O28="",0,'Frame Dimensions - C'!O28))</f>
        <v>#REF!</v>
      </c>
      <c r="P28" s="602">
        <f>IF(DRIVE_Type="Direct",IF('Frame Dimensions - D'!P28="",0,'Frame Dimensions - D'!P28),IF('Frame Dimensions - C'!P28="",0,'Frame Dimensions - C'!P28))</f>
        <v>0</v>
      </c>
      <c r="Q28" s="1454">
        <f>IF(DRIVE_Type="Direct",IF('Frame Dimensions - D'!Q28="",0,'Frame Dimensions - D'!Q28),IF('Frame Dimensions - C'!Q28="",0,'Frame Dimensions - C'!Q28))</f>
        <v>0</v>
      </c>
      <c r="R28" s="582"/>
      <c r="T28" s="571" t="s">
        <v>1060</v>
      </c>
      <c r="U28" s="462" t="e">
        <f ca="1">L124-L120</f>
        <v>#REF!</v>
      </c>
      <c r="V28" s="464" t="s">
        <v>136</v>
      </c>
      <c r="X28" s="3977"/>
      <c r="Y28" s="492" t="s">
        <v>349</v>
      </c>
      <c r="Z28" s="598" t="e">
        <f ca="1">K103</f>
        <v>#REF!</v>
      </c>
      <c r="AA28" s="493" t="s">
        <v>2600</v>
      </c>
      <c r="AB28" s="598" t="e">
        <f ca="1">(N98+N99)/2</f>
        <v>#REF!</v>
      </c>
      <c r="AC28" s="493" t="s">
        <v>2601</v>
      </c>
      <c r="AD28" s="598">
        <f>IF(DRIVE_Type&lt;&gt;"Coupling",0,K111)</f>
        <v>0</v>
      </c>
      <c r="AE28" s="493"/>
      <c r="AF28" s="583"/>
      <c r="AJ28" s="464"/>
    </row>
    <row r="29" spans="1:36" ht="15.75" thickBot="1">
      <c r="A29" s="1682"/>
      <c r="B29" s="579" t="e">
        <f ca="1">IF(DRIVE_Type="Direct",IF('Frame Dimensions - D'!B29="",0,'Frame Dimensions - D'!B29),IF('Frame Dimensions - C'!B29="",0,'Frame Dimensions - C'!B29))</f>
        <v>#REF!</v>
      </c>
      <c r="C29" s="580" t="e">
        <f ca="1">IF(DRIVE_Type="Direct",IF('Frame Dimensions - D'!C29="",0,'Frame Dimensions - D'!C29),IF('Frame Dimensions - C'!C29="",0,'Frame Dimensions - C'!C29))</f>
        <v>#REF!</v>
      </c>
      <c r="D29" s="580" t="e">
        <f ca="1">IF(DRIVE_Type="Direct",IF('Frame Dimensions - D'!D29="",0,'Frame Dimensions - D'!D29),IF('Frame Dimensions - C'!D29="",0,'Frame Dimensions - C'!D29))</f>
        <v>#REF!</v>
      </c>
      <c r="E29" s="580" t="e">
        <f ca="1">IF(DRIVE_Type="Direct",IF('Frame Dimensions - D'!E29="",0,'Frame Dimensions - D'!E29),IF('Frame Dimensions - C'!E29="",0,'Frame Dimensions - C'!E29))</f>
        <v>#REF!</v>
      </c>
      <c r="F29" s="580" t="e">
        <f ca="1">IF(DRIVE_Type="Direct",IF('Frame Dimensions - D'!F29="",0,'Frame Dimensions - D'!F29),IF('Frame Dimensions - C'!F29="",0,'Frame Dimensions - C'!F29))</f>
        <v>#REF!</v>
      </c>
      <c r="G29" s="580" t="e">
        <f ca="1">IF(DRIVE_Type="Direct",IF('Frame Dimensions - D'!G29="",0,'Frame Dimensions - D'!G29),IF('Frame Dimensions - C'!G29="",0,'Frame Dimensions - C'!G29))</f>
        <v>#REF!</v>
      </c>
      <c r="H29" s="493">
        <f>IF(DRIVE_Type="Direct",IF('Frame Dimensions - D'!H29="",0,'Frame Dimensions - D'!H29),IF('Frame Dimensions - C'!H29="",0,'Frame Dimensions - C'!H29))</f>
        <v>0</v>
      </c>
      <c r="I29" s="581" t="str">
        <f>IF(DRIVE_Type="Direct",IF('Frame Dimensions - D'!I29="",0,'Frame Dimensions - D'!I29),IF('Frame Dimensions - C'!I29="",0,'Frame Dimensions - C'!I29))</f>
        <v>X+Y-Z+</v>
      </c>
      <c r="J29" s="609">
        <f>IF(DRIVE_Type="Direct",IF('Frame Dimensions - D'!J29="",0,'Frame Dimensions - D'!J29),IF('Frame Dimensions - C'!J29="",0,'Frame Dimensions - C'!J29))</f>
        <v>0</v>
      </c>
      <c r="K29" s="580" t="e">
        <f ca="1">IF(DRIVE_Type="Direct",IF('Frame Dimensions - D'!K29="",0,'Frame Dimensions - D'!K29),IF('Frame Dimensions - C'!K29="",0,'Frame Dimensions - C'!K29))</f>
        <v>#REF!</v>
      </c>
      <c r="L29" s="582" t="e">
        <f ca="1">IF(DRIVE_Type="Direct",IF('Frame Dimensions - D'!L29="",0,'Frame Dimensions - D'!L29),IF('Frame Dimensions - C'!L29="",0,'Frame Dimensions - C'!L29))</f>
        <v>#REF!</v>
      </c>
      <c r="M29" s="609">
        <f>IF(DRIVE_Type="Direct",IF('Frame Dimensions - D'!M29="",0,'Frame Dimensions - D'!M29),IF('Frame Dimensions - C'!M29="",0,'Frame Dimensions - C'!M29))</f>
        <v>0</v>
      </c>
      <c r="N29" s="608" t="e">
        <f ca="1">IF(DRIVE_Type="Direct",IF('Frame Dimensions - D'!N29="",0,'Frame Dimensions - D'!N29),IF('Frame Dimensions - C'!N29="",0,'Frame Dimensions - C'!N29))</f>
        <v>#REF!</v>
      </c>
      <c r="O29" s="612" t="e">
        <f ca="1">IF(DRIVE_Type="Direct",IF('Frame Dimensions - D'!O29="",0,'Frame Dimensions - D'!O29),IF('Frame Dimensions - C'!O29="",0,'Frame Dimensions - C'!O29))</f>
        <v>#REF!</v>
      </c>
      <c r="P29" s="584" t="e">
        <f ca="1">IF(DRIVE_Type="Direct",IF('Frame Dimensions - D'!P29="",0,'Frame Dimensions - D'!P29),IF('Frame Dimensions - C'!P29="",0,'Frame Dimensions - C'!P29))</f>
        <v>#REF!</v>
      </c>
      <c r="Q29" s="1450" t="e">
        <f ca="1">IF(DRIVE_Type="Direct",IF('Frame Dimensions - D'!Q29="",0,'Frame Dimensions - D'!Q29),IF('Frame Dimensions - C'!Q29="",0,'Frame Dimensions - C'!Q29))</f>
        <v>#REF!</v>
      </c>
      <c r="R29" s="582"/>
      <c r="T29" s="571"/>
      <c r="U29" s="467"/>
      <c r="X29" s="3978"/>
      <c r="Y29" s="1230" t="s">
        <v>2602</v>
      </c>
      <c r="Z29" s="1231" t="e">
        <f ca="1">O103-L103</f>
        <v>#REF!</v>
      </c>
      <c r="AA29" s="638" t="s">
        <v>2603</v>
      </c>
      <c r="AB29" s="1231" t="e">
        <f ca="1">O104-L104</f>
        <v>#REF!</v>
      </c>
      <c r="AC29" s="638" t="s">
        <v>2604</v>
      </c>
      <c r="AD29" s="1231">
        <f>IF(DRIVE_Type&lt;&gt;"Coupling",0,O111-L111)</f>
        <v>0</v>
      </c>
      <c r="AE29" s="638" t="s">
        <v>2615</v>
      </c>
      <c r="AF29" s="1232" t="e">
        <f ca="1">O103-L103</f>
        <v>#REF!</v>
      </c>
      <c r="AJ29" s="464"/>
    </row>
    <row r="30" spans="1:36">
      <c r="A30" s="1680"/>
      <c r="B30" s="604" t="e">
        <f ca="1">IF(DRIVE_Type="Direct",IF('Frame Dimensions - D'!B30="",0,'Frame Dimensions - D'!B30),IF('Frame Dimensions - C'!B30="",0,'Frame Dimensions - C'!B30))</f>
        <v>#REF!</v>
      </c>
      <c r="C30" s="582">
        <f>IF(DRIVE_Type="Direct",IF('Frame Dimensions - D'!C30="",0,'Frame Dimensions - D'!C30),IF('Frame Dimensions - C'!C30="",0,'Frame Dimensions - C'!C30))</f>
        <v>0</v>
      </c>
      <c r="D30" s="580">
        <f>IF(DRIVE_Type="Direct",IF('Frame Dimensions - D'!D30="",0,'Frame Dimensions - D'!D30),IF('Frame Dimensions - C'!D30="",0,'Frame Dimensions - C'!D30))</f>
        <v>0</v>
      </c>
      <c r="E30" s="493">
        <f>IF(DRIVE_Type="Direct",IF('Frame Dimensions - D'!E30="",0,'Frame Dimensions - D'!E30),IF('Frame Dimensions - C'!E30="",0,'Frame Dimensions - C'!E30))</f>
        <v>0</v>
      </c>
      <c r="F30" s="493">
        <f>IF(DRIVE_Type="Direct",IF('Frame Dimensions - D'!F30="",0,'Frame Dimensions - D'!F30),IF('Frame Dimensions - C'!F30="",0,'Frame Dimensions - C'!F30))</f>
        <v>0</v>
      </c>
      <c r="G30" s="493">
        <f>IF(DRIVE_Type="Direct",IF('Frame Dimensions - D'!G30="",0,'Frame Dimensions - D'!G30),IF('Frame Dimensions - C'!G30="",0,'Frame Dimensions - C'!G30))</f>
        <v>0</v>
      </c>
      <c r="H30" s="493">
        <f>IF(DRIVE_Type="Direct",IF('Frame Dimensions - D'!H30="",0,'Frame Dimensions - D'!H30),IF('Frame Dimensions - C'!H30="",0,'Frame Dimensions - C'!H30))</f>
        <v>0</v>
      </c>
      <c r="I30" s="493">
        <f>IF(DRIVE_Type="Direct",IF('Frame Dimensions - D'!I30="",0,'Frame Dimensions - D'!I30),IF('Frame Dimensions - C'!I30="",0,'Frame Dimensions - C'!I30))</f>
        <v>0</v>
      </c>
      <c r="J30" s="609">
        <f>IF(DRIVE_Type="Direct",IF('Frame Dimensions - D'!J30="",0,'Frame Dimensions - D'!J30),IF('Frame Dimensions - C'!J30="",0,'Frame Dimensions - C'!J30))</f>
        <v>0</v>
      </c>
      <c r="K30" s="608" t="e">
        <f ca="1">IF(DRIVE_Type="Direct",IF('Frame Dimensions - D'!K30="",0,'Frame Dimensions - D'!K30),IF('Frame Dimensions - C'!K30="",0,'Frame Dimensions - C'!K30))</f>
        <v>#REF!</v>
      </c>
      <c r="L30" s="582" t="e">
        <f ca="1">IF(DRIVE_Type="Direct",IF('Frame Dimensions - D'!L30="",0,'Frame Dimensions - D'!L30),IF('Frame Dimensions - C'!L30="",0,'Frame Dimensions - C'!L30))</f>
        <v>#REF!</v>
      </c>
      <c r="M30" s="609">
        <f>IF(DRIVE_Type="Direct",IF('Frame Dimensions - D'!M30="",0,'Frame Dimensions - D'!M30),IF('Frame Dimensions - C'!M30="",0,'Frame Dimensions - C'!M30))</f>
        <v>0</v>
      </c>
      <c r="N30" s="608" t="e">
        <f ca="1">IF(DRIVE_Type="Direct",IF('Frame Dimensions - D'!N30="",0,'Frame Dimensions - D'!N30),IF('Frame Dimensions - C'!N30="",0,'Frame Dimensions - C'!N30))</f>
        <v>#REF!</v>
      </c>
      <c r="O30" s="612" t="e">
        <f ca="1">IF(DRIVE_Type="Direct",IF('Frame Dimensions - D'!O30="",0,'Frame Dimensions - D'!O30),IF('Frame Dimensions - C'!O30="",0,'Frame Dimensions - C'!O30))</f>
        <v>#REF!</v>
      </c>
      <c r="P30" s="584">
        <f>IF(DRIVE_Type="Direct",IF('Frame Dimensions - D'!P30="",0,'Frame Dimensions - D'!P30),IF('Frame Dimensions - C'!P30="",0,'Frame Dimensions - C'!P30))</f>
        <v>0</v>
      </c>
      <c r="Q30" s="1450">
        <f>IF(DRIVE_Type="Direct",IF('Frame Dimensions - D'!Q30="",0,'Frame Dimensions - D'!Q30),IF('Frame Dimensions - C'!Q30="",0,'Frame Dimensions - C'!Q30))</f>
        <v>0</v>
      </c>
      <c r="R30" s="1189"/>
      <c r="S30" s="603"/>
      <c r="T30" s="603"/>
      <c r="U30" s="603"/>
      <c r="V30" s="603"/>
      <c r="W30" s="603"/>
      <c r="X30" s="603"/>
      <c r="Y30" s="603"/>
      <c r="Z30" s="603"/>
      <c r="AA30" s="603"/>
      <c r="AB30" s="603"/>
      <c r="AC30" s="603"/>
      <c r="AD30" s="603"/>
      <c r="AE30" s="603"/>
      <c r="AF30" s="603"/>
      <c r="AG30" s="603"/>
      <c r="AH30" s="603"/>
      <c r="AI30" s="603"/>
      <c r="AJ30" s="464"/>
    </row>
    <row r="31" spans="1:36">
      <c r="A31" s="604"/>
      <c r="B31" s="604" t="e">
        <f ca="1">IF(DRIVE_Type="Direct",IF('Frame Dimensions - D'!B31="",0,'Frame Dimensions - D'!B31),IF('Frame Dimensions - C'!B31="",0,'Frame Dimensions - C'!B31))</f>
        <v>#REF!</v>
      </c>
      <c r="C31" s="582">
        <f>IF(DRIVE_Type="Direct",IF('Frame Dimensions - D'!C31="",0,'Frame Dimensions - D'!C31),IF('Frame Dimensions - C'!C31="",0,'Frame Dimensions - C'!C31))</f>
        <v>0</v>
      </c>
      <c r="D31" s="580">
        <f>IF(DRIVE_Type="Direct",IF('Frame Dimensions - D'!D31="",0,'Frame Dimensions - D'!D31),IF('Frame Dimensions - C'!D31="",0,'Frame Dimensions - C'!D31))</f>
        <v>0</v>
      </c>
      <c r="E31" s="493">
        <f>IF(DRIVE_Type="Direct",IF('Frame Dimensions - D'!E31="",0,'Frame Dimensions - D'!E31),IF('Frame Dimensions - C'!E31="",0,'Frame Dimensions - C'!E31))</f>
        <v>0</v>
      </c>
      <c r="F31" s="493">
        <f>IF(DRIVE_Type="Direct",IF('Frame Dimensions - D'!F31="",0,'Frame Dimensions - D'!F31),IF('Frame Dimensions - C'!F31="",0,'Frame Dimensions - C'!F31))</f>
        <v>0</v>
      </c>
      <c r="G31" s="493">
        <f>IF(DRIVE_Type="Direct",IF('Frame Dimensions - D'!G31="",0,'Frame Dimensions - D'!G31),IF('Frame Dimensions - C'!G31="",0,'Frame Dimensions - C'!G31))</f>
        <v>0</v>
      </c>
      <c r="H31" s="493">
        <f>IF(DRIVE_Type="Direct",IF('Frame Dimensions - D'!H31="",0,'Frame Dimensions - D'!H31),IF('Frame Dimensions - C'!H31="",0,'Frame Dimensions - C'!H31))</f>
        <v>0</v>
      </c>
      <c r="I31" s="603">
        <f>IF(DRIVE_Type="Direct",IF('Frame Dimensions - D'!I31="",0,'Frame Dimensions - D'!I31),IF('Frame Dimensions - C'!I31="",0,'Frame Dimensions - C'!I31))</f>
        <v>0</v>
      </c>
      <c r="J31" s="492" t="e">
        <f ca="1">IF(DRIVE_Type="Direct",IF('Frame Dimensions - D'!J31="",0,'Frame Dimensions - D'!J31),IF('Frame Dimensions - C'!J31="",0,'Frame Dimensions - C'!J31))</f>
        <v>#REF!</v>
      </c>
      <c r="K31" s="608" t="e">
        <f ca="1">IF(DRIVE_Type="Direct",IF('Frame Dimensions - D'!K31="",0,'Frame Dimensions - D'!K31),IF('Frame Dimensions - C'!K31="",0,'Frame Dimensions - C'!K31))</f>
        <v>#REF!</v>
      </c>
      <c r="L31" s="608" t="e">
        <f ca="1">IF(DRIVE_Type="Direct",IF('Frame Dimensions - D'!L31="",0,'Frame Dimensions - D'!L31),IF('Frame Dimensions - C'!L31="",0,'Frame Dimensions - C'!L31))</f>
        <v>#REF!</v>
      </c>
      <c r="M31" s="609" t="e">
        <f ca="1">IF(DRIVE_Type="Direct",IF('Frame Dimensions - D'!M31="",0,'Frame Dimensions - D'!M31),IF('Frame Dimensions - C'!M31="",0,'Frame Dimensions - C'!M31))</f>
        <v>#REF!</v>
      </c>
      <c r="N31" s="608" t="e">
        <f ca="1">IF(DRIVE_Type="Direct",IF('Frame Dimensions - D'!N31="",0,'Frame Dimensions - D'!N31),IF('Frame Dimensions - C'!N31="",0,'Frame Dimensions - C'!N31))</f>
        <v>#REF!</v>
      </c>
      <c r="O31" s="611" t="e">
        <f ca="1">IF(DRIVE_Type="Direct",IF('Frame Dimensions - D'!O31="",0,'Frame Dimensions - D'!O31),IF('Frame Dimensions - C'!O31="",0,'Frame Dimensions - C'!O31))</f>
        <v>#REF!</v>
      </c>
      <c r="P31" s="584">
        <f>IF(DRIVE_Type="Direct",IF('Frame Dimensions - D'!P31="",0,'Frame Dimensions - D'!P31),IF('Frame Dimensions - C'!P31="",0,'Frame Dimensions - C'!P31))</f>
        <v>0</v>
      </c>
      <c r="Q31" s="1450">
        <f>IF(DRIVE_Type="Direct",IF('Frame Dimensions - D'!Q31="",0,'Frame Dimensions - D'!Q31),IF('Frame Dimensions - C'!Q31="",0,'Frame Dimensions - C'!Q31))</f>
        <v>0</v>
      </c>
      <c r="R31" s="644"/>
      <c r="S31" s="580"/>
      <c r="T31" s="603"/>
      <c r="U31" s="603"/>
      <c r="V31" s="603"/>
      <c r="W31" s="603"/>
      <c r="X31" s="603"/>
      <c r="Y31" s="603"/>
      <c r="Z31" s="603"/>
      <c r="AA31" s="603"/>
      <c r="AB31" s="603"/>
      <c r="AC31" s="603"/>
      <c r="AD31" s="603"/>
      <c r="AE31" s="603"/>
      <c r="AF31" s="603"/>
      <c r="AG31" s="603"/>
      <c r="AH31" s="603"/>
      <c r="AI31" s="603"/>
      <c r="AJ31" s="464"/>
    </row>
    <row r="32" spans="1:36">
      <c r="A32" s="622"/>
      <c r="B32" s="604" t="e">
        <f ca="1">IF(DRIVE_Type="Direct",IF('Frame Dimensions - D'!B32="",0,'Frame Dimensions - D'!B32),IF('Frame Dimensions - C'!B32="",0,'Frame Dimensions - C'!B32))</f>
        <v>#REF!</v>
      </c>
      <c r="C32" s="582">
        <f>IF(DRIVE_Type="Direct",IF('Frame Dimensions - D'!C32="",0,'Frame Dimensions - D'!C32),IF('Frame Dimensions - C'!C32="",0,'Frame Dimensions - C'!C32))</f>
        <v>0</v>
      </c>
      <c r="D32" s="493">
        <f>IF(DRIVE_Type="Direct",IF('Frame Dimensions - D'!D32="",0,'Frame Dimensions - D'!D32),IF('Frame Dimensions - C'!D32="",0,'Frame Dimensions - C'!D32))</f>
        <v>0</v>
      </c>
      <c r="E32" s="493">
        <f>IF(DRIVE_Type="Direct",IF('Frame Dimensions - D'!E32="",0,'Frame Dimensions - D'!E32),IF('Frame Dimensions - C'!E32="",0,'Frame Dimensions - C'!E32))</f>
        <v>0</v>
      </c>
      <c r="F32" s="493">
        <f>IF(DRIVE_Type="Direct",IF('Frame Dimensions - D'!F32="",0,'Frame Dimensions - D'!F32),IF('Frame Dimensions - C'!F32="",0,'Frame Dimensions - C'!F32))</f>
        <v>0</v>
      </c>
      <c r="G32" s="493">
        <f>IF(DRIVE_Type="Direct",IF('Frame Dimensions - D'!G32="",0,'Frame Dimensions - D'!G32),IF('Frame Dimensions - C'!G32="",0,'Frame Dimensions - C'!G32))</f>
        <v>0</v>
      </c>
      <c r="H32" s="493">
        <f>IF(DRIVE_Type="Direct",IF('Frame Dimensions - D'!H32="",0,'Frame Dimensions - D'!H32),IF('Frame Dimensions - C'!H32="",0,'Frame Dimensions - C'!H32))</f>
        <v>0</v>
      </c>
      <c r="I32" s="493">
        <f>IF(DRIVE_Type="Direct",IF('Frame Dimensions - D'!I32="",0,'Frame Dimensions - D'!I32),IF('Frame Dimensions - C'!I32="",0,'Frame Dimensions - C'!I32))</f>
        <v>0</v>
      </c>
      <c r="J32" s="609" t="e">
        <f ca="1">IF(DRIVE_Type="Direct",IF('Frame Dimensions - D'!J32="",0,'Frame Dimensions - D'!J32),IF('Frame Dimensions - C'!J32="",0,'Frame Dimensions - C'!J32))</f>
        <v>#REF!</v>
      </c>
      <c r="K32" s="608" t="e">
        <f ca="1">IF(DRIVE_Type="Direct",IF('Frame Dimensions - D'!K32="",0,'Frame Dimensions - D'!K32),IF('Frame Dimensions - C'!K32="",0,'Frame Dimensions - C'!K32))</f>
        <v>#REF!</v>
      </c>
      <c r="L32" s="608" t="e">
        <f ca="1">IF(DRIVE_Type="Direct",IF('Frame Dimensions - D'!L32="",0,'Frame Dimensions - D'!L32),IF('Frame Dimensions - C'!L32="",0,'Frame Dimensions - C'!L32))</f>
        <v>#REF!</v>
      </c>
      <c r="M32" s="609" t="e">
        <f ca="1">IF(DRIVE_Type="Direct",IF('Frame Dimensions - D'!M32="",0,'Frame Dimensions - D'!M32),IF('Frame Dimensions - C'!M32="",0,'Frame Dimensions - C'!M32))</f>
        <v>#REF!</v>
      </c>
      <c r="N32" s="608" t="e">
        <f ca="1">IF(DRIVE_Type="Direct",IF('Frame Dimensions - D'!N32="",0,'Frame Dimensions - D'!N32),IF('Frame Dimensions - C'!N32="",0,'Frame Dimensions - C'!N32))</f>
        <v>#REF!</v>
      </c>
      <c r="O32" s="611" t="e">
        <f ca="1">IF(DRIVE_Type="Direct",IF('Frame Dimensions - D'!O32="",0,'Frame Dimensions - D'!O32),IF('Frame Dimensions - C'!O32="",0,'Frame Dimensions - C'!O32))</f>
        <v>#REF!</v>
      </c>
      <c r="P32" s="584">
        <f>IF(DRIVE_Type="Direct",IF('Frame Dimensions - D'!P32="",0,'Frame Dimensions - D'!P32),IF('Frame Dimensions - C'!P32="",0,'Frame Dimensions - C'!P32))</f>
        <v>0</v>
      </c>
      <c r="Q32" s="1450">
        <f>IF(DRIVE_Type="Direct",IF('Frame Dimensions - D'!Q32="",0,'Frame Dimensions - D'!Q32),IF('Frame Dimensions - C'!Q32="",0,'Frame Dimensions - C'!Q32))</f>
        <v>0</v>
      </c>
      <c r="R32" s="1189"/>
      <c r="S32" s="603"/>
      <c r="T32" s="603"/>
      <c r="U32" s="603"/>
      <c r="V32" s="603"/>
      <c r="W32" s="603"/>
      <c r="X32" s="603"/>
      <c r="Y32" s="603"/>
      <c r="Z32" s="603"/>
      <c r="AA32" s="603"/>
      <c r="AB32" s="603"/>
      <c r="AC32" s="603"/>
      <c r="AD32" s="603"/>
      <c r="AE32" s="603"/>
      <c r="AF32" s="603"/>
      <c r="AG32" s="603"/>
      <c r="AH32" s="603"/>
      <c r="AI32" s="603"/>
      <c r="AJ32" s="464"/>
    </row>
    <row r="33" spans="1:36">
      <c r="A33" s="1682"/>
      <c r="B33" s="579" t="e">
        <f ca="1">IF(DRIVE_Type="Direct",IF('Frame Dimensions - D'!B33="",0,'Frame Dimensions - D'!B33),IF('Frame Dimensions - C'!B33="",0,'Frame Dimensions - C'!B33))</f>
        <v>#REF!</v>
      </c>
      <c r="C33" s="580" t="e">
        <f ca="1">IF(DRIVE_Type="Direct",IF('Frame Dimensions - D'!C33="",0,'Frame Dimensions - D'!C33),IF('Frame Dimensions - C'!C33="",0,'Frame Dimensions - C'!C33))</f>
        <v>#REF!</v>
      </c>
      <c r="D33" s="580" t="e">
        <f ca="1">IF(DRIVE_Type="Direct",IF('Frame Dimensions - D'!D33="",0,'Frame Dimensions - D'!D33),IF('Frame Dimensions - C'!D33="",0,'Frame Dimensions - C'!D33))</f>
        <v>#REF!</v>
      </c>
      <c r="E33" s="580" t="e">
        <f ca="1">IF(DRIVE_Type="Direct",IF('Frame Dimensions - D'!E33="",0,'Frame Dimensions - D'!E33),IF('Frame Dimensions - C'!E33="",0,'Frame Dimensions - C'!E33))</f>
        <v>#REF!</v>
      </c>
      <c r="F33" s="580" t="e">
        <f ca="1">IF(DRIVE_Type="Direct",IF('Frame Dimensions - D'!F33="",0,'Frame Dimensions - D'!F33),IF('Frame Dimensions - C'!F33="",0,'Frame Dimensions - C'!F33))</f>
        <v>#REF!</v>
      </c>
      <c r="G33" s="580" t="e">
        <f ca="1">IF(DRIVE_Type="Direct",IF('Frame Dimensions - D'!G33="",0,'Frame Dimensions - D'!G33),IF('Frame Dimensions - C'!G33="",0,'Frame Dimensions - C'!G33))</f>
        <v>#REF!</v>
      </c>
      <c r="H33" s="493">
        <f>IF(DRIVE_Type="Direct",IF('Frame Dimensions - D'!H33="",0,'Frame Dimensions - D'!H33),IF('Frame Dimensions - C'!H33="",0,'Frame Dimensions - C'!H33))</f>
        <v>0</v>
      </c>
      <c r="I33" s="581" t="str">
        <f>IF(DRIVE_Type="Direct",IF('Frame Dimensions - D'!I33="",0,'Frame Dimensions - D'!I33),IF('Frame Dimensions - C'!I33="",0,'Frame Dimensions - C'!I33))</f>
        <v>X+Y-Z-</v>
      </c>
      <c r="J33" s="609">
        <f>IF(DRIVE_Type="Direct",IF('Frame Dimensions - D'!J33="",0,'Frame Dimensions - D'!J33),IF('Frame Dimensions - C'!J33="",0,'Frame Dimensions - C'!J33))</f>
        <v>0</v>
      </c>
      <c r="K33" s="580" t="e">
        <f ca="1">IF(DRIVE_Type="Direct",IF('Frame Dimensions - D'!K33="",0,'Frame Dimensions - D'!K33),IF('Frame Dimensions - C'!K33="",0,'Frame Dimensions - C'!K33))</f>
        <v>#REF!</v>
      </c>
      <c r="L33" s="582" t="e">
        <f ca="1">IF(DRIVE_Type="Direct",IF('Frame Dimensions - D'!L33="",0,'Frame Dimensions - D'!L33),IF('Frame Dimensions - C'!L33="",0,'Frame Dimensions - C'!L33))</f>
        <v>#REF!</v>
      </c>
      <c r="M33" s="609">
        <f>IF(DRIVE_Type="Direct",IF('Frame Dimensions - D'!M33="",0,'Frame Dimensions - D'!M33),IF('Frame Dimensions - C'!M33="",0,'Frame Dimensions - C'!M33))</f>
        <v>0</v>
      </c>
      <c r="N33" s="608" t="e">
        <f ca="1">IF(DRIVE_Type="Direct",IF('Frame Dimensions - D'!N33="",0,'Frame Dimensions - D'!N33),IF('Frame Dimensions - C'!N33="",0,'Frame Dimensions - C'!N33))</f>
        <v>#REF!</v>
      </c>
      <c r="O33" s="612" t="e">
        <f ca="1">IF(DRIVE_Type="Direct",IF('Frame Dimensions - D'!O33="",0,'Frame Dimensions - D'!O33),IF('Frame Dimensions - C'!O33="",0,'Frame Dimensions - C'!O33))</f>
        <v>#REF!</v>
      </c>
      <c r="P33" s="584" t="e">
        <f ca="1">IF(DRIVE_Type="Direct",IF('Frame Dimensions - D'!P33="",0,'Frame Dimensions - D'!P33),IF('Frame Dimensions - C'!P33="",0,'Frame Dimensions - C'!P33))</f>
        <v>#REF!</v>
      </c>
      <c r="Q33" s="1450" t="e">
        <f ca="1">IF(DRIVE_Type="Direct",IF('Frame Dimensions - D'!Q33="",0,'Frame Dimensions - D'!Q33),IF('Frame Dimensions - C'!Q33="",0,'Frame Dimensions - C'!Q33))</f>
        <v>#REF!</v>
      </c>
      <c r="R33" s="644"/>
      <c r="S33" s="603"/>
      <c r="T33" s="603"/>
      <c r="U33" s="603"/>
      <c r="V33" s="603"/>
      <c r="W33" s="603"/>
      <c r="X33" s="603"/>
      <c r="Y33" s="603"/>
      <c r="Z33" s="603"/>
      <c r="AA33" s="603"/>
      <c r="AB33" s="603"/>
      <c r="AC33" s="603"/>
      <c r="AD33" s="603"/>
      <c r="AE33" s="603"/>
      <c r="AF33" s="603"/>
      <c r="AG33" s="603"/>
      <c r="AH33" s="603"/>
      <c r="AI33" s="603"/>
      <c r="AJ33" s="464"/>
    </row>
    <row r="34" spans="1:36" s="621" customFormat="1">
      <c r="A34" s="1680"/>
      <c r="B34" s="604" t="e">
        <f ca="1">IF(DRIVE_Type="Direct",IF('Frame Dimensions - D'!B34="",0,'Frame Dimensions - D'!B34),IF('Frame Dimensions - C'!B34="",0,'Frame Dimensions - C'!B34))</f>
        <v>#REF!</v>
      </c>
      <c r="C34" s="582">
        <f>IF(DRIVE_Type="Direct",IF('Frame Dimensions - D'!C34="",0,'Frame Dimensions - D'!C34),IF('Frame Dimensions - C'!C34="",0,'Frame Dimensions - C'!C34))</f>
        <v>0</v>
      </c>
      <c r="D34" s="580">
        <f>IF(DRIVE_Type="Direct",IF('Frame Dimensions - D'!D34="",0,'Frame Dimensions - D'!D34),IF('Frame Dimensions - C'!D34="",0,'Frame Dimensions - C'!D34))</f>
        <v>0</v>
      </c>
      <c r="E34" s="493">
        <f>IF(DRIVE_Type="Direct",IF('Frame Dimensions - D'!E34="",0,'Frame Dimensions - D'!E34),IF('Frame Dimensions - C'!E34="",0,'Frame Dimensions - C'!E34))</f>
        <v>0</v>
      </c>
      <c r="F34" s="493">
        <f>IF(DRIVE_Type="Direct",IF('Frame Dimensions - D'!F34="",0,'Frame Dimensions - D'!F34),IF('Frame Dimensions - C'!F34="",0,'Frame Dimensions - C'!F34))</f>
        <v>0</v>
      </c>
      <c r="G34" s="493">
        <f>IF(DRIVE_Type="Direct",IF('Frame Dimensions - D'!G34="",0,'Frame Dimensions - D'!G34),IF('Frame Dimensions - C'!G34="",0,'Frame Dimensions - C'!G34))</f>
        <v>0</v>
      </c>
      <c r="H34" s="493">
        <f>IF(DRIVE_Type="Direct",IF('Frame Dimensions - D'!H34="",0,'Frame Dimensions - D'!H34),IF('Frame Dimensions - C'!H34="",0,'Frame Dimensions - C'!H34))</f>
        <v>0</v>
      </c>
      <c r="I34" s="493">
        <f>IF(DRIVE_Type="Direct",IF('Frame Dimensions - D'!I34="",0,'Frame Dimensions - D'!I34),IF('Frame Dimensions - C'!I34="",0,'Frame Dimensions - C'!I34))</f>
        <v>0</v>
      </c>
      <c r="J34" s="609">
        <f>IF(DRIVE_Type="Direct",IF('Frame Dimensions - D'!J34="",0,'Frame Dimensions - D'!J34),IF('Frame Dimensions - C'!J34="",0,'Frame Dimensions - C'!J34))</f>
        <v>0</v>
      </c>
      <c r="K34" s="608" t="e">
        <f ca="1">IF(DRIVE_Type="Direct",IF('Frame Dimensions - D'!K34="",0,'Frame Dimensions - D'!K34),IF('Frame Dimensions - C'!K34="",0,'Frame Dimensions - C'!K34))</f>
        <v>#REF!</v>
      </c>
      <c r="L34" s="582" t="e">
        <f ca="1">IF(DRIVE_Type="Direct",IF('Frame Dimensions - D'!L34="",0,'Frame Dimensions - D'!L34),IF('Frame Dimensions - C'!L34="",0,'Frame Dimensions - C'!L34))</f>
        <v>#REF!</v>
      </c>
      <c r="M34" s="609">
        <f>IF(DRIVE_Type="Direct",IF('Frame Dimensions - D'!M34="",0,'Frame Dimensions - D'!M34),IF('Frame Dimensions - C'!M34="",0,'Frame Dimensions - C'!M34))</f>
        <v>0</v>
      </c>
      <c r="N34" s="608" t="e">
        <f ca="1">IF(DRIVE_Type="Direct",IF('Frame Dimensions - D'!N34="",0,'Frame Dimensions - D'!N34),IF('Frame Dimensions - C'!N34="",0,'Frame Dimensions - C'!N34))</f>
        <v>#REF!</v>
      </c>
      <c r="O34" s="612" t="e">
        <f ca="1">IF(DRIVE_Type="Direct",IF('Frame Dimensions - D'!O34="",0,'Frame Dimensions - D'!O34),IF('Frame Dimensions - C'!O34="",0,'Frame Dimensions - C'!O34))</f>
        <v>#REF!</v>
      </c>
      <c r="P34" s="584">
        <f>IF(DRIVE_Type="Direct",IF('Frame Dimensions - D'!P34="",0,'Frame Dimensions - D'!P34),IF('Frame Dimensions - C'!P34="",0,'Frame Dimensions - C'!P34))</f>
        <v>0</v>
      </c>
      <c r="Q34" s="1450">
        <f>IF(DRIVE_Type="Direct",IF('Frame Dimensions - D'!Q34="",0,'Frame Dimensions - D'!Q34),IF('Frame Dimensions - C'!Q34="",0,'Frame Dimensions - C'!Q34))</f>
        <v>0</v>
      </c>
      <c r="R34" s="644"/>
      <c r="S34" s="603"/>
      <c r="T34" s="603"/>
      <c r="U34" s="603"/>
      <c r="V34" s="603"/>
      <c r="W34" s="603"/>
      <c r="X34" s="603"/>
      <c r="Y34" s="603"/>
      <c r="Z34" s="603"/>
      <c r="AA34" s="603"/>
      <c r="AB34" s="603"/>
      <c r="AC34" s="603"/>
      <c r="AD34" s="603"/>
      <c r="AE34" s="603"/>
      <c r="AF34" s="603"/>
      <c r="AG34" s="603"/>
      <c r="AH34" s="603"/>
      <c r="AI34" s="603"/>
    </row>
    <row r="35" spans="1:36">
      <c r="A35" s="604"/>
      <c r="B35" s="604" t="e">
        <f ca="1">IF(DRIVE_Type="Direct",IF('Frame Dimensions - D'!B35="",0,'Frame Dimensions - D'!B35),IF('Frame Dimensions - C'!B35="",0,'Frame Dimensions - C'!B35))</f>
        <v>#REF!</v>
      </c>
      <c r="C35" s="582">
        <f>IF(DRIVE_Type="Direct",IF('Frame Dimensions - D'!C35="",0,'Frame Dimensions - D'!C35),IF('Frame Dimensions - C'!C35="",0,'Frame Dimensions - C'!C35))</f>
        <v>0</v>
      </c>
      <c r="D35" s="580">
        <f>IF(DRIVE_Type="Direct",IF('Frame Dimensions - D'!D35="",0,'Frame Dimensions - D'!D35),IF('Frame Dimensions - C'!D35="",0,'Frame Dimensions - C'!D35))</f>
        <v>0</v>
      </c>
      <c r="E35" s="493">
        <f>IF(DRIVE_Type="Direct",IF('Frame Dimensions - D'!E35="",0,'Frame Dimensions - D'!E35),IF('Frame Dimensions - C'!E35="",0,'Frame Dimensions - C'!E35))</f>
        <v>0</v>
      </c>
      <c r="F35" s="493">
        <f>IF(DRIVE_Type="Direct",IF('Frame Dimensions - D'!F35="",0,'Frame Dimensions - D'!F35),IF('Frame Dimensions - C'!F35="",0,'Frame Dimensions - C'!F35))</f>
        <v>0</v>
      </c>
      <c r="G35" s="493">
        <f>IF(DRIVE_Type="Direct",IF('Frame Dimensions - D'!G35="",0,'Frame Dimensions - D'!G35),IF('Frame Dimensions - C'!G35="",0,'Frame Dimensions - C'!G35))</f>
        <v>0</v>
      </c>
      <c r="H35" s="493">
        <f>IF(DRIVE_Type="Direct",IF('Frame Dimensions - D'!H35="",0,'Frame Dimensions - D'!H35),IF('Frame Dimensions - C'!H35="",0,'Frame Dimensions - C'!H35))</f>
        <v>0</v>
      </c>
      <c r="I35" s="603">
        <f>IF(DRIVE_Type="Direct",IF('Frame Dimensions - D'!I35="",0,'Frame Dimensions - D'!I35),IF('Frame Dimensions - C'!I35="",0,'Frame Dimensions - C'!I35))</f>
        <v>0</v>
      </c>
      <c r="J35" s="492" t="e">
        <f ca="1">IF(DRIVE_Type="Direct",IF('Frame Dimensions - D'!J35="",0,'Frame Dimensions - D'!J35),IF('Frame Dimensions - C'!J35="",0,'Frame Dimensions - C'!J35))</f>
        <v>#REF!</v>
      </c>
      <c r="K35" s="608" t="e">
        <f ca="1">IF(DRIVE_Type="Direct",IF('Frame Dimensions - D'!K35="",0,'Frame Dimensions - D'!K35),IF('Frame Dimensions - C'!K35="",0,'Frame Dimensions - C'!K35))</f>
        <v>#REF!</v>
      </c>
      <c r="L35" s="608" t="e">
        <f ca="1">IF(DRIVE_Type="Direct",IF('Frame Dimensions - D'!L35="",0,'Frame Dimensions - D'!L35),IF('Frame Dimensions - C'!L35="",0,'Frame Dimensions - C'!L35))</f>
        <v>#REF!</v>
      </c>
      <c r="M35" s="609" t="e">
        <f ca="1">IF(DRIVE_Type="Direct",IF('Frame Dimensions - D'!M35="",0,'Frame Dimensions - D'!M35),IF('Frame Dimensions - C'!M35="",0,'Frame Dimensions - C'!M35))</f>
        <v>#REF!</v>
      </c>
      <c r="N35" s="608" t="e">
        <f ca="1">IF(DRIVE_Type="Direct",IF('Frame Dimensions - D'!N35="",0,'Frame Dimensions - D'!N35),IF('Frame Dimensions - C'!N35="",0,'Frame Dimensions - C'!N35))</f>
        <v>#REF!</v>
      </c>
      <c r="O35" s="611" t="e">
        <f ca="1">IF(DRIVE_Type="Direct",IF('Frame Dimensions - D'!O35="",0,'Frame Dimensions - D'!O35),IF('Frame Dimensions - C'!O35="",0,'Frame Dimensions - C'!O35))</f>
        <v>#REF!</v>
      </c>
      <c r="P35" s="584">
        <f>IF(DRIVE_Type="Direct",IF('Frame Dimensions - D'!P35="",0,'Frame Dimensions - D'!P35),IF('Frame Dimensions - C'!P35="",0,'Frame Dimensions - C'!P35))</f>
        <v>0</v>
      </c>
      <c r="Q35" s="1450">
        <f>IF(DRIVE_Type="Direct",IF('Frame Dimensions - D'!Q35="",0,'Frame Dimensions - D'!Q35),IF('Frame Dimensions - C'!Q35="",0,'Frame Dimensions - C'!Q35))</f>
        <v>0</v>
      </c>
      <c r="R35" s="644"/>
      <c r="S35" s="603"/>
      <c r="T35" s="603"/>
      <c r="U35" s="603"/>
      <c r="V35" s="603"/>
      <c r="W35" s="603"/>
      <c r="X35" s="603"/>
      <c r="Y35" s="603"/>
      <c r="Z35" s="603"/>
      <c r="AA35" s="603"/>
      <c r="AB35" s="603"/>
      <c r="AC35" s="603"/>
      <c r="AD35" s="603"/>
      <c r="AE35" s="603"/>
      <c r="AF35" s="603"/>
      <c r="AG35" s="603"/>
      <c r="AH35" s="603"/>
      <c r="AI35" s="603"/>
      <c r="AJ35" s="464"/>
    </row>
    <row r="36" spans="1:36" s="621" customFormat="1">
      <c r="A36" s="604"/>
      <c r="B36" s="604" t="e">
        <f ca="1">IF(DRIVE_Type="Direct",IF('Frame Dimensions - D'!B36="",0,'Frame Dimensions - D'!B36),IF('Frame Dimensions - C'!B36="",0,'Frame Dimensions - C'!B36))</f>
        <v>#REF!</v>
      </c>
      <c r="C36" s="493">
        <f>IF(DRIVE_Type="Direct",IF('Frame Dimensions - D'!C36="",0,'Frame Dimensions - D'!C36),IF('Frame Dimensions - C'!C36="",0,'Frame Dimensions - C'!C36))</f>
        <v>0</v>
      </c>
      <c r="D36" s="493">
        <f>IF(DRIVE_Type="Direct",IF('Frame Dimensions - D'!D36="",0,'Frame Dimensions - D'!D36),IF('Frame Dimensions - C'!D36="",0,'Frame Dimensions - C'!D36))</f>
        <v>0</v>
      </c>
      <c r="E36" s="493">
        <f>IF(DRIVE_Type="Direct",IF('Frame Dimensions - D'!E36="",0,'Frame Dimensions - D'!E36),IF('Frame Dimensions - C'!E36="",0,'Frame Dimensions - C'!E36))</f>
        <v>0</v>
      </c>
      <c r="F36" s="493">
        <f>IF(DRIVE_Type="Direct",IF('Frame Dimensions - D'!F36="",0,'Frame Dimensions - D'!F36),IF('Frame Dimensions - C'!F36="",0,'Frame Dimensions - C'!F36))</f>
        <v>0</v>
      </c>
      <c r="G36" s="493">
        <f>IF(DRIVE_Type="Direct",IF('Frame Dimensions - D'!G36="",0,'Frame Dimensions - D'!G36),IF('Frame Dimensions - C'!G36="",0,'Frame Dimensions - C'!G36))</f>
        <v>0</v>
      </c>
      <c r="H36" s="493">
        <f>IF(DRIVE_Type="Direct",IF('Frame Dimensions - D'!H36="",0,'Frame Dimensions - D'!H36),IF('Frame Dimensions - C'!H36="",0,'Frame Dimensions - C'!H36))</f>
        <v>0</v>
      </c>
      <c r="I36" s="493">
        <f>IF(DRIVE_Type="Direct",IF('Frame Dimensions - D'!I36="",0,'Frame Dimensions - D'!I36),IF('Frame Dimensions - C'!I36="",0,'Frame Dimensions - C'!I36))</f>
        <v>0</v>
      </c>
      <c r="J36" s="609" t="e">
        <f ca="1">IF(DRIVE_Type="Direct",IF('Frame Dimensions - D'!J36="",0,'Frame Dimensions - D'!J36),IF('Frame Dimensions - C'!J36="",0,'Frame Dimensions - C'!J36))</f>
        <v>#REF!</v>
      </c>
      <c r="K36" s="608" t="e">
        <f ca="1">IF(DRIVE_Type="Direct",IF('Frame Dimensions - D'!K36="",0,'Frame Dimensions - D'!K36),IF('Frame Dimensions - C'!K36="",0,'Frame Dimensions - C'!K36))</f>
        <v>#REF!</v>
      </c>
      <c r="L36" s="608" t="e">
        <f ca="1">IF(DRIVE_Type="Direct",IF('Frame Dimensions - D'!L36="",0,'Frame Dimensions - D'!L36),IF('Frame Dimensions - C'!L36="",0,'Frame Dimensions - C'!L36))</f>
        <v>#REF!</v>
      </c>
      <c r="M36" s="609" t="e">
        <f ca="1">IF(DRIVE_Type="Direct",IF('Frame Dimensions - D'!M36="",0,'Frame Dimensions - D'!M36),IF('Frame Dimensions - C'!M36="",0,'Frame Dimensions - C'!M36))</f>
        <v>#REF!</v>
      </c>
      <c r="N36" s="608" t="e">
        <f ca="1">IF(DRIVE_Type="Direct",IF('Frame Dimensions - D'!N36="",0,'Frame Dimensions - D'!N36),IF('Frame Dimensions - C'!N36="",0,'Frame Dimensions - C'!N36))</f>
        <v>#REF!</v>
      </c>
      <c r="O36" s="611" t="e">
        <f ca="1">IF(DRIVE_Type="Direct",IF('Frame Dimensions - D'!O36="",0,'Frame Dimensions - D'!O36),IF('Frame Dimensions - C'!O36="",0,'Frame Dimensions - C'!O36))</f>
        <v>#REF!</v>
      </c>
      <c r="P36" s="584">
        <f>IF(DRIVE_Type="Direct",IF('Frame Dimensions - D'!P36="",0,'Frame Dimensions - D'!P36),IF('Frame Dimensions - C'!P36="",0,'Frame Dimensions - C'!P36))</f>
        <v>0</v>
      </c>
      <c r="Q36" s="1450">
        <f>IF(DRIVE_Type="Direct",IF('Frame Dimensions - D'!Q36="",0,'Frame Dimensions - D'!Q36),IF('Frame Dimensions - C'!Q36="",0,'Frame Dimensions - C'!Q36))</f>
        <v>0</v>
      </c>
      <c r="R36" s="644"/>
      <c r="S36" s="603"/>
      <c r="T36" s="603"/>
      <c r="U36" s="603"/>
      <c r="V36" s="603"/>
      <c r="W36" s="603"/>
      <c r="X36" s="603"/>
      <c r="Y36" s="603"/>
      <c r="Z36" s="603"/>
      <c r="AA36" s="603"/>
      <c r="AB36" s="603"/>
      <c r="AC36" s="603"/>
      <c r="AD36" s="603"/>
      <c r="AE36" s="603"/>
      <c r="AF36" s="603"/>
      <c r="AG36" s="603"/>
      <c r="AH36" s="603"/>
      <c r="AI36" s="603"/>
    </row>
    <row r="37" spans="1:36">
      <c r="A37" s="1680"/>
      <c r="B37" s="597" t="str">
        <f>IF(DRIVE_Type="Direct",IF('Frame Dimensions - D'!B37="",0,'Frame Dimensions - D'!B37),IF('Frame Dimensions - C'!B37="",0,'Frame Dimensions - C'!B37))</f>
        <v>MFTr1</v>
      </c>
      <c r="C37" s="493" t="e">
        <f ca="1">IF(DRIVE_Type="Direct",IF('Frame Dimensions - D'!C37="",0,'Frame Dimensions - D'!C37),IF('Frame Dimensions - C'!C37="",0,'Frame Dimensions - C'!C37))</f>
        <v>#REF!</v>
      </c>
      <c r="D37" s="580" t="e">
        <f ca="1">IF(DRIVE_Type="Direct",IF('Frame Dimensions - D'!D37="",0,'Frame Dimensions - D'!D37),IF('Frame Dimensions - C'!D37="",0,'Frame Dimensions - C'!D37))</f>
        <v>#REF!</v>
      </c>
      <c r="E37" s="580" t="e">
        <f ca="1">IF(DRIVE_Type="Direct",IF('Frame Dimensions - D'!E37="",0,'Frame Dimensions - D'!E37),IF('Frame Dimensions - C'!E37="",0,'Frame Dimensions - C'!E37))</f>
        <v>#REF!</v>
      </c>
      <c r="F37" s="608" t="e">
        <f ca="1">IF(DRIVE_Type="Direct",IF('Frame Dimensions - D'!F37="",0,'Frame Dimensions - D'!F37),IF('Frame Dimensions - C'!F37="",0,'Frame Dimensions - C'!F37))</f>
        <v>#REF!</v>
      </c>
      <c r="G37" s="580" t="e">
        <f ca="1">IF(DRIVE_Type="Direct",IF('Frame Dimensions - D'!G37="",0,'Frame Dimensions - D'!G37),IF('Frame Dimensions - C'!G37="",0,'Frame Dimensions - C'!G37))</f>
        <v>#REF!</v>
      </c>
      <c r="H37" s="580">
        <f>IF(DRIVE_Type="Direct",IF('Frame Dimensions - D'!H37="",0,'Frame Dimensions - D'!H37),IF('Frame Dimensions - C'!H37="",0,'Frame Dimensions - C'!H37))</f>
        <v>0</v>
      </c>
      <c r="I37" s="581" t="str">
        <f>IF(DRIVE_Type="Direct",IF('Frame Dimensions - D'!I37="",0,'Frame Dimensions - D'!I37),IF('Frame Dimensions - C'!I37="",0,'Frame Dimensions - C'!I37))</f>
        <v>X+Y+Z+</v>
      </c>
      <c r="J37" s="609">
        <f>IF(DRIVE_Type="Direct",IF('Frame Dimensions - D'!J37="",0,'Frame Dimensions - D'!J37),IF('Frame Dimensions - C'!J37="",0,'Frame Dimensions - C'!J37))</f>
        <v>0</v>
      </c>
      <c r="K37" s="580" t="e">
        <f ca="1">IF(DRIVE_Type="Direct",IF('Frame Dimensions - D'!K37="",0,'Frame Dimensions - D'!K37),IF('Frame Dimensions - C'!K37="",0,'Frame Dimensions - C'!K37))</f>
        <v>#REF!</v>
      </c>
      <c r="L37" s="600" t="e">
        <f ca="1">IF(DRIVE_Type="Direct",IF('Frame Dimensions - D'!L37="",0,'Frame Dimensions - D'!L37),IF('Frame Dimensions - C'!L37="",0,'Frame Dimensions - C'!L37))</f>
        <v>#REF!</v>
      </c>
      <c r="M37" s="609">
        <f>IF(DRIVE_Type="Direct",IF('Frame Dimensions - D'!M37="",0,'Frame Dimensions - D'!M37),IF('Frame Dimensions - C'!M37="",0,'Frame Dimensions - C'!M37))</f>
        <v>0</v>
      </c>
      <c r="N37" s="608" t="e">
        <f ca="1">IF(DRIVE_Type="Direct",IF('Frame Dimensions - D'!N37="",0,'Frame Dimensions - D'!N37),IF('Frame Dimensions - C'!N37="",0,'Frame Dimensions - C'!N37))</f>
        <v>#REF!</v>
      </c>
      <c r="O37" s="601" t="e">
        <f ca="1">IF(DRIVE_Type="Direct",IF('Frame Dimensions - D'!O37="",0,'Frame Dimensions - D'!O37),IF('Frame Dimensions - C'!O37="",0,'Frame Dimensions - C'!O37))</f>
        <v>#REF!</v>
      </c>
      <c r="P37" s="584" t="e">
        <f ca="1">IF(DRIVE_Type="Direct",IF('Frame Dimensions - D'!P37="",0,'Frame Dimensions - D'!P37),IF('Frame Dimensions - C'!P37="",0,'Frame Dimensions - C'!P37))</f>
        <v>#REF!</v>
      </c>
      <c r="Q37" s="1450" t="e">
        <f ca="1">IF(DRIVE_Type="Direct",IF('Frame Dimensions - D'!Q37="",0,'Frame Dimensions - D'!Q37),IF('Frame Dimensions - C'!Q37="",0,'Frame Dimensions - C'!Q37))</f>
        <v>#REF!</v>
      </c>
      <c r="R37" s="644"/>
      <c r="S37" s="603"/>
      <c r="T37" s="580"/>
      <c r="U37" s="580"/>
      <c r="V37" s="580"/>
      <c r="W37" s="603"/>
      <c r="X37" s="603"/>
      <c r="Y37" s="603"/>
      <c r="Z37" s="603"/>
      <c r="AA37" s="603"/>
      <c r="AB37" s="603"/>
      <c r="AC37" s="603"/>
      <c r="AD37" s="603"/>
      <c r="AE37" s="603"/>
      <c r="AF37" s="603"/>
      <c r="AG37" s="603"/>
      <c r="AH37" s="603"/>
      <c r="AI37" s="603"/>
      <c r="AJ37" s="464"/>
    </row>
    <row r="38" spans="1:36">
      <c r="A38" s="1681"/>
      <c r="B38" s="585" t="str">
        <f>IF(DRIVE_Type="Direct",IF('Frame Dimensions - D'!B38="",0,'Frame Dimensions - D'!B38),IF('Frame Dimensions - C'!B38="",0,'Frame Dimensions - C'!B38))</f>
        <v>mftr1</v>
      </c>
      <c r="C38" s="493">
        <f>IF(DRIVE_Type="Direct",IF('Frame Dimensions - D'!C38="",0,'Frame Dimensions - D'!C38),IF('Frame Dimensions - C'!C38="",0,'Frame Dimensions - C'!C38))</f>
        <v>0</v>
      </c>
      <c r="D38" s="580">
        <f>IF(DRIVE_Type="Direct",IF('Frame Dimensions - D'!D38="",0,'Frame Dimensions - D'!D38),IF('Frame Dimensions - C'!D38="",0,'Frame Dimensions - C'!D38))</f>
        <v>0</v>
      </c>
      <c r="E38" s="580">
        <f>IF(DRIVE_Type="Direct",IF('Frame Dimensions - D'!E38="",0,'Frame Dimensions - D'!E38),IF('Frame Dimensions - C'!E38="",0,'Frame Dimensions - C'!E38))</f>
        <v>0</v>
      </c>
      <c r="F38" s="580">
        <f>IF(DRIVE_Type="Direct",IF('Frame Dimensions - D'!F38="",0,'Frame Dimensions - D'!F38),IF('Frame Dimensions - C'!F38="",0,'Frame Dimensions - C'!F38))</f>
        <v>0</v>
      </c>
      <c r="G38" s="580">
        <f>IF(DRIVE_Type="Direct",IF('Frame Dimensions - D'!G38="",0,'Frame Dimensions - D'!G38),IF('Frame Dimensions - C'!G38="",0,'Frame Dimensions - C'!G38))</f>
        <v>0</v>
      </c>
      <c r="H38" s="580">
        <f>IF(DRIVE_Type="Direct",IF('Frame Dimensions - D'!H38="",0,'Frame Dimensions - D'!H38),IF('Frame Dimensions - C'!H38="",0,'Frame Dimensions - C'!H38))</f>
        <v>0</v>
      </c>
      <c r="I38" s="603">
        <f>IF(DRIVE_Type="Direct",IF('Frame Dimensions - D'!I38="",0,'Frame Dimensions - D'!I38),IF('Frame Dimensions - C'!I38="",0,'Frame Dimensions - C'!I38))</f>
        <v>0</v>
      </c>
      <c r="J38" s="609">
        <f>IF(DRIVE_Type="Direct",IF('Frame Dimensions - D'!J38="",0,'Frame Dimensions - D'!J38),IF('Frame Dimensions - C'!J38="",0,'Frame Dimensions - C'!J38))</f>
        <v>0</v>
      </c>
      <c r="K38" s="580" t="e">
        <f ca="1">IF(DRIVE_Type="Direct",IF('Frame Dimensions - D'!K38="",0,'Frame Dimensions - D'!K38),IF('Frame Dimensions - C'!K38="",0,'Frame Dimensions - C'!K38))</f>
        <v>#REF!</v>
      </c>
      <c r="L38" s="600" t="e">
        <f ca="1">IF(DRIVE_Type="Direct",IF('Frame Dimensions - D'!L38="",0,'Frame Dimensions - D'!L38),IF('Frame Dimensions - C'!L38="",0,'Frame Dimensions - C'!L38))</f>
        <v>#REF!</v>
      </c>
      <c r="M38" s="609">
        <f>IF(DRIVE_Type="Direct",IF('Frame Dimensions - D'!M38="",0,'Frame Dimensions - D'!M38),IF('Frame Dimensions - C'!M38="",0,'Frame Dimensions - C'!M38))</f>
        <v>0</v>
      </c>
      <c r="N38" s="608" t="e">
        <f ca="1">IF(DRIVE_Type="Direct",IF('Frame Dimensions - D'!N38="",0,'Frame Dimensions - D'!N38),IF('Frame Dimensions - C'!N38="",0,'Frame Dimensions - C'!N38))</f>
        <v>#REF!</v>
      </c>
      <c r="O38" s="601" t="e">
        <f ca="1">IF(DRIVE_Type="Direct",IF('Frame Dimensions - D'!O38="",0,'Frame Dimensions - D'!O38),IF('Frame Dimensions - C'!O38="",0,'Frame Dimensions - C'!O38))</f>
        <v>#REF!</v>
      </c>
      <c r="P38" s="602">
        <f>IF(DRIVE_Type="Direct",IF('Frame Dimensions - D'!P38="",0,'Frame Dimensions - D'!P38),IF('Frame Dimensions - C'!P38="",0,'Frame Dimensions - C'!P38))</f>
        <v>0</v>
      </c>
      <c r="Q38" s="1454">
        <f>IF(DRIVE_Type="Direct",IF('Frame Dimensions - D'!Q38="",0,'Frame Dimensions - D'!Q38),IF('Frame Dimensions - C'!Q38="",0,'Frame Dimensions - C'!Q38))</f>
        <v>0</v>
      </c>
      <c r="R38" s="644"/>
      <c r="S38" s="603"/>
      <c r="T38" s="580"/>
      <c r="U38" s="580"/>
      <c r="V38" s="580"/>
      <c r="W38" s="603"/>
      <c r="X38" s="603"/>
      <c r="Y38" s="603"/>
      <c r="Z38" s="603"/>
      <c r="AA38" s="603"/>
      <c r="AB38" s="603"/>
      <c r="AC38" s="603"/>
      <c r="AD38" s="603"/>
      <c r="AE38" s="603"/>
      <c r="AF38" s="603"/>
      <c r="AG38" s="603"/>
      <c r="AH38" s="603"/>
      <c r="AI38" s="603"/>
      <c r="AJ38" s="464"/>
    </row>
    <row r="39" spans="1:36" s="621" customFormat="1">
      <c r="A39" s="604"/>
      <c r="B39" s="604" t="str">
        <f>IF(DRIVE_Type="Direct",IF('Frame Dimensions - D'!B39="",0,'Frame Dimensions - D'!B39),IF('Frame Dimensions - C'!B39="",0,'Frame Dimensions - C'!B39))</f>
        <v>MFTr1-</v>
      </c>
      <c r="C39" s="493">
        <f>IF(DRIVE_Type="Direct",IF('Frame Dimensions - D'!C39="",0,'Frame Dimensions - D'!C39),IF('Frame Dimensions - C'!C39="",0,'Frame Dimensions - C'!C39))</f>
        <v>0</v>
      </c>
      <c r="D39" s="580">
        <f>IF(DRIVE_Type="Direct",IF('Frame Dimensions - D'!D39="",0,'Frame Dimensions - D'!D39),IF('Frame Dimensions - C'!D39="",0,'Frame Dimensions - C'!D39))</f>
        <v>0</v>
      </c>
      <c r="E39" s="580">
        <f>IF(DRIVE_Type="Direct",IF('Frame Dimensions - D'!E39="",0,'Frame Dimensions - D'!E39),IF('Frame Dimensions - C'!E39="",0,'Frame Dimensions - C'!E39))</f>
        <v>0</v>
      </c>
      <c r="F39" s="580">
        <f>IF(DRIVE_Type="Direct",IF('Frame Dimensions - D'!F39="",0,'Frame Dimensions - D'!F39),IF('Frame Dimensions - C'!F39="",0,'Frame Dimensions - C'!F39))</f>
        <v>0</v>
      </c>
      <c r="G39" s="580">
        <f>IF(DRIVE_Type="Direct",IF('Frame Dimensions - D'!G39="",0,'Frame Dimensions - D'!G39),IF('Frame Dimensions - C'!G39="",0,'Frame Dimensions - C'!G39))</f>
        <v>0</v>
      </c>
      <c r="H39" s="580">
        <f>IF(DRIVE_Type="Direct",IF('Frame Dimensions - D'!H39="",0,'Frame Dimensions - D'!H39),IF('Frame Dimensions - C'!H39="",0,'Frame Dimensions - C'!H39))</f>
        <v>0</v>
      </c>
      <c r="I39" s="603">
        <f>IF(DRIVE_Type="Direct",IF('Frame Dimensions - D'!I39="",0,'Frame Dimensions - D'!I39),IF('Frame Dimensions - C'!I39="",0,'Frame Dimensions - C'!I39))</f>
        <v>0</v>
      </c>
      <c r="J39" s="1946" t="e">
        <f ca="1">IF(DRIVE_Type="Direct",IF('Frame Dimensions - D'!J39="",0,'Frame Dimensions - D'!J39),IF('Frame Dimensions - C'!J39="",0,'Frame Dimensions - C'!J39))</f>
        <v>#REF!</v>
      </c>
      <c r="K39" s="1918" t="e">
        <f ca="1">IF(DRIVE_Type="Direct",IF('Frame Dimensions - D'!K39="",0,'Frame Dimensions - D'!K39),IF('Frame Dimensions - C'!K39="",0,'Frame Dimensions - C'!K39))</f>
        <v>#REF!</v>
      </c>
      <c r="L39" s="1918" t="e">
        <f ca="1">IF(DRIVE_Type="Direct",IF('Frame Dimensions - D'!L39="",0,'Frame Dimensions - D'!L39),IF('Frame Dimensions - C'!L39="",0,'Frame Dimensions - C'!L39))</f>
        <v>#REF!</v>
      </c>
      <c r="M39" s="1917" t="e">
        <f ca="1">IF(DRIVE_Type="Direct",IF('Frame Dimensions - D'!M39="",0,'Frame Dimensions - D'!M39),IF('Frame Dimensions - C'!M39="",0,'Frame Dimensions - C'!M39))</f>
        <v>#REF!</v>
      </c>
      <c r="N39" s="1918" t="e">
        <f ca="1">IF(DRIVE_Type="Direct",IF('Frame Dimensions - D'!N39="",0,'Frame Dimensions - D'!N39),IF('Frame Dimensions - C'!N39="",0,'Frame Dimensions - C'!N39))</f>
        <v>#REF!</v>
      </c>
      <c r="O39" s="1919" t="e">
        <f ca="1">IF(DRIVE_Type="Direct",IF('Frame Dimensions - D'!O39="",0,'Frame Dimensions - D'!O39),IF('Frame Dimensions - C'!O39="",0,'Frame Dimensions - C'!O39))</f>
        <v>#REF!</v>
      </c>
      <c r="P39" s="584">
        <f>IF(DRIVE_Type="Direct",IF('Frame Dimensions - D'!P39="",0,'Frame Dimensions - D'!P39),IF('Frame Dimensions - C'!P39="",0,'Frame Dimensions - C'!P39))</f>
        <v>0</v>
      </c>
      <c r="Q39" s="1450">
        <f>IF(DRIVE_Type="Direct",IF('Frame Dimensions - D'!Q39="",0,'Frame Dimensions - D'!Q39),IF('Frame Dimensions - C'!Q39="",0,'Frame Dimensions - C'!Q39))</f>
        <v>0</v>
      </c>
      <c r="R39" s="644"/>
      <c r="S39" s="603"/>
      <c r="T39" s="603"/>
      <c r="U39" s="603"/>
      <c r="V39" s="603"/>
      <c r="W39" s="603"/>
      <c r="X39" s="603"/>
      <c r="Y39" s="603"/>
      <c r="Z39" s="603"/>
      <c r="AA39" s="603"/>
      <c r="AB39" s="580"/>
      <c r="AC39" s="603"/>
      <c r="AD39" s="603"/>
      <c r="AE39" s="603"/>
      <c r="AF39" s="603"/>
      <c r="AG39" s="603"/>
      <c r="AH39" s="603"/>
      <c r="AI39" s="603"/>
    </row>
    <row r="40" spans="1:36" s="621" customFormat="1">
      <c r="A40" s="604"/>
      <c r="B40" s="633" t="str">
        <f>IF(DRIVE_Type="Direct",IF('Frame Dimensions - D'!B40="",0,'Frame Dimensions - D'!B40),IF('Frame Dimensions - C'!B40="",0,'Frame Dimensions - C'!B40))</f>
        <v>mftr1-</v>
      </c>
      <c r="C40" s="479">
        <f>IF(DRIVE_Type="Direct",IF('Frame Dimensions - D'!C40="",0,'Frame Dimensions - D'!C40),IF('Frame Dimensions - C'!C40="",0,'Frame Dimensions - C'!C40))</f>
        <v>0</v>
      </c>
      <c r="D40" s="479">
        <f>IF(DRIVE_Type="Direct",IF('Frame Dimensions - D'!D40="",0,'Frame Dimensions - D'!D40),IF('Frame Dimensions - C'!D40="",0,'Frame Dimensions - C'!D40))</f>
        <v>0</v>
      </c>
      <c r="E40" s="479">
        <f>IF(DRIVE_Type="Direct",IF('Frame Dimensions - D'!E40="",0,'Frame Dimensions - D'!E40),IF('Frame Dimensions - C'!E40="",0,'Frame Dimensions - C'!E40))</f>
        <v>0</v>
      </c>
      <c r="F40" s="479">
        <f>IF(DRIVE_Type="Direct",IF('Frame Dimensions - D'!F40="",0,'Frame Dimensions - D'!F40),IF('Frame Dimensions - C'!F40="",0,'Frame Dimensions - C'!F40))</f>
        <v>0</v>
      </c>
      <c r="G40" s="479">
        <f>IF(DRIVE_Type="Direct",IF('Frame Dimensions - D'!G40="",0,'Frame Dimensions - D'!G40),IF('Frame Dimensions - C'!G40="",0,'Frame Dimensions - C'!G40))</f>
        <v>0</v>
      </c>
      <c r="H40" s="479">
        <f>IF(DRIVE_Type="Direct",IF('Frame Dimensions - D'!H40="",0,'Frame Dimensions - D'!H40),IF('Frame Dimensions - C'!H40="",0,'Frame Dimensions - C'!H40))</f>
        <v>0</v>
      </c>
      <c r="I40" s="479">
        <f>IF(DRIVE_Type="Direct",IF('Frame Dimensions - D'!I40="",0,'Frame Dimensions - D'!I40),IF('Frame Dimensions - C'!I40="",0,'Frame Dimensions - C'!I40))</f>
        <v>0</v>
      </c>
      <c r="J40" s="618" t="e">
        <f ca="1">IF(DRIVE_Type="Direct",IF('Frame Dimensions - D'!J40="",0,'Frame Dimensions - D'!J40),IF('Frame Dimensions - C'!J40="",0,'Frame Dimensions - C'!J40))</f>
        <v>#REF!</v>
      </c>
      <c r="K40" s="616" t="e">
        <f ca="1">IF(DRIVE_Type="Direct",IF('Frame Dimensions - D'!K40="",0,'Frame Dimensions - D'!K40),IF('Frame Dimensions - C'!K40="",0,'Frame Dimensions - C'!K40))</f>
        <v>#REF!</v>
      </c>
      <c r="L40" s="616" t="e">
        <f ca="1">IF(DRIVE_Type="Direct",IF('Frame Dimensions - D'!L40="",0,'Frame Dimensions - D'!L40),IF('Frame Dimensions - C'!L40="",0,'Frame Dimensions - C'!L40))</f>
        <v>#REF!</v>
      </c>
      <c r="M40" s="618" t="e">
        <f ca="1">IF(DRIVE_Type="Direct",IF('Frame Dimensions - D'!M40="",0,'Frame Dimensions - D'!M40),IF('Frame Dimensions - C'!M40="",0,'Frame Dimensions - C'!M40))</f>
        <v>#REF!</v>
      </c>
      <c r="N40" s="616" t="e">
        <f ca="1">IF(DRIVE_Type="Direct",IF('Frame Dimensions - D'!N40="",0,'Frame Dimensions - D'!N40),IF('Frame Dimensions - C'!N40="",0,'Frame Dimensions - C'!N40))</f>
        <v>#REF!</v>
      </c>
      <c r="O40" s="634" t="e">
        <f ca="1">IF(DRIVE_Type="Direct",IF('Frame Dimensions - D'!O40="",0,'Frame Dimensions - D'!O40),IF('Frame Dimensions - C'!O40="",0,'Frame Dimensions - C'!O40))</f>
        <v>#REF!</v>
      </c>
      <c r="P40" s="605">
        <f>IF(DRIVE_Type="Direct",IF('Frame Dimensions - D'!P40="",0,'Frame Dimensions - D'!P40),IF('Frame Dimensions - C'!P40="",0,'Frame Dimensions - C'!P40))</f>
        <v>0</v>
      </c>
      <c r="Q40" s="1455">
        <f>IF(DRIVE_Type="Direct",IF('Frame Dimensions - D'!Q40="",0,'Frame Dimensions - D'!Q40),IF('Frame Dimensions - C'!Q40="",0,'Frame Dimensions - C'!Q40))</f>
        <v>0</v>
      </c>
      <c r="R40" s="644"/>
      <c r="S40" s="603"/>
      <c r="T40" s="603"/>
      <c r="U40" s="603"/>
      <c r="V40" s="603"/>
      <c r="W40" s="603"/>
      <c r="X40" s="603"/>
      <c r="Y40" s="603"/>
      <c r="Z40" s="603"/>
      <c r="AA40" s="603"/>
      <c r="AB40" s="580"/>
      <c r="AC40" s="603"/>
      <c r="AD40" s="603"/>
      <c r="AE40" s="603"/>
      <c r="AF40" s="603"/>
      <c r="AG40" s="603"/>
      <c r="AH40" s="603"/>
      <c r="AI40" s="603"/>
    </row>
    <row r="41" spans="1:36">
      <c r="A41" s="1938" t="s">
        <v>3375</v>
      </c>
      <c r="B41" s="1649" t="e">
        <f ca="1">IF(DRIVE_Type="Direct",IF('Frame Dimensions - D'!B41="",0,'Frame Dimensions - D'!B41),IF('Frame Dimensions - C'!B41="",0,'Frame Dimensions - C'!B41))</f>
        <v>#REF!</v>
      </c>
      <c r="C41" s="484" t="e">
        <f ca="1">IF(DRIVE_Type="Direct",IF('Frame Dimensions - D'!C41="",0,'Frame Dimensions - D'!C41),IF('Frame Dimensions - C'!C41="",0,'Frame Dimensions - C'!C41))</f>
        <v>#REF!</v>
      </c>
      <c r="D41" s="580" t="e">
        <f ca="1">IF(DRIVE_Type="Direct",IF('Frame Dimensions - D'!D41="",0,'Frame Dimensions - D'!D41),IF('Frame Dimensions - C'!D41="",0,'Frame Dimensions - C'!D41))</f>
        <v>#REF!</v>
      </c>
      <c r="E41" s="580" t="e">
        <f ca="1">IF(DRIVE_Type="Direct",IF('Frame Dimensions - D'!E41="",0,'Frame Dimensions - D'!E41),IF('Frame Dimensions - C'!E41="",0,'Frame Dimensions - C'!E41))</f>
        <v>#REF!</v>
      </c>
      <c r="F41" s="580" t="e">
        <f ca="1">IF(DRIVE_Type="Direct",IF('Frame Dimensions - D'!F41="",0,'Frame Dimensions - D'!F41),IF('Frame Dimensions - C'!F41="",0,'Frame Dimensions - C'!F41))</f>
        <v>#REF!</v>
      </c>
      <c r="G41" s="580" t="e">
        <f ca="1">IF(DRIVE_Type="Direct",IF('Frame Dimensions - D'!G41="",0,'Frame Dimensions - D'!G41),IF('Frame Dimensions - C'!G41="",0,'Frame Dimensions - C'!G41))</f>
        <v>#REF!</v>
      </c>
      <c r="H41" s="580">
        <f>IF(DRIVE_Type="Direct",IF('Frame Dimensions - D'!H41="",0,'Frame Dimensions - D'!H41),IF('Frame Dimensions - C'!H41="",0,'Frame Dimensions - C'!H41))</f>
        <v>0</v>
      </c>
      <c r="I41" s="581" t="str">
        <f>IF(DRIVE_Type="Direct",IF('Frame Dimensions - D'!I41="",0,'Frame Dimensions - D'!I41),IF('Frame Dimensions - C'!I41="",0,'Frame Dimensions - C'!I41))</f>
        <v>X+Y-Z+</v>
      </c>
      <c r="J41" s="599" t="e">
        <f ca="1">IF(DRIVE_Type="Direct",IF('Frame Dimensions - D'!J41="",0,'Frame Dimensions - D'!J41),IF('Frame Dimensions - C'!J41="",0,'Frame Dimensions - C'!J41))</f>
        <v>#REF!</v>
      </c>
      <c r="K41" s="608" t="e">
        <f ca="1">IF(DRIVE_Type="Direct",IF('Frame Dimensions - D'!K41="",0,'Frame Dimensions - D'!K41),IF('Frame Dimensions - C'!K41="",0,'Frame Dimensions - C'!K41))</f>
        <v>#REF!</v>
      </c>
      <c r="L41" s="610" t="e">
        <f ca="1">IF(DRIVE_Type="Direct",IF('Frame Dimensions - D'!L41="",0,'Frame Dimensions - D'!L41),IF('Frame Dimensions - C'!L41="",0,'Frame Dimensions - C'!L41))</f>
        <v>#REF!</v>
      </c>
      <c r="M41" s="609" t="e">
        <f ca="1">IF(DRIVE_Type="Direct",IF('Frame Dimensions - D'!M41="",0,'Frame Dimensions - D'!M41),IF('Frame Dimensions - C'!M41="",0,'Frame Dimensions - C'!M41))</f>
        <v>#REF!</v>
      </c>
      <c r="N41" s="608" t="e">
        <f ca="1">IF(DRIVE_Type="Direct",IF('Frame Dimensions - D'!N41="",0,'Frame Dimensions - D'!N41),IF('Frame Dimensions - C'!N41="",0,'Frame Dimensions - C'!N41))</f>
        <v>#REF!</v>
      </c>
      <c r="O41" s="611" t="e">
        <f ca="1">IF(DRIVE_Type="Direct",IF('Frame Dimensions - D'!O41="",0,'Frame Dimensions - D'!O41),IF('Frame Dimensions - C'!O41="",0,'Frame Dimensions - C'!O41))</f>
        <v>#REF!</v>
      </c>
      <c r="P41" s="584" t="e">
        <f ca="1">IF(DRIVE_Type="Direct",IF('Frame Dimensions - D'!P41="",0,'Frame Dimensions - D'!P41),IF('Frame Dimensions - C'!P41="",0,'Frame Dimensions - C'!P41))</f>
        <v>#REF!</v>
      </c>
      <c r="Q41" s="1450" t="e">
        <f ca="1">IF(DRIVE_Type="Direct",IF('Frame Dimensions - D'!Q41="",0,'Frame Dimensions - D'!Q41),IF('Frame Dimensions - C'!Q41="",0,'Frame Dimensions - C'!Q41))</f>
        <v>#REF!</v>
      </c>
      <c r="R41" s="644"/>
      <c r="S41" s="603"/>
      <c r="T41" s="603"/>
      <c r="U41" s="639"/>
      <c r="V41" s="603"/>
      <c r="W41" s="603"/>
      <c r="X41" s="603"/>
      <c r="Y41" s="603"/>
      <c r="Z41" s="637"/>
      <c r="AA41" s="637"/>
      <c r="AB41" s="637"/>
      <c r="AC41" s="637"/>
      <c r="AD41" s="637"/>
      <c r="AE41" s="637"/>
      <c r="AF41" s="580"/>
      <c r="AG41" s="580"/>
      <c r="AH41" s="580"/>
      <c r="AI41" s="580"/>
      <c r="AJ41" s="464"/>
    </row>
    <row r="42" spans="1:36">
      <c r="B42" s="604" t="e">
        <f ca="1">IF(DRIVE_Type="Direct",IF('Frame Dimensions - D'!B42="",0,'Frame Dimensions - D'!B42),IF('Frame Dimensions - C'!B42="",0,'Frame Dimensions - C'!B42))</f>
        <v>#REF!</v>
      </c>
      <c r="C42" s="582">
        <f>IF(DRIVE_Type="Direct",IF('Frame Dimensions - D'!C42="",0,'Frame Dimensions - D'!C42),IF('Frame Dimensions - C'!C42="",0,'Frame Dimensions - C'!C42))</f>
        <v>0</v>
      </c>
      <c r="D42" s="580">
        <f>IF(DRIVE_Type="Direct",IF('Frame Dimensions - D'!D42="",0,'Frame Dimensions - D'!D42),IF('Frame Dimensions - C'!D42="",0,'Frame Dimensions - C'!D42))</f>
        <v>0</v>
      </c>
      <c r="E42" s="580">
        <f>IF(DRIVE_Type="Direct",IF('Frame Dimensions - D'!E42="",0,'Frame Dimensions - D'!E42),IF('Frame Dimensions - C'!E42="",0,'Frame Dimensions - C'!E42))</f>
        <v>0</v>
      </c>
      <c r="F42" s="580">
        <f>IF(DRIVE_Type="Direct",IF('Frame Dimensions - D'!F42="",0,'Frame Dimensions - D'!F42),IF('Frame Dimensions - C'!F42="",0,'Frame Dimensions - C'!F42))</f>
        <v>0</v>
      </c>
      <c r="G42" s="580">
        <f>IF(DRIVE_Type="Direct",IF('Frame Dimensions - D'!G42="",0,'Frame Dimensions - D'!G42),IF('Frame Dimensions - C'!G42="",0,'Frame Dimensions - C'!G42))</f>
        <v>0</v>
      </c>
      <c r="H42" s="580">
        <f>IF(DRIVE_Type="Direct",IF('Frame Dimensions - D'!H42="",0,'Frame Dimensions - D'!H42),IF('Frame Dimensions - C'!H42="",0,'Frame Dimensions - C'!H42))</f>
        <v>0</v>
      </c>
      <c r="I42" s="580">
        <f>IF(DRIVE_Type="Direct",IF('Frame Dimensions - D'!I42="",0,'Frame Dimensions - D'!I42),IF('Frame Dimensions - C'!I42="",0,'Frame Dimensions - C'!I42))</f>
        <v>0</v>
      </c>
      <c r="J42" s="609" t="e">
        <f ca="1">IF(DRIVE_Type="Direct",IF('Frame Dimensions - D'!J42="",0,'Frame Dimensions - D'!J42),IF('Frame Dimensions - C'!J42="",0,'Frame Dimensions - C'!J42))</f>
        <v>#REF!</v>
      </c>
      <c r="K42" s="608" t="e">
        <f ca="1">IF(DRIVE_Type="Direct",IF('Frame Dimensions - D'!K42="",0,'Frame Dimensions - D'!K42),IF('Frame Dimensions - C'!K42="",0,'Frame Dimensions - C'!K42))</f>
        <v>#REF!</v>
      </c>
      <c r="L42" s="610" t="e">
        <f ca="1">IF(DRIVE_Type="Direct",IF('Frame Dimensions - D'!L42="",0,'Frame Dimensions - D'!L42),IF('Frame Dimensions - C'!L42="",0,'Frame Dimensions - C'!L42))</f>
        <v>#REF!</v>
      </c>
      <c r="M42" s="609" t="e">
        <f ca="1">IF(DRIVE_Type="Direct",IF('Frame Dimensions - D'!M42="",0,'Frame Dimensions - D'!M42),IF('Frame Dimensions - C'!M42="",0,'Frame Dimensions - C'!M42))</f>
        <v>#REF!</v>
      </c>
      <c r="N42" s="608" t="e">
        <f ca="1">IF(DRIVE_Type="Direct",IF('Frame Dimensions - D'!N42="",0,'Frame Dimensions - D'!N42),IF('Frame Dimensions - C'!N42="",0,'Frame Dimensions - C'!N42))</f>
        <v>#REF!</v>
      </c>
      <c r="O42" s="611" t="e">
        <f ca="1">IF(DRIVE_Type="Direct",IF('Frame Dimensions - D'!O42="",0,'Frame Dimensions - D'!O42),IF('Frame Dimensions - C'!O42="",0,'Frame Dimensions - C'!O42))</f>
        <v>#REF!</v>
      </c>
      <c r="P42" s="602">
        <f>IF(DRIVE_Type="Direct",IF('Frame Dimensions - D'!P42="",0,'Frame Dimensions - D'!P42),IF('Frame Dimensions - C'!P42="",0,'Frame Dimensions - C'!P42))</f>
        <v>0</v>
      </c>
      <c r="Q42" s="1454">
        <f>IF(DRIVE_Type="Direct",IF('Frame Dimensions - D'!Q42="",0,'Frame Dimensions - D'!Q42),IF('Frame Dimensions - C'!Q42="",0,'Frame Dimensions - C'!Q42))</f>
        <v>0</v>
      </c>
      <c r="R42" s="640"/>
      <c r="S42" s="580"/>
      <c r="T42" s="580"/>
      <c r="U42" s="636"/>
      <c r="V42" s="636"/>
      <c r="W42" s="636"/>
      <c r="X42" s="636"/>
      <c r="Y42" s="636"/>
      <c r="Z42" s="637"/>
      <c r="AA42" s="637"/>
      <c r="AB42" s="637"/>
      <c r="AC42" s="637"/>
      <c r="AD42" s="637"/>
      <c r="AE42" s="637"/>
      <c r="AF42" s="580"/>
      <c r="AG42" s="580"/>
      <c r="AH42" s="580"/>
      <c r="AI42" s="580"/>
      <c r="AJ42" s="464"/>
    </row>
    <row r="43" spans="1:36">
      <c r="A43" s="622"/>
      <c r="B43" s="604" t="e">
        <f ca="1">IF(DRIVE_Type="Direct",IF('Frame Dimensions - D'!B43="",0,'Frame Dimensions - D'!B43),IF('Frame Dimensions - C'!B43="",0,'Frame Dimensions - C'!B43))</f>
        <v>#REF!</v>
      </c>
      <c r="C43" s="580">
        <f>IF(DRIVE_Type="Direct",IF('Frame Dimensions - D'!C43="",0,'Frame Dimensions - D'!C43),IF('Frame Dimensions - C'!C43="",0,'Frame Dimensions - C'!C43))</f>
        <v>0</v>
      </c>
      <c r="D43" s="580">
        <f>IF(DRIVE_Type="Direct",IF('Frame Dimensions - D'!D43="",0,'Frame Dimensions - D'!D43),IF('Frame Dimensions - C'!D43="",0,'Frame Dimensions - C'!D43))</f>
        <v>0</v>
      </c>
      <c r="E43" s="580">
        <f>IF(DRIVE_Type="Direct",IF('Frame Dimensions - D'!E43="",0,'Frame Dimensions - D'!E43),IF('Frame Dimensions - C'!E43="",0,'Frame Dimensions - C'!E43))</f>
        <v>0</v>
      </c>
      <c r="F43" s="580">
        <f>IF(DRIVE_Type="Direct",IF('Frame Dimensions - D'!F43="",0,'Frame Dimensions - D'!F43),IF('Frame Dimensions - C'!F43="",0,'Frame Dimensions - C'!F43))</f>
        <v>0</v>
      </c>
      <c r="G43" s="580">
        <f>IF(DRIVE_Type="Direct",IF('Frame Dimensions - D'!G43="",0,'Frame Dimensions - D'!G43),IF('Frame Dimensions - C'!G43="",0,'Frame Dimensions - C'!G43))</f>
        <v>0</v>
      </c>
      <c r="H43" s="580">
        <f>IF(DRIVE_Type="Direct",IF('Frame Dimensions - D'!H43="",0,'Frame Dimensions - D'!H43),IF('Frame Dimensions - C'!H43="",0,'Frame Dimensions - C'!H43))</f>
        <v>0</v>
      </c>
      <c r="I43" s="580">
        <f>IF(DRIVE_Type="Direct",IF('Frame Dimensions - D'!I43="",0,'Frame Dimensions - D'!I43),IF('Frame Dimensions - C'!I43="",0,'Frame Dimensions - C'!I43))</f>
        <v>0</v>
      </c>
      <c r="J43" s="492" t="e">
        <f ca="1">IF(DRIVE_Type="Direct",IF('Frame Dimensions - D'!J43="",0,'Frame Dimensions - D'!J43),IF('Frame Dimensions - C'!J43="",0,'Frame Dimensions - C'!J43))</f>
        <v>#REF!</v>
      </c>
      <c r="K43" s="608" t="e">
        <f ca="1">IF(DRIVE_Type="Direct",IF('Frame Dimensions - D'!K43="",0,'Frame Dimensions - D'!K43),IF('Frame Dimensions - C'!K43="",0,'Frame Dimensions - C'!K43))</f>
        <v>#REF!</v>
      </c>
      <c r="L43" s="608" t="e">
        <f ca="1">IF(DRIVE_Type="Direct",IF('Frame Dimensions - D'!L43="",0,'Frame Dimensions - D'!L43),IF('Frame Dimensions - C'!L43="",0,'Frame Dimensions - C'!L43))</f>
        <v>#REF!</v>
      </c>
      <c r="M43" s="609" t="e">
        <f ca="1">IF(DRIVE_Type="Direct",IF('Frame Dimensions - D'!M43="",0,'Frame Dimensions - D'!M43),IF('Frame Dimensions - C'!M43="",0,'Frame Dimensions - C'!M43))</f>
        <v>#REF!</v>
      </c>
      <c r="N43" s="608" t="e">
        <f ca="1">IF(DRIVE_Type="Direct",IF('Frame Dimensions - D'!N43="",0,'Frame Dimensions - D'!N43),IF('Frame Dimensions - C'!N43="",0,'Frame Dimensions - C'!N43))</f>
        <v>#REF!</v>
      </c>
      <c r="O43" s="608" t="e">
        <f ca="1">IF(DRIVE_Type="Direct",IF('Frame Dimensions - D'!O43="",0,'Frame Dimensions - D'!O43),IF('Frame Dimensions - C'!O43="",0,'Frame Dimensions - C'!O43))</f>
        <v>#REF!</v>
      </c>
      <c r="P43" s="584">
        <f>IF(DRIVE_Type="Direct",IF('Frame Dimensions - D'!P43="",0,'Frame Dimensions - D'!P43),IF('Frame Dimensions - C'!P43="",0,'Frame Dimensions - C'!P43))</f>
        <v>0</v>
      </c>
      <c r="Q43" s="1450">
        <f>IF(DRIVE_Type="Direct",IF('Frame Dimensions - D'!Q43="",0,'Frame Dimensions - D'!Q43),IF('Frame Dimensions - C'!Q43="",0,'Frame Dimensions - C'!Q43))</f>
        <v>0</v>
      </c>
      <c r="R43" s="1189"/>
      <c r="S43" s="603"/>
      <c r="T43" s="603"/>
      <c r="U43" s="603"/>
      <c r="V43" s="603"/>
      <c r="W43" s="603"/>
      <c r="X43" s="603"/>
      <c r="Y43" s="603"/>
      <c r="Z43" s="603"/>
      <c r="AA43" s="603"/>
      <c r="AB43" s="603"/>
      <c r="AC43" s="603"/>
      <c r="AD43" s="603"/>
      <c r="AE43" s="603"/>
      <c r="AF43" s="603"/>
      <c r="AG43" s="603"/>
      <c r="AH43" s="603"/>
      <c r="AI43" s="580"/>
      <c r="AJ43" s="464"/>
    </row>
    <row r="44" spans="1:36">
      <c r="A44" s="628"/>
      <c r="B44" s="604" t="e">
        <f ca="1">IF(DRIVE_Type="Direct",IF('Frame Dimensions - D'!B44="",0,'Frame Dimensions - D'!B44),IF('Frame Dimensions - C'!B44="",0,'Frame Dimensions - C'!B44))</f>
        <v>#REF!</v>
      </c>
      <c r="C44" s="580">
        <f>IF(DRIVE_Type="Direct",IF('Frame Dimensions - D'!C44="",0,'Frame Dimensions - D'!C44),IF('Frame Dimensions - C'!C44="",0,'Frame Dimensions - C'!C44))</f>
        <v>0</v>
      </c>
      <c r="D44" s="580">
        <f>IF(DRIVE_Type="Direct",IF('Frame Dimensions - D'!D44="",0,'Frame Dimensions - D'!D44),IF('Frame Dimensions - C'!D44="",0,'Frame Dimensions - C'!D44))</f>
        <v>0</v>
      </c>
      <c r="E44" s="580">
        <f>IF(DRIVE_Type="Direct",IF('Frame Dimensions - D'!E44="",0,'Frame Dimensions - D'!E44),IF('Frame Dimensions - C'!E44="",0,'Frame Dimensions - C'!E44))</f>
        <v>0</v>
      </c>
      <c r="F44" s="580">
        <f>IF(DRIVE_Type="Direct",IF('Frame Dimensions - D'!F44="",0,'Frame Dimensions - D'!F44),IF('Frame Dimensions - C'!F44="",0,'Frame Dimensions - C'!F44))</f>
        <v>0</v>
      </c>
      <c r="G44" s="580">
        <f>IF(DRIVE_Type="Direct",IF('Frame Dimensions - D'!G44="",0,'Frame Dimensions - D'!G44),IF('Frame Dimensions - C'!G44="",0,'Frame Dimensions - C'!G44))</f>
        <v>0</v>
      </c>
      <c r="H44" s="580">
        <f>IF(DRIVE_Type="Direct",IF('Frame Dimensions - D'!H44="",0,'Frame Dimensions - D'!H44),IF('Frame Dimensions - C'!H44="",0,'Frame Dimensions - C'!H44))</f>
        <v>0</v>
      </c>
      <c r="I44" s="580">
        <f>IF(DRIVE_Type="Direct",IF('Frame Dimensions - D'!I44="",0,'Frame Dimensions - D'!I44),IF('Frame Dimensions - C'!I44="",0,'Frame Dimensions - C'!I44))</f>
        <v>0</v>
      </c>
      <c r="J44" s="609" t="e">
        <f ca="1">IF(DRIVE_Type="Direct",IF('Frame Dimensions - D'!J44="",0,'Frame Dimensions - D'!J44),IF('Frame Dimensions - C'!J44="",0,'Frame Dimensions - C'!J44))</f>
        <v>#REF!</v>
      </c>
      <c r="K44" s="608" t="e">
        <f ca="1">IF(DRIVE_Type="Direct",IF('Frame Dimensions - D'!K44="",0,'Frame Dimensions - D'!K44),IF('Frame Dimensions - C'!K44="",0,'Frame Dimensions - C'!K44))</f>
        <v>#REF!</v>
      </c>
      <c r="L44" s="608" t="e">
        <f ca="1">IF(DRIVE_Type="Direct",IF('Frame Dimensions - D'!L44="",0,'Frame Dimensions - D'!L44),IF('Frame Dimensions - C'!L44="",0,'Frame Dimensions - C'!L44))</f>
        <v>#REF!</v>
      </c>
      <c r="M44" s="609" t="e">
        <f ca="1">IF(DRIVE_Type="Direct",IF('Frame Dimensions - D'!M44="",0,'Frame Dimensions - D'!M44),IF('Frame Dimensions - C'!M44="",0,'Frame Dimensions - C'!M44))</f>
        <v>#REF!</v>
      </c>
      <c r="N44" s="608" t="e">
        <f ca="1">IF(DRIVE_Type="Direct",IF('Frame Dimensions - D'!N44="",0,'Frame Dimensions - D'!N44),IF('Frame Dimensions - C'!N44="",0,'Frame Dimensions - C'!N44))</f>
        <v>#REF!</v>
      </c>
      <c r="O44" s="608" t="e">
        <f ca="1">IF(DRIVE_Type="Direct",IF('Frame Dimensions - D'!O44="",0,'Frame Dimensions - D'!O44),IF('Frame Dimensions - C'!O44="",0,'Frame Dimensions - C'!O44))</f>
        <v>#REF!</v>
      </c>
      <c r="P44" s="602">
        <f>IF(DRIVE_Type="Direct",IF('Frame Dimensions - D'!P44="",0,'Frame Dimensions - D'!P44),IF('Frame Dimensions - C'!P44="",0,'Frame Dimensions - C'!P44))</f>
        <v>0</v>
      </c>
      <c r="Q44" s="1454">
        <f>IF(DRIVE_Type="Direct",IF('Frame Dimensions - D'!Q44="",0,'Frame Dimensions - D'!Q44),IF('Frame Dimensions - C'!Q44="",0,'Frame Dimensions - C'!Q44))</f>
        <v>0</v>
      </c>
      <c r="R44" s="1502"/>
      <c r="S44" s="603"/>
      <c r="T44" s="603"/>
      <c r="U44" s="603"/>
      <c r="V44" s="603"/>
      <c r="W44" s="603"/>
      <c r="X44" s="603"/>
      <c r="Y44" s="603"/>
      <c r="Z44" s="603"/>
      <c r="AA44" s="603"/>
      <c r="AB44" s="603"/>
      <c r="AC44" s="603"/>
      <c r="AD44" s="603"/>
      <c r="AE44" s="603"/>
      <c r="AF44" s="603"/>
      <c r="AG44" s="603"/>
      <c r="AH44" s="603"/>
      <c r="AI44" s="580"/>
      <c r="AJ44" s="464"/>
    </row>
    <row r="45" spans="1:36">
      <c r="A45" s="1682"/>
      <c r="B45" s="1649" t="e">
        <f ca="1">IF(DRIVE_Type="Direct",IF('Frame Dimensions - D'!B45="",0,'Frame Dimensions - D'!B45),IF('Frame Dimensions - C'!B45="",0,'Frame Dimensions - C'!B45))</f>
        <v>#REF!</v>
      </c>
      <c r="C45" s="580" t="e">
        <f ca="1">IF(DRIVE_Type="Direct",IF('Frame Dimensions - D'!C45="",0,'Frame Dimensions - D'!C45),IF('Frame Dimensions - C'!C45="",0,'Frame Dimensions - C'!C45))</f>
        <v>#REF!</v>
      </c>
      <c r="D45" s="580" t="e">
        <f ca="1">IF(DRIVE_Type="Direct",IF('Frame Dimensions - D'!D45="",0,'Frame Dimensions - D'!D45),IF('Frame Dimensions - C'!D45="",0,'Frame Dimensions - C'!D45))</f>
        <v>#REF!</v>
      </c>
      <c r="E45" s="580" t="e">
        <f ca="1">IF(DRIVE_Type="Direct",IF('Frame Dimensions - D'!E45="",0,'Frame Dimensions - D'!E45),IF('Frame Dimensions - C'!E45="",0,'Frame Dimensions - C'!E45))</f>
        <v>#REF!</v>
      </c>
      <c r="F45" s="580" t="e">
        <f ca="1">IF(DRIVE_Type="Direct",IF('Frame Dimensions - D'!F45="",0,'Frame Dimensions - D'!F45),IF('Frame Dimensions - C'!F45="",0,'Frame Dimensions - C'!F45))</f>
        <v>#REF!</v>
      </c>
      <c r="G45" s="580" t="e">
        <f ca="1">IF(DRIVE_Type="Direct",IF('Frame Dimensions - D'!G45="",0,'Frame Dimensions - D'!G45),IF('Frame Dimensions - C'!G45="",0,'Frame Dimensions - C'!G45))</f>
        <v>#REF!</v>
      </c>
      <c r="H45" s="580">
        <f>IF(DRIVE_Type="Direct",IF('Frame Dimensions - D'!H45="",0,'Frame Dimensions - D'!H45),IF('Frame Dimensions - C'!H45="",0,'Frame Dimensions - C'!H45))</f>
        <v>0</v>
      </c>
      <c r="I45" s="581" t="str">
        <f>IF(DRIVE_Type="Direct",IF('Frame Dimensions - D'!I45="",0,'Frame Dimensions - D'!I45),IF('Frame Dimensions - C'!I45="",0,'Frame Dimensions - C'!I45))</f>
        <v>X+Y-Z+</v>
      </c>
      <c r="J45" s="609" t="e">
        <f ca="1">IF(DRIVE_Type="Direct",IF('Frame Dimensions - D'!J45="",0,'Frame Dimensions - D'!J45),IF('Frame Dimensions - C'!J45="",0,'Frame Dimensions - C'!J45))</f>
        <v>#REF!</v>
      </c>
      <c r="K45" s="608" t="e">
        <f ca="1">IF(DRIVE_Type="Direct",IF('Frame Dimensions - D'!K45="",0,'Frame Dimensions - D'!K45),IF('Frame Dimensions - C'!K45="",0,'Frame Dimensions - C'!K45))</f>
        <v>#REF!</v>
      </c>
      <c r="L45" s="610" t="e">
        <f ca="1">IF(DRIVE_Type="Direct",IF('Frame Dimensions - D'!L45="",0,'Frame Dimensions - D'!L45),IF('Frame Dimensions - C'!L45="",0,'Frame Dimensions - C'!L45))</f>
        <v>#REF!</v>
      </c>
      <c r="M45" s="609" t="e">
        <f ca="1">IF(DRIVE_Type="Direct",IF('Frame Dimensions - D'!M45="",0,'Frame Dimensions - D'!M45),IF('Frame Dimensions - C'!M45="",0,'Frame Dimensions - C'!M45))</f>
        <v>#REF!</v>
      </c>
      <c r="N45" s="608" t="e">
        <f ca="1">IF(DRIVE_Type="Direct",IF('Frame Dimensions - D'!N45="",0,'Frame Dimensions - D'!N45),IF('Frame Dimensions - C'!N45="",0,'Frame Dimensions - C'!N45))</f>
        <v>#REF!</v>
      </c>
      <c r="O45" s="612" t="e">
        <f ca="1">IF(DRIVE_Type="Direct",IF('Frame Dimensions - D'!O45="",0,'Frame Dimensions - D'!O45),IF('Frame Dimensions - C'!O45="",0,'Frame Dimensions - C'!O45))</f>
        <v>#REF!</v>
      </c>
      <c r="P45" s="584" t="e">
        <f ca="1">IF(DRIVE_Type="Direct",IF('Frame Dimensions - D'!P45="",0,'Frame Dimensions - D'!P45),IF('Frame Dimensions - C'!P45="",0,'Frame Dimensions - C'!P45))</f>
        <v>#REF!</v>
      </c>
      <c r="Q45" s="1450" t="e">
        <f ca="1">IF(DRIVE_Type="Direct",IF('Frame Dimensions - D'!Q45="",0,'Frame Dimensions - D'!Q45),IF('Frame Dimensions - C'!Q45="",0,'Frame Dimensions - C'!Q45))</f>
        <v>#REF!</v>
      </c>
      <c r="R45" s="1503"/>
      <c r="S45" s="603"/>
      <c r="T45" s="603"/>
      <c r="U45" s="603"/>
      <c r="V45" s="603"/>
      <c r="W45" s="603"/>
      <c r="X45" s="603"/>
      <c r="Y45" s="603"/>
      <c r="Z45" s="603"/>
      <c r="AA45" s="603"/>
      <c r="AB45" s="603"/>
      <c r="AC45" s="603"/>
      <c r="AD45" s="603"/>
      <c r="AE45" s="603"/>
      <c r="AF45" s="603"/>
      <c r="AG45" s="603"/>
      <c r="AH45" s="603"/>
      <c r="AI45" s="580"/>
      <c r="AJ45" s="464"/>
    </row>
    <row r="46" spans="1:36">
      <c r="A46" s="1680"/>
      <c r="B46" s="604" t="e">
        <f ca="1">IF(DRIVE_Type="Direct",IF('Frame Dimensions - D'!B46="",0,'Frame Dimensions - D'!B46),IF('Frame Dimensions - C'!B46="",0,'Frame Dimensions - C'!B46))</f>
        <v>#REF!</v>
      </c>
      <c r="C46" s="582">
        <f>IF(DRIVE_Type="Direct",IF('Frame Dimensions - D'!C46="",0,'Frame Dimensions - D'!C46),IF('Frame Dimensions - C'!C46="",0,'Frame Dimensions - C'!C46))</f>
        <v>0</v>
      </c>
      <c r="D46" s="493">
        <f>IF(DRIVE_Type="Direct",IF('Frame Dimensions - D'!D46="",0,'Frame Dimensions - D'!D46),IF('Frame Dimensions - C'!D46="",0,'Frame Dimensions - C'!D46))</f>
        <v>0</v>
      </c>
      <c r="E46" s="493">
        <f>IF(DRIVE_Type="Direct",IF('Frame Dimensions - D'!E46="",0,'Frame Dimensions - D'!E46),IF('Frame Dimensions - C'!E46="",0,'Frame Dimensions - C'!E46))</f>
        <v>0</v>
      </c>
      <c r="F46" s="493">
        <f>IF(DRIVE_Type="Direct",IF('Frame Dimensions - D'!F46="",0,'Frame Dimensions - D'!F46),IF('Frame Dimensions - C'!F46="",0,'Frame Dimensions - C'!F46))</f>
        <v>0</v>
      </c>
      <c r="G46" s="493">
        <f>IF(DRIVE_Type="Direct",IF('Frame Dimensions - D'!G46="",0,'Frame Dimensions - D'!G46),IF('Frame Dimensions - C'!G46="",0,'Frame Dimensions - C'!G46))</f>
        <v>0</v>
      </c>
      <c r="H46" s="493">
        <f>IF(DRIVE_Type="Direct",IF('Frame Dimensions - D'!H46="",0,'Frame Dimensions - D'!H46),IF('Frame Dimensions - C'!H46="",0,'Frame Dimensions - C'!H46))</f>
        <v>0</v>
      </c>
      <c r="I46" s="493">
        <f>IF(DRIVE_Type="Direct",IF('Frame Dimensions - D'!I46="",0,'Frame Dimensions - D'!I46),IF('Frame Dimensions - C'!I46="",0,'Frame Dimensions - C'!I46))</f>
        <v>0</v>
      </c>
      <c r="J46" s="609" t="e">
        <f ca="1">IF(DRIVE_Type="Direct",IF('Frame Dimensions - D'!J46="",0,'Frame Dimensions - D'!J46),IF('Frame Dimensions - C'!J46="",0,'Frame Dimensions - C'!J46))</f>
        <v>#REF!</v>
      </c>
      <c r="K46" s="608" t="e">
        <f ca="1">IF(DRIVE_Type="Direct",IF('Frame Dimensions - D'!K46="",0,'Frame Dimensions - D'!K46),IF('Frame Dimensions - C'!K46="",0,'Frame Dimensions - C'!K46))</f>
        <v>#REF!</v>
      </c>
      <c r="L46" s="610" t="e">
        <f ca="1">IF(DRIVE_Type="Direct",IF('Frame Dimensions - D'!L46="",0,'Frame Dimensions - D'!L46),IF('Frame Dimensions - C'!L46="",0,'Frame Dimensions - C'!L46))</f>
        <v>#REF!</v>
      </c>
      <c r="M46" s="609" t="e">
        <f ca="1">IF(DRIVE_Type="Direct",IF('Frame Dimensions - D'!M46="",0,'Frame Dimensions - D'!M46),IF('Frame Dimensions - C'!M46="",0,'Frame Dimensions - C'!M46))</f>
        <v>#REF!</v>
      </c>
      <c r="N46" s="608" t="e">
        <f ca="1">IF(DRIVE_Type="Direct",IF('Frame Dimensions - D'!N46="",0,'Frame Dimensions - D'!N46),IF('Frame Dimensions - C'!N46="",0,'Frame Dimensions - C'!N46))</f>
        <v>#REF!</v>
      </c>
      <c r="O46" s="612" t="e">
        <f ca="1">IF(DRIVE_Type="Direct",IF('Frame Dimensions - D'!O46="",0,'Frame Dimensions - D'!O46),IF('Frame Dimensions - C'!O46="",0,'Frame Dimensions - C'!O46))</f>
        <v>#REF!</v>
      </c>
      <c r="P46" s="602">
        <f>IF(DRIVE_Type="Direct",IF('Frame Dimensions - D'!P46="",0,'Frame Dimensions - D'!P46),IF('Frame Dimensions - C'!P46="",0,'Frame Dimensions - C'!P46))</f>
        <v>0</v>
      </c>
      <c r="Q46" s="1454">
        <f>IF(DRIVE_Type="Direct",IF('Frame Dimensions - D'!Q46="",0,'Frame Dimensions - D'!Q46),IF('Frame Dimensions - C'!Q46="",0,'Frame Dimensions - C'!Q46))</f>
        <v>0</v>
      </c>
      <c r="R46" s="644"/>
      <c r="S46" s="603"/>
      <c r="T46" s="603"/>
      <c r="U46" s="603"/>
      <c r="V46" s="603"/>
      <c r="W46" s="603"/>
      <c r="X46" s="603"/>
      <c r="Y46" s="603"/>
      <c r="Z46" s="603"/>
      <c r="AA46" s="603"/>
      <c r="AB46" s="603"/>
      <c r="AC46" s="603"/>
      <c r="AD46" s="603"/>
      <c r="AE46" s="603"/>
      <c r="AF46" s="603"/>
      <c r="AG46" s="603"/>
      <c r="AH46" s="603"/>
      <c r="AI46" s="603"/>
      <c r="AJ46" s="464"/>
    </row>
    <row r="47" spans="1:36">
      <c r="A47" s="604"/>
      <c r="B47" s="604" t="e">
        <f ca="1">IF(DRIVE_Type="Direct",IF('Frame Dimensions - D'!B47="",0,'Frame Dimensions - D'!B47),IF('Frame Dimensions - C'!B47="",0,'Frame Dimensions - C'!B47))</f>
        <v>#REF!</v>
      </c>
      <c r="C47" s="582">
        <f>IF(DRIVE_Type="Direct",IF('Frame Dimensions - D'!C47="",0,'Frame Dimensions - D'!C47),IF('Frame Dimensions - C'!C47="",0,'Frame Dimensions - C'!C47))</f>
        <v>0</v>
      </c>
      <c r="D47" s="493">
        <f>IF(DRIVE_Type="Direct",IF('Frame Dimensions - D'!D47="",0,'Frame Dimensions - D'!D47),IF('Frame Dimensions - C'!D47="",0,'Frame Dimensions - C'!D47))</f>
        <v>0</v>
      </c>
      <c r="E47" s="493">
        <f>IF(DRIVE_Type="Direct",IF('Frame Dimensions - D'!E47="",0,'Frame Dimensions - D'!E47),IF('Frame Dimensions - C'!E47="",0,'Frame Dimensions - C'!E47))</f>
        <v>0</v>
      </c>
      <c r="F47" s="493">
        <f>IF(DRIVE_Type="Direct",IF('Frame Dimensions - D'!F47="",0,'Frame Dimensions - D'!F47),IF('Frame Dimensions - C'!F47="",0,'Frame Dimensions - C'!F47))</f>
        <v>0</v>
      </c>
      <c r="G47" s="493">
        <f>IF(DRIVE_Type="Direct",IF('Frame Dimensions - D'!G47="",0,'Frame Dimensions - D'!G47),IF('Frame Dimensions - C'!G47="",0,'Frame Dimensions - C'!G47))</f>
        <v>0</v>
      </c>
      <c r="H47" s="493">
        <f>IF(DRIVE_Type="Direct",IF('Frame Dimensions - D'!H47="",0,'Frame Dimensions - D'!H47),IF('Frame Dimensions - C'!H47="",0,'Frame Dimensions - C'!H47))</f>
        <v>0</v>
      </c>
      <c r="I47" s="493">
        <f>IF(DRIVE_Type="Direct",IF('Frame Dimensions - D'!I47="",0,'Frame Dimensions - D'!I47),IF('Frame Dimensions - C'!I47="",0,'Frame Dimensions - C'!I47))</f>
        <v>0</v>
      </c>
      <c r="J47" s="492" t="e">
        <f ca="1">IF(DRIVE_Type="Direct",IF('Frame Dimensions - D'!J47="",0,'Frame Dimensions - D'!J47),IF('Frame Dimensions - C'!J47="",0,'Frame Dimensions - C'!J47))</f>
        <v>#REF!</v>
      </c>
      <c r="K47" s="608" t="e">
        <f ca="1">IF(DRIVE_Type="Direct",IF('Frame Dimensions - D'!K47="",0,'Frame Dimensions - D'!K47),IF('Frame Dimensions - C'!K47="",0,'Frame Dimensions - C'!K47))</f>
        <v>#REF!</v>
      </c>
      <c r="L47" s="608" t="e">
        <f ca="1">IF(DRIVE_Type="Direct",IF('Frame Dimensions - D'!L47="",0,'Frame Dimensions - D'!L47),IF('Frame Dimensions - C'!L47="",0,'Frame Dimensions - C'!L47))</f>
        <v>#REF!</v>
      </c>
      <c r="M47" s="609" t="e">
        <f ca="1">IF(DRIVE_Type="Direct",IF('Frame Dimensions - D'!M47="",0,'Frame Dimensions - D'!M47),IF('Frame Dimensions - C'!M47="",0,'Frame Dimensions - C'!M47))</f>
        <v>#REF!</v>
      </c>
      <c r="N47" s="608" t="e">
        <f ca="1">IF(DRIVE_Type="Direct",IF('Frame Dimensions - D'!N47="",0,'Frame Dimensions - D'!N47),IF('Frame Dimensions - C'!N47="",0,'Frame Dimensions - C'!N47))</f>
        <v>#REF!</v>
      </c>
      <c r="O47" s="611" t="e">
        <f ca="1">IF(DRIVE_Type="Direct",IF('Frame Dimensions - D'!O47="",0,'Frame Dimensions - D'!O47),IF('Frame Dimensions - C'!O47="",0,'Frame Dimensions - C'!O47))</f>
        <v>#REF!</v>
      </c>
      <c r="P47" s="584">
        <f>IF(DRIVE_Type="Direct",IF('Frame Dimensions - D'!P47="",0,'Frame Dimensions - D'!P47),IF('Frame Dimensions - C'!P47="",0,'Frame Dimensions - C'!P47))</f>
        <v>0</v>
      </c>
      <c r="Q47" s="1450">
        <f>IF(DRIVE_Type="Direct",IF('Frame Dimensions - D'!Q47="",0,'Frame Dimensions - D'!Q47),IF('Frame Dimensions - C'!Q47="",0,'Frame Dimensions - C'!Q47))</f>
        <v>0</v>
      </c>
      <c r="R47" s="644"/>
      <c r="S47" s="603"/>
      <c r="T47" s="603"/>
      <c r="U47" s="603"/>
      <c r="V47" s="603"/>
      <c r="W47" s="603"/>
      <c r="X47" s="603"/>
      <c r="Y47" s="603"/>
      <c r="Z47" s="603"/>
      <c r="AA47" s="603"/>
      <c r="AB47" s="603"/>
      <c r="AC47" s="603"/>
      <c r="AD47" s="603"/>
      <c r="AE47" s="603"/>
      <c r="AF47" s="603"/>
      <c r="AG47" s="603"/>
      <c r="AH47" s="603"/>
      <c r="AI47" s="603"/>
      <c r="AJ47" s="464"/>
    </row>
    <row r="48" spans="1:36">
      <c r="A48" s="622"/>
      <c r="B48" s="604" t="e">
        <f ca="1">IF(DRIVE_Type="Direct",IF('Frame Dimensions - D'!B48="",0,'Frame Dimensions - D'!B48),IF('Frame Dimensions - C'!B48="",0,'Frame Dimensions - C'!B48))</f>
        <v>#REF!</v>
      </c>
      <c r="C48" s="582">
        <f>IF(DRIVE_Type="Direct",IF('Frame Dimensions - D'!C48="",0,'Frame Dimensions - D'!C48),IF('Frame Dimensions - C'!C48="",0,'Frame Dimensions - C'!C48))</f>
        <v>0</v>
      </c>
      <c r="D48" s="493">
        <f>IF(DRIVE_Type="Direct",IF('Frame Dimensions - D'!D48="",0,'Frame Dimensions - D'!D48),IF('Frame Dimensions - C'!D48="",0,'Frame Dimensions - C'!D48))</f>
        <v>0</v>
      </c>
      <c r="E48" s="493">
        <f>IF(DRIVE_Type="Direct",IF('Frame Dimensions - D'!E48="",0,'Frame Dimensions - D'!E48),IF('Frame Dimensions - C'!E48="",0,'Frame Dimensions - C'!E48))</f>
        <v>0</v>
      </c>
      <c r="F48" s="493">
        <f>IF(DRIVE_Type="Direct",IF('Frame Dimensions - D'!F48="",0,'Frame Dimensions - D'!F48),IF('Frame Dimensions - C'!F48="",0,'Frame Dimensions - C'!F48))</f>
        <v>0</v>
      </c>
      <c r="G48" s="493">
        <f>IF(DRIVE_Type="Direct",IF('Frame Dimensions - D'!G48="",0,'Frame Dimensions - D'!G48),IF('Frame Dimensions - C'!G48="",0,'Frame Dimensions - C'!G48))</f>
        <v>0</v>
      </c>
      <c r="H48" s="493">
        <f>IF(DRIVE_Type="Direct",IF('Frame Dimensions - D'!H48="",0,'Frame Dimensions - D'!H48),IF('Frame Dimensions - C'!H48="",0,'Frame Dimensions - C'!H48))</f>
        <v>0</v>
      </c>
      <c r="I48" s="493">
        <f>IF(DRIVE_Type="Direct",IF('Frame Dimensions - D'!I48="",0,'Frame Dimensions - D'!I48),IF('Frame Dimensions - C'!I48="",0,'Frame Dimensions - C'!I48))</f>
        <v>0</v>
      </c>
      <c r="J48" s="609" t="e">
        <f ca="1">IF(DRIVE_Type="Direct",IF('Frame Dimensions - D'!J48="",0,'Frame Dimensions - D'!J48),IF('Frame Dimensions - C'!J48="",0,'Frame Dimensions - C'!J48))</f>
        <v>#REF!</v>
      </c>
      <c r="K48" s="608" t="e">
        <f ca="1">IF(DRIVE_Type="Direct",IF('Frame Dimensions - D'!K48="",0,'Frame Dimensions - D'!K48),IF('Frame Dimensions - C'!K48="",0,'Frame Dimensions - C'!K48))</f>
        <v>#REF!</v>
      </c>
      <c r="L48" s="608" t="e">
        <f ca="1">IF(DRIVE_Type="Direct",IF('Frame Dimensions - D'!L48="",0,'Frame Dimensions - D'!L48),IF('Frame Dimensions - C'!L48="",0,'Frame Dimensions - C'!L48))</f>
        <v>#REF!</v>
      </c>
      <c r="M48" s="609" t="e">
        <f ca="1">IF(DRIVE_Type="Direct",IF('Frame Dimensions - D'!M48="",0,'Frame Dimensions - D'!M48),IF('Frame Dimensions - C'!M48="",0,'Frame Dimensions - C'!M48))</f>
        <v>#REF!</v>
      </c>
      <c r="N48" s="608" t="e">
        <f ca="1">IF(DRIVE_Type="Direct",IF('Frame Dimensions - D'!N48="",0,'Frame Dimensions - D'!N48),IF('Frame Dimensions - C'!N48="",0,'Frame Dimensions - C'!N48))</f>
        <v>#REF!</v>
      </c>
      <c r="O48" s="611" t="e">
        <f ca="1">IF(DRIVE_Type="Direct",IF('Frame Dimensions - D'!O48="",0,'Frame Dimensions - D'!O48),IF('Frame Dimensions - C'!O48="",0,'Frame Dimensions - C'!O48))</f>
        <v>#REF!</v>
      </c>
      <c r="P48" s="584">
        <f>IF(DRIVE_Type="Direct",IF('Frame Dimensions - D'!P48="",0,'Frame Dimensions - D'!P48),IF('Frame Dimensions - C'!P48="",0,'Frame Dimensions - C'!P48))</f>
        <v>0</v>
      </c>
      <c r="Q48" s="1450">
        <f>IF(DRIVE_Type="Direct",IF('Frame Dimensions - D'!Q48="",0,'Frame Dimensions - D'!Q48),IF('Frame Dimensions - C'!Q48="",0,'Frame Dimensions - C'!Q48))</f>
        <v>0</v>
      </c>
      <c r="R48" s="1189"/>
      <c r="S48" s="603"/>
      <c r="T48" s="603"/>
      <c r="U48" s="603"/>
      <c r="V48" s="603"/>
      <c r="W48" s="603"/>
      <c r="X48" s="603"/>
      <c r="Y48" s="603"/>
      <c r="Z48" s="603"/>
      <c r="AA48" s="603"/>
      <c r="AB48" s="603"/>
      <c r="AC48" s="603"/>
      <c r="AD48" s="603"/>
      <c r="AE48" s="603"/>
      <c r="AF48" s="603"/>
      <c r="AG48" s="603"/>
      <c r="AH48" s="603"/>
      <c r="AI48" s="603"/>
      <c r="AJ48" s="464"/>
    </row>
    <row r="49" spans="1:36">
      <c r="A49" s="1682"/>
      <c r="B49" s="1649" t="e">
        <f ca="1">IF(DRIVE_Type="Direct",IF('Frame Dimensions - D'!B49="",0,'Frame Dimensions - D'!B49),IF('Frame Dimensions - C'!B49="",0,'Frame Dimensions - C'!B49))</f>
        <v>#REF!</v>
      </c>
      <c r="C49" s="580" t="e">
        <f ca="1">IF(DRIVE_Type="Direct",IF('Frame Dimensions - D'!C49="",0,'Frame Dimensions - D'!C49),IF('Frame Dimensions - C'!C49="",0,'Frame Dimensions - C'!C49))</f>
        <v>#REF!</v>
      </c>
      <c r="D49" s="580" t="e">
        <f ca="1">IF(DRIVE_Type="Direct",IF('Frame Dimensions - D'!D49="",0,'Frame Dimensions - D'!D49),IF('Frame Dimensions - C'!D49="",0,'Frame Dimensions - C'!D49))</f>
        <v>#REF!</v>
      </c>
      <c r="E49" s="580" t="e">
        <f ca="1">IF(DRIVE_Type="Direct",IF('Frame Dimensions - D'!E49="",0,'Frame Dimensions - D'!E49),IF('Frame Dimensions - C'!E49="",0,'Frame Dimensions - C'!E49))</f>
        <v>#REF!</v>
      </c>
      <c r="F49" s="580" t="e">
        <f ca="1">IF(DRIVE_Type="Direct",IF('Frame Dimensions - D'!F49="",0,'Frame Dimensions - D'!F49),IF('Frame Dimensions - C'!F49="",0,'Frame Dimensions - C'!F49))</f>
        <v>#REF!</v>
      </c>
      <c r="G49" s="580" t="e">
        <f ca="1">IF(DRIVE_Type="Direct",IF('Frame Dimensions - D'!G49="",0,'Frame Dimensions - D'!G49),IF('Frame Dimensions - C'!G49="",0,'Frame Dimensions - C'!G49))</f>
        <v>#REF!</v>
      </c>
      <c r="H49" s="580">
        <f>IF(DRIVE_Type="Direct",IF('Frame Dimensions - D'!H49="",0,'Frame Dimensions - D'!H49),IF('Frame Dimensions - C'!H49="",0,'Frame Dimensions - C'!H49))</f>
        <v>0</v>
      </c>
      <c r="I49" s="581" t="str">
        <f>IF(DRIVE_Type="Direct",IF('Frame Dimensions - D'!I49="",0,'Frame Dimensions - D'!I49),IF('Frame Dimensions - C'!I49="",0,'Frame Dimensions - C'!I49))</f>
        <v>X+Y-Z-</v>
      </c>
      <c r="J49" s="609" t="e">
        <f ca="1">IF(DRIVE_Type="Direct",IF('Frame Dimensions - D'!J49="",0,'Frame Dimensions - D'!J49),IF('Frame Dimensions - C'!J49="",0,'Frame Dimensions - C'!J49))</f>
        <v>#REF!</v>
      </c>
      <c r="K49" s="608" t="e">
        <f ca="1">IF(DRIVE_Type="Direct",IF('Frame Dimensions - D'!K49="",0,'Frame Dimensions - D'!K49),IF('Frame Dimensions - C'!K49="",0,'Frame Dimensions - C'!K49))</f>
        <v>#REF!</v>
      </c>
      <c r="L49" s="610" t="e">
        <f ca="1">IF(DRIVE_Type="Direct",IF('Frame Dimensions - D'!L49="",0,'Frame Dimensions - D'!L49),IF('Frame Dimensions - C'!L49="",0,'Frame Dimensions - C'!L49))</f>
        <v>#REF!</v>
      </c>
      <c r="M49" s="609" t="e">
        <f ca="1">IF(DRIVE_Type="Direct",IF('Frame Dimensions - D'!M49="",0,'Frame Dimensions - D'!M49),IF('Frame Dimensions - C'!M49="",0,'Frame Dimensions - C'!M49))</f>
        <v>#REF!</v>
      </c>
      <c r="N49" s="608" t="e">
        <f ca="1">IF(DRIVE_Type="Direct",IF('Frame Dimensions - D'!N49="",0,'Frame Dimensions - D'!N49),IF('Frame Dimensions - C'!N49="",0,'Frame Dimensions - C'!N49))</f>
        <v>#REF!</v>
      </c>
      <c r="O49" s="612" t="e">
        <f ca="1">IF(DRIVE_Type="Direct",IF('Frame Dimensions - D'!O49="",0,'Frame Dimensions - D'!O49),IF('Frame Dimensions - C'!O49="",0,'Frame Dimensions - C'!O49))</f>
        <v>#REF!</v>
      </c>
      <c r="P49" s="584" t="e">
        <f ca="1">IF(DRIVE_Type="Direct",IF('Frame Dimensions - D'!P49="",0,'Frame Dimensions - D'!P49),IF('Frame Dimensions - C'!P49="",0,'Frame Dimensions - C'!P49))</f>
        <v>#REF!</v>
      </c>
      <c r="Q49" s="1450" t="e">
        <f ca="1">IF(DRIVE_Type="Direct",IF('Frame Dimensions - D'!Q49="",0,'Frame Dimensions - D'!Q49),IF('Frame Dimensions - C'!Q49="",0,'Frame Dimensions - C'!Q49))</f>
        <v>#REF!</v>
      </c>
      <c r="R49" s="1189"/>
      <c r="S49" s="603"/>
      <c r="T49" s="603"/>
      <c r="U49" s="603"/>
      <c r="V49" s="603"/>
      <c r="W49" s="603"/>
      <c r="X49" s="603"/>
      <c r="Y49" s="603"/>
      <c r="Z49" s="603"/>
      <c r="AA49" s="603"/>
      <c r="AB49" s="603"/>
      <c r="AC49" s="603"/>
      <c r="AD49" s="603"/>
      <c r="AE49" s="603"/>
      <c r="AF49" s="603"/>
      <c r="AG49" s="603"/>
      <c r="AH49" s="603"/>
      <c r="AI49" s="603"/>
      <c r="AJ49" s="464"/>
    </row>
    <row r="50" spans="1:36">
      <c r="A50" s="1680"/>
      <c r="B50" s="604" t="e">
        <f ca="1">IF(DRIVE_Type="Direct",IF('Frame Dimensions - D'!B50="",0,'Frame Dimensions - D'!B50),IF('Frame Dimensions - C'!B50="",0,'Frame Dimensions - C'!B50))</f>
        <v>#REF!</v>
      </c>
      <c r="C50" s="582">
        <f>IF(DRIVE_Type="Direct",IF('Frame Dimensions - D'!C50="",0,'Frame Dimensions - D'!C50),IF('Frame Dimensions - C'!C50="",0,'Frame Dimensions - C'!C50))</f>
        <v>0</v>
      </c>
      <c r="D50" s="493">
        <f>IF(DRIVE_Type="Direct",IF('Frame Dimensions - D'!D50="",0,'Frame Dimensions - D'!D50),IF('Frame Dimensions - C'!D50="",0,'Frame Dimensions - C'!D50))</f>
        <v>0</v>
      </c>
      <c r="E50" s="493">
        <f>IF(DRIVE_Type="Direct",IF('Frame Dimensions - D'!E50="",0,'Frame Dimensions - D'!E50),IF('Frame Dimensions - C'!E50="",0,'Frame Dimensions - C'!E50))</f>
        <v>0</v>
      </c>
      <c r="F50" s="493">
        <f>IF(DRIVE_Type="Direct",IF('Frame Dimensions - D'!F50="",0,'Frame Dimensions - D'!F50),IF('Frame Dimensions - C'!F50="",0,'Frame Dimensions - C'!F50))</f>
        <v>0</v>
      </c>
      <c r="G50" s="493">
        <f>IF(DRIVE_Type="Direct",IF('Frame Dimensions - D'!G50="",0,'Frame Dimensions - D'!G50),IF('Frame Dimensions - C'!G50="",0,'Frame Dimensions - C'!G50))</f>
        <v>0</v>
      </c>
      <c r="H50" s="493">
        <f>IF(DRIVE_Type="Direct",IF('Frame Dimensions - D'!H50="",0,'Frame Dimensions - D'!H50),IF('Frame Dimensions - C'!H50="",0,'Frame Dimensions - C'!H50))</f>
        <v>0</v>
      </c>
      <c r="I50" s="493">
        <f>IF(DRIVE_Type="Direct",IF('Frame Dimensions - D'!I50="",0,'Frame Dimensions - D'!I50),IF('Frame Dimensions - C'!I50="",0,'Frame Dimensions - C'!I50))</f>
        <v>0</v>
      </c>
      <c r="J50" s="609" t="e">
        <f ca="1">IF(DRIVE_Type="Direct",IF('Frame Dimensions - D'!J50="",0,'Frame Dimensions - D'!J50),IF('Frame Dimensions - C'!J50="",0,'Frame Dimensions - C'!J50))</f>
        <v>#REF!</v>
      </c>
      <c r="K50" s="608" t="e">
        <f ca="1">IF(DRIVE_Type="Direct",IF('Frame Dimensions - D'!K50="",0,'Frame Dimensions - D'!K50),IF('Frame Dimensions - C'!K50="",0,'Frame Dimensions - C'!K50))</f>
        <v>#REF!</v>
      </c>
      <c r="L50" s="610" t="e">
        <f ca="1">IF(DRIVE_Type="Direct",IF('Frame Dimensions - D'!L50="",0,'Frame Dimensions - D'!L50),IF('Frame Dimensions - C'!L50="",0,'Frame Dimensions - C'!L50))</f>
        <v>#REF!</v>
      </c>
      <c r="M50" s="609" t="e">
        <f ca="1">IF(DRIVE_Type="Direct",IF('Frame Dimensions - D'!M50="",0,'Frame Dimensions - D'!M50),IF('Frame Dimensions - C'!M50="",0,'Frame Dimensions - C'!M50))</f>
        <v>#REF!</v>
      </c>
      <c r="N50" s="608" t="e">
        <f ca="1">IF(DRIVE_Type="Direct",IF('Frame Dimensions - D'!N50="",0,'Frame Dimensions - D'!N50),IF('Frame Dimensions - C'!N50="",0,'Frame Dimensions - C'!N50))</f>
        <v>#REF!</v>
      </c>
      <c r="O50" s="612" t="e">
        <f ca="1">IF(DRIVE_Type="Direct",IF('Frame Dimensions - D'!O50="",0,'Frame Dimensions - D'!O50),IF('Frame Dimensions - C'!O50="",0,'Frame Dimensions - C'!O50))</f>
        <v>#REF!</v>
      </c>
      <c r="P50" s="602">
        <f>IF(DRIVE_Type="Direct",IF('Frame Dimensions - D'!P50="",0,'Frame Dimensions - D'!P50),IF('Frame Dimensions - C'!P50="",0,'Frame Dimensions - C'!P50))</f>
        <v>0</v>
      </c>
      <c r="Q50" s="1454">
        <f>IF(DRIVE_Type="Direct",IF('Frame Dimensions - D'!Q50="",0,'Frame Dimensions - D'!Q50),IF('Frame Dimensions - C'!Q50="",0,'Frame Dimensions - C'!Q50))</f>
        <v>0</v>
      </c>
      <c r="R50" s="1189"/>
      <c r="S50" s="603"/>
      <c r="T50" s="603"/>
      <c r="U50" s="603"/>
      <c r="V50" s="603"/>
      <c r="W50" s="603"/>
      <c r="X50" s="603"/>
      <c r="Y50" s="603"/>
      <c r="Z50" s="603"/>
      <c r="AA50" s="603"/>
      <c r="AB50" s="603"/>
      <c r="AC50" s="603"/>
      <c r="AD50" s="603"/>
      <c r="AE50" s="603"/>
      <c r="AF50" s="603"/>
      <c r="AG50" s="603"/>
      <c r="AH50" s="603"/>
      <c r="AI50" s="603"/>
      <c r="AJ50" s="464"/>
    </row>
    <row r="51" spans="1:36">
      <c r="A51" s="604"/>
      <c r="B51" s="604" t="e">
        <f ca="1">IF(DRIVE_Type="Direct",IF('Frame Dimensions - D'!B51="",0,'Frame Dimensions - D'!B51),IF('Frame Dimensions - C'!B51="",0,'Frame Dimensions - C'!B51))</f>
        <v>#REF!</v>
      </c>
      <c r="C51" s="582">
        <f>IF(DRIVE_Type="Direct",IF('Frame Dimensions - D'!C51="",0,'Frame Dimensions - D'!C51),IF('Frame Dimensions - C'!C51="",0,'Frame Dimensions - C'!C51))</f>
        <v>0</v>
      </c>
      <c r="D51" s="493">
        <f>IF(DRIVE_Type="Direct",IF('Frame Dimensions - D'!D51="",0,'Frame Dimensions - D'!D51),IF('Frame Dimensions - C'!D51="",0,'Frame Dimensions - C'!D51))</f>
        <v>0</v>
      </c>
      <c r="E51" s="493">
        <f>IF(DRIVE_Type="Direct",IF('Frame Dimensions - D'!E51="",0,'Frame Dimensions - D'!E51),IF('Frame Dimensions - C'!E51="",0,'Frame Dimensions - C'!E51))</f>
        <v>0</v>
      </c>
      <c r="F51" s="493">
        <f>IF(DRIVE_Type="Direct",IF('Frame Dimensions - D'!F51="",0,'Frame Dimensions - D'!F51),IF('Frame Dimensions - C'!F51="",0,'Frame Dimensions - C'!F51))</f>
        <v>0</v>
      </c>
      <c r="G51" s="493">
        <f>IF(DRIVE_Type="Direct",IF('Frame Dimensions - D'!G51="",0,'Frame Dimensions - D'!G51),IF('Frame Dimensions - C'!G51="",0,'Frame Dimensions - C'!G51))</f>
        <v>0</v>
      </c>
      <c r="H51" s="493">
        <f>IF(DRIVE_Type="Direct",IF('Frame Dimensions - D'!H51="",0,'Frame Dimensions - D'!H51),IF('Frame Dimensions - C'!H51="",0,'Frame Dimensions - C'!H51))</f>
        <v>0</v>
      </c>
      <c r="I51" s="493">
        <f>IF(DRIVE_Type="Direct",IF('Frame Dimensions - D'!I51="",0,'Frame Dimensions - D'!I51),IF('Frame Dimensions - C'!I51="",0,'Frame Dimensions - C'!I51))</f>
        <v>0</v>
      </c>
      <c r="J51" s="492" t="e">
        <f ca="1">IF(DRIVE_Type="Direct",IF('Frame Dimensions - D'!J51="",0,'Frame Dimensions - D'!J51),IF('Frame Dimensions - C'!J51="",0,'Frame Dimensions - C'!J51))</f>
        <v>#REF!</v>
      </c>
      <c r="K51" s="608" t="e">
        <f ca="1">IF(DRIVE_Type="Direct",IF('Frame Dimensions - D'!K51="",0,'Frame Dimensions - D'!K51),IF('Frame Dimensions - C'!K51="",0,'Frame Dimensions - C'!K51))</f>
        <v>#REF!</v>
      </c>
      <c r="L51" s="608" t="e">
        <f ca="1">IF(DRIVE_Type="Direct",IF('Frame Dimensions - D'!L51="",0,'Frame Dimensions - D'!L51),IF('Frame Dimensions - C'!L51="",0,'Frame Dimensions - C'!L51))</f>
        <v>#REF!</v>
      </c>
      <c r="M51" s="609" t="e">
        <f ca="1">IF(DRIVE_Type="Direct",IF('Frame Dimensions - D'!M51="",0,'Frame Dimensions - D'!M51),IF('Frame Dimensions - C'!M51="",0,'Frame Dimensions - C'!M51))</f>
        <v>#REF!</v>
      </c>
      <c r="N51" s="608" t="e">
        <f ca="1">IF(DRIVE_Type="Direct",IF('Frame Dimensions - D'!N51="",0,'Frame Dimensions - D'!N51),IF('Frame Dimensions - C'!N51="",0,'Frame Dimensions - C'!N51))</f>
        <v>#REF!</v>
      </c>
      <c r="O51" s="611" t="e">
        <f ca="1">IF(DRIVE_Type="Direct",IF('Frame Dimensions - D'!O51="",0,'Frame Dimensions - D'!O51),IF('Frame Dimensions - C'!O51="",0,'Frame Dimensions - C'!O51))</f>
        <v>#REF!</v>
      </c>
      <c r="P51" s="584">
        <f>IF(DRIVE_Type="Direct",IF('Frame Dimensions - D'!P51="",0,'Frame Dimensions - D'!P51),IF('Frame Dimensions - C'!P51="",0,'Frame Dimensions - C'!P51))</f>
        <v>0</v>
      </c>
      <c r="Q51" s="1450">
        <f>IF(DRIVE_Type="Direct",IF('Frame Dimensions - D'!Q51="",0,'Frame Dimensions - D'!Q51),IF('Frame Dimensions - C'!Q51="",0,'Frame Dimensions - C'!Q51))</f>
        <v>0</v>
      </c>
      <c r="R51" s="644"/>
      <c r="S51" s="603"/>
      <c r="T51" s="603"/>
      <c r="U51" s="603"/>
      <c r="V51" s="603"/>
      <c r="W51" s="603"/>
      <c r="X51" s="603"/>
      <c r="Y51" s="603"/>
      <c r="Z51" s="603"/>
      <c r="AA51" s="603"/>
      <c r="AB51" s="603"/>
      <c r="AC51" s="603"/>
      <c r="AD51" s="603"/>
      <c r="AE51" s="603"/>
      <c r="AF51" s="603"/>
      <c r="AG51" s="603"/>
      <c r="AH51" s="603"/>
      <c r="AI51" s="603"/>
      <c r="AJ51" s="464"/>
    </row>
    <row r="52" spans="1:36">
      <c r="A52" s="604"/>
      <c r="B52" s="604" t="e">
        <f ca="1">IF(DRIVE_Type="Direct",IF('Frame Dimensions - D'!B52="",0,'Frame Dimensions - D'!B52),IF('Frame Dimensions - C'!B52="",0,'Frame Dimensions - C'!B52))</f>
        <v>#REF!</v>
      </c>
      <c r="C52" s="493">
        <f>IF(DRIVE_Type="Direct",IF('Frame Dimensions - D'!C52="",0,'Frame Dimensions - D'!C52),IF('Frame Dimensions - C'!C52="",0,'Frame Dimensions - C'!C52))</f>
        <v>0</v>
      </c>
      <c r="D52" s="493">
        <f>IF(DRIVE_Type="Direct",IF('Frame Dimensions - D'!D52="",0,'Frame Dimensions - D'!D52),IF('Frame Dimensions - C'!D52="",0,'Frame Dimensions - C'!D52))</f>
        <v>0</v>
      </c>
      <c r="E52" s="493">
        <f>IF(DRIVE_Type="Direct",IF('Frame Dimensions - D'!E52="",0,'Frame Dimensions - D'!E52),IF('Frame Dimensions - C'!E52="",0,'Frame Dimensions - C'!E52))</f>
        <v>0</v>
      </c>
      <c r="F52" s="493">
        <f>IF(DRIVE_Type="Direct",IF('Frame Dimensions - D'!F52="",0,'Frame Dimensions - D'!F52),IF('Frame Dimensions - C'!F52="",0,'Frame Dimensions - C'!F52))</f>
        <v>0</v>
      </c>
      <c r="G52" s="493">
        <f>IF(DRIVE_Type="Direct",IF('Frame Dimensions - D'!G52="",0,'Frame Dimensions - D'!G52),IF('Frame Dimensions - C'!G52="",0,'Frame Dimensions - C'!G52))</f>
        <v>0</v>
      </c>
      <c r="H52" s="493">
        <f>IF(DRIVE_Type="Direct",IF('Frame Dimensions - D'!H52="",0,'Frame Dimensions - D'!H52),IF('Frame Dimensions - C'!H52="",0,'Frame Dimensions - C'!H52))</f>
        <v>0</v>
      </c>
      <c r="I52" s="493">
        <f>IF(DRIVE_Type="Direct",IF('Frame Dimensions - D'!I52="",0,'Frame Dimensions - D'!I52),IF('Frame Dimensions - C'!I52="",0,'Frame Dimensions - C'!I52))</f>
        <v>0</v>
      </c>
      <c r="J52" s="609" t="e">
        <f ca="1">IF(DRIVE_Type="Direct",IF('Frame Dimensions - D'!J52="",0,'Frame Dimensions - D'!J52),IF('Frame Dimensions - C'!J52="",0,'Frame Dimensions - C'!J52))</f>
        <v>#REF!</v>
      </c>
      <c r="K52" s="608" t="e">
        <f ca="1">IF(DRIVE_Type="Direct",IF('Frame Dimensions - D'!K52="",0,'Frame Dimensions - D'!K52),IF('Frame Dimensions - C'!K52="",0,'Frame Dimensions - C'!K52))</f>
        <v>#REF!</v>
      </c>
      <c r="L52" s="608" t="e">
        <f ca="1">IF(DRIVE_Type="Direct",IF('Frame Dimensions - D'!L52="",0,'Frame Dimensions - D'!L52),IF('Frame Dimensions - C'!L52="",0,'Frame Dimensions - C'!L52))</f>
        <v>#REF!</v>
      </c>
      <c r="M52" s="609" t="e">
        <f ca="1">IF(DRIVE_Type="Direct",IF('Frame Dimensions - D'!M52="",0,'Frame Dimensions - D'!M52),IF('Frame Dimensions - C'!M52="",0,'Frame Dimensions - C'!M52))</f>
        <v>#REF!</v>
      </c>
      <c r="N52" s="608" t="e">
        <f ca="1">IF(DRIVE_Type="Direct",IF('Frame Dimensions - D'!N52="",0,'Frame Dimensions - D'!N52),IF('Frame Dimensions - C'!N52="",0,'Frame Dimensions - C'!N52))</f>
        <v>#REF!</v>
      </c>
      <c r="O52" s="611" t="e">
        <f ca="1">IF(DRIVE_Type="Direct",IF('Frame Dimensions - D'!O52="",0,'Frame Dimensions - D'!O52),IF('Frame Dimensions - C'!O52="",0,'Frame Dimensions - C'!O52))</f>
        <v>#REF!</v>
      </c>
      <c r="P52" s="584">
        <f>IF(DRIVE_Type="Direct",IF('Frame Dimensions - D'!P52="",0,'Frame Dimensions - D'!P52),IF('Frame Dimensions - C'!P52="",0,'Frame Dimensions - C'!P52))</f>
        <v>0</v>
      </c>
      <c r="Q52" s="1450">
        <f>IF(DRIVE_Type="Direct",IF('Frame Dimensions - D'!Q52="",0,'Frame Dimensions - D'!Q52),IF('Frame Dimensions - C'!Q52="",0,'Frame Dimensions - C'!Q52))</f>
        <v>0</v>
      </c>
      <c r="R52" s="644"/>
      <c r="S52" s="603"/>
      <c r="T52" s="603"/>
      <c r="U52" s="580"/>
      <c r="V52" s="603"/>
      <c r="W52" s="603"/>
      <c r="X52" s="603"/>
      <c r="Y52" s="603"/>
      <c r="Z52" s="603"/>
      <c r="AA52" s="603"/>
      <c r="AB52" s="603"/>
      <c r="AC52" s="603"/>
      <c r="AD52" s="603"/>
      <c r="AE52" s="603"/>
      <c r="AF52" s="603"/>
      <c r="AG52" s="603"/>
      <c r="AH52" s="603"/>
      <c r="AI52" s="603"/>
      <c r="AJ52" s="464"/>
    </row>
    <row r="53" spans="1:36">
      <c r="A53" s="1680"/>
      <c r="B53" s="1540" t="e">
        <f ca="1">IF(DRIVE_Type="Direct",IF('Frame Dimensions - D'!B53="",0,'Frame Dimensions - D'!B53),IF('Frame Dimensions - C'!B53="",0,'Frame Dimensions - C'!B53))</f>
        <v>#REF!</v>
      </c>
      <c r="C53" s="493" t="e">
        <f ca="1">IF(DRIVE_Type="Direct",IF('Frame Dimensions - D'!C53="",0,'Frame Dimensions - D'!C53),IF('Frame Dimensions - C'!C53="",0,'Frame Dimensions - C'!C53))</f>
        <v>#REF!</v>
      </c>
      <c r="D53" s="580" t="e">
        <f ca="1">IF(DRIVE_Type="Direct",IF('Frame Dimensions - D'!D53="",0,'Frame Dimensions - D'!D53),IF('Frame Dimensions - C'!D53="",0,'Frame Dimensions - C'!D53))</f>
        <v>#REF!</v>
      </c>
      <c r="E53" s="580" t="e">
        <f ca="1">IF(DRIVE_Type="Direct",IF('Frame Dimensions - D'!E53="",0,'Frame Dimensions - D'!E53),IF('Frame Dimensions - C'!E53="",0,'Frame Dimensions - C'!E53))</f>
        <v>#REF!</v>
      </c>
      <c r="F53" s="580" t="e">
        <f ca="1">IF(DRIVE_Type="Direct",IF('Frame Dimensions - D'!F53="",0,'Frame Dimensions - D'!F53),IF('Frame Dimensions - C'!F53="",0,'Frame Dimensions - C'!F53))</f>
        <v>#REF!</v>
      </c>
      <c r="G53" s="580" t="e">
        <f ca="1">IF(DRIVE_Type="Direct",IF('Frame Dimensions - D'!G53="",0,'Frame Dimensions - D'!G53),IF('Frame Dimensions - C'!G53="",0,'Frame Dimensions - C'!G53))</f>
        <v>#REF!</v>
      </c>
      <c r="H53" s="580">
        <f>IF(DRIVE_Type="Direct",IF('Frame Dimensions - D'!H53="",0,'Frame Dimensions - D'!H53),IF('Frame Dimensions - C'!H53="",0,'Frame Dimensions - C'!H53))</f>
        <v>0</v>
      </c>
      <c r="I53" s="603" t="str">
        <f>IF(DRIVE_Type="Direct",IF('Frame Dimensions - D'!I53="",0,'Frame Dimensions - D'!I53),IF('Frame Dimensions - C'!I53="",0,'Frame Dimensions - C'!I53))</f>
        <v>X-Y+Z+</v>
      </c>
      <c r="J53" s="609" t="e">
        <f ca="1">IF(DRIVE_Type="Direct",IF('Frame Dimensions - D'!J53="",0,'Frame Dimensions - D'!J53),IF('Frame Dimensions - C'!J53="",0,'Frame Dimensions - C'!J53))</f>
        <v>#REF!</v>
      </c>
      <c r="K53" s="580" t="e">
        <f ca="1">IF(DRIVE_Type="Direct",IF('Frame Dimensions - D'!K53="",0,'Frame Dimensions - D'!K53),IF('Frame Dimensions - C'!K53="",0,'Frame Dimensions - C'!K53))</f>
        <v>#REF!</v>
      </c>
      <c r="L53" s="600" t="e">
        <f ca="1">IF(DRIVE_Type="Direct",IF('Frame Dimensions - D'!L53="",0,'Frame Dimensions - D'!L53),IF('Frame Dimensions - C'!L53="",0,'Frame Dimensions - C'!L53))</f>
        <v>#REF!</v>
      </c>
      <c r="M53" s="609" t="e">
        <f ca="1">IF(DRIVE_Type="Direct",IF('Frame Dimensions - D'!M53="",0,'Frame Dimensions - D'!M53),IF('Frame Dimensions - C'!M53="",0,'Frame Dimensions - C'!M53))</f>
        <v>#REF!</v>
      </c>
      <c r="N53" s="580" t="e">
        <f ca="1">IF(DRIVE_Type="Direct",IF('Frame Dimensions - D'!N53="",0,'Frame Dimensions - D'!N53),IF('Frame Dimensions - C'!N53="",0,'Frame Dimensions - C'!N53))</f>
        <v>#REF!</v>
      </c>
      <c r="O53" s="1412" t="e">
        <f ca="1">IF(DRIVE_Type="Direct",IF('Frame Dimensions - D'!O53="",0,'Frame Dimensions - D'!O53),IF('Frame Dimensions - C'!O53="",0,'Frame Dimensions - C'!O53))</f>
        <v>#REF!</v>
      </c>
      <c r="P53" s="584" t="e">
        <f ca="1">IF(DRIVE_Type="Direct",IF('Frame Dimensions - D'!P53="",0,'Frame Dimensions - D'!P53),IF('Frame Dimensions - C'!P53="",0,'Frame Dimensions - C'!P53))</f>
        <v>#REF!</v>
      </c>
      <c r="Q53" s="1450" t="e">
        <f ca="1">IF(DRIVE_Type="Direct",IF('Frame Dimensions - D'!Q53="",0,'Frame Dimensions - D'!Q53),IF('Frame Dimensions - C'!Q53="",0,'Frame Dimensions - C'!Q53))</f>
        <v>#REF!</v>
      </c>
      <c r="R53" s="3143" t="s">
        <v>4156</v>
      </c>
      <c r="S53" s="603"/>
      <c r="T53" s="603"/>
      <c r="U53" s="603"/>
      <c r="V53" s="603"/>
      <c r="W53" s="603"/>
      <c r="X53" s="603"/>
      <c r="Y53" s="603"/>
      <c r="Z53" s="603"/>
      <c r="AA53" s="603"/>
      <c r="AB53" s="603"/>
      <c r="AC53" s="603"/>
      <c r="AD53" s="603"/>
      <c r="AE53" s="603"/>
      <c r="AF53" s="603"/>
      <c r="AG53" s="603"/>
      <c r="AH53" s="603"/>
      <c r="AI53" s="603"/>
      <c r="AJ53" s="464"/>
    </row>
    <row r="54" spans="1:36">
      <c r="A54" s="1680"/>
      <c r="B54" s="1648" t="e">
        <f ca="1">IF(DRIVE_Type="Direct",IF('Frame Dimensions - D'!B54="",0,'Frame Dimensions - D'!B54),IF('Frame Dimensions - C'!B54="",0,'Frame Dimensions - C'!B54))</f>
        <v>#REF!</v>
      </c>
      <c r="C54" s="580">
        <f>IF(DRIVE_Type="Direct",IF('Frame Dimensions - D'!C54="",0,'Frame Dimensions - D'!C54),IF('Frame Dimensions - C'!C54="",0,'Frame Dimensions - C'!C54))</f>
        <v>0</v>
      </c>
      <c r="D54" s="580"/>
      <c r="E54" s="580">
        <f>IF(DRIVE_Type="Direct",IF('Frame Dimensions - D'!E54="",0,'Frame Dimensions - D'!E54),IF('Frame Dimensions - C'!E54="",0,'Frame Dimensions - C'!E54))</f>
        <v>0</v>
      </c>
      <c r="F54" s="580">
        <f>IF(DRIVE_Type="Direct",IF('Frame Dimensions - D'!F54="",0,'Frame Dimensions - D'!F54),IF('Frame Dimensions - C'!F54="",0,'Frame Dimensions - C'!F54))</f>
        <v>0</v>
      </c>
      <c r="G54" s="580">
        <f>IF(DRIVE_Type="Direct",IF('Frame Dimensions - D'!G54="",0,'Frame Dimensions - D'!G54),IF('Frame Dimensions - C'!G54="",0,'Frame Dimensions - C'!G54))</f>
        <v>0</v>
      </c>
      <c r="H54" s="580">
        <f>IF(DRIVE_Type="Direct",IF('Frame Dimensions - D'!H54="",0,'Frame Dimensions - D'!H54),IF('Frame Dimensions - C'!H54="",0,'Frame Dimensions - C'!H54))</f>
        <v>0</v>
      </c>
      <c r="I54" s="603">
        <f>IF(DRIVE_Type="Direct",IF('Frame Dimensions - D'!I54="",0,'Frame Dimensions - D'!I54),IF('Frame Dimensions - C'!I54="",0,'Frame Dimensions - C'!I54))</f>
        <v>0</v>
      </c>
      <c r="J54" s="609" t="e">
        <f ca="1">IF(DRIVE_Type="Direct",IF('Frame Dimensions - D'!J54="",0,'Frame Dimensions - D'!J54),IF('Frame Dimensions - C'!J54="",0,'Frame Dimensions - C'!J54))</f>
        <v>#REF!</v>
      </c>
      <c r="K54" s="580" t="e">
        <f ca="1">IF(DRIVE_Type="Direct",IF('Frame Dimensions - D'!K54="",0,'Frame Dimensions - D'!K54),IF('Frame Dimensions - C'!K54="",0,'Frame Dimensions - C'!K54))</f>
        <v>#REF!</v>
      </c>
      <c r="L54" s="600" t="e">
        <f ca="1">IF(DRIVE_Type="Direct",IF('Frame Dimensions - D'!L54="",0,'Frame Dimensions - D'!L54),IF('Frame Dimensions - C'!L54="",0,'Frame Dimensions - C'!L54))</f>
        <v>#REF!</v>
      </c>
      <c r="M54" s="609" t="e">
        <f ca="1">IF(DRIVE_Type="Direct",IF('Frame Dimensions - D'!M54="",0,'Frame Dimensions - D'!M54),IF('Frame Dimensions - C'!M54="",0,'Frame Dimensions - C'!M54))</f>
        <v>#REF!</v>
      </c>
      <c r="N54" s="580" t="e">
        <f ca="1">IF(DRIVE_Type="Direct",IF('Frame Dimensions - D'!N54="",0,'Frame Dimensions - D'!N54),IF('Frame Dimensions - C'!N54="",0,'Frame Dimensions - C'!N54))</f>
        <v>#REF!</v>
      </c>
      <c r="O54" s="1412" t="e">
        <f ca="1">IF(DRIVE_Type="Direct",IF('Frame Dimensions - D'!O54="",0,'Frame Dimensions - D'!O54),IF('Frame Dimensions - C'!O54="",0,'Frame Dimensions - C'!O54))</f>
        <v>#REF!</v>
      </c>
      <c r="P54" s="602">
        <f>IF(DRIVE_Type="Direct",IF('Frame Dimensions - D'!P54="",0,'Frame Dimensions - D'!P54),IF('Frame Dimensions - C'!P54="",0,'Frame Dimensions - C'!P54))</f>
        <v>0</v>
      </c>
      <c r="Q54" s="1454">
        <f>IF(DRIVE_Type="Direct",IF('Frame Dimensions - D'!Q54="",0,'Frame Dimensions - D'!Q54),IF('Frame Dimensions - C'!Q54="",0,'Frame Dimensions - C'!Q54))</f>
        <v>0</v>
      </c>
      <c r="R54" s="644"/>
      <c r="S54" s="603"/>
      <c r="T54" s="603"/>
      <c r="U54" s="603"/>
      <c r="V54" s="603"/>
      <c r="W54" s="603"/>
      <c r="X54" s="603"/>
      <c r="Y54" s="603"/>
      <c r="Z54" s="603"/>
      <c r="AA54" s="603"/>
      <c r="AB54" s="603"/>
      <c r="AC54" s="603"/>
      <c r="AD54" s="603"/>
      <c r="AE54" s="603"/>
      <c r="AF54" s="603"/>
      <c r="AG54" s="603"/>
      <c r="AH54" s="603"/>
      <c r="AI54" s="603"/>
      <c r="AJ54" s="464"/>
    </row>
    <row r="55" spans="1:36">
      <c r="A55" s="604"/>
      <c r="B55" s="1648" t="e">
        <f ca="1">IF(DRIVE_Type="Direct",IF('Frame Dimensions - D'!B55="",0,'Frame Dimensions - D'!B55),IF('Frame Dimensions - C'!B55="",0,'Frame Dimensions - C'!B55))</f>
        <v>#REF!</v>
      </c>
      <c r="C55" s="493">
        <f>IF(DRIVE_Type="Direct",IF('Frame Dimensions - D'!C55="",0,'Frame Dimensions - D'!C55),IF('Frame Dimensions - C'!C55="",0,'Frame Dimensions - C'!C55))</f>
        <v>0</v>
      </c>
      <c r="D55" s="580">
        <f>IF(DRIVE_Type="Direct",IF('Frame Dimensions - D'!D55="",0,'Frame Dimensions - D'!D55),IF('Frame Dimensions - C'!D55="",0,'Frame Dimensions - C'!D55))</f>
        <v>0</v>
      </c>
      <c r="E55" s="580">
        <f>IF(DRIVE_Type="Direct",IF('Frame Dimensions - D'!E55="",0,'Frame Dimensions - D'!E55),IF('Frame Dimensions - C'!E55="",0,'Frame Dimensions - C'!E55))</f>
        <v>0</v>
      </c>
      <c r="F55" s="580">
        <f>IF(DRIVE_Type="Direct",IF('Frame Dimensions - D'!F55="",0,'Frame Dimensions - D'!F55),IF('Frame Dimensions - C'!F55="",0,'Frame Dimensions - C'!F55))</f>
        <v>0</v>
      </c>
      <c r="G55" s="580">
        <f>IF(DRIVE_Type="Direct",IF('Frame Dimensions - D'!G55="",0,'Frame Dimensions - D'!G55),IF('Frame Dimensions - C'!G55="",0,'Frame Dimensions - C'!G55))</f>
        <v>0</v>
      </c>
      <c r="H55" s="580">
        <f>IF(DRIVE_Type="Direct",IF('Frame Dimensions - D'!H55="",0,'Frame Dimensions - D'!H55),IF('Frame Dimensions - C'!H55="",0,'Frame Dimensions - C'!H55))</f>
        <v>0</v>
      </c>
      <c r="I55" s="603">
        <f>IF(DRIVE_Type="Direct",IF('Frame Dimensions - D'!I55="",0,'Frame Dimensions - D'!I55),IF('Frame Dimensions - C'!I55="",0,'Frame Dimensions - C'!I55))</f>
        <v>0</v>
      </c>
      <c r="J55" s="1920" t="e">
        <f ca="1">IF(DRIVE_Type="Direct",IF('Frame Dimensions - D'!J55="",0,'Frame Dimensions - D'!J55),IF('Frame Dimensions - C'!J55="",0,'Frame Dimensions - C'!J55))</f>
        <v>#REF!</v>
      </c>
      <c r="K55" s="1918" t="e">
        <f ca="1">IF(DRIVE_Type="Direct",IF('Frame Dimensions - D'!K55="",0,'Frame Dimensions - D'!K55),IF('Frame Dimensions - C'!K55="",0,'Frame Dimensions - C'!K55))</f>
        <v>#REF!</v>
      </c>
      <c r="L55" s="1918" t="e">
        <f ca="1">IF(DRIVE_Type="Direct",IF('Frame Dimensions - D'!L55="",0,'Frame Dimensions - D'!L55),IF('Frame Dimensions - C'!L55="",0,'Frame Dimensions - C'!L55))</f>
        <v>#REF!</v>
      </c>
      <c r="M55" s="1917" t="e">
        <f ca="1">IF(DRIVE_Type="Direct",IF('Frame Dimensions - D'!M55="",0,'Frame Dimensions - D'!M55),IF('Frame Dimensions - C'!M55="",0,'Frame Dimensions - C'!M55))</f>
        <v>#REF!</v>
      </c>
      <c r="N55" s="1918" t="e">
        <f ca="1">IF(DRIVE_Type="Direct",IF('Frame Dimensions - D'!N55="",0,'Frame Dimensions - D'!N55),IF('Frame Dimensions - C'!N55="",0,'Frame Dimensions - C'!N55))</f>
        <v>#REF!</v>
      </c>
      <c r="O55" s="1919" t="e">
        <f ca="1">IF(DRIVE_Type="Direct",IF('Frame Dimensions - D'!O55="",0,'Frame Dimensions - D'!O55),IF('Frame Dimensions - C'!O55="",0,'Frame Dimensions - C'!O55))</f>
        <v>#REF!</v>
      </c>
      <c r="P55" s="584">
        <f>IF(DRIVE_Type="Direct",IF('Frame Dimensions - D'!P55="",0,'Frame Dimensions - D'!P55),IF('Frame Dimensions - C'!P55="",0,'Frame Dimensions - C'!P55))</f>
        <v>0</v>
      </c>
      <c r="Q55" s="1450">
        <f>IF(DRIVE_Type="Direct",IF('Frame Dimensions - D'!Q55="",0,'Frame Dimensions - D'!Q55),IF('Frame Dimensions - C'!Q55="",0,'Frame Dimensions - C'!Q55))</f>
        <v>0</v>
      </c>
      <c r="R55" s="644"/>
      <c r="S55" s="603"/>
      <c r="T55" s="603"/>
      <c r="U55" s="603"/>
      <c r="V55" s="603"/>
      <c r="W55" s="603"/>
      <c r="X55" s="603"/>
      <c r="Y55" s="603"/>
      <c r="Z55" s="603"/>
      <c r="AA55" s="603"/>
      <c r="AB55" s="603"/>
      <c r="AC55" s="603"/>
      <c r="AD55" s="603"/>
      <c r="AE55" s="603"/>
      <c r="AF55" s="603"/>
      <c r="AG55" s="603"/>
      <c r="AH55" s="603"/>
      <c r="AI55" s="603"/>
      <c r="AJ55" s="464"/>
    </row>
    <row r="56" spans="1:36">
      <c r="A56" s="604"/>
      <c r="B56" s="1541" t="e">
        <f ca="1">IF(DRIVE_Type="Direct",IF('Frame Dimensions - D'!B56="",0,'Frame Dimensions - D'!B56),IF('Frame Dimensions - C'!B56="",0,'Frame Dimensions - C'!B56))</f>
        <v>#REF!</v>
      </c>
      <c r="C56" s="479">
        <f>IF(DRIVE_Type="Direct",IF('Frame Dimensions - D'!C56="",0,'Frame Dimensions - D'!C56),IF('Frame Dimensions - C'!C56="",0,'Frame Dimensions - C'!C56))</f>
        <v>0</v>
      </c>
      <c r="D56" s="479">
        <f>IF(DRIVE_Type="Direct",IF('Frame Dimensions - D'!D56="",0,'Frame Dimensions - D'!D56),IF('Frame Dimensions - C'!D56="",0,'Frame Dimensions - C'!D56))</f>
        <v>0</v>
      </c>
      <c r="E56" s="479">
        <f>IF(DRIVE_Type="Direct",IF('Frame Dimensions - D'!E56="",0,'Frame Dimensions - D'!E56),IF('Frame Dimensions - C'!E56="",0,'Frame Dimensions - C'!E56))</f>
        <v>0</v>
      </c>
      <c r="F56" s="479">
        <f>IF(DRIVE_Type="Direct",IF('Frame Dimensions - D'!F56="",0,'Frame Dimensions - D'!F56),IF('Frame Dimensions - C'!F56="",0,'Frame Dimensions - C'!F56))</f>
        <v>0</v>
      </c>
      <c r="G56" s="479">
        <f>IF(DRIVE_Type="Direct",IF('Frame Dimensions - D'!G56="",0,'Frame Dimensions - D'!G56),IF('Frame Dimensions - C'!G56="",0,'Frame Dimensions - C'!G56))</f>
        <v>0</v>
      </c>
      <c r="H56" s="479">
        <f>IF(DRIVE_Type="Direct",IF('Frame Dimensions - D'!H56="",0,'Frame Dimensions - D'!H56),IF('Frame Dimensions - C'!H56="",0,'Frame Dimensions - C'!H56))</f>
        <v>0</v>
      </c>
      <c r="I56" s="479">
        <f>IF(DRIVE_Type="Direct",IF('Frame Dimensions - D'!I56="",0,'Frame Dimensions - D'!I56),IF('Frame Dimensions - C'!I56="",0,'Frame Dimensions - C'!I56))</f>
        <v>0</v>
      </c>
      <c r="J56" s="618" t="e">
        <f ca="1">IF(DRIVE_Type="Direct",IF('Frame Dimensions - D'!J56="",0,'Frame Dimensions - D'!J56),IF('Frame Dimensions - C'!J56="",0,'Frame Dimensions - C'!J56))</f>
        <v>#REF!</v>
      </c>
      <c r="K56" s="616" t="e">
        <f ca="1">IF(DRIVE_Type="Direct",IF('Frame Dimensions - D'!K56="",0,'Frame Dimensions - D'!K56),IF('Frame Dimensions - C'!K56="",0,'Frame Dimensions - C'!K56))</f>
        <v>#REF!</v>
      </c>
      <c r="L56" s="616" t="e">
        <f ca="1">IF(DRIVE_Type="Direct",IF('Frame Dimensions - D'!L56="",0,'Frame Dimensions - D'!L56),IF('Frame Dimensions - C'!L56="",0,'Frame Dimensions - C'!L56))</f>
        <v>#REF!</v>
      </c>
      <c r="M56" s="618" t="e">
        <f ca="1">IF(DRIVE_Type="Direct",IF('Frame Dimensions - D'!M56="",0,'Frame Dimensions - D'!M56),IF('Frame Dimensions - C'!M56="",0,'Frame Dimensions - C'!M56))</f>
        <v>#REF!</v>
      </c>
      <c r="N56" s="616" t="e">
        <f ca="1">IF(DRIVE_Type="Direct",IF('Frame Dimensions - D'!N56="",0,'Frame Dimensions - D'!N56),IF('Frame Dimensions - C'!N56="",0,'Frame Dimensions - C'!N56))</f>
        <v>#REF!</v>
      </c>
      <c r="O56" s="634" t="e">
        <f ca="1">IF(DRIVE_Type="Direct",IF('Frame Dimensions - D'!O56="",0,'Frame Dimensions - D'!O56),IF('Frame Dimensions - C'!O56="",0,'Frame Dimensions - C'!O56))</f>
        <v>#REF!</v>
      </c>
      <c r="P56" s="605">
        <f>IF(DRIVE_Type="Direct",IF('Frame Dimensions - D'!P56="",0,'Frame Dimensions - D'!P56),IF('Frame Dimensions - C'!P56="",0,'Frame Dimensions - C'!P56))</f>
        <v>0</v>
      </c>
      <c r="Q56" s="1455">
        <f>IF(DRIVE_Type="Direct",IF('Frame Dimensions - D'!Q56="",0,'Frame Dimensions - D'!Q56),IF('Frame Dimensions - C'!Q56="",0,'Frame Dimensions - C'!Q56))</f>
        <v>0</v>
      </c>
      <c r="R56" s="644"/>
      <c r="S56" s="603"/>
      <c r="T56" s="603"/>
      <c r="U56" s="603"/>
      <c r="V56" s="603"/>
      <c r="W56" s="603"/>
      <c r="X56" s="603"/>
      <c r="Y56" s="603"/>
      <c r="Z56" s="603"/>
      <c r="AA56" s="603"/>
      <c r="AB56" s="603"/>
      <c r="AC56" s="603"/>
      <c r="AD56" s="603"/>
      <c r="AE56" s="603"/>
      <c r="AF56" s="603"/>
      <c r="AG56" s="603"/>
      <c r="AH56" s="603"/>
      <c r="AI56" s="603"/>
      <c r="AJ56" s="464"/>
    </row>
    <row r="57" spans="1:36">
      <c r="A57" s="1643">
        <f>IF(DRIVE_Type="Direct",IF('Frame Dimensions - D'!A57="",0,'Frame Dimensions - D'!A57),IF('Frame Dimensions - C'!A57="",0,'Frame Dimensions - C'!A57))</f>
        <v>0</v>
      </c>
      <c r="B57" s="1902">
        <f>IF(DRIVE_Type="Direct",IF('Frame Dimensions - D'!B57="",0,'Frame Dimensions - D'!B57),IF('Frame Dimensions - C'!B57="",0,'Frame Dimensions - C'!B57))</f>
        <v>0</v>
      </c>
      <c r="C57" s="580">
        <f>IF(DRIVE_Type="Direct",IF('Frame Dimensions - D'!C57="",0,'Frame Dimensions - D'!C57),IF('Frame Dimensions - C'!C57="",0,'Frame Dimensions - C'!C57))</f>
        <v>0</v>
      </c>
      <c r="D57" s="587">
        <f>IF(DRIVE_Type="Direct",IF('Frame Dimensions - D'!D57="",0,'Frame Dimensions - D'!D57),IF('Frame Dimensions - C'!D57="",0,'Frame Dimensions - C'!D57))</f>
        <v>0</v>
      </c>
      <c r="E57" s="587">
        <f>IF(DRIVE_Type="Direct",IF('Frame Dimensions - D'!E57="",0,'Frame Dimensions - D'!E57),IF('Frame Dimensions - C'!E57="",0,'Frame Dimensions - C'!E57))</f>
        <v>0</v>
      </c>
      <c r="F57" s="587">
        <f>IF(DRIVE_Type="Direct",IF('Frame Dimensions - D'!F57="",0,'Frame Dimensions - D'!F57),IF('Frame Dimensions - C'!F57="",0,'Frame Dimensions - C'!F57))</f>
        <v>0</v>
      </c>
      <c r="G57" s="484">
        <f>IF(DRIVE_Type="Direct",IF('Frame Dimensions - D'!G57="",0,'Frame Dimensions - D'!G57),IF('Frame Dimensions - C'!G57="",0,'Frame Dimensions - C'!G57))</f>
        <v>0</v>
      </c>
      <c r="H57" s="484">
        <f>IF(DRIVE_Type="Direct",IF('Frame Dimensions - D'!H57="",0,'Frame Dimensions - D'!H57),IF('Frame Dimensions - C'!H57="",0,'Frame Dimensions - C'!H57))</f>
        <v>0</v>
      </c>
      <c r="I57" s="1643">
        <f>IF(DRIVE_Type="Direct",IF('Frame Dimensions - D'!I57="",0,'Frame Dimensions - D'!I57),IF('Frame Dimensions - C'!I57="",0,'Frame Dimensions - C'!I57))</f>
        <v>0</v>
      </c>
      <c r="J57" s="630">
        <f>IF(DRIVE_Type="Direct",IF('Frame Dimensions - D'!J57="",0,'Frame Dimensions - D'!J57),IF('Frame Dimensions - C'!J57="",0,'Frame Dimensions - C'!J57))</f>
        <v>0</v>
      </c>
      <c r="K57" s="587">
        <f>IF(DRIVE_Type="Direct",IF('Frame Dimensions - D'!K57="",0,'Frame Dimensions - D'!K57),IF('Frame Dimensions - C'!K57="",0,'Frame Dimensions - C'!K57))</f>
        <v>0</v>
      </c>
      <c r="L57" s="1903">
        <f>IF(DRIVE_Type="Direct",IF('Frame Dimensions - D'!L57="",0,'Frame Dimensions - D'!L57),IF('Frame Dimensions - C'!L57="",0,'Frame Dimensions - C'!L57))</f>
        <v>0</v>
      </c>
      <c r="M57" s="615">
        <f>IF(DRIVE_Type="Direct",IF('Frame Dimensions - D'!M57="",0,'Frame Dimensions - D'!M57),IF('Frame Dimensions - C'!M57="",0,'Frame Dimensions - C'!M57))</f>
        <v>0</v>
      </c>
      <c r="N57" s="613">
        <f>IF(DRIVE_Type="Direct",IF('Frame Dimensions - D'!N57="",0,'Frame Dimensions - D'!N57),IF('Frame Dimensions - C'!N57="",0,'Frame Dimensions - C'!N57))</f>
        <v>0</v>
      </c>
      <c r="O57" s="1171">
        <f>IF(DRIVE_Type="Direct",IF('Frame Dimensions - D'!O57="",0,'Frame Dimensions - D'!O57),IF('Frame Dimensions - C'!O57="",0,'Frame Dimensions - C'!O57))</f>
        <v>0</v>
      </c>
      <c r="P57" s="632">
        <f>IF(DRIVE_Type="Direct",IF('Frame Dimensions - D'!P57="",0,'Frame Dimensions - D'!P57),IF('Frame Dimensions - C'!P57="",0,'Frame Dimensions - C'!P57))</f>
        <v>0</v>
      </c>
      <c r="Q57" s="1456">
        <f>IF(DRIVE_Type="Direct",IF('Frame Dimensions - D'!Q57="",0,'Frame Dimensions - D'!Q57),IF('Frame Dimensions - C'!Q57="",0,'Frame Dimensions - C'!Q57))</f>
        <v>0</v>
      </c>
      <c r="R57" s="1189"/>
      <c r="S57" s="603"/>
      <c r="T57" s="603"/>
      <c r="U57" s="603"/>
      <c r="V57" s="603"/>
      <c r="W57" s="603"/>
      <c r="X57" s="603"/>
      <c r="Y57" s="603"/>
      <c r="Z57" s="603"/>
      <c r="AA57" s="603"/>
      <c r="AB57" s="603"/>
      <c r="AC57" s="603"/>
      <c r="AD57" s="603"/>
      <c r="AE57" s="603"/>
      <c r="AF57" s="603"/>
      <c r="AG57" s="603"/>
      <c r="AH57" s="603"/>
      <c r="AI57" s="603"/>
      <c r="AJ57" s="464"/>
    </row>
    <row r="58" spans="1:36">
      <c r="B58" s="585">
        <f>IF(DRIVE_Type="Direct",IF('Frame Dimensions - D'!B58="",0,'Frame Dimensions - D'!B58),IF('Frame Dimensions - C'!B58="",0,'Frame Dimensions - C'!B58))</f>
        <v>0</v>
      </c>
      <c r="C58" s="600">
        <f>IF(DRIVE_Type="Direct",IF('Frame Dimensions - D'!C58="",0,'Frame Dimensions - D'!C58),IF('Frame Dimensions - C'!C58="",0,'Frame Dimensions - C'!C58))</f>
        <v>0</v>
      </c>
      <c r="D58" s="580">
        <f>IF(DRIVE_Type="Direct",IF('Frame Dimensions - D'!D58="",0,'Frame Dimensions - D'!D58),IF('Frame Dimensions - C'!D58="",0,'Frame Dimensions - C'!D58))</f>
        <v>0</v>
      </c>
      <c r="E58" s="493">
        <f>IF(DRIVE_Type="Direct",IF('Frame Dimensions - D'!E58="",0,'Frame Dimensions - D'!E58),IF('Frame Dimensions - C'!E58="",0,'Frame Dimensions - C'!E58))</f>
        <v>0</v>
      </c>
      <c r="F58" s="493">
        <f>IF(DRIVE_Type="Direct",IF('Frame Dimensions - D'!F58="",0,'Frame Dimensions - D'!F58),IF('Frame Dimensions - C'!F58="",0,'Frame Dimensions - C'!F58))</f>
        <v>0</v>
      </c>
      <c r="G58" s="493">
        <f>IF(DRIVE_Type="Direct",IF('Frame Dimensions - D'!G58="",0,'Frame Dimensions - D'!G58),IF('Frame Dimensions - C'!G58="",0,'Frame Dimensions - C'!G58))</f>
        <v>0</v>
      </c>
      <c r="H58" s="493">
        <f>IF(DRIVE_Type="Direct",IF('Frame Dimensions - D'!H58="",0,'Frame Dimensions - D'!H58),IF('Frame Dimensions - C'!H58="",0,'Frame Dimensions - C'!H58))</f>
        <v>0</v>
      </c>
      <c r="I58" s="493">
        <f>IF(DRIVE_Type="Direct",IF('Frame Dimensions - D'!I58="",0,'Frame Dimensions - D'!I58),IF('Frame Dimensions - C'!I58="",0,'Frame Dimensions - C'!I58))</f>
        <v>0</v>
      </c>
      <c r="J58" s="609">
        <f>IF(DRIVE_Type="Direct",IF('Frame Dimensions - D'!J58="",0,'Frame Dimensions - D'!J58),IF('Frame Dimensions - C'!J58="",0,'Frame Dimensions - C'!J58))</f>
        <v>0</v>
      </c>
      <c r="K58" s="493">
        <f>IF(DRIVE_Type="Direct",IF('Frame Dimensions - D'!K58="",0,'Frame Dimensions - D'!K58),IF('Frame Dimensions - C'!K58="",0,'Frame Dimensions - C'!K58))</f>
        <v>0</v>
      </c>
      <c r="L58" s="582">
        <f>IF(DRIVE_Type="Direct",IF('Frame Dimensions - D'!L58="",0,'Frame Dimensions - D'!L58),IF('Frame Dimensions - C'!L58="",0,'Frame Dimensions - C'!L58))</f>
        <v>0</v>
      </c>
      <c r="M58" s="609">
        <f>IF(DRIVE_Type="Direct",IF('Frame Dimensions - D'!M58="",0,'Frame Dimensions - D'!M58),IF('Frame Dimensions - C'!M58="",0,'Frame Dimensions - C'!M58))</f>
        <v>0</v>
      </c>
      <c r="N58" s="608">
        <f>IF(DRIVE_Type="Direct",IF('Frame Dimensions - D'!N58="",0,'Frame Dimensions - D'!N58),IF('Frame Dimensions - C'!N58="",0,'Frame Dimensions - C'!N58))</f>
        <v>0</v>
      </c>
      <c r="O58" s="583">
        <f>IF(DRIVE_Type="Direct",IF('Frame Dimensions - D'!O58="",0,'Frame Dimensions - D'!O58),IF('Frame Dimensions - C'!O58="",0,'Frame Dimensions - C'!O58))</f>
        <v>0</v>
      </c>
      <c r="P58" s="584">
        <f>IF(DRIVE_Type="Direct",IF('Frame Dimensions - D'!P58="",0,'Frame Dimensions - D'!P58),IF('Frame Dimensions - C'!P58="",0,'Frame Dimensions - C'!P58))</f>
        <v>0</v>
      </c>
      <c r="Q58" s="1450">
        <f>IF(DRIVE_Type="Direct",IF('Frame Dimensions - D'!Q58="",0,'Frame Dimensions - D'!Q58),IF('Frame Dimensions - C'!Q58="",0,'Frame Dimensions - C'!Q58))</f>
        <v>0</v>
      </c>
      <c r="R58" s="1502"/>
      <c r="S58" s="603"/>
      <c r="T58" s="572"/>
      <c r="U58" s="572"/>
      <c r="V58" s="572"/>
      <c r="W58" s="603"/>
      <c r="X58" s="603"/>
      <c r="Y58" s="603"/>
      <c r="Z58" s="603"/>
      <c r="AA58" s="603"/>
      <c r="AB58" s="603"/>
      <c r="AC58" s="603"/>
      <c r="AD58" s="603"/>
      <c r="AE58" s="603"/>
      <c r="AF58" s="603"/>
      <c r="AG58" s="603"/>
      <c r="AH58" s="603"/>
      <c r="AI58" s="603"/>
      <c r="AJ58" s="464"/>
    </row>
    <row r="59" spans="1:36">
      <c r="A59" s="622"/>
      <c r="B59" s="604">
        <f>IF(DRIVE_Type="Direct",IF('Frame Dimensions - D'!B59="",0,'Frame Dimensions - D'!B59),IF('Frame Dimensions - C'!B59="",0,'Frame Dimensions - C'!B59))</f>
        <v>0</v>
      </c>
      <c r="C59" s="600">
        <f>IF(DRIVE_Type="Direct",IF('Frame Dimensions - D'!C59="",0,'Frame Dimensions - D'!C59),IF('Frame Dimensions - C'!C59="",0,'Frame Dimensions - C'!C59))</f>
        <v>0</v>
      </c>
      <c r="D59" s="580">
        <f>IF(DRIVE_Type="Direct",IF('Frame Dimensions - D'!D59="",0,'Frame Dimensions - D'!D59),IF('Frame Dimensions - C'!D59="",0,'Frame Dimensions - C'!D59))</f>
        <v>0</v>
      </c>
      <c r="E59" s="493">
        <f>IF(DRIVE_Type="Direct",IF('Frame Dimensions - D'!E59="",0,'Frame Dimensions - D'!E59),IF('Frame Dimensions - C'!E59="",0,'Frame Dimensions - C'!E59))</f>
        <v>0</v>
      </c>
      <c r="F59" s="493">
        <f>IF(DRIVE_Type="Direct",IF('Frame Dimensions - D'!F59="",0,'Frame Dimensions - D'!F59),IF('Frame Dimensions - C'!F59="",0,'Frame Dimensions - C'!F59))</f>
        <v>0</v>
      </c>
      <c r="G59" s="493">
        <f>IF(DRIVE_Type="Direct",IF('Frame Dimensions - D'!G59="",0,'Frame Dimensions - D'!G59),IF('Frame Dimensions - C'!G59="",0,'Frame Dimensions - C'!G59))</f>
        <v>0</v>
      </c>
      <c r="H59" s="493">
        <f>IF(DRIVE_Type="Direct",IF('Frame Dimensions - D'!H59="",0,'Frame Dimensions - D'!H59),IF('Frame Dimensions - C'!H59="",0,'Frame Dimensions - C'!H59))</f>
        <v>0</v>
      </c>
      <c r="I59" s="493">
        <f>IF(DRIVE_Type="Direct",IF('Frame Dimensions - D'!I59="",0,'Frame Dimensions - D'!I59),IF('Frame Dimensions - C'!I59="",0,'Frame Dimensions - C'!I59))</f>
        <v>0</v>
      </c>
      <c r="J59" s="492">
        <f>IF(DRIVE_Type="Direct",IF('Frame Dimensions - D'!J59="",0,'Frame Dimensions - D'!J59),IF('Frame Dimensions - C'!J59="",0,'Frame Dimensions - C'!J59))</f>
        <v>0</v>
      </c>
      <c r="K59" s="608">
        <f>IF(DRIVE_Type="Direct",IF('Frame Dimensions - D'!K59="",0,'Frame Dimensions - D'!K59),IF('Frame Dimensions - C'!K59="",0,'Frame Dimensions - C'!K59))</f>
        <v>0</v>
      </c>
      <c r="L59" s="608">
        <f>IF(DRIVE_Type="Direct",IF('Frame Dimensions - D'!L59="",0,'Frame Dimensions - D'!L59),IF('Frame Dimensions - C'!L59="",0,'Frame Dimensions - C'!L59))</f>
        <v>0</v>
      </c>
      <c r="M59" s="609">
        <f>IF(DRIVE_Type="Direct",IF('Frame Dimensions - D'!M59="",0,'Frame Dimensions - D'!M59),IF('Frame Dimensions - C'!M59="",0,'Frame Dimensions - C'!M59))</f>
        <v>0</v>
      </c>
      <c r="N59" s="608">
        <f>IF(DRIVE_Type="Direct",IF('Frame Dimensions - D'!N59="",0,'Frame Dimensions - D'!N59),IF('Frame Dimensions - C'!N59="",0,'Frame Dimensions - C'!N59))</f>
        <v>0</v>
      </c>
      <c r="O59" s="611">
        <f>IF(DRIVE_Type="Direct",IF('Frame Dimensions - D'!O59="",0,'Frame Dimensions - D'!O59),IF('Frame Dimensions - C'!O59="",0,'Frame Dimensions - C'!O59))</f>
        <v>0</v>
      </c>
      <c r="P59" s="584">
        <f>IF(DRIVE_Type="Direct",IF('Frame Dimensions - D'!P59="",0,'Frame Dimensions - D'!P59),IF('Frame Dimensions - C'!P59="",0,'Frame Dimensions - C'!P59))</f>
        <v>0</v>
      </c>
      <c r="Q59" s="1450">
        <f>IF(DRIVE_Type="Direct",IF('Frame Dimensions - D'!Q59="",0,'Frame Dimensions - D'!Q59),IF('Frame Dimensions - C'!Q59="",0,'Frame Dimensions - C'!Q59))</f>
        <v>0</v>
      </c>
      <c r="R59" s="1189"/>
      <c r="S59" s="603"/>
      <c r="T59" s="603"/>
      <c r="U59" s="603"/>
      <c r="V59" s="603"/>
      <c r="W59" s="603"/>
      <c r="X59" s="603"/>
      <c r="Y59" s="603"/>
      <c r="Z59" s="603"/>
      <c r="AA59" s="603"/>
      <c r="AB59" s="603"/>
      <c r="AC59" s="603"/>
      <c r="AD59" s="603"/>
      <c r="AE59" s="603"/>
      <c r="AF59" s="603"/>
      <c r="AG59" s="603"/>
      <c r="AH59" s="603"/>
      <c r="AI59" s="603"/>
      <c r="AJ59" s="464"/>
    </row>
    <row r="60" spans="1:36">
      <c r="A60" s="628"/>
      <c r="B60" s="604">
        <f>IF(DRIVE_Type="Direct",IF('Frame Dimensions - D'!B60="",0,'Frame Dimensions - D'!B60),IF('Frame Dimensions - C'!B60="",0,'Frame Dimensions - C'!B60))</f>
        <v>0</v>
      </c>
      <c r="C60" s="580">
        <f>IF(DRIVE_Type="Direct",IF('Frame Dimensions - D'!C60="",0,'Frame Dimensions - D'!C60),IF('Frame Dimensions - C'!C60="",0,'Frame Dimensions - C'!C60))</f>
        <v>0</v>
      </c>
      <c r="D60" s="580">
        <f>IF(DRIVE_Type="Direct",IF('Frame Dimensions - D'!D60="",0,'Frame Dimensions - D'!D60),IF('Frame Dimensions - C'!D60="",0,'Frame Dimensions - C'!D60))</f>
        <v>0</v>
      </c>
      <c r="E60" s="493">
        <f>IF(DRIVE_Type="Direct",IF('Frame Dimensions - D'!E60="",0,'Frame Dimensions - D'!E60),IF('Frame Dimensions - C'!E60="",0,'Frame Dimensions - C'!E60))</f>
        <v>0</v>
      </c>
      <c r="F60" s="493">
        <f>IF(DRIVE_Type="Direct",IF('Frame Dimensions - D'!F60="",0,'Frame Dimensions - D'!F60),IF('Frame Dimensions - C'!F60="",0,'Frame Dimensions - C'!F60))</f>
        <v>0</v>
      </c>
      <c r="G60" s="493">
        <f>IF(DRIVE_Type="Direct",IF('Frame Dimensions - D'!G60="",0,'Frame Dimensions - D'!G60),IF('Frame Dimensions - C'!G60="",0,'Frame Dimensions - C'!G60))</f>
        <v>0</v>
      </c>
      <c r="H60" s="493">
        <f>IF(DRIVE_Type="Direct",IF('Frame Dimensions - D'!H60="",0,'Frame Dimensions - D'!H60),IF('Frame Dimensions - C'!H60="",0,'Frame Dimensions - C'!H60))</f>
        <v>0</v>
      </c>
      <c r="I60" s="493">
        <f>IF(DRIVE_Type="Direct",IF('Frame Dimensions - D'!I60="",0,'Frame Dimensions - D'!I60),IF('Frame Dimensions - C'!I60="",0,'Frame Dimensions - C'!I60))</f>
        <v>0</v>
      </c>
      <c r="J60" s="609">
        <f>IF(DRIVE_Type="Direct",IF('Frame Dimensions - D'!J60="",0,'Frame Dimensions - D'!J60),IF('Frame Dimensions - C'!J60="",0,'Frame Dimensions - C'!J60))</f>
        <v>0</v>
      </c>
      <c r="K60" s="608">
        <f>IF(DRIVE_Type="Direct",IF('Frame Dimensions - D'!K60="",0,'Frame Dimensions - D'!K60),IF('Frame Dimensions - C'!K60="",0,'Frame Dimensions - C'!K60))</f>
        <v>0</v>
      </c>
      <c r="L60" s="608">
        <f>IF(DRIVE_Type="Direct",IF('Frame Dimensions - D'!L60="",0,'Frame Dimensions - D'!L60),IF('Frame Dimensions - C'!L60="",0,'Frame Dimensions - C'!L60))</f>
        <v>0</v>
      </c>
      <c r="M60" s="609">
        <f>IF(DRIVE_Type="Direct",IF('Frame Dimensions - D'!M60="",0,'Frame Dimensions - D'!M60),IF('Frame Dimensions - C'!M60="",0,'Frame Dimensions - C'!M60))</f>
        <v>0</v>
      </c>
      <c r="N60" s="608">
        <f>IF(DRIVE_Type="Direct",IF('Frame Dimensions - D'!N60="",0,'Frame Dimensions - D'!N60),IF('Frame Dimensions - C'!N60="",0,'Frame Dimensions - C'!N60))</f>
        <v>0</v>
      </c>
      <c r="O60" s="608">
        <f>IF(DRIVE_Type="Direct",IF('Frame Dimensions - D'!O60="",0,'Frame Dimensions - D'!O60),IF('Frame Dimensions - C'!O60="",0,'Frame Dimensions - C'!O60))</f>
        <v>0</v>
      </c>
      <c r="P60" s="602">
        <f>IF(DRIVE_Type="Direct",IF('Frame Dimensions - D'!P60="",0,'Frame Dimensions - D'!P60),IF('Frame Dimensions - C'!P60="",0,'Frame Dimensions - C'!P60))</f>
        <v>0</v>
      </c>
      <c r="Q60" s="1454">
        <f>IF(DRIVE_Type="Direct",IF('Frame Dimensions - D'!Q60="",0,'Frame Dimensions - D'!Q60),IF('Frame Dimensions - C'!Q60="",0,'Frame Dimensions - C'!Q60))</f>
        <v>0</v>
      </c>
      <c r="R60" s="644"/>
      <c r="S60" s="603"/>
      <c r="T60" s="603"/>
      <c r="U60" s="603"/>
      <c r="V60" s="603"/>
      <c r="W60" s="603"/>
      <c r="X60" s="603"/>
      <c r="Y60" s="603"/>
      <c r="Z60" s="603"/>
      <c r="AA60" s="603"/>
      <c r="AB60" s="603"/>
      <c r="AC60" s="603"/>
      <c r="AD60" s="603"/>
      <c r="AE60" s="603"/>
      <c r="AF60" s="603"/>
      <c r="AG60" s="603"/>
      <c r="AH60" s="603"/>
      <c r="AI60" s="603"/>
      <c r="AJ60" s="464"/>
    </row>
    <row r="61" spans="1:36">
      <c r="A61" s="1682"/>
      <c r="B61" s="579">
        <f>IF(DRIVE_Type="Direct",IF('Frame Dimensions - D'!B61="",0,'Frame Dimensions - D'!B61),IF('Frame Dimensions - C'!B61="",0,'Frame Dimensions - C'!B61))</f>
        <v>0</v>
      </c>
      <c r="C61" s="580">
        <f>IF(DRIVE_Type="Direct",IF('Frame Dimensions - D'!C61="",0,'Frame Dimensions - D'!C61),IF('Frame Dimensions - C'!C61="",0,'Frame Dimensions - C'!C61))</f>
        <v>0</v>
      </c>
      <c r="D61" s="580">
        <f>IF(DRIVE_Type="Direct",IF('Frame Dimensions - D'!D61="",0,'Frame Dimensions - D'!D61),IF('Frame Dimensions - C'!D61="",0,'Frame Dimensions - C'!D61))</f>
        <v>0</v>
      </c>
      <c r="E61" s="580">
        <f>IF(DRIVE_Type="Direct",IF('Frame Dimensions - D'!E61="",0,'Frame Dimensions - D'!E61),IF('Frame Dimensions - C'!E61="",0,'Frame Dimensions - C'!E61))</f>
        <v>0</v>
      </c>
      <c r="F61" s="580">
        <f>IF(DRIVE_Type="Direct",IF('Frame Dimensions - D'!F61="",0,'Frame Dimensions - D'!F61),IF('Frame Dimensions - C'!F61="",0,'Frame Dimensions - C'!F61))</f>
        <v>0</v>
      </c>
      <c r="G61" s="493">
        <f>IF(DRIVE_Type="Direct",IF('Frame Dimensions - D'!G61="",0,'Frame Dimensions - D'!G61),IF('Frame Dimensions - C'!G61="",0,'Frame Dimensions - C'!G61))</f>
        <v>0</v>
      </c>
      <c r="H61" s="493">
        <f>IF(DRIVE_Type="Direct",IF('Frame Dimensions - D'!H61="",0,'Frame Dimensions - D'!H61),IF('Frame Dimensions - C'!H61="",0,'Frame Dimensions - C'!H61))</f>
        <v>0</v>
      </c>
      <c r="I61" s="581">
        <f>IF(DRIVE_Type="Direct",IF('Frame Dimensions - D'!I61="",0,'Frame Dimensions - D'!I61),IF('Frame Dimensions - C'!I61="",0,'Frame Dimensions - C'!I61))</f>
        <v>0</v>
      </c>
      <c r="J61" s="609">
        <f>IF(DRIVE_Type="Direct",IF('Frame Dimensions - D'!J61="",0,'Frame Dimensions - D'!J61),IF('Frame Dimensions - C'!J61="",0,'Frame Dimensions - C'!J61))</f>
        <v>0</v>
      </c>
      <c r="K61" s="580">
        <f>IF(DRIVE_Type="Direct",IF('Frame Dimensions - D'!K61="",0,'Frame Dimensions - D'!K61),IF('Frame Dimensions - C'!K61="",0,'Frame Dimensions - C'!K61))</f>
        <v>0</v>
      </c>
      <c r="L61" s="582">
        <f>IF(DRIVE_Type="Direct",IF('Frame Dimensions - D'!L61="",0,'Frame Dimensions - D'!L61),IF('Frame Dimensions - C'!L61="",0,'Frame Dimensions - C'!L61))</f>
        <v>0</v>
      </c>
      <c r="M61" s="609">
        <f>IF(DRIVE_Type="Direct",IF('Frame Dimensions - D'!M61="",0,'Frame Dimensions - D'!M61),IF('Frame Dimensions - C'!M61="",0,'Frame Dimensions - C'!M61))</f>
        <v>0</v>
      </c>
      <c r="N61" s="608">
        <f>IF(DRIVE_Type="Direct",IF('Frame Dimensions - D'!N61="",0,'Frame Dimensions - D'!N61),IF('Frame Dimensions - C'!N61="",0,'Frame Dimensions - C'!N61))</f>
        <v>0</v>
      </c>
      <c r="O61" s="612">
        <f>IF(DRIVE_Type="Direct",IF('Frame Dimensions - D'!O61="",0,'Frame Dimensions - D'!O61),IF('Frame Dimensions - C'!O61="",0,'Frame Dimensions - C'!O61))</f>
        <v>0</v>
      </c>
      <c r="P61" s="584">
        <f>IF(DRIVE_Type="Direct",IF('Frame Dimensions - D'!P61="",0,'Frame Dimensions - D'!P61),IF('Frame Dimensions - C'!P61="",0,'Frame Dimensions - C'!P61))</f>
        <v>0</v>
      </c>
      <c r="Q61" s="1450">
        <f>IF(DRIVE_Type="Direct",IF('Frame Dimensions - D'!Q61="",0,'Frame Dimensions - D'!Q61),IF('Frame Dimensions - C'!Q61="",0,'Frame Dimensions - C'!Q61))</f>
        <v>0</v>
      </c>
      <c r="R61" s="1503"/>
      <c r="S61" s="603"/>
      <c r="T61" s="603"/>
      <c r="U61" s="603"/>
      <c r="V61" s="603"/>
      <c r="W61" s="603"/>
      <c r="X61" s="603"/>
      <c r="Y61" s="603"/>
      <c r="Z61" s="603"/>
      <c r="AA61" s="603"/>
      <c r="AB61" s="603"/>
      <c r="AC61" s="603"/>
      <c r="AD61" s="603"/>
      <c r="AE61" s="603"/>
      <c r="AF61" s="603"/>
      <c r="AG61" s="603"/>
      <c r="AH61" s="603"/>
      <c r="AI61" s="603"/>
      <c r="AJ61" s="464"/>
    </row>
    <row r="62" spans="1:36">
      <c r="A62" s="1680"/>
      <c r="B62" s="585">
        <f>IF(DRIVE_Type="Direct",IF('Frame Dimensions - D'!B62="",0,'Frame Dimensions - D'!B62),IF('Frame Dimensions - C'!B62="",0,'Frame Dimensions - C'!B62))</f>
        <v>0</v>
      </c>
      <c r="C62" s="493">
        <f>IF(DRIVE_Type="Direct",IF('Frame Dimensions - D'!C62="",0,'Frame Dimensions - D'!C62),IF('Frame Dimensions - C'!C62="",0,'Frame Dimensions - C'!C62))</f>
        <v>0</v>
      </c>
      <c r="D62" s="580">
        <f>IF(DRIVE_Type="Direct",IF('Frame Dimensions - D'!D62="",0,'Frame Dimensions - D'!D62),IF('Frame Dimensions - C'!D62="",0,'Frame Dimensions - C'!D62))</f>
        <v>0</v>
      </c>
      <c r="E62" s="493">
        <f>IF(DRIVE_Type="Direct",IF('Frame Dimensions - D'!E62="",0,'Frame Dimensions - D'!E62),IF('Frame Dimensions - C'!E62="",0,'Frame Dimensions - C'!E62))</f>
        <v>0</v>
      </c>
      <c r="F62" s="493">
        <f>IF(DRIVE_Type="Direct",IF('Frame Dimensions - D'!F62="",0,'Frame Dimensions - D'!F62),IF('Frame Dimensions - C'!F62="",0,'Frame Dimensions - C'!F62))</f>
        <v>0</v>
      </c>
      <c r="G62" s="493">
        <f>IF(DRIVE_Type="Direct",IF('Frame Dimensions - D'!G62="",0,'Frame Dimensions - D'!G62),IF('Frame Dimensions - C'!G62="",0,'Frame Dimensions - C'!G62))</f>
        <v>0</v>
      </c>
      <c r="H62" s="493">
        <f>IF(DRIVE_Type="Direct",IF('Frame Dimensions - D'!H62="",0,'Frame Dimensions - D'!H62),IF('Frame Dimensions - C'!H62="",0,'Frame Dimensions - C'!H62))</f>
        <v>0</v>
      </c>
      <c r="I62" s="493">
        <f>IF(DRIVE_Type="Direct",IF('Frame Dimensions - D'!I62="",0,'Frame Dimensions - D'!I62),IF('Frame Dimensions - C'!I62="",0,'Frame Dimensions - C'!I62))</f>
        <v>0</v>
      </c>
      <c r="J62" s="609">
        <f>IF(DRIVE_Type="Direct",IF('Frame Dimensions - D'!J62="",0,'Frame Dimensions - D'!J62),IF('Frame Dimensions - C'!J62="",0,'Frame Dimensions - C'!J62))</f>
        <v>0</v>
      </c>
      <c r="K62" s="608">
        <f>IF(DRIVE_Type="Direct",IF('Frame Dimensions - D'!K62="",0,'Frame Dimensions - D'!K62),IF('Frame Dimensions - C'!K62="",0,'Frame Dimensions - C'!K62))</f>
        <v>0</v>
      </c>
      <c r="L62" s="582">
        <f>IF(DRIVE_Type="Direct",IF('Frame Dimensions - D'!L62="",0,'Frame Dimensions - D'!L62),IF('Frame Dimensions - C'!L62="",0,'Frame Dimensions - C'!L62))</f>
        <v>0</v>
      </c>
      <c r="M62" s="609">
        <f>IF(DRIVE_Type="Direct",IF('Frame Dimensions - D'!M62="",0,'Frame Dimensions - D'!M62),IF('Frame Dimensions - C'!M62="",0,'Frame Dimensions - C'!M62))</f>
        <v>0</v>
      </c>
      <c r="N62" s="608">
        <f>IF(DRIVE_Type="Direct",IF('Frame Dimensions - D'!N62="",0,'Frame Dimensions - D'!N62),IF('Frame Dimensions - C'!N62="",0,'Frame Dimensions - C'!N62))</f>
        <v>0</v>
      </c>
      <c r="O62" s="612">
        <f>IF(DRIVE_Type="Direct",IF('Frame Dimensions - D'!O62="",0,'Frame Dimensions - D'!O62),IF('Frame Dimensions - C'!O62="",0,'Frame Dimensions - C'!O62))</f>
        <v>0</v>
      </c>
      <c r="P62" s="584">
        <f>IF(DRIVE_Type="Direct",IF('Frame Dimensions - D'!P62="",0,'Frame Dimensions - D'!P62),IF('Frame Dimensions - C'!P62="",0,'Frame Dimensions - C'!P62))</f>
        <v>0</v>
      </c>
      <c r="Q62" s="1450">
        <f>IF(DRIVE_Type="Direct",IF('Frame Dimensions - D'!Q62="",0,'Frame Dimensions - D'!Q62),IF('Frame Dimensions - C'!Q62="",0,'Frame Dimensions - C'!Q62))</f>
        <v>0</v>
      </c>
      <c r="R62" s="1189"/>
      <c r="S62" s="603"/>
      <c r="T62" s="603"/>
      <c r="U62" s="603"/>
      <c r="V62" s="603"/>
      <c r="W62" s="603"/>
      <c r="X62" s="603"/>
      <c r="Y62" s="603"/>
      <c r="Z62" s="603"/>
      <c r="AA62" s="603"/>
      <c r="AB62" s="603"/>
      <c r="AC62" s="603"/>
      <c r="AD62" s="603"/>
      <c r="AE62" s="603"/>
      <c r="AF62" s="603"/>
      <c r="AG62" s="603"/>
      <c r="AH62" s="603"/>
      <c r="AI62" s="603"/>
      <c r="AJ62" s="464"/>
    </row>
    <row r="63" spans="1:36">
      <c r="A63" s="642"/>
      <c r="B63" s="604">
        <f>IF(DRIVE_Type="Direct",IF('Frame Dimensions - D'!B63="",0,'Frame Dimensions - D'!B63),IF('Frame Dimensions - C'!B63="",0,'Frame Dimensions - C'!B63))</f>
        <v>0</v>
      </c>
      <c r="C63" s="493">
        <f>IF(DRIVE_Type="Direct",IF('Frame Dimensions - D'!C63="",0,'Frame Dimensions - D'!C63),IF('Frame Dimensions - C'!C63="",0,'Frame Dimensions - C'!C63))</f>
        <v>0</v>
      </c>
      <c r="D63" s="580">
        <f>IF(DRIVE_Type="Direct",IF('Frame Dimensions - D'!D63="",0,'Frame Dimensions - D'!D63),IF('Frame Dimensions - C'!D63="",0,'Frame Dimensions - C'!D63))</f>
        <v>0</v>
      </c>
      <c r="E63" s="493">
        <f>IF(DRIVE_Type="Direct",IF('Frame Dimensions - D'!E63="",0,'Frame Dimensions - D'!E63),IF('Frame Dimensions - C'!E63="",0,'Frame Dimensions - C'!E63))</f>
        <v>0</v>
      </c>
      <c r="F63" s="493">
        <f>IF(DRIVE_Type="Direct",IF('Frame Dimensions - D'!F63="",0,'Frame Dimensions - D'!F63),IF('Frame Dimensions - C'!F63="",0,'Frame Dimensions - C'!F63))</f>
        <v>0</v>
      </c>
      <c r="G63" s="493">
        <f>IF(DRIVE_Type="Direct",IF('Frame Dimensions - D'!G63="",0,'Frame Dimensions - D'!G63),IF('Frame Dimensions - C'!G63="",0,'Frame Dimensions - C'!G63))</f>
        <v>0</v>
      </c>
      <c r="H63" s="493">
        <f>IF(DRIVE_Type="Direct",IF('Frame Dimensions - D'!H63="",0,'Frame Dimensions - D'!H63),IF('Frame Dimensions - C'!H63="",0,'Frame Dimensions - C'!H63))</f>
        <v>0</v>
      </c>
      <c r="I63" s="603">
        <f>IF(DRIVE_Type="Direct",IF('Frame Dimensions - D'!I63="",0,'Frame Dimensions - D'!I63),IF('Frame Dimensions - C'!I63="",0,'Frame Dimensions - C'!I63))</f>
        <v>0</v>
      </c>
      <c r="J63" s="492">
        <f>IF(DRIVE_Type="Direct",IF('Frame Dimensions - D'!J63="",0,'Frame Dimensions - D'!J63),IF('Frame Dimensions - C'!J63="",0,'Frame Dimensions - C'!J63))</f>
        <v>0</v>
      </c>
      <c r="K63" s="608">
        <f>IF(DRIVE_Type="Direct",IF('Frame Dimensions - D'!K63="",0,'Frame Dimensions - D'!K63),IF('Frame Dimensions - C'!K63="",0,'Frame Dimensions - C'!K63))</f>
        <v>0</v>
      </c>
      <c r="L63" s="608">
        <f>IF(DRIVE_Type="Direct",IF('Frame Dimensions - D'!L63="",0,'Frame Dimensions - D'!L63),IF('Frame Dimensions - C'!L63="",0,'Frame Dimensions - C'!L63))</f>
        <v>0</v>
      </c>
      <c r="M63" s="609">
        <f>IF(DRIVE_Type="Direct",IF('Frame Dimensions - D'!M63="",0,'Frame Dimensions - D'!M63),IF('Frame Dimensions - C'!M63="",0,'Frame Dimensions - C'!M63))</f>
        <v>0</v>
      </c>
      <c r="N63" s="608">
        <f>IF(DRIVE_Type="Direct",IF('Frame Dimensions - D'!N63="",0,'Frame Dimensions - D'!N63),IF('Frame Dimensions - C'!N63="",0,'Frame Dimensions - C'!N63))</f>
        <v>0</v>
      </c>
      <c r="O63" s="611">
        <f>IF(DRIVE_Type="Direct",IF('Frame Dimensions - D'!O63="",0,'Frame Dimensions - D'!O63),IF('Frame Dimensions - C'!O63="",0,'Frame Dimensions - C'!O63))</f>
        <v>0</v>
      </c>
      <c r="P63" s="584">
        <f>IF(DRIVE_Type="Direct",IF('Frame Dimensions - D'!P63="",0,'Frame Dimensions - D'!P63),IF('Frame Dimensions - C'!P63="",0,'Frame Dimensions - C'!P63))</f>
        <v>0</v>
      </c>
      <c r="Q63" s="1450">
        <f>IF(DRIVE_Type="Direct",IF('Frame Dimensions - D'!Q63="",0,'Frame Dimensions - D'!Q63),IF('Frame Dimensions - C'!Q63="",0,'Frame Dimensions - C'!Q63))</f>
        <v>0</v>
      </c>
      <c r="R63" s="1189"/>
      <c r="S63" s="603"/>
      <c r="T63" s="603"/>
      <c r="U63" s="603"/>
      <c r="V63" s="603"/>
      <c r="W63" s="603"/>
      <c r="X63" s="603"/>
      <c r="Y63" s="603"/>
      <c r="Z63" s="603"/>
      <c r="AA63" s="603"/>
      <c r="AB63" s="603"/>
      <c r="AC63" s="603"/>
      <c r="AD63" s="603"/>
      <c r="AE63" s="603"/>
      <c r="AF63" s="603"/>
      <c r="AG63" s="603"/>
      <c r="AH63" s="603"/>
      <c r="AI63" s="603"/>
      <c r="AJ63" s="464"/>
    </row>
    <row r="64" spans="1:36">
      <c r="A64" s="622"/>
      <c r="B64" s="604">
        <f>IF(DRIVE_Type="Direct",IF('Frame Dimensions - D'!B64="",0,'Frame Dimensions - D'!B64),IF('Frame Dimensions - C'!B64="",0,'Frame Dimensions - C'!B64))</f>
        <v>0</v>
      </c>
      <c r="C64" s="493">
        <f>IF(DRIVE_Type="Direct",IF('Frame Dimensions - D'!C64="",0,'Frame Dimensions - D'!C64),IF('Frame Dimensions - C'!C64="",0,'Frame Dimensions - C'!C64))</f>
        <v>0</v>
      </c>
      <c r="D64" s="580">
        <f>IF(DRIVE_Type="Direct",IF('Frame Dimensions - D'!D64="",0,'Frame Dimensions - D'!D64),IF('Frame Dimensions - C'!D64="",0,'Frame Dimensions - C'!D64))</f>
        <v>0</v>
      </c>
      <c r="E64" s="493">
        <f>IF(DRIVE_Type="Direct",IF('Frame Dimensions - D'!E64="",0,'Frame Dimensions - D'!E64),IF('Frame Dimensions - C'!E64="",0,'Frame Dimensions - C'!E64))</f>
        <v>0</v>
      </c>
      <c r="F64" s="493">
        <f>IF(DRIVE_Type="Direct",IF('Frame Dimensions - D'!F64="",0,'Frame Dimensions - D'!F64),IF('Frame Dimensions - C'!F64="",0,'Frame Dimensions - C'!F64))</f>
        <v>0</v>
      </c>
      <c r="G64" s="493">
        <f>IF(DRIVE_Type="Direct",IF('Frame Dimensions - D'!G64="",0,'Frame Dimensions - D'!G64),IF('Frame Dimensions - C'!G64="",0,'Frame Dimensions - C'!G64))</f>
        <v>0</v>
      </c>
      <c r="H64" s="493">
        <f>IF(DRIVE_Type="Direct",IF('Frame Dimensions - D'!H64="",0,'Frame Dimensions - D'!H64),IF('Frame Dimensions - C'!H64="",0,'Frame Dimensions - C'!H64))</f>
        <v>0</v>
      </c>
      <c r="I64" s="493">
        <f>IF(DRIVE_Type="Direct",IF('Frame Dimensions - D'!I64="",0,'Frame Dimensions - D'!I64),IF('Frame Dimensions - C'!I64="",0,'Frame Dimensions - C'!I64))</f>
        <v>0</v>
      </c>
      <c r="J64" s="609">
        <f>IF(DRIVE_Type="Direct",IF('Frame Dimensions - D'!J64="",0,'Frame Dimensions - D'!J64),IF('Frame Dimensions - C'!J64="",0,'Frame Dimensions - C'!J64))</f>
        <v>0</v>
      </c>
      <c r="K64" s="608">
        <f>IF(DRIVE_Type="Direct",IF('Frame Dimensions - D'!K64="",0,'Frame Dimensions - D'!K64),IF('Frame Dimensions - C'!K64="",0,'Frame Dimensions - C'!K64))</f>
        <v>0</v>
      </c>
      <c r="L64" s="608">
        <f>IF(DRIVE_Type="Direct",IF('Frame Dimensions - D'!L64="",0,'Frame Dimensions - D'!L64),IF('Frame Dimensions - C'!L64="",0,'Frame Dimensions - C'!L64))</f>
        <v>0</v>
      </c>
      <c r="M64" s="609">
        <f>IF(DRIVE_Type="Direct",IF('Frame Dimensions - D'!M64="",0,'Frame Dimensions - D'!M64),IF('Frame Dimensions - C'!M64="",0,'Frame Dimensions - C'!M64))</f>
        <v>0</v>
      </c>
      <c r="N64" s="608">
        <f>IF(DRIVE_Type="Direct",IF('Frame Dimensions - D'!N64="",0,'Frame Dimensions - D'!N64),IF('Frame Dimensions - C'!N64="",0,'Frame Dimensions - C'!N64))</f>
        <v>0</v>
      </c>
      <c r="O64" s="611">
        <f>IF(DRIVE_Type="Direct",IF('Frame Dimensions - D'!O64="",0,'Frame Dimensions - D'!O64),IF('Frame Dimensions - C'!O64="",0,'Frame Dimensions - C'!O64))</f>
        <v>0</v>
      </c>
      <c r="P64" s="584">
        <f>IF(DRIVE_Type="Direct",IF('Frame Dimensions - D'!P64="",0,'Frame Dimensions - D'!P64),IF('Frame Dimensions - C'!P64="",0,'Frame Dimensions - C'!P64))</f>
        <v>0</v>
      </c>
      <c r="Q64" s="1450">
        <f>IF(DRIVE_Type="Direct",IF('Frame Dimensions - D'!Q64="",0,'Frame Dimensions - D'!Q64),IF('Frame Dimensions - C'!Q64="",0,'Frame Dimensions - C'!Q64))</f>
        <v>0</v>
      </c>
      <c r="R64" s="1189"/>
      <c r="S64" s="603"/>
      <c r="T64" s="603"/>
      <c r="U64" s="603"/>
      <c r="V64" s="603"/>
      <c r="W64" s="603"/>
      <c r="X64" s="603"/>
      <c r="Y64" s="603"/>
      <c r="Z64" s="603"/>
      <c r="AA64" s="603"/>
      <c r="AB64" s="603"/>
      <c r="AC64" s="603"/>
      <c r="AD64" s="603"/>
      <c r="AE64" s="603"/>
      <c r="AF64" s="603"/>
      <c r="AG64" s="603"/>
      <c r="AH64" s="603"/>
      <c r="AI64" s="603"/>
      <c r="AJ64" s="464"/>
    </row>
    <row r="65" spans="1:36">
      <c r="A65" s="1682"/>
      <c r="B65" s="579">
        <f>IF(DRIVE_Type="Direct",IF('Frame Dimensions - D'!B65="",0,'Frame Dimensions - D'!B65),IF('Frame Dimensions - C'!B65="",0,'Frame Dimensions - C'!B65))</f>
        <v>0</v>
      </c>
      <c r="C65" s="580">
        <f>IF(DRIVE_Type="Direct",IF('Frame Dimensions - D'!C65="",0,'Frame Dimensions - D'!C65),IF('Frame Dimensions - C'!C65="",0,'Frame Dimensions - C'!C65))</f>
        <v>0</v>
      </c>
      <c r="D65" s="580">
        <f>IF(DRIVE_Type="Direct",IF('Frame Dimensions - D'!D65="",0,'Frame Dimensions - D'!D65),IF('Frame Dimensions - C'!D65="",0,'Frame Dimensions - C'!D65))</f>
        <v>0</v>
      </c>
      <c r="E65" s="580">
        <f>IF(DRIVE_Type="Direct",IF('Frame Dimensions - D'!E65="",0,'Frame Dimensions - D'!E65),IF('Frame Dimensions - C'!E65="",0,'Frame Dimensions - C'!E65))</f>
        <v>0</v>
      </c>
      <c r="F65" s="580">
        <f>IF(DRIVE_Type="Direct",IF('Frame Dimensions - D'!F65="",0,'Frame Dimensions - D'!F65),IF('Frame Dimensions - C'!F65="",0,'Frame Dimensions - C'!F65))</f>
        <v>0</v>
      </c>
      <c r="G65" s="493">
        <f>IF(DRIVE_Type="Direct",IF('Frame Dimensions - D'!G65="",0,'Frame Dimensions - D'!G65),IF('Frame Dimensions - C'!G65="",0,'Frame Dimensions - C'!G65))</f>
        <v>0</v>
      </c>
      <c r="H65" s="493">
        <f>IF(DRIVE_Type="Direct",IF('Frame Dimensions - D'!H65="",0,'Frame Dimensions - D'!H65),IF('Frame Dimensions - C'!H65="",0,'Frame Dimensions - C'!H65))</f>
        <v>0</v>
      </c>
      <c r="I65" s="581">
        <f>IF(DRIVE_Type="Direct",IF('Frame Dimensions - D'!I65="",0,'Frame Dimensions - D'!I65),IF('Frame Dimensions - C'!I65="",0,'Frame Dimensions - C'!I65))</f>
        <v>0</v>
      </c>
      <c r="J65" s="609">
        <f>IF(DRIVE_Type="Direct",IF('Frame Dimensions - D'!J65="",0,'Frame Dimensions - D'!J65),IF('Frame Dimensions - C'!J65="",0,'Frame Dimensions - C'!J65))</f>
        <v>0</v>
      </c>
      <c r="K65" s="580">
        <f>IF(DRIVE_Type="Direct",IF('Frame Dimensions - D'!K65="",0,'Frame Dimensions - D'!K65),IF('Frame Dimensions - C'!K65="",0,'Frame Dimensions - C'!K65))</f>
        <v>0</v>
      </c>
      <c r="L65" s="582">
        <f>IF(DRIVE_Type="Direct",IF('Frame Dimensions - D'!L65="",0,'Frame Dimensions - D'!L65),IF('Frame Dimensions - C'!L65="",0,'Frame Dimensions - C'!L65))</f>
        <v>0</v>
      </c>
      <c r="M65" s="609">
        <f>IF(DRIVE_Type="Direct",IF('Frame Dimensions - D'!M65="",0,'Frame Dimensions - D'!M65),IF('Frame Dimensions - C'!M65="",0,'Frame Dimensions - C'!M65))</f>
        <v>0</v>
      </c>
      <c r="N65" s="608">
        <f>IF(DRIVE_Type="Direct",IF('Frame Dimensions - D'!N65="",0,'Frame Dimensions - D'!N65),IF('Frame Dimensions - C'!N65="",0,'Frame Dimensions - C'!N65))</f>
        <v>0</v>
      </c>
      <c r="O65" s="612">
        <f>IF(DRIVE_Type="Direct",IF('Frame Dimensions - D'!O65="",0,'Frame Dimensions - D'!O65),IF('Frame Dimensions - C'!O65="",0,'Frame Dimensions - C'!O65))</f>
        <v>0</v>
      </c>
      <c r="P65" s="584">
        <f>IF(DRIVE_Type="Direct",IF('Frame Dimensions - D'!P65="",0,'Frame Dimensions - D'!P65),IF('Frame Dimensions - C'!P65="",0,'Frame Dimensions - C'!P65))</f>
        <v>0</v>
      </c>
      <c r="Q65" s="1450">
        <f>IF(DRIVE_Type="Direct",IF('Frame Dimensions - D'!Q65="",0,'Frame Dimensions - D'!Q65),IF('Frame Dimensions - C'!Q65="",0,'Frame Dimensions - C'!Q65))</f>
        <v>0</v>
      </c>
      <c r="R65" s="1189"/>
      <c r="S65" s="603"/>
      <c r="T65" s="603"/>
      <c r="U65" s="603"/>
      <c r="V65" s="603"/>
      <c r="W65" s="603"/>
      <c r="X65" s="603"/>
      <c r="Y65" s="603"/>
      <c r="Z65" s="603"/>
      <c r="AA65" s="603"/>
      <c r="AB65" s="603"/>
      <c r="AC65" s="603"/>
      <c r="AD65" s="603"/>
      <c r="AE65" s="603"/>
      <c r="AF65" s="603"/>
      <c r="AG65" s="603"/>
      <c r="AH65" s="603"/>
      <c r="AI65" s="603"/>
      <c r="AJ65" s="464"/>
    </row>
    <row r="66" spans="1:36">
      <c r="A66" s="1680"/>
      <c r="B66" s="585">
        <f>IF(DRIVE_Type="Direct",IF('Frame Dimensions - D'!B66="",0,'Frame Dimensions - D'!B66),IF('Frame Dimensions - C'!B66="",0,'Frame Dimensions - C'!B66))</f>
        <v>0</v>
      </c>
      <c r="C66" s="493">
        <f>IF(DRIVE_Type="Direct",IF('Frame Dimensions - D'!C66="",0,'Frame Dimensions - D'!C66),IF('Frame Dimensions - C'!C66="",0,'Frame Dimensions - C'!C66))</f>
        <v>0</v>
      </c>
      <c r="D66" s="580">
        <f>IF(DRIVE_Type="Direct",IF('Frame Dimensions - D'!D66="",0,'Frame Dimensions - D'!D66),IF('Frame Dimensions - C'!D66="",0,'Frame Dimensions - C'!D66))</f>
        <v>0</v>
      </c>
      <c r="E66" s="493">
        <f>IF(DRIVE_Type="Direct",IF('Frame Dimensions - D'!E66="",0,'Frame Dimensions - D'!E66),IF('Frame Dimensions - C'!E66="",0,'Frame Dimensions - C'!E66))</f>
        <v>0</v>
      </c>
      <c r="F66" s="493">
        <f>IF(DRIVE_Type="Direct",IF('Frame Dimensions - D'!F66="",0,'Frame Dimensions - D'!F66),IF('Frame Dimensions - C'!F66="",0,'Frame Dimensions - C'!F66))</f>
        <v>0</v>
      </c>
      <c r="G66" s="493">
        <f>IF(DRIVE_Type="Direct",IF('Frame Dimensions - D'!G66="",0,'Frame Dimensions - D'!G66),IF('Frame Dimensions - C'!G66="",0,'Frame Dimensions - C'!G66))</f>
        <v>0</v>
      </c>
      <c r="H66" s="493">
        <f>IF(DRIVE_Type="Direct",IF('Frame Dimensions - D'!H66="",0,'Frame Dimensions - D'!H66),IF('Frame Dimensions - C'!H66="",0,'Frame Dimensions - C'!H66))</f>
        <v>0</v>
      </c>
      <c r="I66" s="493">
        <f>IF(DRIVE_Type="Direct",IF('Frame Dimensions - D'!I66="",0,'Frame Dimensions - D'!I66),IF('Frame Dimensions - C'!I66="",0,'Frame Dimensions - C'!I66))</f>
        <v>0</v>
      </c>
      <c r="J66" s="609">
        <f>IF(DRIVE_Type="Direct",IF('Frame Dimensions - D'!J66="",0,'Frame Dimensions - D'!J66),IF('Frame Dimensions - C'!J66="",0,'Frame Dimensions - C'!J66))</f>
        <v>0</v>
      </c>
      <c r="K66" s="608">
        <f>IF(DRIVE_Type="Direct",IF('Frame Dimensions - D'!K66="",0,'Frame Dimensions - D'!K66),IF('Frame Dimensions - C'!K66="",0,'Frame Dimensions - C'!K66))</f>
        <v>0</v>
      </c>
      <c r="L66" s="582">
        <f>IF(DRIVE_Type="Direct",IF('Frame Dimensions - D'!L66="",0,'Frame Dimensions - D'!L66),IF('Frame Dimensions - C'!L66="",0,'Frame Dimensions - C'!L66))</f>
        <v>0</v>
      </c>
      <c r="M66" s="609">
        <f>IF(DRIVE_Type="Direct",IF('Frame Dimensions - D'!M66="",0,'Frame Dimensions - D'!M66),IF('Frame Dimensions - C'!M66="",0,'Frame Dimensions - C'!M66))</f>
        <v>0</v>
      </c>
      <c r="N66" s="608">
        <f>IF(DRIVE_Type="Direct",IF('Frame Dimensions - D'!N66="",0,'Frame Dimensions - D'!N66),IF('Frame Dimensions - C'!N66="",0,'Frame Dimensions - C'!N66))</f>
        <v>0</v>
      </c>
      <c r="O66" s="612">
        <f>IF(DRIVE_Type="Direct",IF('Frame Dimensions - D'!O66="",0,'Frame Dimensions - D'!O66),IF('Frame Dimensions - C'!O66="",0,'Frame Dimensions - C'!O66))</f>
        <v>0</v>
      </c>
      <c r="P66" s="584">
        <f>IF(DRIVE_Type="Direct",IF('Frame Dimensions - D'!P66="",0,'Frame Dimensions - D'!P66),IF('Frame Dimensions - C'!P66="",0,'Frame Dimensions - C'!P66))</f>
        <v>0</v>
      </c>
      <c r="Q66" s="1450">
        <f>IF(DRIVE_Type="Direct",IF('Frame Dimensions - D'!Q66="",0,'Frame Dimensions - D'!Q66),IF('Frame Dimensions - C'!Q66="",0,'Frame Dimensions - C'!Q66))</f>
        <v>0</v>
      </c>
      <c r="R66" s="644"/>
      <c r="S66" s="603"/>
      <c r="T66" s="603"/>
      <c r="U66" s="603"/>
      <c r="V66" s="603"/>
      <c r="W66" s="603"/>
      <c r="X66" s="603"/>
      <c r="Y66" s="603"/>
      <c r="Z66" s="603"/>
      <c r="AA66" s="603"/>
      <c r="AB66" s="603"/>
      <c r="AC66" s="603"/>
      <c r="AD66" s="603"/>
      <c r="AE66" s="603"/>
      <c r="AF66" s="603"/>
      <c r="AG66" s="603"/>
      <c r="AH66" s="603"/>
      <c r="AI66" s="603"/>
      <c r="AJ66" s="464"/>
    </row>
    <row r="67" spans="1:36">
      <c r="A67" s="604"/>
      <c r="B67" s="604">
        <f>IF(DRIVE_Type="Direct",IF('Frame Dimensions - D'!B67="",0,'Frame Dimensions - D'!B67),IF('Frame Dimensions - C'!B67="",0,'Frame Dimensions - C'!B67))</f>
        <v>0</v>
      </c>
      <c r="C67" s="493">
        <f>IF(DRIVE_Type="Direct",IF('Frame Dimensions - D'!C67="",0,'Frame Dimensions - D'!C67),IF('Frame Dimensions - C'!C67="",0,'Frame Dimensions - C'!C67))</f>
        <v>0</v>
      </c>
      <c r="D67" s="580">
        <f>IF(DRIVE_Type="Direct",IF('Frame Dimensions - D'!D67="",0,'Frame Dimensions - D'!D67),IF('Frame Dimensions - C'!D67="",0,'Frame Dimensions - C'!D67))</f>
        <v>0</v>
      </c>
      <c r="E67" s="493">
        <f>IF(DRIVE_Type="Direct",IF('Frame Dimensions - D'!E67="",0,'Frame Dimensions - D'!E67),IF('Frame Dimensions - C'!E67="",0,'Frame Dimensions - C'!E67))</f>
        <v>0</v>
      </c>
      <c r="F67" s="493">
        <f>IF(DRIVE_Type="Direct",IF('Frame Dimensions - D'!F67="",0,'Frame Dimensions - D'!F67),IF('Frame Dimensions - C'!F67="",0,'Frame Dimensions - C'!F67))</f>
        <v>0</v>
      </c>
      <c r="G67" s="493">
        <f>IF(DRIVE_Type="Direct",IF('Frame Dimensions - D'!G67="",0,'Frame Dimensions - D'!G67),IF('Frame Dimensions - C'!G67="",0,'Frame Dimensions - C'!G67))</f>
        <v>0</v>
      </c>
      <c r="H67" s="493">
        <f>IF(DRIVE_Type="Direct",IF('Frame Dimensions - D'!H67="",0,'Frame Dimensions - D'!H67),IF('Frame Dimensions - C'!H67="",0,'Frame Dimensions - C'!H67))</f>
        <v>0</v>
      </c>
      <c r="I67" s="603">
        <f>IF(DRIVE_Type="Direct",IF('Frame Dimensions - D'!I67="",0,'Frame Dimensions - D'!I67),IF('Frame Dimensions - C'!I67="",0,'Frame Dimensions - C'!I67))</f>
        <v>0</v>
      </c>
      <c r="J67" s="492">
        <f>IF(DRIVE_Type="Direct",IF('Frame Dimensions - D'!J67="",0,'Frame Dimensions - D'!J67),IF('Frame Dimensions - C'!J67="",0,'Frame Dimensions - C'!J67))</f>
        <v>0</v>
      </c>
      <c r="K67" s="608">
        <f>IF(DRIVE_Type="Direct",IF('Frame Dimensions - D'!K67="",0,'Frame Dimensions - D'!K67),IF('Frame Dimensions - C'!K67="",0,'Frame Dimensions - C'!K67))</f>
        <v>0</v>
      </c>
      <c r="L67" s="608">
        <f>IF(DRIVE_Type="Direct",IF('Frame Dimensions - D'!L67="",0,'Frame Dimensions - D'!L67),IF('Frame Dimensions - C'!L67="",0,'Frame Dimensions - C'!L67))</f>
        <v>0</v>
      </c>
      <c r="M67" s="609">
        <f>IF(DRIVE_Type="Direct",IF('Frame Dimensions - D'!M67="",0,'Frame Dimensions - D'!M67),IF('Frame Dimensions - C'!M67="",0,'Frame Dimensions - C'!M67))</f>
        <v>0</v>
      </c>
      <c r="N67" s="608">
        <f>IF(DRIVE_Type="Direct",IF('Frame Dimensions - D'!N67="",0,'Frame Dimensions - D'!N67),IF('Frame Dimensions - C'!N67="",0,'Frame Dimensions - C'!N67))</f>
        <v>0</v>
      </c>
      <c r="O67" s="611">
        <f>IF(DRIVE_Type="Direct",IF('Frame Dimensions - D'!O67="",0,'Frame Dimensions - D'!O67),IF('Frame Dimensions - C'!O67="",0,'Frame Dimensions - C'!O67))</f>
        <v>0</v>
      </c>
      <c r="P67" s="584">
        <f>IF(DRIVE_Type="Direct",IF('Frame Dimensions - D'!P67="",0,'Frame Dimensions - D'!P67),IF('Frame Dimensions - C'!P67="",0,'Frame Dimensions - C'!P67))</f>
        <v>0</v>
      </c>
      <c r="Q67" s="1450">
        <f>IF(DRIVE_Type="Direct",IF('Frame Dimensions - D'!Q67="",0,'Frame Dimensions - D'!Q67),IF('Frame Dimensions - C'!Q67="",0,'Frame Dimensions - C'!Q67))</f>
        <v>0</v>
      </c>
      <c r="R67" s="644"/>
      <c r="S67" s="603"/>
      <c r="T67" s="603"/>
      <c r="U67" s="603"/>
      <c r="V67" s="603"/>
      <c r="W67" s="603"/>
      <c r="X67" s="603"/>
      <c r="Y67" s="603"/>
      <c r="Z67" s="603"/>
      <c r="AA67" s="603"/>
      <c r="AB67" s="603"/>
      <c r="AC67" s="603"/>
      <c r="AD67" s="603"/>
      <c r="AE67" s="603"/>
      <c r="AF67" s="603"/>
      <c r="AG67" s="603"/>
      <c r="AH67" s="603"/>
      <c r="AI67" s="603"/>
      <c r="AJ67" s="464"/>
    </row>
    <row r="68" spans="1:36">
      <c r="A68" s="604"/>
      <c r="B68" s="604">
        <f>IF(DRIVE_Type="Direct",IF('Frame Dimensions - D'!B68="",0,'Frame Dimensions - D'!B68),IF('Frame Dimensions - C'!B68="",0,'Frame Dimensions - C'!B68))</f>
        <v>0</v>
      </c>
      <c r="C68" s="493">
        <f>IF(DRIVE_Type="Direct",IF('Frame Dimensions - D'!C68="",0,'Frame Dimensions - D'!C68),IF('Frame Dimensions - C'!C68="",0,'Frame Dimensions - C'!C68))</f>
        <v>0</v>
      </c>
      <c r="D68" s="493">
        <f>IF(DRIVE_Type="Direct",IF('Frame Dimensions - D'!D68="",0,'Frame Dimensions - D'!D68),IF('Frame Dimensions - C'!D68="",0,'Frame Dimensions - C'!D68))</f>
        <v>0</v>
      </c>
      <c r="E68" s="493">
        <f>IF(DRIVE_Type="Direct",IF('Frame Dimensions - D'!E68="",0,'Frame Dimensions - D'!E68),IF('Frame Dimensions - C'!E68="",0,'Frame Dimensions - C'!E68))</f>
        <v>0</v>
      </c>
      <c r="F68" s="493">
        <f>IF(DRIVE_Type="Direct",IF('Frame Dimensions - D'!F68="",0,'Frame Dimensions - D'!F68),IF('Frame Dimensions - C'!F68="",0,'Frame Dimensions - C'!F68))</f>
        <v>0</v>
      </c>
      <c r="G68" s="493">
        <f>IF(DRIVE_Type="Direct",IF('Frame Dimensions - D'!G68="",0,'Frame Dimensions - D'!G68),IF('Frame Dimensions - C'!G68="",0,'Frame Dimensions - C'!G68))</f>
        <v>0</v>
      </c>
      <c r="H68" s="493">
        <f>IF(DRIVE_Type="Direct",IF('Frame Dimensions - D'!H68="",0,'Frame Dimensions - D'!H68),IF('Frame Dimensions - C'!H68="",0,'Frame Dimensions - C'!H68))</f>
        <v>0</v>
      </c>
      <c r="I68" s="493">
        <f>IF(DRIVE_Type="Direct",IF('Frame Dimensions - D'!I68="",0,'Frame Dimensions - D'!I68),IF('Frame Dimensions - C'!I68="",0,'Frame Dimensions - C'!I68))</f>
        <v>0</v>
      </c>
      <c r="J68" s="609">
        <f>IF(DRIVE_Type="Direct",IF('Frame Dimensions - D'!J68="",0,'Frame Dimensions - D'!J68),IF('Frame Dimensions - C'!J68="",0,'Frame Dimensions - C'!J68))</f>
        <v>0</v>
      </c>
      <c r="K68" s="608">
        <f>IF(DRIVE_Type="Direct",IF('Frame Dimensions - D'!K68="",0,'Frame Dimensions - D'!K68),IF('Frame Dimensions - C'!K68="",0,'Frame Dimensions - C'!K68))</f>
        <v>0</v>
      </c>
      <c r="L68" s="608">
        <f>IF(DRIVE_Type="Direct",IF('Frame Dimensions - D'!L68="",0,'Frame Dimensions - D'!L68),IF('Frame Dimensions - C'!L68="",0,'Frame Dimensions - C'!L68))</f>
        <v>0</v>
      </c>
      <c r="M68" s="609">
        <f>IF(DRIVE_Type="Direct",IF('Frame Dimensions - D'!M68="",0,'Frame Dimensions - D'!M68),IF('Frame Dimensions - C'!M68="",0,'Frame Dimensions - C'!M68))</f>
        <v>0</v>
      </c>
      <c r="N68" s="608">
        <f>IF(DRIVE_Type="Direct",IF('Frame Dimensions - D'!N68="",0,'Frame Dimensions - D'!N68),IF('Frame Dimensions - C'!N68="",0,'Frame Dimensions - C'!N68))</f>
        <v>0</v>
      </c>
      <c r="O68" s="611">
        <f>IF(DRIVE_Type="Direct",IF('Frame Dimensions - D'!O68="",0,'Frame Dimensions - D'!O68),IF('Frame Dimensions - C'!O68="",0,'Frame Dimensions - C'!O68))</f>
        <v>0</v>
      </c>
      <c r="P68" s="584">
        <f>IF(DRIVE_Type="Direct",IF('Frame Dimensions - D'!P68="",0,'Frame Dimensions - D'!P68),IF('Frame Dimensions - C'!P68="",0,'Frame Dimensions - C'!P68))</f>
        <v>0</v>
      </c>
      <c r="Q68" s="1450">
        <f>IF(DRIVE_Type="Direct",IF('Frame Dimensions - D'!Q68="",0,'Frame Dimensions - D'!Q68),IF('Frame Dimensions - C'!Q68="",0,'Frame Dimensions - C'!Q68))</f>
        <v>0</v>
      </c>
      <c r="R68" s="1189"/>
      <c r="S68" s="603"/>
      <c r="T68" s="603"/>
      <c r="U68" s="603"/>
      <c r="V68" s="603"/>
      <c r="W68" s="603"/>
      <c r="X68" s="603"/>
      <c r="Y68" s="603"/>
      <c r="Z68" s="603"/>
      <c r="AA68" s="603"/>
      <c r="AB68" s="603"/>
      <c r="AC68" s="603"/>
      <c r="AD68" s="603"/>
      <c r="AE68" s="603"/>
      <c r="AF68" s="603"/>
      <c r="AG68" s="603"/>
      <c r="AH68" s="603"/>
      <c r="AI68" s="603"/>
      <c r="AJ68" s="464"/>
    </row>
    <row r="69" spans="1:36">
      <c r="A69" s="1680"/>
      <c r="B69" s="1540">
        <f>IF(DRIVE_Type="Direct",IF('Frame Dimensions - D'!B69="",0,'Frame Dimensions - D'!B69),IF('Frame Dimensions - C'!B69="",0,'Frame Dimensions - C'!B69))</f>
        <v>0</v>
      </c>
      <c r="C69" s="580">
        <f>IF(DRIVE_Type="Direct",IF('Frame Dimensions - D'!C69="",0,'Frame Dimensions - D'!C69),IF('Frame Dimensions - C'!C69="",0,'Frame Dimensions - C'!C69))</f>
        <v>0</v>
      </c>
      <c r="D69" s="580">
        <f>IF(DRIVE_Type="Direct",IF('Frame Dimensions - D'!D69="",0,'Frame Dimensions - D'!D69),IF('Frame Dimensions - C'!D69="",0,'Frame Dimensions - C'!D69))</f>
        <v>0</v>
      </c>
      <c r="E69" s="580">
        <f>IF(DRIVE_Type="Direct",IF('Frame Dimensions - D'!E69="",0,'Frame Dimensions - D'!E69),IF('Frame Dimensions - C'!E69="",0,'Frame Dimensions - C'!E69))</f>
        <v>0</v>
      </c>
      <c r="F69" s="580">
        <f>IF(DRIVE_Type="Direct",IF('Frame Dimensions - D'!F69="",0,'Frame Dimensions - D'!F69),IF('Frame Dimensions - C'!F69="",0,'Frame Dimensions - C'!F69))</f>
        <v>0</v>
      </c>
      <c r="G69" s="580">
        <f>IF(DRIVE_Type="Direct",IF('Frame Dimensions - D'!G69="",0,'Frame Dimensions - D'!G69),IF('Frame Dimensions - C'!G69="",0,'Frame Dimensions - C'!G69))</f>
        <v>0</v>
      </c>
      <c r="H69" s="580">
        <f>IF(DRIVE_Type="Direct",IF('Frame Dimensions - D'!H69="",0,'Frame Dimensions - D'!H69),IF('Frame Dimensions - C'!H69="",0,'Frame Dimensions - C'!H69))</f>
        <v>0</v>
      </c>
      <c r="I69" s="603">
        <f>IF(DRIVE_Type="Direct",IF('Frame Dimensions - D'!I69="",0,'Frame Dimensions - D'!I69),IF('Frame Dimensions - C'!I69="",0,'Frame Dimensions - C'!I69))</f>
        <v>0</v>
      </c>
      <c r="J69" s="599">
        <f>IF(DRIVE_Type="Direct",IF('Frame Dimensions - D'!J69="",0,'Frame Dimensions - D'!J69),IF('Frame Dimensions - C'!J69="",0,'Frame Dimensions - C'!J69))</f>
        <v>0</v>
      </c>
      <c r="K69" s="580">
        <f>IF(DRIVE_Type="Direct",IF('Frame Dimensions - D'!K69="",0,'Frame Dimensions - D'!K69),IF('Frame Dimensions - C'!K69="",0,'Frame Dimensions - C'!K69))</f>
        <v>0</v>
      </c>
      <c r="L69" s="600">
        <f>IF(DRIVE_Type="Direct",IF('Frame Dimensions - D'!L69="",0,'Frame Dimensions - D'!L69),IF('Frame Dimensions - C'!L69="",0,'Frame Dimensions - C'!L69))</f>
        <v>0</v>
      </c>
      <c r="M69" s="609">
        <f>IF(DRIVE_Type="Direct",IF('Frame Dimensions - D'!M69="",0,'Frame Dimensions - D'!M69),IF('Frame Dimensions - C'!M69="",0,'Frame Dimensions - C'!M69))</f>
        <v>0</v>
      </c>
      <c r="N69" s="608">
        <f>IF(DRIVE_Type="Direct",IF('Frame Dimensions - D'!N69="",0,'Frame Dimensions - D'!N69),IF('Frame Dimensions - C'!N69="",0,'Frame Dimensions - C'!N69))</f>
        <v>0</v>
      </c>
      <c r="O69" s="601">
        <f>IF(DRIVE_Type="Direct",IF('Frame Dimensions - D'!O69="",0,'Frame Dimensions - D'!O69),IF('Frame Dimensions - C'!O69="",0,'Frame Dimensions - C'!O69))</f>
        <v>0</v>
      </c>
      <c r="P69" s="584">
        <f>IF(DRIVE_Type="Direct",IF('Frame Dimensions - D'!P69="",0,'Frame Dimensions - D'!P69),IF('Frame Dimensions - C'!P69="",0,'Frame Dimensions - C'!P69))</f>
        <v>0</v>
      </c>
      <c r="Q69" s="1450">
        <f>IF(DRIVE_Type="Direct",IF('Frame Dimensions - D'!Q69="",0,'Frame Dimensions - D'!Q69),IF('Frame Dimensions - C'!Q69="",0,'Frame Dimensions - C'!Q69))</f>
        <v>0</v>
      </c>
      <c r="R69" s="644"/>
      <c r="S69" s="603"/>
      <c r="T69" s="580"/>
      <c r="U69" s="580"/>
      <c r="V69" s="580"/>
      <c r="W69" s="603"/>
      <c r="X69" s="603"/>
      <c r="Y69" s="603"/>
      <c r="Z69" s="603"/>
      <c r="AA69" s="603"/>
      <c r="AB69" s="603"/>
      <c r="AC69" s="603"/>
      <c r="AD69" s="603"/>
      <c r="AE69" s="603"/>
      <c r="AF69" s="603"/>
      <c r="AG69" s="603"/>
      <c r="AH69" s="603"/>
      <c r="AI69" s="603"/>
      <c r="AJ69" s="464"/>
    </row>
    <row r="70" spans="1:36">
      <c r="A70" s="1680"/>
      <c r="B70" s="585">
        <f>IF(DRIVE_Type="Direct",IF('Frame Dimensions - D'!B70="",0,'Frame Dimensions - D'!B70),IF('Frame Dimensions - C'!B70="",0,'Frame Dimensions - C'!B70))</f>
        <v>0</v>
      </c>
      <c r="C70" s="493">
        <f>IF(DRIVE_Type="Direct",IF('Frame Dimensions - D'!C70="",0,'Frame Dimensions - D'!C70),IF('Frame Dimensions - C'!C70="",0,'Frame Dimensions - C'!C70))</f>
        <v>0</v>
      </c>
      <c r="D70" s="580">
        <f>IF(DRIVE_Type="Direct",IF('Frame Dimensions - D'!D70="",0,'Frame Dimensions - D'!D70),IF('Frame Dimensions - C'!D70="",0,'Frame Dimensions - C'!D70))</f>
        <v>0</v>
      </c>
      <c r="E70" s="580">
        <f>IF(DRIVE_Type="Direct",IF('Frame Dimensions - D'!E70="",0,'Frame Dimensions - D'!E70),IF('Frame Dimensions - C'!E70="",0,'Frame Dimensions - C'!E70))</f>
        <v>0</v>
      </c>
      <c r="F70" s="580">
        <f>IF(DRIVE_Type="Direct",IF('Frame Dimensions - D'!F70="",0,'Frame Dimensions - D'!F70),IF('Frame Dimensions - C'!F70="",0,'Frame Dimensions - C'!F70))</f>
        <v>0</v>
      </c>
      <c r="G70" s="580">
        <f>IF(DRIVE_Type="Direct",IF('Frame Dimensions - D'!G70="",0,'Frame Dimensions - D'!G70),IF('Frame Dimensions - C'!G70="",0,'Frame Dimensions - C'!G70))</f>
        <v>0</v>
      </c>
      <c r="H70" s="580">
        <f>IF(DRIVE_Type="Direct",IF('Frame Dimensions - D'!H70="",0,'Frame Dimensions - D'!H70),IF('Frame Dimensions - C'!H70="",0,'Frame Dimensions - C'!H70))</f>
        <v>0</v>
      </c>
      <c r="I70" s="603">
        <f>IF(DRIVE_Type="Direct",IF('Frame Dimensions - D'!I70="",0,'Frame Dimensions - D'!I70),IF('Frame Dimensions - C'!I70="",0,'Frame Dimensions - C'!I70))</f>
        <v>0</v>
      </c>
      <c r="J70" s="609">
        <f>IF(DRIVE_Type="Direct",IF('Frame Dimensions - D'!J70="",0,'Frame Dimensions - D'!J70),IF('Frame Dimensions - C'!J70="",0,'Frame Dimensions - C'!J70))</f>
        <v>0</v>
      </c>
      <c r="K70" s="580">
        <f>IF(DRIVE_Type="Direct",IF('Frame Dimensions - D'!K70="",0,'Frame Dimensions - D'!K70),IF('Frame Dimensions - C'!K70="",0,'Frame Dimensions - C'!K70))</f>
        <v>0</v>
      </c>
      <c r="L70" s="600">
        <f>IF(DRIVE_Type="Direct",IF('Frame Dimensions - D'!L70="",0,'Frame Dimensions - D'!L70),IF('Frame Dimensions - C'!L70="",0,'Frame Dimensions - C'!L70))</f>
        <v>0</v>
      </c>
      <c r="M70" s="609">
        <f>IF(DRIVE_Type="Direct",IF('Frame Dimensions - D'!M70="",0,'Frame Dimensions - D'!M70),IF('Frame Dimensions - C'!M70="",0,'Frame Dimensions - C'!M70))</f>
        <v>0</v>
      </c>
      <c r="N70" s="608">
        <f>IF(DRIVE_Type="Direct",IF('Frame Dimensions - D'!N70="",0,'Frame Dimensions - D'!N70),IF('Frame Dimensions - C'!N70="",0,'Frame Dimensions - C'!N70))</f>
        <v>0</v>
      </c>
      <c r="O70" s="601">
        <f>IF(DRIVE_Type="Direct",IF('Frame Dimensions - D'!O70="",0,'Frame Dimensions - D'!O70),IF('Frame Dimensions - C'!O70="",0,'Frame Dimensions - C'!O70))</f>
        <v>0</v>
      </c>
      <c r="P70" s="602">
        <f>IF(DRIVE_Type="Direct",IF('Frame Dimensions - D'!P70="",0,'Frame Dimensions - D'!P70),IF('Frame Dimensions - C'!P70="",0,'Frame Dimensions - C'!P70))</f>
        <v>0</v>
      </c>
      <c r="Q70" s="1454">
        <f>IF(DRIVE_Type="Direct",IF('Frame Dimensions - D'!Q70="",0,'Frame Dimensions - D'!Q70),IF('Frame Dimensions - C'!Q70="",0,'Frame Dimensions - C'!Q70))</f>
        <v>0</v>
      </c>
      <c r="R70" s="644"/>
      <c r="S70" s="603"/>
      <c r="T70" s="603"/>
      <c r="U70" s="603"/>
      <c r="V70" s="603"/>
      <c r="W70" s="603"/>
      <c r="X70" s="603"/>
      <c r="Y70" s="603"/>
      <c r="Z70" s="603"/>
      <c r="AA70" s="603"/>
      <c r="AB70" s="603"/>
      <c r="AC70" s="603"/>
      <c r="AD70" s="603"/>
      <c r="AE70" s="603"/>
      <c r="AF70" s="603"/>
      <c r="AG70" s="603"/>
      <c r="AH70" s="603"/>
      <c r="AI70" s="603"/>
      <c r="AJ70" s="464"/>
    </row>
    <row r="71" spans="1:36">
      <c r="A71" s="604"/>
      <c r="B71" s="604">
        <f>IF(DRIVE_Type="Direct",IF('Frame Dimensions - D'!B71="",0,'Frame Dimensions - D'!B71),IF('Frame Dimensions - C'!B71="",0,'Frame Dimensions - C'!B71))</f>
        <v>0</v>
      </c>
      <c r="C71" s="493">
        <f>IF(DRIVE_Type="Direct",IF('Frame Dimensions - D'!C71="",0,'Frame Dimensions - D'!C71),IF('Frame Dimensions - C'!C71="",0,'Frame Dimensions - C'!C71))</f>
        <v>0</v>
      </c>
      <c r="D71" s="580">
        <f>IF(DRIVE_Type="Direct",IF('Frame Dimensions - D'!D71="",0,'Frame Dimensions - D'!D71),IF('Frame Dimensions - C'!D71="",0,'Frame Dimensions - C'!D71))</f>
        <v>0</v>
      </c>
      <c r="E71" s="580">
        <f>IF(DRIVE_Type="Direct",IF('Frame Dimensions - D'!E71="",0,'Frame Dimensions - D'!E71),IF('Frame Dimensions - C'!E71="",0,'Frame Dimensions - C'!E71))</f>
        <v>0</v>
      </c>
      <c r="F71" s="580">
        <f>IF(DRIVE_Type="Direct",IF('Frame Dimensions - D'!F71="",0,'Frame Dimensions - D'!F71),IF('Frame Dimensions - C'!F71="",0,'Frame Dimensions - C'!F71))</f>
        <v>0</v>
      </c>
      <c r="G71" s="580">
        <f>IF(DRIVE_Type="Direct",IF('Frame Dimensions - D'!G71="",0,'Frame Dimensions - D'!G71),IF('Frame Dimensions - C'!G71="",0,'Frame Dimensions - C'!G71))</f>
        <v>0</v>
      </c>
      <c r="H71" s="580">
        <f>IF(DRIVE_Type="Direct",IF('Frame Dimensions - D'!H71="",0,'Frame Dimensions - D'!H71),IF('Frame Dimensions - C'!H71="",0,'Frame Dimensions - C'!H71))</f>
        <v>0</v>
      </c>
      <c r="I71" s="603">
        <f>IF(DRIVE_Type="Direct",IF('Frame Dimensions - D'!I71="",0,'Frame Dimensions - D'!I71),IF('Frame Dimensions - C'!I71="",0,'Frame Dimensions - C'!I71))</f>
        <v>0</v>
      </c>
      <c r="J71" s="1920">
        <f>IF(DRIVE_Type="Direct",IF('Frame Dimensions - D'!J71="",0,'Frame Dimensions - D'!J71),IF('Frame Dimensions - C'!J71="",0,'Frame Dimensions - C'!J71))</f>
        <v>0</v>
      </c>
      <c r="K71" s="1918">
        <f>IF(DRIVE_Type="Direct",IF('Frame Dimensions - D'!K71="",0,'Frame Dimensions - D'!K71),IF('Frame Dimensions - C'!K71="",0,'Frame Dimensions - C'!K71))</f>
        <v>0</v>
      </c>
      <c r="L71" s="1918">
        <f>IF(DRIVE_Type="Direct",IF('Frame Dimensions - D'!L71="",0,'Frame Dimensions - D'!L71),IF('Frame Dimensions - C'!L71="",0,'Frame Dimensions - C'!L71))</f>
        <v>0</v>
      </c>
      <c r="M71" s="1917">
        <f>IF(DRIVE_Type="Direct",IF('Frame Dimensions - D'!M71="",0,'Frame Dimensions - D'!M71),IF('Frame Dimensions - C'!M71="",0,'Frame Dimensions - C'!M71))</f>
        <v>0</v>
      </c>
      <c r="N71" s="1918">
        <f>IF(DRIVE_Type="Direct",IF('Frame Dimensions - D'!N71="",0,'Frame Dimensions - D'!N71),IF('Frame Dimensions - C'!N71="",0,'Frame Dimensions - C'!N71))</f>
        <v>0</v>
      </c>
      <c r="O71" s="1919">
        <f>IF(DRIVE_Type="Direct",IF('Frame Dimensions - D'!O71="",0,'Frame Dimensions - D'!O71),IF('Frame Dimensions - C'!O71="",0,'Frame Dimensions - C'!O71))</f>
        <v>0</v>
      </c>
      <c r="P71" s="584">
        <f>IF(DRIVE_Type="Direct",IF('Frame Dimensions - D'!P71="",0,'Frame Dimensions - D'!P71),IF('Frame Dimensions - C'!P71="",0,'Frame Dimensions - C'!P71))</f>
        <v>0</v>
      </c>
      <c r="Q71" s="1450">
        <f>IF(DRIVE_Type="Direct",IF('Frame Dimensions - D'!Q71="",0,'Frame Dimensions - D'!Q71),IF('Frame Dimensions - C'!Q71="",0,'Frame Dimensions - C'!Q71))</f>
        <v>0</v>
      </c>
      <c r="R71" s="644"/>
      <c r="S71" s="603"/>
      <c r="T71" s="603"/>
      <c r="U71" s="603"/>
      <c r="V71" s="603"/>
      <c r="W71" s="603"/>
      <c r="X71" s="603"/>
      <c r="Y71" s="603"/>
      <c r="Z71" s="603"/>
      <c r="AA71" s="603"/>
      <c r="AB71" s="603"/>
      <c r="AC71" s="603"/>
      <c r="AD71" s="603"/>
      <c r="AE71" s="603"/>
      <c r="AF71" s="603"/>
      <c r="AG71" s="603"/>
      <c r="AH71" s="603"/>
      <c r="AI71" s="603"/>
      <c r="AJ71" s="464"/>
    </row>
    <row r="72" spans="1:36">
      <c r="A72" s="604"/>
      <c r="B72" s="633">
        <f>IF(DRIVE_Type="Direct",IF('Frame Dimensions - D'!B72="",0,'Frame Dimensions - D'!B72),IF('Frame Dimensions - C'!B72="",0,'Frame Dimensions - C'!B72))</f>
        <v>0</v>
      </c>
      <c r="C72" s="479">
        <f>IF(DRIVE_Type="Direct",IF('Frame Dimensions - D'!C72="",0,'Frame Dimensions - D'!C72),IF('Frame Dimensions - C'!C72="",0,'Frame Dimensions - C'!C72))</f>
        <v>0</v>
      </c>
      <c r="D72" s="479">
        <f>IF(DRIVE_Type="Direct",IF('Frame Dimensions - D'!D72="",0,'Frame Dimensions - D'!D72),IF('Frame Dimensions - C'!D72="",0,'Frame Dimensions - C'!D72))</f>
        <v>0</v>
      </c>
      <c r="E72" s="479">
        <f>IF(DRIVE_Type="Direct",IF('Frame Dimensions - D'!E72="",0,'Frame Dimensions - D'!E72),IF('Frame Dimensions - C'!E72="",0,'Frame Dimensions - C'!E72))</f>
        <v>0</v>
      </c>
      <c r="F72" s="479">
        <f>IF(DRIVE_Type="Direct",IF('Frame Dimensions - D'!F72="",0,'Frame Dimensions - D'!F72),IF('Frame Dimensions - C'!F72="",0,'Frame Dimensions - C'!F72))</f>
        <v>0</v>
      </c>
      <c r="G72" s="479">
        <f>IF(DRIVE_Type="Direct",IF('Frame Dimensions - D'!G72="",0,'Frame Dimensions - D'!G72),IF('Frame Dimensions - C'!G72="",0,'Frame Dimensions - C'!G72))</f>
        <v>0</v>
      </c>
      <c r="H72" s="479">
        <f>IF(DRIVE_Type="Direct",IF('Frame Dimensions - D'!H72="",0,'Frame Dimensions - D'!H72),IF('Frame Dimensions - C'!H72="",0,'Frame Dimensions - C'!H72))</f>
        <v>0</v>
      </c>
      <c r="I72" s="479">
        <f>IF(DRIVE_Type="Direct",IF('Frame Dimensions - D'!I72="",0,'Frame Dimensions - D'!I72),IF('Frame Dimensions - C'!I72="",0,'Frame Dimensions - C'!I72))</f>
        <v>0</v>
      </c>
      <c r="J72" s="618">
        <f>IF(DRIVE_Type="Direct",IF('Frame Dimensions - D'!J72="",0,'Frame Dimensions - D'!J72),IF('Frame Dimensions - C'!J72="",0,'Frame Dimensions - C'!J72))</f>
        <v>0</v>
      </c>
      <c r="K72" s="616">
        <f>IF(DRIVE_Type="Direct",IF('Frame Dimensions - D'!K72="",0,'Frame Dimensions - D'!K72),IF('Frame Dimensions - C'!K72="",0,'Frame Dimensions - C'!K72))</f>
        <v>0</v>
      </c>
      <c r="L72" s="616">
        <f>IF(DRIVE_Type="Direct",IF('Frame Dimensions - D'!L72="",0,'Frame Dimensions - D'!L72),IF('Frame Dimensions - C'!L72="",0,'Frame Dimensions - C'!L72))</f>
        <v>0</v>
      </c>
      <c r="M72" s="618">
        <f>IF(DRIVE_Type="Direct",IF('Frame Dimensions - D'!M72="",0,'Frame Dimensions - D'!M72),IF('Frame Dimensions - C'!M72="",0,'Frame Dimensions - C'!M72))</f>
        <v>0</v>
      </c>
      <c r="N72" s="616">
        <f>IF(DRIVE_Type="Direct",IF('Frame Dimensions - D'!N72="",0,'Frame Dimensions - D'!N72),IF('Frame Dimensions - C'!N72="",0,'Frame Dimensions - C'!N72))</f>
        <v>0</v>
      </c>
      <c r="O72" s="634">
        <f>IF(DRIVE_Type="Direct",IF('Frame Dimensions - D'!O72="",0,'Frame Dimensions - D'!O72),IF('Frame Dimensions - C'!O72="",0,'Frame Dimensions - C'!O72))</f>
        <v>0</v>
      </c>
      <c r="P72" s="605">
        <f>IF(DRIVE_Type="Direct",IF('Frame Dimensions - D'!P72="",0,'Frame Dimensions - D'!P72),IF('Frame Dimensions - C'!P72="",0,'Frame Dimensions - C'!P72))</f>
        <v>0</v>
      </c>
      <c r="Q72" s="1455">
        <f>IF(DRIVE_Type="Direct",IF('Frame Dimensions - D'!Q72="",0,'Frame Dimensions - D'!Q72),IF('Frame Dimensions - C'!Q72="",0,'Frame Dimensions - C'!Q72))</f>
        <v>0</v>
      </c>
      <c r="R72" s="644"/>
      <c r="S72" s="603"/>
      <c r="T72" s="603"/>
      <c r="U72" s="603"/>
      <c r="V72" s="603"/>
      <c r="W72" s="603"/>
      <c r="X72" s="603"/>
      <c r="Y72" s="603"/>
      <c r="Z72" s="603"/>
      <c r="AA72" s="603"/>
      <c r="AB72" s="603"/>
      <c r="AC72" s="603"/>
      <c r="AD72" s="603"/>
      <c r="AE72" s="603"/>
      <c r="AF72" s="603"/>
      <c r="AG72" s="603"/>
      <c r="AH72" s="603"/>
      <c r="AI72" s="603"/>
      <c r="AJ72" s="464"/>
    </row>
    <row r="73" spans="1:36">
      <c r="A73" s="1937">
        <f>IF(DRIVE_Type="Direct",IF('Frame Dimensions - D'!A73="",0,'Frame Dimensions - D'!A73),IF('Frame Dimensions - C'!A73="",0,'Frame Dimensions - C'!A73))</f>
        <v>0</v>
      </c>
      <c r="B73" s="1904">
        <f>IF(DRIVE_Type="Direct",IF('Frame Dimensions - D'!B73="",0,'Frame Dimensions - D'!B73),IF('Frame Dimensions - C'!B73="",0,'Frame Dimensions - C'!B73))</f>
        <v>0</v>
      </c>
      <c r="C73" s="580">
        <f>IF(DRIVE_Type="Direct",IF('Frame Dimensions - D'!C73="",0,'Frame Dimensions - D'!C73),IF('Frame Dimensions - C'!C73="",0,'Frame Dimensions - C'!C73))</f>
        <v>0</v>
      </c>
      <c r="D73" s="580">
        <f>IF(DRIVE_Type="Direct",IF('Frame Dimensions - D'!D73="",0,'Frame Dimensions - D'!D73),IF('Frame Dimensions - C'!D73="",0,'Frame Dimensions - C'!D73))</f>
        <v>0</v>
      </c>
      <c r="E73" s="580">
        <f>IF(DRIVE_Type="Direct",IF('Frame Dimensions - D'!E73="",0,'Frame Dimensions - D'!E73),IF('Frame Dimensions - C'!E73="",0,'Frame Dimensions - C'!E73))</f>
        <v>0</v>
      </c>
      <c r="F73" s="580">
        <f>IF(DRIVE_Type="Direct",IF('Frame Dimensions - D'!F73="",0,'Frame Dimensions - D'!F73),IF('Frame Dimensions - C'!F73="",0,'Frame Dimensions - C'!F73))</f>
        <v>0</v>
      </c>
      <c r="G73" s="493">
        <f>IF(DRIVE_Type="Direct",IF('Frame Dimensions - D'!G73="",0,'Frame Dimensions - D'!G73),IF('Frame Dimensions - C'!G73="",0,'Frame Dimensions - C'!G73))</f>
        <v>0</v>
      </c>
      <c r="H73" s="580">
        <f>IF(DRIVE_Type="Direct",IF('Frame Dimensions - D'!H73="",0,'Frame Dimensions - D'!H73),IF('Frame Dimensions - C'!H73="",0,'Frame Dimensions - C'!H73))</f>
        <v>0</v>
      </c>
      <c r="I73" s="603">
        <f>IF(DRIVE_Type="Direct",IF('Frame Dimensions - D'!I73="",0,'Frame Dimensions - D'!I73),IF('Frame Dimensions - C'!I73="",0,'Frame Dimensions - C'!I73))</f>
        <v>0</v>
      </c>
      <c r="J73" s="599">
        <f>IF(DRIVE_Type="Direct",IF('Frame Dimensions - D'!J73="",0,'Frame Dimensions - D'!J73),IF('Frame Dimensions - C'!J73="",0,'Frame Dimensions - C'!J73))</f>
        <v>0</v>
      </c>
      <c r="K73" s="608">
        <f>IF(DRIVE_Type="Direct",IF('Frame Dimensions - D'!K73="",0,'Frame Dimensions - D'!K73),IF('Frame Dimensions - C'!K73="",0,'Frame Dimensions - C'!K73))</f>
        <v>0</v>
      </c>
      <c r="L73" s="610">
        <f>IF(DRIVE_Type="Direct",IF('Frame Dimensions - D'!L73="",0,'Frame Dimensions - D'!L73),IF('Frame Dimensions - C'!L73="",0,'Frame Dimensions - C'!L73))</f>
        <v>0</v>
      </c>
      <c r="M73" s="609">
        <f>IF(DRIVE_Type="Direct",IF('Frame Dimensions - D'!M73="",0,'Frame Dimensions - D'!M73),IF('Frame Dimensions - C'!M73="",0,'Frame Dimensions - C'!M73))</f>
        <v>0</v>
      </c>
      <c r="N73" s="608">
        <f>IF(DRIVE_Type="Direct",IF('Frame Dimensions - D'!N73="",0,'Frame Dimensions - D'!N73),IF('Frame Dimensions - C'!N73="",0,'Frame Dimensions - C'!N73))</f>
        <v>0</v>
      </c>
      <c r="O73" s="611">
        <f>IF(DRIVE_Type="Direct",IF('Frame Dimensions - D'!O73="",0,'Frame Dimensions - D'!O73),IF('Frame Dimensions - C'!O73="",0,'Frame Dimensions - C'!O73))</f>
        <v>0</v>
      </c>
      <c r="P73" s="632">
        <f>IF(DRIVE_Type="Direct",IF('Frame Dimensions - D'!P73="",0,'Frame Dimensions - D'!P73),IF('Frame Dimensions - C'!P73="",0,'Frame Dimensions - C'!P73))</f>
        <v>0</v>
      </c>
      <c r="Q73" s="1456">
        <f>IF(DRIVE_Type="Direct",IF('Frame Dimensions - D'!Q73="",0,'Frame Dimensions - D'!Q73),IF('Frame Dimensions - C'!Q73="",0,'Frame Dimensions - C'!Q73))</f>
        <v>0</v>
      </c>
      <c r="R73" s="644"/>
      <c r="S73" s="603"/>
      <c r="T73" s="603"/>
      <c r="U73" s="580"/>
      <c r="V73" s="603"/>
      <c r="W73" s="603"/>
      <c r="X73" s="603"/>
      <c r="Y73" s="603"/>
      <c r="Z73" s="603"/>
      <c r="AA73" s="603"/>
      <c r="AB73" s="603"/>
      <c r="AC73" s="603"/>
      <c r="AD73" s="603"/>
      <c r="AE73" s="603"/>
      <c r="AF73" s="603"/>
      <c r="AG73" s="603"/>
      <c r="AH73" s="603"/>
      <c r="AI73" s="603"/>
      <c r="AJ73" s="464"/>
    </row>
    <row r="74" spans="1:36">
      <c r="B74" s="1648">
        <f>IF(DRIVE_Type="Direct",IF('Frame Dimensions - D'!B74="",0,'Frame Dimensions - D'!B74),IF('Frame Dimensions - C'!B74="",0,'Frame Dimensions - C'!B74))</f>
        <v>0</v>
      </c>
      <c r="C74" s="600">
        <f>IF(DRIVE_Type="Direct",IF('Frame Dimensions - D'!C74="",0,'Frame Dimensions - D'!C74),IF('Frame Dimensions - C'!C74="",0,'Frame Dimensions - C'!C74))</f>
        <v>0</v>
      </c>
      <c r="D74" s="580">
        <f>IF(DRIVE_Type="Direct",IF('Frame Dimensions - D'!D74="",0,'Frame Dimensions - D'!D74),IF('Frame Dimensions - C'!D74="",0,'Frame Dimensions - C'!D74))</f>
        <v>0</v>
      </c>
      <c r="E74" s="600">
        <f>IF(DRIVE_Type="Direct",IF('Frame Dimensions - D'!E74="",0,'Frame Dimensions - D'!E74),IF('Frame Dimensions - C'!E74="",0,'Frame Dimensions - C'!E74))</f>
        <v>0</v>
      </c>
      <c r="F74" s="600">
        <f>IF(DRIVE_Type="Direct",IF('Frame Dimensions - D'!F74="",0,'Frame Dimensions - D'!F74),IF('Frame Dimensions - C'!F74="",0,'Frame Dimensions - C'!F74))</f>
        <v>0</v>
      </c>
      <c r="G74" s="600">
        <f>IF(DRIVE_Type="Direct",IF('Frame Dimensions - D'!G74="",0,'Frame Dimensions - D'!G74),IF('Frame Dimensions - C'!G74="",0,'Frame Dimensions - C'!G74))</f>
        <v>0</v>
      </c>
      <c r="H74" s="600">
        <f>IF(DRIVE_Type="Direct",IF('Frame Dimensions - D'!H74="",0,'Frame Dimensions - D'!H74),IF('Frame Dimensions - C'!H74="",0,'Frame Dimensions - C'!H74))</f>
        <v>0</v>
      </c>
      <c r="I74" s="580">
        <f>IF(DRIVE_Type="Direct",IF('Frame Dimensions - D'!I74="",0,'Frame Dimensions - D'!I74),IF('Frame Dimensions - C'!I74="",0,'Frame Dimensions - C'!I74))</f>
        <v>0</v>
      </c>
      <c r="J74" s="609">
        <f>IF(DRIVE_Type="Direct",IF('Frame Dimensions - D'!J74="",0,'Frame Dimensions - D'!J74),IF('Frame Dimensions - C'!J74="",0,'Frame Dimensions - C'!J74))</f>
        <v>0</v>
      </c>
      <c r="K74" s="608">
        <f>IF(DRIVE_Type="Direct",IF('Frame Dimensions - D'!K74="",0,'Frame Dimensions - D'!K74),IF('Frame Dimensions - C'!K74="",0,'Frame Dimensions - C'!K74))</f>
        <v>0</v>
      </c>
      <c r="L74" s="610">
        <f>IF(DRIVE_Type="Direct",IF('Frame Dimensions - D'!L74="",0,'Frame Dimensions - D'!L74),IF('Frame Dimensions - C'!L74="",0,'Frame Dimensions - C'!L74))</f>
        <v>0</v>
      </c>
      <c r="M74" s="609">
        <f>IF(DRIVE_Type="Direct",IF('Frame Dimensions - D'!M74="",0,'Frame Dimensions - D'!M74),IF('Frame Dimensions - C'!M74="",0,'Frame Dimensions - C'!M74))</f>
        <v>0</v>
      </c>
      <c r="N74" s="608">
        <f>IF(DRIVE_Type="Direct",IF('Frame Dimensions - D'!N74="",0,'Frame Dimensions - D'!N74),IF('Frame Dimensions - C'!N74="",0,'Frame Dimensions - C'!N74))</f>
        <v>0</v>
      </c>
      <c r="O74" s="611">
        <f>IF(DRIVE_Type="Direct",IF('Frame Dimensions - D'!O74="",0,'Frame Dimensions - D'!O74),IF('Frame Dimensions - C'!O74="",0,'Frame Dimensions - C'!O74))</f>
        <v>0</v>
      </c>
      <c r="P74" s="584">
        <f>IF(DRIVE_Type="Direct",IF('Frame Dimensions - D'!P74="",0,'Frame Dimensions - D'!P74),IF('Frame Dimensions - C'!P74="",0,'Frame Dimensions - C'!P74))</f>
        <v>0</v>
      </c>
      <c r="Q74" s="1450">
        <f>IF(DRIVE_Type="Direct",IF('Frame Dimensions - D'!Q74="",0,'Frame Dimensions - D'!Q74),IF('Frame Dimensions - C'!Q74="",0,'Frame Dimensions - C'!Q74))</f>
        <v>0</v>
      </c>
      <c r="R74" s="644"/>
      <c r="S74" s="603"/>
      <c r="T74" s="603"/>
      <c r="U74" s="580"/>
      <c r="V74" s="603"/>
      <c r="W74" s="603"/>
      <c r="X74" s="603"/>
      <c r="Y74" s="603"/>
      <c r="Z74" s="603"/>
      <c r="AA74" s="603"/>
      <c r="AB74" s="603"/>
      <c r="AC74" s="603"/>
      <c r="AD74" s="603"/>
      <c r="AE74" s="603"/>
      <c r="AF74" s="603"/>
      <c r="AG74" s="603"/>
      <c r="AH74" s="603"/>
      <c r="AI74" s="603"/>
      <c r="AJ74" s="464"/>
    </row>
    <row r="75" spans="1:36">
      <c r="A75" s="622"/>
      <c r="B75" s="642">
        <f>IF(DRIVE_Type="Direct",IF('Frame Dimensions - D'!B75="",0,'Frame Dimensions - D'!B75),IF('Frame Dimensions - C'!B75="",0,'Frame Dimensions - C'!B75))</f>
        <v>0</v>
      </c>
      <c r="C75" s="600">
        <f>IF(DRIVE_Type="Direct",IF('Frame Dimensions - D'!C75="",0,'Frame Dimensions - D'!C75),IF('Frame Dimensions - C'!C75="",0,'Frame Dimensions - C'!C75))</f>
        <v>0</v>
      </c>
      <c r="D75" s="580">
        <f>IF(DRIVE_Type="Direct",IF('Frame Dimensions - D'!D75="",0,'Frame Dimensions - D'!D75),IF('Frame Dimensions - C'!D75="",0,'Frame Dimensions - C'!D75))</f>
        <v>0</v>
      </c>
      <c r="E75" s="600">
        <f>IF(DRIVE_Type="Direct",IF('Frame Dimensions - D'!E75="",0,'Frame Dimensions - D'!E75),IF('Frame Dimensions - C'!E75="",0,'Frame Dimensions - C'!E75))</f>
        <v>0</v>
      </c>
      <c r="F75" s="600">
        <f>IF(DRIVE_Type="Direct",IF('Frame Dimensions - D'!F75="",0,'Frame Dimensions - D'!F75),IF('Frame Dimensions - C'!F75="",0,'Frame Dimensions - C'!F75))</f>
        <v>0</v>
      </c>
      <c r="G75" s="600">
        <f>IF(DRIVE_Type="Direct",IF('Frame Dimensions - D'!G75="",0,'Frame Dimensions - D'!G75),IF('Frame Dimensions - C'!G75="",0,'Frame Dimensions - C'!G75))</f>
        <v>0</v>
      </c>
      <c r="H75" s="493">
        <f>IF(DRIVE_Type="Direct",IF('Frame Dimensions - D'!H75="",0,'Frame Dimensions - D'!H75),IF('Frame Dimensions - C'!H75="",0,'Frame Dimensions - C'!H75))</f>
        <v>0</v>
      </c>
      <c r="I75" s="493">
        <f>IF(DRIVE_Type="Direct",IF('Frame Dimensions - D'!I75="",0,'Frame Dimensions - D'!I75),IF('Frame Dimensions - C'!I75="",0,'Frame Dimensions - C'!I75))</f>
        <v>0</v>
      </c>
      <c r="J75" s="492">
        <f>IF(DRIVE_Type="Direct",IF('Frame Dimensions - D'!J75="",0,'Frame Dimensions - D'!J75),IF('Frame Dimensions - C'!J75="",0,'Frame Dimensions - C'!J75))</f>
        <v>0</v>
      </c>
      <c r="K75" s="608">
        <f>IF(DRIVE_Type="Direct",IF('Frame Dimensions - D'!K75="",0,'Frame Dimensions - D'!K75),IF('Frame Dimensions - C'!K75="",0,'Frame Dimensions - C'!K75))</f>
        <v>0</v>
      </c>
      <c r="L75" s="608">
        <f>IF(DRIVE_Type="Direct",IF('Frame Dimensions - D'!L75="",0,'Frame Dimensions - D'!L75),IF('Frame Dimensions - C'!L75="",0,'Frame Dimensions - C'!L75))</f>
        <v>0</v>
      </c>
      <c r="M75" s="609">
        <f>IF(DRIVE_Type="Direct",IF('Frame Dimensions - D'!M75="",0,'Frame Dimensions - D'!M75),IF('Frame Dimensions - C'!M75="",0,'Frame Dimensions - C'!M75))</f>
        <v>0</v>
      </c>
      <c r="N75" s="608">
        <f>IF(DRIVE_Type="Direct",IF('Frame Dimensions - D'!N75="",0,'Frame Dimensions - D'!N75),IF('Frame Dimensions - C'!N75="",0,'Frame Dimensions - C'!N75))</f>
        <v>0</v>
      </c>
      <c r="O75" s="608">
        <f>IF(DRIVE_Type="Direct",IF('Frame Dimensions - D'!O75="",0,'Frame Dimensions - D'!O75),IF('Frame Dimensions - C'!O75="",0,'Frame Dimensions - C'!O75))</f>
        <v>0</v>
      </c>
      <c r="P75" s="584">
        <f>IF(DRIVE_Type="Direct",IF('Frame Dimensions - D'!P75="",0,'Frame Dimensions - D'!P75),IF('Frame Dimensions - C'!P75="",0,'Frame Dimensions - C'!P75))</f>
        <v>0</v>
      </c>
      <c r="Q75" s="1450">
        <f>IF(DRIVE_Type="Direct",IF('Frame Dimensions - D'!Q75="",0,'Frame Dimensions - D'!Q75),IF('Frame Dimensions - C'!Q75="",0,'Frame Dimensions - C'!Q75))</f>
        <v>0</v>
      </c>
      <c r="R75" s="644"/>
      <c r="S75" s="603"/>
      <c r="T75" s="603"/>
      <c r="U75" s="580"/>
      <c r="V75" s="603"/>
      <c r="W75" s="603"/>
      <c r="X75" s="603"/>
      <c r="Y75" s="603"/>
      <c r="Z75" s="603"/>
      <c r="AA75" s="603"/>
      <c r="AB75" s="603"/>
      <c r="AC75" s="603"/>
      <c r="AD75" s="603"/>
      <c r="AE75" s="603"/>
      <c r="AF75" s="603"/>
      <c r="AG75" s="603"/>
      <c r="AH75" s="603"/>
      <c r="AI75" s="603"/>
      <c r="AJ75" s="464"/>
    </row>
    <row r="76" spans="1:36">
      <c r="A76" s="628"/>
      <c r="B76" s="642">
        <f>IF(DRIVE_Type="Direct",IF('Frame Dimensions - D'!B76="",0,'Frame Dimensions - D'!B76),IF('Frame Dimensions - C'!B76="",0,'Frame Dimensions - C'!B76))</f>
        <v>0</v>
      </c>
      <c r="C76" s="580">
        <f>IF(DRIVE_Type="Direct",IF('Frame Dimensions - D'!C76="",0,'Frame Dimensions - D'!C76),IF('Frame Dimensions - C'!C76="",0,'Frame Dimensions - C'!C76))</f>
        <v>0</v>
      </c>
      <c r="D76" s="580">
        <f>IF(DRIVE_Type="Direct",IF('Frame Dimensions - D'!D76="",0,'Frame Dimensions - D'!D76),IF('Frame Dimensions - C'!D76="",0,'Frame Dimensions - C'!D76))</f>
        <v>0</v>
      </c>
      <c r="E76" s="580">
        <f>IF(DRIVE_Type="Direct",IF('Frame Dimensions - D'!E76="",0,'Frame Dimensions - D'!E76),IF('Frame Dimensions - C'!E76="",0,'Frame Dimensions - C'!E76))</f>
        <v>0</v>
      </c>
      <c r="F76" s="580">
        <f>IF(DRIVE_Type="Direct",IF('Frame Dimensions - D'!F76="",0,'Frame Dimensions - D'!F76),IF('Frame Dimensions - C'!F76="",0,'Frame Dimensions - C'!F76))</f>
        <v>0</v>
      </c>
      <c r="G76" s="580">
        <f>IF(DRIVE_Type="Direct",IF('Frame Dimensions - D'!G76="",0,'Frame Dimensions - D'!G76),IF('Frame Dimensions - C'!G76="",0,'Frame Dimensions - C'!G76))</f>
        <v>0</v>
      </c>
      <c r="H76" s="580">
        <f>IF(DRIVE_Type="Direct",IF('Frame Dimensions - D'!H76="",0,'Frame Dimensions - D'!H76),IF('Frame Dimensions - C'!H76="",0,'Frame Dimensions - C'!H76))</f>
        <v>0</v>
      </c>
      <c r="I76" s="580">
        <f>IF(DRIVE_Type="Direct",IF('Frame Dimensions - D'!I76="",0,'Frame Dimensions - D'!I76),IF('Frame Dimensions - C'!I76="",0,'Frame Dimensions - C'!I76))</f>
        <v>0</v>
      </c>
      <c r="J76" s="609">
        <f>IF(DRIVE_Type="Direct",IF('Frame Dimensions - D'!J76="",0,'Frame Dimensions - D'!J76),IF('Frame Dimensions - C'!J76="",0,'Frame Dimensions - C'!J76))</f>
        <v>0</v>
      </c>
      <c r="K76" s="608">
        <f>IF(DRIVE_Type="Direct",IF('Frame Dimensions - D'!K76="",0,'Frame Dimensions - D'!K76),IF('Frame Dimensions - C'!K76="",0,'Frame Dimensions - C'!K76))</f>
        <v>0</v>
      </c>
      <c r="L76" s="608">
        <f>IF(DRIVE_Type="Direct",IF('Frame Dimensions - D'!L76="",0,'Frame Dimensions - D'!L76),IF('Frame Dimensions - C'!L76="",0,'Frame Dimensions - C'!L76))</f>
        <v>0</v>
      </c>
      <c r="M76" s="609">
        <f>IF(DRIVE_Type="Direct",IF('Frame Dimensions - D'!M76="",0,'Frame Dimensions - D'!M76),IF('Frame Dimensions - C'!M76="",0,'Frame Dimensions - C'!M76))</f>
        <v>0</v>
      </c>
      <c r="N76" s="608">
        <f>IF(DRIVE_Type="Direct",IF('Frame Dimensions - D'!N76="",0,'Frame Dimensions - D'!N76),IF('Frame Dimensions - C'!N76="",0,'Frame Dimensions - C'!N76))</f>
        <v>0</v>
      </c>
      <c r="O76" s="608">
        <f>IF(DRIVE_Type="Direct",IF('Frame Dimensions - D'!O76="",0,'Frame Dimensions - D'!O76),IF('Frame Dimensions - C'!O76="",0,'Frame Dimensions - C'!O76))</f>
        <v>0</v>
      </c>
      <c r="P76" s="602">
        <f>IF(DRIVE_Type="Direct",IF('Frame Dimensions - D'!P76="",0,'Frame Dimensions - D'!P76),IF('Frame Dimensions - C'!P76="",0,'Frame Dimensions - C'!P76))</f>
        <v>0</v>
      </c>
      <c r="Q76" s="1454">
        <f>IF(DRIVE_Type="Direct",IF('Frame Dimensions - D'!Q76="",0,'Frame Dimensions - D'!Q76),IF('Frame Dimensions - C'!Q76="",0,'Frame Dimensions - C'!Q76))</f>
        <v>0</v>
      </c>
      <c r="R76" s="644"/>
      <c r="S76" s="603"/>
      <c r="T76" s="603"/>
      <c r="U76" s="580"/>
      <c r="V76" s="603"/>
      <c r="W76" s="603"/>
      <c r="X76" s="603"/>
      <c r="Y76" s="603"/>
      <c r="Z76" s="603"/>
      <c r="AA76" s="603"/>
      <c r="AB76" s="603"/>
      <c r="AC76" s="603"/>
      <c r="AD76" s="603"/>
      <c r="AE76" s="603"/>
      <c r="AF76" s="603"/>
      <c r="AG76" s="603"/>
      <c r="AH76" s="603"/>
      <c r="AI76" s="603"/>
      <c r="AJ76" s="464"/>
    </row>
    <row r="77" spans="1:36">
      <c r="A77" s="1682"/>
      <c r="B77" s="579">
        <f>IF(DRIVE_Type="Direct",IF('Frame Dimensions - D'!B77="",0,'Frame Dimensions - D'!B77),IF('Frame Dimensions - C'!B77="",0,'Frame Dimensions - C'!B77))</f>
        <v>0</v>
      </c>
      <c r="C77" s="580">
        <f>IF(DRIVE_Type="Direct",IF('Frame Dimensions - D'!C77="",0,'Frame Dimensions - D'!C77),IF('Frame Dimensions - C'!C77="",0,'Frame Dimensions - C'!C77))</f>
        <v>0</v>
      </c>
      <c r="D77" s="580">
        <f>IF(DRIVE_Type="Direct",IF('Frame Dimensions - D'!D77="",0,'Frame Dimensions - D'!D77),IF('Frame Dimensions - C'!D77="",0,'Frame Dimensions - C'!D77))</f>
        <v>0</v>
      </c>
      <c r="E77" s="580">
        <f>IF(DRIVE_Type="Direct",IF('Frame Dimensions - D'!E77="",0,'Frame Dimensions - D'!E77),IF('Frame Dimensions - C'!E77="",0,'Frame Dimensions - C'!E77))</f>
        <v>0</v>
      </c>
      <c r="F77" s="580">
        <f>IF(DRIVE_Type="Direct",IF('Frame Dimensions - D'!F77="",0,'Frame Dimensions - D'!F77),IF('Frame Dimensions - C'!F77="",0,'Frame Dimensions - C'!F77))</f>
        <v>0</v>
      </c>
      <c r="G77" s="493">
        <f>IF(DRIVE_Type="Direct",IF('Frame Dimensions - D'!G77="",0,'Frame Dimensions - D'!G77),IF('Frame Dimensions - C'!G77="",0,'Frame Dimensions - C'!G77))</f>
        <v>0</v>
      </c>
      <c r="H77" s="580">
        <f>IF(DRIVE_Type="Direct",IF('Frame Dimensions - D'!H77="",0,'Frame Dimensions - D'!H77),IF('Frame Dimensions - C'!H77="",0,'Frame Dimensions - C'!H77))</f>
        <v>0</v>
      </c>
      <c r="I77" s="603">
        <f>IF(DRIVE_Type="Direct",IF('Frame Dimensions - D'!I77="",0,'Frame Dimensions - D'!I77),IF('Frame Dimensions - C'!I77="",0,'Frame Dimensions - C'!I77))</f>
        <v>0</v>
      </c>
      <c r="J77" s="609">
        <f>IF(DRIVE_Type="Direct",IF('Frame Dimensions - D'!J77="",0,'Frame Dimensions - D'!J77),IF('Frame Dimensions - C'!J77="",0,'Frame Dimensions - C'!J77))</f>
        <v>0</v>
      </c>
      <c r="K77" s="608">
        <f>IF(DRIVE_Type="Direct",IF('Frame Dimensions - D'!K77="",0,'Frame Dimensions - D'!K77),IF('Frame Dimensions - C'!K77="",0,'Frame Dimensions - C'!K77))</f>
        <v>0</v>
      </c>
      <c r="L77" s="610">
        <f>IF(DRIVE_Type="Direct",IF('Frame Dimensions - D'!L77="",0,'Frame Dimensions - D'!L77),IF('Frame Dimensions - C'!L77="",0,'Frame Dimensions - C'!L77))</f>
        <v>0</v>
      </c>
      <c r="M77" s="609">
        <f>IF(DRIVE_Type="Direct",IF('Frame Dimensions - D'!M77="",0,'Frame Dimensions - D'!M77),IF('Frame Dimensions - C'!M77="",0,'Frame Dimensions - C'!M77))</f>
        <v>0</v>
      </c>
      <c r="N77" s="608">
        <f>IF(DRIVE_Type="Direct",IF('Frame Dimensions - D'!N77="",0,'Frame Dimensions - D'!N77),IF('Frame Dimensions - C'!N77="",0,'Frame Dimensions - C'!N77))</f>
        <v>0</v>
      </c>
      <c r="O77" s="612">
        <f>IF(DRIVE_Type="Direct",IF('Frame Dimensions - D'!O77="",0,'Frame Dimensions - D'!O77),IF('Frame Dimensions - C'!O77="",0,'Frame Dimensions - C'!O77))</f>
        <v>0</v>
      </c>
      <c r="P77" s="584">
        <f>IF(DRIVE_Type="Direct",IF('Frame Dimensions - D'!P77="",0,'Frame Dimensions - D'!P77),IF('Frame Dimensions - C'!P77="",0,'Frame Dimensions - C'!P77))</f>
        <v>0</v>
      </c>
      <c r="Q77" s="1450">
        <f>IF(DRIVE_Type="Direct",IF('Frame Dimensions - D'!Q77="",0,'Frame Dimensions - D'!Q77),IF('Frame Dimensions - C'!Q77="",0,'Frame Dimensions - C'!Q77))</f>
        <v>0</v>
      </c>
      <c r="R77" s="644"/>
      <c r="S77" s="603"/>
      <c r="T77" s="603"/>
      <c r="U77" s="639"/>
      <c r="V77" s="603"/>
      <c r="W77" s="603"/>
      <c r="X77" s="603"/>
      <c r="Y77" s="603"/>
      <c r="Z77" s="637"/>
      <c r="AA77" s="637"/>
      <c r="AB77" s="637"/>
      <c r="AC77" s="637"/>
      <c r="AD77" s="637"/>
      <c r="AE77" s="637"/>
      <c r="AF77" s="580"/>
      <c r="AG77" s="580"/>
      <c r="AH77" s="580"/>
      <c r="AI77" s="580"/>
      <c r="AJ77" s="464"/>
    </row>
    <row r="78" spans="1:36">
      <c r="A78" s="1680"/>
      <c r="B78" s="585">
        <f>IF(DRIVE_Type="Direct",IF('Frame Dimensions - D'!B78="",0,'Frame Dimensions - D'!B78),IF('Frame Dimensions - C'!B78="",0,'Frame Dimensions - C'!B78))</f>
        <v>0</v>
      </c>
      <c r="C78" s="493">
        <f>IF(DRIVE_Type="Direct",IF('Frame Dimensions - D'!C78="",0,'Frame Dimensions - D'!C78),IF('Frame Dimensions - C'!C78="",0,'Frame Dimensions - C'!C78))</f>
        <v>0</v>
      </c>
      <c r="D78" s="493">
        <f>IF(DRIVE_Type="Direct",IF('Frame Dimensions - D'!D78="",0,'Frame Dimensions - D'!D78),IF('Frame Dimensions - C'!D78="",0,'Frame Dimensions - C'!D78))</f>
        <v>0</v>
      </c>
      <c r="E78" s="493">
        <f>IF(DRIVE_Type="Direct",IF('Frame Dimensions - D'!E78="",0,'Frame Dimensions - D'!E78),IF('Frame Dimensions - C'!E78="",0,'Frame Dimensions - C'!E78))</f>
        <v>0</v>
      </c>
      <c r="F78" s="493">
        <f>IF(DRIVE_Type="Direct",IF('Frame Dimensions - D'!F78="",0,'Frame Dimensions - D'!F78),IF('Frame Dimensions - C'!F78="",0,'Frame Dimensions - C'!F78))</f>
        <v>0</v>
      </c>
      <c r="G78" s="493">
        <f>IF(DRIVE_Type="Direct",IF('Frame Dimensions - D'!G78="",0,'Frame Dimensions - D'!G78),IF('Frame Dimensions - C'!G78="",0,'Frame Dimensions - C'!G78))</f>
        <v>0</v>
      </c>
      <c r="H78" s="493">
        <f>IF(DRIVE_Type="Direct",IF('Frame Dimensions - D'!H78="",0,'Frame Dimensions - D'!H78),IF('Frame Dimensions - C'!H78="",0,'Frame Dimensions - C'!H78))</f>
        <v>0</v>
      </c>
      <c r="I78" s="493">
        <f>IF(DRIVE_Type="Direct",IF('Frame Dimensions - D'!I78="",0,'Frame Dimensions - D'!I78),IF('Frame Dimensions - C'!I78="",0,'Frame Dimensions - C'!I78))</f>
        <v>0</v>
      </c>
      <c r="J78" s="609">
        <f>IF(DRIVE_Type="Direct",IF('Frame Dimensions - D'!J78="",0,'Frame Dimensions - D'!J78),IF('Frame Dimensions - C'!J78="",0,'Frame Dimensions - C'!J78))</f>
        <v>0</v>
      </c>
      <c r="K78" s="608">
        <f>IF(DRIVE_Type="Direct",IF('Frame Dimensions - D'!K78="",0,'Frame Dimensions - D'!K78),IF('Frame Dimensions - C'!K78="",0,'Frame Dimensions - C'!K78))</f>
        <v>0</v>
      </c>
      <c r="L78" s="610">
        <f>IF(DRIVE_Type="Direct",IF('Frame Dimensions - D'!L78="",0,'Frame Dimensions - D'!L78),IF('Frame Dimensions - C'!L78="",0,'Frame Dimensions - C'!L78))</f>
        <v>0</v>
      </c>
      <c r="M78" s="609">
        <f>IF(DRIVE_Type="Direct",IF('Frame Dimensions - D'!M78="",0,'Frame Dimensions - D'!M78),IF('Frame Dimensions - C'!M78="",0,'Frame Dimensions - C'!M78))</f>
        <v>0</v>
      </c>
      <c r="N78" s="608">
        <f>IF(DRIVE_Type="Direct",IF('Frame Dimensions - D'!N78="",0,'Frame Dimensions - D'!N78),IF('Frame Dimensions - C'!N78="",0,'Frame Dimensions - C'!N78))</f>
        <v>0</v>
      </c>
      <c r="O78" s="612">
        <f>IF(DRIVE_Type="Direct",IF('Frame Dimensions - D'!O78="",0,'Frame Dimensions - D'!O78),IF('Frame Dimensions - C'!O78="",0,'Frame Dimensions - C'!O78))</f>
        <v>0</v>
      </c>
      <c r="P78" s="584">
        <f>IF(DRIVE_Type="Direct",IF('Frame Dimensions - D'!P78="",0,'Frame Dimensions - D'!P78),IF('Frame Dimensions - C'!P78="",0,'Frame Dimensions - C'!P78))</f>
        <v>0</v>
      </c>
      <c r="Q78" s="1450">
        <f>IF(DRIVE_Type="Direct",IF('Frame Dimensions - D'!Q78="",0,'Frame Dimensions - D'!Q78),IF('Frame Dimensions - C'!Q78="",0,'Frame Dimensions - C'!Q78))</f>
        <v>0</v>
      </c>
      <c r="R78" s="640"/>
      <c r="S78" s="580"/>
      <c r="T78" s="580"/>
      <c r="U78" s="636"/>
      <c r="V78" s="636"/>
      <c r="W78" s="636"/>
      <c r="X78" s="636"/>
      <c r="Y78" s="636"/>
      <c r="Z78" s="637"/>
      <c r="AA78" s="637"/>
      <c r="AB78" s="637"/>
      <c r="AC78" s="637"/>
      <c r="AD78" s="637"/>
      <c r="AE78" s="637"/>
      <c r="AF78" s="580"/>
      <c r="AG78" s="580"/>
      <c r="AH78" s="580"/>
      <c r="AI78" s="580"/>
      <c r="AJ78" s="464"/>
    </row>
    <row r="79" spans="1:36">
      <c r="A79" s="604"/>
      <c r="B79" s="604">
        <f>IF(DRIVE_Type="Direct",IF('Frame Dimensions - D'!B79="",0,'Frame Dimensions - D'!B79),IF('Frame Dimensions - C'!B79="",0,'Frame Dimensions - C'!B79))</f>
        <v>0</v>
      </c>
      <c r="C79" s="493">
        <f>IF(DRIVE_Type="Direct",IF('Frame Dimensions - D'!C79="",0,'Frame Dimensions - D'!C79),IF('Frame Dimensions - C'!C79="",0,'Frame Dimensions - C'!C79))</f>
        <v>0</v>
      </c>
      <c r="D79" s="493">
        <f>IF(DRIVE_Type="Direct",IF('Frame Dimensions - D'!D79="",0,'Frame Dimensions - D'!D79),IF('Frame Dimensions - C'!D79="",0,'Frame Dimensions - C'!D79))</f>
        <v>0</v>
      </c>
      <c r="E79" s="493">
        <f>IF(DRIVE_Type="Direct",IF('Frame Dimensions - D'!E79="",0,'Frame Dimensions - D'!E79),IF('Frame Dimensions - C'!E79="",0,'Frame Dimensions - C'!E79))</f>
        <v>0</v>
      </c>
      <c r="F79" s="493">
        <f>IF(DRIVE_Type="Direct",IF('Frame Dimensions - D'!F79="",0,'Frame Dimensions - D'!F79),IF('Frame Dimensions - C'!F79="",0,'Frame Dimensions - C'!F79))</f>
        <v>0</v>
      </c>
      <c r="G79" s="493">
        <f>IF(DRIVE_Type="Direct",IF('Frame Dimensions - D'!G79="",0,'Frame Dimensions - D'!G79),IF('Frame Dimensions - C'!G79="",0,'Frame Dimensions - C'!G79))</f>
        <v>0</v>
      </c>
      <c r="H79" s="493">
        <f>IF(DRIVE_Type="Direct",IF('Frame Dimensions - D'!H79="",0,'Frame Dimensions - D'!H79),IF('Frame Dimensions - C'!H79="",0,'Frame Dimensions - C'!H79))</f>
        <v>0</v>
      </c>
      <c r="I79" s="493">
        <f>IF(DRIVE_Type="Direct",IF('Frame Dimensions - D'!I79="",0,'Frame Dimensions - D'!I79),IF('Frame Dimensions - C'!I79="",0,'Frame Dimensions - C'!I79))</f>
        <v>0</v>
      </c>
      <c r="J79" s="492">
        <f>IF(DRIVE_Type="Direct",IF('Frame Dimensions - D'!J79="",0,'Frame Dimensions - D'!J79),IF('Frame Dimensions - C'!J79="",0,'Frame Dimensions - C'!J79))</f>
        <v>0</v>
      </c>
      <c r="K79" s="608">
        <f>IF(DRIVE_Type="Direct",IF('Frame Dimensions - D'!K79="",0,'Frame Dimensions - D'!K79),IF('Frame Dimensions - C'!K79="",0,'Frame Dimensions - C'!K79))</f>
        <v>0</v>
      </c>
      <c r="L79" s="608">
        <f>IF(DRIVE_Type="Direct",IF('Frame Dimensions - D'!L79="",0,'Frame Dimensions - D'!L79),IF('Frame Dimensions - C'!L79="",0,'Frame Dimensions - C'!L79))</f>
        <v>0</v>
      </c>
      <c r="M79" s="609">
        <f>IF(DRIVE_Type="Direct",IF('Frame Dimensions - D'!M79="",0,'Frame Dimensions - D'!M79),IF('Frame Dimensions - C'!M79="",0,'Frame Dimensions - C'!M79))</f>
        <v>0</v>
      </c>
      <c r="N79" s="608">
        <f>IF(DRIVE_Type="Direct",IF('Frame Dimensions - D'!N79="",0,'Frame Dimensions - D'!N79),IF('Frame Dimensions - C'!N79="",0,'Frame Dimensions - C'!N79))</f>
        <v>0</v>
      </c>
      <c r="O79" s="611">
        <f>IF(DRIVE_Type="Direct",IF('Frame Dimensions - D'!O79="",0,'Frame Dimensions - D'!O79),IF('Frame Dimensions - C'!O79="",0,'Frame Dimensions - C'!O79))</f>
        <v>0</v>
      </c>
      <c r="P79" s="584">
        <f>IF(DRIVE_Type="Direct",IF('Frame Dimensions - D'!P79="",0,'Frame Dimensions - D'!P79),IF('Frame Dimensions - C'!P79="",0,'Frame Dimensions - C'!P79))</f>
        <v>0</v>
      </c>
      <c r="Q79" s="1450">
        <f>IF(DRIVE_Type="Direct",IF('Frame Dimensions - D'!Q79="",0,'Frame Dimensions - D'!Q79),IF('Frame Dimensions - C'!Q79="",0,'Frame Dimensions - C'!Q79))</f>
        <v>0</v>
      </c>
      <c r="R79" s="1189"/>
      <c r="S79" s="603"/>
      <c r="T79" s="603"/>
      <c r="U79" s="603"/>
      <c r="V79" s="603"/>
      <c r="W79" s="603"/>
      <c r="X79" s="603"/>
      <c r="Y79" s="603"/>
      <c r="Z79" s="603"/>
      <c r="AA79" s="603"/>
      <c r="AB79" s="603"/>
      <c r="AC79" s="603"/>
      <c r="AD79" s="603"/>
      <c r="AE79" s="603"/>
      <c r="AF79" s="603"/>
      <c r="AG79" s="603"/>
      <c r="AH79" s="603"/>
      <c r="AI79" s="603"/>
      <c r="AJ79" s="464"/>
    </row>
    <row r="80" spans="1:36">
      <c r="A80" s="622"/>
      <c r="B80" s="604">
        <f>IF(DRIVE_Type="Direct",IF('Frame Dimensions - D'!B80="",0,'Frame Dimensions - D'!B80),IF('Frame Dimensions - C'!B80="",0,'Frame Dimensions - C'!B80))</f>
        <v>0</v>
      </c>
      <c r="C80" s="493">
        <f>IF(DRIVE_Type="Direct",IF('Frame Dimensions - D'!C80="",0,'Frame Dimensions - D'!C80),IF('Frame Dimensions - C'!C80="",0,'Frame Dimensions - C'!C80))</f>
        <v>0</v>
      </c>
      <c r="D80" s="493">
        <f>IF(DRIVE_Type="Direct",IF('Frame Dimensions - D'!D80="",0,'Frame Dimensions - D'!D80),IF('Frame Dimensions - C'!D80="",0,'Frame Dimensions - C'!D80))</f>
        <v>0</v>
      </c>
      <c r="E80" s="493">
        <f>IF(DRIVE_Type="Direct",IF('Frame Dimensions - D'!E80="",0,'Frame Dimensions - D'!E80),IF('Frame Dimensions - C'!E80="",0,'Frame Dimensions - C'!E80))</f>
        <v>0</v>
      </c>
      <c r="F80" s="493">
        <f>IF(DRIVE_Type="Direct",IF('Frame Dimensions - D'!F80="",0,'Frame Dimensions - D'!F80),IF('Frame Dimensions - C'!F80="",0,'Frame Dimensions - C'!F80))</f>
        <v>0</v>
      </c>
      <c r="G80" s="493">
        <f>IF(DRIVE_Type="Direct",IF('Frame Dimensions - D'!G80="",0,'Frame Dimensions - D'!G80),IF('Frame Dimensions - C'!G80="",0,'Frame Dimensions - C'!G80))</f>
        <v>0</v>
      </c>
      <c r="H80" s="493">
        <f>IF(DRIVE_Type="Direct",IF('Frame Dimensions - D'!H80="",0,'Frame Dimensions - D'!H80),IF('Frame Dimensions - C'!H80="",0,'Frame Dimensions - C'!H80))</f>
        <v>0</v>
      </c>
      <c r="I80" s="493">
        <f>IF(DRIVE_Type="Direct",IF('Frame Dimensions - D'!I80="",0,'Frame Dimensions - D'!I80),IF('Frame Dimensions - C'!I80="",0,'Frame Dimensions - C'!I80))</f>
        <v>0</v>
      </c>
      <c r="J80" s="609">
        <f>IF(DRIVE_Type="Direct",IF('Frame Dimensions - D'!J80="",0,'Frame Dimensions - D'!J80),IF('Frame Dimensions - C'!J80="",0,'Frame Dimensions - C'!J80))</f>
        <v>0</v>
      </c>
      <c r="K80" s="608">
        <f>IF(DRIVE_Type="Direct",IF('Frame Dimensions - D'!K80="",0,'Frame Dimensions - D'!K80),IF('Frame Dimensions - C'!K80="",0,'Frame Dimensions - C'!K80))</f>
        <v>0</v>
      </c>
      <c r="L80" s="608">
        <f>IF(DRIVE_Type="Direct",IF('Frame Dimensions - D'!L80="",0,'Frame Dimensions - D'!L80),IF('Frame Dimensions - C'!L80="",0,'Frame Dimensions - C'!L80))</f>
        <v>0</v>
      </c>
      <c r="M80" s="609">
        <f>IF(DRIVE_Type="Direct",IF('Frame Dimensions - D'!M80="",0,'Frame Dimensions - D'!M80),IF('Frame Dimensions - C'!M80="",0,'Frame Dimensions - C'!M80))</f>
        <v>0</v>
      </c>
      <c r="N80" s="608">
        <f>IF(DRIVE_Type="Direct",IF('Frame Dimensions - D'!N80="",0,'Frame Dimensions - D'!N80),IF('Frame Dimensions - C'!N80="",0,'Frame Dimensions - C'!N80))</f>
        <v>0</v>
      </c>
      <c r="O80" s="611">
        <f>IF(DRIVE_Type="Direct",IF('Frame Dimensions - D'!O80="",0,'Frame Dimensions - D'!O80),IF('Frame Dimensions - C'!O80="",0,'Frame Dimensions - C'!O80))</f>
        <v>0</v>
      </c>
      <c r="P80" s="584">
        <f>IF(DRIVE_Type="Direct",IF('Frame Dimensions - D'!P80="",0,'Frame Dimensions - D'!P80),IF('Frame Dimensions - C'!P80="",0,'Frame Dimensions - C'!P80))</f>
        <v>0</v>
      </c>
      <c r="Q80" s="1450">
        <f>IF(DRIVE_Type="Direct",IF('Frame Dimensions - D'!Q80="",0,'Frame Dimensions - D'!Q80),IF('Frame Dimensions - C'!Q80="",0,'Frame Dimensions - C'!Q80))</f>
        <v>0</v>
      </c>
      <c r="R80" s="1189"/>
      <c r="S80" s="603"/>
      <c r="T80" s="603"/>
      <c r="U80" s="603"/>
      <c r="V80" s="603"/>
      <c r="W80" s="603"/>
      <c r="X80" s="603"/>
      <c r="Y80" s="603"/>
      <c r="Z80" s="603"/>
      <c r="AA80" s="603"/>
      <c r="AB80" s="603"/>
      <c r="AC80" s="603"/>
      <c r="AD80" s="603"/>
      <c r="AE80" s="603"/>
      <c r="AF80" s="603"/>
      <c r="AG80" s="603"/>
      <c r="AH80" s="603"/>
      <c r="AI80" s="603"/>
      <c r="AJ80" s="464"/>
    </row>
    <row r="81" spans="1:36">
      <c r="A81" s="1682"/>
      <c r="B81" s="579">
        <f>IF(DRIVE_Type="Direct",IF('Frame Dimensions - D'!B81="",0,'Frame Dimensions - D'!B81),IF('Frame Dimensions - C'!B81="",0,'Frame Dimensions - C'!B81))</f>
        <v>0</v>
      </c>
      <c r="C81" s="580">
        <f>IF(DRIVE_Type="Direct",IF('Frame Dimensions - D'!C81="",0,'Frame Dimensions - D'!C81),IF('Frame Dimensions - C'!C81="",0,'Frame Dimensions - C'!C81))</f>
        <v>0</v>
      </c>
      <c r="D81" s="580">
        <f>IF(DRIVE_Type="Direct",IF('Frame Dimensions - D'!D81="",0,'Frame Dimensions - D'!D81),IF('Frame Dimensions - C'!D81="",0,'Frame Dimensions - C'!D81))</f>
        <v>0</v>
      </c>
      <c r="E81" s="580">
        <f>IF(DRIVE_Type="Direct",IF('Frame Dimensions - D'!E81="",0,'Frame Dimensions - D'!E81),IF('Frame Dimensions - C'!E81="",0,'Frame Dimensions - C'!E81))</f>
        <v>0</v>
      </c>
      <c r="F81" s="580">
        <f>IF(DRIVE_Type="Direct",IF('Frame Dimensions - D'!F81="",0,'Frame Dimensions - D'!F81),IF('Frame Dimensions - C'!F81="",0,'Frame Dimensions - C'!F81))</f>
        <v>0</v>
      </c>
      <c r="G81" s="493">
        <f>IF(DRIVE_Type="Direct",IF('Frame Dimensions - D'!G81="",0,'Frame Dimensions - D'!G81),IF('Frame Dimensions - C'!G81="",0,'Frame Dimensions - C'!G81))</f>
        <v>0</v>
      </c>
      <c r="H81" s="580">
        <f>IF(DRIVE_Type="Direct",IF('Frame Dimensions - D'!H81="",0,'Frame Dimensions - D'!H81),IF('Frame Dimensions - C'!H81="",0,'Frame Dimensions - C'!H81))</f>
        <v>0</v>
      </c>
      <c r="I81" s="603">
        <f>IF(DRIVE_Type="Direct",IF('Frame Dimensions - D'!I81="",0,'Frame Dimensions - D'!I81),IF('Frame Dimensions - C'!I81="",0,'Frame Dimensions - C'!I81))</f>
        <v>0</v>
      </c>
      <c r="J81" s="609">
        <f>IF(DRIVE_Type="Direct",IF('Frame Dimensions - D'!J81="",0,'Frame Dimensions - D'!J81),IF('Frame Dimensions - C'!J81="",0,'Frame Dimensions - C'!J81))</f>
        <v>0</v>
      </c>
      <c r="K81" s="608">
        <f>IF(DRIVE_Type="Direct",IF('Frame Dimensions - D'!K81="",0,'Frame Dimensions - D'!K81),IF('Frame Dimensions - C'!K81="",0,'Frame Dimensions - C'!K81))</f>
        <v>0</v>
      </c>
      <c r="L81" s="610">
        <f>IF(DRIVE_Type="Direct",IF('Frame Dimensions - D'!L81="",0,'Frame Dimensions - D'!L81),IF('Frame Dimensions - C'!L81="",0,'Frame Dimensions - C'!L81))</f>
        <v>0</v>
      </c>
      <c r="M81" s="609">
        <f>IF(DRIVE_Type="Direct",IF('Frame Dimensions - D'!M81="",0,'Frame Dimensions - D'!M81),IF('Frame Dimensions - C'!M81="",0,'Frame Dimensions - C'!M81))</f>
        <v>0</v>
      </c>
      <c r="N81" s="608">
        <f>IF(DRIVE_Type="Direct",IF('Frame Dimensions - D'!N81="",0,'Frame Dimensions - D'!N81),IF('Frame Dimensions - C'!N81="",0,'Frame Dimensions - C'!N81))</f>
        <v>0</v>
      </c>
      <c r="O81" s="612">
        <f>IF(DRIVE_Type="Direct",IF('Frame Dimensions - D'!O81="",0,'Frame Dimensions - D'!O81),IF('Frame Dimensions - C'!O81="",0,'Frame Dimensions - C'!O81))</f>
        <v>0</v>
      </c>
      <c r="P81" s="584">
        <f>IF(DRIVE_Type="Direct",IF('Frame Dimensions - D'!P81="",0,'Frame Dimensions - D'!P81),IF('Frame Dimensions - C'!P81="",0,'Frame Dimensions - C'!P81))</f>
        <v>0</v>
      </c>
      <c r="Q81" s="1450">
        <f>IF(DRIVE_Type="Direct",IF('Frame Dimensions - D'!Q81="",0,'Frame Dimensions - D'!Q81),IF('Frame Dimensions - C'!Q81="",0,'Frame Dimensions - C'!Q81))</f>
        <v>0</v>
      </c>
      <c r="R81" s="1502"/>
      <c r="S81" s="603"/>
      <c r="T81" s="572"/>
      <c r="U81" s="572"/>
      <c r="V81" s="572"/>
      <c r="W81" s="603"/>
      <c r="X81" s="603"/>
      <c r="Y81" s="603"/>
      <c r="Z81" s="603"/>
      <c r="AA81" s="603"/>
      <c r="AB81" s="603"/>
      <c r="AC81" s="603"/>
      <c r="AD81" s="603"/>
      <c r="AE81" s="603"/>
      <c r="AF81" s="603"/>
      <c r="AG81" s="603"/>
      <c r="AH81" s="603"/>
      <c r="AI81" s="603"/>
      <c r="AJ81" s="464"/>
    </row>
    <row r="82" spans="1:36">
      <c r="A82" s="1680"/>
      <c r="B82" s="585">
        <f>IF(DRIVE_Type="Direct",IF('Frame Dimensions - D'!B82="",0,'Frame Dimensions - D'!B82),IF('Frame Dimensions - C'!B82="",0,'Frame Dimensions - C'!B82))</f>
        <v>0</v>
      </c>
      <c r="C82" s="493">
        <f>IF(DRIVE_Type="Direct",IF('Frame Dimensions - D'!C82="",0,'Frame Dimensions - D'!C82),IF('Frame Dimensions - C'!C82="",0,'Frame Dimensions - C'!C82))</f>
        <v>0</v>
      </c>
      <c r="D82" s="493">
        <f>IF(DRIVE_Type="Direct",IF('Frame Dimensions - D'!D82="",0,'Frame Dimensions - D'!D82),IF('Frame Dimensions - C'!D82="",0,'Frame Dimensions - C'!D82))</f>
        <v>0</v>
      </c>
      <c r="E82" s="493">
        <f>IF(DRIVE_Type="Direct",IF('Frame Dimensions - D'!E82="",0,'Frame Dimensions - D'!E82),IF('Frame Dimensions - C'!E82="",0,'Frame Dimensions - C'!E82))</f>
        <v>0</v>
      </c>
      <c r="F82" s="493">
        <f>IF(DRIVE_Type="Direct",IF('Frame Dimensions - D'!F82="",0,'Frame Dimensions - D'!F82),IF('Frame Dimensions - C'!F82="",0,'Frame Dimensions - C'!F82))</f>
        <v>0</v>
      </c>
      <c r="G82" s="493">
        <f>IF(DRIVE_Type="Direct",IF('Frame Dimensions - D'!G82="",0,'Frame Dimensions - D'!G82),IF('Frame Dimensions - C'!G82="",0,'Frame Dimensions - C'!G82))</f>
        <v>0</v>
      </c>
      <c r="H82" s="493">
        <f>IF(DRIVE_Type="Direct",IF('Frame Dimensions - D'!H82="",0,'Frame Dimensions - D'!H82),IF('Frame Dimensions - C'!H82="",0,'Frame Dimensions - C'!H82))</f>
        <v>0</v>
      </c>
      <c r="I82" s="493">
        <f>IF(DRIVE_Type="Direct",IF('Frame Dimensions - D'!I82="",0,'Frame Dimensions - D'!I82),IF('Frame Dimensions - C'!I82="",0,'Frame Dimensions - C'!I82))</f>
        <v>0</v>
      </c>
      <c r="J82" s="609">
        <f>IF(DRIVE_Type="Direct",IF('Frame Dimensions - D'!J82="",0,'Frame Dimensions - D'!J82),IF('Frame Dimensions - C'!J82="",0,'Frame Dimensions - C'!J82))</f>
        <v>0</v>
      </c>
      <c r="K82" s="608">
        <f>IF(DRIVE_Type="Direct",IF('Frame Dimensions - D'!K82="",0,'Frame Dimensions - D'!K82),IF('Frame Dimensions - C'!K82="",0,'Frame Dimensions - C'!K82))</f>
        <v>0</v>
      </c>
      <c r="L82" s="610">
        <f>IF(DRIVE_Type="Direct",IF('Frame Dimensions - D'!L82="",0,'Frame Dimensions - D'!L82),IF('Frame Dimensions - C'!L82="",0,'Frame Dimensions - C'!L82))</f>
        <v>0</v>
      </c>
      <c r="M82" s="609">
        <f>IF(DRIVE_Type="Direct",IF('Frame Dimensions - D'!M82="",0,'Frame Dimensions - D'!M82),IF('Frame Dimensions - C'!M82="",0,'Frame Dimensions - C'!M82))</f>
        <v>0</v>
      </c>
      <c r="N82" s="608">
        <f>IF(DRIVE_Type="Direct",IF('Frame Dimensions - D'!N82="",0,'Frame Dimensions - D'!N82),IF('Frame Dimensions - C'!N82="",0,'Frame Dimensions - C'!N82))</f>
        <v>0</v>
      </c>
      <c r="O82" s="612">
        <f>IF(DRIVE_Type="Direct",IF('Frame Dimensions - D'!O82="",0,'Frame Dimensions - D'!O82),IF('Frame Dimensions - C'!O82="",0,'Frame Dimensions - C'!O82))</f>
        <v>0</v>
      </c>
      <c r="P82" s="584">
        <f>IF(DRIVE_Type="Direct",IF('Frame Dimensions - D'!P82="",0,'Frame Dimensions - D'!P82),IF('Frame Dimensions - C'!P82="",0,'Frame Dimensions - C'!P82))</f>
        <v>0</v>
      </c>
      <c r="Q82" s="1450">
        <f>IF(DRIVE_Type="Direct",IF('Frame Dimensions - D'!Q82="",0,'Frame Dimensions - D'!Q82),IF('Frame Dimensions - C'!Q82="",0,'Frame Dimensions - C'!Q82))</f>
        <v>0</v>
      </c>
      <c r="R82" s="1189"/>
      <c r="S82" s="603"/>
      <c r="T82" s="603"/>
      <c r="U82" s="603"/>
      <c r="V82" s="603"/>
      <c r="W82" s="603"/>
      <c r="X82" s="603"/>
      <c r="Y82" s="603"/>
      <c r="Z82" s="603"/>
      <c r="AA82" s="603"/>
      <c r="AB82" s="603"/>
      <c r="AC82" s="603"/>
      <c r="AD82" s="603"/>
      <c r="AE82" s="603"/>
      <c r="AF82" s="603"/>
      <c r="AG82" s="603"/>
      <c r="AH82" s="603"/>
      <c r="AI82" s="603"/>
      <c r="AJ82" s="464"/>
    </row>
    <row r="83" spans="1:36">
      <c r="A83" s="604"/>
      <c r="B83" s="604">
        <f>IF(DRIVE_Type="Direct",IF('Frame Dimensions - D'!B83="",0,'Frame Dimensions - D'!B83),IF('Frame Dimensions - C'!B83="",0,'Frame Dimensions - C'!B83))</f>
        <v>0</v>
      </c>
      <c r="C83" s="493">
        <f>IF(DRIVE_Type="Direct",IF('Frame Dimensions - D'!C83="",0,'Frame Dimensions - D'!C83),IF('Frame Dimensions - C'!C83="",0,'Frame Dimensions - C'!C83))</f>
        <v>0</v>
      </c>
      <c r="D83" s="493">
        <f>IF(DRIVE_Type="Direct",IF('Frame Dimensions - D'!D83="",0,'Frame Dimensions - D'!D83),IF('Frame Dimensions - C'!D83="",0,'Frame Dimensions - C'!D83))</f>
        <v>0</v>
      </c>
      <c r="E83" s="493">
        <f>IF(DRIVE_Type="Direct",IF('Frame Dimensions - D'!E83="",0,'Frame Dimensions - D'!E83),IF('Frame Dimensions - C'!E83="",0,'Frame Dimensions - C'!E83))</f>
        <v>0</v>
      </c>
      <c r="F83" s="493">
        <f>IF(DRIVE_Type="Direct",IF('Frame Dimensions - D'!F83="",0,'Frame Dimensions - D'!F83),IF('Frame Dimensions - C'!F83="",0,'Frame Dimensions - C'!F83))</f>
        <v>0</v>
      </c>
      <c r="G83" s="493">
        <f>IF(DRIVE_Type="Direct",IF('Frame Dimensions - D'!G83="",0,'Frame Dimensions - D'!G83),IF('Frame Dimensions - C'!G83="",0,'Frame Dimensions - C'!G83))</f>
        <v>0</v>
      </c>
      <c r="H83" s="493">
        <f>IF(DRIVE_Type="Direct",IF('Frame Dimensions - D'!H83="",0,'Frame Dimensions - D'!H83),IF('Frame Dimensions - C'!H83="",0,'Frame Dimensions - C'!H83))</f>
        <v>0</v>
      </c>
      <c r="I83" s="493">
        <f>IF(DRIVE_Type="Direct",IF('Frame Dimensions - D'!I83="",0,'Frame Dimensions - D'!I83),IF('Frame Dimensions - C'!I83="",0,'Frame Dimensions - C'!I83))</f>
        <v>0</v>
      </c>
      <c r="J83" s="492">
        <f>IF(DRIVE_Type="Direct",IF('Frame Dimensions - D'!J83="",0,'Frame Dimensions - D'!J83),IF('Frame Dimensions - C'!J83="",0,'Frame Dimensions - C'!J83))</f>
        <v>0</v>
      </c>
      <c r="K83" s="608">
        <f>IF(DRIVE_Type="Direct",IF('Frame Dimensions - D'!K83="",0,'Frame Dimensions - D'!K83),IF('Frame Dimensions - C'!K83="",0,'Frame Dimensions - C'!K83))</f>
        <v>0</v>
      </c>
      <c r="L83" s="608">
        <f>IF(DRIVE_Type="Direct",IF('Frame Dimensions - D'!L83="",0,'Frame Dimensions - D'!L83),IF('Frame Dimensions - C'!L83="",0,'Frame Dimensions - C'!L83))</f>
        <v>0</v>
      </c>
      <c r="M83" s="609">
        <f>IF(DRIVE_Type="Direct",IF('Frame Dimensions - D'!M83="",0,'Frame Dimensions - D'!M83),IF('Frame Dimensions - C'!M83="",0,'Frame Dimensions - C'!M83))</f>
        <v>0</v>
      </c>
      <c r="N83" s="608">
        <f>IF(DRIVE_Type="Direct",IF('Frame Dimensions - D'!N83="",0,'Frame Dimensions - D'!N83),IF('Frame Dimensions - C'!N83="",0,'Frame Dimensions - C'!N83))</f>
        <v>0</v>
      </c>
      <c r="O83" s="611">
        <f>IF(DRIVE_Type="Direct",IF('Frame Dimensions - D'!O83="",0,'Frame Dimensions - D'!O83),IF('Frame Dimensions - C'!O83="",0,'Frame Dimensions - C'!O83))</f>
        <v>0</v>
      </c>
      <c r="P83" s="584">
        <f>IF(DRIVE_Type="Direct",IF('Frame Dimensions - D'!P83="",0,'Frame Dimensions - D'!P83),IF('Frame Dimensions - C'!P83="",0,'Frame Dimensions - C'!P83))</f>
        <v>0</v>
      </c>
      <c r="Q83" s="1450">
        <f>IF(DRIVE_Type="Direct",IF('Frame Dimensions - D'!Q83="",0,'Frame Dimensions - D'!Q83),IF('Frame Dimensions - C'!Q83="",0,'Frame Dimensions - C'!Q83))</f>
        <v>0</v>
      </c>
      <c r="R83" s="644"/>
      <c r="S83" s="603"/>
      <c r="T83" s="603"/>
      <c r="U83" s="603"/>
      <c r="V83" s="603"/>
      <c r="W83" s="603"/>
      <c r="X83" s="603"/>
      <c r="Y83" s="603"/>
      <c r="Z83" s="603"/>
      <c r="AA83" s="603"/>
      <c r="AB83" s="603"/>
      <c r="AC83" s="603"/>
      <c r="AD83" s="603"/>
      <c r="AE83" s="603"/>
      <c r="AF83" s="603"/>
      <c r="AG83" s="603"/>
      <c r="AH83" s="603"/>
      <c r="AI83" s="603"/>
      <c r="AJ83" s="464"/>
    </row>
    <row r="84" spans="1:36">
      <c r="A84" s="604"/>
      <c r="B84" s="604">
        <f>IF(DRIVE_Type="Direct",IF('Frame Dimensions - D'!B84="",0,'Frame Dimensions - D'!B84),IF('Frame Dimensions - C'!B84="",0,'Frame Dimensions - C'!B84))</f>
        <v>0</v>
      </c>
      <c r="C84" s="493">
        <f>IF(DRIVE_Type="Direct",IF('Frame Dimensions - D'!C84="",0,'Frame Dimensions - D'!C84),IF('Frame Dimensions - C'!C84="",0,'Frame Dimensions - C'!C84))</f>
        <v>0</v>
      </c>
      <c r="D84" s="493">
        <f>IF(DRIVE_Type="Direct",IF('Frame Dimensions - D'!D84="",0,'Frame Dimensions - D'!D84),IF('Frame Dimensions - C'!D84="",0,'Frame Dimensions - C'!D84))</f>
        <v>0</v>
      </c>
      <c r="E84" s="493">
        <f>IF(DRIVE_Type="Direct",IF('Frame Dimensions - D'!E84="",0,'Frame Dimensions - D'!E84),IF('Frame Dimensions - C'!E84="",0,'Frame Dimensions - C'!E84))</f>
        <v>0</v>
      </c>
      <c r="F84" s="493">
        <f>IF(DRIVE_Type="Direct",IF('Frame Dimensions - D'!F84="",0,'Frame Dimensions - D'!F84),IF('Frame Dimensions - C'!F84="",0,'Frame Dimensions - C'!F84))</f>
        <v>0</v>
      </c>
      <c r="G84" s="493">
        <f>IF(DRIVE_Type="Direct",IF('Frame Dimensions - D'!G84="",0,'Frame Dimensions - D'!G84),IF('Frame Dimensions - C'!G84="",0,'Frame Dimensions - C'!G84))</f>
        <v>0</v>
      </c>
      <c r="H84" s="493">
        <f>IF(DRIVE_Type="Direct",IF('Frame Dimensions - D'!H84="",0,'Frame Dimensions - D'!H84),IF('Frame Dimensions - C'!H84="",0,'Frame Dimensions - C'!H84))</f>
        <v>0</v>
      </c>
      <c r="I84" s="493">
        <f>IF(DRIVE_Type="Direct",IF('Frame Dimensions - D'!I84="",0,'Frame Dimensions - D'!I84),IF('Frame Dimensions - C'!I84="",0,'Frame Dimensions - C'!I84))</f>
        <v>0</v>
      </c>
      <c r="J84" s="609">
        <f>IF(DRIVE_Type="Direct",IF('Frame Dimensions - D'!J84="",0,'Frame Dimensions - D'!J84),IF('Frame Dimensions - C'!J84="",0,'Frame Dimensions - C'!J84))</f>
        <v>0</v>
      </c>
      <c r="K84" s="608">
        <f>IF(DRIVE_Type="Direct",IF('Frame Dimensions - D'!K84="",0,'Frame Dimensions - D'!K84),IF('Frame Dimensions - C'!K84="",0,'Frame Dimensions - C'!K84))</f>
        <v>0</v>
      </c>
      <c r="L84" s="608">
        <f>IF(DRIVE_Type="Direct",IF('Frame Dimensions - D'!L84="",0,'Frame Dimensions - D'!L84),IF('Frame Dimensions - C'!L84="",0,'Frame Dimensions - C'!L84))</f>
        <v>0</v>
      </c>
      <c r="M84" s="609">
        <f>IF(DRIVE_Type="Direct",IF('Frame Dimensions - D'!M84="",0,'Frame Dimensions - D'!M84),IF('Frame Dimensions - C'!M84="",0,'Frame Dimensions - C'!M84))</f>
        <v>0</v>
      </c>
      <c r="N84" s="608">
        <f>IF(DRIVE_Type="Direct",IF('Frame Dimensions - D'!N84="",0,'Frame Dimensions - D'!N84),IF('Frame Dimensions - C'!N84="",0,'Frame Dimensions - C'!N84))</f>
        <v>0</v>
      </c>
      <c r="O84" s="611">
        <f>IF(DRIVE_Type="Direct",IF('Frame Dimensions - D'!O84="",0,'Frame Dimensions - D'!O84),IF('Frame Dimensions - C'!O84="",0,'Frame Dimensions - C'!O84))</f>
        <v>0</v>
      </c>
      <c r="P84" s="584">
        <f>IF(DRIVE_Type="Direct",IF('Frame Dimensions - D'!P84="",0,'Frame Dimensions - D'!P84),IF('Frame Dimensions - C'!P84="",0,'Frame Dimensions - C'!P84))</f>
        <v>0</v>
      </c>
      <c r="Q84" s="1450">
        <f>IF(DRIVE_Type="Direct",IF('Frame Dimensions - D'!Q84="",0,'Frame Dimensions - D'!Q84),IF('Frame Dimensions - C'!Q84="",0,'Frame Dimensions - C'!Q84))</f>
        <v>0</v>
      </c>
      <c r="R84" s="1503"/>
      <c r="S84" s="603"/>
      <c r="T84" s="603"/>
      <c r="U84" s="603"/>
      <c r="V84" s="603"/>
      <c r="W84" s="603"/>
      <c r="X84" s="603"/>
      <c r="Y84" s="603"/>
      <c r="Z84" s="603"/>
      <c r="AA84" s="603"/>
      <c r="AB84" s="603"/>
      <c r="AC84" s="603"/>
      <c r="AD84" s="603"/>
      <c r="AE84" s="603"/>
      <c r="AF84" s="603"/>
      <c r="AG84" s="603"/>
      <c r="AH84" s="603"/>
      <c r="AI84" s="603"/>
      <c r="AJ84" s="464"/>
    </row>
    <row r="85" spans="1:36">
      <c r="A85" s="604"/>
      <c r="B85" s="625">
        <f>IF(DRIVE_Type="Direct",IF('Frame Dimensions - D'!B85="",0,'Frame Dimensions - D'!B85),IF('Frame Dimensions - C'!B85="",0,'Frame Dimensions - C'!B85))</f>
        <v>0</v>
      </c>
      <c r="C85" s="580">
        <f>IF(DRIVE_Type="Direct",IF('Frame Dimensions - D'!C85="",0,'Frame Dimensions - D'!C85),IF('Frame Dimensions - C'!C85="",0,'Frame Dimensions - C'!C85))</f>
        <v>0</v>
      </c>
      <c r="D85" s="580">
        <f>IF(DRIVE_Type="Direct",IF('Frame Dimensions - D'!D85="",0,'Frame Dimensions - D'!D85),IF('Frame Dimensions - C'!D85="",0,'Frame Dimensions - C'!D85))</f>
        <v>0</v>
      </c>
      <c r="E85" s="580">
        <f>IF(DRIVE_Type="Direct",IF('Frame Dimensions - D'!E85="",0,'Frame Dimensions - D'!E85),IF('Frame Dimensions - C'!E85="",0,'Frame Dimensions - C'!E85))</f>
        <v>0</v>
      </c>
      <c r="F85" s="580">
        <f>IF(DRIVE_Type="Direct",IF('Frame Dimensions - D'!F85="",0,'Frame Dimensions - D'!F85),IF('Frame Dimensions - C'!F85="",0,'Frame Dimensions - C'!F85))</f>
        <v>0</v>
      </c>
      <c r="G85" s="580">
        <f>IF(DRIVE_Type="Direct",IF('Frame Dimensions - D'!G85="",0,'Frame Dimensions - D'!G85),IF('Frame Dimensions - C'!G85="",0,'Frame Dimensions - C'!G85))</f>
        <v>0</v>
      </c>
      <c r="H85" s="493">
        <f>IF(DRIVE_Type="Direct",IF('Frame Dimensions - D'!H85="",0,'Frame Dimensions - D'!H85),IF('Frame Dimensions - C'!H85="",0,'Frame Dimensions - C'!H85))</f>
        <v>0</v>
      </c>
      <c r="I85" s="603">
        <f>IF(DRIVE_Type="Direct",IF('Frame Dimensions - D'!I85="",0,'Frame Dimensions - D'!I85),IF('Frame Dimensions - C'!I85="",0,'Frame Dimensions - C'!I85))</f>
        <v>0</v>
      </c>
      <c r="J85" s="609">
        <f>IF(DRIVE_Type="Direct",IF('Frame Dimensions - D'!J85="",0,'Frame Dimensions - D'!J85),IF('Frame Dimensions - C'!J85="",0,'Frame Dimensions - C'!J85))</f>
        <v>0</v>
      </c>
      <c r="K85" s="580">
        <f>IF(DRIVE_Type="Direct",IF('Frame Dimensions - D'!K85="",0,'Frame Dimensions - D'!K85),IF('Frame Dimensions - C'!K85="",0,'Frame Dimensions - C'!K85))</f>
        <v>0</v>
      </c>
      <c r="L85" s="600">
        <f>IF(DRIVE_Type="Direct",IF('Frame Dimensions - D'!L85="",0,'Frame Dimensions - D'!L85),IF('Frame Dimensions - C'!L85="",0,'Frame Dimensions - C'!L85))</f>
        <v>0</v>
      </c>
      <c r="M85" s="609">
        <f>IF(DRIVE_Type="Direct",IF('Frame Dimensions - D'!M85="",0,'Frame Dimensions - D'!M85),IF('Frame Dimensions - C'!M85="",0,'Frame Dimensions - C'!M85))</f>
        <v>0</v>
      </c>
      <c r="N85" s="580">
        <f>IF(DRIVE_Type="Direct",IF('Frame Dimensions - D'!N85="",0,'Frame Dimensions - D'!N85),IF('Frame Dimensions - C'!N85="",0,'Frame Dimensions - C'!N85))</f>
        <v>0</v>
      </c>
      <c r="O85" s="1412">
        <f>IF(DRIVE_Type="Direct",IF('Frame Dimensions - D'!O85="",0,'Frame Dimensions - D'!O85),IF('Frame Dimensions - C'!O85="",0,'Frame Dimensions - C'!O85))</f>
        <v>0</v>
      </c>
      <c r="P85" s="584">
        <f>IF(DRIVE_Type="Direct",IF('Frame Dimensions - D'!P85="",0,'Frame Dimensions - D'!P85),IF('Frame Dimensions - C'!P85="",0,'Frame Dimensions - C'!P85))</f>
        <v>0</v>
      </c>
      <c r="Q85" s="1450">
        <f>IF(DRIVE_Type="Direct",IF('Frame Dimensions - D'!Q85="",0,'Frame Dimensions - D'!Q85),IF('Frame Dimensions - C'!Q85="",0,'Frame Dimensions - C'!Q85))</f>
        <v>0</v>
      </c>
      <c r="R85" s="644"/>
      <c r="S85" s="603"/>
      <c r="T85" s="603"/>
      <c r="U85" s="603"/>
      <c r="V85" s="603"/>
      <c r="W85" s="603"/>
      <c r="X85" s="603"/>
      <c r="Y85" s="603"/>
      <c r="Z85" s="603"/>
      <c r="AA85" s="603"/>
      <c r="AB85" s="603"/>
      <c r="AC85" s="603"/>
      <c r="AD85" s="603"/>
      <c r="AE85" s="603"/>
      <c r="AF85" s="603"/>
      <c r="AG85" s="603"/>
      <c r="AH85" s="603"/>
      <c r="AI85" s="603"/>
      <c r="AJ85" s="464"/>
    </row>
    <row r="86" spans="1:36">
      <c r="A86" s="604"/>
      <c r="B86" s="604">
        <f>IF(DRIVE_Type="Direct",IF('Frame Dimensions - D'!B86="",0,'Frame Dimensions - D'!B86),IF('Frame Dimensions - C'!B86="",0,'Frame Dimensions - C'!B86))</f>
        <v>0</v>
      </c>
      <c r="C86" s="493">
        <f>IF(DRIVE_Type="Direct",IF('Frame Dimensions - D'!C86="",0,'Frame Dimensions - D'!C86),IF('Frame Dimensions - C'!C86="",0,'Frame Dimensions - C'!C86))</f>
        <v>0</v>
      </c>
      <c r="D86" s="493">
        <f>IF(DRIVE_Type="Direct",IF('Frame Dimensions - D'!D86="",0,'Frame Dimensions - D'!D86),IF('Frame Dimensions - C'!D86="",0,'Frame Dimensions - C'!D86))</f>
        <v>0</v>
      </c>
      <c r="E86" s="493">
        <f>IF(DRIVE_Type="Direct",IF('Frame Dimensions - D'!E86="",0,'Frame Dimensions - D'!E86),IF('Frame Dimensions - C'!E86="",0,'Frame Dimensions - C'!E86))</f>
        <v>0</v>
      </c>
      <c r="F86" s="493">
        <f>IF(DRIVE_Type="Direct",IF('Frame Dimensions - D'!F86="",0,'Frame Dimensions - D'!F86),IF('Frame Dimensions - C'!F86="",0,'Frame Dimensions - C'!F86))</f>
        <v>0</v>
      </c>
      <c r="G86" s="493">
        <f>IF(DRIVE_Type="Direct",IF('Frame Dimensions - D'!G86="",0,'Frame Dimensions - D'!G86),IF('Frame Dimensions - C'!G86="",0,'Frame Dimensions - C'!G86))</f>
        <v>0</v>
      </c>
      <c r="H86" s="493">
        <f>IF(DRIVE_Type="Direct",IF('Frame Dimensions - D'!H86="",0,'Frame Dimensions - D'!H86),IF('Frame Dimensions - C'!H86="",0,'Frame Dimensions - C'!H86))</f>
        <v>0</v>
      </c>
      <c r="I86" s="493">
        <f>IF(DRIVE_Type="Direct",IF('Frame Dimensions - D'!I86="",0,'Frame Dimensions - D'!I86),IF('Frame Dimensions - C'!I86="",0,'Frame Dimensions - C'!I86))</f>
        <v>0</v>
      </c>
      <c r="J86" s="609">
        <f>IF(DRIVE_Type="Direct",IF('Frame Dimensions - D'!J86="",0,'Frame Dimensions - D'!J86),IF('Frame Dimensions - C'!J86="",0,'Frame Dimensions - C'!J86))</f>
        <v>0</v>
      </c>
      <c r="K86" s="580">
        <f>IF(DRIVE_Type="Direct",IF('Frame Dimensions - D'!K86="",0,'Frame Dimensions - D'!K86),IF('Frame Dimensions - C'!K86="",0,'Frame Dimensions - C'!K86))</f>
        <v>0</v>
      </c>
      <c r="L86" s="600">
        <f>IF(DRIVE_Type="Direct",IF('Frame Dimensions - D'!L86="",0,'Frame Dimensions - D'!L86),IF('Frame Dimensions - C'!L86="",0,'Frame Dimensions - C'!L86))</f>
        <v>0</v>
      </c>
      <c r="M86" s="609">
        <f>IF(DRIVE_Type="Direct",IF('Frame Dimensions - D'!M86="",0,'Frame Dimensions - D'!M86),IF('Frame Dimensions - C'!M86="",0,'Frame Dimensions - C'!M86))</f>
        <v>0</v>
      </c>
      <c r="N86" s="580">
        <f>IF(DRIVE_Type="Direct",IF('Frame Dimensions - D'!N86="",0,'Frame Dimensions - D'!N86),IF('Frame Dimensions - C'!N86="",0,'Frame Dimensions - C'!N86))</f>
        <v>0</v>
      </c>
      <c r="O86" s="1412">
        <f>IF(DRIVE_Type="Direct",IF('Frame Dimensions - D'!O86="",0,'Frame Dimensions - D'!O86),IF('Frame Dimensions - C'!O86="",0,'Frame Dimensions - C'!O86))</f>
        <v>0</v>
      </c>
      <c r="P86" s="602">
        <f>IF(DRIVE_Type="Direct",IF('Frame Dimensions - D'!P86="",0,'Frame Dimensions - D'!P86),IF('Frame Dimensions - C'!P86="",0,'Frame Dimensions - C'!P86))</f>
        <v>0</v>
      </c>
      <c r="Q86" s="1454">
        <f>IF(DRIVE_Type="Direct",IF('Frame Dimensions - D'!Q86="",0,'Frame Dimensions - D'!Q86),IF('Frame Dimensions - C'!Q86="",0,'Frame Dimensions - C'!Q86))</f>
        <v>0</v>
      </c>
      <c r="R86" s="644"/>
      <c r="S86" s="603"/>
      <c r="T86" s="603"/>
      <c r="U86" s="603"/>
      <c r="V86" s="603"/>
      <c r="W86" s="603"/>
      <c r="X86" s="603"/>
      <c r="Y86" s="603"/>
      <c r="Z86" s="603"/>
      <c r="AA86" s="603"/>
      <c r="AB86" s="603"/>
      <c r="AC86" s="603"/>
      <c r="AD86" s="603"/>
      <c r="AE86" s="603"/>
      <c r="AF86" s="603"/>
      <c r="AG86" s="603"/>
      <c r="AH86" s="603"/>
      <c r="AI86" s="603"/>
      <c r="AJ86" s="464"/>
    </row>
    <row r="87" spans="1:36">
      <c r="A87" s="1680"/>
      <c r="B87" s="1648">
        <f>IF(DRIVE_Type="Direct",IF('Frame Dimensions - D'!B87="",0,'Frame Dimensions - D'!B87),IF('Frame Dimensions - C'!B87="",0,'Frame Dimensions - C'!B87))</f>
        <v>0</v>
      </c>
      <c r="C87" s="493">
        <f>IF(DRIVE_Type="Direct",IF('Frame Dimensions - D'!C87="",0,'Frame Dimensions - D'!C87),IF('Frame Dimensions - C'!C87="",0,'Frame Dimensions - C'!C87))</f>
        <v>0</v>
      </c>
      <c r="D87" s="493">
        <f>IF(DRIVE_Type="Direct",IF('Frame Dimensions - D'!D87="",0,'Frame Dimensions - D'!D87),IF('Frame Dimensions - C'!D87="",0,'Frame Dimensions - C'!D87))</f>
        <v>0</v>
      </c>
      <c r="E87" s="493">
        <f>IF(DRIVE_Type="Direct",IF('Frame Dimensions - D'!E87="",0,'Frame Dimensions - D'!E87),IF('Frame Dimensions - C'!E87="",0,'Frame Dimensions - C'!E87))</f>
        <v>0</v>
      </c>
      <c r="F87" s="493">
        <f>IF(DRIVE_Type="Direct",IF('Frame Dimensions - D'!F87="",0,'Frame Dimensions - D'!F87),IF('Frame Dimensions - C'!F87="",0,'Frame Dimensions - C'!F87))</f>
        <v>0</v>
      </c>
      <c r="G87" s="493">
        <f>IF(DRIVE_Type="Direct",IF('Frame Dimensions - D'!G87="",0,'Frame Dimensions - D'!G87),IF('Frame Dimensions - C'!G87="",0,'Frame Dimensions - C'!G87))</f>
        <v>0</v>
      </c>
      <c r="H87" s="493">
        <f>IF(DRIVE_Type="Direct",IF('Frame Dimensions - D'!H87="",0,'Frame Dimensions - D'!H87),IF('Frame Dimensions - C'!H87="",0,'Frame Dimensions - C'!H87))</f>
        <v>0</v>
      </c>
      <c r="I87" s="493">
        <f>IF(DRIVE_Type="Direct",IF('Frame Dimensions - D'!I87="",0,'Frame Dimensions - D'!I87),IF('Frame Dimensions - C'!I87="",0,'Frame Dimensions - C'!I87))</f>
        <v>0</v>
      </c>
      <c r="J87" s="1920">
        <f>IF(DRIVE_Type="Direct",IF('Frame Dimensions - D'!J87="",0,'Frame Dimensions - D'!J87),IF('Frame Dimensions - C'!J87="",0,'Frame Dimensions - C'!J87))</f>
        <v>0</v>
      </c>
      <c r="K87" s="1918">
        <f>IF(DRIVE_Type="Direct",IF('Frame Dimensions - D'!K87="",0,'Frame Dimensions - D'!K87),IF('Frame Dimensions - C'!K87="",0,'Frame Dimensions - C'!K87))</f>
        <v>0</v>
      </c>
      <c r="L87" s="1918">
        <f>IF(DRIVE_Type="Direct",IF('Frame Dimensions - D'!L87="",0,'Frame Dimensions - D'!L87),IF('Frame Dimensions - C'!L87="",0,'Frame Dimensions - C'!L87))</f>
        <v>0</v>
      </c>
      <c r="M87" s="1917">
        <f>IF(DRIVE_Type="Direct",IF('Frame Dimensions - D'!M87="",0,'Frame Dimensions - D'!M87),IF('Frame Dimensions - C'!M87="",0,'Frame Dimensions - C'!M87))</f>
        <v>0</v>
      </c>
      <c r="N87" s="1918">
        <f>IF(DRIVE_Type="Direct",IF('Frame Dimensions - D'!N87="",0,'Frame Dimensions - D'!N87),IF('Frame Dimensions - C'!N87="",0,'Frame Dimensions - C'!N87))</f>
        <v>0</v>
      </c>
      <c r="O87" s="1919">
        <f>IF(DRIVE_Type="Direct",IF('Frame Dimensions - D'!O87="",0,'Frame Dimensions - D'!O87),IF('Frame Dimensions - C'!O87="",0,'Frame Dimensions - C'!O87))</f>
        <v>0</v>
      </c>
      <c r="P87" s="584">
        <f>IF(DRIVE_Type="Direct",IF('Frame Dimensions - D'!P87="",0,'Frame Dimensions - D'!P87),IF('Frame Dimensions - C'!P87="",0,'Frame Dimensions - C'!P87))</f>
        <v>0</v>
      </c>
      <c r="Q87" s="1450">
        <f>IF(DRIVE_Type="Direct",IF('Frame Dimensions - D'!Q87="",0,'Frame Dimensions - D'!Q87),IF('Frame Dimensions - C'!Q87="",0,'Frame Dimensions - C'!Q87))</f>
        <v>0</v>
      </c>
      <c r="R87" s="644"/>
      <c r="S87" s="603"/>
      <c r="T87" s="603"/>
      <c r="U87" s="603"/>
      <c r="V87" s="603"/>
      <c r="W87" s="603"/>
      <c r="X87" s="603"/>
      <c r="Y87" s="603"/>
      <c r="Z87" s="603"/>
      <c r="AA87" s="603"/>
      <c r="AB87" s="603"/>
      <c r="AC87" s="603"/>
      <c r="AD87" s="603"/>
      <c r="AE87" s="603"/>
      <c r="AF87" s="603"/>
      <c r="AG87" s="603"/>
      <c r="AH87" s="603"/>
      <c r="AI87" s="603"/>
      <c r="AJ87" s="464"/>
    </row>
    <row r="88" spans="1:36">
      <c r="A88" s="1684"/>
      <c r="B88" s="592">
        <f>IF(DRIVE_Type="Direct",IF('Frame Dimensions - D'!B88="",0,'Frame Dimensions - D'!B88),IF('Frame Dimensions - C'!B88="",0,'Frame Dimensions - C'!B88))</f>
        <v>0</v>
      </c>
      <c r="C88" s="479">
        <f>IF(DRIVE_Type="Direct",IF('Frame Dimensions - D'!C88="",0,'Frame Dimensions - D'!C88),IF('Frame Dimensions - C'!C88="",0,'Frame Dimensions - C'!C88))</f>
        <v>0</v>
      </c>
      <c r="D88" s="593">
        <f>IF(DRIVE_Type="Direct",IF('Frame Dimensions - D'!D88="",0,'Frame Dimensions - D'!D88),IF('Frame Dimensions - C'!D88="",0,'Frame Dimensions - C'!D88))</f>
        <v>0</v>
      </c>
      <c r="E88" s="593">
        <f>IF(DRIVE_Type="Direct",IF('Frame Dimensions - D'!E88="",0,'Frame Dimensions - D'!E88),IF('Frame Dimensions - C'!E88="",0,'Frame Dimensions - C'!E88))</f>
        <v>0</v>
      </c>
      <c r="F88" s="593">
        <f>IF(DRIVE_Type="Direct",IF('Frame Dimensions - D'!F88="",0,'Frame Dimensions - D'!F88),IF('Frame Dimensions - C'!F88="",0,'Frame Dimensions - C'!F88))</f>
        <v>0</v>
      </c>
      <c r="G88" s="593">
        <f>IF(DRIVE_Type="Direct",IF('Frame Dimensions - D'!G88="",0,'Frame Dimensions - D'!G88),IF('Frame Dimensions - C'!G88="",0,'Frame Dimensions - C'!G88))</f>
        <v>0</v>
      </c>
      <c r="H88" s="593">
        <f>IF(DRIVE_Type="Direct",IF('Frame Dimensions - D'!H88="",0,'Frame Dimensions - D'!H88),IF('Frame Dimensions - C'!H88="",0,'Frame Dimensions - C'!H88))</f>
        <v>0</v>
      </c>
      <c r="I88" s="594">
        <f>IF(DRIVE_Type="Direct",IF('Frame Dimensions - D'!I88="",0,'Frame Dimensions - D'!I88),IF('Frame Dimensions - C'!I88="",0,'Frame Dimensions - C'!I88))</f>
        <v>0</v>
      </c>
      <c r="J88" s="618">
        <f>IF(DRIVE_Type="Direct",IF('Frame Dimensions - D'!J88="",0,'Frame Dimensions - D'!J88),IF('Frame Dimensions - C'!J88="",0,'Frame Dimensions - C'!J88))</f>
        <v>0</v>
      </c>
      <c r="K88" s="616">
        <f>IF(DRIVE_Type="Direct",IF('Frame Dimensions - D'!K88="",0,'Frame Dimensions - D'!K88),IF('Frame Dimensions - C'!K88="",0,'Frame Dimensions - C'!K88))</f>
        <v>0</v>
      </c>
      <c r="L88" s="616">
        <f>IF(DRIVE_Type="Direct",IF('Frame Dimensions - D'!L88="",0,'Frame Dimensions - D'!L88),IF('Frame Dimensions - C'!L88="",0,'Frame Dimensions - C'!L88))</f>
        <v>0</v>
      </c>
      <c r="M88" s="618">
        <f>IF(DRIVE_Type="Direct",IF('Frame Dimensions - D'!M88="",0,'Frame Dimensions - D'!M88),IF('Frame Dimensions - C'!M88="",0,'Frame Dimensions - C'!M88))</f>
        <v>0</v>
      </c>
      <c r="N88" s="616">
        <f>IF(DRIVE_Type="Direct",IF('Frame Dimensions - D'!N88="",0,'Frame Dimensions - D'!N88),IF('Frame Dimensions - C'!N88="",0,'Frame Dimensions - C'!N88))</f>
        <v>0</v>
      </c>
      <c r="O88" s="634">
        <f>IF(DRIVE_Type="Direct",IF('Frame Dimensions - D'!O88="",0,'Frame Dimensions - D'!O88),IF('Frame Dimensions - C'!O88="",0,'Frame Dimensions - C'!O88))</f>
        <v>0</v>
      </c>
      <c r="P88" s="605">
        <f>IF(DRIVE_Type="Direct",IF('Frame Dimensions - D'!P88="",0,'Frame Dimensions - D'!P88),IF('Frame Dimensions - C'!P88="",0,'Frame Dimensions - C'!P88))</f>
        <v>0</v>
      </c>
      <c r="Q88" s="1455">
        <f>IF(DRIVE_Type="Direct",IF('Frame Dimensions - D'!Q88="",0,'Frame Dimensions - D'!Q88),IF('Frame Dimensions - C'!Q88="",0,'Frame Dimensions - C'!Q88))</f>
        <v>0</v>
      </c>
      <c r="R88" s="644"/>
      <c r="S88" s="603"/>
      <c r="T88" s="603"/>
      <c r="U88" s="580"/>
      <c r="V88" s="603"/>
      <c r="W88" s="603"/>
      <c r="X88" s="603"/>
      <c r="Y88" s="603"/>
      <c r="Z88" s="603"/>
      <c r="AA88" s="603"/>
      <c r="AB88" s="603"/>
      <c r="AC88" s="603"/>
      <c r="AD88" s="603"/>
      <c r="AE88" s="603"/>
      <c r="AF88" s="603"/>
      <c r="AG88" s="603"/>
      <c r="AH88" s="603"/>
      <c r="AI88" s="603"/>
      <c r="AJ88" s="464"/>
    </row>
    <row r="89" spans="1:36">
      <c r="A89" s="642"/>
      <c r="B89" s="642">
        <f>IF(DRIVE_Type="Direct",IF('Frame Dimensions - D'!B89="",0,'Frame Dimensions - D'!B89),IF('Frame Dimensions - C'!B89="",0,'Frame Dimensions - C'!B89))</f>
        <v>0</v>
      </c>
      <c r="C89" s="580">
        <f>IF(DRIVE_Type="Direct",IF('Frame Dimensions - D'!C89="",0,'Frame Dimensions - D'!C89),IF('Frame Dimensions - C'!C89="",0,'Frame Dimensions - C'!C89))</f>
        <v>0</v>
      </c>
      <c r="D89" s="580">
        <f>IF(DRIVE_Type="Direct",IF('Frame Dimensions - D'!D89="",0,'Frame Dimensions - D'!D89),IF('Frame Dimensions - C'!D89="",0,'Frame Dimensions - C'!D89))</f>
        <v>0</v>
      </c>
      <c r="E89" s="580">
        <f>IF(DRIVE_Type="Direct",IF('Frame Dimensions - D'!E89="",0,'Frame Dimensions - D'!E89),IF('Frame Dimensions - C'!E89="",0,'Frame Dimensions - C'!E89))</f>
        <v>0</v>
      </c>
      <c r="F89" s="580">
        <f>IF(DRIVE_Type="Direct",IF('Frame Dimensions - D'!F89="",0,'Frame Dimensions - D'!F89),IF('Frame Dimensions - C'!F89="",0,'Frame Dimensions - C'!F89))</f>
        <v>0</v>
      </c>
      <c r="G89" s="580">
        <f>IF(DRIVE_Type="Direct",IF('Frame Dimensions - D'!G89="",0,'Frame Dimensions - D'!G89),IF('Frame Dimensions - C'!G89="",0,'Frame Dimensions - C'!G89))</f>
        <v>0</v>
      </c>
      <c r="H89" s="580">
        <f>IF(DRIVE_Type="Direct",IF('Frame Dimensions - D'!H89="",0,'Frame Dimensions - D'!H89),IF('Frame Dimensions - C'!H89="",0,'Frame Dimensions - C'!H89))</f>
        <v>0</v>
      </c>
      <c r="I89" s="580">
        <f>IF(DRIVE_Type="Direct",IF('Frame Dimensions - D'!I89="",0,'Frame Dimensions - D'!I89),IF('Frame Dimensions - C'!I89="",0,'Frame Dimensions - C'!I89))</f>
        <v>0</v>
      </c>
      <c r="J89" s="599">
        <f>IF(DRIVE_Type="Direct",IF('Frame Dimensions - D'!J89="",0,'Frame Dimensions - D'!J89),IF('Frame Dimensions - C'!J89="",0,'Frame Dimensions - C'!J89))</f>
        <v>0</v>
      </c>
      <c r="K89" s="580">
        <f>IF(DRIVE_Type="Direct",IF('Frame Dimensions - D'!K89="",0,'Frame Dimensions - D'!K89),IF('Frame Dimensions - C'!K89="",0,'Frame Dimensions - C'!K89))</f>
        <v>0</v>
      </c>
      <c r="L89" s="580">
        <f>IF(DRIVE_Type="Direct",IF('Frame Dimensions - D'!L89="",0,'Frame Dimensions - D'!L89),IF('Frame Dimensions - C'!L89="",0,'Frame Dimensions - C'!L89))</f>
        <v>0</v>
      </c>
      <c r="M89" s="599">
        <f>IF(DRIVE_Type="Direct",IF('Frame Dimensions - D'!M89="",0,'Frame Dimensions - D'!M89),IF('Frame Dimensions - C'!M89="",0,'Frame Dimensions - C'!M89))</f>
        <v>0</v>
      </c>
      <c r="N89" s="580">
        <f>IF(DRIVE_Type="Direct",IF('Frame Dimensions - D'!N89="",0,'Frame Dimensions - D'!N89),IF('Frame Dimensions - C'!N89="",0,'Frame Dimensions - C'!N89))</f>
        <v>0</v>
      </c>
      <c r="O89" s="601">
        <f>IF(DRIVE_Type="Direct",IF('Frame Dimensions - D'!O89="",0,'Frame Dimensions - D'!O89),IF('Frame Dimensions - C'!O89="",0,'Frame Dimensions - C'!O89))</f>
        <v>0</v>
      </c>
      <c r="P89" s="602">
        <f>IF(DRIVE_Type="Direct",IF('Frame Dimensions - D'!P89="",0,'Frame Dimensions - D'!P89),IF('Frame Dimensions - C'!P89="",0,'Frame Dimensions - C'!P89))</f>
        <v>0</v>
      </c>
      <c r="Q89" s="1454">
        <f>IF(DRIVE_Type="Direct",IF('Frame Dimensions - D'!Q89="",0,'Frame Dimensions - D'!Q89),IF('Frame Dimensions - C'!Q89="",0,'Frame Dimensions - C'!Q89))</f>
        <v>0</v>
      </c>
      <c r="R89" s="1189"/>
      <c r="S89" s="603"/>
      <c r="T89" s="603"/>
      <c r="U89" s="603"/>
      <c r="V89" s="603"/>
      <c r="W89" s="603"/>
      <c r="X89" s="603"/>
      <c r="Y89" s="603"/>
      <c r="Z89" s="603"/>
      <c r="AA89" s="603"/>
      <c r="AB89" s="603"/>
      <c r="AC89" s="603"/>
      <c r="AD89" s="603"/>
      <c r="AE89" s="603"/>
      <c r="AF89" s="603"/>
      <c r="AG89" s="603"/>
      <c r="AH89" s="603"/>
      <c r="AI89" s="603"/>
      <c r="AJ89" s="464"/>
    </row>
    <row r="90" spans="1:36">
      <c r="A90" s="1921" t="s">
        <v>1051</v>
      </c>
      <c r="B90" s="1921" t="str">
        <f>IF(DRIVE_Type="Direct",IF('Frame Dimensions - D'!B90="",0,'Frame Dimensions - D'!B90),IF('Frame Dimensions - C'!B90="",0,'Frame Dimensions - C'!B90))</f>
        <v>VHF_L</v>
      </c>
      <c r="C90" s="484" t="e">
        <f ca="1">IF(DRIVE_Type="Direct",IF('Frame Dimensions - D'!C90="",0,'Frame Dimensions - D'!C90),IF('Frame Dimensions - C'!C90="",0,'Frame Dimensions - C'!C90))</f>
        <v>#REF!</v>
      </c>
      <c r="D90" s="587" t="e">
        <f ca="1">IF(DRIVE_Type="Direct",IF('Frame Dimensions - D'!D90="",0,'Frame Dimensions - D'!D90),IF('Frame Dimensions - C'!D90="",0,'Frame Dimensions - C'!D90))</f>
        <v>#REF!</v>
      </c>
      <c r="E90" s="587" t="e">
        <f ca="1">IF(DRIVE_Type="Direct",IF('Frame Dimensions - D'!E90="",0,'Frame Dimensions - D'!E90),IF('Frame Dimensions - C'!E90="",0,'Frame Dimensions - C'!E90))</f>
        <v>#REF!</v>
      </c>
      <c r="F90" s="587" t="e">
        <f ca="1">IF(DRIVE_Type="Direct",IF('Frame Dimensions - D'!F90="",0,'Frame Dimensions - D'!F90),IF('Frame Dimensions - C'!F90="",0,'Frame Dimensions - C'!F90))</f>
        <v>#REF!</v>
      </c>
      <c r="G90" s="484" t="e">
        <f ca="1">IF(DRIVE_Type="Direct",IF('Frame Dimensions - D'!G90="",0,'Frame Dimensions - D'!G90),IF('Frame Dimensions - C'!G90="",0,'Frame Dimensions - C'!G90))</f>
        <v>#REF!</v>
      </c>
      <c r="H90" s="484">
        <f>IF(DRIVE_Type="Direct",IF('Frame Dimensions - D'!H90="",0,'Frame Dimensions - D'!H90),IF('Frame Dimensions - C'!H90="",0,'Frame Dimensions - C'!H90))</f>
        <v>90</v>
      </c>
      <c r="I90" s="1922" t="str">
        <f>IF(DRIVE_Type="Direct",IF('Frame Dimensions - D'!I90="",0,'Frame Dimensions - D'!I90),IF('Frame Dimensions - C'!I90="",0,'Frame Dimensions - C'!I90))</f>
        <v>X-Y+Z+</v>
      </c>
      <c r="J90" s="630" t="e">
        <f ca="1">IF(DRIVE_Type="Direct",IF('Frame Dimensions - D'!J90="",0,'Frame Dimensions - D'!J90),IF('Frame Dimensions - C'!J90="",0,'Frame Dimensions - C'!J90))</f>
        <v>#REF!</v>
      </c>
      <c r="K90" s="588" t="e">
        <f ca="1">IF(DRIVE_Type="Direct",IF('Frame Dimensions - D'!K90="",0,'Frame Dimensions - D'!K90),IF('Frame Dimensions - C'!K90="",0,'Frame Dimensions - C'!K90))</f>
        <v>#REF!</v>
      </c>
      <c r="L90" s="1903" t="e">
        <f ca="1">IF(DRIVE_Type="Direct",IF('Frame Dimensions - D'!L90="",0,'Frame Dimensions - D'!L90),IF('Frame Dimensions - C'!L90="",0,'Frame Dimensions - C'!L90))</f>
        <v>#REF!</v>
      </c>
      <c r="M90" s="630" t="e">
        <f ca="1">IF(DRIVE_Type="Direct",IF('Frame Dimensions - D'!M90="",0,'Frame Dimensions - D'!M90),IF('Frame Dimensions - C'!M90="",0,'Frame Dimensions - C'!M90))</f>
        <v>#REF!</v>
      </c>
      <c r="N90" s="587" t="e">
        <f ca="1">IF(DRIVE_Type="Direct",IF('Frame Dimensions - D'!N90="",0,'Frame Dimensions - D'!N90),IF('Frame Dimensions - C'!N90="",0,'Frame Dimensions - C'!N90))</f>
        <v>#REF!</v>
      </c>
      <c r="O90" s="631" t="e">
        <f ca="1">IF(DRIVE_Type="Direct",IF('Frame Dimensions - D'!O90="",0,'Frame Dimensions - D'!O90),IF('Frame Dimensions - C'!O90="",0,'Frame Dimensions - C'!O90))</f>
        <v>#REF!</v>
      </c>
      <c r="P90" s="632" t="e">
        <f ca="1">IF(DRIVE_Type="Direct",IF('Frame Dimensions - D'!P90="",0,'Frame Dimensions - D'!P90),IF('Frame Dimensions - C'!P90="",0,'Frame Dimensions - C'!P90))</f>
        <v>#REF!</v>
      </c>
      <c r="Q90" s="1456" t="e">
        <f ca="1">IF(DRIVE_Type="Direct",IF('Frame Dimensions - D'!Q90="",0,'Frame Dimensions - D'!Q90),IF('Frame Dimensions - C'!Q90="",0,'Frame Dimensions - C'!Q90))</f>
        <v>#REF!</v>
      </c>
      <c r="R90" s="644"/>
      <c r="S90" s="603"/>
      <c r="T90" s="603"/>
      <c r="U90" s="580"/>
      <c r="V90" s="603"/>
      <c r="W90" s="603"/>
      <c r="X90" s="603"/>
      <c r="Y90" s="603"/>
      <c r="Z90" s="603"/>
      <c r="AA90" s="603"/>
      <c r="AB90" s="603"/>
      <c r="AC90" s="603"/>
      <c r="AD90" s="603"/>
      <c r="AE90" s="603"/>
      <c r="AF90" s="603"/>
      <c r="AG90" s="603"/>
      <c r="AH90" s="603"/>
      <c r="AI90" s="603"/>
      <c r="AJ90" s="464"/>
    </row>
    <row r="91" spans="1:36">
      <c r="A91" s="604"/>
      <c r="B91" s="604" t="str">
        <f>IF(DRIVE_Type="Direct",IF('Frame Dimensions - D'!B91="",0,'Frame Dimensions - D'!B91),IF('Frame Dimensions - C'!B91="",0,'Frame Dimensions - C'!B91))</f>
        <v>vhf_L1</v>
      </c>
      <c r="C91" s="493">
        <f>IF(DRIVE_Type="Direct",IF('Frame Dimensions - D'!C91="",0,'Frame Dimensions - D'!C91),IF('Frame Dimensions - C'!C91="",0,'Frame Dimensions - C'!C91))</f>
        <v>0</v>
      </c>
      <c r="D91" s="493">
        <f>IF(DRIVE_Type="Direct",IF('Frame Dimensions - D'!D91="",0,'Frame Dimensions - D'!D91),IF('Frame Dimensions - C'!D91="",0,'Frame Dimensions - C'!D91))</f>
        <v>0</v>
      </c>
      <c r="E91" s="493">
        <f>IF(DRIVE_Type="Direct",IF('Frame Dimensions - D'!E91="",0,'Frame Dimensions - D'!E91),IF('Frame Dimensions - C'!E91="",0,'Frame Dimensions - C'!E91))</f>
        <v>0</v>
      </c>
      <c r="F91" s="493">
        <f>IF(DRIVE_Type="Direct",IF('Frame Dimensions - D'!F91="",0,'Frame Dimensions - D'!F91),IF('Frame Dimensions - C'!F91="",0,'Frame Dimensions - C'!F91))</f>
        <v>0</v>
      </c>
      <c r="G91" s="493">
        <f>IF(DRIVE_Type="Direct",IF('Frame Dimensions - D'!G91="",0,'Frame Dimensions - D'!G91),IF('Frame Dimensions - C'!G91="",0,'Frame Dimensions - C'!G91))</f>
        <v>0</v>
      </c>
      <c r="H91" s="493">
        <f>IF(DRIVE_Type="Direct",IF('Frame Dimensions - D'!H91="",0,'Frame Dimensions - D'!H91),IF('Frame Dimensions - C'!H91="",0,'Frame Dimensions - C'!H91))</f>
        <v>0</v>
      </c>
      <c r="I91" s="493">
        <f>IF(DRIVE_Type="Direct",IF('Frame Dimensions - D'!I91="",0,'Frame Dimensions - D'!I91),IF('Frame Dimensions - C'!I91="",0,'Frame Dimensions - C'!I91))</f>
        <v>0</v>
      </c>
      <c r="J91" s="609" t="e">
        <f ca="1">IF(DRIVE_Type="Direct",IF('Frame Dimensions - D'!J91="",0,'Frame Dimensions - D'!J91),IF('Frame Dimensions - C'!J91="",0,'Frame Dimensions - C'!J91))</f>
        <v>#REF!</v>
      </c>
      <c r="K91" s="580" t="e">
        <f ca="1">IF(DRIVE_Type="Direct",IF('Frame Dimensions - D'!K91="",0,'Frame Dimensions - D'!K91),IF('Frame Dimensions - C'!K91="",0,'Frame Dimensions - C'!K91))</f>
        <v>#REF!</v>
      </c>
      <c r="L91" s="608" t="e">
        <f ca="1">IF(DRIVE_Type="Direct",IF('Frame Dimensions - D'!L91="",0,'Frame Dimensions - D'!L91),IF('Frame Dimensions - C'!L91="",0,'Frame Dimensions - C'!L91))</f>
        <v>#REF!</v>
      </c>
      <c r="M91" s="609" t="e">
        <f ca="1">IF(DRIVE_Type="Direct",IF('Frame Dimensions - D'!M91="",0,'Frame Dimensions - D'!M91),IF('Frame Dimensions - C'!M91="",0,'Frame Dimensions - C'!M91))</f>
        <v>#REF!</v>
      </c>
      <c r="N91" s="608" t="e">
        <f ca="1">IF(DRIVE_Type="Direct",IF('Frame Dimensions - D'!N91="",0,'Frame Dimensions - D'!N91),IF('Frame Dimensions - C'!N91="",0,'Frame Dimensions - C'!N91))</f>
        <v>#REF!</v>
      </c>
      <c r="O91" s="611" t="e">
        <f ca="1">IF(DRIVE_Type="Direct",IF('Frame Dimensions - D'!O91="",0,'Frame Dimensions - D'!O91),IF('Frame Dimensions - C'!O91="",0,'Frame Dimensions - C'!O91))</f>
        <v>#REF!</v>
      </c>
      <c r="P91" s="584">
        <f>IF(DRIVE_Type="Direct",IF('Frame Dimensions - D'!P91="",0,'Frame Dimensions - D'!P91),IF('Frame Dimensions - C'!P91="",0,'Frame Dimensions - C'!P91))</f>
        <v>0</v>
      </c>
      <c r="Q91" s="1450">
        <f>IF(DRIVE_Type="Direct",IF('Frame Dimensions - D'!Q91="",0,'Frame Dimensions - D'!Q91),IF('Frame Dimensions - C'!Q91="",0,'Frame Dimensions - C'!Q91))</f>
        <v>0</v>
      </c>
      <c r="R91" s="644"/>
      <c r="S91" s="603"/>
      <c r="T91" s="603"/>
      <c r="U91" s="639"/>
      <c r="V91" s="603"/>
      <c r="W91" s="603"/>
      <c r="X91" s="603"/>
      <c r="Y91" s="603"/>
      <c r="Z91" s="637"/>
      <c r="AA91" s="637"/>
      <c r="AB91" s="637"/>
      <c r="AC91" s="637"/>
      <c r="AD91" s="637"/>
      <c r="AE91" s="637"/>
      <c r="AF91" s="580"/>
      <c r="AG91" s="580"/>
      <c r="AH91" s="580"/>
      <c r="AI91" s="580"/>
      <c r="AJ91" s="464"/>
    </row>
    <row r="92" spans="1:36">
      <c r="A92" s="604"/>
      <c r="B92" s="604" t="str">
        <f>IF(DRIVE_Type="Direct",IF('Frame Dimensions - D'!B92="",0,'Frame Dimensions - D'!B92),IF('Frame Dimensions - C'!B92="",0,'Frame Dimensions - C'!B92))</f>
        <v>vhf_L2</v>
      </c>
      <c r="C92" s="493">
        <f>IF(DRIVE_Type="Direct",IF('Frame Dimensions - D'!C92="",0,'Frame Dimensions - D'!C92),IF('Frame Dimensions - C'!C92="",0,'Frame Dimensions - C'!C92))</f>
        <v>0</v>
      </c>
      <c r="D92" s="493">
        <f>IF(DRIVE_Type="Direct",IF('Frame Dimensions - D'!D92="",0,'Frame Dimensions - D'!D92),IF('Frame Dimensions - C'!D92="",0,'Frame Dimensions - C'!D92))</f>
        <v>0</v>
      </c>
      <c r="E92" s="493">
        <f>IF(DRIVE_Type="Direct",IF('Frame Dimensions - D'!E92="",0,'Frame Dimensions - D'!E92),IF('Frame Dimensions - C'!E92="",0,'Frame Dimensions - C'!E92))</f>
        <v>0</v>
      </c>
      <c r="F92" s="493">
        <f>IF(DRIVE_Type="Direct",IF('Frame Dimensions - D'!F92="",0,'Frame Dimensions - D'!F92),IF('Frame Dimensions - C'!F92="",0,'Frame Dimensions - C'!F92))</f>
        <v>0</v>
      </c>
      <c r="G92" s="493">
        <f>IF(DRIVE_Type="Direct",IF('Frame Dimensions - D'!G92="",0,'Frame Dimensions - D'!G92),IF('Frame Dimensions - C'!G92="",0,'Frame Dimensions - C'!G92))</f>
        <v>0</v>
      </c>
      <c r="H92" s="493">
        <f>IF(DRIVE_Type="Direct",IF('Frame Dimensions - D'!H92="",0,'Frame Dimensions - D'!H92),IF('Frame Dimensions - C'!H92="",0,'Frame Dimensions - C'!H92))</f>
        <v>0</v>
      </c>
      <c r="I92" s="493">
        <f>IF(DRIVE_Type="Direct",IF('Frame Dimensions - D'!I92="",0,'Frame Dimensions - D'!I92),IF('Frame Dimensions - C'!I92="",0,'Frame Dimensions - C'!I92))</f>
        <v>0</v>
      </c>
      <c r="J92" s="599" t="e">
        <f ca="1">IF(DRIVE_Type="Direct",IF('Frame Dimensions - D'!J92="",0,'Frame Dimensions - D'!J92),IF('Frame Dimensions - C'!J92="",0,'Frame Dimensions - C'!J92))</f>
        <v>#REF!</v>
      </c>
      <c r="K92" s="580" t="e">
        <f ca="1">IF(DRIVE_Type="Direct",IF('Frame Dimensions - D'!K92="",0,'Frame Dimensions - D'!K92),IF('Frame Dimensions - C'!K92="",0,'Frame Dimensions - C'!K92))</f>
        <v>#REF!</v>
      </c>
      <c r="L92" s="608" t="e">
        <f ca="1">IF(DRIVE_Type="Direct",IF('Frame Dimensions - D'!L92="",0,'Frame Dimensions - D'!L92),IF('Frame Dimensions - C'!L92="",0,'Frame Dimensions - C'!L92))</f>
        <v>#REF!</v>
      </c>
      <c r="M92" s="599">
        <f>IF(DRIVE_Type="Direct",IF('Frame Dimensions - D'!M92="",0,'Frame Dimensions - D'!M92),IF('Frame Dimensions - C'!M92="",0,'Frame Dimensions - C'!M92))</f>
        <v>0</v>
      </c>
      <c r="N92" s="580">
        <f>IF(DRIVE_Type="Direct",IF('Frame Dimensions - D'!N92="",0,'Frame Dimensions - D'!N92),IF('Frame Dimensions - C'!N92="",0,'Frame Dimensions - C'!N92))</f>
        <v>0</v>
      </c>
      <c r="O92" s="583">
        <f>IF(DRIVE_Type="Direct",IF('Frame Dimensions - D'!O92="",0,'Frame Dimensions - D'!O92),IF('Frame Dimensions - C'!O92="",0,'Frame Dimensions - C'!O92))</f>
        <v>0</v>
      </c>
      <c r="P92" s="584">
        <f>IF(DRIVE_Type="Direct",IF('Frame Dimensions - D'!P92="",0,'Frame Dimensions - D'!P92),IF('Frame Dimensions - C'!P92="",0,'Frame Dimensions - C'!P92))</f>
        <v>0</v>
      </c>
      <c r="Q92" s="1450">
        <f>IF(DRIVE_Type="Direct",IF('Frame Dimensions - D'!Q92="",0,'Frame Dimensions - D'!Q92),IF('Frame Dimensions - C'!Q92="",0,'Frame Dimensions - C'!Q92))</f>
        <v>0</v>
      </c>
      <c r="R92" s="640"/>
      <c r="S92" s="580"/>
      <c r="T92" s="580"/>
      <c r="U92" s="636"/>
      <c r="V92" s="636"/>
      <c r="W92" s="636"/>
      <c r="X92" s="636"/>
      <c r="Y92" s="636"/>
      <c r="Z92" s="637"/>
      <c r="AA92" s="637"/>
      <c r="AB92" s="637"/>
      <c r="AC92" s="637"/>
      <c r="AD92" s="637"/>
      <c r="AE92" s="637"/>
      <c r="AF92" s="580"/>
      <c r="AG92" s="580"/>
      <c r="AH92" s="580"/>
      <c r="AI92" s="580"/>
      <c r="AJ92" s="464"/>
    </row>
    <row r="93" spans="1:36" s="621" customFormat="1">
      <c r="A93" s="1682"/>
      <c r="B93" s="622" t="str">
        <f>IF(DRIVE_Type="Direct",IF('Frame Dimensions - D'!B93="",0,'Frame Dimensions - D'!B93),IF('Frame Dimensions - C'!B93="",0,'Frame Dimensions - C'!B93))</f>
        <v>VHF_R</v>
      </c>
      <c r="C93" s="493" t="e">
        <f ca="1">IF(DRIVE_Type="Direct",IF('Frame Dimensions - D'!C93="",0,'Frame Dimensions - D'!C93),IF('Frame Dimensions - C'!C93="",0,'Frame Dimensions - C'!C93))</f>
        <v>#REF!</v>
      </c>
      <c r="D93" s="580" t="e">
        <f ca="1">IF(DRIVE_Type="Direct",IF('Frame Dimensions - D'!D93="",0,'Frame Dimensions - D'!D93),IF('Frame Dimensions - C'!D93="",0,'Frame Dimensions - C'!D93))</f>
        <v>#REF!</v>
      </c>
      <c r="E93" s="580" t="e">
        <f ca="1">IF(DRIVE_Type="Direct",IF('Frame Dimensions - D'!E93="",0,'Frame Dimensions - D'!E93),IF('Frame Dimensions - C'!E93="",0,'Frame Dimensions - C'!E93))</f>
        <v>#REF!</v>
      </c>
      <c r="F93" s="608" t="e">
        <f ca="1">IF(DRIVE_Type="Direct",IF('Frame Dimensions - D'!F93="",0,'Frame Dimensions - D'!F93),IF('Frame Dimensions - C'!F93="",0,'Frame Dimensions - C'!F93))</f>
        <v>#REF!</v>
      </c>
      <c r="G93" s="493" t="e">
        <f ca="1">IF(DRIVE_Type="Direct",IF('Frame Dimensions - D'!G93="",0,'Frame Dimensions - D'!G93),IF('Frame Dimensions - C'!G93="",0,'Frame Dimensions - C'!G93))</f>
        <v>#REF!</v>
      </c>
      <c r="H93" s="493">
        <f>IF(DRIVE_Type="Direct",IF('Frame Dimensions - D'!H93="",0,'Frame Dimensions - D'!H93),IF('Frame Dimensions - C'!H93="",0,'Frame Dimensions - C'!H93))</f>
        <v>90</v>
      </c>
      <c r="I93" s="623" t="str">
        <f>IF(DRIVE_Type="Direct",IF('Frame Dimensions - D'!I93="",0,'Frame Dimensions - D'!I93),IF('Frame Dimensions - C'!I93="",0,'Frame Dimensions - C'!I93))</f>
        <v>X-Y+Z-</v>
      </c>
      <c r="J93" s="492" t="e">
        <f ca="1">IF(DRIVE_Type="Direct",IF('Frame Dimensions - D'!J93="",0,'Frame Dimensions - D'!J93),IF('Frame Dimensions - C'!J93="",0,'Frame Dimensions - C'!J93))</f>
        <v>#REF!</v>
      </c>
      <c r="K93" s="598" t="e">
        <f ca="1">IF(DRIVE_Type="Direct",IF('Frame Dimensions - D'!K93="",0,'Frame Dimensions - D'!K93),IF('Frame Dimensions - C'!K93="",0,'Frame Dimensions - C'!K93))</f>
        <v>#REF!</v>
      </c>
      <c r="L93" s="582" t="e">
        <f ca="1">IF(DRIVE_Type="Direct",IF('Frame Dimensions - D'!L93="",0,'Frame Dimensions - D'!L93),IF('Frame Dimensions - C'!L93="",0,'Frame Dimensions - C'!L93))</f>
        <v>#REF!</v>
      </c>
      <c r="M93" s="492" t="e">
        <f ca="1">IF(DRIVE_Type="Direct",IF('Frame Dimensions - D'!M93="",0,'Frame Dimensions - D'!M93),IF('Frame Dimensions - C'!M93="",0,'Frame Dimensions - C'!M93))</f>
        <v>#REF!</v>
      </c>
      <c r="N93" s="580" t="e">
        <f ca="1">IF(DRIVE_Type="Direct",IF('Frame Dimensions - D'!N93="",0,'Frame Dimensions - D'!N93),IF('Frame Dimensions - C'!N93="",0,'Frame Dimensions - C'!N93))</f>
        <v>#REF!</v>
      </c>
      <c r="O93" s="611" t="e">
        <f ca="1">IF(DRIVE_Type="Direct",IF('Frame Dimensions - D'!O93="",0,'Frame Dimensions - D'!O93),IF('Frame Dimensions - C'!O93="",0,'Frame Dimensions - C'!O93))</f>
        <v>#REF!</v>
      </c>
      <c r="P93" s="584" t="e">
        <f ca="1">IF(DRIVE_Type="Direct",IF('Frame Dimensions - D'!P93="",0,'Frame Dimensions - D'!P93),IF('Frame Dimensions - C'!P93="",0,'Frame Dimensions - C'!P93))</f>
        <v>#REF!</v>
      </c>
      <c r="Q93" s="1450" t="e">
        <f ca="1">IF(DRIVE_Type="Direct",IF('Frame Dimensions - D'!Q93="",0,'Frame Dimensions - D'!Q93),IF('Frame Dimensions - C'!Q93="",0,'Frame Dimensions - C'!Q93))</f>
        <v>#REF!</v>
      </c>
      <c r="R93" s="1189"/>
      <c r="S93" s="603"/>
      <c r="T93" s="603"/>
      <c r="U93" s="603"/>
      <c r="V93" s="603"/>
      <c r="W93" s="603"/>
      <c r="X93" s="603"/>
      <c r="Y93" s="603"/>
      <c r="Z93" s="603"/>
      <c r="AA93" s="603"/>
      <c r="AB93" s="603"/>
      <c r="AC93" s="603"/>
      <c r="AD93" s="603"/>
      <c r="AE93" s="603"/>
      <c r="AF93" s="603"/>
      <c r="AG93" s="603"/>
      <c r="AH93" s="603"/>
      <c r="AI93" s="603"/>
    </row>
    <row r="94" spans="1:36">
      <c r="A94" s="1680"/>
      <c r="B94" s="604" t="str">
        <f>IF(DRIVE_Type="Direct",IF('Frame Dimensions - D'!B94="",0,'Frame Dimensions - D'!B94),IF('Frame Dimensions - C'!B94="",0,'Frame Dimensions - C'!B94))</f>
        <v>vhf_R1</v>
      </c>
      <c r="C94" s="493">
        <f>IF(DRIVE_Type="Direct",IF('Frame Dimensions - D'!C94="",0,'Frame Dimensions - D'!C94),IF('Frame Dimensions - C'!C94="",0,'Frame Dimensions - C'!C94))</f>
        <v>0</v>
      </c>
      <c r="D94" s="493">
        <f>IF(DRIVE_Type="Direct",IF('Frame Dimensions - D'!D94="",0,'Frame Dimensions - D'!D94),IF('Frame Dimensions - C'!D94="",0,'Frame Dimensions - C'!D94))</f>
        <v>0</v>
      </c>
      <c r="E94" s="493">
        <f>IF(DRIVE_Type="Direct",IF('Frame Dimensions - D'!E94="",0,'Frame Dimensions - D'!E94),IF('Frame Dimensions - C'!E94="",0,'Frame Dimensions - C'!E94))</f>
        <v>0</v>
      </c>
      <c r="F94" s="493">
        <f>IF(DRIVE_Type="Direct",IF('Frame Dimensions - D'!F94="",0,'Frame Dimensions - D'!F94),IF('Frame Dimensions - C'!F94="",0,'Frame Dimensions - C'!F94))</f>
        <v>0</v>
      </c>
      <c r="G94" s="493">
        <f>IF(DRIVE_Type="Direct",IF('Frame Dimensions - D'!G94="",0,'Frame Dimensions - D'!G94),IF('Frame Dimensions - C'!G94="",0,'Frame Dimensions - C'!G94))</f>
        <v>0</v>
      </c>
      <c r="H94" s="493">
        <f>IF(DRIVE_Type="Direct",IF('Frame Dimensions - D'!H94="",0,'Frame Dimensions - D'!H94),IF('Frame Dimensions - C'!H94="",0,'Frame Dimensions - C'!H94))</f>
        <v>0</v>
      </c>
      <c r="I94" s="493">
        <f>IF(DRIVE_Type="Direct",IF('Frame Dimensions - D'!I94="",0,'Frame Dimensions - D'!I94),IF('Frame Dimensions - C'!I94="",0,'Frame Dimensions - C'!I94))</f>
        <v>0</v>
      </c>
      <c r="J94" s="609" t="e">
        <f ca="1">IF(DRIVE_Type="Direct",IF('Frame Dimensions - D'!J94="",0,'Frame Dimensions - D'!J94),IF('Frame Dimensions - C'!J94="",0,'Frame Dimensions - C'!J94))</f>
        <v>#REF!</v>
      </c>
      <c r="K94" s="580" t="e">
        <f ca="1">IF(DRIVE_Type="Direct",IF('Frame Dimensions - D'!K94="",0,'Frame Dimensions - D'!K94),IF('Frame Dimensions - C'!K94="",0,'Frame Dimensions - C'!K94))</f>
        <v>#REF!</v>
      </c>
      <c r="L94" s="608" t="e">
        <f ca="1">IF(DRIVE_Type="Direct",IF('Frame Dimensions - D'!L94="",0,'Frame Dimensions - D'!L94),IF('Frame Dimensions - C'!L94="",0,'Frame Dimensions - C'!L94))</f>
        <v>#REF!</v>
      </c>
      <c r="M94" s="609" t="e">
        <f ca="1">IF(DRIVE_Type="Direct",IF('Frame Dimensions - D'!M94="",0,'Frame Dimensions - D'!M94),IF('Frame Dimensions - C'!M94="",0,'Frame Dimensions - C'!M94))</f>
        <v>#REF!</v>
      </c>
      <c r="N94" s="608" t="e">
        <f ca="1">IF(DRIVE_Type="Direct",IF('Frame Dimensions - D'!N94="",0,'Frame Dimensions - D'!N94),IF('Frame Dimensions - C'!N94="",0,'Frame Dimensions - C'!N94))</f>
        <v>#REF!</v>
      </c>
      <c r="O94" s="611" t="e">
        <f ca="1">IF(DRIVE_Type="Direct",IF('Frame Dimensions - D'!O94="",0,'Frame Dimensions - D'!O94),IF('Frame Dimensions - C'!O94="",0,'Frame Dimensions - C'!O94))</f>
        <v>#REF!</v>
      </c>
      <c r="P94" s="584">
        <f>IF(DRIVE_Type="Direct",IF('Frame Dimensions - D'!P94="",0,'Frame Dimensions - D'!P94),IF('Frame Dimensions - C'!P94="",0,'Frame Dimensions - C'!P94))</f>
        <v>0</v>
      </c>
      <c r="Q94" s="1450">
        <f>IF(DRIVE_Type="Direct",IF('Frame Dimensions - D'!Q94="",0,'Frame Dimensions - D'!Q94),IF('Frame Dimensions - C'!Q94="",0,'Frame Dimensions - C'!Q94))</f>
        <v>0</v>
      </c>
      <c r="R94" s="1189"/>
      <c r="S94" s="603"/>
      <c r="T94" s="603"/>
      <c r="U94" s="603"/>
      <c r="V94" s="603"/>
      <c r="W94" s="603"/>
      <c r="X94" s="603"/>
      <c r="Y94" s="603"/>
      <c r="Z94" s="603"/>
      <c r="AA94" s="603"/>
      <c r="AB94" s="603"/>
      <c r="AC94" s="603"/>
      <c r="AD94" s="603"/>
      <c r="AE94" s="603"/>
      <c r="AF94" s="603"/>
      <c r="AG94" s="603"/>
      <c r="AH94" s="603"/>
      <c r="AI94" s="603"/>
      <c r="AJ94" s="464"/>
    </row>
    <row r="95" spans="1:36">
      <c r="A95" s="1680"/>
      <c r="B95" s="642" t="str">
        <f>IF(DRIVE_Type="Direct",IF('Frame Dimensions - D'!B95="",0,'Frame Dimensions - D'!B95),IF('Frame Dimensions - C'!B95="",0,'Frame Dimensions - C'!B95))</f>
        <v>vhf_R2</v>
      </c>
      <c r="C95" s="580">
        <f>IF(DRIVE_Type="Direct",IF('Frame Dimensions - D'!C95="",0,'Frame Dimensions - D'!C95),IF('Frame Dimensions - C'!C95="",0,'Frame Dimensions - C'!C95))</f>
        <v>0</v>
      </c>
      <c r="D95" s="580">
        <f>IF(DRIVE_Type="Direct",IF('Frame Dimensions - D'!D95="",0,'Frame Dimensions - D'!D95),IF('Frame Dimensions - C'!D95="",0,'Frame Dimensions - C'!D95))</f>
        <v>0</v>
      </c>
      <c r="E95" s="580">
        <f>IF(DRIVE_Type="Direct",IF('Frame Dimensions - D'!E95="",0,'Frame Dimensions - D'!E95),IF('Frame Dimensions - C'!E95="",0,'Frame Dimensions - C'!E95))</f>
        <v>0</v>
      </c>
      <c r="F95" s="580">
        <f>IF(DRIVE_Type="Direct",IF('Frame Dimensions - D'!F95="",0,'Frame Dimensions - D'!F95),IF('Frame Dimensions - C'!F95="",0,'Frame Dimensions - C'!F95))</f>
        <v>0</v>
      </c>
      <c r="G95" s="580">
        <f>IF(DRIVE_Type="Direct",IF('Frame Dimensions - D'!G95="",0,'Frame Dimensions - D'!G95),IF('Frame Dimensions - C'!G95="",0,'Frame Dimensions - C'!G95))</f>
        <v>0</v>
      </c>
      <c r="H95" s="580">
        <f>IF(DRIVE_Type="Direct",IF('Frame Dimensions - D'!H95="",0,'Frame Dimensions - D'!H95),IF('Frame Dimensions - C'!H95="",0,'Frame Dimensions - C'!H95))</f>
        <v>0</v>
      </c>
      <c r="I95" s="580">
        <f>IF(DRIVE_Type="Direct",IF('Frame Dimensions - D'!I95="",0,'Frame Dimensions - D'!I95),IF('Frame Dimensions - C'!I95="",0,'Frame Dimensions - C'!I95))</f>
        <v>0</v>
      </c>
      <c r="J95" s="599" t="e">
        <f ca="1">IF(DRIVE_Type="Direct",IF('Frame Dimensions - D'!J95="",0,'Frame Dimensions - D'!J95),IF('Frame Dimensions - C'!J95="",0,'Frame Dimensions - C'!J95))</f>
        <v>#REF!</v>
      </c>
      <c r="K95" s="580" t="e">
        <f ca="1">IF(DRIVE_Type="Direct",IF('Frame Dimensions - D'!K95="",0,'Frame Dimensions - D'!K95),IF('Frame Dimensions - C'!K95="",0,'Frame Dimensions - C'!K95))</f>
        <v>#REF!</v>
      </c>
      <c r="L95" s="608" t="e">
        <f ca="1">IF(DRIVE_Type="Direct",IF('Frame Dimensions - D'!L95="",0,'Frame Dimensions - D'!L95),IF('Frame Dimensions - C'!L95="",0,'Frame Dimensions - C'!L95))</f>
        <v>#REF!</v>
      </c>
      <c r="M95" s="599">
        <f>IF(DRIVE_Type="Direct",IF('Frame Dimensions - D'!M95="",0,'Frame Dimensions - D'!M95),IF('Frame Dimensions - C'!M95="",0,'Frame Dimensions - C'!M95))</f>
        <v>0</v>
      </c>
      <c r="N95" s="580">
        <f>IF(DRIVE_Type="Direct",IF('Frame Dimensions - D'!N95="",0,'Frame Dimensions - D'!N95),IF('Frame Dimensions - C'!N95="",0,'Frame Dimensions - C'!N95))</f>
        <v>0</v>
      </c>
      <c r="O95" s="601">
        <f>IF(DRIVE_Type="Direct",IF('Frame Dimensions - D'!O95="",0,'Frame Dimensions - D'!O95),IF('Frame Dimensions - C'!O95="",0,'Frame Dimensions - C'!O95))</f>
        <v>0</v>
      </c>
      <c r="P95" s="584">
        <f>IF(DRIVE_Type="Direct",IF('Frame Dimensions - D'!P95="",0,'Frame Dimensions - D'!P95),IF('Frame Dimensions - C'!P95="",0,'Frame Dimensions - C'!P95))</f>
        <v>0</v>
      </c>
      <c r="Q95" s="1450">
        <f>IF(DRIVE_Type="Direct",IF('Frame Dimensions - D'!Q95="",0,'Frame Dimensions - D'!Q95),IF('Frame Dimensions - C'!Q95="",0,'Frame Dimensions - C'!Q95))</f>
        <v>0</v>
      </c>
      <c r="R95" s="644"/>
      <c r="S95" s="603"/>
      <c r="T95" s="603"/>
      <c r="U95" s="603"/>
      <c r="V95" s="603"/>
      <c r="W95" s="603"/>
      <c r="X95" s="603"/>
      <c r="Y95" s="603"/>
      <c r="Z95" s="603"/>
      <c r="AA95" s="603"/>
      <c r="AB95" s="603"/>
      <c r="AC95" s="603"/>
      <c r="AD95" s="603"/>
      <c r="AE95" s="603"/>
      <c r="AF95" s="603"/>
      <c r="AG95" s="603"/>
      <c r="AH95" s="603"/>
      <c r="AI95" s="603"/>
      <c r="AJ95" s="464"/>
    </row>
    <row r="96" spans="1:36">
      <c r="A96" s="1682"/>
      <c r="B96" s="622" t="str">
        <f>IF(DRIVE_Type="Direct",IF('Frame Dimensions - D'!B96="",0,'Frame Dimensions - D'!B96),IF('Frame Dimensions - C'!B96="",0,'Frame Dimensions - C'!B96))</f>
        <v>HFHi</v>
      </c>
      <c r="C96" s="493" t="e">
        <f ca="1">IF(DRIVE_Type="Direct",IF('Frame Dimensions - D'!C96="",0,'Frame Dimensions - D'!C96),IF('Frame Dimensions - C'!C96="",0,'Frame Dimensions - C'!C96))</f>
        <v>#REF!</v>
      </c>
      <c r="D96" s="493" t="e">
        <f ca="1">IF(DRIVE_Type="Direct",IF('Frame Dimensions - D'!D96="",0,'Frame Dimensions - D'!D96),IF('Frame Dimensions - C'!D96="",0,'Frame Dimensions - C'!D96))</f>
        <v>#REF!</v>
      </c>
      <c r="E96" s="580" t="e">
        <f ca="1">IF(DRIVE_Type="Direct",IF('Frame Dimensions - D'!E96="",0,'Frame Dimensions - D'!E96),IF('Frame Dimensions - C'!E96="",0,'Frame Dimensions - C'!E96))</f>
        <v>#REF!</v>
      </c>
      <c r="F96" s="580" t="e">
        <f ca="1">IF(DRIVE_Type="Direct",IF('Frame Dimensions - D'!F96="",0,'Frame Dimensions - D'!F96),IF('Frame Dimensions - C'!F96="",0,'Frame Dimensions - C'!F96))</f>
        <v>#REF!</v>
      </c>
      <c r="G96" s="493" t="e">
        <f ca="1">IF(DRIVE_Type="Direct",IF('Frame Dimensions - D'!G96="",0,'Frame Dimensions - D'!G96),IF('Frame Dimensions - C'!G96="",0,'Frame Dimensions - C'!G96))</f>
        <v>#REF!</v>
      </c>
      <c r="H96" s="493">
        <f>IF(DRIVE_Type="Direct",IF('Frame Dimensions - D'!H96="",0,'Frame Dimensions - D'!H96),IF('Frame Dimensions - C'!H96="",0,'Frame Dimensions - C'!H96))</f>
        <v>0</v>
      </c>
      <c r="I96" s="623" t="str">
        <f>IF(DRIVE_Type="Direct",IF('Frame Dimensions - D'!I96="",0,'Frame Dimensions - D'!I96),IF('Frame Dimensions - C'!I96="",0,'Frame Dimensions - C'!I96))</f>
        <v>X-Y+Z+</v>
      </c>
      <c r="J96" s="492" t="e">
        <f ca="1">IF(DRIVE_Type="Direct",IF('Frame Dimensions - D'!J96="",0,'Frame Dimensions - D'!J96),IF('Frame Dimensions - C'!J96="",0,'Frame Dimensions - C'!J96))</f>
        <v>#REF!</v>
      </c>
      <c r="K96" s="598" t="e">
        <f ca="1">IF(DRIVE_Type="Direct",IF('Frame Dimensions - D'!K96="",0,'Frame Dimensions - D'!K96),IF('Frame Dimensions - C'!K96="",0,'Frame Dimensions - C'!K96))</f>
        <v>#REF!</v>
      </c>
      <c r="L96" s="600" t="e">
        <f ca="1">IF(DRIVE_Type="Direct",IF('Frame Dimensions - D'!L96="",0,'Frame Dimensions - D'!L96),IF('Frame Dimensions - C'!L96="",0,'Frame Dimensions - C'!L96))</f>
        <v>#REF!</v>
      </c>
      <c r="M96" s="609" t="e">
        <f ca="1">IF(DRIVE_Type="Direct",IF('Frame Dimensions - D'!M96="",0,'Frame Dimensions - D'!M96),IF('Frame Dimensions - C'!M96="",0,'Frame Dimensions - C'!M96))</f>
        <v>#REF!</v>
      </c>
      <c r="N96" s="608" t="e">
        <f ca="1">IF(DRIVE_Type="Direct",IF('Frame Dimensions - D'!N96="",0,'Frame Dimensions - D'!N96),IF('Frame Dimensions - C'!N96="",0,'Frame Dimensions - C'!N96))</f>
        <v>#REF!</v>
      </c>
      <c r="O96" s="1412" t="e">
        <f ca="1">IF(DRIVE_Type="Direct",IF('Frame Dimensions - D'!O96="",0,'Frame Dimensions - D'!O96),IF('Frame Dimensions - C'!O96="",0,'Frame Dimensions - C'!O96))</f>
        <v>#REF!</v>
      </c>
      <c r="P96" s="584" t="e">
        <f ca="1">IF(DRIVE_Type="Direct",IF('Frame Dimensions - D'!P96="",0,'Frame Dimensions - D'!P96),IF('Frame Dimensions - C'!P96="",0,'Frame Dimensions - C'!P96))</f>
        <v>#REF!</v>
      </c>
      <c r="Q96" s="1450" t="e">
        <f ca="1">IF(DRIVE_Type="Direct",IF('Frame Dimensions - D'!Q96="",0,'Frame Dimensions - D'!Q96),IF('Frame Dimensions - C'!Q96="",0,'Frame Dimensions - C'!Q96))</f>
        <v>#REF!</v>
      </c>
      <c r="R96" s="644"/>
      <c r="S96" s="603"/>
      <c r="T96" s="603"/>
      <c r="U96" s="603"/>
      <c r="V96" s="603"/>
      <c r="W96" s="603"/>
      <c r="X96" s="603"/>
      <c r="Y96" s="603"/>
      <c r="Z96" s="603"/>
      <c r="AA96" s="603"/>
      <c r="AB96" s="603"/>
      <c r="AC96" s="603"/>
      <c r="AD96" s="603"/>
      <c r="AE96" s="603"/>
      <c r="AF96" s="603"/>
      <c r="AG96" s="603"/>
      <c r="AH96" s="603"/>
      <c r="AI96" s="603"/>
      <c r="AJ96" s="464"/>
    </row>
    <row r="97" spans="1:36">
      <c r="A97" s="1680"/>
      <c r="B97" s="585" t="str">
        <f>IF(DRIVE_Type="Direct",IF('Frame Dimensions - D'!B97="",0,'Frame Dimensions - D'!B97),IF('Frame Dimensions - C'!B97="",0,'Frame Dimensions - C'!B97))</f>
        <v>hfhi</v>
      </c>
      <c r="C97" s="582">
        <f>IF(DRIVE_Type="Direct",IF('Frame Dimensions - D'!C97="",0,'Frame Dimensions - D'!C97),IF('Frame Dimensions - C'!C97="",0,'Frame Dimensions - C'!C97))</f>
        <v>0</v>
      </c>
      <c r="D97" s="493">
        <f>IF(DRIVE_Type="Direct",IF('Frame Dimensions - D'!D97="",0,'Frame Dimensions - D'!D97),IF('Frame Dimensions - C'!D97="",0,'Frame Dimensions - C'!D97))</f>
        <v>0</v>
      </c>
      <c r="E97" s="493">
        <f>IF(DRIVE_Type="Direct",IF('Frame Dimensions - D'!E97="",0,'Frame Dimensions - D'!E97),IF('Frame Dimensions - C'!E97="",0,'Frame Dimensions - C'!E97))</f>
        <v>0</v>
      </c>
      <c r="F97" s="493">
        <f>IF(DRIVE_Type="Direct",IF('Frame Dimensions - D'!F97="",0,'Frame Dimensions - D'!F97),IF('Frame Dimensions - C'!F97="",0,'Frame Dimensions - C'!F97))</f>
        <v>0</v>
      </c>
      <c r="G97" s="493">
        <f>IF(DRIVE_Type="Direct",IF('Frame Dimensions - D'!G97="",0,'Frame Dimensions - D'!G97),IF('Frame Dimensions - C'!G97="",0,'Frame Dimensions - C'!G97))</f>
        <v>0</v>
      </c>
      <c r="H97" s="493">
        <f>IF(DRIVE_Type="Direct",IF('Frame Dimensions - D'!H97="",0,'Frame Dimensions - D'!H97),IF('Frame Dimensions - C'!H97="",0,'Frame Dimensions - C'!H97))</f>
        <v>0</v>
      </c>
      <c r="I97" s="494">
        <f>IF(DRIVE_Type="Direct",IF('Frame Dimensions - D'!I97="",0,'Frame Dimensions - D'!I97),IF('Frame Dimensions - C'!I97="",0,'Frame Dimensions - C'!I97))</f>
        <v>0</v>
      </c>
      <c r="J97" s="609" t="e">
        <f ca="1">IF(DRIVE_Type="Direct",IF('Frame Dimensions - D'!J97="",0,'Frame Dimensions - D'!J97),IF('Frame Dimensions - C'!J97="",0,'Frame Dimensions - C'!J97))</f>
        <v>#REF!</v>
      </c>
      <c r="K97" s="493" t="e">
        <f ca="1">IF(DRIVE_Type="Direct",IF('Frame Dimensions - D'!K97="",0,'Frame Dimensions - D'!K97),IF('Frame Dimensions - C'!K97="",0,'Frame Dimensions - C'!K97))</f>
        <v>#REF!</v>
      </c>
      <c r="L97" s="610" t="e">
        <f ca="1">IF(DRIVE_Type="Direct",IF('Frame Dimensions - D'!L97="",0,'Frame Dimensions - D'!L97),IF('Frame Dimensions - C'!L97="",0,'Frame Dimensions - C'!L97))</f>
        <v>#REF!</v>
      </c>
      <c r="M97" s="609" t="e">
        <f ca="1">IF(DRIVE_Type="Direct",IF('Frame Dimensions - D'!M97="",0,'Frame Dimensions - D'!M97),IF('Frame Dimensions - C'!M97="",0,'Frame Dimensions - C'!M97))</f>
        <v>#REF!</v>
      </c>
      <c r="N97" s="608" t="e">
        <f ca="1">IF(DRIVE_Type="Direct",IF('Frame Dimensions - D'!N97="",0,'Frame Dimensions - D'!N97),IF('Frame Dimensions - C'!N97="",0,'Frame Dimensions - C'!N97))</f>
        <v>#REF!</v>
      </c>
      <c r="O97" s="612" t="e">
        <f ca="1">IF(DRIVE_Type="Direct",IF('Frame Dimensions - D'!O97="",0,'Frame Dimensions - D'!O97),IF('Frame Dimensions - C'!O97="",0,'Frame Dimensions - C'!O97))</f>
        <v>#REF!</v>
      </c>
      <c r="P97" s="584">
        <f>IF(DRIVE_Type="Direct",IF('Frame Dimensions - D'!P97="",0,'Frame Dimensions - D'!P97),IF('Frame Dimensions - C'!P97="",0,'Frame Dimensions - C'!P97))</f>
        <v>0</v>
      </c>
      <c r="Q97" s="1450">
        <f>IF(DRIVE_Type="Direct",IF('Frame Dimensions - D'!Q97="",0,'Frame Dimensions - D'!Q97),IF('Frame Dimensions - C'!Q97="",0,'Frame Dimensions - C'!Q97))</f>
        <v>0</v>
      </c>
      <c r="R97" s="1189"/>
      <c r="S97" s="603"/>
      <c r="T97" s="603"/>
      <c r="U97" s="603"/>
      <c r="V97" s="603"/>
      <c r="W97" s="603"/>
      <c r="X97" s="603"/>
      <c r="Y97" s="603"/>
      <c r="Z97" s="603"/>
      <c r="AA97" s="603"/>
      <c r="AB97" s="603"/>
      <c r="AC97" s="603"/>
      <c r="AD97" s="603"/>
      <c r="AE97" s="603"/>
      <c r="AF97" s="603"/>
      <c r="AG97" s="603"/>
      <c r="AH97" s="603"/>
      <c r="AI97" s="603"/>
      <c r="AJ97" s="464"/>
    </row>
    <row r="98" spans="1:36">
      <c r="A98" s="1951"/>
      <c r="B98" s="629" t="e">
        <f ca="1">IF(DRIVE_Type="Direct",IF('Frame Dimensions - D'!B98="",0,'Frame Dimensions - D'!B98),IF('Frame Dimensions - C'!B98="",0,'Frame Dimensions - C'!B98))</f>
        <v>#REF!</v>
      </c>
      <c r="C98" s="1944" t="str">
        <f>IF(DRIVE_Type="Direct",IF('Frame Dimensions - D'!C98="",0,'Frame Dimensions - D'!C98),IF('Frame Dimensions - C'!C98="",0,'Frame Dimensions - C'!C98))</f>
        <v>P5</v>
      </c>
      <c r="D98" s="587">
        <f>IF(DRIVE_Type="Direct",IF('Frame Dimensions - D'!D98="",0,'Frame Dimensions - D'!D98),IF('Frame Dimensions - C'!D98="",0,'Frame Dimensions - C'!D98))</f>
        <v>0</v>
      </c>
      <c r="E98" s="588" t="e">
        <f ca="1">IF(DRIVE_Type="Direct",IF('Frame Dimensions - D'!E98="",0,'Frame Dimensions - D'!E98),IF('Frame Dimensions - C'!E98="",0,'Frame Dimensions - C'!E98))</f>
        <v>#REF!</v>
      </c>
      <c r="F98" s="587" t="e">
        <f ca="1">IF(DRIVE_Type="Direct",IF('Frame Dimensions - D'!F98="",0,'Frame Dimensions - D'!F98),IF('Frame Dimensions - C'!F98="",0,'Frame Dimensions - C'!F98))</f>
        <v>#REF!</v>
      </c>
      <c r="G98" s="484">
        <f>IF(DRIVE_Type="Direct",IF('Frame Dimensions - D'!G98="",0,'Frame Dimensions - D'!G98),IF('Frame Dimensions - C'!G98="",0,'Frame Dimensions - C'!G98))</f>
        <v>5</v>
      </c>
      <c r="H98" s="1643">
        <f>IF(DRIVE_Type="Direct",IF('Frame Dimensions - D'!H98="",0,'Frame Dimensions - D'!H98),IF('Frame Dimensions - C'!H98="",0,'Frame Dimensions - C'!H98))</f>
        <v>0</v>
      </c>
      <c r="I98" s="1953">
        <f>IF(DRIVE_Type="Direct",IF('Frame Dimensions - D'!I98="",0,'Frame Dimensions - D'!I98),IF('Frame Dimensions - C'!I98="",0,'Frame Dimensions - C'!I98))</f>
        <v>0</v>
      </c>
      <c r="J98" s="1955" t="e">
        <f ca="1">IF(DRIVE_Type="Direct",IF('Frame Dimensions - D'!J98="",0,'Frame Dimensions - D'!J98),IF('Frame Dimensions - C'!J98="",0,'Frame Dimensions - C'!J98))</f>
        <v>#REF!</v>
      </c>
      <c r="K98" s="2436" t="e">
        <f ca="1">IF(DRIVE_Type="Direct",IF('Frame Dimensions - D'!K98="",0,'Frame Dimensions - D'!K98),IF('Frame Dimensions - C'!K98="",0,'Frame Dimensions - C'!K98))</f>
        <v>#REF!</v>
      </c>
      <c r="L98" s="2437" t="e">
        <f ca="1">IF(DRIVE_Type="Direct",IF('Frame Dimensions - D'!L98="",0,'Frame Dimensions - D'!L98),IF('Frame Dimensions - C'!L98="",0,'Frame Dimensions - C'!L98))</f>
        <v>#REF!</v>
      </c>
      <c r="M98" s="1955" t="e">
        <f ca="1">IF(DRIVE_Type="Direct",IF('Frame Dimensions - D'!M98="",0,'Frame Dimensions - D'!M98),IF('Frame Dimensions - C'!M98="",0,'Frame Dimensions - C'!M98))</f>
        <v>#REF!</v>
      </c>
      <c r="N98" s="2436" t="e">
        <f ca="1">IF(DRIVE_Type="Direct",IF('Frame Dimensions - D'!N98="",0,'Frame Dimensions - D'!N98),IF('Frame Dimensions - C'!N98="",0,'Frame Dimensions - C'!N98))</f>
        <v>#REF!</v>
      </c>
      <c r="O98" s="2438" t="e">
        <f ca="1">IF(DRIVE_Type="Direct",IF('Frame Dimensions - D'!O98="",0,'Frame Dimensions - D'!O98),IF('Frame Dimensions - C'!O98="",0,'Frame Dimensions - C'!O98))</f>
        <v>#REF!</v>
      </c>
      <c r="P98" s="590" t="e">
        <f ca="1">IF(DRIVE_Type="Direct",IF('Frame Dimensions - D'!P98="",0,'Frame Dimensions - D'!P98),IF('Frame Dimensions - C'!P98="",0,'Frame Dimensions - C'!P98))</f>
        <v>#REF!</v>
      </c>
      <c r="Q98" s="1452" t="e">
        <f ca="1">IF(DRIVE_Type="Direct",IF('Frame Dimensions - D'!Q98="",0,'Frame Dimensions - D'!Q98),IF('Frame Dimensions - C'!Q98="",0,'Frame Dimensions - C'!Q98))</f>
        <v>#REF!</v>
      </c>
      <c r="R98" s="644"/>
      <c r="S98" s="603"/>
      <c r="T98" s="603"/>
      <c r="U98" s="580"/>
      <c r="V98" s="603"/>
      <c r="W98" s="603"/>
      <c r="X98" s="603"/>
      <c r="Y98" s="603"/>
      <c r="Z98" s="603"/>
      <c r="AA98" s="603"/>
      <c r="AB98" s="603"/>
      <c r="AC98" s="603"/>
      <c r="AD98" s="603"/>
      <c r="AE98" s="603"/>
      <c r="AF98" s="603"/>
      <c r="AG98" s="603"/>
      <c r="AH98" s="603"/>
      <c r="AI98" s="603"/>
      <c r="AJ98" s="464"/>
    </row>
    <row r="99" spans="1:36">
      <c r="A99" s="1952"/>
      <c r="B99" s="1647" t="e">
        <f ca="1">IF(DRIVE_Type="Direct",IF('Frame Dimensions - D'!B99="",0,'Frame Dimensions - D'!B99),IF('Frame Dimensions - C'!B99="",0,'Frame Dimensions - C'!B99))</f>
        <v>#REF!</v>
      </c>
      <c r="C99" s="593" t="str">
        <f>IF(DRIVE_Type="Direct",IF('Frame Dimensions - D'!C99="",0,'Frame Dimensions - D'!C99),IF('Frame Dimensions - C'!C99="",0,'Frame Dimensions - C'!C99))</f>
        <v>P5</v>
      </c>
      <c r="D99" s="593">
        <f>IF(DRIVE_Type="Direct",IF('Frame Dimensions - D'!D99="",0,'Frame Dimensions - D'!D99),IF('Frame Dimensions - C'!D99="",0,'Frame Dimensions - C'!D99))</f>
        <v>0</v>
      </c>
      <c r="E99" s="1549" t="e">
        <f ca="1">IF(DRIVE_Type="Direct",IF('Frame Dimensions - D'!E99="",0,'Frame Dimensions - D'!E99),IF('Frame Dimensions - C'!E99="",0,'Frame Dimensions - C'!E99))</f>
        <v>#REF!</v>
      </c>
      <c r="F99" s="593" t="e">
        <f ca="1">IF(DRIVE_Type="Direct",IF('Frame Dimensions - D'!F99="",0,'Frame Dimensions - D'!F99),IF('Frame Dimensions - C'!F99="",0,'Frame Dimensions - C'!F99))</f>
        <v>#REF!</v>
      </c>
      <c r="G99" s="479">
        <f>IF(DRIVE_Type="Direct",IF('Frame Dimensions - D'!G99="",0,'Frame Dimensions - D'!G99),IF('Frame Dimensions - C'!G99="",0,'Frame Dimensions - C'!G99))</f>
        <v>5</v>
      </c>
      <c r="H99" s="1787">
        <f>IF(DRIVE_Type="Direct",IF('Frame Dimensions - D'!H99="",0,'Frame Dimensions - D'!H99),IF('Frame Dimensions - C'!H99="",0,'Frame Dimensions - C'!H99))</f>
        <v>0</v>
      </c>
      <c r="I99" s="1954">
        <f>IF(DRIVE_Type="Direct",IF('Frame Dimensions - D'!I99="",0,'Frame Dimensions - D'!I99),IF('Frame Dimensions - C'!I99="",0,'Frame Dimensions - C'!I99))</f>
        <v>0</v>
      </c>
      <c r="J99" s="1958" t="e">
        <f ca="1">IF(DRIVE_Type="Direct",IF('Frame Dimensions - D'!J99="",0,'Frame Dimensions - D'!J99),IF('Frame Dimensions - C'!J99="",0,'Frame Dimensions - C'!J99))</f>
        <v>#REF!</v>
      </c>
      <c r="K99" s="2439" t="e">
        <f ca="1">IF(DRIVE_Type="Direct",IF('Frame Dimensions - D'!K99="",0,'Frame Dimensions - D'!K99),IF('Frame Dimensions - C'!K99="",0,'Frame Dimensions - C'!K99))</f>
        <v>#REF!</v>
      </c>
      <c r="L99" s="2440" t="e">
        <f ca="1">IF(DRIVE_Type="Direct",IF('Frame Dimensions - D'!L99="",0,'Frame Dimensions - D'!L99),IF('Frame Dimensions - C'!L99="",0,'Frame Dimensions - C'!L99))</f>
        <v>#REF!</v>
      </c>
      <c r="M99" s="1958" t="e">
        <f ca="1">IF(DRIVE_Type="Direct",IF('Frame Dimensions - D'!M99="",0,'Frame Dimensions - D'!M99),IF('Frame Dimensions - C'!M99="",0,'Frame Dimensions - C'!M99))</f>
        <v>#REF!</v>
      </c>
      <c r="N99" s="2439" t="e">
        <f ca="1">IF(DRIVE_Type="Direct",IF('Frame Dimensions - D'!N99="",0,'Frame Dimensions - D'!N99),IF('Frame Dimensions - C'!N99="",0,'Frame Dimensions - C'!N99))</f>
        <v>#REF!</v>
      </c>
      <c r="O99" s="2441" t="e">
        <f ca="1">IF(DRIVE_Type="Direct",IF('Frame Dimensions - D'!O99="",0,'Frame Dimensions - D'!O99),IF('Frame Dimensions - C'!O99="",0,'Frame Dimensions - C'!O99))</f>
        <v>#REF!</v>
      </c>
      <c r="P99" s="605" t="e">
        <f ca="1">IF(DRIVE_Type="Direct",IF('Frame Dimensions - D'!P99="",0,'Frame Dimensions - D'!P99),IF('Frame Dimensions - C'!P99="",0,'Frame Dimensions - C'!P99))</f>
        <v>#REF!</v>
      </c>
      <c r="Q99" s="1455" t="e">
        <f ca="1">IF(DRIVE_Type="Direct",IF('Frame Dimensions - D'!Q99="",0,'Frame Dimensions - D'!Q99),IF('Frame Dimensions - C'!Q99="",0,'Frame Dimensions - C'!Q99))</f>
        <v>#REF!</v>
      </c>
      <c r="R99" s="1189"/>
      <c r="S99" s="603"/>
      <c r="T99" s="603"/>
      <c r="U99" s="603"/>
      <c r="V99" s="603"/>
      <c r="W99" s="603"/>
      <c r="X99" s="603"/>
      <c r="Y99" s="603"/>
      <c r="Z99" s="603"/>
      <c r="AA99" s="603"/>
      <c r="AB99" s="603"/>
      <c r="AC99" s="603"/>
      <c r="AD99" s="603"/>
      <c r="AE99" s="603"/>
      <c r="AF99" s="603"/>
      <c r="AG99" s="603"/>
      <c r="AH99" s="603"/>
      <c r="AI99" s="603"/>
      <c r="AJ99" s="464"/>
    </row>
    <row r="100" spans="1:36">
      <c r="A100" s="1951"/>
      <c r="B100" s="1963" t="e">
        <f ca="1">IF(DRIVE_Type="Direct",IF('Frame Dimensions - D'!B100="",0,'Frame Dimensions - D'!B100),IF('Frame Dimensions - C'!B100="",0,'Frame Dimensions - C'!B100))</f>
        <v>#REF!</v>
      </c>
      <c r="C100" s="1964" t="str">
        <f>IF(DRIVE_Type="Direct",IF('Frame Dimensions - D'!C100="",0,'Frame Dimensions - D'!C100),IF('Frame Dimensions - C'!C100="",0,'Frame Dimensions - C'!C100))</f>
        <v>inlet view</v>
      </c>
      <c r="D100" s="1964">
        <f>IF(DRIVE_Type="Direct",IF('Frame Dimensions - D'!D100="",0,'Frame Dimensions - D'!D100),IF('Frame Dimensions - C'!D100="",0,'Frame Dimensions - C'!D100))</f>
        <v>0</v>
      </c>
      <c r="E100" s="1965">
        <f>IF(DRIVE_Type="Direct",IF('Frame Dimensions - D'!E100="",0,'Frame Dimensions - D'!E100),IF('Frame Dimensions - C'!E100="",0,'Frame Dimensions - C'!E100))</f>
        <v>0</v>
      </c>
      <c r="F100" s="1965">
        <f>IF(DRIVE_Type="Direct",IF('Frame Dimensions - D'!F100="",0,'Frame Dimensions - D'!F100),IF('Frame Dimensions - C'!F100="",0,'Frame Dimensions - C'!F100))</f>
        <v>0</v>
      </c>
      <c r="G100" s="1965">
        <f>IF(DRIVE_Type="Direct",IF('Frame Dimensions - D'!G100="",0,'Frame Dimensions - D'!G100),IF('Frame Dimensions - C'!G100="",0,'Frame Dimensions - C'!G100))</f>
        <v>0</v>
      </c>
      <c r="H100" s="1966">
        <f>IF(DRIVE_Type="Direct",IF('Frame Dimensions - D'!H100="",0,'Frame Dimensions - D'!H100),IF('Frame Dimensions - C'!H100="",0,'Frame Dimensions - C'!H100))</f>
        <v>0</v>
      </c>
      <c r="I100" s="1710">
        <f>IF(DRIVE_Type="Direct",IF('Frame Dimensions - D'!I100="",0,'Frame Dimensions - D'!I100),IF('Frame Dimensions - C'!I100="",0,'Frame Dimensions - C'!I100))</f>
        <v>0</v>
      </c>
      <c r="J100" s="609" t="e">
        <f ca="1">IF(DRIVE_Type="Direct",IF('Frame Dimensions - D'!J100="",0,'Frame Dimensions - D'!J100),IF('Frame Dimensions - C'!J100="",0,'Frame Dimensions - C'!J100))</f>
        <v>#REF!</v>
      </c>
      <c r="K100" s="608" t="e">
        <f ca="1">IF(DRIVE_Type="Direct",IF('Frame Dimensions - D'!K100="",0,'Frame Dimensions - D'!K100),IF('Frame Dimensions - C'!K100="",0,'Frame Dimensions - C'!K100))</f>
        <v>#REF!</v>
      </c>
      <c r="L100" s="1685" t="e">
        <f ca="1">IF(DRIVE_Type="Direct",IF('Frame Dimensions - D'!L100="",0,'Frame Dimensions - D'!L100),IF('Frame Dimensions - C'!L100="",0,'Frame Dimensions - C'!L100))</f>
        <v>#REF!</v>
      </c>
      <c r="M100" s="609" t="e">
        <f ca="1">IF(DRIVE_Type="Direct",IF('Frame Dimensions - D'!M100="",0,'Frame Dimensions - D'!M100),IF('Frame Dimensions - C'!M100="",0,'Frame Dimensions - C'!M100))</f>
        <v>#REF!</v>
      </c>
      <c r="N100" s="608" t="e">
        <f ca="1">IF(DRIVE_Type="Direct",IF('Frame Dimensions - D'!N100="",0,'Frame Dimensions - D'!N100),IF('Frame Dimensions - C'!N100="",0,'Frame Dimensions - C'!N100))</f>
        <v>#REF!</v>
      </c>
      <c r="O100" s="1687" t="e">
        <f ca="1">IF(DRIVE_Type="Direct",IF('Frame Dimensions - D'!O100="",0,'Frame Dimensions - D'!O100),IF('Frame Dimensions - C'!O100="",0,'Frame Dimensions - C'!O100))</f>
        <v>#REF!</v>
      </c>
      <c r="P100" s="602">
        <f>IF(DRIVE_Type="Direct",IF('Frame Dimensions - D'!P100="",0,'Frame Dimensions - D'!P100),IF('Frame Dimensions - C'!P100="",0,'Frame Dimensions - C'!P100))</f>
        <v>0</v>
      </c>
      <c r="Q100" s="1454">
        <f>IF(DRIVE_Type="Direct",IF('Frame Dimensions - D'!Q100="",0,'Frame Dimensions - D'!Q100),IF('Frame Dimensions - C'!Q100="",0,'Frame Dimensions - C'!Q100))</f>
        <v>0</v>
      </c>
      <c r="R100" s="1189"/>
      <c r="S100" s="603"/>
      <c r="T100" s="603"/>
      <c r="U100" s="603"/>
      <c r="V100" s="603"/>
      <c r="W100" s="603"/>
      <c r="X100" s="603"/>
      <c r="Y100" s="603"/>
      <c r="Z100" s="603"/>
      <c r="AA100" s="603"/>
      <c r="AB100" s="603"/>
      <c r="AC100" s="603"/>
      <c r="AD100" s="603"/>
      <c r="AE100" s="603"/>
      <c r="AF100" s="603"/>
      <c r="AG100" s="603"/>
      <c r="AH100" s="603"/>
      <c r="AI100" s="603"/>
      <c r="AJ100" s="464"/>
    </row>
    <row r="101" spans="1:36">
      <c r="A101" s="1952"/>
      <c r="B101" s="1967" t="e">
        <f ca="1">IF(DRIVE_Type="Direct",IF('Frame Dimensions - D'!B101="",0,'Frame Dimensions - D'!B101),IF('Frame Dimensions - C'!B101="",0,'Frame Dimensions - C'!B101))</f>
        <v>#REF!</v>
      </c>
      <c r="C101" s="1968" t="str">
        <f>IF(DRIVE_Type="Direct",IF('Frame Dimensions - D'!C101="",0,'Frame Dimensions - D'!C101),IF('Frame Dimensions - C'!C101="",0,'Frame Dimensions - C'!C101))</f>
        <v>inlet view</v>
      </c>
      <c r="D101" s="1968">
        <f>IF(DRIVE_Type="Direct",IF('Frame Dimensions - D'!D101="",0,'Frame Dimensions - D'!D101),IF('Frame Dimensions - C'!D101="",0,'Frame Dimensions - C'!D101))</f>
        <v>0</v>
      </c>
      <c r="E101" s="1969">
        <f>IF(DRIVE_Type="Direct",IF('Frame Dimensions - D'!E101="",0,'Frame Dimensions - D'!E101),IF('Frame Dimensions - C'!E101="",0,'Frame Dimensions - C'!E101))</f>
        <v>0</v>
      </c>
      <c r="F101" s="1969">
        <f>IF(DRIVE_Type="Direct",IF('Frame Dimensions - D'!F101="",0,'Frame Dimensions - D'!F101),IF('Frame Dimensions - C'!F101="",0,'Frame Dimensions - C'!F101))</f>
        <v>0</v>
      </c>
      <c r="G101" s="1969">
        <f>IF(DRIVE_Type="Direct",IF('Frame Dimensions - D'!G101="",0,'Frame Dimensions - D'!G101),IF('Frame Dimensions - C'!G101="",0,'Frame Dimensions - C'!G101))</f>
        <v>0</v>
      </c>
      <c r="H101" s="1968">
        <f>IF(DRIVE_Type="Direct",IF('Frame Dimensions - D'!H101="",0,'Frame Dimensions - D'!H101),IF('Frame Dimensions - C'!H101="",0,'Frame Dimensions - C'!H101))</f>
        <v>0</v>
      </c>
      <c r="I101" s="1711">
        <f>IF(DRIVE_Type="Direct",IF('Frame Dimensions - D'!I101="",0,'Frame Dimensions - D'!I101),IF('Frame Dimensions - C'!I101="",0,'Frame Dimensions - C'!I101))</f>
        <v>0</v>
      </c>
      <c r="J101" s="618" t="e">
        <f ca="1">IF(DRIVE_Type="Direct",IF('Frame Dimensions - D'!J101="",0,'Frame Dimensions - D'!J101),IF('Frame Dimensions - C'!J101="",0,'Frame Dimensions - C'!J101))</f>
        <v>#REF!</v>
      </c>
      <c r="K101" s="616" t="e">
        <f ca="1">IF(DRIVE_Type="Direct",IF('Frame Dimensions - D'!K101="",0,'Frame Dimensions - D'!K101),IF('Frame Dimensions - C'!K101="",0,'Frame Dimensions - C'!K101))</f>
        <v>#REF!</v>
      </c>
      <c r="L101" s="1686" t="e">
        <f ca="1">IF(DRIVE_Type="Direct",IF('Frame Dimensions - D'!L101="",0,'Frame Dimensions - D'!L101),IF('Frame Dimensions - C'!L101="",0,'Frame Dimensions - C'!L101))</f>
        <v>#REF!</v>
      </c>
      <c r="M101" s="618" t="e">
        <f ca="1">IF(DRIVE_Type="Direct",IF('Frame Dimensions - D'!M101="",0,'Frame Dimensions - D'!M101),IF('Frame Dimensions - C'!M101="",0,'Frame Dimensions - C'!M101))</f>
        <v>#REF!</v>
      </c>
      <c r="N101" s="616" t="e">
        <f ca="1">IF(DRIVE_Type="Direct",IF('Frame Dimensions - D'!N101="",0,'Frame Dimensions - D'!N101),IF('Frame Dimensions - C'!N101="",0,'Frame Dimensions - C'!N101))</f>
        <v>#REF!</v>
      </c>
      <c r="O101" s="1688" t="e">
        <f ca="1">IF(DRIVE_Type="Direct",IF('Frame Dimensions - D'!O101="",0,'Frame Dimensions - D'!O101),IF('Frame Dimensions - C'!O101="",0,'Frame Dimensions - C'!O101))</f>
        <v>#REF!</v>
      </c>
      <c r="P101" s="605">
        <f>IF(DRIVE_Type="Direct",IF('Frame Dimensions - D'!P101="",0,'Frame Dimensions - D'!P101),IF('Frame Dimensions - C'!P101="",0,'Frame Dimensions - C'!P101))</f>
        <v>0</v>
      </c>
      <c r="Q101" s="1455">
        <f>IF(DRIVE_Type="Direct",IF('Frame Dimensions - D'!Q101="",0,'Frame Dimensions - D'!Q101),IF('Frame Dimensions - C'!Q101="",0,'Frame Dimensions - C'!Q101))</f>
        <v>0</v>
      </c>
      <c r="R101" s="1502"/>
      <c r="S101" s="603"/>
      <c r="T101" s="572"/>
      <c r="U101" s="572"/>
      <c r="V101" s="572"/>
      <c r="W101" s="603"/>
      <c r="X101" s="603"/>
      <c r="Y101" s="603"/>
      <c r="Z101" s="603"/>
      <c r="AA101" s="603"/>
      <c r="AB101" s="603"/>
      <c r="AC101" s="603"/>
      <c r="AD101" s="603"/>
      <c r="AE101" s="603"/>
      <c r="AF101" s="603"/>
      <c r="AG101" s="603"/>
      <c r="AH101" s="603"/>
      <c r="AI101" s="603"/>
      <c r="AJ101" s="464"/>
    </row>
    <row r="102" spans="1:36">
      <c r="A102" s="641"/>
      <c r="B102" s="642">
        <f>IF(DRIVE_Type="Direct",IF('Frame Dimensions - D'!B102="",0,'Frame Dimensions - D'!B102),IF('Frame Dimensions - C'!B102="",0,'Frame Dimensions - C'!B102))</f>
        <v>0</v>
      </c>
      <c r="C102" s="603">
        <f>IF(DRIVE_Type="Direct",IF('Frame Dimensions - D'!C102="",0,'Frame Dimensions - D'!C102),IF('Frame Dimensions - C'!C102="",0,'Frame Dimensions - C'!C102))</f>
        <v>0</v>
      </c>
      <c r="D102" s="580">
        <f>IF(DRIVE_Type="Direct",IF('Frame Dimensions - D'!D102="",0,'Frame Dimensions - D'!D102),IF('Frame Dimensions - C'!D102="",0,'Frame Dimensions - C'!D102))</f>
        <v>0</v>
      </c>
      <c r="E102" s="580">
        <f>IF(DRIVE_Type="Direct",IF('Frame Dimensions - D'!E102="",0,'Frame Dimensions - D'!E102),IF('Frame Dimensions - C'!E102="",0,'Frame Dimensions - C'!E102))</f>
        <v>0</v>
      </c>
      <c r="F102" s="580">
        <f>IF(DRIVE_Type="Direct",IF('Frame Dimensions - D'!F102="",0,'Frame Dimensions - D'!F102),IF('Frame Dimensions - C'!F102="",0,'Frame Dimensions - C'!F102))</f>
        <v>0</v>
      </c>
      <c r="G102" s="580">
        <f>IF(DRIVE_Type="Direct",IF('Frame Dimensions - D'!G102="",0,'Frame Dimensions - D'!G102),IF('Frame Dimensions - C'!G102="",0,'Frame Dimensions - C'!G102))</f>
        <v>0</v>
      </c>
      <c r="H102" s="580">
        <f>IF(DRIVE_Type="Direct",IF('Frame Dimensions - D'!H102="",0,'Frame Dimensions - D'!H102),IF('Frame Dimensions - C'!H102="",0,'Frame Dimensions - C'!H102))</f>
        <v>0</v>
      </c>
      <c r="I102" s="580">
        <f>IF(DRIVE_Type="Direct",IF('Frame Dimensions - D'!I102="",0,'Frame Dimensions - D'!I102),IF('Frame Dimensions - C'!I102="",0,'Frame Dimensions - C'!I102))</f>
        <v>0</v>
      </c>
      <c r="J102" s="599">
        <f>IF(DRIVE_Type="Direct",IF('Frame Dimensions - D'!J102="",0,'Frame Dimensions - D'!J102),IF('Frame Dimensions - C'!J102="",0,'Frame Dimensions - C'!J102))</f>
        <v>0</v>
      </c>
      <c r="K102" s="580">
        <f>IF(DRIVE_Type="Direct",IF('Frame Dimensions - D'!K102="",0,'Frame Dimensions - D'!K102),IF('Frame Dimensions - C'!K102="",0,'Frame Dimensions - C'!K102))</f>
        <v>0</v>
      </c>
      <c r="L102" s="580">
        <f>IF(DRIVE_Type="Direct",IF('Frame Dimensions - D'!L102="",0,'Frame Dimensions - D'!L102),IF('Frame Dimensions - C'!L102="",0,'Frame Dimensions - C'!L102))</f>
        <v>0</v>
      </c>
      <c r="M102" s="599">
        <f>IF(DRIVE_Type="Direct",IF('Frame Dimensions - D'!M102="",0,'Frame Dimensions - D'!M102),IF('Frame Dimensions - C'!M102="",0,'Frame Dimensions - C'!M102))</f>
        <v>0</v>
      </c>
      <c r="N102" s="580">
        <f>IF(DRIVE_Type="Direct",IF('Frame Dimensions - D'!N102="",0,'Frame Dimensions - D'!N102),IF('Frame Dimensions - C'!N102="",0,'Frame Dimensions - C'!N102))</f>
        <v>0</v>
      </c>
      <c r="O102" s="601">
        <f>IF(DRIVE_Type="Direct",IF('Frame Dimensions - D'!O102="",0,'Frame Dimensions - D'!O102),IF('Frame Dimensions - C'!O102="",0,'Frame Dimensions - C'!O102))</f>
        <v>0</v>
      </c>
      <c r="P102" s="602">
        <f>IF(DRIVE_Type="Direct",IF('Frame Dimensions - D'!P102="",0,'Frame Dimensions - D'!P102),IF('Frame Dimensions - C'!P102="",0,'Frame Dimensions - C'!P102))</f>
        <v>0</v>
      </c>
      <c r="Q102" s="1454">
        <f>IF(DRIVE_Type="Direct",IF('Frame Dimensions - D'!Q102="",0,'Frame Dimensions - D'!Q102),IF('Frame Dimensions - C'!Q102="",0,'Frame Dimensions - C'!Q102))</f>
        <v>0</v>
      </c>
      <c r="R102" s="1189"/>
      <c r="S102" s="603"/>
      <c r="T102" s="603"/>
      <c r="U102" s="603"/>
      <c r="V102" s="603"/>
      <c r="W102" s="603"/>
      <c r="X102" s="603"/>
      <c r="Y102" s="603"/>
      <c r="Z102" s="603"/>
      <c r="AA102" s="603"/>
      <c r="AB102" s="603"/>
      <c r="AC102" s="603"/>
      <c r="AD102" s="603"/>
      <c r="AE102" s="603"/>
      <c r="AF102" s="603"/>
      <c r="AG102" s="603"/>
      <c r="AH102" s="603"/>
      <c r="AI102" s="603"/>
      <c r="AJ102" s="464"/>
    </row>
    <row r="103" spans="1:36">
      <c r="A103" s="1923" t="s">
        <v>3235</v>
      </c>
      <c r="B103" s="629" t="str">
        <f>IF(DRIVE_Type="Direct",IF('Frame Dimensions - D'!B103="",0,'Frame Dimensions - D'!B103),IF('Frame Dimensions - C'!B103="",0,'Frame Dimensions - C'!B103))</f>
        <v>MSMM</v>
      </c>
      <c r="C103" s="484" t="e">
        <f ca="1">IF(DRIVE_Type="Direct",IF('Frame Dimensions - D'!C103="",0,'Frame Dimensions - D'!C103),IF('Frame Dimensions - C'!C103="",0,'Frame Dimensions - C'!C103))</f>
        <v>#REF!</v>
      </c>
      <c r="D103" s="588" t="e">
        <f ca="1">IF(DRIVE_Type="Direct",IF('Frame Dimensions - D'!D103="",0,'Frame Dimensions - D'!D103),IF('Frame Dimensions - C'!D103="",0,'Frame Dimensions - C'!D103))</f>
        <v>#REF!</v>
      </c>
      <c r="E103" s="588" t="e">
        <f ca="1">IF(DRIVE_Type="Direct",IF('Frame Dimensions - D'!E103="",0,'Frame Dimensions - D'!E103),IF('Frame Dimensions - C'!E103="",0,'Frame Dimensions - C'!E103))</f>
        <v>#REF!</v>
      </c>
      <c r="F103" s="587" t="e">
        <f ca="1">IF(DRIVE_Type="Direct",IF('Frame Dimensions - D'!F103="",0,'Frame Dimensions - D'!F103),IF('Frame Dimensions - C'!F103="",0,'Frame Dimensions - C'!F103))</f>
        <v>#REF!</v>
      </c>
      <c r="G103" s="587" t="e">
        <f ca="1">IF(DRIVE_Type="Direct",IF('Frame Dimensions - D'!G103="",0,'Frame Dimensions - D'!G103),IF('Frame Dimensions - C'!G103="",0,'Frame Dimensions - C'!G103))</f>
        <v>#REF!</v>
      </c>
      <c r="H103" s="614" t="e">
        <f ca="1">IF(DRIVE_Type="Direct",IF('Frame Dimensions - D'!H103="",0,'Frame Dimensions - D'!H103),IF('Frame Dimensions - C'!H103="",0,'Frame Dimensions - C'!H103))</f>
        <v>#REF!</v>
      </c>
      <c r="I103" s="614" t="str">
        <f>IF(DRIVE_Type="Direct",IF('Frame Dimensions - D'!I103="",0,'Frame Dimensions - D'!I103),IF('Frame Dimensions - C'!I103="",0,'Frame Dimensions - C'!I103))</f>
        <v>X+Y-Z+</v>
      </c>
      <c r="J103" s="589" t="e">
        <f ca="1">IF(DRIVE_Type="Direct",IF('Frame Dimensions - D'!J103="",0,'Frame Dimensions - D'!J103),IF('Frame Dimensions - C'!J103="",0,'Frame Dimensions - C'!J103))</f>
        <v>#REF!</v>
      </c>
      <c r="K103" s="587" t="e">
        <f ca="1">IF(DRIVE_Type="Direct",IF('Frame Dimensions - D'!K103="",0,'Frame Dimensions - D'!K103),IF('Frame Dimensions - C'!K103="",0,'Frame Dimensions - C'!K103))</f>
        <v>#REF!</v>
      </c>
      <c r="L103" s="1646" t="e">
        <f ca="1">IF(DRIVE_Type="Direct",IF('Frame Dimensions - D'!L103="",0,'Frame Dimensions - D'!L103),IF('Frame Dimensions - C'!L103="",0,'Frame Dimensions - C'!L103))</f>
        <v>#REF!</v>
      </c>
      <c r="M103" s="589" t="e">
        <f ca="1">IF(DRIVE_Type="Direct",IF('Frame Dimensions - D'!M103="",0,'Frame Dimensions - D'!M103),IF('Frame Dimensions - C'!M103="",0,'Frame Dimensions - C'!M103))</f>
        <v>#REF!</v>
      </c>
      <c r="N103" s="587" t="e">
        <f ca="1">IF(DRIVE_Type="Direct",IF('Frame Dimensions - D'!N103="",0,'Frame Dimensions - D'!N103),IF('Frame Dimensions - C'!N103="",0,'Frame Dimensions - C'!N103))</f>
        <v>#REF!</v>
      </c>
      <c r="O103" s="1645" t="e">
        <f ca="1">IF(DRIVE_Type="Direct",IF('Frame Dimensions - D'!O103="",0,'Frame Dimensions - D'!O103),IF('Frame Dimensions - C'!O103="",0,'Frame Dimensions - C'!O103))</f>
        <v>#REF!</v>
      </c>
      <c r="P103" s="590" t="e">
        <f ca="1">IF(DRIVE_Type="Direct",IF('Frame Dimensions - D'!P103="",0,'Frame Dimensions - D'!P103),IF('Frame Dimensions - C'!P103="",0,'Frame Dimensions - C'!P103))</f>
        <v>#REF!</v>
      </c>
      <c r="Q103" s="1452" t="e">
        <f ca="1">IF(DRIVE_Type="Direct",IF('Frame Dimensions - D'!Q103="",0,'Frame Dimensions - D'!Q103),IF('Frame Dimensions - C'!Q103="",0,'Frame Dimensions - C'!Q103))</f>
        <v>#REF!</v>
      </c>
      <c r="R103" s="644"/>
      <c r="S103" s="603"/>
      <c r="T103" s="603"/>
      <c r="U103" s="603"/>
      <c r="V103" s="603"/>
      <c r="W103" s="603"/>
      <c r="X103" s="603"/>
      <c r="Y103" s="603"/>
      <c r="Z103" s="603"/>
      <c r="AA103" s="603"/>
      <c r="AB103" s="603"/>
      <c r="AC103" s="603"/>
      <c r="AD103" s="603"/>
      <c r="AE103" s="603"/>
      <c r="AF103" s="603"/>
      <c r="AG103" s="603"/>
      <c r="AH103" s="603"/>
      <c r="AI103" s="603"/>
      <c r="AJ103" s="464"/>
    </row>
    <row r="104" spans="1:36">
      <c r="A104" s="1924"/>
      <c r="B104" s="642" t="str">
        <f>IF(DRIVE_Type="Direct",IF('Frame Dimensions - D'!B104="",0,'Frame Dimensions - D'!B104),IF('Frame Dimensions - C'!B104="",0,'Frame Dimensions - C'!B104))</f>
        <v>msmm</v>
      </c>
      <c r="C104" s="603">
        <f>IF(DRIVE_Type="Direct",IF('Frame Dimensions - D'!C104="",0,'Frame Dimensions - D'!C104),IF('Frame Dimensions - C'!C104="",0,'Frame Dimensions - C'!C104))</f>
        <v>0</v>
      </c>
      <c r="D104" s="580">
        <f>IF(DRIVE_Type="Direct",IF('Frame Dimensions - D'!D104="",0,'Frame Dimensions - D'!D104),IF('Frame Dimensions - C'!D104="",0,'Frame Dimensions - C'!D104))</f>
        <v>0</v>
      </c>
      <c r="E104" s="580" t="e">
        <f ca="1">IF(DRIVE_Type="Direct",IF('Frame Dimensions - D'!E104="",0,'Frame Dimensions - D'!E104),IF('Frame Dimensions - C'!E104="",0,'Frame Dimensions - C'!E104))</f>
        <v>#REF!</v>
      </c>
      <c r="F104" s="580">
        <f>IF(DRIVE_Type="Direct",IF('Frame Dimensions - D'!F104="",0,'Frame Dimensions - D'!F104),IF('Frame Dimensions - C'!F104="",0,'Frame Dimensions - C'!F104))</f>
        <v>0</v>
      </c>
      <c r="G104" s="580">
        <f>IF(DRIVE_Type="Direct",IF('Frame Dimensions - D'!G104="",0,'Frame Dimensions - D'!G104),IF('Frame Dimensions - C'!G104="",0,'Frame Dimensions - C'!G104))</f>
        <v>0</v>
      </c>
      <c r="H104" s="603">
        <f>IF(DRIVE_Type="Direct",IF('Frame Dimensions - D'!H104="",0,'Frame Dimensions - D'!H104),IF('Frame Dimensions - C'!H104="",0,'Frame Dimensions - C'!H104))</f>
        <v>0</v>
      </c>
      <c r="I104" s="580">
        <f>IF(DRIVE_Type="Direct",IF('Frame Dimensions - D'!I104="",0,'Frame Dimensions - D'!I104),IF('Frame Dimensions - C'!I104="",0,'Frame Dimensions - C'!I104))</f>
        <v>0</v>
      </c>
      <c r="J104" s="599" t="e">
        <f ca="1">IF(DRIVE_Type="Direct",IF('Frame Dimensions - D'!J104="",0,'Frame Dimensions - D'!J104),IF('Frame Dimensions - C'!J104="",0,'Frame Dimensions - C'!J104))</f>
        <v>#REF!</v>
      </c>
      <c r="K104" s="580" t="e">
        <f ca="1">IF(DRIVE_Type="Direct",IF('Frame Dimensions - D'!K104="",0,'Frame Dimensions - D'!K104),IF('Frame Dimensions - C'!K104="",0,'Frame Dimensions - C'!K104))</f>
        <v>#REF!</v>
      </c>
      <c r="L104" s="600" t="e">
        <f ca="1">IF(DRIVE_Type="Direct",IF('Frame Dimensions - D'!L104="",0,'Frame Dimensions - D'!L104),IF('Frame Dimensions - C'!L104="",0,'Frame Dimensions - C'!L104))</f>
        <v>#REF!</v>
      </c>
      <c r="M104" s="599" t="e">
        <f ca="1">IF(DRIVE_Type="Direct",IF('Frame Dimensions - D'!M104="",0,'Frame Dimensions - D'!M104),IF('Frame Dimensions - C'!M104="",0,'Frame Dimensions - C'!M104))</f>
        <v>#REF!</v>
      </c>
      <c r="N104" s="580" t="e">
        <f ca="1">IF(DRIVE_Type="Direct",IF('Frame Dimensions - D'!N104="",0,'Frame Dimensions - D'!N104),IF('Frame Dimensions - C'!N104="",0,'Frame Dimensions - C'!N104))</f>
        <v>#REF!</v>
      </c>
      <c r="O104" s="601" t="e">
        <f ca="1">IF(DRIVE_Type="Direct",IF('Frame Dimensions - D'!O104="",0,'Frame Dimensions - D'!O104),IF('Frame Dimensions - C'!O104="",0,'Frame Dimensions - C'!O104))</f>
        <v>#REF!</v>
      </c>
      <c r="P104" s="1901">
        <f>IF(DRIVE_Type="Direct",IF('Frame Dimensions - D'!P104="",0,'Frame Dimensions - D'!P104),IF('Frame Dimensions - C'!P104="",0,'Frame Dimensions - C'!P104))</f>
        <v>0</v>
      </c>
      <c r="Q104" s="1454">
        <f>IF(DRIVE_Type="Direct",IF('Frame Dimensions - D'!Q104="",0,'Frame Dimensions - D'!Q104),IF('Frame Dimensions - C'!Q104="",0,'Frame Dimensions - C'!Q104))</f>
        <v>0</v>
      </c>
      <c r="R104" s="1503"/>
      <c r="S104" s="603"/>
      <c r="T104" s="603"/>
      <c r="U104" s="603"/>
      <c r="V104" s="603"/>
      <c r="W104" s="603"/>
      <c r="X104" s="603"/>
      <c r="Y104" s="603"/>
      <c r="Z104" s="603"/>
      <c r="AA104" s="603"/>
      <c r="AB104" s="603"/>
      <c r="AC104" s="603"/>
      <c r="AD104" s="603"/>
      <c r="AE104" s="603"/>
      <c r="AF104" s="603"/>
      <c r="AG104" s="603"/>
      <c r="AH104" s="603"/>
      <c r="AI104" s="603"/>
      <c r="AJ104" s="464"/>
    </row>
    <row r="105" spans="1:36">
      <c r="A105" s="1925"/>
      <c r="B105" s="1648" t="str">
        <f>IF(DRIVE_Type="Direct",IF('Frame Dimensions - D'!B105="",0,'Frame Dimensions - D'!B105),IF('Frame Dimensions - C'!B105="",0,'Frame Dimensions - C'!B105))</f>
        <v>MSMM+</v>
      </c>
      <c r="C105" s="580">
        <f>IF(DRIVE_Type="Direct",IF('Frame Dimensions - D'!C105="",0,'Frame Dimensions - D'!C105),IF('Frame Dimensions - C'!C105="",0,'Frame Dimensions - C'!C105))</f>
        <v>0</v>
      </c>
      <c r="D105" s="580">
        <f>IF(DRIVE_Type="Direct",IF('Frame Dimensions - D'!D105="",0,'Frame Dimensions - D'!D105),IF('Frame Dimensions - C'!D105="",0,'Frame Dimensions - C'!D105))</f>
        <v>0</v>
      </c>
      <c r="E105" s="580">
        <f>IF(DRIVE_Type="Direct",IF('Frame Dimensions - D'!E105="",0,'Frame Dimensions - D'!E105),IF('Frame Dimensions - C'!E105="",0,'Frame Dimensions - C'!E105))</f>
        <v>0</v>
      </c>
      <c r="F105" s="580">
        <f>IF(DRIVE_Type="Direct",IF('Frame Dimensions - D'!F105="",0,'Frame Dimensions - D'!F105),IF('Frame Dimensions - C'!F105="",0,'Frame Dimensions - C'!F105))</f>
        <v>0</v>
      </c>
      <c r="G105" s="580">
        <f>IF(DRIVE_Type="Direct",IF('Frame Dimensions - D'!G105="",0,'Frame Dimensions - D'!G105),IF('Frame Dimensions - C'!G105="",0,'Frame Dimensions - C'!G105))</f>
        <v>0</v>
      </c>
      <c r="H105" s="580">
        <f>IF(DRIVE_Type="Direct",IF('Frame Dimensions - D'!H105="",0,'Frame Dimensions - D'!H105),IF('Frame Dimensions - C'!H105="",0,'Frame Dimensions - C'!H105))</f>
        <v>0</v>
      </c>
      <c r="I105" s="580">
        <f>IF(DRIVE_Type="Direct",IF('Frame Dimensions - D'!I105="",0,'Frame Dimensions - D'!I105),IF('Frame Dimensions - C'!I105="",0,'Frame Dimensions - C'!I105))</f>
        <v>0</v>
      </c>
      <c r="J105" s="599" t="e">
        <f ca="1">IF(DRIVE_Type="Direct",IF('Frame Dimensions - D'!J105="",0,'Frame Dimensions - D'!J105),IF('Frame Dimensions - C'!J105="",0,'Frame Dimensions - C'!J105))</f>
        <v>#REF!</v>
      </c>
      <c r="K105" s="580" t="e">
        <f ca="1">IF(DRIVE_Type="Direct",IF('Frame Dimensions - D'!K105="",0,'Frame Dimensions - D'!K105),IF('Frame Dimensions - C'!K105="",0,'Frame Dimensions - C'!K105))</f>
        <v>#REF!</v>
      </c>
      <c r="L105" s="600" t="e">
        <f ca="1">IF(DRIVE_Type="Direct",IF('Frame Dimensions - D'!L105="",0,'Frame Dimensions - D'!L105),IF('Frame Dimensions - C'!L105="",0,'Frame Dimensions - C'!L105))</f>
        <v>#REF!</v>
      </c>
      <c r="M105" s="599" t="e">
        <f ca="1">IF(DRIVE_Type="Direct",IF('Frame Dimensions - D'!M105="",0,'Frame Dimensions - D'!M105),IF('Frame Dimensions - C'!M105="",0,'Frame Dimensions - C'!M105))</f>
        <v>#REF!</v>
      </c>
      <c r="N105" s="580" t="e">
        <f ca="1">IF(DRIVE_Type="Direct",IF('Frame Dimensions - D'!N105="",0,'Frame Dimensions - D'!N105),IF('Frame Dimensions - C'!N105="",0,'Frame Dimensions - C'!N105))</f>
        <v>#REF!</v>
      </c>
      <c r="O105" s="600" t="e">
        <f ca="1">IF(DRIVE_Type="Direct",IF('Frame Dimensions - D'!O105="",0,'Frame Dimensions - D'!O105),IF('Frame Dimensions - C'!O105="",0,'Frame Dimensions - C'!O105))</f>
        <v>#REF!</v>
      </c>
      <c r="P105" s="602">
        <f>IF(DRIVE_Type="Direct",IF('Frame Dimensions - D'!P105="",0,'Frame Dimensions - D'!P105),IF('Frame Dimensions - C'!P105="",0,'Frame Dimensions - C'!P105))</f>
        <v>0</v>
      </c>
      <c r="Q105" s="1454">
        <f>IF(DRIVE_Type="Direct",IF('Frame Dimensions - D'!Q105="",0,'Frame Dimensions - D'!Q105),IF('Frame Dimensions - C'!Q105="",0,'Frame Dimensions - C'!Q105))</f>
        <v>0</v>
      </c>
      <c r="R105" s="1189"/>
      <c r="S105" s="603"/>
      <c r="T105" s="603"/>
      <c r="U105" s="603"/>
      <c r="V105" s="603"/>
      <c r="W105" s="603"/>
      <c r="X105" s="603"/>
      <c r="Y105" s="603"/>
      <c r="Z105" s="603"/>
      <c r="AA105" s="603"/>
      <c r="AB105" s="603"/>
      <c r="AC105" s="603"/>
      <c r="AD105" s="603"/>
      <c r="AE105" s="603"/>
      <c r="AF105" s="603"/>
      <c r="AG105" s="603"/>
      <c r="AH105" s="603"/>
      <c r="AI105" s="603"/>
      <c r="AJ105" s="464"/>
    </row>
    <row r="106" spans="1:36">
      <c r="A106" s="1925"/>
      <c r="B106" s="1541" t="str">
        <f>IF(DRIVE_Type="Direct",IF('Frame Dimensions - D'!B106="",0,'Frame Dimensions - D'!B106),IF('Frame Dimensions - C'!B106="",0,'Frame Dimensions - C'!B106))</f>
        <v>msmm+</v>
      </c>
      <c r="C106" s="593">
        <f>IF(DRIVE_Type="Direct",IF('Frame Dimensions - D'!C106="",0,'Frame Dimensions - D'!C106),IF('Frame Dimensions - C'!C106="",0,'Frame Dimensions - C'!C106))</f>
        <v>0</v>
      </c>
      <c r="D106" s="595">
        <f>IF(DRIVE_Type="Direct",IF('Frame Dimensions - D'!D106="",0,'Frame Dimensions - D'!D106),IF('Frame Dimensions - C'!D106="",0,'Frame Dimensions - C'!D106))</f>
        <v>0</v>
      </c>
      <c r="E106" s="593">
        <f>IF(DRIVE_Type="Direct",IF('Frame Dimensions - D'!E106="",0,'Frame Dimensions - D'!E106),IF('Frame Dimensions - C'!E106="",0,'Frame Dimensions - C'!E106))</f>
        <v>0</v>
      </c>
      <c r="F106" s="593">
        <f>IF(DRIVE_Type="Direct",IF('Frame Dimensions - D'!F106="",0,'Frame Dimensions - D'!F106),IF('Frame Dimensions - C'!F106="",0,'Frame Dimensions - C'!F106))</f>
        <v>0</v>
      </c>
      <c r="G106" s="593">
        <f>IF(DRIVE_Type="Direct",IF('Frame Dimensions - D'!G106="",0,'Frame Dimensions - D'!G106),IF('Frame Dimensions - C'!G106="",0,'Frame Dimensions - C'!G106))</f>
        <v>0</v>
      </c>
      <c r="H106" s="593">
        <f>IF(DRIVE_Type="Direct",IF('Frame Dimensions - D'!H106="",0,'Frame Dimensions - D'!H106),IF('Frame Dimensions - C'!H106="",0,'Frame Dimensions - C'!H106))</f>
        <v>0</v>
      </c>
      <c r="I106" s="594">
        <f>IF(DRIVE_Type="Direct",IF('Frame Dimensions - D'!I106="",0,'Frame Dimensions - D'!I106),IF('Frame Dimensions - C'!I106="",0,'Frame Dimensions - C'!I106))</f>
        <v>0</v>
      </c>
      <c r="J106" s="2167" t="e">
        <f ca="1">IF(DRIVE_Type="Direct",IF('Frame Dimensions - D'!J106="",0,'Frame Dimensions - D'!J106),IF('Frame Dimensions - C'!J106="",0,'Frame Dimensions - C'!J106))</f>
        <v>#REF!</v>
      </c>
      <c r="K106" s="593" t="e">
        <f ca="1">IF(DRIVE_Type="Direct",IF('Frame Dimensions - D'!K106="",0,'Frame Dimensions - D'!K106),IF('Frame Dimensions - C'!K106="",0,'Frame Dimensions - C'!K106))</f>
        <v>#REF!</v>
      </c>
      <c r="L106" s="595" t="e">
        <f ca="1">IF(DRIVE_Type="Direct",IF('Frame Dimensions - D'!L106="",0,'Frame Dimensions - D'!L106),IF('Frame Dimensions - C'!L106="",0,'Frame Dimensions - C'!L106))</f>
        <v>#REF!</v>
      </c>
      <c r="M106" s="2167" t="e">
        <f ca="1">IF(DRIVE_Type="Direct",IF('Frame Dimensions - D'!M106="",0,'Frame Dimensions - D'!M106),IF('Frame Dimensions - C'!M106="",0,'Frame Dimensions - C'!M106))</f>
        <v>#REF!</v>
      </c>
      <c r="N106" s="593" t="e">
        <f ca="1">IF(DRIVE_Type="Direct",IF('Frame Dimensions - D'!N106="",0,'Frame Dimensions - D'!N106),IF('Frame Dimensions - C'!N106="",0,'Frame Dimensions - C'!N106))</f>
        <v>#REF!</v>
      </c>
      <c r="O106" s="595" t="e">
        <f ca="1">IF(DRIVE_Type="Direct",IF('Frame Dimensions - D'!O106="",0,'Frame Dimensions - D'!O106),IF('Frame Dimensions - C'!O106="",0,'Frame Dimensions - C'!O106))</f>
        <v>#REF!</v>
      </c>
      <c r="P106" s="596">
        <f>IF(DRIVE_Type="Direct",IF('Frame Dimensions - D'!P106="",0,'Frame Dimensions - D'!P106),IF('Frame Dimensions - C'!P106="",0,'Frame Dimensions - C'!P106))</f>
        <v>0</v>
      </c>
      <c r="Q106" s="1453">
        <f>IF(DRIVE_Type="Direct",IF('Frame Dimensions - D'!Q106="",0,'Frame Dimensions - D'!Q106),IF('Frame Dimensions - C'!Q106="",0,'Frame Dimensions - C'!Q106))</f>
        <v>0</v>
      </c>
      <c r="R106" s="1189"/>
      <c r="S106" s="603"/>
      <c r="T106" s="603"/>
      <c r="U106" s="603"/>
      <c r="V106" s="603"/>
      <c r="W106" s="603"/>
      <c r="X106" s="603"/>
      <c r="Y106" s="603"/>
      <c r="Z106" s="603"/>
      <c r="AA106" s="603"/>
      <c r="AB106" s="603"/>
      <c r="AC106" s="603"/>
      <c r="AD106" s="603"/>
      <c r="AE106" s="603"/>
      <c r="AF106" s="603"/>
      <c r="AG106" s="603"/>
      <c r="AH106" s="603"/>
      <c r="AI106" s="603"/>
      <c r="AJ106" s="464"/>
    </row>
    <row r="107" spans="1:36">
      <c r="A107" s="1923" t="s">
        <v>3536</v>
      </c>
      <c r="B107" s="645">
        <f>IF(DRIVE_Type="Direct",IF('Frame Dimensions - D'!B107="",0,'Frame Dimensions - D'!B107),IF('Frame Dimensions - C'!B107="",0,'Frame Dimensions - C'!B107))</f>
        <v>0</v>
      </c>
      <c r="C107" s="587">
        <f>IF(DRIVE_Type="Direct",IF('Frame Dimensions - D'!C107="",0,'Frame Dimensions - D'!C107),IF('Frame Dimensions - C'!C107="",0,'Frame Dimensions - C'!C107))</f>
        <v>0</v>
      </c>
      <c r="D107" s="588">
        <f>IF(DRIVE_Type="Direct",IF('Frame Dimensions - D'!D107="",0,'Frame Dimensions - D'!D107),IF('Frame Dimensions - C'!D107="",0,'Frame Dimensions - C'!D107))</f>
        <v>0</v>
      </c>
      <c r="E107" s="588">
        <f>IF(DRIVE_Type="Direct",IF('Frame Dimensions - D'!E107="",0,'Frame Dimensions - D'!E107),IF('Frame Dimensions - C'!E107="",0,'Frame Dimensions - C'!E107))</f>
        <v>0</v>
      </c>
      <c r="F107" s="587">
        <f>IF(DRIVE_Type="Direct",IF('Frame Dimensions - D'!F107="",0,'Frame Dimensions - D'!F107),IF('Frame Dimensions - C'!F107="",0,'Frame Dimensions - C'!F107))</f>
        <v>0</v>
      </c>
      <c r="G107" s="587">
        <f>IF(DRIVE_Type="Direct",IF('Frame Dimensions - D'!G107="",0,'Frame Dimensions - D'!G107),IF('Frame Dimensions - C'!G107="",0,'Frame Dimensions - C'!G107))</f>
        <v>0</v>
      </c>
      <c r="H107" s="614">
        <f>IF(DRIVE_Type="Direct",IF('Frame Dimensions - D'!H107="",0,'Frame Dimensions - D'!H107),IF('Frame Dimensions - C'!H107="",0,'Frame Dimensions - C'!H107))</f>
        <v>0</v>
      </c>
      <c r="I107" s="614">
        <f>IF(DRIVE_Type="Direct",IF('Frame Dimensions - D'!I107="",0,'Frame Dimensions - D'!I107),IF('Frame Dimensions - C'!I107="",0,'Frame Dimensions - C'!I107))</f>
        <v>0</v>
      </c>
      <c r="J107" s="589">
        <f>IF(DRIVE_Type="Direct",IF('Frame Dimensions - D'!J107="",0,'Frame Dimensions - D'!J107),IF('Frame Dimensions - C'!J107="",0,'Frame Dimensions - C'!J107))</f>
        <v>0</v>
      </c>
      <c r="K107" s="587">
        <f>IF(DRIVE_Type="Direct",IF('Frame Dimensions - D'!K107="",0,'Frame Dimensions - D'!K107),IF('Frame Dimensions - C'!K107="",0,'Frame Dimensions - C'!K107))</f>
        <v>0</v>
      </c>
      <c r="L107" s="587">
        <f>IF(DRIVE_Type="Direct",IF('Frame Dimensions - D'!L107="",0,'Frame Dimensions - D'!L107),IF('Frame Dimensions - C'!L107="",0,'Frame Dimensions - C'!L107))</f>
        <v>0</v>
      </c>
      <c r="M107" s="615">
        <f>IF(DRIVE_Type="Direct",IF('Frame Dimensions - D'!M107="",0,'Frame Dimensions - D'!M107),IF('Frame Dimensions - C'!M107="",0,'Frame Dimensions - C'!M107))</f>
        <v>0</v>
      </c>
      <c r="N107" s="613">
        <f>IF(DRIVE_Type="Direct",IF('Frame Dimensions - D'!N107="",0,'Frame Dimensions - D'!N107),IF('Frame Dimensions - C'!N107="",0,'Frame Dimensions - C'!N107))</f>
        <v>0</v>
      </c>
      <c r="O107" s="1645">
        <f>IF(DRIVE_Type="Direct",IF('Frame Dimensions - D'!O107="",0,'Frame Dimensions - D'!O107),IF('Frame Dimensions - C'!O107="",0,'Frame Dimensions - C'!O107))</f>
        <v>0</v>
      </c>
      <c r="P107" s="590">
        <f>IF(DRIVE_Type="Direct",IF('Frame Dimensions - D'!P107="",0,'Frame Dimensions - D'!P107),IF('Frame Dimensions - C'!P107="",0,'Frame Dimensions - C'!P107))</f>
        <v>0</v>
      </c>
      <c r="Q107" s="1452">
        <f>IF(DRIVE_Type="Direct",IF('Frame Dimensions - D'!Q107="",0,'Frame Dimensions - D'!Q107),IF('Frame Dimensions - C'!Q107="",0,'Frame Dimensions - C'!Q107))</f>
        <v>0</v>
      </c>
      <c r="R107" s="1189"/>
      <c r="S107" s="603"/>
      <c r="T107" s="603"/>
      <c r="U107" s="603"/>
      <c r="V107" s="603"/>
      <c r="W107" s="603"/>
      <c r="X107" s="603"/>
      <c r="Y107" s="603"/>
      <c r="Z107" s="603"/>
      <c r="AA107" s="603"/>
      <c r="AB107" s="603"/>
      <c r="AC107" s="603"/>
      <c r="AD107" s="603"/>
      <c r="AE107" s="603"/>
      <c r="AF107" s="603"/>
      <c r="AG107" s="603"/>
      <c r="AH107" s="603"/>
      <c r="AI107" s="603"/>
      <c r="AJ107" s="464"/>
    </row>
    <row r="108" spans="1:36">
      <c r="A108" s="1924"/>
      <c r="B108" s="642">
        <f>IF(DRIVE_Type="Direct",IF('Frame Dimensions - D'!B108="",0,'Frame Dimensions - D'!B108),IF('Frame Dimensions - C'!B108="",0,'Frame Dimensions - C'!B108))</f>
        <v>0</v>
      </c>
      <c r="C108" s="603">
        <f>IF(DRIVE_Type="Direct",IF('Frame Dimensions - D'!C108="",0,'Frame Dimensions - D'!C108),IF('Frame Dimensions - C'!C108="",0,'Frame Dimensions - C'!C108))</f>
        <v>0</v>
      </c>
      <c r="D108" s="580">
        <f>IF(DRIVE_Type="Direct",IF('Frame Dimensions - D'!D108="",0,'Frame Dimensions - D'!D108),IF('Frame Dimensions - C'!D108="",0,'Frame Dimensions - C'!D108))</f>
        <v>0</v>
      </c>
      <c r="E108" s="580">
        <f>IF(DRIVE_Type="Direct",IF('Frame Dimensions - D'!E108="",0,'Frame Dimensions - D'!E108),IF('Frame Dimensions - C'!E108="",0,'Frame Dimensions - C'!E108))</f>
        <v>0</v>
      </c>
      <c r="F108" s="580">
        <f>IF(DRIVE_Type="Direct",IF('Frame Dimensions - D'!F108="",0,'Frame Dimensions - D'!F108),IF('Frame Dimensions - C'!F108="",0,'Frame Dimensions - C'!F108))</f>
        <v>0</v>
      </c>
      <c r="G108" s="580">
        <f>IF(DRIVE_Type="Direct",IF('Frame Dimensions - D'!G108="",0,'Frame Dimensions - D'!G108),IF('Frame Dimensions - C'!G108="",0,'Frame Dimensions - C'!G108))</f>
        <v>0</v>
      </c>
      <c r="H108" s="603">
        <f>IF(DRIVE_Type="Direct",IF('Frame Dimensions - D'!H108="",0,'Frame Dimensions - D'!H108),IF('Frame Dimensions - C'!H108="",0,'Frame Dimensions - C'!H108))</f>
        <v>0</v>
      </c>
      <c r="I108" s="580">
        <f>IF(DRIVE_Type="Direct",IF('Frame Dimensions - D'!I108="",0,'Frame Dimensions - D'!I108),IF('Frame Dimensions - C'!I108="",0,'Frame Dimensions - C'!I108))</f>
        <v>0</v>
      </c>
      <c r="J108" s="609">
        <f>IF(DRIVE_Type="Direct",IF('Frame Dimensions - D'!J108="",0,'Frame Dimensions - D'!J108),IF('Frame Dimensions - C'!J108="",0,'Frame Dimensions - C'!J108))</f>
        <v>0</v>
      </c>
      <c r="K108" s="580">
        <f>IF(DRIVE_Type="Direct",IF('Frame Dimensions - D'!K108="",0,'Frame Dimensions - D'!K108),IF('Frame Dimensions - C'!K108="",0,'Frame Dimensions - C'!K108))</f>
        <v>0</v>
      </c>
      <c r="L108" s="580">
        <f>IF(DRIVE_Type="Direct",IF('Frame Dimensions - D'!L108="",0,'Frame Dimensions - D'!L108),IF('Frame Dimensions - C'!L108="",0,'Frame Dimensions - C'!L108))</f>
        <v>0</v>
      </c>
      <c r="M108" s="609">
        <f>IF(DRIVE_Type="Direct",IF('Frame Dimensions - D'!M108="",0,'Frame Dimensions - D'!M108),IF('Frame Dimensions - C'!M108="",0,'Frame Dimensions - C'!M108))</f>
        <v>0</v>
      </c>
      <c r="N108" s="608">
        <f>IF(DRIVE_Type="Direct",IF('Frame Dimensions - D'!N108="",0,'Frame Dimensions - D'!N108),IF('Frame Dimensions - C'!N108="",0,'Frame Dimensions - C'!N108))</f>
        <v>0</v>
      </c>
      <c r="O108" s="601">
        <f>IF(DRIVE_Type="Direct",IF('Frame Dimensions - D'!O108="",0,'Frame Dimensions - D'!O108),IF('Frame Dimensions - C'!O108="",0,'Frame Dimensions - C'!O108))</f>
        <v>0</v>
      </c>
      <c r="P108" s="602">
        <f>IF(DRIVE_Type="Direct",IF('Frame Dimensions - D'!P108="",0,'Frame Dimensions - D'!P108),IF('Frame Dimensions - C'!P108="",0,'Frame Dimensions - C'!P108))</f>
        <v>0</v>
      </c>
      <c r="Q108" s="1454">
        <f>IF(DRIVE_Type="Direct",IF('Frame Dimensions - D'!Q108="",0,'Frame Dimensions - D'!Q108),IF('Frame Dimensions - C'!Q108="",0,'Frame Dimensions - C'!Q108))</f>
        <v>0</v>
      </c>
      <c r="R108" s="644"/>
      <c r="S108" s="603"/>
      <c r="T108" s="603"/>
      <c r="U108" s="603"/>
      <c r="V108" s="603"/>
      <c r="W108" s="603"/>
      <c r="X108" s="603"/>
      <c r="Y108" s="603"/>
      <c r="Z108" s="603"/>
      <c r="AA108" s="603"/>
      <c r="AB108" s="603"/>
      <c r="AC108" s="603"/>
      <c r="AD108" s="603"/>
      <c r="AE108" s="603"/>
      <c r="AF108" s="603"/>
      <c r="AG108" s="603"/>
      <c r="AH108" s="603"/>
      <c r="AI108" s="603"/>
      <c r="AJ108" s="464"/>
    </row>
    <row r="109" spans="1:36">
      <c r="A109" s="1925"/>
      <c r="B109" s="1648">
        <f>IF(DRIVE_Type="Direct",IF('Frame Dimensions - D'!B109="",0,'Frame Dimensions - D'!B109),IF('Frame Dimensions - C'!B109="",0,'Frame Dimensions - C'!B109))</f>
        <v>0</v>
      </c>
      <c r="C109" s="580">
        <f>IF(DRIVE_Type="Direct",IF('Frame Dimensions - D'!C109="",0,'Frame Dimensions - D'!C109),IF('Frame Dimensions - C'!C109="",0,'Frame Dimensions - C'!C109))</f>
        <v>0</v>
      </c>
      <c r="D109" s="580">
        <f>IF(DRIVE_Type="Direct",IF('Frame Dimensions - D'!D109="",0,'Frame Dimensions - D'!D109),IF('Frame Dimensions - C'!D109="",0,'Frame Dimensions - C'!D109))</f>
        <v>0</v>
      </c>
      <c r="E109" s="580">
        <f>IF(DRIVE_Type="Direct",IF('Frame Dimensions - D'!E109="",0,'Frame Dimensions - D'!E109),IF('Frame Dimensions - C'!E109="",0,'Frame Dimensions - C'!E109))</f>
        <v>0</v>
      </c>
      <c r="F109" s="580">
        <f>IF(DRIVE_Type="Direct",IF('Frame Dimensions - D'!F109="",0,'Frame Dimensions - D'!F109),IF('Frame Dimensions - C'!F109="",0,'Frame Dimensions - C'!F109))</f>
        <v>0</v>
      </c>
      <c r="G109" s="580">
        <f>IF(DRIVE_Type="Direct",IF('Frame Dimensions - D'!G109="",0,'Frame Dimensions - D'!G109),IF('Frame Dimensions - C'!G109="",0,'Frame Dimensions - C'!G109))</f>
        <v>0</v>
      </c>
      <c r="H109" s="580">
        <f>IF(DRIVE_Type="Direct",IF('Frame Dimensions - D'!H109="",0,'Frame Dimensions - D'!H109),IF('Frame Dimensions - C'!H109="",0,'Frame Dimensions - C'!H109))</f>
        <v>0</v>
      </c>
      <c r="I109" s="580">
        <f>IF(DRIVE_Type="Direct",IF('Frame Dimensions - D'!I109="",0,'Frame Dimensions - D'!I109),IF('Frame Dimensions - C'!I109="",0,'Frame Dimensions - C'!I109))</f>
        <v>0</v>
      </c>
      <c r="J109" s="599">
        <f>IF(DRIVE_Type="Direct",IF('Frame Dimensions - D'!J109="",0,'Frame Dimensions - D'!J109),IF('Frame Dimensions - C'!J109="",0,'Frame Dimensions - C'!J109))</f>
        <v>0</v>
      </c>
      <c r="K109" s="608">
        <f>IF(DRIVE_Type="Direct",IF('Frame Dimensions - D'!K109="",0,'Frame Dimensions - D'!K109),IF('Frame Dimensions - C'!K109="",0,'Frame Dimensions - C'!K109))</f>
        <v>0</v>
      </c>
      <c r="L109" s="610">
        <f>IF(DRIVE_Type="Direct",IF('Frame Dimensions - D'!L109="",0,'Frame Dimensions - D'!L109),IF('Frame Dimensions - C'!L109="",0,'Frame Dimensions - C'!L109))</f>
        <v>0</v>
      </c>
      <c r="M109" s="609">
        <f>IF(DRIVE_Type="Direct",IF('Frame Dimensions - D'!M109="",0,'Frame Dimensions - D'!M109),IF('Frame Dimensions - C'!M109="",0,'Frame Dimensions - C'!M109))</f>
        <v>0</v>
      </c>
      <c r="N109" s="608">
        <f>IF(DRIVE_Type="Direct",IF('Frame Dimensions - D'!N109="",0,'Frame Dimensions - D'!N109),IF('Frame Dimensions - C'!N109="",0,'Frame Dimensions - C'!N109))</f>
        <v>0</v>
      </c>
      <c r="O109" s="610">
        <f>IF(DRIVE_Type="Direct",IF('Frame Dimensions - D'!O109="",0,'Frame Dimensions - D'!O109),IF('Frame Dimensions - C'!O109="",0,'Frame Dimensions - C'!O109))</f>
        <v>0</v>
      </c>
      <c r="P109" s="602">
        <f>IF(DRIVE_Type="Direct",IF('Frame Dimensions - D'!P109="",0,'Frame Dimensions - D'!P109),IF('Frame Dimensions - C'!P109="",0,'Frame Dimensions - C'!P109))</f>
        <v>0</v>
      </c>
      <c r="Q109" s="1454">
        <f>IF(DRIVE_Type="Direct",IF('Frame Dimensions - D'!Q109="",0,'Frame Dimensions - D'!Q109),IF('Frame Dimensions - C'!Q109="",0,'Frame Dimensions - C'!Q109))</f>
        <v>0</v>
      </c>
      <c r="R109" s="1189"/>
      <c r="S109" s="603"/>
      <c r="T109" s="603"/>
      <c r="U109" s="603"/>
      <c r="V109" s="603"/>
      <c r="W109" s="603"/>
      <c r="X109" s="603"/>
      <c r="Y109" s="603"/>
      <c r="Z109" s="603"/>
      <c r="AA109" s="603"/>
      <c r="AB109" s="603"/>
      <c r="AC109" s="603"/>
      <c r="AD109" s="603"/>
      <c r="AE109" s="603"/>
      <c r="AF109" s="603"/>
      <c r="AG109" s="603"/>
      <c r="AH109" s="603"/>
      <c r="AI109" s="603"/>
      <c r="AJ109" s="464"/>
    </row>
    <row r="110" spans="1:36">
      <c r="A110" s="1926"/>
      <c r="B110" s="1541">
        <f>IF(DRIVE_Type="Direct",IF('Frame Dimensions - D'!B110="",0,'Frame Dimensions - D'!B110),IF('Frame Dimensions - C'!B110="",0,'Frame Dimensions - C'!B110))</f>
        <v>0</v>
      </c>
      <c r="C110" s="593">
        <f>IF(DRIVE_Type="Direct",IF('Frame Dimensions - D'!C110="",0,'Frame Dimensions - D'!C110),IF('Frame Dimensions - C'!C110="",0,'Frame Dimensions - C'!C110))</f>
        <v>0</v>
      </c>
      <c r="D110" s="595">
        <f>IF(DRIVE_Type="Direct",IF('Frame Dimensions - D'!D110="",0,'Frame Dimensions - D'!D110),IF('Frame Dimensions - C'!D110="",0,'Frame Dimensions - C'!D110))</f>
        <v>0</v>
      </c>
      <c r="E110" s="593">
        <f>IF(DRIVE_Type="Direct",IF('Frame Dimensions - D'!E110="",0,'Frame Dimensions - D'!E110),IF('Frame Dimensions - C'!E110="",0,'Frame Dimensions - C'!E110))</f>
        <v>0</v>
      </c>
      <c r="F110" s="593">
        <f>IF(DRIVE_Type="Direct",IF('Frame Dimensions - D'!F110="",0,'Frame Dimensions - D'!F110),IF('Frame Dimensions - C'!F110="",0,'Frame Dimensions - C'!F110))</f>
        <v>0</v>
      </c>
      <c r="G110" s="593">
        <f>IF(DRIVE_Type="Direct",IF('Frame Dimensions - D'!G110="",0,'Frame Dimensions - D'!G110),IF('Frame Dimensions - C'!G110="",0,'Frame Dimensions - C'!G110))</f>
        <v>0</v>
      </c>
      <c r="H110" s="593">
        <f>IF(DRIVE_Type="Direct",IF('Frame Dimensions - D'!H110="",0,'Frame Dimensions - D'!H110),IF('Frame Dimensions - C'!H110="",0,'Frame Dimensions - C'!H110))</f>
        <v>0</v>
      </c>
      <c r="I110" s="594">
        <f>IF(DRIVE_Type="Direct",IF('Frame Dimensions - D'!I110="",0,'Frame Dimensions - D'!I110),IF('Frame Dimensions - C'!I110="",0,'Frame Dimensions - C'!I110))</f>
        <v>0</v>
      </c>
      <c r="J110" s="618">
        <f>IF(DRIVE_Type="Direct",IF('Frame Dimensions - D'!J110="",0,'Frame Dimensions - D'!J110),IF('Frame Dimensions - C'!J110="",0,'Frame Dimensions - C'!J110))</f>
        <v>0</v>
      </c>
      <c r="K110" s="616">
        <f>IF(DRIVE_Type="Direct",IF('Frame Dimensions - D'!K110="",0,'Frame Dimensions - D'!K110),IF('Frame Dimensions - C'!K110="",0,'Frame Dimensions - C'!K110))</f>
        <v>0</v>
      </c>
      <c r="L110" s="617">
        <f>IF(DRIVE_Type="Direct",IF('Frame Dimensions - D'!L110="",0,'Frame Dimensions - D'!L110),IF('Frame Dimensions - C'!L110="",0,'Frame Dimensions - C'!L110))</f>
        <v>0</v>
      </c>
      <c r="M110" s="618">
        <f>IF(DRIVE_Type="Direct",IF('Frame Dimensions - D'!M110="",0,'Frame Dimensions - D'!M110),IF('Frame Dimensions - C'!M110="",0,'Frame Dimensions - C'!M110))</f>
        <v>0</v>
      </c>
      <c r="N110" s="616">
        <f>IF(DRIVE_Type="Direct",IF('Frame Dimensions - D'!N110="",0,'Frame Dimensions - D'!N110),IF('Frame Dimensions - C'!N110="",0,'Frame Dimensions - C'!N110))</f>
        <v>0</v>
      </c>
      <c r="O110" s="617">
        <f>IF(DRIVE_Type="Direct",IF('Frame Dimensions - D'!O110="",0,'Frame Dimensions - D'!O110),IF('Frame Dimensions - C'!O110="",0,'Frame Dimensions - C'!O110))</f>
        <v>0</v>
      </c>
      <c r="P110" s="596">
        <f>IF(DRIVE_Type="Direct",IF('Frame Dimensions - D'!P110="",0,'Frame Dimensions - D'!P110),IF('Frame Dimensions - C'!P110="",0,'Frame Dimensions - C'!P110))</f>
        <v>0</v>
      </c>
      <c r="Q110" s="1453">
        <f>IF(DRIVE_Type="Direct",IF('Frame Dimensions - D'!Q110="",0,'Frame Dimensions - D'!Q110),IF('Frame Dimensions - C'!Q110="",0,'Frame Dimensions - C'!Q110))</f>
        <v>0</v>
      </c>
      <c r="R110" s="644"/>
      <c r="S110" s="603"/>
      <c r="T110" s="603"/>
      <c r="U110" s="603"/>
      <c r="V110" s="603"/>
      <c r="W110" s="603"/>
      <c r="X110" s="603"/>
      <c r="Y110" s="603"/>
      <c r="Z110" s="603"/>
      <c r="AA110" s="603"/>
      <c r="AB110" s="603"/>
      <c r="AC110" s="603"/>
      <c r="AD110" s="603"/>
      <c r="AE110" s="603"/>
      <c r="AF110" s="603"/>
      <c r="AG110" s="603"/>
      <c r="AH110" s="603"/>
      <c r="AI110" s="603"/>
      <c r="AJ110" s="464"/>
    </row>
    <row r="111" spans="1:36">
      <c r="A111" s="1927" t="s">
        <v>3535</v>
      </c>
      <c r="B111" s="1642">
        <f>IF(DRIVE_Type="Direct",IF('Frame Dimensions - D'!B111="",0,'Frame Dimensions - D'!B111),IF('Frame Dimensions - C'!B111="",0,'Frame Dimensions - C'!B111))</f>
        <v>0</v>
      </c>
      <c r="C111" s="484">
        <f>IF(DRIVE_Type="Direct",IF('Frame Dimensions - D'!C111="",0,'Frame Dimensions - D'!C111),IF('Frame Dimensions - C'!C111="",0,'Frame Dimensions - C'!C111))</f>
        <v>0</v>
      </c>
      <c r="D111" s="598">
        <f>IF(DRIVE_Type="Direct",IF('Frame Dimensions - D'!D111="",0,'Frame Dimensions - D'!D111),IF('Frame Dimensions - C'!D111="",0,'Frame Dimensions - C'!D111))</f>
        <v>0</v>
      </c>
      <c r="E111" s="598">
        <f>IF(DRIVE_Type="Direct",IF('Frame Dimensions - D'!E111="",0,'Frame Dimensions - D'!E111),IF('Frame Dimensions - C'!E111="",0,'Frame Dimensions - C'!E111))</f>
        <v>0</v>
      </c>
      <c r="F111" s="587">
        <f>IF(DRIVE_Type="Direct",IF('Frame Dimensions - D'!F111="",0,'Frame Dimensions - D'!F111),IF('Frame Dimensions - C'!F111="",0,'Frame Dimensions - C'!F111))</f>
        <v>0</v>
      </c>
      <c r="G111" s="587">
        <f>IF(DRIVE_Type="Direct",IF('Frame Dimensions - D'!G111="",0,'Frame Dimensions - D'!G111),IF('Frame Dimensions - C'!G111="",0,'Frame Dimensions - C'!G111))</f>
        <v>0</v>
      </c>
      <c r="H111" s="614">
        <f>IF(DRIVE_Type="Direct",IF('Frame Dimensions - D'!H111="",0,'Frame Dimensions - D'!H111),IF('Frame Dimensions - C'!H111="",0,'Frame Dimensions - C'!H111))</f>
        <v>0</v>
      </c>
      <c r="I111" s="1643">
        <f>IF(DRIVE_Type="Direct",IF('Frame Dimensions - D'!I111="",0,'Frame Dimensions - D'!I111),IF('Frame Dimensions - C'!I111="",0,'Frame Dimensions - C'!I111))</f>
        <v>0</v>
      </c>
      <c r="J111" s="589">
        <f>IF(DRIVE_Type="Direct",IF('Frame Dimensions - D'!J111="",0,'Frame Dimensions - D'!J111),IF('Frame Dimensions - C'!J111="",0,'Frame Dimensions - C'!J111))</f>
        <v>0</v>
      </c>
      <c r="K111" s="587">
        <f>IF(DRIVE_Type="Direct",IF('Frame Dimensions - D'!K111="",0,'Frame Dimensions - D'!K111),IF('Frame Dimensions - C'!K111="",0,'Frame Dimensions - C'!K111))</f>
        <v>0</v>
      </c>
      <c r="L111" s="1646">
        <f>IF(DRIVE_Type="Direct",IF('Frame Dimensions - D'!L111="",0,'Frame Dimensions - D'!L111),IF('Frame Dimensions - C'!L111="",0,'Frame Dimensions - C'!L111))</f>
        <v>0</v>
      </c>
      <c r="M111" s="615">
        <f>IF(DRIVE_Type="Direct",IF('Frame Dimensions - D'!M111="",0,'Frame Dimensions - D'!M111),IF('Frame Dimensions - C'!M111="",0,'Frame Dimensions - C'!M111))</f>
        <v>0</v>
      </c>
      <c r="N111" s="613">
        <f>IF(DRIVE_Type="Direct",IF('Frame Dimensions - D'!N111="",0,'Frame Dimensions - D'!N111),IF('Frame Dimensions - C'!N111="",0,'Frame Dimensions - C'!N111))</f>
        <v>0</v>
      </c>
      <c r="O111" s="1645">
        <f>IF(DRIVE_Type="Direct",IF('Frame Dimensions - D'!O111="",0,'Frame Dimensions - D'!O111),IF('Frame Dimensions - C'!O111="",0,'Frame Dimensions - C'!O111))</f>
        <v>0</v>
      </c>
      <c r="P111" s="590">
        <f>IF(DRIVE_Type="Direct",IF('Frame Dimensions - D'!P111="",0,'Frame Dimensions - D'!P111),IF('Frame Dimensions - C'!P111="",0,'Frame Dimensions - C'!P111))</f>
        <v>0</v>
      </c>
      <c r="Q111" s="1452">
        <f>IF(DRIVE_Type="Direct",IF('Frame Dimensions - D'!Q111="",0,'Frame Dimensions - D'!Q111),IF('Frame Dimensions - C'!Q111="",0,'Frame Dimensions - C'!Q111))</f>
        <v>0</v>
      </c>
      <c r="R111" s="644"/>
      <c r="S111" s="603"/>
      <c r="T111" s="580"/>
      <c r="U111" s="580"/>
      <c r="V111" s="580"/>
      <c r="W111" s="603"/>
      <c r="X111" s="603"/>
      <c r="Y111" s="603"/>
      <c r="Z111" s="603"/>
      <c r="AA111" s="603"/>
      <c r="AB111" s="603"/>
      <c r="AC111" s="603"/>
      <c r="AD111" s="603"/>
      <c r="AE111" s="603"/>
      <c r="AF111" s="603"/>
      <c r="AG111" s="603"/>
      <c r="AH111" s="603"/>
      <c r="AI111" s="603"/>
      <c r="AJ111" s="464"/>
    </row>
    <row r="112" spans="1:36">
      <c r="A112" s="1925"/>
      <c r="B112" s="585">
        <f>IF(DRIVE_Type="Direct",IF('Frame Dimensions - D'!B112="",0,'Frame Dimensions - D'!B112),IF('Frame Dimensions - C'!B112="",0,'Frame Dimensions - C'!B112))</f>
        <v>0</v>
      </c>
      <c r="C112" s="493">
        <f>IF(DRIVE_Type="Direct",IF('Frame Dimensions - D'!C112="",0,'Frame Dimensions - D'!C112),IF('Frame Dimensions - C'!C112="",0,'Frame Dimensions - C'!C112))</f>
        <v>0</v>
      </c>
      <c r="D112" s="600">
        <f>IF(DRIVE_Type="Direct",IF('Frame Dimensions - D'!D112="",0,'Frame Dimensions - D'!D112),IF('Frame Dimensions - C'!D112="",0,'Frame Dimensions - C'!D112))</f>
        <v>0</v>
      </c>
      <c r="E112" s="580">
        <f>IF(DRIVE_Type="Direct",IF('Frame Dimensions - D'!E112="",0,'Frame Dimensions - D'!E112),IF('Frame Dimensions - C'!E112="",0,'Frame Dimensions - C'!E112))</f>
        <v>0</v>
      </c>
      <c r="F112" s="580">
        <f>IF(DRIVE_Type="Direct",IF('Frame Dimensions - D'!F112="",0,'Frame Dimensions - D'!F112),IF('Frame Dimensions - C'!F112="",0,'Frame Dimensions - C'!F112))</f>
        <v>0</v>
      </c>
      <c r="G112" s="580">
        <f>IF(DRIVE_Type="Direct",IF('Frame Dimensions - D'!G112="",0,'Frame Dimensions - D'!G112),IF('Frame Dimensions - C'!G112="",0,'Frame Dimensions - C'!G112))</f>
        <v>0</v>
      </c>
      <c r="H112" s="580">
        <f>IF(DRIVE_Type="Direct",IF('Frame Dimensions - D'!H112="",0,'Frame Dimensions - D'!H112),IF('Frame Dimensions - C'!H112="",0,'Frame Dimensions - C'!H112))</f>
        <v>0</v>
      </c>
      <c r="I112" s="603">
        <f>IF(DRIVE_Type="Direct",IF('Frame Dimensions - D'!I112="",0,'Frame Dimensions - D'!I112),IF('Frame Dimensions - C'!I112="",0,'Frame Dimensions - C'!I112))</f>
        <v>0</v>
      </c>
      <c r="J112" s="609">
        <f>IF(DRIVE_Type="Direct",IF('Frame Dimensions - D'!J112="",0,'Frame Dimensions - D'!J112),IF('Frame Dimensions - C'!J112="",0,'Frame Dimensions - C'!J112))</f>
        <v>0</v>
      </c>
      <c r="K112" s="580">
        <f>IF(DRIVE_Type="Direct",IF('Frame Dimensions - D'!K112="",0,'Frame Dimensions - D'!K112),IF('Frame Dimensions - C'!K112="",0,'Frame Dimensions - C'!K112))</f>
        <v>0</v>
      </c>
      <c r="L112" s="600">
        <f>IF(DRIVE_Type="Direct",IF('Frame Dimensions - D'!L112="",0,'Frame Dimensions - D'!L112),IF('Frame Dimensions - C'!L112="",0,'Frame Dimensions - C'!L112))</f>
        <v>0</v>
      </c>
      <c r="M112" s="609">
        <f>IF(DRIVE_Type="Direct",IF('Frame Dimensions - D'!M112="",0,'Frame Dimensions - D'!M112),IF('Frame Dimensions - C'!M112="",0,'Frame Dimensions - C'!M112))</f>
        <v>0</v>
      </c>
      <c r="N112" s="608">
        <f>IF(DRIVE_Type="Direct",IF('Frame Dimensions - D'!N112="",0,'Frame Dimensions - D'!N112),IF('Frame Dimensions - C'!N112="",0,'Frame Dimensions - C'!N112))</f>
        <v>0</v>
      </c>
      <c r="O112" s="601">
        <f>IF(DRIVE_Type="Direct",IF('Frame Dimensions - D'!O112="",0,'Frame Dimensions - D'!O112),IF('Frame Dimensions - C'!O112="",0,'Frame Dimensions - C'!O112))</f>
        <v>0</v>
      </c>
      <c r="P112" s="602">
        <f>IF(DRIVE_Type="Direct",IF('Frame Dimensions - D'!P112="",0,'Frame Dimensions - D'!P112),IF('Frame Dimensions - C'!P112="",0,'Frame Dimensions - C'!P112))</f>
        <v>0</v>
      </c>
      <c r="Q112" s="1454">
        <f>IF(DRIVE_Type="Direct",IF('Frame Dimensions - D'!Q112="",0,'Frame Dimensions - D'!Q112),IF('Frame Dimensions - C'!Q112="",0,'Frame Dimensions - C'!Q112))</f>
        <v>0</v>
      </c>
      <c r="R112" s="644"/>
      <c r="S112" s="603"/>
      <c r="T112" s="603"/>
      <c r="U112" s="603"/>
      <c r="V112" s="603"/>
      <c r="W112" s="603"/>
      <c r="X112" s="603"/>
      <c r="Y112" s="603"/>
      <c r="Z112" s="603"/>
      <c r="AA112" s="603"/>
      <c r="AB112" s="603"/>
      <c r="AC112" s="603"/>
      <c r="AD112" s="603"/>
      <c r="AE112" s="603"/>
      <c r="AF112" s="603"/>
      <c r="AG112" s="603"/>
      <c r="AH112" s="603"/>
      <c r="AI112" s="603"/>
      <c r="AJ112" s="464"/>
    </row>
    <row r="113" spans="1:36">
      <c r="A113" s="1928"/>
      <c r="B113" s="642">
        <f>IF(DRIVE_Type="Direct",IF('Frame Dimensions - D'!B113="",0,'Frame Dimensions - D'!B113),IF('Frame Dimensions - C'!B113="",0,'Frame Dimensions - C'!B113))</f>
        <v>0</v>
      </c>
      <c r="C113" s="493">
        <f>IF(DRIVE_Type="Direct",IF('Frame Dimensions - D'!C113="",0,'Frame Dimensions - D'!C113),IF('Frame Dimensions - C'!C113="",0,'Frame Dimensions - C'!C113))</f>
        <v>0</v>
      </c>
      <c r="D113" s="600">
        <f>IF(DRIVE_Type="Direct",IF('Frame Dimensions - D'!D113="",0,'Frame Dimensions - D'!D113),IF('Frame Dimensions - C'!D113="",0,'Frame Dimensions - C'!D113))</f>
        <v>0</v>
      </c>
      <c r="E113" s="580">
        <f>IF(DRIVE_Type="Direct",IF('Frame Dimensions - D'!E113="",0,'Frame Dimensions - D'!E113),IF('Frame Dimensions - C'!E113="",0,'Frame Dimensions - C'!E113))</f>
        <v>0</v>
      </c>
      <c r="F113" s="580">
        <f>IF(DRIVE_Type="Direct",IF('Frame Dimensions - D'!F113="",0,'Frame Dimensions - D'!F113),IF('Frame Dimensions - C'!F113="",0,'Frame Dimensions - C'!F113))</f>
        <v>0</v>
      </c>
      <c r="G113" s="580">
        <f>IF(DRIVE_Type="Direct",IF('Frame Dimensions - D'!G113="",0,'Frame Dimensions - D'!G113),IF('Frame Dimensions - C'!G113="",0,'Frame Dimensions - C'!G113))</f>
        <v>0</v>
      </c>
      <c r="H113" s="580">
        <f>IF(DRIVE_Type="Direct",IF('Frame Dimensions - D'!H113="",0,'Frame Dimensions - D'!H113),IF('Frame Dimensions - C'!H113="",0,'Frame Dimensions - C'!H113))</f>
        <v>0</v>
      </c>
      <c r="I113" s="603">
        <f>IF(DRIVE_Type="Direct",IF('Frame Dimensions - D'!I113="",0,'Frame Dimensions - D'!I113),IF('Frame Dimensions - C'!I113="",0,'Frame Dimensions - C'!I113))</f>
        <v>0</v>
      </c>
      <c r="J113" s="599">
        <f>IF(DRIVE_Type="Direct",IF('Frame Dimensions - D'!J113="",0,'Frame Dimensions - D'!J113),IF('Frame Dimensions - C'!J113="",0,'Frame Dimensions - C'!J113))</f>
        <v>0</v>
      </c>
      <c r="K113" s="608">
        <f>IF(DRIVE_Type="Direct",IF('Frame Dimensions - D'!K113="",0,'Frame Dimensions - D'!K113),IF('Frame Dimensions - C'!K113="",0,'Frame Dimensions - C'!K113))</f>
        <v>0</v>
      </c>
      <c r="L113" s="608">
        <f>IF(DRIVE_Type="Direct",IF('Frame Dimensions - D'!L113="",0,'Frame Dimensions - D'!L113),IF('Frame Dimensions - C'!L113="",0,'Frame Dimensions - C'!L113))</f>
        <v>0</v>
      </c>
      <c r="M113" s="609">
        <f>IF(DRIVE_Type="Direct",IF('Frame Dimensions - D'!M113="",0,'Frame Dimensions - D'!M113),IF('Frame Dimensions - C'!M113="",0,'Frame Dimensions - C'!M113))</f>
        <v>0</v>
      </c>
      <c r="N113" s="608">
        <f>IF(DRIVE_Type="Direct",IF('Frame Dimensions - D'!N113="",0,'Frame Dimensions - D'!N113),IF('Frame Dimensions - C'!N113="",0,'Frame Dimensions - C'!N113))</f>
        <v>0</v>
      </c>
      <c r="O113" s="611">
        <f>IF(DRIVE_Type="Direct",IF('Frame Dimensions - D'!O113="",0,'Frame Dimensions - D'!O113),IF('Frame Dimensions - C'!O113="",0,'Frame Dimensions - C'!O113))</f>
        <v>0</v>
      </c>
      <c r="P113" s="602">
        <f>IF(DRIVE_Type="Direct",IF('Frame Dimensions - D'!P113="",0,'Frame Dimensions - D'!P113),IF('Frame Dimensions - C'!P113="",0,'Frame Dimensions - C'!P113))</f>
        <v>0</v>
      </c>
      <c r="Q113" s="1454">
        <f>IF(DRIVE_Type="Direct",IF('Frame Dimensions - D'!Q113="",0,'Frame Dimensions - D'!Q113),IF('Frame Dimensions - C'!Q113="",0,'Frame Dimensions - C'!Q113))</f>
        <v>0</v>
      </c>
      <c r="R113" s="644"/>
      <c r="S113" s="603"/>
      <c r="T113" s="603"/>
      <c r="U113" s="603"/>
      <c r="V113" s="603"/>
      <c r="W113" s="603"/>
      <c r="X113" s="603"/>
      <c r="Y113" s="603"/>
      <c r="Z113" s="603"/>
      <c r="AA113" s="603"/>
      <c r="AB113" s="603"/>
      <c r="AC113" s="603"/>
      <c r="AD113" s="603"/>
      <c r="AE113" s="603"/>
      <c r="AF113" s="603"/>
      <c r="AG113" s="603"/>
      <c r="AH113" s="603"/>
      <c r="AI113" s="603"/>
      <c r="AJ113" s="464"/>
    </row>
    <row r="114" spans="1:36" s="621" customFormat="1">
      <c r="A114" s="1929"/>
      <c r="B114" s="643">
        <f>IF(DRIVE_Type="Direct",IF('Frame Dimensions - D'!B114="",0,'Frame Dimensions - D'!B114),IF('Frame Dimensions - C'!B114="",0,'Frame Dimensions - C'!B114))</f>
        <v>0</v>
      </c>
      <c r="C114" s="594">
        <f>IF(DRIVE_Type="Direct",IF('Frame Dimensions - D'!C114="",0,'Frame Dimensions - D'!C114),IF('Frame Dimensions - C'!C114="",0,'Frame Dimensions - C'!C114))</f>
        <v>0</v>
      </c>
      <c r="D114" s="593">
        <f>IF(DRIVE_Type="Direct",IF('Frame Dimensions - D'!D114="",0,'Frame Dimensions - D'!D114),IF('Frame Dimensions - C'!D114="",0,'Frame Dimensions - C'!D114))</f>
        <v>0</v>
      </c>
      <c r="E114" s="593">
        <f>IF(DRIVE_Type="Direct",IF('Frame Dimensions - D'!E114="",0,'Frame Dimensions - D'!E114),IF('Frame Dimensions - C'!E114="",0,'Frame Dimensions - C'!E114))</f>
        <v>0</v>
      </c>
      <c r="F114" s="593">
        <f>IF(DRIVE_Type="Direct",IF('Frame Dimensions - D'!F114="",0,'Frame Dimensions - D'!F114),IF('Frame Dimensions - C'!F114="",0,'Frame Dimensions - C'!F114))</f>
        <v>0</v>
      </c>
      <c r="G114" s="593">
        <f>IF(DRIVE_Type="Direct",IF('Frame Dimensions - D'!G114="",0,'Frame Dimensions - D'!G114),IF('Frame Dimensions - C'!G114="",0,'Frame Dimensions - C'!G114))</f>
        <v>0</v>
      </c>
      <c r="H114" s="594">
        <f>IF(DRIVE_Type="Direct",IF('Frame Dimensions - D'!H114="",0,'Frame Dimensions - D'!H114),IF('Frame Dimensions - C'!H114="",0,'Frame Dimensions - C'!H114))</f>
        <v>0</v>
      </c>
      <c r="I114" s="593">
        <f>IF(DRIVE_Type="Direct",IF('Frame Dimensions - D'!I114="",0,'Frame Dimensions - D'!I114),IF('Frame Dimensions - C'!I114="",0,'Frame Dimensions - C'!I114))</f>
        <v>0</v>
      </c>
      <c r="J114" s="618">
        <f>IF(DRIVE_Type="Direct",IF('Frame Dimensions - D'!J114="",0,'Frame Dimensions - D'!J114),IF('Frame Dimensions - C'!J114="",0,'Frame Dimensions - C'!J114))</f>
        <v>0</v>
      </c>
      <c r="K114" s="616">
        <f>IF(DRIVE_Type="Direct",IF('Frame Dimensions - D'!K114="",0,'Frame Dimensions - D'!K114),IF('Frame Dimensions - C'!K114="",0,'Frame Dimensions - C'!K114))</f>
        <v>0</v>
      </c>
      <c r="L114" s="616">
        <f>IF(DRIVE_Type="Direct",IF('Frame Dimensions - D'!L114="",0,'Frame Dimensions - D'!L114),IF('Frame Dimensions - C'!L114="",0,'Frame Dimensions - C'!L114))</f>
        <v>0</v>
      </c>
      <c r="M114" s="618">
        <f>IF(DRIVE_Type="Direct",IF('Frame Dimensions - D'!M114="",0,'Frame Dimensions - D'!M114),IF('Frame Dimensions - C'!M114="",0,'Frame Dimensions - C'!M114))</f>
        <v>0</v>
      </c>
      <c r="N114" s="616">
        <f>IF(DRIVE_Type="Direct",IF('Frame Dimensions - D'!N114="",0,'Frame Dimensions - D'!N114),IF('Frame Dimensions - C'!N114="",0,'Frame Dimensions - C'!N114))</f>
        <v>0</v>
      </c>
      <c r="O114" s="634">
        <f>IF(DRIVE_Type="Direct",IF('Frame Dimensions - D'!O114="",0,'Frame Dimensions - D'!O114),IF('Frame Dimensions - C'!O114="",0,'Frame Dimensions - C'!O114))</f>
        <v>0</v>
      </c>
      <c r="P114" s="596">
        <f>IF(DRIVE_Type="Direct",IF('Frame Dimensions - D'!P114="",0,'Frame Dimensions - D'!P114),IF('Frame Dimensions - C'!P114="",0,'Frame Dimensions - C'!P114))</f>
        <v>0</v>
      </c>
      <c r="Q114" s="1453">
        <f>IF(DRIVE_Type="Direct",IF('Frame Dimensions - D'!Q114="",0,'Frame Dimensions - D'!Q114),IF('Frame Dimensions - C'!Q114="",0,'Frame Dimensions - C'!Q114))</f>
        <v>0</v>
      </c>
      <c r="R114" s="644"/>
      <c r="S114" s="603"/>
      <c r="T114" s="603"/>
      <c r="U114" s="603"/>
      <c r="V114" s="603"/>
      <c r="W114" s="603"/>
      <c r="X114" s="603"/>
      <c r="Y114" s="603"/>
      <c r="Z114" s="603"/>
      <c r="AA114" s="603"/>
      <c r="AB114" s="603"/>
      <c r="AC114" s="603"/>
      <c r="AD114" s="603"/>
      <c r="AE114" s="603"/>
      <c r="AF114" s="603"/>
      <c r="AG114" s="603"/>
      <c r="AH114" s="603"/>
      <c r="AI114" s="603"/>
    </row>
    <row r="115" spans="1:36">
      <c r="A115" s="1927" t="s">
        <v>3537</v>
      </c>
      <c r="B115" s="641" t="str">
        <f>IF(DRIVE_Type="Direct",IF('Frame Dimensions - D'!B115="",0,'Frame Dimensions - D'!B115),IF('Frame Dimensions - C'!B115="",0,'Frame Dimensions - C'!B115))</f>
        <v>SFX</v>
      </c>
      <c r="C115" s="580" t="e">
        <f ca="1">IF(DRIVE_Type="Direct",IF('Frame Dimensions - D'!C115="",0,'Frame Dimensions - D'!C115),IF('Frame Dimensions - C'!C115="",0,'Frame Dimensions - C'!C115))</f>
        <v>#REF!</v>
      </c>
      <c r="D115" s="598" t="e">
        <f ca="1">IF(DRIVE_Type="Direct",IF('Frame Dimensions - D'!D115="",0,'Frame Dimensions - D'!D115),IF('Frame Dimensions - C'!D115="",0,'Frame Dimensions - C'!D115))</f>
        <v>#REF!</v>
      </c>
      <c r="E115" s="598" t="e">
        <f ca="1">IF(DRIVE_Type="Direct",IF('Frame Dimensions - D'!E115="",0,'Frame Dimensions - D'!E115),IF('Frame Dimensions - C'!E115="",0,'Frame Dimensions - C'!E115))</f>
        <v>#REF!</v>
      </c>
      <c r="F115" s="580" t="e">
        <f ca="1">IF(DRIVE_Type="Direct",IF('Frame Dimensions - D'!F115="",0,'Frame Dimensions - D'!F115),IF('Frame Dimensions - C'!F115="",0,'Frame Dimensions - C'!F115))</f>
        <v>#REF!</v>
      </c>
      <c r="G115" s="580" t="e">
        <f ca="1">IF(DRIVE_Type="Direct",IF('Frame Dimensions - D'!G115="",0,'Frame Dimensions - D'!G115),IF('Frame Dimensions - C'!G115="",0,'Frame Dimensions - C'!G115))</f>
        <v>#REF!</v>
      </c>
      <c r="H115" s="603" t="e">
        <f ca="1">IF(DRIVE_Type="Direct",IF('Frame Dimensions - D'!H115="",0,'Frame Dimensions - D'!H115),IF('Frame Dimensions - C'!H115="",0,'Frame Dimensions - C'!H115))</f>
        <v>#REF!</v>
      </c>
      <c r="I115" s="603" t="str">
        <f>IF(DRIVE_Type="Direct",IF('Frame Dimensions - D'!I115="",0,'Frame Dimensions - D'!I115),IF('Frame Dimensions - C'!I115="",0,'Frame Dimensions - C'!I115))</f>
        <v>X+Y-Z+</v>
      </c>
      <c r="J115" s="599" t="e">
        <f ca="1">IF(DRIVE_Type="Direct",IF('Frame Dimensions - D'!J115="",0,'Frame Dimensions - D'!J115),IF('Frame Dimensions - C'!J115="",0,'Frame Dimensions - C'!J115))</f>
        <v>#REF!</v>
      </c>
      <c r="K115" s="580" t="e">
        <f ca="1">IF(DRIVE_Type="Direct",IF('Frame Dimensions - D'!K115="",0,'Frame Dimensions - D'!K115),IF('Frame Dimensions - C'!K115="",0,'Frame Dimensions - C'!K115))</f>
        <v>#REF!</v>
      </c>
      <c r="L115" s="1905" t="e">
        <f ca="1">IF(DRIVE_Type="Direct",IF('Frame Dimensions - D'!L115="",0,'Frame Dimensions - D'!L115),IF('Frame Dimensions - C'!L115="",0,'Frame Dimensions - C'!L115))</f>
        <v>#REF!</v>
      </c>
      <c r="M115" s="589" t="e">
        <f ca="1">IF(DRIVE_Type="Direct",IF('Frame Dimensions - D'!M115="",0,'Frame Dimensions - D'!M115),IF('Frame Dimensions - C'!M115="",0,'Frame Dimensions - C'!M115))</f>
        <v>#REF!</v>
      </c>
      <c r="N115" s="587" t="e">
        <f ca="1">IF(DRIVE_Type="Direct",IF('Frame Dimensions - D'!N115="",0,'Frame Dimensions - D'!N115),IF('Frame Dimensions - C'!N115="",0,'Frame Dimensions - C'!N115))</f>
        <v>#REF!</v>
      </c>
      <c r="O115" s="1645" t="e">
        <f ca="1">IF(DRIVE_Type="Direct",IF('Frame Dimensions - D'!O115="",0,'Frame Dimensions - D'!O115),IF('Frame Dimensions - C'!O115="",0,'Frame Dimensions - C'!O115))</f>
        <v>#REF!</v>
      </c>
      <c r="P115" s="590" t="e">
        <f ca="1">IF(DRIVE_Type="Direct",IF('Frame Dimensions - D'!P115="",0,'Frame Dimensions - D'!P115),IF('Frame Dimensions - C'!P115="",0,'Frame Dimensions - C'!P115))</f>
        <v>#REF!</v>
      </c>
      <c r="Q115" s="1452" t="e">
        <f ca="1">IF(DRIVE_Type="Direct",IF('Frame Dimensions - D'!Q115="",0,'Frame Dimensions - D'!Q115),IF('Frame Dimensions - C'!Q115="",0,'Frame Dimensions - C'!Q115))</f>
        <v>#REF!</v>
      </c>
      <c r="R115" s="644"/>
      <c r="S115" s="603"/>
      <c r="T115" s="580"/>
      <c r="U115" s="580"/>
      <c r="V115" s="580"/>
      <c r="W115" s="603"/>
      <c r="X115" s="603"/>
      <c r="Y115" s="603"/>
      <c r="Z115" s="603"/>
      <c r="AA115" s="603"/>
      <c r="AB115" s="603"/>
      <c r="AC115" s="603"/>
      <c r="AD115" s="603"/>
      <c r="AE115" s="603"/>
      <c r="AF115" s="603"/>
      <c r="AG115" s="603"/>
      <c r="AH115" s="603"/>
      <c r="AI115" s="603"/>
      <c r="AJ115" s="464"/>
    </row>
    <row r="116" spans="1:36">
      <c r="A116" s="1927"/>
      <c r="B116" s="642" t="str">
        <f>IF(DRIVE_Type="Direct",IF('Frame Dimensions - D'!B116="",0,'Frame Dimensions - D'!B116),IF('Frame Dimensions - C'!B116="",0,'Frame Dimensions - C'!B116))</f>
        <v>sfx</v>
      </c>
      <c r="C116" s="603">
        <f>IF(DRIVE_Type="Direct",IF('Frame Dimensions - D'!C116="",0,'Frame Dimensions - D'!C116),IF('Frame Dimensions - C'!C116="",0,'Frame Dimensions - C'!C116))</f>
        <v>0</v>
      </c>
      <c r="D116" s="580">
        <f>IF(DRIVE_Type="Direct",IF('Frame Dimensions - D'!D116="",0,'Frame Dimensions - D'!D116),IF('Frame Dimensions - C'!D116="",0,'Frame Dimensions - C'!D116))</f>
        <v>0</v>
      </c>
      <c r="E116" s="580">
        <f>IF(DRIVE_Type="Direct",IF('Frame Dimensions - D'!E116="",0,'Frame Dimensions - D'!E116),IF('Frame Dimensions - C'!E116="",0,'Frame Dimensions - C'!E116))</f>
        <v>0</v>
      </c>
      <c r="F116" s="603">
        <f>IF(DRIVE_Type="Direct",IF('Frame Dimensions - D'!F116="",0,'Frame Dimensions - D'!F116),IF('Frame Dimensions - C'!F116="",0,'Frame Dimensions - C'!F116))</f>
        <v>0</v>
      </c>
      <c r="G116" s="580">
        <f>IF(DRIVE_Type="Direct",IF('Frame Dimensions - D'!G116="",0,'Frame Dimensions - D'!G116),IF('Frame Dimensions - C'!G116="",0,'Frame Dimensions - C'!G116))</f>
        <v>0</v>
      </c>
      <c r="H116" s="603">
        <f>IF(DRIVE_Type="Direct",IF('Frame Dimensions - D'!H116="",0,'Frame Dimensions - D'!H116),IF('Frame Dimensions - C'!H116="",0,'Frame Dimensions - C'!H116))</f>
        <v>0</v>
      </c>
      <c r="I116" s="580">
        <f>IF(DRIVE_Type="Direct",IF('Frame Dimensions - D'!I116="",0,'Frame Dimensions - D'!I116),IF('Frame Dimensions - C'!I116="",0,'Frame Dimensions - C'!I116))</f>
        <v>0</v>
      </c>
      <c r="J116" s="599" t="e">
        <f ca="1">IF(DRIVE_Type="Direct",IF('Frame Dimensions - D'!J116="",0,'Frame Dimensions - D'!J116),IF('Frame Dimensions - C'!J116="",0,'Frame Dimensions - C'!J116))</f>
        <v>#REF!</v>
      </c>
      <c r="K116" s="580" t="e">
        <f ca="1">IF(DRIVE_Type="Direct",IF('Frame Dimensions - D'!K116="",0,'Frame Dimensions - D'!K116),IF('Frame Dimensions - C'!K116="",0,'Frame Dimensions - C'!K116))</f>
        <v>#REF!</v>
      </c>
      <c r="L116" s="1905" t="e">
        <f ca="1">IF(DRIVE_Type="Direct",IF('Frame Dimensions - D'!L116="",0,'Frame Dimensions - D'!L116),IF('Frame Dimensions - C'!L116="",0,'Frame Dimensions - C'!L116))</f>
        <v>#REF!</v>
      </c>
      <c r="M116" s="599" t="e">
        <f ca="1">IF(DRIVE_Type="Direct",IF('Frame Dimensions - D'!M116="",0,'Frame Dimensions - D'!M116),IF('Frame Dimensions - C'!M116="",0,'Frame Dimensions - C'!M116))</f>
        <v>#REF!</v>
      </c>
      <c r="N116" s="580" t="e">
        <f ca="1">IF(DRIVE_Type="Direct",IF('Frame Dimensions - D'!N116="",0,'Frame Dimensions - D'!N116),IF('Frame Dimensions - C'!N116="",0,'Frame Dimensions - C'!N116))</f>
        <v>#REF!</v>
      </c>
      <c r="O116" s="601" t="e">
        <f ca="1">IF(DRIVE_Type="Direct",IF('Frame Dimensions - D'!O116="",0,'Frame Dimensions - D'!O116),IF('Frame Dimensions - C'!O116="",0,'Frame Dimensions - C'!O116))</f>
        <v>#REF!</v>
      </c>
      <c r="P116" s="602">
        <f>IF(DRIVE_Type="Direct",IF('Frame Dimensions - D'!P116="",0,'Frame Dimensions - D'!P116),IF('Frame Dimensions - C'!P116="",0,'Frame Dimensions - C'!P116))</f>
        <v>0</v>
      </c>
      <c r="Q116" s="1454">
        <f>IF(DRIVE_Type="Direct",IF('Frame Dimensions - D'!Q116="",0,'Frame Dimensions - D'!Q116),IF('Frame Dimensions - C'!Q116="",0,'Frame Dimensions - C'!Q116))</f>
        <v>0</v>
      </c>
      <c r="R116" s="644"/>
      <c r="S116" s="603"/>
      <c r="T116" s="580"/>
      <c r="U116" s="580"/>
      <c r="V116" s="580"/>
      <c r="W116" s="603"/>
      <c r="X116" s="603"/>
      <c r="Y116" s="603"/>
      <c r="Z116" s="603"/>
      <c r="AA116" s="603"/>
      <c r="AB116" s="603"/>
      <c r="AC116" s="603"/>
      <c r="AD116" s="603"/>
      <c r="AE116" s="603"/>
      <c r="AF116" s="603"/>
      <c r="AG116" s="603"/>
      <c r="AH116" s="603"/>
      <c r="AI116" s="603"/>
      <c r="AJ116" s="464"/>
    </row>
    <row r="117" spans="1:36">
      <c r="A117" s="1928"/>
      <c r="B117" s="642" t="str">
        <f>IF(DRIVE_Type="Direct",IF('Frame Dimensions - D'!B117="",0,'Frame Dimensions - D'!B117),IF('Frame Dimensions - C'!B117="",0,'Frame Dimensions - C'!B117))</f>
        <v>SFX+</v>
      </c>
      <c r="C117" s="493">
        <f>IF(DRIVE_Type="Direct",IF('Frame Dimensions - D'!C117="",0,'Frame Dimensions - D'!C117),IF('Frame Dimensions - C'!C117="",0,'Frame Dimensions - C'!C117))</f>
        <v>0</v>
      </c>
      <c r="D117" s="600">
        <f>IF(DRIVE_Type="Direct",IF('Frame Dimensions - D'!D117="",0,'Frame Dimensions - D'!D117),IF('Frame Dimensions - C'!D117="",0,'Frame Dimensions - C'!D117))</f>
        <v>0</v>
      </c>
      <c r="E117" s="580">
        <f>IF(DRIVE_Type="Direct",IF('Frame Dimensions - D'!E117="",0,'Frame Dimensions - D'!E117),IF('Frame Dimensions - C'!E117="",0,'Frame Dimensions - C'!E117))</f>
        <v>0</v>
      </c>
      <c r="F117" s="580">
        <f>IF(DRIVE_Type="Direct",IF('Frame Dimensions - D'!F117="",0,'Frame Dimensions - D'!F117),IF('Frame Dimensions - C'!F117="",0,'Frame Dimensions - C'!F117))</f>
        <v>0</v>
      </c>
      <c r="G117" s="580">
        <f>IF(DRIVE_Type="Direct",IF('Frame Dimensions - D'!G117="",0,'Frame Dimensions - D'!G117),IF('Frame Dimensions - C'!G117="",0,'Frame Dimensions - C'!G117))</f>
        <v>0</v>
      </c>
      <c r="H117" s="580">
        <f>IF(DRIVE_Type="Direct",IF('Frame Dimensions - D'!H117="",0,'Frame Dimensions - D'!H117),IF('Frame Dimensions - C'!H117="",0,'Frame Dimensions - C'!H117))</f>
        <v>0</v>
      </c>
      <c r="I117" s="603">
        <f>IF(DRIVE_Type="Direct",IF('Frame Dimensions - D'!I117="",0,'Frame Dimensions - D'!I117),IF('Frame Dimensions - C'!I117="",0,'Frame Dimensions - C'!I117))</f>
        <v>0</v>
      </c>
      <c r="J117" s="599" t="e">
        <f ca="1">IF(DRIVE_Type="Direct",IF('Frame Dimensions - D'!J117="",0,'Frame Dimensions - D'!J117),IF('Frame Dimensions - C'!J117="",0,'Frame Dimensions - C'!J117))</f>
        <v>#REF!</v>
      </c>
      <c r="K117" s="580" t="e">
        <f ca="1">IF(DRIVE_Type="Direct",IF('Frame Dimensions - D'!K117="",0,'Frame Dimensions - D'!K117),IF('Frame Dimensions - C'!K117="",0,'Frame Dimensions - C'!K117))</f>
        <v>#REF!</v>
      </c>
      <c r="L117" s="580" t="e">
        <f ca="1">IF(DRIVE_Type="Direct",IF('Frame Dimensions - D'!L117="",0,'Frame Dimensions - D'!L117),IF('Frame Dimensions - C'!L117="",0,'Frame Dimensions - C'!L117))</f>
        <v>#REF!</v>
      </c>
      <c r="M117" s="599" t="e">
        <f ca="1">IF(DRIVE_Type="Direct",IF('Frame Dimensions - D'!M117="",0,'Frame Dimensions - D'!M117),IF('Frame Dimensions - C'!M117="",0,'Frame Dimensions - C'!M117))</f>
        <v>#REF!</v>
      </c>
      <c r="N117" s="580" t="e">
        <f ca="1">IF(DRIVE_Type="Direct",IF('Frame Dimensions - D'!N117="",0,'Frame Dimensions - D'!N117),IF('Frame Dimensions - C'!N117="",0,'Frame Dimensions - C'!N117))</f>
        <v>#REF!</v>
      </c>
      <c r="O117" s="600" t="e">
        <f ca="1">IF(DRIVE_Type="Direct",IF('Frame Dimensions - D'!O117="",0,'Frame Dimensions - D'!O117),IF('Frame Dimensions - C'!O117="",0,'Frame Dimensions - C'!O117))</f>
        <v>#REF!</v>
      </c>
      <c r="P117" s="602">
        <f>IF(DRIVE_Type="Direct",IF('Frame Dimensions - D'!P117="",0,'Frame Dimensions - D'!P117),IF('Frame Dimensions - C'!P117="",0,'Frame Dimensions - C'!P117))</f>
        <v>0</v>
      </c>
      <c r="Q117" s="1454">
        <f>IF(DRIVE_Type="Direct",IF('Frame Dimensions - D'!Q117="",0,'Frame Dimensions - D'!Q117),IF('Frame Dimensions - C'!Q117="",0,'Frame Dimensions - C'!Q117))</f>
        <v>0</v>
      </c>
      <c r="R117" s="644"/>
      <c r="S117" s="603"/>
      <c r="T117" s="603"/>
      <c r="U117" s="603"/>
      <c r="V117" s="603"/>
      <c r="W117" s="603"/>
      <c r="X117" s="603"/>
      <c r="Y117" s="603"/>
      <c r="Z117" s="603"/>
      <c r="AA117" s="603"/>
      <c r="AB117" s="603"/>
      <c r="AC117" s="603"/>
      <c r="AD117" s="603"/>
      <c r="AE117" s="603"/>
      <c r="AF117" s="603"/>
      <c r="AG117" s="603"/>
      <c r="AH117" s="603"/>
      <c r="AI117" s="603"/>
      <c r="AJ117" s="464"/>
    </row>
    <row r="118" spans="1:36" s="621" customFormat="1">
      <c r="A118" s="1929"/>
      <c r="B118" s="643" t="str">
        <f>IF(DRIVE_Type="Direct",IF('Frame Dimensions - D'!B118="",0,'Frame Dimensions - D'!B118),IF('Frame Dimensions - C'!B118="",0,'Frame Dimensions - C'!B118))</f>
        <v>sfx+</v>
      </c>
      <c r="C118" s="594">
        <f>IF(DRIVE_Type="Direct",IF('Frame Dimensions - D'!C118="",0,'Frame Dimensions - D'!C118),IF('Frame Dimensions - C'!C118="",0,'Frame Dimensions - C'!C118))</f>
        <v>0</v>
      </c>
      <c r="D118" s="593">
        <f>IF(DRIVE_Type="Direct",IF('Frame Dimensions - D'!D118="",0,'Frame Dimensions - D'!D118),IF('Frame Dimensions - C'!D118="",0,'Frame Dimensions - C'!D118))</f>
        <v>0</v>
      </c>
      <c r="E118" s="593">
        <f>IF(DRIVE_Type="Direct",IF('Frame Dimensions - D'!E118="",0,'Frame Dimensions - D'!E118),IF('Frame Dimensions - C'!E118="",0,'Frame Dimensions - C'!E118))</f>
        <v>0</v>
      </c>
      <c r="F118" s="593">
        <f>IF(DRIVE_Type="Direct",IF('Frame Dimensions - D'!F118="",0,'Frame Dimensions - D'!F118),IF('Frame Dimensions - C'!F118="",0,'Frame Dimensions - C'!F118))</f>
        <v>0</v>
      </c>
      <c r="G118" s="593">
        <f>IF(DRIVE_Type="Direct",IF('Frame Dimensions - D'!G118="",0,'Frame Dimensions - D'!G118),IF('Frame Dimensions - C'!G118="",0,'Frame Dimensions - C'!G118))</f>
        <v>0</v>
      </c>
      <c r="H118" s="594">
        <f>IF(DRIVE_Type="Direct",IF('Frame Dimensions - D'!H118="",0,'Frame Dimensions - D'!H118),IF('Frame Dimensions - C'!H118="",0,'Frame Dimensions - C'!H118))</f>
        <v>0</v>
      </c>
      <c r="I118" s="593">
        <f>IF(DRIVE_Type="Direct",IF('Frame Dimensions - D'!I118="",0,'Frame Dimensions - D'!I118),IF('Frame Dimensions - C'!I118="",0,'Frame Dimensions - C'!I118))</f>
        <v>0</v>
      </c>
      <c r="J118" s="2167" t="e">
        <f ca="1">IF(DRIVE_Type="Direct",IF('Frame Dimensions - D'!J118="",0,'Frame Dimensions - D'!J118),IF('Frame Dimensions - C'!J118="",0,'Frame Dimensions - C'!J118))</f>
        <v>#REF!</v>
      </c>
      <c r="K118" s="593" t="e">
        <f ca="1">IF(DRIVE_Type="Direct",IF('Frame Dimensions - D'!K118="",0,'Frame Dimensions - D'!K118),IF('Frame Dimensions - C'!K118="",0,'Frame Dimensions - C'!K118))</f>
        <v>#REF!</v>
      </c>
      <c r="L118" s="593" t="e">
        <f ca="1">IF(DRIVE_Type="Direct",IF('Frame Dimensions - D'!L118="",0,'Frame Dimensions - D'!L118),IF('Frame Dimensions - C'!L118="",0,'Frame Dimensions - C'!L118))</f>
        <v>#REF!</v>
      </c>
      <c r="M118" s="2167" t="e">
        <f ca="1">IF(DRIVE_Type="Direct",IF('Frame Dimensions - D'!M118="",0,'Frame Dimensions - D'!M118),IF('Frame Dimensions - C'!M118="",0,'Frame Dimensions - C'!M118))</f>
        <v>#REF!</v>
      </c>
      <c r="N118" s="593" t="e">
        <f ca="1">IF(DRIVE_Type="Direct",IF('Frame Dimensions - D'!N118="",0,'Frame Dimensions - D'!N118),IF('Frame Dimensions - C'!N118="",0,'Frame Dimensions - C'!N118))</f>
        <v>#REF!</v>
      </c>
      <c r="O118" s="595" t="e">
        <f ca="1">IF(DRIVE_Type="Direct",IF('Frame Dimensions - D'!O118="",0,'Frame Dimensions - D'!O118),IF('Frame Dimensions - C'!O118="",0,'Frame Dimensions - C'!O118))</f>
        <v>#REF!</v>
      </c>
      <c r="P118" s="596">
        <f>IF(DRIVE_Type="Direct",IF('Frame Dimensions - D'!P118="",0,'Frame Dimensions - D'!P118),IF('Frame Dimensions - C'!P118="",0,'Frame Dimensions - C'!P118))</f>
        <v>0</v>
      </c>
      <c r="Q118" s="1453">
        <f>IF(DRIVE_Type="Direct",IF('Frame Dimensions - D'!Q118="",0,'Frame Dimensions - D'!Q118),IF('Frame Dimensions - C'!Q118="",0,'Frame Dimensions - C'!Q118))</f>
        <v>0</v>
      </c>
      <c r="R118" s="644"/>
      <c r="S118" s="603"/>
      <c r="T118" s="603"/>
      <c r="U118" s="603"/>
      <c r="V118" s="603"/>
      <c r="W118" s="603"/>
      <c r="X118" s="603"/>
      <c r="Y118" s="603"/>
      <c r="Z118" s="603"/>
      <c r="AA118" s="603"/>
      <c r="AB118" s="603"/>
      <c r="AC118" s="603"/>
      <c r="AD118" s="603"/>
      <c r="AE118" s="603"/>
      <c r="AF118" s="603"/>
      <c r="AG118" s="603"/>
      <c r="AH118" s="603"/>
      <c r="AI118" s="603"/>
    </row>
    <row r="119" spans="1:36">
      <c r="A119" s="1930"/>
      <c r="B119" s="1910">
        <f>IF(DRIVE_Type="Direct",IF('Frame Dimensions - D'!B119="",0,'Frame Dimensions - D'!B119),IF('Frame Dimensions - C'!B119="",0,'Frame Dimensions - C'!B119))</f>
        <v>0</v>
      </c>
      <c r="C119" s="1911">
        <f>IF(DRIVE_Type="Direct",IF('Frame Dimensions - D'!C119="",0,'Frame Dimensions - D'!C119),IF('Frame Dimensions - C'!C119="",0,'Frame Dimensions - C'!C119))</f>
        <v>0</v>
      </c>
      <c r="D119" s="1912">
        <f>IF(DRIVE_Type="Direct",IF('Frame Dimensions - D'!D119="",0,'Frame Dimensions - D'!D119),IF('Frame Dimensions - C'!D119="",0,'Frame Dimensions - C'!D119))</f>
        <v>0</v>
      </c>
      <c r="E119" s="1912">
        <f>IF(DRIVE_Type="Direct",IF('Frame Dimensions - D'!E119="",0,'Frame Dimensions - D'!E119),IF('Frame Dimensions - C'!E119="",0,'Frame Dimensions - C'!E119))</f>
        <v>0</v>
      </c>
      <c r="F119" s="1912">
        <f>IF(DRIVE_Type="Direct",IF('Frame Dimensions - D'!F119="",0,'Frame Dimensions - D'!F119),IF('Frame Dimensions - C'!F119="",0,'Frame Dimensions - C'!F119))</f>
        <v>0</v>
      </c>
      <c r="G119" s="1912">
        <f>IF(DRIVE_Type="Direct",IF('Frame Dimensions - D'!G119="",0,'Frame Dimensions - D'!G119),IF('Frame Dimensions - C'!G119="",0,'Frame Dimensions - C'!G119))</f>
        <v>0</v>
      </c>
      <c r="H119" s="1912">
        <f>IF(DRIVE_Type="Direct",IF('Frame Dimensions - D'!H119="",0,'Frame Dimensions - D'!H119),IF('Frame Dimensions - C'!H119="",0,'Frame Dimensions - C'!H119))</f>
        <v>0</v>
      </c>
      <c r="I119" s="1912">
        <f>IF(DRIVE_Type="Direct",IF('Frame Dimensions - D'!I119="",0,'Frame Dimensions - D'!I119),IF('Frame Dimensions - C'!I119="",0,'Frame Dimensions - C'!I119))</f>
        <v>0</v>
      </c>
      <c r="J119" s="1913">
        <f>IF(DRIVE_Type="Direct",IF('Frame Dimensions - D'!J119="",0,'Frame Dimensions - D'!J119),IF('Frame Dimensions - C'!J119="",0,'Frame Dimensions - C'!J119))</f>
        <v>0</v>
      </c>
      <c r="K119" s="1912">
        <f>IF(DRIVE_Type="Direct",IF('Frame Dimensions - D'!K119="",0,'Frame Dimensions - D'!K119),IF('Frame Dimensions - C'!K119="",0,'Frame Dimensions - C'!K119))</f>
        <v>0</v>
      </c>
      <c r="L119" s="1912">
        <f>IF(DRIVE_Type="Direct",IF('Frame Dimensions - D'!L119="",0,'Frame Dimensions - D'!L119),IF('Frame Dimensions - C'!L119="",0,'Frame Dimensions - C'!L119))</f>
        <v>0</v>
      </c>
      <c r="M119" s="1913">
        <f>IF(DRIVE_Type="Direct",IF('Frame Dimensions - D'!M119="",0,'Frame Dimensions - D'!M119),IF('Frame Dimensions - C'!M119="",0,'Frame Dimensions - C'!M119))</f>
        <v>0</v>
      </c>
      <c r="N119" s="1912">
        <f>IF(DRIVE_Type="Direct",IF('Frame Dimensions - D'!N119="",0,'Frame Dimensions - D'!N119),IF('Frame Dimensions - C'!N119="",0,'Frame Dimensions - C'!N119))</f>
        <v>0</v>
      </c>
      <c r="O119" s="1914">
        <f>IF(DRIVE_Type="Direct",IF('Frame Dimensions - D'!O119="",0,'Frame Dimensions - D'!O119),IF('Frame Dimensions - C'!O119="",0,'Frame Dimensions - C'!O119))</f>
        <v>0</v>
      </c>
      <c r="P119" s="1915">
        <f>IF(DRIVE_Type="Direct",IF('Frame Dimensions - D'!P119="",0,'Frame Dimensions - D'!P119),IF('Frame Dimensions - C'!P119="",0,'Frame Dimensions - C'!P119))</f>
        <v>0</v>
      </c>
      <c r="Q119" s="1916">
        <f>IF(DRIVE_Type="Direct",IF('Frame Dimensions - D'!Q119="",0,'Frame Dimensions - D'!Q119),IF('Frame Dimensions - C'!Q119="",0,'Frame Dimensions - C'!Q119))</f>
        <v>0</v>
      </c>
      <c r="R119" s="644"/>
      <c r="S119" s="603"/>
      <c r="T119" s="603"/>
      <c r="U119" s="580"/>
      <c r="V119" s="603"/>
      <c r="W119" s="603"/>
      <c r="X119" s="603"/>
      <c r="Y119" s="603"/>
      <c r="Z119" s="603"/>
      <c r="AA119" s="603"/>
      <c r="AB119" s="603"/>
      <c r="AC119" s="603"/>
      <c r="AD119" s="603"/>
      <c r="AE119" s="603"/>
      <c r="AF119" s="603"/>
      <c r="AG119" s="603"/>
      <c r="AH119" s="603"/>
      <c r="AI119" s="603"/>
      <c r="AJ119" s="464"/>
    </row>
    <row r="120" spans="1:36">
      <c r="A120" s="1925" t="s">
        <v>1052</v>
      </c>
      <c r="B120" s="1642" t="str">
        <f>IF(DRIVE_Type="Direct",IF('Frame Dimensions - D'!B120="",0,'Frame Dimensions - D'!B120),IF('Frame Dimensions - C'!B120="",0,'Frame Dimensions - C'!B120))</f>
        <v>SFBase_L</v>
      </c>
      <c r="C120" s="484" t="e">
        <f ca="1">IF(DRIVE_Type="Direct",IF('Frame Dimensions - D'!C120="",0,'Frame Dimensions - D'!C120),IF('Frame Dimensions - C'!C120="",0,'Frame Dimensions - C'!C120))</f>
        <v>#REF!</v>
      </c>
      <c r="D120" s="588" t="e">
        <f ca="1">IF(DRIVE_Type="Direct",IF('Frame Dimensions - D'!D120="",0,'Frame Dimensions - D'!D120),IF('Frame Dimensions - C'!D120="",0,'Frame Dimensions - C'!D120))</f>
        <v>#REF!</v>
      </c>
      <c r="E120" s="588" t="e">
        <f ca="1">IF(DRIVE_Type="Direct",IF('Frame Dimensions - D'!E120="",0,'Frame Dimensions - D'!E120),IF('Frame Dimensions - C'!E120="",0,'Frame Dimensions - C'!E120))</f>
        <v>#REF!</v>
      </c>
      <c r="F120" s="587" t="e">
        <f ca="1">IF(DRIVE_Type="Direct",IF('Frame Dimensions - D'!F120="",0,'Frame Dimensions - D'!F120),IF('Frame Dimensions - C'!F120="",0,'Frame Dimensions - C'!F120))</f>
        <v>#REF!</v>
      </c>
      <c r="G120" s="484" t="e">
        <f ca="1">IF(DRIVE_Type="Direct",IF('Frame Dimensions - D'!G120="",0,'Frame Dimensions - D'!G120),IF('Frame Dimensions - C'!G120="",0,'Frame Dimensions - C'!G120))</f>
        <v>#REF!</v>
      </c>
      <c r="H120" s="587">
        <f>IF(DRIVE_Type="Direct",IF('Frame Dimensions - D'!H120="",0,'Frame Dimensions - D'!H120),IF('Frame Dimensions - C'!H120="",0,'Frame Dimensions - C'!H120))</f>
        <v>0</v>
      </c>
      <c r="I120" s="1643" t="str">
        <f>IF(DRIVE_Type="Direct",IF('Frame Dimensions - D'!I120="",0,'Frame Dimensions - D'!I120),IF('Frame Dimensions - C'!I120="",0,'Frame Dimensions - C'!I120))</f>
        <v>X+Y+Z+</v>
      </c>
      <c r="J120" s="615">
        <f>IF(DRIVE_Type="Direct",IF('Frame Dimensions - D'!J120="",0,'Frame Dimensions - D'!J120),IF('Frame Dimensions - C'!J120="",0,'Frame Dimensions - C'!J120))</f>
        <v>0</v>
      </c>
      <c r="K120" s="1644">
        <f>IF(DRIVE_Type="Direct",IF('Frame Dimensions - D'!K120="",0,'Frame Dimensions - D'!K120),IF('Frame Dimensions - C'!K120="",0,'Frame Dimensions - C'!K120))</f>
        <v>0</v>
      </c>
      <c r="L120" s="1646" t="e">
        <f ca="1">IF(DRIVE_Type="Direct",IF('Frame Dimensions - D'!L120="",0,'Frame Dimensions - D'!L120),IF('Frame Dimensions - C'!L120="",0,'Frame Dimensions - C'!L120))</f>
        <v>#REF!</v>
      </c>
      <c r="M120" s="615">
        <f>IF(DRIVE_Type="Direct",IF('Frame Dimensions - D'!M120="",0,'Frame Dimensions - D'!M120),IF('Frame Dimensions - C'!M120="",0,'Frame Dimensions - C'!M120))</f>
        <v>0</v>
      </c>
      <c r="N120" s="1542">
        <f>IF(DRIVE_Type="Direct",IF('Frame Dimensions - D'!N120="",0,'Frame Dimensions - D'!N120),IF('Frame Dimensions - C'!N120="",0,'Frame Dimensions - C'!N120))</f>
        <v>0</v>
      </c>
      <c r="O120" s="1645" t="e">
        <f ca="1">IF(DRIVE_Type="Direct",IF('Frame Dimensions - D'!O120="",0,'Frame Dimensions - D'!O120),IF('Frame Dimensions - C'!O120="",0,'Frame Dimensions - C'!O120))</f>
        <v>#REF!</v>
      </c>
      <c r="P120" s="584" t="e">
        <f ca="1">IF(DRIVE_Type="Direct",IF('Frame Dimensions - D'!P120="",0,'Frame Dimensions - D'!P120),IF('Frame Dimensions - C'!P120="",0,'Frame Dimensions - C'!P120))</f>
        <v>#REF!</v>
      </c>
      <c r="Q120" s="1450" t="e">
        <f ca="1">IF(DRIVE_Type="Direct",IF('Frame Dimensions - D'!Q120="",0,'Frame Dimensions - D'!Q120),IF('Frame Dimensions - C'!Q120="",0,'Frame Dimensions - C'!Q120))</f>
        <v>#REF!</v>
      </c>
      <c r="R120" s="644"/>
      <c r="S120" s="603"/>
      <c r="T120" s="603"/>
      <c r="U120" s="603"/>
      <c r="V120" s="603"/>
      <c r="W120" s="603"/>
      <c r="X120" s="603"/>
      <c r="Y120" s="603"/>
      <c r="Z120" s="603"/>
      <c r="AA120" s="603"/>
      <c r="AB120" s="603"/>
      <c r="AC120" s="603"/>
      <c r="AD120" s="603"/>
      <c r="AE120" s="603"/>
      <c r="AF120" s="603"/>
      <c r="AG120" s="603"/>
      <c r="AH120" s="603"/>
      <c r="AI120" s="603"/>
      <c r="AJ120" s="464"/>
    </row>
    <row r="121" spans="1:36">
      <c r="A121" s="1925"/>
      <c r="B121" s="1648" t="str">
        <f>IF(DRIVE_Type="Direct",IF('Frame Dimensions - D'!B121="",0,'Frame Dimensions - D'!B121),IF('Frame Dimensions - C'!B121="",0,'Frame Dimensions - C'!B121))</f>
        <v>sfbase_L</v>
      </c>
      <c r="C121" s="580">
        <f>IF(DRIVE_Type="Direct",IF('Frame Dimensions - D'!C121="",0,'Frame Dimensions - D'!C121),IF('Frame Dimensions - C'!C121="",0,'Frame Dimensions - C'!C121))</f>
        <v>0</v>
      </c>
      <c r="D121" s="580">
        <f>IF(DRIVE_Type="Direct",IF('Frame Dimensions - D'!D121="",0,'Frame Dimensions - D'!D121),IF('Frame Dimensions - C'!D121="",0,'Frame Dimensions - C'!D121))</f>
        <v>0</v>
      </c>
      <c r="E121" s="580">
        <f>IF(DRIVE_Type="Direct",IF('Frame Dimensions - D'!E121="",0,'Frame Dimensions - D'!E121),IF('Frame Dimensions - C'!E121="",0,'Frame Dimensions - C'!E121))</f>
        <v>0</v>
      </c>
      <c r="F121" s="580">
        <f>IF(DRIVE_Type="Direct",IF('Frame Dimensions - D'!F121="",0,'Frame Dimensions - D'!F121),IF('Frame Dimensions - C'!F121="",0,'Frame Dimensions - C'!F121))</f>
        <v>0</v>
      </c>
      <c r="G121" s="580">
        <f>IF(DRIVE_Type="Direct",IF('Frame Dimensions - D'!G121="",0,'Frame Dimensions - D'!G121),IF('Frame Dimensions - C'!G121="",0,'Frame Dimensions - C'!G121))</f>
        <v>0</v>
      </c>
      <c r="H121" s="580">
        <f>IF(DRIVE_Type="Direct",IF('Frame Dimensions - D'!H121="",0,'Frame Dimensions - D'!H121),IF('Frame Dimensions - C'!H121="",0,'Frame Dimensions - C'!H121))</f>
        <v>0</v>
      </c>
      <c r="I121" s="603">
        <f>IF(DRIVE_Type="Direct",IF('Frame Dimensions - D'!I121="",0,'Frame Dimensions - D'!I121),IF('Frame Dimensions - C'!I121="",0,'Frame Dimensions - C'!I121))</f>
        <v>0</v>
      </c>
      <c r="J121" s="609">
        <f>IF(DRIVE_Type="Direct",IF('Frame Dimensions - D'!J121="",0,'Frame Dimensions - D'!J121),IF('Frame Dimensions - C'!J121="",0,'Frame Dimensions - C'!J121))</f>
        <v>0</v>
      </c>
      <c r="K121" s="1699">
        <f>IF(DRIVE_Type="Direct",IF('Frame Dimensions - D'!K121="",0,'Frame Dimensions - D'!K121),IF('Frame Dimensions - C'!K121="",0,'Frame Dimensions - C'!K121))</f>
        <v>0</v>
      </c>
      <c r="L121" s="600" t="e">
        <f ca="1">IF(DRIVE_Type="Direct",IF('Frame Dimensions - D'!L121="",0,'Frame Dimensions - D'!L121),IF('Frame Dimensions - C'!L121="",0,'Frame Dimensions - C'!L121))</f>
        <v>#REF!</v>
      </c>
      <c r="M121" s="609">
        <f>IF(DRIVE_Type="Direct",IF('Frame Dimensions - D'!M121="",0,'Frame Dimensions - D'!M121),IF('Frame Dimensions - C'!M121="",0,'Frame Dimensions - C'!M121))</f>
        <v>0</v>
      </c>
      <c r="N121" s="637" t="e">
        <f ca="1">IF(DRIVE_Type="Direct",IF('Frame Dimensions - D'!N121="",0,'Frame Dimensions - D'!N121),IF('Frame Dimensions - C'!N121="",0,'Frame Dimensions - C'!N121))</f>
        <v>#REF!</v>
      </c>
      <c r="O121" s="601" t="e">
        <f ca="1">IF(DRIVE_Type="Direct",IF('Frame Dimensions - D'!O121="",0,'Frame Dimensions - D'!O121),IF('Frame Dimensions - C'!O121="",0,'Frame Dimensions - C'!O121))</f>
        <v>#REF!</v>
      </c>
      <c r="P121" s="602">
        <f>IF(DRIVE_Type="Direct",IF('Frame Dimensions - D'!P121="",0,'Frame Dimensions - D'!P121),IF('Frame Dimensions - C'!P121="",0,'Frame Dimensions - C'!P121))</f>
        <v>0</v>
      </c>
      <c r="Q121" s="1454">
        <f>IF(DRIVE_Type="Direct",IF('Frame Dimensions - D'!Q121="",0,'Frame Dimensions - D'!Q121),IF('Frame Dimensions - C'!Q121="",0,'Frame Dimensions - C'!Q121))</f>
        <v>0</v>
      </c>
      <c r="R121" s="644"/>
      <c r="S121" s="603"/>
      <c r="T121" s="580"/>
      <c r="U121" s="580"/>
      <c r="V121" s="580"/>
      <c r="W121" s="603"/>
      <c r="X121" s="603"/>
      <c r="Y121" s="603"/>
      <c r="Z121" s="603"/>
      <c r="AA121" s="603"/>
      <c r="AB121" s="603"/>
      <c r="AC121" s="603"/>
      <c r="AD121" s="603"/>
      <c r="AE121" s="603"/>
      <c r="AF121" s="603"/>
      <c r="AG121" s="603"/>
      <c r="AH121" s="603"/>
      <c r="AI121" s="603"/>
      <c r="AJ121" s="464"/>
    </row>
    <row r="122" spans="1:36">
      <c r="A122" s="1925"/>
      <c r="B122" s="604" t="str">
        <f>IF(DRIVE_Type="Direct",IF('Frame Dimensions - D'!B122="",0,'Frame Dimensions - D'!B122),IF('Frame Dimensions - C'!B122="",0,'Frame Dimensions - C'!B122))</f>
        <v>SFBase_L+</v>
      </c>
      <c r="C122" s="580">
        <f>IF(DRIVE_Type="Direct",IF('Frame Dimensions - D'!C122="",0,'Frame Dimensions - D'!C122),IF('Frame Dimensions - C'!C122="",0,'Frame Dimensions - C'!C122))</f>
        <v>0</v>
      </c>
      <c r="D122" s="603">
        <f>IF(DRIVE_Type="Direct",IF('Frame Dimensions - D'!D122="",0,'Frame Dimensions - D'!D122),IF('Frame Dimensions - C'!D122="",0,'Frame Dimensions - C'!D122))</f>
        <v>0</v>
      </c>
      <c r="E122" s="603">
        <f>IF(DRIVE_Type="Direct",IF('Frame Dimensions - D'!E122="",0,'Frame Dimensions - D'!E122),IF('Frame Dimensions - C'!E122="",0,'Frame Dimensions - C'!E122))</f>
        <v>0</v>
      </c>
      <c r="F122" s="580">
        <f>IF(DRIVE_Type="Direct",IF('Frame Dimensions - D'!F122="",0,'Frame Dimensions - D'!F122),IF('Frame Dimensions - C'!F122="",0,'Frame Dimensions - C'!F122))</f>
        <v>0</v>
      </c>
      <c r="G122" s="580">
        <f>IF(DRIVE_Type="Direct",IF('Frame Dimensions - D'!G122="",0,'Frame Dimensions - D'!G122),IF('Frame Dimensions - C'!G122="",0,'Frame Dimensions - C'!G122))</f>
        <v>0</v>
      </c>
      <c r="H122" s="603">
        <f>IF(DRIVE_Type="Direct",IF('Frame Dimensions - D'!H122="",0,'Frame Dimensions - D'!H122),IF('Frame Dimensions - C'!H122="",0,'Frame Dimensions - C'!H122))</f>
        <v>0</v>
      </c>
      <c r="I122" s="580">
        <f>IF(DRIVE_Type="Direct",IF('Frame Dimensions - D'!I122="",0,'Frame Dimensions - D'!I122),IF('Frame Dimensions - C'!I122="",0,'Frame Dimensions - C'!I122))</f>
        <v>0</v>
      </c>
      <c r="J122" s="599" t="e">
        <f ca="1">IF(DRIVE_Type="Direct",IF('Frame Dimensions - D'!J122="",0,'Frame Dimensions - D'!J122),IF('Frame Dimensions - C'!J122="",0,'Frame Dimensions - C'!J122))</f>
        <v>#REF!</v>
      </c>
      <c r="K122" s="608">
        <f>IF(DRIVE_Type="Direct",IF('Frame Dimensions - D'!K122="",0,'Frame Dimensions - D'!K122),IF('Frame Dimensions - C'!K122="",0,'Frame Dimensions - C'!K122))</f>
        <v>0</v>
      </c>
      <c r="L122" s="608" t="e">
        <f ca="1">IF(DRIVE_Type="Direct",IF('Frame Dimensions - D'!L122="",0,'Frame Dimensions - D'!L122),IF('Frame Dimensions - C'!L122="",0,'Frame Dimensions - C'!L122))</f>
        <v>#REF!</v>
      </c>
      <c r="M122" s="609" t="e">
        <f ca="1">IF(DRIVE_Type="Direct",IF('Frame Dimensions - D'!M122="",0,'Frame Dimensions - D'!M122),IF('Frame Dimensions - C'!M122="",0,'Frame Dimensions - C'!M122))</f>
        <v>#REF!</v>
      </c>
      <c r="N122" s="608">
        <f>IF(DRIVE_Type="Direct",IF('Frame Dimensions - D'!N122="",0,'Frame Dimensions - D'!N122),IF('Frame Dimensions - C'!N122="",0,'Frame Dimensions - C'!N122))</f>
        <v>0</v>
      </c>
      <c r="O122" s="611" t="e">
        <f ca="1">IF(DRIVE_Type="Direct",IF('Frame Dimensions - D'!O122="",0,'Frame Dimensions - D'!O122),IF('Frame Dimensions - C'!O122="",0,'Frame Dimensions - C'!O122))</f>
        <v>#REF!</v>
      </c>
      <c r="P122" s="584">
        <f>IF(DRIVE_Type="Direct",IF('Frame Dimensions - D'!P122="",0,'Frame Dimensions - D'!P122),IF('Frame Dimensions - C'!P122="",0,'Frame Dimensions - C'!P122))</f>
        <v>0</v>
      </c>
      <c r="Q122" s="1450">
        <f>IF(DRIVE_Type="Direct",IF('Frame Dimensions - D'!Q122="",0,'Frame Dimensions - D'!Q122),IF('Frame Dimensions - C'!Q122="",0,'Frame Dimensions - C'!Q122))</f>
        <v>0</v>
      </c>
      <c r="R122" s="644"/>
      <c r="S122" s="603"/>
      <c r="T122" s="603"/>
      <c r="U122" s="603"/>
      <c r="V122" s="603"/>
      <c r="W122" s="603"/>
      <c r="X122" s="603"/>
      <c r="Y122" s="603"/>
      <c r="Z122" s="603"/>
      <c r="AA122" s="603"/>
      <c r="AB122" s="603"/>
      <c r="AC122" s="603"/>
      <c r="AD122" s="603"/>
      <c r="AE122" s="603"/>
      <c r="AF122" s="603"/>
      <c r="AG122" s="603"/>
      <c r="AH122" s="603"/>
      <c r="AI122" s="603"/>
      <c r="AJ122" s="464"/>
    </row>
    <row r="123" spans="1:36">
      <c r="A123" s="1925"/>
      <c r="B123" s="604" t="str">
        <f>IF(DRIVE_Type="Direct",IF('Frame Dimensions - D'!B123="",0,'Frame Dimensions - D'!B123),IF('Frame Dimensions - C'!B123="",0,'Frame Dimensions - C'!B123))</f>
        <v>sfbase_L+</v>
      </c>
      <c r="C123" s="580">
        <f>IF(DRIVE_Type="Direct",IF('Frame Dimensions - D'!C123="",0,'Frame Dimensions - D'!C123),IF('Frame Dimensions - C'!C123="",0,'Frame Dimensions - C'!C123))</f>
        <v>0</v>
      </c>
      <c r="D123" s="580">
        <f>IF(DRIVE_Type="Direct",IF('Frame Dimensions - D'!D123="",0,'Frame Dimensions - D'!D123),IF('Frame Dimensions - C'!D123="",0,'Frame Dimensions - C'!D123))</f>
        <v>0</v>
      </c>
      <c r="E123" s="580">
        <f>IF(DRIVE_Type="Direct",IF('Frame Dimensions - D'!E123="",0,'Frame Dimensions - D'!E123),IF('Frame Dimensions - C'!E123="",0,'Frame Dimensions - C'!E123))</f>
        <v>0</v>
      </c>
      <c r="F123" s="580">
        <f>IF(DRIVE_Type="Direct",IF('Frame Dimensions - D'!F123="",0,'Frame Dimensions - D'!F123),IF('Frame Dimensions - C'!F123="",0,'Frame Dimensions - C'!F123))</f>
        <v>0</v>
      </c>
      <c r="G123" s="580">
        <f>IF(DRIVE_Type="Direct",IF('Frame Dimensions - D'!G123="",0,'Frame Dimensions - D'!G123),IF('Frame Dimensions - C'!G123="",0,'Frame Dimensions - C'!G123))</f>
        <v>0</v>
      </c>
      <c r="H123" s="603">
        <f>IF(DRIVE_Type="Direct",IF('Frame Dimensions - D'!H123="",0,'Frame Dimensions - D'!H123),IF('Frame Dimensions - C'!H123="",0,'Frame Dimensions - C'!H123))</f>
        <v>0</v>
      </c>
      <c r="I123" s="580">
        <f>IF(DRIVE_Type="Direct",IF('Frame Dimensions - D'!I123="",0,'Frame Dimensions - D'!I123),IF('Frame Dimensions - C'!I123="",0,'Frame Dimensions - C'!I123))</f>
        <v>0</v>
      </c>
      <c r="J123" s="609" t="e">
        <f ca="1">IF(DRIVE_Type="Direct",IF('Frame Dimensions - D'!J123="",0,'Frame Dimensions - D'!J123),IF('Frame Dimensions - C'!J123="",0,'Frame Dimensions - C'!J123))</f>
        <v>#REF!</v>
      </c>
      <c r="K123" s="608">
        <f>IF(DRIVE_Type="Direct",IF('Frame Dimensions - D'!K123="",0,'Frame Dimensions - D'!K123),IF('Frame Dimensions - C'!K123="",0,'Frame Dimensions - C'!K123))</f>
        <v>0</v>
      </c>
      <c r="L123" s="608" t="e">
        <f ca="1">IF(DRIVE_Type="Direct",IF('Frame Dimensions - D'!L123="",0,'Frame Dimensions - D'!L123),IF('Frame Dimensions - C'!L123="",0,'Frame Dimensions - C'!L123))</f>
        <v>#REF!</v>
      </c>
      <c r="M123" s="609" t="e">
        <f ca="1">IF(DRIVE_Type="Direct",IF('Frame Dimensions - D'!M123="",0,'Frame Dimensions - D'!M123),IF('Frame Dimensions - C'!M123="",0,'Frame Dimensions - C'!M123))</f>
        <v>#REF!</v>
      </c>
      <c r="N123" s="608" t="e">
        <f ca="1">IF(DRIVE_Type="Direct",IF('Frame Dimensions - D'!N123="",0,'Frame Dimensions - D'!N123),IF('Frame Dimensions - C'!N123="",0,'Frame Dimensions - C'!N123))</f>
        <v>#REF!</v>
      </c>
      <c r="O123" s="611" t="e">
        <f ca="1">IF(DRIVE_Type="Direct",IF('Frame Dimensions - D'!O123="",0,'Frame Dimensions - D'!O123),IF('Frame Dimensions - C'!O123="",0,'Frame Dimensions - C'!O123))</f>
        <v>#REF!</v>
      </c>
      <c r="P123" s="584">
        <f>IF(DRIVE_Type="Direct",IF('Frame Dimensions - D'!P123="",0,'Frame Dimensions - D'!P123),IF('Frame Dimensions - C'!P123="",0,'Frame Dimensions - C'!P123))</f>
        <v>0</v>
      </c>
      <c r="Q123" s="1450">
        <f>IF(DRIVE_Type="Direct",IF('Frame Dimensions - D'!Q123="",0,'Frame Dimensions - D'!Q123),IF('Frame Dimensions - C'!Q123="",0,'Frame Dimensions - C'!Q123))</f>
        <v>0</v>
      </c>
      <c r="R123" s="644"/>
      <c r="S123" s="603"/>
      <c r="T123" s="603"/>
      <c r="U123" s="603"/>
      <c r="V123" s="603"/>
      <c r="W123" s="603"/>
      <c r="X123" s="603"/>
      <c r="Y123" s="603"/>
      <c r="Z123" s="603"/>
      <c r="AA123" s="603"/>
      <c r="AB123" s="603"/>
      <c r="AC123" s="603"/>
      <c r="AD123" s="603"/>
      <c r="AE123" s="603"/>
      <c r="AF123" s="603"/>
      <c r="AG123" s="603"/>
      <c r="AH123" s="603"/>
      <c r="AI123" s="603"/>
      <c r="AJ123" s="464"/>
    </row>
    <row r="124" spans="1:36">
      <c r="A124" s="1925"/>
      <c r="B124" s="597" t="str">
        <f>IF(DRIVE_Type="Direct",IF('Frame Dimensions - D'!B124="",0,'Frame Dimensions - D'!B124),IF('Frame Dimensions - C'!B124="",0,'Frame Dimensions - C'!B124))</f>
        <v>SFBase_R</v>
      </c>
      <c r="C124" s="493" t="e">
        <f ca="1">IF(DRIVE_Type="Direct",IF('Frame Dimensions - D'!C124="",0,'Frame Dimensions - D'!C124),IF('Frame Dimensions - C'!C124="",0,'Frame Dimensions - C'!C124))</f>
        <v>#REF!</v>
      </c>
      <c r="D124" s="598" t="e">
        <f ca="1">IF(DRIVE_Type="Direct",IF('Frame Dimensions - D'!D124="",0,'Frame Dimensions - D'!D124),IF('Frame Dimensions - C'!D124="",0,'Frame Dimensions - C'!D124))</f>
        <v>#REF!</v>
      </c>
      <c r="E124" s="598" t="e">
        <f ca="1">IF(DRIVE_Type="Direct",IF('Frame Dimensions - D'!E124="",0,'Frame Dimensions - D'!E124),IF('Frame Dimensions - C'!E124="",0,'Frame Dimensions - C'!E124))</f>
        <v>#REF!</v>
      </c>
      <c r="F124" s="580" t="e">
        <f ca="1">IF(DRIVE_Type="Direct",IF('Frame Dimensions - D'!F124="",0,'Frame Dimensions - D'!F124),IF('Frame Dimensions - C'!F124="",0,'Frame Dimensions - C'!F124))</f>
        <v>#REF!</v>
      </c>
      <c r="G124" s="493" t="e">
        <f ca="1">IF(DRIVE_Type="Direct",IF('Frame Dimensions - D'!G124="",0,'Frame Dimensions - D'!G124),IF('Frame Dimensions - C'!G124="",0,'Frame Dimensions - C'!G124))</f>
        <v>#REF!</v>
      </c>
      <c r="H124" s="603">
        <f>IF(DRIVE_Type="Direct",IF('Frame Dimensions - D'!H124="",0,'Frame Dimensions - D'!H124),IF('Frame Dimensions - C'!H124="",0,'Frame Dimensions - C'!H124))</f>
        <v>0</v>
      </c>
      <c r="I124" s="581" t="str">
        <f>IF(DRIVE_Type="Direct",IF('Frame Dimensions - D'!I124="",0,'Frame Dimensions - D'!I124),IF('Frame Dimensions - C'!I124="",0,'Frame Dimensions - C'!I124))</f>
        <v>X+Y+Z-</v>
      </c>
      <c r="J124" s="609">
        <f>IF(DRIVE_Type="Direct",IF('Frame Dimensions - D'!J124="",0,'Frame Dimensions - D'!J124),IF('Frame Dimensions - C'!J124="",0,'Frame Dimensions - C'!J124))</f>
        <v>0</v>
      </c>
      <c r="K124" s="681">
        <f>IF(DRIVE_Type="Direct",IF('Frame Dimensions - D'!K124="",0,'Frame Dimensions - D'!K124),IF('Frame Dimensions - C'!K124="",0,'Frame Dimensions - C'!K124))</f>
        <v>0</v>
      </c>
      <c r="L124" s="600" t="e">
        <f ca="1">IF(DRIVE_Type="Direct",IF('Frame Dimensions - D'!L124="",0,'Frame Dimensions - D'!L124),IF('Frame Dimensions - C'!L124="",0,'Frame Dimensions - C'!L124))</f>
        <v>#REF!</v>
      </c>
      <c r="M124" s="609">
        <f>IF(DRIVE_Type="Direct",IF('Frame Dimensions - D'!M124="",0,'Frame Dimensions - D'!M124),IF('Frame Dimensions - C'!M124="",0,'Frame Dimensions - C'!M124))</f>
        <v>0</v>
      </c>
      <c r="N124" s="608">
        <f>IF(DRIVE_Type="Direct",IF('Frame Dimensions - D'!N124="",0,'Frame Dimensions - D'!N124),IF('Frame Dimensions - C'!N124="",0,'Frame Dimensions - C'!N124))</f>
        <v>0</v>
      </c>
      <c r="O124" s="601" t="e">
        <f ca="1">IF(DRIVE_Type="Direct",IF('Frame Dimensions - D'!O124="",0,'Frame Dimensions - D'!O124),IF('Frame Dimensions - C'!O124="",0,'Frame Dimensions - C'!O124))</f>
        <v>#REF!</v>
      </c>
      <c r="P124" s="584" t="e">
        <f ca="1">IF(DRIVE_Type="Direct",IF('Frame Dimensions - D'!P124="",0,'Frame Dimensions - D'!P124),IF('Frame Dimensions - C'!P124="",0,'Frame Dimensions - C'!P124))</f>
        <v>#REF!</v>
      </c>
      <c r="Q124" s="1450" t="e">
        <f ca="1">IF(DRIVE_Type="Direct",IF('Frame Dimensions - D'!Q124="",0,'Frame Dimensions - D'!Q124),IF('Frame Dimensions - C'!Q124="",0,'Frame Dimensions - C'!Q124))</f>
        <v>#REF!</v>
      </c>
      <c r="R124" s="644"/>
      <c r="S124" s="603"/>
      <c r="T124" s="603"/>
      <c r="U124" s="603"/>
      <c r="V124" s="603"/>
      <c r="W124" s="603"/>
      <c r="X124" s="603"/>
      <c r="Y124" s="603"/>
      <c r="Z124" s="603"/>
      <c r="AA124" s="603"/>
      <c r="AB124" s="603"/>
      <c r="AC124" s="603"/>
      <c r="AD124" s="603"/>
      <c r="AE124" s="603"/>
      <c r="AF124" s="603"/>
      <c r="AG124" s="603"/>
      <c r="AH124" s="603"/>
      <c r="AI124" s="603"/>
      <c r="AJ124" s="464"/>
    </row>
    <row r="125" spans="1:36" s="621" customFormat="1">
      <c r="A125" s="1924"/>
      <c r="B125" s="1648" t="str">
        <f>IF(DRIVE_Type="Direct",IF('Frame Dimensions - D'!B125="",0,'Frame Dimensions - D'!B125),IF('Frame Dimensions - C'!B125="",0,'Frame Dimensions - C'!B125))</f>
        <v>sfbase_R</v>
      </c>
      <c r="C125" s="580">
        <f>IF(DRIVE_Type="Direct",IF('Frame Dimensions - D'!C125="",0,'Frame Dimensions - D'!C125),IF('Frame Dimensions - C'!C125="",0,'Frame Dimensions - C'!C125))</f>
        <v>0</v>
      </c>
      <c r="D125" s="580">
        <f>IF(DRIVE_Type="Direct",IF('Frame Dimensions - D'!D125="",0,'Frame Dimensions - D'!D125),IF('Frame Dimensions - C'!D125="",0,'Frame Dimensions - C'!D125))</f>
        <v>0</v>
      </c>
      <c r="E125" s="580">
        <f>IF(DRIVE_Type="Direct",IF('Frame Dimensions - D'!E125="",0,'Frame Dimensions - D'!E125),IF('Frame Dimensions - C'!E125="",0,'Frame Dimensions - C'!E125))</f>
        <v>0</v>
      </c>
      <c r="F125" s="580">
        <f>IF(DRIVE_Type="Direct",IF('Frame Dimensions - D'!F125="",0,'Frame Dimensions - D'!F125),IF('Frame Dimensions - C'!F125="",0,'Frame Dimensions - C'!F125))</f>
        <v>0</v>
      </c>
      <c r="G125" s="580">
        <f>IF(DRIVE_Type="Direct",IF('Frame Dimensions - D'!G125="",0,'Frame Dimensions - D'!G125),IF('Frame Dimensions - C'!G125="",0,'Frame Dimensions - C'!G125))</f>
        <v>0</v>
      </c>
      <c r="H125" s="580">
        <f>IF(DRIVE_Type="Direct",IF('Frame Dimensions - D'!H125="",0,'Frame Dimensions - D'!H125),IF('Frame Dimensions - C'!H125="",0,'Frame Dimensions - C'!H125))</f>
        <v>0</v>
      </c>
      <c r="I125" s="603">
        <f>IF(DRIVE_Type="Direct",IF('Frame Dimensions - D'!I125="",0,'Frame Dimensions - D'!I125),IF('Frame Dimensions - C'!I125="",0,'Frame Dimensions - C'!I125))</f>
        <v>0</v>
      </c>
      <c r="J125" s="609">
        <f>IF(DRIVE_Type="Direct",IF('Frame Dimensions - D'!J125="",0,'Frame Dimensions - D'!J125),IF('Frame Dimensions - C'!J125="",0,'Frame Dimensions - C'!J125))</f>
        <v>0</v>
      </c>
      <c r="K125" s="1699">
        <f>IF(DRIVE_Type="Direct",IF('Frame Dimensions - D'!K125="",0,'Frame Dimensions - D'!K125),IF('Frame Dimensions - C'!K125="",0,'Frame Dimensions - C'!K125))</f>
        <v>0</v>
      </c>
      <c r="L125" s="600" t="e">
        <f ca="1">IF(DRIVE_Type="Direct",IF('Frame Dimensions - D'!L125="",0,'Frame Dimensions - D'!L125),IF('Frame Dimensions - C'!L125="",0,'Frame Dimensions - C'!L125))</f>
        <v>#REF!</v>
      </c>
      <c r="M125" s="609">
        <f>IF(DRIVE_Type="Direct",IF('Frame Dimensions - D'!M125="",0,'Frame Dimensions - D'!M125),IF('Frame Dimensions - C'!M125="",0,'Frame Dimensions - C'!M125))</f>
        <v>0</v>
      </c>
      <c r="N125" s="637" t="e">
        <f ca="1">IF(DRIVE_Type="Direct",IF('Frame Dimensions - D'!N125="",0,'Frame Dimensions - D'!N125),IF('Frame Dimensions - C'!N125="",0,'Frame Dimensions - C'!N125))</f>
        <v>#REF!</v>
      </c>
      <c r="O125" s="601" t="e">
        <f ca="1">IF(DRIVE_Type="Direct",IF('Frame Dimensions - D'!O125="",0,'Frame Dimensions - D'!O125),IF('Frame Dimensions - C'!O125="",0,'Frame Dimensions - C'!O125))</f>
        <v>#REF!</v>
      </c>
      <c r="P125" s="602">
        <f>IF(DRIVE_Type="Direct",IF('Frame Dimensions - D'!P125="",0,'Frame Dimensions - D'!P125),IF('Frame Dimensions - C'!P125="",0,'Frame Dimensions - C'!P125))</f>
        <v>0</v>
      </c>
      <c r="Q125" s="1454">
        <f>IF(DRIVE_Type="Direct",IF('Frame Dimensions - D'!Q125="",0,'Frame Dimensions - D'!Q125),IF('Frame Dimensions - C'!Q125="",0,'Frame Dimensions - C'!Q125))</f>
        <v>0</v>
      </c>
      <c r="R125" s="644"/>
      <c r="S125" s="603"/>
      <c r="T125" s="603"/>
      <c r="U125" s="603"/>
      <c r="V125" s="603"/>
      <c r="W125" s="603"/>
      <c r="X125" s="603"/>
      <c r="Y125" s="603"/>
      <c r="Z125" s="603"/>
      <c r="AA125" s="603"/>
      <c r="AB125" s="580"/>
      <c r="AC125" s="603"/>
      <c r="AD125" s="603"/>
      <c r="AE125" s="603"/>
      <c r="AF125" s="603"/>
      <c r="AG125" s="603"/>
      <c r="AH125" s="603"/>
      <c r="AI125" s="603"/>
    </row>
    <row r="126" spans="1:36">
      <c r="A126" s="1925"/>
      <c r="B126" s="604" t="str">
        <f>IF(DRIVE_Type="Direct",IF('Frame Dimensions - D'!B126="",0,'Frame Dimensions - D'!B126),IF('Frame Dimensions - C'!B126="",0,'Frame Dimensions - C'!B126))</f>
        <v>SFBase_R+</v>
      </c>
      <c r="C126" s="580">
        <f>IF(DRIVE_Type="Direct",IF('Frame Dimensions - D'!C126="",0,'Frame Dimensions - D'!C126),IF('Frame Dimensions - C'!C126="",0,'Frame Dimensions - C'!C126))</f>
        <v>0</v>
      </c>
      <c r="D126" s="580">
        <f>IF(DRIVE_Type="Direct",IF('Frame Dimensions - D'!D126="",0,'Frame Dimensions - D'!D126),IF('Frame Dimensions - C'!D126="",0,'Frame Dimensions - C'!D126))</f>
        <v>0</v>
      </c>
      <c r="E126" s="580">
        <f>IF(DRIVE_Type="Direct",IF('Frame Dimensions - D'!E126="",0,'Frame Dimensions - D'!E126),IF('Frame Dimensions - C'!E126="",0,'Frame Dimensions - C'!E126))</f>
        <v>0</v>
      </c>
      <c r="F126" s="580">
        <f>IF(DRIVE_Type="Direct",IF('Frame Dimensions - D'!F126="",0,'Frame Dimensions - D'!F126),IF('Frame Dimensions - C'!F126="",0,'Frame Dimensions - C'!F126))</f>
        <v>0</v>
      </c>
      <c r="G126" s="580">
        <f>IF(DRIVE_Type="Direct",IF('Frame Dimensions - D'!G126="",0,'Frame Dimensions - D'!G126),IF('Frame Dimensions - C'!G126="",0,'Frame Dimensions - C'!G126))</f>
        <v>0</v>
      </c>
      <c r="H126" s="580">
        <f>IF(DRIVE_Type="Direct",IF('Frame Dimensions - D'!H126="",0,'Frame Dimensions - D'!H126),IF('Frame Dimensions - C'!H126="",0,'Frame Dimensions - C'!H126))</f>
        <v>0</v>
      </c>
      <c r="I126" s="493">
        <f>IF(DRIVE_Type="Direct",IF('Frame Dimensions - D'!I126="",0,'Frame Dimensions - D'!I126),IF('Frame Dimensions - C'!I126="",0,'Frame Dimensions - C'!I126))</f>
        <v>0</v>
      </c>
      <c r="J126" s="599" t="e">
        <f ca="1">IF(DRIVE_Type="Direct",IF('Frame Dimensions - D'!J126="",0,'Frame Dimensions - D'!J126),IF('Frame Dimensions - C'!J126="",0,'Frame Dimensions - C'!J126))</f>
        <v>#REF!</v>
      </c>
      <c r="K126" s="608">
        <f>IF(DRIVE_Type="Direct",IF('Frame Dimensions - D'!K126="",0,'Frame Dimensions - D'!K126),IF('Frame Dimensions - C'!K126="",0,'Frame Dimensions - C'!K126))</f>
        <v>0</v>
      </c>
      <c r="L126" s="608" t="e">
        <f ca="1">IF(DRIVE_Type="Direct",IF('Frame Dimensions - D'!L126="",0,'Frame Dimensions - D'!L126),IF('Frame Dimensions - C'!L126="",0,'Frame Dimensions - C'!L126))</f>
        <v>#REF!</v>
      </c>
      <c r="M126" s="609" t="e">
        <f ca="1">IF(DRIVE_Type="Direct",IF('Frame Dimensions - D'!M126="",0,'Frame Dimensions - D'!M126),IF('Frame Dimensions - C'!M126="",0,'Frame Dimensions - C'!M126))</f>
        <v>#REF!</v>
      </c>
      <c r="N126" s="608">
        <f>IF(DRIVE_Type="Direct",IF('Frame Dimensions - D'!N126="",0,'Frame Dimensions - D'!N126),IF('Frame Dimensions - C'!N126="",0,'Frame Dimensions - C'!N126))</f>
        <v>0</v>
      </c>
      <c r="O126" s="611" t="e">
        <f ca="1">IF(DRIVE_Type="Direct",IF('Frame Dimensions - D'!O126="",0,'Frame Dimensions - D'!O126),IF('Frame Dimensions - C'!O126="",0,'Frame Dimensions - C'!O126))</f>
        <v>#REF!</v>
      </c>
      <c r="P126" s="584">
        <f>IF(DRIVE_Type="Direct",IF('Frame Dimensions - D'!P126="",0,'Frame Dimensions - D'!P126),IF('Frame Dimensions - C'!P126="",0,'Frame Dimensions - C'!P126))</f>
        <v>0</v>
      </c>
      <c r="Q126" s="1450">
        <f>IF(DRIVE_Type="Direct",IF('Frame Dimensions - D'!Q126="",0,'Frame Dimensions - D'!Q126),IF('Frame Dimensions - C'!Q126="",0,'Frame Dimensions - C'!Q126))</f>
        <v>0</v>
      </c>
      <c r="R126" s="644"/>
      <c r="S126" s="603"/>
      <c r="T126" s="603"/>
      <c r="U126" s="603"/>
      <c r="V126" s="603"/>
      <c r="W126" s="603"/>
      <c r="X126" s="603"/>
      <c r="Y126" s="603"/>
      <c r="Z126" s="603"/>
      <c r="AA126" s="603"/>
      <c r="AB126" s="603"/>
      <c r="AC126" s="603"/>
      <c r="AD126" s="603"/>
      <c r="AE126" s="603"/>
      <c r="AF126" s="603"/>
      <c r="AG126" s="603"/>
      <c r="AH126" s="603"/>
      <c r="AI126" s="603"/>
      <c r="AJ126" s="464"/>
    </row>
    <row r="127" spans="1:36">
      <c r="A127" s="1925"/>
      <c r="B127" s="633" t="str">
        <f>IF(DRIVE_Type="Direct",IF('Frame Dimensions - D'!B127="",0,'Frame Dimensions - D'!B127),IF('Frame Dimensions - C'!B127="",0,'Frame Dimensions - C'!B127))</f>
        <v>sfbase_R+</v>
      </c>
      <c r="C127" s="593">
        <f>IF(DRIVE_Type="Direct",IF('Frame Dimensions - D'!C127="",0,'Frame Dimensions - D'!C127),IF('Frame Dimensions - C'!C127="",0,'Frame Dimensions - C'!C127))</f>
        <v>0</v>
      </c>
      <c r="D127" s="593">
        <f>IF(DRIVE_Type="Direct",IF('Frame Dimensions - D'!D127="",0,'Frame Dimensions - D'!D127),IF('Frame Dimensions - C'!D127="",0,'Frame Dimensions - C'!D127))</f>
        <v>0</v>
      </c>
      <c r="E127" s="593">
        <f>IF(DRIVE_Type="Direct",IF('Frame Dimensions - D'!E127="",0,'Frame Dimensions - D'!E127),IF('Frame Dimensions - C'!E127="",0,'Frame Dimensions - C'!E127))</f>
        <v>0</v>
      </c>
      <c r="F127" s="593">
        <f>IF(DRIVE_Type="Direct",IF('Frame Dimensions - D'!F127="",0,'Frame Dimensions - D'!F127),IF('Frame Dimensions - C'!F127="",0,'Frame Dimensions - C'!F127))</f>
        <v>0</v>
      </c>
      <c r="G127" s="593">
        <f>IF(DRIVE_Type="Direct",IF('Frame Dimensions - D'!G127="",0,'Frame Dimensions - D'!G127),IF('Frame Dimensions - C'!G127="",0,'Frame Dimensions - C'!G127))</f>
        <v>0</v>
      </c>
      <c r="H127" s="593">
        <f>IF(DRIVE_Type="Direct",IF('Frame Dimensions - D'!H127="",0,'Frame Dimensions - D'!H127),IF('Frame Dimensions - C'!H127="",0,'Frame Dimensions - C'!H127))</f>
        <v>0</v>
      </c>
      <c r="I127" s="479">
        <f>IF(DRIVE_Type="Direct",IF('Frame Dimensions - D'!I127="",0,'Frame Dimensions - D'!I127),IF('Frame Dimensions - C'!I127="",0,'Frame Dimensions - C'!I127))</f>
        <v>0</v>
      </c>
      <c r="J127" s="618" t="e">
        <f ca="1">IF(DRIVE_Type="Direct",IF('Frame Dimensions - D'!J127="",0,'Frame Dimensions - D'!J127),IF('Frame Dimensions - C'!J127="",0,'Frame Dimensions - C'!J127))</f>
        <v>#REF!</v>
      </c>
      <c r="K127" s="616">
        <f>IF(DRIVE_Type="Direct",IF('Frame Dimensions - D'!K127="",0,'Frame Dimensions - D'!K127),IF('Frame Dimensions - C'!K127="",0,'Frame Dimensions - C'!K127))</f>
        <v>0</v>
      </c>
      <c r="L127" s="616" t="e">
        <f ca="1">IF(DRIVE_Type="Direct",IF('Frame Dimensions - D'!L127="",0,'Frame Dimensions - D'!L127),IF('Frame Dimensions - C'!L127="",0,'Frame Dimensions - C'!L127))</f>
        <v>#REF!</v>
      </c>
      <c r="M127" s="618" t="e">
        <f ca="1">IF(DRIVE_Type="Direct",IF('Frame Dimensions - D'!M127="",0,'Frame Dimensions - D'!M127),IF('Frame Dimensions - C'!M127="",0,'Frame Dimensions - C'!M127))</f>
        <v>#REF!</v>
      </c>
      <c r="N127" s="616" t="e">
        <f ca="1">IF(DRIVE_Type="Direct",IF('Frame Dimensions - D'!N127="",0,'Frame Dimensions - D'!N127),IF('Frame Dimensions - C'!N127="",0,'Frame Dimensions - C'!N127))</f>
        <v>#REF!</v>
      </c>
      <c r="O127" s="634" t="e">
        <f ca="1">IF(DRIVE_Type="Direct",IF('Frame Dimensions - D'!O127="",0,'Frame Dimensions - D'!O127),IF('Frame Dimensions - C'!O127="",0,'Frame Dimensions - C'!O127))</f>
        <v>#REF!</v>
      </c>
      <c r="P127" s="605">
        <f>IF(DRIVE_Type="Direct",IF('Frame Dimensions - D'!P127="",0,'Frame Dimensions - D'!P127),IF('Frame Dimensions - C'!P127="",0,'Frame Dimensions - C'!P127))</f>
        <v>0</v>
      </c>
      <c r="Q127" s="1455">
        <f>IF(DRIVE_Type="Direct",IF('Frame Dimensions - D'!Q127="",0,'Frame Dimensions - D'!Q127),IF('Frame Dimensions - C'!Q127="",0,'Frame Dimensions - C'!Q127))</f>
        <v>0</v>
      </c>
      <c r="R127" s="644"/>
      <c r="S127" s="603"/>
      <c r="T127" s="603"/>
      <c r="U127" s="603"/>
      <c r="V127" s="603"/>
      <c r="W127" s="603"/>
      <c r="X127" s="603"/>
      <c r="Y127" s="603"/>
      <c r="Z127" s="603"/>
      <c r="AA127" s="603"/>
      <c r="AB127" s="603"/>
      <c r="AC127" s="603"/>
      <c r="AD127" s="603"/>
      <c r="AE127" s="603"/>
      <c r="AF127" s="603"/>
      <c r="AG127" s="603"/>
      <c r="AH127" s="603"/>
      <c r="AI127" s="603"/>
      <c r="AJ127" s="464"/>
    </row>
    <row r="128" spans="1:36" ht="14.45" customHeight="1">
      <c r="A128" s="1925"/>
      <c r="B128" s="628" t="e">
        <f ca="1">IF(DRIVE_Type="Direct",IF('Frame Dimensions - D'!B128="",0,'Frame Dimensions - D'!B128),IF('Frame Dimensions - C'!B128="",0,'Frame Dimensions - C'!B128))</f>
        <v>#REF!</v>
      </c>
      <c r="C128" s="580" t="e">
        <f ca="1">IF(DRIVE_Type="Direct",IF('Frame Dimensions - D'!C128="",0,'Frame Dimensions - D'!C128),IF('Frame Dimensions - C'!C128="",0,'Frame Dimensions - C'!C128))</f>
        <v>#REF!</v>
      </c>
      <c r="D128" s="580">
        <f>IF(DRIVE_Type="Direct",IF('Frame Dimensions - D'!D128="",0,'Frame Dimensions - D'!D128),IF('Frame Dimensions - C'!D128="",0,'Frame Dimensions - C'!D128))</f>
        <v>0</v>
      </c>
      <c r="E128" s="598" t="e">
        <f ca="1">IF(DRIVE_Type="Direct",IF('Frame Dimensions - D'!E128="",0,'Frame Dimensions - D'!E128),IF('Frame Dimensions - C'!E128="",0,'Frame Dimensions - C'!E128))</f>
        <v>#REF!</v>
      </c>
      <c r="F128" s="580" t="e">
        <f ca="1">IF(DRIVE_Type="Direct",IF('Frame Dimensions - D'!F128="",0,'Frame Dimensions - D'!F128),IF('Frame Dimensions - C'!F128="",0,'Frame Dimensions - C'!F128))</f>
        <v>#REF!</v>
      </c>
      <c r="G128" s="587" t="e">
        <f ca="1">IF(DRIVE_Type="Direct",IF('Frame Dimensions - D'!G128="",0,'Frame Dimensions - D'!G128),IF('Frame Dimensions - C'!G128="",0,'Frame Dimensions - C'!G128))</f>
        <v>#REF!</v>
      </c>
      <c r="H128" s="493">
        <f>IF(DRIVE_Type="Direct",IF('Frame Dimensions - D'!H128="",0,'Frame Dimensions - D'!H128),IF('Frame Dimensions - C'!H128="",0,'Frame Dimensions - C'!H128))</f>
        <v>0</v>
      </c>
      <c r="I128" s="603" t="str">
        <f>IF(DRIVE_Type="Direct",IF('Frame Dimensions - D'!I128="",0,'Frame Dimensions - D'!I128),IF('Frame Dimensions - C'!I128="",0,'Frame Dimensions - C'!I128))</f>
        <v>X+Y+</v>
      </c>
      <c r="J128" s="609" t="e">
        <f ca="1">IF(DRIVE_Type="Direct",IF('Frame Dimensions - D'!J128="",0,'Frame Dimensions - D'!J128),IF('Frame Dimensions - C'!J128="",0,'Frame Dimensions - C'!J128))</f>
        <v>#REF!</v>
      </c>
      <c r="K128" s="580" t="e">
        <f ca="1">IF(DRIVE_Type="Direct",IF('Frame Dimensions - D'!K128="",0,'Frame Dimensions - D'!K128),IF('Frame Dimensions - C'!K128="",0,'Frame Dimensions - C'!K128))</f>
        <v>#REF!</v>
      </c>
      <c r="L128" s="580" t="e">
        <f ca="1">IF(DRIVE_Type="Direct",IF('Frame Dimensions - D'!L128="",0,'Frame Dimensions - D'!L128),IF('Frame Dimensions - C'!L128="",0,'Frame Dimensions - C'!L128))</f>
        <v>#REF!</v>
      </c>
      <c r="M128" s="609" t="e">
        <f ca="1">IF(DRIVE_Type="Direct",IF('Frame Dimensions - D'!M128="",0,'Frame Dimensions - D'!M128),IF('Frame Dimensions - C'!M128="",0,'Frame Dimensions - C'!M128))</f>
        <v>#REF!</v>
      </c>
      <c r="N128" s="608" t="e">
        <f ca="1">IF(DRIVE_Type="Direct",IF('Frame Dimensions - D'!N128="",0,'Frame Dimensions - D'!N128),IF('Frame Dimensions - C'!N128="",0,'Frame Dimensions - C'!N128))</f>
        <v>#REF!</v>
      </c>
      <c r="O128" s="611" t="e">
        <f ca="1">IF(DRIVE_Type="Direct",IF('Frame Dimensions - D'!O128="",0,'Frame Dimensions - D'!O128),IF('Frame Dimensions - C'!O128="",0,'Frame Dimensions - C'!O128))</f>
        <v>#REF!</v>
      </c>
      <c r="P128" s="632" t="e">
        <f ca="1">IF(DRIVE_Type="Direct",IF('Frame Dimensions - D'!P128="",0,'Frame Dimensions - D'!P128),IF('Frame Dimensions - C'!P128="",0,'Frame Dimensions - C'!P128))</f>
        <v>#REF!</v>
      </c>
      <c r="Q128" s="1456" t="e">
        <f ca="1">IF(DRIVE_Type="Direct",IF('Frame Dimensions - D'!Q128="",0,'Frame Dimensions - D'!Q128),IF('Frame Dimensions - C'!Q128="",0,'Frame Dimensions - C'!Q128))</f>
        <v>#REF!</v>
      </c>
      <c r="R128" s="644"/>
      <c r="S128" s="603"/>
      <c r="T128" s="603"/>
      <c r="U128" s="603"/>
      <c r="V128" s="603"/>
      <c r="W128" s="603"/>
      <c r="X128" s="603"/>
      <c r="Y128" s="603"/>
      <c r="Z128" s="603"/>
      <c r="AA128" s="603"/>
      <c r="AB128" s="603"/>
      <c r="AC128" s="603"/>
      <c r="AD128" s="603"/>
      <c r="AE128" s="603"/>
      <c r="AF128" s="603"/>
      <c r="AG128" s="603"/>
      <c r="AH128" s="603"/>
      <c r="AI128" s="603"/>
      <c r="AJ128" s="464"/>
    </row>
    <row r="129" spans="1:36">
      <c r="A129" s="1931"/>
      <c r="B129" s="633" t="e">
        <f ca="1">IF(DRIVE_Type="Direct",IF('Frame Dimensions - D'!B129="",0,'Frame Dimensions - D'!B129),IF('Frame Dimensions - C'!B129="",0,'Frame Dimensions - C'!B129))</f>
        <v>#REF!</v>
      </c>
      <c r="C129" s="594">
        <f>IF(DRIVE_Type="Direct",IF('Frame Dimensions - D'!C129="",0,'Frame Dimensions - D'!C129),IF('Frame Dimensions - C'!C129="",0,'Frame Dimensions - C'!C129))</f>
        <v>0</v>
      </c>
      <c r="D129" s="479">
        <f>IF(DRIVE_Type="Direct",IF('Frame Dimensions - D'!D129="",0,'Frame Dimensions - D'!D129),IF('Frame Dimensions - C'!D129="",0,'Frame Dimensions - C'!D129))</f>
        <v>0</v>
      </c>
      <c r="E129" s="479">
        <f>IF(DRIVE_Type="Direct",IF('Frame Dimensions - D'!E129="",0,'Frame Dimensions - D'!E129),IF('Frame Dimensions - C'!E129="",0,'Frame Dimensions - C'!E129))</f>
        <v>0</v>
      </c>
      <c r="F129" s="479">
        <f>IF(DRIVE_Type="Direct",IF('Frame Dimensions - D'!F129="",0,'Frame Dimensions - D'!F129),IF('Frame Dimensions - C'!F129="",0,'Frame Dimensions - C'!F129))</f>
        <v>0</v>
      </c>
      <c r="G129" s="479">
        <f>IF(DRIVE_Type="Direct",IF('Frame Dimensions - D'!G129="",0,'Frame Dimensions - D'!G129),IF('Frame Dimensions - C'!G129="",0,'Frame Dimensions - C'!G129))</f>
        <v>0</v>
      </c>
      <c r="H129" s="479">
        <f>IF(DRIVE_Type="Direct",IF('Frame Dimensions - D'!H129="",0,'Frame Dimensions - D'!H129),IF('Frame Dimensions - C'!H129="",0,'Frame Dimensions - C'!H129))</f>
        <v>0</v>
      </c>
      <c r="I129" s="479">
        <f>IF(DRIVE_Type="Direct",IF('Frame Dimensions - D'!I129="",0,'Frame Dimensions - D'!I129),IF('Frame Dimensions - C'!I129="",0,'Frame Dimensions - C'!I129))</f>
        <v>0</v>
      </c>
      <c r="J129" s="618" t="e">
        <f ca="1">IF(DRIVE_Type="Direct",IF('Frame Dimensions - D'!J129="",0,'Frame Dimensions - D'!J129),IF('Frame Dimensions - C'!J129="",0,'Frame Dimensions - C'!J129))</f>
        <v>#REF!</v>
      </c>
      <c r="K129" s="616" t="e">
        <f ca="1">IF(DRIVE_Type="Direct",IF('Frame Dimensions - D'!K129="",0,'Frame Dimensions - D'!K129),IF('Frame Dimensions - C'!K129="",0,'Frame Dimensions - C'!K129))</f>
        <v>#REF!</v>
      </c>
      <c r="L129" s="593" t="e">
        <f ca="1">IF(DRIVE_Type="Direct",IF('Frame Dimensions - D'!L129="",0,'Frame Dimensions - D'!L129),IF('Frame Dimensions - C'!L129="",0,'Frame Dimensions - C'!L129))</f>
        <v>#REF!</v>
      </c>
      <c r="M129" s="618" t="e">
        <f ca="1">IF(DRIVE_Type="Direct",IF('Frame Dimensions - D'!M129="",0,'Frame Dimensions - D'!M129),IF('Frame Dimensions - C'!M129="",0,'Frame Dimensions - C'!M129))</f>
        <v>#REF!</v>
      </c>
      <c r="N129" s="616" t="e">
        <f ca="1">IF(DRIVE_Type="Direct",IF('Frame Dimensions - D'!N129="",0,'Frame Dimensions - D'!N129),IF('Frame Dimensions - C'!N129="",0,'Frame Dimensions - C'!N129))</f>
        <v>#REF!</v>
      </c>
      <c r="O129" s="634" t="e">
        <f ca="1">IF(DRIVE_Type="Direct",IF('Frame Dimensions - D'!O129="",0,'Frame Dimensions - D'!O129),IF('Frame Dimensions - C'!O129="",0,'Frame Dimensions - C'!O129))</f>
        <v>#REF!</v>
      </c>
      <c r="P129" s="605">
        <f>IF(DRIVE_Type="Direct",IF('Frame Dimensions - D'!P129="",0,'Frame Dimensions - D'!P129),IF('Frame Dimensions - C'!P129="",0,'Frame Dimensions - C'!P129))</f>
        <v>0</v>
      </c>
      <c r="Q129" s="1455">
        <f>IF(DRIVE_Type="Direct",IF('Frame Dimensions - D'!Q129="",0,'Frame Dimensions - D'!Q129),IF('Frame Dimensions - C'!Q129="",0,'Frame Dimensions - C'!Q129))</f>
        <v>0</v>
      </c>
      <c r="R129" s="644"/>
      <c r="S129" s="603"/>
      <c r="T129" s="603"/>
      <c r="U129" s="603"/>
      <c r="V129" s="603"/>
      <c r="W129" s="603"/>
      <c r="X129" s="603"/>
      <c r="Y129" s="603"/>
      <c r="Z129" s="603"/>
      <c r="AA129" s="603"/>
      <c r="AB129" s="603"/>
      <c r="AC129" s="603"/>
      <c r="AD129" s="603"/>
      <c r="AE129" s="603"/>
      <c r="AF129" s="603"/>
      <c r="AG129" s="603"/>
      <c r="AH129" s="603"/>
      <c r="AI129" s="603"/>
      <c r="AJ129" s="464"/>
    </row>
    <row r="130" spans="1:36" s="621" customFormat="1">
      <c r="A130" s="1925"/>
      <c r="B130" s="629" t="e">
        <f ca="1">IF(DRIVE_Type="Direct",IF('Frame Dimensions - D'!B130="",0,'Frame Dimensions - D'!B130),IF('Frame Dimensions - C'!B130="",0,'Frame Dimensions - C'!B130))</f>
        <v>#REF!</v>
      </c>
      <c r="C130" s="580" t="e">
        <f ca="1">IF(DRIVE_Type="Direct",IF('Frame Dimensions - D'!C130="",0,'Frame Dimensions - D'!C130),IF('Frame Dimensions - C'!C130="",0,'Frame Dimensions - C'!C130))</f>
        <v>#REF!</v>
      </c>
      <c r="D130" s="580">
        <f>IF(DRIVE_Type="Direct",IF('Frame Dimensions - D'!D130="",0,'Frame Dimensions - D'!D130),IF('Frame Dimensions - C'!D130="",0,'Frame Dimensions - C'!D130))</f>
        <v>0</v>
      </c>
      <c r="E130" s="677" t="e">
        <f ca="1">IF(DRIVE_Type="Direct",IF('Frame Dimensions - D'!E130="",0,'Frame Dimensions - D'!E130),IF('Frame Dimensions - C'!E130="",0,'Frame Dimensions - C'!E130))</f>
        <v>#REF!</v>
      </c>
      <c r="F130" s="580" t="e">
        <f ca="1">IF(DRIVE_Type="Direct",IF('Frame Dimensions - D'!F130="",0,'Frame Dimensions - D'!F130),IF('Frame Dimensions - C'!F130="",0,'Frame Dimensions - C'!F130))</f>
        <v>#REF!</v>
      </c>
      <c r="G130" s="587" t="e">
        <f ca="1">IF(DRIVE_Type="Direct",IF('Frame Dimensions - D'!G130="",0,'Frame Dimensions - D'!G130),IF('Frame Dimensions - C'!G130="",0,'Frame Dimensions - C'!G130))</f>
        <v>#REF!</v>
      </c>
      <c r="H130" s="484">
        <f>IF(DRIVE_Type="Direct",IF('Frame Dimensions - D'!H130="",0,'Frame Dimensions - D'!H130),IF('Frame Dimensions - C'!H130="",0,'Frame Dimensions - C'!H130))</f>
        <v>0</v>
      </c>
      <c r="I130" s="614" t="str">
        <f>IF(DRIVE_Type="Direct",IF('Frame Dimensions - D'!I130="",0,'Frame Dimensions - D'!I130),IF('Frame Dimensions - C'!I130="",0,'Frame Dimensions - C'!I130))</f>
        <v>X+Y+</v>
      </c>
      <c r="J130" s="615" t="e">
        <f ca="1">IF(DRIVE_Type="Direct",IF('Frame Dimensions - D'!J130="",0,'Frame Dimensions - D'!J130),IF('Frame Dimensions - C'!J130="",0,'Frame Dimensions - C'!J130))</f>
        <v>#REF!</v>
      </c>
      <c r="K130" s="587" t="e">
        <f ca="1">IF(DRIVE_Type="Direct",IF('Frame Dimensions - D'!K130="",0,'Frame Dimensions - D'!K130),IF('Frame Dimensions - C'!K130="",0,'Frame Dimensions - C'!K130))</f>
        <v>#REF!</v>
      </c>
      <c r="L130" s="587" t="e">
        <f ca="1">IF(DRIVE_Type="Direct",IF('Frame Dimensions - D'!L130="",0,'Frame Dimensions - D'!L130),IF('Frame Dimensions - C'!L130="",0,'Frame Dimensions - C'!L130))</f>
        <v>#REF!</v>
      </c>
      <c r="M130" s="615" t="e">
        <f ca="1">IF(DRIVE_Type="Direct",IF('Frame Dimensions - D'!M130="",0,'Frame Dimensions - D'!M130),IF('Frame Dimensions - C'!M130="",0,'Frame Dimensions - C'!M130))</f>
        <v>#REF!</v>
      </c>
      <c r="N130" s="613" t="e">
        <f ca="1">IF(DRIVE_Type="Direct",IF('Frame Dimensions - D'!N130="",0,'Frame Dimensions - D'!N130),IF('Frame Dimensions - C'!N130="",0,'Frame Dimensions - C'!N130))</f>
        <v>#REF!</v>
      </c>
      <c r="O130" s="631" t="e">
        <f ca="1">IF(DRIVE_Type="Direct",IF('Frame Dimensions - D'!O130="",0,'Frame Dimensions - D'!O130),IF('Frame Dimensions - C'!O130="",0,'Frame Dimensions - C'!O130))</f>
        <v>#REF!</v>
      </c>
      <c r="P130" s="632" t="e">
        <f ca="1">IF(DRIVE_Type="Direct",IF('Frame Dimensions - D'!P130="",0,'Frame Dimensions - D'!P130),IF('Frame Dimensions - C'!P130="",0,'Frame Dimensions - C'!P130))</f>
        <v>#REF!</v>
      </c>
      <c r="Q130" s="1456" t="e">
        <f ca="1">IF(DRIVE_Type="Direct",IF('Frame Dimensions - D'!Q130="",0,'Frame Dimensions - D'!Q130),IF('Frame Dimensions - C'!Q130="",0,'Frame Dimensions - C'!Q130))</f>
        <v>#REF!</v>
      </c>
      <c r="R130" s="1189"/>
      <c r="S130" s="603"/>
      <c r="T130" s="603"/>
      <c r="U130" s="603"/>
      <c r="V130" s="603"/>
      <c r="W130" s="603"/>
      <c r="X130" s="603"/>
      <c r="Y130" s="603"/>
      <c r="Z130" s="603"/>
      <c r="AA130" s="603"/>
      <c r="AB130" s="603"/>
      <c r="AC130" s="603"/>
      <c r="AD130" s="603"/>
      <c r="AE130" s="603"/>
      <c r="AF130" s="603"/>
      <c r="AG130" s="603"/>
      <c r="AH130" s="603"/>
      <c r="AI130" s="603"/>
    </row>
    <row r="131" spans="1:36">
      <c r="A131" s="1925"/>
      <c r="B131" s="633" t="e">
        <f ca="1">IF(DRIVE_Type="Direct",IF('Frame Dimensions - D'!B131="",0,'Frame Dimensions - D'!B131),IF('Frame Dimensions - C'!B131="",0,'Frame Dimensions - C'!B131))</f>
        <v>#REF!</v>
      </c>
      <c r="C131" s="594">
        <f>IF(DRIVE_Type="Direct",IF('Frame Dimensions - D'!C131="",0,'Frame Dimensions - D'!C131),IF('Frame Dimensions - C'!C131="",0,'Frame Dimensions - C'!C131))</f>
        <v>0</v>
      </c>
      <c r="D131" s="479">
        <f>IF(DRIVE_Type="Direct",IF('Frame Dimensions - D'!D131="",0,'Frame Dimensions - D'!D131),IF('Frame Dimensions - C'!D131="",0,'Frame Dimensions - C'!D131))</f>
        <v>0</v>
      </c>
      <c r="E131" s="479">
        <f>IF(DRIVE_Type="Direct",IF('Frame Dimensions - D'!E131="",0,'Frame Dimensions - D'!E131),IF('Frame Dimensions - C'!E131="",0,'Frame Dimensions - C'!E131))</f>
        <v>0</v>
      </c>
      <c r="F131" s="479">
        <f>IF(DRIVE_Type="Direct",IF('Frame Dimensions - D'!F131="",0,'Frame Dimensions - D'!F131),IF('Frame Dimensions - C'!F131="",0,'Frame Dimensions - C'!F131))</f>
        <v>0</v>
      </c>
      <c r="G131" s="479">
        <f>IF(DRIVE_Type="Direct",IF('Frame Dimensions - D'!G131="",0,'Frame Dimensions - D'!G131),IF('Frame Dimensions - C'!G131="",0,'Frame Dimensions - C'!G131))</f>
        <v>0</v>
      </c>
      <c r="H131" s="479">
        <f>IF(DRIVE_Type="Direct",IF('Frame Dimensions - D'!H131="",0,'Frame Dimensions - D'!H131),IF('Frame Dimensions - C'!H131="",0,'Frame Dimensions - C'!H131))</f>
        <v>0</v>
      </c>
      <c r="I131" s="479">
        <f>IF(DRIVE_Type="Direct",IF('Frame Dimensions - D'!I131="",0,'Frame Dimensions - D'!I131),IF('Frame Dimensions - C'!I131="",0,'Frame Dimensions - C'!I131))</f>
        <v>0</v>
      </c>
      <c r="J131" s="618" t="e">
        <f ca="1">IF(DRIVE_Type="Direct",IF('Frame Dimensions - D'!J131="",0,'Frame Dimensions - D'!J131),IF('Frame Dimensions - C'!J131="",0,'Frame Dimensions - C'!J131))</f>
        <v>#REF!</v>
      </c>
      <c r="K131" s="616" t="e">
        <f ca="1">IF(DRIVE_Type="Direct",IF('Frame Dimensions - D'!K131="",0,'Frame Dimensions - D'!K131),IF('Frame Dimensions - C'!K131="",0,'Frame Dimensions - C'!K131))</f>
        <v>#REF!</v>
      </c>
      <c r="L131" s="593" t="e">
        <f ca="1">IF(DRIVE_Type="Direct",IF('Frame Dimensions - D'!L131="",0,'Frame Dimensions - D'!L131),IF('Frame Dimensions - C'!L131="",0,'Frame Dimensions - C'!L131))</f>
        <v>#REF!</v>
      </c>
      <c r="M131" s="618" t="e">
        <f ca="1">IF(DRIVE_Type="Direct",IF('Frame Dimensions - D'!M131="",0,'Frame Dimensions - D'!M131),IF('Frame Dimensions - C'!M131="",0,'Frame Dimensions - C'!M131))</f>
        <v>#REF!</v>
      </c>
      <c r="N131" s="616" t="e">
        <f ca="1">IF(DRIVE_Type="Direct",IF('Frame Dimensions - D'!N131="",0,'Frame Dimensions - D'!N131),IF('Frame Dimensions - C'!N131="",0,'Frame Dimensions - C'!N131))</f>
        <v>#REF!</v>
      </c>
      <c r="O131" s="634" t="e">
        <f ca="1">IF(DRIVE_Type="Direct",IF('Frame Dimensions - D'!O131="",0,'Frame Dimensions - D'!O131),IF('Frame Dimensions - C'!O131="",0,'Frame Dimensions - C'!O131))</f>
        <v>#REF!</v>
      </c>
      <c r="P131" s="605">
        <f>IF(DRIVE_Type="Direct",IF('Frame Dimensions - D'!P131="",0,'Frame Dimensions - D'!P131),IF('Frame Dimensions - C'!P131="",0,'Frame Dimensions - C'!P131))</f>
        <v>0</v>
      </c>
      <c r="Q131" s="1455">
        <f>IF(DRIVE_Type="Direct",IF('Frame Dimensions - D'!Q131="",0,'Frame Dimensions - D'!Q131),IF('Frame Dimensions - C'!Q131="",0,'Frame Dimensions - C'!Q131))</f>
        <v>0</v>
      </c>
      <c r="R131" s="1502"/>
      <c r="S131" s="580"/>
      <c r="T131" s="572"/>
      <c r="U131" s="572"/>
      <c r="V131" s="572"/>
      <c r="W131" s="580"/>
      <c r="X131" s="580"/>
      <c r="Y131" s="580"/>
      <c r="Z131" s="580"/>
      <c r="AA131" s="580"/>
      <c r="AB131" s="580"/>
      <c r="AC131" s="603"/>
      <c r="AD131" s="603"/>
      <c r="AE131" s="603"/>
      <c r="AF131" s="603"/>
      <c r="AG131" s="603"/>
      <c r="AH131" s="603"/>
      <c r="AI131" s="603"/>
      <c r="AJ131" s="464"/>
    </row>
    <row r="132" spans="1:36">
      <c r="A132" s="1931"/>
      <c r="B132" s="635">
        <f>IF(DRIVE_Type="Direct",IF('Frame Dimensions - D'!B132="",0,'Frame Dimensions - D'!B132),IF('Frame Dimensions - C'!B132="",0,'Frame Dimensions - C'!B132))</f>
        <v>0</v>
      </c>
      <c r="C132" s="580">
        <f>IF(DRIVE_Type="Direct",IF('Frame Dimensions - D'!C132="",0,'Frame Dimensions - D'!C132),IF('Frame Dimensions - C'!C132="",0,'Frame Dimensions - C'!C132))</f>
        <v>0</v>
      </c>
      <c r="D132" s="580">
        <f>IF(DRIVE_Type="Direct",IF('Frame Dimensions - D'!D132="",0,'Frame Dimensions - D'!D132),IF('Frame Dimensions - C'!D132="",0,'Frame Dimensions - C'!D132))</f>
        <v>0</v>
      </c>
      <c r="E132" s="598">
        <f>IF(DRIVE_Type="Direct",IF('Frame Dimensions - D'!E132="",0,'Frame Dimensions - D'!E132),IF('Frame Dimensions - C'!E132="",0,'Frame Dimensions - C'!E132))</f>
        <v>0</v>
      </c>
      <c r="F132" s="580">
        <f>IF(DRIVE_Type="Direct",IF('Frame Dimensions - D'!F132="",0,'Frame Dimensions - D'!F132),IF('Frame Dimensions - C'!F132="",0,'Frame Dimensions - C'!F132))</f>
        <v>0</v>
      </c>
      <c r="G132" s="587">
        <f>IF(DRIVE_Type="Direct",IF('Frame Dimensions - D'!G132="",0,'Frame Dimensions - D'!G132),IF('Frame Dimensions - C'!G132="",0,'Frame Dimensions - C'!G132))</f>
        <v>0</v>
      </c>
      <c r="H132" s="484">
        <f>IF(DRIVE_Type="Direct",IF('Frame Dimensions - D'!H132="",0,'Frame Dimensions - D'!H132),IF('Frame Dimensions - C'!H132="",0,'Frame Dimensions - C'!H132))</f>
        <v>0</v>
      </c>
      <c r="I132" s="614">
        <f>IF(DRIVE_Type="Direct",IF('Frame Dimensions - D'!I132="",0,'Frame Dimensions - D'!I132),IF('Frame Dimensions - C'!I132="",0,'Frame Dimensions - C'!I132))</f>
        <v>0</v>
      </c>
      <c r="J132" s="615">
        <f>IF(DRIVE_Type="Direct",IF('Frame Dimensions - D'!J132="",0,'Frame Dimensions - D'!J132),IF('Frame Dimensions - C'!J132="",0,'Frame Dimensions - C'!J132))</f>
        <v>0</v>
      </c>
      <c r="K132" s="587">
        <f>IF(DRIVE_Type="Direct",IF('Frame Dimensions - D'!K132="",0,'Frame Dimensions - D'!K132),IF('Frame Dimensions - C'!K132="",0,'Frame Dimensions - C'!K132))</f>
        <v>0</v>
      </c>
      <c r="L132" s="587">
        <f>IF(DRIVE_Type="Direct",IF('Frame Dimensions - D'!L132="",0,'Frame Dimensions - D'!L132),IF('Frame Dimensions - C'!L132="",0,'Frame Dimensions - C'!L132))</f>
        <v>0</v>
      </c>
      <c r="M132" s="615">
        <f>IF(DRIVE_Type="Direct",IF('Frame Dimensions - D'!M132="",0,'Frame Dimensions - D'!M132),IF('Frame Dimensions - C'!M132="",0,'Frame Dimensions - C'!M132))</f>
        <v>0</v>
      </c>
      <c r="N132" s="613">
        <f>IF(DRIVE_Type="Direct",IF('Frame Dimensions - D'!N132="",0,'Frame Dimensions - D'!N132),IF('Frame Dimensions - C'!N132="",0,'Frame Dimensions - C'!N132))</f>
        <v>0</v>
      </c>
      <c r="O132" s="631">
        <f>IF(DRIVE_Type="Direct",IF('Frame Dimensions - D'!O132="",0,'Frame Dimensions - D'!O132),IF('Frame Dimensions - C'!O132="",0,'Frame Dimensions - C'!O132))</f>
        <v>0</v>
      </c>
      <c r="P132" s="632">
        <f>IF(DRIVE_Type="Direct",IF('Frame Dimensions - D'!P132="",0,'Frame Dimensions - D'!P132),IF('Frame Dimensions - C'!P132="",0,'Frame Dimensions - C'!P132))</f>
        <v>0</v>
      </c>
      <c r="Q132" s="1456">
        <f>IF(DRIVE_Type="Direct",IF('Frame Dimensions - D'!Q132="",0,'Frame Dimensions - D'!Q132),IF('Frame Dimensions - C'!Q132="",0,'Frame Dimensions - C'!Q132))</f>
        <v>0</v>
      </c>
      <c r="R132" s="1503"/>
      <c r="S132" s="603"/>
      <c r="T132" s="603"/>
      <c r="U132" s="603"/>
      <c r="V132" s="603"/>
      <c r="W132" s="603"/>
      <c r="X132" s="603"/>
      <c r="Y132" s="603"/>
      <c r="Z132" s="603"/>
      <c r="AA132" s="603"/>
      <c r="AB132" s="580"/>
      <c r="AC132" s="603"/>
      <c r="AD132" s="603"/>
      <c r="AE132" s="603"/>
      <c r="AF132" s="603"/>
      <c r="AG132" s="603"/>
      <c r="AH132" s="603"/>
      <c r="AI132" s="603"/>
      <c r="AJ132" s="464"/>
    </row>
    <row r="133" spans="1:36">
      <c r="A133" s="1931"/>
      <c r="B133" s="633">
        <f>IF(DRIVE_Type="Direct",IF('Frame Dimensions - D'!B133="",0,'Frame Dimensions - D'!B133),IF('Frame Dimensions - C'!B133="",0,'Frame Dimensions - C'!B133))</f>
        <v>0</v>
      </c>
      <c r="C133" s="594">
        <f>IF(DRIVE_Type="Direct",IF('Frame Dimensions - D'!C133="",0,'Frame Dimensions - D'!C133),IF('Frame Dimensions - C'!C133="",0,'Frame Dimensions - C'!C133))</f>
        <v>0</v>
      </c>
      <c r="D133" s="479">
        <f>IF(DRIVE_Type="Direct",IF('Frame Dimensions - D'!D133="",0,'Frame Dimensions - D'!D133),IF('Frame Dimensions - C'!D133="",0,'Frame Dimensions - C'!D133))</f>
        <v>0</v>
      </c>
      <c r="E133" s="479">
        <f>IF(DRIVE_Type="Direct",IF('Frame Dimensions - D'!E133="",0,'Frame Dimensions - D'!E133),IF('Frame Dimensions - C'!E133="",0,'Frame Dimensions - C'!E133))</f>
        <v>0</v>
      </c>
      <c r="F133" s="479">
        <f>IF(DRIVE_Type="Direct",IF('Frame Dimensions - D'!F133="",0,'Frame Dimensions - D'!F133),IF('Frame Dimensions - C'!F133="",0,'Frame Dimensions - C'!F133))</f>
        <v>0</v>
      </c>
      <c r="G133" s="479">
        <f>IF(DRIVE_Type="Direct",IF('Frame Dimensions - D'!G133="",0,'Frame Dimensions - D'!G133),IF('Frame Dimensions - C'!G133="",0,'Frame Dimensions - C'!G133))</f>
        <v>0</v>
      </c>
      <c r="H133" s="479">
        <f>IF(DRIVE_Type="Direct",IF('Frame Dimensions - D'!H133="",0,'Frame Dimensions - D'!H133),IF('Frame Dimensions - C'!H133="",0,'Frame Dimensions - C'!H133))</f>
        <v>0</v>
      </c>
      <c r="I133" s="479">
        <f>IF(DRIVE_Type="Direct",IF('Frame Dimensions - D'!I133="",0,'Frame Dimensions - D'!I133),IF('Frame Dimensions - C'!I133="",0,'Frame Dimensions - C'!I133))</f>
        <v>0</v>
      </c>
      <c r="J133" s="618">
        <f>IF(DRIVE_Type="Direct",IF('Frame Dimensions - D'!J133="",0,'Frame Dimensions - D'!J133),IF('Frame Dimensions - C'!J133="",0,'Frame Dimensions - C'!J133))</f>
        <v>0</v>
      </c>
      <c r="K133" s="616">
        <f>IF(DRIVE_Type="Direct",IF('Frame Dimensions - D'!K133="",0,'Frame Dimensions - D'!K133),IF('Frame Dimensions - C'!K133="",0,'Frame Dimensions - C'!K133))</f>
        <v>0</v>
      </c>
      <c r="L133" s="593">
        <f>IF(DRIVE_Type="Direct",IF('Frame Dimensions - D'!L133="",0,'Frame Dimensions - D'!L133),IF('Frame Dimensions - C'!L133="",0,'Frame Dimensions - C'!L133))</f>
        <v>0</v>
      </c>
      <c r="M133" s="618">
        <f>IF(DRIVE_Type="Direct",IF('Frame Dimensions - D'!M133="",0,'Frame Dimensions - D'!M133),IF('Frame Dimensions - C'!M133="",0,'Frame Dimensions - C'!M133))</f>
        <v>0</v>
      </c>
      <c r="N133" s="616">
        <f>IF(DRIVE_Type="Direct",IF('Frame Dimensions - D'!N133="",0,'Frame Dimensions - D'!N133),IF('Frame Dimensions - C'!N133="",0,'Frame Dimensions - C'!N133))</f>
        <v>0</v>
      </c>
      <c r="O133" s="634">
        <f>IF(DRIVE_Type="Direct",IF('Frame Dimensions - D'!O133="",0,'Frame Dimensions - D'!O133),IF('Frame Dimensions - C'!O133="",0,'Frame Dimensions - C'!O133))</f>
        <v>0</v>
      </c>
      <c r="P133" s="605">
        <f>IF(DRIVE_Type="Direct",IF('Frame Dimensions - D'!P133="",0,'Frame Dimensions - D'!P133),IF('Frame Dimensions - C'!P133="",0,'Frame Dimensions - C'!P133))</f>
        <v>0</v>
      </c>
      <c r="Q133" s="1455">
        <f>IF(DRIVE_Type="Direct",IF('Frame Dimensions - D'!Q133="",0,'Frame Dimensions - D'!Q133),IF('Frame Dimensions - C'!Q133="",0,'Frame Dimensions - C'!Q133))</f>
        <v>0</v>
      </c>
      <c r="R133" s="644"/>
      <c r="S133" s="603"/>
      <c r="T133" s="603"/>
      <c r="U133" s="603"/>
      <c r="V133" s="603"/>
      <c r="W133" s="603"/>
      <c r="X133" s="603"/>
      <c r="Y133" s="603"/>
      <c r="Z133" s="603"/>
      <c r="AA133" s="603"/>
      <c r="AB133" s="580"/>
      <c r="AC133" s="603"/>
      <c r="AD133" s="603"/>
      <c r="AE133" s="603"/>
      <c r="AF133" s="603"/>
      <c r="AG133" s="603"/>
      <c r="AH133" s="603"/>
      <c r="AI133" s="603"/>
      <c r="AJ133" s="464"/>
    </row>
    <row r="134" spans="1:36" s="621" customFormat="1">
      <c r="A134" s="1931"/>
      <c r="B134" s="635">
        <f>IF(DRIVE_Type="Direct",IF('Frame Dimensions - D'!B134="",0,'Frame Dimensions - D'!B134),IF('Frame Dimensions - C'!B134="",0,'Frame Dimensions - C'!B134))</f>
        <v>0</v>
      </c>
      <c r="C134" s="580">
        <f>IF(DRIVE_Type="Direct",IF('Frame Dimensions - D'!C134="",0,'Frame Dimensions - D'!C134),IF('Frame Dimensions - C'!C134="",0,'Frame Dimensions - C'!C134))</f>
        <v>0</v>
      </c>
      <c r="D134" s="580">
        <f>IF(DRIVE_Type="Direct",IF('Frame Dimensions - D'!D134="",0,'Frame Dimensions - D'!D134),IF('Frame Dimensions - C'!D134="",0,'Frame Dimensions - C'!D134))</f>
        <v>0</v>
      </c>
      <c r="E134" s="677">
        <f>IF(DRIVE_Type="Direct",IF('Frame Dimensions - D'!E134="",0,'Frame Dimensions - D'!E134),IF('Frame Dimensions - C'!E134="",0,'Frame Dimensions - C'!E134))</f>
        <v>0</v>
      </c>
      <c r="F134" s="580">
        <f>IF(DRIVE_Type="Direct",IF('Frame Dimensions - D'!F134="",0,'Frame Dimensions - D'!F134),IF('Frame Dimensions - C'!F134="",0,'Frame Dimensions - C'!F134))</f>
        <v>0</v>
      </c>
      <c r="G134" s="587">
        <f>IF(DRIVE_Type="Direct",IF('Frame Dimensions - D'!G134="",0,'Frame Dimensions - D'!G134),IF('Frame Dimensions - C'!G134="",0,'Frame Dimensions - C'!G134))</f>
        <v>0</v>
      </c>
      <c r="H134" s="484">
        <f>IF(DRIVE_Type="Direct",IF('Frame Dimensions - D'!H134="",0,'Frame Dimensions - D'!H134),IF('Frame Dimensions - C'!H134="",0,'Frame Dimensions - C'!H134))</f>
        <v>0</v>
      </c>
      <c r="I134" s="614">
        <f>IF(DRIVE_Type="Direct",IF('Frame Dimensions - D'!I134="",0,'Frame Dimensions - D'!I134),IF('Frame Dimensions - C'!I134="",0,'Frame Dimensions - C'!I134))</f>
        <v>0</v>
      </c>
      <c r="J134" s="615">
        <f>IF(DRIVE_Type="Direct",IF('Frame Dimensions - D'!J134="",0,'Frame Dimensions - D'!J134),IF('Frame Dimensions - C'!J134="",0,'Frame Dimensions - C'!J134))</f>
        <v>0</v>
      </c>
      <c r="K134" s="587">
        <f>IF(DRIVE_Type="Direct",IF('Frame Dimensions - D'!K134="",0,'Frame Dimensions - D'!K134),IF('Frame Dimensions - C'!K134="",0,'Frame Dimensions - C'!K134))</f>
        <v>0</v>
      </c>
      <c r="L134" s="587">
        <f>IF(DRIVE_Type="Direct",IF('Frame Dimensions - D'!L134="",0,'Frame Dimensions - D'!L134),IF('Frame Dimensions - C'!L134="",0,'Frame Dimensions - C'!L134))</f>
        <v>0</v>
      </c>
      <c r="M134" s="615">
        <f>IF(DRIVE_Type="Direct",IF('Frame Dimensions - D'!M134="",0,'Frame Dimensions - D'!M134),IF('Frame Dimensions - C'!M134="",0,'Frame Dimensions - C'!M134))</f>
        <v>0</v>
      </c>
      <c r="N134" s="613">
        <f>IF(DRIVE_Type="Direct",IF('Frame Dimensions - D'!N134="",0,'Frame Dimensions - D'!N134),IF('Frame Dimensions - C'!N134="",0,'Frame Dimensions - C'!N134))</f>
        <v>0</v>
      </c>
      <c r="O134" s="631">
        <f>IF(DRIVE_Type="Direct",IF('Frame Dimensions - D'!O134="",0,'Frame Dimensions - D'!O134),IF('Frame Dimensions - C'!O134="",0,'Frame Dimensions - C'!O134))</f>
        <v>0</v>
      </c>
      <c r="P134" s="632">
        <f>IF(DRIVE_Type="Direct",IF('Frame Dimensions - D'!P134="",0,'Frame Dimensions - D'!P134),IF('Frame Dimensions - C'!P134="",0,'Frame Dimensions - C'!P134))</f>
        <v>0</v>
      </c>
      <c r="Q134" s="1456">
        <f>IF(DRIVE_Type="Direct",IF('Frame Dimensions - D'!Q134="",0,'Frame Dimensions - D'!Q134),IF('Frame Dimensions - C'!Q134="",0,'Frame Dimensions - C'!Q134))</f>
        <v>0</v>
      </c>
      <c r="R134" s="644"/>
      <c r="S134" s="603"/>
      <c r="T134" s="603"/>
      <c r="U134" s="603"/>
      <c r="V134" s="603"/>
      <c r="W134" s="603"/>
      <c r="X134" s="603"/>
      <c r="Y134" s="603"/>
      <c r="Z134" s="603"/>
      <c r="AA134" s="603"/>
      <c r="AB134" s="580"/>
      <c r="AC134" s="603"/>
      <c r="AD134" s="603"/>
      <c r="AE134" s="603"/>
      <c r="AF134" s="603"/>
      <c r="AG134" s="603"/>
      <c r="AH134" s="603"/>
      <c r="AI134" s="603"/>
    </row>
    <row r="135" spans="1:36">
      <c r="A135" s="1931"/>
      <c r="B135" s="633">
        <f>IF(DRIVE_Type="Direct",IF('Frame Dimensions - D'!B135="",0,'Frame Dimensions - D'!B135),IF('Frame Dimensions - C'!B135="",0,'Frame Dimensions - C'!B135))</f>
        <v>0</v>
      </c>
      <c r="C135" s="594">
        <f>IF(DRIVE_Type="Direct",IF('Frame Dimensions - D'!C135="",0,'Frame Dimensions - D'!C135),IF('Frame Dimensions - C'!C135="",0,'Frame Dimensions - C'!C135))</f>
        <v>0</v>
      </c>
      <c r="D135" s="479">
        <f>IF(DRIVE_Type="Direct",IF('Frame Dimensions - D'!D135="",0,'Frame Dimensions - D'!D135),IF('Frame Dimensions - C'!D135="",0,'Frame Dimensions - C'!D135))</f>
        <v>0</v>
      </c>
      <c r="E135" s="479">
        <f>IF(DRIVE_Type="Direct",IF('Frame Dimensions - D'!E135="",0,'Frame Dimensions - D'!E135),IF('Frame Dimensions - C'!E135="",0,'Frame Dimensions - C'!E135))</f>
        <v>0</v>
      </c>
      <c r="F135" s="479">
        <f>IF(DRIVE_Type="Direct",IF('Frame Dimensions - D'!F135="",0,'Frame Dimensions - D'!F135),IF('Frame Dimensions - C'!F135="",0,'Frame Dimensions - C'!F135))</f>
        <v>0</v>
      </c>
      <c r="G135" s="479">
        <f>IF(DRIVE_Type="Direct",IF('Frame Dimensions - D'!G135="",0,'Frame Dimensions - D'!G135),IF('Frame Dimensions - C'!G135="",0,'Frame Dimensions - C'!G135))</f>
        <v>0</v>
      </c>
      <c r="H135" s="479">
        <f>IF(DRIVE_Type="Direct",IF('Frame Dimensions - D'!H135="",0,'Frame Dimensions - D'!H135),IF('Frame Dimensions - C'!H135="",0,'Frame Dimensions - C'!H135))</f>
        <v>0</v>
      </c>
      <c r="I135" s="479">
        <f>IF(DRIVE_Type="Direct",IF('Frame Dimensions - D'!I135="",0,'Frame Dimensions - D'!I135),IF('Frame Dimensions - C'!I135="",0,'Frame Dimensions - C'!I135))</f>
        <v>0</v>
      </c>
      <c r="J135" s="618">
        <f>IF(DRIVE_Type="Direct",IF('Frame Dimensions - D'!J135="",0,'Frame Dimensions - D'!J135),IF('Frame Dimensions - C'!J135="",0,'Frame Dimensions - C'!J135))</f>
        <v>0</v>
      </c>
      <c r="K135" s="616">
        <f>IF(DRIVE_Type="Direct",IF('Frame Dimensions - D'!K135="",0,'Frame Dimensions - D'!K135),IF('Frame Dimensions - C'!K135="",0,'Frame Dimensions - C'!K135))</f>
        <v>0</v>
      </c>
      <c r="L135" s="593">
        <f>IF(DRIVE_Type="Direct",IF('Frame Dimensions - D'!L135="",0,'Frame Dimensions - D'!L135),IF('Frame Dimensions - C'!L135="",0,'Frame Dimensions - C'!L135))</f>
        <v>0</v>
      </c>
      <c r="M135" s="618">
        <f>IF(DRIVE_Type="Direct",IF('Frame Dimensions - D'!M135="",0,'Frame Dimensions - D'!M135),IF('Frame Dimensions - C'!M135="",0,'Frame Dimensions - C'!M135))</f>
        <v>0</v>
      </c>
      <c r="N135" s="616">
        <f>IF(DRIVE_Type="Direct",IF('Frame Dimensions - D'!N135="",0,'Frame Dimensions - D'!N135),IF('Frame Dimensions - C'!N135="",0,'Frame Dimensions - C'!N135))</f>
        <v>0</v>
      </c>
      <c r="O135" s="634">
        <f>IF(DRIVE_Type="Direct",IF('Frame Dimensions - D'!O135="",0,'Frame Dimensions - D'!O135),IF('Frame Dimensions - C'!O135="",0,'Frame Dimensions - C'!O135))</f>
        <v>0</v>
      </c>
      <c r="P135" s="605">
        <f>IF(DRIVE_Type="Direct",IF('Frame Dimensions - D'!P135="",0,'Frame Dimensions - D'!P135),IF('Frame Dimensions - C'!P135="",0,'Frame Dimensions - C'!P135))</f>
        <v>0</v>
      </c>
      <c r="Q135" s="1455">
        <f>IF(DRIVE_Type="Direct",IF('Frame Dimensions - D'!Q135="",0,'Frame Dimensions - D'!Q135),IF('Frame Dimensions - C'!Q135="",0,'Frame Dimensions - C'!Q135))</f>
        <v>0</v>
      </c>
      <c r="R135" s="644"/>
      <c r="S135" s="603"/>
      <c r="T135" s="603"/>
      <c r="U135" s="603"/>
      <c r="V135" s="603"/>
      <c r="W135" s="603"/>
      <c r="X135" s="603"/>
      <c r="Y135" s="603"/>
      <c r="Z135" s="603"/>
      <c r="AA135" s="603"/>
      <c r="AB135" s="580"/>
      <c r="AC135" s="603"/>
      <c r="AD135" s="603"/>
      <c r="AE135" s="603"/>
      <c r="AF135" s="603"/>
      <c r="AG135" s="603"/>
      <c r="AH135" s="603"/>
      <c r="AI135" s="603"/>
      <c r="AJ135" s="464"/>
    </row>
    <row r="136" spans="1:36" ht="15.75" thickBot="1">
      <c r="A136" s="1910"/>
      <c r="B136" s="1910">
        <f>IF(DRIVE_Type="Direct",IF('Frame Dimensions - D'!B136="",0,'Frame Dimensions - D'!B136),IF('Frame Dimensions - C'!B136="",0,'Frame Dimensions - C'!B136))</f>
        <v>0</v>
      </c>
      <c r="C136" s="1911">
        <f>IF(DRIVE_Type="Direct",IF('Frame Dimensions - D'!C136="",0,'Frame Dimensions - D'!C136),IF('Frame Dimensions - C'!C136="",0,'Frame Dimensions - C'!C136))</f>
        <v>0</v>
      </c>
      <c r="D136" s="1912">
        <f>IF(DRIVE_Type="Direct",IF('Frame Dimensions - D'!D136="",0,'Frame Dimensions - D'!D136),IF('Frame Dimensions - C'!D136="",0,'Frame Dimensions - C'!D136))</f>
        <v>0</v>
      </c>
      <c r="E136" s="1912">
        <f>IF(DRIVE_Type="Direct",IF('Frame Dimensions - D'!E136="",0,'Frame Dimensions - D'!E136),IF('Frame Dimensions - C'!E136="",0,'Frame Dimensions - C'!E136))</f>
        <v>0</v>
      </c>
      <c r="F136" s="1912">
        <f>IF(DRIVE_Type="Direct",IF('Frame Dimensions - D'!F136="",0,'Frame Dimensions - D'!F136),IF('Frame Dimensions - C'!F136="",0,'Frame Dimensions - C'!F136))</f>
        <v>0</v>
      </c>
      <c r="G136" s="1912">
        <f>IF(DRIVE_Type="Direct",IF('Frame Dimensions - D'!G136="",0,'Frame Dimensions - D'!G136),IF('Frame Dimensions - C'!G136="",0,'Frame Dimensions - C'!G136))</f>
        <v>0</v>
      </c>
      <c r="H136" s="1912">
        <f>IF(DRIVE_Type="Direct",IF('Frame Dimensions - D'!H136="",0,'Frame Dimensions - D'!H136),IF('Frame Dimensions - C'!H136="",0,'Frame Dimensions - C'!H136))</f>
        <v>0</v>
      </c>
      <c r="I136" s="1912">
        <f>IF(DRIVE_Type="Direct",IF('Frame Dimensions - D'!I136="",0,'Frame Dimensions - D'!I136),IF('Frame Dimensions - C'!I136="",0,'Frame Dimensions - C'!I136))</f>
        <v>0</v>
      </c>
      <c r="J136" s="1913">
        <f>IF(DRIVE_Type="Direct",IF('Frame Dimensions - D'!J136="",0,'Frame Dimensions - D'!J136),IF('Frame Dimensions - C'!J136="",0,'Frame Dimensions - C'!J136))</f>
        <v>0</v>
      </c>
      <c r="K136" s="1912">
        <f>IF(DRIVE_Type="Direct",IF('Frame Dimensions - D'!K136="",0,'Frame Dimensions - D'!K136),IF('Frame Dimensions - C'!K136="",0,'Frame Dimensions - C'!K136))</f>
        <v>0</v>
      </c>
      <c r="L136" s="1912">
        <f>IF(DRIVE_Type="Direct",IF('Frame Dimensions - D'!L136="",0,'Frame Dimensions - D'!L136),IF('Frame Dimensions - C'!L136="",0,'Frame Dimensions - C'!L136))</f>
        <v>0</v>
      </c>
      <c r="M136" s="1913">
        <f>IF(DRIVE_Type="Direct",IF('Frame Dimensions - D'!M136="",0,'Frame Dimensions - D'!M136),IF('Frame Dimensions - C'!M136="",0,'Frame Dimensions - C'!M136))</f>
        <v>0</v>
      </c>
      <c r="N136" s="1912">
        <f>IF(DRIVE_Type="Direct",IF('Frame Dimensions - D'!N136="",0,'Frame Dimensions - D'!N136),IF('Frame Dimensions - C'!N136="",0,'Frame Dimensions - C'!N136))</f>
        <v>0</v>
      </c>
      <c r="O136" s="1914">
        <f>IF(DRIVE_Type="Direct",IF('Frame Dimensions - D'!O136="",0,'Frame Dimensions - D'!O136),IF('Frame Dimensions - C'!O136="",0,'Frame Dimensions - C'!O136))</f>
        <v>0</v>
      </c>
      <c r="P136" s="1915"/>
      <c r="Q136" s="1916"/>
      <c r="R136" s="644"/>
      <c r="S136" s="603"/>
      <c r="T136" s="580"/>
      <c r="U136" s="580"/>
      <c r="V136" s="580"/>
      <c r="W136" s="603"/>
      <c r="X136" s="603"/>
      <c r="Y136" s="603"/>
      <c r="Z136" s="603"/>
      <c r="AA136" s="603"/>
      <c r="AB136" s="603"/>
      <c r="AC136" s="603"/>
      <c r="AD136" s="603"/>
      <c r="AE136" s="603"/>
      <c r="AF136" s="603"/>
      <c r="AG136" s="603"/>
      <c r="AH136" s="603"/>
      <c r="AI136" s="603"/>
      <c r="AJ136" s="464"/>
    </row>
    <row r="137" spans="1:36">
      <c r="A137" s="1898" t="s">
        <v>2567</v>
      </c>
      <c r="B137" s="1899">
        <f>IF(DRIVE_Type="Direct",IF('Frame Dimensions - D'!B137="",0,'Frame Dimensions - D'!B137),IF('Frame Dimensions - C'!B137="",0,'Frame Dimensions - C'!B137))</f>
        <v>0</v>
      </c>
      <c r="C137" s="1899">
        <f>IF(DRIVE_Type="Direct",IF('Frame Dimensions - D'!C137="",0,'Frame Dimensions - D'!C137),IF('Frame Dimensions - C'!C137="",0,'Frame Dimensions - C'!C137))</f>
        <v>0</v>
      </c>
      <c r="D137" s="1899">
        <f>IF(DRIVE_Type="Direct",IF('Frame Dimensions - D'!D137="",0,'Frame Dimensions - D'!D137),IF('Frame Dimensions - C'!D137="",0,'Frame Dimensions - C'!D137))</f>
        <v>0</v>
      </c>
      <c r="E137" s="1899">
        <f>IF(DRIVE_Type="Direct",IF('Frame Dimensions - D'!E137="",0,'Frame Dimensions - D'!E137),IF('Frame Dimensions - C'!E137="",0,'Frame Dimensions - C'!E137))</f>
        <v>0</v>
      </c>
      <c r="F137" s="1899">
        <f>IF(DRIVE_Type="Direct",IF('Frame Dimensions - D'!F137="",0,'Frame Dimensions - D'!F137),IF('Frame Dimensions - C'!F137="",0,'Frame Dimensions - C'!F137))</f>
        <v>0</v>
      </c>
      <c r="G137" s="1899">
        <f>IF(DRIVE_Type="Direct",IF('Frame Dimensions - D'!G137="",0,'Frame Dimensions - D'!G137),IF('Frame Dimensions - C'!G137="",0,'Frame Dimensions - C'!G137))</f>
        <v>0</v>
      </c>
      <c r="H137" s="1899">
        <f>IF(DRIVE_Type="Direct",IF('Frame Dimensions - D'!H137="",0,'Frame Dimensions - D'!H137),IF('Frame Dimensions - C'!H137="",0,'Frame Dimensions - C'!H137))</f>
        <v>0</v>
      </c>
      <c r="I137" s="1900">
        <f>IF(DRIVE_Type="Direct",IF('Frame Dimensions - D'!I137="",0,'Frame Dimensions - D'!I137),IF('Frame Dimensions - C'!I137="",0,'Frame Dimensions - C'!I137))</f>
        <v>0</v>
      </c>
      <c r="J137" s="649" t="str">
        <f>IF(DRIVE_Type="Direct",IF('Frame Dimensions - D'!J137="",0,'Frame Dimensions - D'!J137),IF('Frame Dimensions - C'!J137="",0,'Frame Dimensions - C'!J137))</f>
        <v>Start</v>
      </c>
      <c r="K137" s="650">
        <f>IF(DRIVE_Type="Direct",IF('Frame Dimensions - D'!K137="",0,'Frame Dimensions - D'!K137),IF('Frame Dimensions - C'!K137="",0,'Frame Dimensions - C'!K137))</f>
        <v>0</v>
      </c>
      <c r="L137" s="650">
        <f>IF(DRIVE_Type="Direct",IF('Frame Dimensions - D'!L137="",0,'Frame Dimensions - D'!L137),IF('Frame Dimensions - C'!L137="",0,'Frame Dimensions - C'!L137))</f>
        <v>0</v>
      </c>
      <c r="M137" s="649" t="str">
        <f>IF(DRIVE_Type="Direct",IF('Frame Dimensions - D'!M137="",0,'Frame Dimensions - D'!M137),IF('Frame Dimensions - C'!M137="",0,'Frame Dimensions - C'!M137))</f>
        <v>Stop</v>
      </c>
      <c r="N137" s="650">
        <f>IF(DRIVE_Type="Direct",IF('Frame Dimensions - D'!N137="",0,'Frame Dimensions - D'!N137),IF('Frame Dimensions - C'!N137="",0,'Frame Dimensions - C'!N137))</f>
        <v>0</v>
      </c>
      <c r="O137" s="651">
        <f>IF(DRIVE_Type="Direct",IF('Frame Dimensions - D'!O137="",0,'Frame Dimensions - D'!O137),IF('Frame Dimensions - C'!O137="",0,'Frame Dimensions - C'!O137))</f>
        <v>0</v>
      </c>
      <c r="P137" s="652"/>
      <c r="Q137" s="1457"/>
      <c r="R137" s="644"/>
      <c r="S137" s="603"/>
      <c r="T137" s="603"/>
      <c r="U137" s="603"/>
      <c r="V137" s="603"/>
      <c r="W137" s="603"/>
      <c r="X137" s="603"/>
      <c r="Y137" s="603"/>
      <c r="Z137" s="603"/>
      <c r="AA137" s="603"/>
      <c r="AB137" s="603"/>
      <c r="AC137" s="603"/>
      <c r="AD137" s="603"/>
      <c r="AE137" s="603"/>
      <c r="AF137" s="603"/>
      <c r="AG137" s="603"/>
      <c r="AH137" s="603"/>
      <c r="AI137" s="603"/>
      <c r="AJ137" s="464"/>
    </row>
    <row r="138" spans="1:36">
      <c r="A138" s="606" t="s">
        <v>1291</v>
      </c>
      <c r="B138" s="653">
        <f>IF(DRIVE_Type="Direct",IF('Frame Dimensions - D'!B138="",0,'Frame Dimensions - D'!B138),IF('Frame Dimensions - C'!B138="",0,'Frame Dimensions - C'!B138))</f>
        <v>0</v>
      </c>
      <c r="C138" s="654">
        <f>IF(DRIVE_Type="Direct",IF('Frame Dimensions - D'!C138="",0,'Frame Dimensions - D'!C138),IF('Frame Dimensions - C'!C138="",0,'Frame Dimensions - C'!C138))</f>
        <v>0</v>
      </c>
      <c r="D138" s="655">
        <f>IF(DRIVE_Type="Direct",IF('Frame Dimensions - D'!D138="",0,'Frame Dimensions - D'!D138),IF('Frame Dimensions - C'!D138="",0,'Frame Dimensions - C'!D138))</f>
        <v>0</v>
      </c>
      <c r="E138" s="655">
        <f>IF(DRIVE_Type="Direct",IF('Frame Dimensions - D'!E138="",0,'Frame Dimensions - D'!E138),IF('Frame Dimensions - C'!E138="",0,'Frame Dimensions - C'!E138))</f>
        <v>0</v>
      </c>
      <c r="F138" s="655">
        <f>IF(DRIVE_Type="Direct",IF('Frame Dimensions - D'!F138="",0,'Frame Dimensions - D'!F138),IF('Frame Dimensions - C'!F138="",0,'Frame Dimensions - C'!F138))</f>
        <v>0</v>
      </c>
      <c r="G138" s="655">
        <f>IF(DRIVE_Type="Direct",IF('Frame Dimensions - D'!G138="",0,'Frame Dimensions - D'!G138),IF('Frame Dimensions - C'!G138="",0,'Frame Dimensions - C'!G138))</f>
        <v>0</v>
      </c>
      <c r="H138" s="655">
        <f>IF(DRIVE_Type="Direct",IF('Frame Dimensions - D'!H138="",0,'Frame Dimensions - D'!H138),IF('Frame Dimensions - C'!H138="",0,'Frame Dimensions - C'!H138))</f>
        <v>0</v>
      </c>
      <c r="I138" s="656">
        <f>IF(DRIVE_Type="Direct",IF('Frame Dimensions - D'!I138="",0,'Frame Dimensions - D'!I138),IF('Frame Dimensions - C'!I138="",0,'Frame Dimensions - C'!I138))</f>
        <v>0</v>
      </c>
      <c r="J138" s="657" t="str">
        <f>IF(DRIVE_Type="Direct",IF('Frame Dimensions - D'!J138="",0,'Frame Dimensions - D'!J138),IF('Frame Dimensions - C'!J138="",0,'Frame Dimensions - C'!J138))</f>
        <v>X</v>
      </c>
      <c r="K138" s="607" t="str">
        <f>IF(DRIVE_Type="Direct",IF('Frame Dimensions - D'!K138="",0,'Frame Dimensions - D'!K138),IF('Frame Dimensions - C'!K138="",0,'Frame Dimensions - C'!K138))</f>
        <v>Y</v>
      </c>
      <c r="L138" s="607" t="str">
        <f>IF(DRIVE_Type="Direct",IF('Frame Dimensions - D'!L138="",0,'Frame Dimensions - D'!L138),IF('Frame Dimensions - C'!L138="",0,'Frame Dimensions - C'!L138))</f>
        <v>Z</v>
      </c>
      <c r="M138" s="657" t="str">
        <f>IF(DRIVE_Type="Direct",IF('Frame Dimensions - D'!M138="",0,'Frame Dimensions - D'!M138),IF('Frame Dimensions - C'!M138="",0,'Frame Dimensions - C'!M138))</f>
        <v>X</v>
      </c>
      <c r="N138" s="607" t="str">
        <f>IF(DRIVE_Type="Direct",IF('Frame Dimensions - D'!N138="",0,'Frame Dimensions - D'!N138),IF('Frame Dimensions - C'!N138="",0,'Frame Dimensions - C'!N138))</f>
        <v>Y</v>
      </c>
      <c r="O138" s="658" t="str">
        <f>IF(DRIVE_Type="Direct",IF('Frame Dimensions - D'!O138="",0,'Frame Dimensions - D'!O138),IF('Frame Dimensions - C'!O138="",0,'Frame Dimensions - C'!O138))</f>
        <v>Z</v>
      </c>
      <c r="P138" s="659"/>
      <c r="Q138" s="1458"/>
      <c r="R138" s="644"/>
      <c r="S138" s="603"/>
      <c r="T138" s="603"/>
      <c r="U138" s="603"/>
      <c r="V138" s="603"/>
      <c r="W138" s="603"/>
      <c r="X138" s="603"/>
      <c r="Y138" s="603"/>
      <c r="Z138" s="603"/>
      <c r="AA138" s="603"/>
      <c r="AB138" s="603"/>
      <c r="AC138" s="603"/>
      <c r="AD138" s="603"/>
      <c r="AE138" s="603"/>
      <c r="AF138" s="603"/>
      <c r="AG138" s="603"/>
      <c r="AH138" s="603"/>
      <c r="AI138" s="603"/>
      <c r="AJ138" s="464"/>
    </row>
    <row r="139" spans="1:36">
      <c r="A139" s="622"/>
      <c r="B139" s="604" t="str">
        <f>IF(DRIVE_Type="Direct",IF('Frame Dimensions - D'!B139="",0,'Frame Dimensions - D'!B139),IF('Frame Dimensions - C'!B139="",0,'Frame Dimensions - C'!B139))</f>
        <v>HL</v>
      </c>
      <c r="C139" s="581">
        <f>IF(DRIVE_Type="Direct",IF('Frame Dimensions - D'!C139="",0,'Frame Dimensions - D'!C139),IF('Frame Dimensions - C'!C139="",0,'Frame Dimensions - C'!C139))</f>
        <v>0</v>
      </c>
      <c r="D139" s="493">
        <f>IF(DRIVE_Type="Direct",IF('Frame Dimensions - D'!D139="",0,'Frame Dimensions - D'!D139),IF('Frame Dimensions - C'!D139="",0,'Frame Dimensions - C'!D139))</f>
        <v>0</v>
      </c>
      <c r="E139" s="493">
        <f>IF(DRIVE_Type="Direct",IF('Frame Dimensions - D'!E139="",0,'Frame Dimensions - D'!E139),IF('Frame Dimensions - C'!E139="",0,'Frame Dimensions - C'!E139))</f>
        <v>0</v>
      </c>
      <c r="F139" s="493">
        <f>IF(DRIVE_Type="Direct",IF('Frame Dimensions - D'!F139="",0,'Frame Dimensions - D'!F139),IF('Frame Dimensions - C'!F139="",0,'Frame Dimensions - C'!F139))</f>
        <v>0</v>
      </c>
      <c r="G139" s="493">
        <f>IF(DRIVE_Type="Direct",IF('Frame Dimensions - D'!G139="",0,'Frame Dimensions - D'!G139),IF('Frame Dimensions - C'!G139="",0,'Frame Dimensions - C'!G139))</f>
        <v>0</v>
      </c>
      <c r="H139" s="493">
        <f>IF(DRIVE_Type="Direct",IF('Frame Dimensions - D'!H139="",0,'Frame Dimensions - D'!H139),IF('Frame Dimensions - C'!H139="",0,'Frame Dimensions - C'!H139))</f>
        <v>0</v>
      </c>
      <c r="I139" s="581">
        <f>IF(DRIVE_Type="Direct",IF('Frame Dimensions - D'!I139="",0,'Frame Dimensions - D'!I139),IF('Frame Dimensions - C'!I139="",0,'Frame Dimensions - C'!I139))</f>
        <v>0</v>
      </c>
      <c r="J139" s="609" t="e">
        <f ca="1">IF(DRIVE_Type="Direct",IF('Frame Dimensions - D'!J139="",0,'Frame Dimensions - D'!J139),IF('Frame Dimensions - C'!J139="",0,'Frame Dimensions - C'!J139))</f>
        <v>#REF!</v>
      </c>
      <c r="K139" s="1935">
        <f>IF(DRIVE_Type="Direct",IF('Frame Dimensions - D'!K139="",0,'Frame Dimensions - D'!K139),IF('Frame Dimensions - C'!K139="",0,'Frame Dimensions - C'!K139))</f>
        <v>114.70000000000005</v>
      </c>
      <c r="L139" s="493">
        <f>IF(DRIVE_Type="Direct",IF('Frame Dimensions - D'!L139="",0,'Frame Dimensions - D'!L139),IF('Frame Dimensions - C'!L139="",0,'Frame Dimensions - C'!L139))</f>
        <v>0</v>
      </c>
      <c r="M139" s="609" t="e">
        <f ca="1">IF(DRIVE_Type="Direct",IF('Frame Dimensions - D'!M139="",0,'Frame Dimensions - D'!M139),IF('Frame Dimensions - C'!M139="",0,'Frame Dimensions - C'!M139))</f>
        <v>#REF!</v>
      </c>
      <c r="N139" s="1935">
        <f>IF(DRIVE_Type="Direct",IF('Frame Dimensions - D'!N139="",0,'Frame Dimensions - D'!N139),IF('Frame Dimensions - C'!N139="",0,'Frame Dimensions - C'!N139))</f>
        <v>2745.4</v>
      </c>
      <c r="O139" s="583">
        <f>IF(DRIVE_Type="Direct",IF('Frame Dimensions - D'!O139="",0,'Frame Dimensions - D'!O139),IF('Frame Dimensions - C'!O139="",0,'Frame Dimensions - C'!O139))</f>
        <v>0</v>
      </c>
      <c r="P139" s="660"/>
      <c r="Q139" s="1459"/>
      <c r="R139" s="644"/>
      <c r="S139" s="603"/>
      <c r="T139" s="603"/>
      <c r="U139" s="603"/>
      <c r="V139" s="603"/>
      <c r="W139" s="603"/>
      <c r="X139" s="603"/>
      <c r="Y139" s="603"/>
      <c r="Z139" s="603"/>
      <c r="AA139" s="603"/>
      <c r="AB139" s="603"/>
      <c r="AC139" s="603"/>
      <c r="AD139" s="603"/>
      <c r="AE139" s="603"/>
      <c r="AF139" s="603"/>
      <c r="AG139" s="603"/>
      <c r="AH139" s="603"/>
      <c r="AI139" s="603"/>
      <c r="AJ139" s="464"/>
    </row>
    <row r="140" spans="1:36">
      <c r="A140" s="604"/>
      <c r="B140" s="604" t="str">
        <f>IF(DRIVE_Type="Direct",IF('Frame Dimensions - D'!B140="",0,'Frame Dimensions - D'!B140),IF('Frame Dimensions - C'!B140="",0,'Frame Dimensions - C'!B140))</f>
        <v>HR</v>
      </c>
      <c r="C140" s="646">
        <f>IF(DRIVE_Type="Direct",IF('Frame Dimensions - D'!C140="",0,'Frame Dimensions - D'!C140),IF('Frame Dimensions - C'!C140="",0,'Frame Dimensions - C'!C140))</f>
        <v>0</v>
      </c>
      <c r="D140" s="493">
        <f>IF(DRIVE_Type="Direct",IF('Frame Dimensions - D'!D140="",0,'Frame Dimensions - D'!D140),IF('Frame Dimensions - C'!D140="",0,'Frame Dimensions - C'!D140))</f>
        <v>0</v>
      </c>
      <c r="E140" s="493">
        <f>IF(DRIVE_Type="Direct",IF('Frame Dimensions - D'!E140="",0,'Frame Dimensions - D'!E140),IF('Frame Dimensions - C'!E140="",0,'Frame Dimensions - C'!E140))</f>
        <v>0</v>
      </c>
      <c r="F140" s="493">
        <f>IF(DRIVE_Type="Direct",IF('Frame Dimensions - D'!F140="",0,'Frame Dimensions - D'!F140),IF('Frame Dimensions - C'!F140="",0,'Frame Dimensions - C'!F140))</f>
        <v>0</v>
      </c>
      <c r="G140" s="493">
        <f>IF(DRIVE_Type="Direct",IF('Frame Dimensions - D'!G140="",0,'Frame Dimensions - D'!G140),IF('Frame Dimensions - C'!G140="",0,'Frame Dimensions - C'!G140))</f>
        <v>0</v>
      </c>
      <c r="H140" s="493">
        <f>IF(DRIVE_Type="Direct",IF('Frame Dimensions - D'!H140="",0,'Frame Dimensions - D'!H140),IF('Frame Dimensions - C'!H140="",0,'Frame Dimensions - C'!H140))</f>
        <v>0</v>
      </c>
      <c r="I140" s="493">
        <f>IF(DRIVE_Type="Direct",IF('Frame Dimensions - D'!I140="",0,'Frame Dimensions - D'!I140),IF('Frame Dimensions - C'!I140="",0,'Frame Dimensions - C'!I140))</f>
        <v>0</v>
      </c>
      <c r="J140" s="492" t="e">
        <f ca="1">IF(DRIVE_Type="Direct",IF('Frame Dimensions - D'!J140="",0,'Frame Dimensions - D'!J140),IF('Frame Dimensions - C'!J140="",0,'Frame Dimensions - C'!J140))</f>
        <v>#REF!</v>
      </c>
      <c r="K140" s="1935">
        <f>IF(DRIVE_Type="Direct",IF('Frame Dimensions - D'!K140="",0,'Frame Dimensions - D'!K140),IF('Frame Dimensions - C'!K140="",0,'Frame Dimensions - C'!K140))</f>
        <v>114.70000000000005</v>
      </c>
      <c r="L140" s="493">
        <f>IF(DRIVE_Type="Direct",IF('Frame Dimensions - D'!L140="",0,'Frame Dimensions - D'!L140),IF('Frame Dimensions - C'!L140="",0,'Frame Dimensions - C'!L140))</f>
        <v>0</v>
      </c>
      <c r="M140" s="609" t="e">
        <f ca="1">IF(DRIVE_Type="Direct",IF('Frame Dimensions - D'!M140="",0,'Frame Dimensions - D'!M140),IF('Frame Dimensions - C'!M140="",0,'Frame Dimensions - C'!M140))</f>
        <v>#REF!</v>
      </c>
      <c r="N140" s="1935">
        <f>IF(DRIVE_Type="Direct",IF('Frame Dimensions - D'!N140="",0,'Frame Dimensions - D'!N140),IF('Frame Dimensions - C'!N140="",0,'Frame Dimensions - C'!N140))</f>
        <v>2745.4</v>
      </c>
      <c r="O140" s="583">
        <f>IF(DRIVE_Type="Direct",IF('Frame Dimensions - D'!O140="",0,'Frame Dimensions - D'!O140),IF('Frame Dimensions - C'!O140="",0,'Frame Dimensions - C'!O140))</f>
        <v>0</v>
      </c>
      <c r="P140" s="660"/>
      <c r="Q140" s="1459"/>
      <c r="R140" s="644"/>
      <c r="S140" s="603"/>
      <c r="T140" s="603"/>
      <c r="U140" s="603"/>
      <c r="V140" s="603"/>
      <c r="W140" s="603"/>
      <c r="X140" s="603"/>
      <c r="Y140" s="603"/>
      <c r="Z140" s="603"/>
      <c r="AA140" s="603"/>
      <c r="AB140" s="603"/>
      <c r="AC140" s="603"/>
      <c r="AD140" s="603"/>
      <c r="AE140" s="603"/>
      <c r="AF140" s="603"/>
      <c r="AG140" s="603"/>
      <c r="AH140" s="603"/>
      <c r="AI140" s="603"/>
      <c r="AJ140" s="464"/>
    </row>
    <row r="141" spans="1:36">
      <c r="A141" s="604"/>
      <c r="B141" s="604" t="str">
        <f>IF(DRIVE_Type="Direct",IF('Frame Dimensions - D'!B141="",0,'Frame Dimensions - D'!B141),IF('Frame Dimensions - C'!B141="",0,'Frame Dimensions - C'!B141))</f>
        <v>HskirtR</v>
      </c>
      <c r="C141" s="646">
        <f>IF(DRIVE_Type="Direct",IF('Frame Dimensions - D'!C141="",0,'Frame Dimensions - D'!C141),IF('Frame Dimensions - C'!C141="",0,'Frame Dimensions - C'!C141))</f>
        <v>0</v>
      </c>
      <c r="D141" s="493">
        <f>IF(DRIVE_Type="Direct",IF('Frame Dimensions - D'!D141="",0,'Frame Dimensions - D'!D141),IF('Frame Dimensions - C'!D141="",0,'Frame Dimensions - C'!D141))</f>
        <v>0</v>
      </c>
      <c r="E141" s="493">
        <f>IF(DRIVE_Type="Direct",IF('Frame Dimensions - D'!E141="",0,'Frame Dimensions - D'!E141),IF('Frame Dimensions - C'!E141="",0,'Frame Dimensions - C'!E141))</f>
        <v>0</v>
      </c>
      <c r="F141" s="493">
        <f>IF(DRIVE_Type="Direct",IF('Frame Dimensions - D'!F141="",0,'Frame Dimensions - D'!F141),IF('Frame Dimensions - C'!F141="",0,'Frame Dimensions - C'!F141))</f>
        <v>0</v>
      </c>
      <c r="G141" s="493">
        <f>IF(DRIVE_Type="Direct",IF('Frame Dimensions - D'!G141="",0,'Frame Dimensions - D'!G141),IF('Frame Dimensions - C'!G141="",0,'Frame Dimensions - C'!G141))</f>
        <v>0</v>
      </c>
      <c r="H141" s="493">
        <f>IF(DRIVE_Type="Direct",IF('Frame Dimensions - D'!H141="",0,'Frame Dimensions - D'!H141),IF('Frame Dimensions - C'!H141="",0,'Frame Dimensions - C'!H141))</f>
        <v>0</v>
      </c>
      <c r="I141" s="493">
        <f>IF(DRIVE_Type="Direct",IF('Frame Dimensions - D'!I141="",0,'Frame Dimensions - D'!I141),IF('Frame Dimensions - C'!I141="",0,'Frame Dimensions - C'!I141))</f>
        <v>0</v>
      </c>
      <c r="J141" s="609" t="e">
        <f ca="1">IF(DRIVE_Type="Direct",IF('Frame Dimensions - D'!J141="",0,'Frame Dimensions - D'!J141),IF('Frame Dimensions - C'!J141="",0,'Frame Dimensions - C'!J141))</f>
        <v>#REF!</v>
      </c>
      <c r="K141" s="608">
        <f>IF(DRIVE_Type="Direct",IF('Frame Dimensions - D'!K141="",0,'Frame Dimensions - D'!K141),IF('Frame Dimensions - C'!K141="",0,'Frame Dimensions - C'!K141))</f>
        <v>0</v>
      </c>
      <c r="L141" s="493">
        <f>IF(DRIVE_Type="Direct",IF('Frame Dimensions - D'!L141="",0,'Frame Dimensions - D'!L141),IF('Frame Dimensions - C'!L141="",0,'Frame Dimensions - C'!L141))</f>
        <v>0</v>
      </c>
      <c r="M141" s="609" t="e">
        <f ca="1">IF(DRIVE_Type="Direct",IF('Frame Dimensions - D'!M141="",0,'Frame Dimensions - D'!M141),IF('Frame Dimensions - C'!M141="",0,'Frame Dimensions - C'!M141))</f>
        <v>#REF!</v>
      </c>
      <c r="N141" s="608">
        <f>IF(DRIVE_Type="Direct",IF('Frame Dimensions - D'!N141="",0,'Frame Dimensions - D'!N141),IF('Frame Dimensions - C'!N141="",0,'Frame Dimensions - C'!N141))</f>
        <v>0</v>
      </c>
      <c r="O141" s="583">
        <f>IF(DRIVE_Type="Direct",IF('Frame Dimensions - D'!O141="",0,'Frame Dimensions - D'!O141),IF('Frame Dimensions - C'!O141="",0,'Frame Dimensions - C'!O141))</f>
        <v>0</v>
      </c>
      <c r="P141" s="660"/>
      <c r="Q141" s="1459"/>
      <c r="R141" s="644"/>
      <c r="S141" s="603"/>
      <c r="T141" s="603"/>
      <c r="U141" s="603"/>
      <c r="V141" s="603"/>
      <c r="W141" s="603"/>
      <c r="X141" s="603"/>
      <c r="Y141" s="603"/>
      <c r="Z141" s="603"/>
      <c r="AA141" s="603"/>
      <c r="AB141" s="603"/>
      <c r="AC141" s="603"/>
      <c r="AD141" s="603"/>
      <c r="AE141" s="603"/>
      <c r="AF141" s="603"/>
      <c r="AG141" s="603"/>
      <c r="AH141" s="603"/>
      <c r="AI141" s="603"/>
      <c r="AJ141" s="464"/>
    </row>
    <row r="142" spans="1:36">
      <c r="A142" s="622"/>
      <c r="B142" s="604" t="str">
        <f>IF(DRIVE_Type="Direct",IF('Frame Dimensions - D'!B142="",0,'Frame Dimensions - D'!B142),IF('Frame Dimensions - C'!B142="",0,'Frame Dimensions - C'!B142))</f>
        <v>HLup</v>
      </c>
      <c r="C142" s="581">
        <f>IF(DRIVE_Type="Direct",IF('Frame Dimensions - D'!C142="",0,'Frame Dimensions - D'!C142),IF('Frame Dimensions - C'!C142="",0,'Frame Dimensions - C'!C142))</f>
        <v>0</v>
      </c>
      <c r="D142" s="493">
        <f>IF(DRIVE_Type="Direct",IF('Frame Dimensions - D'!D142="",0,'Frame Dimensions - D'!D142),IF('Frame Dimensions - C'!D142="",0,'Frame Dimensions - C'!D142))</f>
        <v>0</v>
      </c>
      <c r="E142" s="493">
        <f>IF(DRIVE_Type="Direct",IF('Frame Dimensions - D'!E142="",0,'Frame Dimensions - D'!E142),IF('Frame Dimensions - C'!E142="",0,'Frame Dimensions - C'!E142))</f>
        <v>0</v>
      </c>
      <c r="F142" s="493">
        <f>IF(DRIVE_Type="Direct",IF('Frame Dimensions - D'!F142="",0,'Frame Dimensions - D'!F142),IF('Frame Dimensions - C'!F142="",0,'Frame Dimensions - C'!F142))</f>
        <v>0</v>
      </c>
      <c r="G142" s="493">
        <f>IF(DRIVE_Type="Direct",IF('Frame Dimensions - D'!G142="",0,'Frame Dimensions - D'!G142),IF('Frame Dimensions - C'!G142="",0,'Frame Dimensions - C'!G142))</f>
        <v>0</v>
      </c>
      <c r="H142" s="493">
        <f>IF(DRIVE_Type="Direct",IF('Frame Dimensions - D'!H142="",0,'Frame Dimensions - D'!H142),IF('Frame Dimensions - C'!H142="",0,'Frame Dimensions - C'!H142))</f>
        <v>0</v>
      </c>
      <c r="I142" s="493">
        <f>IF(DRIVE_Type="Direct",IF('Frame Dimensions - D'!I142="",0,'Frame Dimensions - D'!I142),IF('Frame Dimensions - C'!I142="",0,'Frame Dimensions - C'!I142))</f>
        <v>0</v>
      </c>
      <c r="J142" s="609" t="e">
        <f ca="1">IF(DRIVE_Type="Direct",IF('Frame Dimensions - D'!J142="",0,'Frame Dimensions - D'!J142),IF('Frame Dimensions - C'!J142="",0,'Frame Dimensions - C'!J142))</f>
        <v>#REF!</v>
      </c>
      <c r="K142" s="608">
        <f>IF(DRIVE_Type="Direct",IF('Frame Dimensions - D'!K142="",0,'Frame Dimensions - D'!K142),IF('Frame Dimensions - C'!K142="",0,'Frame Dimensions - C'!K142))</f>
        <v>2745.4</v>
      </c>
      <c r="L142" s="493">
        <f>IF(DRIVE_Type="Direct",IF('Frame Dimensions - D'!L142="",0,'Frame Dimensions - D'!L142),IF('Frame Dimensions - C'!L142="",0,'Frame Dimensions - C'!L142))</f>
        <v>0</v>
      </c>
      <c r="M142" s="609" t="e">
        <f ca="1">IF(DRIVE_Type="Direct",IF('Frame Dimensions - D'!M142="",0,'Frame Dimensions - D'!M142),IF('Frame Dimensions - C'!M142="",0,'Frame Dimensions - C'!M142))</f>
        <v>#REF!</v>
      </c>
      <c r="N142" s="608">
        <f>IF(DRIVE_Type="Direct",IF('Frame Dimensions - D'!N142="",0,'Frame Dimensions - D'!N142),IF('Frame Dimensions - C'!N142="",0,'Frame Dimensions - C'!N142))</f>
        <v>2745.4</v>
      </c>
      <c r="O142" s="583">
        <f>IF(DRIVE_Type="Direct",IF('Frame Dimensions - D'!O142="",0,'Frame Dimensions - D'!O142),IF('Frame Dimensions - C'!O142="",0,'Frame Dimensions - C'!O142))</f>
        <v>0</v>
      </c>
      <c r="P142" s="660"/>
      <c r="Q142" s="1459"/>
      <c r="R142" s="644"/>
      <c r="S142" s="603"/>
      <c r="T142" s="603"/>
      <c r="U142" s="603"/>
      <c r="V142" s="603"/>
      <c r="W142" s="603"/>
      <c r="X142" s="603"/>
      <c r="Y142" s="603"/>
      <c r="Z142" s="603"/>
      <c r="AA142" s="603"/>
      <c r="AB142" s="603"/>
      <c r="AC142" s="603"/>
      <c r="AD142" s="603"/>
      <c r="AE142" s="603"/>
      <c r="AF142" s="603"/>
      <c r="AG142" s="603"/>
      <c r="AH142" s="603"/>
      <c r="AI142" s="603"/>
      <c r="AJ142" s="464"/>
    </row>
    <row r="143" spans="1:36">
      <c r="A143" s="622"/>
      <c r="B143" s="604" t="str">
        <f>IF(DRIVE_Type="Direct",IF('Frame Dimensions - D'!B143="",0,'Frame Dimensions - D'!B143),IF('Frame Dimensions - C'!B143="",0,'Frame Dimensions - C'!B143))</f>
        <v>HLlo</v>
      </c>
      <c r="C143" s="581">
        <f>IF(DRIVE_Type="Direct",IF('Frame Dimensions - D'!C143="",0,'Frame Dimensions - D'!C143),IF('Frame Dimensions - C'!C143="",0,'Frame Dimensions - C'!C143))</f>
        <v>0</v>
      </c>
      <c r="D143" s="493">
        <f>IF(DRIVE_Type="Direct",IF('Frame Dimensions - D'!D143="",0,'Frame Dimensions - D'!D143),IF('Frame Dimensions - C'!D143="",0,'Frame Dimensions - C'!D143))</f>
        <v>0</v>
      </c>
      <c r="E143" s="493">
        <f>IF(DRIVE_Type="Direct",IF('Frame Dimensions - D'!E143="",0,'Frame Dimensions - D'!E143),IF('Frame Dimensions - C'!E143="",0,'Frame Dimensions - C'!E143))</f>
        <v>0</v>
      </c>
      <c r="F143" s="493">
        <f>IF(DRIVE_Type="Direct",IF('Frame Dimensions - D'!F143="",0,'Frame Dimensions - D'!F143),IF('Frame Dimensions - C'!F143="",0,'Frame Dimensions - C'!F143))</f>
        <v>0</v>
      </c>
      <c r="G143" s="493">
        <f>IF(DRIVE_Type="Direct",IF('Frame Dimensions - D'!G143="",0,'Frame Dimensions - D'!G143),IF('Frame Dimensions - C'!G143="",0,'Frame Dimensions - C'!G143))</f>
        <v>0</v>
      </c>
      <c r="H143" s="493">
        <f>IF(DRIVE_Type="Direct",IF('Frame Dimensions - D'!H143="",0,'Frame Dimensions - D'!H143),IF('Frame Dimensions - C'!H143="",0,'Frame Dimensions - C'!H143))</f>
        <v>0</v>
      </c>
      <c r="I143" s="493">
        <f>IF(DRIVE_Type="Direct",IF('Frame Dimensions - D'!I143="",0,'Frame Dimensions - D'!I143),IF('Frame Dimensions - C'!I143="",0,'Frame Dimensions - C'!I143))</f>
        <v>0</v>
      </c>
      <c r="J143" s="609" t="e">
        <f ca="1">IF(DRIVE_Type="Direct",IF('Frame Dimensions - D'!J143="",0,'Frame Dimensions - D'!J143),IF('Frame Dimensions - C'!J143="",0,'Frame Dimensions - C'!J143))</f>
        <v>#REF!</v>
      </c>
      <c r="K143" s="608">
        <f>IF(DRIVE_Type="Direct",IF('Frame Dimensions - D'!K143="",0,'Frame Dimensions - D'!K143),IF('Frame Dimensions - C'!K143="",0,'Frame Dimensions - C'!K143))</f>
        <v>114.70000000000005</v>
      </c>
      <c r="L143" s="493">
        <f>IF(DRIVE_Type="Direct",IF('Frame Dimensions - D'!L143="",0,'Frame Dimensions - D'!L143),IF('Frame Dimensions - C'!L143="",0,'Frame Dimensions - C'!L143))</f>
        <v>0</v>
      </c>
      <c r="M143" s="609" t="e">
        <f ca="1">IF(DRIVE_Type="Direct",IF('Frame Dimensions - D'!M143="",0,'Frame Dimensions - D'!M143),IF('Frame Dimensions - C'!M143="",0,'Frame Dimensions - C'!M143))</f>
        <v>#REF!</v>
      </c>
      <c r="N143" s="608">
        <f>IF(DRIVE_Type="Direct",IF('Frame Dimensions - D'!N143="",0,'Frame Dimensions - D'!N143),IF('Frame Dimensions - C'!N143="",0,'Frame Dimensions - C'!N143))</f>
        <v>114.70000000000005</v>
      </c>
      <c r="O143" s="583">
        <f>IF(DRIVE_Type="Direct",IF('Frame Dimensions - D'!O143="",0,'Frame Dimensions - D'!O143),IF('Frame Dimensions - C'!O143="",0,'Frame Dimensions - C'!O143))</f>
        <v>0</v>
      </c>
      <c r="P143" s="660"/>
      <c r="Q143" s="1459"/>
      <c r="R143" s="644"/>
      <c r="S143" s="603"/>
      <c r="T143" s="603"/>
      <c r="U143" s="603"/>
      <c r="V143" s="603"/>
      <c r="W143" s="603"/>
      <c r="X143" s="603"/>
      <c r="Y143" s="603"/>
      <c r="Z143" s="603"/>
      <c r="AA143" s="603"/>
      <c r="AB143" s="603"/>
      <c r="AC143" s="603"/>
      <c r="AD143" s="603"/>
      <c r="AE143" s="603"/>
      <c r="AF143" s="603"/>
      <c r="AG143" s="603"/>
      <c r="AH143" s="603"/>
      <c r="AI143" s="603"/>
      <c r="AJ143" s="464"/>
    </row>
    <row r="144" spans="1:36">
      <c r="A144" s="622"/>
      <c r="B144" s="604" t="str">
        <f>IF(DRIVE_Type="Direct",IF('Frame Dimensions - D'!B144="",0,'Frame Dimensions - D'!B144),IF('Frame Dimensions - C'!B144="",0,'Frame Dimensions - C'!B144))</f>
        <v>Tongue</v>
      </c>
      <c r="C144" s="581">
        <f>IF(DRIVE_Type="Direct",IF('Frame Dimensions - D'!C144="",0,'Frame Dimensions - D'!C144),IF('Frame Dimensions - C'!C144="",0,'Frame Dimensions - C'!C144))</f>
        <v>0</v>
      </c>
      <c r="D144" s="493">
        <f>IF(DRIVE_Type="Direct",IF('Frame Dimensions - D'!D144="",0,'Frame Dimensions - D'!D144),IF('Frame Dimensions - C'!D144="",0,'Frame Dimensions - C'!D144))</f>
        <v>0</v>
      </c>
      <c r="E144" s="493">
        <f>IF(DRIVE_Type="Direct",IF('Frame Dimensions - D'!E144="",0,'Frame Dimensions - D'!E144),IF('Frame Dimensions - C'!E144="",0,'Frame Dimensions - C'!E144))</f>
        <v>0</v>
      </c>
      <c r="F144" s="493">
        <f>IF(DRIVE_Type="Direct",IF('Frame Dimensions - D'!F144="",0,'Frame Dimensions - D'!F144),IF('Frame Dimensions - C'!F144="",0,'Frame Dimensions - C'!F144))</f>
        <v>0</v>
      </c>
      <c r="G144" s="493">
        <f>IF(DRIVE_Type="Direct",IF('Frame Dimensions - D'!G144="",0,'Frame Dimensions - D'!G144),IF('Frame Dimensions - C'!G144="",0,'Frame Dimensions - C'!G144))</f>
        <v>0</v>
      </c>
      <c r="H144" s="493">
        <f>IF(DRIVE_Type="Direct",IF('Frame Dimensions - D'!H144="",0,'Frame Dimensions - D'!H144),IF('Frame Dimensions - C'!H144="",0,'Frame Dimensions - C'!H144))</f>
        <v>0</v>
      </c>
      <c r="I144" s="493">
        <f>IF(DRIVE_Type="Direct",IF('Frame Dimensions - D'!I144="",0,'Frame Dimensions - D'!I144),IF('Frame Dimensions - C'!I144="",0,'Frame Dimensions - C'!I144))</f>
        <v>0</v>
      </c>
      <c r="J144" s="609" t="e">
        <f ca="1">IF(DRIVE_Type="Direct",IF('Frame Dimensions - D'!J144="",0,'Frame Dimensions - D'!J144),IF('Frame Dimensions - C'!J144="",0,'Frame Dimensions - C'!J144))</f>
        <v>#REF!</v>
      </c>
      <c r="K144" s="1935">
        <f>IF(DRIVE_Type="Direct",IF('Frame Dimensions - D'!K144="",0,'Frame Dimensions - D'!K144),IF('Frame Dimensions - C'!K144="",0,'Frame Dimensions - C'!K144))</f>
        <v>911.6</v>
      </c>
      <c r="L144" s="493">
        <f>IF(DRIVE_Type="Direct",IF('Frame Dimensions - D'!L144="",0,'Frame Dimensions - D'!L144),IF('Frame Dimensions - C'!L144="",0,'Frame Dimensions - C'!L144))</f>
        <v>0</v>
      </c>
      <c r="M144" s="609" t="e">
        <f ca="1">IF(DRIVE_Type="Direct",IF('Frame Dimensions - D'!M144="",0,'Frame Dimensions - D'!M144),IF('Frame Dimensions - C'!M144="",0,'Frame Dimensions - C'!M144))</f>
        <v>#REF!</v>
      </c>
      <c r="N144" s="608">
        <f>IF(DRIVE_Type="Direct",IF('Frame Dimensions - D'!N144="",0,'Frame Dimensions - D'!N144),IF('Frame Dimensions - C'!N144="",0,'Frame Dimensions - C'!N144))</f>
        <v>911.6</v>
      </c>
      <c r="O144" s="583">
        <f>IF(DRIVE_Type="Direct",IF('Frame Dimensions - D'!O144="",0,'Frame Dimensions - D'!O144),IF('Frame Dimensions - C'!O144="",0,'Frame Dimensions - C'!O144))</f>
        <v>0</v>
      </c>
      <c r="P144" s="660"/>
      <c r="Q144" s="1459"/>
      <c r="R144" s="644"/>
      <c r="S144" s="603"/>
      <c r="T144" s="603"/>
      <c r="U144" s="603"/>
      <c r="V144" s="603"/>
      <c r="W144" s="603"/>
      <c r="X144" s="603"/>
      <c r="Y144" s="603"/>
      <c r="Z144" s="603"/>
      <c r="AA144" s="603"/>
      <c r="AB144" s="603"/>
      <c r="AC144" s="603"/>
      <c r="AD144" s="603"/>
      <c r="AE144" s="603"/>
      <c r="AF144" s="603"/>
      <c r="AG144" s="603"/>
      <c r="AH144" s="603"/>
      <c r="AI144" s="603"/>
      <c r="AJ144" s="464"/>
    </row>
    <row r="145" spans="1:36">
      <c r="A145" s="622"/>
      <c r="B145" s="604" t="str">
        <f>IF(DRIVE_Type="Direct",IF('Frame Dimensions - D'!B145="",0,'Frame Dimensions - D'!B145),IF('Frame Dimensions - C'!B145="",0,'Frame Dimensions - C'!B145))</f>
        <v>Ful</v>
      </c>
      <c r="C145" s="581">
        <f>IF(DRIVE_Type="Direct",IF('Frame Dimensions - D'!C145="",0,'Frame Dimensions - D'!C145),IF('Frame Dimensions - C'!C145="",0,'Frame Dimensions - C'!C145))</f>
        <v>0</v>
      </c>
      <c r="D145" s="493">
        <f>IF(DRIVE_Type="Direct",IF('Frame Dimensions - D'!D145="",0,'Frame Dimensions - D'!D145),IF('Frame Dimensions - C'!D145="",0,'Frame Dimensions - C'!D145))</f>
        <v>0</v>
      </c>
      <c r="E145" s="493">
        <f>IF(DRIVE_Type="Direct",IF('Frame Dimensions - D'!E145="",0,'Frame Dimensions - D'!E145),IF('Frame Dimensions - C'!E145="",0,'Frame Dimensions - C'!E145))</f>
        <v>0</v>
      </c>
      <c r="F145" s="493">
        <f>IF(DRIVE_Type="Direct",IF('Frame Dimensions - D'!F145="",0,'Frame Dimensions - D'!F145),IF('Frame Dimensions - C'!F145="",0,'Frame Dimensions - C'!F145))</f>
        <v>0</v>
      </c>
      <c r="G145" s="493">
        <f>IF(DRIVE_Type="Direct",IF('Frame Dimensions - D'!G145="",0,'Frame Dimensions - D'!G145),IF('Frame Dimensions - C'!G145="",0,'Frame Dimensions - C'!G145))</f>
        <v>0</v>
      </c>
      <c r="H145" s="493">
        <f>IF(DRIVE_Type="Direct",IF('Frame Dimensions - D'!H145="",0,'Frame Dimensions - D'!H145),IF('Frame Dimensions - C'!H145="",0,'Frame Dimensions - C'!H145))</f>
        <v>0</v>
      </c>
      <c r="I145" s="493">
        <f>IF(DRIVE_Type="Direct",IF('Frame Dimensions - D'!I145="",0,'Frame Dimensions - D'!I145),IF('Frame Dimensions - C'!I145="",0,'Frame Dimensions - C'!I145))</f>
        <v>0</v>
      </c>
      <c r="J145" s="609" t="e">
        <f ca="1">IF(DRIVE_Type="Direct",IF('Frame Dimensions - D'!J145="",0,'Frame Dimensions - D'!J145),IF('Frame Dimensions - C'!J145="",0,'Frame Dimensions - C'!J145))</f>
        <v>#REF!</v>
      </c>
      <c r="K145" s="1935">
        <f>IF(DRIVE_Type="Direct",IF('Frame Dimensions - D'!K145="",0,'Frame Dimensions - D'!K145),IF('Frame Dimensions - C'!K145="",0,'Frame Dimensions - C'!K145))</f>
        <v>820</v>
      </c>
      <c r="L145" s="493">
        <f>IF(DRIVE_Type="Direct",IF('Frame Dimensions - D'!L145="",0,'Frame Dimensions - D'!L145),IF('Frame Dimensions - C'!L145="",0,'Frame Dimensions - C'!L145))</f>
        <v>0</v>
      </c>
      <c r="M145" s="492" t="e">
        <f ca="1">IF(DRIVE_Type="Direct",IF('Frame Dimensions - D'!M145="",0,'Frame Dimensions - D'!M145),IF('Frame Dimensions - C'!M145="",0,'Frame Dimensions - C'!M145))</f>
        <v>#REF!</v>
      </c>
      <c r="N145" s="608">
        <f>IF(DRIVE_Type="Direct",IF('Frame Dimensions - D'!N145="",0,'Frame Dimensions - D'!N145),IF('Frame Dimensions - C'!N145="",0,'Frame Dimensions - C'!N145))</f>
        <v>820</v>
      </c>
      <c r="O145" s="583">
        <f>IF(DRIVE_Type="Direct",IF('Frame Dimensions - D'!O145="",0,'Frame Dimensions - D'!O145),IF('Frame Dimensions - C'!O145="",0,'Frame Dimensions - C'!O145))</f>
        <v>0</v>
      </c>
      <c r="P145" s="660"/>
      <c r="Q145" s="1459"/>
      <c r="R145" s="644"/>
      <c r="S145" s="603"/>
      <c r="T145" s="603"/>
      <c r="U145" s="603"/>
      <c r="V145" s="603"/>
      <c r="W145" s="603"/>
      <c r="X145" s="603"/>
      <c r="Y145" s="603"/>
      <c r="Z145" s="603"/>
      <c r="AA145" s="603"/>
      <c r="AB145" s="603"/>
      <c r="AC145" s="603"/>
      <c r="AD145" s="603"/>
      <c r="AE145" s="603"/>
      <c r="AF145" s="603"/>
      <c r="AG145" s="603"/>
      <c r="AH145" s="603"/>
      <c r="AI145" s="603"/>
      <c r="AJ145" s="464"/>
    </row>
    <row r="146" spans="1:36">
      <c r="A146" s="604"/>
      <c r="B146" s="604" t="str">
        <f>IF(DRIVE_Type="Direct",IF('Frame Dimensions - D'!B146="",0,'Frame Dimensions - D'!B146),IF('Frame Dimensions - C'!B146="",0,'Frame Dimensions - C'!B146))</f>
        <v>Fur</v>
      </c>
      <c r="C146" s="646">
        <f>IF(DRIVE_Type="Direct",IF('Frame Dimensions - D'!C146="",0,'Frame Dimensions - D'!C146),IF('Frame Dimensions - C'!C146="",0,'Frame Dimensions - C'!C146))</f>
        <v>0</v>
      </c>
      <c r="D146" s="493">
        <f>IF(DRIVE_Type="Direct",IF('Frame Dimensions - D'!D146="",0,'Frame Dimensions - D'!D146),IF('Frame Dimensions - C'!D146="",0,'Frame Dimensions - C'!D146))</f>
        <v>0</v>
      </c>
      <c r="E146" s="493">
        <f>IF(DRIVE_Type="Direct",IF('Frame Dimensions - D'!E146="",0,'Frame Dimensions - D'!E146),IF('Frame Dimensions - C'!E146="",0,'Frame Dimensions - C'!E146))</f>
        <v>0</v>
      </c>
      <c r="F146" s="493">
        <f>IF(DRIVE_Type="Direct",IF('Frame Dimensions - D'!F146="",0,'Frame Dimensions - D'!F146),IF('Frame Dimensions - C'!F146="",0,'Frame Dimensions - C'!F146))</f>
        <v>0</v>
      </c>
      <c r="G146" s="493">
        <f>IF(DRIVE_Type="Direct",IF('Frame Dimensions - D'!G146="",0,'Frame Dimensions - D'!G146),IF('Frame Dimensions - C'!G146="",0,'Frame Dimensions - C'!G146))</f>
        <v>0</v>
      </c>
      <c r="H146" s="493">
        <f>IF(DRIVE_Type="Direct",IF('Frame Dimensions - D'!H146="",0,'Frame Dimensions - D'!H146),IF('Frame Dimensions - C'!H146="",0,'Frame Dimensions - C'!H146))</f>
        <v>0</v>
      </c>
      <c r="I146" s="493">
        <f>IF(DRIVE_Type="Direct",IF('Frame Dimensions - D'!I146="",0,'Frame Dimensions - D'!I146),IF('Frame Dimensions - C'!I146="",0,'Frame Dimensions - C'!I146))</f>
        <v>0</v>
      </c>
      <c r="J146" s="609" t="e">
        <f ca="1">IF(DRIVE_Type="Direct",IF('Frame Dimensions - D'!J146="",0,'Frame Dimensions - D'!J146),IF('Frame Dimensions - C'!J146="",0,'Frame Dimensions - C'!J146))</f>
        <v>#REF!</v>
      </c>
      <c r="K146" s="1935">
        <f>IF(DRIVE_Type="Direct",IF('Frame Dimensions - D'!K146="",0,'Frame Dimensions - D'!K146),IF('Frame Dimensions - C'!K146="",0,'Frame Dimensions - C'!K146))</f>
        <v>1617.5</v>
      </c>
      <c r="L146" s="493">
        <f>IF(DRIVE_Type="Direct",IF('Frame Dimensions - D'!L146="",0,'Frame Dimensions - D'!L146),IF('Frame Dimensions - C'!L146="",0,'Frame Dimensions - C'!L146))</f>
        <v>0</v>
      </c>
      <c r="M146" s="492" t="e">
        <f ca="1">IF(DRIVE_Type="Direct",IF('Frame Dimensions - D'!M146="",0,'Frame Dimensions - D'!M146),IF('Frame Dimensions - C'!M146="",0,'Frame Dimensions - C'!M146))</f>
        <v>#REF!</v>
      </c>
      <c r="N146" s="608">
        <f>IF(DRIVE_Type="Direct",IF('Frame Dimensions - D'!N146="",0,'Frame Dimensions - D'!N146),IF('Frame Dimensions - C'!N146="",0,'Frame Dimensions - C'!N146))</f>
        <v>1617.5</v>
      </c>
      <c r="O146" s="583">
        <f>IF(DRIVE_Type="Direct",IF('Frame Dimensions - D'!O146="",0,'Frame Dimensions - D'!O146),IF('Frame Dimensions - C'!O146="",0,'Frame Dimensions - C'!O146))</f>
        <v>0</v>
      </c>
      <c r="P146" s="660"/>
      <c r="Q146" s="1459"/>
      <c r="R146" s="644"/>
      <c r="S146" s="603"/>
      <c r="T146" s="603"/>
      <c r="U146" s="603"/>
      <c r="V146" s="603"/>
      <c r="W146" s="603"/>
      <c r="X146" s="603"/>
      <c r="Y146" s="603"/>
      <c r="Z146" s="603"/>
      <c r="AA146" s="603"/>
      <c r="AB146" s="603"/>
      <c r="AC146" s="603"/>
      <c r="AD146" s="603"/>
      <c r="AE146" s="603"/>
      <c r="AF146" s="603"/>
      <c r="AG146" s="603"/>
      <c r="AH146" s="603"/>
      <c r="AI146" s="603"/>
      <c r="AJ146" s="464"/>
    </row>
    <row r="147" spans="1:36">
      <c r="A147" s="1170" t="s">
        <v>3231</v>
      </c>
      <c r="B147" s="1170" t="str">
        <f>IF(DRIVE_Type="Direct",IF('Frame Dimensions - D'!B147="",0,'Frame Dimensions - D'!B147),IF('Frame Dimensions - C'!B147="",0,'Frame Dimensions - C'!B147))</f>
        <v>IL</v>
      </c>
      <c r="C147" s="591">
        <f>IF(DRIVE_Type="Direct",IF('Frame Dimensions - D'!C147="",0,'Frame Dimensions - D'!C147),IF('Frame Dimensions - C'!C147="",0,'Frame Dimensions - C'!C147))</f>
        <v>0</v>
      </c>
      <c r="D147" s="484">
        <f>IF(DRIVE_Type="Direct",IF('Frame Dimensions - D'!D147="",0,'Frame Dimensions - D'!D147),IF('Frame Dimensions - C'!D147="",0,'Frame Dimensions - C'!D147))</f>
        <v>0</v>
      </c>
      <c r="E147" s="484">
        <f>IF(DRIVE_Type="Direct",IF('Frame Dimensions - D'!E147="",0,'Frame Dimensions - D'!E147),IF('Frame Dimensions - C'!E147="",0,'Frame Dimensions - C'!E147))</f>
        <v>0</v>
      </c>
      <c r="F147" s="484">
        <f>IF(DRIVE_Type="Direct",IF('Frame Dimensions - D'!F147="",0,'Frame Dimensions - D'!F147),IF('Frame Dimensions - C'!F147="",0,'Frame Dimensions - C'!F147))</f>
        <v>0</v>
      </c>
      <c r="G147" s="484">
        <f>IF(DRIVE_Type="Direct",IF('Frame Dimensions - D'!G147="",0,'Frame Dimensions - D'!G147),IF('Frame Dimensions - C'!G147="",0,'Frame Dimensions - C'!G147))</f>
        <v>0</v>
      </c>
      <c r="H147" s="484">
        <f>IF(DRIVE_Type="Direct",IF('Frame Dimensions - D'!H147="",0,'Frame Dimensions - D'!H147),IF('Frame Dimensions - C'!H147="",0,'Frame Dimensions - C'!H147))</f>
        <v>0</v>
      </c>
      <c r="I147" s="484">
        <f>IF(DRIVE_Type="Direct",IF('Frame Dimensions - D'!I147="",0,'Frame Dimensions - D'!I147),IF('Frame Dimensions - C'!I147="",0,'Frame Dimensions - C'!I147))</f>
        <v>0</v>
      </c>
      <c r="J147" s="589" t="e">
        <f ca="1">IF(DRIVE_Type="Direct",IF('Frame Dimensions - D'!J147="",0,'Frame Dimensions - D'!J147),IF('Frame Dimensions - C'!J147="",0,'Frame Dimensions - C'!J147))</f>
        <v>#REF!</v>
      </c>
      <c r="K147" s="1934">
        <f>IF(DRIVE_Type="Direct",IF('Frame Dimensions - D'!K147="",0,'Frame Dimensions - D'!K147),IF('Frame Dimensions - C'!K147="",0,'Frame Dimensions - C'!K147))</f>
        <v>114.70000000000005</v>
      </c>
      <c r="L147" s="587">
        <f>IF(DRIVE_Type="Direct",IF('Frame Dimensions - D'!L147="",0,'Frame Dimensions - D'!L147),IF('Frame Dimensions - C'!L147="",0,'Frame Dimensions - C'!L147))</f>
        <v>0</v>
      </c>
      <c r="M147" s="615" t="e">
        <f ca="1">IF(DRIVE_Type="Direct",IF('Frame Dimensions - D'!M147="",0,'Frame Dimensions - D'!M147),IF('Frame Dimensions - C'!M147="",0,'Frame Dimensions - C'!M147))</f>
        <v>#REF!</v>
      </c>
      <c r="N147" s="1934">
        <f>IF(DRIVE_Type="Direct",IF('Frame Dimensions - D'!N147="",0,'Frame Dimensions - D'!N147),IF('Frame Dimensions - C'!N147="",0,'Frame Dimensions - C'!N147))</f>
        <v>2745.4</v>
      </c>
      <c r="O147" s="1171">
        <f>IF(DRIVE_Type="Direct",IF('Frame Dimensions - D'!O147="",0,'Frame Dimensions - D'!O147),IF('Frame Dimensions - C'!O147="",0,'Frame Dimensions - C'!O147))</f>
        <v>0</v>
      </c>
      <c r="P147" s="1172"/>
      <c r="Q147" s="1460"/>
      <c r="R147" s="644"/>
      <c r="S147" s="603"/>
      <c r="T147" s="603"/>
      <c r="U147" s="603"/>
      <c r="V147" s="603"/>
      <c r="W147" s="603"/>
      <c r="X147" s="603"/>
      <c r="Y147" s="603"/>
      <c r="Z147" s="603"/>
      <c r="AA147" s="603"/>
      <c r="AB147" s="603"/>
      <c r="AC147" s="603"/>
      <c r="AD147" s="603"/>
      <c r="AE147" s="603"/>
      <c r="AF147" s="603"/>
      <c r="AG147" s="603"/>
      <c r="AH147" s="603"/>
      <c r="AI147" s="603"/>
      <c r="AJ147" s="464"/>
    </row>
    <row r="148" spans="1:36">
      <c r="A148" s="604"/>
      <c r="B148" s="604" t="str">
        <f>IF(DRIVE_Type="Direct",IF('Frame Dimensions - D'!B148="",0,'Frame Dimensions - D'!B148),IF('Frame Dimensions - C'!B148="",0,'Frame Dimensions - C'!B148))</f>
        <v>IR</v>
      </c>
      <c r="C148" s="646">
        <f>IF(DRIVE_Type="Direct",IF('Frame Dimensions - D'!C148="",0,'Frame Dimensions - D'!C148),IF('Frame Dimensions - C'!C148="",0,'Frame Dimensions - C'!C148))</f>
        <v>0</v>
      </c>
      <c r="D148" s="493">
        <f>IF(DRIVE_Type="Direct",IF('Frame Dimensions - D'!D148="",0,'Frame Dimensions - D'!D148),IF('Frame Dimensions - C'!D148="",0,'Frame Dimensions - C'!D148))</f>
        <v>0</v>
      </c>
      <c r="E148" s="493">
        <f>IF(DRIVE_Type="Direct",IF('Frame Dimensions - D'!E148="",0,'Frame Dimensions - D'!E148),IF('Frame Dimensions - C'!E148="",0,'Frame Dimensions - C'!E148))</f>
        <v>0</v>
      </c>
      <c r="F148" s="493">
        <f>IF(DRIVE_Type="Direct",IF('Frame Dimensions - D'!F148="",0,'Frame Dimensions - D'!F148),IF('Frame Dimensions - C'!F148="",0,'Frame Dimensions - C'!F148))</f>
        <v>0</v>
      </c>
      <c r="G148" s="493">
        <f>IF(DRIVE_Type="Direct",IF('Frame Dimensions - D'!G148="",0,'Frame Dimensions - D'!G148),IF('Frame Dimensions - C'!G148="",0,'Frame Dimensions - C'!G148))</f>
        <v>0</v>
      </c>
      <c r="H148" s="493">
        <f>IF(DRIVE_Type="Direct",IF('Frame Dimensions - D'!H148="",0,'Frame Dimensions - D'!H148),IF('Frame Dimensions - C'!H148="",0,'Frame Dimensions - C'!H148))</f>
        <v>0</v>
      </c>
      <c r="I148" s="493">
        <f>IF(DRIVE_Type="Direct",IF('Frame Dimensions - D'!I148="",0,'Frame Dimensions - D'!I148),IF('Frame Dimensions - C'!I148="",0,'Frame Dimensions - C'!I148))</f>
        <v>0</v>
      </c>
      <c r="J148" s="599" t="e">
        <f ca="1">IF(DRIVE_Type="Direct",IF('Frame Dimensions - D'!J148="",0,'Frame Dimensions - D'!J148),IF('Frame Dimensions - C'!J148="",0,'Frame Dimensions - C'!J148))</f>
        <v>#REF!</v>
      </c>
      <c r="K148" s="1935">
        <f>IF(DRIVE_Type="Direct",IF('Frame Dimensions - D'!K148="",0,'Frame Dimensions - D'!K148),IF('Frame Dimensions - C'!K148="",0,'Frame Dimensions - C'!K148))</f>
        <v>114.70000000000005</v>
      </c>
      <c r="L148" s="580">
        <f>IF(DRIVE_Type="Direct",IF('Frame Dimensions - D'!L148="",0,'Frame Dimensions - D'!L148),IF('Frame Dimensions - C'!L148="",0,'Frame Dimensions - C'!L148))</f>
        <v>0</v>
      </c>
      <c r="M148" s="609" t="e">
        <f ca="1">IF(DRIVE_Type="Direct",IF('Frame Dimensions - D'!M148="",0,'Frame Dimensions - D'!M148),IF('Frame Dimensions - C'!M148="",0,'Frame Dimensions - C'!M148))</f>
        <v>#REF!</v>
      </c>
      <c r="N148" s="1935">
        <f>IF(DRIVE_Type="Direct",IF('Frame Dimensions - D'!N148="",0,'Frame Dimensions - D'!N148),IF('Frame Dimensions - C'!N148="",0,'Frame Dimensions - C'!N148))</f>
        <v>2745.4</v>
      </c>
      <c r="O148" s="583">
        <f>IF(DRIVE_Type="Direct",IF('Frame Dimensions - D'!O148="",0,'Frame Dimensions - D'!O148),IF('Frame Dimensions - C'!O148="",0,'Frame Dimensions - C'!O148))</f>
        <v>0</v>
      </c>
      <c r="P148" s="660"/>
      <c r="Q148" s="1459"/>
      <c r="R148" s="1189"/>
      <c r="S148" s="603"/>
      <c r="T148" s="603"/>
      <c r="U148" s="603"/>
      <c r="V148" s="603"/>
      <c r="W148" s="603"/>
      <c r="X148" s="603"/>
      <c r="Y148" s="603"/>
      <c r="Z148" s="603"/>
      <c r="AA148" s="603"/>
      <c r="AB148" s="603"/>
      <c r="AC148" s="603"/>
      <c r="AD148" s="603"/>
      <c r="AE148" s="603"/>
      <c r="AF148" s="603"/>
      <c r="AG148" s="603"/>
      <c r="AH148" s="603"/>
      <c r="AI148" s="603"/>
      <c r="AJ148" s="464"/>
    </row>
    <row r="149" spans="1:36">
      <c r="A149" s="604"/>
      <c r="B149" s="604" t="str">
        <f>IF(DRIVE_Type="Direct",IF('Frame Dimensions - D'!B149="",0,'Frame Dimensions - D'!B149),IF('Frame Dimensions - C'!B149="",0,'Frame Dimensions - C'!B149))</f>
        <v>Iup</v>
      </c>
      <c r="C149" s="646">
        <f>IF(DRIVE_Type="Direct",IF('Frame Dimensions - D'!C149="",0,'Frame Dimensions - D'!C149),IF('Frame Dimensions - C'!C149="",0,'Frame Dimensions - C'!C149))</f>
        <v>0</v>
      </c>
      <c r="D149" s="493">
        <f>IF(DRIVE_Type="Direct",IF('Frame Dimensions - D'!D149="",0,'Frame Dimensions - D'!D149),IF('Frame Dimensions - C'!D149="",0,'Frame Dimensions - C'!D149))</f>
        <v>0</v>
      </c>
      <c r="E149" s="493">
        <f>IF(DRIVE_Type="Direct",IF('Frame Dimensions - D'!E149="",0,'Frame Dimensions - D'!E149),IF('Frame Dimensions - C'!E149="",0,'Frame Dimensions - C'!E149))</f>
        <v>0</v>
      </c>
      <c r="F149" s="493">
        <f>IF(DRIVE_Type="Direct",IF('Frame Dimensions - D'!F149="",0,'Frame Dimensions - D'!F149),IF('Frame Dimensions - C'!F149="",0,'Frame Dimensions - C'!F149))</f>
        <v>0</v>
      </c>
      <c r="G149" s="493">
        <f>IF(DRIVE_Type="Direct",IF('Frame Dimensions - D'!G149="",0,'Frame Dimensions - D'!G149),IF('Frame Dimensions - C'!G149="",0,'Frame Dimensions - C'!G149))</f>
        <v>0</v>
      </c>
      <c r="H149" s="493">
        <f>IF(DRIVE_Type="Direct",IF('Frame Dimensions - D'!H149="",0,'Frame Dimensions - D'!H149),IF('Frame Dimensions - C'!H149="",0,'Frame Dimensions - C'!H149))</f>
        <v>0</v>
      </c>
      <c r="I149" s="493">
        <f>IF(DRIVE_Type="Direct",IF('Frame Dimensions - D'!I149="",0,'Frame Dimensions - D'!I149),IF('Frame Dimensions - C'!I149="",0,'Frame Dimensions - C'!I149))</f>
        <v>0</v>
      </c>
      <c r="J149" s="609" t="e">
        <f ca="1">IF(DRIVE_Type="Direct",IF('Frame Dimensions - D'!J149="",0,'Frame Dimensions - D'!J149),IF('Frame Dimensions - C'!J149="",0,'Frame Dimensions - C'!J149))</f>
        <v>#REF!</v>
      </c>
      <c r="K149" s="608">
        <f>IF(DRIVE_Type="Direct",IF('Frame Dimensions - D'!K149="",0,'Frame Dimensions - D'!K149),IF('Frame Dimensions - C'!K149="",0,'Frame Dimensions - C'!K149))</f>
        <v>2745.4</v>
      </c>
      <c r="L149" s="580">
        <f>IF(DRIVE_Type="Direct",IF('Frame Dimensions - D'!L149="",0,'Frame Dimensions - D'!L149),IF('Frame Dimensions - C'!L149="",0,'Frame Dimensions - C'!L149))</f>
        <v>0</v>
      </c>
      <c r="M149" s="609" t="e">
        <f ca="1">IF(DRIVE_Type="Direct",IF('Frame Dimensions - D'!M149="",0,'Frame Dimensions - D'!M149),IF('Frame Dimensions - C'!M149="",0,'Frame Dimensions - C'!M149))</f>
        <v>#REF!</v>
      </c>
      <c r="N149" s="608">
        <f>IF(DRIVE_Type="Direct",IF('Frame Dimensions - D'!N149="",0,'Frame Dimensions - D'!N149),IF('Frame Dimensions - C'!N149="",0,'Frame Dimensions - C'!N149))</f>
        <v>2745.4</v>
      </c>
      <c r="O149" s="583">
        <f>IF(DRIVE_Type="Direct",IF('Frame Dimensions - D'!O149="",0,'Frame Dimensions - D'!O149),IF('Frame Dimensions - C'!O149="",0,'Frame Dimensions - C'!O149))</f>
        <v>0</v>
      </c>
      <c r="P149" s="660"/>
      <c r="Q149" s="1459"/>
      <c r="R149" s="1189"/>
      <c r="S149" s="603"/>
      <c r="T149" s="603"/>
      <c r="U149" s="603"/>
      <c r="V149" s="603"/>
      <c r="W149" s="603"/>
      <c r="X149" s="603"/>
      <c r="Y149" s="603"/>
      <c r="Z149" s="603"/>
      <c r="AA149" s="603"/>
      <c r="AB149" s="603"/>
      <c r="AC149" s="603"/>
      <c r="AD149" s="603"/>
      <c r="AE149" s="603"/>
      <c r="AF149" s="603"/>
      <c r="AG149" s="603"/>
      <c r="AH149" s="603"/>
      <c r="AI149" s="603"/>
      <c r="AJ149" s="464"/>
    </row>
    <row r="150" spans="1:36" ht="15.75" thickBot="1">
      <c r="A150" s="661"/>
      <c r="B150" s="661" t="str">
        <f>IF(DRIVE_Type="Direct",IF('Frame Dimensions - D'!B150="",0,'Frame Dimensions - D'!B150),IF('Frame Dimensions - C'!B150="",0,'Frame Dimensions - C'!B150))</f>
        <v>Ilo</v>
      </c>
      <c r="C150" s="662">
        <f>IF(DRIVE_Type="Direct",IF('Frame Dimensions - D'!C150="",0,'Frame Dimensions - D'!C150),IF('Frame Dimensions - C'!C150="",0,'Frame Dimensions - C'!C150))</f>
        <v>0</v>
      </c>
      <c r="D150" s="638">
        <f>IF(DRIVE_Type="Direct",IF('Frame Dimensions - D'!D150="",0,'Frame Dimensions - D'!D150),IF('Frame Dimensions - C'!D150="",0,'Frame Dimensions - C'!D150))</f>
        <v>0</v>
      </c>
      <c r="E150" s="638">
        <f>IF(DRIVE_Type="Direct",IF('Frame Dimensions - D'!E150="",0,'Frame Dimensions - D'!E150),IF('Frame Dimensions - C'!E150="",0,'Frame Dimensions - C'!E150))</f>
        <v>0</v>
      </c>
      <c r="F150" s="638">
        <f>IF(DRIVE_Type="Direct",IF('Frame Dimensions - D'!F150="",0,'Frame Dimensions - D'!F150),IF('Frame Dimensions - C'!F150="",0,'Frame Dimensions - C'!F150))</f>
        <v>0</v>
      </c>
      <c r="G150" s="638">
        <f>IF(DRIVE_Type="Direct",IF('Frame Dimensions - D'!G150="",0,'Frame Dimensions - D'!G150),IF('Frame Dimensions - C'!G150="",0,'Frame Dimensions - C'!G150))</f>
        <v>0</v>
      </c>
      <c r="H150" s="638">
        <f>IF(DRIVE_Type="Direct",IF('Frame Dimensions - D'!H150="",0,'Frame Dimensions - D'!H150),IF('Frame Dimensions - C'!H150="",0,'Frame Dimensions - C'!H150))</f>
        <v>0</v>
      </c>
      <c r="I150" s="638">
        <f>IF(DRIVE_Type="Direct",IF('Frame Dimensions - D'!I150="",0,'Frame Dimensions - D'!I150),IF('Frame Dimensions - C'!I150="",0,'Frame Dimensions - C'!I150))</f>
        <v>0</v>
      </c>
      <c r="J150" s="682" t="e">
        <f ca="1">IF(DRIVE_Type="Direct",IF('Frame Dimensions - D'!J150="",0,'Frame Dimensions - D'!J150),IF('Frame Dimensions - C'!J150="",0,'Frame Dimensions - C'!J150))</f>
        <v>#REF!</v>
      </c>
      <c r="K150" s="683">
        <f>IF(DRIVE_Type="Direct",IF('Frame Dimensions - D'!K150="",0,'Frame Dimensions - D'!K150),IF('Frame Dimensions - C'!K150="",0,'Frame Dimensions - C'!K150))</f>
        <v>114.70000000000005</v>
      </c>
      <c r="L150" s="620">
        <f>IF(DRIVE_Type="Direct",IF('Frame Dimensions - D'!L150="",0,'Frame Dimensions - D'!L150),IF('Frame Dimensions - C'!L150="",0,'Frame Dimensions - C'!L150))</f>
        <v>0</v>
      </c>
      <c r="M150" s="682" t="e">
        <f ca="1">IF(DRIVE_Type="Direct",IF('Frame Dimensions - D'!M150="",0,'Frame Dimensions - D'!M150),IF('Frame Dimensions - C'!M150="",0,'Frame Dimensions - C'!M150))</f>
        <v>#REF!</v>
      </c>
      <c r="N150" s="683">
        <f>IF(DRIVE_Type="Direct",IF('Frame Dimensions - D'!N150="",0,'Frame Dimensions - D'!N150),IF('Frame Dimensions - C'!N150="",0,'Frame Dimensions - C'!N150))</f>
        <v>114.70000000000005</v>
      </c>
      <c r="O150" s="663">
        <f>IF(DRIVE_Type="Direct",IF('Frame Dimensions - D'!O150="",0,'Frame Dimensions - D'!O150),IF('Frame Dimensions - C'!O150="",0,'Frame Dimensions - C'!O150))</f>
        <v>0</v>
      </c>
      <c r="P150" s="664"/>
      <c r="Q150" s="1461"/>
      <c r="R150" s="644"/>
      <c r="S150" s="603"/>
      <c r="T150" s="603"/>
      <c r="U150" s="603"/>
      <c r="V150" s="603"/>
      <c r="W150" s="603"/>
      <c r="X150" s="603"/>
      <c r="Y150" s="603"/>
      <c r="Z150" s="603"/>
      <c r="AA150" s="603"/>
      <c r="AB150" s="603"/>
      <c r="AC150" s="603"/>
      <c r="AD150" s="603"/>
      <c r="AE150" s="603"/>
      <c r="AF150" s="603"/>
      <c r="AG150" s="603"/>
      <c r="AH150" s="603"/>
      <c r="AI150" s="603"/>
      <c r="AJ150" s="464"/>
    </row>
    <row r="151" spans="1:36">
      <c r="A151" s="665" t="s">
        <v>285</v>
      </c>
      <c r="B151" s="665" t="str">
        <f>IF(DRIVE_Type="Direct",IF('Frame Dimensions - D'!B151="",0,'Frame Dimensions - D'!B151),IF('Frame Dimensions - C'!B151="",0,'Frame Dimensions - C'!B151))</f>
        <v>MOTOR</v>
      </c>
      <c r="C151" s="666">
        <f>IF(DRIVE_Type="Direct",IF('Frame Dimensions - D'!C151="",0,'Frame Dimensions - D'!C151),IF('Frame Dimensions - C'!C151="",0,'Frame Dimensions - C'!C151))</f>
        <v>0</v>
      </c>
      <c r="D151" s="667">
        <f>IF(DRIVE_Type="Direct",IF('Frame Dimensions - D'!D151="",0,'Frame Dimensions - D'!D151),IF('Frame Dimensions - C'!D151="",0,'Frame Dimensions - C'!D151))</f>
        <v>0</v>
      </c>
      <c r="E151" s="667">
        <f>IF(DRIVE_Type="Direct",IF('Frame Dimensions - D'!E151="",0,'Frame Dimensions - D'!E151),IF('Frame Dimensions - C'!E151="",0,'Frame Dimensions - C'!E151))</f>
        <v>0</v>
      </c>
      <c r="F151" s="667">
        <f>IF(DRIVE_Type="Direct",IF('Frame Dimensions - D'!F151="",0,'Frame Dimensions - D'!F151),IF('Frame Dimensions - C'!F151="",0,'Frame Dimensions - C'!F151))</f>
        <v>0</v>
      </c>
      <c r="G151" s="667">
        <f>IF(DRIVE_Type="Direct",IF('Frame Dimensions - D'!G151="",0,'Frame Dimensions - D'!G151),IF('Frame Dimensions - C'!G151="",0,'Frame Dimensions - C'!G151))</f>
        <v>0</v>
      </c>
      <c r="H151" s="667">
        <f>IF(DRIVE_Type="Direct",IF('Frame Dimensions - D'!H151="",0,'Frame Dimensions - D'!H151),IF('Frame Dimensions - C'!H151="",0,'Frame Dimensions - C'!H151))</f>
        <v>0</v>
      </c>
      <c r="I151" s="667">
        <f>IF(DRIVE_Type="Direct",IF('Frame Dimensions - D'!I151="",0,'Frame Dimensions - D'!I151),IF('Frame Dimensions - C'!I151="",0,'Frame Dimensions - C'!I151))</f>
        <v>0</v>
      </c>
      <c r="J151" s="668" t="str">
        <f>IF(DRIVE_Type="Direct",IF('Frame Dimensions - D'!J151="",0,'Frame Dimensions - D'!J151),IF('Frame Dimensions - C'!J151="",0,'Frame Dimensions - C'!J151))</f>
        <v>X</v>
      </c>
      <c r="K151" s="667" t="str">
        <f>IF(DRIVE_Type="Direct",IF('Frame Dimensions - D'!K151="",0,'Frame Dimensions - D'!K151),IF('Frame Dimensions - C'!K151="",0,'Frame Dimensions - C'!K151))</f>
        <v>Y</v>
      </c>
      <c r="L151" s="667" t="str">
        <f>IF(DRIVE_Type="Direct",IF('Frame Dimensions - D'!L151="",0,'Frame Dimensions - D'!L151),IF('Frame Dimensions - C'!L151="",0,'Frame Dimensions - C'!L151))</f>
        <v>Z</v>
      </c>
      <c r="M151" s="668" t="str">
        <f>IF(DRIVE_Type="Direct",IF('Frame Dimensions - D'!M151="",0,'Frame Dimensions - D'!M151),IF('Frame Dimensions - C'!M151="",0,'Frame Dimensions - C'!M151))</f>
        <v>X</v>
      </c>
      <c r="N151" s="667" t="str">
        <f>IF(DRIVE_Type="Direct",IF('Frame Dimensions - D'!N151="",0,'Frame Dimensions - D'!N151),IF('Frame Dimensions - C'!N151="",0,'Frame Dimensions - C'!N151))</f>
        <v>Y</v>
      </c>
      <c r="O151" s="669" t="str">
        <f>IF(DRIVE_Type="Direct",IF('Frame Dimensions - D'!O151="",0,'Frame Dimensions - D'!O151),IF('Frame Dimensions - C'!O151="",0,'Frame Dimensions - C'!O151))</f>
        <v>Z</v>
      </c>
      <c r="P151" s="670"/>
      <c r="Q151" s="1462"/>
      <c r="R151" s="644"/>
      <c r="S151" s="603"/>
      <c r="T151" s="580"/>
      <c r="U151" s="580"/>
      <c r="V151" s="580"/>
      <c r="W151" s="603"/>
      <c r="X151" s="603"/>
      <c r="Y151" s="603"/>
      <c r="Z151" s="603"/>
      <c r="AA151" s="603"/>
      <c r="AB151" s="603"/>
      <c r="AC151" s="603"/>
      <c r="AD151" s="603"/>
      <c r="AE151" s="603"/>
      <c r="AF151" s="603"/>
      <c r="AG151" s="603"/>
      <c r="AH151" s="603"/>
      <c r="AI151" s="603"/>
      <c r="AJ151" s="464"/>
    </row>
    <row r="152" spans="1:36">
      <c r="B152" s="604" t="str">
        <f>IF(DRIVE_Type="Direct",IF('Frame Dimensions - D'!B152="",0,'Frame Dimensions - D'!B152),IF('Frame Dimensions - C'!B152="",0,'Frame Dimensions - C'!B152))</f>
        <v>Axle</v>
      </c>
      <c r="C152" s="581">
        <f>IF(DRIVE_Type="Direct",IF('Frame Dimensions - D'!C152="",0,'Frame Dimensions - D'!C152),IF('Frame Dimensions - C'!C152="",0,'Frame Dimensions - C'!C152))</f>
        <v>0</v>
      </c>
      <c r="D152" s="493">
        <f>IF(DRIVE_Type="Direct",IF('Frame Dimensions - D'!D152="",0,'Frame Dimensions - D'!D152),IF('Frame Dimensions - C'!D152="",0,'Frame Dimensions - C'!D152))</f>
        <v>0</v>
      </c>
      <c r="E152" s="493">
        <f>IF(DRIVE_Type="Direct",IF('Frame Dimensions - D'!E152="",0,'Frame Dimensions - D'!E152),IF('Frame Dimensions - C'!E152="",0,'Frame Dimensions - C'!E152))</f>
        <v>0</v>
      </c>
      <c r="F152" s="493">
        <f>IF(DRIVE_Type="Direct",IF('Frame Dimensions - D'!F152="",0,'Frame Dimensions - D'!F152),IF('Frame Dimensions - C'!F152="",0,'Frame Dimensions - C'!F152))</f>
        <v>0</v>
      </c>
      <c r="G152" s="493">
        <f>IF(DRIVE_Type="Direct",IF('Frame Dimensions - D'!G152="",0,'Frame Dimensions - D'!G152),IF('Frame Dimensions - C'!G152="",0,'Frame Dimensions - C'!G152))</f>
        <v>0</v>
      </c>
      <c r="H152" s="493">
        <f>IF(DRIVE_Type="Direct",IF('Frame Dimensions - D'!H152="",0,'Frame Dimensions - D'!H152),IF('Frame Dimensions - C'!H152="",0,'Frame Dimensions - C'!H152))</f>
        <v>0</v>
      </c>
      <c r="I152" s="493">
        <f>IF(DRIVE_Type="Direct",IF('Frame Dimensions - D'!I152="",0,'Frame Dimensions - D'!I152),IF('Frame Dimensions - C'!I152="",0,'Frame Dimensions - C'!I152))</f>
        <v>0</v>
      </c>
      <c r="J152" s="492" t="e">
        <f ca="1">IF(DRIVE_Type="Direct",IF('Frame Dimensions - D'!J152="",0,'Frame Dimensions - D'!J152),IF('Frame Dimensions - C'!J152="",0,'Frame Dimensions - C'!J152))</f>
        <v>#REF!</v>
      </c>
      <c r="K152" s="493" t="e">
        <f ca="1">IF(DRIVE_Type="Direct",IF('Frame Dimensions - D'!K152="",0,'Frame Dimensions - D'!K152),IF('Frame Dimensions - C'!K152="",0,'Frame Dimensions - C'!K152))</f>
        <v>#REF!</v>
      </c>
      <c r="L152" s="681">
        <f>IF(DRIVE_Type="Direct",IF('Frame Dimensions - D'!L152="",0,'Frame Dimensions - D'!L152),IF('Frame Dimensions - C'!L152="",0,'Frame Dimensions - C'!L152))</f>
        <v>0</v>
      </c>
      <c r="M152" s="492" t="e">
        <f ca="1">IF(DRIVE_Type="Direct",IF('Frame Dimensions - D'!M152="",0,'Frame Dimensions - D'!M152),IF('Frame Dimensions - C'!M152="",0,'Frame Dimensions - C'!M152))</f>
        <v>#REF!</v>
      </c>
      <c r="N152" s="608" t="e">
        <f ca="1">IF(DRIVE_Type="Direct",IF('Frame Dimensions - D'!N152="",0,'Frame Dimensions - D'!N152),IF('Frame Dimensions - C'!N152="",0,'Frame Dimensions - C'!N152))</f>
        <v>#REF!</v>
      </c>
      <c r="O152" s="611">
        <f>IF(DRIVE_Type="Direct",IF('Frame Dimensions - D'!O152="",0,'Frame Dimensions - D'!O152),IF('Frame Dimensions - C'!O152="",0,'Frame Dimensions - C'!O152))</f>
        <v>0</v>
      </c>
      <c r="P152" s="660"/>
      <c r="Q152" s="1459"/>
      <c r="R152" s="644"/>
      <c r="S152" s="603"/>
      <c r="T152" s="603"/>
      <c r="U152" s="603"/>
      <c r="V152" s="603"/>
      <c r="W152" s="603"/>
      <c r="X152" s="603"/>
      <c r="Y152" s="603"/>
      <c r="Z152" s="603"/>
      <c r="AA152" s="603"/>
      <c r="AB152" s="603"/>
      <c r="AC152" s="603"/>
      <c r="AD152" s="603"/>
      <c r="AE152" s="603"/>
      <c r="AF152" s="603"/>
      <c r="AG152" s="603"/>
      <c r="AH152" s="603"/>
      <c r="AI152" s="603"/>
      <c r="AJ152" s="464"/>
    </row>
    <row r="153" spans="1:36">
      <c r="B153" s="604" t="str">
        <f>IF(DRIVE_Type="Direct",IF('Frame Dimensions - D'!B153="",0,'Frame Dimensions - D'!B153),IF('Frame Dimensions - C'!B153="",0,'Frame Dimensions - C'!B153))</f>
        <v>MFrame</v>
      </c>
      <c r="C153" s="581">
        <f>IF(DRIVE_Type="Direct",IF('Frame Dimensions - D'!C153="",0,'Frame Dimensions - D'!C153),IF('Frame Dimensions - C'!C153="",0,'Frame Dimensions - C'!C153))</f>
        <v>0</v>
      </c>
      <c r="D153" s="493">
        <f>IF(DRIVE_Type="Direct",IF('Frame Dimensions - D'!D153="",0,'Frame Dimensions - D'!D153),IF('Frame Dimensions - C'!D153="",0,'Frame Dimensions - C'!D153))</f>
        <v>0</v>
      </c>
      <c r="E153" s="493">
        <f>IF(DRIVE_Type="Direct",IF('Frame Dimensions - D'!E153="",0,'Frame Dimensions - D'!E153),IF('Frame Dimensions - C'!E153="",0,'Frame Dimensions - C'!E153))</f>
        <v>0</v>
      </c>
      <c r="F153" s="493">
        <f>IF(DRIVE_Type="Direct",IF('Frame Dimensions - D'!F153="",0,'Frame Dimensions - D'!F153),IF('Frame Dimensions - C'!F153="",0,'Frame Dimensions - C'!F153))</f>
        <v>0</v>
      </c>
      <c r="G153" s="493">
        <f>IF(DRIVE_Type="Direct",IF('Frame Dimensions - D'!G153="",0,'Frame Dimensions - D'!G153),IF('Frame Dimensions - C'!G153="",0,'Frame Dimensions - C'!G153))</f>
        <v>0</v>
      </c>
      <c r="H153" s="493">
        <f>IF(DRIVE_Type="Direct",IF('Frame Dimensions - D'!H153="",0,'Frame Dimensions - D'!H153),IF('Frame Dimensions - C'!H153="",0,'Frame Dimensions - C'!H153))</f>
        <v>0</v>
      </c>
      <c r="I153" s="493">
        <f>IF(DRIVE_Type="Direct",IF('Frame Dimensions - D'!I153="",0,'Frame Dimensions - D'!I153),IF('Frame Dimensions - C'!I153="",0,'Frame Dimensions - C'!I153))</f>
        <v>0</v>
      </c>
      <c r="J153" s="492" t="e">
        <f ca="1">IF(DRIVE_Type="Direct",IF('Frame Dimensions - D'!J153="",0,'Frame Dimensions - D'!J153),IF('Frame Dimensions - C'!J153="",0,'Frame Dimensions - C'!J153))</f>
        <v>#REF!</v>
      </c>
      <c r="K153" s="493" t="e">
        <f ca="1">IF(DRIVE_Type="Direct",IF('Frame Dimensions - D'!K153="",0,'Frame Dimensions - D'!K153),IF('Frame Dimensions - C'!K153="",0,'Frame Dimensions - C'!K153))</f>
        <v>#REF!</v>
      </c>
      <c r="L153" s="493" t="e">
        <f ca="1">IF(DRIVE_Type="Direct",IF('Frame Dimensions - D'!L153="",0,'Frame Dimensions - D'!L153),IF('Frame Dimensions - C'!L153="",0,'Frame Dimensions - C'!L153))</f>
        <v>#REF!</v>
      </c>
      <c r="M153" s="492" t="e">
        <f ca="1">IF(DRIVE_Type="Direct",IF('Frame Dimensions - D'!M153="",0,'Frame Dimensions - D'!M153),IF('Frame Dimensions - C'!M153="",0,'Frame Dimensions - C'!M153))</f>
        <v>#REF!</v>
      </c>
      <c r="N153" s="608" t="e">
        <f ca="1">IF(DRIVE_Type="Direct",IF('Frame Dimensions - D'!N153="",0,'Frame Dimensions - D'!N153),IF('Frame Dimensions - C'!N153="",0,'Frame Dimensions - C'!N153))</f>
        <v>#REF!</v>
      </c>
      <c r="O153" s="583" t="e">
        <f ca="1">IF(DRIVE_Type="Direct",IF('Frame Dimensions - D'!O153="",0,'Frame Dimensions - D'!O153),IF('Frame Dimensions - C'!O153="",0,'Frame Dimensions - C'!O153))</f>
        <v>#REF!</v>
      </c>
      <c r="P153" s="660"/>
      <c r="Q153" s="1459"/>
      <c r="R153" s="644"/>
      <c r="S153" s="603"/>
      <c r="T153" s="603"/>
      <c r="U153" s="603"/>
      <c r="V153" s="603"/>
      <c r="W153" s="603"/>
      <c r="X153" s="603"/>
      <c r="Y153" s="603"/>
      <c r="Z153" s="603"/>
      <c r="AA153" s="603"/>
      <c r="AB153" s="603"/>
      <c r="AC153" s="603"/>
      <c r="AD153" s="603"/>
      <c r="AE153" s="603"/>
      <c r="AF153" s="603"/>
      <c r="AG153" s="603"/>
      <c r="AH153" s="603"/>
      <c r="AI153" s="603"/>
      <c r="AJ153" s="464"/>
    </row>
    <row r="154" spans="1:36" ht="14.45" customHeight="1">
      <c r="B154" s="604">
        <f>IF(DRIVE_Type="Direct",IF('Frame Dimensions - D'!B154="",0,'Frame Dimensions - D'!B154),IF('Frame Dimensions - C'!B154="",0,'Frame Dimensions - C'!B154))</f>
        <v>0</v>
      </c>
      <c r="C154" s="646">
        <f>IF(DRIVE_Type="Direct",IF('Frame Dimensions - D'!C154="",0,'Frame Dimensions - D'!C154),IF('Frame Dimensions - C'!C154="",0,'Frame Dimensions - C'!C154))</f>
        <v>0</v>
      </c>
      <c r="D154" s="493">
        <f>IF(DRIVE_Type="Direct",IF('Frame Dimensions - D'!D154="",0,'Frame Dimensions - D'!D154),IF('Frame Dimensions - C'!D154="",0,'Frame Dimensions - C'!D154))</f>
        <v>0</v>
      </c>
      <c r="E154" s="493">
        <f>IF(DRIVE_Type="Direct",IF('Frame Dimensions - D'!E154="",0,'Frame Dimensions - D'!E154),IF('Frame Dimensions - C'!E154="",0,'Frame Dimensions - C'!E154))</f>
        <v>0</v>
      </c>
      <c r="F154" s="493">
        <f>IF(DRIVE_Type="Direct",IF('Frame Dimensions - D'!F154="",0,'Frame Dimensions - D'!F154),IF('Frame Dimensions - C'!F154="",0,'Frame Dimensions - C'!F154))</f>
        <v>0</v>
      </c>
      <c r="G154" s="493">
        <f>IF(DRIVE_Type="Direct",IF('Frame Dimensions - D'!G154="",0,'Frame Dimensions - D'!G154),IF('Frame Dimensions - C'!G154="",0,'Frame Dimensions - C'!G154))</f>
        <v>0</v>
      </c>
      <c r="H154" s="493">
        <f>IF(DRIVE_Type="Direct",IF('Frame Dimensions - D'!H154="",0,'Frame Dimensions - D'!H154),IF('Frame Dimensions - C'!H154="",0,'Frame Dimensions - C'!H154))</f>
        <v>0</v>
      </c>
      <c r="I154" s="493">
        <f>IF(DRIVE_Type="Direct",IF('Frame Dimensions - D'!I154="",0,'Frame Dimensions - D'!I154),IF('Frame Dimensions - C'!I154="",0,'Frame Dimensions - C'!I154))</f>
        <v>0</v>
      </c>
      <c r="J154" s="609" t="e">
        <f ca="1">IF(DRIVE_Type="Direct",IF('Frame Dimensions - D'!J154="",0,'Frame Dimensions - D'!J154),IF('Frame Dimensions - C'!J154="",0,'Frame Dimensions - C'!J154))</f>
        <v>#REF!</v>
      </c>
      <c r="K154" s="493" t="e">
        <f ca="1">IF(DRIVE_Type="Direct",IF('Frame Dimensions - D'!K154="",0,'Frame Dimensions - D'!K154),IF('Frame Dimensions - C'!K154="",0,'Frame Dimensions - C'!K154))</f>
        <v>#REF!</v>
      </c>
      <c r="L154" s="608" t="e">
        <f ca="1">IF(DRIVE_Type="Direct",IF('Frame Dimensions - D'!L154="",0,'Frame Dimensions - D'!L154),IF('Frame Dimensions - C'!L154="",0,'Frame Dimensions - C'!L154))</f>
        <v>#REF!</v>
      </c>
      <c r="M154" s="492" t="e">
        <f ca="1">IF(DRIVE_Type="Direct",IF('Frame Dimensions - D'!M154="",0,'Frame Dimensions - D'!M154),IF('Frame Dimensions - C'!M154="",0,'Frame Dimensions - C'!M154))</f>
        <v>#REF!</v>
      </c>
      <c r="N154" s="608" t="e">
        <f ca="1">IF(DRIVE_Type="Direct",IF('Frame Dimensions - D'!N154="",0,'Frame Dimensions - D'!N154),IF('Frame Dimensions - C'!N154="",0,'Frame Dimensions - C'!N154))</f>
        <v>#REF!</v>
      </c>
      <c r="O154" s="583" t="e">
        <f ca="1">IF(DRIVE_Type="Direct",IF('Frame Dimensions - D'!O154="",0,'Frame Dimensions - D'!O154),IF('Frame Dimensions - C'!O154="",0,'Frame Dimensions - C'!O154))</f>
        <v>#REF!</v>
      </c>
      <c r="P154" s="660"/>
      <c r="Q154" s="1459"/>
      <c r="R154" s="644"/>
      <c r="S154" s="603"/>
      <c r="T154" s="603"/>
      <c r="U154" s="603"/>
      <c r="V154" s="603"/>
      <c r="W154" s="603"/>
      <c r="X154" s="603"/>
      <c r="Y154" s="603"/>
      <c r="Z154" s="603"/>
      <c r="AA154" s="603"/>
      <c r="AB154" s="603"/>
      <c r="AC154" s="603"/>
      <c r="AD154" s="603"/>
      <c r="AE154" s="603"/>
      <c r="AF154" s="603"/>
      <c r="AG154" s="603"/>
      <c r="AH154" s="603"/>
      <c r="AI154" s="603"/>
      <c r="AJ154" s="464"/>
    </row>
    <row r="155" spans="1:36">
      <c r="B155" s="604" t="str">
        <f>IF(DRIVE_Type="Direct",IF('Frame Dimensions - D'!B155="",0,'Frame Dimensions - D'!B155),IF('Frame Dimensions - C'!B155="",0,'Frame Dimensions - C'!B155))</f>
        <v>MMR1+</v>
      </c>
      <c r="C155" s="581">
        <f>IF(DRIVE_Type="Direct",IF('Frame Dimensions - D'!C155="",0,'Frame Dimensions - D'!C155),IF('Frame Dimensions - C'!C155="",0,'Frame Dimensions - C'!C155))</f>
        <v>0</v>
      </c>
      <c r="D155" s="493">
        <f>IF(DRIVE_Type="Direct",IF('Frame Dimensions - D'!D155="",0,'Frame Dimensions - D'!D155),IF('Frame Dimensions - C'!D155="",0,'Frame Dimensions - C'!D155))</f>
        <v>0</v>
      </c>
      <c r="E155" s="493">
        <f>IF(DRIVE_Type="Direct",IF('Frame Dimensions - D'!E155="",0,'Frame Dimensions - D'!E155),IF('Frame Dimensions - C'!E155="",0,'Frame Dimensions - C'!E155))</f>
        <v>0</v>
      </c>
      <c r="F155" s="493">
        <f>IF(DRIVE_Type="Direct",IF('Frame Dimensions - D'!F155="",0,'Frame Dimensions - D'!F155),IF('Frame Dimensions - C'!F155="",0,'Frame Dimensions - C'!F155))</f>
        <v>0</v>
      </c>
      <c r="G155" s="493">
        <f>IF(DRIVE_Type="Direct",IF('Frame Dimensions - D'!G155="",0,'Frame Dimensions - D'!G155),IF('Frame Dimensions - C'!G155="",0,'Frame Dimensions - C'!G155))</f>
        <v>0</v>
      </c>
      <c r="H155" s="493">
        <f>IF(DRIVE_Type="Direct",IF('Frame Dimensions - D'!H155="",0,'Frame Dimensions - D'!H155),IF('Frame Dimensions - C'!H155="",0,'Frame Dimensions - C'!H155))</f>
        <v>0</v>
      </c>
      <c r="I155" s="493">
        <f>IF(DRIVE_Type="Direct",IF('Frame Dimensions - D'!I155="",0,'Frame Dimensions - D'!I155),IF('Frame Dimensions - C'!I155="",0,'Frame Dimensions - C'!I155))</f>
        <v>0</v>
      </c>
      <c r="J155" s="492" t="e">
        <f ca="1">IF(DRIVE_Type="Direct",IF('Frame Dimensions - D'!J155="",0,'Frame Dimensions - D'!J155),IF('Frame Dimensions - C'!J155="",0,'Frame Dimensions - C'!J155))</f>
        <v>#REF!</v>
      </c>
      <c r="K155" s="493" t="e">
        <f ca="1">IF(DRIVE_Type="Direct",IF('Frame Dimensions - D'!K155="",0,'Frame Dimensions - D'!K155),IF('Frame Dimensions - C'!K155="",0,'Frame Dimensions - C'!K155))</f>
        <v>#REF!</v>
      </c>
      <c r="L155" s="493" t="e">
        <f ca="1">IF(DRIVE_Type="Direct",IF('Frame Dimensions - D'!L155="",0,'Frame Dimensions - D'!L155),IF('Frame Dimensions - C'!L155="",0,'Frame Dimensions - C'!L155))</f>
        <v>#REF!</v>
      </c>
      <c r="M155" s="609" t="e">
        <f ca="1">IF(DRIVE_Type="Direct",IF('Frame Dimensions - D'!M155="",0,'Frame Dimensions - D'!M155),IF('Frame Dimensions - C'!M155="",0,'Frame Dimensions - C'!M155))</f>
        <v>#REF!</v>
      </c>
      <c r="N155" s="493" t="e">
        <f ca="1">IF(DRIVE_Type="Direct",IF('Frame Dimensions - D'!N155="",0,'Frame Dimensions - D'!N155),IF('Frame Dimensions - C'!N155="",0,'Frame Dimensions - C'!N155))</f>
        <v>#REF!</v>
      </c>
      <c r="O155" s="611" t="e">
        <f ca="1">IF(DRIVE_Type="Direct",IF('Frame Dimensions - D'!O155="",0,'Frame Dimensions - D'!O155),IF('Frame Dimensions - C'!O155="",0,'Frame Dimensions - C'!O155))</f>
        <v>#REF!</v>
      </c>
      <c r="P155" s="660"/>
      <c r="Q155" s="1459"/>
      <c r="R155" s="644"/>
      <c r="S155" s="603"/>
      <c r="T155" s="603"/>
      <c r="U155" s="603"/>
      <c r="V155" s="603"/>
      <c r="W155" s="603"/>
      <c r="X155" s="603"/>
      <c r="Y155" s="603"/>
      <c r="Z155" s="603"/>
      <c r="AA155" s="603"/>
      <c r="AB155" s="603"/>
      <c r="AC155" s="603"/>
      <c r="AD155" s="603"/>
      <c r="AE155" s="603"/>
      <c r="AF155" s="603"/>
      <c r="AG155" s="603"/>
      <c r="AH155" s="603"/>
      <c r="AI155" s="603"/>
      <c r="AJ155" s="464"/>
    </row>
    <row r="156" spans="1:36">
      <c r="A156" s="604"/>
      <c r="B156" s="604" t="str">
        <f>IF(DRIVE_Type="Direct",IF('Frame Dimensions - D'!B156="",0,'Frame Dimensions - D'!B156),IF('Frame Dimensions - C'!B156="",0,'Frame Dimensions - C'!B156))</f>
        <v>MMR2+</v>
      </c>
      <c r="C156" s="646">
        <f>IF(DRIVE_Type="Direct",IF('Frame Dimensions - D'!C156="",0,'Frame Dimensions - D'!C156),IF('Frame Dimensions - C'!C156="",0,'Frame Dimensions - C'!C156))</f>
        <v>0</v>
      </c>
      <c r="D156" s="493">
        <f>IF(DRIVE_Type="Direct",IF('Frame Dimensions - D'!D156="",0,'Frame Dimensions - D'!D156),IF('Frame Dimensions - C'!D156="",0,'Frame Dimensions - C'!D156))</f>
        <v>0</v>
      </c>
      <c r="E156" s="493">
        <f>IF(DRIVE_Type="Direct",IF('Frame Dimensions - D'!E156="",0,'Frame Dimensions - D'!E156),IF('Frame Dimensions - C'!E156="",0,'Frame Dimensions - C'!E156))</f>
        <v>0</v>
      </c>
      <c r="F156" s="493">
        <f>IF(DRIVE_Type="Direct",IF('Frame Dimensions - D'!F156="",0,'Frame Dimensions - D'!F156),IF('Frame Dimensions - C'!F156="",0,'Frame Dimensions - C'!F156))</f>
        <v>0</v>
      </c>
      <c r="G156" s="493">
        <f>IF(DRIVE_Type="Direct",IF('Frame Dimensions - D'!G156="",0,'Frame Dimensions - D'!G156),IF('Frame Dimensions - C'!G156="",0,'Frame Dimensions - C'!G156))</f>
        <v>0</v>
      </c>
      <c r="H156" s="493">
        <f>IF(DRIVE_Type="Direct",IF('Frame Dimensions - D'!H156="",0,'Frame Dimensions - D'!H156),IF('Frame Dimensions - C'!H156="",0,'Frame Dimensions - C'!H156))</f>
        <v>0</v>
      </c>
      <c r="I156" s="493">
        <f>IF(DRIVE_Type="Direct",IF('Frame Dimensions - D'!I156="",0,'Frame Dimensions - D'!I156),IF('Frame Dimensions - C'!I156="",0,'Frame Dimensions - C'!I156))</f>
        <v>0</v>
      </c>
      <c r="J156" s="492" t="e">
        <f ca="1">IF(DRIVE_Type="Direct",IF('Frame Dimensions - D'!J156="",0,'Frame Dimensions - D'!J156),IF('Frame Dimensions - C'!J156="",0,'Frame Dimensions - C'!J156))</f>
        <v>#REF!</v>
      </c>
      <c r="K156" s="608" t="e">
        <f ca="1">IF(DRIVE_Type="Direct",IF('Frame Dimensions - D'!K156="",0,'Frame Dimensions - D'!K156),IF('Frame Dimensions - C'!K156="",0,'Frame Dimensions - C'!K156))</f>
        <v>#REF!</v>
      </c>
      <c r="L156" s="608" t="e">
        <f ca="1">IF(DRIVE_Type="Direct",IF('Frame Dimensions - D'!L156="",0,'Frame Dimensions - D'!L156),IF('Frame Dimensions - C'!L156="",0,'Frame Dimensions - C'!L156))</f>
        <v>#REF!</v>
      </c>
      <c r="M156" s="609" t="e">
        <f ca="1">IF(DRIVE_Type="Direct",IF('Frame Dimensions - D'!M156="",0,'Frame Dimensions - D'!M156),IF('Frame Dimensions - C'!M156="",0,'Frame Dimensions - C'!M156))</f>
        <v>#REF!</v>
      </c>
      <c r="N156" s="608" t="e">
        <f ca="1">IF(DRIVE_Type="Direct",IF('Frame Dimensions - D'!N156="",0,'Frame Dimensions - D'!N156),IF('Frame Dimensions - C'!N156="",0,'Frame Dimensions - C'!N156))</f>
        <v>#REF!</v>
      </c>
      <c r="O156" s="611" t="e">
        <f ca="1">IF(DRIVE_Type="Direct",IF('Frame Dimensions - D'!O156="",0,'Frame Dimensions - D'!O156),IF('Frame Dimensions - C'!O156="",0,'Frame Dimensions - C'!O156))</f>
        <v>#REF!</v>
      </c>
      <c r="P156" s="660"/>
      <c r="Q156" s="1459"/>
      <c r="R156" s="644"/>
      <c r="S156" s="603"/>
      <c r="T156" s="603"/>
      <c r="U156" s="639"/>
      <c r="V156" s="603"/>
      <c r="W156" s="603"/>
      <c r="X156" s="603"/>
      <c r="Y156" s="603"/>
      <c r="Z156" s="637"/>
      <c r="AA156" s="637"/>
      <c r="AB156" s="637"/>
      <c r="AC156" s="637"/>
      <c r="AD156" s="637"/>
      <c r="AE156" s="637"/>
      <c r="AF156" s="580"/>
      <c r="AG156" s="580"/>
      <c r="AH156" s="580"/>
      <c r="AI156" s="580"/>
      <c r="AJ156" s="464"/>
    </row>
    <row r="157" spans="1:36">
      <c r="A157" s="622"/>
      <c r="B157" s="604" t="str">
        <f>IF(DRIVE_Type="Direct",IF('Frame Dimensions - D'!B157="",0,'Frame Dimensions - D'!B157),IF('Frame Dimensions - C'!B157="",0,'Frame Dimensions - C'!B157))</f>
        <v>MMR1-</v>
      </c>
      <c r="C157" s="581">
        <f>IF(DRIVE_Type="Direct",IF('Frame Dimensions - D'!C157="",0,'Frame Dimensions - D'!C157),IF('Frame Dimensions - C'!C157="",0,'Frame Dimensions - C'!C157))</f>
        <v>0</v>
      </c>
      <c r="D157" s="493">
        <f>IF(DRIVE_Type="Direct",IF('Frame Dimensions - D'!D157="",0,'Frame Dimensions - D'!D157),IF('Frame Dimensions - C'!D157="",0,'Frame Dimensions - C'!D157))</f>
        <v>0</v>
      </c>
      <c r="E157" s="493">
        <f>IF(DRIVE_Type="Direct",IF('Frame Dimensions - D'!E157="",0,'Frame Dimensions - D'!E157),IF('Frame Dimensions - C'!E157="",0,'Frame Dimensions - C'!E157))</f>
        <v>0</v>
      </c>
      <c r="F157" s="493">
        <f>IF(DRIVE_Type="Direct",IF('Frame Dimensions - D'!F157="",0,'Frame Dimensions - D'!F157),IF('Frame Dimensions - C'!F157="",0,'Frame Dimensions - C'!F157))</f>
        <v>0</v>
      </c>
      <c r="G157" s="493">
        <f>IF(DRIVE_Type="Direct",IF('Frame Dimensions - D'!G157="",0,'Frame Dimensions - D'!G157),IF('Frame Dimensions - C'!G157="",0,'Frame Dimensions - C'!G157))</f>
        <v>0</v>
      </c>
      <c r="H157" s="493">
        <f>IF(DRIVE_Type="Direct",IF('Frame Dimensions - D'!H157="",0,'Frame Dimensions - D'!H157),IF('Frame Dimensions - C'!H157="",0,'Frame Dimensions - C'!H157))</f>
        <v>0</v>
      </c>
      <c r="I157" s="493">
        <f>IF(DRIVE_Type="Direct",IF('Frame Dimensions - D'!I157="",0,'Frame Dimensions - D'!I157),IF('Frame Dimensions - C'!I157="",0,'Frame Dimensions - C'!I157))</f>
        <v>0</v>
      </c>
      <c r="J157" s="609" t="e">
        <f ca="1">IF(DRIVE_Type="Direct",IF('Frame Dimensions - D'!J157="",0,'Frame Dimensions - D'!J157),IF('Frame Dimensions - C'!J157="",0,'Frame Dimensions - C'!J157))</f>
        <v>#REF!</v>
      </c>
      <c r="K157" s="608" t="e">
        <f ca="1">IF(DRIVE_Type="Direct",IF('Frame Dimensions - D'!K157="",0,'Frame Dimensions - D'!K157),IF('Frame Dimensions - C'!K157="",0,'Frame Dimensions - C'!K157))</f>
        <v>#REF!</v>
      </c>
      <c r="L157" s="493" t="e">
        <f ca="1">IF(DRIVE_Type="Direct",IF('Frame Dimensions - D'!L157="",0,'Frame Dimensions - D'!L157),IF('Frame Dimensions - C'!L157="",0,'Frame Dimensions - C'!L157))</f>
        <v>#REF!</v>
      </c>
      <c r="M157" s="609" t="e">
        <f ca="1">IF(DRIVE_Type="Direct",IF('Frame Dimensions - D'!M157="",0,'Frame Dimensions - D'!M157),IF('Frame Dimensions - C'!M157="",0,'Frame Dimensions - C'!M157))</f>
        <v>#REF!</v>
      </c>
      <c r="N157" s="608" t="e">
        <f ca="1">IF(DRIVE_Type="Direct",IF('Frame Dimensions - D'!N157="",0,'Frame Dimensions - D'!N157),IF('Frame Dimensions - C'!N157="",0,'Frame Dimensions - C'!N157))</f>
        <v>#REF!</v>
      </c>
      <c r="O157" s="583" t="e">
        <f ca="1">IF(DRIVE_Type="Direct",IF('Frame Dimensions - D'!O157="",0,'Frame Dimensions - D'!O157),IF('Frame Dimensions - C'!O157="",0,'Frame Dimensions - C'!O157))</f>
        <v>#REF!</v>
      </c>
      <c r="P157" s="660"/>
      <c r="Q157" s="1459"/>
      <c r="R157" s="640"/>
      <c r="S157" s="580"/>
      <c r="T157" s="580"/>
      <c r="U157" s="636"/>
      <c r="V157" s="636"/>
      <c r="W157" s="636"/>
      <c r="X157" s="636"/>
      <c r="Y157" s="636"/>
      <c r="Z157" s="637"/>
      <c r="AA157" s="637"/>
      <c r="AB157" s="637"/>
      <c r="AC157" s="637"/>
      <c r="AD157" s="637"/>
      <c r="AE157" s="637"/>
      <c r="AF157" s="580"/>
      <c r="AG157" s="580"/>
      <c r="AH157" s="580"/>
      <c r="AI157" s="580"/>
      <c r="AJ157" s="464"/>
    </row>
    <row r="158" spans="1:36" ht="15.75" thickBot="1">
      <c r="A158" s="604"/>
      <c r="B158" s="604" t="str">
        <f>IF(DRIVE_Type="Direct",IF('Frame Dimensions - D'!B158="",0,'Frame Dimensions - D'!B158),IF('Frame Dimensions - C'!B158="",0,'Frame Dimensions - C'!B158))</f>
        <v>MMR2-</v>
      </c>
      <c r="C158" s="646">
        <f>IF(DRIVE_Type="Direct",IF('Frame Dimensions - D'!C158="",0,'Frame Dimensions - D'!C158),IF('Frame Dimensions - C'!C158="",0,'Frame Dimensions - C'!C158))</f>
        <v>0</v>
      </c>
      <c r="D158" s="493">
        <f>IF(DRIVE_Type="Direct",IF('Frame Dimensions - D'!D158="",0,'Frame Dimensions - D'!D158),IF('Frame Dimensions - C'!D158="",0,'Frame Dimensions - C'!D158))</f>
        <v>0</v>
      </c>
      <c r="E158" s="493">
        <f>IF(DRIVE_Type="Direct",IF('Frame Dimensions - D'!E158="",0,'Frame Dimensions - D'!E158),IF('Frame Dimensions - C'!E158="",0,'Frame Dimensions - C'!E158))</f>
        <v>0</v>
      </c>
      <c r="F158" s="493">
        <f>IF(DRIVE_Type="Direct",IF('Frame Dimensions - D'!F158="",0,'Frame Dimensions - D'!F158),IF('Frame Dimensions - C'!F158="",0,'Frame Dimensions - C'!F158))</f>
        <v>0</v>
      </c>
      <c r="G158" s="493">
        <f>IF(DRIVE_Type="Direct",IF('Frame Dimensions - D'!G158="",0,'Frame Dimensions - D'!G158),IF('Frame Dimensions - C'!G158="",0,'Frame Dimensions - C'!G158))</f>
        <v>0</v>
      </c>
      <c r="H158" s="493">
        <f>IF(DRIVE_Type="Direct",IF('Frame Dimensions - D'!H158="",0,'Frame Dimensions - D'!H158),IF('Frame Dimensions - C'!H158="",0,'Frame Dimensions - C'!H158))</f>
        <v>0</v>
      </c>
      <c r="I158" s="493">
        <f>IF(DRIVE_Type="Direct",IF('Frame Dimensions - D'!I158="",0,'Frame Dimensions - D'!I158),IF('Frame Dimensions - C'!I158="",0,'Frame Dimensions - C'!I158))</f>
        <v>0</v>
      </c>
      <c r="J158" s="609" t="e">
        <f ca="1">IF(DRIVE_Type="Direct",IF('Frame Dimensions - D'!J158="",0,'Frame Dimensions - D'!J158),IF('Frame Dimensions - C'!J158="",0,'Frame Dimensions - C'!J158))</f>
        <v>#REF!</v>
      </c>
      <c r="K158" s="608" t="e">
        <f ca="1">IF(DRIVE_Type="Direct",IF('Frame Dimensions - D'!K158="",0,'Frame Dimensions - D'!K158),IF('Frame Dimensions - C'!K158="",0,'Frame Dimensions - C'!K158))</f>
        <v>#REF!</v>
      </c>
      <c r="L158" s="493" t="e">
        <f ca="1">IF(DRIVE_Type="Direct",IF('Frame Dimensions - D'!L158="",0,'Frame Dimensions - D'!L158),IF('Frame Dimensions - C'!L158="",0,'Frame Dimensions - C'!L158))</f>
        <v>#REF!</v>
      </c>
      <c r="M158" s="609" t="e">
        <f ca="1">IF(DRIVE_Type="Direct",IF('Frame Dimensions - D'!M158="",0,'Frame Dimensions - D'!M158),IF('Frame Dimensions - C'!M158="",0,'Frame Dimensions - C'!M158))</f>
        <v>#REF!</v>
      </c>
      <c r="N158" s="608" t="e">
        <f ca="1">IF(DRIVE_Type="Direct",IF('Frame Dimensions - D'!N158="",0,'Frame Dimensions - D'!N158),IF('Frame Dimensions - C'!N158="",0,'Frame Dimensions - C'!N158))</f>
        <v>#REF!</v>
      </c>
      <c r="O158" s="583" t="e">
        <f ca="1">IF(DRIVE_Type="Direct",IF('Frame Dimensions - D'!O158="",0,'Frame Dimensions - D'!O158),IF('Frame Dimensions - C'!O158="",0,'Frame Dimensions - C'!O158))</f>
        <v>#REF!</v>
      </c>
      <c r="P158" s="660"/>
      <c r="Q158" s="1459"/>
      <c r="R158" s="644"/>
      <c r="S158" s="603"/>
      <c r="T158" s="603"/>
      <c r="U158" s="639"/>
      <c r="V158" s="603"/>
      <c r="W158" s="603"/>
      <c r="X158" s="603"/>
      <c r="Y158" s="603"/>
      <c r="Z158" s="637"/>
      <c r="AA158" s="637"/>
      <c r="AB158" s="637"/>
      <c r="AC158" s="637"/>
      <c r="AD158" s="637"/>
      <c r="AE158" s="637"/>
      <c r="AF158" s="580"/>
      <c r="AG158" s="580"/>
      <c r="AH158" s="580"/>
      <c r="AI158" s="580"/>
      <c r="AJ158" s="464"/>
    </row>
    <row r="159" spans="1:36">
      <c r="A159" s="665"/>
      <c r="B159" s="671">
        <f>IF(DRIVE_Type="Direct",IF('Frame Dimensions - D'!B159="",0,'Frame Dimensions - D'!B159),IF('Frame Dimensions - C'!B159="",0,'Frame Dimensions - C'!B159))</f>
        <v>0</v>
      </c>
      <c r="C159" s="672">
        <f>IF(DRIVE_Type="Direct",IF('Frame Dimensions - D'!C159="",0,'Frame Dimensions - D'!C159),IF('Frame Dimensions - C'!C159="",0,'Frame Dimensions - C'!C159))</f>
        <v>0</v>
      </c>
      <c r="D159" s="673">
        <f>IF(DRIVE_Type="Direct",IF('Frame Dimensions - D'!D159="",0,'Frame Dimensions - D'!D159),IF('Frame Dimensions - C'!D159="",0,'Frame Dimensions - C'!D159))</f>
        <v>0</v>
      </c>
      <c r="E159" s="673">
        <f>IF(DRIVE_Type="Direct",IF('Frame Dimensions - D'!E159="",0,'Frame Dimensions - D'!E159),IF('Frame Dimensions - C'!E159="",0,'Frame Dimensions - C'!E159))</f>
        <v>0</v>
      </c>
      <c r="F159" s="673">
        <f>IF(DRIVE_Type="Direct",IF('Frame Dimensions - D'!F159="",0,'Frame Dimensions - D'!F159),IF('Frame Dimensions - C'!F159="",0,'Frame Dimensions - C'!F159))</f>
        <v>0</v>
      </c>
      <c r="G159" s="673">
        <f>IF(DRIVE_Type="Direct",IF('Frame Dimensions - D'!G159="",0,'Frame Dimensions - D'!G159),IF('Frame Dimensions - C'!G159="",0,'Frame Dimensions - C'!G159))</f>
        <v>0</v>
      </c>
      <c r="H159" s="673">
        <f>IF(DRIVE_Type="Direct",IF('Frame Dimensions - D'!H159="",0,'Frame Dimensions - D'!H159),IF('Frame Dimensions - C'!H159="",0,'Frame Dimensions - C'!H159))</f>
        <v>0</v>
      </c>
      <c r="I159" s="672">
        <f>IF(DRIVE_Type="Direct",IF('Frame Dimensions - D'!I159="",0,'Frame Dimensions - D'!I159),IF('Frame Dimensions - C'!I159="",0,'Frame Dimensions - C'!I159))</f>
        <v>0</v>
      </c>
      <c r="J159" s="668" t="str">
        <f>IF(DRIVE_Type="Direct",IF('Frame Dimensions - D'!J159="",0,'Frame Dimensions - D'!J159),IF('Frame Dimensions - C'!J159="",0,'Frame Dimensions - C'!J159))</f>
        <v>X</v>
      </c>
      <c r="K159" s="667" t="str">
        <f>IF(DRIVE_Type="Direct",IF('Frame Dimensions - D'!K159="",0,'Frame Dimensions - D'!K159),IF('Frame Dimensions - C'!K159="",0,'Frame Dimensions - C'!K159))</f>
        <v>Y</v>
      </c>
      <c r="L159" s="667" t="str">
        <f>IF(DRIVE_Type="Direct",IF('Frame Dimensions - D'!L159="",0,'Frame Dimensions - D'!L159),IF('Frame Dimensions - C'!L159="",0,'Frame Dimensions - C'!L159))</f>
        <v>Z</v>
      </c>
      <c r="M159" s="668" t="str">
        <f>IF(DRIVE_Type="Direct",IF('Frame Dimensions - D'!M159="",0,'Frame Dimensions - D'!M159),IF('Frame Dimensions - C'!M159="",0,'Frame Dimensions - C'!M159))</f>
        <v>X</v>
      </c>
      <c r="N159" s="667" t="str">
        <f>IF(DRIVE_Type="Direct",IF('Frame Dimensions - D'!N159="",0,'Frame Dimensions - D'!N159),IF('Frame Dimensions - C'!N159="",0,'Frame Dimensions - C'!N159))</f>
        <v>Y</v>
      </c>
      <c r="O159" s="669" t="str">
        <f>IF(DRIVE_Type="Direct",IF('Frame Dimensions - D'!O159="",0,'Frame Dimensions - D'!O159),IF('Frame Dimensions - C'!O159="",0,'Frame Dimensions - C'!O159))</f>
        <v>Z</v>
      </c>
      <c r="P159" s="674"/>
      <c r="Q159" s="1463"/>
      <c r="R159" s="640"/>
      <c r="S159" s="580"/>
      <c r="T159" s="580"/>
      <c r="U159" s="636"/>
      <c r="V159" s="636"/>
      <c r="W159" s="636"/>
      <c r="X159" s="636"/>
      <c r="Y159" s="636"/>
      <c r="Z159" s="637"/>
      <c r="AA159" s="637"/>
      <c r="AB159" s="637"/>
      <c r="AC159" s="637"/>
      <c r="AD159" s="637"/>
      <c r="AE159" s="637"/>
      <c r="AF159" s="580"/>
      <c r="AG159" s="580"/>
      <c r="AH159" s="580"/>
      <c r="AI159" s="580"/>
      <c r="AJ159" s="464"/>
    </row>
    <row r="160" spans="1:36">
      <c r="A160" s="675" t="s">
        <v>293</v>
      </c>
      <c r="B160" s="604">
        <f>IF(DRIVE_Type="Direct",IF('Frame Dimensions - D'!B160="",0,'Frame Dimensions - D'!B160),IF('Frame Dimensions - C'!B160="",0,'Frame Dimensions - C'!B160))</f>
        <v>0</v>
      </c>
      <c r="C160" s="646">
        <f>IF(DRIVE_Type="Direct",IF('Frame Dimensions - D'!C160="",0,'Frame Dimensions - D'!C160),IF('Frame Dimensions - C'!C160="",0,'Frame Dimensions - C'!C160))</f>
        <v>0</v>
      </c>
      <c r="D160" s="493">
        <f>IF(DRIVE_Type="Direct",IF('Frame Dimensions - D'!D160="",0,'Frame Dimensions - D'!D160),IF('Frame Dimensions - C'!D160="",0,'Frame Dimensions - C'!D160))</f>
        <v>0</v>
      </c>
      <c r="E160" s="493">
        <f>IF(DRIVE_Type="Direct",IF('Frame Dimensions - D'!E160="",0,'Frame Dimensions - D'!E160),IF('Frame Dimensions - C'!E160="",0,'Frame Dimensions - C'!E160))</f>
        <v>0</v>
      </c>
      <c r="F160" s="493">
        <f>IF(DRIVE_Type="Direct",IF('Frame Dimensions - D'!F160="",0,'Frame Dimensions - D'!F160),IF('Frame Dimensions - C'!F160="",0,'Frame Dimensions - C'!F160))</f>
        <v>0</v>
      </c>
      <c r="G160" s="493">
        <f>IF(DRIVE_Type="Direct",IF('Frame Dimensions - D'!G160="",0,'Frame Dimensions - D'!G160),IF('Frame Dimensions - C'!G160="",0,'Frame Dimensions - C'!G160))</f>
        <v>0</v>
      </c>
      <c r="H160" s="493">
        <f>IF(DRIVE_Type="Direct",IF('Frame Dimensions - D'!H160="",0,'Frame Dimensions - D'!H160),IF('Frame Dimensions - C'!H160="",0,'Frame Dimensions - C'!H160))</f>
        <v>0</v>
      </c>
      <c r="I160" s="581">
        <f>IF(DRIVE_Type="Direct",IF('Frame Dimensions - D'!I160="",0,'Frame Dimensions - D'!I160),IF('Frame Dimensions - C'!I160="",0,'Frame Dimensions - C'!I160))</f>
        <v>0</v>
      </c>
      <c r="J160" s="492">
        <f>IF(DRIVE_Type="Direct",IF('Frame Dimensions - D'!J160="",0,'Frame Dimensions - D'!J160),IF('Frame Dimensions - C'!J160="",0,'Frame Dimensions - C'!J160))</f>
        <v>0</v>
      </c>
      <c r="K160" s="493">
        <f>IF(DRIVE_Type="Direct",IF('Frame Dimensions - D'!K160="",0,'Frame Dimensions - D'!K160),IF('Frame Dimensions - C'!K160="",0,'Frame Dimensions - C'!K160))</f>
        <v>0</v>
      </c>
      <c r="L160" s="493">
        <f>IF(DRIVE_Type="Direct",IF('Frame Dimensions - D'!L160="",0,'Frame Dimensions - D'!L160),IF('Frame Dimensions - C'!L160="",0,'Frame Dimensions - C'!L160))</f>
        <v>0</v>
      </c>
      <c r="M160" s="492">
        <f>IF(DRIVE_Type="Direct",IF('Frame Dimensions - D'!M160="",0,'Frame Dimensions - D'!M160),IF('Frame Dimensions - C'!M160="",0,'Frame Dimensions - C'!M160))</f>
        <v>0</v>
      </c>
      <c r="N160" s="493">
        <f>IF(DRIVE_Type="Direct",IF('Frame Dimensions - D'!N160="",0,'Frame Dimensions - D'!N160),IF('Frame Dimensions - C'!N160="",0,'Frame Dimensions - C'!N160))</f>
        <v>0</v>
      </c>
      <c r="O160" s="583">
        <f>IF(DRIVE_Type="Direct",IF('Frame Dimensions - D'!O160="",0,'Frame Dimensions - D'!O160),IF('Frame Dimensions - C'!O160="",0,'Frame Dimensions - C'!O160))</f>
        <v>0</v>
      </c>
      <c r="P160" s="660"/>
      <c r="Q160" s="1459"/>
      <c r="R160" s="644"/>
      <c r="S160" s="603"/>
      <c r="T160" s="603"/>
      <c r="U160" s="639"/>
      <c r="V160" s="603"/>
      <c r="W160" s="603"/>
      <c r="X160" s="603"/>
      <c r="Y160" s="603"/>
      <c r="Z160" s="637"/>
      <c r="AA160" s="637"/>
      <c r="AB160" s="637"/>
      <c r="AC160" s="637"/>
      <c r="AD160" s="637"/>
      <c r="AE160" s="637"/>
      <c r="AF160" s="580"/>
      <c r="AG160" s="580"/>
      <c r="AH160" s="580"/>
      <c r="AI160" s="580"/>
      <c r="AJ160" s="464"/>
    </row>
    <row r="161" spans="1:36">
      <c r="A161" s="622"/>
      <c r="B161" s="604">
        <f>IF(DRIVE_Type="Direct",IF('Frame Dimensions - D'!B161="",0,'Frame Dimensions - D'!B161),IF('Frame Dimensions - C'!B161="",0,'Frame Dimensions - C'!B161))</f>
        <v>0</v>
      </c>
      <c r="C161" s="581">
        <f>IF(DRIVE_Type="Direct",IF('Frame Dimensions - D'!C161="",0,'Frame Dimensions - D'!C161),IF('Frame Dimensions - C'!C161="",0,'Frame Dimensions - C'!C161))</f>
        <v>0</v>
      </c>
      <c r="D161" s="493">
        <f>IF(DRIVE_Type="Direct",IF('Frame Dimensions - D'!D161="",0,'Frame Dimensions - D'!D161),IF('Frame Dimensions - C'!D161="",0,'Frame Dimensions - C'!D161))</f>
        <v>0</v>
      </c>
      <c r="E161" s="493">
        <f>IF(DRIVE_Type="Direct",IF('Frame Dimensions - D'!E161="",0,'Frame Dimensions - D'!E161),IF('Frame Dimensions - C'!E161="",0,'Frame Dimensions - C'!E161))</f>
        <v>0</v>
      </c>
      <c r="F161" s="493">
        <f>IF(DRIVE_Type="Direct",IF('Frame Dimensions - D'!F161="",0,'Frame Dimensions - D'!F161),IF('Frame Dimensions - C'!F161="",0,'Frame Dimensions - C'!F161))</f>
        <v>0</v>
      </c>
      <c r="G161" s="493">
        <f>IF(DRIVE_Type="Direct",IF('Frame Dimensions - D'!G161="",0,'Frame Dimensions - D'!G161),IF('Frame Dimensions - C'!G161="",0,'Frame Dimensions - C'!G161))</f>
        <v>0</v>
      </c>
      <c r="H161" s="493">
        <f>IF(DRIVE_Type="Direct",IF('Frame Dimensions - D'!H161="",0,'Frame Dimensions - D'!H161),IF('Frame Dimensions - C'!H161="",0,'Frame Dimensions - C'!H161))</f>
        <v>0</v>
      </c>
      <c r="I161" s="581">
        <f>IF(DRIVE_Type="Direct",IF('Frame Dimensions - D'!I161="",0,'Frame Dimensions - D'!I161),IF('Frame Dimensions - C'!I161="",0,'Frame Dimensions - C'!I161))</f>
        <v>0</v>
      </c>
      <c r="J161" s="492">
        <f>IF(DRIVE_Type="Direct",IF('Frame Dimensions - D'!J161="",0,'Frame Dimensions - D'!J161),IF('Frame Dimensions - C'!J161="",0,'Frame Dimensions - C'!J161))</f>
        <v>0</v>
      </c>
      <c r="K161" s="493">
        <f>IF(DRIVE_Type="Direct",IF('Frame Dimensions - D'!K161="",0,'Frame Dimensions - D'!K161),IF('Frame Dimensions - C'!K161="",0,'Frame Dimensions - C'!K161))</f>
        <v>0</v>
      </c>
      <c r="L161" s="493">
        <f>IF(DRIVE_Type="Direct",IF('Frame Dimensions - D'!L161="",0,'Frame Dimensions - D'!L161),IF('Frame Dimensions - C'!L161="",0,'Frame Dimensions - C'!L161))</f>
        <v>0</v>
      </c>
      <c r="M161" s="609">
        <f>IF(DRIVE_Type="Direct",IF('Frame Dimensions - D'!M161="",0,'Frame Dimensions - D'!M161),IF('Frame Dimensions - C'!M161="",0,'Frame Dimensions - C'!M161))</f>
        <v>0</v>
      </c>
      <c r="N161" s="493">
        <f>IF(DRIVE_Type="Direct",IF('Frame Dimensions - D'!N161="",0,'Frame Dimensions - D'!N161),IF('Frame Dimensions - C'!N161="",0,'Frame Dimensions - C'!N161))</f>
        <v>0</v>
      </c>
      <c r="O161" s="611">
        <f>IF(DRIVE_Type="Direct",IF('Frame Dimensions - D'!O161="",0,'Frame Dimensions - D'!O161),IF('Frame Dimensions - C'!O161="",0,'Frame Dimensions - C'!O161))</f>
        <v>0</v>
      </c>
      <c r="P161" s="660"/>
      <c r="Q161" s="1459"/>
      <c r="R161" s="640"/>
      <c r="S161" s="580"/>
      <c r="T161" s="580"/>
      <c r="U161" s="636"/>
      <c r="V161" s="636"/>
      <c r="W161" s="636"/>
      <c r="X161" s="636"/>
      <c r="Y161" s="636"/>
      <c r="Z161" s="637"/>
      <c r="AA161" s="637"/>
      <c r="AB161" s="637"/>
      <c r="AC161" s="637"/>
      <c r="AD161" s="637"/>
      <c r="AE161" s="637"/>
      <c r="AF161" s="580"/>
      <c r="AG161" s="580"/>
      <c r="AH161" s="580"/>
      <c r="AI161" s="580"/>
      <c r="AJ161" s="464"/>
    </row>
    <row r="162" spans="1:36">
      <c r="A162" s="604"/>
      <c r="B162" s="604">
        <f>IF(DRIVE_Type="Direct",IF('Frame Dimensions - D'!B162="",0,'Frame Dimensions - D'!B162),IF('Frame Dimensions - C'!B162="",0,'Frame Dimensions - C'!B162))</f>
        <v>0</v>
      </c>
      <c r="C162" s="646">
        <f>IF(DRIVE_Type="Direct",IF('Frame Dimensions - D'!C162="",0,'Frame Dimensions - D'!C162),IF('Frame Dimensions - C'!C162="",0,'Frame Dimensions - C'!C162))</f>
        <v>0</v>
      </c>
      <c r="D162" s="493">
        <f>IF(DRIVE_Type="Direct",IF('Frame Dimensions - D'!D162="",0,'Frame Dimensions - D'!D162),IF('Frame Dimensions - C'!D162="",0,'Frame Dimensions - C'!D162))</f>
        <v>0</v>
      </c>
      <c r="E162" s="493">
        <f>IF(DRIVE_Type="Direct",IF('Frame Dimensions - D'!E162="",0,'Frame Dimensions - D'!E162),IF('Frame Dimensions - C'!E162="",0,'Frame Dimensions - C'!E162))</f>
        <v>0</v>
      </c>
      <c r="F162" s="493">
        <f>IF(DRIVE_Type="Direct",IF('Frame Dimensions - D'!F162="",0,'Frame Dimensions - D'!F162),IF('Frame Dimensions - C'!F162="",0,'Frame Dimensions - C'!F162))</f>
        <v>0</v>
      </c>
      <c r="G162" s="493">
        <f>IF(DRIVE_Type="Direct",IF('Frame Dimensions - D'!G162="",0,'Frame Dimensions - D'!G162),IF('Frame Dimensions - C'!G162="",0,'Frame Dimensions - C'!G162))</f>
        <v>0</v>
      </c>
      <c r="H162" s="493">
        <f>IF(DRIVE_Type="Direct",IF('Frame Dimensions - D'!H162="",0,'Frame Dimensions - D'!H162),IF('Frame Dimensions - C'!H162="",0,'Frame Dimensions - C'!H162))</f>
        <v>0</v>
      </c>
      <c r="I162" s="493">
        <f>IF(DRIVE_Type="Direct",IF('Frame Dimensions - D'!I162="",0,'Frame Dimensions - D'!I162),IF('Frame Dimensions - C'!I162="",0,'Frame Dimensions - C'!I162))</f>
        <v>0</v>
      </c>
      <c r="J162" s="492">
        <f>IF(DRIVE_Type="Direct",IF('Frame Dimensions - D'!J162="",0,'Frame Dimensions - D'!J162),IF('Frame Dimensions - C'!J162="",0,'Frame Dimensions - C'!J162))</f>
        <v>0</v>
      </c>
      <c r="K162" s="608">
        <f>IF(DRIVE_Type="Direct",IF('Frame Dimensions - D'!K162="",0,'Frame Dimensions - D'!K162),IF('Frame Dimensions - C'!K162="",0,'Frame Dimensions - C'!K162))</f>
        <v>0</v>
      </c>
      <c r="L162" s="608">
        <f>IF(DRIVE_Type="Direct",IF('Frame Dimensions - D'!L162="",0,'Frame Dimensions - D'!L162),IF('Frame Dimensions - C'!L162="",0,'Frame Dimensions - C'!L162))</f>
        <v>0</v>
      </c>
      <c r="M162" s="609">
        <f>IF(DRIVE_Type="Direct",IF('Frame Dimensions - D'!M162="",0,'Frame Dimensions - D'!M162),IF('Frame Dimensions - C'!M162="",0,'Frame Dimensions - C'!M162))</f>
        <v>0</v>
      </c>
      <c r="N162" s="608">
        <f>IF(DRIVE_Type="Direct",IF('Frame Dimensions - D'!N162="",0,'Frame Dimensions - D'!N162),IF('Frame Dimensions - C'!N162="",0,'Frame Dimensions - C'!N162))</f>
        <v>0</v>
      </c>
      <c r="O162" s="611">
        <f>IF(DRIVE_Type="Direct",IF('Frame Dimensions - D'!O162="",0,'Frame Dimensions - D'!O162),IF('Frame Dimensions - C'!O162="",0,'Frame Dimensions - C'!O162))</f>
        <v>0</v>
      </c>
      <c r="P162" s="660"/>
      <c r="Q162" s="1459"/>
      <c r="R162" s="644"/>
      <c r="S162" s="603"/>
      <c r="T162" s="603"/>
      <c r="U162" s="639"/>
      <c r="V162" s="603"/>
      <c r="W162" s="603"/>
      <c r="X162" s="603"/>
      <c r="Y162" s="603"/>
      <c r="Z162" s="637"/>
      <c r="AA162" s="637"/>
      <c r="AB162" s="637"/>
      <c r="AC162" s="637"/>
      <c r="AD162" s="637"/>
      <c r="AE162" s="637"/>
      <c r="AF162" s="580"/>
      <c r="AG162" s="580"/>
      <c r="AH162" s="580"/>
      <c r="AI162" s="580"/>
      <c r="AJ162" s="464"/>
    </row>
    <row r="163" spans="1:36">
      <c r="A163" s="622"/>
      <c r="B163" s="604">
        <f>IF(DRIVE_Type="Direct",IF('Frame Dimensions - D'!B163="",0,'Frame Dimensions - D'!B163),IF('Frame Dimensions - C'!B163="",0,'Frame Dimensions - C'!B163))</f>
        <v>0</v>
      </c>
      <c r="C163" s="581">
        <f>IF(DRIVE_Type="Direct",IF('Frame Dimensions - D'!C163="",0,'Frame Dimensions - D'!C163),IF('Frame Dimensions - C'!C163="",0,'Frame Dimensions - C'!C163))</f>
        <v>0</v>
      </c>
      <c r="D163" s="493">
        <f>IF(DRIVE_Type="Direct",IF('Frame Dimensions - D'!D163="",0,'Frame Dimensions - D'!D163),IF('Frame Dimensions - C'!D163="",0,'Frame Dimensions - C'!D163))</f>
        <v>0</v>
      </c>
      <c r="E163" s="493">
        <f>IF(DRIVE_Type="Direct",IF('Frame Dimensions - D'!E163="",0,'Frame Dimensions - D'!E163),IF('Frame Dimensions - C'!E163="",0,'Frame Dimensions - C'!E163))</f>
        <v>0</v>
      </c>
      <c r="F163" s="493">
        <f>IF(DRIVE_Type="Direct",IF('Frame Dimensions - D'!F163="",0,'Frame Dimensions - D'!F163),IF('Frame Dimensions - C'!F163="",0,'Frame Dimensions - C'!F163))</f>
        <v>0</v>
      </c>
      <c r="G163" s="493">
        <f>IF(DRIVE_Type="Direct",IF('Frame Dimensions - D'!G163="",0,'Frame Dimensions - D'!G163),IF('Frame Dimensions - C'!G163="",0,'Frame Dimensions - C'!G163))</f>
        <v>0</v>
      </c>
      <c r="H163" s="493">
        <f>IF(DRIVE_Type="Direct",IF('Frame Dimensions - D'!H163="",0,'Frame Dimensions - D'!H163),IF('Frame Dimensions - C'!H163="",0,'Frame Dimensions - C'!H163))</f>
        <v>0</v>
      </c>
      <c r="I163" s="493">
        <f>IF(DRIVE_Type="Direct",IF('Frame Dimensions - D'!I163="",0,'Frame Dimensions - D'!I163),IF('Frame Dimensions - C'!I163="",0,'Frame Dimensions - C'!I163))</f>
        <v>0</v>
      </c>
      <c r="J163" s="609">
        <f>IF(DRIVE_Type="Direct",IF('Frame Dimensions - D'!J163="",0,'Frame Dimensions - D'!J163),IF('Frame Dimensions - C'!J163="",0,'Frame Dimensions - C'!J163))</f>
        <v>0</v>
      </c>
      <c r="K163" s="608">
        <f>IF(DRIVE_Type="Direct",IF('Frame Dimensions - D'!K163="",0,'Frame Dimensions - D'!K163),IF('Frame Dimensions - C'!K163="",0,'Frame Dimensions - C'!K163))</f>
        <v>0</v>
      </c>
      <c r="L163" s="493">
        <f>IF(DRIVE_Type="Direct",IF('Frame Dimensions - D'!L163="",0,'Frame Dimensions - D'!L163),IF('Frame Dimensions - C'!L163="",0,'Frame Dimensions - C'!L163))</f>
        <v>0</v>
      </c>
      <c r="M163" s="609">
        <f>IF(DRIVE_Type="Direct",IF('Frame Dimensions - D'!M163="",0,'Frame Dimensions - D'!M163),IF('Frame Dimensions - C'!M163="",0,'Frame Dimensions - C'!M163))</f>
        <v>0</v>
      </c>
      <c r="N163" s="608">
        <f>IF(DRIVE_Type="Direct",IF('Frame Dimensions - D'!N163="",0,'Frame Dimensions - D'!N163),IF('Frame Dimensions - C'!N163="",0,'Frame Dimensions - C'!N163))</f>
        <v>0</v>
      </c>
      <c r="O163" s="583">
        <f>IF(DRIVE_Type="Direct",IF('Frame Dimensions - D'!O163="",0,'Frame Dimensions - D'!O163),IF('Frame Dimensions - C'!O163="",0,'Frame Dimensions - C'!O163))</f>
        <v>0</v>
      </c>
      <c r="P163" s="660"/>
      <c r="Q163" s="1459"/>
      <c r="R163" s="640"/>
      <c r="S163" s="580"/>
      <c r="T163" s="580"/>
      <c r="U163" s="636"/>
      <c r="V163" s="636"/>
      <c r="W163" s="636"/>
      <c r="X163" s="636"/>
      <c r="Y163" s="636"/>
      <c r="Z163" s="637"/>
      <c r="AA163" s="637"/>
      <c r="AB163" s="637"/>
      <c r="AC163" s="637"/>
      <c r="AD163" s="637"/>
      <c r="AE163" s="637"/>
      <c r="AF163" s="580"/>
      <c r="AG163" s="580"/>
      <c r="AH163" s="580"/>
      <c r="AI163" s="580"/>
      <c r="AJ163" s="464"/>
    </row>
    <row r="164" spans="1:36" s="603" customFormat="1" ht="15.75" thickBot="1">
      <c r="A164" s="661"/>
      <c r="B164" s="661">
        <f>IF(DRIVE_Type="Direct",IF('Frame Dimensions - D'!B164="",0,'Frame Dimensions - D'!B164),IF('Frame Dimensions - C'!B164="",0,'Frame Dimensions - C'!B164))</f>
        <v>0</v>
      </c>
      <c r="C164" s="662">
        <f>IF(DRIVE_Type="Direct",IF('Frame Dimensions - D'!C164="",0,'Frame Dimensions - D'!C164),IF('Frame Dimensions - C'!C164="",0,'Frame Dimensions - C'!C164))</f>
        <v>0</v>
      </c>
      <c r="D164" s="638">
        <f>IF(DRIVE_Type="Direct",IF('Frame Dimensions - D'!D164="",0,'Frame Dimensions - D'!D164),IF('Frame Dimensions - C'!D164="",0,'Frame Dimensions - C'!D164))</f>
        <v>0</v>
      </c>
      <c r="E164" s="638">
        <f>IF(DRIVE_Type="Direct",IF('Frame Dimensions - D'!E164="",0,'Frame Dimensions - D'!E164),IF('Frame Dimensions - C'!E164="",0,'Frame Dimensions - C'!E164))</f>
        <v>0</v>
      </c>
      <c r="F164" s="638">
        <f>IF(DRIVE_Type="Direct",IF('Frame Dimensions - D'!F164="",0,'Frame Dimensions - D'!F164),IF('Frame Dimensions - C'!F164="",0,'Frame Dimensions - C'!F164))</f>
        <v>0</v>
      </c>
      <c r="G164" s="638">
        <f>IF(DRIVE_Type="Direct",IF('Frame Dimensions - D'!G164="",0,'Frame Dimensions - D'!G164),IF('Frame Dimensions - C'!G164="",0,'Frame Dimensions - C'!G164))</f>
        <v>0</v>
      </c>
      <c r="H164" s="638">
        <f>IF(DRIVE_Type="Direct",IF('Frame Dimensions - D'!H164="",0,'Frame Dimensions - D'!H164),IF('Frame Dimensions - C'!H164="",0,'Frame Dimensions - C'!H164))</f>
        <v>0</v>
      </c>
      <c r="I164" s="638">
        <f>IF(DRIVE_Type="Direct",IF('Frame Dimensions - D'!I164="",0,'Frame Dimensions - D'!I164),IF('Frame Dimensions - C'!I164="",0,'Frame Dimensions - C'!I164))</f>
        <v>0</v>
      </c>
      <c r="J164" s="682">
        <f>IF(DRIVE_Type="Direct",IF('Frame Dimensions - D'!J164="",0,'Frame Dimensions - D'!J164),IF('Frame Dimensions - C'!J164="",0,'Frame Dimensions - C'!J164))</f>
        <v>0</v>
      </c>
      <c r="K164" s="683">
        <f>IF(DRIVE_Type="Direct",IF('Frame Dimensions - D'!K164="",0,'Frame Dimensions - D'!K164),IF('Frame Dimensions - C'!K164="",0,'Frame Dimensions - C'!K164))</f>
        <v>0</v>
      </c>
      <c r="L164" s="638">
        <f>IF(DRIVE_Type="Direct",IF('Frame Dimensions - D'!L164="",0,'Frame Dimensions - D'!L164),IF('Frame Dimensions - C'!L164="",0,'Frame Dimensions - C'!L164))</f>
        <v>0</v>
      </c>
      <c r="M164" s="682">
        <f>IF(DRIVE_Type="Direct",IF('Frame Dimensions - D'!M164="",0,'Frame Dimensions - D'!M164),IF('Frame Dimensions - C'!M164="",0,'Frame Dimensions - C'!M164))</f>
        <v>0</v>
      </c>
      <c r="N164" s="683">
        <f>IF(DRIVE_Type="Direct",IF('Frame Dimensions - D'!N164="",0,'Frame Dimensions - D'!N164),IF('Frame Dimensions - C'!N164="",0,'Frame Dimensions - C'!N164))</f>
        <v>0</v>
      </c>
      <c r="O164" s="663">
        <f>IF(DRIVE_Type="Direct",IF('Frame Dimensions - D'!O164="",0,'Frame Dimensions - D'!O164),IF('Frame Dimensions - C'!O164="",0,'Frame Dimensions - C'!O164))</f>
        <v>0</v>
      </c>
      <c r="P164" s="664"/>
      <c r="Q164" s="1461"/>
      <c r="R164" s="644"/>
      <c r="U164" s="639"/>
      <c r="Z164" s="637"/>
      <c r="AA164" s="637"/>
      <c r="AB164" s="637"/>
      <c r="AC164" s="637"/>
      <c r="AD164" s="637"/>
      <c r="AE164" s="637"/>
      <c r="AF164" s="580"/>
      <c r="AG164" s="580"/>
      <c r="AH164" s="580"/>
      <c r="AI164" s="580"/>
    </row>
    <row r="165" spans="1:36" s="621" customFormat="1">
      <c r="A165" s="665"/>
      <c r="B165" s="671">
        <f>IF(DRIVE_Type="Direct",IF('Frame Dimensions - D'!B165="",0,'Frame Dimensions - D'!B165),IF('Frame Dimensions - C'!B165="",0,'Frame Dimensions - C'!B165))</f>
        <v>0</v>
      </c>
      <c r="C165" s="672">
        <f>IF(DRIVE_Type="Direct",IF('Frame Dimensions - D'!C165="",0,'Frame Dimensions - D'!C165),IF('Frame Dimensions - C'!C165="",0,'Frame Dimensions - C'!C165))</f>
        <v>0</v>
      </c>
      <c r="D165" s="673">
        <f>IF(DRIVE_Type="Direct",IF('Frame Dimensions - D'!D165="",0,'Frame Dimensions - D'!D165),IF('Frame Dimensions - C'!D165="",0,'Frame Dimensions - C'!D165))</f>
        <v>0</v>
      </c>
      <c r="E165" s="673">
        <f>IF(DRIVE_Type="Direct",IF('Frame Dimensions - D'!E165="",0,'Frame Dimensions - D'!E165),IF('Frame Dimensions - C'!E165="",0,'Frame Dimensions - C'!E165))</f>
        <v>0</v>
      </c>
      <c r="F165" s="673">
        <f>IF(DRIVE_Type="Direct",IF('Frame Dimensions - D'!F165="",0,'Frame Dimensions - D'!F165),IF('Frame Dimensions - C'!F165="",0,'Frame Dimensions - C'!F165))</f>
        <v>0</v>
      </c>
      <c r="G165" s="673">
        <f>IF(DRIVE_Type="Direct",IF('Frame Dimensions - D'!G165="",0,'Frame Dimensions - D'!G165),IF('Frame Dimensions - C'!G165="",0,'Frame Dimensions - C'!G165))</f>
        <v>0</v>
      </c>
      <c r="H165" s="673">
        <f>IF(DRIVE_Type="Direct",IF('Frame Dimensions - D'!H165="",0,'Frame Dimensions - D'!H165),IF('Frame Dimensions - C'!H165="",0,'Frame Dimensions - C'!H165))</f>
        <v>0</v>
      </c>
      <c r="I165" s="672">
        <f>IF(DRIVE_Type="Direct",IF('Frame Dimensions - D'!I165="",0,'Frame Dimensions - D'!I165),IF('Frame Dimensions - C'!I165="",0,'Frame Dimensions - C'!I165))</f>
        <v>0</v>
      </c>
      <c r="J165" s="668" t="str">
        <f>IF(DRIVE_Type="Direct",IF('Frame Dimensions - D'!J165="",0,'Frame Dimensions - D'!J165),IF('Frame Dimensions - C'!J165="",0,'Frame Dimensions - C'!J165))</f>
        <v>X</v>
      </c>
      <c r="K165" s="667" t="str">
        <f>IF(DRIVE_Type="Direct",IF('Frame Dimensions - D'!K165="",0,'Frame Dimensions - D'!K165),IF('Frame Dimensions - C'!K165="",0,'Frame Dimensions - C'!K165))</f>
        <v>Y</v>
      </c>
      <c r="L165" s="667" t="str">
        <f>IF(DRIVE_Type="Direct",IF('Frame Dimensions - D'!L165="",0,'Frame Dimensions - D'!L165),IF('Frame Dimensions - C'!L165="",0,'Frame Dimensions - C'!L165))</f>
        <v>Z</v>
      </c>
      <c r="M165" s="668" t="str">
        <f>IF(DRIVE_Type="Direct",IF('Frame Dimensions - D'!M165="",0,'Frame Dimensions - D'!M165),IF('Frame Dimensions - C'!M165="",0,'Frame Dimensions - C'!M165))</f>
        <v>X</v>
      </c>
      <c r="N165" s="667" t="str">
        <f>IF(DRIVE_Type="Direct",IF('Frame Dimensions - D'!N165="",0,'Frame Dimensions - D'!N165),IF('Frame Dimensions - C'!N165="",0,'Frame Dimensions - C'!N165))</f>
        <v>Y</v>
      </c>
      <c r="O165" s="669" t="str">
        <f>IF(DRIVE_Type="Direct",IF('Frame Dimensions - D'!O165="",0,'Frame Dimensions - D'!O165),IF('Frame Dimensions - C'!O165="",0,'Frame Dimensions - C'!O165))</f>
        <v>Z</v>
      </c>
      <c r="P165" s="674"/>
      <c r="Q165" s="1463"/>
      <c r="R165" s="640"/>
      <c r="S165" s="580"/>
      <c r="T165" s="580"/>
      <c r="U165" s="636"/>
      <c r="V165" s="636"/>
      <c r="W165" s="636"/>
      <c r="X165" s="636"/>
      <c r="Y165" s="636"/>
      <c r="Z165" s="637"/>
      <c r="AA165" s="637"/>
      <c r="AB165" s="637"/>
      <c r="AC165" s="637"/>
      <c r="AD165" s="637"/>
      <c r="AE165" s="637"/>
      <c r="AF165" s="580"/>
      <c r="AG165" s="580"/>
      <c r="AH165" s="580"/>
      <c r="AI165" s="580"/>
    </row>
    <row r="166" spans="1:36" s="621" customFormat="1">
      <c r="A166" s="675" t="s">
        <v>1855</v>
      </c>
      <c r="B166" s="604">
        <f>IF(DRIVE_Type="Direct",IF('Frame Dimensions - D'!B166="",0,'Frame Dimensions - D'!B166),IF('Frame Dimensions - C'!B166="",0,'Frame Dimensions - C'!B166))</f>
        <v>0</v>
      </c>
      <c r="C166" s="646">
        <f>IF(DRIVE_Type="Direct",IF('Frame Dimensions - D'!C166="",0,'Frame Dimensions - D'!C166),IF('Frame Dimensions - C'!C166="",0,'Frame Dimensions - C'!C166))</f>
        <v>0</v>
      </c>
      <c r="D166" s="493">
        <f>IF(DRIVE_Type="Direct",IF('Frame Dimensions - D'!D166="",0,'Frame Dimensions - D'!D166),IF('Frame Dimensions - C'!D166="",0,'Frame Dimensions - C'!D166))</f>
        <v>0</v>
      </c>
      <c r="E166" s="493">
        <f>IF(DRIVE_Type="Direct",IF('Frame Dimensions - D'!E166="",0,'Frame Dimensions - D'!E166),IF('Frame Dimensions - C'!E166="",0,'Frame Dimensions - C'!E166))</f>
        <v>0</v>
      </c>
      <c r="F166" s="493">
        <f>IF(DRIVE_Type="Direct",IF('Frame Dimensions - D'!F166="",0,'Frame Dimensions - D'!F166),IF('Frame Dimensions - C'!F166="",0,'Frame Dimensions - C'!F166))</f>
        <v>0</v>
      </c>
      <c r="G166" s="493">
        <f>IF(DRIVE_Type="Direct",IF('Frame Dimensions - D'!G166="",0,'Frame Dimensions - D'!G166),IF('Frame Dimensions - C'!G166="",0,'Frame Dimensions - C'!G166))</f>
        <v>0</v>
      </c>
      <c r="H166" s="493">
        <f>IF(DRIVE_Type="Direct",IF('Frame Dimensions - D'!H166="",0,'Frame Dimensions - D'!H166),IF('Frame Dimensions - C'!H166="",0,'Frame Dimensions - C'!H166))</f>
        <v>0</v>
      </c>
      <c r="I166" s="581">
        <f>IF(DRIVE_Type="Direct",IF('Frame Dimensions - D'!I166="",0,'Frame Dimensions - D'!I166),IF('Frame Dimensions - C'!I166="",0,'Frame Dimensions - C'!I166))</f>
        <v>0</v>
      </c>
      <c r="J166" s="492">
        <f>IF(DRIVE_Type="Direct",IF('Frame Dimensions - D'!J166="",0,'Frame Dimensions - D'!J166),IF('Frame Dimensions - C'!J166="",0,'Frame Dimensions - C'!J166))</f>
        <v>0</v>
      </c>
      <c r="K166" s="493">
        <f>IF(DRIVE_Type="Direct",IF('Frame Dimensions - D'!K166="",0,'Frame Dimensions - D'!K166),IF('Frame Dimensions - C'!K166="",0,'Frame Dimensions - C'!K166))</f>
        <v>0</v>
      </c>
      <c r="L166" s="493">
        <f>IF(DRIVE_Type="Direct",IF('Frame Dimensions - D'!L166="",0,'Frame Dimensions - D'!L166),IF('Frame Dimensions - C'!L166="",0,'Frame Dimensions - C'!L166))</f>
        <v>0</v>
      </c>
      <c r="M166" s="492">
        <f>IF(DRIVE_Type="Direct",IF('Frame Dimensions - D'!M166="",0,'Frame Dimensions - D'!M166),IF('Frame Dimensions - C'!M166="",0,'Frame Dimensions - C'!M166))</f>
        <v>0</v>
      </c>
      <c r="N166" s="493">
        <f>IF(DRIVE_Type="Direct",IF('Frame Dimensions - D'!N166="",0,'Frame Dimensions - D'!N166),IF('Frame Dimensions - C'!N166="",0,'Frame Dimensions - C'!N166))</f>
        <v>0</v>
      </c>
      <c r="O166" s="583">
        <f>IF(DRIVE_Type="Direct",IF('Frame Dimensions - D'!O166="",0,'Frame Dimensions - D'!O166),IF('Frame Dimensions - C'!O166="",0,'Frame Dimensions - C'!O166))</f>
        <v>0</v>
      </c>
      <c r="P166" s="660"/>
      <c r="Q166" s="1459"/>
      <c r="R166" s="640"/>
      <c r="S166" s="580"/>
      <c r="T166" s="580"/>
      <c r="U166" s="636"/>
      <c r="V166" s="636"/>
      <c r="W166" s="636"/>
      <c r="X166" s="636"/>
      <c r="Y166" s="636"/>
      <c r="Z166" s="637"/>
      <c r="AA166" s="637"/>
      <c r="AB166" s="637"/>
      <c r="AC166" s="637"/>
      <c r="AD166" s="637"/>
      <c r="AE166" s="637"/>
      <c r="AF166" s="580"/>
      <c r="AG166" s="580"/>
      <c r="AH166" s="580"/>
      <c r="AI166" s="580"/>
    </row>
    <row r="167" spans="1:36" s="621" customFormat="1">
      <c r="A167" s="622"/>
      <c r="B167" s="604" t="str">
        <f>IF(DRIVE_Type="Direct",IF('Frame Dimensions - D'!B167="",0,'Frame Dimensions - D'!B167),IF('Frame Dimensions - C'!B167="",0,'Frame Dimensions - C'!B167))</f>
        <v>Hubo+</v>
      </c>
      <c r="C167" s="581">
        <f>IF(DRIVE_Type="Direct",IF('Frame Dimensions - D'!C167="",0,'Frame Dimensions - D'!C167),IF('Frame Dimensions - C'!C167="",0,'Frame Dimensions - C'!C167))</f>
        <v>0</v>
      </c>
      <c r="D167" s="493">
        <f>IF(DRIVE_Type="Direct",IF('Frame Dimensions - D'!D167="",0,'Frame Dimensions - D'!D167),IF('Frame Dimensions - C'!D167="",0,'Frame Dimensions - C'!D167))</f>
        <v>0</v>
      </c>
      <c r="E167" s="493">
        <f>IF(DRIVE_Type="Direct",IF('Frame Dimensions - D'!E167="",0,'Frame Dimensions - D'!E167),IF('Frame Dimensions - C'!E167="",0,'Frame Dimensions - C'!E167))</f>
        <v>0</v>
      </c>
      <c r="F167" s="493">
        <f>IF(DRIVE_Type="Direct",IF('Frame Dimensions - D'!F167="",0,'Frame Dimensions - D'!F167),IF('Frame Dimensions - C'!F167="",0,'Frame Dimensions - C'!F167))</f>
        <v>0</v>
      </c>
      <c r="G167" s="493">
        <f>IF(DRIVE_Type="Direct",IF('Frame Dimensions - D'!G167="",0,'Frame Dimensions - D'!G167),IF('Frame Dimensions - C'!G167="",0,'Frame Dimensions - C'!G167))</f>
        <v>0</v>
      </c>
      <c r="H167" s="493">
        <f>IF(DRIVE_Type="Direct",IF('Frame Dimensions - D'!H167="",0,'Frame Dimensions - D'!H167),IF('Frame Dimensions - C'!H167="",0,'Frame Dimensions - C'!H167))</f>
        <v>0</v>
      </c>
      <c r="I167" s="581">
        <f>IF(DRIVE_Type="Direct",IF('Frame Dimensions - D'!I167="",0,'Frame Dimensions - D'!I167),IF('Frame Dimensions - C'!I167="",0,'Frame Dimensions - C'!I167))</f>
        <v>0</v>
      </c>
      <c r="J167" s="492" t="e">
        <f ca="1">IF(DRIVE_Type="Direct",IF('Frame Dimensions - D'!J167="",0,'Frame Dimensions - D'!J167),IF('Frame Dimensions - C'!J167="",0,'Frame Dimensions - C'!J167))</f>
        <v>#REF!</v>
      </c>
      <c r="K167" s="580" t="e">
        <f ca="1">IF(DRIVE_Type="Direct",IF('Frame Dimensions - D'!K167="",0,'Frame Dimensions - D'!K167),IF('Frame Dimensions - C'!K167="",0,'Frame Dimensions - C'!K167))</f>
        <v>#REF!</v>
      </c>
      <c r="L167" s="580">
        <f>IF(DRIVE_Type="Direct",IF('Frame Dimensions - D'!L167="",0,'Frame Dimensions - D'!L167),IF('Frame Dimensions - C'!L167="",0,'Frame Dimensions - C'!L167))</f>
        <v>0</v>
      </c>
      <c r="M167" s="599" t="e">
        <f ca="1">IF(DRIVE_Type="Direct",IF('Frame Dimensions - D'!M167="",0,'Frame Dimensions - D'!M167),IF('Frame Dimensions - C'!M167="",0,'Frame Dimensions - C'!M167))</f>
        <v>#REF!</v>
      </c>
      <c r="N167" s="608" t="e">
        <f ca="1">IF(DRIVE_Type="Direct",IF('Frame Dimensions - D'!N167="",0,'Frame Dimensions - D'!N167),IF('Frame Dimensions - C'!N167="",0,'Frame Dimensions - C'!N167))</f>
        <v>#REF!</v>
      </c>
      <c r="O167" s="601">
        <f>IF(DRIVE_Type="Direct",IF('Frame Dimensions - D'!O167="",0,'Frame Dimensions - D'!O167),IF('Frame Dimensions - C'!O167="",0,'Frame Dimensions - C'!O167))</f>
        <v>0</v>
      </c>
      <c r="P167" s="660"/>
      <c r="Q167" s="1459"/>
      <c r="R167" s="644"/>
      <c r="S167" s="603"/>
      <c r="T167" s="603"/>
      <c r="U167" s="639"/>
      <c r="V167" s="603"/>
      <c r="W167" s="603"/>
      <c r="X167" s="603"/>
      <c r="Y167" s="603"/>
      <c r="Z167" s="637"/>
      <c r="AA167" s="637"/>
      <c r="AB167" s="637"/>
      <c r="AC167" s="637"/>
      <c r="AD167" s="637"/>
      <c r="AE167" s="637"/>
      <c r="AF167" s="580"/>
      <c r="AG167" s="580"/>
      <c r="AH167" s="580"/>
      <c r="AI167" s="580"/>
    </row>
    <row r="168" spans="1:36" s="621" customFormat="1">
      <c r="A168" s="604"/>
      <c r="B168" s="604" t="str">
        <f>IF(DRIVE_Type="Direct",IF('Frame Dimensions - D'!B168="",0,'Frame Dimensions - D'!B168),IF('Frame Dimensions - C'!B168="",0,'Frame Dimensions - C'!B168))</f>
        <v>Hubi+</v>
      </c>
      <c r="C168" s="646">
        <f>IF(DRIVE_Type="Direct",IF('Frame Dimensions - D'!C168="",0,'Frame Dimensions - D'!C168),IF('Frame Dimensions - C'!C168="",0,'Frame Dimensions - C'!C168))</f>
        <v>0</v>
      </c>
      <c r="D168" s="493">
        <f>IF(DRIVE_Type="Direct",IF('Frame Dimensions - D'!D168="",0,'Frame Dimensions - D'!D168),IF('Frame Dimensions - C'!D168="",0,'Frame Dimensions - C'!D168))</f>
        <v>0</v>
      </c>
      <c r="E168" s="493">
        <f>IF(DRIVE_Type="Direct",IF('Frame Dimensions - D'!E168="",0,'Frame Dimensions - D'!E168),IF('Frame Dimensions - C'!E168="",0,'Frame Dimensions - C'!E168))</f>
        <v>0</v>
      </c>
      <c r="F168" s="493">
        <f>IF(DRIVE_Type="Direct",IF('Frame Dimensions - D'!F168="",0,'Frame Dimensions - D'!F168),IF('Frame Dimensions - C'!F168="",0,'Frame Dimensions - C'!F168))</f>
        <v>0</v>
      </c>
      <c r="G168" s="493">
        <f>IF(DRIVE_Type="Direct",IF('Frame Dimensions - D'!G168="",0,'Frame Dimensions - D'!G168),IF('Frame Dimensions - C'!G168="",0,'Frame Dimensions - C'!G168))</f>
        <v>0</v>
      </c>
      <c r="H168" s="493">
        <f>IF(DRIVE_Type="Direct",IF('Frame Dimensions - D'!H168="",0,'Frame Dimensions - D'!H168),IF('Frame Dimensions - C'!H168="",0,'Frame Dimensions - C'!H168))</f>
        <v>0</v>
      </c>
      <c r="I168" s="493">
        <f>IF(DRIVE_Type="Direct",IF('Frame Dimensions - D'!I168="",0,'Frame Dimensions - D'!I168),IF('Frame Dimensions - C'!I168="",0,'Frame Dimensions - C'!I168))</f>
        <v>0</v>
      </c>
      <c r="J168" s="609" t="e">
        <f ca="1">IF(DRIVE_Type="Direct",IF('Frame Dimensions - D'!J168="",0,'Frame Dimensions - D'!J168),IF('Frame Dimensions - C'!J168="",0,'Frame Dimensions - C'!J168))</f>
        <v>#REF!</v>
      </c>
      <c r="K168" s="580" t="e">
        <f ca="1">IF(DRIVE_Type="Direct",IF('Frame Dimensions - D'!K168="",0,'Frame Dimensions - D'!K168),IF('Frame Dimensions - C'!K168="",0,'Frame Dimensions - C'!K168))</f>
        <v>#REF!</v>
      </c>
      <c r="L168" s="580">
        <f>IF(DRIVE_Type="Direct",IF('Frame Dimensions - D'!L168="",0,'Frame Dimensions - D'!L168),IF('Frame Dimensions - C'!L168="",0,'Frame Dimensions - C'!L168))</f>
        <v>0</v>
      </c>
      <c r="M168" s="599" t="e">
        <f ca="1">IF(DRIVE_Type="Direct",IF('Frame Dimensions - D'!M168="",0,'Frame Dimensions - D'!M168),IF('Frame Dimensions - C'!M168="",0,'Frame Dimensions - C'!M168))</f>
        <v>#REF!</v>
      </c>
      <c r="N168" s="608" t="e">
        <f ca="1">IF(DRIVE_Type="Direct",IF('Frame Dimensions - D'!N168="",0,'Frame Dimensions - D'!N168),IF('Frame Dimensions - C'!N168="",0,'Frame Dimensions - C'!N168))</f>
        <v>#REF!</v>
      </c>
      <c r="O168" s="601">
        <f>IF(DRIVE_Type="Direct",IF('Frame Dimensions - D'!O168="",0,'Frame Dimensions - D'!O168),IF('Frame Dimensions - C'!O168="",0,'Frame Dimensions - C'!O168))</f>
        <v>0</v>
      </c>
      <c r="P168" s="660"/>
      <c r="Q168" s="1459"/>
      <c r="R168" s="640"/>
      <c r="S168" s="580"/>
      <c r="T168" s="580"/>
      <c r="U168" s="636"/>
      <c r="V168" s="636"/>
      <c r="W168" s="636"/>
      <c r="X168" s="636"/>
      <c r="Y168" s="636"/>
      <c r="Z168" s="637"/>
      <c r="AA168" s="637"/>
      <c r="AB168" s="637"/>
      <c r="AC168" s="637"/>
      <c r="AD168" s="637"/>
      <c r="AE168" s="637"/>
      <c r="AF168" s="580"/>
      <c r="AG168" s="580"/>
      <c r="AH168" s="580"/>
      <c r="AI168" s="580"/>
    </row>
    <row r="169" spans="1:36" s="621" customFormat="1">
      <c r="A169" s="622"/>
      <c r="B169" s="604" t="str">
        <f>IF(DRIVE_Type="Direct",IF('Frame Dimensions - D'!B169="",0,'Frame Dimensions - D'!B169),IF('Frame Dimensions - C'!B169="",0,'Frame Dimensions - C'!B169))</f>
        <v>Hubo-</v>
      </c>
      <c r="C169" s="581">
        <f>IF(DRIVE_Type="Direct",IF('Frame Dimensions - D'!C169="",0,'Frame Dimensions - D'!C169),IF('Frame Dimensions - C'!C169="",0,'Frame Dimensions - C'!C169))</f>
        <v>0</v>
      </c>
      <c r="D169" s="493">
        <f>IF(DRIVE_Type="Direct",IF('Frame Dimensions - D'!D169="",0,'Frame Dimensions - D'!D169),IF('Frame Dimensions - C'!D169="",0,'Frame Dimensions - C'!D169))</f>
        <v>0</v>
      </c>
      <c r="E169" s="493">
        <f>IF(DRIVE_Type="Direct",IF('Frame Dimensions - D'!E169="",0,'Frame Dimensions - D'!E169),IF('Frame Dimensions - C'!E169="",0,'Frame Dimensions - C'!E169))</f>
        <v>0</v>
      </c>
      <c r="F169" s="493">
        <f>IF(DRIVE_Type="Direct",IF('Frame Dimensions - D'!F169="",0,'Frame Dimensions - D'!F169),IF('Frame Dimensions - C'!F169="",0,'Frame Dimensions - C'!F169))</f>
        <v>0</v>
      </c>
      <c r="G169" s="493">
        <f>IF(DRIVE_Type="Direct",IF('Frame Dimensions - D'!G169="",0,'Frame Dimensions - D'!G169),IF('Frame Dimensions - C'!G169="",0,'Frame Dimensions - C'!G169))</f>
        <v>0</v>
      </c>
      <c r="H169" s="493">
        <f>IF(DRIVE_Type="Direct",IF('Frame Dimensions - D'!H169="",0,'Frame Dimensions - D'!H169),IF('Frame Dimensions - C'!H169="",0,'Frame Dimensions - C'!H169))</f>
        <v>0</v>
      </c>
      <c r="I169" s="493">
        <f>IF(DRIVE_Type="Direct",IF('Frame Dimensions - D'!I169="",0,'Frame Dimensions - D'!I169),IF('Frame Dimensions - C'!I169="",0,'Frame Dimensions - C'!I169))</f>
        <v>0</v>
      </c>
      <c r="J169" s="609" t="e">
        <f ca="1">IF(DRIVE_Type="Direct",IF('Frame Dimensions - D'!J169="",0,'Frame Dimensions - D'!J169),IF('Frame Dimensions - C'!J169="",0,'Frame Dimensions - C'!J169))</f>
        <v>#REF!</v>
      </c>
      <c r="K169" s="580" t="e">
        <f ca="1">IF(DRIVE_Type="Direct",IF('Frame Dimensions - D'!K169="",0,'Frame Dimensions - D'!K169),IF('Frame Dimensions - C'!K169="",0,'Frame Dimensions - C'!K169))</f>
        <v>#REF!</v>
      </c>
      <c r="L169" s="580">
        <f>IF(DRIVE_Type="Direct",IF('Frame Dimensions - D'!L169="",0,'Frame Dimensions - D'!L169),IF('Frame Dimensions - C'!L169="",0,'Frame Dimensions - C'!L169))</f>
        <v>0</v>
      </c>
      <c r="M169" s="609" t="e">
        <f ca="1">IF(DRIVE_Type="Direct",IF('Frame Dimensions - D'!M169="",0,'Frame Dimensions - D'!M169),IF('Frame Dimensions - C'!M169="",0,'Frame Dimensions - C'!M169))</f>
        <v>#REF!</v>
      </c>
      <c r="N169" s="580" t="e">
        <f ca="1">IF(DRIVE_Type="Direct",IF('Frame Dimensions - D'!N169="",0,'Frame Dimensions - D'!N169),IF('Frame Dimensions - C'!N169="",0,'Frame Dimensions - C'!N169))</f>
        <v>#REF!</v>
      </c>
      <c r="O169" s="601">
        <f>IF(DRIVE_Type="Direct",IF('Frame Dimensions - D'!O169="",0,'Frame Dimensions - D'!O169),IF('Frame Dimensions - C'!O169="",0,'Frame Dimensions - C'!O169))</f>
        <v>0</v>
      </c>
      <c r="P169" s="660"/>
      <c r="Q169" s="1459"/>
      <c r="R169" s="644"/>
      <c r="S169" s="603"/>
      <c r="T169" s="603"/>
      <c r="U169" s="639"/>
      <c r="V169" s="603"/>
      <c r="W169" s="603"/>
      <c r="X169" s="603"/>
      <c r="Y169" s="603"/>
      <c r="Z169" s="637"/>
      <c r="AA169" s="637"/>
      <c r="AB169" s="637"/>
      <c r="AC169" s="637"/>
      <c r="AD169" s="637"/>
      <c r="AE169" s="637"/>
      <c r="AF169" s="580"/>
      <c r="AG169" s="580"/>
      <c r="AH169" s="580"/>
      <c r="AI169" s="580"/>
      <c r="AJ169" s="603"/>
    </row>
    <row r="170" spans="1:36" s="621" customFormat="1" ht="15.75" thickBot="1">
      <c r="A170" s="661"/>
      <c r="B170" s="661" t="str">
        <f>IF(DRIVE_Type="Direct",IF('Frame Dimensions - D'!B170="",0,'Frame Dimensions - D'!B170),IF('Frame Dimensions - C'!B170="",0,'Frame Dimensions - C'!B170))</f>
        <v>Hubi-</v>
      </c>
      <c r="C170" s="662">
        <f>IF(DRIVE_Type="Direct",IF('Frame Dimensions - D'!C170="",0,'Frame Dimensions - D'!C170),IF('Frame Dimensions - C'!C170="",0,'Frame Dimensions - C'!C170))</f>
        <v>0</v>
      </c>
      <c r="D170" s="638">
        <f>IF(DRIVE_Type="Direct",IF('Frame Dimensions - D'!D170="",0,'Frame Dimensions - D'!D170),IF('Frame Dimensions - C'!D170="",0,'Frame Dimensions - C'!D170))</f>
        <v>0</v>
      </c>
      <c r="E170" s="638">
        <f>IF(DRIVE_Type="Direct",IF('Frame Dimensions - D'!E170="",0,'Frame Dimensions - D'!E170),IF('Frame Dimensions - C'!E170="",0,'Frame Dimensions - C'!E170))</f>
        <v>0</v>
      </c>
      <c r="F170" s="638">
        <f>IF(DRIVE_Type="Direct",IF('Frame Dimensions - D'!F170="",0,'Frame Dimensions - D'!F170),IF('Frame Dimensions - C'!F170="",0,'Frame Dimensions - C'!F170))</f>
        <v>0</v>
      </c>
      <c r="G170" s="638">
        <f>IF(DRIVE_Type="Direct",IF('Frame Dimensions - D'!G170="",0,'Frame Dimensions - D'!G170),IF('Frame Dimensions - C'!G170="",0,'Frame Dimensions - C'!G170))</f>
        <v>0</v>
      </c>
      <c r="H170" s="638">
        <f>IF(DRIVE_Type="Direct",IF('Frame Dimensions - D'!H170="",0,'Frame Dimensions - D'!H170),IF('Frame Dimensions - C'!H170="",0,'Frame Dimensions - C'!H170))</f>
        <v>0</v>
      </c>
      <c r="I170" s="638">
        <f>IF(DRIVE_Type="Direct",IF('Frame Dimensions - D'!I170="",0,'Frame Dimensions - D'!I170),IF('Frame Dimensions - C'!I170="",0,'Frame Dimensions - C'!I170))</f>
        <v>0</v>
      </c>
      <c r="J170" s="682" t="e">
        <f ca="1">IF(DRIVE_Type="Direct",IF('Frame Dimensions - D'!J170="",0,'Frame Dimensions - D'!J170),IF('Frame Dimensions - C'!J170="",0,'Frame Dimensions - C'!J170))</f>
        <v>#REF!</v>
      </c>
      <c r="K170" s="620" t="e">
        <f ca="1">IF(DRIVE_Type="Direct",IF('Frame Dimensions - D'!K170="",0,'Frame Dimensions - D'!K170),IF('Frame Dimensions - C'!K170="",0,'Frame Dimensions - C'!K170))</f>
        <v>#REF!</v>
      </c>
      <c r="L170" s="620">
        <f>IF(DRIVE_Type="Direct",IF('Frame Dimensions - D'!L170="",0,'Frame Dimensions - D'!L170),IF('Frame Dimensions - C'!L170="",0,'Frame Dimensions - C'!L170))</f>
        <v>0</v>
      </c>
      <c r="M170" s="682" t="e">
        <f ca="1">IF(DRIVE_Type="Direct",IF('Frame Dimensions - D'!M170="",0,'Frame Dimensions - D'!M170),IF('Frame Dimensions - C'!M170="",0,'Frame Dimensions - C'!M170))</f>
        <v>#REF!</v>
      </c>
      <c r="N170" s="620" t="e">
        <f ca="1">IF(DRIVE_Type="Direct",IF('Frame Dimensions - D'!N170="",0,'Frame Dimensions - D'!N170),IF('Frame Dimensions - C'!N170="",0,'Frame Dimensions - C'!N170))</f>
        <v>#REF!</v>
      </c>
      <c r="O170" s="648">
        <f>IF(DRIVE_Type="Direct",IF('Frame Dimensions - D'!O170="",0,'Frame Dimensions - D'!O170),IF('Frame Dimensions - C'!O170="",0,'Frame Dimensions - C'!O170))</f>
        <v>0</v>
      </c>
      <c r="P170" s="664"/>
      <c r="Q170" s="1461"/>
      <c r="R170" s="640"/>
      <c r="S170" s="580"/>
      <c r="T170" s="580"/>
      <c r="U170" s="636"/>
      <c r="V170" s="636"/>
      <c r="W170" s="636"/>
      <c r="X170" s="636"/>
      <c r="Y170" s="636"/>
      <c r="Z170" s="637"/>
      <c r="AA170" s="637"/>
      <c r="AB170" s="637"/>
      <c r="AC170" s="637"/>
      <c r="AD170" s="637"/>
      <c r="AE170" s="637"/>
      <c r="AF170" s="580"/>
      <c r="AG170" s="580"/>
      <c r="AH170" s="580"/>
      <c r="AI170" s="580"/>
      <c r="AJ170" s="603"/>
    </row>
    <row r="171" spans="1:36" s="621" customFormat="1">
      <c r="A171" s="464"/>
      <c r="B171" s="464"/>
      <c r="C171" s="464"/>
      <c r="D171" s="464"/>
      <c r="E171" s="464"/>
      <c r="F171" s="464"/>
      <c r="G171" s="464"/>
      <c r="H171" s="464"/>
      <c r="I171" s="464"/>
      <c r="J171" s="464"/>
      <c r="K171" s="464"/>
      <c r="L171" s="464"/>
      <c r="M171" s="464"/>
      <c r="N171" s="464"/>
      <c r="O171" s="464"/>
      <c r="P171" s="462"/>
      <c r="Q171" s="464"/>
      <c r="R171" s="640"/>
      <c r="S171" s="603"/>
      <c r="T171" s="603"/>
      <c r="U171" s="639"/>
      <c r="V171" s="603"/>
      <c r="W171" s="603"/>
      <c r="X171" s="603"/>
      <c r="Y171" s="603"/>
      <c r="Z171" s="637"/>
      <c r="AA171" s="637"/>
      <c r="AB171" s="637"/>
      <c r="AC171" s="637"/>
      <c r="AD171" s="637"/>
      <c r="AE171" s="637"/>
      <c r="AF171" s="580"/>
      <c r="AG171" s="580"/>
      <c r="AH171" s="580"/>
      <c r="AI171" s="580"/>
      <c r="AJ171" s="603"/>
    </row>
    <row r="172" spans="1:36" s="621" customFormat="1">
      <c r="A172" s="625" t="s">
        <v>292</v>
      </c>
      <c r="B172" s="604"/>
      <c r="C172" s="603"/>
      <c r="D172" s="462">
        <f>IF(DRIVE_Type="Coupling",M93-IF(Small_F,J69,J65),0)</f>
        <v>0</v>
      </c>
      <c r="E172" s="464"/>
      <c r="F172" s="626" t="s">
        <v>1290</v>
      </c>
      <c r="G172" s="627">
        <f>IF(DRIVE_Type="Coupling",AE_M,0)</f>
        <v>0</v>
      </c>
      <c r="H172" s="493"/>
      <c r="I172" s="493"/>
      <c r="J172" s="492"/>
      <c r="K172" s="493"/>
      <c r="L172" s="493"/>
      <c r="M172" s="492"/>
      <c r="N172" s="493"/>
      <c r="O172" s="583"/>
      <c r="P172" s="584"/>
      <c r="Q172" s="1450"/>
      <c r="R172" s="640"/>
      <c r="S172" s="580"/>
      <c r="T172" s="580"/>
      <c r="U172" s="636"/>
      <c r="V172" s="636"/>
      <c r="W172" s="636"/>
      <c r="X172" s="636"/>
      <c r="Y172" s="636"/>
      <c r="Z172" s="637"/>
      <c r="AA172" s="637"/>
      <c r="AB172" s="637"/>
      <c r="AC172" s="637"/>
      <c r="AD172" s="637"/>
      <c r="AE172" s="637"/>
      <c r="AF172" s="580"/>
      <c r="AG172" s="580"/>
      <c r="AH172" s="580"/>
      <c r="AI172" s="580"/>
      <c r="AJ172" s="603"/>
    </row>
    <row r="173" spans="1:36" s="621" customFormat="1">
      <c r="A173" s="625" t="s">
        <v>1288</v>
      </c>
      <c r="B173" s="604"/>
      <c r="C173" s="603"/>
      <c r="D173" s="472">
        <f>IF(DRIVE_Type="Coupling",IF(Small_F,J69-(MB+MC),J65-J51),0)</f>
        <v>0</v>
      </c>
      <c r="E173" s="464"/>
      <c r="F173" s="493"/>
      <c r="G173" s="493"/>
      <c r="H173" s="493"/>
      <c r="I173" s="493"/>
      <c r="J173" s="492"/>
      <c r="K173" s="493"/>
      <c r="L173" s="493"/>
      <c r="M173" s="492"/>
      <c r="N173" s="493"/>
      <c r="O173" s="583"/>
      <c r="P173" s="584"/>
      <c r="Q173" s="1450"/>
      <c r="R173" s="640"/>
      <c r="S173" s="580"/>
      <c r="T173" s="580"/>
      <c r="U173" s="636"/>
      <c r="V173" s="636"/>
      <c r="W173" s="636"/>
      <c r="X173" s="636"/>
      <c r="Y173" s="636"/>
      <c r="Z173" s="637"/>
      <c r="AA173" s="637"/>
      <c r="AB173" s="637"/>
      <c r="AC173" s="637"/>
      <c r="AD173" s="637"/>
      <c r="AE173" s="637"/>
      <c r="AF173" s="580"/>
      <c r="AG173" s="580"/>
      <c r="AH173" s="580"/>
      <c r="AI173" s="580"/>
      <c r="AJ173" s="603"/>
    </row>
    <row r="174" spans="1:36" s="621" customFormat="1">
      <c r="A174" s="625" t="s">
        <v>1835</v>
      </c>
      <c r="B174" s="604"/>
      <c r="C174" s="603"/>
      <c r="D174" s="472">
        <f>IF(DRIVE_Type="Coupling",M93-IF(Small_F,J69,J65)-DBdRa6-DBB-DBndRa5,0)</f>
        <v>0</v>
      </c>
      <c r="E174" s="464"/>
      <c r="F174" s="626" t="s">
        <v>1290</v>
      </c>
      <c r="G174" s="627">
        <f>IF(DRIVE_Type="Coupling",DRa6H_C,0)</f>
        <v>0</v>
      </c>
      <c r="H174" s="580"/>
      <c r="I174" s="580"/>
      <c r="J174" s="492"/>
      <c r="K174" s="493"/>
      <c r="L174" s="493"/>
      <c r="M174" s="492"/>
      <c r="N174" s="493"/>
      <c r="O174" s="583"/>
      <c r="P174" s="584"/>
      <c r="Q174" s="1450"/>
      <c r="R174" s="644"/>
      <c r="S174" s="603"/>
      <c r="T174" s="603"/>
      <c r="U174" s="639"/>
      <c r="V174" s="603"/>
      <c r="W174" s="603"/>
      <c r="X174" s="603"/>
      <c r="Y174" s="603"/>
      <c r="Z174" s="637"/>
      <c r="AA174" s="637"/>
      <c r="AB174" s="637"/>
      <c r="AC174" s="637"/>
      <c r="AD174" s="637"/>
      <c r="AE174" s="637"/>
      <c r="AF174" s="580"/>
      <c r="AG174" s="580"/>
      <c r="AH174" s="580"/>
      <c r="AI174" s="580"/>
    </row>
    <row r="175" spans="1:36" s="621" customFormat="1">
      <c r="A175" s="625" t="s">
        <v>1190</v>
      </c>
      <c r="B175" s="604"/>
      <c r="C175" s="603"/>
      <c r="D175" s="462">
        <f>IF(DRIVE_Type="Coupling",IF(Small_F,M90-J69-DRa6H_C-2*VLOOKUP(BF_Ra,Iron_dim,2),J81-J67),0)</f>
        <v>0</v>
      </c>
      <c r="E175" s="464"/>
      <c r="F175" s="626" t="s">
        <v>1290</v>
      </c>
      <c r="G175" s="627">
        <f>IF(DRIVE_Type="Coupling",IF(Small_F,DBB-(VLOOKUP(BF_Ra,Iron_dim,2)-DBndRa5)-(VLOOKUP(BF_Ra,Iron_dim,2)-DBdRa6),DRa5Ra6),0)</f>
        <v>0</v>
      </c>
      <c r="H175" s="580"/>
      <c r="I175" s="580"/>
      <c r="J175" s="492"/>
      <c r="K175" s="493"/>
      <c r="L175" s="493"/>
      <c r="M175" s="492"/>
      <c r="N175" s="493"/>
      <c r="O175" s="583"/>
      <c r="P175" s="584"/>
      <c r="Q175" s="1450"/>
      <c r="R175" s="640"/>
      <c r="S175" s="580"/>
      <c r="T175" s="580"/>
      <c r="U175" s="636"/>
      <c r="V175" s="636"/>
      <c r="W175" s="636"/>
      <c r="X175" s="636"/>
      <c r="Y175" s="636"/>
      <c r="Z175" s="637"/>
      <c r="AA175" s="637"/>
      <c r="AB175" s="637"/>
      <c r="AC175" s="637"/>
      <c r="AD175" s="637"/>
      <c r="AE175" s="637"/>
      <c r="AF175" s="580"/>
      <c r="AG175" s="580"/>
      <c r="AH175" s="580"/>
      <c r="AI175" s="580"/>
    </row>
    <row r="176" spans="1:36" s="621" customFormat="1">
      <c r="A176" s="464"/>
      <c r="B176" s="464"/>
      <c r="C176" s="464"/>
      <c r="D176" s="464"/>
      <c r="E176" s="464"/>
      <c r="F176" s="464"/>
      <c r="G176" s="464"/>
      <c r="H176" s="464"/>
      <c r="I176" s="464"/>
      <c r="J176" s="464"/>
      <c r="K176" s="464"/>
      <c r="L176" s="464"/>
      <c r="M176" s="464"/>
      <c r="N176" s="464"/>
      <c r="O176" s="464"/>
      <c r="P176" s="462"/>
      <c r="Q176" s="464"/>
      <c r="R176" s="640"/>
      <c r="S176" s="580"/>
      <c r="T176" s="580"/>
      <c r="U176" s="636"/>
      <c r="V176" s="636"/>
      <c r="W176" s="636"/>
      <c r="X176" s="636"/>
      <c r="Y176" s="636"/>
      <c r="Z176" s="637"/>
      <c r="AA176" s="637"/>
      <c r="AB176" s="637"/>
      <c r="AC176" s="637"/>
      <c r="AD176" s="637"/>
      <c r="AE176" s="637"/>
      <c r="AF176" s="580"/>
      <c r="AG176" s="580"/>
      <c r="AH176" s="580"/>
      <c r="AI176" s="580"/>
    </row>
    <row r="177" spans="18:36">
      <c r="R177" s="1502"/>
      <c r="S177" s="603"/>
      <c r="T177" s="603"/>
      <c r="U177" s="603"/>
      <c r="V177" s="572"/>
      <c r="W177" s="603"/>
      <c r="X177" s="603"/>
      <c r="Y177" s="603"/>
      <c r="Z177" s="603"/>
      <c r="AA177" s="603"/>
      <c r="AB177" s="603"/>
      <c r="AC177" s="603"/>
      <c r="AD177" s="603"/>
      <c r="AE177" s="603"/>
      <c r="AF177" s="603"/>
      <c r="AG177" s="603"/>
      <c r="AH177" s="603"/>
      <c r="AI177" s="603"/>
      <c r="AJ177" s="621"/>
    </row>
    <row r="178" spans="18:36">
      <c r="R178" s="644"/>
      <c r="S178" s="603"/>
      <c r="T178" s="603"/>
      <c r="U178" s="603"/>
      <c r="V178" s="603"/>
      <c r="W178" s="603"/>
      <c r="X178" s="603"/>
      <c r="Y178" s="603"/>
      <c r="Z178" s="603"/>
      <c r="AA178" s="603"/>
      <c r="AB178" s="603"/>
      <c r="AC178" s="603"/>
      <c r="AD178" s="603"/>
      <c r="AE178" s="603"/>
      <c r="AF178" s="603"/>
      <c r="AG178" s="603"/>
      <c r="AH178" s="603"/>
      <c r="AI178" s="603"/>
      <c r="AJ178" s="464"/>
    </row>
    <row r="179" spans="18:36">
      <c r="R179" s="644"/>
      <c r="S179" s="603"/>
      <c r="T179" s="603"/>
      <c r="U179" s="603"/>
      <c r="V179" s="603"/>
      <c r="W179" s="603"/>
      <c r="X179" s="603"/>
      <c r="Y179" s="603"/>
      <c r="Z179" s="603"/>
      <c r="AA179" s="603"/>
      <c r="AB179" s="603"/>
      <c r="AC179" s="603"/>
      <c r="AD179" s="603"/>
      <c r="AE179" s="603"/>
      <c r="AF179" s="603"/>
      <c r="AG179" s="603"/>
      <c r="AH179" s="603"/>
      <c r="AI179" s="603"/>
      <c r="AJ179" s="464"/>
    </row>
    <row r="180" spans="18:36">
      <c r="R180" s="644"/>
      <c r="S180" s="603"/>
      <c r="T180" s="603"/>
      <c r="U180" s="603"/>
      <c r="V180" s="603"/>
      <c r="W180" s="603"/>
      <c r="X180" s="603"/>
      <c r="Y180" s="603"/>
      <c r="Z180" s="603"/>
      <c r="AA180" s="603"/>
      <c r="AB180" s="603"/>
      <c r="AC180" s="603"/>
      <c r="AD180" s="603"/>
      <c r="AE180" s="603"/>
      <c r="AF180" s="603"/>
      <c r="AG180" s="603"/>
      <c r="AH180" s="603"/>
      <c r="AI180" s="603"/>
      <c r="AJ180" s="464"/>
    </row>
    <row r="181" spans="18:36">
      <c r="R181" s="644"/>
      <c r="S181" s="603"/>
      <c r="T181" s="603"/>
      <c r="U181" s="603"/>
      <c r="V181" s="603"/>
      <c r="W181" s="603"/>
      <c r="X181" s="603"/>
      <c r="Y181" s="603"/>
      <c r="Z181" s="603"/>
      <c r="AA181" s="603"/>
      <c r="AB181" s="603"/>
      <c r="AC181" s="603"/>
      <c r="AD181" s="603"/>
      <c r="AE181" s="603"/>
      <c r="AF181" s="603"/>
      <c r="AG181" s="603"/>
      <c r="AH181" s="603"/>
      <c r="AI181" s="603"/>
      <c r="AJ181" s="464"/>
    </row>
    <row r="182" spans="18:36">
      <c r="R182" s="644"/>
      <c r="S182" s="603"/>
      <c r="T182" s="603"/>
      <c r="U182" s="603"/>
      <c r="V182" s="603"/>
      <c r="W182" s="603"/>
      <c r="X182" s="603"/>
      <c r="Y182" s="603"/>
      <c r="Z182" s="603"/>
      <c r="AA182" s="603"/>
      <c r="AB182" s="603"/>
      <c r="AC182" s="603"/>
      <c r="AD182" s="603"/>
      <c r="AE182" s="603"/>
      <c r="AF182" s="603"/>
      <c r="AG182" s="603"/>
      <c r="AH182" s="603"/>
      <c r="AI182" s="603"/>
      <c r="AJ182" s="464"/>
    </row>
    <row r="183" spans="18:36">
      <c r="R183" s="644"/>
      <c r="S183" s="603"/>
      <c r="T183" s="603"/>
      <c r="U183" s="603"/>
      <c r="V183" s="603"/>
      <c r="W183" s="603"/>
      <c r="X183" s="603"/>
      <c r="Y183" s="603"/>
      <c r="Z183" s="603"/>
      <c r="AA183" s="603"/>
      <c r="AB183" s="603"/>
      <c r="AC183" s="603"/>
      <c r="AD183" s="603"/>
      <c r="AE183" s="603"/>
      <c r="AF183" s="603"/>
      <c r="AG183" s="603"/>
      <c r="AH183" s="603"/>
      <c r="AI183" s="603"/>
      <c r="AJ183" s="464"/>
    </row>
    <row r="184" spans="18:36">
      <c r="R184" s="644"/>
      <c r="S184" s="603"/>
      <c r="T184" s="603"/>
      <c r="U184" s="603"/>
      <c r="V184" s="603"/>
      <c r="W184" s="603"/>
      <c r="X184" s="603"/>
      <c r="Y184" s="603"/>
      <c r="Z184" s="603"/>
      <c r="AA184" s="603"/>
      <c r="AB184" s="603"/>
      <c r="AC184" s="603"/>
      <c r="AD184" s="603"/>
      <c r="AE184" s="603"/>
      <c r="AF184" s="603"/>
      <c r="AG184" s="603"/>
      <c r="AH184" s="603"/>
      <c r="AI184" s="603"/>
      <c r="AJ184" s="464"/>
    </row>
    <row r="185" spans="18:36">
      <c r="R185" s="644"/>
      <c r="S185" s="603"/>
      <c r="T185" s="603"/>
      <c r="U185" s="603"/>
      <c r="V185" s="603"/>
      <c r="W185" s="603"/>
      <c r="X185" s="603"/>
      <c r="Y185" s="603"/>
      <c r="Z185" s="603"/>
      <c r="AA185" s="603"/>
      <c r="AB185" s="603"/>
      <c r="AC185" s="603"/>
      <c r="AD185" s="603"/>
      <c r="AE185" s="603"/>
      <c r="AF185" s="603"/>
      <c r="AG185" s="603"/>
      <c r="AH185" s="603"/>
      <c r="AI185" s="603"/>
      <c r="AJ185" s="464"/>
    </row>
    <row r="186" spans="18:36">
      <c r="R186" s="644"/>
      <c r="S186" s="603"/>
      <c r="T186" s="603"/>
      <c r="U186" s="603"/>
      <c r="V186" s="603"/>
      <c r="W186" s="603"/>
      <c r="X186" s="603"/>
      <c r="Y186" s="603"/>
      <c r="Z186" s="603"/>
      <c r="AA186" s="603"/>
      <c r="AB186" s="603"/>
      <c r="AC186" s="603"/>
      <c r="AD186" s="603"/>
      <c r="AE186" s="603"/>
      <c r="AF186" s="603"/>
      <c r="AG186" s="603"/>
      <c r="AH186" s="603"/>
      <c r="AI186" s="603"/>
      <c r="AJ186" s="464"/>
    </row>
    <row r="187" spans="18:36">
      <c r="R187" s="644"/>
      <c r="S187" s="603"/>
      <c r="T187" s="603"/>
      <c r="U187" s="603"/>
      <c r="V187" s="603"/>
      <c r="W187" s="603"/>
      <c r="X187" s="603"/>
      <c r="Y187" s="603"/>
      <c r="Z187" s="603"/>
      <c r="AA187" s="603"/>
      <c r="AB187" s="603"/>
      <c r="AC187" s="603"/>
      <c r="AD187" s="603"/>
      <c r="AE187" s="603"/>
      <c r="AF187" s="603"/>
      <c r="AG187" s="603"/>
      <c r="AH187" s="603"/>
      <c r="AI187" s="603"/>
      <c r="AJ187" s="464"/>
    </row>
    <row r="188" spans="18:36">
      <c r="R188" s="644"/>
      <c r="S188" s="603"/>
      <c r="T188" s="603"/>
      <c r="U188" s="603"/>
      <c r="V188" s="603"/>
      <c r="W188" s="603"/>
      <c r="X188" s="603"/>
      <c r="Y188" s="603"/>
      <c r="Z188" s="603"/>
      <c r="AA188" s="603"/>
      <c r="AB188" s="603"/>
      <c r="AC188" s="603"/>
      <c r="AD188" s="603"/>
      <c r="AE188" s="603"/>
      <c r="AF188" s="603"/>
      <c r="AG188" s="603"/>
      <c r="AH188" s="603"/>
      <c r="AI188" s="603"/>
      <c r="AJ188" s="464"/>
    </row>
    <row r="189" spans="18:36">
      <c r="R189" s="644"/>
      <c r="S189" s="603"/>
      <c r="T189" s="603"/>
      <c r="U189" s="603"/>
      <c r="V189" s="603"/>
      <c r="W189" s="603"/>
      <c r="X189" s="603"/>
      <c r="Y189" s="603"/>
      <c r="Z189" s="603"/>
      <c r="AA189" s="603"/>
      <c r="AB189" s="603"/>
      <c r="AC189" s="603"/>
      <c r="AD189" s="603"/>
      <c r="AE189" s="603"/>
      <c r="AF189" s="603"/>
      <c r="AG189" s="603"/>
      <c r="AH189" s="603"/>
      <c r="AI189" s="603"/>
      <c r="AJ189" s="464"/>
    </row>
    <row r="190" spans="18:36">
      <c r="R190" s="644"/>
      <c r="S190" s="603"/>
      <c r="T190" s="603"/>
      <c r="U190" s="603"/>
      <c r="V190" s="603"/>
      <c r="W190" s="603"/>
      <c r="X190" s="603"/>
      <c r="Y190" s="603"/>
      <c r="Z190" s="603"/>
      <c r="AA190" s="603"/>
      <c r="AB190" s="603"/>
      <c r="AC190" s="603"/>
      <c r="AD190" s="603"/>
      <c r="AE190" s="603"/>
      <c r="AF190" s="603"/>
      <c r="AG190" s="603"/>
      <c r="AH190" s="603"/>
      <c r="AI190" s="603"/>
      <c r="AJ190" s="464"/>
    </row>
    <row r="191" spans="18:36">
      <c r="R191" s="644"/>
      <c r="S191" s="603"/>
      <c r="T191" s="603"/>
      <c r="U191" s="603"/>
      <c r="V191" s="603"/>
      <c r="W191" s="603"/>
      <c r="X191" s="603"/>
      <c r="Y191" s="603"/>
      <c r="Z191" s="603"/>
      <c r="AA191" s="603"/>
      <c r="AB191" s="603"/>
      <c r="AC191" s="603"/>
      <c r="AD191" s="603"/>
      <c r="AE191" s="603"/>
      <c r="AF191" s="603"/>
      <c r="AG191" s="603"/>
      <c r="AH191" s="603"/>
      <c r="AI191" s="603"/>
      <c r="AJ191" s="464"/>
    </row>
    <row r="192" spans="18:36">
      <c r="R192" s="493"/>
      <c r="AJ192" s="464"/>
    </row>
    <row r="193" spans="18:36">
      <c r="R193" s="493"/>
      <c r="AJ193" s="464"/>
    </row>
    <row r="194" spans="18:36">
      <c r="R194" s="493"/>
      <c r="AJ194" s="464"/>
    </row>
    <row r="195" spans="18:36">
      <c r="R195" s="493"/>
      <c r="AJ195" s="464"/>
    </row>
    <row r="196" spans="18:36">
      <c r="R196" s="493"/>
      <c r="AJ196" s="464"/>
    </row>
    <row r="197" spans="18:36">
      <c r="R197" s="493"/>
      <c r="AJ197" s="464"/>
    </row>
    <row r="198" spans="18:36">
      <c r="R198" s="493"/>
      <c r="AJ198" s="464"/>
    </row>
    <row r="199" spans="18:36">
      <c r="AJ199" s="464"/>
    </row>
    <row r="200" spans="18:36">
      <c r="AJ200" s="464"/>
    </row>
    <row r="201" spans="18:36">
      <c r="AJ201" s="464"/>
    </row>
    <row r="202" spans="18:36">
      <c r="AJ202" s="464"/>
    </row>
    <row r="203" spans="18:36">
      <c r="AJ203" s="464"/>
    </row>
    <row r="204" spans="18:36">
      <c r="AJ204" s="464"/>
    </row>
    <row r="205" spans="18:36">
      <c r="AJ205" s="464"/>
    </row>
    <row r="206" spans="18:36">
      <c r="AJ206" s="464"/>
    </row>
    <row r="207" spans="18:36">
      <c r="AJ207" s="464"/>
    </row>
    <row r="208" spans="18:36">
      <c r="AJ208" s="464"/>
    </row>
    <row r="209" spans="36:36">
      <c r="AJ209" s="464"/>
    </row>
    <row r="210" spans="36:36">
      <c r="AJ210" s="464"/>
    </row>
  </sheetData>
  <mergeCells count="5">
    <mergeCell ref="X27:X29"/>
    <mergeCell ref="D21:D22"/>
    <mergeCell ref="B21:B22"/>
    <mergeCell ref="A21:A22"/>
    <mergeCell ref="C21:C22"/>
  </mergeCells>
  <phoneticPr fontId="170" type="noConversion"/>
  <pageMargins left="0.70866141732283472" right="0.70866141732283472" top="0.74803149606299213" bottom="0.74803149606299213" header="0.31496062992125984" footer="0.31496062992125984"/>
  <pageSetup paperSize="9" scale="19" orientation="landscape" r:id="rId1"/>
  <headerFooter>
    <oddHeader>&amp;L&amp;F / &amp;A&amp;R&amp;D</oddHeader>
    <oddFooter>&amp;L&amp;12CONFIDENTIAL&amp;C&amp;12BARKER JET&amp;Rpage &amp;P / &amp;N</oddFooter>
  </headerFooter>
  <drawing r:id="rId2"/>
  <legacyDrawing r:id="rId3"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>
    <pageSetUpPr fitToPage="1"/>
  </sheetPr>
  <dimension ref="A1:AH107"/>
  <sheetViews>
    <sheetView topLeftCell="A44" zoomScale="70" zoomScaleNormal="70" workbookViewId="0">
      <selection activeCell="C93" sqref="C93:L107"/>
    </sheetView>
  </sheetViews>
  <sheetFormatPr defaultColWidth="9.140625" defaultRowHeight="15"/>
  <cols>
    <col min="1" max="1" width="13.7109375" style="464" customWidth="1"/>
    <col min="2" max="2" width="9.140625" style="1404"/>
    <col min="3" max="12" width="9.140625" style="464"/>
    <col min="13" max="13" width="13.7109375" style="464" customWidth="1"/>
    <col min="14" max="14" width="9.140625" style="464" customWidth="1"/>
    <col min="15" max="16" width="9.140625" style="464"/>
    <col min="17" max="17" width="9.140625" style="1538"/>
    <col min="18" max="34" width="9.140625" style="621"/>
    <col min="35" max="16384" width="9.140625" style="464"/>
  </cols>
  <sheetData>
    <row r="1" spans="1:28" ht="15.75" thickBot="1">
      <c r="A1" s="1264" t="s">
        <v>1203</v>
      </c>
      <c r="B1" s="1749"/>
      <c r="C1" s="1746">
        <v>750</v>
      </c>
      <c r="D1" s="1747">
        <v>900</v>
      </c>
      <c r="E1" s="1747">
        <v>1000</v>
      </c>
      <c r="F1" s="1747">
        <v>1200</v>
      </c>
      <c r="G1" s="1747">
        <v>1350</v>
      </c>
      <c r="H1" s="1747">
        <v>1500</v>
      </c>
      <c r="I1" s="1747">
        <v>1800</v>
      </c>
      <c r="J1" s="1747">
        <v>2400</v>
      </c>
      <c r="K1" s="1747">
        <v>3000</v>
      </c>
      <c r="L1" s="1748">
        <v>3600</v>
      </c>
      <c r="M1" s="1264" t="s">
        <v>227</v>
      </c>
      <c r="N1" s="1264"/>
      <c r="O1" s="1264"/>
      <c r="P1" s="1264"/>
      <c r="Q1" s="1536"/>
      <c r="R1" s="1270"/>
      <c r="S1" s="1270"/>
      <c r="T1" s="1270"/>
      <c r="U1" s="1270"/>
      <c r="V1" s="1270"/>
      <c r="W1" s="1270"/>
      <c r="X1" s="1270"/>
      <c r="Y1" s="1270"/>
      <c r="Z1" s="1270"/>
      <c r="AA1" s="1270"/>
      <c r="AB1" s="1270"/>
    </row>
    <row r="2" spans="1:28" ht="15.75" thickBot="1">
      <c r="A2" s="1265" t="s">
        <v>1261</v>
      </c>
      <c r="B2" s="1743">
        <v>0</v>
      </c>
      <c r="C2" s="1406" t="e">
        <f t="shared" ref="C2:L2" ca="1" si="0">IF(Small_F,R2,C3)</f>
        <v>#REF!</v>
      </c>
      <c r="D2" s="1407" t="e">
        <f t="shared" ca="1" si="0"/>
        <v>#REF!</v>
      </c>
      <c r="E2" s="1407" t="e">
        <f t="shared" ca="1" si="0"/>
        <v>#REF!</v>
      </c>
      <c r="F2" s="1407" t="e">
        <f t="shared" ca="1" si="0"/>
        <v>#REF!</v>
      </c>
      <c r="G2" s="1407" t="e">
        <f t="shared" ca="1" si="0"/>
        <v>#REF!</v>
      </c>
      <c r="H2" s="1407" t="e">
        <f t="shared" ca="1" si="0"/>
        <v>#REF!</v>
      </c>
      <c r="I2" s="1407" t="e">
        <f t="shared" ca="1" si="0"/>
        <v>#REF!</v>
      </c>
      <c r="J2" s="1407" t="e">
        <f t="shared" ca="1" si="0"/>
        <v>#REF!</v>
      </c>
      <c r="K2" s="1407" t="e">
        <f t="shared" ca="1" si="0"/>
        <v>#REF!</v>
      </c>
      <c r="L2" s="1408" t="e">
        <f t="shared" ca="1" si="0"/>
        <v>#REF!</v>
      </c>
      <c r="M2" s="1264" t="s">
        <v>2842</v>
      </c>
      <c r="N2" s="1504" t="e">
        <f ca="1">INDEX(MFRa,sysJ2_index,RPM_index)</f>
        <v>#REF!</v>
      </c>
      <c r="O2" s="1268" t="b">
        <f ca="1">OR(ISERROR(MF_Ra),ISERROR(MATCH(MF_Ra,'Iron Dim.'!$B$2:$B$76,0)))</f>
        <v>1</v>
      </c>
      <c r="P2" s="1264"/>
      <c r="Q2" s="1536"/>
      <c r="R2" s="1506" t="s">
        <v>3449</v>
      </c>
      <c r="S2" s="1507" t="s">
        <v>3449</v>
      </c>
      <c r="T2" s="1507" t="s">
        <v>3449</v>
      </c>
      <c r="U2" s="1507" t="s">
        <v>3449</v>
      </c>
      <c r="V2" s="1507" t="s">
        <v>3449</v>
      </c>
      <c r="W2" s="1507" t="s">
        <v>3449</v>
      </c>
      <c r="X2" s="1507" t="s">
        <v>3449</v>
      </c>
      <c r="Y2" s="1507" t="s">
        <v>3449</v>
      </c>
      <c r="Z2" s="1507" t="s">
        <v>3449</v>
      </c>
      <c r="AA2" s="1508" t="s">
        <v>3449</v>
      </c>
      <c r="AB2" s="1270"/>
    </row>
    <row r="3" spans="1:28" ht="14.45" customHeight="1">
      <c r="A3" s="3979"/>
      <c r="B3" s="1744">
        <v>0.1</v>
      </c>
      <c r="C3" s="1531" t="s">
        <v>1036</v>
      </c>
      <c r="D3" s="1532" t="s">
        <v>1036</v>
      </c>
      <c r="E3" s="1532" t="s">
        <v>1036</v>
      </c>
      <c r="F3" s="1532" t="s">
        <v>1036</v>
      </c>
      <c r="G3" s="1532" t="s">
        <v>1036</v>
      </c>
      <c r="H3" s="1532" t="s">
        <v>1036</v>
      </c>
      <c r="I3" s="1532" t="s">
        <v>1036</v>
      </c>
      <c r="J3" s="1532" t="s">
        <v>1036</v>
      </c>
      <c r="K3" s="1532" t="s">
        <v>1036</v>
      </c>
      <c r="L3" s="1533" t="s">
        <v>1036</v>
      </c>
      <c r="M3" s="1264"/>
      <c r="O3" s="1264"/>
      <c r="P3" s="1264"/>
      <c r="Q3" s="1536"/>
      <c r="R3" s="1537"/>
      <c r="S3" s="1537"/>
      <c r="T3" s="1537"/>
      <c r="U3" s="1537"/>
      <c r="V3" s="1537"/>
      <c r="W3" s="1537"/>
      <c r="X3" s="1537"/>
      <c r="Y3" s="1537"/>
      <c r="Z3" s="1537"/>
      <c r="AA3" s="1537"/>
      <c r="AB3" s="1270"/>
    </row>
    <row r="4" spans="1:28" ht="15.75" thickBot="1">
      <c r="A4" s="3980"/>
      <c r="B4" s="1744">
        <v>0.125</v>
      </c>
      <c r="C4" s="1531" t="s">
        <v>1036</v>
      </c>
      <c r="D4" s="1532" t="s">
        <v>1036</v>
      </c>
      <c r="E4" s="1532" t="s">
        <v>1036</v>
      </c>
      <c r="F4" s="1532" t="s">
        <v>1036</v>
      </c>
      <c r="G4" s="1532" t="s">
        <v>1036</v>
      </c>
      <c r="H4" s="1532" t="s">
        <v>1036</v>
      </c>
      <c r="I4" s="1532" t="s">
        <v>1036</v>
      </c>
      <c r="J4" s="1532" t="s">
        <v>1036</v>
      </c>
      <c r="K4" s="1532" t="s">
        <v>1036</v>
      </c>
      <c r="L4" s="1533" t="s">
        <v>3856</v>
      </c>
      <c r="M4" s="1264"/>
      <c r="N4" s="1264"/>
      <c r="O4" s="1264"/>
      <c r="P4" s="1264"/>
      <c r="Q4" s="1536"/>
      <c r="AB4" s="1270"/>
    </row>
    <row r="5" spans="1:28">
      <c r="A5" s="1264"/>
      <c r="B5" s="1744">
        <v>0.15</v>
      </c>
      <c r="C5" s="1531" t="s">
        <v>1036</v>
      </c>
      <c r="D5" s="1532" t="s">
        <v>1036</v>
      </c>
      <c r="E5" s="1532" t="s">
        <v>1036</v>
      </c>
      <c r="F5" s="1532" t="s">
        <v>1036</v>
      </c>
      <c r="G5" s="1532" t="s">
        <v>1036</v>
      </c>
      <c r="H5" s="1532" t="s">
        <v>1036</v>
      </c>
      <c r="I5" s="1532" t="s">
        <v>1036</v>
      </c>
      <c r="J5" s="1532" t="s">
        <v>3856</v>
      </c>
      <c r="K5" s="1532" t="s">
        <v>3856</v>
      </c>
      <c r="L5" s="1533" t="s">
        <v>1037</v>
      </c>
      <c r="M5" s="1264"/>
      <c r="N5" s="1264"/>
      <c r="O5" s="1264"/>
      <c r="P5" s="1264"/>
      <c r="Q5" s="1536"/>
      <c r="R5" s="1270"/>
      <c r="S5" s="1270"/>
      <c r="T5" s="1270"/>
      <c r="U5" s="1270"/>
      <c r="V5" s="1270"/>
      <c r="W5" s="1270"/>
      <c r="X5" s="1270"/>
      <c r="Y5" s="1270"/>
      <c r="Z5" s="1270"/>
      <c r="AA5" s="1270"/>
      <c r="AB5" s="1270"/>
    </row>
    <row r="6" spans="1:28">
      <c r="A6" s="1264"/>
      <c r="B6" s="1744">
        <v>0.17499999999999999</v>
      </c>
      <c r="C6" s="1531" t="s">
        <v>1036</v>
      </c>
      <c r="D6" s="1532" t="s">
        <v>1036</v>
      </c>
      <c r="E6" s="1532" t="s">
        <v>1036</v>
      </c>
      <c r="F6" s="1532" t="s">
        <v>1036</v>
      </c>
      <c r="G6" s="1532" t="s">
        <v>1036</v>
      </c>
      <c r="H6" s="1532" t="s">
        <v>1036</v>
      </c>
      <c r="I6" s="1532" t="s">
        <v>3856</v>
      </c>
      <c r="J6" s="1532" t="s">
        <v>3856</v>
      </c>
      <c r="K6" s="1532" t="s">
        <v>1038</v>
      </c>
      <c r="L6" s="1533" t="s">
        <v>1038</v>
      </c>
      <c r="M6" s="1264"/>
      <c r="N6" s="1264"/>
      <c r="O6" s="1264"/>
      <c r="P6" s="1264"/>
      <c r="Q6" s="1536"/>
      <c r="R6" s="1270"/>
      <c r="S6" s="1270"/>
      <c r="T6" s="1270"/>
      <c r="U6" s="1270"/>
      <c r="V6" s="1270"/>
      <c r="W6" s="1270"/>
      <c r="X6" s="1270"/>
      <c r="Y6" s="1270"/>
      <c r="Z6" s="1270"/>
      <c r="AA6" s="1270"/>
      <c r="AB6" s="1270"/>
    </row>
    <row r="7" spans="1:28">
      <c r="A7" s="1264"/>
      <c r="B7" s="1744">
        <v>0.2</v>
      </c>
      <c r="C7" s="1531" t="s">
        <v>1036</v>
      </c>
      <c r="D7" s="1532" t="s">
        <v>1036</v>
      </c>
      <c r="E7" s="1532" t="s">
        <v>1036</v>
      </c>
      <c r="F7" s="1532" t="s">
        <v>1036</v>
      </c>
      <c r="G7" s="1532" t="s">
        <v>3856</v>
      </c>
      <c r="H7" s="1532" t="s">
        <v>3856</v>
      </c>
      <c r="I7" s="1532" t="s">
        <v>1037</v>
      </c>
      <c r="J7" s="1532" t="s">
        <v>1037</v>
      </c>
      <c r="K7" s="1532" t="s">
        <v>1039</v>
      </c>
      <c r="L7" s="1533" t="s">
        <v>1039</v>
      </c>
      <c r="M7" s="1264"/>
      <c r="N7" s="1264"/>
      <c r="O7" s="1264"/>
      <c r="P7" s="1264"/>
      <c r="Q7" s="1536"/>
      <c r="R7" s="1270"/>
      <c r="S7" s="1270"/>
      <c r="T7" s="1270"/>
      <c r="U7" s="1270"/>
      <c r="V7" s="1270"/>
      <c r="W7" s="1270"/>
      <c r="X7" s="1270"/>
      <c r="Y7" s="1270"/>
      <c r="Z7" s="1270"/>
      <c r="AA7" s="1270"/>
      <c r="AB7" s="1270"/>
    </row>
    <row r="8" spans="1:28">
      <c r="A8" s="1264"/>
      <c r="B8" s="1744">
        <v>0.25</v>
      </c>
      <c r="C8" s="1531" t="s">
        <v>1036</v>
      </c>
      <c r="D8" s="1532" t="s">
        <v>1036</v>
      </c>
      <c r="E8" s="1532" t="s">
        <v>3856</v>
      </c>
      <c r="F8" s="1532" t="s">
        <v>3856</v>
      </c>
      <c r="G8" s="1532" t="s">
        <v>1037</v>
      </c>
      <c r="H8" s="1532" t="s">
        <v>1037</v>
      </c>
      <c r="I8" s="1532" t="s">
        <v>1038</v>
      </c>
      <c r="J8" s="1532" t="s">
        <v>1039</v>
      </c>
      <c r="K8" s="1532" t="s">
        <v>1040</v>
      </c>
      <c r="L8" s="1533" t="s">
        <v>1040</v>
      </c>
      <c r="M8" s="1264"/>
      <c r="N8" s="1264"/>
      <c r="O8" s="1264"/>
      <c r="P8" s="1264"/>
      <c r="Q8" s="1536"/>
      <c r="R8" s="1270"/>
      <c r="S8" s="1270"/>
      <c r="T8" s="1270"/>
      <c r="U8" s="1270"/>
      <c r="V8" s="1270"/>
      <c r="W8" s="1270"/>
      <c r="X8" s="1270"/>
      <c r="Y8" s="1270"/>
      <c r="Z8" s="1270"/>
      <c r="AA8" s="1270"/>
      <c r="AB8" s="1270"/>
    </row>
    <row r="9" spans="1:28">
      <c r="A9" s="1264"/>
      <c r="B9" s="1744">
        <v>0.375</v>
      </c>
      <c r="C9" s="1531" t="s">
        <v>1036</v>
      </c>
      <c r="D9" s="1532" t="s">
        <v>3856</v>
      </c>
      <c r="E9" s="1532" t="s">
        <v>3856</v>
      </c>
      <c r="F9" s="1532" t="s">
        <v>1037</v>
      </c>
      <c r="G9" s="1532" t="s">
        <v>1037</v>
      </c>
      <c r="H9" s="1532" t="s">
        <v>1038</v>
      </c>
      <c r="I9" s="1532" t="s">
        <v>1038</v>
      </c>
      <c r="J9" s="1532" t="s">
        <v>1039</v>
      </c>
      <c r="K9" s="1532" t="s">
        <v>1040</v>
      </c>
      <c r="L9" s="1533" t="s">
        <v>1041</v>
      </c>
      <c r="M9" s="1264"/>
      <c r="N9" s="1264"/>
      <c r="O9" s="1264"/>
      <c r="P9" s="1264"/>
      <c r="Q9" s="1536"/>
      <c r="R9" s="1270"/>
      <c r="S9" s="1270"/>
      <c r="T9" s="1270"/>
      <c r="U9" s="1270"/>
      <c r="V9" s="1270"/>
      <c r="W9" s="1270"/>
      <c r="X9" s="1270"/>
      <c r="Y9" s="1270"/>
      <c r="Z9" s="1270"/>
      <c r="AA9" s="1270"/>
      <c r="AB9" s="1270"/>
    </row>
    <row r="10" spans="1:28">
      <c r="A10" s="1264"/>
      <c r="B10" s="1744">
        <v>0.5</v>
      </c>
      <c r="C10" s="1531" t="s">
        <v>3856</v>
      </c>
      <c r="D10" s="1532" t="s">
        <v>3856</v>
      </c>
      <c r="E10" s="1532" t="s">
        <v>1037</v>
      </c>
      <c r="F10" s="1532" t="s">
        <v>1037</v>
      </c>
      <c r="G10" s="1532" t="s">
        <v>1038</v>
      </c>
      <c r="H10" s="1532" t="s">
        <v>1038</v>
      </c>
      <c r="I10" s="1532" t="s">
        <v>1039</v>
      </c>
      <c r="J10" s="1532" t="s">
        <v>1040</v>
      </c>
      <c r="K10" s="1532" t="s">
        <v>1041</v>
      </c>
      <c r="L10" s="1533" t="s">
        <v>1042</v>
      </c>
      <c r="M10" s="1264"/>
      <c r="N10" s="1264"/>
      <c r="O10" s="1264"/>
      <c r="P10" s="1264"/>
      <c r="Q10" s="1536"/>
      <c r="R10" s="1270"/>
      <c r="S10" s="1270"/>
      <c r="T10" s="1270"/>
      <c r="U10" s="1270"/>
      <c r="V10" s="1270"/>
      <c r="W10" s="1270"/>
      <c r="X10" s="1270"/>
      <c r="Y10" s="1270"/>
      <c r="Z10" s="1270"/>
      <c r="AA10" s="1270"/>
      <c r="AB10" s="1270"/>
    </row>
    <row r="11" spans="1:28" ht="14.45" customHeight="1">
      <c r="A11" s="1264"/>
      <c r="B11" s="1744">
        <v>1</v>
      </c>
      <c r="C11" s="1531" t="s">
        <v>1037</v>
      </c>
      <c r="D11" s="1532" t="s">
        <v>1037</v>
      </c>
      <c r="E11" s="1532" t="s">
        <v>1038</v>
      </c>
      <c r="F11" s="1532" t="s">
        <v>1038</v>
      </c>
      <c r="G11" s="1532" t="s">
        <v>1039</v>
      </c>
      <c r="H11" s="1532" t="s">
        <v>1040</v>
      </c>
      <c r="I11" s="1532" t="s">
        <v>1040</v>
      </c>
      <c r="J11" s="1534" t="s">
        <v>1041</v>
      </c>
      <c r="K11" s="1532" t="s">
        <v>1042</v>
      </c>
      <c r="L11" s="1533" t="s">
        <v>1043</v>
      </c>
      <c r="M11" s="1264"/>
      <c r="N11" s="1264"/>
      <c r="O11" s="1264"/>
      <c r="P11" s="1264"/>
      <c r="Q11" s="1536"/>
      <c r="R11" s="1270"/>
      <c r="S11" s="1270"/>
      <c r="T11" s="1270"/>
      <c r="U11" s="1270"/>
      <c r="V11" s="1270"/>
      <c r="W11" s="1270"/>
      <c r="X11" s="1270"/>
      <c r="Y11" s="1270"/>
      <c r="Z11" s="1270"/>
      <c r="AA11" s="1270"/>
      <c r="AB11" s="1270"/>
    </row>
    <row r="12" spans="1:28">
      <c r="A12" s="1264"/>
      <c r="B12" s="1744">
        <v>1.5</v>
      </c>
      <c r="C12" s="1531" t="s">
        <v>1037</v>
      </c>
      <c r="D12" s="1532" t="s">
        <v>1037</v>
      </c>
      <c r="E12" s="1532" t="s">
        <v>1038</v>
      </c>
      <c r="F12" s="1532" t="s">
        <v>1039</v>
      </c>
      <c r="G12" s="1532" t="s">
        <v>1040</v>
      </c>
      <c r="H12" s="1532" t="s">
        <v>1040</v>
      </c>
      <c r="I12" s="1532" t="s">
        <v>1041</v>
      </c>
      <c r="J12" s="1534" t="s">
        <v>1043</v>
      </c>
      <c r="K12" s="1532" t="s">
        <v>1044</v>
      </c>
      <c r="L12" s="1533" t="s">
        <v>1044</v>
      </c>
      <c r="M12" s="1264"/>
      <c r="N12" s="1264"/>
      <c r="O12" s="1264"/>
      <c r="P12" s="1264"/>
      <c r="Q12" s="1536"/>
      <c r="R12" s="1270"/>
      <c r="S12" s="1270"/>
      <c r="T12" s="1270"/>
      <c r="U12" s="1270"/>
      <c r="V12" s="1270"/>
      <c r="W12" s="1270"/>
      <c r="X12" s="1270"/>
      <c r="Y12" s="1270"/>
      <c r="Z12" s="1270"/>
      <c r="AA12" s="1270"/>
      <c r="AB12" s="1270"/>
    </row>
    <row r="13" spans="1:28">
      <c r="A13" s="1264"/>
      <c r="B13" s="1744">
        <v>2</v>
      </c>
      <c r="C13" s="1532" t="s">
        <v>1037</v>
      </c>
      <c r="D13" s="1532" t="s">
        <v>1038</v>
      </c>
      <c r="E13" s="1532" t="s">
        <v>1039</v>
      </c>
      <c r="F13" s="1532" t="s">
        <v>1040</v>
      </c>
      <c r="G13" s="1532" t="s">
        <v>1041</v>
      </c>
      <c r="H13" s="1532" t="s">
        <v>1042</v>
      </c>
      <c r="I13" s="1535" t="s">
        <v>1043</v>
      </c>
      <c r="J13" s="1534" t="s">
        <v>1044</v>
      </c>
      <c r="K13" s="1532" t="s">
        <v>1044</v>
      </c>
      <c r="L13" s="1761" t="s">
        <v>3453</v>
      </c>
      <c r="M13" s="1264"/>
      <c r="N13" s="1264"/>
      <c r="O13" s="1264"/>
      <c r="P13" s="1264"/>
      <c r="Q13" s="1536"/>
      <c r="R13" s="1270"/>
      <c r="S13" s="1270"/>
      <c r="T13" s="1270"/>
      <c r="U13" s="1270"/>
      <c r="V13" s="1270"/>
      <c r="W13" s="1270"/>
      <c r="X13" s="1270"/>
      <c r="Y13" s="1270"/>
      <c r="Z13" s="1270"/>
      <c r="AA13" s="1270"/>
      <c r="AB13" s="1270"/>
    </row>
    <row r="14" spans="1:28">
      <c r="A14" s="1264"/>
      <c r="B14" s="1744">
        <v>2.5</v>
      </c>
      <c r="C14" s="1531" t="s">
        <v>1038</v>
      </c>
      <c r="D14" s="1532" t="s">
        <v>1039</v>
      </c>
      <c r="E14" s="1532" t="s">
        <v>1040</v>
      </c>
      <c r="F14" s="1532" t="s">
        <v>1041</v>
      </c>
      <c r="G14" s="1532" t="s">
        <v>1042</v>
      </c>
      <c r="H14" s="1532" t="s">
        <v>1043</v>
      </c>
      <c r="I14" s="1532" t="s">
        <v>1044</v>
      </c>
      <c r="J14" s="1532" t="s">
        <v>1044</v>
      </c>
      <c r="K14" s="1762" t="s">
        <v>3453</v>
      </c>
      <c r="L14" s="1761" t="s">
        <v>3453</v>
      </c>
      <c r="M14" s="1264"/>
      <c r="N14" s="1264"/>
      <c r="O14" s="1264"/>
      <c r="P14" s="1264"/>
      <c r="Q14" s="1536"/>
      <c r="R14" s="1270"/>
      <c r="S14" s="1270"/>
      <c r="T14" s="1270"/>
      <c r="U14" s="1270"/>
      <c r="V14" s="1270"/>
      <c r="W14" s="1270"/>
      <c r="X14" s="1270"/>
      <c r="Y14" s="1270"/>
      <c r="Z14" s="1270"/>
      <c r="AA14" s="1270"/>
      <c r="AB14" s="1270"/>
    </row>
    <row r="15" spans="1:28">
      <c r="A15" s="1264"/>
      <c r="B15" s="1744">
        <v>3</v>
      </c>
      <c r="C15" s="1531" t="s">
        <v>1039</v>
      </c>
      <c r="D15" s="1532" t="s">
        <v>1040</v>
      </c>
      <c r="E15" s="1532" t="s">
        <v>1041</v>
      </c>
      <c r="F15" s="1532" t="s">
        <v>1042</v>
      </c>
      <c r="G15" s="1532" t="s">
        <v>1043</v>
      </c>
      <c r="H15" s="1532" t="s">
        <v>1043</v>
      </c>
      <c r="I15" s="1532" t="s">
        <v>1044</v>
      </c>
      <c r="J15" s="1762" t="s">
        <v>3453</v>
      </c>
      <c r="K15" s="1762" t="s">
        <v>3453</v>
      </c>
      <c r="L15" s="1761" t="s">
        <v>3453</v>
      </c>
      <c r="M15" s="1264"/>
      <c r="N15" s="1264"/>
      <c r="O15" s="1264"/>
      <c r="P15" s="1264"/>
      <c r="Q15" s="1536"/>
      <c r="R15" s="1270"/>
      <c r="S15" s="1270"/>
      <c r="T15" s="1270"/>
      <c r="U15" s="1270"/>
      <c r="V15" s="1270"/>
      <c r="W15" s="1270"/>
      <c r="X15" s="1270"/>
      <c r="Y15" s="1270"/>
      <c r="Z15" s="1270"/>
      <c r="AA15" s="1270"/>
      <c r="AB15" s="1270"/>
    </row>
    <row r="16" spans="1:28">
      <c r="A16" s="1264"/>
      <c r="B16" s="1744">
        <v>4</v>
      </c>
      <c r="C16" s="1531" t="s">
        <v>1040</v>
      </c>
      <c r="D16" s="1532" t="s">
        <v>1041</v>
      </c>
      <c r="E16" s="1532" t="s">
        <v>1042</v>
      </c>
      <c r="F16" s="1532" t="s">
        <v>1043</v>
      </c>
      <c r="G16" s="1532" t="s">
        <v>1044</v>
      </c>
      <c r="H16" s="1532" t="s">
        <v>1044</v>
      </c>
      <c r="I16" s="1762" t="s">
        <v>3453</v>
      </c>
      <c r="J16" s="1762" t="s">
        <v>3453</v>
      </c>
      <c r="K16" s="1762" t="s">
        <v>3453</v>
      </c>
      <c r="L16" s="1761" t="s">
        <v>3453</v>
      </c>
      <c r="M16" s="1264"/>
      <c r="N16" s="1264"/>
      <c r="O16" s="1264"/>
      <c r="P16" s="1264"/>
      <c r="Q16" s="1536"/>
      <c r="R16" s="1270"/>
      <c r="S16" s="1270"/>
      <c r="T16" s="1270"/>
      <c r="U16" s="1270"/>
      <c r="V16" s="1270"/>
      <c r="W16" s="1270"/>
      <c r="X16" s="1270"/>
      <c r="Y16" s="1270"/>
      <c r="Z16" s="1270"/>
      <c r="AA16" s="1270"/>
      <c r="AB16" s="1270"/>
    </row>
    <row r="17" spans="1:28" ht="15.75" thickBot="1">
      <c r="A17" s="1264"/>
      <c r="B17" s="1745">
        <v>5</v>
      </c>
      <c r="C17" s="1750" t="s">
        <v>3453</v>
      </c>
      <c r="D17" s="1751" t="s">
        <v>3453</v>
      </c>
      <c r="E17" s="1751" t="s">
        <v>3453</v>
      </c>
      <c r="F17" s="1751" t="s">
        <v>3453</v>
      </c>
      <c r="G17" s="1751" t="s">
        <v>3453</v>
      </c>
      <c r="H17" s="1751" t="s">
        <v>3453</v>
      </c>
      <c r="I17" s="1751" t="s">
        <v>3453</v>
      </c>
      <c r="J17" s="1751" t="s">
        <v>3453</v>
      </c>
      <c r="K17" s="1751" t="s">
        <v>3453</v>
      </c>
      <c r="L17" s="1752" t="s">
        <v>3453</v>
      </c>
      <c r="M17" s="1264"/>
      <c r="N17" s="1264"/>
      <c r="O17" s="1264"/>
      <c r="P17" s="1264"/>
      <c r="Q17" s="1536"/>
      <c r="R17" s="1270"/>
      <c r="S17" s="1270"/>
      <c r="T17" s="1270"/>
      <c r="U17" s="1270"/>
      <c r="V17" s="1270"/>
      <c r="W17" s="1270"/>
      <c r="X17" s="1270"/>
      <c r="Y17" s="1270"/>
      <c r="Z17" s="1270"/>
      <c r="AA17" s="1270"/>
      <c r="AB17" s="1270"/>
    </row>
    <row r="18" spans="1:28">
      <c r="A18" s="1264"/>
      <c r="B18" s="1248"/>
      <c r="C18" s="1264"/>
      <c r="D18" s="1264"/>
      <c r="E18" s="1264"/>
      <c r="F18" s="1264"/>
      <c r="G18" s="1264"/>
      <c r="H18" s="1264"/>
      <c r="I18" s="1264"/>
      <c r="J18" s="1264"/>
      <c r="K18" s="1264"/>
      <c r="L18" s="1264"/>
      <c r="M18" s="1264"/>
      <c r="N18" s="1264"/>
    </row>
    <row r="19" spans="1:28" ht="15.75" thickBot="1">
      <c r="A19" s="1264" t="s">
        <v>1054</v>
      </c>
      <c r="B19" s="1402"/>
      <c r="C19" s="1400">
        <f>$C$1</f>
        <v>750</v>
      </c>
      <c r="D19" s="1400">
        <f>$D$1</f>
        <v>900</v>
      </c>
      <c r="E19" s="1400">
        <f>$E$1</f>
        <v>1000</v>
      </c>
      <c r="F19" s="1400">
        <f>$F$1</f>
        <v>1200</v>
      </c>
      <c r="G19" s="1400">
        <f>$G$1</f>
        <v>1350</v>
      </c>
      <c r="H19" s="1400">
        <f>$H$1</f>
        <v>1500</v>
      </c>
      <c r="I19" s="1400">
        <f>$I$1</f>
        <v>1800</v>
      </c>
      <c r="J19" s="1400">
        <f>$J$1</f>
        <v>2400</v>
      </c>
      <c r="K19" s="1400">
        <f>$K$1</f>
        <v>3000</v>
      </c>
      <c r="L19" s="1400">
        <f>$L$1</f>
        <v>3600</v>
      </c>
      <c r="M19" s="1264" t="s">
        <v>227</v>
      </c>
      <c r="N19" s="1264"/>
    </row>
    <row r="20" spans="1:28" ht="15.75" thickBot="1">
      <c r="A20" s="1265" t="s">
        <v>1261</v>
      </c>
      <c r="B20" s="1402">
        <f>$B$2</f>
        <v>0</v>
      </c>
      <c r="C20" s="1406" t="e">
        <f t="shared" ref="C20:L20" ca="1" si="1">IF(Small_F,R20,C21)</f>
        <v>#REF!</v>
      </c>
      <c r="D20" s="1407" t="e">
        <f t="shared" ca="1" si="1"/>
        <v>#REF!</v>
      </c>
      <c r="E20" s="1407" t="e">
        <f t="shared" ca="1" si="1"/>
        <v>#REF!</v>
      </c>
      <c r="F20" s="1407" t="e">
        <f t="shared" ca="1" si="1"/>
        <v>#REF!</v>
      </c>
      <c r="G20" s="1407" t="e">
        <f t="shared" ca="1" si="1"/>
        <v>#REF!</v>
      </c>
      <c r="H20" s="1407" t="e">
        <f t="shared" ca="1" si="1"/>
        <v>#REF!</v>
      </c>
      <c r="I20" s="1407" t="e">
        <f t="shared" ca="1" si="1"/>
        <v>#REF!</v>
      </c>
      <c r="J20" s="1407" t="e">
        <f t="shared" ca="1" si="1"/>
        <v>#REF!</v>
      </c>
      <c r="K20" s="1407" t="e">
        <f t="shared" ca="1" si="1"/>
        <v>#REF!</v>
      </c>
      <c r="L20" s="1408" t="e">
        <f t="shared" ca="1" si="1"/>
        <v>#REF!</v>
      </c>
      <c r="M20" s="1264" t="s">
        <v>3285</v>
      </c>
      <c r="N20" s="1504" t="e">
        <f ca="1">INDEX(MSP,sysJ2_index,RPM_index)</f>
        <v>#REF!</v>
      </c>
      <c r="R20" s="1506" t="s">
        <v>305</v>
      </c>
      <c r="S20" s="1507" t="s">
        <v>305</v>
      </c>
      <c r="T20" s="1507" t="s">
        <v>305</v>
      </c>
      <c r="U20" s="1507" t="s">
        <v>305</v>
      </c>
      <c r="V20" s="1507" t="s">
        <v>305</v>
      </c>
      <c r="W20" s="1507" t="s">
        <v>305</v>
      </c>
      <c r="X20" s="1507" t="s">
        <v>305</v>
      </c>
      <c r="Y20" s="1507" t="s">
        <v>306</v>
      </c>
      <c r="Z20" s="1507" t="s">
        <v>307</v>
      </c>
      <c r="AA20" s="1508" t="s">
        <v>307</v>
      </c>
    </row>
    <row r="21" spans="1:28">
      <c r="A21" s="3979"/>
      <c r="B21" s="1402">
        <f>$B$3</f>
        <v>0.1</v>
      </c>
      <c r="C21" s="1512" t="s">
        <v>305</v>
      </c>
      <c r="D21" s="1513" t="s">
        <v>305</v>
      </c>
      <c r="E21" s="1513" t="s">
        <v>305</v>
      </c>
      <c r="F21" s="1513" t="s">
        <v>305</v>
      </c>
      <c r="G21" s="1513" t="s">
        <v>305</v>
      </c>
      <c r="H21" s="1513" t="s">
        <v>305</v>
      </c>
      <c r="I21" s="1513" t="s">
        <v>305</v>
      </c>
      <c r="J21" s="1513" t="s">
        <v>306</v>
      </c>
      <c r="K21" s="1513" t="s">
        <v>306</v>
      </c>
      <c r="L21" s="1514" t="s">
        <v>306</v>
      </c>
      <c r="M21" s="1264"/>
      <c r="N21" s="1264"/>
    </row>
    <row r="22" spans="1:28" ht="15.75" thickBot="1">
      <c r="A22" s="3980"/>
      <c r="B22" s="1402">
        <f>$B$4</f>
        <v>0.125</v>
      </c>
      <c r="C22" s="1512" t="s">
        <v>305</v>
      </c>
      <c r="D22" s="1513" t="s">
        <v>305</v>
      </c>
      <c r="E22" s="1513" t="s">
        <v>305</v>
      </c>
      <c r="F22" s="1513" t="s">
        <v>305</v>
      </c>
      <c r="G22" s="1513" t="s">
        <v>305</v>
      </c>
      <c r="H22" s="1513" t="s">
        <v>305</v>
      </c>
      <c r="I22" s="1513" t="s">
        <v>306</v>
      </c>
      <c r="J22" s="1513" t="s">
        <v>306</v>
      </c>
      <c r="K22" s="1513" t="s">
        <v>306</v>
      </c>
      <c r="L22" s="1514" t="s">
        <v>307</v>
      </c>
      <c r="M22" s="1264"/>
      <c r="N22" s="1264"/>
    </row>
    <row r="23" spans="1:28">
      <c r="A23" s="1266"/>
      <c r="B23" s="1402">
        <f>$B$5</f>
        <v>0.15</v>
      </c>
      <c r="C23" s="1512" t="s">
        <v>305</v>
      </c>
      <c r="D23" s="1513" t="s">
        <v>305</v>
      </c>
      <c r="E23" s="1513" t="s">
        <v>305</v>
      </c>
      <c r="F23" s="1513" t="s">
        <v>305</v>
      </c>
      <c r="G23" s="1513" t="s">
        <v>305</v>
      </c>
      <c r="H23" s="1513" t="s">
        <v>306</v>
      </c>
      <c r="I23" s="1513" t="s">
        <v>306</v>
      </c>
      <c r="J23" s="1513" t="s">
        <v>306</v>
      </c>
      <c r="K23" s="1513" t="s">
        <v>307</v>
      </c>
      <c r="L23" s="1514" t="s">
        <v>307</v>
      </c>
      <c r="M23" s="1264"/>
      <c r="N23" s="1264"/>
    </row>
    <row r="24" spans="1:28">
      <c r="A24" s="1266"/>
      <c r="B24" s="1402">
        <f>$B$6</f>
        <v>0.17499999999999999</v>
      </c>
      <c r="C24" s="1512" t="s">
        <v>305</v>
      </c>
      <c r="D24" s="1513" t="s">
        <v>305</v>
      </c>
      <c r="E24" s="1513" t="s">
        <v>305</v>
      </c>
      <c r="F24" s="1513" t="s">
        <v>305</v>
      </c>
      <c r="G24" s="1513" t="s">
        <v>305</v>
      </c>
      <c r="H24" s="1513" t="s">
        <v>306</v>
      </c>
      <c r="I24" s="1513" t="s">
        <v>306</v>
      </c>
      <c r="J24" s="1513" t="s">
        <v>306</v>
      </c>
      <c r="K24" s="1513" t="s">
        <v>307</v>
      </c>
      <c r="L24" s="1514" t="s">
        <v>307</v>
      </c>
      <c r="M24" s="1264"/>
      <c r="N24" s="1264"/>
    </row>
    <row r="25" spans="1:28">
      <c r="A25" s="1266"/>
      <c r="B25" s="1402">
        <f>$B$7</f>
        <v>0.2</v>
      </c>
      <c r="C25" s="1512" t="s">
        <v>305</v>
      </c>
      <c r="D25" s="1513" t="s">
        <v>305</v>
      </c>
      <c r="E25" s="1513" t="s">
        <v>305</v>
      </c>
      <c r="F25" s="1513" t="s">
        <v>305</v>
      </c>
      <c r="G25" s="1513" t="s">
        <v>306</v>
      </c>
      <c r="H25" s="1513" t="s">
        <v>306</v>
      </c>
      <c r="I25" s="1513" t="s">
        <v>306</v>
      </c>
      <c r="J25" s="1513" t="s">
        <v>306</v>
      </c>
      <c r="K25" s="1513" t="s">
        <v>307</v>
      </c>
      <c r="L25" s="1514" t="s">
        <v>307</v>
      </c>
      <c r="M25" s="1264"/>
      <c r="N25" s="1264"/>
    </row>
    <row r="26" spans="1:28">
      <c r="A26" s="1267"/>
      <c r="B26" s="1402">
        <f>$B$8</f>
        <v>0.25</v>
      </c>
      <c r="C26" s="1512" t="s">
        <v>305</v>
      </c>
      <c r="D26" s="1513" t="s">
        <v>305</v>
      </c>
      <c r="E26" s="1513" t="s">
        <v>305</v>
      </c>
      <c r="F26" s="1513" t="s">
        <v>305</v>
      </c>
      <c r="G26" s="1513" t="s">
        <v>306</v>
      </c>
      <c r="H26" s="1513" t="s">
        <v>306</v>
      </c>
      <c r="I26" s="1513" t="s">
        <v>306</v>
      </c>
      <c r="J26" s="1513" t="s">
        <v>306</v>
      </c>
      <c r="K26" s="1513" t="s">
        <v>307</v>
      </c>
      <c r="L26" s="1514" t="s">
        <v>307</v>
      </c>
      <c r="M26" s="1264"/>
      <c r="N26" s="1264"/>
    </row>
    <row r="27" spans="1:28">
      <c r="A27" s="1267"/>
      <c r="B27" s="1402">
        <f>$B$9</f>
        <v>0.375</v>
      </c>
      <c r="C27" s="1512" t="s">
        <v>305</v>
      </c>
      <c r="D27" s="1513" t="s">
        <v>305</v>
      </c>
      <c r="E27" s="1513" t="s">
        <v>305</v>
      </c>
      <c r="F27" s="1513" t="s">
        <v>305</v>
      </c>
      <c r="G27" s="1513" t="s">
        <v>306</v>
      </c>
      <c r="H27" s="1513" t="s">
        <v>306</v>
      </c>
      <c r="I27" s="1513" t="s">
        <v>306</v>
      </c>
      <c r="J27" s="1513" t="s">
        <v>306</v>
      </c>
      <c r="K27" s="1513" t="s">
        <v>307</v>
      </c>
      <c r="L27" s="1514" t="s">
        <v>307</v>
      </c>
      <c r="M27" s="1264"/>
      <c r="N27" s="1264"/>
    </row>
    <row r="28" spans="1:28">
      <c r="A28" s="1264"/>
      <c r="B28" s="1402">
        <f>$B$10</f>
        <v>0.5</v>
      </c>
      <c r="C28" s="1512" t="s">
        <v>305</v>
      </c>
      <c r="D28" s="1513" t="s">
        <v>305</v>
      </c>
      <c r="E28" s="1513" t="s">
        <v>305</v>
      </c>
      <c r="F28" s="1513" t="s">
        <v>306</v>
      </c>
      <c r="G28" s="1513" t="s">
        <v>306</v>
      </c>
      <c r="H28" s="1513" t="s">
        <v>306</v>
      </c>
      <c r="I28" s="1513" t="s">
        <v>307</v>
      </c>
      <c r="J28" s="1513" t="s">
        <v>307</v>
      </c>
      <c r="K28" s="1513" t="s">
        <v>308</v>
      </c>
      <c r="L28" s="1514" t="s">
        <v>308</v>
      </c>
      <c r="M28" s="1264"/>
      <c r="N28" s="1264"/>
    </row>
    <row r="29" spans="1:28">
      <c r="A29" s="1264"/>
      <c r="B29" s="1402">
        <f>$B$11</f>
        <v>1</v>
      </c>
      <c r="C29" s="1512" t="s">
        <v>305</v>
      </c>
      <c r="D29" s="1513" t="s">
        <v>305</v>
      </c>
      <c r="E29" s="1513" t="s">
        <v>305</v>
      </c>
      <c r="F29" s="1513" t="s">
        <v>306</v>
      </c>
      <c r="G29" s="1513" t="s">
        <v>306</v>
      </c>
      <c r="H29" s="1513" t="s">
        <v>306</v>
      </c>
      <c r="I29" s="1513" t="s">
        <v>307</v>
      </c>
      <c r="J29" s="1513" t="s">
        <v>307</v>
      </c>
      <c r="K29" s="1513" t="s">
        <v>308</v>
      </c>
      <c r="L29" s="1514" t="s">
        <v>308</v>
      </c>
      <c r="M29" s="1264"/>
      <c r="N29" s="1264"/>
    </row>
    <row r="30" spans="1:28">
      <c r="A30" s="1264"/>
      <c r="B30" s="1402">
        <f>$B$12</f>
        <v>1.5</v>
      </c>
      <c r="C30" s="1512" t="s">
        <v>305</v>
      </c>
      <c r="D30" s="1513" t="s">
        <v>305</v>
      </c>
      <c r="E30" s="1513" t="s">
        <v>306</v>
      </c>
      <c r="F30" s="1513" t="s">
        <v>306</v>
      </c>
      <c r="G30" s="1513" t="s">
        <v>306</v>
      </c>
      <c r="H30" s="1513" t="s">
        <v>307</v>
      </c>
      <c r="I30" s="1513" t="s">
        <v>307</v>
      </c>
      <c r="J30" s="1513" t="s">
        <v>308</v>
      </c>
      <c r="K30" s="1513" t="s">
        <v>308</v>
      </c>
      <c r="L30" s="1514" t="s">
        <v>308</v>
      </c>
      <c r="M30" s="1264"/>
      <c r="N30" s="1264"/>
    </row>
    <row r="31" spans="1:28">
      <c r="A31" s="1264"/>
      <c r="B31" s="1402">
        <f>$B$13</f>
        <v>2</v>
      </c>
      <c r="C31" s="1512" t="s">
        <v>305</v>
      </c>
      <c r="D31" s="1513" t="s">
        <v>306</v>
      </c>
      <c r="E31" s="1513" t="s">
        <v>306</v>
      </c>
      <c r="F31" s="1513" t="s">
        <v>306</v>
      </c>
      <c r="G31" s="1513" t="s">
        <v>307</v>
      </c>
      <c r="H31" s="1513" t="s">
        <v>307</v>
      </c>
      <c r="I31" s="1513" t="s">
        <v>307</v>
      </c>
      <c r="J31" s="1513" t="s">
        <v>308</v>
      </c>
      <c r="K31" s="1513" t="s">
        <v>308</v>
      </c>
      <c r="L31" s="1760" t="s">
        <v>3451</v>
      </c>
      <c r="M31" s="1264"/>
      <c r="N31" s="1264"/>
    </row>
    <row r="32" spans="1:28">
      <c r="A32" s="1264"/>
      <c r="B32" s="1402">
        <f>$B$14</f>
        <v>2.5</v>
      </c>
      <c r="C32" s="1512" t="s">
        <v>306</v>
      </c>
      <c r="D32" s="1513" t="s">
        <v>306</v>
      </c>
      <c r="E32" s="1513" t="s">
        <v>306</v>
      </c>
      <c r="F32" s="1513" t="s">
        <v>307</v>
      </c>
      <c r="G32" s="1513" t="s">
        <v>307</v>
      </c>
      <c r="H32" s="1513" t="s">
        <v>307</v>
      </c>
      <c r="I32" s="1513" t="s">
        <v>308</v>
      </c>
      <c r="J32" s="1513" t="s">
        <v>308</v>
      </c>
      <c r="K32" s="1759" t="s">
        <v>3451</v>
      </c>
      <c r="L32" s="1760" t="s">
        <v>3451</v>
      </c>
      <c r="M32" s="1264"/>
      <c r="N32" s="1264"/>
    </row>
    <row r="33" spans="1:27">
      <c r="A33" s="1264"/>
      <c r="B33" s="1402">
        <f>$B$15</f>
        <v>3</v>
      </c>
      <c r="C33" s="1512" t="s">
        <v>306</v>
      </c>
      <c r="D33" s="1513" t="s">
        <v>306</v>
      </c>
      <c r="E33" s="1513" t="s">
        <v>306</v>
      </c>
      <c r="F33" s="1513" t="s">
        <v>307</v>
      </c>
      <c r="G33" s="1513" t="s">
        <v>307</v>
      </c>
      <c r="H33" s="1513" t="s">
        <v>308</v>
      </c>
      <c r="I33" s="1513" t="s">
        <v>308</v>
      </c>
      <c r="J33" s="1759" t="s">
        <v>3451</v>
      </c>
      <c r="K33" s="1759" t="s">
        <v>3451</v>
      </c>
      <c r="L33" s="1760" t="s">
        <v>3451</v>
      </c>
      <c r="M33" s="1264"/>
      <c r="N33" s="1264"/>
    </row>
    <row r="34" spans="1:27">
      <c r="A34" s="1264"/>
      <c r="B34" s="1402">
        <v>4</v>
      </c>
      <c r="C34" s="1512" t="s">
        <v>307</v>
      </c>
      <c r="D34" s="1513" t="s">
        <v>307</v>
      </c>
      <c r="E34" s="1513" t="s">
        <v>308</v>
      </c>
      <c r="F34" s="1513" t="s">
        <v>308</v>
      </c>
      <c r="G34" s="1513" t="s">
        <v>308</v>
      </c>
      <c r="H34" s="1513" t="s">
        <v>308</v>
      </c>
      <c r="I34" s="1759" t="s">
        <v>3451</v>
      </c>
      <c r="J34" s="1759" t="s">
        <v>3451</v>
      </c>
      <c r="K34" s="1759" t="s">
        <v>3451</v>
      </c>
      <c r="L34" s="1760" t="s">
        <v>3451</v>
      </c>
      <c r="M34" s="1264"/>
      <c r="N34" s="1264"/>
    </row>
    <row r="35" spans="1:27" ht="15.75" thickBot="1">
      <c r="A35" s="1264"/>
      <c r="B35" s="1402">
        <f>$B$17</f>
        <v>5</v>
      </c>
      <c r="C35" s="1753" t="s">
        <v>3451</v>
      </c>
      <c r="D35" s="1754" t="s">
        <v>3451</v>
      </c>
      <c r="E35" s="1754" t="s">
        <v>3451</v>
      </c>
      <c r="F35" s="1754" t="s">
        <v>3451</v>
      </c>
      <c r="G35" s="1754" t="s">
        <v>3451</v>
      </c>
      <c r="H35" s="1754" t="s">
        <v>3451</v>
      </c>
      <c r="I35" s="1754" t="s">
        <v>3451</v>
      </c>
      <c r="J35" s="1754" t="s">
        <v>3451</v>
      </c>
      <c r="K35" s="1754" t="s">
        <v>3451</v>
      </c>
      <c r="L35" s="1755" t="s">
        <v>3451</v>
      </c>
      <c r="M35" s="1264"/>
      <c r="N35" s="1264"/>
    </row>
    <row r="36" spans="1:27">
      <c r="A36" s="1264"/>
      <c r="B36" s="1248"/>
      <c r="C36" s="1264"/>
      <c r="D36" s="1264"/>
      <c r="E36" s="1264"/>
      <c r="F36" s="1264"/>
      <c r="G36" s="1264"/>
      <c r="H36" s="1264"/>
      <c r="I36" s="1264"/>
      <c r="J36" s="1264"/>
      <c r="K36" s="1264"/>
      <c r="L36" s="1264"/>
      <c r="M36" s="1264"/>
      <c r="N36" s="1264"/>
    </row>
    <row r="37" spans="1:27" ht="15.75" thickBot="1">
      <c r="A37" s="1264" t="s">
        <v>2843</v>
      </c>
      <c r="B37" s="1402"/>
      <c r="C37" s="1400">
        <f>$C$1</f>
        <v>750</v>
      </c>
      <c r="D37" s="1400">
        <f>$D$1</f>
        <v>900</v>
      </c>
      <c r="E37" s="1400">
        <f>$E$1</f>
        <v>1000</v>
      </c>
      <c r="F37" s="1400">
        <f>$F$1</f>
        <v>1200</v>
      </c>
      <c r="G37" s="1400">
        <f>$G$1</f>
        <v>1350</v>
      </c>
      <c r="H37" s="1400">
        <f>$H$1</f>
        <v>1500</v>
      </c>
      <c r="I37" s="1400">
        <f>$I$1</f>
        <v>1800</v>
      </c>
      <c r="J37" s="1400">
        <f>$J$1</f>
        <v>2400</v>
      </c>
      <c r="K37" s="1400">
        <f>$K$1</f>
        <v>3000</v>
      </c>
      <c r="L37" s="1401">
        <f>$L$1</f>
        <v>3600</v>
      </c>
      <c r="M37" s="1264" t="s">
        <v>227</v>
      </c>
      <c r="N37" s="1264"/>
      <c r="O37" s="1264"/>
      <c r="P37" s="1248"/>
      <c r="Q37" s="1270"/>
      <c r="R37" s="1270"/>
      <c r="S37" s="1270"/>
      <c r="T37" s="1270"/>
      <c r="U37" s="1270"/>
      <c r="V37" s="1270"/>
      <c r="W37" s="1270"/>
      <c r="X37" s="1270"/>
      <c r="Y37" s="1270"/>
      <c r="Z37" s="1270"/>
      <c r="AA37" s="1270"/>
    </row>
    <row r="38" spans="1:27" ht="15.75" thickBot="1">
      <c r="A38" s="1265" t="s">
        <v>1261</v>
      </c>
      <c r="B38" s="1402">
        <f>$B$2</f>
        <v>0</v>
      </c>
      <c r="C38" s="1406" t="e">
        <f t="shared" ref="C38:L38" ca="1" si="2">IF(Small_F,R38,C39)</f>
        <v>#REF!</v>
      </c>
      <c r="D38" s="1407" t="e">
        <f t="shared" ca="1" si="2"/>
        <v>#REF!</v>
      </c>
      <c r="E38" s="1407" t="e">
        <f t="shared" ca="1" si="2"/>
        <v>#REF!</v>
      </c>
      <c r="F38" s="1407" t="e">
        <f t="shared" ca="1" si="2"/>
        <v>#REF!</v>
      </c>
      <c r="G38" s="1407" t="e">
        <f t="shared" ca="1" si="2"/>
        <v>#REF!</v>
      </c>
      <c r="H38" s="1407" t="e">
        <f t="shared" ca="1" si="2"/>
        <v>#REF!</v>
      </c>
      <c r="I38" s="1407" t="e">
        <f t="shared" ca="1" si="2"/>
        <v>#REF!</v>
      </c>
      <c r="J38" s="1407" t="e">
        <f t="shared" ca="1" si="2"/>
        <v>#REF!</v>
      </c>
      <c r="K38" s="1407" t="e">
        <f t="shared" ca="1" si="2"/>
        <v>#REF!</v>
      </c>
      <c r="L38" s="1408" t="e">
        <f t="shared" ca="1" si="2"/>
        <v>#REF!</v>
      </c>
      <c r="M38" s="1264" t="s">
        <v>1221</v>
      </c>
      <c r="N38" s="1268" t="e">
        <f ca="1">INDEX(MSHemm,sysJ2_index,RPM_index)</f>
        <v>#REF!</v>
      </c>
      <c r="P38" s="1404"/>
      <c r="Q38" s="621"/>
      <c r="R38" s="1506">
        <v>50</v>
      </c>
      <c r="S38" s="1507">
        <v>50</v>
      </c>
      <c r="T38" s="1507">
        <v>50</v>
      </c>
      <c r="U38" s="1507">
        <v>50</v>
      </c>
      <c r="V38" s="1507">
        <v>50</v>
      </c>
      <c r="W38" s="1507">
        <v>50</v>
      </c>
      <c r="X38" s="1507">
        <v>50</v>
      </c>
      <c r="Y38" s="1507">
        <v>60</v>
      </c>
      <c r="Z38" s="1507">
        <v>80</v>
      </c>
      <c r="AA38" s="1508">
        <v>80</v>
      </c>
    </row>
    <row r="39" spans="1:27">
      <c r="A39" s="3979"/>
      <c r="B39" s="1402">
        <f>$B$3</f>
        <v>0.1</v>
      </c>
      <c r="C39" s="1516">
        <v>50</v>
      </c>
      <c r="D39" s="1516">
        <v>50</v>
      </c>
      <c r="E39" s="1516">
        <v>50</v>
      </c>
      <c r="F39" s="1516">
        <v>50</v>
      </c>
      <c r="G39" s="1516">
        <v>50</v>
      </c>
      <c r="H39" s="1516">
        <v>50</v>
      </c>
      <c r="I39" s="1516">
        <v>50</v>
      </c>
      <c r="J39" s="1516">
        <v>50</v>
      </c>
      <c r="K39" s="1516">
        <v>50</v>
      </c>
      <c r="L39" s="1517">
        <v>50</v>
      </c>
      <c r="M39" s="1264"/>
      <c r="P39" s="1404"/>
      <c r="Q39" s="621"/>
    </row>
    <row r="40" spans="1:27" ht="15.75" thickBot="1">
      <c r="A40" s="3980"/>
      <c r="B40" s="1402">
        <f>$B$4</f>
        <v>0.125</v>
      </c>
      <c r="C40" s="1516">
        <v>50</v>
      </c>
      <c r="D40" s="1516">
        <v>50</v>
      </c>
      <c r="E40" s="1516">
        <v>50</v>
      </c>
      <c r="F40" s="1516">
        <v>50</v>
      </c>
      <c r="G40" s="1516">
        <v>50</v>
      </c>
      <c r="H40" s="1516">
        <v>50</v>
      </c>
      <c r="I40" s="1516">
        <v>50</v>
      </c>
      <c r="J40" s="1516">
        <v>50</v>
      </c>
      <c r="K40" s="1516">
        <v>50</v>
      </c>
      <c r="L40" s="1517">
        <v>50</v>
      </c>
      <c r="M40" s="1264"/>
      <c r="P40" s="1404"/>
      <c r="Q40" s="621"/>
    </row>
    <row r="41" spans="1:27">
      <c r="A41" s="1264"/>
      <c r="B41" s="1402">
        <f>$B$5</f>
        <v>0.15</v>
      </c>
      <c r="C41" s="1516">
        <v>50</v>
      </c>
      <c r="D41" s="1516">
        <v>50</v>
      </c>
      <c r="E41" s="1516">
        <v>50</v>
      </c>
      <c r="F41" s="1516">
        <v>50</v>
      </c>
      <c r="G41" s="1516">
        <v>50</v>
      </c>
      <c r="H41" s="1516">
        <v>50</v>
      </c>
      <c r="I41" s="1516">
        <v>50</v>
      </c>
      <c r="J41" s="1516">
        <v>75</v>
      </c>
      <c r="K41" s="1516">
        <v>75</v>
      </c>
      <c r="L41" s="1517">
        <v>75</v>
      </c>
      <c r="M41" s="1264"/>
      <c r="P41" s="1404"/>
      <c r="Q41" s="621"/>
    </row>
    <row r="42" spans="1:27">
      <c r="A42" s="1264"/>
      <c r="B42" s="1402">
        <f>$B$6</f>
        <v>0.17499999999999999</v>
      </c>
      <c r="C42" s="1516">
        <v>50</v>
      </c>
      <c r="D42" s="1516">
        <v>50</v>
      </c>
      <c r="E42" s="1516">
        <v>50</v>
      </c>
      <c r="F42" s="1516">
        <v>50</v>
      </c>
      <c r="G42" s="1516">
        <v>50</v>
      </c>
      <c r="H42" s="1516">
        <v>75</v>
      </c>
      <c r="I42" s="1516">
        <v>75</v>
      </c>
      <c r="J42" s="1516">
        <v>75</v>
      </c>
      <c r="K42" s="1516">
        <v>75</v>
      </c>
      <c r="L42" s="1517">
        <v>75</v>
      </c>
      <c r="M42" s="1264"/>
      <c r="P42" s="1404"/>
      <c r="Q42" s="621"/>
    </row>
    <row r="43" spans="1:27">
      <c r="A43" s="1264"/>
      <c r="B43" s="1402">
        <f>$B$7</f>
        <v>0.2</v>
      </c>
      <c r="C43" s="1516">
        <v>50</v>
      </c>
      <c r="D43" s="1516">
        <v>50</v>
      </c>
      <c r="E43" s="1516">
        <v>50</v>
      </c>
      <c r="F43" s="1516">
        <v>50</v>
      </c>
      <c r="G43" s="1516">
        <v>50</v>
      </c>
      <c r="H43" s="1516">
        <v>75</v>
      </c>
      <c r="I43" s="1516">
        <v>75</v>
      </c>
      <c r="J43" s="1516">
        <v>75</v>
      </c>
      <c r="K43" s="1516">
        <v>75</v>
      </c>
      <c r="L43" s="1517">
        <v>75</v>
      </c>
      <c r="M43" s="1264"/>
      <c r="P43" s="1404"/>
      <c r="Q43" s="621"/>
    </row>
    <row r="44" spans="1:27">
      <c r="A44" s="1264"/>
      <c r="B44" s="1402">
        <f>$B$8</f>
        <v>0.25</v>
      </c>
      <c r="C44" s="1516">
        <v>50</v>
      </c>
      <c r="D44" s="1516">
        <v>50</v>
      </c>
      <c r="E44" s="1516">
        <v>50</v>
      </c>
      <c r="F44" s="1516">
        <v>50</v>
      </c>
      <c r="G44" s="1516">
        <v>50</v>
      </c>
      <c r="H44" s="1516">
        <v>75</v>
      </c>
      <c r="I44" s="1516">
        <v>75</v>
      </c>
      <c r="J44" s="1516">
        <v>75</v>
      </c>
      <c r="K44" s="1516">
        <v>75</v>
      </c>
      <c r="L44" s="1517">
        <v>75</v>
      </c>
      <c r="M44" s="1264"/>
      <c r="P44" s="1404"/>
      <c r="Q44" s="621"/>
    </row>
    <row r="45" spans="1:27">
      <c r="A45" s="1264"/>
      <c r="B45" s="1402">
        <f>$B$9</f>
        <v>0.375</v>
      </c>
      <c r="C45" s="1516">
        <v>50</v>
      </c>
      <c r="D45" s="1516">
        <v>50</v>
      </c>
      <c r="E45" s="1516">
        <v>50</v>
      </c>
      <c r="F45" s="1516">
        <v>75</v>
      </c>
      <c r="G45" s="1516">
        <v>75</v>
      </c>
      <c r="H45" s="1516">
        <v>75</v>
      </c>
      <c r="I45" s="1516">
        <v>75</v>
      </c>
      <c r="J45" s="1516">
        <v>75</v>
      </c>
      <c r="K45" s="1516">
        <v>75</v>
      </c>
      <c r="L45" s="1517">
        <v>75</v>
      </c>
      <c r="M45" s="1264"/>
      <c r="P45" s="1404"/>
      <c r="Q45" s="621"/>
    </row>
    <row r="46" spans="1:27">
      <c r="A46" s="1264"/>
      <c r="B46" s="1402">
        <f>$B$10</f>
        <v>0.5</v>
      </c>
      <c r="C46" s="1516">
        <v>50</v>
      </c>
      <c r="D46" s="1516">
        <v>50</v>
      </c>
      <c r="E46" s="1516">
        <v>50</v>
      </c>
      <c r="F46" s="1516">
        <v>75</v>
      </c>
      <c r="G46" s="1516">
        <v>75</v>
      </c>
      <c r="H46" s="1516">
        <v>75</v>
      </c>
      <c r="I46" s="1516">
        <v>75</v>
      </c>
      <c r="J46" s="1516">
        <v>75</v>
      </c>
      <c r="K46" s="1516">
        <v>75</v>
      </c>
      <c r="L46" s="1517">
        <v>75</v>
      </c>
      <c r="M46" s="1264"/>
      <c r="P46" s="1404"/>
      <c r="Q46" s="621"/>
    </row>
    <row r="47" spans="1:27">
      <c r="A47" s="1264"/>
      <c r="B47" s="1402">
        <f>$B$11</f>
        <v>1</v>
      </c>
      <c r="C47" s="1516">
        <v>50</v>
      </c>
      <c r="D47" s="1516">
        <v>50</v>
      </c>
      <c r="E47" s="1516">
        <v>50</v>
      </c>
      <c r="F47" s="1516">
        <v>75</v>
      </c>
      <c r="G47" s="1516">
        <v>75</v>
      </c>
      <c r="H47" s="1516">
        <v>75</v>
      </c>
      <c r="I47" s="1516">
        <v>75</v>
      </c>
      <c r="J47" s="1516">
        <v>75</v>
      </c>
      <c r="K47" s="1516">
        <v>75</v>
      </c>
      <c r="L47" s="1517">
        <v>100</v>
      </c>
      <c r="M47" s="1264"/>
      <c r="P47" s="1404"/>
      <c r="Q47" s="621"/>
    </row>
    <row r="48" spans="1:27">
      <c r="A48" s="1264"/>
      <c r="B48" s="1402">
        <f>$B$12</f>
        <v>1.5</v>
      </c>
      <c r="C48" s="1516">
        <v>50</v>
      </c>
      <c r="D48" s="1516">
        <v>50</v>
      </c>
      <c r="E48" s="1516">
        <v>50</v>
      </c>
      <c r="F48" s="1516">
        <v>75</v>
      </c>
      <c r="G48" s="1516">
        <v>75</v>
      </c>
      <c r="H48" s="1516">
        <v>75</v>
      </c>
      <c r="I48" s="1516">
        <v>75</v>
      </c>
      <c r="J48" s="1516">
        <v>100</v>
      </c>
      <c r="K48" s="1516">
        <v>100</v>
      </c>
      <c r="L48" s="1517">
        <v>150</v>
      </c>
      <c r="M48" s="1264"/>
      <c r="P48" s="1404"/>
      <c r="Q48" s="621"/>
    </row>
    <row r="49" spans="1:29">
      <c r="A49" s="1264"/>
      <c r="B49" s="1402">
        <f>$B$13</f>
        <v>2</v>
      </c>
      <c r="C49" s="1512">
        <v>75</v>
      </c>
      <c r="D49" s="1513">
        <v>75</v>
      </c>
      <c r="E49" s="1513">
        <v>75</v>
      </c>
      <c r="F49" s="1513">
        <v>75</v>
      </c>
      <c r="G49" s="1513">
        <v>75</v>
      </c>
      <c r="H49" s="1513">
        <v>75</v>
      </c>
      <c r="I49" s="1513">
        <v>100</v>
      </c>
      <c r="J49" s="1513">
        <v>100</v>
      </c>
      <c r="K49" s="1513">
        <v>150</v>
      </c>
      <c r="L49" s="1760">
        <v>200</v>
      </c>
      <c r="M49" s="1264"/>
      <c r="P49" s="1404"/>
      <c r="Q49" s="621"/>
    </row>
    <row r="50" spans="1:29">
      <c r="A50" s="1264"/>
      <c r="B50" s="1402">
        <f>$B$14</f>
        <v>2.5</v>
      </c>
      <c r="C50" s="1512">
        <v>75</v>
      </c>
      <c r="D50" s="1513">
        <v>75</v>
      </c>
      <c r="E50" s="1513">
        <v>75</v>
      </c>
      <c r="F50" s="1513">
        <v>75</v>
      </c>
      <c r="G50" s="1513">
        <v>75</v>
      </c>
      <c r="H50" s="1513">
        <v>100</v>
      </c>
      <c r="I50" s="1513">
        <v>100</v>
      </c>
      <c r="J50" s="1513">
        <v>150</v>
      </c>
      <c r="K50" s="1759">
        <v>200</v>
      </c>
      <c r="L50" s="1760">
        <v>200</v>
      </c>
      <c r="M50" s="1264"/>
      <c r="P50" s="1404"/>
      <c r="Q50" s="621"/>
    </row>
    <row r="51" spans="1:29">
      <c r="A51" s="1264"/>
      <c r="B51" s="1402">
        <f>$B$15</f>
        <v>3</v>
      </c>
      <c r="C51" s="1512">
        <v>75</v>
      </c>
      <c r="D51" s="1513">
        <v>75</v>
      </c>
      <c r="E51" s="1513">
        <v>75</v>
      </c>
      <c r="F51" s="1513">
        <v>100</v>
      </c>
      <c r="G51" s="1513">
        <v>100</v>
      </c>
      <c r="H51" s="1513">
        <v>100</v>
      </c>
      <c r="I51" s="1513">
        <v>150</v>
      </c>
      <c r="J51" s="1759">
        <v>200</v>
      </c>
      <c r="K51" s="1759">
        <v>200</v>
      </c>
      <c r="L51" s="1760">
        <v>200</v>
      </c>
      <c r="M51" s="1264"/>
      <c r="P51" s="1404"/>
      <c r="Q51" s="621"/>
    </row>
    <row r="52" spans="1:29">
      <c r="A52" s="1264"/>
      <c r="B52" s="1402">
        <v>4</v>
      </c>
      <c r="C52" s="1512">
        <v>75</v>
      </c>
      <c r="D52" s="1513">
        <v>100</v>
      </c>
      <c r="E52" s="1513">
        <v>100</v>
      </c>
      <c r="F52" s="1513">
        <v>100</v>
      </c>
      <c r="G52" s="1513">
        <v>100</v>
      </c>
      <c r="H52" s="1513">
        <v>150</v>
      </c>
      <c r="I52" s="1759">
        <v>200</v>
      </c>
      <c r="J52" s="1759">
        <v>200</v>
      </c>
      <c r="K52" s="1759">
        <v>200</v>
      </c>
      <c r="L52" s="1760">
        <v>200</v>
      </c>
      <c r="M52" s="1264"/>
      <c r="P52" s="1404"/>
      <c r="Q52" s="621"/>
    </row>
    <row r="53" spans="1:29" ht="15.75" thickBot="1">
      <c r="A53" s="1264"/>
      <c r="B53" s="1402">
        <f>$B$17</f>
        <v>5</v>
      </c>
      <c r="C53" s="1753">
        <v>200</v>
      </c>
      <c r="D53" s="1754">
        <v>200</v>
      </c>
      <c r="E53" s="1754">
        <v>200</v>
      </c>
      <c r="F53" s="1754">
        <v>200</v>
      </c>
      <c r="G53" s="1754">
        <v>200</v>
      </c>
      <c r="H53" s="1754">
        <v>200</v>
      </c>
      <c r="I53" s="1754">
        <v>200</v>
      </c>
      <c r="J53" s="1754">
        <v>200</v>
      </c>
      <c r="K53" s="1754">
        <v>200</v>
      </c>
      <c r="L53" s="1755">
        <v>200</v>
      </c>
      <c r="M53" s="1264"/>
      <c r="P53" s="1404"/>
      <c r="Q53" s="621"/>
    </row>
    <row r="54" spans="1:29">
      <c r="A54" s="1264"/>
      <c r="B54" s="1264"/>
      <c r="C54" s="1248"/>
      <c r="D54" s="1264"/>
      <c r="E54" s="1264"/>
      <c r="F54" s="1264"/>
      <c r="G54" s="1264"/>
      <c r="H54" s="1264"/>
      <c r="I54" s="1264"/>
      <c r="J54" s="1264"/>
      <c r="K54" s="1264"/>
      <c r="L54" s="1264"/>
      <c r="M54" s="1264"/>
      <c r="N54" s="1264"/>
    </row>
    <row r="55" spans="1:29" s="406" customFormat="1" ht="15.75" thickBot="1">
      <c r="A55" s="1264" t="s">
        <v>3511</v>
      </c>
      <c r="B55" s="1402"/>
      <c r="C55" s="1400">
        <f>SFrame!$C$1</f>
        <v>750</v>
      </c>
      <c r="D55" s="1400">
        <f>SFrame!$D$1</f>
        <v>900</v>
      </c>
      <c r="E55" s="1400">
        <f>SFrame!$E$1</f>
        <v>1000</v>
      </c>
      <c r="F55" s="1400">
        <f>SFrame!$F$1</f>
        <v>1200</v>
      </c>
      <c r="G55" s="1400">
        <f>SFrame!$G$1</f>
        <v>1350</v>
      </c>
      <c r="H55" s="1400">
        <f>SFrame!$H$1</f>
        <v>1500</v>
      </c>
      <c r="I55" s="1400">
        <f>SFrame!$I$1</f>
        <v>1800</v>
      </c>
      <c r="J55" s="1400">
        <f>SFrame!$J$1</f>
        <v>2400</v>
      </c>
      <c r="K55" s="1400">
        <f>SFrame!$K$1</f>
        <v>3000</v>
      </c>
      <c r="L55" s="1400">
        <f>SFrame!$L$1</f>
        <v>3600</v>
      </c>
      <c r="M55" s="1264" t="s">
        <v>227</v>
      </c>
      <c r="N55" s="1264"/>
      <c r="O55" s="1264"/>
      <c r="P55" s="1264"/>
      <c r="Q55" s="1248"/>
      <c r="R55" s="1270"/>
      <c r="S55" s="1270"/>
      <c r="T55" s="1270"/>
      <c r="U55" s="1270"/>
      <c r="V55" s="1270"/>
      <c r="W55" s="1270"/>
      <c r="X55" s="1270"/>
      <c r="Y55" s="1270"/>
      <c r="Z55" s="1270"/>
      <c r="AA55" s="1270"/>
      <c r="AB55" s="1505"/>
      <c r="AC55" s="1505"/>
    </row>
    <row r="56" spans="1:29" s="406" customFormat="1" ht="15.75" thickBot="1">
      <c r="A56" s="1265" t="s">
        <v>1261</v>
      </c>
      <c r="B56" s="1402">
        <f>SFrame!$B$2</f>
        <v>0</v>
      </c>
      <c r="C56" s="1409" t="e">
        <f t="shared" ref="C56:L56" ca="1" si="3">IF(DRIVE_Type="Direct",IF(Small_F,R56,C20),C20)</f>
        <v>#REF!</v>
      </c>
      <c r="D56" s="1410" t="e">
        <f t="shared" ca="1" si="3"/>
        <v>#REF!</v>
      </c>
      <c r="E56" s="1410" t="e">
        <f t="shared" ca="1" si="3"/>
        <v>#REF!</v>
      </c>
      <c r="F56" s="1410" t="e">
        <f t="shared" ca="1" si="3"/>
        <v>#REF!</v>
      </c>
      <c r="G56" s="1410" t="e">
        <f t="shared" ca="1" si="3"/>
        <v>#REF!</v>
      </c>
      <c r="H56" s="1410" t="e">
        <f t="shared" ca="1" si="3"/>
        <v>#REF!</v>
      </c>
      <c r="I56" s="1410" t="e">
        <f t="shared" ca="1" si="3"/>
        <v>#REF!</v>
      </c>
      <c r="J56" s="1410" t="e">
        <f t="shared" ca="1" si="3"/>
        <v>#REF!</v>
      </c>
      <c r="K56" s="1410" t="e">
        <f t="shared" ca="1" si="3"/>
        <v>#REF!</v>
      </c>
      <c r="L56" s="1411" t="e">
        <f t="shared" ca="1" si="3"/>
        <v>#REF!</v>
      </c>
      <c r="M56" s="1264" t="s">
        <v>3512</v>
      </c>
      <c r="N56" s="1504" t="e">
        <f ca="1">INDEX(MFTr,sysJ2_index,RPM_index)</f>
        <v>#REF!</v>
      </c>
      <c r="Q56" s="1405"/>
      <c r="R56" s="1506" t="s">
        <v>3862</v>
      </c>
      <c r="S56" s="1507" t="s">
        <v>3862</v>
      </c>
      <c r="T56" s="1507" t="s">
        <v>3862</v>
      </c>
      <c r="U56" s="1507" t="s">
        <v>3862</v>
      </c>
      <c r="V56" s="1507" t="s">
        <v>3862</v>
      </c>
      <c r="W56" s="1507" t="s">
        <v>3862</v>
      </c>
      <c r="X56" s="1507" t="s">
        <v>3862</v>
      </c>
      <c r="Y56" s="1507" t="s">
        <v>2847</v>
      </c>
      <c r="Z56" s="1507" t="s">
        <v>2849</v>
      </c>
      <c r="AA56" s="1508" t="s">
        <v>2849</v>
      </c>
      <c r="AB56" s="1505"/>
      <c r="AC56" s="1505"/>
    </row>
    <row r="57" spans="1:29" s="406" customFormat="1">
      <c r="A57" s="3979">
        <v>171209</v>
      </c>
      <c r="B57" s="1402">
        <f>SFrame!$B$3</f>
        <v>0.1</v>
      </c>
      <c r="C57" s="3170" t="s">
        <v>305</v>
      </c>
      <c r="D57" s="3171" t="s">
        <v>305</v>
      </c>
      <c r="E57" s="3171" t="s">
        <v>305</v>
      </c>
      <c r="F57" s="3171" t="s">
        <v>305</v>
      </c>
      <c r="G57" s="3171" t="s">
        <v>305</v>
      </c>
      <c r="H57" s="3171" t="s">
        <v>305</v>
      </c>
      <c r="I57" s="3171" t="s">
        <v>305</v>
      </c>
      <c r="J57" s="3171" t="s">
        <v>306</v>
      </c>
      <c r="K57" s="3171" t="s">
        <v>306</v>
      </c>
      <c r="L57" s="3172" t="s">
        <v>306</v>
      </c>
      <c r="M57" s="1264"/>
      <c r="N57" s="1264"/>
      <c r="Q57" s="1405"/>
      <c r="R57" s="1505"/>
      <c r="S57" s="1505"/>
      <c r="T57" s="1505"/>
      <c r="U57" s="1505"/>
      <c r="V57" s="1505"/>
      <c r="W57" s="1505"/>
      <c r="X57" s="1505"/>
      <c r="Y57" s="1505"/>
      <c r="Z57" s="1505"/>
      <c r="AA57" s="1505"/>
      <c r="AB57" s="1505"/>
      <c r="AC57" s="1505"/>
    </row>
    <row r="58" spans="1:29" s="406" customFormat="1" ht="15.75" thickBot="1">
      <c r="A58" s="3980"/>
      <c r="B58" s="1402">
        <f>SFrame!$B$4</f>
        <v>0.125</v>
      </c>
      <c r="C58" s="1512" t="s">
        <v>305</v>
      </c>
      <c r="D58" s="1513" t="s">
        <v>305</v>
      </c>
      <c r="E58" s="1513" t="s">
        <v>305</v>
      </c>
      <c r="F58" s="1513" t="s">
        <v>305</v>
      </c>
      <c r="G58" s="1513" t="s">
        <v>305</v>
      </c>
      <c r="H58" s="1513" t="s">
        <v>305</v>
      </c>
      <c r="I58" s="1513" t="s">
        <v>306</v>
      </c>
      <c r="J58" s="1513" t="s">
        <v>306</v>
      </c>
      <c r="K58" s="1513" t="s">
        <v>306</v>
      </c>
      <c r="L58" s="1514" t="s">
        <v>307</v>
      </c>
      <c r="M58" s="1264"/>
      <c r="N58" s="1264"/>
      <c r="Q58" s="1405"/>
      <c r="R58" s="1505"/>
      <c r="S58" s="1505"/>
      <c r="T58" s="1505"/>
      <c r="U58" s="1505"/>
      <c r="V58" s="1505"/>
      <c r="W58" s="1505"/>
      <c r="X58" s="1505"/>
      <c r="Y58" s="1505"/>
      <c r="Z58" s="1505"/>
      <c r="AA58" s="1505"/>
      <c r="AB58" s="1505"/>
      <c r="AC58" s="1505"/>
    </row>
    <row r="59" spans="1:29" s="406" customFormat="1">
      <c r="A59" s="1264"/>
      <c r="B59" s="1402">
        <f>SFrame!$B$5</f>
        <v>0.15</v>
      </c>
      <c r="C59" s="1512" t="s">
        <v>305</v>
      </c>
      <c r="D59" s="1513" t="s">
        <v>305</v>
      </c>
      <c r="E59" s="1513" t="s">
        <v>305</v>
      </c>
      <c r="F59" s="1513" t="s">
        <v>305</v>
      </c>
      <c r="G59" s="1513" t="s">
        <v>305</v>
      </c>
      <c r="H59" s="1513" t="s">
        <v>306</v>
      </c>
      <c r="I59" s="1513" t="s">
        <v>306</v>
      </c>
      <c r="J59" s="1513" t="s">
        <v>306</v>
      </c>
      <c r="K59" s="1513" t="s">
        <v>307</v>
      </c>
      <c r="L59" s="1514" t="s">
        <v>307</v>
      </c>
      <c r="M59" s="1264"/>
      <c r="N59" s="1264"/>
      <c r="Q59" s="1405"/>
      <c r="R59" s="1505"/>
      <c r="S59" s="1505"/>
      <c r="T59" s="1505"/>
      <c r="U59" s="1505"/>
      <c r="V59" s="1505"/>
      <c r="W59" s="1505"/>
      <c r="X59" s="1505"/>
      <c r="Y59" s="1505"/>
      <c r="Z59" s="1505"/>
      <c r="AA59" s="1505"/>
      <c r="AB59" s="1505"/>
      <c r="AC59" s="1505"/>
    </row>
    <row r="60" spans="1:29" s="406" customFormat="1">
      <c r="A60" s="1264"/>
      <c r="B60" s="1402">
        <f>SFrame!$B$6</f>
        <v>0.17499999999999999</v>
      </c>
      <c r="C60" s="1512" t="s">
        <v>305</v>
      </c>
      <c r="D60" s="1513" t="s">
        <v>305</v>
      </c>
      <c r="E60" s="1513" t="s">
        <v>305</v>
      </c>
      <c r="F60" s="1513" t="s">
        <v>305</v>
      </c>
      <c r="G60" s="1513" t="s">
        <v>305</v>
      </c>
      <c r="H60" s="1513" t="s">
        <v>306</v>
      </c>
      <c r="I60" s="1513" t="s">
        <v>306</v>
      </c>
      <c r="J60" s="1513" t="s">
        <v>306</v>
      </c>
      <c r="K60" s="1513" t="s">
        <v>307</v>
      </c>
      <c r="L60" s="1514" t="s">
        <v>307</v>
      </c>
      <c r="M60" s="1264"/>
      <c r="N60" s="1264"/>
      <c r="Q60" s="1405"/>
      <c r="R60" s="1505"/>
      <c r="S60" s="1505"/>
      <c r="T60" s="1505"/>
      <c r="U60" s="1505"/>
      <c r="V60" s="1505"/>
      <c r="W60" s="1505"/>
      <c r="X60" s="1505"/>
      <c r="Y60" s="1505"/>
      <c r="Z60" s="1505"/>
      <c r="AA60" s="1505"/>
      <c r="AB60" s="1505"/>
      <c r="AC60" s="1505"/>
    </row>
    <row r="61" spans="1:29" s="406" customFormat="1">
      <c r="A61" s="1264"/>
      <c r="B61" s="1402">
        <f>SFrame!$B$7</f>
        <v>0.2</v>
      </c>
      <c r="C61" s="1512" t="s">
        <v>305</v>
      </c>
      <c r="D61" s="1513" t="s">
        <v>305</v>
      </c>
      <c r="E61" s="1513" t="s">
        <v>305</v>
      </c>
      <c r="F61" s="1513" t="s">
        <v>305</v>
      </c>
      <c r="G61" s="1513" t="s">
        <v>306</v>
      </c>
      <c r="H61" s="1513" t="s">
        <v>306</v>
      </c>
      <c r="I61" s="1513" t="s">
        <v>306</v>
      </c>
      <c r="J61" s="1513" t="s">
        <v>306</v>
      </c>
      <c r="K61" s="1513" t="s">
        <v>307</v>
      </c>
      <c r="L61" s="1514" t="s">
        <v>307</v>
      </c>
      <c r="M61" s="1264"/>
      <c r="N61" s="1264"/>
      <c r="Q61" s="1405"/>
      <c r="R61" s="1505"/>
      <c r="S61" s="1505"/>
      <c r="T61" s="1505"/>
      <c r="U61" s="1505"/>
      <c r="V61" s="1505"/>
      <c r="W61" s="1505"/>
      <c r="X61" s="1505"/>
      <c r="Y61" s="1505"/>
      <c r="Z61" s="1505"/>
      <c r="AA61" s="1505"/>
      <c r="AB61" s="1505"/>
      <c r="AC61" s="1505"/>
    </row>
    <row r="62" spans="1:29" s="406" customFormat="1">
      <c r="A62" s="1264"/>
      <c r="B62" s="1402">
        <f>SFrame!$B$8</f>
        <v>0.25</v>
      </c>
      <c r="C62" s="1512" t="s">
        <v>305</v>
      </c>
      <c r="D62" s="1513" t="s">
        <v>305</v>
      </c>
      <c r="E62" s="1513" t="s">
        <v>305</v>
      </c>
      <c r="F62" s="1513" t="s">
        <v>305</v>
      </c>
      <c r="G62" s="1513" t="s">
        <v>306</v>
      </c>
      <c r="H62" s="1513" t="s">
        <v>306</v>
      </c>
      <c r="I62" s="1513" t="s">
        <v>306</v>
      </c>
      <c r="J62" s="1513" t="s">
        <v>307</v>
      </c>
      <c r="K62" s="1513" t="s">
        <v>307</v>
      </c>
      <c r="L62" s="1514" t="s">
        <v>308</v>
      </c>
      <c r="M62" s="1264"/>
      <c r="N62" s="1264"/>
      <c r="Q62" s="1405"/>
      <c r="R62" s="1505"/>
      <c r="S62" s="1505"/>
      <c r="T62" s="1505"/>
      <c r="U62" s="1505"/>
      <c r="V62" s="1505"/>
      <c r="W62" s="1505"/>
      <c r="X62" s="1505"/>
      <c r="Y62" s="1505"/>
      <c r="Z62" s="1505"/>
      <c r="AA62" s="1505"/>
      <c r="AB62" s="1505"/>
      <c r="AC62" s="1505"/>
    </row>
    <row r="63" spans="1:29" s="406" customFormat="1">
      <c r="A63" s="1264"/>
      <c r="B63" s="1402">
        <f>SFrame!$B$9</f>
        <v>0.375</v>
      </c>
      <c r="C63" s="1512" t="s">
        <v>305</v>
      </c>
      <c r="D63" s="1513" t="s">
        <v>305</v>
      </c>
      <c r="E63" s="1513" t="s">
        <v>305</v>
      </c>
      <c r="F63" s="1513" t="s">
        <v>305</v>
      </c>
      <c r="G63" s="1513" t="s">
        <v>306</v>
      </c>
      <c r="H63" s="1513" t="s">
        <v>306</v>
      </c>
      <c r="I63" s="1513" t="s">
        <v>307</v>
      </c>
      <c r="J63" s="1513" t="s">
        <v>307</v>
      </c>
      <c r="K63" s="1532" t="s">
        <v>308</v>
      </c>
      <c r="L63" s="1514" t="s">
        <v>308</v>
      </c>
      <c r="M63" s="1264"/>
      <c r="N63" s="1264"/>
      <c r="Q63" s="1405"/>
      <c r="R63" s="1505"/>
      <c r="S63" s="1505"/>
      <c r="T63" s="1505"/>
      <c r="U63" s="1505"/>
      <c r="V63" s="1505"/>
      <c r="W63" s="1505"/>
      <c r="X63" s="1505"/>
      <c r="Y63" s="1505"/>
      <c r="Z63" s="1505"/>
      <c r="AA63" s="1505"/>
      <c r="AB63" s="1505"/>
      <c r="AC63" s="1505"/>
    </row>
    <row r="64" spans="1:29" s="406" customFormat="1">
      <c r="A64" s="1264"/>
      <c r="B64" s="1402">
        <f>SFrame!$B$10</f>
        <v>0.5</v>
      </c>
      <c r="C64" s="1512" t="s">
        <v>305</v>
      </c>
      <c r="D64" s="1513" t="s">
        <v>305</v>
      </c>
      <c r="E64" s="1513" t="s">
        <v>305</v>
      </c>
      <c r="F64" s="1513" t="s">
        <v>306</v>
      </c>
      <c r="G64" s="1513" t="s">
        <v>306</v>
      </c>
      <c r="H64" s="1513" t="s">
        <v>307</v>
      </c>
      <c r="I64" s="1513" t="s">
        <v>307</v>
      </c>
      <c r="J64" s="1532" t="s">
        <v>308</v>
      </c>
      <c r="K64" s="1513" t="s">
        <v>308</v>
      </c>
      <c r="L64" s="1514" t="s">
        <v>308</v>
      </c>
      <c r="M64" s="1264"/>
      <c r="N64" s="1264"/>
      <c r="Q64" s="1405"/>
      <c r="R64" s="1505"/>
      <c r="S64" s="1505"/>
      <c r="T64" s="1505"/>
      <c r="U64" s="1505"/>
      <c r="V64" s="1505"/>
      <c r="W64" s="1505"/>
      <c r="X64" s="1505"/>
      <c r="Y64" s="1505"/>
      <c r="Z64" s="1505"/>
      <c r="AA64" s="1505"/>
      <c r="AB64" s="1505"/>
      <c r="AC64" s="1505"/>
    </row>
    <row r="65" spans="1:29" s="406" customFormat="1">
      <c r="A65" s="1264"/>
      <c r="B65" s="1402">
        <f>SFrame!$B$11</f>
        <v>1</v>
      </c>
      <c r="C65" s="1512" t="s">
        <v>305</v>
      </c>
      <c r="D65" s="1513" t="s">
        <v>305</v>
      </c>
      <c r="E65" s="1513" t="s">
        <v>305</v>
      </c>
      <c r="F65" s="1513" t="s">
        <v>306</v>
      </c>
      <c r="G65" s="1513" t="s">
        <v>307</v>
      </c>
      <c r="H65" s="1513" t="s">
        <v>307</v>
      </c>
      <c r="I65" s="1532" t="s">
        <v>308</v>
      </c>
      <c r="J65" s="1532" t="s">
        <v>308</v>
      </c>
      <c r="K65" s="1513" t="s">
        <v>308</v>
      </c>
      <c r="L65" s="1514" t="s">
        <v>308</v>
      </c>
      <c r="M65" s="1264"/>
      <c r="N65" s="1264"/>
      <c r="Q65" s="1405"/>
      <c r="R65" s="1505"/>
      <c r="S65" s="1505"/>
      <c r="T65" s="1505"/>
      <c r="U65" s="1505"/>
      <c r="V65" s="1505"/>
      <c r="W65" s="1505"/>
      <c r="X65" s="1505"/>
      <c r="Y65" s="1505"/>
      <c r="Z65" s="1505"/>
      <c r="AA65" s="1505"/>
      <c r="AB65" s="1505"/>
      <c r="AC65" s="1505"/>
    </row>
    <row r="66" spans="1:29" s="406" customFormat="1">
      <c r="A66" s="1264"/>
      <c r="B66" s="1402">
        <f>SFrame!$B$12</f>
        <v>1.5</v>
      </c>
      <c r="C66" s="1512" t="s">
        <v>305</v>
      </c>
      <c r="D66" s="1513" t="s">
        <v>305</v>
      </c>
      <c r="E66" s="1513" t="s">
        <v>306</v>
      </c>
      <c r="F66" s="1513" t="s">
        <v>307</v>
      </c>
      <c r="G66" s="1513" t="s">
        <v>307</v>
      </c>
      <c r="H66" s="1532" t="s">
        <v>308</v>
      </c>
      <c r="I66" s="1532" t="s">
        <v>308</v>
      </c>
      <c r="J66" s="1513" t="s">
        <v>308</v>
      </c>
      <c r="K66" s="1513" t="s">
        <v>308</v>
      </c>
      <c r="L66" s="1514" t="s">
        <v>308</v>
      </c>
      <c r="M66" s="1264"/>
      <c r="N66" s="1264"/>
      <c r="Q66" s="1405"/>
      <c r="R66" s="1505"/>
      <c r="S66" s="1505"/>
      <c r="T66" s="1505"/>
      <c r="U66" s="1505"/>
      <c r="V66" s="1505"/>
      <c r="W66" s="1505"/>
      <c r="X66" s="1505"/>
      <c r="Y66" s="1505"/>
      <c r="Z66" s="1505"/>
      <c r="AA66" s="1505"/>
      <c r="AB66" s="1505"/>
      <c r="AC66" s="1505"/>
    </row>
    <row r="67" spans="1:29" s="406" customFormat="1">
      <c r="A67" s="1264"/>
      <c r="B67" s="1402">
        <f>SFrame!$B$13</f>
        <v>2</v>
      </c>
      <c r="C67" s="1515" t="s">
        <v>305</v>
      </c>
      <c r="D67" s="1532" t="s">
        <v>306</v>
      </c>
      <c r="E67" s="1513" t="s">
        <v>307</v>
      </c>
      <c r="F67" s="1513" t="s">
        <v>307</v>
      </c>
      <c r="G67" s="1532" t="s">
        <v>308</v>
      </c>
      <c r="H67" s="1532" t="s">
        <v>308</v>
      </c>
      <c r="I67" s="1532" t="s">
        <v>308</v>
      </c>
      <c r="J67" s="1534" t="s">
        <v>308</v>
      </c>
      <c r="K67" s="1532" t="s">
        <v>308</v>
      </c>
      <c r="L67" s="1761" t="s">
        <v>3451</v>
      </c>
      <c r="M67" s="1264"/>
      <c r="N67" s="1264"/>
      <c r="Q67" s="1405"/>
      <c r="R67" s="1505"/>
      <c r="S67" s="1505"/>
      <c r="T67" s="1505"/>
      <c r="U67" s="1505"/>
      <c r="V67" s="1505"/>
      <c r="W67" s="1505"/>
      <c r="X67" s="1505"/>
      <c r="Y67" s="1505"/>
      <c r="Z67" s="1505"/>
      <c r="AA67" s="1505"/>
      <c r="AB67" s="1505"/>
      <c r="AC67" s="1505"/>
    </row>
    <row r="68" spans="1:29" s="406" customFormat="1">
      <c r="A68" s="1264"/>
      <c r="B68" s="1402">
        <f>SFrame!$B$14</f>
        <v>2.5</v>
      </c>
      <c r="C68" s="1531" t="s">
        <v>306</v>
      </c>
      <c r="D68" s="1513" t="s">
        <v>307</v>
      </c>
      <c r="E68" s="1513" t="s">
        <v>307</v>
      </c>
      <c r="F68" s="1532" t="s">
        <v>308</v>
      </c>
      <c r="G68" s="1532" t="s">
        <v>308</v>
      </c>
      <c r="H68" s="1532" t="s">
        <v>308</v>
      </c>
      <c r="I68" s="1532" t="s">
        <v>308</v>
      </c>
      <c r="J68" s="1532" t="s">
        <v>308</v>
      </c>
      <c r="K68" s="1762" t="s">
        <v>3451</v>
      </c>
      <c r="L68" s="1761" t="s">
        <v>3451</v>
      </c>
      <c r="M68" s="1264"/>
      <c r="N68" s="1264"/>
      <c r="Q68" s="1405"/>
      <c r="R68" s="1505"/>
      <c r="S68" s="1505"/>
      <c r="T68" s="1505"/>
      <c r="U68" s="1505"/>
      <c r="V68" s="1505"/>
      <c r="W68" s="1505"/>
      <c r="X68" s="1505"/>
      <c r="Y68" s="1505"/>
      <c r="Z68" s="1505"/>
      <c r="AA68" s="1505"/>
      <c r="AB68" s="1505"/>
      <c r="AC68" s="1505"/>
    </row>
    <row r="69" spans="1:29" s="406" customFormat="1">
      <c r="A69" s="1264"/>
      <c r="B69" s="1402">
        <f>SFrame!$B$15</f>
        <v>3</v>
      </c>
      <c r="C69" s="1531" t="s">
        <v>307</v>
      </c>
      <c r="D69" s="1513" t="s">
        <v>307</v>
      </c>
      <c r="E69" s="1532" t="s">
        <v>308</v>
      </c>
      <c r="F69" s="1532" t="s">
        <v>308</v>
      </c>
      <c r="G69" s="1532" t="s">
        <v>308</v>
      </c>
      <c r="H69" s="1532" t="s">
        <v>308</v>
      </c>
      <c r="I69" s="1532" t="s">
        <v>308</v>
      </c>
      <c r="J69" s="1762" t="s">
        <v>3451</v>
      </c>
      <c r="K69" s="1762" t="s">
        <v>3451</v>
      </c>
      <c r="L69" s="1761" t="s">
        <v>3451</v>
      </c>
      <c r="M69" s="1264"/>
      <c r="N69" s="1264"/>
      <c r="Q69" s="1405"/>
      <c r="R69" s="1505"/>
      <c r="S69" s="1505"/>
      <c r="T69" s="1505"/>
      <c r="U69" s="1505"/>
      <c r="V69" s="1505"/>
      <c r="W69" s="1505"/>
      <c r="X69" s="1505"/>
      <c r="Y69" s="1505"/>
      <c r="Z69" s="1505"/>
      <c r="AA69" s="1505"/>
      <c r="AB69" s="1505"/>
      <c r="AC69" s="1505"/>
    </row>
    <row r="70" spans="1:29" s="406" customFormat="1">
      <c r="A70" s="1264"/>
      <c r="B70" s="1402">
        <f>SFrame!$B$16</f>
        <v>4</v>
      </c>
      <c r="C70" s="1531" t="s">
        <v>307</v>
      </c>
      <c r="D70" s="1532" t="s">
        <v>308</v>
      </c>
      <c r="E70" s="1532" t="s">
        <v>308</v>
      </c>
      <c r="F70" s="1532" t="s">
        <v>308</v>
      </c>
      <c r="G70" s="1532" t="s">
        <v>308</v>
      </c>
      <c r="H70" s="1532" t="s">
        <v>308</v>
      </c>
      <c r="I70" s="1762" t="s">
        <v>3451</v>
      </c>
      <c r="J70" s="1762" t="s">
        <v>3451</v>
      </c>
      <c r="K70" s="1762" t="s">
        <v>3451</v>
      </c>
      <c r="L70" s="1761" t="s">
        <v>3451</v>
      </c>
      <c r="M70" s="1264"/>
      <c r="N70" s="1264"/>
      <c r="Q70" s="1405"/>
      <c r="R70" s="1505"/>
      <c r="S70" s="1505"/>
      <c r="T70" s="1505"/>
      <c r="U70" s="1505"/>
      <c r="V70" s="1505"/>
      <c r="W70" s="1505"/>
      <c r="X70" s="1505"/>
      <c r="Y70" s="1505"/>
      <c r="Z70" s="1505"/>
      <c r="AA70" s="1505"/>
      <c r="AB70" s="1505"/>
      <c r="AC70" s="1505"/>
    </row>
    <row r="71" spans="1:29" s="406" customFormat="1" ht="15.75" thickBot="1">
      <c r="A71" s="1264"/>
      <c r="B71" s="1402">
        <f>SFrame!$B$17</f>
        <v>5</v>
      </c>
      <c r="C71" s="1750" t="s">
        <v>3451</v>
      </c>
      <c r="D71" s="1751" t="s">
        <v>3451</v>
      </c>
      <c r="E71" s="1751" t="s">
        <v>3451</v>
      </c>
      <c r="F71" s="1751" t="s">
        <v>3451</v>
      </c>
      <c r="G71" s="1751" t="s">
        <v>3451</v>
      </c>
      <c r="H71" s="1751" t="s">
        <v>3451</v>
      </c>
      <c r="I71" s="1751" t="s">
        <v>3451</v>
      </c>
      <c r="J71" s="1751" t="s">
        <v>3451</v>
      </c>
      <c r="K71" s="1751" t="s">
        <v>3451</v>
      </c>
      <c r="L71" s="1752" t="s">
        <v>3451</v>
      </c>
      <c r="M71" s="1264"/>
      <c r="N71" s="1264"/>
      <c r="Q71" s="1405"/>
      <c r="R71" s="1505"/>
      <c r="S71" s="1505"/>
      <c r="T71" s="1505"/>
      <c r="U71" s="1505"/>
      <c r="V71" s="1505"/>
      <c r="W71" s="1505"/>
      <c r="X71" s="1505"/>
      <c r="Y71" s="1505"/>
      <c r="Z71" s="1505"/>
      <c r="AA71" s="1505"/>
      <c r="AB71" s="1505"/>
      <c r="AC71" s="1505"/>
    </row>
    <row r="72" spans="1:29" s="406" customFormat="1">
      <c r="A72" s="1405"/>
      <c r="P72" s="1405"/>
      <c r="R72" s="1505"/>
      <c r="S72" s="1505"/>
      <c r="T72" s="1505"/>
      <c r="U72" s="1505"/>
      <c r="V72" s="1505"/>
      <c r="W72" s="1505"/>
      <c r="X72" s="1505"/>
      <c r="Y72" s="1505"/>
      <c r="Z72" s="1505"/>
      <c r="AA72" s="1505"/>
      <c r="AB72" s="1505"/>
      <c r="AC72" s="1505"/>
    </row>
    <row r="73" spans="1:29" s="406" customFormat="1" ht="15.75" thickBot="1">
      <c r="A73" s="1264" t="s">
        <v>4170</v>
      </c>
      <c r="B73" s="1402"/>
      <c r="C73" s="1400">
        <f>$C$1</f>
        <v>750</v>
      </c>
      <c r="D73" s="1400">
        <f>$D$1</f>
        <v>900</v>
      </c>
      <c r="E73" s="1400">
        <f>$E$1</f>
        <v>1000</v>
      </c>
      <c r="F73" s="1400">
        <f>$F$1</f>
        <v>1200</v>
      </c>
      <c r="G73" s="1400">
        <f>$G$1</f>
        <v>1350</v>
      </c>
      <c r="H73" s="1400">
        <f>$H$1</f>
        <v>1500</v>
      </c>
      <c r="I73" s="1400">
        <f>$I$1</f>
        <v>1800</v>
      </c>
      <c r="J73" s="1400">
        <f>$J$1</f>
        <v>2400</v>
      </c>
      <c r="K73" s="1400">
        <f>$K$1</f>
        <v>3000</v>
      </c>
      <c r="L73" s="1400">
        <f>$L$1</f>
        <v>3600</v>
      </c>
      <c r="M73" s="1264" t="s">
        <v>227</v>
      </c>
      <c r="P73" s="1405"/>
      <c r="R73" s="1505"/>
      <c r="S73" s="1505"/>
      <c r="T73" s="1505"/>
      <c r="U73" s="1505"/>
      <c r="V73" s="1505"/>
      <c r="W73" s="1505"/>
      <c r="X73" s="1505"/>
      <c r="Y73" s="1505"/>
      <c r="Z73" s="1505"/>
      <c r="AA73" s="1505"/>
      <c r="AB73" s="1505"/>
      <c r="AC73" s="1505"/>
    </row>
    <row r="74" spans="1:29" s="406" customFormat="1" ht="15.75" thickBot="1">
      <c r="A74" s="1265" t="s">
        <v>1261</v>
      </c>
      <c r="B74" s="1402">
        <f>$B$2</f>
        <v>0</v>
      </c>
      <c r="C74" s="3152" t="e">
        <f t="shared" ref="C74:L74" ca="1" si="4">IF(Small_F,R74,C75)</f>
        <v>#REF!</v>
      </c>
      <c r="D74" s="3153" t="e">
        <f t="shared" ca="1" si="4"/>
        <v>#REF!</v>
      </c>
      <c r="E74" s="3153" t="e">
        <f t="shared" ca="1" si="4"/>
        <v>#REF!</v>
      </c>
      <c r="F74" s="3153" t="e">
        <f t="shared" ca="1" si="4"/>
        <v>#REF!</v>
      </c>
      <c r="G74" s="3153" t="e">
        <f t="shared" ca="1" si="4"/>
        <v>#REF!</v>
      </c>
      <c r="H74" s="3153" t="e">
        <f t="shared" ca="1" si="4"/>
        <v>#REF!</v>
      </c>
      <c r="I74" s="3153" t="e">
        <f t="shared" ca="1" si="4"/>
        <v>#REF!</v>
      </c>
      <c r="J74" s="3153" t="e">
        <f t="shared" ca="1" si="4"/>
        <v>#REF!</v>
      </c>
      <c r="K74" s="3153" t="e">
        <f t="shared" ca="1" si="4"/>
        <v>#REF!</v>
      </c>
      <c r="L74" s="3154" t="e">
        <f t="shared" ca="1" si="4"/>
        <v>#REF!</v>
      </c>
      <c r="M74" s="1264" t="s">
        <v>4171</v>
      </c>
      <c r="N74" s="3168" t="e">
        <f ca="1">INDEX(MFTr1Hefactor,sysJ2_index,RPM_index)</f>
        <v>#REF!</v>
      </c>
      <c r="P74" s="1405"/>
      <c r="R74" s="1506">
        <v>0.25</v>
      </c>
      <c r="S74" s="1507">
        <v>0.25</v>
      </c>
      <c r="T74" s="1507">
        <v>0.25</v>
      </c>
      <c r="U74" s="1507">
        <v>0.25</v>
      </c>
      <c r="V74" s="1507">
        <v>0.25</v>
      </c>
      <c r="W74" s="1507">
        <v>0.25</v>
      </c>
      <c r="X74" s="1507">
        <v>0.25</v>
      </c>
      <c r="Y74" s="1507">
        <v>0.25</v>
      </c>
      <c r="Z74" s="1507">
        <v>0.25</v>
      </c>
      <c r="AA74" s="1508">
        <v>0.25</v>
      </c>
      <c r="AB74" s="1505"/>
      <c r="AC74" s="1505"/>
    </row>
    <row r="75" spans="1:29" s="406" customFormat="1">
      <c r="A75" s="3979">
        <v>171209</v>
      </c>
      <c r="B75" s="1402">
        <f>$B$3</f>
        <v>0.1</v>
      </c>
      <c r="C75" s="3155">
        <v>0.25</v>
      </c>
      <c r="D75" s="3156">
        <v>0.25</v>
      </c>
      <c r="E75" s="3156">
        <v>0.25</v>
      </c>
      <c r="F75" s="3156">
        <v>0.25</v>
      </c>
      <c r="G75" s="3156">
        <v>0.25</v>
      </c>
      <c r="H75" s="3156">
        <v>0.25</v>
      </c>
      <c r="I75" s="3156">
        <v>0.25</v>
      </c>
      <c r="J75" s="3156">
        <v>0.3</v>
      </c>
      <c r="K75" s="3156">
        <v>0.4</v>
      </c>
      <c r="L75" s="3157">
        <v>0.5</v>
      </c>
      <c r="M75" s="1264"/>
      <c r="N75" s="3169"/>
      <c r="P75" s="1405"/>
      <c r="R75" s="1505"/>
      <c r="S75" s="1505"/>
      <c r="T75" s="1505"/>
      <c r="U75" s="1505"/>
      <c r="V75" s="1505"/>
      <c r="W75" s="1505"/>
      <c r="X75" s="1505"/>
      <c r="Y75" s="1505"/>
      <c r="Z75" s="1505"/>
      <c r="AA75" s="1505"/>
      <c r="AB75" s="1505"/>
      <c r="AC75" s="1505"/>
    </row>
    <row r="76" spans="1:29" s="406" customFormat="1" ht="15.75" thickBot="1">
      <c r="A76" s="3980"/>
      <c r="B76" s="1402">
        <f>$B$4</f>
        <v>0.125</v>
      </c>
      <c r="C76" s="3155">
        <v>0.25</v>
      </c>
      <c r="D76" s="3156">
        <v>0.25</v>
      </c>
      <c r="E76" s="3156">
        <v>0.25</v>
      </c>
      <c r="F76" s="3156">
        <v>0.25</v>
      </c>
      <c r="G76" s="3156">
        <v>0.25</v>
      </c>
      <c r="H76" s="3156">
        <v>0.25</v>
      </c>
      <c r="I76" s="3156">
        <v>0.3</v>
      </c>
      <c r="J76" s="3156">
        <v>0.4</v>
      </c>
      <c r="K76" s="3156">
        <v>0.5</v>
      </c>
      <c r="L76" s="3157">
        <v>0.6</v>
      </c>
      <c r="M76" s="1264"/>
      <c r="N76" s="3169"/>
      <c r="P76" s="1405"/>
      <c r="R76" s="1505"/>
      <c r="S76" s="1505"/>
      <c r="T76" s="1505"/>
      <c r="U76" s="1505"/>
      <c r="V76" s="1505"/>
      <c r="W76" s="1505"/>
      <c r="X76" s="1505"/>
      <c r="Y76" s="1505"/>
      <c r="Z76" s="1505"/>
      <c r="AA76" s="1505"/>
      <c r="AB76" s="1505"/>
      <c r="AC76" s="1505"/>
    </row>
    <row r="77" spans="1:29" s="406" customFormat="1">
      <c r="A77" s="1264"/>
      <c r="B77" s="1402">
        <f>$B$5</f>
        <v>0.15</v>
      </c>
      <c r="C77" s="3155">
        <v>0.25</v>
      </c>
      <c r="D77" s="3156">
        <v>0.25</v>
      </c>
      <c r="E77" s="3156">
        <v>0.25</v>
      </c>
      <c r="F77" s="3156">
        <v>0.25</v>
      </c>
      <c r="G77" s="3156">
        <v>0.25</v>
      </c>
      <c r="H77" s="3156">
        <v>0.3</v>
      </c>
      <c r="I77" s="3156">
        <v>0.4</v>
      </c>
      <c r="J77" s="3156">
        <v>0.5</v>
      </c>
      <c r="K77" s="3156">
        <v>0.6</v>
      </c>
      <c r="L77" s="3157">
        <v>0.7</v>
      </c>
      <c r="M77" s="1264"/>
      <c r="P77" s="1405"/>
      <c r="R77" s="1505"/>
      <c r="S77" s="1505"/>
      <c r="T77" s="1505"/>
      <c r="U77" s="1505"/>
      <c r="V77" s="1505"/>
      <c r="W77" s="1505"/>
      <c r="X77" s="1505"/>
      <c r="Y77" s="1505"/>
      <c r="Z77" s="1505"/>
      <c r="AA77" s="1505"/>
      <c r="AB77" s="1505"/>
      <c r="AC77" s="1505"/>
    </row>
    <row r="78" spans="1:29" s="406" customFormat="1">
      <c r="A78" s="1264"/>
      <c r="B78" s="1402">
        <f>$B$6</f>
        <v>0.17499999999999999</v>
      </c>
      <c r="C78" s="3155">
        <v>0.25</v>
      </c>
      <c r="D78" s="3156">
        <v>0.25</v>
      </c>
      <c r="E78" s="3156">
        <v>0.25</v>
      </c>
      <c r="F78" s="3156">
        <v>0.25</v>
      </c>
      <c r="G78" s="3156">
        <v>0.3</v>
      </c>
      <c r="H78" s="3156">
        <v>0.4</v>
      </c>
      <c r="I78" s="3156">
        <v>0.5</v>
      </c>
      <c r="J78" s="3156">
        <v>0.6</v>
      </c>
      <c r="K78" s="3156">
        <v>0.7</v>
      </c>
      <c r="L78" s="3157">
        <v>0.8</v>
      </c>
      <c r="M78" s="1264"/>
      <c r="P78" s="1405"/>
      <c r="R78" s="1505"/>
      <c r="S78" s="1505"/>
      <c r="T78" s="1505"/>
      <c r="U78" s="1505"/>
      <c r="V78" s="1505"/>
      <c r="W78" s="1505"/>
      <c r="X78" s="1505"/>
      <c r="Y78" s="1505"/>
      <c r="Z78" s="1505"/>
      <c r="AA78" s="1505"/>
      <c r="AB78" s="1505"/>
      <c r="AC78" s="1505"/>
    </row>
    <row r="79" spans="1:29" s="406" customFormat="1">
      <c r="A79" s="1264"/>
      <c r="B79" s="1402">
        <f>$B$7</f>
        <v>0.2</v>
      </c>
      <c r="C79" s="3155">
        <v>0.25</v>
      </c>
      <c r="D79" s="3156">
        <v>0.25</v>
      </c>
      <c r="E79" s="3156">
        <v>0.25</v>
      </c>
      <c r="F79" s="3156">
        <v>0.3</v>
      </c>
      <c r="G79" s="3156">
        <v>0.4</v>
      </c>
      <c r="H79" s="3156">
        <v>0.5</v>
      </c>
      <c r="I79" s="3156">
        <v>0.6</v>
      </c>
      <c r="J79" s="3156">
        <v>0.7</v>
      </c>
      <c r="K79" s="3156">
        <v>0.8</v>
      </c>
      <c r="L79" s="3157">
        <v>0.9</v>
      </c>
      <c r="M79" s="1264"/>
      <c r="P79" s="1405"/>
      <c r="R79" s="1505"/>
      <c r="S79" s="1505"/>
      <c r="T79" s="1505"/>
      <c r="U79" s="1505"/>
      <c r="V79" s="1505"/>
      <c r="W79" s="1505"/>
      <c r="X79" s="1505"/>
      <c r="Y79" s="1505"/>
      <c r="Z79" s="1505"/>
      <c r="AA79" s="1505"/>
      <c r="AB79" s="1505"/>
      <c r="AC79" s="1505"/>
    </row>
    <row r="80" spans="1:29" s="406" customFormat="1">
      <c r="A80" s="1264"/>
      <c r="B80" s="1402">
        <f>$B$8</f>
        <v>0.25</v>
      </c>
      <c r="C80" s="3155">
        <v>0.25</v>
      </c>
      <c r="D80" s="3156">
        <v>0.25</v>
      </c>
      <c r="E80" s="3156">
        <v>0.3</v>
      </c>
      <c r="F80" s="3156">
        <v>0.4</v>
      </c>
      <c r="G80" s="3156">
        <v>0.5</v>
      </c>
      <c r="H80" s="3156">
        <v>0.6</v>
      </c>
      <c r="I80" s="3156">
        <v>0.7</v>
      </c>
      <c r="J80" s="3156">
        <v>0.8</v>
      </c>
      <c r="K80" s="3156">
        <v>0.9</v>
      </c>
      <c r="L80" s="3157">
        <v>1</v>
      </c>
      <c r="M80" s="1264"/>
      <c r="P80" s="1405"/>
      <c r="R80" s="1505"/>
      <c r="S80" s="1505"/>
      <c r="T80" s="1505"/>
      <c r="U80" s="1505"/>
      <c r="V80" s="1505"/>
      <c r="W80" s="1505"/>
      <c r="X80" s="1505"/>
      <c r="Y80" s="1505"/>
      <c r="Z80" s="1505"/>
      <c r="AA80" s="1505"/>
      <c r="AB80" s="1505"/>
      <c r="AC80" s="1505"/>
    </row>
    <row r="81" spans="1:29" s="406" customFormat="1">
      <c r="A81" s="1264"/>
      <c r="B81" s="1402">
        <f>$B$9</f>
        <v>0.375</v>
      </c>
      <c r="C81" s="3155">
        <v>0.25</v>
      </c>
      <c r="D81" s="3156">
        <v>0.3</v>
      </c>
      <c r="E81" s="3156">
        <v>0.4</v>
      </c>
      <c r="F81" s="3156">
        <v>0.5</v>
      </c>
      <c r="G81" s="3156">
        <v>0.6</v>
      </c>
      <c r="H81" s="3156">
        <v>0.7</v>
      </c>
      <c r="I81" s="3156">
        <v>0.8</v>
      </c>
      <c r="J81" s="3156">
        <v>0.9</v>
      </c>
      <c r="K81" s="3156">
        <v>1</v>
      </c>
      <c r="L81" s="3157">
        <v>1</v>
      </c>
      <c r="M81" s="1264"/>
      <c r="P81" s="1405"/>
      <c r="R81" s="1505"/>
      <c r="S81" s="1505"/>
      <c r="T81" s="1505"/>
      <c r="U81" s="1505"/>
      <c r="V81" s="1505"/>
      <c r="W81" s="1505"/>
      <c r="X81" s="1505"/>
      <c r="Y81" s="1505"/>
      <c r="Z81" s="1505"/>
      <c r="AA81" s="1505"/>
      <c r="AB81" s="1505"/>
      <c r="AC81" s="1505"/>
    </row>
    <row r="82" spans="1:29" s="406" customFormat="1">
      <c r="A82" s="1264"/>
      <c r="B82" s="1402">
        <f>$B$10</f>
        <v>0.5</v>
      </c>
      <c r="C82" s="3155">
        <v>0.3</v>
      </c>
      <c r="D82" s="3156">
        <v>0.4</v>
      </c>
      <c r="E82" s="3156">
        <v>0.5</v>
      </c>
      <c r="F82" s="3156">
        <v>0.6</v>
      </c>
      <c r="G82" s="3156">
        <v>0.7</v>
      </c>
      <c r="H82" s="3156">
        <v>0.8</v>
      </c>
      <c r="I82" s="3156">
        <v>0.9</v>
      </c>
      <c r="J82" s="3156">
        <v>1</v>
      </c>
      <c r="K82" s="3156">
        <v>1</v>
      </c>
      <c r="L82" s="3157">
        <v>1</v>
      </c>
      <c r="M82" s="1264"/>
      <c r="P82" s="1405"/>
      <c r="R82" s="1505"/>
      <c r="S82" s="1505"/>
      <c r="T82" s="1505"/>
      <c r="U82" s="1505"/>
      <c r="V82" s="1505"/>
      <c r="W82" s="1505"/>
      <c r="X82" s="1505"/>
      <c r="Y82" s="1505"/>
      <c r="Z82" s="1505"/>
      <c r="AA82" s="1505"/>
      <c r="AB82" s="1505"/>
      <c r="AC82" s="1505"/>
    </row>
    <row r="83" spans="1:29" s="406" customFormat="1">
      <c r="A83" s="1264"/>
      <c r="B83" s="1402">
        <f>$B$11</f>
        <v>1</v>
      </c>
      <c r="C83" s="3155">
        <v>0.4</v>
      </c>
      <c r="D83" s="3156">
        <v>0.5</v>
      </c>
      <c r="E83" s="3156">
        <v>0.6</v>
      </c>
      <c r="F83" s="3156">
        <v>0.7</v>
      </c>
      <c r="G83" s="3156">
        <v>0.8</v>
      </c>
      <c r="H83" s="3156">
        <v>0.9</v>
      </c>
      <c r="I83" s="3156">
        <v>1</v>
      </c>
      <c r="J83" s="3156">
        <v>1</v>
      </c>
      <c r="K83" s="3156">
        <v>1</v>
      </c>
      <c r="L83" s="3157">
        <v>1</v>
      </c>
      <c r="M83" s="1264"/>
      <c r="P83" s="1405"/>
      <c r="R83" s="1505"/>
      <c r="S83" s="1505"/>
      <c r="T83" s="1505"/>
      <c r="U83" s="1505"/>
      <c r="V83" s="1505"/>
      <c r="W83" s="1505"/>
      <c r="X83" s="1505"/>
      <c r="Y83" s="1505"/>
      <c r="Z83" s="1505"/>
      <c r="AA83" s="1505"/>
      <c r="AB83" s="1505"/>
      <c r="AC83" s="1505"/>
    </row>
    <row r="84" spans="1:29" s="406" customFormat="1">
      <c r="A84" s="1264"/>
      <c r="B84" s="1402">
        <f>$B$12</f>
        <v>1.5</v>
      </c>
      <c r="C84" s="3155">
        <v>0.5</v>
      </c>
      <c r="D84" s="3156">
        <v>0.6</v>
      </c>
      <c r="E84" s="3156">
        <v>0.7</v>
      </c>
      <c r="F84" s="3156">
        <v>0.8</v>
      </c>
      <c r="G84" s="3156">
        <v>0.9</v>
      </c>
      <c r="H84" s="3156">
        <v>1</v>
      </c>
      <c r="I84" s="3156">
        <v>1</v>
      </c>
      <c r="J84" s="3156">
        <v>1</v>
      </c>
      <c r="K84" s="3156">
        <v>1</v>
      </c>
      <c r="L84" s="3157">
        <v>1</v>
      </c>
      <c r="M84" s="1264"/>
      <c r="P84" s="1405"/>
      <c r="R84" s="1505"/>
      <c r="S84" s="1505"/>
      <c r="T84" s="1505"/>
      <c r="U84" s="1505"/>
      <c r="V84" s="1505"/>
      <c r="W84" s="1505"/>
      <c r="X84" s="1505"/>
      <c r="Y84" s="1505"/>
      <c r="Z84" s="1505"/>
      <c r="AA84" s="1505"/>
      <c r="AB84" s="1505"/>
      <c r="AC84" s="1505"/>
    </row>
    <row r="85" spans="1:29" s="406" customFormat="1">
      <c r="A85" s="1264"/>
      <c r="B85" s="1402">
        <f>$B$13</f>
        <v>2</v>
      </c>
      <c r="C85" s="3158">
        <v>0.6</v>
      </c>
      <c r="D85" s="3159">
        <v>0.7</v>
      </c>
      <c r="E85" s="3159">
        <v>0.8</v>
      </c>
      <c r="F85" s="3159">
        <v>0.9</v>
      </c>
      <c r="G85" s="3159">
        <v>1</v>
      </c>
      <c r="H85" s="3159">
        <v>1</v>
      </c>
      <c r="I85" s="3160">
        <v>1</v>
      </c>
      <c r="J85" s="3161">
        <v>1</v>
      </c>
      <c r="K85" s="3159">
        <v>1</v>
      </c>
      <c r="L85" s="3162">
        <v>1</v>
      </c>
      <c r="M85" s="1264"/>
      <c r="P85" s="1405"/>
      <c r="R85" s="1505"/>
      <c r="S85" s="1505"/>
      <c r="T85" s="1505"/>
      <c r="U85" s="1505"/>
      <c r="V85" s="1505"/>
      <c r="W85" s="1505"/>
      <c r="X85" s="1505"/>
      <c r="Y85" s="1505"/>
      <c r="Z85" s="1505"/>
      <c r="AA85" s="1505"/>
      <c r="AB85" s="1505"/>
      <c r="AC85" s="1505"/>
    </row>
    <row r="86" spans="1:29" s="406" customFormat="1">
      <c r="A86" s="1264"/>
      <c r="B86" s="1402">
        <f>$B$14</f>
        <v>2.5</v>
      </c>
      <c r="C86" s="3163">
        <v>0.7</v>
      </c>
      <c r="D86" s="3159">
        <v>0.8</v>
      </c>
      <c r="E86" s="3159">
        <v>0.9</v>
      </c>
      <c r="F86" s="3159">
        <v>1</v>
      </c>
      <c r="G86" s="3159">
        <v>1</v>
      </c>
      <c r="H86" s="3159">
        <v>1</v>
      </c>
      <c r="I86" s="3159">
        <v>1</v>
      </c>
      <c r="J86" s="3159">
        <v>1</v>
      </c>
      <c r="K86" s="3164">
        <v>1</v>
      </c>
      <c r="L86" s="3162">
        <v>1</v>
      </c>
      <c r="M86" s="1264"/>
      <c r="P86" s="1405"/>
      <c r="R86" s="1505"/>
      <c r="S86" s="1505"/>
      <c r="T86" s="1505"/>
      <c r="U86" s="1505"/>
      <c r="V86" s="1505"/>
      <c r="W86" s="1505"/>
      <c r="X86" s="1505"/>
      <c r="Y86" s="1505"/>
      <c r="Z86" s="1505"/>
      <c r="AA86" s="1505"/>
      <c r="AB86" s="1505"/>
      <c r="AC86" s="1505"/>
    </row>
    <row r="87" spans="1:29" s="406" customFormat="1">
      <c r="A87" s="1264"/>
      <c r="B87" s="1402">
        <f>$B$15</f>
        <v>3</v>
      </c>
      <c r="C87" s="3163">
        <v>0.8</v>
      </c>
      <c r="D87" s="3159">
        <v>0.9</v>
      </c>
      <c r="E87" s="3159">
        <v>1</v>
      </c>
      <c r="F87" s="3159">
        <v>1</v>
      </c>
      <c r="G87" s="3159">
        <v>1</v>
      </c>
      <c r="H87" s="3159">
        <v>1</v>
      </c>
      <c r="I87" s="3159">
        <v>1</v>
      </c>
      <c r="J87" s="3164">
        <v>1</v>
      </c>
      <c r="K87" s="3164">
        <v>1</v>
      </c>
      <c r="L87" s="3162">
        <v>1</v>
      </c>
      <c r="M87" s="1264"/>
      <c r="P87" s="1405"/>
      <c r="R87" s="1505"/>
      <c r="S87" s="1505"/>
      <c r="T87" s="1505"/>
      <c r="U87" s="1505"/>
      <c r="V87" s="1505"/>
      <c r="W87" s="1505"/>
      <c r="X87" s="1505"/>
      <c r="Y87" s="1505"/>
      <c r="Z87" s="1505"/>
      <c r="AA87" s="1505"/>
      <c r="AB87" s="1505"/>
      <c r="AC87" s="1505"/>
    </row>
    <row r="88" spans="1:29" s="406" customFormat="1">
      <c r="A88" s="1264"/>
      <c r="B88" s="1402">
        <f>$B$16</f>
        <v>4</v>
      </c>
      <c r="C88" s="3163">
        <v>0.9</v>
      </c>
      <c r="D88" s="3159">
        <v>1</v>
      </c>
      <c r="E88" s="3159">
        <v>1</v>
      </c>
      <c r="F88" s="3159">
        <v>1</v>
      </c>
      <c r="G88" s="3159">
        <v>1</v>
      </c>
      <c r="H88" s="3159">
        <v>1</v>
      </c>
      <c r="I88" s="3164">
        <v>1</v>
      </c>
      <c r="J88" s="3164">
        <v>1</v>
      </c>
      <c r="K88" s="3164">
        <v>1</v>
      </c>
      <c r="L88" s="3162">
        <v>1</v>
      </c>
      <c r="M88" s="1264"/>
      <c r="P88" s="1405"/>
      <c r="R88" s="1505"/>
      <c r="S88" s="1505"/>
      <c r="T88" s="1505"/>
      <c r="U88" s="1505"/>
      <c r="V88" s="1505"/>
      <c r="W88" s="1505"/>
      <c r="X88" s="1505"/>
      <c r="Y88" s="1505"/>
      <c r="Z88" s="1505"/>
      <c r="AA88" s="1505"/>
      <c r="AB88" s="1505"/>
      <c r="AC88" s="1505"/>
    </row>
    <row r="89" spans="1:29" s="406" customFormat="1" ht="15.75" thickBot="1">
      <c r="A89" s="1264"/>
      <c r="B89" s="1402">
        <f>$B$17</f>
        <v>5</v>
      </c>
      <c r="C89" s="3165">
        <v>1</v>
      </c>
      <c r="D89" s="3166">
        <v>1</v>
      </c>
      <c r="E89" s="3166">
        <v>1</v>
      </c>
      <c r="F89" s="3166">
        <v>1</v>
      </c>
      <c r="G89" s="3166">
        <v>1</v>
      </c>
      <c r="H89" s="3166">
        <v>1</v>
      </c>
      <c r="I89" s="3166">
        <v>1</v>
      </c>
      <c r="J89" s="3166">
        <v>1</v>
      </c>
      <c r="K89" s="3166">
        <v>1</v>
      </c>
      <c r="L89" s="3167">
        <v>1</v>
      </c>
      <c r="M89" s="1264"/>
      <c r="P89" s="1405"/>
      <c r="R89" s="1505"/>
      <c r="S89" s="1505"/>
      <c r="T89" s="1505"/>
      <c r="U89" s="1505"/>
      <c r="V89" s="1505"/>
      <c r="W89" s="1505"/>
      <c r="X89" s="1505"/>
      <c r="Y89" s="1505"/>
      <c r="Z89" s="1505"/>
      <c r="AA89" s="1505"/>
      <c r="AB89" s="1505"/>
      <c r="AC89" s="1505"/>
    </row>
    <row r="90" spans="1:29" s="406" customFormat="1">
      <c r="B90" s="1405"/>
      <c r="Q90" s="1405"/>
      <c r="R90" s="1505"/>
      <c r="S90" s="1505"/>
      <c r="T90" s="1505"/>
      <c r="U90" s="1505"/>
      <c r="V90" s="1505"/>
      <c r="W90" s="1505"/>
      <c r="X90" s="1505"/>
      <c r="Y90" s="1505"/>
      <c r="Z90" s="1505"/>
      <c r="AA90" s="1505"/>
      <c r="AB90" s="1505"/>
      <c r="AC90" s="1505"/>
    </row>
    <row r="91" spans="1:29" s="406" customFormat="1" ht="15.75" thickBot="1">
      <c r="A91" s="1264" t="s">
        <v>4173</v>
      </c>
      <c r="B91" s="1402"/>
      <c r="C91" s="1400">
        <f>$C$1</f>
        <v>750</v>
      </c>
      <c r="D91" s="1400">
        <f>$D$1</f>
        <v>900</v>
      </c>
      <c r="E91" s="1400">
        <f>$E$1</f>
        <v>1000</v>
      </c>
      <c r="F91" s="1400">
        <f>$F$1</f>
        <v>1200</v>
      </c>
      <c r="G91" s="1400">
        <f>$G$1</f>
        <v>1350</v>
      </c>
      <c r="H91" s="1400">
        <f>$H$1</f>
        <v>1500</v>
      </c>
      <c r="I91" s="1400">
        <f>$I$1</f>
        <v>1800</v>
      </c>
      <c r="J91" s="1400">
        <f>$J$1</f>
        <v>2400</v>
      </c>
      <c r="K91" s="1400">
        <f>$K$1</f>
        <v>3000</v>
      </c>
      <c r="L91" s="1400">
        <f>$L$1</f>
        <v>3600</v>
      </c>
      <c r="M91" s="1264" t="s">
        <v>227</v>
      </c>
      <c r="P91" s="1405"/>
      <c r="R91" s="1505"/>
      <c r="S91" s="1505"/>
      <c r="T91" s="1505"/>
      <c r="U91" s="1505"/>
      <c r="V91" s="1505"/>
      <c r="W91" s="1505"/>
      <c r="X91" s="1505"/>
      <c r="Y91" s="1505"/>
      <c r="Z91" s="1505"/>
      <c r="AA91" s="1505"/>
      <c r="AB91" s="1505"/>
      <c r="AC91" s="1505"/>
    </row>
    <row r="92" spans="1:29" s="406" customFormat="1" ht="15.75" thickBot="1">
      <c r="A92" s="1265" t="s">
        <v>1261</v>
      </c>
      <c r="B92" s="1402">
        <f>$B$2</f>
        <v>0</v>
      </c>
      <c r="C92" s="3152" t="e">
        <f t="shared" ref="C92" ca="1" si="5">IF(Small_F,R92,C93)</f>
        <v>#REF!</v>
      </c>
      <c r="D92" s="3153" t="e">
        <f t="shared" ref="D92" ca="1" si="6">IF(Small_F,S92,D93)</f>
        <v>#REF!</v>
      </c>
      <c r="E92" s="3153" t="e">
        <f t="shared" ref="E92" ca="1" si="7">IF(Small_F,T92,E93)</f>
        <v>#REF!</v>
      </c>
      <c r="F92" s="3153" t="e">
        <f t="shared" ref="F92" ca="1" si="8">IF(Small_F,U92,F93)</f>
        <v>#REF!</v>
      </c>
      <c r="G92" s="3153" t="e">
        <f t="shared" ref="G92" ca="1" si="9">IF(Small_F,V92,G93)</f>
        <v>#REF!</v>
      </c>
      <c r="H92" s="3153" t="e">
        <f t="shared" ref="H92" ca="1" si="10">IF(Small_F,W92,H93)</f>
        <v>#REF!</v>
      </c>
      <c r="I92" s="3153" t="e">
        <f t="shared" ref="I92" ca="1" si="11">IF(Small_F,X92,I93)</f>
        <v>#REF!</v>
      </c>
      <c r="J92" s="3153" t="e">
        <f t="shared" ref="J92" ca="1" si="12">IF(Small_F,Y92,J93)</f>
        <v>#REF!</v>
      </c>
      <c r="K92" s="3153" t="e">
        <f t="shared" ref="K92" ca="1" si="13">IF(Small_F,Z92,K93)</f>
        <v>#REF!</v>
      </c>
      <c r="L92" s="3154" t="e">
        <f t="shared" ref="L92" ca="1" si="14">IF(Small_F,AA92,L93)</f>
        <v>#REF!</v>
      </c>
      <c r="M92" s="1264" t="s">
        <v>4172</v>
      </c>
      <c r="N92" s="3168" t="e">
        <f ca="1">INDEX(MFTr2Hefactor,sysJ2_index,RPM_index)</f>
        <v>#REF!</v>
      </c>
      <c r="P92" s="1405"/>
      <c r="R92" s="1506">
        <v>0</v>
      </c>
      <c r="S92" s="1507">
        <v>0</v>
      </c>
      <c r="T92" s="1507">
        <v>0</v>
      </c>
      <c r="U92" s="1507">
        <v>0</v>
      </c>
      <c r="V92" s="1507">
        <v>0</v>
      </c>
      <c r="W92" s="1507">
        <v>0</v>
      </c>
      <c r="X92" s="1507">
        <v>0</v>
      </c>
      <c r="Y92" s="1507">
        <v>0</v>
      </c>
      <c r="Z92" s="1507">
        <v>0</v>
      </c>
      <c r="AA92" s="1508">
        <v>0</v>
      </c>
      <c r="AB92" s="1505"/>
      <c r="AC92" s="1505"/>
    </row>
    <row r="93" spans="1:29" s="406" customFormat="1">
      <c r="A93" s="3979">
        <v>171209</v>
      </c>
      <c r="B93" s="1402">
        <f>$B$3</f>
        <v>0.1</v>
      </c>
      <c r="C93" s="3155">
        <v>0</v>
      </c>
      <c r="D93" s="3156">
        <v>0</v>
      </c>
      <c r="E93" s="3156">
        <v>0</v>
      </c>
      <c r="F93" s="3156">
        <v>0</v>
      </c>
      <c r="G93" s="3156">
        <v>0</v>
      </c>
      <c r="H93" s="3156">
        <v>0</v>
      </c>
      <c r="I93" s="3156">
        <v>0</v>
      </c>
      <c r="J93" s="3156">
        <v>0</v>
      </c>
      <c r="K93" s="3156">
        <v>0</v>
      </c>
      <c r="L93" s="3157">
        <v>0</v>
      </c>
      <c r="M93" s="1264"/>
      <c r="N93" s="3169"/>
      <c r="P93" s="1405"/>
      <c r="R93" s="1505"/>
      <c r="S93" s="1505"/>
      <c r="T93" s="1505"/>
      <c r="U93" s="1505"/>
      <c r="V93" s="1505"/>
      <c r="W93" s="1505"/>
      <c r="X93" s="1505"/>
      <c r="Y93" s="1505"/>
      <c r="Z93" s="1505"/>
      <c r="AA93" s="1505"/>
      <c r="AB93" s="1505"/>
      <c r="AC93" s="1505"/>
    </row>
    <row r="94" spans="1:29" s="406" customFormat="1" ht="15.75" thickBot="1">
      <c r="A94" s="3980"/>
      <c r="B94" s="1402">
        <f>$B$4</f>
        <v>0.125</v>
      </c>
      <c r="C94" s="3155">
        <v>0</v>
      </c>
      <c r="D94" s="3156">
        <v>0</v>
      </c>
      <c r="E94" s="3156">
        <v>0</v>
      </c>
      <c r="F94" s="3156">
        <v>0</v>
      </c>
      <c r="G94" s="3156">
        <v>0</v>
      </c>
      <c r="H94" s="3156">
        <v>0</v>
      </c>
      <c r="I94" s="3156">
        <v>0</v>
      </c>
      <c r="J94" s="3156">
        <v>0</v>
      </c>
      <c r="K94" s="3156">
        <v>0</v>
      </c>
      <c r="L94" s="3157">
        <v>0</v>
      </c>
      <c r="M94" s="1264"/>
      <c r="N94" s="3169"/>
      <c r="P94" s="1405"/>
      <c r="R94" s="1505"/>
      <c r="S94" s="1505"/>
      <c r="T94" s="1505"/>
      <c r="U94" s="1505"/>
      <c r="V94" s="1505"/>
      <c r="W94" s="1505"/>
      <c r="X94" s="1505"/>
      <c r="Y94" s="1505"/>
      <c r="Z94" s="1505"/>
      <c r="AA94" s="1505"/>
      <c r="AB94" s="1505"/>
      <c r="AC94" s="1505"/>
    </row>
    <row r="95" spans="1:29" s="406" customFormat="1">
      <c r="A95" s="1264"/>
      <c r="B95" s="1402">
        <f>$B$5</f>
        <v>0.15</v>
      </c>
      <c r="C95" s="3155">
        <v>0</v>
      </c>
      <c r="D95" s="3156">
        <v>0</v>
      </c>
      <c r="E95" s="3156">
        <v>0</v>
      </c>
      <c r="F95" s="3156">
        <v>0</v>
      </c>
      <c r="G95" s="3156">
        <v>0</v>
      </c>
      <c r="H95" s="3156">
        <v>0</v>
      </c>
      <c r="I95" s="3156">
        <v>0</v>
      </c>
      <c r="J95" s="3156">
        <v>0</v>
      </c>
      <c r="K95" s="3156">
        <v>0</v>
      </c>
      <c r="L95" s="3157">
        <v>0</v>
      </c>
      <c r="M95" s="1264"/>
      <c r="P95" s="1405"/>
      <c r="R95" s="1505"/>
      <c r="S95" s="1505"/>
      <c r="T95" s="1505"/>
      <c r="U95" s="1505"/>
      <c r="V95" s="1505"/>
      <c r="W95" s="1505"/>
      <c r="X95" s="1505"/>
      <c r="Y95" s="1505"/>
      <c r="Z95" s="1505"/>
      <c r="AA95" s="1505"/>
      <c r="AB95" s="1505"/>
      <c r="AC95" s="1505"/>
    </row>
    <row r="96" spans="1:29" s="406" customFormat="1">
      <c r="A96" s="1264"/>
      <c r="B96" s="1402">
        <f>$B$6</f>
        <v>0.17499999999999999</v>
      </c>
      <c r="C96" s="3155">
        <v>0</v>
      </c>
      <c r="D96" s="3156">
        <v>0</v>
      </c>
      <c r="E96" s="3156">
        <v>0</v>
      </c>
      <c r="F96" s="3156">
        <v>0</v>
      </c>
      <c r="G96" s="3156">
        <v>0</v>
      </c>
      <c r="H96" s="3156">
        <v>0</v>
      </c>
      <c r="I96" s="3156">
        <v>0</v>
      </c>
      <c r="J96" s="3156">
        <v>0</v>
      </c>
      <c r="K96" s="3156">
        <v>0</v>
      </c>
      <c r="L96" s="3157">
        <v>0</v>
      </c>
      <c r="M96" s="1264"/>
      <c r="P96" s="1405"/>
      <c r="R96" s="1505"/>
      <c r="S96" s="1505"/>
      <c r="T96" s="1505"/>
      <c r="U96" s="1505"/>
      <c r="V96" s="1505"/>
      <c r="W96" s="1505"/>
      <c r="X96" s="1505"/>
      <c r="Y96" s="1505"/>
      <c r="Z96" s="1505"/>
      <c r="AA96" s="1505"/>
      <c r="AB96" s="1505"/>
      <c r="AC96" s="1505"/>
    </row>
    <row r="97" spans="1:29" s="406" customFormat="1">
      <c r="A97" s="1264"/>
      <c r="B97" s="1402">
        <f>$B$7</f>
        <v>0.2</v>
      </c>
      <c r="C97" s="3155">
        <v>0</v>
      </c>
      <c r="D97" s="3156">
        <v>0</v>
      </c>
      <c r="E97" s="3156">
        <v>0</v>
      </c>
      <c r="F97" s="3156">
        <v>0</v>
      </c>
      <c r="G97" s="3156">
        <v>0</v>
      </c>
      <c r="H97" s="3156">
        <v>0</v>
      </c>
      <c r="I97" s="3156">
        <v>0</v>
      </c>
      <c r="J97" s="3156">
        <v>0</v>
      </c>
      <c r="K97" s="3156">
        <v>0</v>
      </c>
      <c r="L97" s="3157">
        <v>0</v>
      </c>
      <c r="M97" s="1264"/>
      <c r="P97" s="1405"/>
      <c r="R97" s="1505"/>
      <c r="S97" s="1505"/>
      <c r="T97" s="1505"/>
      <c r="U97" s="1505"/>
      <c r="V97" s="1505"/>
      <c r="W97" s="1505"/>
      <c r="X97" s="1505"/>
      <c r="Y97" s="1505"/>
      <c r="Z97" s="1505"/>
      <c r="AA97" s="1505"/>
      <c r="AB97" s="1505"/>
      <c r="AC97" s="1505"/>
    </row>
    <row r="98" spans="1:29" s="406" customFormat="1">
      <c r="A98" s="1264"/>
      <c r="B98" s="1402">
        <f>$B$8</f>
        <v>0.25</v>
      </c>
      <c r="C98" s="3155">
        <v>0</v>
      </c>
      <c r="D98" s="3156">
        <v>0</v>
      </c>
      <c r="E98" s="3156">
        <v>0</v>
      </c>
      <c r="F98" s="3156">
        <v>0</v>
      </c>
      <c r="G98" s="3156">
        <v>0</v>
      </c>
      <c r="H98" s="3156">
        <v>0</v>
      </c>
      <c r="I98" s="3156">
        <v>0</v>
      </c>
      <c r="J98" s="3156">
        <v>0</v>
      </c>
      <c r="K98" s="3156">
        <v>0</v>
      </c>
      <c r="L98" s="3157">
        <v>0</v>
      </c>
      <c r="M98" s="1264"/>
      <c r="P98" s="1405"/>
      <c r="R98" s="1505"/>
      <c r="S98" s="1505"/>
      <c r="T98" s="1505"/>
      <c r="U98" s="1505"/>
      <c r="V98" s="1505"/>
      <c r="W98" s="1505"/>
      <c r="X98" s="1505"/>
      <c r="Y98" s="1505"/>
      <c r="Z98" s="1505"/>
      <c r="AA98" s="1505"/>
      <c r="AB98" s="1505"/>
      <c r="AC98" s="1505"/>
    </row>
    <row r="99" spans="1:29" s="406" customFormat="1">
      <c r="A99" s="1264"/>
      <c r="B99" s="1402">
        <f>$B$9</f>
        <v>0.375</v>
      </c>
      <c r="C99" s="3155">
        <v>0</v>
      </c>
      <c r="D99" s="3156">
        <v>0</v>
      </c>
      <c r="E99" s="3156">
        <v>0</v>
      </c>
      <c r="F99" s="3156">
        <v>0</v>
      </c>
      <c r="G99" s="3156">
        <v>0</v>
      </c>
      <c r="H99" s="3156">
        <v>0</v>
      </c>
      <c r="I99" s="3156">
        <v>0</v>
      </c>
      <c r="J99" s="3156">
        <v>0</v>
      </c>
      <c r="K99" s="3156">
        <v>0</v>
      </c>
      <c r="L99" s="3157">
        <v>0</v>
      </c>
      <c r="M99" s="1264"/>
      <c r="P99" s="1405"/>
      <c r="R99" s="1505"/>
      <c r="S99" s="1505"/>
      <c r="T99" s="1505"/>
      <c r="U99" s="1505"/>
      <c r="V99" s="1505"/>
      <c r="W99" s="1505"/>
      <c r="X99" s="1505"/>
      <c r="Y99" s="1505"/>
      <c r="Z99" s="1505"/>
      <c r="AA99" s="1505"/>
      <c r="AB99" s="1505"/>
      <c r="AC99" s="1505"/>
    </row>
    <row r="100" spans="1:29" s="406" customFormat="1">
      <c r="A100" s="1264"/>
      <c r="B100" s="1402">
        <f>$B$10</f>
        <v>0.5</v>
      </c>
      <c r="C100" s="3155">
        <v>0</v>
      </c>
      <c r="D100" s="3156">
        <v>0</v>
      </c>
      <c r="E100" s="3156">
        <v>0</v>
      </c>
      <c r="F100" s="3156">
        <v>0</v>
      </c>
      <c r="G100" s="3156">
        <v>0</v>
      </c>
      <c r="H100" s="3156">
        <v>0</v>
      </c>
      <c r="I100" s="3156">
        <v>0</v>
      </c>
      <c r="J100" s="3156">
        <v>0</v>
      </c>
      <c r="K100" s="3156">
        <v>0</v>
      </c>
      <c r="L100" s="3157">
        <v>0</v>
      </c>
      <c r="M100" s="1264"/>
      <c r="P100" s="1405"/>
      <c r="R100" s="1505"/>
      <c r="S100" s="1505"/>
      <c r="T100" s="1505"/>
      <c r="U100" s="1505"/>
      <c r="V100" s="1505"/>
      <c r="W100" s="1505"/>
      <c r="X100" s="1505"/>
      <c r="Y100" s="1505"/>
      <c r="Z100" s="1505"/>
      <c r="AA100" s="1505"/>
      <c r="AB100" s="1505"/>
      <c r="AC100" s="1505"/>
    </row>
    <row r="101" spans="1:29" s="406" customFormat="1">
      <c r="A101" s="1264"/>
      <c r="B101" s="1402">
        <f>$B$11</f>
        <v>1</v>
      </c>
      <c r="C101" s="3155">
        <v>0</v>
      </c>
      <c r="D101" s="3156">
        <v>0</v>
      </c>
      <c r="E101" s="3156">
        <v>0</v>
      </c>
      <c r="F101" s="3156">
        <v>0</v>
      </c>
      <c r="G101" s="3156">
        <v>0</v>
      </c>
      <c r="H101" s="3156">
        <v>0</v>
      </c>
      <c r="I101" s="3156">
        <v>0</v>
      </c>
      <c r="J101" s="3156">
        <v>0</v>
      </c>
      <c r="K101" s="3156">
        <v>0</v>
      </c>
      <c r="L101" s="3157">
        <v>0</v>
      </c>
      <c r="M101" s="1264"/>
      <c r="P101" s="1405"/>
      <c r="R101" s="1505"/>
      <c r="S101" s="1505"/>
      <c r="T101" s="1505"/>
      <c r="U101" s="1505"/>
      <c r="V101" s="1505"/>
      <c r="W101" s="1505"/>
      <c r="X101" s="1505"/>
      <c r="Y101" s="1505"/>
      <c r="Z101" s="1505"/>
      <c r="AA101" s="1505"/>
      <c r="AB101" s="1505"/>
      <c r="AC101" s="1505"/>
    </row>
    <row r="102" spans="1:29" s="406" customFormat="1">
      <c r="A102" s="1264"/>
      <c r="B102" s="1402">
        <f>$B$12</f>
        <v>1.5</v>
      </c>
      <c r="C102" s="3155">
        <v>0</v>
      </c>
      <c r="D102" s="3156">
        <v>0</v>
      </c>
      <c r="E102" s="3156">
        <v>0</v>
      </c>
      <c r="F102" s="3156">
        <v>0</v>
      </c>
      <c r="G102" s="3156">
        <v>0</v>
      </c>
      <c r="H102" s="3156">
        <v>0</v>
      </c>
      <c r="I102" s="3156">
        <v>0</v>
      </c>
      <c r="J102" s="3156">
        <v>0</v>
      </c>
      <c r="K102" s="3156">
        <v>0</v>
      </c>
      <c r="L102" s="3157">
        <v>0</v>
      </c>
      <c r="M102" s="1264"/>
      <c r="P102" s="1405"/>
      <c r="R102" s="1505"/>
      <c r="S102" s="1505"/>
      <c r="T102" s="1505"/>
      <c r="U102" s="1505"/>
      <c r="V102" s="1505"/>
      <c r="W102" s="1505"/>
      <c r="X102" s="1505"/>
      <c r="Y102" s="1505"/>
      <c r="Z102" s="1505"/>
      <c r="AA102" s="1505"/>
      <c r="AB102" s="1505"/>
      <c r="AC102" s="1505"/>
    </row>
    <row r="103" spans="1:29" s="406" customFormat="1">
      <c r="A103" s="1264"/>
      <c r="B103" s="1402">
        <f>$B$13</f>
        <v>2</v>
      </c>
      <c r="C103" s="3158">
        <v>0</v>
      </c>
      <c r="D103" s="3159">
        <v>0</v>
      </c>
      <c r="E103" s="3159">
        <v>0</v>
      </c>
      <c r="F103" s="3159">
        <v>0</v>
      </c>
      <c r="G103" s="3159">
        <v>0</v>
      </c>
      <c r="H103" s="3159">
        <v>0</v>
      </c>
      <c r="I103" s="3160">
        <v>0</v>
      </c>
      <c r="J103" s="3161">
        <v>0</v>
      </c>
      <c r="K103" s="3159">
        <v>0</v>
      </c>
      <c r="L103" s="3162">
        <v>1</v>
      </c>
      <c r="M103" s="1264"/>
      <c r="P103" s="1405"/>
      <c r="R103" s="1505"/>
      <c r="S103" s="1505"/>
      <c r="T103" s="1505"/>
      <c r="U103" s="1505"/>
      <c r="V103" s="1505"/>
      <c r="W103" s="1505"/>
      <c r="X103" s="1505"/>
      <c r="Y103" s="1505"/>
      <c r="Z103" s="1505"/>
      <c r="AA103" s="1505"/>
      <c r="AB103" s="1505"/>
      <c r="AC103" s="1505"/>
    </row>
    <row r="104" spans="1:29" s="406" customFormat="1">
      <c r="A104" s="1264"/>
      <c r="B104" s="1402">
        <f>$B$14</f>
        <v>2.5</v>
      </c>
      <c r="C104" s="3163">
        <v>0</v>
      </c>
      <c r="D104" s="3159">
        <v>0</v>
      </c>
      <c r="E104" s="3159">
        <v>0</v>
      </c>
      <c r="F104" s="3159">
        <v>0</v>
      </c>
      <c r="G104" s="3159">
        <v>0</v>
      </c>
      <c r="H104" s="3159">
        <v>0</v>
      </c>
      <c r="I104" s="3159">
        <v>0</v>
      </c>
      <c r="J104" s="3159">
        <v>0</v>
      </c>
      <c r="K104" s="3164">
        <v>1</v>
      </c>
      <c r="L104" s="3162">
        <v>1</v>
      </c>
      <c r="M104" s="1264"/>
      <c r="P104" s="1405"/>
      <c r="R104" s="1505"/>
      <c r="S104" s="1505"/>
      <c r="T104" s="1505"/>
      <c r="U104" s="1505"/>
      <c r="V104" s="1505"/>
      <c r="W104" s="1505"/>
      <c r="X104" s="1505"/>
      <c r="Y104" s="1505"/>
      <c r="Z104" s="1505"/>
      <c r="AA104" s="1505"/>
      <c r="AB104" s="1505"/>
      <c r="AC104" s="1505"/>
    </row>
    <row r="105" spans="1:29" s="406" customFormat="1">
      <c r="A105" s="1264"/>
      <c r="B105" s="1402">
        <f>$B$15</f>
        <v>3</v>
      </c>
      <c r="C105" s="3163">
        <v>0</v>
      </c>
      <c r="D105" s="3159">
        <v>0</v>
      </c>
      <c r="E105" s="3159">
        <v>0</v>
      </c>
      <c r="F105" s="3159">
        <v>0</v>
      </c>
      <c r="G105" s="3159">
        <v>0</v>
      </c>
      <c r="H105" s="3159">
        <v>0</v>
      </c>
      <c r="I105" s="3159">
        <v>0</v>
      </c>
      <c r="J105" s="3164">
        <v>1</v>
      </c>
      <c r="K105" s="3164">
        <v>1</v>
      </c>
      <c r="L105" s="3162">
        <v>1</v>
      </c>
      <c r="M105" s="1264"/>
      <c r="P105" s="1405"/>
      <c r="R105" s="1505"/>
      <c r="S105" s="1505"/>
      <c r="T105" s="1505"/>
      <c r="U105" s="1505"/>
      <c r="V105" s="1505"/>
      <c r="W105" s="1505"/>
      <c r="X105" s="1505"/>
      <c r="Y105" s="1505"/>
      <c r="Z105" s="1505"/>
      <c r="AA105" s="1505"/>
      <c r="AB105" s="1505"/>
      <c r="AC105" s="1505"/>
    </row>
    <row r="106" spans="1:29" s="406" customFormat="1">
      <c r="A106" s="1264"/>
      <c r="B106" s="1402">
        <f>$B$16</f>
        <v>4</v>
      </c>
      <c r="C106" s="3163">
        <v>0</v>
      </c>
      <c r="D106" s="3159">
        <v>0</v>
      </c>
      <c r="E106" s="3159">
        <v>0</v>
      </c>
      <c r="F106" s="3159">
        <v>0</v>
      </c>
      <c r="G106" s="3159">
        <v>0</v>
      </c>
      <c r="H106" s="3159">
        <v>0</v>
      </c>
      <c r="I106" s="3164">
        <v>1</v>
      </c>
      <c r="J106" s="3164">
        <v>1</v>
      </c>
      <c r="K106" s="3164">
        <v>1</v>
      </c>
      <c r="L106" s="3162">
        <v>1</v>
      </c>
      <c r="M106" s="1264"/>
      <c r="P106" s="1405"/>
      <c r="R106" s="1505"/>
      <c r="S106" s="1505"/>
      <c r="T106" s="1505"/>
      <c r="U106" s="1505"/>
      <c r="V106" s="1505"/>
      <c r="W106" s="1505"/>
      <c r="X106" s="1505"/>
      <c r="Y106" s="1505"/>
      <c r="Z106" s="1505"/>
      <c r="AA106" s="1505"/>
      <c r="AB106" s="1505"/>
      <c r="AC106" s="1505"/>
    </row>
    <row r="107" spans="1:29" s="406" customFormat="1" ht="15.75" thickBot="1">
      <c r="A107" s="1264"/>
      <c r="B107" s="1402">
        <f>$B$17</f>
        <v>5</v>
      </c>
      <c r="C107" s="3165">
        <v>1</v>
      </c>
      <c r="D107" s="3166">
        <v>1</v>
      </c>
      <c r="E107" s="3166">
        <v>1</v>
      </c>
      <c r="F107" s="3166">
        <v>1</v>
      </c>
      <c r="G107" s="3166">
        <v>1</v>
      </c>
      <c r="H107" s="3166">
        <v>1</v>
      </c>
      <c r="I107" s="3166">
        <v>1</v>
      </c>
      <c r="J107" s="3166">
        <v>1</v>
      </c>
      <c r="K107" s="3166">
        <v>1</v>
      </c>
      <c r="L107" s="3167">
        <v>1</v>
      </c>
      <c r="M107" s="1264"/>
      <c r="P107" s="1405"/>
      <c r="R107" s="1505"/>
      <c r="S107" s="1505"/>
      <c r="T107" s="1505"/>
      <c r="U107" s="1505"/>
      <c r="V107" s="1505"/>
      <c r="W107" s="1505"/>
      <c r="X107" s="1505"/>
      <c r="Y107" s="1505"/>
      <c r="Z107" s="1505"/>
      <c r="AA107" s="1505"/>
      <c r="AB107" s="1505"/>
      <c r="AC107" s="1505"/>
    </row>
  </sheetData>
  <mergeCells count="6">
    <mergeCell ref="A93:A94"/>
    <mergeCell ref="A39:A40"/>
    <mergeCell ref="A3:A4"/>
    <mergeCell ref="A21:A22"/>
    <mergeCell ref="A57:A58"/>
    <mergeCell ref="A75:A76"/>
  </mergeCells>
  <phoneticPr fontId="170" type="noConversion"/>
  <pageMargins left="0.70866141732283472" right="0.70866141732283472" top="0.74803149606299213" bottom="0.74803149606299213" header="0.31496062992125984" footer="0.31496062992125984"/>
  <pageSetup paperSize="9" scale="33" orientation="landscape" r:id="rId1"/>
  <headerFooter>
    <oddHeader>&amp;L&amp;F / &amp;A&amp;R&amp;D</oddHeader>
    <oddFooter>&amp;L&amp;12CONFIDENTIAL&amp;C&amp;12BARKER JET&amp;Rpage &amp;P / &amp;N</oddFooter>
  </headerFooter>
  <legacy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>
    <pageSetUpPr fitToPage="1"/>
  </sheetPr>
  <dimension ref="A1:AC107"/>
  <sheetViews>
    <sheetView zoomScale="70" zoomScaleNormal="70" workbookViewId="0">
      <selection activeCell="N56" sqref="N56"/>
    </sheetView>
  </sheetViews>
  <sheetFormatPr defaultColWidth="9.140625" defaultRowHeight="15"/>
  <cols>
    <col min="1" max="1" width="13.7109375" style="406" customWidth="1"/>
    <col min="2" max="2" width="9.140625" style="1405"/>
    <col min="3" max="12" width="9.140625" style="406"/>
    <col min="13" max="13" width="13.7109375" style="406" customWidth="1"/>
    <col min="14" max="14" width="9.140625" style="406" customWidth="1"/>
    <col min="15" max="16" width="9.140625" style="406"/>
    <col min="17" max="17" width="9.140625" style="1405"/>
    <col min="18" max="16384" width="9.140625" style="406"/>
  </cols>
  <sheetData>
    <row r="1" spans="1:29" ht="15.75" thickBot="1">
      <c r="A1" s="1264" t="s">
        <v>1204</v>
      </c>
      <c r="B1" s="1402"/>
      <c r="C1" s="1400">
        <f>MFrame!$C$1</f>
        <v>750</v>
      </c>
      <c r="D1" s="1400">
        <f>MFrame!$D$1</f>
        <v>900</v>
      </c>
      <c r="E1" s="1400">
        <f>MFrame!$E$1</f>
        <v>1000</v>
      </c>
      <c r="F1" s="1400">
        <f>MFrame!$F$1</f>
        <v>1200</v>
      </c>
      <c r="G1" s="1400">
        <f>MFrame!$G$1</f>
        <v>1350</v>
      </c>
      <c r="H1" s="1400">
        <f>MFrame!$H$1</f>
        <v>1500</v>
      </c>
      <c r="I1" s="1400">
        <f>MFrame!$I$1</f>
        <v>1800</v>
      </c>
      <c r="J1" s="1400">
        <f>MFrame!$J$1</f>
        <v>2400</v>
      </c>
      <c r="K1" s="1400">
        <f>MFrame!$K$1</f>
        <v>3000</v>
      </c>
      <c r="L1" s="1400">
        <f>MFrame!$L$1</f>
        <v>3600</v>
      </c>
      <c r="M1" s="1264" t="s">
        <v>227</v>
      </c>
      <c r="N1" s="1264"/>
      <c r="O1" s="1264"/>
      <c r="P1" s="1264"/>
      <c r="Q1" s="1248"/>
      <c r="R1" s="1264"/>
      <c r="S1" s="1264"/>
      <c r="T1" s="1264"/>
      <c r="U1" s="1264"/>
      <c r="V1" s="1264"/>
      <c r="W1" s="1264"/>
      <c r="X1" s="1264"/>
      <c r="Y1" s="1264"/>
      <c r="Z1" s="1264"/>
      <c r="AA1" s="1264"/>
      <c r="AB1" s="1264"/>
      <c r="AC1" s="1264"/>
    </row>
    <row r="2" spans="1:29" ht="15.75" thickBot="1">
      <c r="A2" s="1265" t="s">
        <v>1261</v>
      </c>
      <c r="B2" s="1403">
        <f>MFrame!$B$2</f>
        <v>0</v>
      </c>
      <c r="C2" s="1406" t="e">
        <f t="shared" ref="C2:L2" ca="1" si="0">IF(Small_F,R2,C3)</f>
        <v>#REF!</v>
      </c>
      <c r="D2" s="1407" t="e">
        <f t="shared" ca="1" si="0"/>
        <v>#REF!</v>
      </c>
      <c r="E2" s="1407" t="e">
        <f t="shared" ca="1" si="0"/>
        <v>#REF!</v>
      </c>
      <c r="F2" s="1407" t="e">
        <f t="shared" ca="1" si="0"/>
        <v>#REF!</v>
      </c>
      <c r="G2" s="1407" t="e">
        <f t="shared" ca="1" si="0"/>
        <v>#REF!</v>
      </c>
      <c r="H2" s="1407" t="e">
        <f t="shared" ca="1" si="0"/>
        <v>#REF!</v>
      </c>
      <c r="I2" s="1407" t="e">
        <f t="shared" ca="1" si="0"/>
        <v>#REF!</v>
      </c>
      <c r="J2" s="1407" t="e">
        <f t="shared" ca="1" si="0"/>
        <v>#REF!</v>
      </c>
      <c r="K2" s="1407" t="e">
        <f t="shared" ca="1" si="0"/>
        <v>#REF!</v>
      </c>
      <c r="L2" s="1408" t="e">
        <f t="shared" ca="1" si="0"/>
        <v>#REF!</v>
      </c>
      <c r="M2" s="1264" t="s">
        <v>2841</v>
      </c>
      <c r="N2" s="1504" t="e">
        <f ca="1">INDEX(BFRa,BJ2_index,RPM_index)</f>
        <v>#REF!</v>
      </c>
      <c r="O2" s="1264"/>
      <c r="P2" s="1264"/>
      <c r="Q2" s="1248"/>
      <c r="R2" s="1506" t="s">
        <v>3449</v>
      </c>
      <c r="S2" s="1507" t="s">
        <v>3449</v>
      </c>
      <c r="T2" s="1507" t="s">
        <v>3449</v>
      </c>
      <c r="U2" s="1507" t="s">
        <v>3449</v>
      </c>
      <c r="V2" s="1507" t="s">
        <v>3449</v>
      </c>
      <c r="W2" s="1507" t="s">
        <v>3449</v>
      </c>
      <c r="X2" s="1507" t="s">
        <v>3449</v>
      </c>
      <c r="Y2" s="1507" t="s">
        <v>3449</v>
      </c>
      <c r="Z2" s="1507" t="s">
        <v>3449</v>
      </c>
      <c r="AA2" s="1508" t="s">
        <v>3449</v>
      </c>
      <c r="AB2" s="1264"/>
      <c r="AC2" s="1264"/>
    </row>
    <row r="3" spans="1:29">
      <c r="A3" s="3981">
        <f>MFrame!A3</f>
        <v>0</v>
      </c>
      <c r="B3" s="1403">
        <f>MFrame!$B$3</f>
        <v>0.1</v>
      </c>
      <c r="C3" s="1531" t="s">
        <v>1036</v>
      </c>
      <c r="D3" s="1532" t="s">
        <v>1036</v>
      </c>
      <c r="E3" s="1532" t="s">
        <v>1036</v>
      </c>
      <c r="F3" s="1532" t="s">
        <v>1036</v>
      </c>
      <c r="G3" s="1532" t="s">
        <v>1036</v>
      </c>
      <c r="H3" s="1532" t="s">
        <v>1036</v>
      </c>
      <c r="I3" s="1532" t="s">
        <v>1036</v>
      </c>
      <c r="J3" s="1532" t="s">
        <v>1036</v>
      </c>
      <c r="K3" s="1532" t="s">
        <v>1036</v>
      </c>
      <c r="L3" s="1533" t="s">
        <v>1036</v>
      </c>
      <c r="M3" s="1264"/>
      <c r="N3" s="1264"/>
      <c r="O3" s="1264"/>
      <c r="P3" s="1264"/>
      <c r="Q3" s="1248"/>
      <c r="R3" s="1264"/>
      <c r="S3" s="1264"/>
      <c r="T3" s="1264"/>
      <c r="U3" s="1264"/>
      <c r="V3" s="1264"/>
      <c r="W3" s="1264"/>
      <c r="X3" s="1264"/>
      <c r="Y3" s="1264"/>
      <c r="Z3" s="1264"/>
      <c r="AA3" s="1264"/>
      <c r="AB3" s="1264"/>
      <c r="AC3" s="1264"/>
    </row>
    <row r="4" spans="1:29" ht="15.75" thickBot="1">
      <c r="A4" s="3982"/>
      <c r="B4" s="1403">
        <f>MFrame!$B$4</f>
        <v>0.125</v>
      </c>
      <c r="C4" s="1531" t="s">
        <v>1036</v>
      </c>
      <c r="D4" s="1532" t="s">
        <v>1036</v>
      </c>
      <c r="E4" s="1532" t="s">
        <v>1036</v>
      </c>
      <c r="F4" s="1532" t="s">
        <v>1036</v>
      </c>
      <c r="G4" s="1532" t="s">
        <v>1036</v>
      </c>
      <c r="H4" s="1532" t="s">
        <v>1036</v>
      </c>
      <c r="I4" s="1532" t="s">
        <v>1036</v>
      </c>
      <c r="J4" s="1532" t="s">
        <v>1036</v>
      </c>
      <c r="K4" s="1532" t="s">
        <v>1036</v>
      </c>
      <c r="L4" s="1533" t="s">
        <v>3856</v>
      </c>
      <c r="M4" s="1264"/>
      <c r="N4" s="1264"/>
      <c r="O4" s="1264"/>
      <c r="P4" s="1264"/>
      <c r="Q4" s="1248"/>
      <c r="R4" s="1264"/>
      <c r="S4" s="1264"/>
      <c r="T4" s="1264"/>
      <c r="U4" s="1264"/>
      <c r="V4" s="1264"/>
      <c r="W4" s="1264"/>
      <c r="X4" s="1264"/>
      <c r="Y4" s="1264"/>
      <c r="Z4" s="1264"/>
      <c r="AA4" s="1264"/>
      <c r="AB4" s="1264"/>
      <c r="AC4" s="1264"/>
    </row>
    <row r="5" spans="1:29">
      <c r="A5" s="1269"/>
      <c r="B5" s="1403">
        <f>MFrame!$B$5</f>
        <v>0.15</v>
      </c>
      <c r="C5" s="1531" t="s">
        <v>1036</v>
      </c>
      <c r="D5" s="1532" t="s">
        <v>1036</v>
      </c>
      <c r="E5" s="1532" t="s">
        <v>1036</v>
      </c>
      <c r="F5" s="1532" t="s">
        <v>1036</v>
      </c>
      <c r="G5" s="1532" t="s">
        <v>1036</v>
      </c>
      <c r="H5" s="1532" t="s">
        <v>1036</v>
      </c>
      <c r="I5" s="1532" t="s">
        <v>1036</v>
      </c>
      <c r="J5" s="1532" t="s">
        <v>3856</v>
      </c>
      <c r="K5" s="1532" t="s">
        <v>3856</v>
      </c>
      <c r="L5" s="1533" t="s">
        <v>1037</v>
      </c>
      <c r="M5" s="1264"/>
      <c r="N5" s="1264"/>
      <c r="O5" s="1264"/>
      <c r="P5" s="1264"/>
      <c r="Q5" s="1248"/>
      <c r="R5" s="1264"/>
      <c r="S5" s="1264"/>
      <c r="T5" s="1264"/>
      <c r="U5" s="1264"/>
      <c r="V5" s="1264"/>
      <c r="W5" s="1264"/>
      <c r="X5" s="1264"/>
      <c r="Y5" s="1264"/>
      <c r="Z5" s="1264"/>
      <c r="AA5" s="1264"/>
      <c r="AB5" s="1264"/>
      <c r="AC5" s="1264"/>
    </row>
    <row r="6" spans="1:29">
      <c r="A6" s="1269"/>
      <c r="B6" s="1403">
        <f>MFrame!$B$6</f>
        <v>0.17499999999999999</v>
      </c>
      <c r="C6" s="1531" t="s">
        <v>1036</v>
      </c>
      <c r="D6" s="1532" t="s">
        <v>1036</v>
      </c>
      <c r="E6" s="1532" t="s">
        <v>1036</v>
      </c>
      <c r="F6" s="1532" t="s">
        <v>1036</v>
      </c>
      <c r="G6" s="1532" t="s">
        <v>1036</v>
      </c>
      <c r="H6" s="1532" t="s">
        <v>1036</v>
      </c>
      <c r="I6" s="1532" t="s">
        <v>3856</v>
      </c>
      <c r="J6" s="1532" t="s">
        <v>3856</v>
      </c>
      <c r="K6" s="1532" t="s">
        <v>1038</v>
      </c>
      <c r="L6" s="1533" t="s">
        <v>1038</v>
      </c>
      <c r="M6" s="1264"/>
      <c r="N6" s="1264"/>
      <c r="O6" s="1264"/>
      <c r="P6" s="1264"/>
      <c r="Q6" s="1248"/>
      <c r="R6" s="1264"/>
      <c r="S6" s="1264"/>
      <c r="T6" s="1264"/>
      <c r="U6" s="1264"/>
      <c r="V6" s="1264"/>
      <c r="W6" s="1264"/>
      <c r="X6" s="1264"/>
      <c r="Y6" s="1264"/>
      <c r="Z6" s="1264"/>
      <c r="AA6" s="1264"/>
      <c r="AB6" s="1264"/>
      <c r="AC6" s="1264"/>
    </row>
    <row r="7" spans="1:29">
      <c r="A7" s="1269"/>
      <c r="B7" s="1403">
        <f>MFrame!$B$7</f>
        <v>0.2</v>
      </c>
      <c r="C7" s="1531" t="s">
        <v>1036</v>
      </c>
      <c r="D7" s="1532" t="s">
        <v>1036</v>
      </c>
      <c r="E7" s="1532" t="s">
        <v>1036</v>
      </c>
      <c r="F7" s="1532" t="s">
        <v>1036</v>
      </c>
      <c r="G7" s="1532" t="s">
        <v>3856</v>
      </c>
      <c r="H7" s="1532" t="s">
        <v>3856</v>
      </c>
      <c r="I7" s="1532" t="s">
        <v>1037</v>
      </c>
      <c r="J7" s="1532" t="s">
        <v>1037</v>
      </c>
      <c r="K7" s="1532" t="s">
        <v>1039</v>
      </c>
      <c r="L7" s="1533" t="s">
        <v>1039</v>
      </c>
      <c r="M7" s="1264"/>
      <c r="N7" s="1264"/>
      <c r="O7" s="1264"/>
      <c r="P7" s="1264"/>
      <c r="Q7" s="1248"/>
      <c r="R7" s="1264"/>
      <c r="S7" s="1264"/>
      <c r="T7" s="1264"/>
      <c r="U7" s="1264"/>
      <c r="V7" s="1264"/>
      <c r="W7" s="1264"/>
      <c r="X7" s="1264"/>
      <c r="Y7" s="1264"/>
      <c r="Z7" s="1264"/>
      <c r="AA7" s="1264"/>
      <c r="AB7" s="1264"/>
      <c r="AC7" s="1264"/>
    </row>
    <row r="8" spans="1:29">
      <c r="A8" s="1269"/>
      <c r="B8" s="1403">
        <f>MFrame!$B$8</f>
        <v>0.25</v>
      </c>
      <c r="C8" s="1531" t="s">
        <v>1036</v>
      </c>
      <c r="D8" s="1532" t="s">
        <v>1036</v>
      </c>
      <c r="E8" s="1532" t="s">
        <v>3856</v>
      </c>
      <c r="F8" s="1532" t="s">
        <v>3856</v>
      </c>
      <c r="G8" s="1532" t="s">
        <v>1037</v>
      </c>
      <c r="H8" s="1532" t="s">
        <v>1037</v>
      </c>
      <c r="I8" s="1532" t="s">
        <v>1038</v>
      </c>
      <c r="J8" s="1532" t="s">
        <v>1039</v>
      </c>
      <c r="K8" s="1532" t="s">
        <v>1040</v>
      </c>
      <c r="L8" s="1533" t="s">
        <v>1040</v>
      </c>
      <c r="M8" s="1264"/>
      <c r="N8" s="1264"/>
      <c r="O8" s="1264"/>
      <c r="P8" s="1264"/>
      <c r="Q8" s="1248"/>
      <c r="R8" s="1264"/>
      <c r="S8" s="1264"/>
      <c r="T8" s="1264"/>
      <c r="U8" s="1264"/>
      <c r="V8" s="1264"/>
      <c r="W8" s="1264"/>
      <c r="X8" s="1264"/>
      <c r="Y8" s="1264"/>
      <c r="Z8" s="1264"/>
      <c r="AA8" s="1264"/>
      <c r="AB8" s="1264"/>
      <c r="AC8" s="1264"/>
    </row>
    <row r="9" spans="1:29">
      <c r="A9" s="1269"/>
      <c r="B9" s="1403">
        <f>MFrame!$B$9</f>
        <v>0.375</v>
      </c>
      <c r="C9" s="1531" t="s">
        <v>1036</v>
      </c>
      <c r="D9" s="1532" t="s">
        <v>3856</v>
      </c>
      <c r="E9" s="1532" t="s">
        <v>3856</v>
      </c>
      <c r="F9" s="1532" t="s">
        <v>1037</v>
      </c>
      <c r="G9" s="1532" t="s">
        <v>1037</v>
      </c>
      <c r="H9" s="1532" t="s">
        <v>1038</v>
      </c>
      <c r="I9" s="1532" t="s">
        <v>1038</v>
      </c>
      <c r="J9" s="1532" t="s">
        <v>1039</v>
      </c>
      <c r="K9" s="1532" t="s">
        <v>1040</v>
      </c>
      <c r="L9" s="1533" t="s">
        <v>1041</v>
      </c>
      <c r="M9" s="1264"/>
      <c r="N9" s="1264"/>
      <c r="O9" s="1264"/>
      <c r="P9" s="1264"/>
      <c r="Q9" s="1248"/>
      <c r="R9" s="1264"/>
      <c r="S9" s="1264"/>
      <c r="T9" s="1264"/>
      <c r="U9" s="1264"/>
      <c r="V9" s="1264"/>
      <c r="W9" s="1264"/>
      <c r="X9" s="1264"/>
      <c r="Y9" s="1264"/>
      <c r="Z9" s="1264"/>
      <c r="AA9" s="1264"/>
      <c r="AB9" s="1264"/>
      <c r="AC9" s="1264"/>
    </row>
    <row r="10" spans="1:29">
      <c r="A10" s="1264"/>
      <c r="B10" s="1403">
        <f>MFrame!$B$10</f>
        <v>0.5</v>
      </c>
      <c r="C10" s="1531" t="s">
        <v>3856</v>
      </c>
      <c r="D10" s="1532" t="s">
        <v>3856</v>
      </c>
      <c r="E10" s="1532" t="s">
        <v>1037</v>
      </c>
      <c r="F10" s="1532" t="s">
        <v>1037</v>
      </c>
      <c r="G10" s="1532" t="s">
        <v>1038</v>
      </c>
      <c r="H10" s="1532" t="s">
        <v>1038</v>
      </c>
      <c r="I10" s="1532" t="s">
        <v>1039</v>
      </c>
      <c r="J10" s="1532" t="s">
        <v>1040</v>
      </c>
      <c r="K10" s="1532" t="s">
        <v>1041</v>
      </c>
      <c r="L10" s="1533" t="s">
        <v>1042</v>
      </c>
      <c r="M10" s="1264"/>
      <c r="N10" s="1264"/>
      <c r="O10" s="1264"/>
      <c r="P10" s="1264"/>
      <c r="Q10" s="1248"/>
      <c r="R10" s="1264"/>
      <c r="S10" s="1264"/>
      <c r="T10" s="1264"/>
      <c r="U10" s="1264"/>
      <c r="V10" s="1264"/>
      <c r="W10" s="1264"/>
      <c r="X10" s="1264"/>
      <c r="Y10" s="1264"/>
      <c r="Z10" s="1264"/>
      <c r="AA10" s="1264"/>
      <c r="AB10" s="1264"/>
      <c r="AC10" s="1264"/>
    </row>
    <row r="11" spans="1:29">
      <c r="A11" s="1264"/>
      <c r="B11" s="1403">
        <f>MFrame!$B$11</f>
        <v>1</v>
      </c>
      <c r="C11" s="1531" t="s">
        <v>1037</v>
      </c>
      <c r="D11" s="1532" t="s">
        <v>1037</v>
      </c>
      <c r="E11" s="1532" t="s">
        <v>1038</v>
      </c>
      <c r="F11" s="1532" t="s">
        <v>1038</v>
      </c>
      <c r="G11" s="1532" t="s">
        <v>1039</v>
      </c>
      <c r="H11" s="1532" t="s">
        <v>1040</v>
      </c>
      <c r="I11" s="1532" t="s">
        <v>1040</v>
      </c>
      <c r="J11" s="1534" t="s">
        <v>1041</v>
      </c>
      <c r="K11" s="1532" t="s">
        <v>1042</v>
      </c>
      <c r="L11" s="1533" t="s">
        <v>1043</v>
      </c>
      <c r="M11" s="1264"/>
      <c r="N11" s="1264"/>
      <c r="O11" s="1264"/>
      <c r="P11" s="1264"/>
      <c r="Q11" s="1248"/>
      <c r="R11" s="1264"/>
      <c r="S11" s="1264"/>
      <c r="T11" s="1264"/>
      <c r="U11" s="1264"/>
      <c r="V11" s="1264"/>
      <c r="W11" s="1264"/>
      <c r="X11" s="1264"/>
      <c r="Y11" s="1264"/>
      <c r="Z11" s="1264"/>
      <c r="AA11" s="1264"/>
      <c r="AB11" s="1264"/>
      <c r="AC11" s="1264"/>
    </row>
    <row r="12" spans="1:29">
      <c r="A12" s="1264"/>
      <c r="B12" s="1403">
        <f>MFrame!$B$12</f>
        <v>1.5</v>
      </c>
      <c r="C12" s="1531" t="s">
        <v>1037</v>
      </c>
      <c r="D12" s="1532" t="s">
        <v>1037</v>
      </c>
      <c r="E12" s="1532" t="s">
        <v>1038</v>
      </c>
      <c r="F12" s="1532" t="s">
        <v>1039</v>
      </c>
      <c r="G12" s="1532" t="s">
        <v>1040</v>
      </c>
      <c r="H12" s="1532" t="s">
        <v>1040</v>
      </c>
      <c r="I12" s="1532" t="s">
        <v>1041</v>
      </c>
      <c r="J12" s="1534" t="s">
        <v>1043</v>
      </c>
      <c r="K12" s="1532" t="s">
        <v>1044</v>
      </c>
      <c r="L12" s="1533" t="s">
        <v>1044</v>
      </c>
      <c r="M12" s="1264"/>
      <c r="N12" s="1264"/>
      <c r="O12" s="1264"/>
      <c r="P12" s="1264"/>
      <c r="Q12" s="1248"/>
      <c r="R12" s="1264"/>
      <c r="S12" s="1264"/>
      <c r="T12" s="1264"/>
      <c r="U12" s="1264"/>
      <c r="V12" s="1264"/>
      <c r="W12" s="1264"/>
      <c r="X12" s="1264"/>
      <c r="Y12" s="1264"/>
      <c r="Z12" s="1264"/>
      <c r="AA12" s="1264"/>
      <c r="AB12" s="1264"/>
      <c r="AC12" s="1264"/>
    </row>
    <row r="13" spans="1:29">
      <c r="A13" s="1264"/>
      <c r="B13" s="1403">
        <f>MFrame!$B$13</f>
        <v>2</v>
      </c>
      <c r="C13" s="1532" t="s">
        <v>1037</v>
      </c>
      <c r="D13" s="1532" t="s">
        <v>1038</v>
      </c>
      <c r="E13" s="1532" t="s">
        <v>1039</v>
      </c>
      <c r="F13" s="1532" t="s">
        <v>1040</v>
      </c>
      <c r="G13" s="1532" t="s">
        <v>1041</v>
      </c>
      <c r="H13" s="1532" t="s">
        <v>1042</v>
      </c>
      <c r="I13" s="1535" t="s">
        <v>1043</v>
      </c>
      <c r="J13" s="1534" t="s">
        <v>1044</v>
      </c>
      <c r="K13" s="1532" t="s">
        <v>1044</v>
      </c>
      <c r="L13" s="1761" t="s">
        <v>3453</v>
      </c>
      <c r="M13" s="1264"/>
      <c r="N13" s="1264"/>
      <c r="O13" s="1264"/>
      <c r="P13" s="1264"/>
      <c r="Q13" s="1248"/>
      <c r="R13" s="1264"/>
      <c r="S13" s="1264"/>
      <c r="T13" s="1264"/>
      <c r="U13" s="1264"/>
      <c r="V13" s="1264"/>
      <c r="W13" s="1264"/>
      <c r="X13" s="1264"/>
      <c r="Y13" s="1264"/>
      <c r="Z13" s="1264"/>
      <c r="AA13" s="1264"/>
      <c r="AB13" s="1264"/>
      <c r="AC13" s="1264"/>
    </row>
    <row r="14" spans="1:29">
      <c r="A14" s="1264"/>
      <c r="B14" s="1403">
        <f>MFrame!$B$14</f>
        <v>2.5</v>
      </c>
      <c r="C14" s="1531" t="s">
        <v>1038</v>
      </c>
      <c r="D14" s="1532" t="s">
        <v>1039</v>
      </c>
      <c r="E14" s="1532" t="s">
        <v>1040</v>
      </c>
      <c r="F14" s="1532" t="s">
        <v>1041</v>
      </c>
      <c r="G14" s="1532" t="s">
        <v>1042</v>
      </c>
      <c r="H14" s="1532" t="s">
        <v>1043</v>
      </c>
      <c r="I14" s="1532" t="s">
        <v>1044</v>
      </c>
      <c r="J14" s="1532" t="s">
        <v>1044</v>
      </c>
      <c r="K14" s="1762" t="s">
        <v>3453</v>
      </c>
      <c r="L14" s="1761" t="s">
        <v>3453</v>
      </c>
      <c r="M14" s="1264"/>
      <c r="N14" s="1264"/>
      <c r="O14" s="1264"/>
      <c r="P14" s="1264"/>
      <c r="Q14" s="1248"/>
      <c r="R14" s="1264"/>
      <c r="S14" s="1264"/>
      <c r="T14" s="1264"/>
      <c r="U14" s="1264"/>
      <c r="V14" s="1264"/>
      <c r="W14" s="1264"/>
      <c r="X14" s="1264"/>
      <c r="Y14" s="1264"/>
      <c r="Z14" s="1264"/>
      <c r="AA14" s="1264"/>
      <c r="AB14" s="1264"/>
      <c r="AC14" s="1264"/>
    </row>
    <row r="15" spans="1:29">
      <c r="A15" s="1264"/>
      <c r="B15" s="1403">
        <f>MFrame!$B$15</f>
        <v>3</v>
      </c>
      <c r="C15" s="1531" t="s">
        <v>1039</v>
      </c>
      <c r="D15" s="1532" t="s">
        <v>1040</v>
      </c>
      <c r="E15" s="1532" t="s">
        <v>1041</v>
      </c>
      <c r="F15" s="1532" t="s">
        <v>1042</v>
      </c>
      <c r="G15" s="1532" t="s">
        <v>1043</v>
      </c>
      <c r="H15" s="1532" t="s">
        <v>1043</v>
      </c>
      <c r="I15" s="1532" t="s">
        <v>1044</v>
      </c>
      <c r="J15" s="1762" t="s">
        <v>3453</v>
      </c>
      <c r="K15" s="1762" t="s">
        <v>3453</v>
      </c>
      <c r="L15" s="1761" t="s">
        <v>3453</v>
      </c>
      <c r="M15" s="1264"/>
      <c r="N15" s="1264"/>
      <c r="O15" s="1264"/>
      <c r="P15" s="1264"/>
      <c r="Q15" s="1248"/>
      <c r="R15" s="1264"/>
      <c r="S15" s="1264"/>
      <c r="T15" s="1264"/>
      <c r="U15" s="1264"/>
      <c r="V15" s="1264"/>
      <c r="W15" s="1264"/>
      <c r="X15" s="1264"/>
      <c r="Y15" s="1264"/>
      <c r="Z15" s="1264"/>
      <c r="AA15" s="1264"/>
      <c r="AB15" s="1264"/>
      <c r="AC15" s="1264"/>
    </row>
    <row r="16" spans="1:29">
      <c r="A16" s="1264"/>
      <c r="B16" s="1403">
        <f>MFrame!$B$16</f>
        <v>4</v>
      </c>
      <c r="C16" s="1531" t="s">
        <v>1040</v>
      </c>
      <c r="D16" s="1532" t="s">
        <v>1041</v>
      </c>
      <c r="E16" s="1532" t="s">
        <v>1042</v>
      </c>
      <c r="F16" s="1532" t="s">
        <v>1043</v>
      </c>
      <c r="G16" s="1532" t="s">
        <v>1044</v>
      </c>
      <c r="H16" s="1532" t="s">
        <v>1044</v>
      </c>
      <c r="I16" s="1762" t="s">
        <v>3453</v>
      </c>
      <c r="J16" s="1762" t="s">
        <v>3453</v>
      </c>
      <c r="K16" s="1762" t="s">
        <v>3453</v>
      </c>
      <c r="L16" s="1761" t="s">
        <v>3453</v>
      </c>
      <c r="M16" s="1264"/>
      <c r="N16" s="1264"/>
      <c r="O16" s="1264"/>
      <c r="P16" s="1264"/>
      <c r="Q16" s="1248"/>
      <c r="R16" s="1264"/>
      <c r="S16" s="1264"/>
      <c r="T16" s="1264"/>
      <c r="U16" s="1264"/>
      <c r="V16" s="1264"/>
      <c r="W16" s="1264"/>
      <c r="X16" s="1264"/>
      <c r="Y16" s="1264"/>
      <c r="Z16" s="1264"/>
      <c r="AA16" s="1264"/>
      <c r="AB16" s="1264"/>
      <c r="AC16" s="1264"/>
    </row>
    <row r="17" spans="1:29" ht="15.75" thickBot="1">
      <c r="A17" s="1264"/>
      <c r="B17" s="1403">
        <f>MFrame!$B$17</f>
        <v>5</v>
      </c>
      <c r="C17" s="1750" t="s">
        <v>3453</v>
      </c>
      <c r="D17" s="1751" t="s">
        <v>3453</v>
      </c>
      <c r="E17" s="1751" t="s">
        <v>3453</v>
      </c>
      <c r="F17" s="1751" t="s">
        <v>3453</v>
      </c>
      <c r="G17" s="1751" t="s">
        <v>3453</v>
      </c>
      <c r="H17" s="1751" t="s">
        <v>3453</v>
      </c>
      <c r="I17" s="1751" t="s">
        <v>3453</v>
      </c>
      <c r="J17" s="1751" t="s">
        <v>3453</v>
      </c>
      <c r="K17" s="1751" t="s">
        <v>3453</v>
      </c>
      <c r="L17" s="1752" t="s">
        <v>3453</v>
      </c>
      <c r="M17" s="1264"/>
      <c r="N17" s="1264"/>
      <c r="O17" s="1264"/>
      <c r="P17" s="1264"/>
      <c r="Q17" s="1248"/>
      <c r="R17" s="1264"/>
      <c r="S17" s="1264"/>
      <c r="T17" s="1264"/>
      <c r="U17" s="1264"/>
      <c r="V17" s="1264"/>
      <c r="W17" s="1264"/>
      <c r="X17" s="1264"/>
      <c r="Y17" s="1264"/>
      <c r="Z17" s="1264"/>
      <c r="AA17" s="1264"/>
      <c r="AB17" s="1264"/>
      <c r="AC17" s="1264"/>
    </row>
    <row r="18" spans="1:29">
      <c r="A18" s="1264"/>
      <c r="B18" s="1248"/>
      <c r="C18" s="1264"/>
      <c r="D18" s="1264"/>
      <c r="E18" s="1264"/>
      <c r="F18" s="1264"/>
      <c r="G18" s="1264"/>
      <c r="H18" s="1264"/>
      <c r="I18" s="1264"/>
      <c r="J18" s="1264"/>
      <c r="K18" s="1264"/>
      <c r="L18" s="1264"/>
      <c r="M18" s="1264"/>
      <c r="N18" s="1264"/>
      <c r="O18" s="1264"/>
      <c r="P18" s="1264"/>
      <c r="Q18" s="1248"/>
      <c r="R18" s="1264"/>
      <c r="S18" s="1264"/>
      <c r="T18" s="1264"/>
      <c r="U18" s="1264"/>
      <c r="V18" s="1264"/>
      <c r="W18" s="1264"/>
      <c r="X18" s="1264"/>
      <c r="Y18" s="1264"/>
      <c r="Z18" s="1264"/>
      <c r="AA18" s="1264"/>
      <c r="AB18" s="1264"/>
      <c r="AC18" s="1264"/>
    </row>
    <row r="19" spans="1:29" ht="15.75" thickBot="1">
      <c r="A19" s="1264" t="s">
        <v>1055</v>
      </c>
      <c r="B19" s="1402"/>
      <c r="C19" s="1400">
        <f>$C$1</f>
        <v>750</v>
      </c>
      <c r="D19" s="1400">
        <f>$D$1</f>
        <v>900</v>
      </c>
      <c r="E19" s="1400">
        <f>$E$1</f>
        <v>1000</v>
      </c>
      <c r="F19" s="1400">
        <f>$F$1</f>
        <v>1200</v>
      </c>
      <c r="G19" s="1400">
        <f>$G$1</f>
        <v>1350</v>
      </c>
      <c r="H19" s="1400">
        <f>$H$1</f>
        <v>1500</v>
      </c>
      <c r="I19" s="1400">
        <f>$I$1</f>
        <v>1800</v>
      </c>
      <c r="J19" s="1400">
        <f>$J$1</f>
        <v>2400</v>
      </c>
      <c r="K19" s="1400">
        <f>$K$1</f>
        <v>3000</v>
      </c>
      <c r="L19" s="1400">
        <f>$L$1</f>
        <v>3600</v>
      </c>
      <c r="M19" s="1264" t="s">
        <v>227</v>
      </c>
      <c r="N19" s="1264"/>
      <c r="AC19" s="1264"/>
    </row>
    <row r="20" spans="1:29" ht="15.75" thickBot="1">
      <c r="A20" s="1265" t="s">
        <v>1261</v>
      </c>
      <c r="B20" s="1402">
        <f>$B$2</f>
        <v>0</v>
      </c>
      <c r="C20" s="1271" t="e">
        <f ca="1">MFrame!C20</f>
        <v>#REF!</v>
      </c>
      <c r="D20" s="1272" t="e">
        <f ca="1">MFrame!D20</f>
        <v>#REF!</v>
      </c>
      <c r="E20" s="1272" t="e">
        <f ca="1">MFrame!E20</f>
        <v>#REF!</v>
      </c>
      <c r="F20" s="1272" t="e">
        <f ca="1">MFrame!F20</f>
        <v>#REF!</v>
      </c>
      <c r="G20" s="1272" t="e">
        <f ca="1">MFrame!G20</f>
        <v>#REF!</v>
      </c>
      <c r="H20" s="1272" t="e">
        <f ca="1">MFrame!H20</f>
        <v>#REF!</v>
      </c>
      <c r="I20" s="1272" t="e">
        <f ca="1">MFrame!I20</f>
        <v>#REF!</v>
      </c>
      <c r="J20" s="1272" t="e">
        <f ca="1">MFrame!J20</f>
        <v>#REF!</v>
      </c>
      <c r="K20" s="1272" t="e">
        <f ca="1">MFrame!K20</f>
        <v>#REF!</v>
      </c>
      <c r="L20" s="1273" t="e">
        <f ca="1">MFrame!L20</f>
        <v>#REF!</v>
      </c>
      <c r="M20" s="1264" t="s">
        <v>3286</v>
      </c>
      <c r="N20" s="1504" t="e">
        <f ca="1">INDEX(BSP,sysJ2_index,RPM_index)</f>
        <v>#REF!</v>
      </c>
      <c r="AC20" s="1264"/>
    </row>
    <row r="21" spans="1:29">
      <c r="A21" s="3981">
        <f>MFrame!A21</f>
        <v>0</v>
      </c>
      <c r="B21" s="1402">
        <f>$B$3</f>
        <v>0.1</v>
      </c>
      <c r="C21" s="1509" t="str">
        <f>MFrame!C21</f>
        <v>P5</v>
      </c>
      <c r="D21" s="1510" t="str">
        <f>MFrame!D21</f>
        <v>P5</v>
      </c>
      <c r="E21" s="1510" t="str">
        <f>MFrame!E21</f>
        <v>P5</v>
      </c>
      <c r="F21" s="1510" t="str">
        <f>MFrame!F21</f>
        <v>P5</v>
      </c>
      <c r="G21" s="1510" t="str">
        <f>MFrame!G21</f>
        <v>P5</v>
      </c>
      <c r="H21" s="1510" t="str">
        <f>MFrame!H21</f>
        <v>P5</v>
      </c>
      <c r="I21" s="1510" t="str">
        <f>MFrame!I21</f>
        <v>P5</v>
      </c>
      <c r="J21" s="1510" t="str">
        <f>MFrame!J21</f>
        <v>P6</v>
      </c>
      <c r="K21" s="1510" t="str">
        <f>MFrame!K21</f>
        <v>P6</v>
      </c>
      <c r="L21" s="1511" t="str">
        <f>MFrame!L21</f>
        <v>P6</v>
      </c>
      <c r="M21" s="1264"/>
      <c r="N21" s="1264"/>
      <c r="AC21" s="1264"/>
    </row>
    <row r="22" spans="1:29" ht="15.75" thickBot="1">
      <c r="A22" s="3982"/>
      <c r="B22" s="1402">
        <f>$B$4</f>
        <v>0.125</v>
      </c>
      <c r="C22" s="1509" t="str">
        <f>MFrame!C22</f>
        <v>P5</v>
      </c>
      <c r="D22" s="1510" t="str">
        <f>MFrame!D22</f>
        <v>P5</v>
      </c>
      <c r="E22" s="1510" t="str">
        <f>MFrame!E22</f>
        <v>P5</v>
      </c>
      <c r="F22" s="1510" t="str">
        <f>MFrame!F22</f>
        <v>P5</v>
      </c>
      <c r="G22" s="1510" t="str">
        <f>MFrame!G22</f>
        <v>P5</v>
      </c>
      <c r="H22" s="1510" t="str">
        <f>MFrame!H22</f>
        <v>P5</v>
      </c>
      <c r="I22" s="1510" t="str">
        <f>MFrame!I22</f>
        <v>P6</v>
      </c>
      <c r="J22" s="1510" t="str">
        <f>MFrame!J22</f>
        <v>P6</v>
      </c>
      <c r="K22" s="1510" t="str">
        <f>MFrame!K22</f>
        <v>P6</v>
      </c>
      <c r="L22" s="1511" t="str">
        <f>MFrame!L22</f>
        <v>P8</v>
      </c>
      <c r="M22" s="1264"/>
      <c r="N22" s="1264"/>
      <c r="AC22" s="1264"/>
    </row>
    <row r="23" spans="1:29">
      <c r="A23" s="1264"/>
      <c r="B23" s="1402">
        <f>$B$5</f>
        <v>0.15</v>
      </c>
      <c r="C23" s="1509" t="str">
        <f>MFrame!C23</f>
        <v>P5</v>
      </c>
      <c r="D23" s="1510" t="str">
        <f>MFrame!D23</f>
        <v>P5</v>
      </c>
      <c r="E23" s="1510" t="str">
        <f>MFrame!E23</f>
        <v>P5</v>
      </c>
      <c r="F23" s="1510" t="str">
        <f>MFrame!F23</f>
        <v>P5</v>
      </c>
      <c r="G23" s="1510" t="str">
        <f>MFrame!G23</f>
        <v>P5</v>
      </c>
      <c r="H23" s="1510" t="str">
        <f>MFrame!H23</f>
        <v>P6</v>
      </c>
      <c r="I23" s="1510" t="str">
        <f>MFrame!I23</f>
        <v>P6</v>
      </c>
      <c r="J23" s="1510" t="str">
        <f>MFrame!J23</f>
        <v>P6</v>
      </c>
      <c r="K23" s="1510" t="str">
        <f>MFrame!K23</f>
        <v>P8</v>
      </c>
      <c r="L23" s="1511" t="str">
        <f>MFrame!L23</f>
        <v>P8</v>
      </c>
      <c r="M23" s="1264"/>
      <c r="N23" s="1264"/>
      <c r="AC23" s="1264"/>
    </row>
    <row r="24" spans="1:29">
      <c r="A24" s="1264"/>
      <c r="B24" s="1402">
        <f>$B$6</f>
        <v>0.17499999999999999</v>
      </c>
      <c r="C24" s="1509" t="str">
        <f>MFrame!C24</f>
        <v>P5</v>
      </c>
      <c r="D24" s="1510" t="str">
        <f>MFrame!D24</f>
        <v>P5</v>
      </c>
      <c r="E24" s="1510" t="str">
        <f>MFrame!E24</f>
        <v>P5</v>
      </c>
      <c r="F24" s="1510" t="str">
        <f>MFrame!F24</f>
        <v>P5</v>
      </c>
      <c r="G24" s="1510" t="str">
        <f>MFrame!G24</f>
        <v>P5</v>
      </c>
      <c r="H24" s="1510" t="str">
        <f>MFrame!H24</f>
        <v>P6</v>
      </c>
      <c r="I24" s="1510" t="str">
        <f>MFrame!I24</f>
        <v>P6</v>
      </c>
      <c r="J24" s="1510" t="str">
        <f>MFrame!J24</f>
        <v>P6</v>
      </c>
      <c r="K24" s="1510" t="str">
        <f>MFrame!K24</f>
        <v>P8</v>
      </c>
      <c r="L24" s="1511" t="str">
        <f>MFrame!L24</f>
        <v>P8</v>
      </c>
      <c r="M24" s="1264"/>
      <c r="N24" s="1264"/>
      <c r="AC24" s="1264"/>
    </row>
    <row r="25" spans="1:29">
      <c r="A25" s="1264"/>
      <c r="B25" s="1402">
        <f>$B$7</f>
        <v>0.2</v>
      </c>
      <c r="C25" s="1509" t="str">
        <f>MFrame!C25</f>
        <v>P5</v>
      </c>
      <c r="D25" s="1510" t="str">
        <f>MFrame!D25</f>
        <v>P5</v>
      </c>
      <c r="E25" s="1510" t="str">
        <f>MFrame!E25</f>
        <v>P5</v>
      </c>
      <c r="F25" s="1510" t="str">
        <f>MFrame!F25</f>
        <v>P5</v>
      </c>
      <c r="G25" s="1510" t="str">
        <f>MFrame!G25</f>
        <v>P6</v>
      </c>
      <c r="H25" s="1510" t="str">
        <f>MFrame!H25</f>
        <v>P6</v>
      </c>
      <c r="I25" s="1510" t="str">
        <f>MFrame!I25</f>
        <v>P6</v>
      </c>
      <c r="J25" s="1510" t="str">
        <f>MFrame!J25</f>
        <v>P6</v>
      </c>
      <c r="K25" s="1510" t="str">
        <f>MFrame!K25</f>
        <v>P8</v>
      </c>
      <c r="L25" s="1511" t="str">
        <f>MFrame!L25</f>
        <v>P8</v>
      </c>
      <c r="M25" s="1264"/>
      <c r="N25" s="1264"/>
      <c r="AC25" s="1264"/>
    </row>
    <row r="26" spans="1:29">
      <c r="A26" s="1264"/>
      <c r="B26" s="1402">
        <f>$B$8</f>
        <v>0.25</v>
      </c>
      <c r="C26" s="1509" t="str">
        <f>MFrame!C26</f>
        <v>P5</v>
      </c>
      <c r="D26" s="1510" t="str">
        <f>MFrame!D26</f>
        <v>P5</v>
      </c>
      <c r="E26" s="1510" t="str">
        <f>MFrame!E26</f>
        <v>P5</v>
      </c>
      <c r="F26" s="1510" t="str">
        <f>MFrame!F26</f>
        <v>P5</v>
      </c>
      <c r="G26" s="1510" t="str">
        <f>MFrame!G26</f>
        <v>P6</v>
      </c>
      <c r="H26" s="1510" t="str">
        <f>MFrame!H26</f>
        <v>P6</v>
      </c>
      <c r="I26" s="1510" t="str">
        <f>MFrame!I26</f>
        <v>P6</v>
      </c>
      <c r="J26" s="1510" t="str">
        <f>MFrame!J26</f>
        <v>P6</v>
      </c>
      <c r="K26" s="1510" t="str">
        <f>MFrame!K26</f>
        <v>P8</v>
      </c>
      <c r="L26" s="1511" t="str">
        <f>MFrame!L26</f>
        <v>P8</v>
      </c>
      <c r="M26" s="1264"/>
      <c r="N26" s="1264"/>
      <c r="AC26" s="1264"/>
    </row>
    <row r="27" spans="1:29">
      <c r="A27" s="1264"/>
      <c r="B27" s="1402">
        <f>$B$9</f>
        <v>0.375</v>
      </c>
      <c r="C27" s="1509" t="str">
        <f>MFrame!C27</f>
        <v>P5</v>
      </c>
      <c r="D27" s="1510" t="str">
        <f>MFrame!D27</f>
        <v>P5</v>
      </c>
      <c r="E27" s="1510" t="str">
        <f>MFrame!E27</f>
        <v>P5</v>
      </c>
      <c r="F27" s="1510" t="str">
        <f>MFrame!F27</f>
        <v>P5</v>
      </c>
      <c r="G27" s="1510" t="str">
        <f>MFrame!G27</f>
        <v>P6</v>
      </c>
      <c r="H27" s="1510" t="str">
        <f>MFrame!H27</f>
        <v>P6</v>
      </c>
      <c r="I27" s="1510" t="str">
        <f>MFrame!I27</f>
        <v>P6</v>
      </c>
      <c r="J27" s="1510" t="str">
        <f>MFrame!J27</f>
        <v>P6</v>
      </c>
      <c r="K27" s="1510" t="str">
        <f>MFrame!K27</f>
        <v>P8</v>
      </c>
      <c r="L27" s="1511" t="str">
        <f>MFrame!L27</f>
        <v>P8</v>
      </c>
      <c r="M27" s="1264"/>
      <c r="N27" s="1264"/>
      <c r="AC27" s="1264"/>
    </row>
    <row r="28" spans="1:29">
      <c r="A28" s="1264"/>
      <c r="B28" s="1402">
        <f>$B$10</f>
        <v>0.5</v>
      </c>
      <c r="C28" s="1509" t="str">
        <f>MFrame!C28</f>
        <v>P5</v>
      </c>
      <c r="D28" s="1510" t="str">
        <f>MFrame!D28</f>
        <v>P5</v>
      </c>
      <c r="E28" s="1510" t="str">
        <f>MFrame!E28</f>
        <v>P5</v>
      </c>
      <c r="F28" s="1510" t="str">
        <f>MFrame!F28</f>
        <v>P6</v>
      </c>
      <c r="G28" s="1510" t="str">
        <f>MFrame!G28</f>
        <v>P6</v>
      </c>
      <c r="H28" s="1510" t="str">
        <f>MFrame!H28</f>
        <v>P6</v>
      </c>
      <c r="I28" s="1510" t="str">
        <f>MFrame!I28</f>
        <v>P8</v>
      </c>
      <c r="J28" s="1510" t="str">
        <f>MFrame!J28</f>
        <v>P8</v>
      </c>
      <c r="K28" s="1510" t="str">
        <f>MFrame!K28</f>
        <v>P10</v>
      </c>
      <c r="L28" s="1511" t="str">
        <f>MFrame!L28</f>
        <v>P10</v>
      </c>
      <c r="M28" s="1264"/>
      <c r="N28" s="1264"/>
      <c r="AC28" s="1264"/>
    </row>
    <row r="29" spans="1:29">
      <c r="A29" s="1264"/>
      <c r="B29" s="1402">
        <f>$B$11</f>
        <v>1</v>
      </c>
      <c r="C29" s="1509" t="str">
        <f>MFrame!C29</f>
        <v>P5</v>
      </c>
      <c r="D29" s="1510" t="str">
        <f>MFrame!D29</f>
        <v>P5</v>
      </c>
      <c r="E29" s="1510" t="str">
        <f>MFrame!E29</f>
        <v>P5</v>
      </c>
      <c r="F29" s="1510" t="str">
        <f>MFrame!F29</f>
        <v>P6</v>
      </c>
      <c r="G29" s="1510" t="str">
        <f>MFrame!G29</f>
        <v>P6</v>
      </c>
      <c r="H29" s="1510" t="str">
        <f>MFrame!H29</f>
        <v>P6</v>
      </c>
      <c r="I29" s="1510" t="str">
        <f>MFrame!I29</f>
        <v>P8</v>
      </c>
      <c r="J29" s="1510" t="str">
        <f>MFrame!J29</f>
        <v>P8</v>
      </c>
      <c r="K29" s="1510" t="str">
        <f>MFrame!K29</f>
        <v>P10</v>
      </c>
      <c r="L29" s="1511" t="str">
        <f>MFrame!L29</f>
        <v>P10</v>
      </c>
      <c r="M29" s="1264"/>
      <c r="N29" s="1264"/>
      <c r="AC29" s="1264"/>
    </row>
    <row r="30" spans="1:29">
      <c r="A30" s="1264"/>
      <c r="B30" s="1402">
        <f>$B$12</f>
        <v>1.5</v>
      </c>
      <c r="C30" s="1509" t="str">
        <f>MFrame!C30</f>
        <v>P5</v>
      </c>
      <c r="D30" s="1510" t="str">
        <f>MFrame!D30</f>
        <v>P5</v>
      </c>
      <c r="E30" s="1510" t="str">
        <f>MFrame!E30</f>
        <v>P6</v>
      </c>
      <c r="F30" s="1510" t="str">
        <f>MFrame!F30</f>
        <v>P6</v>
      </c>
      <c r="G30" s="1510" t="str">
        <f>MFrame!G30</f>
        <v>P6</v>
      </c>
      <c r="H30" s="1510" t="str">
        <f>MFrame!H30</f>
        <v>P8</v>
      </c>
      <c r="I30" s="1510" t="str">
        <f>MFrame!I30</f>
        <v>P8</v>
      </c>
      <c r="J30" s="1510" t="str">
        <f>MFrame!J30</f>
        <v>P10</v>
      </c>
      <c r="K30" s="1510" t="str">
        <f>MFrame!K30</f>
        <v>P10</v>
      </c>
      <c r="L30" s="1511" t="str">
        <f>MFrame!L30</f>
        <v>P10</v>
      </c>
      <c r="M30" s="1264"/>
      <c r="N30" s="1264"/>
      <c r="AC30" s="1264"/>
    </row>
    <row r="31" spans="1:29">
      <c r="A31" s="1264"/>
      <c r="B31" s="1402">
        <f>$B$13</f>
        <v>2</v>
      </c>
      <c r="C31" s="1509" t="str">
        <f>MFrame!C31</f>
        <v>P5</v>
      </c>
      <c r="D31" s="1510" t="str">
        <f>MFrame!D31</f>
        <v>P6</v>
      </c>
      <c r="E31" s="1510" t="str">
        <f>MFrame!E31</f>
        <v>P6</v>
      </c>
      <c r="F31" s="1510" t="str">
        <f>MFrame!F31</f>
        <v>P6</v>
      </c>
      <c r="G31" s="1510" t="str">
        <f>MFrame!G31</f>
        <v>P8</v>
      </c>
      <c r="H31" s="1510" t="str">
        <f>MFrame!H31</f>
        <v>P8</v>
      </c>
      <c r="I31" s="1510" t="str">
        <f>MFrame!I31</f>
        <v>P8</v>
      </c>
      <c r="J31" s="1510" t="str">
        <f>MFrame!J31</f>
        <v>P10</v>
      </c>
      <c r="K31" s="1510" t="str">
        <f>MFrame!K31</f>
        <v>P10</v>
      </c>
      <c r="L31" s="1763" t="str">
        <f>MFrame!L31</f>
        <v>PX</v>
      </c>
      <c r="M31" s="1264"/>
      <c r="N31" s="1264"/>
      <c r="AC31" s="1264"/>
    </row>
    <row r="32" spans="1:29">
      <c r="A32" s="1264"/>
      <c r="B32" s="1402">
        <f>$B$14</f>
        <v>2.5</v>
      </c>
      <c r="C32" s="1509" t="str">
        <f>MFrame!C32</f>
        <v>P6</v>
      </c>
      <c r="D32" s="1510" t="str">
        <f>MFrame!D32</f>
        <v>P6</v>
      </c>
      <c r="E32" s="1510" t="str">
        <f>MFrame!E32</f>
        <v>P6</v>
      </c>
      <c r="F32" s="1510" t="str">
        <f>MFrame!F32</f>
        <v>P8</v>
      </c>
      <c r="G32" s="1510" t="str">
        <f>MFrame!G32</f>
        <v>P8</v>
      </c>
      <c r="H32" s="1510" t="str">
        <f>MFrame!H32</f>
        <v>P8</v>
      </c>
      <c r="I32" s="1510" t="str">
        <f>MFrame!I32</f>
        <v>P10</v>
      </c>
      <c r="J32" s="1510" t="str">
        <f>MFrame!J32</f>
        <v>P10</v>
      </c>
      <c r="K32" s="1764" t="str">
        <f>MFrame!K32</f>
        <v>PX</v>
      </c>
      <c r="L32" s="1763" t="str">
        <f>MFrame!L32</f>
        <v>PX</v>
      </c>
      <c r="M32" s="1264"/>
      <c r="N32" s="1264"/>
      <c r="AC32" s="1264"/>
    </row>
    <row r="33" spans="1:29">
      <c r="A33" s="1264"/>
      <c r="B33" s="1402">
        <f>$B$15</f>
        <v>3</v>
      </c>
      <c r="C33" s="1509" t="str">
        <f>MFrame!C33</f>
        <v>P6</v>
      </c>
      <c r="D33" s="1510" t="str">
        <f>MFrame!D33</f>
        <v>P6</v>
      </c>
      <c r="E33" s="1510" t="str">
        <f>MFrame!E33</f>
        <v>P6</v>
      </c>
      <c r="F33" s="1510" t="str">
        <f>MFrame!F33</f>
        <v>P8</v>
      </c>
      <c r="G33" s="1510" t="str">
        <f>MFrame!G33</f>
        <v>P8</v>
      </c>
      <c r="H33" s="1510" t="str">
        <f>MFrame!H33</f>
        <v>P10</v>
      </c>
      <c r="I33" s="1510" t="str">
        <f>MFrame!I33</f>
        <v>P10</v>
      </c>
      <c r="J33" s="1764" t="str">
        <f>MFrame!J33</f>
        <v>PX</v>
      </c>
      <c r="K33" s="1764" t="str">
        <f>MFrame!K33</f>
        <v>PX</v>
      </c>
      <c r="L33" s="1763" t="str">
        <f>MFrame!L33</f>
        <v>PX</v>
      </c>
      <c r="M33" s="1264"/>
      <c r="N33" s="1264"/>
      <c r="AC33" s="1264"/>
    </row>
    <row r="34" spans="1:29">
      <c r="A34" s="1264"/>
      <c r="B34" s="1402">
        <f>$B$16</f>
        <v>4</v>
      </c>
      <c r="C34" s="1509" t="str">
        <f>MFrame!C34</f>
        <v>P8</v>
      </c>
      <c r="D34" s="1510" t="str">
        <f>MFrame!D34</f>
        <v>P8</v>
      </c>
      <c r="E34" s="1510" t="str">
        <f>MFrame!E34</f>
        <v>P10</v>
      </c>
      <c r="F34" s="1510" t="str">
        <f>MFrame!F34</f>
        <v>P10</v>
      </c>
      <c r="G34" s="1510" t="str">
        <f>MFrame!G34</f>
        <v>P10</v>
      </c>
      <c r="H34" s="1510" t="str">
        <f>MFrame!H34</f>
        <v>P10</v>
      </c>
      <c r="I34" s="1764" t="str">
        <f>MFrame!I34</f>
        <v>PX</v>
      </c>
      <c r="J34" s="1764" t="str">
        <f>MFrame!J34</f>
        <v>PX</v>
      </c>
      <c r="K34" s="1764" t="str">
        <f>MFrame!K34</f>
        <v>PX</v>
      </c>
      <c r="L34" s="1763" t="str">
        <f>MFrame!L34</f>
        <v>PX</v>
      </c>
      <c r="M34" s="1264"/>
      <c r="N34" s="1264"/>
      <c r="AC34" s="1264"/>
    </row>
    <row r="35" spans="1:29" ht="15.75" thickBot="1">
      <c r="A35" s="1264"/>
      <c r="B35" s="1402">
        <f>$B$17</f>
        <v>5</v>
      </c>
      <c r="C35" s="1756" t="str">
        <f>MFrame!C35</f>
        <v>PX</v>
      </c>
      <c r="D35" s="1757" t="str">
        <f>MFrame!D35</f>
        <v>PX</v>
      </c>
      <c r="E35" s="1757" t="str">
        <f>MFrame!E35</f>
        <v>PX</v>
      </c>
      <c r="F35" s="1757" t="str">
        <f>MFrame!F35</f>
        <v>PX</v>
      </c>
      <c r="G35" s="1757" t="str">
        <f>MFrame!G35</f>
        <v>PX</v>
      </c>
      <c r="H35" s="1757" t="str">
        <f>MFrame!H35</f>
        <v>PX</v>
      </c>
      <c r="I35" s="1757" t="str">
        <f>MFrame!I35</f>
        <v>PX</v>
      </c>
      <c r="J35" s="1757" t="str">
        <f>MFrame!J35</f>
        <v>PX</v>
      </c>
      <c r="K35" s="1757" t="str">
        <f>MFrame!K35</f>
        <v>PX</v>
      </c>
      <c r="L35" s="1758" t="str">
        <f>MFrame!L35</f>
        <v>PX</v>
      </c>
      <c r="M35" s="1264"/>
      <c r="N35" s="1264"/>
      <c r="AC35" s="1264"/>
    </row>
    <row r="36" spans="1:29">
      <c r="A36" s="1264"/>
      <c r="B36" s="1248"/>
      <c r="C36" s="1264"/>
      <c r="D36" s="1264"/>
      <c r="E36" s="1264"/>
      <c r="F36" s="1264"/>
      <c r="G36" s="1264"/>
      <c r="H36" s="1264"/>
      <c r="I36" s="1264"/>
      <c r="J36" s="1264"/>
      <c r="K36" s="1264"/>
      <c r="L36" s="1264"/>
      <c r="M36" s="1264"/>
      <c r="N36" s="1264"/>
      <c r="AC36" s="1264"/>
    </row>
    <row r="37" spans="1:29" ht="15.75" thickBot="1">
      <c r="A37" s="1264" t="s">
        <v>3287</v>
      </c>
      <c r="B37" s="1402"/>
      <c r="C37" s="1400">
        <f>$C$1</f>
        <v>750</v>
      </c>
      <c r="D37" s="1400">
        <f>$D$1</f>
        <v>900</v>
      </c>
      <c r="E37" s="1400">
        <f>$E$1</f>
        <v>1000</v>
      </c>
      <c r="F37" s="1400">
        <f>$F$1</f>
        <v>1200</v>
      </c>
      <c r="G37" s="1400">
        <f>$G$1</f>
        <v>1350</v>
      </c>
      <c r="H37" s="1400">
        <f>$H$1</f>
        <v>1500</v>
      </c>
      <c r="I37" s="1400">
        <f>$I$1</f>
        <v>1800</v>
      </c>
      <c r="J37" s="1400">
        <f>$J$1</f>
        <v>2400</v>
      </c>
      <c r="K37" s="1400">
        <f>$K$1</f>
        <v>3000</v>
      </c>
      <c r="L37" s="1400">
        <f>$L$1</f>
        <v>3600</v>
      </c>
      <c r="M37" s="1264" t="s">
        <v>227</v>
      </c>
      <c r="P37" s="1405"/>
      <c r="Q37" s="406"/>
    </row>
    <row r="38" spans="1:29" ht="15.75" thickBot="1">
      <c r="A38" s="1265" t="s">
        <v>1261</v>
      </c>
      <c r="B38" s="1402">
        <f>$B$2</f>
        <v>0</v>
      </c>
      <c r="C38" s="1271" t="e">
        <f ca="1">MFrame!C38</f>
        <v>#REF!</v>
      </c>
      <c r="D38" s="1272" t="e">
        <f ca="1">MFrame!D38</f>
        <v>#REF!</v>
      </c>
      <c r="E38" s="1272" t="e">
        <f ca="1">MFrame!E38</f>
        <v>#REF!</v>
      </c>
      <c r="F38" s="1272" t="e">
        <f ca="1">MFrame!F38</f>
        <v>#REF!</v>
      </c>
      <c r="G38" s="1272" t="e">
        <f ca="1">MFrame!G38</f>
        <v>#REF!</v>
      </c>
      <c r="H38" s="1272" t="e">
        <f ca="1">MFrame!H38</f>
        <v>#REF!</v>
      </c>
      <c r="I38" s="1272" t="e">
        <f ca="1">MFrame!I38</f>
        <v>#REF!</v>
      </c>
      <c r="J38" s="1272" t="e">
        <f ca="1">MFrame!J38</f>
        <v>#REF!</v>
      </c>
      <c r="K38" s="1272" t="e">
        <f ca="1">MFrame!K38</f>
        <v>#REF!</v>
      </c>
      <c r="L38" s="1273" t="e">
        <f ca="1">MFrame!L38</f>
        <v>#REF!</v>
      </c>
      <c r="M38" s="1264" t="s">
        <v>3288</v>
      </c>
      <c r="N38" s="1268" t="e">
        <f ca="1">INDEX(BSHemm,sysJ2_index,RPM_index)</f>
        <v>#REF!</v>
      </c>
      <c r="P38" s="1405"/>
      <c r="Q38" s="406"/>
    </row>
    <row r="39" spans="1:29">
      <c r="A39" s="3981">
        <f>MFrame!A39</f>
        <v>0</v>
      </c>
      <c r="B39" s="1402">
        <f>$B$3</f>
        <v>0.1</v>
      </c>
      <c r="C39" s="1509">
        <f>MFrame!C39</f>
        <v>50</v>
      </c>
      <c r="D39" s="1510">
        <f>MFrame!D39</f>
        <v>50</v>
      </c>
      <c r="E39" s="1510">
        <f>MFrame!E39</f>
        <v>50</v>
      </c>
      <c r="F39" s="1510">
        <f>MFrame!F39</f>
        <v>50</v>
      </c>
      <c r="G39" s="1510">
        <f>MFrame!G39</f>
        <v>50</v>
      </c>
      <c r="H39" s="1510">
        <f>MFrame!H39</f>
        <v>50</v>
      </c>
      <c r="I39" s="1510">
        <f>MFrame!I39</f>
        <v>50</v>
      </c>
      <c r="J39" s="1510">
        <f>MFrame!J39</f>
        <v>50</v>
      </c>
      <c r="K39" s="1510">
        <f>MFrame!K39</f>
        <v>50</v>
      </c>
      <c r="L39" s="1511">
        <f>MFrame!L39</f>
        <v>50</v>
      </c>
      <c r="M39" s="1264"/>
      <c r="P39" s="1405"/>
      <c r="Q39" s="406"/>
    </row>
    <row r="40" spans="1:29" ht="15.75" thickBot="1">
      <c r="A40" s="3982"/>
      <c r="B40" s="1402">
        <f>$B$4</f>
        <v>0.125</v>
      </c>
      <c r="C40" s="1509">
        <f>MFrame!C40</f>
        <v>50</v>
      </c>
      <c r="D40" s="1510">
        <f>MFrame!D40</f>
        <v>50</v>
      </c>
      <c r="E40" s="1510">
        <f>MFrame!E40</f>
        <v>50</v>
      </c>
      <c r="F40" s="1510">
        <f>MFrame!F40</f>
        <v>50</v>
      </c>
      <c r="G40" s="1510">
        <f>MFrame!G40</f>
        <v>50</v>
      </c>
      <c r="H40" s="1510">
        <f>MFrame!H40</f>
        <v>50</v>
      </c>
      <c r="I40" s="1510">
        <f>MFrame!I40</f>
        <v>50</v>
      </c>
      <c r="J40" s="1510">
        <f>MFrame!J40</f>
        <v>50</v>
      </c>
      <c r="K40" s="1510">
        <f>MFrame!K40</f>
        <v>50</v>
      </c>
      <c r="L40" s="1511">
        <f>MFrame!L40</f>
        <v>50</v>
      </c>
      <c r="M40" s="1264"/>
      <c r="P40" s="1405"/>
      <c r="Q40" s="406"/>
    </row>
    <row r="41" spans="1:29">
      <c r="A41" s="1264"/>
      <c r="B41" s="1402">
        <f>$B$5</f>
        <v>0.15</v>
      </c>
      <c r="C41" s="1509">
        <f>MFrame!C41</f>
        <v>50</v>
      </c>
      <c r="D41" s="1510">
        <f>MFrame!D41</f>
        <v>50</v>
      </c>
      <c r="E41" s="1510">
        <f>MFrame!E41</f>
        <v>50</v>
      </c>
      <c r="F41" s="1510">
        <f>MFrame!F41</f>
        <v>50</v>
      </c>
      <c r="G41" s="1510">
        <f>MFrame!G41</f>
        <v>50</v>
      </c>
      <c r="H41" s="1510">
        <f>MFrame!H41</f>
        <v>50</v>
      </c>
      <c r="I41" s="1510">
        <f>MFrame!I41</f>
        <v>50</v>
      </c>
      <c r="J41" s="1510">
        <f>MFrame!J41</f>
        <v>75</v>
      </c>
      <c r="K41" s="1510">
        <f>MFrame!K41</f>
        <v>75</v>
      </c>
      <c r="L41" s="1511">
        <f>MFrame!L41</f>
        <v>75</v>
      </c>
      <c r="M41" s="1264"/>
      <c r="P41" s="1405"/>
      <c r="Q41" s="406"/>
    </row>
    <row r="42" spans="1:29">
      <c r="A42" s="1264"/>
      <c r="B42" s="1402">
        <f>$B$6</f>
        <v>0.17499999999999999</v>
      </c>
      <c r="C42" s="1509">
        <f>MFrame!C42</f>
        <v>50</v>
      </c>
      <c r="D42" s="1510">
        <f>MFrame!D42</f>
        <v>50</v>
      </c>
      <c r="E42" s="1510">
        <f>MFrame!E42</f>
        <v>50</v>
      </c>
      <c r="F42" s="1510">
        <f>MFrame!F42</f>
        <v>50</v>
      </c>
      <c r="G42" s="1510">
        <f>MFrame!G42</f>
        <v>50</v>
      </c>
      <c r="H42" s="1510">
        <f>MFrame!H42</f>
        <v>75</v>
      </c>
      <c r="I42" s="1510">
        <f>MFrame!I42</f>
        <v>75</v>
      </c>
      <c r="J42" s="1510">
        <f>MFrame!J42</f>
        <v>75</v>
      </c>
      <c r="K42" s="1510">
        <f>MFrame!K42</f>
        <v>75</v>
      </c>
      <c r="L42" s="1511">
        <f>MFrame!L42</f>
        <v>75</v>
      </c>
      <c r="M42" s="1264"/>
      <c r="P42" s="1405"/>
      <c r="Q42" s="406"/>
    </row>
    <row r="43" spans="1:29">
      <c r="A43" s="1264"/>
      <c r="B43" s="1402">
        <f>$B$7</f>
        <v>0.2</v>
      </c>
      <c r="C43" s="1509">
        <f>MFrame!C43</f>
        <v>50</v>
      </c>
      <c r="D43" s="1510">
        <f>MFrame!D43</f>
        <v>50</v>
      </c>
      <c r="E43" s="1510">
        <f>MFrame!E43</f>
        <v>50</v>
      </c>
      <c r="F43" s="1510">
        <f>MFrame!F43</f>
        <v>50</v>
      </c>
      <c r="G43" s="1510">
        <f>MFrame!G43</f>
        <v>50</v>
      </c>
      <c r="H43" s="1510">
        <f>MFrame!H43</f>
        <v>75</v>
      </c>
      <c r="I43" s="1510">
        <f>MFrame!I43</f>
        <v>75</v>
      </c>
      <c r="J43" s="1510">
        <f>MFrame!J43</f>
        <v>75</v>
      </c>
      <c r="K43" s="1510">
        <f>MFrame!K43</f>
        <v>75</v>
      </c>
      <c r="L43" s="1511">
        <f>MFrame!L43</f>
        <v>75</v>
      </c>
      <c r="M43" s="1264"/>
      <c r="P43" s="1405"/>
      <c r="Q43" s="406"/>
    </row>
    <row r="44" spans="1:29">
      <c r="A44" s="1264"/>
      <c r="B44" s="1402">
        <f>$B$8</f>
        <v>0.25</v>
      </c>
      <c r="C44" s="1509">
        <f>MFrame!C44</f>
        <v>50</v>
      </c>
      <c r="D44" s="1510">
        <f>MFrame!D44</f>
        <v>50</v>
      </c>
      <c r="E44" s="1510">
        <f>MFrame!E44</f>
        <v>50</v>
      </c>
      <c r="F44" s="1510">
        <f>MFrame!F44</f>
        <v>50</v>
      </c>
      <c r="G44" s="1510">
        <f>MFrame!G44</f>
        <v>50</v>
      </c>
      <c r="H44" s="1510">
        <f>MFrame!H44</f>
        <v>75</v>
      </c>
      <c r="I44" s="1510">
        <f>MFrame!I44</f>
        <v>75</v>
      </c>
      <c r="J44" s="1510">
        <f>MFrame!J44</f>
        <v>75</v>
      </c>
      <c r="K44" s="1510">
        <f>MFrame!K44</f>
        <v>75</v>
      </c>
      <c r="L44" s="1511">
        <f>MFrame!L44</f>
        <v>75</v>
      </c>
      <c r="M44" s="1264"/>
      <c r="P44" s="1405"/>
      <c r="Q44" s="406"/>
    </row>
    <row r="45" spans="1:29">
      <c r="A45" s="1264"/>
      <c r="B45" s="1402">
        <f>$B$9</f>
        <v>0.375</v>
      </c>
      <c r="C45" s="1509">
        <f>MFrame!C45</f>
        <v>50</v>
      </c>
      <c r="D45" s="1510">
        <f>MFrame!D45</f>
        <v>50</v>
      </c>
      <c r="E45" s="1510">
        <f>MFrame!E45</f>
        <v>50</v>
      </c>
      <c r="F45" s="1510">
        <f>MFrame!F45</f>
        <v>75</v>
      </c>
      <c r="G45" s="1510">
        <f>MFrame!G45</f>
        <v>75</v>
      </c>
      <c r="H45" s="1510">
        <f>MFrame!H45</f>
        <v>75</v>
      </c>
      <c r="I45" s="1510">
        <f>MFrame!I45</f>
        <v>75</v>
      </c>
      <c r="J45" s="1510">
        <f>MFrame!J45</f>
        <v>75</v>
      </c>
      <c r="K45" s="1510">
        <f>MFrame!K45</f>
        <v>75</v>
      </c>
      <c r="L45" s="1511">
        <f>MFrame!L45</f>
        <v>75</v>
      </c>
      <c r="M45" s="1264"/>
      <c r="P45" s="1405"/>
      <c r="Q45" s="406"/>
    </row>
    <row r="46" spans="1:29">
      <c r="A46" s="1264"/>
      <c r="B46" s="1402">
        <f>$B$10</f>
        <v>0.5</v>
      </c>
      <c r="C46" s="1509">
        <f>MFrame!C46</f>
        <v>50</v>
      </c>
      <c r="D46" s="1510">
        <f>MFrame!D46</f>
        <v>50</v>
      </c>
      <c r="E46" s="1510">
        <f>MFrame!E46</f>
        <v>50</v>
      </c>
      <c r="F46" s="1510">
        <f>MFrame!F46</f>
        <v>75</v>
      </c>
      <c r="G46" s="1510">
        <f>MFrame!G46</f>
        <v>75</v>
      </c>
      <c r="H46" s="1510">
        <f>MFrame!H46</f>
        <v>75</v>
      </c>
      <c r="I46" s="1510">
        <f>MFrame!I46</f>
        <v>75</v>
      </c>
      <c r="J46" s="1510">
        <f>MFrame!J46</f>
        <v>75</v>
      </c>
      <c r="K46" s="1510">
        <f>MFrame!K46</f>
        <v>75</v>
      </c>
      <c r="L46" s="1511">
        <f>MFrame!L46</f>
        <v>75</v>
      </c>
      <c r="M46" s="1264"/>
      <c r="P46" s="1405"/>
      <c r="Q46" s="406"/>
    </row>
    <row r="47" spans="1:29">
      <c r="A47" s="1264"/>
      <c r="B47" s="1402">
        <f>$B$11</f>
        <v>1</v>
      </c>
      <c r="C47" s="1509">
        <f>MFrame!C47</f>
        <v>50</v>
      </c>
      <c r="D47" s="1510">
        <f>MFrame!D47</f>
        <v>50</v>
      </c>
      <c r="E47" s="1510">
        <f>MFrame!E47</f>
        <v>50</v>
      </c>
      <c r="F47" s="1510">
        <f>MFrame!F47</f>
        <v>75</v>
      </c>
      <c r="G47" s="1510">
        <f>MFrame!G47</f>
        <v>75</v>
      </c>
      <c r="H47" s="1510">
        <f>MFrame!H47</f>
        <v>75</v>
      </c>
      <c r="I47" s="1510">
        <f>MFrame!I47</f>
        <v>75</v>
      </c>
      <c r="J47" s="1510">
        <f>MFrame!J47</f>
        <v>75</v>
      </c>
      <c r="K47" s="1510">
        <f>MFrame!K47</f>
        <v>75</v>
      </c>
      <c r="L47" s="1511">
        <f>MFrame!L47</f>
        <v>100</v>
      </c>
      <c r="M47" s="1264"/>
      <c r="P47" s="1405"/>
      <c r="Q47" s="406"/>
    </row>
    <row r="48" spans="1:29">
      <c r="A48" s="1264"/>
      <c r="B48" s="1402">
        <f>$B$12</f>
        <v>1.5</v>
      </c>
      <c r="C48" s="1509">
        <f>MFrame!C48</f>
        <v>50</v>
      </c>
      <c r="D48" s="1510">
        <f>MFrame!D48</f>
        <v>50</v>
      </c>
      <c r="E48" s="1510">
        <f>MFrame!E48</f>
        <v>50</v>
      </c>
      <c r="F48" s="1510">
        <f>MFrame!F48</f>
        <v>75</v>
      </c>
      <c r="G48" s="1510">
        <f>MFrame!G48</f>
        <v>75</v>
      </c>
      <c r="H48" s="1510">
        <f>MFrame!H48</f>
        <v>75</v>
      </c>
      <c r="I48" s="1510">
        <f>MFrame!I48</f>
        <v>75</v>
      </c>
      <c r="J48" s="1510">
        <f>MFrame!J48</f>
        <v>100</v>
      </c>
      <c r="K48" s="1510">
        <f>MFrame!K48</f>
        <v>100</v>
      </c>
      <c r="L48" s="1511">
        <f>MFrame!L48</f>
        <v>150</v>
      </c>
      <c r="M48" s="1264"/>
      <c r="P48" s="1405"/>
      <c r="Q48" s="406"/>
    </row>
    <row r="49" spans="1:29">
      <c r="A49" s="1264"/>
      <c r="B49" s="1402">
        <f>$B$13</f>
        <v>2</v>
      </c>
      <c r="C49" s="1509">
        <f>MFrame!C49</f>
        <v>75</v>
      </c>
      <c r="D49" s="1510">
        <f>MFrame!D49</f>
        <v>75</v>
      </c>
      <c r="E49" s="1510">
        <f>MFrame!E49</f>
        <v>75</v>
      </c>
      <c r="F49" s="1510">
        <f>MFrame!F49</f>
        <v>75</v>
      </c>
      <c r="G49" s="1510">
        <f>MFrame!G49</f>
        <v>75</v>
      </c>
      <c r="H49" s="1510">
        <f>MFrame!H49</f>
        <v>75</v>
      </c>
      <c r="I49" s="1510">
        <f>MFrame!I49</f>
        <v>100</v>
      </c>
      <c r="J49" s="1510">
        <f>MFrame!J49</f>
        <v>100</v>
      </c>
      <c r="K49" s="1510">
        <f>MFrame!K49</f>
        <v>150</v>
      </c>
      <c r="L49" s="1763">
        <f>MFrame!L49</f>
        <v>200</v>
      </c>
      <c r="M49" s="1264"/>
      <c r="P49" s="1405"/>
      <c r="Q49" s="406"/>
    </row>
    <row r="50" spans="1:29">
      <c r="A50" s="1264"/>
      <c r="B50" s="1402">
        <f>$B$14</f>
        <v>2.5</v>
      </c>
      <c r="C50" s="1509">
        <f>MFrame!C50</f>
        <v>75</v>
      </c>
      <c r="D50" s="1510">
        <f>MFrame!D50</f>
        <v>75</v>
      </c>
      <c r="E50" s="1510">
        <f>MFrame!E50</f>
        <v>75</v>
      </c>
      <c r="F50" s="1510">
        <f>MFrame!F50</f>
        <v>75</v>
      </c>
      <c r="G50" s="1510">
        <f>MFrame!G50</f>
        <v>75</v>
      </c>
      <c r="H50" s="1510">
        <f>MFrame!H50</f>
        <v>100</v>
      </c>
      <c r="I50" s="1510">
        <f>MFrame!I50</f>
        <v>100</v>
      </c>
      <c r="J50" s="1510">
        <f>MFrame!J50</f>
        <v>150</v>
      </c>
      <c r="K50" s="1764">
        <f>MFrame!K50</f>
        <v>200</v>
      </c>
      <c r="L50" s="1763">
        <f>MFrame!L50</f>
        <v>200</v>
      </c>
      <c r="M50" s="1264"/>
      <c r="P50" s="1405"/>
      <c r="Q50" s="406"/>
    </row>
    <row r="51" spans="1:29">
      <c r="A51" s="1264"/>
      <c r="B51" s="1402">
        <f>$B$15</f>
        <v>3</v>
      </c>
      <c r="C51" s="1509">
        <f>MFrame!C51</f>
        <v>75</v>
      </c>
      <c r="D51" s="1510">
        <f>MFrame!D51</f>
        <v>75</v>
      </c>
      <c r="E51" s="1510">
        <f>MFrame!E51</f>
        <v>75</v>
      </c>
      <c r="F51" s="1510">
        <f>MFrame!F51</f>
        <v>100</v>
      </c>
      <c r="G51" s="1510">
        <f>MFrame!G51</f>
        <v>100</v>
      </c>
      <c r="H51" s="1510">
        <f>MFrame!H51</f>
        <v>100</v>
      </c>
      <c r="I51" s="1510">
        <f>MFrame!I51</f>
        <v>150</v>
      </c>
      <c r="J51" s="1764">
        <f>MFrame!J51</f>
        <v>200</v>
      </c>
      <c r="K51" s="1764">
        <f>MFrame!K51</f>
        <v>200</v>
      </c>
      <c r="L51" s="1763">
        <f>MFrame!L51</f>
        <v>200</v>
      </c>
      <c r="M51" s="1264"/>
      <c r="P51" s="1405"/>
      <c r="Q51" s="406"/>
    </row>
    <row r="52" spans="1:29">
      <c r="A52" s="1264"/>
      <c r="B52" s="1402">
        <f>$B$16</f>
        <v>4</v>
      </c>
      <c r="C52" s="1509">
        <f>MFrame!C52</f>
        <v>75</v>
      </c>
      <c r="D52" s="1510">
        <f>MFrame!D52</f>
        <v>100</v>
      </c>
      <c r="E52" s="1510">
        <f>MFrame!E52</f>
        <v>100</v>
      </c>
      <c r="F52" s="1510">
        <f>MFrame!F52</f>
        <v>100</v>
      </c>
      <c r="G52" s="1510">
        <f>MFrame!G52</f>
        <v>100</v>
      </c>
      <c r="H52" s="1510">
        <f>MFrame!H52</f>
        <v>150</v>
      </c>
      <c r="I52" s="1764">
        <f>MFrame!I52</f>
        <v>200</v>
      </c>
      <c r="J52" s="1764">
        <f>MFrame!J52</f>
        <v>200</v>
      </c>
      <c r="K52" s="1764">
        <f>MFrame!K52</f>
        <v>200</v>
      </c>
      <c r="L52" s="1763">
        <f>MFrame!L52</f>
        <v>200</v>
      </c>
      <c r="M52" s="1264"/>
      <c r="P52" s="1405"/>
      <c r="Q52" s="406"/>
    </row>
    <row r="53" spans="1:29" ht="15.75" thickBot="1">
      <c r="A53" s="1264"/>
      <c r="B53" s="1402">
        <f>$B$17</f>
        <v>5</v>
      </c>
      <c r="C53" s="1756">
        <f>MFrame!C53</f>
        <v>200</v>
      </c>
      <c r="D53" s="1757">
        <f>MFrame!D53</f>
        <v>200</v>
      </c>
      <c r="E53" s="1757">
        <f>MFrame!E53</f>
        <v>200</v>
      </c>
      <c r="F53" s="1757">
        <f>MFrame!F53</f>
        <v>200</v>
      </c>
      <c r="G53" s="1757">
        <f>MFrame!G53</f>
        <v>200</v>
      </c>
      <c r="H53" s="1757">
        <f>MFrame!H53</f>
        <v>200</v>
      </c>
      <c r="I53" s="1757">
        <f>MFrame!I53</f>
        <v>200</v>
      </c>
      <c r="J53" s="1757">
        <f>MFrame!J53</f>
        <v>200</v>
      </c>
      <c r="K53" s="1757">
        <f>MFrame!K53</f>
        <v>200</v>
      </c>
      <c r="L53" s="1758">
        <f>MFrame!L53</f>
        <v>200</v>
      </c>
      <c r="M53" s="1264"/>
      <c r="P53" s="1405"/>
      <c r="Q53" s="406"/>
    </row>
    <row r="54" spans="1:29">
      <c r="P54" s="1405"/>
      <c r="Q54" s="406"/>
    </row>
    <row r="55" spans="1:29" ht="15.75" thickBot="1">
      <c r="A55" s="1264" t="s">
        <v>3509</v>
      </c>
      <c r="B55" s="1402"/>
      <c r="C55" s="1400">
        <f>SFrame!$C$1</f>
        <v>750</v>
      </c>
      <c r="D55" s="1400">
        <f>SFrame!$D$1</f>
        <v>900</v>
      </c>
      <c r="E55" s="1400">
        <f>SFrame!$E$1</f>
        <v>1000</v>
      </c>
      <c r="F55" s="1400">
        <f>SFrame!$F$1</f>
        <v>1200</v>
      </c>
      <c r="G55" s="1400">
        <f>SFrame!$G$1</f>
        <v>1350</v>
      </c>
      <c r="H55" s="1400">
        <f>SFrame!$H$1</f>
        <v>1500</v>
      </c>
      <c r="I55" s="1400">
        <f>SFrame!$I$1</f>
        <v>1800</v>
      </c>
      <c r="J55" s="1400">
        <f>SFrame!$J$1</f>
        <v>2400</v>
      </c>
      <c r="K55" s="1400">
        <f>SFrame!$K$1</f>
        <v>3000</v>
      </c>
      <c r="L55" s="1400">
        <f>SFrame!$L$1</f>
        <v>3600</v>
      </c>
      <c r="M55" s="1264" t="s">
        <v>227</v>
      </c>
      <c r="N55" s="1264"/>
      <c r="O55" s="1264"/>
      <c r="P55" s="1264"/>
      <c r="Q55" s="1248"/>
      <c r="R55" s="1270"/>
      <c r="S55" s="1270"/>
      <c r="T55" s="1270"/>
      <c r="U55" s="1270"/>
      <c r="V55" s="1270"/>
      <c r="W55" s="1270"/>
      <c r="X55" s="1270"/>
      <c r="Y55" s="1270"/>
      <c r="Z55" s="1270"/>
      <c r="AA55" s="1270"/>
      <c r="AB55" s="1505"/>
      <c r="AC55" s="1505"/>
    </row>
    <row r="56" spans="1:29" ht="15.75" thickBot="1">
      <c r="A56" s="1265" t="s">
        <v>1261</v>
      </c>
      <c r="B56" s="1402">
        <f>SFrame!$B$2</f>
        <v>0</v>
      </c>
      <c r="C56" s="1769" t="e">
        <f ca="1">MFrame!C56</f>
        <v>#REF!</v>
      </c>
      <c r="D56" s="1770" t="e">
        <f ca="1">MFrame!D56</f>
        <v>#REF!</v>
      </c>
      <c r="E56" s="1770" t="e">
        <f ca="1">MFrame!E56</f>
        <v>#REF!</v>
      </c>
      <c r="F56" s="1770" t="e">
        <f ca="1">MFrame!F56</f>
        <v>#REF!</v>
      </c>
      <c r="G56" s="1770" t="e">
        <f ca="1">MFrame!G56</f>
        <v>#REF!</v>
      </c>
      <c r="H56" s="1770" t="e">
        <f ca="1">MFrame!H56</f>
        <v>#REF!</v>
      </c>
      <c r="I56" s="1770" t="e">
        <f ca="1">MFrame!I56</f>
        <v>#REF!</v>
      </c>
      <c r="J56" s="1770" t="e">
        <f ca="1">MFrame!J56</f>
        <v>#REF!</v>
      </c>
      <c r="K56" s="1770" t="e">
        <f ca="1">MFrame!K56</f>
        <v>#REF!</v>
      </c>
      <c r="L56" s="1771" t="e">
        <f ca="1">MFrame!L56</f>
        <v>#REF!</v>
      </c>
      <c r="M56" s="1264" t="s">
        <v>3510</v>
      </c>
      <c r="N56" s="1504" t="e">
        <f ca="1">INDEX(BFTr,sysJ2_index,RPM_index)</f>
        <v>#REF!</v>
      </c>
      <c r="AB56" s="1505"/>
      <c r="AC56" s="1505"/>
    </row>
    <row r="57" spans="1:29">
      <c r="A57" s="3979">
        <v>171209</v>
      </c>
      <c r="B57" s="1402">
        <f>SFrame!$B$3</f>
        <v>0.1</v>
      </c>
      <c r="C57" s="1833" t="str">
        <f>MFrame!C57</f>
        <v>P5</v>
      </c>
      <c r="D57" s="1774" t="str">
        <f>MFrame!D57</f>
        <v>P5</v>
      </c>
      <c r="E57" s="1774" t="str">
        <f>MFrame!E57</f>
        <v>P5</v>
      </c>
      <c r="F57" s="1774" t="str">
        <f>MFrame!F57</f>
        <v>P5</v>
      </c>
      <c r="G57" s="1774" t="str">
        <f>MFrame!G57</f>
        <v>P5</v>
      </c>
      <c r="H57" s="1774" t="str">
        <f>MFrame!H57</f>
        <v>P5</v>
      </c>
      <c r="I57" s="1774" t="str">
        <f>MFrame!I57</f>
        <v>P5</v>
      </c>
      <c r="J57" s="1774" t="str">
        <f>MFrame!J57</f>
        <v>P6</v>
      </c>
      <c r="K57" s="1774" t="str">
        <f>MFrame!K57</f>
        <v>P6</v>
      </c>
      <c r="L57" s="1834" t="str">
        <f>MFrame!L57</f>
        <v>P6</v>
      </c>
      <c r="M57" s="1264"/>
      <c r="N57" s="1264"/>
      <c r="R57" s="1505"/>
      <c r="S57" s="1505"/>
      <c r="T57" s="1505"/>
      <c r="U57" s="1505"/>
      <c r="V57" s="1505"/>
      <c r="W57" s="1505"/>
      <c r="X57" s="1505"/>
      <c r="Y57" s="1505"/>
      <c r="Z57" s="1505"/>
      <c r="AA57" s="1505"/>
      <c r="AB57" s="1505"/>
      <c r="AC57" s="1505"/>
    </row>
    <row r="58" spans="1:29" ht="15.75" thickBot="1">
      <c r="A58" s="3980"/>
      <c r="B58" s="1402">
        <f>SFrame!$B$4</f>
        <v>0.125</v>
      </c>
      <c r="C58" s="1833" t="str">
        <f>MFrame!C58</f>
        <v>P5</v>
      </c>
      <c r="D58" s="1774" t="str">
        <f>MFrame!D58</f>
        <v>P5</v>
      </c>
      <c r="E58" s="1774" t="str">
        <f>MFrame!E58</f>
        <v>P5</v>
      </c>
      <c r="F58" s="1774" t="str">
        <f>MFrame!F58</f>
        <v>P5</v>
      </c>
      <c r="G58" s="1774" t="str">
        <f>MFrame!G58</f>
        <v>P5</v>
      </c>
      <c r="H58" s="1774" t="str">
        <f>MFrame!H58</f>
        <v>P5</v>
      </c>
      <c r="I58" s="1774" t="str">
        <f>MFrame!I58</f>
        <v>P6</v>
      </c>
      <c r="J58" s="1774" t="str">
        <f>MFrame!J58</f>
        <v>P6</v>
      </c>
      <c r="K58" s="1774" t="str">
        <f>MFrame!K58</f>
        <v>P6</v>
      </c>
      <c r="L58" s="1834" t="str">
        <f>MFrame!L58</f>
        <v>P8</v>
      </c>
      <c r="M58" s="1264"/>
      <c r="N58" s="1264"/>
      <c r="R58" s="1505"/>
      <c r="S58" s="1505"/>
      <c r="T58" s="1505"/>
      <c r="U58" s="1505"/>
      <c r="V58" s="1505"/>
      <c r="W58" s="1505"/>
      <c r="X58" s="1505"/>
      <c r="Y58" s="1505"/>
      <c r="Z58" s="1505"/>
      <c r="AA58" s="1505"/>
      <c r="AB58" s="1505"/>
      <c r="AC58" s="1505"/>
    </row>
    <row r="59" spans="1:29">
      <c r="A59" s="1264"/>
      <c r="B59" s="1402">
        <f>SFrame!$B$5</f>
        <v>0.15</v>
      </c>
      <c r="C59" s="1833" t="str">
        <f>MFrame!C59</f>
        <v>P5</v>
      </c>
      <c r="D59" s="1774" t="str">
        <f>MFrame!D59</f>
        <v>P5</v>
      </c>
      <c r="E59" s="1774" t="str">
        <f>MFrame!E59</f>
        <v>P5</v>
      </c>
      <c r="F59" s="1774" t="str">
        <f>MFrame!F59</f>
        <v>P5</v>
      </c>
      <c r="G59" s="1774" t="str">
        <f>MFrame!G59</f>
        <v>P5</v>
      </c>
      <c r="H59" s="1774" t="str">
        <f>MFrame!H59</f>
        <v>P6</v>
      </c>
      <c r="I59" s="1774" t="str">
        <f>MFrame!I59</f>
        <v>P6</v>
      </c>
      <c r="J59" s="1774" t="str">
        <f>MFrame!J59</f>
        <v>P6</v>
      </c>
      <c r="K59" s="1774" t="str">
        <f>MFrame!K59</f>
        <v>P8</v>
      </c>
      <c r="L59" s="1834" t="str">
        <f>MFrame!L59</f>
        <v>P8</v>
      </c>
      <c r="M59" s="1264"/>
      <c r="N59" s="1264"/>
      <c r="R59" s="1505"/>
      <c r="S59" s="1505"/>
      <c r="T59" s="1505"/>
      <c r="U59" s="1505"/>
      <c r="V59" s="1505"/>
      <c r="W59" s="1505"/>
      <c r="X59" s="1505"/>
      <c r="Y59" s="1505"/>
      <c r="Z59" s="1505"/>
      <c r="AA59" s="1505"/>
      <c r="AB59" s="1505"/>
      <c r="AC59" s="1505"/>
    </row>
    <row r="60" spans="1:29">
      <c r="A60" s="1264"/>
      <c r="B60" s="1402">
        <f>SFrame!$B$6</f>
        <v>0.17499999999999999</v>
      </c>
      <c r="C60" s="1833" t="str">
        <f>MFrame!C60</f>
        <v>P5</v>
      </c>
      <c r="D60" s="1774" t="str">
        <f>MFrame!D60</f>
        <v>P5</v>
      </c>
      <c r="E60" s="1774" t="str">
        <f>MFrame!E60</f>
        <v>P5</v>
      </c>
      <c r="F60" s="1774" t="str">
        <f>MFrame!F60</f>
        <v>P5</v>
      </c>
      <c r="G60" s="1774" t="str">
        <f>MFrame!G60</f>
        <v>P5</v>
      </c>
      <c r="H60" s="1774" t="str">
        <f>MFrame!H60</f>
        <v>P6</v>
      </c>
      <c r="I60" s="1774" t="str">
        <f>MFrame!I60</f>
        <v>P6</v>
      </c>
      <c r="J60" s="1774" t="str">
        <f>MFrame!J60</f>
        <v>P6</v>
      </c>
      <c r="K60" s="1774" t="str">
        <f>MFrame!K60</f>
        <v>P8</v>
      </c>
      <c r="L60" s="1834" t="str">
        <f>MFrame!L60</f>
        <v>P8</v>
      </c>
      <c r="M60" s="1264"/>
      <c r="N60" s="1264"/>
      <c r="R60" s="1505"/>
      <c r="S60" s="1505"/>
      <c r="T60" s="1505"/>
      <c r="U60" s="1505"/>
      <c r="V60" s="1505"/>
      <c r="W60" s="1505"/>
      <c r="X60" s="1505"/>
      <c r="Y60" s="1505"/>
      <c r="Z60" s="1505"/>
      <c r="AA60" s="1505"/>
      <c r="AB60" s="1505"/>
      <c r="AC60" s="1505"/>
    </row>
    <row r="61" spans="1:29">
      <c r="A61" s="1264"/>
      <c r="B61" s="1402">
        <f>SFrame!$B$7</f>
        <v>0.2</v>
      </c>
      <c r="C61" s="1833" t="str">
        <f>MFrame!C61</f>
        <v>P5</v>
      </c>
      <c r="D61" s="1774" t="str">
        <f>MFrame!D61</f>
        <v>P5</v>
      </c>
      <c r="E61" s="1774" t="str">
        <f>MFrame!E61</f>
        <v>P5</v>
      </c>
      <c r="F61" s="1774" t="str">
        <f>MFrame!F61</f>
        <v>P5</v>
      </c>
      <c r="G61" s="1774" t="str">
        <f>MFrame!G61</f>
        <v>P6</v>
      </c>
      <c r="H61" s="1774" t="str">
        <f>MFrame!H61</f>
        <v>P6</v>
      </c>
      <c r="I61" s="1774" t="str">
        <f>MFrame!I61</f>
        <v>P6</v>
      </c>
      <c r="J61" s="1774" t="str">
        <f>MFrame!J61</f>
        <v>P6</v>
      </c>
      <c r="K61" s="1774" t="str">
        <f>MFrame!K61</f>
        <v>P8</v>
      </c>
      <c r="L61" s="1834" t="str">
        <f>MFrame!L61</f>
        <v>P8</v>
      </c>
      <c r="M61" s="1264"/>
      <c r="N61" s="1264"/>
      <c r="R61" s="1505"/>
      <c r="S61" s="1505"/>
      <c r="T61" s="1505"/>
      <c r="U61" s="1505"/>
      <c r="V61" s="1505"/>
      <c r="W61" s="1505"/>
      <c r="X61" s="1505"/>
      <c r="Y61" s="1505"/>
      <c r="Z61" s="1505"/>
      <c r="AA61" s="1505"/>
      <c r="AB61" s="1505"/>
      <c r="AC61" s="1505"/>
    </row>
    <row r="62" spans="1:29">
      <c r="A62" s="1264"/>
      <c r="B62" s="1402">
        <f>SFrame!$B$8</f>
        <v>0.25</v>
      </c>
      <c r="C62" s="1833" t="str">
        <f>MFrame!C62</f>
        <v>P5</v>
      </c>
      <c r="D62" s="1774" t="str">
        <f>MFrame!D62</f>
        <v>P5</v>
      </c>
      <c r="E62" s="1774" t="str">
        <f>MFrame!E62</f>
        <v>P5</v>
      </c>
      <c r="F62" s="1774" t="str">
        <f>MFrame!F62</f>
        <v>P5</v>
      </c>
      <c r="G62" s="1774" t="str">
        <f>MFrame!G62</f>
        <v>P6</v>
      </c>
      <c r="H62" s="1774" t="str">
        <f>MFrame!H62</f>
        <v>P6</v>
      </c>
      <c r="I62" s="1774" t="str">
        <f>MFrame!I62</f>
        <v>P6</v>
      </c>
      <c r="J62" s="1774" t="str">
        <f>MFrame!J62</f>
        <v>P8</v>
      </c>
      <c r="K62" s="1774" t="str">
        <f>MFrame!K62</f>
        <v>P8</v>
      </c>
      <c r="L62" s="1834" t="str">
        <f>MFrame!L62</f>
        <v>P10</v>
      </c>
      <c r="M62" s="1264"/>
      <c r="N62" s="1264"/>
      <c r="R62" s="1505"/>
      <c r="S62" s="1505"/>
      <c r="T62" s="1505"/>
      <c r="U62" s="1505"/>
      <c r="V62" s="1505"/>
      <c r="W62" s="1505"/>
      <c r="X62" s="1505"/>
      <c r="Y62" s="1505"/>
      <c r="Z62" s="1505"/>
      <c r="AA62" s="1505"/>
      <c r="AB62" s="1505"/>
      <c r="AC62" s="1505"/>
    </row>
    <row r="63" spans="1:29">
      <c r="A63" s="1264"/>
      <c r="B63" s="1402">
        <f>SFrame!$B$9</f>
        <v>0.375</v>
      </c>
      <c r="C63" s="1833" t="str">
        <f>MFrame!C63</f>
        <v>P5</v>
      </c>
      <c r="D63" s="1774" t="str">
        <f>MFrame!D63</f>
        <v>P5</v>
      </c>
      <c r="E63" s="1774" t="str">
        <f>MFrame!E63</f>
        <v>P5</v>
      </c>
      <c r="F63" s="1774" t="str">
        <f>MFrame!F63</f>
        <v>P5</v>
      </c>
      <c r="G63" s="1774" t="str">
        <f>MFrame!G63</f>
        <v>P6</v>
      </c>
      <c r="H63" s="1774" t="str">
        <f>MFrame!H63</f>
        <v>P6</v>
      </c>
      <c r="I63" s="1774" t="str">
        <f>MFrame!I63</f>
        <v>P8</v>
      </c>
      <c r="J63" s="1774" t="str">
        <f>MFrame!J63</f>
        <v>P8</v>
      </c>
      <c r="K63" s="1774" t="str">
        <f>MFrame!K63</f>
        <v>P10</v>
      </c>
      <c r="L63" s="1834" t="str">
        <f>MFrame!L63</f>
        <v>P10</v>
      </c>
      <c r="M63" s="1264"/>
      <c r="N63" s="1264"/>
      <c r="R63" s="1505"/>
      <c r="S63" s="1505"/>
      <c r="T63" s="1505"/>
      <c r="U63" s="1505"/>
      <c r="V63" s="1505"/>
      <c r="W63" s="1505"/>
      <c r="X63" s="1505"/>
      <c r="Y63" s="1505"/>
      <c r="Z63" s="1505"/>
      <c r="AA63" s="1505"/>
      <c r="AB63" s="1505"/>
      <c r="AC63" s="1505"/>
    </row>
    <row r="64" spans="1:29">
      <c r="A64" s="1264"/>
      <c r="B64" s="1402">
        <f>SFrame!$B$10</f>
        <v>0.5</v>
      </c>
      <c r="C64" s="1833" t="str">
        <f>MFrame!C64</f>
        <v>P5</v>
      </c>
      <c r="D64" s="1774" t="str">
        <f>MFrame!D64</f>
        <v>P5</v>
      </c>
      <c r="E64" s="1774" t="str">
        <f>MFrame!E64</f>
        <v>P5</v>
      </c>
      <c r="F64" s="1774" t="str">
        <f>MFrame!F64</f>
        <v>P6</v>
      </c>
      <c r="G64" s="1774" t="str">
        <f>MFrame!G64</f>
        <v>P6</v>
      </c>
      <c r="H64" s="1774" t="str">
        <f>MFrame!H64</f>
        <v>P8</v>
      </c>
      <c r="I64" s="1774" t="str">
        <f>MFrame!I64</f>
        <v>P8</v>
      </c>
      <c r="J64" s="1774" t="str">
        <f>MFrame!J64</f>
        <v>P10</v>
      </c>
      <c r="K64" s="1774" t="str">
        <f>MFrame!K64</f>
        <v>P10</v>
      </c>
      <c r="L64" s="1834" t="str">
        <f>MFrame!L64</f>
        <v>P10</v>
      </c>
      <c r="M64" s="1264"/>
      <c r="N64" s="1264"/>
      <c r="R64" s="1505"/>
      <c r="S64" s="1505"/>
      <c r="T64" s="1505"/>
      <c r="U64" s="1505"/>
      <c r="V64" s="1505"/>
      <c r="W64" s="1505"/>
      <c r="X64" s="1505"/>
      <c r="Y64" s="1505"/>
      <c r="Z64" s="1505"/>
      <c r="AA64" s="1505"/>
      <c r="AB64" s="1505"/>
      <c r="AC64" s="1505"/>
    </row>
    <row r="65" spans="1:29">
      <c r="A65" s="1264"/>
      <c r="B65" s="1402">
        <f>SFrame!$B$11</f>
        <v>1</v>
      </c>
      <c r="C65" s="1833" t="str">
        <f>MFrame!C65</f>
        <v>P5</v>
      </c>
      <c r="D65" s="1774" t="str">
        <f>MFrame!D65</f>
        <v>P5</v>
      </c>
      <c r="E65" s="1774" t="str">
        <f>MFrame!E65</f>
        <v>P5</v>
      </c>
      <c r="F65" s="1774" t="str">
        <f>MFrame!F65</f>
        <v>P6</v>
      </c>
      <c r="G65" s="1774" t="str">
        <f>MFrame!G65</f>
        <v>P8</v>
      </c>
      <c r="H65" s="1774" t="str">
        <f>MFrame!H65</f>
        <v>P8</v>
      </c>
      <c r="I65" s="1774" t="str">
        <f>MFrame!I65</f>
        <v>P10</v>
      </c>
      <c r="J65" s="1774" t="str">
        <f>MFrame!J65</f>
        <v>P10</v>
      </c>
      <c r="K65" s="1774" t="str">
        <f>MFrame!K65</f>
        <v>P10</v>
      </c>
      <c r="L65" s="1834" t="str">
        <f>MFrame!L65</f>
        <v>P10</v>
      </c>
      <c r="M65" s="1264"/>
      <c r="N65" s="1264"/>
      <c r="R65" s="1505"/>
      <c r="S65" s="1505"/>
      <c r="T65" s="1505"/>
      <c r="U65" s="1505"/>
      <c r="V65" s="1505"/>
      <c r="W65" s="1505"/>
      <c r="X65" s="1505"/>
      <c r="Y65" s="1505"/>
      <c r="Z65" s="1505"/>
      <c r="AA65" s="1505"/>
      <c r="AB65" s="1505"/>
      <c r="AC65" s="1505"/>
    </row>
    <row r="66" spans="1:29">
      <c r="A66" s="1264"/>
      <c r="B66" s="1402">
        <f>SFrame!$B$12</f>
        <v>1.5</v>
      </c>
      <c r="C66" s="1833" t="str">
        <f>MFrame!C66</f>
        <v>P5</v>
      </c>
      <c r="D66" s="1774" t="str">
        <f>MFrame!D66</f>
        <v>P5</v>
      </c>
      <c r="E66" s="1774" t="str">
        <f>MFrame!E66</f>
        <v>P6</v>
      </c>
      <c r="F66" s="1774" t="str">
        <f>MFrame!F66</f>
        <v>P8</v>
      </c>
      <c r="G66" s="1774" t="str">
        <f>MFrame!G66</f>
        <v>P8</v>
      </c>
      <c r="H66" s="1774" t="str">
        <f>MFrame!H66</f>
        <v>P10</v>
      </c>
      <c r="I66" s="1774" t="str">
        <f>MFrame!I66</f>
        <v>P10</v>
      </c>
      <c r="J66" s="1774" t="str">
        <f>MFrame!J66</f>
        <v>P10</v>
      </c>
      <c r="K66" s="1774" t="str">
        <f>MFrame!K66</f>
        <v>P10</v>
      </c>
      <c r="L66" s="1834" t="str">
        <f>MFrame!L66</f>
        <v>P10</v>
      </c>
      <c r="M66" s="1264"/>
      <c r="N66" s="1264"/>
      <c r="R66" s="1505"/>
      <c r="S66" s="1505"/>
      <c r="T66" s="1505"/>
      <c r="U66" s="1505"/>
      <c r="V66" s="1505"/>
      <c r="W66" s="1505"/>
      <c r="X66" s="1505"/>
      <c r="Y66" s="1505"/>
      <c r="Z66" s="1505"/>
      <c r="AA66" s="1505"/>
      <c r="AB66" s="1505"/>
      <c r="AC66" s="1505"/>
    </row>
    <row r="67" spans="1:29">
      <c r="A67" s="1264"/>
      <c r="B67" s="1402">
        <f>SFrame!$B$13</f>
        <v>2</v>
      </c>
      <c r="C67" s="1509" t="str">
        <f>MFrame!C67</f>
        <v>P5</v>
      </c>
      <c r="D67" s="1773" t="str">
        <f>MFrame!D67</f>
        <v>P6</v>
      </c>
      <c r="E67" s="1773" t="str">
        <f>MFrame!E67</f>
        <v>P8</v>
      </c>
      <c r="F67" s="1773" t="str">
        <f>MFrame!F67</f>
        <v>P8</v>
      </c>
      <c r="G67" s="1773" t="str">
        <f>MFrame!G67</f>
        <v>P10</v>
      </c>
      <c r="H67" s="1773" t="str">
        <f>MFrame!H67</f>
        <v>P10</v>
      </c>
      <c r="I67" s="1774" t="str">
        <f>MFrame!I67</f>
        <v>P10</v>
      </c>
      <c r="J67" s="1775" t="str">
        <f>MFrame!J67</f>
        <v>P10</v>
      </c>
      <c r="K67" s="1773" t="str">
        <f>MFrame!K67</f>
        <v>P10</v>
      </c>
      <c r="L67" s="1776" t="str">
        <f>MFrame!L67</f>
        <v>PX</v>
      </c>
      <c r="M67" s="1264"/>
      <c r="N67" s="1264"/>
      <c r="R67" s="1505"/>
      <c r="S67" s="1505"/>
      <c r="T67" s="1505"/>
      <c r="U67" s="1505"/>
      <c r="V67" s="1505"/>
      <c r="W67" s="1505"/>
      <c r="X67" s="1505"/>
      <c r="Y67" s="1505"/>
      <c r="Z67" s="1505"/>
      <c r="AA67" s="1505"/>
      <c r="AB67" s="1505"/>
      <c r="AC67" s="1505"/>
    </row>
    <row r="68" spans="1:29">
      <c r="A68" s="1264"/>
      <c r="B68" s="1402">
        <f>SFrame!$B$14</f>
        <v>2.5</v>
      </c>
      <c r="C68" s="1772" t="str">
        <f>MFrame!C68</f>
        <v>P6</v>
      </c>
      <c r="D68" s="1773" t="str">
        <f>MFrame!D68</f>
        <v>P8</v>
      </c>
      <c r="E68" s="1773" t="str">
        <f>MFrame!E68</f>
        <v>P8</v>
      </c>
      <c r="F68" s="1773" t="str">
        <f>MFrame!F68</f>
        <v>P10</v>
      </c>
      <c r="G68" s="1773" t="str">
        <f>MFrame!G68</f>
        <v>P10</v>
      </c>
      <c r="H68" s="1773" t="str">
        <f>MFrame!H68</f>
        <v>P10</v>
      </c>
      <c r="I68" s="1773" t="str">
        <f>MFrame!I68</f>
        <v>P10</v>
      </c>
      <c r="J68" s="1773" t="str">
        <f>MFrame!J68</f>
        <v>P10</v>
      </c>
      <c r="K68" s="1777" t="str">
        <f>MFrame!K68</f>
        <v>PX</v>
      </c>
      <c r="L68" s="1776" t="str">
        <f>MFrame!L68</f>
        <v>PX</v>
      </c>
      <c r="M68" s="1264"/>
      <c r="N68" s="1264"/>
      <c r="R68" s="1505"/>
      <c r="S68" s="1505"/>
      <c r="T68" s="1505"/>
      <c r="U68" s="1505"/>
      <c r="V68" s="1505"/>
      <c r="W68" s="1505"/>
      <c r="X68" s="1505"/>
      <c r="Y68" s="1505"/>
      <c r="Z68" s="1505"/>
      <c r="AA68" s="1505"/>
      <c r="AB68" s="1505"/>
      <c r="AC68" s="1505"/>
    </row>
    <row r="69" spans="1:29">
      <c r="A69" s="1264"/>
      <c r="B69" s="1402">
        <f>SFrame!$B$15</f>
        <v>3</v>
      </c>
      <c r="C69" s="1772" t="str">
        <f>MFrame!C69</f>
        <v>P8</v>
      </c>
      <c r="D69" s="1773" t="str">
        <f>MFrame!D69</f>
        <v>P8</v>
      </c>
      <c r="E69" s="1773" t="str">
        <f>MFrame!E69</f>
        <v>P10</v>
      </c>
      <c r="F69" s="1773" t="str">
        <f>MFrame!F69</f>
        <v>P10</v>
      </c>
      <c r="G69" s="1773" t="str">
        <f>MFrame!G69</f>
        <v>P10</v>
      </c>
      <c r="H69" s="1773" t="str">
        <f>MFrame!H69</f>
        <v>P10</v>
      </c>
      <c r="I69" s="1773" t="str">
        <f>MFrame!I69</f>
        <v>P10</v>
      </c>
      <c r="J69" s="1777" t="str">
        <f>MFrame!J69</f>
        <v>PX</v>
      </c>
      <c r="K69" s="1777" t="str">
        <f>MFrame!K69</f>
        <v>PX</v>
      </c>
      <c r="L69" s="1776" t="str">
        <f>MFrame!L69</f>
        <v>PX</v>
      </c>
      <c r="M69" s="1264"/>
      <c r="N69" s="1264"/>
      <c r="R69" s="1505"/>
      <c r="S69" s="1505"/>
      <c r="T69" s="1505"/>
      <c r="U69" s="1505"/>
      <c r="V69" s="1505"/>
      <c r="W69" s="1505"/>
      <c r="X69" s="1505"/>
      <c r="Y69" s="1505"/>
      <c r="Z69" s="1505"/>
      <c r="AA69" s="1505"/>
      <c r="AB69" s="1505"/>
      <c r="AC69" s="1505"/>
    </row>
    <row r="70" spans="1:29">
      <c r="A70" s="1264"/>
      <c r="B70" s="1402">
        <f>SFrame!$B$16</f>
        <v>4</v>
      </c>
      <c r="C70" s="1772" t="str">
        <f>MFrame!C70</f>
        <v>P8</v>
      </c>
      <c r="D70" s="1773" t="str">
        <f>MFrame!D70</f>
        <v>P10</v>
      </c>
      <c r="E70" s="1773" t="str">
        <f>MFrame!E70</f>
        <v>P10</v>
      </c>
      <c r="F70" s="1773" t="str">
        <f>MFrame!F70</f>
        <v>P10</v>
      </c>
      <c r="G70" s="1773" t="str">
        <f>MFrame!G70</f>
        <v>P10</v>
      </c>
      <c r="H70" s="1773" t="str">
        <f>MFrame!H70</f>
        <v>P10</v>
      </c>
      <c r="I70" s="1777" t="str">
        <f>MFrame!I70</f>
        <v>PX</v>
      </c>
      <c r="J70" s="1777" t="str">
        <f>MFrame!J70</f>
        <v>PX</v>
      </c>
      <c r="K70" s="1777" t="str">
        <f>MFrame!K70</f>
        <v>PX</v>
      </c>
      <c r="L70" s="1776" t="str">
        <f>MFrame!L70</f>
        <v>PX</v>
      </c>
      <c r="M70" s="1264"/>
      <c r="N70" s="1264"/>
      <c r="R70" s="1505"/>
      <c r="S70" s="1505"/>
      <c r="T70" s="1505"/>
      <c r="U70" s="1505"/>
      <c r="V70" s="1505"/>
      <c r="W70" s="1505"/>
      <c r="X70" s="1505"/>
      <c r="Y70" s="1505"/>
      <c r="Z70" s="1505"/>
      <c r="AA70" s="1505"/>
      <c r="AB70" s="1505"/>
      <c r="AC70" s="1505"/>
    </row>
    <row r="71" spans="1:29" ht="15.75" thickBot="1">
      <c r="A71" s="1264"/>
      <c r="B71" s="1402">
        <f>SFrame!$B$17</f>
        <v>5</v>
      </c>
      <c r="C71" s="1778" t="str">
        <f>MFrame!C71</f>
        <v>PX</v>
      </c>
      <c r="D71" s="1779" t="str">
        <f>MFrame!D71</f>
        <v>PX</v>
      </c>
      <c r="E71" s="1779" t="str">
        <f>MFrame!E71</f>
        <v>PX</v>
      </c>
      <c r="F71" s="1779" t="str">
        <f>MFrame!F71</f>
        <v>PX</v>
      </c>
      <c r="G71" s="1779" t="str">
        <f>MFrame!G71</f>
        <v>PX</v>
      </c>
      <c r="H71" s="1779" t="str">
        <f>MFrame!H71</f>
        <v>PX</v>
      </c>
      <c r="I71" s="1779" t="str">
        <f>MFrame!I71</f>
        <v>PX</v>
      </c>
      <c r="J71" s="1779" t="str">
        <f>MFrame!J71</f>
        <v>PX</v>
      </c>
      <c r="K71" s="1779" t="str">
        <f>MFrame!K71</f>
        <v>PX</v>
      </c>
      <c r="L71" s="1780" t="str">
        <f>MFrame!L71</f>
        <v>PX</v>
      </c>
      <c r="M71" s="1264"/>
      <c r="N71" s="1264"/>
      <c r="R71" s="1505"/>
      <c r="S71" s="1505"/>
      <c r="T71" s="1505"/>
      <c r="U71" s="1505"/>
      <c r="V71" s="1505"/>
      <c r="W71" s="1505"/>
      <c r="X71" s="1505"/>
      <c r="Y71" s="1505"/>
      <c r="Z71" s="1505"/>
      <c r="AA71" s="1505"/>
      <c r="AB71" s="1505"/>
      <c r="AC71" s="1505"/>
    </row>
    <row r="72" spans="1:29">
      <c r="A72" s="1405"/>
      <c r="B72" s="406"/>
      <c r="P72" s="1405"/>
      <c r="Q72" s="406"/>
      <c r="R72" s="1505"/>
      <c r="S72" s="1505"/>
      <c r="T72" s="1505"/>
      <c r="U72" s="1505"/>
      <c r="V72" s="1505"/>
      <c r="W72" s="1505"/>
      <c r="X72" s="1505"/>
      <c r="Y72" s="1505"/>
      <c r="Z72" s="1505"/>
      <c r="AA72" s="1505"/>
      <c r="AB72" s="1505"/>
      <c r="AC72" s="1505"/>
    </row>
    <row r="73" spans="1:29" ht="15.75" thickBot="1">
      <c r="A73" s="1264" t="s">
        <v>4174</v>
      </c>
      <c r="B73" s="1402"/>
      <c r="C73" s="1400">
        <f>$C$1</f>
        <v>750</v>
      </c>
      <c r="D73" s="1400">
        <f>$D$1</f>
        <v>900</v>
      </c>
      <c r="E73" s="1400">
        <f>$E$1</f>
        <v>1000</v>
      </c>
      <c r="F73" s="1400">
        <f>$F$1</f>
        <v>1200</v>
      </c>
      <c r="G73" s="1400">
        <f>$G$1</f>
        <v>1350</v>
      </c>
      <c r="H73" s="1400">
        <f>$H$1</f>
        <v>1500</v>
      </c>
      <c r="I73" s="1400">
        <f>$I$1</f>
        <v>1800</v>
      </c>
      <c r="J73" s="1400">
        <f>$J$1</f>
        <v>2400</v>
      </c>
      <c r="K73" s="1400">
        <f>$K$1</f>
        <v>3000</v>
      </c>
      <c r="L73" s="1400">
        <f>$L$1</f>
        <v>3600</v>
      </c>
      <c r="M73" s="1264" t="s">
        <v>227</v>
      </c>
      <c r="P73" s="1405"/>
      <c r="Q73" s="406"/>
      <c r="R73" s="1505"/>
      <c r="S73" s="1505"/>
      <c r="T73" s="1505"/>
      <c r="U73" s="1505"/>
      <c r="V73" s="1505"/>
      <c r="W73" s="1505"/>
      <c r="X73" s="1505"/>
      <c r="Y73" s="1505"/>
      <c r="Z73" s="1505"/>
      <c r="AA73" s="1505"/>
      <c r="AB73" s="1505"/>
      <c r="AC73" s="1505"/>
    </row>
    <row r="74" spans="1:29" ht="15.75" thickBot="1">
      <c r="A74" s="1265" t="s">
        <v>1261</v>
      </c>
      <c r="B74" s="1402">
        <f>$B$2</f>
        <v>0</v>
      </c>
      <c r="C74" s="1406" t="e">
        <f t="shared" ref="C74:L74" ca="1" si="1">IF(Small_F,R74,C75)</f>
        <v>#REF!</v>
      </c>
      <c r="D74" s="1407" t="e">
        <f t="shared" ca="1" si="1"/>
        <v>#REF!</v>
      </c>
      <c r="E74" s="1407" t="e">
        <f t="shared" ca="1" si="1"/>
        <v>#REF!</v>
      </c>
      <c r="F74" s="1407" t="e">
        <f t="shared" ca="1" si="1"/>
        <v>#REF!</v>
      </c>
      <c r="G74" s="1407" t="e">
        <f t="shared" ca="1" si="1"/>
        <v>#REF!</v>
      </c>
      <c r="H74" s="1407" t="e">
        <f t="shared" ca="1" si="1"/>
        <v>#REF!</v>
      </c>
      <c r="I74" s="1407" t="e">
        <f t="shared" ca="1" si="1"/>
        <v>#REF!</v>
      </c>
      <c r="J74" s="1407" t="e">
        <f t="shared" ca="1" si="1"/>
        <v>#REF!</v>
      </c>
      <c r="K74" s="1407" t="e">
        <f t="shared" ca="1" si="1"/>
        <v>#REF!</v>
      </c>
      <c r="L74" s="1408" t="e">
        <f t="shared" ca="1" si="1"/>
        <v>#REF!</v>
      </c>
      <c r="M74" s="1264" t="s">
        <v>4175</v>
      </c>
      <c r="N74" s="3168" t="e">
        <f ca="1">INDEX(BFTr5Hefactor,sysJ2_index,RPM_index)</f>
        <v>#REF!</v>
      </c>
      <c r="P74" s="1405"/>
      <c r="Q74" s="406"/>
      <c r="R74" s="1506">
        <v>0.25</v>
      </c>
      <c r="S74" s="1507">
        <v>0.25</v>
      </c>
      <c r="T74" s="1507">
        <v>0.25</v>
      </c>
      <c r="U74" s="1507">
        <v>0.25</v>
      </c>
      <c r="V74" s="1507">
        <v>0.25</v>
      </c>
      <c r="W74" s="1507">
        <v>0.25</v>
      </c>
      <c r="X74" s="1507">
        <v>0.25</v>
      </c>
      <c r="Y74" s="1507">
        <v>0.25</v>
      </c>
      <c r="Z74" s="1507">
        <v>0.25</v>
      </c>
      <c r="AA74" s="1508">
        <v>0.25</v>
      </c>
      <c r="AB74" s="1505"/>
      <c r="AC74" s="1505"/>
    </row>
    <row r="75" spans="1:29">
      <c r="A75" s="3979">
        <v>171209</v>
      </c>
      <c r="B75" s="1402">
        <f>$B$3</f>
        <v>0.1</v>
      </c>
      <c r="C75" s="3155">
        <v>0.25</v>
      </c>
      <c r="D75" s="3156">
        <v>0.25</v>
      </c>
      <c r="E75" s="3156">
        <v>0.25</v>
      </c>
      <c r="F75" s="3156">
        <v>0.25</v>
      </c>
      <c r="G75" s="3156">
        <v>0.25</v>
      </c>
      <c r="H75" s="3156">
        <v>0.25</v>
      </c>
      <c r="I75" s="3156">
        <v>0.25</v>
      </c>
      <c r="J75" s="3156">
        <v>0.3</v>
      </c>
      <c r="K75" s="3156">
        <v>0.4</v>
      </c>
      <c r="L75" s="3157">
        <v>0.5</v>
      </c>
      <c r="M75" s="1264"/>
      <c r="N75" s="3169"/>
      <c r="P75" s="1405"/>
      <c r="Q75" s="406"/>
      <c r="R75" s="1505"/>
      <c r="S75" s="1505"/>
      <c r="T75" s="1505"/>
      <c r="U75" s="1505"/>
      <c r="V75" s="1505"/>
      <c r="W75" s="1505"/>
      <c r="X75" s="1505"/>
      <c r="Y75" s="1505"/>
      <c r="Z75" s="1505"/>
      <c r="AA75" s="1505"/>
      <c r="AB75" s="1505"/>
      <c r="AC75" s="1505"/>
    </row>
    <row r="76" spans="1:29" ht="15.75" thickBot="1">
      <c r="A76" s="3980"/>
      <c r="B76" s="1402">
        <f>$B$4</f>
        <v>0.125</v>
      </c>
      <c r="C76" s="3155">
        <v>0.25</v>
      </c>
      <c r="D76" s="3156">
        <v>0.25</v>
      </c>
      <c r="E76" s="3156">
        <v>0.25</v>
      </c>
      <c r="F76" s="3156">
        <v>0.25</v>
      </c>
      <c r="G76" s="3156">
        <v>0.25</v>
      </c>
      <c r="H76" s="3156">
        <v>0.25</v>
      </c>
      <c r="I76" s="3156">
        <v>0.3</v>
      </c>
      <c r="J76" s="3156">
        <v>0.4</v>
      </c>
      <c r="K76" s="3156">
        <v>0.5</v>
      </c>
      <c r="L76" s="3157">
        <v>0.6</v>
      </c>
      <c r="M76" s="1264"/>
      <c r="N76" s="3169"/>
      <c r="P76" s="1405"/>
      <c r="Q76" s="406"/>
      <c r="R76" s="1505"/>
      <c r="S76" s="1505"/>
      <c r="T76" s="1505"/>
      <c r="U76" s="1505"/>
      <c r="V76" s="1505"/>
      <c r="W76" s="1505"/>
      <c r="X76" s="1505"/>
      <c r="Y76" s="1505"/>
      <c r="Z76" s="1505"/>
      <c r="AA76" s="1505"/>
      <c r="AB76" s="1505"/>
      <c r="AC76" s="1505"/>
    </row>
    <row r="77" spans="1:29">
      <c r="A77" s="1264"/>
      <c r="B77" s="1402">
        <f>$B$5</f>
        <v>0.15</v>
      </c>
      <c r="C77" s="3155">
        <v>0.25</v>
      </c>
      <c r="D77" s="3156">
        <v>0.25</v>
      </c>
      <c r="E77" s="3156">
        <v>0.25</v>
      </c>
      <c r="F77" s="3156">
        <v>0.25</v>
      </c>
      <c r="G77" s="3156">
        <v>0.25</v>
      </c>
      <c r="H77" s="3156">
        <v>0.3</v>
      </c>
      <c r="I77" s="3156">
        <v>0.4</v>
      </c>
      <c r="J77" s="3156">
        <v>0.5</v>
      </c>
      <c r="K77" s="3156">
        <v>0.6</v>
      </c>
      <c r="L77" s="3157">
        <v>0.7</v>
      </c>
      <c r="M77" s="1264"/>
      <c r="P77" s="1405"/>
      <c r="Q77" s="406"/>
      <c r="R77" s="1505"/>
      <c r="S77" s="1505"/>
      <c r="T77" s="1505"/>
      <c r="U77" s="1505"/>
      <c r="V77" s="1505"/>
      <c r="W77" s="1505"/>
      <c r="X77" s="1505"/>
      <c r="Y77" s="1505"/>
      <c r="Z77" s="1505"/>
      <c r="AA77" s="1505"/>
      <c r="AB77" s="1505"/>
      <c r="AC77" s="1505"/>
    </row>
    <row r="78" spans="1:29">
      <c r="A78" s="1264"/>
      <c r="B78" s="1402">
        <f>$B$6</f>
        <v>0.17499999999999999</v>
      </c>
      <c r="C78" s="3155">
        <v>0.25</v>
      </c>
      <c r="D78" s="3156">
        <v>0.25</v>
      </c>
      <c r="E78" s="3156">
        <v>0.25</v>
      </c>
      <c r="F78" s="3156">
        <v>0.25</v>
      </c>
      <c r="G78" s="3156">
        <v>0.3</v>
      </c>
      <c r="H78" s="3156">
        <v>0.4</v>
      </c>
      <c r="I78" s="3156">
        <v>0.5</v>
      </c>
      <c r="J78" s="3156">
        <v>0.6</v>
      </c>
      <c r="K78" s="3156">
        <v>0.7</v>
      </c>
      <c r="L78" s="3157">
        <v>0.8</v>
      </c>
      <c r="M78" s="1264"/>
      <c r="P78" s="1405"/>
      <c r="Q78" s="406"/>
      <c r="R78" s="1505"/>
      <c r="S78" s="1505"/>
      <c r="T78" s="1505"/>
      <c r="U78" s="1505"/>
      <c r="V78" s="1505"/>
      <c r="W78" s="1505"/>
      <c r="X78" s="1505"/>
      <c r="Y78" s="1505"/>
      <c r="Z78" s="1505"/>
      <c r="AA78" s="1505"/>
      <c r="AB78" s="1505"/>
      <c r="AC78" s="1505"/>
    </row>
    <row r="79" spans="1:29">
      <c r="A79" s="1264"/>
      <c r="B79" s="1402">
        <f>$B$7</f>
        <v>0.2</v>
      </c>
      <c r="C79" s="3155">
        <v>0.25</v>
      </c>
      <c r="D79" s="3156">
        <v>0.25</v>
      </c>
      <c r="E79" s="3156">
        <v>0.25</v>
      </c>
      <c r="F79" s="3156">
        <v>0.3</v>
      </c>
      <c r="G79" s="3156">
        <v>0.4</v>
      </c>
      <c r="H79" s="3156">
        <v>0.5</v>
      </c>
      <c r="I79" s="3156">
        <v>0.6</v>
      </c>
      <c r="J79" s="3156">
        <v>0.7</v>
      </c>
      <c r="K79" s="3156">
        <v>0.8</v>
      </c>
      <c r="L79" s="3157">
        <v>0.9</v>
      </c>
      <c r="M79" s="1264"/>
      <c r="P79" s="1405"/>
      <c r="Q79" s="406"/>
      <c r="R79" s="1505"/>
      <c r="S79" s="1505"/>
      <c r="T79" s="1505"/>
      <c r="U79" s="1505"/>
      <c r="V79" s="1505"/>
      <c r="W79" s="1505"/>
      <c r="X79" s="1505"/>
      <c r="Y79" s="1505"/>
      <c r="Z79" s="1505"/>
      <c r="AA79" s="1505"/>
      <c r="AB79" s="1505"/>
      <c r="AC79" s="1505"/>
    </row>
    <row r="80" spans="1:29">
      <c r="A80" s="1264"/>
      <c r="B80" s="1402">
        <f>$B$8</f>
        <v>0.25</v>
      </c>
      <c r="C80" s="3155">
        <v>0.25</v>
      </c>
      <c r="D80" s="3156">
        <v>0.25</v>
      </c>
      <c r="E80" s="3156">
        <v>0.3</v>
      </c>
      <c r="F80" s="3156">
        <v>0.4</v>
      </c>
      <c r="G80" s="3156">
        <v>0.5</v>
      </c>
      <c r="H80" s="3156">
        <v>0.6</v>
      </c>
      <c r="I80" s="3156">
        <v>0.7</v>
      </c>
      <c r="J80" s="3156">
        <v>0.8</v>
      </c>
      <c r="K80" s="3156">
        <v>0.9</v>
      </c>
      <c r="L80" s="3157">
        <v>1</v>
      </c>
      <c r="M80" s="1264"/>
      <c r="P80" s="1405"/>
      <c r="Q80" s="406"/>
      <c r="R80" s="1505"/>
      <c r="S80" s="1505"/>
      <c r="T80" s="1505"/>
      <c r="U80" s="1505"/>
      <c r="V80" s="1505"/>
      <c r="W80" s="1505"/>
      <c r="X80" s="1505"/>
      <c r="Y80" s="1505"/>
      <c r="Z80" s="1505"/>
      <c r="AA80" s="1505"/>
      <c r="AB80" s="1505"/>
      <c r="AC80" s="1505"/>
    </row>
    <row r="81" spans="1:29">
      <c r="A81" s="1264"/>
      <c r="B81" s="1402">
        <f>$B$9</f>
        <v>0.375</v>
      </c>
      <c r="C81" s="3155">
        <v>0.25</v>
      </c>
      <c r="D81" s="3156">
        <v>0.3</v>
      </c>
      <c r="E81" s="3156">
        <v>0.4</v>
      </c>
      <c r="F81" s="3156">
        <v>0.5</v>
      </c>
      <c r="G81" s="3156">
        <v>0.6</v>
      </c>
      <c r="H81" s="3156">
        <v>0.7</v>
      </c>
      <c r="I81" s="3156">
        <v>0.8</v>
      </c>
      <c r="J81" s="3156">
        <v>0.9</v>
      </c>
      <c r="K81" s="3156">
        <v>1</v>
      </c>
      <c r="L81" s="3157">
        <v>1</v>
      </c>
      <c r="M81" s="1264"/>
      <c r="P81" s="1405"/>
      <c r="Q81" s="406"/>
      <c r="R81" s="1505"/>
      <c r="S81" s="1505"/>
      <c r="T81" s="1505"/>
      <c r="U81" s="1505"/>
      <c r="V81" s="1505"/>
      <c r="W81" s="1505"/>
      <c r="X81" s="1505"/>
      <c r="Y81" s="1505"/>
      <c r="Z81" s="1505"/>
      <c r="AA81" s="1505"/>
      <c r="AB81" s="1505"/>
      <c r="AC81" s="1505"/>
    </row>
    <row r="82" spans="1:29">
      <c r="A82" s="1264"/>
      <c r="B82" s="1402">
        <f>$B$10</f>
        <v>0.5</v>
      </c>
      <c r="C82" s="3155">
        <v>0.3</v>
      </c>
      <c r="D82" s="3156">
        <v>0.4</v>
      </c>
      <c r="E82" s="3156">
        <v>0.5</v>
      </c>
      <c r="F82" s="3156">
        <v>0.6</v>
      </c>
      <c r="G82" s="3156">
        <v>0.7</v>
      </c>
      <c r="H82" s="3156">
        <v>0.8</v>
      </c>
      <c r="I82" s="3156">
        <v>0.9</v>
      </c>
      <c r="J82" s="3156">
        <v>1</v>
      </c>
      <c r="K82" s="3156">
        <v>1</v>
      </c>
      <c r="L82" s="3157">
        <v>1</v>
      </c>
      <c r="M82" s="1264"/>
      <c r="P82" s="1405"/>
      <c r="Q82" s="406"/>
      <c r="R82" s="1505"/>
      <c r="S82" s="1505"/>
      <c r="T82" s="1505"/>
      <c r="U82" s="1505"/>
      <c r="V82" s="1505"/>
      <c r="W82" s="1505"/>
      <c r="X82" s="1505"/>
      <c r="Y82" s="1505"/>
      <c r="Z82" s="1505"/>
      <c r="AA82" s="1505"/>
      <c r="AB82" s="1505"/>
      <c r="AC82" s="1505"/>
    </row>
    <row r="83" spans="1:29">
      <c r="A83" s="1264"/>
      <c r="B83" s="1402">
        <f>$B$11</f>
        <v>1</v>
      </c>
      <c r="C83" s="3155">
        <v>0.4</v>
      </c>
      <c r="D83" s="3156">
        <v>0.5</v>
      </c>
      <c r="E83" s="3156">
        <v>0.6</v>
      </c>
      <c r="F83" s="3156">
        <v>0.7</v>
      </c>
      <c r="G83" s="3156">
        <v>0.8</v>
      </c>
      <c r="H83" s="3156">
        <v>0.9</v>
      </c>
      <c r="I83" s="3156">
        <v>1</v>
      </c>
      <c r="J83" s="3156">
        <v>1</v>
      </c>
      <c r="K83" s="3156">
        <v>1</v>
      </c>
      <c r="L83" s="3157">
        <v>1</v>
      </c>
      <c r="M83" s="1264"/>
      <c r="P83" s="1405"/>
      <c r="Q83" s="406"/>
      <c r="R83" s="1505"/>
      <c r="S83" s="1505"/>
      <c r="T83" s="1505"/>
      <c r="U83" s="1505"/>
      <c r="V83" s="1505"/>
      <c r="W83" s="1505"/>
      <c r="X83" s="1505"/>
      <c r="Y83" s="1505"/>
      <c r="Z83" s="1505"/>
      <c r="AA83" s="1505"/>
      <c r="AB83" s="1505"/>
      <c r="AC83" s="1505"/>
    </row>
    <row r="84" spans="1:29">
      <c r="A84" s="1264"/>
      <c r="B84" s="1402">
        <f>$B$12</f>
        <v>1.5</v>
      </c>
      <c r="C84" s="3155">
        <v>0.5</v>
      </c>
      <c r="D84" s="3156">
        <v>0.6</v>
      </c>
      <c r="E84" s="3156">
        <v>0.7</v>
      </c>
      <c r="F84" s="3156">
        <v>0.8</v>
      </c>
      <c r="G84" s="3156">
        <v>0.9</v>
      </c>
      <c r="H84" s="3156">
        <v>1</v>
      </c>
      <c r="I84" s="3156">
        <v>1</v>
      </c>
      <c r="J84" s="3156">
        <v>1</v>
      </c>
      <c r="K84" s="3156">
        <v>1</v>
      </c>
      <c r="L84" s="3157">
        <v>1</v>
      </c>
      <c r="M84" s="1264"/>
      <c r="P84" s="1405"/>
      <c r="Q84" s="406"/>
      <c r="R84" s="1505"/>
      <c r="S84" s="1505"/>
      <c r="T84" s="1505"/>
      <c r="U84" s="1505"/>
      <c r="V84" s="1505"/>
      <c r="W84" s="1505"/>
      <c r="X84" s="1505"/>
      <c r="Y84" s="1505"/>
      <c r="Z84" s="1505"/>
      <c r="AA84" s="1505"/>
      <c r="AB84" s="1505"/>
      <c r="AC84" s="1505"/>
    </row>
    <row r="85" spans="1:29">
      <c r="A85" s="1264"/>
      <c r="B85" s="1402">
        <f>$B$13</f>
        <v>2</v>
      </c>
      <c r="C85" s="3158">
        <v>0.6</v>
      </c>
      <c r="D85" s="3159">
        <v>0.7</v>
      </c>
      <c r="E85" s="3159">
        <v>0.8</v>
      </c>
      <c r="F85" s="3159">
        <v>0.9</v>
      </c>
      <c r="G85" s="3159">
        <v>1</v>
      </c>
      <c r="H85" s="3159">
        <v>1</v>
      </c>
      <c r="I85" s="3160">
        <v>1</v>
      </c>
      <c r="J85" s="3161">
        <v>1</v>
      </c>
      <c r="K85" s="3159">
        <v>1</v>
      </c>
      <c r="L85" s="3162">
        <v>1</v>
      </c>
      <c r="M85" s="1264"/>
      <c r="P85" s="1405"/>
      <c r="Q85" s="406"/>
      <c r="R85" s="1505"/>
      <c r="S85" s="1505"/>
      <c r="T85" s="1505"/>
      <c r="U85" s="1505"/>
      <c r="V85" s="1505"/>
      <c r="W85" s="1505"/>
      <c r="X85" s="1505"/>
      <c r="Y85" s="1505"/>
      <c r="Z85" s="1505"/>
      <c r="AA85" s="1505"/>
      <c r="AB85" s="1505"/>
      <c r="AC85" s="1505"/>
    </row>
    <row r="86" spans="1:29">
      <c r="A86" s="1264"/>
      <c r="B86" s="1402">
        <f>$B$14</f>
        <v>2.5</v>
      </c>
      <c r="C86" s="3163">
        <v>0.7</v>
      </c>
      <c r="D86" s="3159">
        <v>0.8</v>
      </c>
      <c r="E86" s="3159">
        <v>0.9</v>
      </c>
      <c r="F86" s="3159">
        <v>1</v>
      </c>
      <c r="G86" s="3159">
        <v>1</v>
      </c>
      <c r="H86" s="3159">
        <v>1</v>
      </c>
      <c r="I86" s="3159">
        <v>1</v>
      </c>
      <c r="J86" s="3159">
        <v>1</v>
      </c>
      <c r="K86" s="3164">
        <v>1</v>
      </c>
      <c r="L86" s="3162">
        <v>1</v>
      </c>
      <c r="M86" s="1264"/>
      <c r="P86" s="1405"/>
      <c r="Q86" s="406"/>
      <c r="R86" s="1505"/>
      <c r="S86" s="1505"/>
      <c r="T86" s="1505"/>
      <c r="U86" s="1505"/>
      <c r="V86" s="1505"/>
      <c r="W86" s="1505"/>
      <c r="X86" s="1505"/>
      <c r="Y86" s="1505"/>
      <c r="Z86" s="1505"/>
      <c r="AA86" s="1505"/>
      <c r="AB86" s="1505"/>
      <c r="AC86" s="1505"/>
    </row>
    <row r="87" spans="1:29">
      <c r="A87" s="1264"/>
      <c r="B87" s="1402">
        <f>$B$15</f>
        <v>3</v>
      </c>
      <c r="C87" s="3163">
        <v>0.8</v>
      </c>
      <c r="D87" s="3159">
        <v>0.9</v>
      </c>
      <c r="E87" s="3159">
        <v>1</v>
      </c>
      <c r="F87" s="3159">
        <v>1</v>
      </c>
      <c r="G87" s="3159">
        <v>1</v>
      </c>
      <c r="H87" s="3159">
        <v>1</v>
      </c>
      <c r="I87" s="3159">
        <v>1</v>
      </c>
      <c r="J87" s="3164">
        <v>1</v>
      </c>
      <c r="K87" s="3164">
        <v>1</v>
      </c>
      <c r="L87" s="3162">
        <v>1</v>
      </c>
      <c r="M87" s="1264"/>
      <c r="P87" s="1405"/>
      <c r="Q87" s="406"/>
      <c r="R87" s="1505"/>
      <c r="S87" s="1505"/>
      <c r="T87" s="1505"/>
      <c r="U87" s="1505"/>
      <c r="V87" s="1505"/>
      <c r="W87" s="1505"/>
      <c r="X87" s="1505"/>
      <c r="Y87" s="1505"/>
      <c r="Z87" s="1505"/>
      <c r="AA87" s="1505"/>
      <c r="AB87" s="1505"/>
      <c r="AC87" s="1505"/>
    </row>
    <row r="88" spans="1:29">
      <c r="A88" s="1264"/>
      <c r="B88" s="1402">
        <f>$B$16</f>
        <v>4</v>
      </c>
      <c r="C88" s="3163">
        <v>0.9</v>
      </c>
      <c r="D88" s="3159">
        <v>1</v>
      </c>
      <c r="E88" s="3159">
        <v>1</v>
      </c>
      <c r="F88" s="3159">
        <v>1</v>
      </c>
      <c r="G88" s="3159">
        <v>1</v>
      </c>
      <c r="H88" s="3159">
        <v>1</v>
      </c>
      <c r="I88" s="3164">
        <v>1</v>
      </c>
      <c r="J88" s="3164">
        <v>1</v>
      </c>
      <c r="K88" s="3164">
        <v>1</v>
      </c>
      <c r="L88" s="3162">
        <v>1</v>
      </c>
      <c r="M88" s="1264"/>
      <c r="P88" s="1405"/>
      <c r="Q88" s="406"/>
      <c r="R88" s="1505"/>
      <c r="S88" s="1505"/>
      <c r="T88" s="1505"/>
      <c r="U88" s="1505"/>
      <c r="V88" s="1505"/>
      <c r="W88" s="1505"/>
      <c r="X88" s="1505"/>
      <c r="Y88" s="1505"/>
      <c r="Z88" s="1505"/>
      <c r="AA88" s="1505"/>
      <c r="AB88" s="1505"/>
      <c r="AC88" s="1505"/>
    </row>
    <row r="89" spans="1:29" ht="15.75" thickBot="1">
      <c r="A89" s="1264"/>
      <c r="B89" s="1402">
        <f>$B$17</f>
        <v>5</v>
      </c>
      <c r="C89" s="3165">
        <v>1</v>
      </c>
      <c r="D89" s="3166">
        <v>1</v>
      </c>
      <c r="E89" s="3166">
        <v>1</v>
      </c>
      <c r="F89" s="3166">
        <v>1</v>
      </c>
      <c r="G89" s="3166">
        <v>1</v>
      </c>
      <c r="H89" s="3166">
        <v>1</v>
      </c>
      <c r="I89" s="3166">
        <v>1</v>
      </c>
      <c r="J89" s="3166">
        <v>1</v>
      </c>
      <c r="K89" s="3166">
        <v>1</v>
      </c>
      <c r="L89" s="3167">
        <v>1</v>
      </c>
      <c r="M89" s="1264"/>
      <c r="P89" s="1405"/>
      <c r="Q89" s="406"/>
      <c r="R89" s="1505"/>
      <c r="S89" s="1505"/>
      <c r="T89" s="1505"/>
      <c r="U89" s="1505"/>
      <c r="V89" s="1505"/>
      <c r="W89" s="1505"/>
      <c r="X89" s="1505"/>
      <c r="Y89" s="1505"/>
      <c r="Z89" s="1505"/>
      <c r="AA89" s="1505"/>
      <c r="AB89" s="1505"/>
      <c r="AC89" s="1505"/>
    </row>
    <row r="90" spans="1:29">
      <c r="R90" s="1505"/>
      <c r="S90" s="1505"/>
      <c r="T90" s="1505"/>
      <c r="U90" s="1505"/>
      <c r="V90" s="1505"/>
      <c r="W90" s="1505"/>
      <c r="X90" s="1505"/>
      <c r="Y90" s="1505"/>
      <c r="Z90" s="1505"/>
      <c r="AA90" s="1505"/>
      <c r="AB90" s="1505"/>
      <c r="AC90" s="1505"/>
    </row>
    <row r="91" spans="1:29" ht="15.75" thickBot="1">
      <c r="A91" s="1264" t="s">
        <v>4176</v>
      </c>
      <c r="B91" s="1402"/>
      <c r="C91" s="1400">
        <f>$C$1</f>
        <v>750</v>
      </c>
      <c r="D91" s="1400">
        <f>$D$1</f>
        <v>900</v>
      </c>
      <c r="E91" s="1400">
        <f>$E$1</f>
        <v>1000</v>
      </c>
      <c r="F91" s="1400">
        <f>$F$1</f>
        <v>1200</v>
      </c>
      <c r="G91" s="1400">
        <f>$G$1</f>
        <v>1350</v>
      </c>
      <c r="H91" s="1400">
        <f>$H$1</f>
        <v>1500</v>
      </c>
      <c r="I91" s="1400">
        <f>$I$1</f>
        <v>1800</v>
      </c>
      <c r="J91" s="1400">
        <f>$J$1</f>
        <v>2400</v>
      </c>
      <c r="K91" s="1400">
        <f>$K$1</f>
        <v>3000</v>
      </c>
      <c r="L91" s="1400">
        <f>$L$1</f>
        <v>3600</v>
      </c>
      <c r="M91" s="1264" t="s">
        <v>227</v>
      </c>
      <c r="P91" s="1405"/>
      <c r="Q91" s="406"/>
      <c r="R91" s="1505"/>
      <c r="S91" s="1505"/>
      <c r="T91" s="1505"/>
      <c r="U91" s="1505"/>
      <c r="V91" s="1505"/>
      <c r="W91" s="1505"/>
      <c r="X91" s="1505"/>
      <c r="Y91" s="1505"/>
      <c r="Z91" s="1505"/>
      <c r="AA91" s="1505"/>
      <c r="AB91" s="1505"/>
      <c r="AC91" s="1505"/>
    </row>
    <row r="92" spans="1:29" ht="15.75" thickBot="1">
      <c r="A92" s="1265" t="s">
        <v>1261</v>
      </c>
      <c r="B92" s="1402">
        <f>$B$2</f>
        <v>0</v>
      </c>
      <c r="C92" s="1406" t="e">
        <f t="shared" ref="C92" ca="1" si="2">IF(Small_F,R92,C93)</f>
        <v>#REF!</v>
      </c>
      <c r="D92" s="1407" t="e">
        <f t="shared" ref="D92" ca="1" si="3">IF(Small_F,S92,D93)</f>
        <v>#REF!</v>
      </c>
      <c r="E92" s="1407" t="e">
        <f t="shared" ref="E92" ca="1" si="4">IF(Small_F,T92,E93)</f>
        <v>#REF!</v>
      </c>
      <c r="F92" s="1407" t="e">
        <f t="shared" ref="F92" ca="1" si="5">IF(Small_F,U92,F93)</f>
        <v>#REF!</v>
      </c>
      <c r="G92" s="1407" t="e">
        <f t="shared" ref="G92" ca="1" si="6">IF(Small_F,V92,G93)</f>
        <v>#REF!</v>
      </c>
      <c r="H92" s="1407" t="e">
        <f t="shared" ref="H92" ca="1" si="7">IF(Small_F,W92,H93)</f>
        <v>#REF!</v>
      </c>
      <c r="I92" s="1407" t="e">
        <f t="shared" ref="I92" ca="1" si="8">IF(Small_F,X92,I93)</f>
        <v>#REF!</v>
      </c>
      <c r="J92" s="1407" t="e">
        <f t="shared" ref="J92" ca="1" si="9">IF(Small_F,Y92,J93)</f>
        <v>#REF!</v>
      </c>
      <c r="K92" s="1407" t="e">
        <f t="shared" ref="K92" ca="1" si="10">IF(Small_F,Z92,K93)</f>
        <v>#REF!</v>
      </c>
      <c r="L92" s="1408" t="e">
        <f t="shared" ref="L92" ca="1" si="11">IF(Small_F,AA92,L93)</f>
        <v>#REF!</v>
      </c>
      <c r="M92" s="1264" t="s">
        <v>4177</v>
      </c>
      <c r="N92" s="3168" t="e">
        <f ca="1">INDEX(BFTr6Hefactor,sysJ2_index,RPM_index)</f>
        <v>#REF!</v>
      </c>
      <c r="P92" s="1405"/>
      <c r="Q92" s="406"/>
      <c r="R92" s="1506">
        <v>0</v>
      </c>
      <c r="S92" s="1507">
        <v>0</v>
      </c>
      <c r="T92" s="1507">
        <v>0</v>
      </c>
      <c r="U92" s="1507">
        <v>0</v>
      </c>
      <c r="V92" s="1507">
        <v>0</v>
      </c>
      <c r="W92" s="1507">
        <v>0</v>
      </c>
      <c r="X92" s="1507">
        <v>0</v>
      </c>
      <c r="Y92" s="1507">
        <v>0</v>
      </c>
      <c r="Z92" s="1507">
        <v>0</v>
      </c>
      <c r="AA92" s="1508">
        <v>0</v>
      </c>
      <c r="AB92" s="1505"/>
      <c r="AC92" s="1505"/>
    </row>
    <row r="93" spans="1:29">
      <c r="A93" s="3979">
        <v>171209</v>
      </c>
      <c r="B93" s="1402">
        <f>$B$3</f>
        <v>0.1</v>
      </c>
      <c r="C93" s="3155">
        <v>0</v>
      </c>
      <c r="D93" s="3156">
        <v>0</v>
      </c>
      <c r="E93" s="3156">
        <v>0</v>
      </c>
      <c r="F93" s="3156">
        <v>0</v>
      </c>
      <c r="G93" s="3156">
        <v>0</v>
      </c>
      <c r="H93" s="3156">
        <v>0</v>
      </c>
      <c r="I93" s="3156">
        <v>0</v>
      </c>
      <c r="J93" s="3156">
        <v>0</v>
      </c>
      <c r="K93" s="3156">
        <v>0</v>
      </c>
      <c r="L93" s="3157">
        <v>0</v>
      </c>
      <c r="M93" s="1264"/>
      <c r="N93" s="3169"/>
      <c r="P93" s="1405"/>
      <c r="Q93" s="406"/>
      <c r="R93" s="1505"/>
      <c r="S93" s="1505"/>
      <c r="T93" s="1505"/>
      <c r="U93" s="1505"/>
      <c r="V93" s="1505"/>
      <c r="W93" s="1505"/>
      <c r="X93" s="1505"/>
      <c r="Y93" s="1505"/>
      <c r="Z93" s="1505"/>
      <c r="AA93" s="1505"/>
      <c r="AB93" s="1505"/>
      <c r="AC93" s="1505"/>
    </row>
    <row r="94" spans="1:29" ht="15.75" thickBot="1">
      <c r="A94" s="3980"/>
      <c r="B94" s="1402">
        <f>$B$4</f>
        <v>0.125</v>
      </c>
      <c r="C94" s="3155">
        <v>0</v>
      </c>
      <c r="D94" s="3156">
        <v>0</v>
      </c>
      <c r="E94" s="3156">
        <v>0</v>
      </c>
      <c r="F94" s="3156">
        <v>0</v>
      </c>
      <c r="G94" s="3156">
        <v>0</v>
      </c>
      <c r="H94" s="3156">
        <v>0</v>
      </c>
      <c r="I94" s="3156">
        <v>0</v>
      </c>
      <c r="J94" s="3156">
        <v>0</v>
      </c>
      <c r="K94" s="3156">
        <v>0</v>
      </c>
      <c r="L94" s="3157">
        <v>0</v>
      </c>
      <c r="M94" s="1264"/>
      <c r="N94" s="3169"/>
      <c r="P94" s="1405"/>
      <c r="Q94" s="406"/>
      <c r="R94" s="1505"/>
      <c r="S94" s="1505"/>
      <c r="T94" s="1505"/>
      <c r="U94" s="1505"/>
      <c r="V94" s="1505"/>
      <c r="W94" s="1505"/>
      <c r="X94" s="1505"/>
      <c r="Y94" s="1505"/>
      <c r="Z94" s="1505"/>
      <c r="AA94" s="1505"/>
      <c r="AB94" s="1505"/>
      <c r="AC94" s="1505"/>
    </row>
    <row r="95" spans="1:29">
      <c r="A95" s="1264"/>
      <c r="B95" s="1402">
        <f>$B$5</f>
        <v>0.15</v>
      </c>
      <c r="C95" s="3155">
        <v>0</v>
      </c>
      <c r="D95" s="3156">
        <v>0</v>
      </c>
      <c r="E95" s="3156">
        <v>0</v>
      </c>
      <c r="F95" s="3156">
        <v>0</v>
      </c>
      <c r="G95" s="3156">
        <v>0</v>
      </c>
      <c r="H95" s="3156">
        <v>0</v>
      </c>
      <c r="I95" s="3156">
        <v>0</v>
      </c>
      <c r="J95" s="3156">
        <v>0</v>
      </c>
      <c r="K95" s="3156">
        <v>0</v>
      </c>
      <c r="L95" s="3157">
        <v>0</v>
      </c>
      <c r="M95" s="1264"/>
      <c r="P95" s="1405"/>
      <c r="Q95" s="406"/>
      <c r="R95" s="1505"/>
      <c r="S95" s="1505"/>
      <c r="T95" s="1505"/>
      <c r="U95" s="1505"/>
      <c r="V95" s="1505"/>
      <c r="W95" s="1505"/>
      <c r="X95" s="1505"/>
      <c r="Y95" s="1505"/>
      <c r="Z95" s="1505"/>
      <c r="AA95" s="1505"/>
      <c r="AB95" s="1505"/>
      <c r="AC95" s="1505"/>
    </row>
    <row r="96" spans="1:29">
      <c r="A96" s="1264"/>
      <c r="B96" s="1402">
        <f>$B$6</f>
        <v>0.17499999999999999</v>
      </c>
      <c r="C96" s="3155">
        <v>0</v>
      </c>
      <c r="D96" s="3156">
        <v>0</v>
      </c>
      <c r="E96" s="3156">
        <v>0</v>
      </c>
      <c r="F96" s="3156">
        <v>0</v>
      </c>
      <c r="G96" s="3156">
        <v>0</v>
      </c>
      <c r="H96" s="3156">
        <v>0</v>
      </c>
      <c r="I96" s="3156">
        <v>0</v>
      </c>
      <c r="J96" s="3156">
        <v>0</v>
      </c>
      <c r="K96" s="3156">
        <v>0</v>
      </c>
      <c r="L96" s="3157">
        <v>0</v>
      </c>
      <c r="M96" s="1264"/>
      <c r="P96" s="1405"/>
      <c r="Q96" s="406"/>
      <c r="R96" s="1505"/>
      <c r="S96" s="1505"/>
      <c r="T96" s="1505"/>
      <c r="U96" s="1505"/>
      <c r="V96" s="1505"/>
      <c r="W96" s="1505"/>
      <c r="X96" s="1505"/>
      <c r="Y96" s="1505"/>
      <c r="Z96" s="1505"/>
      <c r="AA96" s="1505"/>
      <c r="AB96" s="1505"/>
      <c r="AC96" s="1505"/>
    </row>
    <row r="97" spans="1:29">
      <c r="A97" s="1264"/>
      <c r="B97" s="1402">
        <f>$B$7</f>
        <v>0.2</v>
      </c>
      <c r="C97" s="3155">
        <v>0</v>
      </c>
      <c r="D97" s="3156">
        <v>0</v>
      </c>
      <c r="E97" s="3156">
        <v>0</v>
      </c>
      <c r="F97" s="3156">
        <v>0</v>
      </c>
      <c r="G97" s="3156">
        <v>0</v>
      </c>
      <c r="H97" s="3156">
        <v>0</v>
      </c>
      <c r="I97" s="3156">
        <v>0</v>
      </c>
      <c r="J97" s="3156">
        <v>0</v>
      </c>
      <c r="K97" s="3156">
        <v>0</v>
      </c>
      <c r="L97" s="3157">
        <v>0</v>
      </c>
      <c r="M97" s="1264"/>
      <c r="P97" s="1405"/>
      <c r="Q97" s="406"/>
      <c r="R97" s="1505"/>
      <c r="S97" s="1505"/>
      <c r="T97" s="1505"/>
      <c r="U97" s="1505"/>
      <c r="V97" s="1505"/>
      <c r="W97" s="1505"/>
      <c r="X97" s="1505"/>
      <c r="Y97" s="1505"/>
      <c r="Z97" s="1505"/>
      <c r="AA97" s="1505"/>
      <c r="AB97" s="1505"/>
      <c r="AC97" s="1505"/>
    </row>
    <row r="98" spans="1:29">
      <c r="A98" s="1264"/>
      <c r="B98" s="1402">
        <f>$B$8</f>
        <v>0.25</v>
      </c>
      <c r="C98" s="3155">
        <v>0</v>
      </c>
      <c r="D98" s="3156">
        <v>0</v>
      </c>
      <c r="E98" s="3156">
        <v>0</v>
      </c>
      <c r="F98" s="3156">
        <v>0</v>
      </c>
      <c r="G98" s="3156">
        <v>0</v>
      </c>
      <c r="H98" s="3156">
        <v>0</v>
      </c>
      <c r="I98" s="3156">
        <v>0</v>
      </c>
      <c r="J98" s="3156">
        <v>0</v>
      </c>
      <c r="K98" s="3156">
        <v>0</v>
      </c>
      <c r="L98" s="3157">
        <v>0</v>
      </c>
      <c r="M98" s="1264"/>
      <c r="P98" s="1405"/>
      <c r="Q98" s="406"/>
      <c r="R98" s="1505"/>
      <c r="S98" s="1505"/>
      <c r="T98" s="1505"/>
      <c r="U98" s="1505"/>
      <c r="V98" s="1505"/>
      <c r="W98" s="1505"/>
      <c r="X98" s="1505"/>
      <c r="Y98" s="1505"/>
      <c r="Z98" s="1505"/>
      <c r="AA98" s="1505"/>
      <c r="AB98" s="1505"/>
      <c r="AC98" s="1505"/>
    </row>
    <row r="99" spans="1:29">
      <c r="A99" s="1264"/>
      <c r="B99" s="1402">
        <f>$B$9</f>
        <v>0.375</v>
      </c>
      <c r="C99" s="3155">
        <v>0</v>
      </c>
      <c r="D99" s="3156">
        <v>0</v>
      </c>
      <c r="E99" s="3156">
        <v>0</v>
      </c>
      <c r="F99" s="3156">
        <v>0</v>
      </c>
      <c r="G99" s="3156">
        <v>0</v>
      </c>
      <c r="H99" s="3156">
        <v>0</v>
      </c>
      <c r="I99" s="3156">
        <v>0</v>
      </c>
      <c r="J99" s="3156">
        <v>0</v>
      </c>
      <c r="K99" s="3156">
        <v>0</v>
      </c>
      <c r="L99" s="3157">
        <v>0</v>
      </c>
      <c r="M99" s="1264"/>
      <c r="P99" s="1405"/>
      <c r="Q99" s="406"/>
      <c r="R99" s="1505"/>
      <c r="S99" s="1505"/>
      <c r="T99" s="1505"/>
      <c r="U99" s="1505"/>
      <c r="V99" s="1505"/>
      <c r="W99" s="1505"/>
      <c r="X99" s="1505"/>
      <c r="Y99" s="1505"/>
      <c r="Z99" s="1505"/>
      <c r="AA99" s="1505"/>
      <c r="AB99" s="1505"/>
      <c r="AC99" s="1505"/>
    </row>
    <row r="100" spans="1:29">
      <c r="A100" s="1264"/>
      <c r="B100" s="1402">
        <f>$B$10</f>
        <v>0.5</v>
      </c>
      <c r="C100" s="3155">
        <v>0</v>
      </c>
      <c r="D100" s="3156">
        <v>0</v>
      </c>
      <c r="E100" s="3156">
        <v>0</v>
      </c>
      <c r="F100" s="3156">
        <v>0</v>
      </c>
      <c r="G100" s="3156">
        <v>0</v>
      </c>
      <c r="H100" s="3156">
        <v>0</v>
      </c>
      <c r="I100" s="3156">
        <v>0</v>
      </c>
      <c r="J100" s="3156">
        <v>0</v>
      </c>
      <c r="K100" s="3156">
        <v>0</v>
      </c>
      <c r="L100" s="3157">
        <v>0</v>
      </c>
      <c r="M100" s="1264"/>
      <c r="P100" s="1405"/>
      <c r="Q100" s="406"/>
      <c r="R100" s="1505"/>
      <c r="S100" s="1505"/>
      <c r="T100" s="1505"/>
      <c r="U100" s="1505"/>
      <c r="V100" s="1505"/>
      <c r="W100" s="1505"/>
      <c r="X100" s="1505"/>
      <c r="Y100" s="1505"/>
      <c r="Z100" s="1505"/>
      <c r="AA100" s="1505"/>
      <c r="AB100" s="1505"/>
      <c r="AC100" s="1505"/>
    </row>
    <row r="101" spans="1:29">
      <c r="A101" s="1264"/>
      <c r="B101" s="1402">
        <f>$B$11</f>
        <v>1</v>
      </c>
      <c r="C101" s="3155">
        <v>0</v>
      </c>
      <c r="D101" s="3156">
        <v>0</v>
      </c>
      <c r="E101" s="3156">
        <v>0</v>
      </c>
      <c r="F101" s="3156">
        <v>0</v>
      </c>
      <c r="G101" s="3156">
        <v>0</v>
      </c>
      <c r="H101" s="3156">
        <v>0</v>
      </c>
      <c r="I101" s="3156">
        <v>0</v>
      </c>
      <c r="J101" s="3156">
        <v>0</v>
      </c>
      <c r="K101" s="3156">
        <v>0</v>
      </c>
      <c r="L101" s="3157">
        <v>0</v>
      </c>
      <c r="M101" s="1264"/>
      <c r="P101" s="1405"/>
      <c r="Q101" s="406"/>
      <c r="R101" s="1505"/>
      <c r="S101" s="1505"/>
      <c r="T101" s="1505"/>
      <c r="U101" s="1505"/>
      <c r="V101" s="1505"/>
      <c r="W101" s="1505"/>
      <c r="X101" s="1505"/>
      <c r="Y101" s="1505"/>
      <c r="Z101" s="1505"/>
      <c r="AA101" s="1505"/>
      <c r="AB101" s="1505"/>
      <c r="AC101" s="1505"/>
    </row>
    <row r="102" spans="1:29">
      <c r="A102" s="1264"/>
      <c r="B102" s="1402">
        <f>$B$12</f>
        <v>1.5</v>
      </c>
      <c r="C102" s="3155">
        <v>0</v>
      </c>
      <c r="D102" s="3156">
        <v>0</v>
      </c>
      <c r="E102" s="3156">
        <v>0</v>
      </c>
      <c r="F102" s="3156">
        <v>0</v>
      </c>
      <c r="G102" s="3156">
        <v>0</v>
      </c>
      <c r="H102" s="3156">
        <v>0</v>
      </c>
      <c r="I102" s="3156">
        <v>0</v>
      </c>
      <c r="J102" s="3156">
        <v>0</v>
      </c>
      <c r="K102" s="3156">
        <v>0</v>
      </c>
      <c r="L102" s="3157">
        <v>0</v>
      </c>
      <c r="M102" s="1264"/>
      <c r="P102" s="1405"/>
      <c r="Q102" s="406"/>
      <c r="R102" s="1505"/>
      <c r="S102" s="1505"/>
      <c r="T102" s="1505"/>
      <c r="U102" s="1505"/>
      <c r="V102" s="1505"/>
      <c r="W102" s="1505"/>
      <c r="X102" s="1505"/>
      <c r="Y102" s="1505"/>
      <c r="Z102" s="1505"/>
      <c r="AA102" s="1505"/>
      <c r="AB102" s="1505"/>
      <c r="AC102" s="1505"/>
    </row>
    <row r="103" spans="1:29">
      <c r="A103" s="1264"/>
      <c r="B103" s="1402">
        <f>$B$13</f>
        <v>2</v>
      </c>
      <c r="C103" s="3158">
        <v>0</v>
      </c>
      <c r="D103" s="3159">
        <v>0</v>
      </c>
      <c r="E103" s="3159">
        <v>0</v>
      </c>
      <c r="F103" s="3159">
        <v>0</v>
      </c>
      <c r="G103" s="3159">
        <v>0</v>
      </c>
      <c r="H103" s="3159">
        <v>0</v>
      </c>
      <c r="I103" s="3160">
        <v>0</v>
      </c>
      <c r="J103" s="3161">
        <v>0</v>
      </c>
      <c r="K103" s="3159">
        <v>0</v>
      </c>
      <c r="L103" s="3162">
        <v>1</v>
      </c>
      <c r="M103" s="1264"/>
      <c r="P103" s="1405"/>
      <c r="Q103" s="406"/>
      <c r="R103" s="1505"/>
      <c r="S103" s="1505"/>
      <c r="T103" s="1505"/>
      <c r="U103" s="1505"/>
      <c r="V103" s="1505"/>
      <c r="W103" s="1505"/>
      <c r="X103" s="1505"/>
      <c r="Y103" s="1505"/>
      <c r="Z103" s="1505"/>
      <c r="AA103" s="1505"/>
      <c r="AB103" s="1505"/>
      <c r="AC103" s="1505"/>
    </row>
    <row r="104" spans="1:29">
      <c r="A104" s="1264"/>
      <c r="B104" s="1402">
        <f>$B$14</f>
        <v>2.5</v>
      </c>
      <c r="C104" s="3163">
        <v>0</v>
      </c>
      <c r="D104" s="3159">
        <v>0</v>
      </c>
      <c r="E104" s="3159">
        <v>0</v>
      </c>
      <c r="F104" s="3159">
        <v>0</v>
      </c>
      <c r="G104" s="3159">
        <v>0</v>
      </c>
      <c r="H104" s="3159">
        <v>0</v>
      </c>
      <c r="I104" s="3159">
        <v>0</v>
      </c>
      <c r="J104" s="3159">
        <v>0</v>
      </c>
      <c r="K104" s="3164">
        <v>1</v>
      </c>
      <c r="L104" s="3162">
        <v>1</v>
      </c>
      <c r="M104" s="1264"/>
      <c r="P104" s="1405"/>
      <c r="Q104" s="406"/>
      <c r="R104" s="1505"/>
      <c r="S104" s="1505"/>
      <c r="T104" s="1505"/>
      <c r="U104" s="1505"/>
      <c r="V104" s="1505"/>
      <c r="W104" s="1505"/>
      <c r="X104" s="1505"/>
      <c r="Y104" s="1505"/>
      <c r="Z104" s="1505"/>
      <c r="AA104" s="1505"/>
      <c r="AB104" s="1505"/>
      <c r="AC104" s="1505"/>
    </row>
    <row r="105" spans="1:29">
      <c r="A105" s="1264"/>
      <c r="B105" s="1402">
        <f>$B$15</f>
        <v>3</v>
      </c>
      <c r="C105" s="3163">
        <v>0</v>
      </c>
      <c r="D105" s="3159">
        <v>0</v>
      </c>
      <c r="E105" s="3159">
        <v>0</v>
      </c>
      <c r="F105" s="3159">
        <v>0</v>
      </c>
      <c r="G105" s="3159">
        <v>0</v>
      </c>
      <c r="H105" s="3159">
        <v>0</v>
      </c>
      <c r="I105" s="3159">
        <v>0</v>
      </c>
      <c r="J105" s="3164">
        <v>1</v>
      </c>
      <c r="K105" s="3164">
        <v>1</v>
      </c>
      <c r="L105" s="3162">
        <v>1</v>
      </c>
      <c r="M105" s="1264"/>
      <c r="P105" s="1405"/>
      <c r="Q105" s="406"/>
      <c r="R105" s="1505"/>
      <c r="S105" s="1505"/>
      <c r="T105" s="1505"/>
      <c r="U105" s="1505"/>
      <c r="V105" s="1505"/>
      <c r="W105" s="1505"/>
      <c r="X105" s="1505"/>
      <c r="Y105" s="1505"/>
      <c r="Z105" s="1505"/>
      <c r="AA105" s="1505"/>
      <c r="AB105" s="1505"/>
      <c r="AC105" s="1505"/>
    </row>
    <row r="106" spans="1:29">
      <c r="A106" s="1264"/>
      <c r="B106" s="1402">
        <f>$B$16</f>
        <v>4</v>
      </c>
      <c r="C106" s="3163">
        <v>0</v>
      </c>
      <c r="D106" s="3159">
        <v>0</v>
      </c>
      <c r="E106" s="3159">
        <v>0</v>
      </c>
      <c r="F106" s="3159">
        <v>0</v>
      </c>
      <c r="G106" s="3159">
        <v>0</v>
      </c>
      <c r="H106" s="3159">
        <v>0</v>
      </c>
      <c r="I106" s="3164">
        <v>1</v>
      </c>
      <c r="J106" s="3164">
        <v>1</v>
      </c>
      <c r="K106" s="3164">
        <v>1</v>
      </c>
      <c r="L106" s="3162">
        <v>1</v>
      </c>
      <c r="M106" s="1264"/>
      <c r="P106" s="1405"/>
      <c r="Q106" s="406"/>
      <c r="R106" s="1505"/>
      <c r="S106" s="1505"/>
      <c r="T106" s="1505"/>
      <c r="U106" s="1505"/>
      <c r="V106" s="1505"/>
      <c r="W106" s="1505"/>
      <c r="X106" s="1505"/>
      <c r="Y106" s="1505"/>
      <c r="Z106" s="1505"/>
      <c r="AA106" s="1505"/>
      <c r="AB106" s="1505"/>
      <c r="AC106" s="1505"/>
    </row>
    <row r="107" spans="1:29" ht="15.75" thickBot="1">
      <c r="A107" s="1264"/>
      <c r="B107" s="1402">
        <f>$B$17</f>
        <v>5</v>
      </c>
      <c r="C107" s="3165">
        <v>1</v>
      </c>
      <c r="D107" s="3166">
        <v>1</v>
      </c>
      <c r="E107" s="3166">
        <v>1</v>
      </c>
      <c r="F107" s="3166">
        <v>1</v>
      </c>
      <c r="G107" s="3166">
        <v>1</v>
      </c>
      <c r="H107" s="3166">
        <v>1</v>
      </c>
      <c r="I107" s="3166">
        <v>1</v>
      </c>
      <c r="J107" s="3166">
        <v>1</v>
      </c>
      <c r="K107" s="3166">
        <v>1</v>
      </c>
      <c r="L107" s="3167">
        <v>1</v>
      </c>
      <c r="M107" s="1264"/>
      <c r="P107" s="1405"/>
      <c r="Q107" s="406"/>
      <c r="R107" s="1505"/>
      <c r="S107" s="1505"/>
      <c r="T107" s="1505"/>
      <c r="U107" s="1505"/>
      <c r="V107" s="1505"/>
      <c r="W107" s="1505"/>
      <c r="X107" s="1505"/>
      <c r="Y107" s="1505"/>
      <c r="Z107" s="1505"/>
      <c r="AA107" s="1505"/>
      <c r="AB107" s="1505"/>
      <c r="AC107" s="1505"/>
    </row>
  </sheetData>
  <mergeCells count="6">
    <mergeCell ref="A93:A94"/>
    <mergeCell ref="A3:A4"/>
    <mergeCell ref="A21:A22"/>
    <mergeCell ref="A39:A40"/>
    <mergeCell ref="A57:A58"/>
    <mergeCell ref="A75:A76"/>
  </mergeCells>
  <phoneticPr fontId="170" type="noConversion"/>
  <pageMargins left="0.70866141732283472" right="0.70866141732283472" top="0.74803149606299213" bottom="0.74803149606299213" header="0.31496062992125984" footer="0.31496062992125984"/>
  <pageSetup paperSize="9" scale="33" orientation="landscape" r:id="rId1"/>
  <headerFooter>
    <oddHeader>&amp;L&amp;F / &amp;A&amp;R&amp;D</oddHeader>
    <oddFooter>&amp;L&amp;12CONFIDENTIAL&amp;C&amp;12BARKER JET&amp;Rpage &amp;P / &amp;N</oddFooter>
  </headerFooter>
  <legacy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4">
    <pageSetUpPr fitToPage="1"/>
  </sheetPr>
  <dimension ref="A1:AD57"/>
  <sheetViews>
    <sheetView topLeftCell="A25" zoomScale="70" zoomScaleNormal="70" workbookViewId="0">
      <selection activeCell="N20" sqref="N20"/>
    </sheetView>
  </sheetViews>
  <sheetFormatPr defaultColWidth="9.140625" defaultRowHeight="15"/>
  <cols>
    <col min="1" max="1" width="13.7109375" style="406" customWidth="1"/>
    <col min="2" max="2" width="9.140625" style="1405"/>
    <col min="3" max="12" width="9.140625" style="406"/>
    <col min="13" max="13" width="13.7109375" style="406" customWidth="1"/>
    <col min="14" max="14" width="9.140625" style="406" customWidth="1"/>
    <col min="15" max="16" width="9.140625" style="406"/>
    <col min="17" max="17" width="9.140625" style="1405"/>
    <col min="18" max="30" width="9.140625" style="1505"/>
    <col min="31" max="16384" width="9.140625" style="406"/>
  </cols>
  <sheetData>
    <row r="1" spans="1:27" ht="15.75" thickBot="1">
      <c r="A1" s="1264" t="s">
        <v>4136</v>
      </c>
      <c r="B1" s="1402"/>
      <c r="C1" s="1400">
        <f>MFrame!$C$1</f>
        <v>750</v>
      </c>
      <c r="D1" s="1400">
        <f>MFrame!$D$1</f>
        <v>900</v>
      </c>
      <c r="E1" s="1400">
        <f>MFrame!$E$1</f>
        <v>1000</v>
      </c>
      <c r="F1" s="1400">
        <f>MFrame!$F$1</f>
        <v>1200</v>
      </c>
      <c r="G1" s="1400">
        <f>MFrame!$G$1</f>
        <v>1350</v>
      </c>
      <c r="H1" s="1400">
        <f>MFrame!$H$1</f>
        <v>1500</v>
      </c>
      <c r="I1" s="1400">
        <f>MFrame!$I$1</f>
        <v>1800</v>
      </c>
      <c r="J1" s="1400">
        <f>MFrame!$J$1</f>
        <v>2400</v>
      </c>
      <c r="K1" s="1400">
        <f>MFrame!$K$1</f>
        <v>3000</v>
      </c>
      <c r="L1" s="1400">
        <f>MFrame!$L$1</f>
        <v>3600</v>
      </c>
      <c r="M1" s="1264" t="s">
        <v>227</v>
      </c>
      <c r="N1" s="1264"/>
      <c r="O1" s="1264"/>
      <c r="P1" s="1264"/>
      <c r="Q1" s="1248"/>
      <c r="R1" s="1270"/>
      <c r="S1" s="1270"/>
      <c r="T1" s="1270"/>
      <c r="U1" s="1270"/>
      <c r="V1" s="1270"/>
      <c r="W1" s="1270"/>
      <c r="X1" s="1270"/>
      <c r="Y1" s="1270"/>
      <c r="Z1" s="1270"/>
    </row>
    <row r="2" spans="1:27" ht="15.75" thickBot="1">
      <c r="A2" s="1265" t="s">
        <v>1261</v>
      </c>
      <c r="B2" s="1403">
        <f>MFrame!$B$2</f>
        <v>0</v>
      </c>
      <c r="C2" s="1406" t="e">
        <f t="shared" ref="C2:L2" ca="1" si="0">IF(Small_F,R2,C3)</f>
        <v>#REF!</v>
      </c>
      <c r="D2" s="1407" t="e">
        <f t="shared" ca="1" si="0"/>
        <v>#REF!</v>
      </c>
      <c r="E2" s="1407" t="e">
        <f t="shared" ca="1" si="0"/>
        <v>#REF!</v>
      </c>
      <c r="F2" s="1407" t="e">
        <f t="shared" ca="1" si="0"/>
        <v>#REF!</v>
      </c>
      <c r="G2" s="1407" t="e">
        <f t="shared" ca="1" si="0"/>
        <v>#REF!</v>
      </c>
      <c r="H2" s="1407" t="e">
        <f t="shared" ca="1" si="0"/>
        <v>#REF!</v>
      </c>
      <c r="I2" s="1407" t="e">
        <f t="shared" ca="1" si="0"/>
        <v>#REF!</v>
      </c>
      <c r="J2" s="1407" t="e">
        <f t="shared" ca="1" si="0"/>
        <v>#REF!</v>
      </c>
      <c r="K2" s="1407" t="e">
        <f t="shared" ca="1" si="0"/>
        <v>#REF!</v>
      </c>
      <c r="L2" s="1408" t="e">
        <f t="shared" ca="1" si="0"/>
        <v>#REF!</v>
      </c>
      <c r="M2" s="1264" t="s">
        <v>4137</v>
      </c>
      <c r="N2" s="1504" t="e">
        <f ca="1">INDEX(H_STDRe,sysJ2_index,RPM_index)</f>
        <v>#REF!</v>
      </c>
      <c r="O2" s="1264"/>
      <c r="P2" s="1264"/>
      <c r="Q2" s="1248"/>
      <c r="R2" s="1528" t="s">
        <v>1118</v>
      </c>
      <c r="S2" s="1529" t="s">
        <v>1118</v>
      </c>
      <c r="T2" s="1529" t="s">
        <v>1118</v>
      </c>
      <c r="U2" s="1529" t="s">
        <v>1118</v>
      </c>
      <c r="V2" s="1529" t="s">
        <v>1118</v>
      </c>
      <c r="W2" s="1529" t="s">
        <v>1118</v>
      </c>
      <c r="X2" s="1529" t="s">
        <v>1118</v>
      </c>
      <c r="Y2" s="1529" t="s">
        <v>1118</v>
      </c>
      <c r="Z2" s="1529" t="s">
        <v>1119</v>
      </c>
      <c r="AA2" s="1530" t="s">
        <v>1120</v>
      </c>
    </row>
    <row r="3" spans="1:27">
      <c r="A3" s="3983">
        <v>170412</v>
      </c>
      <c r="B3" s="1403">
        <f>MFrame!$B$3</f>
        <v>0.1</v>
      </c>
      <c r="C3" s="1512" t="s">
        <v>1118</v>
      </c>
      <c r="D3" s="1513" t="s">
        <v>1118</v>
      </c>
      <c r="E3" s="1513" t="s">
        <v>1118</v>
      </c>
      <c r="F3" s="1513" t="s">
        <v>1118</v>
      </c>
      <c r="G3" s="1513" t="s">
        <v>1118</v>
      </c>
      <c r="H3" s="1513" t="s">
        <v>1118</v>
      </c>
      <c r="I3" s="1513" t="s">
        <v>1118</v>
      </c>
      <c r="J3" s="1513" t="s">
        <v>1119</v>
      </c>
      <c r="K3" s="1513" t="s">
        <v>1119</v>
      </c>
      <c r="L3" s="1514" t="s">
        <v>1120</v>
      </c>
      <c r="M3" s="1270" t="s">
        <v>4139</v>
      </c>
      <c r="N3" s="1268" t="s">
        <v>4138</v>
      </c>
      <c r="O3" s="1264"/>
      <c r="P3" s="1264"/>
      <c r="Q3" s="1248"/>
      <c r="R3" s="1270"/>
      <c r="S3" s="1270"/>
      <c r="T3" s="1270"/>
      <c r="U3" s="1270"/>
      <c r="V3" s="1270"/>
      <c r="W3" s="1270"/>
      <c r="X3" s="1270"/>
      <c r="Y3" s="1270"/>
      <c r="Z3" s="1270"/>
    </row>
    <row r="4" spans="1:27" ht="15.75" thickBot="1">
      <c r="A4" s="3984"/>
      <c r="B4" s="1403">
        <f>MFrame!$B$4</f>
        <v>0.125</v>
      </c>
      <c r="C4" s="1512" t="s">
        <v>1118</v>
      </c>
      <c r="D4" s="1513" t="s">
        <v>1118</v>
      </c>
      <c r="E4" s="1513" t="s">
        <v>1118</v>
      </c>
      <c r="F4" s="1513" t="s">
        <v>1118</v>
      </c>
      <c r="G4" s="1513" t="s">
        <v>1118</v>
      </c>
      <c r="H4" s="1513" t="s">
        <v>1118</v>
      </c>
      <c r="I4" s="1513" t="s">
        <v>1119</v>
      </c>
      <c r="J4" s="1513" t="s">
        <v>1119</v>
      </c>
      <c r="K4" s="1513" t="s">
        <v>1119</v>
      </c>
      <c r="L4" s="1514" t="s">
        <v>1120</v>
      </c>
      <c r="M4" s="1270"/>
      <c r="N4" s="1270"/>
      <c r="O4" s="1264"/>
      <c r="P4" s="1264"/>
      <c r="Q4" s="1248"/>
      <c r="R4" s="1270"/>
      <c r="S4" s="1270"/>
      <c r="T4" s="1270"/>
      <c r="U4" s="1270"/>
      <c r="V4" s="1270"/>
      <c r="W4" s="1270"/>
      <c r="X4" s="1270"/>
      <c r="Y4" s="1270"/>
      <c r="Z4" s="1270"/>
    </row>
    <row r="5" spans="1:27">
      <c r="A5" s="1264"/>
      <c r="B5" s="1403">
        <f>MFrame!$B$5</f>
        <v>0.15</v>
      </c>
      <c r="C5" s="1512" t="s">
        <v>1118</v>
      </c>
      <c r="D5" s="1513" t="s">
        <v>1118</v>
      </c>
      <c r="E5" s="1513" t="s">
        <v>1118</v>
      </c>
      <c r="F5" s="1513" t="s">
        <v>1118</v>
      </c>
      <c r="G5" s="1513" t="s">
        <v>1118</v>
      </c>
      <c r="H5" s="1513" t="s">
        <v>1119</v>
      </c>
      <c r="I5" s="1513" t="s">
        <v>1119</v>
      </c>
      <c r="J5" s="1513" t="s">
        <v>1119</v>
      </c>
      <c r="K5" s="1513" t="s">
        <v>1120</v>
      </c>
      <c r="L5" s="1514" t="s">
        <v>1120</v>
      </c>
      <c r="M5" s="1264"/>
      <c r="N5" s="1264"/>
      <c r="O5" s="1264"/>
      <c r="P5" s="1264"/>
      <c r="Q5" s="1248"/>
      <c r="R5" s="1270"/>
      <c r="S5" s="1270"/>
      <c r="T5" s="1270"/>
      <c r="U5" s="1270"/>
      <c r="V5" s="1270"/>
      <c r="W5" s="1270"/>
      <c r="X5" s="1270"/>
      <c r="Y5" s="1270"/>
      <c r="Z5" s="1270"/>
    </row>
    <row r="6" spans="1:27">
      <c r="A6" s="1264"/>
      <c r="B6" s="1403">
        <f>MFrame!$B$6</f>
        <v>0.17499999999999999</v>
      </c>
      <c r="C6" s="1512" t="s">
        <v>1118</v>
      </c>
      <c r="D6" s="1513" t="s">
        <v>1118</v>
      </c>
      <c r="E6" s="1513" t="s">
        <v>1118</v>
      </c>
      <c r="F6" s="1513" t="s">
        <v>1118</v>
      </c>
      <c r="G6" s="1513" t="s">
        <v>1118</v>
      </c>
      <c r="H6" s="1513" t="s">
        <v>1119</v>
      </c>
      <c r="I6" s="1513" t="s">
        <v>1119</v>
      </c>
      <c r="J6" s="1513" t="s">
        <v>1119</v>
      </c>
      <c r="K6" s="1513" t="s">
        <v>1120</v>
      </c>
      <c r="L6" s="1514" t="s">
        <v>1120</v>
      </c>
      <c r="M6" s="1264"/>
      <c r="N6" s="1264"/>
      <c r="O6" s="1264"/>
      <c r="P6" s="1264"/>
      <c r="Q6" s="1248"/>
      <c r="R6" s="1270"/>
      <c r="S6" s="1270"/>
      <c r="T6" s="1270"/>
      <c r="U6" s="1270"/>
      <c r="V6" s="1270"/>
      <c r="W6" s="1270"/>
      <c r="X6" s="1270"/>
      <c r="Y6" s="1270"/>
      <c r="Z6" s="1270"/>
    </row>
    <row r="7" spans="1:27">
      <c r="A7" s="1264"/>
      <c r="B7" s="1403">
        <f>MFrame!$B$7</f>
        <v>0.2</v>
      </c>
      <c r="C7" s="1512" t="s">
        <v>1118</v>
      </c>
      <c r="D7" s="1513" t="s">
        <v>1118</v>
      </c>
      <c r="E7" s="1513" t="s">
        <v>1118</v>
      </c>
      <c r="F7" s="1513" t="s">
        <v>1118</v>
      </c>
      <c r="G7" s="1513" t="s">
        <v>1119</v>
      </c>
      <c r="H7" s="1513" t="s">
        <v>1119</v>
      </c>
      <c r="I7" s="1513" t="s">
        <v>1119</v>
      </c>
      <c r="J7" s="1513" t="s">
        <v>1119</v>
      </c>
      <c r="K7" s="1513" t="s">
        <v>1120</v>
      </c>
      <c r="L7" s="1514" t="s">
        <v>1120</v>
      </c>
      <c r="M7" s="1264"/>
      <c r="N7" s="1264"/>
      <c r="O7" s="1264"/>
      <c r="P7" s="1264"/>
      <c r="Q7" s="1248"/>
      <c r="R7" s="1270"/>
      <c r="S7" s="1270"/>
      <c r="T7" s="1270"/>
      <c r="U7" s="1270"/>
      <c r="V7" s="1270"/>
      <c r="W7" s="1270"/>
      <c r="X7" s="1270"/>
      <c r="Y7" s="1270"/>
      <c r="Z7" s="1270"/>
    </row>
    <row r="8" spans="1:27">
      <c r="A8" s="1264"/>
      <c r="B8" s="1403">
        <f>MFrame!$B$8</f>
        <v>0.25</v>
      </c>
      <c r="C8" s="1512" t="s">
        <v>1118</v>
      </c>
      <c r="D8" s="1513" t="s">
        <v>1118</v>
      </c>
      <c r="E8" s="1513" t="s">
        <v>1118</v>
      </c>
      <c r="F8" s="1513" t="s">
        <v>1118</v>
      </c>
      <c r="G8" s="1513" t="s">
        <v>1119</v>
      </c>
      <c r="H8" s="1513" t="s">
        <v>1119</v>
      </c>
      <c r="I8" s="1513" t="s">
        <v>1120</v>
      </c>
      <c r="J8" s="1513" t="s">
        <v>1120</v>
      </c>
      <c r="K8" s="1513" t="s">
        <v>1120</v>
      </c>
      <c r="L8" s="1514" t="s">
        <v>1120</v>
      </c>
      <c r="M8" s="1264"/>
      <c r="N8" s="1264"/>
      <c r="O8" s="1264"/>
      <c r="P8" s="1264"/>
      <c r="Q8" s="1248"/>
      <c r="R8" s="1270"/>
      <c r="S8" s="1270"/>
      <c r="T8" s="1270"/>
      <c r="U8" s="1270"/>
      <c r="V8" s="1270"/>
      <c r="W8" s="1270"/>
      <c r="X8" s="1270"/>
      <c r="Y8" s="1270"/>
      <c r="Z8" s="1270"/>
    </row>
    <row r="9" spans="1:27">
      <c r="A9" s="1264"/>
      <c r="B9" s="1403">
        <f>MFrame!$B$9</f>
        <v>0.375</v>
      </c>
      <c r="C9" s="1512" t="s">
        <v>1118</v>
      </c>
      <c r="D9" s="1513" t="s">
        <v>1118</v>
      </c>
      <c r="E9" s="1513" t="s">
        <v>1118</v>
      </c>
      <c r="F9" s="1513" t="s">
        <v>1118</v>
      </c>
      <c r="G9" s="1513" t="s">
        <v>1119</v>
      </c>
      <c r="H9" s="1513" t="s">
        <v>1119</v>
      </c>
      <c r="I9" s="1513" t="s">
        <v>1120</v>
      </c>
      <c r="J9" s="1513" t="s">
        <v>1120</v>
      </c>
      <c r="K9" s="1513" t="s">
        <v>1120</v>
      </c>
      <c r="L9" s="1514" t="s">
        <v>1120</v>
      </c>
      <c r="M9" s="1264"/>
      <c r="N9" s="1264"/>
      <c r="O9" s="1264"/>
      <c r="P9" s="1264"/>
      <c r="Q9" s="1248"/>
      <c r="R9" s="1270"/>
      <c r="S9" s="1270"/>
      <c r="T9" s="1270"/>
      <c r="U9" s="1270"/>
      <c r="V9" s="1270"/>
      <c r="W9" s="1270"/>
      <c r="X9" s="1270"/>
      <c r="Y9" s="1270"/>
      <c r="Z9" s="1270"/>
    </row>
    <row r="10" spans="1:27">
      <c r="A10" s="1264"/>
      <c r="B10" s="1403">
        <f>MFrame!$B$10</f>
        <v>0.5</v>
      </c>
      <c r="C10" s="1512" t="s">
        <v>1118</v>
      </c>
      <c r="D10" s="1513" t="s">
        <v>1118</v>
      </c>
      <c r="E10" s="1513" t="s">
        <v>1118</v>
      </c>
      <c r="F10" s="1513" t="s">
        <v>1119</v>
      </c>
      <c r="G10" s="1513" t="s">
        <v>1119</v>
      </c>
      <c r="H10" s="1513" t="s">
        <v>1119</v>
      </c>
      <c r="I10" s="1513" t="s">
        <v>1120</v>
      </c>
      <c r="J10" s="1513" t="s">
        <v>1120</v>
      </c>
      <c r="K10" s="1513" t="s">
        <v>1121</v>
      </c>
      <c r="L10" s="1514" t="s">
        <v>1121</v>
      </c>
      <c r="M10" s="1264"/>
      <c r="N10" s="1264"/>
      <c r="O10" s="1264"/>
      <c r="P10" s="1264"/>
      <c r="Q10" s="1248"/>
      <c r="R10" s="1270"/>
      <c r="S10" s="1270"/>
      <c r="T10" s="1270"/>
      <c r="U10" s="1270"/>
      <c r="V10" s="1270"/>
      <c r="W10" s="1270"/>
      <c r="X10" s="1270"/>
      <c r="Y10" s="1270"/>
      <c r="Z10" s="1270"/>
    </row>
    <row r="11" spans="1:27">
      <c r="A11" s="1264"/>
      <c r="B11" s="1403">
        <f>MFrame!$B$11</f>
        <v>1</v>
      </c>
      <c r="C11" s="1512" t="s">
        <v>1118</v>
      </c>
      <c r="D11" s="1513" t="s">
        <v>1118</v>
      </c>
      <c r="E11" s="1513" t="s">
        <v>1118</v>
      </c>
      <c r="F11" s="1513" t="s">
        <v>1119</v>
      </c>
      <c r="G11" s="1513" t="s">
        <v>1119</v>
      </c>
      <c r="H11" s="1513" t="s">
        <v>1120</v>
      </c>
      <c r="I11" s="1513" t="s">
        <v>1120</v>
      </c>
      <c r="J11" s="1513" t="s">
        <v>1120</v>
      </c>
      <c r="K11" s="1513" t="s">
        <v>1121</v>
      </c>
      <c r="L11" s="1514" t="s">
        <v>1121</v>
      </c>
      <c r="M11" s="1264"/>
      <c r="N11" s="1264"/>
      <c r="O11" s="1264"/>
      <c r="P11" s="1264"/>
      <c r="Q11" s="1248"/>
      <c r="R11" s="1270"/>
      <c r="S11" s="1270"/>
      <c r="T11" s="1270"/>
      <c r="U11" s="1270"/>
      <c r="V11" s="1270"/>
      <c r="W11" s="1270"/>
      <c r="X11" s="1270"/>
      <c r="Y11" s="1270"/>
      <c r="Z11" s="1270"/>
    </row>
    <row r="12" spans="1:27">
      <c r="A12" s="1264"/>
      <c r="B12" s="1403">
        <f>MFrame!$B$12</f>
        <v>1.5</v>
      </c>
      <c r="C12" s="1512" t="s">
        <v>1118</v>
      </c>
      <c r="D12" s="1513" t="s">
        <v>1118</v>
      </c>
      <c r="E12" s="1513" t="s">
        <v>1119</v>
      </c>
      <c r="F12" s="1513" t="s">
        <v>1120</v>
      </c>
      <c r="G12" s="1513" t="s">
        <v>1120</v>
      </c>
      <c r="H12" s="1513" t="s">
        <v>1120</v>
      </c>
      <c r="I12" s="1513" t="s">
        <v>1120</v>
      </c>
      <c r="J12" s="1513" t="s">
        <v>1121</v>
      </c>
      <c r="K12" s="1513" t="s">
        <v>1121</v>
      </c>
      <c r="L12" s="1514" t="s">
        <v>1121</v>
      </c>
      <c r="M12" s="1264"/>
      <c r="N12" s="1264"/>
      <c r="O12" s="1264"/>
      <c r="P12" s="1264"/>
      <c r="Q12" s="1248"/>
      <c r="R12" s="1270"/>
      <c r="S12" s="1270"/>
      <c r="T12" s="1270"/>
      <c r="U12" s="1270"/>
      <c r="V12" s="1270"/>
      <c r="W12" s="1270"/>
      <c r="X12" s="1270"/>
      <c r="Y12" s="1270"/>
      <c r="Z12" s="1270"/>
    </row>
    <row r="13" spans="1:27">
      <c r="A13" s="1264"/>
      <c r="B13" s="1403">
        <f>MFrame!$B$13</f>
        <v>2</v>
      </c>
      <c r="C13" s="1532" t="s">
        <v>1118</v>
      </c>
      <c r="D13" s="1532" t="s">
        <v>1119</v>
      </c>
      <c r="E13" s="1532" t="s">
        <v>1119</v>
      </c>
      <c r="F13" s="1532" t="s">
        <v>1119</v>
      </c>
      <c r="G13" s="1532" t="s">
        <v>1120</v>
      </c>
      <c r="H13" s="1532" t="s">
        <v>1120</v>
      </c>
      <c r="I13" s="1535" t="s">
        <v>1120</v>
      </c>
      <c r="J13" s="1534" t="s">
        <v>1121</v>
      </c>
      <c r="K13" s="1532" t="s">
        <v>1121</v>
      </c>
      <c r="L13" s="1761" t="s">
        <v>3452</v>
      </c>
      <c r="M13" s="1264"/>
      <c r="N13" s="1264"/>
      <c r="O13" s="1264"/>
      <c r="P13" s="1264"/>
      <c r="Q13" s="1248"/>
      <c r="R13" s="1270"/>
      <c r="S13" s="1270"/>
      <c r="T13" s="1270"/>
      <c r="U13" s="1270"/>
      <c r="V13" s="1270"/>
      <c r="W13" s="1270"/>
      <c r="X13" s="1270"/>
      <c r="Y13" s="1270"/>
      <c r="Z13" s="1270"/>
    </row>
    <row r="14" spans="1:27">
      <c r="A14" s="1264"/>
      <c r="B14" s="1403">
        <f>MFrame!$B$14</f>
        <v>2.5</v>
      </c>
      <c r="C14" s="1531" t="s">
        <v>1119</v>
      </c>
      <c r="D14" s="1532" t="s">
        <v>1119</v>
      </c>
      <c r="E14" s="1532" t="s">
        <v>1120</v>
      </c>
      <c r="F14" s="1532" t="s">
        <v>1120</v>
      </c>
      <c r="G14" s="1532" t="s">
        <v>1120</v>
      </c>
      <c r="H14" s="1532" t="s">
        <v>1120</v>
      </c>
      <c r="I14" s="1532" t="s">
        <v>1121</v>
      </c>
      <c r="J14" s="1532" t="s">
        <v>1121</v>
      </c>
      <c r="K14" s="1762" t="s">
        <v>3452</v>
      </c>
      <c r="L14" s="1761" t="s">
        <v>3452</v>
      </c>
      <c r="M14" s="1264"/>
      <c r="N14" s="1264"/>
      <c r="O14" s="1264"/>
      <c r="P14" s="1264"/>
      <c r="Q14" s="1248"/>
      <c r="R14" s="1270"/>
      <c r="S14" s="1270"/>
      <c r="T14" s="1270"/>
      <c r="U14" s="1270"/>
      <c r="V14" s="1270"/>
      <c r="W14" s="1270"/>
      <c r="X14" s="1270"/>
      <c r="Y14" s="1270"/>
      <c r="Z14" s="1270"/>
    </row>
    <row r="15" spans="1:27">
      <c r="A15" s="1264"/>
      <c r="B15" s="1403">
        <f>MFrame!$B$15</f>
        <v>3</v>
      </c>
      <c r="C15" s="1531" t="s">
        <v>1119</v>
      </c>
      <c r="D15" s="1532" t="s">
        <v>1119</v>
      </c>
      <c r="E15" s="1532" t="s">
        <v>1120</v>
      </c>
      <c r="F15" s="1532" t="s">
        <v>1120</v>
      </c>
      <c r="G15" s="1532" t="s">
        <v>1120</v>
      </c>
      <c r="H15" s="1532" t="s">
        <v>1121</v>
      </c>
      <c r="I15" s="1532" t="s">
        <v>1121</v>
      </c>
      <c r="J15" s="1762" t="s">
        <v>3452</v>
      </c>
      <c r="K15" s="1762" t="s">
        <v>3452</v>
      </c>
      <c r="L15" s="1761" t="s">
        <v>3452</v>
      </c>
      <c r="M15" s="1264"/>
      <c r="N15" s="1264"/>
      <c r="O15" s="1264"/>
      <c r="P15" s="1264"/>
      <c r="Q15" s="1248"/>
      <c r="R15" s="1270"/>
      <c r="S15" s="1270"/>
      <c r="T15" s="1270"/>
      <c r="U15" s="1270"/>
      <c r="V15" s="1270"/>
      <c r="W15" s="1270"/>
      <c r="X15" s="1270"/>
      <c r="Y15" s="1270"/>
      <c r="Z15" s="1270"/>
    </row>
    <row r="16" spans="1:27">
      <c r="A16" s="1264"/>
      <c r="B16" s="1403">
        <f>MFrame!$B$16</f>
        <v>4</v>
      </c>
      <c r="C16" s="1531" t="s">
        <v>1120</v>
      </c>
      <c r="D16" s="1532" t="s">
        <v>1120</v>
      </c>
      <c r="E16" s="1532" t="s">
        <v>1121</v>
      </c>
      <c r="F16" s="1532" t="s">
        <v>1121</v>
      </c>
      <c r="G16" s="1532" t="s">
        <v>1121</v>
      </c>
      <c r="H16" s="1532" t="s">
        <v>1121</v>
      </c>
      <c r="I16" s="1762" t="s">
        <v>3452</v>
      </c>
      <c r="J16" s="1762" t="s">
        <v>3452</v>
      </c>
      <c r="K16" s="1762" t="s">
        <v>3452</v>
      </c>
      <c r="L16" s="1761" t="s">
        <v>3452</v>
      </c>
      <c r="M16" s="1264"/>
      <c r="N16" s="1264"/>
      <c r="O16" s="1264"/>
      <c r="P16" s="1264"/>
      <c r="Q16" s="1248"/>
      <c r="R16" s="1270"/>
      <c r="S16" s="1270"/>
      <c r="T16" s="1270"/>
      <c r="U16" s="1270"/>
      <c r="V16" s="1270"/>
      <c r="W16" s="1270"/>
      <c r="X16" s="1270"/>
      <c r="Y16" s="1270"/>
      <c r="Z16" s="1270"/>
    </row>
    <row r="17" spans="1:27" ht="15.75" thickBot="1">
      <c r="A17" s="1264"/>
      <c r="B17" s="1403">
        <f>MFrame!$B$17</f>
        <v>5</v>
      </c>
      <c r="C17" s="1750" t="s">
        <v>3452</v>
      </c>
      <c r="D17" s="1751" t="s">
        <v>3452</v>
      </c>
      <c r="E17" s="1751" t="s">
        <v>3452</v>
      </c>
      <c r="F17" s="1751" t="s">
        <v>3452</v>
      </c>
      <c r="G17" s="1751" t="s">
        <v>3452</v>
      </c>
      <c r="H17" s="1751" t="s">
        <v>3452</v>
      </c>
      <c r="I17" s="1751" t="s">
        <v>3452</v>
      </c>
      <c r="J17" s="1751" t="s">
        <v>3452</v>
      </c>
      <c r="K17" s="1751" t="s">
        <v>3452</v>
      </c>
      <c r="L17" s="1752" t="s">
        <v>3452</v>
      </c>
      <c r="M17" s="1264"/>
      <c r="N17" s="1264"/>
      <c r="O17" s="1264"/>
      <c r="P17" s="1264"/>
      <c r="Q17" s="1248"/>
      <c r="R17" s="1270"/>
      <c r="S17" s="1270"/>
      <c r="T17" s="1270"/>
      <c r="U17" s="1270"/>
      <c r="V17" s="1270"/>
      <c r="W17" s="1270"/>
      <c r="X17" s="1270"/>
      <c r="Y17" s="1270"/>
      <c r="Z17" s="1270"/>
    </row>
    <row r="18" spans="1:27" s="1505" customFormat="1">
      <c r="A18" s="1270"/>
      <c r="B18" s="1656"/>
      <c r="C18" s="1657"/>
      <c r="D18" s="1657"/>
      <c r="E18" s="1657"/>
      <c r="F18" s="1657"/>
      <c r="G18" s="1657"/>
      <c r="H18" s="1657"/>
      <c r="I18" s="1657"/>
      <c r="J18" s="1657"/>
      <c r="K18" s="1657"/>
      <c r="L18" s="1657"/>
      <c r="M18" s="1270"/>
      <c r="N18" s="1270"/>
      <c r="O18" s="1270"/>
      <c r="P18" s="1270"/>
      <c r="Q18" s="1536"/>
      <c r="R18" s="1270"/>
      <c r="S18" s="1270"/>
      <c r="T18" s="1270"/>
      <c r="U18" s="1270"/>
      <c r="V18" s="1270"/>
      <c r="W18" s="1270"/>
      <c r="X18" s="1270"/>
      <c r="Y18" s="1270"/>
      <c r="Z18" s="1270"/>
    </row>
    <row r="19" spans="1:27" ht="15.75" thickBot="1">
      <c r="A19" s="1264" t="s">
        <v>1205</v>
      </c>
      <c r="B19" s="1402"/>
      <c r="C19" s="1400">
        <f>$C$1</f>
        <v>750</v>
      </c>
      <c r="D19" s="1400">
        <f>$D$1</f>
        <v>900</v>
      </c>
      <c r="E19" s="1400">
        <f>$E$1</f>
        <v>1000</v>
      </c>
      <c r="F19" s="1400">
        <f>$F$1</f>
        <v>1200</v>
      </c>
      <c r="G19" s="1400">
        <f>$G$1</f>
        <v>1350</v>
      </c>
      <c r="H19" s="1400">
        <f>$H$1</f>
        <v>1500</v>
      </c>
      <c r="I19" s="1400">
        <f>$I$1</f>
        <v>1800</v>
      </c>
      <c r="J19" s="1400">
        <f>$J$1</f>
        <v>2400</v>
      </c>
      <c r="K19" s="1400">
        <f>$K$1</f>
        <v>3000</v>
      </c>
      <c r="L19" s="1400">
        <f>$L$1</f>
        <v>3600</v>
      </c>
      <c r="M19" s="1264" t="s">
        <v>227</v>
      </c>
      <c r="N19" s="1264"/>
      <c r="O19" s="1264"/>
      <c r="P19" s="1264"/>
      <c r="Q19" s="1248"/>
      <c r="R19" s="1270"/>
      <c r="S19" s="1270"/>
      <c r="T19" s="1270"/>
      <c r="U19" s="1270"/>
      <c r="V19" s="1270"/>
      <c r="W19" s="1270"/>
      <c r="X19" s="1270"/>
      <c r="Y19" s="1270"/>
      <c r="Z19" s="1270"/>
    </row>
    <row r="20" spans="1:27" ht="15.75" thickBot="1">
      <c r="A20" s="1265" t="s">
        <v>1261</v>
      </c>
      <c r="B20" s="1403">
        <f>$B$2</f>
        <v>0</v>
      </c>
      <c r="C20" s="1406" t="e">
        <f t="shared" ref="C20:L20" ca="1" si="1">IF(Small_F,R20,C21)</f>
        <v>#REF!</v>
      </c>
      <c r="D20" s="1407" t="e">
        <f t="shared" ca="1" si="1"/>
        <v>#REF!</v>
      </c>
      <c r="E20" s="1407" t="e">
        <f t="shared" ca="1" si="1"/>
        <v>#REF!</v>
      </c>
      <c r="F20" s="1407" t="e">
        <f t="shared" ca="1" si="1"/>
        <v>#REF!</v>
      </c>
      <c r="G20" s="1407" t="e">
        <f t="shared" ca="1" si="1"/>
        <v>#REF!</v>
      </c>
      <c r="H20" s="1407" t="e">
        <f t="shared" ca="1" si="1"/>
        <v>#REF!</v>
      </c>
      <c r="I20" s="1407" t="e">
        <f t="shared" ca="1" si="1"/>
        <v>#REF!</v>
      </c>
      <c r="J20" s="1407" t="e">
        <f t="shared" ca="1" si="1"/>
        <v>#REF!</v>
      </c>
      <c r="K20" s="1407" t="e">
        <f t="shared" ca="1" si="1"/>
        <v>#REF!</v>
      </c>
      <c r="L20" s="1408" t="e">
        <f t="shared" ca="1" si="1"/>
        <v>#REF!</v>
      </c>
      <c r="M20" s="1264" t="s">
        <v>2840</v>
      </c>
      <c r="N20" s="1504" t="e">
        <f ca="1">INDEX(HFV,sysJ2_index,RPM_index)</f>
        <v>#REF!</v>
      </c>
      <c r="O20" s="1264"/>
      <c r="P20" s="1264"/>
      <c r="R20" s="1528" t="s">
        <v>305</v>
      </c>
      <c r="S20" s="1529" t="s">
        <v>305</v>
      </c>
      <c r="T20" s="1529" t="s">
        <v>305</v>
      </c>
      <c r="U20" s="1529" t="s">
        <v>305</v>
      </c>
      <c r="V20" s="1529" t="s">
        <v>305</v>
      </c>
      <c r="W20" s="1529" t="s">
        <v>305</v>
      </c>
      <c r="X20" s="1529" t="s">
        <v>305</v>
      </c>
      <c r="Y20" s="1529" t="s">
        <v>305</v>
      </c>
      <c r="Z20" s="1529" t="s">
        <v>306</v>
      </c>
      <c r="AA20" s="1530" t="s">
        <v>307</v>
      </c>
    </row>
    <row r="21" spans="1:27">
      <c r="A21" s="3983"/>
      <c r="B21" s="1403">
        <f>$B$3</f>
        <v>0.1</v>
      </c>
      <c r="C21" s="1512" t="s">
        <v>305</v>
      </c>
      <c r="D21" s="1513" t="s">
        <v>305</v>
      </c>
      <c r="E21" s="1513" t="s">
        <v>305</v>
      </c>
      <c r="F21" s="1513" t="s">
        <v>305</v>
      </c>
      <c r="G21" s="1513" t="s">
        <v>305</v>
      </c>
      <c r="H21" s="1513" t="s">
        <v>305</v>
      </c>
      <c r="I21" s="1513" t="s">
        <v>305</v>
      </c>
      <c r="J21" s="1513" t="s">
        <v>306</v>
      </c>
      <c r="K21" s="1513" t="s">
        <v>306</v>
      </c>
      <c r="L21" s="1514" t="s">
        <v>307</v>
      </c>
      <c r="M21" s="1264"/>
      <c r="N21" s="1264"/>
      <c r="O21" s="1264"/>
      <c r="P21" s="1264"/>
      <c r="Q21" s="1248"/>
      <c r="R21" s="1270"/>
      <c r="S21" s="1270"/>
      <c r="T21" s="1270"/>
      <c r="U21" s="1270"/>
      <c r="V21" s="1270"/>
      <c r="W21" s="1270"/>
      <c r="X21" s="1270"/>
      <c r="Y21" s="1270"/>
      <c r="Z21" s="1270"/>
    </row>
    <row r="22" spans="1:27" ht="15.75" thickBot="1">
      <c r="A22" s="3984"/>
      <c r="B22" s="1403">
        <f>$B$4</f>
        <v>0.125</v>
      </c>
      <c r="C22" s="1512" t="s">
        <v>305</v>
      </c>
      <c r="D22" s="1513" t="s">
        <v>305</v>
      </c>
      <c r="E22" s="1513" t="s">
        <v>305</v>
      </c>
      <c r="F22" s="1513" t="s">
        <v>305</v>
      </c>
      <c r="G22" s="1513" t="s">
        <v>305</v>
      </c>
      <c r="H22" s="1513" t="s">
        <v>305</v>
      </c>
      <c r="I22" s="1513" t="s">
        <v>306</v>
      </c>
      <c r="J22" s="1513" t="s">
        <v>306</v>
      </c>
      <c r="K22" s="1513" t="s">
        <v>306</v>
      </c>
      <c r="L22" s="1514" t="s">
        <v>307</v>
      </c>
      <c r="M22" s="1264"/>
      <c r="N22" s="1264"/>
      <c r="O22" s="1264"/>
      <c r="P22" s="1264"/>
      <c r="Q22" s="1248"/>
      <c r="R22" s="1270"/>
      <c r="S22" s="1270"/>
      <c r="T22" s="1270"/>
      <c r="U22" s="1270"/>
      <c r="V22" s="1270"/>
      <c r="W22" s="1270"/>
      <c r="X22" s="1270"/>
      <c r="Y22" s="1270"/>
      <c r="Z22" s="1270"/>
    </row>
    <row r="23" spans="1:27">
      <c r="A23" s="1264"/>
      <c r="B23" s="1403">
        <f>$B$5</f>
        <v>0.15</v>
      </c>
      <c r="C23" s="1512" t="s">
        <v>305</v>
      </c>
      <c r="D23" s="1513" t="s">
        <v>305</v>
      </c>
      <c r="E23" s="1513" t="s">
        <v>305</v>
      </c>
      <c r="F23" s="1513" t="s">
        <v>305</v>
      </c>
      <c r="G23" s="1513" t="s">
        <v>305</v>
      </c>
      <c r="H23" s="1513" t="s">
        <v>306</v>
      </c>
      <c r="I23" s="1513" t="s">
        <v>306</v>
      </c>
      <c r="J23" s="1513" t="s">
        <v>306</v>
      </c>
      <c r="K23" s="1513" t="s">
        <v>307</v>
      </c>
      <c r="L23" s="1514" t="s">
        <v>307</v>
      </c>
      <c r="M23" s="1264"/>
      <c r="N23" s="1264"/>
      <c r="O23" s="1264"/>
      <c r="P23" s="1264"/>
      <c r="Q23" s="1248"/>
      <c r="R23" s="1270"/>
      <c r="S23" s="1270"/>
      <c r="T23" s="1270"/>
      <c r="U23" s="1270"/>
      <c r="V23" s="1270"/>
      <c r="W23" s="1270"/>
      <c r="X23" s="1270"/>
      <c r="Y23" s="1270"/>
      <c r="Z23" s="1270"/>
    </row>
    <row r="24" spans="1:27">
      <c r="A24" s="1264"/>
      <c r="B24" s="1403">
        <f>$B$6</f>
        <v>0.17499999999999999</v>
      </c>
      <c r="C24" s="1512" t="s">
        <v>305</v>
      </c>
      <c r="D24" s="1513" t="s">
        <v>305</v>
      </c>
      <c r="E24" s="1513" t="s">
        <v>305</v>
      </c>
      <c r="F24" s="1513" t="s">
        <v>305</v>
      </c>
      <c r="G24" s="1513" t="s">
        <v>305</v>
      </c>
      <c r="H24" s="1513" t="s">
        <v>306</v>
      </c>
      <c r="I24" s="1513" t="s">
        <v>306</v>
      </c>
      <c r="J24" s="1513" t="s">
        <v>306</v>
      </c>
      <c r="K24" s="1513" t="s">
        <v>307</v>
      </c>
      <c r="L24" s="1514" t="s">
        <v>307</v>
      </c>
      <c r="M24" s="1264"/>
      <c r="N24" s="1264"/>
      <c r="O24" s="1264"/>
      <c r="P24" s="1264"/>
      <c r="Q24" s="1248"/>
      <c r="R24" s="1270"/>
      <c r="S24" s="1270"/>
      <c r="T24" s="1270"/>
      <c r="U24" s="1270"/>
      <c r="V24" s="1270"/>
      <c r="W24" s="1270"/>
      <c r="X24" s="1270"/>
      <c r="Y24" s="1270"/>
      <c r="Z24" s="1270"/>
    </row>
    <row r="25" spans="1:27">
      <c r="A25" s="1264"/>
      <c r="B25" s="1403">
        <f>$B$7</f>
        <v>0.2</v>
      </c>
      <c r="C25" s="1512" t="s">
        <v>305</v>
      </c>
      <c r="D25" s="1513" t="s">
        <v>305</v>
      </c>
      <c r="E25" s="1513" t="s">
        <v>305</v>
      </c>
      <c r="F25" s="1513" t="s">
        <v>305</v>
      </c>
      <c r="G25" s="1513" t="s">
        <v>306</v>
      </c>
      <c r="H25" s="1513" t="s">
        <v>306</v>
      </c>
      <c r="I25" s="1513" t="s">
        <v>306</v>
      </c>
      <c r="J25" s="1513" t="s">
        <v>306</v>
      </c>
      <c r="K25" s="1513" t="s">
        <v>307</v>
      </c>
      <c r="L25" s="1514" t="s">
        <v>307</v>
      </c>
      <c r="M25" s="1264"/>
      <c r="N25" s="1264"/>
      <c r="O25" s="1264"/>
      <c r="P25" s="1264"/>
      <c r="Q25" s="1248"/>
      <c r="R25" s="1270"/>
      <c r="S25" s="1270"/>
      <c r="T25" s="1270"/>
      <c r="U25" s="1270"/>
      <c r="V25" s="1270"/>
      <c r="W25" s="1270"/>
      <c r="X25" s="1270"/>
      <c r="Y25" s="1270"/>
      <c r="Z25" s="1270"/>
    </row>
    <row r="26" spans="1:27">
      <c r="A26" s="1264"/>
      <c r="B26" s="1403">
        <f>$B$8</f>
        <v>0.25</v>
      </c>
      <c r="C26" s="1512" t="s">
        <v>305</v>
      </c>
      <c r="D26" s="1513" t="s">
        <v>305</v>
      </c>
      <c r="E26" s="1513" t="s">
        <v>305</v>
      </c>
      <c r="F26" s="1513" t="s">
        <v>305</v>
      </c>
      <c r="G26" s="1513" t="s">
        <v>306</v>
      </c>
      <c r="H26" s="1513" t="s">
        <v>306</v>
      </c>
      <c r="I26" s="1513" t="s">
        <v>307</v>
      </c>
      <c r="J26" s="1513" t="s">
        <v>307</v>
      </c>
      <c r="K26" s="1513" t="s">
        <v>307</v>
      </c>
      <c r="L26" s="1514" t="s">
        <v>307</v>
      </c>
      <c r="M26" s="1264"/>
      <c r="N26" s="1264"/>
      <c r="O26" s="1264"/>
      <c r="P26" s="1264"/>
      <c r="Q26" s="1248"/>
      <c r="R26" s="1270"/>
      <c r="S26" s="1270"/>
      <c r="T26" s="1270"/>
      <c r="U26" s="1270"/>
      <c r="V26" s="1270"/>
      <c r="W26" s="1270"/>
      <c r="X26" s="1270"/>
      <c r="Y26" s="1270"/>
      <c r="Z26" s="1270"/>
    </row>
    <row r="27" spans="1:27">
      <c r="A27" s="1264"/>
      <c r="B27" s="1403">
        <f>$B$9</f>
        <v>0.375</v>
      </c>
      <c r="C27" s="1512" t="s">
        <v>305</v>
      </c>
      <c r="D27" s="1513" t="s">
        <v>305</v>
      </c>
      <c r="E27" s="1513" t="s">
        <v>305</v>
      </c>
      <c r="F27" s="1513" t="s">
        <v>305</v>
      </c>
      <c r="G27" s="1513" t="s">
        <v>306</v>
      </c>
      <c r="H27" s="1513" t="s">
        <v>306</v>
      </c>
      <c r="I27" s="1513" t="s">
        <v>307</v>
      </c>
      <c r="J27" s="1513" t="s">
        <v>307</v>
      </c>
      <c r="K27" s="1513" t="s">
        <v>307</v>
      </c>
      <c r="L27" s="1514" t="s">
        <v>307</v>
      </c>
      <c r="M27" s="1264"/>
      <c r="N27" s="1264"/>
      <c r="O27" s="1264"/>
      <c r="P27" s="1264"/>
      <c r="Q27" s="1248"/>
      <c r="R27" s="1270"/>
      <c r="S27" s="1270"/>
      <c r="T27" s="1270"/>
      <c r="U27" s="1270"/>
      <c r="V27" s="1270"/>
      <c r="W27" s="1270"/>
      <c r="X27" s="1270"/>
      <c r="Y27" s="1270"/>
      <c r="Z27" s="1270"/>
    </row>
    <row r="28" spans="1:27">
      <c r="A28" s="1264"/>
      <c r="B28" s="1403">
        <f>$B$10</f>
        <v>0.5</v>
      </c>
      <c r="C28" s="1512" t="s">
        <v>305</v>
      </c>
      <c r="D28" s="1513" t="s">
        <v>305</v>
      </c>
      <c r="E28" s="1513" t="s">
        <v>305</v>
      </c>
      <c r="F28" s="1513" t="s">
        <v>306</v>
      </c>
      <c r="G28" s="1513" t="s">
        <v>306</v>
      </c>
      <c r="H28" s="1513" t="s">
        <v>306</v>
      </c>
      <c r="I28" s="1513" t="s">
        <v>307</v>
      </c>
      <c r="J28" s="1513" t="s">
        <v>307</v>
      </c>
      <c r="K28" s="1513" t="s">
        <v>308</v>
      </c>
      <c r="L28" s="1514" t="s">
        <v>308</v>
      </c>
      <c r="M28" s="1264"/>
      <c r="N28" s="1264"/>
      <c r="O28" s="1264"/>
      <c r="P28" s="1264"/>
      <c r="Q28" s="1248"/>
      <c r="R28" s="1270"/>
      <c r="S28" s="1270"/>
      <c r="T28" s="1270"/>
      <c r="U28" s="1270"/>
      <c r="V28" s="1270"/>
      <c r="W28" s="1270"/>
      <c r="X28" s="1270"/>
      <c r="Y28" s="1270"/>
      <c r="Z28" s="1270"/>
    </row>
    <row r="29" spans="1:27">
      <c r="A29" s="1264"/>
      <c r="B29" s="1403">
        <f>$B$11</f>
        <v>1</v>
      </c>
      <c r="C29" s="1512" t="s">
        <v>305</v>
      </c>
      <c r="D29" s="1513" t="s">
        <v>305</v>
      </c>
      <c r="E29" s="1513" t="s">
        <v>305</v>
      </c>
      <c r="F29" s="1513" t="s">
        <v>306</v>
      </c>
      <c r="G29" s="1513" t="s">
        <v>306</v>
      </c>
      <c r="H29" s="1513" t="s">
        <v>307</v>
      </c>
      <c r="I29" s="1513" t="s">
        <v>307</v>
      </c>
      <c r="J29" s="1513" t="s">
        <v>307</v>
      </c>
      <c r="K29" s="1513" t="s">
        <v>308</v>
      </c>
      <c r="L29" s="1514" t="s">
        <v>308</v>
      </c>
      <c r="M29" s="1264"/>
      <c r="N29" s="1264"/>
      <c r="O29" s="1264"/>
      <c r="P29" s="1264"/>
      <c r="Q29" s="1248"/>
      <c r="R29" s="1270"/>
      <c r="S29" s="1270"/>
      <c r="T29" s="1270"/>
      <c r="U29" s="1270"/>
      <c r="V29" s="1270"/>
      <c r="W29" s="1270"/>
      <c r="X29" s="1270"/>
      <c r="Y29" s="1270"/>
      <c r="Z29" s="1270"/>
    </row>
    <row r="30" spans="1:27">
      <c r="A30" s="1264"/>
      <c r="B30" s="1403">
        <f>$B$12</f>
        <v>1.5</v>
      </c>
      <c r="C30" s="1512" t="s">
        <v>305</v>
      </c>
      <c r="D30" s="1513" t="s">
        <v>305</v>
      </c>
      <c r="E30" s="1513" t="s">
        <v>306</v>
      </c>
      <c r="F30" s="1513" t="s">
        <v>307</v>
      </c>
      <c r="G30" s="1513" t="s">
        <v>307</v>
      </c>
      <c r="H30" s="1513" t="s">
        <v>307</v>
      </c>
      <c r="I30" s="1513" t="s">
        <v>307</v>
      </c>
      <c r="J30" s="1513" t="s">
        <v>308</v>
      </c>
      <c r="K30" s="1513" t="s">
        <v>308</v>
      </c>
      <c r="L30" s="1514" t="s">
        <v>308</v>
      </c>
      <c r="M30" s="1264"/>
      <c r="N30" s="1264"/>
      <c r="O30" s="1264"/>
      <c r="P30" s="1264"/>
      <c r="Q30" s="1248"/>
      <c r="R30" s="1270"/>
      <c r="S30" s="1270"/>
      <c r="T30" s="1270"/>
      <c r="U30" s="1270"/>
      <c r="V30" s="1270"/>
      <c r="W30" s="1270"/>
      <c r="X30" s="1270"/>
      <c r="Y30" s="1270"/>
      <c r="Z30" s="1270"/>
    </row>
    <row r="31" spans="1:27">
      <c r="A31" s="1264"/>
      <c r="B31" s="1403">
        <f>$B$13</f>
        <v>2</v>
      </c>
      <c r="C31" s="1532" t="s">
        <v>305</v>
      </c>
      <c r="D31" s="1532" t="s">
        <v>306</v>
      </c>
      <c r="E31" s="1532" t="s">
        <v>306</v>
      </c>
      <c r="F31" s="1532" t="s">
        <v>306</v>
      </c>
      <c r="G31" s="1532" t="s">
        <v>307</v>
      </c>
      <c r="H31" s="1532" t="s">
        <v>307</v>
      </c>
      <c r="I31" s="1535" t="s">
        <v>307</v>
      </c>
      <c r="J31" s="1534" t="s">
        <v>308</v>
      </c>
      <c r="K31" s="1532" t="s">
        <v>308</v>
      </c>
      <c r="L31" s="1761" t="s">
        <v>3451</v>
      </c>
      <c r="M31" s="1264"/>
      <c r="N31" s="1264"/>
      <c r="O31" s="1264"/>
      <c r="P31" s="1264"/>
      <c r="Q31" s="1248"/>
      <c r="R31" s="1270"/>
      <c r="S31" s="1270"/>
      <c r="T31" s="1270"/>
      <c r="U31" s="1270"/>
      <c r="V31" s="1270"/>
      <c r="W31" s="1270"/>
      <c r="X31" s="1270"/>
      <c r="Y31" s="1270"/>
      <c r="Z31" s="1270"/>
    </row>
    <row r="32" spans="1:27">
      <c r="A32" s="1264"/>
      <c r="B32" s="1403">
        <f>$B$14</f>
        <v>2.5</v>
      </c>
      <c r="C32" s="1531" t="s">
        <v>306</v>
      </c>
      <c r="D32" s="1532" t="s">
        <v>306</v>
      </c>
      <c r="E32" s="1532" t="s">
        <v>307</v>
      </c>
      <c r="F32" s="1532" t="s">
        <v>307</v>
      </c>
      <c r="G32" s="1532" t="s">
        <v>307</v>
      </c>
      <c r="H32" s="1532" t="s">
        <v>307</v>
      </c>
      <c r="I32" s="1532" t="s">
        <v>308</v>
      </c>
      <c r="J32" s="1532" t="s">
        <v>308</v>
      </c>
      <c r="K32" s="1762" t="s">
        <v>3451</v>
      </c>
      <c r="L32" s="1761" t="s">
        <v>3451</v>
      </c>
      <c r="M32" s="1264"/>
      <c r="N32" s="1264"/>
      <c r="O32" s="1264"/>
      <c r="P32" s="1264"/>
      <c r="Q32" s="1248"/>
      <c r="R32" s="1270"/>
      <c r="S32" s="1270"/>
      <c r="T32" s="1270"/>
      <c r="U32" s="1270"/>
      <c r="V32" s="1270"/>
      <c r="W32" s="1270"/>
      <c r="X32" s="1270"/>
      <c r="Y32" s="1270"/>
      <c r="Z32" s="1270"/>
    </row>
    <row r="33" spans="1:30">
      <c r="A33" s="1264"/>
      <c r="B33" s="1403">
        <f>$B$15</f>
        <v>3</v>
      </c>
      <c r="C33" s="1531" t="s">
        <v>306</v>
      </c>
      <c r="D33" s="1532" t="s">
        <v>306</v>
      </c>
      <c r="E33" s="1532" t="s">
        <v>307</v>
      </c>
      <c r="F33" s="1532" t="s">
        <v>307</v>
      </c>
      <c r="G33" s="1532" t="s">
        <v>307</v>
      </c>
      <c r="H33" s="1532" t="s">
        <v>308</v>
      </c>
      <c r="I33" s="1532" t="s">
        <v>308</v>
      </c>
      <c r="J33" s="1762" t="s">
        <v>3451</v>
      </c>
      <c r="K33" s="1762" t="s">
        <v>3451</v>
      </c>
      <c r="L33" s="1761" t="s">
        <v>3451</v>
      </c>
      <c r="M33" s="1264"/>
      <c r="N33" s="1264"/>
      <c r="O33" s="1264"/>
      <c r="P33" s="1264"/>
      <c r="Q33" s="1248"/>
      <c r="R33" s="1270"/>
      <c r="S33" s="1270"/>
      <c r="T33" s="1270"/>
      <c r="U33" s="1270"/>
      <c r="V33" s="1270"/>
      <c r="W33" s="1270"/>
      <c r="X33" s="1270"/>
      <c r="Y33" s="1270"/>
      <c r="Z33" s="1270"/>
    </row>
    <row r="34" spans="1:30">
      <c r="A34" s="1264"/>
      <c r="B34" s="1403">
        <f>$B$16</f>
        <v>4</v>
      </c>
      <c r="C34" s="1531" t="s">
        <v>307</v>
      </c>
      <c r="D34" s="1532" t="s">
        <v>307</v>
      </c>
      <c r="E34" s="1532" t="s">
        <v>308</v>
      </c>
      <c r="F34" s="1532" t="s">
        <v>308</v>
      </c>
      <c r="G34" s="1532" t="s">
        <v>308</v>
      </c>
      <c r="H34" s="1532" t="s">
        <v>308</v>
      </c>
      <c r="I34" s="1762" t="s">
        <v>3451</v>
      </c>
      <c r="J34" s="1762" t="s">
        <v>3451</v>
      </c>
      <c r="K34" s="1762" t="s">
        <v>3451</v>
      </c>
      <c r="L34" s="1761" t="s">
        <v>3451</v>
      </c>
      <c r="M34" s="1264"/>
      <c r="N34" s="1264"/>
      <c r="O34" s="1264"/>
      <c r="P34" s="1264"/>
      <c r="Q34" s="1248"/>
      <c r="R34" s="1270"/>
      <c r="S34" s="1270"/>
      <c r="T34" s="1270"/>
      <c r="U34" s="1270"/>
      <c r="V34" s="1270"/>
      <c r="W34" s="1270"/>
      <c r="X34" s="1270"/>
      <c r="Y34" s="1270"/>
      <c r="Z34" s="1270"/>
    </row>
    <row r="35" spans="1:30" ht="15" customHeight="1" thickBot="1">
      <c r="A35" s="1264"/>
      <c r="B35" s="1403">
        <f>$B$17</f>
        <v>5</v>
      </c>
      <c r="C35" s="1750" t="s">
        <v>3451</v>
      </c>
      <c r="D35" s="1751" t="s">
        <v>3451</v>
      </c>
      <c r="E35" s="1751" t="s">
        <v>3451</v>
      </c>
      <c r="F35" s="1751" t="s">
        <v>3451</v>
      </c>
      <c r="G35" s="1751" t="s">
        <v>3451</v>
      </c>
      <c r="H35" s="1751" t="s">
        <v>3451</v>
      </c>
      <c r="I35" s="1751" t="s">
        <v>3451</v>
      </c>
      <c r="J35" s="1751" t="s">
        <v>3451</v>
      </c>
      <c r="K35" s="1751" t="s">
        <v>3451</v>
      </c>
      <c r="L35" s="1752" t="s">
        <v>3451</v>
      </c>
      <c r="M35" s="1264"/>
      <c r="N35" s="1264"/>
      <c r="O35" s="1264"/>
      <c r="P35" s="1264"/>
      <c r="Q35" s="1248"/>
      <c r="R35" s="1270"/>
      <c r="S35" s="1270"/>
      <c r="T35" s="1270"/>
      <c r="U35" s="1270"/>
      <c r="V35" s="1270"/>
      <c r="W35" s="1270"/>
      <c r="X35" s="1270"/>
      <c r="Y35" s="1270"/>
      <c r="Z35" s="1270"/>
    </row>
    <row r="36" spans="1:30">
      <c r="A36" s="1264"/>
      <c r="B36" s="1248"/>
      <c r="C36" s="1266"/>
      <c r="D36" s="1266"/>
      <c r="E36" s="1266"/>
      <c r="F36" s="1266"/>
      <c r="G36" s="1266"/>
      <c r="H36" s="1266"/>
      <c r="I36" s="1266"/>
      <c r="J36" s="1266"/>
      <c r="K36" s="1266"/>
      <c r="L36" s="1266"/>
      <c r="M36" s="1264"/>
      <c r="N36" s="1264"/>
      <c r="O36" s="1264"/>
      <c r="P36" s="1264"/>
      <c r="Q36" s="1248"/>
      <c r="R36" s="1270"/>
      <c r="S36" s="1270"/>
      <c r="T36" s="1270"/>
      <c r="U36" s="1270"/>
      <c r="V36" s="1270"/>
      <c r="W36" s="1270"/>
      <c r="X36" s="1270"/>
      <c r="Y36" s="1270"/>
      <c r="Z36" s="1270"/>
    </row>
    <row r="37" spans="1:30">
      <c r="A37" s="1264" t="s">
        <v>3464</v>
      </c>
      <c r="B37" s="1248"/>
      <c r="C37" s="1266"/>
      <c r="D37" s="1266"/>
      <c r="E37" s="1266"/>
      <c r="F37" s="1266"/>
      <c r="G37" s="1266"/>
      <c r="H37" s="1266"/>
      <c r="I37" s="1266"/>
      <c r="J37" s="1266"/>
      <c r="K37" s="1266"/>
      <c r="L37" s="1266"/>
      <c r="M37" s="1264"/>
      <c r="N37" s="1264"/>
      <c r="O37" s="1264"/>
      <c r="P37" s="1264"/>
      <c r="Q37" s="1248"/>
      <c r="R37" s="1270"/>
      <c r="S37" s="1270"/>
      <c r="T37" s="1270"/>
      <c r="U37" s="1270"/>
      <c r="V37" s="1270"/>
      <c r="W37" s="1270"/>
      <c r="X37" s="1270"/>
      <c r="Y37" s="1270"/>
      <c r="Z37" s="1270"/>
    </row>
    <row r="38" spans="1:30">
      <c r="A38" s="1264"/>
      <c r="B38" s="1248"/>
      <c r="C38" s="1266"/>
      <c r="D38" s="1266"/>
      <c r="E38" s="1266"/>
      <c r="F38" s="1266"/>
      <c r="G38" s="1266"/>
      <c r="H38" s="1266"/>
      <c r="I38" s="1266"/>
      <c r="J38" s="1266"/>
      <c r="K38" s="1266"/>
      <c r="L38" s="1266"/>
      <c r="M38" s="1264"/>
      <c r="N38" s="1268" t="str">
        <f>"P"&amp;House_P_T</f>
        <v>P5</v>
      </c>
      <c r="O38" s="1264"/>
      <c r="P38" s="1264"/>
      <c r="Q38" s="1248"/>
      <c r="R38" s="1270"/>
      <c r="S38" s="1270"/>
      <c r="T38" s="1270"/>
      <c r="U38" s="1270"/>
      <c r="V38" s="1270"/>
      <c r="W38" s="1270"/>
      <c r="X38" s="1270"/>
      <c r="Y38" s="1270"/>
      <c r="Z38" s="1270"/>
    </row>
    <row r="39" spans="1:30">
      <c r="A39" s="1264"/>
      <c r="B39" s="1248"/>
      <c r="C39" s="1266"/>
      <c r="D39" s="1266"/>
      <c r="E39" s="1266"/>
      <c r="F39" s="1266"/>
      <c r="G39" s="1266"/>
      <c r="H39" s="1266"/>
      <c r="I39" s="1266"/>
      <c r="J39" s="1266"/>
      <c r="K39" s="1266"/>
      <c r="L39" s="1266"/>
      <c r="M39" s="1264"/>
      <c r="N39" s="1264"/>
      <c r="O39" s="1264"/>
      <c r="P39" s="1264"/>
      <c r="Q39" s="1248"/>
      <c r="R39" s="1270"/>
      <c r="S39" s="1270"/>
      <c r="T39" s="1270"/>
      <c r="U39" s="1270"/>
      <c r="V39" s="1270"/>
      <c r="W39" s="1270"/>
      <c r="X39" s="1270"/>
      <c r="Y39" s="1270"/>
      <c r="Z39" s="1270"/>
    </row>
    <row r="40" spans="1:30">
      <c r="A40" s="1650" t="s">
        <v>3289</v>
      </c>
      <c r="B40" s="1651"/>
      <c r="C40" s="1650"/>
      <c r="D40" s="1650"/>
      <c r="E40" s="1650"/>
      <c r="F40" s="1650"/>
      <c r="G40" s="1650"/>
      <c r="H40" s="1650"/>
      <c r="I40" s="1650"/>
      <c r="J40" s="1650"/>
      <c r="K40" s="1650"/>
      <c r="L40" s="1650"/>
      <c r="M40" s="1650"/>
      <c r="N40" s="1650"/>
      <c r="O40" s="1652"/>
      <c r="P40" s="1652"/>
      <c r="Q40" s="1652"/>
      <c r="R40" s="1652"/>
      <c r="S40" s="1652"/>
      <c r="T40" s="1652"/>
      <c r="U40" s="1652"/>
      <c r="V40" s="1652"/>
      <c r="W40" s="1652"/>
      <c r="X40" s="1652"/>
      <c r="Y40" s="1652"/>
      <c r="Z40" s="1652"/>
      <c r="AA40" s="1652"/>
      <c r="AC40" s="1270"/>
      <c r="AD40" s="406"/>
    </row>
    <row r="41" spans="1:30" ht="15.75" thickBot="1">
      <c r="A41" s="1264" t="s">
        <v>2844</v>
      </c>
      <c r="B41" s="1402"/>
      <c r="C41" s="1400">
        <f>$C$1</f>
        <v>750</v>
      </c>
      <c r="D41" s="1400">
        <f>$D$1</f>
        <v>900</v>
      </c>
      <c r="E41" s="1400">
        <f>$E$1</f>
        <v>1000</v>
      </c>
      <c r="F41" s="1400">
        <f>$F$1</f>
        <v>1200</v>
      </c>
      <c r="G41" s="1400">
        <f>$G$1</f>
        <v>1350</v>
      </c>
      <c r="H41" s="1400">
        <f>$H$1</f>
        <v>1500</v>
      </c>
      <c r="I41" s="1400">
        <f>$I$1</f>
        <v>1800</v>
      </c>
      <c r="J41" s="1400">
        <f>$J$1</f>
        <v>2400</v>
      </c>
      <c r="K41" s="1400">
        <f>$K$1</f>
        <v>3000</v>
      </c>
      <c r="L41" s="1400">
        <f>$L$1</f>
        <v>3600</v>
      </c>
      <c r="M41" s="1264"/>
      <c r="N41" s="1264"/>
      <c r="O41" s="1264"/>
      <c r="P41" s="1264"/>
      <c r="Q41" s="1248"/>
      <c r="R41" s="1270"/>
      <c r="S41" s="1270"/>
      <c r="T41" s="1270"/>
      <c r="U41" s="1270"/>
      <c r="V41" s="1270"/>
      <c r="W41" s="1270"/>
      <c r="X41" s="1270"/>
      <c r="Y41" s="1270"/>
      <c r="Z41" s="1270"/>
    </row>
    <row r="42" spans="1:30" ht="15.75" thickBot="1">
      <c r="A42" s="1265" t="s">
        <v>1261</v>
      </c>
      <c r="B42" s="1403">
        <f>$B$2</f>
        <v>0</v>
      </c>
      <c r="C42" s="1406" t="e">
        <f t="shared" ref="C42:L42" ca="1" si="2">IF(Small_F,R42,C43)</f>
        <v>#REF!</v>
      </c>
      <c r="D42" s="1407" t="e">
        <f t="shared" ca="1" si="2"/>
        <v>#REF!</v>
      </c>
      <c r="E42" s="1407" t="e">
        <f t="shared" ca="1" si="2"/>
        <v>#REF!</v>
      </c>
      <c r="F42" s="1407" t="e">
        <f t="shared" ca="1" si="2"/>
        <v>#REF!</v>
      </c>
      <c r="G42" s="1407" t="e">
        <f t="shared" ca="1" si="2"/>
        <v>#REF!</v>
      </c>
      <c r="H42" s="1407" t="e">
        <f t="shared" ca="1" si="2"/>
        <v>#REF!</v>
      </c>
      <c r="I42" s="1407" t="e">
        <f t="shared" ca="1" si="2"/>
        <v>#REF!</v>
      </c>
      <c r="J42" s="1407" t="e">
        <f t="shared" ca="1" si="2"/>
        <v>#REF!</v>
      </c>
      <c r="K42" s="1407" t="e">
        <f t="shared" ca="1" si="2"/>
        <v>#REF!</v>
      </c>
      <c r="L42" s="1408" t="e">
        <f t="shared" ca="1" si="2"/>
        <v>#REF!</v>
      </c>
      <c r="M42" s="1264" t="s">
        <v>2845</v>
      </c>
      <c r="N42" s="1268" t="e">
        <f ca="1">INDEX(HSF,sysJ2_index,RPM_index)</f>
        <v>#REF!</v>
      </c>
      <c r="O42" s="1264"/>
      <c r="P42" s="1264"/>
      <c r="Q42" s="1248"/>
      <c r="R42" s="1528" t="s">
        <v>1118</v>
      </c>
      <c r="S42" s="1529" t="s">
        <v>1118</v>
      </c>
      <c r="T42" s="1529" t="s">
        <v>1118</v>
      </c>
      <c r="U42" s="1529" t="s">
        <v>1118</v>
      </c>
      <c r="V42" s="1529" t="s">
        <v>1118</v>
      </c>
      <c r="W42" s="1529" t="s">
        <v>1118</v>
      </c>
      <c r="X42" s="1529" t="s">
        <v>1118</v>
      </c>
      <c r="Y42" s="1529" t="s">
        <v>1118</v>
      </c>
      <c r="Z42" s="1529" t="s">
        <v>1119</v>
      </c>
      <c r="AA42" s="1530" t="s">
        <v>1120</v>
      </c>
    </row>
    <row r="43" spans="1:30">
      <c r="A43" s="3983">
        <v>170223</v>
      </c>
      <c r="B43" s="1403">
        <f>$B$3</f>
        <v>0.1</v>
      </c>
      <c r="C43" s="1512" t="s">
        <v>1118</v>
      </c>
      <c r="D43" s="1513" t="s">
        <v>1118</v>
      </c>
      <c r="E43" s="1513" t="s">
        <v>1118</v>
      </c>
      <c r="F43" s="1513" t="s">
        <v>1118</v>
      </c>
      <c r="G43" s="1513" t="s">
        <v>1118</v>
      </c>
      <c r="H43" s="1513" t="s">
        <v>1118</v>
      </c>
      <c r="I43" s="1513" t="s">
        <v>1118</v>
      </c>
      <c r="J43" s="1513" t="s">
        <v>1119</v>
      </c>
      <c r="K43" s="1513" t="s">
        <v>1120</v>
      </c>
      <c r="L43" s="1514" t="s">
        <v>1120</v>
      </c>
      <c r="M43" s="1264"/>
      <c r="N43" s="1264"/>
      <c r="O43" s="1264"/>
      <c r="P43" s="1264"/>
      <c r="Q43" s="1248"/>
      <c r="R43" s="1270"/>
      <c r="S43" s="1270"/>
      <c r="T43" s="1270"/>
      <c r="U43" s="1270"/>
      <c r="V43" s="1270"/>
      <c r="W43" s="1270"/>
      <c r="X43" s="1270"/>
      <c r="Y43" s="1270"/>
      <c r="Z43" s="1270"/>
    </row>
    <row r="44" spans="1:30" ht="15.75" thickBot="1">
      <c r="A44" s="3984"/>
      <c r="B44" s="1403">
        <f>$B$4</f>
        <v>0.125</v>
      </c>
      <c r="C44" s="1512" t="s">
        <v>1118</v>
      </c>
      <c r="D44" s="1513" t="s">
        <v>1118</v>
      </c>
      <c r="E44" s="1513" t="s">
        <v>1118</v>
      </c>
      <c r="F44" s="1513" t="s">
        <v>1118</v>
      </c>
      <c r="G44" s="1513" t="s">
        <v>2847</v>
      </c>
      <c r="H44" s="1513" t="s">
        <v>2847</v>
      </c>
      <c r="I44" s="1513" t="s">
        <v>2848</v>
      </c>
      <c r="J44" s="1513" t="s">
        <v>2848</v>
      </c>
      <c r="K44" s="1513" t="s">
        <v>2848</v>
      </c>
      <c r="L44" s="1514" t="s">
        <v>2849</v>
      </c>
    </row>
    <row r="45" spans="1:30">
      <c r="A45" s="1264"/>
      <c r="B45" s="1403">
        <f>$B$5</f>
        <v>0.15</v>
      </c>
      <c r="C45" s="1512" t="s">
        <v>2847</v>
      </c>
      <c r="D45" s="1513" t="s">
        <v>2847</v>
      </c>
      <c r="E45" s="1513" t="s">
        <v>2847</v>
      </c>
      <c r="F45" s="1513" t="s">
        <v>2847</v>
      </c>
      <c r="G45" s="1513" t="s">
        <v>2847</v>
      </c>
      <c r="H45" s="1513" t="s">
        <v>2848</v>
      </c>
      <c r="I45" s="1513" t="s">
        <v>2848</v>
      </c>
      <c r="J45" s="1513" t="s">
        <v>2848</v>
      </c>
      <c r="K45" s="1513" t="s">
        <v>2849</v>
      </c>
      <c r="L45" s="1514" t="s">
        <v>2849</v>
      </c>
    </row>
    <row r="46" spans="1:30">
      <c r="A46" s="1264"/>
      <c r="B46" s="1403">
        <f>$B$6</f>
        <v>0.17499999999999999</v>
      </c>
      <c r="C46" s="1512" t="s">
        <v>2847</v>
      </c>
      <c r="D46" s="1513" t="s">
        <v>2847</v>
      </c>
      <c r="E46" s="1513" t="s">
        <v>2847</v>
      </c>
      <c r="F46" s="1513" t="s">
        <v>2847</v>
      </c>
      <c r="G46" s="1513" t="s">
        <v>2847</v>
      </c>
      <c r="H46" s="1513" t="s">
        <v>2848</v>
      </c>
      <c r="I46" s="1513" t="s">
        <v>2848</v>
      </c>
      <c r="J46" s="1513" t="s">
        <v>2848</v>
      </c>
      <c r="K46" s="1513" t="s">
        <v>2849</v>
      </c>
      <c r="L46" s="1514" t="s">
        <v>2849</v>
      </c>
    </row>
    <row r="47" spans="1:30">
      <c r="A47" s="1264"/>
      <c r="B47" s="1403">
        <f>$B$7</f>
        <v>0.2</v>
      </c>
      <c r="C47" s="1512" t="s">
        <v>2847</v>
      </c>
      <c r="D47" s="1513" t="s">
        <v>2847</v>
      </c>
      <c r="E47" s="1513" t="s">
        <v>2847</v>
      </c>
      <c r="F47" s="1513" t="s">
        <v>2847</v>
      </c>
      <c r="G47" s="1513" t="s">
        <v>2848</v>
      </c>
      <c r="H47" s="1513" t="s">
        <v>2848</v>
      </c>
      <c r="I47" s="1513" t="s">
        <v>2848</v>
      </c>
      <c r="J47" s="1513" t="s">
        <v>2848</v>
      </c>
      <c r="K47" s="1513" t="s">
        <v>2849</v>
      </c>
      <c r="L47" s="1514" t="s">
        <v>2849</v>
      </c>
    </row>
    <row r="48" spans="1:30">
      <c r="A48" s="1264"/>
      <c r="B48" s="1403">
        <f>$B$8</f>
        <v>0.25</v>
      </c>
      <c r="C48" s="1512" t="s">
        <v>2847</v>
      </c>
      <c r="D48" s="1513" t="s">
        <v>2847</v>
      </c>
      <c r="E48" s="1513" t="s">
        <v>2847</v>
      </c>
      <c r="F48" s="1513" t="s">
        <v>2847</v>
      </c>
      <c r="G48" s="1513" t="s">
        <v>2848</v>
      </c>
      <c r="H48" s="1513" t="s">
        <v>2848</v>
      </c>
      <c r="I48" s="1513" t="s">
        <v>2849</v>
      </c>
      <c r="J48" s="1513" t="s">
        <v>2849</v>
      </c>
      <c r="K48" s="1513" t="s">
        <v>2849</v>
      </c>
      <c r="L48" s="1514" t="s">
        <v>2849</v>
      </c>
    </row>
    <row r="49" spans="1:12">
      <c r="A49" s="1264"/>
      <c r="B49" s="1403">
        <f>$B$9</f>
        <v>0.375</v>
      </c>
      <c r="C49" s="1512" t="s">
        <v>2847</v>
      </c>
      <c r="D49" s="1513" t="s">
        <v>2847</v>
      </c>
      <c r="E49" s="1513" t="s">
        <v>2847</v>
      </c>
      <c r="F49" s="1513" t="s">
        <v>2847</v>
      </c>
      <c r="G49" s="1513" t="s">
        <v>2848</v>
      </c>
      <c r="H49" s="1513" t="s">
        <v>2848</v>
      </c>
      <c r="I49" s="1513" t="s">
        <v>2849</v>
      </c>
      <c r="J49" s="1513" t="s">
        <v>2849</v>
      </c>
      <c r="K49" s="1513" t="s">
        <v>2849</v>
      </c>
      <c r="L49" s="1514" t="s">
        <v>2849</v>
      </c>
    </row>
    <row r="50" spans="1:12">
      <c r="A50" s="1264"/>
      <c r="B50" s="1403">
        <f>$B$10</f>
        <v>0.5</v>
      </c>
      <c r="C50" s="1512" t="s">
        <v>2847</v>
      </c>
      <c r="D50" s="1513" t="s">
        <v>2847</v>
      </c>
      <c r="E50" s="1513" t="s">
        <v>2847</v>
      </c>
      <c r="F50" s="1513" t="s">
        <v>2848</v>
      </c>
      <c r="G50" s="1513" t="s">
        <v>2848</v>
      </c>
      <c r="H50" s="1513" t="s">
        <v>2848</v>
      </c>
      <c r="I50" s="1513" t="s">
        <v>2849</v>
      </c>
      <c r="J50" s="1513" t="s">
        <v>2849</v>
      </c>
      <c r="K50" s="1513" t="s">
        <v>2850</v>
      </c>
      <c r="L50" s="1514" t="s">
        <v>2850</v>
      </c>
    </row>
    <row r="51" spans="1:12">
      <c r="A51" s="1264"/>
      <c r="B51" s="1403">
        <f>$B$11</f>
        <v>1</v>
      </c>
      <c r="C51" s="1512" t="s">
        <v>2847</v>
      </c>
      <c r="D51" s="1513" t="s">
        <v>2847</v>
      </c>
      <c r="E51" s="1513" t="s">
        <v>2847</v>
      </c>
      <c r="F51" s="1513" t="s">
        <v>2848</v>
      </c>
      <c r="G51" s="1513" t="s">
        <v>2848</v>
      </c>
      <c r="H51" s="1513" t="s">
        <v>2849</v>
      </c>
      <c r="I51" s="1513" t="s">
        <v>2849</v>
      </c>
      <c r="J51" s="1513" t="s">
        <v>2849</v>
      </c>
      <c r="K51" s="1513" t="s">
        <v>2850</v>
      </c>
      <c r="L51" s="1514" t="s">
        <v>2850</v>
      </c>
    </row>
    <row r="52" spans="1:12">
      <c r="A52" s="1264"/>
      <c r="B52" s="1403">
        <f>$B$12</f>
        <v>1.5</v>
      </c>
      <c r="C52" s="1512" t="s">
        <v>2847</v>
      </c>
      <c r="D52" s="1513" t="s">
        <v>2847</v>
      </c>
      <c r="E52" s="1513" t="s">
        <v>2848</v>
      </c>
      <c r="F52" s="1513" t="s">
        <v>2849</v>
      </c>
      <c r="G52" s="1513" t="s">
        <v>2849</v>
      </c>
      <c r="H52" s="1513" t="s">
        <v>2849</v>
      </c>
      <c r="I52" s="1513" t="s">
        <v>2849</v>
      </c>
      <c r="J52" s="1513" t="s">
        <v>2850</v>
      </c>
      <c r="K52" s="1513" t="s">
        <v>2850</v>
      </c>
      <c r="L52" s="1532" t="s">
        <v>2851</v>
      </c>
    </row>
    <row r="53" spans="1:12">
      <c r="A53" s="1264"/>
      <c r="B53" s="1403">
        <f>$B$13</f>
        <v>2</v>
      </c>
      <c r="C53" s="1532" t="s">
        <v>2847</v>
      </c>
      <c r="D53" s="1532" t="s">
        <v>2848</v>
      </c>
      <c r="E53" s="1532" t="s">
        <v>2848</v>
      </c>
      <c r="F53" s="1532" t="s">
        <v>2848</v>
      </c>
      <c r="G53" s="1532" t="s">
        <v>2849</v>
      </c>
      <c r="H53" s="1532" t="s">
        <v>2849</v>
      </c>
      <c r="I53" s="1535" t="s">
        <v>2849</v>
      </c>
      <c r="J53" s="1534" t="s">
        <v>2850</v>
      </c>
      <c r="K53" s="1532" t="s">
        <v>2851</v>
      </c>
      <c r="L53" s="1761" t="s">
        <v>3454</v>
      </c>
    </row>
    <row r="54" spans="1:12">
      <c r="A54" s="1264"/>
      <c r="B54" s="1403">
        <f>$B$14</f>
        <v>2.5</v>
      </c>
      <c r="C54" s="1531" t="s">
        <v>2848</v>
      </c>
      <c r="D54" s="1532" t="s">
        <v>2848</v>
      </c>
      <c r="E54" s="1532" t="s">
        <v>2849</v>
      </c>
      <c r="F54" s="1532" t="s">
        <v>2849</v>
      </c>
      <c r="G54" s="1532" t="s">
        <v>2849</v>
      </c>
      <c r="H54" s="1532" t="s">
        <v>2849</v>
      </c>
      <c r="I54" s="1532" t="s">
        <v>2850</v>
      </c>
      <c r="J54" s="1532" t="s">
        <v>2851</v>
      </c>
      <c r="K54" s="1762" t="s">
        <v>3454</v>
      </c>
      <c r="L54" s="1761" t="s">
        <v>3454</v>
      </c>
    </row>
    <row r="55" spans="1:12">
      <c r="A55" s="1264"/>
      <c r="B55" s="1403">
        <f>$B$15</f>
        <v>3</v>
      </c>
      <c r="C55" s="1531" t="s">
        <v>2848</v>
      </c>
      <c r="D55" s="1532" t="s">
        <v>2848</v>
      </c>
      <c r="E55" s="1532" t="s">
        <v>2849</v>
      </c>
      <c r="F55" s="1532" t="s">
        <v>2849</v>
      </c>
      <c r="G55" s="1532" t="s">
        <v>2849</v>
      </c>
      <c r="H55" s="1532" t="s">
        <v>2850</v>
      </c>
      <c r="I55" s="1532" t="s">
        <v>2851</v>
      </c>
      <c r="J55" s="1762" t="s">
        <v>3454</v>
      </c>
      <c r="K55" s="1762" t="s">
        <v>3454</v>
      </c>
      <c r="L55" s="1761" t="s">
        <v>3454</v>
      </c>
    </row>
    <row r="56" spans="1:12">
      <c r="A56" s="1264"/>
      <c r="B56" s="1403">
        <f>$B$16</f>
        <v>4</v>
      </c>
      <c r="C56" s="1531" t="s">
        <v>2848</v>
      </c>
      <c r="D56" s="1532" t="s">
        <v>2848</v>
      </c>
      <c r="E56" s="1532" t="s">
        <v>2849</v>
      </c>
      <c r="F56" s="1532" t="s">
        <v>2849</v>
      </c>
      <c r="G56" s="1532" t="s">
        <v>2850</v>
      </c>
      <c r="H56" s="1532" t="s">
        <v>2851</v>
      </c>
      <c r="I56" s="1762" t="s">
        <v>3454</v>
      </c>
      <c r="J56" s="1762" t="s">
        <v>3454</v>
      </c>
      <c r="K56" s="1762" t="s">
        <v>3454</v>
      </c>
      <c r="L56" s="1761" t="s">
        <v>3454</v>
      </c>
    </row>
    <row r="57" spans="1:12" ht="15.75" thickBot="1">
      <c r="A57" s="1264"/>
      <c r="B57" s="1403">
        <f>$B$17</f>
        <v>5</v>
      </c>
      <c r="C57" s="1750" t="s">
        <v>3454</v>
      </c>
      <c r="D57" s="1751" t="s">
        <v>3454</v>
      </c>
      <c r="E57" s="1751" t="s">
        <v>3454</v>
      </c>
      <c r="F57" s="1751" t="s">
        <v>3454</v>
      </c>
      <c r="G57" s="1751" t="s">
        <v>3454</v>
      </c>
      <c r="H57" s="1751" t="s">
        <v>3454</v>
      </c>
      <c r="I57" s="1751" t="s">
        <v>3454</v>
      </c>
      <c r="J57" s="1751" t="s">
        <v>3454</v>
      </c>
      <c r="K57" s="1751" t="s">
        <v>3454</v>
      </c>
      <c r="L57" s="1752" t="s">
        <v>3454</v>
      </c>
    </row>
  </sheetData>
  <mergeCells count="3">
    <mergeCell ref="A21:A22"/>
    <mergeCell ref="A3:A4"/>
    <mergeCell ref="A43:A44"/>
  </mergeCells>
  <phoneticPr fontId="170" type="noConversion"/>
  <pageMargins left="0.70866141732283472" right="0.70866141732283472" top="0.74803149606299213" bottom="0.74803149606299213" header="0.31496062992125984" footer="0.31496062992125984"/>
  <pageSetup paperSize="9" scale="57" orientation="landscape" r:id="rId1"/>
  <headerFooter>
    <oddHeader>&amp;L&amp;F / &amp;A&amp;R&amp;D</oddHeader>
    <oddFooter>&amp;L&amp;12CONFIDENTIAL&amp;C&amp;12BARKER JET&amp;Rpage &amp;P / &amp;N</oddFooter>
  </headerFooter>
  <legacy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>
    <pageSetUpPr fitToPage="1"/>
  </sheetPr>
  <dimension ref="A1:AC72"/>
  <sheetViews>
    <sheetView topLeftCell="A28" zoomScale="70" zoomScaleNormal="70" workbookViewId="0">
      <selection activeCell="O45" sqref="O45:O46"/>
    </sheetView>
  </sheetViews>
  <sheetFormatPr defaultColWidth="9.140625" defaultRowHeight="15"/>
  <cols>
    <col min="1" max="1" width="13.7109375" style="406" customWidth="1"/>
    <col min="2" max="2" width="9.140625" style="1405"/>
    <col min="3" max="12" width="9.140625" style="406"/>
    <col min="13" max="13" width="13.7109375" style="406" customWidth="1"/>
    <col min="14" max="14" width="9.140625" style="406" customWidth="1"/>
    <col min="15" max="16" width="9.140625" style="406"/>
    <col min="17" max="17" width="9.140625" style="1405"/>
    <col min="18" max="29" width="9.140625" style="1505"/>
    <col min="30" max="16384" width="9.140625" style="406"/>
  </cols>
  <sheetData>
    <row r="1" spans="1:29" ht="15.75" thickBot="1">
      <c r="A1" s="1264" t="s">
        <v>1212</v>
      </c>
      <c r="B1" s="1402"/>
      <c r="C1" s="1400">
        <f>MFrame!$C$1</f>
        <v>750</v>
      </c>
      <c r="D1" s="1400">
        <f>MFrame!$D$1</f>
        <v>900</v>
      </c>
      <c r="E1" s="1400">
        <f>MFrame!$E$1</f>
        <v>1000</v>
      </c>
      <c r="F1" s="1400">
        <f>MFrame!$F$1</f>
        <v>1200</v>
      </c>
      <c r="G1" s="1400">
        <f>MFrame!$G$1</f>
        <v>1350</v>
      </c>
      <c r="H1" s="1400">
        <f>MFrame!$H$1</f>
        <v>1500</v>
      </c>
      <c r="I1" s="1400">
        <f>MFrame!$I$1</f>
        <v>1800</v>
      </c>
      <c r="J1" s="1400">
        <f>MFrame!$J$1</f>
        <v>2400</v>
      </c>
      <c r="K1" s="1400">
        <f>MFrame!$K$1</f>
        <v>3000</v>
      </c>
      <c r="L1" s="1400">
        <f>MFrame!$L$1</f>
        <v>3600</v>
      </c>
      <c r="M1" s="1264" t="s">
        <v>227</v>
      </c>
      <c r="N1" s="1264"/>
      <c r="O1" s="1264"/>
      <c r="P1" s="1264"/>
      <c r="Q1" s="1248"/>
      <c r="R1" s="1270"/>
      <c r="S1" s="1270"/>
      <c r="T1" s="1270"/>
      <c r="U1" s="1270"/>
      <c r="V1" s="1270"/>
      <c r="W1" s="1270"/>
      <c r="X1" s="1270"/>
      <c r="Y1" s="1270"/>
      <c r="Z1" s="1270"/>
      <c r="AA1" s="1270"/>
      <c r="AB1" s="1270"/>
      <c r="AC1" s="1270"/>
    </row>
    <row r="2" spans="1:29" ht="15.75" thickBot="1">
      <c r="A2" s="1265" t="s">
        <v>1261</v>
      </c>
      <c r="B2" s="1403">
        <f>MFrame!$B$2</f>
        <v>0</v>
      </c>
      <c r="C2" s="1769" t="e">
        <f ca="1">MFrame!C20</f>
        <v>#REF!</v>
      </c>
      <c r="D2" s="1770" t="e">
        <f ca="1">MFrame!D20</f>
        <v>#REF!</v>
      </c>
      <c r="E2" s="1770" t="e">
        <f ca="1">MFrame!E20</f>
        <v>#REF!</v>
      </c>
      <c r="F2" s="1770" t="e">
        <f ca="1">MFrame!F20</f>
        <v>#REF!</v>
      </c>
      <c r="G2" s="1770" t="e">
        <f ca="1">MFrame!G20</f>
        <v>#REF!</v>
      </c>
      <c r="H2" s="1770" t="e">
        <f ca="1">MFrame!H20</f>
        <v>#REF!</v>
      </c>
      <c r="I2" s="1770" t="e">
        <f ca="1">MFrame!I20</f>
        <v>#REF!</v>
      </c>
      <c r="J2" s="1770" t="e">
        <f ca="1">MFrame!J20</f>
        <v>#REF!</v>
      </c>
      <c r="K2" s="1770" t="e">
        <f ca="1">MFrame!K20</f>
        <v>#REF!</v>
      </c>
      <c r="L2" s="1771" t="e">
        <f ca="1">MFrame!L20</f>
        <v>#REF!</v>
      </c>
      <c r="M2" s="1264" t="s">
        <v>2834</v>
      </c>
      <c r="N2" s="1504" t="e">
        <f ca="1">INDEX(SFP,sysJ2_index,RPM_index)</f>
        <v>#REF!</v>
      </c>
      <c r="O2" s="1264"/>
      <c r="P2" s="1264"/>
      <c r="Q2" s="1248"/>
      <c r="R2" s="1270"/>
      <c r="S2" s="1270"/>
      <c r="T2" s="1270"/>
      <c r="U2" s="1270"/>
      <c r="V2" s="1270"/>
      <c r="W2" s="1270"/>
      <c r="X2" s="1270"/>
      <c r="Y2" s="1270"/>
      <c r="Z2" s="1270"/>
      <c r="AA2" s="1270"/>
      <c r="AB2" s="1270"/>
      <c r="AC2" s="1270"/>
    </row>
    <row r="3" spans="1:29">
      <c r="A3" s="3983">
        <v>170417</v>
      </c>
      <c r="B3" s="1403">
        <f>MFrame!$B$3</f>
        <v>0.1</v>
      </c>
      <c r="C3" s="1509" t="str">
        <f>MFrame!C21</f>
        <v>P5</v>
      </c>
      <c r="D3" s="1510" t="str">
        <f>MFrame!D21</f>
        <v>P5</v>
      </c>
      <c r="E3" s="1510" t="str">
        <f>MFrame!E21</f>
        <v>P5</v>
      </c>
      <c r="F3" s="1510" t="str">
        <f>MFrame!F21</f>
        <v>P5</v>
      </c>
      <c r="G3" s="1510" t="str">
        <f>MFrame!G21</f>
        <v>P5</v>
      </c>
      <c r="H3" s="1510" t="str">
        <f>MFrame!H21</f>
        <v>P5</v>
      </c>
      <c r="I3" s="1510" t="str">
        <f>MFrame!I21</f>
        <v>P5</v>
      </c>
      <c r="J3" s="1510" t="str">
        <f>MFrame!J21</f>
        <v>P6</v>
      </c>
      <c r="K3" s="1510" t="str">
        <f>MFrame!K21</f>
        <v>P6</v>
      </c>
      <c r="L3" s="1511" t="str">
        <f>MFrame!L21</f>
        <v>P6</v>
      </c>
      <c r="M3" s="1264"/>
      <c r="N3" s="1264"/>
      <c r="O3" s="1264"/>
      <c r="P3" s="1264"/>
      <c r="Q3" s="1248"/>
      <c r="R3" s="1270"/>
      <c r="S3" s="1270"/>
      <c r="T3" s="1270"/>
      <c r="U3" s="1270"/>
      <c r="V3" s="1270"/>
      <c r="W3" s="1270"/>
      <c r="X3" s="1270"/>
      <c r="Y3" s="1270"/>
      <c r="Z3" s="1270"/>
      <c r="AA3" s="1270"/>
      <c r="AB3" s="1270"/>
      <c r="AC3" s="1270"/>
    </row>
    <row r="4" spans="1:29" ht="15.75" thickBot="1">
      <c r="A4" s="3984"/>
      <c r="B4" s="1403">
        <f>MFrame!$B$4</f>
        <v>0.125</v>
      </c>
      <c r="C4" s="1509" t="str">
        <f>MFrame!C22</f>
        <v>P5</v>
      </c>
      <c r="D4" s="1510" t="str">
        <f>MFrame!D22</f>
        <v>P5</v>
      </c>
      <c r="E4" s="1510" t="str">
        <f>MFrame!E22</f>
        <v>P5</v>
      </c>
      <c r="F4" s="1510" t="str">
        <f>MFrame!F22</f>
        <v>P5</v>
      </c>
      <c r="G4" s="1510" t="str">
        <f>MFrame!G22</f>
        <v>P5</v>
      </c>
      <c r="H4" s="1510" t="str">
        <f>MFrame!H22</f>
        <v>P5</v>
      </c>
      <c r="I4" s="1510" t="str">
        <f>MFrame!I22</f>
        <v>P6</v>
      </c>
      <c r="J4" s="1510" t="str">
        <f>MFrame!J22</f>
        <v>P6</v>
      </c>
      <c r="K4" s="1510" t="str">
        <f>MFrame!K22</f>
        <v>P6</v>
      </c>
      <c r="L4" s="1511" t="str">
        <f>MFrame!L22</f>
        <v>P8</v>
      </c>
      <c r="M4" s="1264"/>
      <c r="N4" s="1264"/>
      <c r="O4" s="1264"/>
      <c r="P4" s="1264"/>
      <c r="Q4" s="1248"/>
      <c r="AB4" s="1270"/>
      <c r="AC4" s="1270"/>
    </row>
    <row r="5" spans="1:29">
      <c r="A5" s="1269"/>
      <c r="B5" s="1403">
        <f>MFrame!$B$5</f>
        <v>0.15</v>
      </c>
      <c r="C5" s="1509" t="str">
        <f>MFrame!C23</f>
        <v>P5</v>
      </c>
      <c r="D5" s="1510" t="str">
        <f>MFrame!D23</f>
        <v>P5</v>
      </c>
      <c r="E5" s="1510" t="str">
        <f>MFrame!E23</f>
        <v>P5</v>
      </c>
      <c r="F5" s="1510" t="str">
        <f>MFrame!F23</f>
        <v>P5</v>
      </c>
      <c r="G5" s="1510" t="str">
        <f>MFrame!G23</f>
        <v>P5</v>
      </c>
      <c r="H5" s="1510" t="str">
        <f>MFrame!H23</f>
        <v>P6</v>
      </c>
      <c r="I5" s="1510" t="str">
        <f>MFrame!I23</f>
        <v>P6</v>
      </c>
      <c r="J5" s="1510" t="str">
        <f>MFrame!J23</f>
        <v>P6</v>
      </c>
      <c r="K5" s="1510" t="str">
        <f>MFrame!K23</f>
        <v>P8</v>
      </c>
      <c r="L5" s="1511" t="str">
        <f>MFrame!L23</f>
        <v>P8</v>
      </c>
      <c r="M5" s="1264"/>
      <c r="N5" s="1264"/>
      <c r="O5" s="1264"/>
      <c r="P5" s="1264"/>
      <c r="Q5" s="1248"/>
      <c r="R5" s="1270"/>
      <c r="S5" s="1270"/>
      <c r="T5" s="1270"/>
      <c r="U5" s="1270"/>
      <c r="V5" s="1270"/>
      <c r="W5" s="1270"/>
      <c r="X5" s="1270"/>
      <c r="Y5" s="1270"/>
      <c r="Z5" s="1270"/>
      <c r="AA5" s="1270"/>
      <c r="AB5" s="1270"/>
      <c r="AC5" s="1270"/>
    </row>
    <row r="6" spans="1:29">
      <c r="A6" s="1269"/>
      <c r="B6" s="1403">
        <f>MFrame!$B$6</f>
        <v>0.17499999999999999</v>
      </c>
      <c r="C6" s="1509" t="str">
        <f>MFrame!C24</f>
        <v>P5</v>
      </c>
      <c r="D6" s="1510" t="str">
        <f>MFrame!D24</f>
        <v>P5</v>
      </c>
      <c r="E6" s="1510" t="str">
        <f>MFrame!E24</f>
        <v>P5</v>
      </c>
      <c r="F6" s="1510" t="str">
        <f>MFrame!F24</f>
        <v>P5</v>
      </c>
      <c r="G6" s="1510" t="str">
        <f>MFrame!G24</f>
        <v>P5</v>
      </c>
      <c r="H6" s="1510" t="str">
        <f>MFrame!H24</f>
        <v>P6</v>
      </c>
      <c r="I6" s="1510" t="str">
        <f>MFrame!I24</f>
        <v>P6</v>
      </c>
      <c r="J6" s="1510" t="str">
        <f>MFrame!J24</f>
        <v>P6</v>
      </c>
      <c r="K6" s="1510" t="str">
        <f>MFrame!K24</f>
        <v>P8</v>
      </c>
      <c r="L6" s="1511" t="str">
        <f>MFrame!L24</f>
        <v>P8</v>
      </c>
      <c r="M6" s="1264"/>
      <c r="N6" s="1264"/>
      <c r="O6" s="1264"/>
      <c r="P6" s="1264"/>
      <c r="Q6" s="1248"/>
      <c r="R6" s="1270"/>
      <c r="S6" s="1270"/>
      <c r="T6" s="1270"/>
      <c r="U6" s="1270"/>
      <c r="V6" s="1270"/>
      <c r="W6" s="1270"/>
      <c r="X6" s="1270"/>
      <c r="Y6" s="1270"/>
      <c r="Z6" s="1270"/>
      <c r="AA6" s="1270"/>
      <c r="AB6" s="1270"/>
      <c r="AC6" s="1270"/>
    </row>
    <row r="7" spans="1:29">
      <c r="A7" s="1269"/>
      <c r="B7" s="1403">
        <f>MFrame!$B$7</f>
        <v>0.2</v>
      </c>
      <c r="C7" s="1509" t="str">
        <f>MFrame!C25</f>
        <v>P5</v>
      </c>
      <c r="D7" s="1510" t="str">
        <f>MFrame!D25</f>
        <v>P5</v>
      </c>
      <c r="E7" s="1510" t="str">
        <f>MFrame!E25</f>
        <v>P5</v>
      </c>
      <c r="F7" s="1510" t="str">
        <f>MFrame!F25</f>
        <v>P5</v>
      </c>
      <c r="G7" s="1510" t="str">
        <f>MFrame!G25</f>
        <v>P6</v>
      </c>
      <c r="H7" s="1510" t="str">
        <f>MFrame!H25</f>
        <v>P6</v>
      </c>
      <c r="I7" s="1510" t="str">
        <f>MFrame!I25</f>
        <v>P6</v>
      </c>
      <c r="J7" s="1510" t="str">
        <f>MFrame!J25</f>
        <v>P6</v>
      </c>
      <c r="K7" s="1510" t="str">
        <f>MFrame!K25</f>
        <v>P8</v>
      </c>
      <c r="L7" s="1511" t="str">
        <f>MFrame!L25</f>
        <v>P8</v>
      </c>
      <c r="M7" s="1264"/>
      <c r="N7" s="1264"/>
      <c r="O7" s="1264"/>
      <c r="P7" s="1264"/>
      <c r="Q7" s="1248"/>
      <c r="R7" s="1270"/>
      <c r="S7" s="1270"/>
      <c r="T7" s="1270"/>
      <c r="U7" s="1270"/>
      <c r="V7" s="1270"/>
      <c r="W7" s="1270"/>
      <c r="X7" s="1270"/>
      <c r="Y7" s="1270"/>
      <c r="Z7" s="1270"/>
      <c r="AA7" s="1270"/>
      <c r="AB7" s="1270"/>
      <c r="AC7" s="1270"/>
    </row>
    <row r="8" spans="1:29">
      <c r="A8" s="1269"/>
      <c r="B8" s="1403">
        <f>MFrame!$B$8</f>
        <v>0.25</v>
      </c>
      <c r="C8" s="1509" t="str">
        <f>MFrame!C26</f>
        <v>P5</v>
      </c>
      <c r="D8" s="1510" t="str">
        <f>MFrame!D26</f>
        <v>P5</v>
      </c>
      <c r="E8" s="1510" t="str">
        <f>MFrame!E26</f>
        <v>P5</v>
      </c>
      <c r="F8" s="1510" t="str">
        <f>MFrame!F26</f>
        <v>P5</v>
      </c>
      <c r="G8" s="1510" t="str">
        <f>MFrame!G26</f>
        <v>P6</v>
      </c>
      <c r="H8" s="1510" t="str">
        <f>MFrame!H26</f>
        <v>P6</v>
      </c>
      <c r="I8" s="1510" t="str">
        <f>MFrame!I26</f>
        <v>P6</v>
      </c>
      <c r="J8" s="1510" t="str">
        <f>MFrame!J26</f>
        <v>P6</v>
      </c>
      <c r="K8" s="1510" t="str">
        <f>MFrame!K26</f>
        <v>P8</v>
      </c>
      <c r="L8" s="1511" t="str">
        <f>MFrame!L26</f>
        <v>P8</v>
      </c>
      <c r="M8" s="1264"/>
      <c r="N8" s="1264"/>
      <c r="O8" s="1264"/>
      <c r="P8" s="1264"/>
      <c r="Q8" s="1248"/>
      <c r="R8" s="1270"/>
      <c r="S8" s="1270"/>
      <c r="T8" s="1270"/>
      <c r="U8" s="1270"/>
      <c r="V8" s="1270"/>
      <c r="W8" s="1270"/>
      <c r="X8" s="1270"/>
      <c r="Y8" s="1270"/>
      <c r="Z8" s="1270"/>
      <c r="AA8" s="1270"/>
      <c r="AB8" s="1270"/>
      <c r="AC8" s="1270"/>
    </row>
    <row r="9" spans="1:29">
      <c r="A9" s="1269"/>
      <c r="B9" s="1403">
        <f>MFrame!$B$9</f>
        <v>0.375</v>
      </c>
      <c r="C9" s="1509" t="str">
        <f>MFrame!C27</f>
        <v>P5</v>
      </c>
      <c r="D9" s="1510" t="str">
        <f>MFrame!D27</f>
        <v>P5</v>
      </c>
      <c r="E9" s="1510" t="str">
        <f>MFrame!E27</f>
        <v>P5</v>
      </c>
      <c r="F9" s="1510" t="str">
        <f>MFrame!F27</f>
        <v>P5</v>
      </c>
      <c r="G9" s="1510" t="str">
        <f>MFrame!G27</f>
        <v>P6</v>
      </c>
      <c r="H9" s="1510" t="str">
        <f>MFrame!H27</f>
        <v>P6</v>
      </c>
      <c r="I9" s="1510" t="str">
        <f>MFrame!I27</f>
        <v>P6</v>
      </c>
      <c r="J9" s="1510" t="str">
        <f>MFrame!J27</f>
        <v>P6</v>
      </c>
      <c r="K9" s="1510" t="str">
        <f>MFrame!K27</f>
        <v>P8</v>
      </c>
      <c r="L9" s="1511" t="str">
        <f>MFrame!L27</f>
        <v>P8</v>
      </c>
      <c r="M9" s="1264"/>
      <c r="N9" s="1264"/>
      <c r="O9" s="1264"/>
      <c r="P9" s="1264"/>
      <c r="Q9" s="1248"/>
      <c r="R9" s="1270"/>
      <c r="S9" s="1270"/>
      <c r="T9" s="1270"/>
      <c r="U9" s="1270"/>
      <c r="V9" s="1270"/>
      <c r="W9" s="1270"/>
      <c r="X9" s="1270"/>
      <c r="Y9" s="1270"/>
      <c r="Z9" s="1270"/>
      <c r="AA9" s="1270"/>
      <c r="AB9" s="1270"/>
      <c r="AC9" s="1270"/>
    </row>
    <row r="10" spans="1:29">
      <c r="A10" s="1264"/>
      <c r="B10" s="1403">
        <f>MFrame!$B$10</f>
        <v>0.5</v>
      </c>
      <c r="C10" s="1509" t="str">
        <f>MFrame!C28</f>
        <v>P5</v>
      </c>
      <c r="D10" s="1510" t="str">
        <f>MFrame!D28</f>
        <v>P5</v>
      </c>
      <c r="E10" s="1510" t="str">
        <f>MFrame!E28</f>
        <v>P5</v>
      </c>
      <c r="F10" s="1510" t="str">
        <f>MFrame!F28</f>
        <v>P6</v>
      </c>
      <c r="G10" s="1510" t="str">
        <f>MFrame!G28</f>
        <v>P6</v>
      </c>
      <c r="H10" s="1510" t="str">
        <f>MFrame!H28</f>
        <v>P6</v>
      </c>
      <c r="I10" s="1510" t="str">
        <f>MFrame!I28</f>
        <v>P8</v>
      </c>
      <c r="J10" s="1510" t="str">
        <f>MFrame!J28</f>
        <v>P8</v>
      </c>
      <c r="K10" s="1510" t="str">
        <f>MFrame!K28</f>
        <v>P10</v>
      </c>
      <c r="L10" s="1511" t="str">
        <f>MFrame!L28</f>
        <v>P10</v>
      </c>
      <c r="M10" s="1264"/>
      <c r="N10" s="1264"/>
      <c r="O10" s="1264"/>
      <c r="P10" s="1264"/>
      <c r="Q10" s="1248"/>
      <c r="R10" s="1270"/>
      <c r="S10" s="1270"/>
      <c r="T10" s="1270"/>
      <c r="U10" s="1270"/>
      <c r="V10" s="1270"/>
      <c r="W10" s="1270"/>
      <c r="X10" s="1270"/>
      <c r="Y10" s="1270"/>
      <c r="Z10" s="1270"/>
      <c r="AA10" s="1270"/>
      <c r="AB10" s="1270"/>
      <c r="AC10" s="1270"/>
    </row>
    <row r="11" spans="1:29">
      <c r="A11" s="1264"/>
      <c r="B11" s="1403">
        <f>MFrame!$B$11</f>
        <v>1</v>
      </c>
      <c r="C11" s="1509" t="str">
        <f>MFrame!C29</f>
        <v>P5</v>
      </c>
      <c r="D11" s="1510" t="str">
        <f>MFrame!D29</f>
        <v>P5</v>
      </c>
      <c r="E11" s="1510" t="str">
        <f>MFrame!E29</f>
        <v>P5</v>
      </c>
      <c r="F11" s="1510" t="str">
        <f>MFrame!F29</f>
        <v>P6</v>
      </c>
      <c r="G11" s="1510" t="str">
        <f>MFrame!G29</f>
        <v>P6</v>
      </c>
      <c r="H11" s="1510" t="str">
        <f>MFrame!H29</f>
        <v>P6</v>
      </c>
      <c r="I11" s="1510" t="str">
        <f>MFrame!I29</f>
        <v>P8</v>
      </c>
      <c r="J11" s="1510" t="str">
        <f>MFrame!J29</f>
        <v>P8</v>
      </c>
      <c r="K11" s="1510" t="str">
        <f>MFrame!K29</f>
        <v>P10</v>
      </c>
      <c r="L11" s="1511" t="str">
        <f>MFrame!L29</f>
        <v>P10</v>
      </c>
      <c r="M11" s="1264"/>
      <c r="N11" s="1264"/>
      <c r="O11" s="1264"/>
      <c r="P11" s="1264"/>
      <c r="Q11" s="1248"/>
      <c r="R11" s="1270"/>
      <c r="S11" s="1270"/>
      <c r="T11" s="1270"/>
      <c r="U11" s="1270"/>
      <c r="V11" s="1270"/>
      <c r="W11" s="1270"/>
      <c r="X11" s="1270"/>
      <c r="Y11" s="1270"/>
      <c r="Z11" s="1270"/>
      <c r="AA11" s="1270"/>
      <c r="AB11" s="1270"/>
      <c r="AC11" s="1270"/>
    </row>
    <row r="12" spans="1:29">
      <c r="A12" s="1264"/>
      <c r="B12" s="1403">
        <f>MFrame!$B$12</f>
        <v>1.5</v>
      </c>
      <c r="C12" s="1509" t="str">
        <f>MFrame!C30</f>
        <v>P5</v>
      </c>
      <c r="D12" s="1510" t="str">
        <f>MFrame!D30</f>
        <v>P5</v>
      </c>
      <c r="E12" s="1510" t="str">
        <f>MFrame!E30</f>
        <v>P6</v>
      </c>
      <c r="F12" s="1510" t="str">
        <f>MFrame!F30</f>
        <v>P6</v>
      </c>
      <c r="G12" s="1510" t="str">
        <f>MFrame!G30</f>
        <v>P6</v>
      </c>
      <c r="H12" s="1510" t="str">
        <f>MFrame!H30</f>
        <v>P8</v>
      </c>
      <c r="I12" s="1510" t="str">
        <f>MFrame!I30</f>
        <v>P8</v>
      </c>
      <c r="J12" s="1510" t="str">
        <f>MFrame!J30</f>
        <v>P10</v>
      </c>
      <c r="K12" s="1510" t="str">
        <f>MFrame!K30</f>
        <v>P10</v>
      </c>
      <c r="L12" s="1511" t="str">
        <f>MFrame!L30</f>
        <v>P10</v>
      </c>
      <c r="M12" s="1264"/>
      <c r="N12" s="1264"/>
      <c r="O12" s="1264"/>
      <c r="P12" s="1264"/>
      <c r="Q12" s="1248"/>
      <c r="R12" s="1270"/>
      <c r="S12" s="1270"/>
      <c r="T12" s="1270"/>
      <c r="U12" s="1270"/>
      <c r="V12" s="1270"/>
      <c r="W12" s="1270"/>
      <c r="X12" s="1270"/>
      <c r="Y12" s="1270"/>
      <c r="Z12" s="1270"/>
      <c r="AA12" s="1270"/>
      <c r="AB12" s="1270"/>
      <c r="AC12" s="1270"/>
    </row>
    <row r="13" spans="1:29">
      <c r="A13" s="1264"/>
      <c r="B13" s="1403">
        <f>MFrame!$B$13</f>
        <v>2</v>
      </c>
      <c r="C13" s="1772" t="str">
        <f>MFrame!C31</f>
        <v>P5</v>
      </c>
      <c r="D13" s="1773" t="str">
        <f>MFrame!D31</f>
        <v>P6</v>
      </c>
      <c r="E13" s="1773" t="str">
        <f>MFrame!E31</f>
        <v>P6</v>
      </c>
      <c r="F13" s="1773" t="str">
        <f>MFrame!F31</f>
        <v>P6</v>
      </c>
      <c r="G13" s="1773" t="str">
        <f>MFrame!G31</f>
        <v>P8</v>
      </c>
      <c r="H13" s="1773" t="str">
        <f>MFrame!H31</f>
        <v>P8</v>
      </c>
      <c r="I13" s="1774" t="str">
        <f>MFrame!I31</f>
        <v>P8</v>
      </c>
      <c r="J13" s="1775" t="str">
        <f>MFrame!J31</f>
        <v>P10</v>
      </c>
      <c r="K13" s="1773" t="str">
        <f>MFrame!K31</f>
        <v>P10</v>
      </c>
      <c r="L13" s="1776" t="str">
        <f>MFrame!L31</f>
        <v>PX</v>
      </c>
      <c r="M13" s="1264"/>
      <c r="N13" s="1264"/>
      <c r="O13" s="1264"/>
      <c r="P13" s="1264"/>
      <c r="Q13" s="1248"/>
      <c r="R13" s="1270"/>
      <c r="S13" s="1270"/>
      <c r="T13" s="1270"/>
      <c r="U13" s="1270"/>
      <c r="V13" s="1270"/>
      <c r="W13" s="1270"/>
      <c r="X13" s="1270"/>
      <c r="Y13" s="1270"/>
      <c r="Z13" s="1270"/>
      <c r="AA13" s="1270"/>
      <c r="AB13" s="1270"/>
      <c r="AC13" s="1270"/>
    </row>
    <row r="14" spans="1:29">
      <c r="A14" s="1264"/>
      <c r="B14" s="1403">
        <f>MFrame!$B$14</f>
        <v>2.5</v>
      </c>
      <c r="C14" s="1772" t="str">
        <f>MFrame!C32</f>
        <v>P6</v>
      </c>
      <c r="D14" s="1773" t="str">
        <f>MFrame!D32</f>
        <v>P6</v>
      </c>
      <c r="E14" s="1773" t="str">
        <f>MFrame!E32</f>
        <v>P6</v>
      </c>
      <c r="F14" s="1773" t="str">
        <f>MFrame!F32</f>
        <v>P8</v>
      </c>
      <c r="G14" s="1773" t="str">
        <f>MFrame!G32</f>
        <v>P8</v>
      </c>
      <c r="H14" s="1773" t="str">
        <f>MFrame!H32</f>
        <v>P8</v>
      </c>
      <c r="I14" s="1773" t="str">
        <f>MFrame!I32</f>
        <v>P10</v>
      </c>
      <c r="J14" s="1773" t="str">
        <f>MFrame!J32</f>
        <v>P10</v>
      </c>
      <c r="K14" s="1777" t="str">
        <f>MFrame!K32</f>
        <v>PX</v>
      </c>
      <c r="L14" s="1776" t="str">
        <f>MFrame!L32</f>
        <v>PX</v>
      </c>
      <c r="M14" s="1264"/>
      <c r="N14" s="1264"/>
      <c r="O14" s="1264"/>
      <c r="P14" s="1264"/>
      <c r="Q14" s="1248"/>
      <c r="R14" s="1270"/>
      <c r="S14" s="1270"/>
      <c r="T14" s="1270"/>
      <c r="U14" s="1270"/>
      <c r="V14" s="1270"/>
      <c r="W14" s="1270"/>
      <c r="X14" s="1270"/>
      <c r="Y14" s="1270"/>
      <c r="Z14" s="1270"/>
      <c r="AA14" s="1270"/>
      <c r="AB14" s="1270"/>
      <c r="AC14" s="1270"/>
    </row>
    <row r="15" spans="1:29">
      <c r="A15" s="1264"/>
      <c r="B15" s="1403">
        <f>MFrame!$B$15</f>
        <v>3</v>
      </c>
      <c r="C15" s="1772" t="str">
        <f>MFrame!C33</f>
        <v>P6</v>
      </c>
      <c r="D15" s="1773" t="str">
        <f>MFrame!D33</f>
        <v>P6</v>
      </c>
      <c r="E15" s="1773" t="str">
        <f>MFrame!E33</f>
        <v>P6</v>
      </c>
      <c r="F15" s="1773" t="str">
        <f>MFrame!F33</f>
        <v>P8</v>
      </c>
      <c r="G15" s="1773" t="str">
        <f>MFrame!G33</f>
        <v>P8</v>
      </c>
      <c r="H15" s="1773" t="str">
        <f>MFrame!H33</f>
        <v>P10</v>
      </c>
      <c r="I15" s="1773" t="str">
        <f>MFrame!I33</f>
        <v>P10</v>
      </c>
      <c r="J15" s="1777" t="str">
        <f>MFrame!J33</f>
        <v>PX</v>
      </c>
      <c r="K15" s="1777" t="str">
        <f>MFrame!K33</f>
        <v>PX</v>
      </c>
      <c r="L15" s="1776" t="str">
        <f>MFrame!L33</f>
        <v>PX</v>
      </c>
      <c r="M15" s="1264"/>
      <c r="N15" s="1264"/>
      <c r="O15" s="1264"/>
      <c r="P15" s="1264"/>
      <c r="Q15" s="1248"/>
      <c r="R15" s="1270"/>
      <c r="S15" s="1270"/>
      <c r="T15" s="1270"/>
      <c r="U15" s="1270"/>
      <c r="V15" s="1270"/>
      <c r="W15" s="1270"/>
      <c r="X15" s="1270"/>
      <c r="Y15" s="1270"/>
      <c r="Z15" s="1270"/>
      <c r="AA15" s="1270"/>
      <c r="AB15" s="1270"/>
      <c r="AC15" s="1270"/>
    </row>
    <row r="16" spans="1:29">
      <c r="A16" s="1264"/>
      <c r="B16" s="1403">
        <f>MFrame!$B$16</f>
        <v>4</v>
      </c>
      <c r="C16" s="1772" t="str">
        <f>MFrame!C34</f>
        <v>P8</v>
      </c>
      <c r="D16" s="1773" t="str">
        <f>MFrame!D34</f>
        <v>P8</v>
      </c>
      <c r="E16" s="1773" t="str">
        <f>MFrame!E34</f>
        <v>P10</v>
      </c>
      <c r="F16" s="1773" t="str">
        <f>MFrame!F34</f>
        <v>P10</v>
      </c>
      <c r="G16" s="1773" t="str">
        <f>MFrame!G34</f>
        <v>P10</v>
      </c>
      <c r="H16" s="1773" t="str">
        <f>MFrame!H34</f>
        <v>P10</v>
      </c>
      <c r="I16" s="1777" t="str">
        <f>MFrame!I34</f>
        <v>PX</v>
      </c>
      <c r="J16" s="1777" t="str">
        <f>MFrame!J34</f>
        <v>PX</v>
      </c>
      <c r="K16" s="1777" t="str">
        <f>MFrame!K34</f>
        <v>PX</v>
      </c>
      <c r="L16" s="1776" t="str">
        <f>MFrame!L34</f>
        <v>PX</v>
      </c>
      <c r="M16" s="1264"/>
      <c r="N16" s="1264"/>
      <c r="O16" s="1264"/>
      <c r="P16" s="1264"/>
      <c r="Q16" s="1248"/>
      <c r="R16" s="1270"/>
      <c r="S16" s="1270"/>
      <c r="T16" s="1270"/>
      <c r="U16" s="1270"/>
      <c r="V16" s="1270"/>
      <c r="W16" s="1270"/>
      <c r="X16" s="1270"/>
      <c r="Y16" s="1270"/>
      <c r="Z16" s="1270"/>
      <c r="AA16" s="1270"/>
      <c r="AB16" s="1270"/>
      <c r="AC16" s="1270"/>
    </row>
    <row r="17" spans="1:29" ht="15.75" thickBot="1">
      <c r="A17" s="1264"/>
      <c r="B17" s="1403">
        <f>MFrame!$B$17</f>
        <v>5</v>
      </c>
      <c r="C17" s="1778" t="str">
        <f>MFrame!C35</f>
        <v>PX</v>
      </c>
      <c r="D17" s="1779" t="str">
        <f>MFrame!D35</f>
        <v>PX</v>
      </c>
      <c r="E17" s="1779" t="str">
        <f>MFrame!E35</f>
        <v>PX</v>
      </c>
      <c r="F17" s="1779" t="str">
        <f>MFrame!F35</f>
        <v>PX</v>
      </c>
      <c r="G17" s="1779" t="str">
        <f>MFrame!G35</f>
        <v>PX</v>
      </c>
      <c r="H17" s="1779" t="str">
        <f>MFrame!H35</f>
        <v>PX</v>
      </c>
      <c r="I17" s="1779" t="str">
        <f>MFrame!I35</f>
        <v>PX</v>
      </c>
      <c r="J17" s="1779" t="str">
        <f>MFrame!J35</f>
        <v>PX</v>
      </c>
      <c r="K17" s="1779" t="str">
        <f>MFrame!K35</f>
        <v>PX</v>
      </c>
      <c r="L17" s="1780" t="str">
        <f>MFrame!L35</f>
        <v>PX</v>
      </c>
      <c r="M17" s="1264"/>
      <c r="N17" s="1264"/>
      <c r="O17" s="1264"/>
      <c r="P17" s="1264"/>
      <c r="Q17" s="1248"/>
      <c r="R17" s="1270"/>
      <c r="S17" s="1270"/>
      <c r="T17" s="1270"/>
      <c r="U17" s="1270"/>
      <c r="V17" s="1270"/>
      <c r="W17" s="1270"/>
      <c r="X17" s="1270"/>
      <c r="Y17" s="1270"/>
      <c r="Z17" s="1270"/>
      <c r="AA17" s="1270"/>
      <c r="AB17" s="1270"/>
      <c r="AC17" s="1270"/>
    </row>
    <row r="18" spans="1:29">
      <c r="A18" s="1264"/>
      <c r="B18" s="1248"/>
      <c r="C18" s="1264"/>
      <c r="D18" s="1264"/>
      <c r="E18" s="1264"/>
      <c r="F18" s="1264"/>
      <c r="G18" s="1264"/>
      <c r="H18" s="1264"/>
      <c r="I18" s="1264"/>
      <c r="J18" s="1264"/>
      <c r="K18" s="1264"/>
      <c r="L18" s="1264"/>
      <c r="M18" s="1264"/>
      <c r="N18" s="1264"/>
      <c r="O18" s="1264"/>
      <c r="P18" s="1264"/>
      <c r="Q18" s="1248"/>
      <c r="R18" s="1270"/>
      <c r="S18" s="1270"/>
      <c r="T18" s="1270"/>
      <c r="U18" s="1270"/>
      <c r="V18" s="1270"/>
      <c r="W18" s="1270"/>
      <c r="X18" s="1270"/>
      <c r="Y18" s="1270"/>
      <c r="Z18" s="1270"/>
      <c r="AA18" s="1270"/>
      <c r="AB18" s="1270"/>
      <c r="AC18" s="1270"/>
    </row>
    <row r="19" spans="1:29" ht="15.75" thickBot="1">
      <c r="A19" s="1264" t="s">
        <v>1480</v>
      </c>
      <c r="B19" s="1402"/>
      <c r="C19" s="1400">
        <f>$C$1</f>
        <v>750</v>
      </c>
      <c r="D19" s="1400">
        <f>$D$1</f>
        <v>900</v>
      </c>
      <c r="E19" s="1400">
        <f>$E$1</f>
        <v>1000</v>
      </c>
      <c r="F19" s="1400">
        <f>$F$1</f>
        <v>1200</v>
      </c>
      <c r="G19" s="1400">
        <f>$G$1</f>
        <v>1350</v>
      </c>
      <c r="H19" s="1400">
        <f>$H$1</f>
        <v>1500</v>
      </c>
      <c r="I19" s="1400">
        <f>$I$1</f>
        <v>1800</v>
      </c>
      <c r="J19" s="1400">
        <f>$J$1</f>
        <v>2400</v>
      </c>
      <c r="K19" s="1400">
        <f>$K$1</f>
        <v>3000</v>
      </c>
      <c r="L19" s="1400">
        <f>$L$1</f>
        <v>3600</v>
      </c>
      <c r="M19" s="1264" t="s">
        <v>227</v>
      </c>
      <c r="N19" s="1264"/>
      <c r="O19" s="1264"/>
      <c r="P19" s="1264"/>
      <c r="Q19" s="1248"/>
      <c r="R19" s="1270"/>
      <c r="S19" s="1270"/>
      <c r="T19" s="1270"/>
      <c r="U19" s="1270"/>
      <c r="V19" s="1270"/>
      <c r="W19" s="1270"/>
      <c r="X19" s="1270"/>
      <c r="Y19" s="1270"/>
      <c r="Z19" s="1270"/>
      <c r="AA19" s="1270"/>
      <c r="AB19" s="1270"/>
      <c r="AC19" s="1270"/>
    </row>
    <row r="20" spans="1:29" ht="15.75" thickBot="1">
      <c r="A20" s="1265" t="s">
        <v>1261</v>
      </c>
      <c r="B20" s="1402">
        <f>$B$2</f>
        <v>0</v>
      </c>
      <c r="C20" s="1406" t="e">
        <f t="shared" ref="C20:L20" ca="1" si="0">IF(Small_F,R20,C21)</f>
        <v>#REF!</v>
      </c>
      <c r="D20" s="1407" t="e">
        <f t="shared" ca="1" si="0"/>
        <v>#REF!</v>
      </c>
      <c r="E20" s="1407" t="e">
        <f t="shared" ca="1" si="0"/>
        <v>#REF!</v>
      </c>
      <c r="F20" s="1407" t="e">
        <f t="shared" ca="1" si="0"/>
        <v>#REF!</v>
      </c>
      <c r="G20" s="1407" t="e">
        <f t="shared" ca="1" si="0"/>
        <v>#REF!</v>
      </c>
      <c r="H20" s="1407" t="e">
        <f t="shared" ca="1" si="0"/>
        <v>#REF!</v>
      </c>
      <c r="I20" s="1407" t="e">
        <f t="shared" ca="1" si="0"/>
        <v>#REF!</v>
      </c>
      <c r="J20" s="1407" t="e">
        <f t="shared" ca="1" si="0"/>
        <v>#REF!</v>
      </c>
      <c r="K20" s="1407" t="e">
        <f t="shared" ca="1" si="0"/>
        <v>#REF!</v>
      </c>
      <c r="L20" s="1408" t="e">
        <f t="shared" ca="1" si="0"/>
        <v>#REF!</v>
      </c>
      <c r="M20" s="1264" t="s">
        <v>2837</v>
      </c>
      <c r="N20" s="1504" t="e">
        <f ca="1">IF(Small_F,$M$21,IF(VLOOKUP($M$21,Iron_dim,3,FALSE)&lt;ROUND(VLOOKUP(MF_Ra,Iron_dim,3,FALSE)/SIN(R_angle)/10,0)*10,SF_P,$M$21))</f>
        <v>#REF!</v>
      </c>
      <c r="O20" s="1264"/>
      <c r="P20" s="1264"/>
      <c r="Q20" s="1248"/>
      <c r="R20" s="1506" t="s">
        <v>305</v>
      </c>
      <c r="S20" s="1507" t="s">
        <v>305</v>
      </c>
      <c r="T20" s="1507" t="s">
        <v>305</v>
      </c>
      <c r="U20" s="1507" t="s">
        <v>305</v>
      </c>
      <c r="V20" s="1507" t="s">
        <v>305</v>
      </c>
      <c r="W20" s="1507" t="s">
        <v>305</v>
      </c>
      <c r="X20" s="1507" t="s">
        <v>305</v>
      </c>
      <c r="Y20" s="1507" t="s">
        <v>306</v>
      </c>
      <c r="Z20" s="1507" t="s">
        <v>307</v>
      </c>
      <c r="AA20" s="1508" t="s">
        <v>307</v>
      </c>
      <c r="AB20" s="1270"/>
      <c r="AC20" s="1270"/>
    </row>
    <row r="21" spans="1:29">
      <c r="A21" s="3983">
        <v>170223</v>
      </c>
      <c r="B21" s="1402">
        <f>$B$3</f>
        <v>0.1</v>
      </c>
      <c r="C21" s="1515" t="s">
        <v>1118</v>
      </c>
      <c r="D21" s="1516" t="s">
        <v>1118</v>
      </c>
      <c r="E21" s="1516" t="s">
        <v>1118</v>
      </c>
      <c r="F21" s="1516" t="s">
        <v>1118</v>
      </c>
      <c r="G21" s="1516" t="s">
        <v>1118</v>
      </c>
      <c r="H21" s="1516" t="s">
        <v>1118</v>
      </c>
      <c r="I21" s="1516" t="s">
        <v>1118</v>
      </c>
      <c r="J21" s="1516" t="s">
        <v>1119</v>
      </c>
      <c r="K21" s="1516" t="s">
        <v>1119</v>
      </c>
      <c r="L21" s="1517" t="s">
        <v>1119</v>
      </c>
      <c r="M21" s="1265" t="e">
        <f ca="1">INDEX(SFBase,sysJ2_index,RPM_index)</f>
        <v>#REF!</v>
      </c>
      <c r="N21" s="1264"/>
      <c r="O21" s="1264"/>
      <c r="P21" s="1264"/>
      <c r="Q21" s="1248"/>
      <c r="R21" s="1270"/>
      <c r="S21" s="1270"/>
      <c r="T21" s="1270"/>
      <c r="U21" s="1270"/>
      <c r="V21" s="1270"/>
      <c r="W21" s="1270"/>
      <c r="X21" s="1270"/>
      <c r="Y21" s="1270"/>
      <c r="Z21" s="1270"/>
      <c r="AA21" s="1270"/>
      <c r="AB21" s="1270"/>
      <c r="AC21" s="1270"/>
    </row>
    <row r="22" spans="1:29" ht="15.75" thickBot="1">
      <c r="A22" s="3984"/>
      <c r="B22" s="1402">
        <f>$B$4</f>
        <v>0.125</v>
      </c>
      <c r="C22" s="1515" t="s">
        <v>1118</v>
      </c>
      <c r="D22" s="1516" t="s">
        <v>1118</v>
      </c>
      <c r="E22" s="1516" t="s">
        <v>1118</v>
      </c>
      <c r="F22" s="1516" t="s">
        <v>1118</v>
      </c>
      <c r="G22" s="1516" t="s">
        <v>1118</v>
      </c>
      <c r="H22" s="1516" t="s">
        <v>1118</v>
      </c>
      <c r="I22" s="1516" t="s">
        <v>1119</v>
      </c>
      <c r="J22" s="1516" t="s">
        <v>1119</v>
      </c>
      <c r="K22" s="1516" t="s">
        <v>1119</v>
      </c>
      <c r="L22" s="1517" t="s">
        <v>1120</v>
      </c>
      <c r="M22" s="1264"/>
      <c r="N22" s="1264"/>
      <c r="O22" s="1264"/>
      <c r="P22" s="1264"/>
      <c r="Q22" s="1248"/>
      <c r="AB22" s="1270"/>
      <c r="AC22" s="1270"/>
    </row>
    <row r="23" spans="1:29">
      <c r="A23" s="1269"/>
      <c r="B23" s="1402">
        <f>$B$5</f>
        <v>0.15</v>
      </c>
      <c r="C23" s="1515" t="s">
        <v>1118</v>
      </c>
      <c r="D23" s="1516" t="s">
        <v>1118</v>
      </c>
      <c r="E23" s="1516" t="s">
        <v>1118</v>
      </c>
      <c r="F23" s="1516" t="s">
        <v>1118</v>
      </c>
      <c r="G23" s="1516" t="s">
        <v>1118</v>
      </c>
      <c r="H23" s="1516" t="s">
        <v>1119</v>
      </c>
      <c r="I23" s="1516" t="s">
        <v>1119</v>
      </c>
      <c r="J23" s="1516" t="s">
        <v>1119</v>
      </c>
      <c r="K23" s="1516" t="s">
        <v>1120</v>
      </c>
      <c r="L23" s="1517" t="s">
        <v>1120</v>
      </c>
      <c r="M23" s="1264"/>
      <c r="N23" s="1264"/>
      <c r="O23" s="1264"/>
      <c r="P23" s="1264"/>
      <c r="Q23" s="1248"/>
      <c r="R23" s="1270"/>
      <c r="S23" s="1270"/>
      <c r="T23" s="1270"/>
      <c r="U23" s="1270"/>
      <c r="V23" s="1270"/>
      <c r="W23" s="1270"/>
      <c r="X23" s="1270"/>
      <c r="Y23" s="1270"/>
      <c r="Z23" s="1270"/>
      <c r="AA23" s="1270"/>
      <c r="AB23" s="1270"/>
      <c r="AC23" s="1270"/>
    </row>
    <row r="24" spans="1:29">
      <c r="A24" s="1269"/>
      <c r="B24" s="1402">
        <f>$B$6</f>
        <v>0.17499999999999999</v>
      </c>
      <c r="C24" s="1515" t="s">
        <v>1118</v>
      </c>
      <c r="D24" s="1516" t="s">
        <v>1118</v>
      </c>
      <c r="E24" s="1516" t="s">
        <v>1118</v>
      </c>
      <c r="F24" s="1516" t="s">
        <v>1118</v>
      </c>
      <c r="G24" s="1516" t="s">
        <v>1118</v>
      </c>
      <c r="H24" s="1516" t="s">
        <v>1119</v>
      </c>
      <c r="I24" s="1516" t="s">
        <v>1119</v>
      </c>
      <c r="J24" s="1516" t="s">
        <v>1119</v>
      </c>
      <c r="K24" s="1516" t="s">
        <v>1120</v>
      </c>
      <c r="L24" s="1517" t="s">
        <v>1120</v>
      </c>
      <c r="M24" s="1264"/>
      <c r="N24" s="1264"/>
      <c r="O24" s="1264"/>
      <c r="P24" s="1264"/>
      <c r="Q24" s="1248"/>
      <c r="R24" s="1270"/>
      <c r="S24" s="1270"/>
      <c r="T24" s="1270"/>
      <c r="U24" s="1270"/>
      <c r="V24" s="1270"/>
      <c r="W24" s="1270"/>
      <c r="X24" s="1270"/>
      <c r="Y24" s="1270"/>
      <c r="Z24" s="1270"/>
      <c r="AA24" s="1270"/>
      <c r="AB24" s="1270"/>
      <c r="AC24" s="1270"/>
    </row>
    <row r="25" spans="1:29">
      <c r="A25" s="1269"/>
      <c r="B25" s="1402">
        <f>$B$7</f>
        <v>0.2</v>
      </c>
      <c r="C25" s="1515" t="s">
        <v>1118</v>
      </c>
      <c r="D25" s="1516" t="s">
        <v>1118</v>
      </c>
      <c r="E25" s="1516" t="s">
        <v>1118</v>
      </c>
      <c r="F25" s="1516" t="s">
        <v>1118</v>
      </c>
      <c r="G25" s="1516" t="s">
        <v>1119</v>
      </c>
      <c r="H25" s="1516" t="s">
        <v>1119</v>
      </c>
      <c r="I25" s="1516" t="s">
        <v>1119</v>
      </c>
      <c r="J25" s="1516" t="s">
        <v>1119</v>
      </c>
      <c r="K25" s="1516" t="s">
        <v>1120</v>
      </c>
      <c r="L25" s="1517" t="s">
        <v>1120</v>
      </c>
      <c r="M25" s="1264"/>
      <c r="N25" s="1264"/>
      <c r="O25" s="1264"/>
      <c r="P25" s="1264"/>
      <c r="Q25" s="1248"/>
      <c r="R25" s="1270"/>
      <c r="S25" s="1270"/>
      <c r="T25" s="1270"/>
      <c r="U25" s="1270"/>
      <c r="V25" s="1270"/>
      <c r="W25" s="1270"/>
      <c r="X25" s="1270"/>
      <c r="Y25" s="1270"/>
      <c r="Z25" s="1270"/>
      <c r="AA25" s="1270"/>
      <c r="AB25" s="1270"/>
      <c r="AC25" s="1270"/>
    </row>
    <row r="26" spans="1:29">
      <c r="A26" s="1269"/>
      <c r="B26" s="1402">
        <f>$B$8</f>
        <v>0.25</v>
      </c>
      <c r="C26" s="1515" t="s">
        <v>1118</v>
      </c>
      <c r="D26" s="1516" t="s">
        <v>1118</v>
      </c>
      <c r="E26" s="1516" t="s">
        <v>1118</v>
      </c>
      <c r="F26" s="1516" t="s">
        <v>1118</v>
      </c>
      <c r="G26" s="1516" t="s">
        <v>1119</v>
      </c>
      <c r="H26" s="1516" t="s">
        <v>1119</v>
      </c>
      <c r="I26" s="1516" t="s">
        <v>1119</v>
      </c>
      <c r="J26" s="1516" t="s">
        <v>1119</v>
      </c>
      <c r="K26" s="1516" t="s">
        <v>1120</v>
      </c>
      <c r="L26" s="1517" t="s">
        <v>1120</v>
      </c>
      <c r="M26" s="1264"/>
      <c r="N26" s="1264"/>
      <c r="O26" s="1264"/>
      <c r="P26" s="1264"/>
      <c r="Q26" s="1248"/>
      <c r="R26" s="1270"/>
      <c r="S26" s="1270"/>
      <c r="T26" s="1270"/>
      <c r="U26" s="1270"/>
      <c r="V26" s="1270"/>
      <c r="W26" s="1270"/>
      <c r="X26" s="1270"/>
      <c r="Y26" s="1270"/>
      <c r="Z26" s="1270"/>
      <c r="AA26" s="1270"/>
      <c r="AB26" s="1270"/>
      <c r="AC26" s="1270"/>
    </row>
    <row r="27" spans="1:29">
      <c r="A27" s="1269"/>
      <c r="B27" s="1402">
        <f>$B$9</f>
        <v>0.375</v>
      </c>
      <c r="C27" s="1515" t="s">
        <v>1118</v>
      </c>
      <c r="D27" s="1516" t="s">
        <v>1118</v>
      </c>
      <c r="E27" s="1516" t="s">
        <v>1118</v>
      </c>
      <c r="F27" s="1516" t="s">
        <v>1118</v>
      </c>
      <c r="G27" s="1516" t="s">
        <v>1119</v>
      </c>
      <c r="H27" s="1516" t="s">
        <v>1119</v>
      </c>
      <c r="I27" s="1516" t="s">
        <v>1119</v>
      </c>
      <c r="J27" s="1516" t="s">
        <v>1119</v>
      </c>
      <c r="K27" s="1516" t="s">
        <v>1120</v>
      </c>
      <c r="L27" s="1517" t="s">
        <v>1120</v>
      </c>
      <c r="M27" s="1264"/>
      <c r="N27" s="1264"/>
      <c r="O27" s="1264"/>
      <c r="P27" s="1264"/>
      <c r="Q27" s="1248"/>
      <c r="R27" s="1270"/>
      <c r="S27" s="1270"/>
      <c r="T27" s="1270"/>
      <c r="U27" s="1270"/>
      <c r="V27" s="1270"/>
      <c r="W27" s="1270"/>
      <c r="X27" s="1270"/>
      <c r="Y27" s="1270"/>
      <c r="Z27" s="1270"/>
      <c r="AA27" s="1270"/>
      <c r="AB27" s="1270"/>
      <c r="AC27" s="1270"/>
    </row>
    <row r="28" spans="1:29">
      <c r="A28" s="1264"/>
      <c r="B28" s="1402">
        <f>$B$10</f>
        <v>0.5</v>
      </c>
      <c r="C28" s="1515" t="s">
        <v>1118</v>
      </c>
      <c r="D28" s="1516" t="s">
        <v>1118</v>
      </c>
      <c r="E28" s="1516" t="s">
        <v>1118</v>
      </c>
      <c r="F28" s="1516" t="s">
        <v>1119</v>
      </c>
      <c r="G28" s="1516" t="s">
        <v>1119</v>
      </c>
      <c r="H28" s="1516" t="s">
        <v>1119</v>
      </c>
      <c r="I28" s="1516" t="s">
        <v>1120</v>
      </c>
      <c r="J28" s="1516" t="s">
        <v>1120</v>
      </c>
      <c r="K28" s="1516" t="s">
        <v>1121</v>
      </c>
      <c r="L28" s="1517" t="s">
        <v>1121</v>
      </c>
      <c r="M28" s="1264"/>
      <c r="N28" s="1264"/>
      <c r="O28" s="1264"/>
      <c r="P28" s="1264"/>
      <c r="Q28" s="1248"/>
      <c r="R28" s="1270"/>
      <c r="S28" s="1270"/>
      <c r="T28" s="1270"/>
      <c r="U28" s="1270"/>
      <c r="V28" s="1270"/>
      <c r="W28" s="1270"/>
      <c r="X28" s="1270"/>
      <c r="Y28" s="1270"/>
      <c r="Z28" s="1270"/>
      <c r="AA28" s="1270"/>
      <c r="AB28" s="1270"/>
      <c r="AC28" s="1270"/>
    </row>
    <row r="29" spans="1:29">
      <c r="A29" s="1264"/>
      <c r="B29" s="1402">
        <f>$B$11</f>
        <v>1</v>
      </c>
      <c r="C29" s="1515" t="s">
        <v>1118</v>
      </c>
      <c r="D29" s="1516" t="s">
        <v>1118</v>
      </c>
      <c r="E29" s="1516" t="s">
        <v>1118</v>
      </c>
      <c r="F29" s="1516" t="s">
        <v>1119</v>
      </c>
      <c r="G29" s="1516" t="s">
        <v>1119</v>
      </c>
      <c r="H29" s="1516" t="s">
        <v>1119</v>
      </c>
      <c r="I29" s="1516" t="s">
        <v>1120</v>
      </c>
      <c r="J29" s="1516" t="s">
        <v>1120</v>
      </c>
      <c r="K29" s="1516" t="s">
        <v>1121</v>
      </c>
      <c r="L29" s="1517" t="s">
        <v>1121</v>
      </c>
      <c r="M29" s="1264"/>
      <c r="N29" s="1264"/>
      <c r="O29" s="1264"/>
      <c r="P29" s="1264"/>
      <c r="Q29" s="1248"/>
      <c r="R29" s="1270"/>
      <c r="S29" s="1270"/>
      <c r="T29" s="1270"/>
      <c r="U29" s="1270"/>
      <c r="V29" s="1270"/>
      <c r="W29" s="1270"/>
      <c r="X29" s="1270"/>
      <c r="Y29" s="1270"/>
      <c r="Z29" s="1270"/>
      <c r="AA29" s="1270"/>
      <c r="AB29" s="1270"/>
      <c r="AC29" s="1270"/>
    </row>
    <row r="30" spans="1:29">
      <c r="A30" s="1264"/>
      <c r="B30" s="1402">
        <f>$B$12</f>
        <v>1.5</v>
      </c>
      <c r="C30" s="1515" t="s">
        <v>1118</v>
      </c>
      <c r="D30" s="1516" t="s">
        <v>1118</v>
      </c>
      <c r="E30" s="1516" t="s">
        <v>1119</v>
      </c>
      <c r="F30" s="1516" t="s">
        <v>1119</v>
      </c>
      <c r="G30" s="1516" t="s">
        <v>1119</v>
      </c>
      <c r="H30" s="1516" t="s">
        <v>1120</v>
      </c>
      <c r="I30" s="1516" t="s">
        <v>1120</v>
      </c>
      <c r="J30" s="1516" t="s">
        <v>1121</v>
      </c>
      <c r="K30" s="1516" t="s">
        <v>1121</v>
      </c>
      <c r="L30" s="1517" t="s">
        <v>1121</v>
      </c>
      <c r="M30" s="1264"/>
      <c r="N30" s="1264"/>
      <c r="O30" s="1264"/>
      <c r="P30" s="1264"/>
      <c r="Q30" s="1248"/>
      <c r="R30" s="1270"/>
      <c r="S30" s="1270"/>
      <c r="T30" s="1270"/>
      <c r="U30" s="1270"/>
      <c r="V30" s="1270"/>
      <c r="W30" s="1270"/>
      <c r="X30" s="1270"/>
      <c r="Y30" s="1270"/>
      <c r="Z30" s="1270"/>
      <c r="AA30" s="1270"/>
      <c r="AB30" s="1270"/>
      <c r="AC30" s="1270"/>
    </row>
    <row r="31" spans="1:29">
      <c r="A31" s="1264"/>
      <c r="B31" s="1402">
        <f>$B$13</f>
        <v>2</v>
      </c>
      <c r="C31" s="1515" t="s">
        <v>1118</v>
      </c>
      <c r="D31" s="1532" t="s">
        <v>1119</v>
      </c>
      <c r="E31" s="1532" t="s">
        <v>1119</v>
      </c>
      <c r="F31" s="1532" t="s">
        <v>1119</v>
      </c>
      <c r="G31" s="1532" t="s">
        <v>1120</v>
      </c>
      <c r="H31" s="1532" t="s">
        <v>1120</v>
      </c>
      <c r="I31" s="1535" t="s">
        <v>1120</v>
      </c>
      <c r="J31" s="1534" t="s">
        <v>1121</v>
      </c>
      <c r="K31" s="1532" t="s">
        <v>1121</v>
      </c>
      <c r="L31" s="1761" t="s">
        <v>3452</v>
      </c>
      <c r="M31" s="1264"/>
      <c r="N31" s="1264"/>
      <c r="O31" s="1264"/>
      <c r="P31" s="1264"/>
      <c r="Q31" s="1248"/>
      <c r="R31" s="1270"/>
      <c r="S31" s="1270"/>
      <c r="T31" s="1270"/>
      <c r="U31" s="1270"/>
      <c r="V31" s="1270"/>
      <c r="W31" s="1270"/>
      <c r="X31" s="1270"/>
      <c r="Y31" s="1270"/>
      <c r="Z31" s="1270"/>
      <c r="AA31" s="1270"/>
      <c r="AB31" s="1270"/>
      <c r="AC31" s="1270"/>
    </row>
    <row r="32" spans="1:29">
      <c r="A32" s="1264"/>
      <c r="B32" s="1402">
        <f>$B$14</f>
        <v>2.5</v>
      </c>
      <c r="C32" s="1531" t="s">
        <v>1119</v>
      </c>
      <c r="D32" s="1532" t="s">
        <v>1119</v>
      </c>
      <c r="E32" s="1532" t="s">
        <v>1119</v>
      </c>
      <c r="F32" s="1532" t="s">
        <v>1120</v>
      </c>
      <c r="G32" s="1532" t="s">
        <v>1120</v>
      </c>
      <c r="H32" s="1532" t="s">
        <v>1120</v>
      </c>
      <c r="I32" s="1532" t="s">
        <v>1121</v>
      </c>
      <c r="J32" s="1532" t="s">
        <v>1121</v>
      </c>
      <c r="K32" s="1762" t="s">
        <v>3452</v>
      </c>
      <c r="L32" s="1761" t="s">
        <v>3452</v>
      </c>
      <c r="M32" s="1264"/>
      <c r="N32" s="1264"/>
      <c r="O32" s="1264"/>
      <c r="P32" s="1264"/>
      <c r="Q32" s="1248"/>
      <c r="R32" s="1270"/>
      <c r="S32" s="1270"/>
      <c r="T32" s="1270"/>
      <c r="U32" s="1270"/>
      <c r="V32" s="1270"/>
      <c r="W32" s="1270"/>
      <c r="X32" s="1270"/>
      <c r="Y32" s="1270"/>
      <c r="Z32" s="1270"/>
      <c r="AA32" s="1270"/>
      <c r="AB32" s="1270"/>
      <c r="AC32" s="1270"/>
    </row>
    <row r="33" spans="1:29">
      <c r="A33" s="1264"/>
      <c r="B33" s="1402">
        <f>$B$15</f>
        <v>3</v>
      </c>
      <c r="C33" s="1531" t="s">
        <v>1119</v>
      </c>
      <c r="D33" s="1532" t="s">
        <v>1119</v>
      </c>
      <c r="E33" s="1532" t="s">
        <v>1119</v>
      </c>
      <c r="F33" s="1532" t="s">
        <v>1120</v>
      </c>
      <c r="G33" s="1532" t="s">
        <v>1120</v>
      </c>
      <c r="H33" s="1532" t="s">
        <v>1121</v>
      </c>
      <c r="I33" s="1532" t="s">
        <v>1121</v>
      </c>
      <c r="J33" s="1762" t="s">
        <v>3452</v>
      </c>
      <c r="K33" s="1762" t="s">
        <v>3452</v>
      </c>
      <c r="L33" s="1761" t="s">
        <v>3452</v>
      </c>
      <c r="M33" s="1264"/>
      <c r="N33" s="1264"/>
      <c r="O33" s="1264"/>
      <c r="P33" s="1264"/>
      <c r="Q33" s="1248"/>
      <c r="R33" s="1270"/>
      <c r="S33" s="1270"/>
      <c r="T33" s="1270"/>
      <c r="U33" s="1270"/>
      <c r="V33" s="1270"/>
      <c r="W33" s="1270"/>
      <c r="X33" s="1270"/>
      <c r="Y33" s="1270"/>
      <c r="Z33" s="1270"/>
      <c r="AA33" s="1270"/>
      <c r="AB33" s="1270"/>
      <c r="AC33" s="1270"/>
    </row>
    <row r="34" spans="1:29">
      <c r="A34" s="1264"/>
      <c r="B34" s="1402">
        <f>$B$16</f>
        <v>4</v>
      </c>
      <c r="C34" s="1531" t="s">
        <v>1120</v>
      </c>
      <c r="D34" s="1532" t="s">
        <v>1120</v>
      </c>
      <c r="E34" s="1532" t="s">
        <v>1121</v>
      </c>
      <c r="F34" s="1532" t="s">
        <v>1121</v>
      </c>
      <c r="G34" s="1532" t="s">
        <v>1121</v>
      </c>
      <c r="H34" s="1532" t="s">
        <v>1121</v>
      </c>
      <c r="I34" s="1762" t="s">
        <v>3452</v>
      </c>
      <c r="J34" s="1762" t="s">
        <v>3452</v>
      </c>
      <c r="K34" s="1762" t="s">
        <v>3452</v>
      </c>
      <c r="L34" s="1761" t="s">
        <v>3452</v>
      </c>
      <c r="M34" s="1264"/>
      <c r="N34" s="1264"/>
      <c r="O34" s="1264"/>
      <c r="P34" s="1264"/>
      <c r="Q34" s="1248"/>
      <c r="R34" s="1270"/>
      <c r="S34" s="1270"/>
      <c r="T34" s="1270"/>
      <c r="U34" s="1270"/>
      <c r="V34" s="1270"/>
      <c r="W34" s="1270"/>
      <c r="X34" s="1270"/>
      <c r="Y34" s="1270"/>
      <c r="Z34" s="1270"/>
      <c r="AA34" s="1270"/>
      <c r="AB34" s="1270"/>
      <c r="AC34" s="1270"/>
    </row>
    <row r="35" spans="1:29" ht="15.75" thickBot="1">
      <c r="A35" s="1264"/>
      <c r="B35" s="1402">
        <f>$B$17</f>
        <v>5</v>
      </c>
      <c r="C35" s="1750" t="s">
        <v>3452</v>
      </c>
      <c r="D35" s="1751" t="s">
        <v>3452</v>
      </c>
      <c r="E35" s="1751" t="s">
        <v>3452</v>
      </c>
      <c r="F35" s="1751" t="s">
        <v>3452</v>
      </c>
      <c r="G35" s="1751" t="s">
        <v>3452</v>
      </c>
      <c r="H35" s="1751" t="s">
        <v>3452</v>
      </c>
      <c r="I35" s="1751" t="s">
        <v>3452</v>
      </c>
      <c r="J35" s="1751" t="s">
        <v>3452</v>
      </c>
      <c r="K35" s="1751" t="s">
        <v>3452</v>
      </c>
      <c r="L35" s="1752" t="s">
        <v>3452</v>
      </c>
      <c r="M35" s="1264"/>
      <c r="N35" s="1264"/>
      <c r="O35" s="1264"/>
      <c r="P35" s="1264"/>
      <c r="Q35" s="1248"/>
      <c r="R35" s="1270"/>
      <c r="S35" s="1270"/>
      <c r="T35" s="1270"/>
      <c r="U35" s="1270"/>
      <c r="V35" s="1270"/>
      <c r="W35" s="1270"/>
      <c r="X35" s="1270"/>
      <c r="Y35" s="1270"/>
      <c r="Z35" s="1270"/>
      <c r="AA35" s="1270"/>
      <c r="AB35" s="1270"/>
      <c r="AC35" s="1270"/>
    </row>
    <row r="37" spans="1:29" ht="15.75" thickBot="1">
      <c r="A37" s="1264" t="s">
        <v>2838</v>
      </c>
      <c r="B37" s="1402"/>
      <c r="C37" s="1400">
        <f>$C$1</f>
        <v>750</v>
      </c>
      <c r="D37" s="1400">
        <f>$D$1</f>
        <v>900</v>
      </c>
      <c r="E37" s="1400">
        <f>$E$1</f>
        <v>1000</v>
      </c>
      <c r="F37" s="1400">
        <f>$F$1</f>
        <v>1200</v>
      </c>
      <c r="G37" s="1400">
        <f>$G$1</f>
        <v>1350</v>
      </c>
      <c r="H37" s="1400">
        <f>$H$1</f>
        <v>1500</v>
      </c>
      <c r="I37" s="1400">
        <f>$I$1</f>
        <v>1800</v>
      </c>
      <c r="J37" s="1400">
        <f>$J$1</f>
        <v>2400</v>
      </c>
      <c r="K37" s="1400">
        <f>$K$1</f>
        <v>3000</v>
      </c>
      <c r="L37" s="1400">
        <f>$L$1</f>
        <v>3600</v>
      </c>
      <c r="M37" s="1264" t="s">
        <v>227</v>
      </c>
      <c r="P37" s="1405"/>
      <c r="Q37" s="406"/>
    </row>
    <row r="38" spans="1:29" ht="15.75" thickBot="1">
      <c r="A38" s="1265" t="s">
        <v>1261</v>
      </c>
      <c r="B38" s="1402">
        <f>$B$2</f>
        <v>0</v>
      </c>
      <c r="C38" s="1406" t="e">
        <f t="shared" ref="C38:L38" ca="1" si="1">IF(Small_F,R38,C39)</f>
        <v>#REF!</v>
      </c>
      <c r="D38" s="1407" t="e">
        <f t="shared" ca="1" si="1"/>
        <v>#REF!</v>
      </c>
      <c r="E38" s="1407" t="e">
        <f t="shared" ca="1" si="1"/>
        <v>#REF!</v>
      </c>
      <c r="F38" s="1407" t="e">
        <f t="shared" ca="1" si="1"/>
        <v>#REF!</v>
      </c>
      <c r="G38" s="1407" t="e">
        <f t="shared" ca="1" si="1"/>
        <v>#REF!</v>
      </c>
      <c r="H38" s="1407" t="e">
        <f t="shared" ca="1" si="1"/>
        <v>#REF!</v>
      </c>
      <c r="I38" s="1407" t="e">
        <f t="shared" ca="1" si="1"/>
        <v>#REF!</v>
      </c>
      <c r="J38" s="1407" t="e">
        <f t="shared" ca="1" si="1"/>
        <v>#REF!</v>
      </c>
      <c r="K38" s="1407" t="e">
        <f t="shared" ca="1" si="1"/>
        <v>#REF!</v>
      </c>
      <c r="L38" s="1408" t="e">
        <f t="shared" ca="1" si="1"/>
        <v>#REF!</v>
      </c>
      <c r="M38" s="1264" t="s">
        <v>2839</v>
      </c>
      <c r="N38" s="1268" t="e">
        <f ca="1">INDEX(SFHefactor,sysJ2_index,RPM_index)</f>
        <v>#REF!</v>
      </c>
      <c r="P38" s="1405"/>
      <c r="Q38" s="406"/>
      <c r="R38" s="1506">
        <v>0.25</v>
      </c>
      <c r="S38" s="1507">
        <v>0.25</v>
      </c>
      <c r="T38" s="1507">
        <v>0.25</v>
      </c>
      <c r="U38" s="1507">
        <v>0.25</v>
      </c>
      <c r="V38" s="1507">
        <v>0.25</v>
      </c>
      <c r="W38" s="1507">
        <v>0.25</v>
      </c>
      <c r="X38" s="1507">
        <v>0.25</v>
      </c>
      <c r="Y38" s="1507">
        <v>0.25</v>
      </c>
      <c r="Z38" s="1507">
        <v>0.25</v>
      </c>
      <c r="AA38" s="1508">
        <v>0.25</v>
      </c>
    </row>
    <row r="39" spans="1:29">
      <c r="A39" s="3985">
        <f>MFrame!A57</f>
        <v>171209</v>
      </c>
      <c r="B39" s="1402">
        <f>$B$3</f>
        <v>0.1</v>
      </c>
      <c r="C39" s="1512">
        <v>0.25</v>
      </c>
      <c r="D39" s="1513">
        <v>0.25</v>
      </c>
      <c r="E39" s="1513">
        <v>0.25</v>
      </c>
      <c r="F39" s="1513">
        <v>0.25</v>
      </c>
      <c r="G39" s="1513">
        <v>0.25</v>
      </c>
      <c r="H39" s="1513">
        <v>0.25</v>
      </c>
      <c r="I39" s="1513">
        <v>0.25</v>
      </c>
      <c r="J39" s="1513">
        <v>0.25</v>
      </c>
      <c r="K39" s="1513">
        <v>0.25</v>
      </c>
      <c r="L39" s="1514">
        <v>0.35</v>
      </c>
      <c r="M39" s="1264"/>
      <c r="P39" s="1405"/>
      <c r="Q39" s="406"/>
    </row>
    <row r="40" spans="1:29" ht="15.75" thickBot="1">
      <c r="A40" s="3986"/>
      <c r="B40" s="1402">
        <f>$B$4</f>
        <v>0.125</v>
      </c>
      <c r="C40" s="1512">
        <v>0.25</v>
      </c>
      <c r="D40" s="1513">
        <v>0.25</v>
      </c>
      <c r="E40" s="1513">
        <v>0.25</v>
      </c>
      <c r="F40" s="1513">
        <v>0.25</v>
      </c>
      <c r="G40" s="1513">
        <v>0.25</v>
      </c>
      <c r="H40" s="1513">
        <v>0.25</v>
      </c>
      <c r="I40" s="1513">
        <v>0.25</v>
      </c>
      <c r="J40" s="1513">
        <v>0.25</v>
      </c>
      <c r="K40" s="1513">
        <v>0.35</v>
      </c>
      <c r="L40" s="1514">
        <v>0.4</v>
      </c>
      <c r="M40" s="1264"/>
      <c r="P40" s="1405"/>
      <c r="Q40" s="406"/>
    </row>
    <row r="41" spans="1:29">
      <c r="A41" s="1264"/>
      <c r="B41" s="1402">
        <f>$B$5</f>
        <v>0.15</v>
      </c>
      <c r="C41" s="1512">
        <v>0.25</v>
      </c>
      <c r="D41" s="1513">
        <v>0.25</v>
      </c>
      <c r="E41" s="1513">
        <v>0.25</v>
      </c>
      <c r="F41" s="1513">
        <v>0.25</v>
      </c>
      <c r="G41" s="1513">
        <v>0.25</v>
      </c>
      <c r="H41" s="1513">
        <v>0.25</v>
      </c>
      <c r="I41" s="1513">
        <v>0.25</v>
      </c>
      <c r="J41" s="1513">
        <v>0.35</v>
      </c>
      <c r="K41" s="1513">
        <v>0.4</v>
      </c>
      <c r="L41" s="1514">
        <v>0.5</v>
      </c>
      <c r="M41" s="1264"/>
      <c r="P41" s="1405"/>
      <c r="Q41" s="406"/>
    </row>
    <row r="42" spans="1:29">
      <c r="A42" s="1264"/>
      <c r="B42" s="1402">
        <f>$B$6</f>
        <v>0.17499999999999999</v>
      </c>
      <c r="C42" s="1512">
        <v>0.25</v>
      </c>
      <c r="D42" s="1513">
        <v>0.25</v>
      </c>
      <c r="E42" s="1513">
        <v>0.25</v>
      </c>
      <c r="F42" s="1513">
        <v>0.25</v>
      </c>
      <c r="G42" s="1513">
        <v>0.25</v>
      </c>
      <c r="H42" s="1513">
        <v>0.25</v>
      </c>
      <c r="I42" s="1513">
        <v>0.35</v>
      </c>
      <c r="J42" s="1513">
        <v>0.4</v>
      </c>
      <c r="K42" s="1513">
        <v>0.5</v>
      </c>
      <c r="L42" s="1514">
        <v>0.5</v>
      </c>
      <c r="M42" s="1264"/>
      <c r="P42" s="1405"/>
      <c r="Q42" s="406"/>
    </row>
    <row r="43" spans="1:29">
      <c r="A43" s="1264"/>
      <c r="B43" s="1402">
        <f>$B$7</f>
        <v>0.2</v>
      </c>
      <c r="C43" s="1512">
        <v>0.25</v>
      </c>
      <c r="D43" s="1513">
        <v>0.25</v>
      </c>
      <c r="E43" s="1513">
        <v>0.25</v>
      </c>
      <c r="F43" s="1513">
        <v>0.25</v>
      </c>
      <c r="G43" s="1513">
        <v>0.25</v>
      </c>
      <c r="H43" s="1513">
        <v>0.35</v>
      </c>
      <c r="I43" s="1513">
        <v>0.4</v>
      </c>
      <c r="J43" s="1513">
        <v>0.5</v>
      </c>
      <c r="K43" s="1513">
        <v>0.5</v>
      </c>
      <c r="L43" s="1514">
        <v>0.5</v>
      </c>
      <c r="M43" s="1264"/>
      <c r="P43" s="1405"/>
      <c r="Q43" s="406"/>
    </row>
    <row r="44" spans="1:29">
      <c r="A44" s="1264"/>
      <c r="B44" s="1402">
        <f>$B$8</f>
        <v>0.25</v>
      </c>
      <c r="C44" s="1512">
        <v>0.25</v>
      </c>
      <c r="D44" s="1513">
        <v>0.25</v>
      </c>
      <c r="E44" s="1513">
        <v>0.25</v>
      </c>
      <c r="F44" s="1513">
        <v>0.25</v>
      </c>
      <c r="G44" s="1513">
        <v>0.35</v>
      </c>
      <c r="H44" s="1513">
        <v>0.4</v>
      </c>
      <c r="I44" s="1513">
        <v>0.5</v>
      </c>
      <c r="J44" s="1513">
        <v>0.5</v>
      </c>
      <c r="K44" s="1513">
        <v>0.5</v>
      </c>
      <c r="L44" s="1514">
        <v>0.5</v>
      </c>
      <c r="M44" s="1264"/>
      <c r="P44" s="1405"/>
      <c r="Q44" s="406"/>
    </row>
    <row r="45" spans="1:29">
      <c r="A45" s="1264"/>
      <c r="B45" s="1402">
        <f>$B$9</f>
        <v>0.375</v>
      </c>
      <c r="C45" s="1512">
        <v>0.25</v>
      </c>
      <c r="D45" s="1513">
        <v>0.25</v>
      </c>
      <c r="E45" s="1513">
        <v>0.25</v>
      </c>
      <c r="F45" s="1513">
        <v>0.35</v>
      </c>
      <c r="G45" s="1513">
        <v>0.4</v>
      </c>
      <c r="H45" s="1513">
        <v>0.5</v>
      </c>
      <c r="I45" s="1513">
        <v>0.5</v>
      </c>
      <c r="J45" s="1513">
        <v>0.5</v>
      </c>
      <c r="K45" s="1513">
        <v>0.5</v>
      </c>
      <c r="L45" s="1514">
        <v>0.5</v>
      </c>
      <c r="M45" s="1264"/>
      <c r="P45" s="1405"/>
      <c r="Q45" s="406"/>
    </row>
    <row r="46" spans="1:29">
      <c r="A46" s="1264"/>
      <c r="B46" s="1402">
        <f>$B$10</f>
        <v>0.5</v>
      </c>
      <c r="C46" s="1512">
        <v>0.25</v>
      </c>
      <c r="D46" s="1513">
        <v>0.25</v>
      </c>
      <c r="E46" s="1513">
        <v>0.35</v>
      </c>
      <c r="F46" s="1513">
        <v>0.4</v>
      </c>
      <c r="G46" s="1513">
        <v>0.5</v>
      </c>
      <c r="H46" s="1513">
        <v>0.5</v>
      </c>
      <c r="I46" s="1513">
        <v>0.5</v>
      </c>
      <c r="J46" s="1513">
        <v>0.5</v>
      </c>
      <c r="K46" s="1513">
        <v>0.5</v>
      </c>
      <c r="L46" s="1514">
        <v>0.5</v>
      </c>
      <c r="M46" s="1264"/>
      <c r="P46" s="1405"/>
      <c r="Q46" s="406"/>
    </row>
    <row r="47" spans="1:29">
      <c r="A47" s="1264"/>
      <c r="B47" s="1402">
        <f>$B$11</f>
        <v>1</v>
      </c>
      <c r="C47" s="1512">
        <v>0.25</v>
      </c>
      <c r="D47" s="1513">
        <v>0.35</v>
      </c>
      <c r="E47" s="1513">
        <v>0.4</v>
      </c>
      <c r="F47" s="1513">
        <v>0.5</v>
      </c>
      <c r="G47" s="1513">
        <v>0.5</v>
      </c>
      <c r="H47" s="1513">
        <v>0.5</v>
      </c>
      <c r="I47" s="1513">
        <v>0.5</v>
      </c>
      <c r="J47" s="1513">
        <v>0.5</v>
      </c>
      <c r="K47" s="1513">
        <v>0.5</v>
      </c>
      <c r="L47" s="1514">
        <v>0.5</v>
      </c>
      <c r="M47" s="1264"/>
      <c r="P47" s="1405"/>
      <c r="Q47" s="406"/>
    </row>
    <row r="48" spans="1:29">
      <c r="A48" s="1264"/>
      <c r="B48" s="1402">
        <f>$B$12</f>
        <v>1.5</v>
      </c>
      <c r="C48" s="1512">
        <v>0.35</v>
      </c>
      <c r="D48" s="1513">
        <v>0.4</v>
      </c>
      <c r="E48" s="1513">
        <v>0.5</v>
      </c>
      <c r="F48" s="1513">
        <v>0.5</v>
      </c>
      <c r="G48" s="1513">
        <v>0.5</v>
      </c>
      <c r="H48" s="1513">
        <v>0.5</v>
      </c>
      <c r="I48" s="1513">
        <v>0.5</v>
      </c>
      <c r="J48" s="1513">
        <v>0.5</v>
      </c>
      <c r="K48" s="1513">
        <v>0.5</v>
      </c>
      <c r="L48" s="1514">
        <v>0.6</v>
      </c>
      <c r="M48" s="1264"/>
      <c r="P48" s="1405"/>
      <c r="Q48" s="406"/>
    </row>
    <row r="49" spans="1:29">
      <c r="A49" s="1264"/>
      <c r="B49" s="1402">
        <f>$B$13</f>
        <v>2</v>
      </c>
      <c r="C49" s="1515">
        <v>0.4</v>
      </c>
      <c r="D49" s="1532">
        <v>0.5</v>
      </c>
      <c r="E49" s="1532">
        <v>0.5</v>
      </c>
      <c r="F49" s="1532">
        <v>0.5</v>
      </c>
      <c r="G49" s="1532">
        <v>0.5</v>
      </c>
      <c r="H49" s="1532">
        <v>0.5</v>
      </c>
      <c r="I49" s="1535">
        <v>0.5</v>
      </c>
      <c r="J49" s="1534">
        <v>0.5</v>
      </c>
      <c r="K49" s="1532">
        <v>0.6</v>
      </c>
      <c r="L49" s="1761">
        <v>0.75</v>
      </c>
      <c r="M49" s="1264"/>
      <c r="P49" s="1405"/>
      <c r="Q49" s="406"/>
    </row>
    <row r="50" spans="1:29">
      <c r="A50" s="1264"/>
      <c r="B50" s="1402">
        <f>$B$14</f>
        <v>2.5</v>
      </c>
      <c r="C50" s="1531">
        <v>0.5</v>
      </c>
      <c r="D50" s="1532">
        <v>0.5</v>
      </c>
      <c r="E50" s="1532">
        <v>0.5</v>
      </c>
      <c r="F50" s="1532">
        <v>0.5</v>
      </c>
      <c r="G50" s="1532">
        <v>0.5</v>
      </c>
      <c r="H50" s="1532">
        <v>0.5</v>
      </c>
      <c r="I50" s="1532">
        <v>0.5</v>
      </c>
      <c r="J50" s="1532">
        <v>0.6</v>
      </c>
      <c r="K50" s="1762">
        <v>0.75</v>
      </c>
      <c r="L50" s="1761">
        <v>0.75</v>
      </c>
      <c r="M50" s="1264"/>
      <c r="P50" s="1405"/>
      <c r="Q50" s="406"/>
    </row>
    <row r="51" spans="1:29">
      <c r="A51" s="1264"/>
      <c r="B51" s="1402">
        <f>$B$15</f>
        <v>3</v>
      </c>
      <c r="C51" s="1531">
        <v>0.5</v>
      </c>
      <c r="D51" s="1532">
        <v>0.5</v>
      </c>
      <c r="E51" s="1532">
        <v>0.5</v>
      </c>
      <c r="F51" s="1532">
        <v>0.5</v>
      </c>
      <c r="G51" s="1532">
        <v>0.5</v>
      </c>
      <c r="H51" s="1532">
        <v>0.5</v>
      </c>
      <c r="I51" s="1532">
        <v>0.6</v>
      </c>
      <c r="J51" s="1762">
        <v>0.75</v>
      </c>
      <c r="K51" s="1762">
        <v>0.75</v>
      </c>
      <c r="L51" s="1761">
        <v>0.75</v>
      </c>
      <c r="M51" s="1264"/>
      <c r="P51" s="1405"/>
      <c r="Q51" s="406"/>
    </row>
    <row r="52" spans="1:29">
      <c r="A52" s="1264"/>
      <c r="B52" s="1402">
        <f>$B$16</f>
        <v>4</v>
      </c>
      <c r="C52" s="1531">
        <v>0.5</v>
      </c>
      <c r="D52" s="1532">
        <v>0.5</v>
      </c>
      <c r="E52" s="1532">
        <v>0.5</v>
      </c>
      <c r="F52" s="1532">
        <v>0.5</v>
      </c>
      <c r="G52" s="1532">
        <v>0.5</v>
      </c>
      <c r="H52" s="1532">
        <v>0.6</v>
      </c>
      <c r="I52" s="1762">
        <v>0.75</v>
      </c>
      <c r="J52" s="1762">
        <v>0.75</v>
      </c>
      <c r="K52" s="1762">
        <v>0.75</v>
      </c>
      <c r="L52" s="1761">
        <v>0.75</v>
      </c>
      <c r="M52" s="1264"/>
      <c r="P52" s="1405"/>
      <c r="Q52" s="406"/>
    </row>
    <row r="53" spans="1:29" ht="15.75" thickBot="1">
      <c r="A53" s="1264"/>
      <c r="B53" s="1402">
        <f>$B$17</f>
        <v>5</v>
      </c>
      <c r="C53" s="1750">
        <v>0.75</v>
      </c>
      <c r="D53" s="1751">
        <v>0.75</v>
      </c>
      <c r="E53" s="1751">
        <v>0.75</v>
      </c>
      <c r="F53" s="1751">
        <v>0.75</v>
      </c>
      <c r="G53" s="1751">
        <v>0.75</v>
      </c>
      <c r="H53" s="1751">
        <v>0.75</v>
      </c>
      <c r="I53" s="1751">
        <v>0.75</v>
      </c>
      <c r="J53" s="1751">
        <v>0.75</v>
      </c>
      <c r="K53" s="1751">
        <v>0.75</v>
      </c>
      <c r="L53" s="1752">
        <v>0.75</v>
      </c>
      <c r="M53" s="1264"/>
      <c r="P53" s="1405"/>
      <c r="Q53" s="406"/>
    </row>
    <row r="55" spans="1:29">
      <c r="A55" s="1650" t="s">
        <v>3289</v>
      </c>
      <c r="B55" s="1651"/>
      <c r="C55" s="1650"/>
      <c r="D55" s="1650"/>
      <c r="E55" s="1650"/>
      <c r="F55" s="1650"/>
      <c r="G55" s="1650"/>
      <c r="H55" s="1650"/>
      <c r="I55" s="1650"/>
      <c r="J55" s="1650"/>
      <c r="K55" s="1650"/>
      <c r="L55" s="1650"/>
      <c r="M55" s="1650"/>
      <c r="N55" s="1650"/>
      <c r="O55" s="1652"/>
      <c r="P55" s="1652"/>
      <c r="Q55" s="1652"/>
      <c r="R55" s="1652"/>
      <c r="S55" s="1652"/>
      <c r="T55" s="1652"/>
      <c r="U55" s="1652"/>
      <c r="V55" s="1652"/>
      <c r="W55" s="1652"/>
      <c r="X55" s="1652"/>
      <c r="Y55" s="1652"/>
      <c r="Z55" s="1652"/>
      <c r="AA55" s="1652"/>
      <c r="AC55" s="1270"/>
    </row>
    <row r="56" spans="1:29" s="464" customFormat="1" ht="15.75" thickBot="1">
      <c r="A56" s="1264" t="s">
        <v>2633</v>
      </c>
      <c r="B56" s="1402"/>
      <c r="C56" s="1400">
        <f>$C$1</f>
        <v>750</v>
      </c>
      <c r="D56" s="1400">
        <f>$D$1</f>
        <v>900</v>
      </c>
      <c r="E56" s="1400">
        <f>$E$1</f>
        <v>1000</v>
      </c>
      <c r="F56" s="1400">
        <f>$F$1</f>
        <v>1200</v>
      </c>
      <c r="G56" s="1400">
        <f>$G$1</f>
        <v>1350</v>
      </c>
      <c r="H56" s="1400">
        <f>$H$1</f>
        <v>1500</v>
      </c>
      <c r="I56" s="1400">
        <f>$I$1</f>
        <v>1800</v>
      </c>
      <c r="J56" s="1400">
        <f>$J$1</f>
        <v>2400</v>
      </c>
      <c r="K56" s="1400">
        <f>$K$1</f>
        <v>3000</v>
      </c>
      <c r="L56" s="1400">
        <f>$L$1</f>
        <v>3600</v>
      </c>
      <c r="M56" s="1264" t="s">
        <v>227</v>
      </c>
      <c r="N56" s="1264"/>
      <c r="R56" s="621"/>
      <c r="S56" s="621"/>
      <c r="T56" s="621"/>
      <c r="U56" s="621"/>
      <c r="V56" s="621"/>
      <c r="W56" s="621"/>
      <c r="X56" s="621"/>
      <c r="Y56" s="621"/>
      <c r="Z56" s="621"/>
      <c r="AA56" s="621"/>
      <c r="AB56" s="621"/>
      <c r="AC56" s="1270"/>
    </row>
    <row r="57" spans="1:29" s="464" customFormat="1" ht="15.75" thickBot="1">
      <c r="A57" s="1265" t="s">
        <v>1261</v>
      </c>
      <c r="B57" s="1402">
        <f>$B$2</f>
        <v>0</v>
      </c>
      <c r="C57" s="1406" t="e">
        <f t="shared" ref="C57:L57" ca="1" si="2">IF(Small_F,R57,C58)</f>
        <v>#REF!</v>
      </c>
      <c r="D57" s="1407" t="e">
        <f t="shared" ca="1" si="2"/>
        <v>#REF!</v>
      </c>
      <c r="E57" s="1407" t="e">
        <f t="shared" ca="1" si="2"/>
        <v>#REF!</v>
      </c>
      <c r="F57" s="1407" t="e">
        <f t="shared" ca="1" si="2"/>
        <v>#REF!</v>
      </c>
      <c r="G57" s="1407" t="e">
        <f t="shared" ca="1" si="2"/>
        <v>#REF!</v>
      </c>
      <c r="H57" s="1407" t="e">
        <f t="shared" ca="1" si="2"/>
        <v>#REF!</v>
      </c>
      <c r="I57" s="1407" t="e">
        <f t="shared" ca="1" si="2"/>
        <v>#REF!</v>
      </c>
      <c r="J57" s="1407" t="e">
        <f t="shared" ca="1" si="2"/>
        <v>#REF!</v>
      </c>
      <c r="K57" s="1407" t="e">
        <f t="shared" ca="1" si="2"/>
        <v>#REF!</v>
      </c>
      <c r="L57" s="1408" t="e">
        <f t="shared" ca="1" si="2"/>
        <v>#REF!</v>
      </c>
      <c r="M57" s="1264" t="s">
        <v>2835</v>
      </c>
      <c r="N57" s="1504" t="e">
        <f ca="1">INDEX(OblMB,sysJ2_index,RPM_index)</f>
        <v>#REF!</v>
      </c>
      <c r="R57" s="1506" t="s">
        <v>3862</v>
      </c>
      <c r="S57" s="1507" t="s">
        <v>3862</v>
      </c>
      <c r="T57" s="1507" t="s">
        <v>3862</v>
      </c>
      <c r="U57" s="1507" t="s">
        <v>3862</v>
      </c>
      <c r="V57" s="1507" t="s">
        <v>3862</v>
      </c>
      <c r="W57" s="1507" t="s">
        <v>2847</v>
      </c>
      <c r="X57" s="1507" t="s">
        <v>2847</v>
      </c>
      <c r="Y57" s="1507" t="s">
        <v>2847</v>
      </c>
      <c r="Z57" s="1507" t="s">
        <v>2847</v>
      </c>
      <c r="AA57" s="1508" t="s">
        <v>2847</v>
      </c>
      <c r="AB57" s="621"/>
      <c r="AC57" s="1270"/>
    </row>
    <row r="58" spans="1:29" s="464" customFormat="1">
      <c r="A58" s="3983">
        <v>161029</v>
      </c>
      <c r="B58" s="1402">
        <f>$B$3</f>
        <v>0.1</v>
      </c>
      <c r="C58" s="1512" t="s">
        <v>2847</v>
      </c>
      <c r="D58" s="1513" t="s">
        <v>2847</v>
      </c>
      <c r="E58" s="1513" t="s">
        <v>2847</v>
      </c>
      <c r="F58" s="1513" t="s">
        <v>2847</v>
      </c>
      <c r="G58" s="1513" t="s">
        <v>2847</v>
      </c>
      <c r="H58" s="1513" t="s">
        <v>2847</v>
      </c>
      <c r="I58" s="1513" t="s">
        <v>2847</v>
      </c>
      <c r="J58" s="1513" t="s">
        <v>2847</v>
      </c>
      <c r="K58" s="1513" t="s">
        <v>2847</v>
      </c>
      <c r="L58" s="1514" t="s">
        <v>2847</v>
      </c>
      <c r="M58" s="1264"/>
      <c r="N58" s="1264"/>
      <c r="R58" s="621"/>
      <c r="S58" s="621"/>
      <c r="T58" s="621"/>
      <c r="U58" s="621"/>
      <c r="V58" s="621"/>
      <c r="W58" s="621"/>
      <c r="X58" s="621"/>
      <c r="Y58" s="621"/>
      <c r="Z58" s="621"/>
      <c r="AA58" s="621"/>
      <c r="AB58" s="621"/>
      <c r="AC58" s="1270"/>
    </row>
    <row r="59" spans="1:29" s="464" customFormat="1" ht="15.75" thickBot="1">
      <c r="A59" s="3984"/>
      <c r="B59" s="1402">
        <f>$B$4</f>
        <v>0.125</v>
      </c>
      <c r="C59" s="1512" t="s">
        <v>2847</v>
      </c>
      <c r="D59" s="1513" t="s">
        <v>2847</v>
      </c>
      <c r="E59" s="1513" t="s">
        <v>2847</v>
      </c>
      <c r="F59" s="1513" t="s">
        <v>2847</v>
      </c>
      <c r="G59" s="1513" t="s">
        <v>2847</v>
      </c>
      <c r="H59" s="1513" t="s">
        <v>2847</v>
      </c>
      <c r="I59" s="1513" t="s">
        <v>2847</v>
      </c>
      <c r="J59" s="1513" t="s">
        <v>2847</v>
      </c>
      <c r="K59" s="1513" t="s">
        <v>2847</v>
      </c>
      <c r="L59" s="1514" t="s">
        <v>2847</v>
      </c>
      <c r="M59" s="1264"/>
      <c r="N59" s="1264"/>
      <c r="R59" s="621"/>
      <c r="S59" s="621"/>
      <c r="T59" s="621"/>
      <c r="U59" s="621"/>
      <c r="V59" s="621"/>
      <c r="W59" s="621"/>
      <c r="X59" s="621"/>
      <c r="Y59" s="621"/>
      <c r="Z59" s="621"/>
      <c r="AA59" s="621"/>
      <c r="AB59" s="621"/>
      <c r="AC59" s="1270"/>
    </row>
    <row r="60" spans="1:29" s="464" customFormat="1">
      <c r="A60" s="1264"/>
      <c r="B60" s="1402">
        <f>$B$5</f>
        <v>0.15</v>
      </c>
      <c r="C60" s="1512" t="s">
        <v>2847</v>
      </c>
      <c r="D60" s="1513" t="s">
        <v>2847</v>
      </c>
      <c r="E60" s="1513" t="s">
        <v>2847</v>
      </c>
      <c r="F60" s="1513" t="s">
        <v>2847</v>
      </c>
      <c r="G60" s="1513" t="s">
        <v>2847</v>
      </c>
      <c r="H60" s="1513" t="s">
        <v>2847</v>
      </c>
      <c r="I60" s="1513" t="s">
        <v>2847</v>
      </c>
      <c r="J60" s="1513" t="s">
        <v>2847</v>
      </c>
      <c r="K60" s="1513" t="s">
        <v>2847</v>
      </c>
      <c r="L60" s="1514" t="s">
        <v>2847</v>
      </c>
      <c r="M60" s="1264"/>
      <c r="N60" s="1264"/>
      <c r="R60" s="621"/>
      <c r="S60" s="621"/>
      <c r="T60" s="621"/>
      <c r="U60" s="621"/>
      <c r="V60" s="621"/>
      <c r="W60" s="621"/>
      <c r="X60" s="621"/>
      <c r="Y60" s="621"/>
      <c r="Z60" s="621"/>
      <c r="AA60" s="621"/>
      <c r="AB60" s="621"/>
      <c r="AC60" s="1270"/>
    </row>
    <row r="61" spans="1:29" s="464" customFormat="1">
      <c r="A61" s="1264"/>
      <c r="B61" s="1402">
        <f>$B$6</f>
        <v>0.17499999999999999</v>
      </c>
      <c r="C61" s="1512" t="s">
        <v>2847</v>
      </c>
      <c r="D61" s="1513" t="s">
        <v>2847</v>
      </c>
      <c r="E61" s="1513" t="s">
        <v>2847</v>
      </c>
      <c r="F61" s="1513" t="s">
        <v>2847</v>
      </c>
      <c r="G61" s="1513" t="s">
        <v>2847</v>
      </c>
      <c r="H61" s="1513" t="s">
        <v>2847</v>
      </c>
      <c r="I61" s="1513" t="s">
        <v>2847</v>
      </c>
      <c r="J61" s="1513" t="s">
        <v>2847</v>
      </c>
      <c r="K61" s="1513" t="s">
        <v>2847</v>
      </c>
      <c r="L61" s="1514" t="s">
        <v>2848</v>
      </c>
      <c r="M61" s="1264"/>
      <c r="N61" s="1264"/>
      <c r="R61" s="621"/>
      <c r="S61" s="621"/>
      <c r="T61" s="621"/>
      <c r="U61" s="621"/>
      <c r="V61" s="621"/>
      <c r="W61" s="621"/>
      <c r="X61" s="621"/>
      <c r="Y61" s="621"/>
      <c r="Z61" s="621"/>
      <c r="AA61" s="621"/>
      <c r="AB61" s="621"/>
      <c r="AC61" s="1270"/>
    </row>
    <row r="62" spans="1:29" s="464" customFormat="1">
      <c r="A62" s="1264"/>
      <c r="B62" s="1402">
        <f>$B$7</f>
        <v>0.2</v>
      </c>
      <c r="C62" s="1512" t="s">
        <v>2847</v>
      </c>
      <c r="D62" s="1513" t="s">
        <v>2847</v>
      </c>
      <c r="E62" s="1513" t="s">
        <v>2847</v>
      </c>
      <c r="F62" s="1513" t="s">
        <v>2847</v>
      </c>
      <c r="G62" s="1513" t="s">
        <v>2847</v>
      </c>
      <c r="H62" s="1513" t="s">
        <v>2847</v>
      </c>
      <c r="I62" s="1513" t="s">
        <v>2847</v>
      </c>
      <c r="J62" s="1513" t="s">
        <v>2847</v>
      </c>
      <c r="K62" s="1513" t="s">
        <v>2847</v>
      </c>
      <c r="L62" s="1514" t="s">
        <v>2848</v>
      </c>
      <c r="M62" s="1264"/>
      <c r="N62" s="1264"/>
      <c r="R62" s="621"/>
      <c r="S62" s="621"/>
      <c r="T62" s="621"/>
      <c r="U62" s="621"/>
      <c r="V62" s="621"/>
      <c r="W62" s="621"/>
      <c r="X62" s="621"/>
      <c r="Y62" s="621"/>
      <c r="Z62" s="621"/>
      <c r="AA62" s="621"/>
      <c r="AB62" s="621"/>
      <c r="AC62" s="1270"/>
    </row>
    <row r="63" spans="1:29" s="464" customFormat="1">
      <c r="A63" s="1264"/>
      <c r="B63" s="1402">
        <f>$B$8</f>
        <v>0.25</v>
      </c>
      <c r="C63" s="1512" t="s">
        <v>2847</v>
      </c>
      <c r="D63" s="1513" t="s">
        <v>2847</v>
      </c>
      <c r="E63" s="1513" t="s">
        <v>2847</v>
      </c>
      <c r="F63" s="1513" t="s">
        <v>2847</v>
      </c>
      <c r="G63" s="1513" t="s">
        <v>2847</v>
      </c>
      <c r="H63" s="1513" t="s">
        <v>2847</v>
      </c>
      <c r="I63" s="1513" t="s">
        <v>2847</v>
      </c>
      <c r="J63" s="1513" t="s">
        <v>2847</v>
      </c>
      <c r="K63" s="1513" t="s">
        <v>2848</v>
      </c>
      <c r="L63" s="1514" t="s">
        <v>2848</v>
      </c>
      <c r="M63" s="1264"/>
      <c r="N63" s="1264"/>
      <c r="R63" s="621"/>
      <c r="S63" s="621"/>
      <c r="T63" s="621"/>
      <c r="U63" s="621"/>
      <c r="V63" s="621"/>
      <c r="W63" s="621"/>
      <c r="X63" s="621"/>
      <c r="Y63" s="621"/>
      <c r="Z63" s="621"/>
      <c r="AA63" s="621"/>
      <c r="AB63" s="621"/>
      <c r="AC63" s="1270"/>
    </row>
    <row r="64" spans="1:29" s="464" customFormat="1">
      <c r="A64" s="1264"/>
      <c r="B64" s="1402">
        <f>$B$9</f>
        <v>0.375</v>
      </c>
      <c r="C64" s="1512" t="s">
        <v>2847</v>
      </c>
      <c r="D64" s="1513" t="s">
        <v>2847</v>
      </c>
      <c r="E64" s="1513" t="s">
        <v>2847</v>
      </c>
      <c r="F64" s="1513" t="s">
        <v>2847</v>
      </c>
      <c r="G64" s="1513" t="s">
        <v>2847</v>
      </c>
      <c r="H64" s="1513" t="s">
        <v>2847</v>
      </c>
      <c r="I64" s="1513" t="s">
        <v>2847</v>
      </c>
      <c r="J64" s="1513" t="s">
        <v>2848</v>
      </c>
      <c r="K64" s="1513" t="s">
        <v>2848</v>
      </c>
      <c r="L64" s="1514" t="s">
        <v>2848</v>
      </c>
      <c r="M64" s="1264"/>
      <c r="N64" s="1264"/>
      <c r="R64" s="621"/>
      <c r="S64" s="621"/>
      <c r="T64" s="621"/>
      <c r="U64" s="621"/>
      <c r="V64" s="621"/>
      <c r="W64" s="621"/>
      <c r="X64" s="621"/>
      <c r="Y64" s="621"/>
      <c r="Z64" s="621"/>
      <c r="AA64" s="621"/>
      <c r="AB64" s="621"/>
      <c r="AC64" s="1270"/>
    </row>
    <row r="65" spans="1:29" s="464" customFormat="1">
      <c r="A65" s="1264"/>
      <c r="B65" s="1402">
        <f>$B$10</f>
        <v>0.5</v>
      </c>
      <c r="C65" s="1512" t="s">
        <v>2847</v>
      </c>
      <c r="D65" s="1513" t="s">
        <v>2847</v>
      </c>
      <c r="E65" s="1513" t="s">
        <v>2847</v>
      </c>
      <c r="F65" s="1513" t="s">
        <v>2847</v>
      </c>
      <c r="G65" s="1513" t="s">
        <v>2847</v>
      </c>
      <c r="H65" s="1513" t="s">
        <v>2847</v>
      </c>
      <c r="I65" s="1513" t="s">
        <v>2848</v>
      </c>
      <c r="J65" s="1513" t="s">
        <v>2848</v>
      </c>
      <c r="K65" s="1513" t="s">
        <v>2848</v>
      </c>
      <c r="L65" s="1514" t="s">
        <v>2848</v>
      </c>
      <c r="M65" s="1264"/>
      <c r="N65" s="1264"/>
      <c r="R65" s="621"/>
      <c r="S65" s="621"/>
      <c r="T65" s="621"/>
      <c r="U65" s="621"/>
      <c r="V65" s="621"/>
      <c r="W65" s="621"/>
      <c r="X65" s="621"/>
      <c r="Y65" s="621"/>
      <c r="Z65" s="621"/>
      <c r="AA65" s="621"/>
      <c r="AB65" s="621"/>
      <c r="AC65" s="1270"/>
    </row>
    <row r="66" spans="1:29" s="464" customFormat="1">
      <c r="A66" s="1264"/>
      <c r="B66" s="1402">
        <f>$B$11</f>
        <v>1</v>
      </c>
      <c r="C66" s="1512" t="s">
        <v>2847</v>
      </c>
      <c r="D66" s="1513" t="s">
        <v>2847</v>
      </c>
      <c r="E66" s="1513" t="s">
        <v>2847</v>
      </c>
      <c r="F66" s="1513" t="s">
        <v>2847</v>
      </c>
      <c r="G66" s="1513" t="s">
        <v>2847</v>
      </c>
      <c r="H66" s="1513" t="s">
        <v>2848</v>
      </c>
      <c r="I66" s="1513" t="s">
        <v>2848</v>
      </c>
      <c r="J66" s="1513" t="s">
        <v>2848</v>
      </c>
      <c r="K66" s="1513" t="s">
        <v>2848</v>
      </c>
      <c r="L66" s="1514" t="s">
        <v>2848</v>
      </c>
      <c r="M66" s="1264"/>
      <c r="N66" s="1264"/>
      <c r="R66" s="621"/>
      <c r="S66" s="621"/>
      <c r="T66" s="621"/>
      <c r="U66" s="621"/>
      <c r="V66" s="621"/>
      <c r="W66" s="621"/>
      <c r="X66" s="621"/>
      <c r="Y66" s="621"/>
      <c r="Z66" s="621"/>
      <c r="AA66" s="621"/>
      <c r="AB66" s="621"/>
      <c r="AC66" s="1270"/>
    </row>
    <row r="67" spans="1:29" s="464" customFormat="1">
      <c r="A67" s="1264"/>
      <c r="B67" s="1402">
        <f>$B$12</f>
        <v>1.5</v>
      </c>
      <c r="C67" s="1512" t="s">
        <v>2847</v>
      </c>
      <c r="D67" s="1513" t="s">
        <v>2847</v>
      </c>
      <c r="E67" s="1513" t="s">
        <v>2848</v>
      </c>
      <c r="F67" s="1513" t="s">
        <v>2848</v>
      </c>
      <c r="G67" s="1513" t="s">
        <v>2848</v>
      </c>
      <c r="H67" s="1513" t="s">
        <v>2848</v>
      </c>
      <c r="I67" s="1513" t="s">
        <v>2848</v>
      </c>
      <c r="J67" s="1513" t="s">
        <v>2848</v>
      </c>
      <c r="K67" s="1513" t="s">
        <v>2849</v>
      </c>
      <c r="L67" s="1514" t="s">
        <v>2849</v>
      </c>
      <c r="M67" s="1264"/>
      <c r="N67" s="1264"/>
      <c r="R67" s="621"/>
      <c r="S67" s="621"/>
      <c r="T67" s="621"/>
      <c r="U67" s="621"/>
      <c r="V67" s="621"/>
      <c r="W67" s="621"/>
      <c r="X67" s="621"/>
      <c r="Y67" s="621"/>
      <c r="Z67" s="621"/>
      <c r="AA67" s="621"/>
      <c r="AB67" s="621"/>
      <c r="AC67" s="1270"/>
    </row>
    <row r="68" spans="1:29" s="464" customFormat="1">
      <c r="A68" s="1264"/>
      <c r="B68" s="1402">
        <f>$B$13</f>
        <v>2</v>
      </c>
      <c r="C68" s="1515" t="s">
        <v>2848</v>
      </c>
      <c r="D68" s="1532" t="s">
        <v>2848</v>
      </c>
      <c r="E68" s="1532" t="s">
        <v>2848</v>
      </c>
      <c r="F68" s="1532" t="s">
        <v>2848</v>
      </c>
      <c r="G68" s="1532" t="s">
        <v>2848</v>
      </c>
      <c r="H68" s="1532" t="s">
        <v>2848</v>
      </c>
      <c r="I68" s="1535" t="s">
        <v>2848</v>
      </c>
      <c r="J68" s="1534" t="s">
        <v>2849</v>
      </c>
      <c r="K68" s="1532" t="s">
        <v>2849</v>
      </c>
      <c r="L68" s="1533" t="s">
        <v>2850</v>
      </c>
      <c r="M68" s="1264"/>
      <c r="N68" s="1264"/>
      <c r="R68" s="621"/>
      <c r="S68" s="621"/>
      <c r="T68" s="621"/>
      <c r="U68" s="621"/>
      <c r="V68" s="621"/>
      <c r="W68" s="621"/>
      <c r="X68" s="621"/>
      <c r="Y68" s="621"/>
      <c r="Z68" s="621"/>
      <c r="AA68" s="621"/>
      <c r="AB68" s="621"/>
      <c r="AC68" s="1270"/>
    </row>
    <row r="69" spans="1:29" s="464" customFormat="1">
      <c r="A69" s="1264"/>
      <c r="B69" s="1402">
        <f>$B$14</f>
        <v>2.5</v>
      </c>
      <c r="C69" s="1531" t="s">
        <v>2848</v>
      </c>
      <c r="D69" s="1532" t="s">
        <v>2848</v>
      </c>
      <c r="E69" s="1532" t="s">
        <v>2848</v>
      </c>
      <c r="F69" s="1532" t="s">
        <v>2848</v>
      </c>
      <c r="G69" s="1532" t="s">
        <v>2848</v>
      </c>
      <c r="H69" s="1532" t="s">
        <v>2848</v>
      </c>
      <c r="I69" s="1532" t="s">
        <v>2849</v>
      </c>
      <c r="J69" s="1532" t="s">
        <v>2849</v>
      </c>
      <c r="K69" s="1532" t="s">
        <v>2850</v>
      </c>
      <c r="L69" s="1533" t="s">
        <v>2851</v>
      </c>
      <c r="M69" s="1264"/>
      <c r="N69" s="1264"/>
      <c r="R69" s="621"/>
      <c r="S69" s="621"/>
      <c r="T69" s="621"/>
      <c r="U69" s="621"/>
      <c r="V69" s="621"/>
      <c r="W69" s="621"/>
      <c r="X69" s="621"/>
      <c r="Y69" s="621"/>
      <c r="Z69" s="621"/>
      <c r="AA69" s="621"/>
      <c r="AB69" s="621"/>
      <c r="AC69" s="1270"/>
    </row>
    <row r="70" spans="1:29" s="464" customFormat="1">
      <c r="A70" s="1264"/>
      <c r="B70" s="1402">
        <f>$B$15</f>
        <v>3</v>
      </c>
      <c r="C70" s="1531" t="s">
        <v>2848</v>
      </c>
      <c r="D70" s="1532" t="s">
        <v>2848</v>
      </c>
      <c r="E70" s="1532" t="s">
        <v>2848</v>
      </c>
      <c r="F70" s="1532" t="s">
        <v>2848</v>
      </c>
      <c r="G70" s="1532" t="s">
        <v>2848</v>
      </c>
      <c r="H70" s="1532" t="s">
        <v>2849</v>
      </c>
      <c r="I70" s="1532" t="s">
        <v>2849</v>
      </c>
      <c r="J70" s="1532" t="s">
        <v>2850</v>
      </c>
      <c r="K70" s="1532" t="s">
        <v>2851</v>
      </c>
      <c r="L70" s="1761" t="s">
        <v>3454</v>
      </c>
      <c r="M70" s="1264"/>
      <c r="N70" s="1264"/>
      <c r="R70" s="621"/>
      <c r="S70" s="621"/>
      <c r="T70" s="621"/>
      <c r="U70" s="621"/>
      <c r="V70" s="621"/>
      <c r="W70" s="621"/>
      <c r="X70" s="621"/>
      <c r="Y70" s="621"/>
      <c r="Z70" s="621"/>
      <c r="AA70" s="621"/>
      <c r="AB70" s="621"/>
      <c r="AC70" s="1270"/>
    </row>
    <row r="71" spans="1:29" s="464" customFormat="1">
      <c r="A71" s="1264"/>
      <c r="B71" s="1402">
        <f>$B$16</f>
        <v>4</v>
      </c>
      <c r="C71" s="1531" t="s">
        <v>2848</v>
      </c>
      <c r="D71" s="1532" t="s">
        <v>2848</v>
      </c>
      <c r="E71" s="1532" t="s">
        <v>2848</v>
      </c>
      <c r="F71" s="1532" t="s">
        <v>2848</v>
      </c>
      <c r="G71" s="1532" t="s">
        <v>2848</v>
      </c>
      <c r="H71" s="1532" t="s">
        <v>2849</v>
      </c>
      <c r="I71" s="1532" t="s">
        <v>2850</v>
      </c>
      <c r="J71" s="1532" t="s">
        <v>2851</v>
      </c>
      <c r="K71" s="1762" t="s">
        <v>3454</v>
      </c>
      <c r="L71" s="1761" t="s">
        <v>3454</v>
      </c>
      <c r="M71" s="1264"/>
      <c r="N71" s="1264"/>
      <c r="R71" s="621"/>
      <c r="S71" s="621"/>
      <c r="T71" s="621"/>
      <c r="U71" s="621"/>
      <c r="V71" s="621"/>
      <c r="W71" s="621"/>
      <c r="X71" s="621"/>
      <c r="Y71" s="621"/>
      <c r="Z71" s="621"/>
      <c r="AA71" s="621"/>
      <c r="AB71" s="621"/>
      <c r="AC71" s="1270"/>
    </row>
    <row r="72" spans="1:29" s="464" customFormat="1" ht="15.75" thickBot="1">
      <c r="A72" s="1264"/>
      <c r="B72" s="1402">
        <f>$B$17</f>
        <v>5</v>
      </c>
      <c r="C72" s="1750" t="s">
        <v>3454</v>
      </c>
      <c r="D72" s="1751" t="s">
        <v>3454</v>
      </c>
      <c r="E72" s="1751" t="s">
        <v>3454</v>
      </c>
      <c r="F72" s="1751" t="s">
        <v>3454</v>
      </c>
      <c r="G72" s="1751" t="s">
        <v>3454</v>
      </c>
      <c r="H72" s="1751" t="s">
        <v>3454</v>
      </c>
      <c r="I72" s="1751" t="s">
        <v>3454</v>
      </c>
      <c r="J72" s="1751" t="s">
        <v>3454</v>
      </c>
      <c r="K72" s="1751" t="s">
        <v>3454</v>
      </c>
      <c r="L72" s="1752" t="s">
        <v>3454</v>
      </c>
      <c r="M72" s="1264"/>
      <c r="N72" s="1264"/>
      <c r="R72" s="621"/>
      <c r="S72" s="621"/>
      <c r="T72" s="621"/>
      <c r="U72" s="621"/>
      <c r="V72" s="621"/>
      <c r="W72" s="621"/>
      <c r="X72" s="621"/>
      <c r="Y72" s="621"/>
      <c r="Z72" s="621"/>
      <c r="AA72" s="621"/>
      <c r="AB72" s="621"/>
      <c r="AC72" s="1270"/>
    </row>
  </sheetData>
  <mergeCells count="4">
    <mergeCell ref="A3:A4"/>
    <mergeCell ref="A58:A59"/>
    <mergeCell ref="A39:A40"/>
    <mergeCell ref="A21:A22"/>
  </mergeCells>
  <phoneticPr fontId="170" type="noConversion"/>
  <pageMargins left="0.70866141732283472" right="0.70866141732283472" top="0.74803149606299213" bottom="0.74803149606299213" header="0.31496062992125984" footer="0.31496062992125984"/>
  <pageSetup paperSize="9" scale="49" orientation="landscape" r:id="rId1"/>
  <headerFooter>
    <oddHeader>&amp;L&amp;F / &amp;A&amp;R&amp;D</oddHeader>
    <oddFooter>&amp;L&amp;12CONFIDENTIAL&amp;C&amp;12BARKER JET&amp;Rpage &amp;P / &amp;N</oddFooter>
  </headerFooter>
  <legacy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>
    <pageSetUpPr fitToPage="1"/>
  </sheetPr>
  <dimension ref="B1:Y215"/>
  <sheetViews>
    <sheetView zoomScale="70" zoomScaleNormal="70" workbookViewId="0">
      <pane xSplit="2" ySplit="2" topLeftCell="C18" activePane="bottomRight" state="frozen"/>
      <selection activeCell="C6" sqref="C6:G6"/>
      <selection pane="topRight" activeCell="C6" sqref="C6:G6"/>
      <selection pane="bottomLeft" activeCell="C6" sqref="C6:G6"/>
      <selection pane="bottomRight" activeCell="C23" sqref="C23"/>
    </sheetView>
  </sheetViews>
  <sheetFormatPr defaultColWidth="9.140625" defaultRowHeight="15"/>
  <cols>
    <col min="1" max="8" width="9.140625" style="243"/>
    <col min="9" max="9" width="9.140625" style="2154"/>
    <col min="10" max="16384" width="9.140625" style="243"/>
  </cols>
  <sheetData>
    <row r="1" spans="2:8" ht="15.75" thickBot="1">
      <c r="B1" s="243">
        <v>1</v>
      </c>
      <c r="C1" s="243">
        <f>B1+1</f>
        <v>2</v>
      </c>
      <c r="D1" s="243">
        <f t="shared" ref="D1:H1" si="0">C1+1</f>
        <v>3</v>
      </c>
      <c r="E1" s="243">
        <f t="shared" si="0"/>
        <v>4</v>
      </c>
      <c r="F1" s="243">
        <f t="shared" si="0"/>
        <v>5</v>
      </c>
      <c r="G1" s="243">
        <f t="shared" si="0"/>
        <v>6</v>
      </c>
      <c r="H1" s="243">
        <f t="shared" si="0"/>
        <v>7</v>
      </c>
    </row>
    <row r="2" spans="2:8" ht="15.75" thickBot="1">
      <c r="B2" s="1543" t="s">
        <v>287</v>
      </c>
      <c r="C2" s="1544" t="s">
        <v>346</v>
      </c>
      <c r="D2" s="1544" t="s">
        <v>304</v>
      </c>
      <c r="E2" s="1544" t="s">
        <v>348</v>
      </c>
      <c r="F2" s="1545" t="s">
        <v>347</v>
      </c>
      <c r="G2" s="1545" t="s">
        <v>1105</v>
      </c>
      <c r="H2" s="1546" t="s">
        <v>2846</v>
      </c>
    </row>
    <row r="3" spans="2:8" ht="15.75" thickBot="1">
      <c r="B3" s="1518">
        <v>0</v>
      </c>
      <c r="C3" s="1519">
        <v>0</v>
      </c>
      <c r="D3" s="1519">
        <v>0</v>
      </c>
      <c r="E3" s="1519">
        <v>0</v>
      </c>
      <c r="F3" s="1519">
        <v>0</v>
      </c>
      <c r="G3" s="1519">
        <v>0</v>
      </c>
      <c r="H3" s="1520">
        <v>0</v>
      </c>
    </row>
    <row r="4" spans="2:8">
      <c r="B4" s="1521" t="str">
        <f>"p"&amp;E4</f>
        <v>p0</v>
      </c>
      <c r="C4" s="1519"/>
      <c r="D4" s="1519"/>
      <c r="E4" s="1519">
        <v>0</v>
      </c>
      <c r="F4" s="1519"/>
      <c r="G4" s="1519"/>
      <c r="H4" s="1522">
        <f t="shared" ref="H4:H13" si="1">E4/1000*steel_density</f>
        <v>0</v>
      </c>
    </row>
    <row r="5" spans="2:8">
      <c r="B5" s="1523" t="str">
        <f t="shared" ref="B5:B12" si="2">"P"&amp;E5</f>
        <v>P3</v>
      </c>
      <c r="C5" s="1519"/>
      <c r="D5" s="1519"/>
      <c r="E5" s="1519">
        <v>3</v>
      </c>
      <c r="F5" s="1519"/>
      <c r="G5" s="1519"/>
      <c r="H5" s="1524">
        <f t="shared" si="1"/>
        <v>23.55</v>
      </c>
    </row>
    <row r="6" spans="2:8">
      <c r="B6" s="1523" t="str">
        <f t="shared" si="2"/>
        <v>P4</v>
      </c>
      <c r="C6" s="1519"/>
      <c r="D6" s="1519"/>
      <c r="E6" s="1519">
        <v>4</v>
      </c>
      <c r="F6" s="1519"/>
      <c r="G6" s="1519"/>
      <c r="H6" s="1524">
        <f t="shared" ref="H6" si="3">E6/1000*steel_density</f>
        <v>31.400000000000002</v>
      </c>
    </row>
    <row r="7" spans="2:8">
      <c r="B7" s="1523" t="str">
        <f t="shared" si="2"/>
        <v>P5</v>
      </c>
      <c r="C7" s="1519"/>
      <c r="D7" s="1519"/>
      <c r="E7" s="1519">
        <v>5</v>
      </c>
      <c r="F7" s="1519"/>
      <c r="G7" s="1519"/>
      <c r="H7" s="1524">
        <f t="shared" si="1"/>
        <v>39.25</v>
      </c>
    </row>
    <row r="8" spans="2:8">
      <c r="B8" s="1523" t="str">
        <f t="shared" si="2"/>
        <v>P6</v>
      </c>
      <c r="C8" s="1519"/>
      <c r="D8" s="1519"/>
      <c r="E8" s="1519">
        <v>6</v>
      </c>
      <c r="F8" s="1519"/>
      <c r="G8" s="1519"/>
      <c r="H8" s="1524">
        <f t="shared" si="1"/>
        <v>47.1</v>
      </c>
    </row>
    <row r="9" spans="2:8">
      <c r="B9" s="1523" t="str">
        <f t="shared" ref="B9" si="4">"P"&amp;E9</f>
        <v>P7</v>
      </c>
      <c r="C9" s="1519"/>
      <c r="D9" s="1519"/>
      <c r="E9" s="1519">
        <v>7</v>
      </c>
      <c r="F9" s="1519"/>
      <c r="G9" s="1519"/>
      <c r="H9" s="1524">
        <f t="shared" ref="H9" si="5">E9/1000*steel_density</f>
        <v>54.95</v>
      </c>
    </row>
    <row r="10" spans="2:8">
      <c r="B10" s="1523" t="str">
        <f t="shared" si="2"/>
        <v>P8</v>
      </c>
      <c r="C10" s="1519"/>
      <c r="D10" s="1519"/>
      <c r="E10" s="1519">
        <v>8</v>
      </c>
      <c r="F10" s="1519"/>
      <c r="G10" s="1519"/>
      <c r="H10" s="1524">
        <f t="shared" si="1"/>
        <v>62.800000000000004</v>
      </c>
    </row>
    <row r="11" spans="2:8">
      <c r="B11" s="1523" t="str">
        <f t="shared" ref="B11" si="6">"P"&amp;E11</f>
        <v>P9</v>
      </c>
      <c r="C11" s="1519"/>
      <c r="D11" s="1519"/>
      <c r="E11" s="1519">
        <v>9</v>
      </c>
      <c r="F11" s="1519"/>
      <c r="G11" s="1519"/>
      <c r="H11" s="1524">
        <f t="shared" si="1"/>
        <v>70.649999999999991</v>
      </c>
    </row>
    <row r="12" spans="2:8">
      <c r="B12" s="1523" t="str">
        <f t="shared" si="2"/>
        <v>P10</v>
      </c>
      <c r="C12" s="1519"/>
      <c r="D12" s="1519"/>
      <c r="E12" s="1519">
        <v>10</v>
      </c>
      <c r="F12" s="1519"/>
      <c r="G12" s="1519"/>
      <c r="H12" s="1524">
        <f t="shared" ref="H12" si="7">E12/1000*steel_density</f>
        <v>78.5</v>
      </c>
    </row>
    <row r="13" spans="2:8" ht="15.75" thickBot="1">
      <c r="B13" s="1525" t="s">
        <v>3451</v>
      </c>
      <c r="C13" s="1765"/>
      <c r="D13" s="1765"/>
      <c r="E13" s="1765">
        <v>25</v>
      </c>
      <c r="F13" s="1765"/>
      <c r="G13" s="1765"/>
      <c r="H13" s="1526">
        <f t="shared" si="1"/>
        <v>196.25</v>
      </c>
    </row>
    <row r="14" spans="2:8">
      <c r="B14" s="1521" t="str">
        <f t="shared" ref="B14:B20" si="8">"S"&amp;E14</f>
        <v>S0</v>
      </c>
      <c r="C14" s="1519">
        <v>0</v>
      </c>
      <c r="D14" s="1519">
        <v>0</v>
      </c>
      <c r="E14" s="1519">
        <v>0</v>
      </c>
      <c r="F14" s="1519"/>
      <c r="G14" s="1519"/>
      <c r="H14" s="1522">
        <f t="shared" ref="H14:H20" si="9">D14/1000*E14/1000*steel_density</f>
        <v>0</v>
      </c>
    </row>
    <row r="15" spans="2:8">
      <c r="B15" s="1523" t="str">
        <f t="shared" si="8"/>
        <v>S3</v>
      </c>
      <c r="C15" s="1519">
        <v>3</v>
      </c>
      <c r="D15" s="1519">
        <v>30</v>
      </c>
      <c r="E15" s="1519">
        <v>3</v>
      </c>
      <c r="F15" s="1519"/>
      <c r="G15" s="1519"/>
      <c r="H15" s="1524">
        <f t="shared" si="9"/>
        <v>0.70649999999999991</v>
      </c>
    </row>
    <row r="16" spans="2:8">
      <c r="B16" s="1523" t="str">
        <f t="shared" si="8"/>
        <v>S4</v>
      </c>
      <c r="C16" s="1519">
        <v>4</v>
      </c>
      <c r="D16" s="1519">
        <v>40</v>
      </c>
      <c r="E16" s="1519">
        <v>4</v>
      </c>
      <c r="F16" s="1519"/>
      <c r="G16" s="1519"/>
      <c r="H16" s="1524">
        <f t="shared" ref="H16" si="10">D16/1000*E16/1000*steel_density</f>
        <v>1.256</v>
      </c>
    </row>
    <row r="17" spans="2:9">
      <c r="B17" s="1523" t="str">
        <f t="shared" si="8"/>
        <v>S5</v>
      </c>
      <c r="C17" s="1519">
        <v>5</v>
      </c>
      <c r="D17" s="1519">
        <v>50</v>
      </c>
      <c r="E17" s="1519">
        <v>5</v>
      </c>
      <c r="F17" s="1519"/>
      <c r="G17" s="1519"/>
      <c r="H17" s="1524">
        <f t="shared" si="9"/>
        <v>1.9625000000000001</v>
      </c>
    </row>
    <row r="18" spans="2:9">
      <c r="B18" s="1523" t="str">
        <f t="shared" si="8"/>
        <v>S6</v>
      </c>
      <c r="C18" s="1519">
        <v>6</v>
      </c>
      <c r="D18" s="1519">
        <v>60</v>
      </c>
      <c r="E18" s="1519">
        <v>6</v>
      </c>
      <c r="F18" s="1519"/>
      <c r="G18" s="1519"/>
      <c r="H18" s="1524">
        <f t="shared" si="9"/>
        <v>2.8259999999999996</v>
      </c>
    </row>
    <row r="19" spans="2:9">
      <c r="B19" s="1523" t="str">
        <f t="shared" si="8"/>
        <v>S8</v>
      </c>
      <c r="C19" s="1519">
        <v>8</v>
      </c>
      <c r="D19" s="1519">
        <v>80</v>
      </c>
      <c r="E19" s="1519">
        <v>8</v>
      </c>
      <c r="F19" s="1519"/>
      <c r="G19" s="1519"/>
      <c r="H19" s="1524">
        <f t="shared" si="9"/>
        <v>5.024</v>
      </c>
    </row>
    <row r="20" spans="2:9">
      <c r="B20" s="1523" t="str">
        <f t="shared" si="8"/>
        <v>S10</v>
      </c>
      <c r="C20" s="1519">
        <v>10</v>
      </c>
      <c r="D20" s="1519">
        <v>100</v>
      </c>
      <c r="E20" s="1519">
        <v>10</v>
      </c>
      <c r="F20" s="1519"/>
      <c r="G20" s="1519"/>
      <c r="H20" s="1524">
        <f t="shared" si="9"/>
        <v>7.8500000000000005</v>
      </c>
    </row>
    <row r="21" spans="2:9">
      <c r="B21" s="1523" t="s">
        <v>3452</v>
      </c>
      <c r="C21" s="1765">
        <v>25</v>
      </c>
      <c r="D21" s="1765">
        <v>150</v>
      </c>
      <c r="E21" s="1765">
        <v>25</v>
      </c>
      <c r="F21" s="1765"/>
      <c r="G21" s="1765"/>
      <c r="H21" s="1524">
        <f t="shared" ref="H21" si="11">D21/1000*E21/1000*steel_density</f>
        <v>29.4375</v>
      </c>
    </row>
    <row r="22" spans="2:9" ht="15.75" thickBot="1">
      <c r="B22" s="3117" t="s">
        <v>4138</v>
      </c>
      <c r="C22" s="3118">
        <v>110</v>
      </c>
      <c r="D22" s="3118">
        <v>80</v>
      </c>
      <c r="E22" s="3118">
        <v>4</v>
      </c>
      <c r="F22" s="3118"/>
      <c r="G22" s="3118"/>
      <c r="H22" s="3119">
        <f>(C22+2*D22)/1000*E22/1000*steel_density</f>
        <v>8.4779999999999998</v>
      </c>
    </row>
    <row r="23" spans="2:9">
      <c r="B23" s="1521" t="str">
        <f>"a"&amp;C23</f>
        <v>a0</v>
      </c>
      <c r="C23" s="1519">
        <v>0</v>
      </c>
      <c r="D23" s="1519">
        <v>0</v>
      </c>
      <c r="E23" s="1519">
        <v>0</v>
      </c>
      <c r="F23" s="1519">
        <v>0</v>
      </c>
      <c r="G23" s="1519">
        <v>0</v>
      </c>
      <c r="H23" s="1522">
        <f t="shared" ref="H23:H44" si="12">(C23+D23)/1000*E23/1000*steel_density</f>
        <v>0</v>
      </c>
      <c r="I23" s="2154">
        <f t="shared" ref="I23:I63" si="13">(C23+(D23-E23))/1000*E23/1000*steel_density</f>
        <v>0</v>
      </c>
    </row>
    <row r="24" spans="2:9">
      <c r="B24" s="1523" t="str">
        <f>"A"&amp;C24</f>
        <v>A20</v>
      </c>
      <c r="C24" s="1519">
        <v>20</v>
      </c>
      <c r="D24" s="1519">
        <v>20</v>
      </c>
      <c r="E24" s="1519">
        <v>4</v>
      </c>
      <c r="F24" s="1519"/>
      <c r="G24" s="1519">
        <v>3.5</v>
      </c>
      <c r="H24" s="2077">
        <v>1.145</v>
      </c>
      <c r="I24" s="2154">
        <f t="shared" si="13"/>
        <v>1.1303999999999998</v>
      </c>
    </row>
    <row r="25" spans="2:9">
      <c r="B25" s="1523" t="str">
        <f t="shared" ref="B25:B41" si="14">"A"&amp;C25</f>
        <v>A25</v>
      </c>
      <c r="C25" s="1519">
        <v>25</v>
      </c>
      <c r="D25" s="1519">
        <v>25</v>
      </c>
      <c r="E25" s="1519">
        <v>4</v>
      </c>
      <c r="F25" s="1519"/>
      <c r="G25" s="1519">
        <v>3.5</v>
      </c>
      <c r="H25" s="2077">
        <v>1.4590000000000001</v>
      </c>
      <c r="I25" s="2154">
        <f t="shared" si="13"/>
        <v>1.4443999999999999</v>
      </c>
    </row>
    <row r="26" spans="2:9">
      <c r="B26" s="1523" t="str">
        <f t="shared" si="14"/>
        <v>A30</v>
      </c>
      <c r="C26" s="1519">
        <v>30</v>
      </c>
      <c r="D26" s="1519">
        <v>30</v>
      </c>
      <c r="E26" s="1519">
        <v>4</v>
      </c>
      <c r="F26" s="1519"/>
      <c r="G26" s="1519">
        <v>4.5</v>
      </c>
      <c r="H26" s="2077">
        <v>1.786</v>
      </c>
      <c r="I26" s="2154">
        <f t="shared" si="13"/>
        <v>1.7584</v>
      </c>
    </row>
    <row r="27" spans="2:9">
      <c r="B27" s="1523" t="str">
        <f t="shared" si="14"/>
        <v>A36</v>
      </c>
      <c r="C27" s="1519">
        <v>36</v>
      </c>
      <c r="D27" s="1519">
        <v>36</v>
      </c>
      <c r="E27" s="1519">
        <v>5</v>
      </c>
      <c r="F27" s="1519"/>
      <c r="G27" s="1519">
        <v>4.5</v>
      </c>
      <c r="H27" s="2077">
        <v>2.6539999999999999</v>
      </c>
      <c r="I27" s="2154">
        <f t="shared" si="13"/>
        <v>2.62975</v>
      </c>
    </row>
    <row r="28" spans="2:9">
      <c r="B28" s="1523" t="str">
        <f t="shared" si="14"/>
        <v>A40</v>
      </c>
      <c r="C28" s="1519">
        <v>40</v>
      </c>
      <c r="D28" s="1519">
        <v>40</v>
      </c>
      <c r="E28" s="1519">
        <v>5</v>
      </c>
      <c r="F28" s="1519"/>
      <c r="G28" s="1519">
        <v>5</v>
      </c>
      <c r="H28" s="2077">
        <v>2.976</v>
      </c>
      <c r="I28" s="2154">
        <f t="shared" si="13"/>
        <v>2.9437500000000001</v>
      </c>
    </row>
    <row r="29" spans="2:9">
      <c r="B29" s="1523" t="str">
        <f t="shared" si="14"/>
        <v>A45</v>
      </c>
      <c r="C29" s="1519">
        <v>45</v>
      </c>
      <c r="D29" s="1519">
        <v>45</v>
      </c>
      <c r="E29" s="1519">
        <v>5</v>
      </c>
      <c r="F29" s="1519"/>
      <c r="G29" s="1519">
        <v>5</v>
      </c>
      <c r="H29" s="2077">
        <v>3.3690000000000002</v>
      </c>
      <c r="I29" s="2154">
        <f t="shared" si="13"/>
        <v>3.3362500000000002</v>
      </c>
    </row>
    <row r="30" spans="2:9">
      <c r="B30" s="1523" t="str">
        <f t="shared" si="14"/>
        <v>A50</v>
      </c>
      <c r="C30" s="1519">
        <v>50</v>
      </c>
      <c r="D30" s="1519">
        <v>50</v>
      </c>
      <c r="E30" s="1519">
        <v>5</v>
      </c>
      <c r="F30" s="1519"/>
      <c r="G30" s="1519">
        <v>5.5</v>
      </c>
      <c r="H30" s="2077">
        <v>3.77</v>
      </c>
      <c r="I30" s="2154">
        <f t="shared" si="13"/>
        <v>3.7287499999999998</v>
      </c>
    </row>
    <row r="31" spans="2:9">
      <c r="B31" s="1523" t="str">
        <f t="shared" si="14"/>
        <v>A56</v>
      </c>
      <c r="C31" s="1519">
        <v>56</v>
      </c>
      <c r="D31" s="1519">
        <v>56</v>
      </c>
      <c r="E31" s="1519">
        <v>5</v>
      </c>
      <c r="F31" s="1519"/>
      <c r="G31" s="1519">
        <v>6</v>
      </c>
      <c r="H31" s="2077">
        <v>4.2510000000000003</v>
      </c>
      <c r="I31" s="2154">
        <f t="shared" si="13"/>
        <v>4.1997499999999999</v>
      </c>
    </row>
    <row r="32" spans="2:9">
      <c r="B32" s="1523" t="str">
        <f t="shared" si="14"/>
        <v>A63</v>
      </c>
      <c r="C32" s="1519">
        <v>63</v>
      </c>
      <c r="D32" s="1519">
        <v>63</v>
      </c>
      <c r="E32" s="1519">
        <v>6</v>
      </c>
      <c r="F32" s="1519"/>
      <c r="G32" s="1519">
        <v>7</v>
      </c>
      <c r="H32" s="2077">
        <v>5.7210000000000001</v>
      </c>
      <c r="I32" s="2154">
        <f t="shared" si="13"/>
        <v>5.6519999999999992</v>
      </c>
    </row>
    <row r="33" spans="2:9">
      <c r="B33" s="1523" t="str">
        <f t="shared" si="14"/>
        <v>A70</v>
      </c>
      <c r="C33" s="1519">
        <v>70</v>
      </c>
      <c r="D33" s="1519">
        <v>70</v>
      </c>
      <c r="E33" s="1519">
        <v>6</v>
      </c>
      <c r="F33" s="1519"/>
      <c r="G33" s="1519">
        <v>8</v>
      </c>
      <c r="H33" s="2077">
        <v>6.4059999999999997</v>
      </c>
      <c r="I33" s="2154">
        <f t="shared" si="13"/>
        <v>6.3113999999999999</v>
      </c>
    </row>
    <row r="34" spans="2:9">
      <c r="B34" s="1523" t="str">
        <f t="shared" si="14"/>
        <v>A80</v>
      </c>
      <c r="C34" s="1519">
        <v>80</v>
      </c>
      <c r="D34" s="1519">
        <v>80</v>
      </c>
      <c r="E34" s="1519">
        <v>8</v>
      </c>
      <c r="F34" s="1519"/>
      <c r="G34" s="1519">
        <v>9</v>
      </c>
      <c r="H34" s="2077">
        <v>9.6579999999999995</v>
      </c>
      <c r="I34" s="2154">
        <f t="shared" si="13"/>
        <v>9.5456000000000003</v>
      </c>
    </row>
    <row r="35" spans="2:9">
      <c r="B35" s="1523" t="str">
        <f t="shared" si="14"/>
        <v>A90</v>
      </c>
      <c r="C35" s="1519">
        <v>90</v>
      </c>
      <c r="D35" s="1519">
        <v>90</v>
      </c>
      <c r="E35" s="1519">
        <v>8</v>
      </c>
      <c r="F35" s="1519"/>
      <c r="G35" s="1519">
        <v>10</v>
      </c>
      <c r="H35" s="2077">
        <v>10.946</v>
      </c>
      <c r="I35" s="2154">
        <f t="shared" si="13"/>
        <v>10.801599999999999</v>
      </c>
    </row>
    <row r="36" spans="2:9">
      <c r="B36" s="1523" t="str">
        <f t="shared" si="14"/>
        <v>A100</v>
      </c>
      <c r="C36" s="1519">
        <v>100</v>
      </c>
      <c r="D36" s="1519">
        <v>100</v>
      </c>
      <c r="E36" s="1519">
        <v>10</v>
      </c>
      <c r="F36" s="1519"/>
      <c r="G36" s="1519">
        <v>12</v>
      </c>
      <c r="H36" s="2077">
        <v>15.12</v>
      </c>
      <c r="I36" s="2154">
        <f t="shared" si="13"/>
        <v>14.914999999999999</v>
      </c>
    </row>
    <row r="37" spans="2:9">
      <c r="B37" s="1523" t="str">
        <f t="shared" si="14"/>
        <v>A110</v>
      </c>
      <c r="C37" s="1519">
        <v>110</v>
      </c>
      <c r="D37" s="1519">
        <v>110</v>
      </c>
      <c r="E37" s="1519">
        <v>10</v>
      </c>
      <c r="F37" s="1519"/>
      <c r="G37" s="1519">
        <v>12</v>
      </c>
      <c r="H37" s="2077">
        <v>16.690000000000001</v>
      </c>
      <c r="I37" s="2154">
        <f t="shared" si="13"/>
        <v>16.485000000000003</v>
      </c>
    </row>
    <row r="38" spans="2:9">
      <c r="B38" s="1523" t="str">
        <f t="shared" si="14"/>
        <v>A125</v>
      </c>
      <c r="C38" s="1519">
        <v>125</v>
      </c>
      <c r="D38" s="1519">
        <v>125</v>
      </c>
      <c r="E38" s="1519">
        <v>12</v>
      </c>
      <c r="F38" s="1519"/>
      <c r="G38" s="1519">
        <v>14</v>
      </c>
      <c r="H38" s="2077">
        <v>22.696000000000002</v>
      </c>
      <c r="I38" s="2154">
        <f t="shared" si="13"/>
        <v>22.419599999999999</v>
      </c>
    </row>
    <row r="39" spans="2:9">
      <c r="B39" s="1523" t="str">
        <f t="shared" si="14"/>
        <v>A140</v>
      </c>
      <c r="C39" s="1519">
        <v>140</v>
      </c>
      <c r="D39" s="1519">
        <v>140</v>
      </c>
      <c r="E39" s="1519">
        <v>14</v>
      </c>
      <c r="F39" s="1519"/>
      <c r="G39" s="1519">
        <v>14</v>
      </c>
      <c r="H39" s="2077">
        <v>29.19</v>
      </c>
      <c r="I39" s="2154">
        <f t="shared" si="13"/>
        <v>29.233400000000003</v>
      </c>
    </row>
    <row r="40" spans="2:9">
      <c r="B40" s="1523" t="str">
        <f t="shared" si="14"/>
        <v>A160</v>
      </c>
      <c r="C40" s="1519">
        <v>160</v>
      </c>
      <c r="D40" s="1519">
        <v>160</v>
      </c>
      <c r="E40" s="1519">
        <v>16</v>
      </c>
      <c r="F40" s="1519"/>
      <c r="G40" s="1519">
        <v>16</v>
      </c>
      <c r="H40" s="2077">
        <v>38.518000000000001</v>
      </c>
      <c r="I40" s="2154">
        <f t="shared" si="13"/>
        <v>38.182400000000001</v>
      </c>
    </row>
    <row r="41" spans="2:9">
      <c r="B41" s="1523" t="str">
        <f t="shared" si="14"/>
        <v>A180</v>
      </c>
      <c r="C41" s="1519">
        <v>180</v>
      </c>
      <c r="D41" s="1519">
        <v>180</v>
      </c>
      <c r="E41" s="1519">
        <v>18</v>
      </c>
      <c r="F41" s="1519"/>
      <c r="G41" s="1519">
        <v>16</v>
      </c>
      <c r="H41" s="2077">
        <v>48.634</v>
      </c>
      <c r="I41" s="2154">
        <f t="shared" si="13"/>
        <v>48.324600000000004</v>
      </c>
    </row>
    <row r="42" spans="2:9">
      <c r="B42" s="1523" t="str">
        <f t="shared" ref="B42" si="15">"A"&amp;C42</f>
        <v>A200</v>
      </c>
      <c r="C42" s="1519">
        <v>200</v>
      </c>
      <c r="D42" s="1519">
        <v>200</v>
      </c>
      <c r="E42" s="1519">
        <v>20</v>
      </c>
      <c r="F42" s="1519"/>
      <c r="G42" s="1519">
        <v>18</v>
      </c>
      <c r="H42" s="2077">
        <v>60.055999999999997</v>
      </c>
      <c r="I42" s="2154">
        <f t="shared" si="13"/>
        <v>59.66</v>
      </c>
    </row>
    <row r="43" spans="2:9" ht="15.75" thickBot="1">
      <c r="B43" s="1525" t="str">
        <f>"AX"</f>
        <v>AX</v>
      </c>
      <c r="C43" s="1765">
        <v>300</v>
      </c>
      <c r="D43" s="1765">
        <v>300</v>
      </c>
      <c r="E43" s="1765">
        <v>25</v>
      </c>
      <c r="F43" s="1765"/>
      <c r="G43" s="1765">
        <f>E43</f>
        <v>25</v>
      </c>
      <c r="H43" s="1524">
        <f>(C43+(D43-E43))/1000*E43/1000*steel_density</f>
        <v>112.84374999999999</v>
      </c>
      <c r="I43" s="2154">
        <f t="shared" si="13"/>
        <v>112.84374999999999</v>
      </c>
    </row>
    <row r="44" spans="2:9">
      <c r="B44" s="1521" t="str">
        <f>"l"&amp;C44</f>
        <v>l0</v>
      </c>
      <c r="C44" s="1519">
        <v>0</v>
      </c>
      <c r="D44" s="1519">
        <v>0</v>
      </c>
      <c r="E44" s="1519">
        <v>0</v>
      </c>
      <c r="F44" s="1519">
        <v>0</v>
      </c>
      <c r="G44" s="1519">
        <v>0</v>
      </c>
      <c r="H44" s="1522">
        <f t="shared" si="12"/>
        <v>0</v>
      </c>
      <c r="I44" s="2154">
        <f t="shared" si="13"/>
        <v>0</v>
      </c>
    </row>
    <row r="45" spans="2:9">
      <c r="B45" s="1523" t="str">
        <f>"L"&amp;C45</f>
        <v>L25</v>
      </c>
      <c r="C45" s="1519">
        <v>25</v>
      </c>
      <c r="D45" s="1519">
        <v>16</v>
      </c>
      <c r="E45" s="1519">
        <v>3</v>
      </c>
      <c r="F45" s="1519"/>
      <c r="G45" s="1519">
        <v>3.5</v>
      </c>
      <c r="H45" s="2077">
        <v>0.91200000000000003</v>
      </c>
      <c r="I45" s="2154">
        <f t="shared" si="13"/>
        <v>0.89489999999999992</v>
      </c>
    </row>
    <row r="46" spans="2:9">
      <c r="B46" s="1523" t="str">
        <f t="shared" ref="B46:B61" si="16">"L"&amp;C46</f>
        <v>L32</v>
      </c>
      <c r="C46" s="1519">
        <v>32</v>
      </c>
      <c r="D46" s="1519">
        <v>20</v>
      </c>
      <c r="E46" s="1519">
        <v>3</v>
      </c>
      <c r="F46" s="1519"/>
      <c r="G46" s="1519">
        <v>3.5</v>
      </c>
      <c r="H46" s="2077">
        <v>1.2245999999999999</v>
      </c>
      <c r="I46" s="2154">
        <f t="shared" si="13"/>
        <v>1.1539500000000003</v>
      </c>
    </row>
    <row r="47" spans="2:9">
      <c r="B47" s="1523" t="str">
        <f t="shared" si="16"/>
        <v>L40</v>
      </c>
      <c r="C47" s="1519">
        <v>40</v>
      </c>
      <c r="D47" s="1519">
        <v>25</v>
      </c>
      <c r="E47" s="1519">
        <v>4</v>
      </c>
      <c r="F47" s="1519"/>
      <c r="G47" s="1519">
        <v>4</v>
      </c>
      <c r="H47" s="2077">
        <v>1.9359999999999999</v>
      </c>
      <c r="I47" s="2154">
        <f t="shared" si="13"/>
        <v>1.9154</v>
      </c>
    </row>
    <row r="48" spans="2:9">
      <c r="B48" s="1523" t="str">
        <f t="shared" si="16"/>
        <v>L45</v>
      </c>
      <c r="C48" s="1519">
        <v>45</v>
      </c>
      <c r="D48" s="1519">
        <v>28</v>
      </c>
      <c r="E48" s="1519">
        <v>4</v>
      </c>
      <c r="F48" s="1519"/>
      <c r="G48" s="1519">
        <v>5</v>
      </c>
      <c r="H48" s="2077">
        <v>2.2029999999999998</v>
      </c>
      <c r="I48" s="2154">
        <f t="shared" si="13"/>
        <v>2.1666000000000003</v>
      </c>
    </row>
    <row r="49" spans="2:9">
      <c r="B49" s="1523" t="str">
        <f t="shared" si="16"/>
        <v>L50</v>
      </c>
      <c r="C49" s="1519">
        <v>50</v>
      </c>
      <c r="D49" s="1519">
        <v>32</v>
      </c>
      <c r="E49" s="1519">
        <v>4</v>
      </c>
      <c r="F49" s="1519"/>
      <c r="G49" s="1519">
        <v>5.5</v>
      </c>
      <c r="H49" s="2077">
        <v>2.4940000000000002</v>
      </c>
      <c r="I49" s="2154">
        <f t="shared" si="13"/>
        <v>2.4491999999999998</v>
      </c>
    </row>
    <row r="50" spans="2:9">
      <c r="B50" s="1523" t="str">
        <f t="shared" si="16"/>
        <v>L56</v>
      </c>
      <c r="C50" s="1519">
        <v>56</v>
      </c>
      <c r="D50" s="1519">
        <v>36</v>
      </c>
      <c r="E50" s="1519">
        <v>5</v>
      </c>
      <c r="F50" s="1519"/>
      <c r="G50" s="1519">
        <v>6</v>
      </c>
      <c r="H50" s="2077">
        <v>3.4660000000000002</v>
      </c>
      <c r="I50" s="2154">
        <f t="shared" si="13"/>
        <v>3.4147499999999997</v>
      </c>
    </row>
    <row r="51" spans="2:9">
      <c r="B51" s="1523" t="str">
        <f t="shared" si="16"/>
        <v>L63</v>
      </c>
      <c r="C51" s="1519">
        <v>63</v>
      </c>
      <c r="D51" s="1519">
        <v>40</v>
      </c>
      <c r="E51" s="1519">
        <v>6</v>
      </c>
      <c r="F51" s="1519"/>
      <c r="G51" s="1519">
        <v>7</v>
      </c>
      <c r="H51" s="2077">
        <v>4.6379999999999999</v>
      </c>
      <c r="I51" s="2154">
        <f t="shared" si="13"/>
        <v>4.5687000000000006</v>
      </c>
    </row>
    <row r="52" spans="2:9">
      <c r="B52" s="1523" t="str">
        <f t="shared" si="16"/>
        <v>L70</v>
      </c>
      <c r="C52" s="1519">
        <v>70</v>
      </c>
      <c r="D52" s="1519">
        <v>45</v>
      </c>
      <c r="E52" s="1519">
        <v>6</v>
      </c>
      <c r="F52" s="1519"/>
      <c r="G52" s="1519">
        <v>7.5</v>
      </c>
      <c r="H52" s="2077">
        <v>5.218</v>
      </c>
      <c r="I52" s="2154">
        <f t="shared" si="13"/>
        <v>5.1339000000000006</v>
      </c>
    </row>
    <row r="53" spans="2:9">
      <c r="B53" s="1523" t="str">
        <f t="shared" si="16"/>
        <v>L75</v>
      </c>
      <c r="C53" s="1519">
        <v>75</v>
      </c>
      <c r="D53" s="1519">
        <v>50</v>
      </c>
      <c r="E53" s="1519">
        <v>8</v>
      </c>
      <c r="F53" s="1519"/>
      <c r="G53" s="1519">
        <v>8</v>
      </c>
      <c r="H53" s="2077">
        <v>7.431</v>
      </c>
      <c r="I53" s="2154">
        <f t="shared" si="13"/>
        <v>7.3476000000000008</v>
      </c>
    </row>
    <row r="54" spans="2:9">
      <c r="B54" s="1523" t="str">
        <f t="shared" si="16"/>
        <v>L80</v>
      </c>
      <c r="C54" s="1519">
        <v>80</v>
      </c>
      <c r="D54" s="1519">
        <v>50</v>
      </c>
      <c r="E54" s="1519">
        <v>8</v>
      </c>
      <c r="F54" s="1519"/>
      <c r="G54" s="1519">
        <v>9</v>
      </c>
      <c r="H54" s="2077">
        <v>7.7450000000000001</v>
      </c>
      <c r="I54" s="2154">
        <f t="shared" si="13"/>
        <v>7.6616</v>
      </c>
    </row>
    <row r="55" spans="2:9">
      <c r="B55" s="1523" t="str">
        <f t="shared" si="16"/>
        <v>L90</v>
      </c>
      <c r="C55" s="1519">
        <v>90</v>
      </c>
      <c r="D55" s="1519">
        <v>56</v>
      </c>
      <c r="E55" s="1519">
        <v>8</v>
      </c>
      <c r="F55" s="1519"/>
      <c r="G55" s="1519">
        <v>9</v>
      </c>
      <c r="H55" s="2077">
        <v>8.7789999999999999</v>
      </c>
      <c r="I55" s="2154">
        <f t="shared" si="13"/>
        <v>8.6664000000000012</v>
      </c>
    </row>
    <row r="56" spans="2:9">
      <c r="B56" s="1523" t="str">
        <f t="shared" si="16"/>
        <v>L100</v>
      </c>
      <c r="C56" s="1519">
        <v>100</v>
      </c>
      <c r="D56" s="1519">
        <v>63</v>
      </c>
      <c r="E56" s="1519">
        <v>10</v>
      </c>
      <c r="F56" s="1519"/>
      <c r="G56" s="1519">
        <v>10</v>
      </c>
      <c r="H56" s="2077">
        <v>12.141999999999999</v>
      </c>
      <c r="I56" s="2154">
        <f t="shared" si="13"/>
        <v>12.0105</v>
      </c>
    </row>
    <row r="57" spans="2:9">
      <c r="B57" s="1523" t="str">
        <f t="shared" si="16"/>
        <v>L110</v>
      </c>
      <c r="C57" s="1519">
        <v>110</v>
      </c>
      <c r="D57" s="1519">
        <v>70</v>
      </c>
      <c r="E57" s="1519">
        <v>10</v>
      </c>
      <c r="F57" s="1519"/>
      <c r="G57" s="1519">
        <v>10</v>
      </c>
      <c r="H57" s="2077">
        <v>13.476000000000001</v>
      </c>
      <c r="I57" s="2154">
        <f t="shared" si="13"/>
        <v>13.345000000000001</v>
      </c>
    </row>
    <row r="58" spans="2:9">
      <c r="B58" s="1523" t="str">
        <f t="shared" si="16"/>
        <v>L125</v>
      </c>
      <c r="C58" s="1519">
        <v>125</v>
      </c>
      <c r="D58" s="1519">
        <v>80</v>
      </c>
      <c r="E58" s="1519">
        <v>12</v>
      </c>
      <c r="F58" s="1519"/>
      <c r="G58" s="1519">
        <v>11</v>
      </c>
      <c r="H58" s="2077">
        <v>18.329999999999998</v>
      </c>
      <c r="I58" s="2154">
        <f t="shared" si="13"/>
        <v>18.180599999999998</v>
      </c>
    </row>
    <row r="59" spans="2:9">
      <c r="B59" s="1523" t="str">
        <f t="shared" si="16"/>
        <v>L140</v>
      </c>
      <c r="C59" s="1519">
        <v>140</v>
      </c>
      <c r="D59" s="1519">
        <v>90</v>
      </c>
      <c r="E59" s="1519">
        <v>12</v>
      </c>
      <c r="F59" s="1519"/>
      <c r="G59" s="1519">
        <v>12</v>
      </c>
      <c r="H59" s="2077">
        <v>20.724</v>
      </c>
      <c r="I59" s="2154">
        <f t="shared" si="13"/>
        <v>20.535600000000002</v>
      </c>
    </row>
    <row r="60" spans="2:9">
      <c r="B60" s="1523" t="str">
        <f t="shared" si="16"/>
        <v>L160</v>
      </c>
      <c r="C60" s="1519">
        <v>160</v>
      </c>
      <c r="D60" s="1519">
        <v>100</v>
      </c>
      <c r="E60" s="1519">
        <v>14</v>
      </c>
      <c r="F60" s="1519"/>
      <c r="G60" s="1519">
        <v>13</v>
      </c>
      <c r="H60" s="2077">
        <v>27.247</v>
      </c>
      <c r="I60" s="2154">
        <f t="shared" si="13"/>
        <v>27.035399999999999</v>
      </c>
    </row>
    <row r="61" spans="2:9">
      <c r="B61" s="1523" t="str">
        <f t="shared" si="16"/>
        <v>L180</v>
      </c>
      <c r="C61" s="1519">
        <v>180</v>
      </c>
      <c r="D61" s="1519">
        <v>110</v>
      </c>
      <c r="E61" s="1519">
        <v>16</v>
      </c>
      <c r="F61" s="1519"/>
      <c r="G61" s="1519">
        <v>14</v>
      </c>
      <c r="H61" s="2077">
        <v>34.649000000000001</v>
      </c>
      <c r="I61" s="2154">
        <f t="shared" si="13"/>
        <v>34.414400000000008</v>
      </c>
    </row>
    <row r="62" spans="2:9">
      <c r="B62" s="1523" t="s">
        <v>3450</v>
      </c>
      <c r="C62" s="1519">
        <v>200</v>
      </c>
      <c r="D62" s="1519">
        <v>125</v>
      </c>
      <c r="E62" s="1519">
        <v>18</v>
      </c>
      <c r="F62" s="1519"/>
      <c r="G62" s="1519">
        <v>14</v>
      </c>
      <c r="H62" s="2077">
        <v>43.588000000000001</v>
      </c>
      <c r="I62" s="2154">
        <f t="shared" si="13"/>
        <v>43.379099999999994</v>
      </c>
    </row>
    <row r="63" spans="2:9" ht="15.75" thickBot="1">
      <c r="B63" s="1525" t="str">
        <f>"LX"</f>
        <v>LX</v>
      </c>
      <c r="C63" s="1765">
        <v>400</v>
      </c>
      <c r="D63" s="1765">
        <v>250</v>
      </c>
      <c r="E63" s="1765">
        <v>25</v>
      </c>
      <c r="F63" s="1765"/>
      <c r="G63" s="1765">
        <f>E63</f>
        <v>25</v>
      </c>
      <c r="H63" s="1524">
        <f>(C63+(D63-E63))/1000*E63/1000*steel_density</f>
        <v>122.65625</v>
      </c>
      <c r="I63" s="2154">
        <f t="shared" si="13"/>
        <v>122.65625</v>
      </c>
    </row>
    <row r="64" spans="2:9">
      <c r="B64" s="1521" t="str">
        <f>"u"&amp;C64</f>
        <v>u0</v>
      </c>
      <c r="C64" s="1519">
        <v>0</v>
      </c>
      <c r="D64" s="1519">
        <v>0</v>
      </c>
      <c r="E64" s="1519">
        <v>0</v>
      </c>
      <c r="F64" s="1519">
        <v>0</v>
      </c>
      <c r="G64" s="1519">
        <v>0</v>
      </c>
      <c r="H64" s="1522">
        <f t="shared" ref="H64:H76" si="17">(C64+2*D64)/1000*E64/1000*steel_density</f>
        <v>0</v>
      </c>
    </row>
    <row r="65" spans="2:9">
      <c r="B65" s="1523" t="str">
        <f>"U"&amp;C65</f>
        <v>U100</v>
      </c>
      <c r="C65" s="1519">
        <v>100</v>
      </c>
      <c r="D65" s="1519">
        <v>48</v>
      </c>
      <c r="E65" s="1519">
        <v>8.5</v>
      </c>
      <c r="F65" s="1519">
        <v>5.3</v>
      </c>
      <c r="G65" s="1519">
        <v>8.5</v>
      </c>
      <c r="H65" s="2077">
        <v>10.07</v>
      </c>
      <c r="I65" s="2154">
        <f t="shared" ref="I65:I75" si="18">(C65/1000*F65/1000+2*(D65-F65)/1000*E65/1000)*steel_density</f>
        <v>9.8588149999999999</v>
      </c>
    </row>
    <row r="66" spans="2:9">
      <c r="B66" s="1523" t="str">
        <f t="shared" ref="B66:B73" si="19">"U"&amp;C66</f>
        <v>U120</v>
      </c>
      <c r="C66" s="1519">
        <v>120</v>
      </c>
      <c r="D66" s="1519">
        <v>53</v>
      </c>
      <c r="E66" s="1519">
        <v>9</v>
      </c>
      <c r="F66" s="1519">
        <v>5.5</v>
      </c>
      <c r="G66" s="1519">
        <v>9</v>
      </c>
      <c r="H66" s="2077">
        <v>12.3</v>
      </c>
      <c r="I66" s="2154">
        <f t="shared" si="18"/>
        <v>11.892749999999999</v>
      </c>
    </row>
    <row r="67" spans="2:9">
      <c r="B67" s="1523" t="str">
        <f t="shared" si="19"/>
        <v>U140</v>
      </c>
      <c r="C67" s="1519">
        <v>140</v>
      </c>
      <c r="D67" s="1519">
        <v>60</v>
      </c>
      <c r="E67" s="1519">
        <v>9.5</v>
      </c>
      <c r="F67" s="1519">
        <v>8</v>
      </c>
      <c r="G67" s="1519">
        <v>9.5</v>
      </c>
      <c r="H67" s="2077">
        <v>16.7</v>
      </c>
      <c r="I67" s="2154">
        <f t="shared" si="18"/>
        <v>16.547800000000002</v>
      </c>
    </row>
    <row r="68" spans="2:9">
      <c r="B68" s="1523" t="str">
        <f t="shared" si="19"/>
        <v>U160</v>
      </c>
      <c r="C68" s="1519">
        <v>160</v>
      </c>
      <c r="D68" s="1519">
        <v>65</v>
      </c>
      <c r="E68" s="1519">
        <v>10</v>
      </c>
      <c r="F68" s="1519">
        <v>8.5</v>
      </c>
      <c r="G68" s="1519">
        <v>10</v>
      </c>
      <c r="H68" s="2077">
        <v>19.7</v>
      </c>
      <c r="I68" s="2154">
        <f t="shared" si="18"/>
        <v>19.546500000000002</v>
      </c>
    </row>
    <row r="69" spans="2:9">
      <c r="B69" s="1523" t="str">
        <f t="shared" si="19"/>
        <v>U180</v>
      </c>
      <c r="C69" s="1519">
        <v>180</v>
      </c>
      <c r="D69" s="1519">
        <v>70</v>
      </c>
      <c r="E69" s="1519">
        <v>10.5</v>
      </c>
      <c r="F69" s="1519">
        <v>9</v>
      </c>
      <c r="G69" s="1519">
        <v>10.5</v>
      </c>
      <c r="H69" s="2077">
        <v>23</v>
      </c>
      <c r="I69" s="2154">
        <f t="shared" si="18"/>
        <v>22.772849999999998</v>
      </c>
    </row>
    <row r="70" spans="2:9">
      <c r="B70" s="1523" t="str">
        <f t="shared" si="19"/>
        <v>U200</v>
      </c>
      <c r="C70" s="1519">
        <v>200</v>
      </c>
      <c r="D70" s="1519">
        <v>75</v>
      </c>
      <c r="E70" s="1519">
        <v>11</v>
      </c>
      <c r="F70" s="1519">
        <v>9</v>
      </c>
      <c r="G70" s="1519">
        <v>11</v>
      </c>
      <c r="H70" s="2077">
        <v>25.8</v>
      </c>
      <c r="I70" s="2154">
        <f t="shared" si="18"/>
        <v>25.528199999999998</v>
      </c>
    </row>
    <row r="71" spans="2:9">
      <c r="B71" s="1523" t="str">
        <f t="shared" si="19"/>
        <v>U250</v>
      </c>
      <c r="C71" s="1519">
        <v>250</v>
      </c>
      <c r="D71" s="1519">
        <v>80</v>
      </c>
      <c r="E71" s="1519">
        <v>12</v>
      </c>
      <c r="F71" s="1519">
        <v>9</v>
      </c>
      <c r="G71" s="1519">
        <v>12</v>
      </c>
      <c r="H71" s="2077">
        <v>31.3</v>
      </c>
      <c r="I71" s="2154">
        <f t="shared" si="18"/>
        <v>31.038899999999995</v>
      </c>
    </row>
    <row r="72" spans="2:9">
      <c r="B72" s="1523" t="str">
        <f t="shared" si="19"/>
        <v>U280</v>
      </c>
      <c r="C72" s="1519">
        <v>280</v>
      </c>
      <c r="D72" s="1519">
        <v>84</v>
      </c>
      <c r="E72" s="1519">
        <v>12.5</v>
      </c>
      <c r="F72" s="1519">
        <v>9.5</v>
      </c>
      <c r="G72" s="1519">
        <v>12.5</v>
      </c>
      <c r="H72" s="2077">
        <v>35.799999999999997</v>
      </c>
      <c r="I72" s="2154">
        <f t="shared" si="18"/>
        <v>35.501624999999997</v>
      </c>
    </row>
    <row r="73" spans="2:9">
      <c r="B73" s="1523" t="str">
        <f t="shared" si="19"/>
        <v>U320</v>
      </c>
      <c r="C73" s="1519">
        <v>320</v>
      </c>
      <c r="D73" s="1519">
        <v>90</v>
      </c>
      <c r="E73" s="1519">
        <v>14</v>
      </c>
      <c r="F73" s="1519">
        <v>10</v>
      </c>
      <c r="G73" s="1519">
        <v>14</v>
      </c>
      <c r="H73" s="2077">
        <v>43.1</v>
      </c>
      <c r="I73" s="2154">
        <f t="shared" si="18"/>
        <v>42.704000000000001</v>
      </c>
    </row>
    <row r="74" spans="2:9">
      <c r="B74" s="1523" t="str">
        <f t="shared" ref="B74" si="20">"U"&amp;C74</f>
        <v>U400</v>
      </c>
      <c r="C74" s="1519">
        <v>400</v>
      </c>
      <c r="D74" s="1519">
        <v>100</v>
      </c>
      <c r="E74" s="1519">
        <v>18</v>
      </c>
      <c r="F74" s="1519">
        <v>10.5</v>
      </c>
      <c r="G74" s="1519">
        <v>18</v>
      </c>
      <c r="H74" s="2077">
        <v>58.9</v>
      </c>
      <c r="I74" s="2154">
        <f t="shared" si="18"/>
        <v>58.262700000000002</v>
      </c>
    </row>
    <row r="75" spans="2:9">
      <c r="B75" s="1523" t="str">
        <f>"UX"</f>
        <v>UX</v>
      </c>
      <c r="C75" s="1765">
        <v>500</v>
      </c>
      <c r="D75" s="1765">
        <v>125</v>
      </c>
      <c r="E75" s="1765">
        <v>25</v>
      </c>
      <c r="F75" s="1765">
        <v>20</v>
      </c>
      <c r="G75" s="1765">
        <f>E75</f>
        <v>25</v>
      </c>
      <c r="H75" s="1524">
        <f>(C75/1000*F75/1000+2*(D75-F75)/1000*E75/1000)*steel_density</f>
        <v>119.71249999999999</v>
      </c>
      <c r="I75" s="2154">
        <f t="shared" si="18"/>
        <v>119.71249999999999</v>
      </c>
    </row>
    <row r="76" spans="2:9" ht="15.75" thickBot="1">
      <c r="B76" s="1525" t="s">
        <v>1035</v>
      </c>
      <c r="C76" s="1527"/>
      <c r="D76" s="1527"/>
      <c r="E76" s="1527"/>
      <c r="F76" s="1527"/>
      <c r="G76" s="1527"/>
      <c r="H76" s="1526">
        <f t="shared" si="17"/>
        <v>0</v>
      </c>
    </row>
    <row r="89" spans="11:25">
      <c r="K89" s="311"/>
      <c r="L89" s="312" t="s">
        <v>346</v>
      </c>
      <c r="M89" s="312" t="s">
        <v>304</v>
      </c>
      <c r="N89" s="312" t="s">
        <v>347</v>
      </c>
      <c r="O89" s="312" t="s">
        <v>348</v>
      </c>
      <c r="P89" s="312" t="s">
        <v>147</v>
      </c>
      <c r="Q89" s="312" t="s">
        <v>349</v>
      </c>
      <c r="R89" s="312" t="s">
        <v>350</v>
      </c>
      <c r="S89" s="312" t="s">
        <v>351</v>
      </c>
      <c r="T89" s="312" t="s">
        <v>352</v>
      </c>
      <c r="U89" s="312" t="s">
        <v>353</v>
      </c>
      <c r="V89" s="312" t="s">
        <v>233</v>
      </c>
      <c r="W89" s="312" t="s">
        <v>236</v>
      </c>
      <c r="X89" s="312" t="s">
        <v>354</v>
      </c>
      <c r="Y89" s="312" t="s">
        <v>355</v>
      </c>
    </row>
    <row r="90" spans="11:25">
      <c r="K90" s="313"/>
      <c r="L90" s="314" t="s">
        <v>136</v>
      </c>
      <c r="M90" s="314" t="s">
        <v>136</v>
      </c>
      <c r="N90" s="314" t="s">
        <v>136</v>
      </c>
      <c r="O90" s="314" t="s">
        <v>136</v>
      </c>
      <c r="P90" s="314" t="s">
        <v>136</v>
      </c>
      <c r="Q90" s="314" t="s">
        <v>136</v>
      </c>
      <c r="R90" s="314" t="s">
        <v>136</v>
      </c>
      <c r="S90" s="315"/>
      <c r="T90" s="314" t="s">
        <v>136</v>
      </c>
      <c r="U90" s="314" t="s">
        <v>136</v>
      </c>
      <c r="V90" s="314" t="s">
        <v>356</v>
      </c>
      <c r="W90" s="314" t="s">
        <v>357</v>
      </c>
      <c r="X90" s="314" t="s">
        <v>358</v>
      </c>
      <c r="Y90" s="314" t="s">
        <v>358</v>
      </c>
    </row>
    <row r="91" spans="11:25">
      <c r="K91" s="3987" t="s">
        <v>359</v>
      </c>
      <c r="L91" s="3988">
        <v>80</v>
      </c>
      <c r="M91" s="3988">
        <v>50</v>
      </c>
      <c r="N91" s="3988">
        <v>4</v>
      </c>
      <c r="O91" s="3988">
        <v>7</v>
      </c>
      <c r="P91" s="3988">
        <v>10</v>
      </c>
      <c r="Q91" s="3988">
        <v>66</v>
      </c>
      <c r="R91" s="3988">
        <v>46</v>
      </c>
      <c r="S91" s="3988" t="s">
        <v>251</v>
      </c>
      <c r="T91" s="3988" t="s">
        <v>251</v>
      </c>
      <c r="U91" s="3987"/>
      <c r="V91" s="3988">
        <v>10.1</v>
      </c>
      <c r="W91" s="3988">
        <v>7.9</v>
      </c>
      <c r="X91" s="3988">
        <v>0.34300000000000003</v>
      </c>
      <c r="Y91" s="3988">
        <v>43.45</v>
      </c>
    </row>
    <row r="92" spans="11:25">
      <c r="K92" s="3987"/>
      <c r="L92" s="3988"/>
      <c r="M92" s="3988"/>
      <c r="N92" s="3988"/>
      <c r="O92" s="3988"/>
      <c r="P92" s="3988"/>
      <c r="Q92" s="3988"/>
      <c r="R92" s="3988"/>
      <c r="S92" s="3988"/>
      <c r="T92" s="3988"/>
      <c r="U92" s="3987"/>
      <c r="V92" s="3988"/>
      <c r="W92" s="3988"/>
      <c r="X92" s="3988"/>
      <c r="Y92" s="3988"/>
    </row>
    <row r="93" spans="11:25">
      <c r="K93" s="315" t="s">
        <v>360</v>
      </c>
      <c r="L93" s="316">
        <v>100</v>
      </c>
      <c r="M93" s="316">
        <v>55</v>
      </c>
      <c r="N93" s="316">
        <v>4.5</v>
      </c>
      <c r="O93" s="316">
        <v>7.5</v>
      </c>
      <c r="P93" s="316">
        <v>10</v>
      </c>
      <c r="Q93" s="316">
        <v>85</v>
      </c>
      <c r="R93" s="316">
        <v>65</v>
      </c>
      <c r="S93" s="316" t="s">
        <v>247</v>
      </c>
      <c r="T93" s="316">
        <v>35</v>
      </c>
      <c r="U93" s="316">
        <v>36</v>
      </c>
      <c r="V93" s="316">
        <v>12.5</v>
      </c>
      <c r="W93" s="316">
        <v>9.82</v>
      </c>
      <c r="X93" s="316">
        <v>0.40200000000000002</v>
      </c>
      <c r="Y93" s="316">
        <v>41</v>
      </c>
    </row>
    <row r="94" spans="11:25">
      <c r="K94" s="317" t="s">
        <v>361</v>
      </c>
      <c r="L94" s="318">
        <v>120</v>
      </c>
      <c r="M94" s="318">
        <v>60</v>
      </c>
      <c r="N94" s="318">
        <v>5</v>
      </c>
      <c r="O94" s="318">
        <v>8</v>
      </c>
      <c r="P94" s="318">
        <v>12</v>
      </c>
      <c r="Q94" s="318">
        <v>104</v>
      </c>
      <c r="R94" s="318">
        <v>80</v>
      </c>
      <c r="S94" s="318" t="s">
        <v>247</v>
      </c>
      <c r="T94" s="318">
        <v>35</v>
      </c>
      <c r="U94" s="318">
        <v>41</v>
      </c>
      <c r="V94" s="318">
        <v>15.4</v>
      </c>
      <c r="W94" s="318">
        <v>12.1</v>
      </c>
      <c r="X94" s="318">
        <v>0.46</v>
      </c>
      <c r="Y94" s="318">
        <v>37.979999999999997</v>
      </c>
    </row>
    <row r="95" spans="11:25">
      <c r="K95" s="315" t="s">
        <v>362</v>
      </c>
      <c r="L95" s="316">
        <v>140</v>
      </c>
      <c r="M95" s="316">
        <v>65</v>
      </c>
      <c r="N95" s="316">
        <v>5</v>
      </c>
      <c r="O95" s="316">
        <v>9</v>
      </c>
      <c r="P95" s="316">
        <v>12</v>
      </c>
      <c r="Q95" s="316">
        <v>122</v>
      </c>
      <c r="R95" s="316">
        <v>98</v>
      </c>
      <c r="S95" s="316" t="s">
        <v>248</v>
      </c>
      <c r="T95" s="316">
        <v>35</v>
      </c>
      <c r="U95" s="316">
        <v>38</v>
      </c>
      <c r="V95" s="316">
        <v>18.399999999999999</v>
      </c>
      <c r="W95" s="316">
        <v>14.5</v>
      </c>
      <c r="X95" s="316">
        <v>0.52</v>
      </c>
      <c r="Y95" s="316">
        <v>35.950000000000003</v>
      </c>
    </row>
    <row r="96" spans="11:25">
      <c r="K96" s="317" t="s">
        <v>363</v>
      </c>
      <c r="L96" s="318">
        <v>160</v>
      </c>
      <c r="M96" s="318">
        <v>70</v>
      </c>
      <c r="N96" s="318">
        <v>5.5</v>
      </c>
      <c r="O96" s="318">
        <v>9.5</v>
      </c>
      <c r="P96" s="318">
        <v>12</v>
      </c>
      <c r="Q96" s="318">
        <v>141</v>
      </c>
      <c r="R96" s="318">
        <v>117</v>
      </c>
      <c r="S96" s="318" t="s">
        <v>248</v>
      </c>
      <c r="T96" s="318">
        <v>36</v>
      </c>
      <c r="U96" s="318">
        <v>43</v>
      </c>
      <c r="V96" s="318">
        <v>21.7</v>
      </c>
      <c r="W96" s="318">
        <v>17</v>
      </c>
      <c r="X96" s="318">
        <v>0.57899999999999996</v>
      </c>
      <c r="Y96" s="318">
        <v>34.01</v>
      </c>
    </row>
    <row r="97" spans="11:25">
      <c r="K97" s="315" t="s">
        <v>364</v>
      </c>
      <c r="L97" s="316">
        <v>180</v>
      </c>
      <c r="M97" s="316">
        <v>75</v>
      </c>
      <c r="N97" s="316">
        <v>5.5</v>
      </c>
      <c r="O97" s="316">
        <v>10.5</v>
      </c>
      <c r="P97" s="316">
        <v>12</v>
      </c>
      <c r="Q97" s="316">
        <v>159</v>
      </c>
      <c r="R97" s="316">
        <v>135</v>
      </c>
      <c r="S97" s="316" t="s">
        <v>248</v>
      </c>
      <c r="T97" s="316">
        <v>36</v>
      </c>
      <c r="U97" s="316">
        <v>48</v>
      </c>
      <c r="V97" s="316">
        <v>25.1</v>
      </c>
      <c r="W97" s="316">
        <v>19.7</v>
      </c>
      <c r="X97" s="316">
        <v>0.63900000000000001</v>
      </c>
      <c r="Y97" s="316">
        <v>32.4</v>
      </c>
    </row>
    <row r="98" spans="11:25">
      <c r="K98" s="317" t="s">
        <v>365</v>
      </c>
      <c r="L98" s="318">
        <v>200</v>
      </c>
      <c r="M98" s="318">
        <v>80</v>
      </c>
      <c r="N98" s="318">
        <v>6</v>
      </c>
      <c r="O98" s="318">
        <v>11</v>
      </c>
      <c r="P98" s="318">
        <v>13</v>
      </c>
      <c r="Q98" s="318">
        <v>178</v>
      </c>
      <c r="R98" s="318">
        <v>152</v>
      </c>
      <c r="S98" s="318" t="s">
        <v>249</v>
      </c>
      <c r="T98" s="318">
        <v>46</v>
      </c>
      <c r="U98" s="318">
        <v>47</v>
      </c>
      <c r="V98" s="318">
        <v>29</v>
      </c>
      <c r="W98" s="318">
        <v>22.8</v>
      </c>
      <c r="X98" s="318">
        <v>0.69699999999999995</v>
      </c>
      <c r="Y98" s="318">
        <v>30.6</v>
      </c>
    </row>
    <row r="99" spans="11:25">
      <c r="K99" s="315" t="s">
        <v>366</v>
      </c>
      <c r="L99" s="316">
        <v>220</v>
      </c>
      <c r="M99" s="316">
        <v>85</v>
      </c>
      <c r="N99" s="316">
        <v>6.5</v>
      </c>
      <c r="O99" s="316">
        <v>12</v>
      </c>
      <c r="P99" s="316">
        <v>13</v>
      </c>
      <c r="Q99" s="316">
        <v>196</v>
      </c>
      <c r="R99" s="316">
        <v>170</v>
      </c>
      <c r="S99" s="316" t="s">
        <v>367</v>
      </c>
      <c r="T99" s="316">
        <v>47</v>
      </c>
      <c r="U99" s="316">
        <v>49</v>
      </c>
      <c r="V99" s="316">
        <v>33.9</v>
      </c>
      <c r="W99" s="316">
        <v>26.6</v>
      </c>
      <c r="X99" s="316">
        <v>0.75600000000000001</v>
      </c>
      <c r="Y99" s="316">
        <v>28.43</v>
      </c>
    </row>
    <row r="100" spans="11:25">
      <c r="K100" s="317" t="s">
        <v>368</v>
      </c>
      <c r="L100" s="318">
        <v>240</v>
      </c>
      <c r="M100" s="318">
        <v>90</v>
      </c>
      <c r="N100" s="318">
        <v>7</v>
      </c>
      <c r="O100" s="318">
        <v>12.5</v>
      </c>
      <c r="P100" s="318">
        <v>15</v>
      </c>
      <c r="Q100" s="318">
        <v>215</v>
      </c>
      <c r="R100" s="318">
        <v>185</v>
      </c>
      <c r="S100" s="318" t="s">
        <v>250</v>
      </c>
      <c r="T100" s="318">
        <v>47</v>
      </c>
      <c r="U100" s="318">
        <v>51</v>
      </c>
      <c r="V100" s="318">
        <v>38.5</v>
      </c>
      <c r="W100" s="318">
        <v>30.2</v>
      </c>
      <c r="X100" s="318">
        <v>0.81299999999999994</v>
      </c>
      <c r="Y100" s="318">
        <v>26.89</v>
      </c>
    </row>
    <row r="101" spans="11:25">
      <c r="K101" s="315" t="s">
        <v>369</v>
      </c>
      <c r="L101" s="316">
        <v>270</v>
      </c>
      <c r="M101" s="316">
        <v>95</v>
      </c>
      <c r="N101" s="316">
        <v>7.5</v>
      </c>
      <c r="O101" s="316">
        <v>13.5</v>
      </c>
      <c r="P101" s="316">
        <v>15</v>
      </c>
      <c r="Q101" s="316">
        <v>243</v>
      </c>
      <c r="R101" s="316">
        <v>213</v>
      </c>
      <c r="S101" s="316" t="s">
        <v>370</v>
      </c>
      <c r="T101" s="316">
        <v>48</v>
      </c>
      <c r="U101" s="316">
        <v>50</v>
      </c>
      <c r="V101" s="316">
        <v>44.8</v>
      </c>
      <c r="W101" s="316">
        <v>35.200000000000003</v>
      </c>
      <c r="X101" s="316">
        <v>0.89200000000000002</v>
      </c>
      <c r="Y101" s="316">
        <v>25.34</v>
      </c>
    </row>
    <row r="102" spans="11:25">
      <c r="K102" s="317" t="s">
        <v>371</v>
      </c>
      <c r="L102" s="318">
        <v>300</v>
      </c>
      <c r="M102" s="318">
        <v>100</v>
      </c>
      <c r="N102" s="318">
        <v>9.5</v>
      </c>
      <c r="O102" s="318">
        <v>15</v>
      </c>
      <c r="P102" s="318">
        <v>15</v>
      </c>
      <c r="Q102" s="318">
        <v>270</v>
      </c>
      <c r="R102" s="318">
        <v>240</v>
      </c>
      <c r="S102" s="318" t="s">
        <v>370</v>
      </c>
      <c r="T102" s="318">
        <v>50</v>
      </c>
      <c r="U102" s="318">
        <v>55</v>
      </c>
      <c r="V102" s="318">
        <v>56.6</v>
      </c>
      <c r="W102" s="318">
        <v>44.4</v>
      </c>
      <c r="X102" s="318">
        <v>0.96799999999999997</v>
      </c>
      <c r="Y102" s="318">
        <v>21.78</v>
      </c>
    </row>
    <row r="103" spans="11:25">
      <c r="K103" s="315" t="s">
        <v>372</v>
      </c>
      <c r="L103" s="316">
        <v>330</v>
      </c>
      <c r="M103" s="316">
        <v>105</v>
      </c>
      <c r="N103" s="316">
        <v>11</v>
      </c>
      <c r="O103" s="316">
        <v>16</v>
      </c>
      <c r="P103" s="316">
        <v>18</v>
      </c>
      <c r="Q103" s="316">
        <v>298</v>
      </c>
      <c r="R103" s="316">
        <v>262</v>
      </c>
      <c r="S103" s="316" t="s">
        <v>370</v>
      </c>
      <c r="T103" s="316">
        <v>54</v>
      </c>
      <c r="U103" s="316">
        <v>60</v>
      </c>
      <c r="V103" s="316">
        <v>67.8</v>
      </c>
      <c r="W103" s="316">
        <v>53.2</v>
      </c>
      <c r="X103" s="316">
        <v>1.0429999999999999</v>
      </c>
      <c r="Y103" s="316">
        <v>19.600000000000001</v>
      </c>
    </row>
    <row r="104" spans="11:25">
      <c r="K104" s="317" t="s">
        <v>373</v>
      </c>
      <c r="L104" s="318">
        <v>360</v>
      </c>
      <c r="M104" s="318">
        <v>110</v>
      </c>
      <c r="N104" s="318">
        <v>12</v>
      </c>
      <c r="O104" s="318">
        <v>17</v>
      </c>
      <c r="P104" s="318">
        <v>18</v>
      </c>
      <c r="Q104" s="318">
        <v>326</v>
      </c>
      <c r="R104" s="318">
        <v>290</v>
      </c>
      <c r="S104" s="318" t="s">
        <v>370</v>
      </c>
      <c r="T104" s="318">
        <v>55</v>
      </c>
      <c r="U104" s="318">
        <v>65</v>
      </c>
      <c r="V104" s="318">
        <v>77.900000000000006</v>
      </c>
      <c r="W104" s="318">
        <v>61.2</v>
      </c>
      <c r="X104" s="318">
        <v>1.121</v>
      </c>
      <c r="Y104" s="318">
        <v>18.32</v>
      </c>
    </row>
    <row r="105" spans="11:25">
      <c r="K105" s="315" t="s">
        <v>374</v>
      </c>
      <c r="L105" s="316">
        <v>400</v>
      </c>
      <c r="M105" s="316">
        <v>115</v>
      </c>
      <c r="N105" s="316">
        <v>13.5</v>
      </c>
      <c r="O105" s="316">
        <v>18</v>
      </c>
      <c r="P105" s="316">
        <v>18</v>
      </c>
      <c r="Q105" s="316">
        <v>364</v>
      </c>
      <c r="R105" s="316">
        <v>328</v>
      </c>
      <c r="S105" s="316" t="s">
        <v>370</v>
      </c>
      <c r="T105" s="316">
        <v>57</v>
      </c>
      <c r="U105" s="316">
        <v>70</v>
      </c>
      <c r="V105" s="316">
        <v>91.9</v>
      </c>
      <c r="W105" s="316">
        <v>72.2</v>
      </c>
      <c r="X105" s="316">
        <v>1.218</v>
      </c>
      <c r="Y105" s="316">
        <v>16.87</v>
      </c>
    </row>
    <row r="108" spans="11:25" ht="22.5">
      <c r="K108" s="3989" t="s">
        <v>375</v>
      </c>
      <c r="L108" s="3989"/>
      <c r="M108" s="3989"/>
      <c r="N108" s="3989"/>
      <c r="O108" s="3989"/>
      <c r="P108" s="3989" t="s">
        <v>376</v>
      </c>
      <c r="Q108" s="3989"/>
      <c r="R108" s="3989"/>
      <c r="S108" s="314" t="s">
        <v>377</v>
      </c>
      <c r="T108" s="314" t="s">
        <v>378</v>
      </c>
    </row>
    <row r="109" spans="11:25">
      <c r="K109" s="3990" t="s">
        <v>136</v>
      </c>
      <c r="L109" s="3990"/>
      <c r="M109" s="3990"/>
      <c r="N109" s="3990"/>
      <c r="O109" s="3990"/>
      <c r="P109" s="3990" t="s">
        <v>379</v>
      </c>
      <c r="Q109" s="3990" t="s">
        <v>380</v>
      </c>
      <c r="R109" s="3990" t="s">
        <v>381</v>
      </c>
      <c r="S109" s="3990" t="s">
        <v>233</v>
      </c>
      <c r="T109" s="3987"/>
    </row>
    <row r="110" spans="11:25">
      <c r="K110" s="3990"/>
      <c r="L110" s="3990"/>
      <c r="M110" s="3990"/>
      <c r="N110" s="3990"/>
      <c r="O110" s="3990"/>
      <c r="P110" s="3990"/>
      <c r="Q110" s="3990"/>
      <c r="R110" s="3990"/>
      <c r="S110" s="3990"/>
      <c r="T110" s="3987"/>
    </row>
    <row r="111" spans="11:25">
      <c r="K111" s="319" t="s">
        <v>382</v>
      </c>
      <c r="L111" s="314" t="s">
        <v>348</v>
      </c>
      <c r="M111" s="314" t="s">
        <v>282</v>
      </c>
      <c r="N111" s="314" t="s">
        <v>283</v>
      </c>
      <c r="O111" s="314" t="s">
        <v>350</v>
      </c>
      <c r="P111" s="314" t="s">
        <v>383</v>
      </c>
      <c r="Q111" s="314" t="s">
        <v>384</v>
      </c>
      <c r="R111" s="314" t="s">
        <v>385</v>
      </c>
      <c r="S111" s="314" t="s">
        <v>356</v>
      </c>
      <c r="T111" s="314" t="s">
        <v>357</v>
      </c>
    </row>
    <row r="112" spans="11:25">
      <c r="K112" s="317">
        <v>15</v>
      </c>
      <c r="L112" s="318">
        <v>3</v>
      </c>
      <c r="M112" s="318">
        <v>3.5</v>
      </c>
      <c r="N112" s="318">
        <v>2</v>
      </c>
      <c r="O112" s="318" t="s">
        <v>386</v>
      </c>
      <c r="P112" s="318">
        <v>0.15</v>
      </c>
      <c r="Q112" s="318">
        <v>0.15</v>
      </c>
      <c r="R112" s="318">
        <v>0.43</v>
      </c>
      <c r="S112" s="318">
        <v>0.82</v>
      </c>
      <c r="T112" s="318">
        <v>0.64</v>
      </c>
    </row>
    <row r="113" spans="11:20">
      <c r="K113" s="315">
        <v>20</v>
      </c>
      <c r="L113" s="316">
        <v>3</v>
      </c>
      <c r="M113" s="316">
        <v>3.5</v>
      </c>
      <c r="N113" s="316">
        <v>2</v>
      </c>
      <c r="O113" s="316">
        <v>0.6</v>
      </c>
      <c r="P113" s="316">
        <v>0.4</v>
      </c>
      <c r="Q113" s="316">
        <v>0.28000000000000003</v>
      </c>
      <c r="R113" s="316">
        <v>0.59</v>
      </c>
      <c r="S113" s="316">
        <v>1.1100000000000001</v>
      </c>
      <c r="T113" s="316">
        <v>0.88</v>
      </c>
    </row>
    <row r="114" spans="11:20">
      <c r="K114" s="317">
        <v>25</v>
      </c>
      <c r="L114" s="318">
        <v>3</v>
      </c>
      <c r="M114" s="318">
        <v>3.5</v>
      </c>
      <c r="N114" s="318">
        <v>2</v>
      </c>
      <c r="O114" s="318">
        <v>0.7</v>
      </c>
      <c r="P114" s="318">
        <v>0.79</v>
      </c>
      <c r="Q114" s="318">
        <v>0.45</v>
      </c>
      <c r="R114" s="318">
        <v>0.75</v>
      </c>
      <c r="S114" s="318">
        <v>1.41</v>
      </c>
      <c r="T114" s="318">
        <v>1.1100000000000001</v>
      </c>
    </row>
    <row r="115" spans="11:20">
      <c r="K115" s="315">
        <v>25</v>
      </c>
      <c r="L115" s="316">
        <v>4</v>
      </c>
      <c r="M115" s="316">
        <v>3.5</v>
      </c>
      <c r="N115" s="316">
        <v>2</v>
      </c>
      <c r="O115" s="316">
        <v>0.8</v>
      </c>
      <c r="P115" s="316">
        <v>1.01</v>
      </c>
      <c r="Q115" s="316">
        <v>0.57999999999999996</v>
      </c>
      <c r="R115" s="316">
        <v>0.74</v>
      </c>
      <c r="S115" s="316">
        <v>1.84</v>
      </c>
      <c r="T115" s="316">
        <v>1.45</v>
      </c>
    </row>
    <row r="116" spans="11:20">
      <c r="K116" s="317">
        <v>25</v>
      </c>
      <c r="L116" s="318">
        <v>5</v>
      </c>
      <c r="M116" s="318">
        <v>3.5</v>
      </c>
      <c r="N116" s="318">
        <v>2</v>
      </c>
      <c r="O116" s="318">
        <v>0.8</v>
      </c>
      <c r="P116" s="318">
        <v>1.2</v>
      </c>
      <c r="Q116" s="318">
        <v>0.71</v>
      </c>
      <c r="R116" s="318">
        <v>0.75</v>
      </c>
      <c r="S116" s="318">
        <v>2.27</v>
      </c>
      <c r="T116" s="318">
        <v>1.78</v>
      </c>
    </row>
    <row r="117" spans="11:20">
      <c r="K117" s="315">
        <v>30</v>
      </c>
      <c r="L117" s="316">
        <v>3</v>
      </c>
      <c r="M117" s="316">
        <v>5</v>
      </c>
      <c r="N117" s="316">
        <v>2.5</v>
      </c>
      <c r="O117" s="316">
        <v>0.8</v>
      </c>
      <c r="P117" s="316">
        <v>1.41</v>
      </c>
      <c r="Q117" s="316">
        <v>0.65</v>
      </c>
      <c r="R117" s="316">
        <v>0.9</v>
      </c>
      <c r="S117" s="316">
        <v>1.73</v>
      </c>
      <c r="T117" s="316">
        <v>1.36</v>
      </c>
    </row>
    <row r="118" spans="11:20">
      <c r="K118" s="317">
        <v>30</v>
      </c>
      <c r="L118" s="318">
        <v>4</v>
      </c>
      <c r="M118" s="318">
        <v>5</v>
      </c>
      <c r="N118" s="318">
        <v>2.5</v>
      </c>
      <c r="O118" s="318">
        <v>0.9</v>
      </c>
      <c r="P118" s="318">
        <v>1.81</v>
      </c>
      <c r="Q118" s="318">
        <v>0.85</v>
      </c>
      <c r="R118" s="318">
        <v>0.89</v>
      </c>
      <c r="S118" s="318">
        <v>2.2599999999999998</v>
      </c>
      <c r="T118" s="318">
        <v>1.78</v>
      </c>
    </row>
    <row r="119" spans="11:20">
      <c r="K119" s="315">
        <v>30</v>
      </c>
      <c r="L119" s="316">
        <v>5</v>
      </c>
      <c r="M119" s="316">
        <v>5</v>
      </c>
      <c r="N119" s="316">
        <v>2.5</v>
      </c>
      <c r="O119" s="316">
        <v>0.9</v>
      </c>
      <c r="P119" s="316">
        <v>2.16</v>
      </c>
      <c r="Q119" s="316">
        <v>1.04</v>
      </c>
      <c r="R119" s="316">
        <v>0.88</v>
      </c>
      <c r="S119" s="316">
        <v>2.78</v>
      </c>
      <c r="T119" s="316">
        <v>2.1800000000000002</v>
      </c>
    </row>
    <row r="120" spans="11:20">
      <c r="K120" s="317">
        <v>35</v>
      </c>
      <c r="L120" s="318">
        <v>3</v>
      </c>
      <c r="M120" s="318">
        <v>5</v>
      </c>
      <c r="N120" s="318">
        <v>2.5</v>
      </c>
      <c r="O120" s="318">
        <v>1</v>
      </c>
      <c r="P120" s="318">
        <v>2.2999999999999998</v>
      </c>
      <c r="Q120" s="318">
        <v>0.9</v>
      </c>
      <c r="R120" s="318">
        <v>1.06</v>
      </c>
      <c r="S120" s="318">
        <v>2.0299999999999998</v>
      </c>
      <c r="T120" s="318">
        <v>1.6</v>
      </c>
    </row>
    <row r="121" spans="11:20">
      <c r="K121" s="315">
        <v>35</v>
      </c>
      <c r="L121" s="316">
        <v>3.5</v>
      </c>
      <c r="M121" s="316">
        <v>5</v>
      </c>
      <c r="N121" s="316">
        <v>2.5</v>
      </c>
      <c r="O121" s="316">
        <v>1</v>
      </c>
      <c r="P121" s="316" t="s">
        <v>386</v>
      </c>
      <c r="Q121" s="316">
        <v>1.05</v>
      </c>
      <c r="R121" s="316">
        <v>1.05</v>
      </c>
      <c r="S121" s="316">
        <v>2.35</v>
      </c>
      <c r="T121" s="316">
        <v>1.85</v>
      </c>
    </row>
    <row r="122" spans="11:20">
      <c r="K122" s="317">
        <v>35</v>
      </c>
      <c r="L122" s="318">
        <v>4</v>
      </c>
      <c r="M122" s="318">
        <v>5</v>
      </c>
      <c r="N122" s="318">
        <v>2.5</v>
      </c>
      <c r="O122" s="318">
        <v>1</v>
      </c>
      <c r="P122" s="318">
        <v>2.96</v>
      </c>
      <c r="Q122" s="318">
        <v>1.18</v>
      </c>
      <c r="R122" s="318">
        <v>1.05</v>
      </c>
      <c r="S122" s="318">
        <v>2.66</v>
      </c>
      <c r="T122" s="318">
        <v>2.09</v>
      </c>
    </row>
    <row r="123" spans="11:20">
      <c r="K123" s="315">
        <v>35</v>
      </c>
      <c r="L123" s="316">
        <v>5</v>
      </c>
      <c r="M123" s="316">
        <v>5</v>
      </c>
      <c r="N123" s="316">
        <v>2.5</v>
      </c>
      <c r="O123" s="316">
        <v>1</v>
      </c>
      <c r="P123" s="316">
        <v>3.56</v>
      </c>
      <c r="Q123" s="316">
        <v>1.45</v>
      </c>
      <c r="R123" s="316">
        <v>1.04</v>
      </c>
      <c r="S123" s="316">
        <v>3.28</v>
      </c>
      <c r="T123" s="316">
        <v>2.57</v>
      </c>
    </row>
    <row r="124" spans="11:20">
      <c r="K124" s="317">
        <v>40</v>
      </c>
      <c r="L124" s="318">
        <v>3</v>
      </c>
      <c r="M124" s="318">
        <v>6</v>
      </c>
      <c r="N124" s="318">
        <v>3</v>
      </c>
      <c r="O124" s="318">
        <v>1.1000000000000001</v>
      </c>
      <c r="P124" s="318">
        <v>3.46</v>
      </c>
      <c r="Q124" s="318">
        <v>1.18</v>
      </c>
      <c r="R124" s="318">
        <v>1.21</v>
      </c>
      <c r="S124" s="318">
        <v>2.34</v>
      </c>
      <c r="T124" s="318">
        <v>1.84</v>
      </c>
    </row>
    <row r="125" spans="11:20">
      <c r="K125" s="315">
        <v>40</v>
      </c>
      <c r="L125" s="316">
        <v>4</v>
      </c>
      <c r="M125" s="316">
        <v>6</v>
      </c>
      <c r="N125" s="316">
        <v>3</v>
      </c>
      <c r="O125" s="316">
        <v>1.1000000000000001</v>
      </c>
      <c r="P125" s="316">
        <v>4.49</v>
      </c>
      <c r="Q125" s="316">
        <v>1.55</v>
      </c>
      <c r="R125" s="316">
        <v>1.2</v>
      </c>
      <c r="S125" s="316">
        <v>3.07</v>
      </c>
      <c r="T125" s="316">
        <v>2.42</v>
      </c>
    </row>
    <row r="126" spans="11:20">
      <c r="K126" s="317">
        <v>40</v>
      </c>
      <c r="L126" s="318">
        <v>5</v>
      </c>
      <c r="M126" s="318">
        <v>6</v>
      </c>
      <c r="N126" s="318">
        <v>3</v>
      </c>
      <c r="O126" s="318">
        <v>1.2</v>
      </c>
      <c r="P126" s="318">
        <v>5.45</v>
      </c>
      <c r="Q126" s="318">
        <v>1.91</v>
      </c>
      <c r="R126" s="318">
        <v>1.19</v>
      </c>
      <c r="S126" s="318">
        <v>3.78</v>
      </c>
      <c r="T126" s="318">
        <v>2.97</v>
      </c>
    </row>
    <row r="127" spans="11:20">
      <c r="K127" s="315">
        <v>40</v>
      </c>
      <c r="L127" s="316">
        <v>6</v>
      </c>
      <c r="M127" s="316">
        <v>6</v>
      </c>
      <c r="N127" s="316">
        <v>3</v>
      </c>
      <c r="O127" s="316">
        <v>1.2</v>
      </c>
      <c r="P127" s="316">
        <v>6.31</v>
      </c>
      <c r="Q127" s="316">
        <v>2.2599999999999998</v>
      </c>
      <c r="R127" s="316">
        <v>1.19</v>
      </c>
      <c r="S127" s="316">
        <v>4.4800000000000004</v>
      </c>
      <c r="T127" s="316">
        <v>3.52</v>
      </c>
    </row>
    <row r="128" spans="11:20">
      <c r="K128" s="317">
        <v>45</v>
      </c>
      <c r="L128" s="318">
        <v>3</v>
      </c>
      <c r="M128" s="318">
        <v>7</v>
      </c>
      <c r="N128" s="318">
        <v>3.5</v>
      </c>
      <c r="O128" s="318">
        <v>1.2</v>
      </c>
      <c r="P128" s="318">
        <v>4.96</v>
      </c>
      <c r="Q128" s="318">
        <v>1.49</v>
      </c>
      <c r="R128" s="318">
        <v>1.36</v>
      </c>
      <c r="S128" s="318">
        <v>2.66</v>
      </c>
      <c r="T128" s="318">
        <v>2.09</v>
      </c>
    </row>
    <row r="129" spans="11:20">
      <c r="K129" s="315">
        <v>45</v>
      </c>
      <c r="L129" s="316">
        <v>4</v>
      </c>
      <c r="M129" s="316">
        <v>7</v>
      </c>
      <c r="N129" s="316">
        <v>3.5</v>
      </c>
      <c r="O129" s="316">
        <v>1.2</v>
      </c>
      <c r="P129" s="316">
        <v>6.47</v>
      </c>
      <c r="Q129" s="316">
        <v>1.97</v>
      </c>
      <c r="R129" s="316">
        <v>1.36</v>
      </c>
      <c r="S129" s="316">
        <v>3.49</v>
      </c>
      <c r="T129" s="316">
        <v>2.75</v>
      </c>
    </row>
    <row r="130" spans="11:20">
      <c r="K130" s="317">
        <v>45</v>
      </c>
      <c r="L130" s="318">
        <v>4.5</v>
      </c>
      <c r="M130" s="318">
        <v>7</v>
      </c>
      <c r="N130" s="318">
        <v>3.5</v>
      </c>
      <c r="O130" s="318">
        <v>1.3</v>
      </c>
      <c r="P130" s="318">
        <v>7.17</v>
      </c>
      <c r="Q130" s="318">
        <v>2.21</v>
      </c>
      <c r="R130" s="318">
        <v>1.36</v>
      </c>
      <c r="S130" s="318">
        <v>3.89</v>
      </c>
      <c r="T130" s="318">
        <v>3.06</v>
      </c>
    </row>
    <row r="131" spans="11:20">
      <c r="K131" s="315">
        <v>45</v>
      </c>
      <c r="L131" s="316">
        <v>5</v>
      </c>
      <c r="M131" s="316">
        <v>7</v>
      </c>
      <c r="N131" s="316">
        <v>3.5</v>
      </c>
      <c r="O131" s="316">
        <v>1.3</v>
      </c>
      <c r="P131" s="316">
        <v>7.88</v>
      </c>
      <c r="Q131" s="316">
        <v>2.44</v>
      </c>
      <c r="R131" s="316">
        <v>1.35</v>
      </c>
      <c r="S131" s="316">
        <v>4.3</v>
      </c>
      <c r="T131" s="316">
        <v>3.39</v>
      </c>
    </row>
    <row r="132" spans="11:20">
      <c r="K132" s="317">
        <v>45</v>
      </c>
      <c r="L132" s="318">
        <v>6</v>
      </c>
      <c r="M132" s="318">
        <v>7</v>
      </c>
      <c r="N132" s="318">
        <v>3.5</v>
      </c>
      <c r="O132" s="318">
        <v>1.3</v>
      </c>
      <c r="P132" s="318">
        <v>9.16</v>
      </c>
      <c r="Q132" s="318">
        <v>2.88</v>
      </c>
      <c r="R132" s="318">
        <v>1.34</v>
      </c>
      <c r="S132" s="318">
        <v>5.09</v>
      </c>
      <c r="T132" s="318">
        <v>4</v>
      </c>
    </row>
    <row r="133" spans="11:20">
      <c r="K133" s="315">
        <v>45</v>
      </c>
      <c r="L133" s="316">
        <v>7</v>
      </c>
      <c r="M133" s="316">
        <v>7</v>
      </c>
      <c r="N133" s="316">
        <v>3.5</v>
      </c>
      <c r="O133" s="316" t="s">
        <v>386</v>
      </c>
      <c r="P133" s="316">
        <v>10.7</v>
      </c>
      <c r="Q133" s="316">
        <v>3.31</v>
      </c>
      <c r="R133" s="316">
        <v>1.33</v>
      </c>
      <c r="S133" s="316">
        <v>5.86</v>
      </c>
      <c r="T133" s="316">
        <v>4.5999999999999996</v>
      </c>
    </row>
    <row r="134" spans="11:20">
      <c r="K134" s="317">
        <v>50</v>
      </c>
      <c r="L134" s="318">
        <v>3</v>
      </c>
      <c r="M134" s="318">
        <v>7</v>
      </c>
      <c r="N134" s="318">
        <v>3.5</v>
      </c>
      <c r="O134" s="318">
        <v>1.3</v>
      </c>
      <c r="P134" s="318">
        <v>6.86</v>
      </c>
      <c r="Q134" s="318">
        <v>1.86</v>
      </c>
      <c r="R134" s="318">
        <v>1.52</v>
      </c>
      <c r="S134" s="318">
        <v>2.96</v>
      </c>
      <c r="T134" s="318">
        <v>2.33</v>
      </c>
    </row>
    <row r="135" spans="11:20">
      <c r="K135" s="315">
        <v>50</v>
      </c>
      <c r="L135" s="316">
        <v>4</v>
      </c>
      <c r="M135" s="316">
        <v>7</v>
      </c>
      <c r="N135" s="316">
        <v>3.5</v>
      </c>
      <c r="O135" s="316">
        <v>1.4</v>
      </c>
      <c r="P135" s="316">
        <v>9.01</v>
      </c>
      <c r="Q135" s="316">
        <v>2.4700000000000002</v>
      </c>
      <c r="R135" s="316">
        <v>1.52</v>
      </c>
      <c r="S135" s="316">
        <v>3.89</v>
      </c>
      <c r="T135" s="316">
        <v>3.07</v>
      </c>
    </row>
    <row r="136" spans="11:20">
      <c r="K136" s="317">
        <v>50</v>
      </c>
      <c r="L136" s="318">
        <v>5</v>
      </c>
      <c r="M136" s="318">
        <v>7</v>
      </c>
      <c r="N136" s="318">
        <v>3.5</v>
      </c>
      <c r="O136" s="318">
        <v>1.4</v>
      </c>
      <c r="P136" s="318">
        <v>11</v>
      </c>
      <c r="Q136" s="318">
        <v>3.05</v>
      </c>
      <c r="R136" s="318">
        <v>1.51</v>
      </c>
      <c r="S136" s="318">
        <v>4.8</v>
      </c>
      <c r="T136" s="318">
        <v>3.77</v>
      </c>
    </row>
    <row r="137" spans="11:20">
      <c r="K137" s="315">
        <v>50</v>
      </c>
      <c r="L137" s="316">
        <v>6</v>
      </c>
      <c r="M137" s="316">
        <v>7</v>
      </c>
      <c r="N137" s="316">
        <v>3.5</v>
      </c>
      <c r="O137" s="316">
        <v>1.4</v>
      </c>
      <c r="P137" s="316">
        <v>12.9</v>
      </c>
      <c r="Q137" s="316">
        <v>3.62</v>
      </c>
      <c r="R137" s="316">
        <v>1.5</v>
      </c>
      <c r="S137" s="316">
        <v>5.69</v>
      </c>
      <c r="T137" s="316">
        <v>4.47</v>
      </c>
    </row>
    <row r="138" spans="11:20">
      <c r="K138" s="317">
        <v>50</v>
      </c>
      <c r="L138" s="318">
        <v>7</v>
      </c>
      <c r="M138" s="318">
        <v>7</v>
      </c>
      <c r="N138" s="318">
        <v>3.5</v>
      </c>
      <c r="O138" s="318">
        <v>1.5</v>
      </c>
      <c r="P138" s="318">
        <v>14.6</v>
      </c>
      <c r="Q138" s="318">
        <v>4.1500000000000004</v>
      </c>
      <c r="R138" s="318">
        <v>1.49</v>
      </c>
      <c r="S138" s="318">
        <v>6.57</v>
      </c>
      <c r="T138" s="318">
        <v>5.15</v>
      </c>
    </row>
    <row r="139" spans="11:20">
      <c r="K139" s="315">
        <v>50</v>
      </c>
      <c r="L139" s="316">
        <v>8</v>
      </c>
      <c r="M139" s="316">
        <v>7</v>
      </c>
      <c r="N139" s="316">
        <v>3.5</v>
      </c>
      <c r="O139" s="316">
        <v>1.5</v>
      </c>
      <c r="P139" s="316">
        <v>16.3</v>
      </c>
      <c r="Q139" s="316">
        <v>4.68</v>
      </c>
      <c r="R139" s="316">
        <v>1.48</v>
      </c>
      <c r="S139" s="316">
        <v>7.41</v>
      </c>
      <c r="T139" s="316">
        <v>5.82</v>
      </c>
    </row>
    <row r="140" spans="11:20">
      <c r="K140" s="317">
        <v>50</v>
      </c>
      <c r="L140" s="318">
        <v>9</v>
      </c>
      <c r="M140" s="318">
        <v>7</v>
      </c>
      <c r="N140" s="318">
        <v>3.5</v>
      </c>
      <c r="O140" s="318" t="s">
        <v>387</v>
      </c>
      <c r="P140" s="318">
        <v>17.899999999999999</v>
      </c>
      <c r="Q140" s="318">
        <v>5.2</v>
      </c>
      <c r="R140" s="318">
        <v>1.47</v>
      </c>
      <c r="S140" s="318">
        <v>8.24</v>
      </c>
      <c r="T140" s="318">
        <v>6.47</v>
      </c>
    </row>
    <row r="141" spans="11:20">
      <c r="K141" s="315">
        <v>55</v>
      </c>
      <c r="L141" s="316">
        <v>5</v>
      </c>
      <c r="M141" s="316">
        <v>8</v>
      </c>
      <c r="N141" s="316">
        <v>4</v>
      </c>
      <c r="O141" s="316">
        <v>1.5</v>
      </c>
      <c r="P141" s="316">
        <v>14.8</v>
      </c>
      <c r="Q141" s="316">
        <v>3.71</v>
      </c>
      <c r="R141" s="316">
        <v>1.66</v>
      </c>
      <c r="S141" s="316">
        <v>5.31</v>
      </c>
      <c r="T141" s="316">
        <v>4.18</v>
      </c>
    </row>
    <row r="142" spans="11:20">
      <c r="K142" s="317">
        <v>55</v>
      </c>
      <c r="L142" s="318">
        <v>6</v>
      </c>
      <c r="M142" s="318">
        <v>8</v>
      </c>
      <c r="N142" s="318">
        <v>4</v>
      </c>
      <c r="O142" s="318">
        <v>1.6</v>
      </c>
      <c r="P142" s="318">
        <v>17.399999999999999</v>
      </c>
      <c r="Q142" s="318">
        <v>4.4000000000000004</v>
      </c>
      <c r="R142" s="318">
        <v>1.65</v>
      </c>
      <c r="S142" s="318">
        <v>6.3</v>
      </c>
      <c r="T142" s="318">
        <v>4.95</v>
      </c>
    </row>
    <row r="143" spans="11:20">
      <c r="K143" s="315">
        <v>55</v>
      </c>
      <c r="L143" s="316">
        <v>8</v>
      </c>
      <c r="M143" s="316">
        <v>8</v>
      </c>
      <c r="N143" s="316">
        <v>4</v>
      </c>
      <c r="O143" s="316" t="s">
        <v>386</v>
      </c>
      <c r="P143" s="316">
        <v>22.1</v>
      </c>
      <c r="Q143" s="316">
        <v>5.72</v>
      </c>
      <c r="R143" s="316">
        <v>1.64</v>
      </c>
      <c r="S143" s="316">
        <v>8.23</v>
      </c>
      <c r="T143" s="316">
        <v>6.45</v>
      </c>
    </row>
    <row r="144" spans="11:20">
      <c r="K144" s="315">
        <v>60</v>
      </c>
      <c r="L144" s="316">
        <v>4</v>
      </c>
      <c r="M144" s="316">
        <v>8</v>
      </c>
      <c r="N144" s="316">
        <v>4</v>
      </c>
      <c r="O144" s="316">
        <v>1.6</v>
      </c>
      <c r="P144" s="316">
        <v>15.8</v>
      </c>
      <c r="Q144" s="316">
        <v>3.58</v>
      </c>
      <c r="R144" s="316">
        <v>1.83</v>
      </c>
      <c r="S144" s="316">
        <v>4.71</v>
      </c>
      <c r="T144" s="316">
        <v>3.7</v>
      </c>
    </row>
    <row r="145" spans="11:20">
      <c r="K145" s="317">
        <v>60</v>
      </c>
      <c r="L145" s="318">
        <v>5</v>
      </c>
      <c r="M145" s="318">
        <v>8</v>
      </c>
      <c r="N145" s="318">
        <v>4</v>
      </c>
      <c r="O145" s="318">
        <v>1.6</v>
      </c>
      <c r="P145" s="318">
        <v>19.399999999999999</v>
      </c>
      <c r="Q145" s="318">
        <v>4.45</v>
      </c>
      <c r="R145" s="318">
        <v>1.82</v>
      </c>
      <c r="S145" s="318">
        <v>5.84</v>
      </c>
      <c r="T145" s="318">
        <v>4.57</v>
      </c>
    </row>
    <row r="146" spans="11:20">
      <c r="K146" s="315">
        <v>60</v>
      </c>
      <c r="L146" s="316">
        <v>6</v>
      </c>
      <c r="M146" s="316">
        <v>8</v>
      </c>
      <c r="N146" s="316">
        <v>4</v>
      </c>
      <c r="O146" s="316">
        <v>1.7</v>
      </c>
      <c r="P146" s="316">
        <v>22.9</v>
      </c>
      <c r="Q146" s="316">
        <v>5.25</v>
      </c>
      <c r="R146" s="316">
        <v>1.81</v>
      </c>
      <c r="S146" s="316">
        <v>6.9</v>
      </c>
      <c r="T146" s="316">
        <v>5.42</v>
      </c>
    </row>
    <row r="147" spans="11:20">
      <c r="K147" s="317">
        <v>60</v>
      </c>
      <c r="L147" s="318">
        <v>8</v>
      </c>
      <c r="M147" s="318">
        <v>8</v>
      </c>
      <c r="N147" s="318">
        <v>4</v>
      </c>
      <c r="O147" s="318">
        <v>1.8</v>
      </c>
      <c r="P147" s="318">
        <v>29.2</v>
      </c>
      <c r="Q147" s="318">
        <v>6.9</v>
      </c>
      <c r="R147" s="318">
        <v>1.79</v>
      </c>
      <c r="S147" s="318">
        <v>9.02</v>
      </c>
      <c r="T147" s="318">
        <v>7.09</v>
      </c>
    </row>
    <row r="148" spans="11:20">
      <c r="K148" s="315">
        <v>60</v>
      </c>
      <c r="L148" s="316">
        <v>10</v>
      </c>
      <c r="M148" s="316">
        <v>8</v>
      </c>
      <c r="N148" s="316">
        <v>4</v>
      </c>
      <c r="O148" s="316">
        <v>1.9</v>
      </c>
      <c r="P148" s="316">
        <v>34.9</v>
      </c>
      <c r="Q148" s="316">
        <v>8.41</v>
      </c>
      <c r="R148" s="316">
        <v>1.78</v>
      </c>
      <c r="S148" s="316">
        <v>11.1</v>
      </c>
      <c r="T148" s="316">
        <v>8.69</v>
      </c>
    </row>
    <row r="149" spans="11:20">
      <c r="K149" s="317">
        <v>65</v>
      </c>
      <c r="L149" s="318">
        <v>6</v>
      </c>
      <c r="M149" s="318">
        <v>9</v>
      </c>
      <c r="N149" s="318">
        <v>4.5</v>
      </c>
      <c r="O149" s="318">
        <v>1.8</v>
      </c>
      <c r="P149" s="318">
        <v>29.3</v>
      </c>
      <c r="Q149" s="318">
        <v>6.23</v>
      </c>
      <c r="R149" s="318">
        <v>1.97</v>
      </c>
      <c r="S149" s="318">
        <v>7.52</v>
      </c>
      <c r="T149" s="318">
        <v>5.91</v>
      </c>
    </row>
    <row r="150" spans="11:20">
      <c r="K150" s="315">
        <v>65</v>
      </c>
      <c r="L150" s="316">
        <v>7</v>
      </c>
      <c r="M150" s="316">
        <v>9</v>
      </c>
      <c r="N150" s="316">
        <v>4.5</v>
      </c>
      <c r="O150" s="316">
        <v>1.9</v>
      </c>
      <c r="P150" s="316">
        <v>33.4</v>
      </c>
      <c r="Q150" s="316">
        <v>7.18</v>
      </c>
      <c r="R150" s="316">
        <v>1.96</v>
      </c>
      <c r="S150" s="316">
        <v>8.6999999999999993</v>
      </c>
      <c r="T150" s="316">
        <v>6.83</v>
      </c>
    </row>
    <row r="151" spans="11:20">
      <c r="K151" s="317">
        <v>65</v>
      </c>
      <c r="L151" s="318">
        <v>8</v>
      </c>
      <c r="M151" s="318">
        <v>9</v>
      </c>
      <c r="N151" s="318">
        <v>4.5</v>
      </c>
      <c r="O151" s="318">
        <v>1.9</v>
      </c>
      <c r="P151" s="318">
        <v>37.6</v>
      </c>
      <c r="Q151" s="318">
        <v>8.14</v>
      </c>
      <c r="R151" s="318">
        <v>1.95</v>
      </c>
      <c r="S151" s="318">
        <v>9.84</v>
      </c>
      <c r="T151" s="318">
        <v>7.73</v>
      </c>
    </row>
    <row r="152" spans="11:20">
      <c r="K152" s="315">
        <v>65</v>
      </c>
      <c r="L152" s="316">
        <v>9</v>
      </c>
      <c r="M152" s="316">
        <v>9</v>
      </c>
      <c r="N152" s="316">
        <v>4.5</v>
      </c>
      <c r="O152" s="316" t="s">
        <v>386</v>
      </c>
      <c r="P152" s="316">
        <v>41.3</v>
      </c>
      <c r="Q152" s="316">
        <v>9.0399999999999991</v>
      </c>
      <c r="R152" s="316">
        <v>1.94</v>
      </c>
      <c r="S152" s="316">
        <v>11</v>
      </c>
      <c r="T152" s="316">
        <v>8.6199999999999992</v>
      </c>
    </row>
    <row r="153" spans="11:20">
      <c r="K153" s="317">
        <v>70</v>
      </c>
      <c r="L153" s="318">
        <v>6</v>
      </c>
      <c r="M153" s="318">
        <v>9</v>
      </c>
      <c r="N153" s="318">
        <v>4.5</v>
      </c>
      <c r="O153" s="318">
        <v>1.9</v>
      </c>
      <c r="P153" s="318">
        <v>36.9</v>
      </c>
      <c r="Q153" s="318">
        <v>7.27</v>
      </c>
      <c r="R153" s="318">
        <v>2.13</v>
      </c>
      <c r="S153" s="318">
        <v>8.14</v>
      </c>
      <c r="T153" s="318">
        <v>6.39</v>
      </c>
    </row>
    <row r="154" spans="11:20">
      <c r="K154" s="315">
        <v>70</v>
      </c>
      <c r="L154" s="316">
        <v>7</v>
      </c>
      <c r="M154" s="316">
        <v>9</v>
      </c>
      <c r="N154" s="316">
        <v>4.5</v>
      </c>
      <c r="O154" s="316">
        <v>2</v>
      </c>
      <c r="P154" s="316">
        <v>42.4</v>
      </c>
      <c r="Q154" s="316">
        <v>8.43</v>
      </c>
      <c r="R154" s="316">
        <v>2.12</v>
      </c>
      <c r="S154" s="316">
        <v>9.41</v>
      </c>
      <c r="T154" s="316">
        <v>7.39</v>
      </c>
    </row>
    <row r="155" spans="11:20">
      <c r="K155" s="317">
        <v>70</v>
      </c>
      <c r="L155" s="318">
        <v>8</v>
      </c>
      <c r="M155" s="318">
        <v>9</v>
      </c>
      <c r="N155" s="318">
        <v>4.5</v>
      </c>
      <c r="O155" s="318">
        <v>2</v>
      </c>
      <c r="P155" s="318">
        <v>47.5</v>
      </c>
      <c r="Q155" s="318">
        <v>9.49</v>
      </c>
      <c r="R155" s="318">
        <v>2.1</v>
      </c>
      <c r="S155" s="318">
        <v>10.66</v>
      </c>
      <c r="T155" s="318">
        <v>8.41</v>
      </c>
    </row>
    <row r="156" spans="11:20">
      <c r="K156" s="315">
        <v>70</v>
      </c>
      <c r="L156" s="316">
        <v>9</v>
      </c>
      <c r="M156" s="316">
        <v>9</v>
      </c>
      <c r="N156" s="316">
        <v>4.5</v>
      </c>
      <c r="O156" s="316">
        <v>2.1</v>
      </c>
      <c r="P156" s="316">
        <v>52.6</v>
      </c>
      <c r="Q156" s="316">
        <v>10.6</v>
      </c>
      <c r="R156" s="316">
        <v>2.1</v>
      </c>
      <c r="S156" s="316">
        <v>11.9</v>
      </c>
      <c r="T156" s="316">
        <v>9.34</v>
      </c>
    </row>
    <row r="157" spans="11:20">
      <c r="K157" s="317">
        <v>70</v>
      </c>
      <c r="L157" s="318">
        <v>10</v>
      </c>
      <c r="M157" s="318">
        <v>9</v>
      </c>
      <c r="N157" s="318">
        <v>4.5</v>
      </c>
      <c r="O157" s="318">
        <v>2.09</v>
      </c>
      <c r="P157" s="318">
        <v>57.2</v>
      </c>
      <c r="Q157" s="318">
        <v>11.7</v>
      </c>
      <c r="R157" s="318">
        <v>2.09</v>
      </c>
      <c r="S157" s="318">
        <v>13.1</v>
      </c>
      <c r="T157" s="318">
        <v>10.3</v>
      </c>
    </row>
    <row r="158" spans="11:20">
      <c r="K158" s="315">
        <v>75</v>
      </c>
      <c r="L158" s="316">
        <v>6</v>
      </c>
      <c r="M158" s="316">
        <v>9</v>
      </c>
      <c r="N158" s="316">
        <v>4.5</v>
      </c>
      <c r="O158" s="316">
        <v>2.1</v>
      </c>
      <c r="P158" s="316">
        <v>45.8</v>
      </c>
      <c r="Q158" s="316">
        <v>8.41</v>
      </c>
      <c r="R158" s="316">
        <v>2.2799999999999998</v>
      </c>
      <c r="S158" s="316">
        <v>8.73</v>
      </c>
      <c r="T158" s="316">
        <v>6.85</v>
      </c>
    </row>
    <row r="159" spans="11:20">
      <c r="K159" s="317">
        <v>75</v>
      </c>
      <c r="L159" s="318">
        <v>7</v>
      </c>
      <c r="M159" s="318">
        <v>9</v>
      </c>
      <c r="N159" s="318">
        <v>4.5</v>
      </c>
      <c r="O159" s="318">
        <v>2.1</v>
      </c>
      <c r="P159" s="318">
        <v>52.4</v>
      </c>
      <c r="Q159" s="318">
        <v>9.67</v>
      </c>
      <c r="R159" s="318">
        <v>2.2799999999999998</v>
      </c>
      <c r="S159" s="318">
        <v>10.1</v>
      </c>
      <c r="T159" s="318">
        <v>7.94</v>
      </c>
    </row>
    <row r="160" spans="11:20">
      <c r="K160" s="315">
        <v>75</v>
      </c>
      <c r="L160" s="316">
        <v>8</v>
      </c>
      <c r="M160" s="316">
        <v>9</v>
      </c>
      <c r="N160" s="316">
        <v>4.5</v>
      </c>
      <c r="O160" s="316">
        <v>2.1</v>
      </c>
      <c r="P160" s="316">
        <v>58.9</v>
      </c>
      <c r="Q160" s="316">
        <v>11</v>
      </c>
      <c r="R160" s="316">
        <v>2.2599999999999998</v>
      </c>
      <c r="S160" s="316">
        <v>11.5</v>
      </c>
      <c r="T160" s="316">
        <v>9.0299999999999994</v>
      </c>
    </row>
    <row r="161" spans="11:20">
      <c r="K161" s="317">
        <v>75</v>
      </c>
      <c r="L161" s="318">
        <v>10</v>
      </c>
      <c r="M161" s="318">
        <v>10</v>
      </c>
      <c r="N161" s="318">
        <v>5</v>
      </c>
      <c r="O161" s="318" t="s">
        <v>386</v>
      </c>
      <c r="P161" s="318">
        <v>71.400000000000006</v>
      </c>
      <c r="Q161" s="318">
        <v>13.5</v>
      </c>
      <c r="R161" s="318">
        <v>2.25</v>
      </c>
      <c r="S161" s="318">
        <v>14.1</v>
      </c>
      <c r="T161" s="318">
        <v>11.1</v>
      </c>
    </row>
    <row r="162" spans="11:20">
      <c r="K162" s="315">
        <v>80</v>
      </c>
      <c r="L162" s="316">
        <v>6</v>
      </c>
      <c r="M162" s="316">
        <v>10</v>
      </c>
      <c r="N162" s="316">
        <v>5</v>
      </c>
      <c r="O162" s="316">
        <v>2.2000000000000002</v>
      </c>
      <c r="P162" s="316">
        <v>56</v>
      </c>
      <c r="Q162" s="316">
        <v>9.59</v>
      </c>
      <c r="R162" s="316">
        <v>2.44</v>
      </c>
      <c r="S162" s="316">
        <v>9.34</v>
      </c>
      <c r="T162" s="316">
        <v>7.34</v>
      </c>
    </row>
    <row r="163" spans="11:20">
      <c r="K163" s="317">
        <v>80</v>
      </c>
      <c r="L163" s="318">
        <v>8</v>
      </c>
      <c r="M163" s="318">
        <v>10</v>
      </c>
      <c r="N163" s="318">
        <v>5</v>
      </c>
      <c r="O163" s="318">
        <v>2.2999999999999998</v>
      </c>
      <c r="P163" s="318">
        <v>72.5</v>
      </c>
      <c r="Q163" s="318">
        <v>12.6</v>
      </c>
      <c r="R163" s="318">
        <v>2.4300000000000002</v>
      </c>
      <c r="S163" s="318">
        <v>12.26</v>
      </c>
      <c r="T163" s="318">
        <v>9.6300000000000008</v>
      </c>
    </row>
    <row r="164" spans="11:20">
      <c r="K164" s="315">
        <v>80</v>
      </c>
      <c r="L164" s="316">
        <v>10</v>
      </c>
      <c r="M164" s="316">
        <v>10</v>
      </c>
      <c r="N164" s="316">
        <v>5</v>
      </c>
      <c r="O164" s="316">
        <v>2.2999999999999998</v>
      </c>
      <c r="P164" s="316">
        <v>87.7</v>
      </c>
      <c r="Q164" s="316">
        <v>15.5</v>
      </c>
      <c r="R164" s="316">
        <v>2.4</v>
      </c>
      <c r="S164" s="316">
        <v>15.1</v>
      </c>
      <c r="T164" s="316">
        <v>11.86</v>
      </c>
    </row>
    <row r="165" spans="11:20">
      <c r="K165" s="317">
        <v>90</v>
      </c>
      <c r="L165" s="318">
        <v>6</v>
      </c>
      <c r="M165" s="318">
        <v>11</v>
      </c>
      <c r="N165" s="318">
        <v>5</v>
      </c>
      <c r="O165" s="318">
        <v>2.4</v>
      </c>
      <c r="P165" s="318">
        <v>80.900000000000006</v>
      </c>
      <c r="Q165" s="318">
        <v>12.3</v>
      </c>
      <c r="R165" s="318">
        <v>2.77</v>
      </c>
      <c r="S165" s="318">
        <v>10.54</v>
      </c>
      <c r="T165" s="318">
        <v>8.2799999999999994</v>
      </c>
    </row>
    <row r="166" spans="11:20">
      <c r="K166" s="315">
        <v>90</v>
      </c>
      <c r="L166" s="316">
        <v>7</v>
      </c>
      <c r="M166" s="316">
        <v>11</v>
      </c>
      <c r="N166" s="316">
        <v>5</v>
      </c>
      <c r="O166" s="316">
        <v>2.5</v>
      </c>
      <c r="P166" s="316">
        <v>92.5</v>
      </c>
      <c r="Q166" s="316">
        <v>14.3</v>
      </c>
      <c r="R166" s="316">
        <v>2.75</v>
      </c>
      <c r="S166" s="316">
        <v>12.24</v>
      </c>
      <c r="T166" s="316">
        <v>9.6</v>
      </c>
    </row>
    <row r="167" spans="11:20">
      <c r="K167" s="317">
        <v>90</v>
      </c>
      <c r="L167" s="318">
        <v>8</v>
      </c>
      <c r="M167" s="318">
        <v>11</v>
      </c>
      <c r="N167" s="318">
        <v>5</v>
      </c>
      <c r="O167" s="318">
        <v>2.5</v>
      </c>
      <c r="P167" s="318">
        <v>105.2</v>
      </c>
      <c r="Q167" s="318">
        <v>16.2</v>
      </c>
      <c r="R167" s="318">
        <v>2.75</v>
      </c>
      <c r="S167" s="318">
        <v>13.86</v>
      </c>
      <c r="T167" s="318">
        <v>10.89</v>
      </c>
    </row>
    <row r="168" spans="11:20">
      <c r="K168" s="315">
        <v>90</v>
      </c>
      <c r="L168" s="316">
        <v>9</v>
      </c>
      <c r="M168" s="316">
        <v>11</v>
      </c>
      <c r="N168" s="316">
        <v>5</v>
      </c>
      <c r="O168" s="316">
        <v>2.5</v>
      </c>
      <c r="P168" s="316">
        <v>115.8</v>
      </c>
      <c r="Q168" s="316">
        <v>17.93</v>
      </c>
      <c r="R168" s="316">
        <v>2.73</v>
      </c>
      <c r="S168" s="316">
        <v>15.52</v>
      </c>
      <c r="T168" s="316">
        <v>12.2</v>
      </c>
    </row>
    <row r="169" spans="11:20">
      <c r="K169" s="317">
        <v>90</v>
      </c>
      <c r="L169" s="318">
        <v>10</v>
      </c>
      <c r="M169" s="318">
        <v>11</v>
      </c>
      <c r="N169" s="318">
        <v>5</v>
      </c>
      <c r="O169" s="318">
        <v>2.6</v>
      </c>
      <c r="P169" s="318">
        <v>128.1</v>
      </c>
      <c r="Q169" s="318">
        <v>19.899999999999999</v>
      </c>
      <c r="R169" s="318">
        <v>2.73</v>
      </c>
      <c r="S169" s="318">
        <v>17.100000000000001</v>
      </c>
      <c r="T169" s="318">
        <v>13.43</v>
      </c>
    </row>
    <row r="170" spans="11:20">
      <c r="K170" s="315">
        <v>90</v>
      </c>
      <c r="L170" s="316">
        <v>11</v>
      </c>
      <c r="M170" s="316">
        <v>12</v>
      </c>
      <c r="N170" s="316">
        <v>6</v>
      </c>
      <c r="O170" s="316" t="s">
        <v>386</v>
      </c>
      <c r="P170" s="316">
        <v>138</v>
      </c>
      <c r="Q170" s="316">
        <v>21.6</v>
      </c>
      <c r="R170" s="316">
        <v>2.72</v>
      </c>
      <c r="S170" s="316">
        <v>18.7</v>
      </c>
      <c r="T170" s="316">
        <v>14.2</v>
      </c>
    </row>
    <row r="171" spans="11:20">
      <c r="K171" s="317">
        <v>90</v>
      </c>
      <c r="L171" s="318">
        <v>12</v>
      </c>
      <c r="M171" s="318">
        <v>12</v>
      </c>
      <c r="N171" s="318">
        <v>6</v>
      </c>
      <c r="O171" s="318">
        <v>2.7</v>
      </c>
      <c r="P171" s="318">
        <v>148</v>
      </c>
      <c r="Q171" s="318">
        <v>23.3</v>
      </c>
      <c r="R171" s="318">
        <v>2.7</v>
      </c>
      <c r="S171" s="318">
        <v>20.3</v>
      </c>
      <c r="T171" s="318">
        <v>15.9</v>
      </c>
    </row>
    <row r="172" spans="11:20">
      <c r="K172" s="315">
        <v>100</v>
      </c>
      <c r="L172" s="316">
        <v>6</v>
      </c>
      <c r="M172" s="316">
        <v>12</v>
      </c>
      <c r="N172" s="316">
        <v>6</v>
      </c>
      <c r="O172" s="316">
        <v>2.6</v>
      </c>
      <c r="P172" s="316">
        <v>111</v>
      </c>
      <c r="Q172" s="316">
        <v>15.1</v>
      </c>
      <c r="R172" s="316">
        <v>3.07</v>
      </c>
      <c r="S172" s="316">
        <v>11.79</v>
      </c>
      <c r="T172" s="316">
        <v>9.26</v>
      </c>
    </row>
    <row r="173" spans="11:20">
      <c r="K173" s="317">
        <v>100</v>
      </c>
      <c r="L173" s="318">
        <v>8</v>
      </c>
      <c r="M173" s="318">
        <v>12</v>
      </c>
      <c r="N173" s="318">
        <v>6</v>
      </c>
      <c r="O173" s="318">
        <v>2.7</v>
      </c>
      <c r="P173" s="318">
        <v>145</v>
      </c>
      <c r="Q173" s="318">
        <v>20</v>
      </c>
      <c r="R173" s="318">
        <v>3.06</v>
      </c>
      <c r="S173" s="318">
        <v>15.51</v>
      </c>
      <c r="T173" s="318">
        <v>12.18</v>
      </c>
    </row>
    <row r="174" spans="11:20">
      <c r="K174" s="315">
        <v>100</v>
      </c>
      <c r="L174" s="316">
        <v>10</v>
      </c>
      <c r="M174" s="316">
        <v>12</v>
      </c>
      <c r="N174" s="316">
        <v>6</v>
      </c>
      <c r="O174" s="316">
        <v>2.8</v>
      </c>
      <c r="P174" s="316">
        <v>177</v>
      </c>
      <c r="Q174" s="316">
        <v>24.7</v>
      </c>
      <c r="R174" s="316">
        <v>3.04</v>
      </c>
      <c r="S174" s="316">
        <v>19.149999999999999</v>
      </c>
      <c r="T174" s="316">
        <v>15.04</v>
      </c>
    </row>
    <row r="175" spans="11:20">
      <c r="K175" s="317">
        <v>100</v>
      </c>
      <c r="L175" s="318">
        <v>12</v>
      </c>
      <c r="M175" s="318">
        <v>12</v>
      </c>
      <c r="N175" s="318">
        <v>6</v>
      </c>
      <c r="O175" s="318">
        <v>2.9</v>
      </c>
      <c r="P175" s="318">
        <v>207</v>
      </c>
      <c r="Q175" s="318">
        <v>29.2</v>
      </c>
      <c r="R175" s="318">
        <v>3.01</v>
      </c>
      <c r="S175" s="318">
        <v>22.71</v>
      </c>
      <c r="T175" s="318">
        <v>17.829999999999998</v>
      </c>
    </row>
    <row r="176" spans="11:20">
      <c r="K176" s="315">
        <v>100</v>
      </c>
      <c r="L176" s="316">
        <v>15</v>
      </c>
      <c r="M176" s="316">
        <v>12</v>
      </c>
      <c r="N176" s="316">
        <v>6</v>
      </c>
      <c r="O176" s="316">
        <v>3</v>
      </c>
      <c r="P176" s="316">
        <v>249</v>
      </c>
      <c r="Q176" s="316">
        <v>35.6</v>
      </c>
      <c r="R176" s="316">
        <v>2.98</v>
      </c>
      <c r="S176" s="316" t="s">
        <v>386</v>
      </c>
      <c r="T176" s="316">
        <v>21.9</v>
      </c>
    </row>
    <row r="177" spans="11:20">
      <c r="K177" s="317">
        <v>110</v>
      </c>
      <c r="L177" s="318">
        <v>8</v>
      </c>
      <c r="M177" s="318">
        <v>12</v>
      </c>
      <c r="N177" s="318">
        <v>6</v>
      </c>
      <c r="O177" s="318">
        <v>3</v>
      </c>
      <c r="P177" s="318">
        <v>196</v>
      </c>
      <c r="Q177" s="318">
        <v>24.4</v>
      </c>
      <c r="R177" s="318">
        <v>3.38</v>
      </c>
      <c r="S177" s="318">
        <v>17.11</v>
      </c>
      <c r="T177" s="318">
        <v>13.43</v>
      </c>
    </row>
    <row r="178" spans="11:20">
      <c r="K178" s="315">
        <v>110</v>
      </c>
      <c r="L178" s="316">
        <v>10</v>
      </c>
      <c r="M178" s="316">
        <v>12</v>
      </c>
      <c r="N178" s="316">
        <v>6</v>
      </c>
      <c r="O178" s="316">
        <v>3.1</v>
      </c>
      <c r="P178" s="316">
        <v>239</v>
      </c>
      <c r="Q178" s="316">
        <v>30.2</v>
      </c>
      <c r="R178" s="316">
        <v>3.36</v>
      </c>
      <c r="S178" s="316">
        <v>21.15</v>
      </c>
      <c r="T178" s="316">
        <v>16.61</v>
      </c>
    </row>
    <row r="179" spans="11:20">
      <c r="K179" s="317">
        <v>110</v>
      </c>
      <c r="L179" s="318">
        <v>12</v>
      </c>
      <c r="M179" s="318">
        <v>13</v>
      </c>
      <c r="N179" s="318">
        <v>6.5</v>
      </c>
      <c r="O179" s="318" t="s">
        <v>386</v>
      </c>
      <c r="P179" s="318">
        <v>279.10000000000002</v>
      </c>
      <c r="Q179" s="318">
        <v>35.54</v>
      </c>
      <c r="R179" s="318">
        <v>3.33</v>
      </c>
      <c r="S179" s="318">
        <v>25.14</v>
      </c>
      <c r="T179" s="318">
        <v>19.7</v>
      </c>
    </row>
    <row r="180" spans="11:20">
      <c r="K180" s="317">
        <v>120</v>
      </c>
      <c r="L180" s="318">
        <v>8</v>
      </c>
      <c r="M180" s="318">
        <v>13</v>
      </c>
      <c r="N180" s="318">
        <v>6.5</v>
      </c>
      <c r="O180" s="318">
        <v>3.2</v>
      </c>
      <c r="P180" s="318">
        <v>256</v>
      </c>
      <c r="Q180" s="318">
        <v>29.2</v>
      </c>
      <c r="R180" s="318">
        <v>3.69</v>
      </c>
      <c r="S180" s="318">
        <v>18.739999999999998</v>
      </c>
      <c r="T180" s="318">
        <v>14.71</v>
      </c>
    </row>
    <row r="181" spans="11:20">
      <c r="K181" s="315">
        <v>120</v>
      </c>
      <c r="L181" s="316">
        <v>10</v>
      </c>
      <c r="M181" s="316">
        <v>13</v>
      </c>
      <c r="N181" s="316">
        <v>6.5</v>
      </c>
      <c r="O181" s="316">
        <v>3.3</v>
      </c>
      <c r="P181" s="316">
        <v>314</v>
      </c>
      <c r="Q181" s="316">
        <v>36.1</v>
      </c>
      <c r="R181" s="316">
        <v>3.67</v>
      </c>
      <c r="S181" s="316">
        <v>23.18</v>
      </c>
      <c r="T181" s="316">
        <v>18.2</v>
      </c>
    </row>
    <row r="182" spans="11:20">
      <c r="K182" s="317">
        <v>120</v>
      </c>
      <c r="L182" s="318">
        <v>11</v>
      </c>
      <c r="M182" s="318">
        <v>13</v>
      </c>
      <c r="N182" s="318">
        <v>6.5</v>
      </c>
      <c r="O182" s="318" t="s">
        <v>386</v>
      </c>
      <c r="P182" s="318">
        <v>340.6</v>
      </c>
      <c r="Q182" s="318">
        <v>39.409999999999997</v>
      </c>
      <c r="R182" s="318">
        <v>3.66</v>
      </c>
      <c r="S182" s="318">
        <v>25.37</v>
      </c>
      <c r="T182" s="318">
        <v>19.899999999999999</v>
      </c>
    </row>
    <row r="183" spans="11:20">
      <c r="K183" s="315">
        <v>120</v>
      </c>
      <c r="L183" s="316">
        <v>12</v>
      </c>
      <c r="M183" s="316">
        <v>13</v>
      </c>
      <c r="N183" s="316">
        <v>6.5</v>
      </c>
      <c r="O183" s="316">
        <v>3.4</v>
      </c>
      <c r="P183" s="316">
        <v>368</v>
      </c>
      <c r="Q183" s="316">
        <v>42.8</v>
      </c>
      <c r="R183" s="316">
        <v>3.65</v>
      </c>
      <c r="S183" s="316">
        <v>27.54</v>
      </c>
      <c r="T183" s="316">
        <v>21.62</v>
      </c>
    </row>
    <row r="184" spans="11:20">
      <c r="K184" s="317">
        <v>120</v>
      </c>
      <c r="L184" s="318">
        <v>13</v>
      </c>
      <c r="M184" s="318">
        <v>13</v>
      </c>
      <c r="N184" s="318">
        <v>6.5</v>
      </c>
      <c r="O184" s="318" t="s">
        <v>386</v>
      </c>
      <c r="P184" s="318">
        <v>394</v>
      </c>
      <c r="Q184" s="318">
        <v>46.01</v>
      </c>
      <c r="R184" s="318">
        <v>3.64</v>
      </c>
      <c r="S184" s="318">
        <v>29.69</v>
      </c>
      <c r="T184" s="318">
        <v>23.3</v>
      </c>
    </row>
    <row r="185" spans="11:20">
      <c r="K185" s="315">
        <v>120</v>
      </c>
      <c r="L185" s="316">
        <v>15</v>
      </c>
      <c r="M185" s="316">
        <v>13</v>
      </c>
      <c r="N185" s="316">
        <v>6.5</v>
      </c>
      <c r="O185" s="316">
        <v>3.5</v>
      </c>
      <c r="P185" s="316">
        <v>444.9</v>
      </c>
      <c r="Q185" s="316">
        <v>52.43</v>
      </c>
      <c r="R185" s="316">
        <v>3.62</v>
      </c>
      <c r="S185" s="316">
        <v>33.96</v>
      </c>
      <c r="T185" s="316">
        <v>26.6</v>
      </c>
    </row>
    <row r="186" spans="11:20">
      <c r="K186" s="317">
        <v>130</v>
      </c>
      <c r="L186" s="318">
        <v>12</v>
      </c>
      <c r="M186" s="318">
        <v>14</v>
      </c>
      <c r="N186" s="318">
        <v>7</v>
      </c>
      <c r="O186" s="318">
        <v>3.6</v>
      </c>
      <c r="P186" s="318">
        <v>473</v>
      </c>
      <c r="Q186" s="318">
        <v>50.5</v>
      </c>
      <c r="R186" s="318">
        <v>3.97</v>
      </c>
      <c r="S186" s="318">
        <v>29.97</v>
      </c>
      <c r="T186" s="318">
        <v>23.53</v>
      </c>
    </row>
    <row r="187" spans="11:20">
      <c r="K187" s="315">
        <v>130</v>
      </c>
      <c r="L187" s="316">
        <v>14</v>
      </c>
      <c r="M187" s="316">
        <v>14</v>
      </c>
      <c r="N187" s="316">
        <v>7</v>
      </c>
      <c r="O187" s="316">
        <v>3.7</v>
      </c>
      <c r="P187" s="316">
        <v>541</v>
      </c>
      <c r="Q187" s="316">
        <v>58.3</v>
      </c>
      <c r="R187" s="316">
        <v>3.95</v>
      </c>
      <c r="S187" s="316">
        <v>34.65</v>
      </c>
      <c r="T187" s="316">
        <v>27.2</v>
      </c>
    </row>
    <row r="188" spans="11:20">
      <c r="K188" s="317">
        <v>140</v>
      </c>
      <c r="L188" s="318">
        <v>10</v>
      </c>
      <c r="M188" s="318">
        <v>15</v>
      </c>
      <c r="N188" s="318">
        <v>7.5</v>
      </c>
      <c r="O188" s="318">
        <v>3.8</v>
      </c>
      <c r="P188" s="318">
        <v>506</v>
      </c>
      <c r="Q188" s="318">
        <v>49.5</v>
      </c>
      <c r="R188" s="318">
        <v>4.3</v>
      </c>
      <c r="S188" s="318">
        <v>27.24</v>
      </c>
      <c r="T188" s="318">
        <v>21.38</v>
      </c>
    </row>
    <row r="189" spans="11:20">
      <c r="K189" s="315">
        <v>140</v>
      </c>
      <c r="L189" s="316">
        <v>12</v>
      </c>
      <c r="M189" s="316">
        <v>15</v>
      </c>
      <c r="N189" s="316">
        <v>7.5</v>
      </c>
      <c r="O189" s="316">
        <v>3.9</v>
      </c>
      <c r="P189" s="316">
        <v>596</v>
      </c>
      <c r="Q189" s="316">
        <v>58.7</v>
      </c>
      <c r="R189" s="316">
        <v>4.28</v>
      </c>
      <c r="S189" s="316">
        <v>32.4</v>
      </c>
      <c r="T189" s="316">
        <v>25.44</v>
      </c>
    </row>
    <row r="190" spans="11:20">
      <c r="K190" s="317">
        <v>140</v>
      </c>
      <c r="L190" s="318">
        <v>13</v>
      </c>
      <c r="M190" s="318">
        <v>15</v>
      </c>
      <c r="N190" s="318">
        <v>7.5</v>
      </c>
      <c r="O190" s="318" t="s">
        <v>386</v>
      </c>
      <c r="P190" s="318">
        <v>568.5</v>
      </c>
      <c r="Q190" s="318">
        <v>63.37</v>
      </c>
      <c r="R190" s="318">
        <v>4.2699999999999996</v>
      </c>
      <c r="S190" s="318">
        <v>34.950000000000003</v>
      </c>
      <c r="T190" s="318">
        <v>27.4</v>
      </c>
    </row>
    <row r="191" spans="11:20">
      <c r="K191" s="315">
        <v>140</v>
      </c>
      <c r="L191" s="316">
        <v>14</v>
      </c>
      <c r="M191" s="316">
        <v>15</v>
      </c>
      <c r="N191" s="316">
        <v>7.5</v>
      </c>
      <c r="O191" s="316">
        <v>4</v>
      </c>
      <c r="P191" s="316">
        <v>683</v>
      </c>
      <c r="Q191" s="316">
        <v>68</v>
      </c>
      <c r="R191" s="316">
        <v>4.26</v>
      </c>
      <c r="S191" s="316">
        <v>37.479999999999997</v>
      </c>
      <c r="T191" s="316">
        <v>29.42</v>
      </c>
    </row>
    <row r="192" spans="11:20">
      <c r="K192" s="317">
        <v>150</v>
      </c>
      <c r="L192" s="318">
        <v>10</v>
      </c>
      <c r="M192" s="318">
        <v>16</v>
      </c>
      <c r="N192" s="318">
        <v>8</v>
      </c>
      <c r="O192" s="318">
        <v>4</v>
      </c>
      <c r="P192" s="318">
        <v>624</v>
      </c>
      <c r="Q192" s="318">
        <v>56.91</v>
      </c>
      <c r="R192" s="318">
        <v>4.62</v>
      </c>
      <c r="S192" s="318">
        <v>29.27</v>
      </c>
      <c r="T192" s="318">
        <v>23</v>
      </c>
    </row>
    <row r="193" spans="11:20">
      <c r="K193" s="315">
        <v>150</v>
      </c>
      <c r="L193" s="316">
        <v>12</v>
      </c>
      <c r="M193" s="316">
        <v>16</v>
      </c>
      <c r="N193" s="316">
        <v>8</v>
      </c>
      <c r="O193" s="316">
        <v>4.0999999999999996</v>
      </c>
      <c r="P193" s="316">
        <v>736.9</v>
      </c>
      <c r="Q193" s="316">
        <v>67.75</v>
      </c>
      <c r="R193" s="316">
        <v>4.5999999999999996</v>
      </c>
      <c r="S193" s="316">
        <v>34.83</v>
      </c>
      <c r="T193" s="316">
        <v>27.3</v>
      </c>
    </row>
    <row r="194" spans="11:20">
      <c r="K194" s="317">
        <v>150</v>
      </c>
      <c r="L194" s="318">
        <v>14</v>
      </c>
      <c r="M194" s="318">
        <v>16</v>
      </c>
      <c r="N194" s="318">
        <v>8</v>
      </c>
      <c r="O194" s="318" t="s">
        <v>386</v>
      </c>
      <c r="P194" s="318">
        <v>845.4</v>
      </c>
      <c r="Q194" s="318">
        <v>78.33</v>
      </c>
      <c r="R194" s="318">
        <v>4.58</v>
      </c>
      <c r="S194" s="318">
        <v>40.31</v>
      </c>
      <c r="T194" s="318">
        <v>31.6</v>
      </c>
    </row>
    <row r="195" spans="11:20">
      <c r="K195" s="315">
        <v>150</v>
      </c>
      <c r="L195" s="316">
        <v>15</v>
      </c>
      <c r="M195" s="316">
        <v>16</v>
      </c>
      <c r="N195" s="316">
        <v>8</v>
      </c>
      <c r="O195" s="316">
        <v>4.3</v>
      </c>
      <c r="P195" s="316">
        <v>898.1</v>
      </c>
      <c r="Q195" s="316">
        <v>83.52</v>
      </c>
      <c r="R195" s="316">
        <v>4.57</v>
      </c>
      <c r="S195" s="316">
        <v>43.02</v>
      </c>
      <c r="T195" s="316">
        <v>33.799999999999997</v>
      </c>
    </row>
    <row r="196" spans="11:20">
      <c r="K196" s="317">
        <v>150</v>
      </c>
      <c r="L196" s="318">
        <v>18</v>
      </c>
      <c r="M196" s="318">
        <v>16</v>
      </c>
      <c r="N196" s="318">
        <v>8</v>
      </c>
      <c r="O196" s="318">
        <v>4.4000000000000004</v>
      </c>
      <c r="P196" s="318">
        <v>1050</v>
      </c>
      <c r="Q196" s="318">
        <v>98.74</v>
      </c>
      <c r="R196" s="318">
        <v>4.54</v>
      </c>
      <c r="S196" s="318">
        <v>51.03</v>
      </c>
      <c r="T196" s="318">
        <v>40.01</v>
      </c>
    </row>
    <row r="197" spans="11:20">
      <c r="K197" s="315">
        <v>160</v>
      </c>
      <c r="L197" s="316">
        <v>10</v>
      </c>
      <c r="M197" s="316">
        <v>17</v>
      </c>
      <c r="N197" s="316">
        <v>8.5</v>
      </c>
      <c r="O197" s="316">
        <v>4.3</v>
      </c>
      <c r="P197" s="316">
        <v>763</v>
      </c>
      <c r="Q197" s="316">
        <v>65</v>
      </c>
      <c r="R197" s="316">
        <v>4.93</v>
      </c>
      <c r="S197" s="316">
        <v>31.31</v>
      </c>
      <c r="T197" s="316">
        <v>24.58</v>
      </c>
    </row>
    <row r="198" spans="11:20">
      <c r="K198" s="317">
        <v>160</v>
      </c>
      <c r="L198" s="318">
        <v>12</v>
      </c>
      <c r="M198" s="318">
        <v>17</v>
      </c>
      <c r="N198" s="318">
        <v>8.5</v>
      </c>
      <c r="O198" s="318">
        <v>4.4000000000000004</v>
      </c>
      <c r="P198" s="318">
        <v>902</v>
      </c>
      <c r="Q198" s="318">
        <v>77.5</v>
      </c>
      <c r="R198" s="318">
        <v>4.91</v>
      </c>
      <c r="S198" s="318">
        <v>37.270000000000003</v>
      </c>
      <c r="T198" s="318">
        <v>29.26</v>
      </c>
    </row>
    <row r="199" spans="11:20">
      <c r="K199" s="315">
        <v>160</v>
      </c>
      <c r="L199" s="316">
        <v>14</v>
      </c>
      <c r="M199" s="316">
        <v>17</v>
      </c>
      <c r="N199" s="316">
        <v>8.5</v>
      </c>
      <c r="O199" s="316">
        <v>4.4000000000000004</v>
      </c>
      <c r="P199" s="316">
        <v>1036</v>
      </c>
      <c r="Q199" s="316">
        <v>89.6</v>
      </c>
      <c r="R199" s="316">
        <v>4.8899999999999997</v>
      </c>
      <c r="S199" s="316">
        <v>43.15</v>
      </c>
      <c r="T199" s="316">
        <v>34.869999999999997</v>
      </c>
    </row>
    <row r="200" spans="11:20">
      <c r="K200" s="317">
        <v>160</v>
      </c>
      <c r="L200" s="318">
        <v>15</v>
      </c>
      <c r="M200" s="318">
        <v>17</v>
      </c>
      <c r="N200" s="318">
        <v>8.5</v>
      </c>
      <c r="O200" s="318">
        <v>4.5</v>
      </c>
      <c r="P200" s="318">
        <v>1099</v>
      </c>
      <c r="Q200" s="318">
        <v>95.47</v>
      </c>
      <c r="R200" s="318">
        <v>4.88</v>
      </c>
      <c r="S200" s="318">
        <v>46.03</v>
      </c>
      <c r="T200" s="318">
        <v>36.200000000000003</v>
      </c>
    </row>
    <row r="201" spans="11:20">
      <c r="K201" s="315">
        <v>160</v>
      </c>
      <c r="L201" s="316">
        <v>16</v>
      </c>
      <c r="M201" s="316">
        <v>17</v>
      </c>
      <c r="N201" s="316">
        <v>8.5</v>
      </c>
      <c r="O201" s="316">
        <v>4.5</v>
      </c>
      <c r="P201" s="316">
        <v>1165</v>
      </c>
      <c r="Q201" s="316">
        <v>101.5</v>
      </c>
      <c r="R201" s="316">
        <v>4.87</v>
      </c>
      <c r="S201" s="316">
        <v>48.95</v>
      </c>
      <c r="T201" s="316">
        <v>38.43</v>
      </c>
    </row>
    <row r="202" spans="11:20">
      <c r="K202" s="317">
        <v>160</v>
      </c>
      <c r="L202" s="318">
        <v>17</v>
      </c>
      <c r="M202" s="318">
        <v>17</v>
      </c>
      <c r="N202" s="318">
        <v>8.5</v>
      </c>
      <c r="O202" s="318" t="s">
        <v>386</v>
      </c>
      <c r="P202" s="318">
        <v>1225</v>
      </c>
      <c r="Q202" s="318">
        <v>107.2</v>
      </c>
      <c r="R202" s="318">
        <v>4.8600000000000003</v>
      </c>
      <c r="S202" s="318">
        <v>51.82</v>
      </c>
      <c r="T202" s="318">
        <v>40.700000000000003</v>
      </c>
    </row>
    <row r="203" spans="11:20">
      <c r="K203" s="315">
        <v>180</v>
      </c>
      <c r="L203" s="316">
        <v>12</v>
      </c>
      <c r="M203" s="316">
        <v>18</v>
      </c>
      <c r="N203" s="316">
        <v>9</v>
      </c>
      <c r="O203" s="316">
        <v>4.9000000000000004</v>
      </c>
      <c r="P203" s="316">
        <v>1300</v>
      </c>
      <c r="Q203" s="316">
        <v>98.8</v>
      </c>
      <c r="R203" s="316">
        <v>5.55</v>
      </c>
      <c r="S203" s="316">
        <v>42.1</v>
      </c>
      <c r="T203" s="316">
        <v>33.049999999999997</v>
      </c>
    </row>
    <row r="204" spans="11:20">
      <c r="K204" s="317">
        <v>180</v>
      </c>
      <c r="L204" s="318">
        <v>14</v>
      </c>
      <c r="M204" s="318">
        <v>18</v>
      </c>
      <c r="N204" s="318">
        <v>9</v>
      </c>
      <c r="O204" s="318">
        <v>4.9000000000000004</v>
      </c>
      <c r="P204" s="318">
        <v>1496</v>
      </c>
      <c r="Q204" s="318">
        <v>114.5</v>
      </c>
      <c r="R204" s="318">
        <v>5.37</v>
      </c>
      <c r="S204" s="318">
        <v>48.78</v>
      </c>
      <c r="T204" s="318">
        <v>38.299999999999997</v>
      </c>
    </row>
    <row r="205" spans="11:20">
      <c r="K205" s="315">
        <v>180</v>
      </c>
      <c r="L205" s="316">
        <v>16</v>
      </c>
      <c r="M205" s="316">
        <v>18</v>
      </c>
      <c r="N205" s="316">
        <v>9</v>
      </c>
      <c r="O205" s="316">
        <v>5</v>
      </c>
      <c r="P205" s="316">
        <v>1682</v>
      </c>
      <c r="Q205" s="316">
        <v>129.69999999999999</v>
      </c>
      <c r="R205" s="316">
        <v>5.51</v>
      </c>
      <c r="S205" s="316">
        <v>55.39</v>
      </c>
      <c r="T205" s="316">
        <v>43.5</v>
      </c>
    </row>
    <row r="206" spans="11:20">
      <c r="K206" s="317">
        <v>180</v>
      </c>
      <c r="L206" s="318">
        <v>18</v>
      </c>
      <c r="M206" s="318">
        <v>18</v>
      </c>
      <c r="N206" s="318">
        <v>9</v>
      </c>
      <c r="O206" s="318">
        <v>5.0999999999999996</v>
      </c>
      <c r="P206" s="318">
        <v>1866</v>
      </c>
      <c r="Q206" s="318">
        <v>144.69999999999999</v>
      </c>
      <c r="R206" s="318">
        <v>5.49</v>
      </c>
      <c r="S206" s="318">
        <v>61.91</v>
      </c>
      <c r="T206" s="318">
        <v>48.6</v>
      </c>
    </row>
    <row r="207" spans="11:20">
      <c r="K207" s="315">
        <v>200</v>
      </c>
      <c r="L207" s="316">
        <v>14</v>
      </c>
      <c r="M207" s="316">
        <v>18</v>
      </c>
      <c r="N207" s="316">
        <v>9</v>
      </c>
      <c r="O207" s="316">
        <v>5.4</v>
      </c>
      <c r="P207" s="316">
        <v>2078</v>
      </c>
      <c r="Q207" s="316">
        <v>142.69999999999999</v>
      </c>
      <c r="R207" s="316">
        <v>6.18</v>
      </c>
      <c r="S207" s="316">
        <v>54.38</v>
      </c>
      <c r="T207" s="316">
        <v>42.69</v>
      </c>
    </row>
    <row r="208" spans="11:20">
      <c r="K208" s="317">
        <v>200</v>
      </c>
      <c r="L208" s="318">
        <v>16</v>
      </c>
      <c r="M208" s="318">
        <v>18</v>
      </c>
      <c r="N208" s="318">
        <v>9</v>
      </c>
      <c r="O208" s="318">
        <v>5.5</v>
      </c>
      <c r="P208" s="318">
        <v>2344</v>
      </c>
      <c r="Q208" s="318">
        <v>161.9</v>
      </c>
      <c r="R208" s="318">
        <v>6.15</v>
      </c>
      <c r="S208" s="318">
        <v>61.78</v>
      </c>
      <c r="T208" s="318">
        <v>48.5</v>
      </c>
    </row>
    <row r="209" spans="11:20">
      <c r="K209" s="315">
        <v>200</v>
      </c>
      <c r="L209" s="316">
        <v>18</v>
      </c>
      <c r="M209" s="316">
        <v>18</v>
      </c>
      <c r="N209" s="316">
        <v>9</v>
      </c>
      <c r="O209" s="316">
        <v>5.6</v>
      </c>
      <c r="P209" s="316">
        <v>2600</v>
      </c>
      <c r="Q209" s="316">
        <v>180.6</v>
      </c>
      <c r="R209" s="316">
        <v>6.13</v>
      </c>
      <c r="S209" s="316">
        <v>69.11</v>
      </c>
      <c r="T209" s="316">
        <v>54.2</v>
      </c>
    </row>
    <row r="210" spans="11:20">
      <c r="K210" s="317">
        <v>200</v>
      </c>
      <c r="L210" s="318">
        <v>20</v>
      </c>
      <c r="M210" s="318">
        <v>18</v>
      </c>
      <c r="N210" s="318">
        <v>9</v>
      </c>
      <c r="O210" s="318">
        <v>5.7</v>
      </c>
      <c r="P210" s="318">
        <v>2854</v>
      </c>
      <c r="Q210" s="318">
        <v>199.3</v>
      </c>
      <c r="R210" s="318">
        <v>6.11</v>
      </c>
      <c r="S210" s="318">
        <v>76.34</v>
      </c>
      <c r="T210" s="318">
        <v>59.93</v>
      </c>
    </row>
    <row r="211" spans="11:20">
      <c r="K211" s="315">
        <v>200</v>
      </c>
      <c r="L211" s="316">
        <v>24</v>
      </c>
      <c r="M211" s="316">
        <v>18</v>
      </c>
      <c r="N211" s="316">
        <v>9</v>
      </c>
      <c r="O211" s="316">
        <v>5.84</v>
      </c>
      <c r="P211" s="316">
        <v>3331</v>
      </c>
      <c r="Q211" s="316">
        <v>235.2</v>
      </c>
      <c r="R211" s="316">
        <v>6.06</v>
      </c>
      <c r="S211" s="316">
        <v>90.59</v>
      </c>
      <c r="T211" s="316">
        <v>71.7</v>
      </c>
    </row>
    <row r="212" spans="11:20">
      <c r="K212" s="317">
        <v>250</v>
      </c>
      <c r="L212" s="318">
        <v>25</v>
      </c>
      <c r="M212" s="318">
        <v>20</v>
      </c>
      <c r="N212" s="318">
        <v>10</v>
      </c>
      <c r="O212" s="318">
        <v>7.1</v>
      </c>
      <c r="P212" s="318">
        <v>6975</v>
      </c>
      <c r="Q212" s="318">
        <v>390</v>
      </c>
      <c r="R212" s="318">
        <v>7.65</v>
      </c>
      <c r="S212" s="318">
        <v>119</v>
      </c>
      <c r="T212" s="318">
        <v>93.6</v>
      </c>
    </row>
    <row r="213" spans="11:20">
      <c r="K213" s="315">
        <v>250</v>
      </c>
      <c r="L213" s="316">
        <v>28</v>
      </c>
      <c r="M213" s="316">
        <v>18</v>
      </c>
      <c r="N213" s="316">
        <v>9</v>
      </c>
      <c r="O213" s="316">
        <v>7.2</v>
      </c>
      <c r="P213" s="316">
        <v>7697</v>
      </c>
      <c r="Q213" s="316">
        <v>433</v>
      </c>
      <c r="R213" s="316">
        <v>7.62</v>
      </c>
      <c r="S213" s="316">
        <v>133</v>
      </c>
      <c r="T213" s="316">
        <v>104</v>
      </c>
    </row>
    <row r="214" spans="11:20">
      <c r="K214" s="317">
        <v>250</v>
      </c>
      <c r="L214" s="318">
        <v>32</v>
      </c>
      <c r="M214" s="318">
        <v>20</v>
      </c>
      <c r="N214" s="318">
        <v>10</v>
      </c>
      <c r="O214" s="318">
        <v>7.4</v>
      </c>
      <c r="P214" s="318">
        <v>8597</v>
      </c>
      <c r="Q214" s="318">
        <v>488</v>
      </c>
      <c r="R214" s="318">
        <v>7.57</v>
      </c>
      <c r="S214" s="318">
        <v>150</v>
      </c>
      <c r="T214" s="318">
        <v>118</v>
      </c>
    </row>
    <row r="215" spans="11:20">
      <c r="K215" s="315">
        <v>250</v>
      </c>
      <c r="L215" s="316">
        <v>35</v>
      </c>
      <c r="M215" s="316">
        <v>18</v>
      </c>
      <c r="N215" s="316">
        <v>9</v>
      </c>
      <c r="O215" s="316">
        <v>7.5</v>
      </c>
      <c r="P215" s="316">
        <v>9264</v>
      </c>
      <c r="Q215" s="316">
        <v>529</v>
      </c>
      <c r="R215" s="316">
        <v>7.54</v>
      </c>
      <c r="S215" s="316">
        <v>163</v>
      </c>
      <c r="T215" s="316">
        <v>228</v>
      </c>
    </row>
  </sheetData>
  <mergeCells count="23">
    <mergeCell ref="V91:V92"/>
    <mergeCell ref="K91:K92"/>
    <mergeCell ref="L91:L92"/>
    <mergeCell ref="M91:M92"/>
    <mergeCell ref="N91:N92"/>
    <mergeCell ref="O91:O92"/>
    <mergeCell ref="P91:P92"/>
    <mergeCell ref="T109:T110"/>
    <mergeCell ref="W91:W92"/>
    <mergeCell ref="X91:X92"/>
    <mergeCell ref="Y91:Y92"/>
    <mergeCell ref="K108:O108"/>
    <mergeCell ref="P108:R108"/>
    <mergeCell ref="K109:O110"/>
    <mergeCell ref="P109:P110"/>
    <mergeCell ref="Q109:Q110"/>
    <mergeCell ref="R109:R110"/>
    <mergeCell ref="S109:S110"/>
    <mergeCell ref="Q91:Q92"/>
    <mergeCell ref="R91:R92"/>
    <mergeCell ref="S91:S92"/>
    <mergeCell ref="T91:T92"/>
    <mergeCell ref="U91:U92"/>
  </mergeCells>
  <phoneticPr fontId="170" type="noConversion"/>
  <pageMargins left="0.70866141732283472" right="0.70866141732283472" top="0.74803149606299213" bottom="0.74803149606299213" header="0.31496062992125984" footer="0.31496062992125984"/>
  <pageSetup paperSize="9" scale="16" orientation="landscape" r:id="rId1"/>
  <headerFooter>
    <oddHeader>&amp;L&amp;F / &amp;A&amp;R&amp;D</oddHeader>
    <oddFooter>&amp;L&amp;12CONFIDENTIAL&amp;C&amp;12BARKER JET&amp;Rpage &amp;P / &amp;N</oddFooter>
  </headerFooter>
  <drawing r:id="rId2"/>
  <legacyDrawing r:id="rId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P15"/>
  <sheetViews>
    <sheetView workbookViewId="0">
      <selection activeCell="H20" sqref="H20"/>
    </sheetView>
  </sheetViews>
  <sheetFormatPr defaultColWidth="8.85546875" defaultRowHeight="13.5"/>
  <cols>
    <col min="1" max="1" width="10.7109375" style="3398" bestFit="1" customWidth="1"/>
    <col min="2" max="7" width="8.85546875" style="3398"/>
    <col min="8" max="8" width="13.140625" style="3399" customWidth="1"/>
    <col min="9" max="13" width="8.85546875" style="3398"/>
    <col min="14" max="17" width="9.140625" style="3398" customWidth="1"/>
    <col min="18" max="16384" width="8.85546875" style="3398"/>
  </cols>
  <sheetData>
    <row r="1" spans="1:16">
      <c r="A1" s="3397" t="s">
        <v>4687</v>
      </c>
    </row>
    <row r="2" spans="1:16">
      <c r="A2" s="3400" t="s">
        <v>4688</v>
      </c>
      <c r="B2" s="3400" t="s">
        <v>4689</v>
      </c>
      <c r="C2" s="3400" t="s">
        <v>4690</v>
      </c>
      <c r="D2" s="3400" t="s">
        <v>4691</v>
      </c>
      <c r="E2" s="3400" t="s">
        <v>4692</v>
      </c>
      <c r="F2" s="3400" t="s">
        <v>4693</v>
      </c>
      <c r="G2" s="3400" t="s">
        <v>4694</v>
      </c>
      <c r="H2" s="3401" t="s">
        <v>4662</v>
      </c>
      <c r="I2" s="3991"/>
      <c r="J2" s="3992"/>
      <c r="K2" s="3992"/>
      <c r="L2" s="3992"/>
      <c r="M2" s="3992"/>
      <c r="N2" s="3992"/>
      <c r="O2" s="3992"/>
      <c r="P2" s="3992"/>
    </row>
    <row r="3" spans="1:16">
      <c r="A3" s="3402">
        <v>19</v>
      </c>
      <c r="B3" s="3403">
        <v>63</v>
      </c>
      <c r="C3" s="3403">
        <v>47</v>
      </c>
      <c r="D3" s="3402">
        <v>22</v>
      </c>
      <c r="E3" s="3402">
        <v>100</v>
      </c>
      <c r="F3" s="3401">
        <v>12</v>
      </c>
      <c r="G3" s="3400">
        <v>6</v>
      </c>
      <c r="H3" s="3404" t="s">
        <v>4695</v>
      </c>
      <c r="I3" s="3991"/>
      <c r="J3" s="3992"/>
      <c r="K3" s="3992"/>
      <c r="L3" s="3992"/>
      <c r="M3" s="3992"/>
      <c r="N3" s="3992"/>
      <c r="O3" s="3992"/>
      <c r="P3" s="3992"/>
    </row>
    <row r="4" spans="1:16">
      <c r="A4" s="3402">
        <v>24</v>
      </c>
      <c r="B4" s="3403">
        <v>63</v>
      </c>
      <c r="C4" s="3403">
        <v>47</v>
      </c>
      <c r="D4" s="3402">
        <v>28</v>
      </c>
      <c r="E4" s="3402">
        <v>100</v>
      </c>
      <c r="F4" s="3401">
        <v>12</v>
      </c>
      <c r="G4" s="3400">
        <v>8</v>
      </c>
      <c r="H4" s="3404" t="s">
        <v>4695</v>
      </c>
      <c r="I4" s="3991"/>
      <c r="J4" s="3992"/>
      <c r="K4" s="3992"/>
      <c r="L4" s="3992"/>
      <c r="M4" s="3992"/>
      <c r="N4" s="3992"/>
      <c r="O4" s="3992"/>
      <c r="P4" s="3992"/>
    </row>
    <row r="5" spans="1:16">
      <c r="A5" s="3402">
        <v>28</v>
      </c>
      <c r="B5" s="3403">
        <v>63</v>
      </c>
      <c r="C5" s="3403">
        <v>47</v>
      </c>
      <c r="D5" s="3402">
        <v>32</v>
      </c>
      <c r="E5" s="3402">
        <v>100</v>
      </c>
      <c r="F5" s="3401">
        <v>12</v>
      </c>
      <c r="G5" s="3400">
        <v>8</v>
      </c>
      <c r="H5" s="3404" t="s">
        <v>4695</v>
      </c>
      <c r="I5" s="3991"/>
      <c r="J5" s="3992"/>
      <c r="K5" s="3992"/>
      <c r="L5" s="3992"/>
      <c r="M5" s="3992"/>
      <c r="N5" s="3992"/>
      <c r="O5" s="3992"/>
      <c r="P5" s="3992"/>
    </row>
    <row r="6" spans="1:16">
      <c r="A6" s="3402">
        <v>38</v>
      </c>
      <c r="B6" s="3403">
        <v>78</v>
      </c>
      <c r="C6" s="3403">
        <v>72</v>
      </c>
      <c r="D6" s="3402">
        <v>42</v>
      </c>
      <c r="E6" s="3402">
        <v>135</v>
      </c>
      <c r="F6" s="3401">
        <v>12</v>
      </c>
      <c r="G6" s="3400">
        <v>10</v>
      </c>
      <c r="H6" s="3404" t="s">
        <v>4696</v>
      </c>
      <c r="I6" s="3991"/>
      <c r="J6" s="3992"/>
      <c r="K6" s="3992"/>
      <c r="L6" s="3992"/>
      <c r="M6" s="3992"/>
      <c r="N6" s="3992"/>
      <c r="O6" s="3992"/>
      <c r="P6" s="3992"/>
    </row>
    <row r="7" spans="1:16">
      <c r="A7" s="3402">
        <v>42</v>
      </c>
      <c r="B7" s="3403">
        <v>78</v>
      </c>
      <c r="C7" s="3403">
        <v>72</v>
      </c>
      <c r="D7" s="3402">
        <v>46</v>
      </c>
      <c r="E7" s="3402">
        <v>135</v>
      </c>
      <c r="F7" s="3401">
        <v>12</v>
      </c>
      <c r="G7" s="3400">
        <v>12</v>
      </c>
      <c r="H7" s="3404" t="s">
        <v>4696</v>
      </c>
      <c r="I7" s="3991"/>
      <c r="J7" s="3992"/>
      <c r="K7" s="3992"/>
      <c r="L7" s="3992"/>
      <c r="M7" s="3992"/>
      <c r="N7" s="3992"/>
      <c r="O7" s="3992"/>
      <c r="P7" s="3992"/>
    </row>
    <row r="8" spans="1:16">
      <c r="A8" s="3402">
        <v>48</v>
      </c>
      <c r="B8" s="3403">
        <v>78</v>
      </c>
      <c r="C8" s="3403">
        <v>72</v>
      </c>
      <c r="D8" s="3402">
        <v>52</v>
      </c>
      <c r="E8" s="3402">
        <v>135</v>
      </c>
      <c r="F8" s="3401">
        <v>12</v>
      </c>
      <c r="G8" s="3400">
        <v>14</v>
      </c>
      <c r="H8" s="3404" t="s">
        <v>4696</v>
      </c>
      <c r="I8" s="3991"/>
      <c r="J8" s="3992"/>
      <c r="K8" s="3992"/>
      <c r="L8" s="3992"/>
      <c r="M8" s="3992"/>
      <c r="N8" s="3992"/>
      <c r="O8" s="3992"/>
      <c r="P8" s="3992"/>
    </row>
    <row r="9" spans="1:16">
      <c r="A9" s="3402">
        <v>55</v>
      </c>
      <c r="B9" s="3403">
        <v>95</v>
      </c>
      <c r="C9" s="3403">
        <v>92</v>
      </c>
      <c r="D9" s="3402">
        <v>60</v>
      </c>
      <c r="E9" s="3402">
        <v>145</v>
      </c>
      <c r="F9" s="3401">
        <v>16</v>
      </c>
      <c r="G9" s="3400">
        <v>16</v>
      </c>
      <c r="H9" s="3404" t="s">
        <v>4696</v>
      </c>
      <c r="I9" s="3991"/>
      <c r="J9" s="3992"/>
      <c r="K9" s="3992"/>
      <c r="L9" s="3992"/>
      <c r="M9" s="3992"/>
      <c r="N9" s="3992"/>
      <c r="O9" s="3992"/>
      <c r="P9" s="3992"/>
    </row>
    <row r="10" spans="1:16">
      <c r="A10" s="3402">
        <v>60</v>
      </c>
      <c r="B10" s="3403">
        <v>95</v>
      </c>
      <c r="C10" s="3403">
        <v>92</v>
      </c>
      <c r="D10" s="3402">
        <v>65</v>
      </c>
      <c r="E10" s="3402">
        <v>145</v>
      </c>
      <c r="F10" s="3401">
        <v>16</v>
      </c>
      <c r="G10" s="3400">
        <v>18</v>
      </c>
      <c r="H10" s="3404" t="s">
        <v>4696</v>
      </c>
      <c r="I10" s="3991"/>
      <c r="J10" s="3992"/>
      <c r="K10" s="3992"/>
      <c r="L10" s="3992"/>
      <c r="M10" s="3992"/>
      <c r="N10" s="3992"/>
      <c r="O10" s="3992"/>
      <c r="P10" s="3992"/>
    </row>
    <row r="11" spans="1:16">
      <c r="A11" s="3402">
        <v>65</v>
      </c>
      <c r="B11" s="3403">
        <v>95</v>
      </c>
      <c r="C11" s="3403">
        <v>92</v>
      </c>
      <c r="D11" s="3402">
        <v>70</v>
      </c>
      <c r="E11" s="3402">
        <v>145</v>
      </c>
      <c r="F11" s="3401">
        <v>16</v>
      </c>
      <c r="G11" s="3400">
        <v>18</v>
      </c>
      <c r="H11" s="3404" t="s">
        <v>4696</v>
      </c>
      <c r="I11" s="3991"/>
      <c r="J11" s="3992"/>
      <c r="K11" s="3992"/>
      <c r="L11" s="3992"/>
      <c r="M11" s="3992"/>
      <c r="N11" s="3992"/>
      <c r="O11" s="3992"/>
      <c r="P11" s="3992"/>
    </row>
    <row r="12" spans="1:16">
      <c r="A12" s="3402">
        <v>75</v>
      </c>
      <c r="B12" s="3403">
        <v>125</v>
      </c>
      <c r="C12" s="3403">
        <v>120</v>
      </c>
      <c r="D12" s="3402">
        <v>80</v>
      </c>
      <c r="E12" s="3402">
        <v>180</v>
      </c>
      <c r="F12" s="3401">
        <v>20</v>
      </c>
      <c r="G12" s="3400">
        <v>20</v>
      </c>
      <c r="H12" s="3404" t="s">
        <v>4696</v>
      </c>
      <c r="I12" s="3991"/>
      <c r="J12" s="3992"/>
      <c r="K12" s="3992"/>
      <c r="L12" s="3992"/>
      <c r="M12" s="3992"/>
      <c r="N12" s="3992"/>
      <c r="O12" s="3992"/>
      <c r="P12" s="3992"/>
    </row>
    <row r="13" spans="1:16">
      <c r="A13" s="3402">
        <v>80</v>
      </c>
      <c r="B13" s="3403">
        <v>125</v>
      </c>
      <c r="C13" s="3403">
        <v>120</v>
      </c>
      <c r="D13" s="3402">
        <v>86</v>
      </c>
      <c r="E13" s="3402">
        <v>180</v>
      </c>
      <c r="F13" s="3401">
        <v>20</v>
      </c>
      <c r="G13" s="3400">
        <v>22</v>
      </c>
      <c r="H13" s="3404" t="s">
        <v>4696</v>
      </c>
      <c r="I13" s="3991"/>
      <c r="J13" s="3992"/>
      <c r="K13" s="3992"/>
      <c r="L13" s="3992"/>
      <c r="M13" s="3992"/>
      <c r="N13" s="3992"/>
      <c r="O13" s="3992"/>
      <c r="P13" s="3992"/>
    </row>
    <row r="14" spans="1:16">
      <c r="A14" s="3402">
        <v>95</v>
      </c>
      <c r="B14" s="3403">
        <v>125</v>
      </c>
      <c r="C14" s="3403">
        <v>120</v>
      </c>
      <c r="D14" s="3402">
        <f>95+5.4</f>
        <v>100.4</v>
      </c>
      <c r="E14" s="3402">
        <v>180</v>
      </c>
      <c r="F14" s="3401">
        <v>20</v>
      </c>
      <c r="G14" s="3400">
        <v>25</v>
      </c>
      <c r="H14" s="3404" t="s">
        <v>4696</v>
      </c>
      <c r="I14" s="3991"/>
      <c r="J14" s="3992"/>
      <c r="K14" s="3992"/>
      <c r="L14" s="3992"/>
      <c r="M14" s="3992"/>
      <c r="N14" s="3992"/>
      <c r="O14" s="3992"/>
      <c r="P14" s="3992"/>
    </row>
    <row r="15" spans="1:16">
      <c r="A15" s="3402">
        <v>100</v>
      </c>
      <c r="B15" s="3403">
        <v>145</v>
      </c>
      <c r="C15" s="3403">
        <v>140</v>
      </c>
      <c r="D15" s="3402">
        <f>100+6.4</f>
        <v>106.4</v>
      </c>
      <c r="E15" s="3402">
        <v>220</v>
      </c>
      <c r="F15" s="3401">
        <v>20</v>
      </c>
      <c r="G15" s="3400">
        <v>28</v>
      </c>
      <c r="H15" s="3404" t="s">
        <v>4696</v>
      </c>
      <c r="I15" s="3991"/>
      <c r="J15" s="3992"/>
      <c r="K15" s="3992"/>
      <c r="L15" s="3992"/>
      <c r="M15" s="3992"/>
      <c r="N15" s="3992"/>
      <c r="O15" s="3992"/>
      <c r="P15" s="3992"/>
    </row>
  </sheetData>
  <mergeCells count="1">
    <mergeCell ref="I2:P15"/>
  </mergeCells>
  <phoneticPr fontId="170" type="noConversion"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R299"/>
  <sheetViews>
    <sheetView topLeftCell="A56" workbookViewId="0">
      <selection activeCell="C71" sqref="C71"/>
    </sheetView>
  </sheetViews>
  <sheetFormatPr defaultRowHeight="12.75"/>
  <cols>
    <col min="1" max="2" width="8.85546875" style="405"/>
    <col min="3" max="3" width="8.85546875" style="3011"/>
    <col min="4" max="5" width="8.85546875" style="689"/>
    <col min="6" max="6" width="8.85546875" style="3012"/>
    <col min="9" max="12" width="8.85546875" style="405"/>
    <col min="14" max="18" width="8.85546875" style="405"/>
  </cols>
  <sheetData>
    <row r="1" spans="1:18">
      <c r="A1" t="s">
        <v>88</v>
      </c>
      <c r="C1"/>
      <c r="D1"/>
      <c r="E1"/>
      <c r="F1"/>
      <c r="I1"/>
      <c r="J1"/>
      <c r="K1"/>
      <c r="L1"/>
      <c r="O1"/>
      <c r="P1"/>
      <c r="Q1"/>
      <c r="R1"/>
    </row>
    <row r="2" spans="1:18">
      <c r="C2"/>
      <c r="D2"/>
      <c r="E2"/>
      <c r="F2"/>
      <c r="I2"/>
      <c r="J2"/>
      <c r="K2"/>
      <c r="L2"/>
      <c r="O2"/>
      <c r="P2"/>
      <c r="Q2"/>
      <c r="R2"/>
    </row>
    <row r="3" spans="1:18">
      <c r="A3" t="s">
        <v>4092</v>
      </c>
      <c r="C3"/>
      <c r="D3"/>
      <c r="E3"/>
      <c r="F3"/>
      <c r="I3"/>
      <c r="J3"/>
      <c r="K3"/>
      <c r="L3"/>
      <c r="O3"/>
      <c r="P3"/>
      <c r="Q3"/>
      <c r="R3"/>
    </row>
    <row r="4" spans="1:18" ht="13.5" thickBot="1">
      <c r="C4"/>
      <c r="D4"/>
      <c r="E4"/>
      <c r="F4"/>
      <c r="I4"/>
      <c r="J4"/>
      <c r="K4"/>
      <c r="L4"/>
      <c r="O4"/>
      <c r="P4"/>
      <c r="Q4"/>
      <c r="R4"/>
    </row>
    <row r="5" spans="1:18">
      <c r="C5" s="3999" t="s">
        <v>4093</v>
      </c>
      <c r="D5" s="4000"/>
      <c r="E5" s="4000"/>
      <c r="F5" s="4001"/>
      <c r="I5" s="3999" t="s">
        <v>4094</v>
      </c>
      <c r="J5" s="4000"/>
      <c r="K5" s="4000"/>
      <c r="L5" s="4001"/>
      <c r="O5" s="3999" t="s">
        <v>4095</v>
      </c>
      <c r="P5" s="4000"/>
      <c r="Q5" s="4000"/>
      <c r="R5" s="4001"/>
    </row>
    <row r="6" spans="1:18">
      <c r="A6" s="405">
        <v>171024</v>
      </c>
      <c r="C6" s="3993" t="s">
        <v>4120</v>
      </c>
      <c r="D6" s="3994"/>
      <c r="E6" s="3994"/>
      <c r="F6" s="3995"/>
      <c r="I6" s="3011"/>
      <c r="J6" s="689"/>
      <c r="K6" s="689"/>
      <c r="L6" s="3012"/>
      <c r="O6" s="3011"/>
      <c r="P6" s="689"/>
      <c r="Q6" s="689"/>
      <c r="R6" s="3012"/>
    </row>
    <row r="7" spans="1:18">
      <c r="C7" s="3993"/>
      <c r="D7" s="3994"/>
      <c r="E7" s="3994"/>
      <c r="F7" s="3995"/>
      <c r="I7" s="3011"/>
      <c r="J7" s="689"/>
      <c r="K7" s="689"/>
      <c r="L7" s="3012"/>
      <c r="O7" s="3011"/>
      <c r="P7" s="689"/>
      <c r="Q7" s="689"/>
      <c r="R7" s="3012"/>
    </row>
    <row r="8" spans="1:18">
      <c r="C8" s="3993"/>
      <c r="D8" s="3994"/>
      <c r="E8" s="3994"/>
      <c r="F8" s="3995"/>
      <c r="I8" s="3011"/>
      <c r="J8" s="689"/>
      <c r="K8" s="689"/>
      <c r="L8" s="3012"/>
      <c r="O8" s="3011"/>
      <c r="P8" s="689"/>
      <c r="Q8" s="689"/>
      <c r="R8" s="3012"/>
    </row>
    <row r="9" spans="1:18">
      <c r="C9" s="3993"/>
      <c r="D9" s="3994"/>
      <c r="E9" s="3994"/>
      <c r="F9" s="3995"/>
      <c r="I9" s="3011"/>
      <c r="J9" s="689"/>
      <c r="K9" s="689"/>
      <c r="L9" s="3012"/>
      <c r="O9" s="3011"/>
      <c r="P9" s="689"/>
      <c r="Q9" s="689"/>
      <c r="R9" s="3012"/>
    </row>
    <row r="10" spans="1:18">
      <c r="C10" s="3993" t="s">
        <v>4100</v>
      </c>
      <c r="D10" s="3994"/>
      <c r="E10" s="3994"/>
      <c r="F10" s="3995"/>
      <c r="I10" s="3011"/>
      <c r="J10" s="689"/>
      <c r="K10" s="689"/>
      <c r="L10" s="3012"/>
      <c r="O10" s="3011"/>
      <c r="P10" s="689"/>
      <c r="Q10" s="689"/>
      <c r="R10" s="3012"/>
    </row>
    <row r="11" spans="1:18">
      <c r="C11" s="3993"/>
      <c r="D11" s="3994"/>
      <c r="E11" s="3994"/>
      <c r="F11" s="3995"/>
      <c r="I11" s="3011"/>
      <c r="J11" s="689"/>
      <c r="K11" s="689"/>
      <c r="L11" s="3012"/>
      <c r="O11" s="3011"/>
      <c r="P11" s="689"/>
      <c r="Q11" s="689"/>
      <c r="R11" s="3012"/>
    </row>
    <row r="12" spans="1:18">
      <c r="C12" s="3993"/>
      <c r="D12" s="3994"/>
      <c r="E12" s="3994"/>
      <c r="F12" s="3995"/>
      <c r="I12" s="3011"/>
      <c r="J12" s="689"/>
      <c r="K12" s="689"/>
      <c r="L12" s="3012"/>
      <c r="O12" s="3011"/>
      <c r="P12" s="689"/>
      <c r="Q12" s="689"/>
      <c r="R12" s="3012"/>
    </row>
    <row r="13" spans="1:18">
      <c r="C13" s="3993"/>
      <c r="D13" s="3994"/>
      <c r="E13" s="3994"/>
      <c r="F13" s="3995"/>
      <c r="I13" s="3011"/>
      <c r="J13" s="689"/>
      <c r="K13" s="689"/>
      <c r="L13" s="3012"/>
      <c r="O13" s="3011"/>
      <c r="P13" s="689"/>
      <c r="Q13" s="689"/>
      <c r="R13" s="3012"/>
    </row>
    <row r="14" spans="1:18">
      <c r="C14" s="3993" t="s">
        <v>4118</v>
      </c>
      <c r="D14" s="3994"/>
      <c r="E14" s="3994"/>
      <c r="F14" s="3995"/>
      <c r="I14" s="3011"/>
      <c r="J14" s="689"/>
      <c r="K14" s="689"/>
      <c r="L14" s="3012"/>
      <c r="O14" s="3011"/>
      <c r="P14" s="689"/>
      <c r="Q14" s="689"/>
      <c r="R14" s="3012"/>
    </row>
    <row r="15" spans="1:18">
      <c r="C15" s="3993"/>
      <c r="D15" s="3994"/>
      <c r="E15" s="3994"/>
      <c r="F15" s="3995"/>
      <c r="I15" s="3011"/>
      <c r="J15" s="689"/>
      <c r="K15" s="689"/>
      <c r="L15" s="3012"/>
      <c r="O15" s="3011"/>
      <c r="P15" s="689"/>
      <c r="Q15" s="689"/>
      <c r="R15" s="3012"/>
    </row>
    <row r="16" spans="1:18">
      <c r="C16" s="3993"/>
      <c r="D16" s="3994"/>
      <c r="E16" s="3994"/>
      <c r="F16" s="3995"/>
      <c r="I16" s="3011"/>
      <c r="J16" s="689"/>
      <c r="K16" s="689"/>
      <c r="L16" s="3012"/>
      <c r="O16" s="3011"/>
      <c r="P16" s="689"/>
      <c r="Q16" s="689"/>
      <c r="R16" s="3012"/>
    </row>
    <row r="17" spans="1:18">
      <c r="C17" s="3993"/>
      <c r="D17" s="3994"/>
      <c r="E17" s="3994"/>
      <c r="F17" s="3995"/>
      <c r="I17" s="3011"/>
      <c r="J17" s="689"/>
      <c r="K17" s="689"/>
      <c r="L17" s="3012"/>
      <c r="O17" s="3011"/>
      <c r="P17" s="689"/>
      <c r="Q17" s="689"/>
      <c r="R17" s="3012"/>
    </row>
    <row r="18" spans="1:18">
      <c r="C18" s="3993" t="s">
        <v>4119</v>
      </c>
      <c r="D18" s="3994"/>
      <c r="E18" s="3994"/>
      <c r="F18" s="3995"/>
      <c r="I18" s="3011"/>
      <c r="J18" s="689"/>
      <c r="K18" s="689"/>
      <c r="L18" s="3012"/>
      <c r="O18" s="3011"/>
      <c r="P18" s="689"/>
      <c r="Q18" s="689"/>
      <c r="R18" s="3012"/>
    </row>
    <row r="19" spans="1:18">
      <c r="C19" s="3993"/>
      <c r="D19" s="3994"/>
      <c r="E19" s="3994"/>
      <c r="F19" s="3995"/>
      <c r="I19" s="3011"/>
      <c r="J19" s="689"/>
      <c r="K19" s="689"/>
      <c r="L19" s="3012"/>
      <c r="O19" s="3011"/>
      <c r="P19" s="689"/>
      <c r="Q19" s="689"/>
      <c r="R19" s="3012"/>
    </row>
    <row r="20" spans="1:18">
      <c r="C20" s="3993"/>
      <c r="D20" s="3994"/>
      <c r="E20" s="3994"/>
      <c r="F20" s="3995"/>
      <c r="I20" s="3011"/>
      <c r="J20" s="689"/>
      <c r="K20" s="689"/>
      <c r="L20" s="3012"/>
      <c r="O20" s="3011"/>
      <c r="P20" s="689"/>
      <c r="Q20" s="689"/>
      <c r="R20" s="3012"/>
    </row>
    <row r="21" spans="1:18">
      <c r="C21" s="3993"/>
      <c r="D21" s="3994"/>
      <c r="E21" s="3994"/>
      <c r="F21" s="3995"/>
      <c r="I21" s="3011"/>
      <c r="J21" s="689"/>
      <c r="K21" s="689"/>
      <c r="L21" s="3012"/>
      <c r="O21" s="3011"/>
      <c r="P21" s="689"/>
      <c r="Q21" s="689"/>
      <c r="R21" s="3012"/>
    </row>
    <row r="22" spans="1:18">
      <c r="A22" s="405" t="s">
        <v>4123</v>
      </c>
      <c r="C22" s="3996" t="s">
        <v>4122</v>
      </c>
      <c r="D22" s="3997"/>
      <c r="E22" s="3997"/>
      <c r="F22" s="3998"/>
      <c r="I22" s="3011"/>
      <c r="J22" s="689"/>
      <c r="K22" s="689"/>
      <c r="L22" s="3012"/>
      <c r="O22" s="3011"/>
      <c r="P22" s="689"/>
      <c r="Q22" s="689"/>
      <c r="R22" s="3012"/>
    </row>
    <row r="23" spans="1:18">
      <c r="C23" s="3996"/>
      <c r="D23" s="3997"/>
      <c r="E23" s="3997"/>
      <c r="F23" s="3998"/>
      <c r="I23" s="3011"/>
      <c r="J23" s="689"/>
      <c r="K23" s="689"/>
      <c r="L23" s="3012"/>
      <c r="O23" s="3011"/>
      <c r="P23" s="689"/>
      <c r="Q23" s="689"/>
      <c r="R23" s="3012"/>
    </row>
    <row r="24" spans="1:18">
      <c r="C24" s="3996"/>
      <c r="D24" s="3997"/>
      <c r="E24" s="3997"/>
      <c r="F24" s="3998"/>
      <c r="I24" s="3011"/>
      <c r="J24" s="689"/>
      <c r="K24" s="689"/>
      <c r="L24" s="3012"/>
      <c r="O24" s="3011"/>
      <c r="P24" s="689"/>
      <c r="Q24" s="689"/>
      <c r="R24" s="3012"/>
    </row>
    <row r="25" spans="1:18">
      <c r="C25" s="3996"/>
      <c r="D25" s="3997"/>
      <c r="E25" s="3997"/>
      <c r="F25" s="3998"/>
      <c r="I25" s="3011"/>
      <c r="J25" s="689"/>
      <c r="K25" s="689"/>
      <c r="L25" s="3012"/>
      <c r="O25" s="3011"/>
      <c r="P25" s="689"/>
      <c r="Q25" s="689"/>
      <c r="R25" s="3012"/>
    </row>
    <row r="26" spans="1:18">
      <c r="A26" s="405">
        <v>171025</v>
      </c>
      <c r="C26" s="3993" t="s">
        <v>4124</v>
      </c>
      <c r="D26" s="3994"/>
      <c r="E26" s="3994"/>
      <c r="F26" s="3995"/>
      <c r="I26" s="3011"/>
      <c r="J26" s="689"/>
      <c r="K26" s="689"/>
      <c r="L26" s="3012"/>
      <c r="O26" s="3011"/>
      <c r="P26" s="689"/>
      <c r="Q26" s="689"/>
      <c r="R26" s="3012"/>
    </row>
    <row r="27" spans="1:18">
      <c r="C27" s="3993"/>
      <c r="D27" s="3994"/>
      <c r="E27" s="3994"/>
      <c r="F27" s="3995"/>
      <c r="I27" s="3011"/>
      <c r="J27" s="689"/>
      <c r="K27" s="689"/>
      <c r="L27" s="3012"/>
      <c r="O27" s="3011"/>
      <c r="P27" s="689"/>
      <c r="Q27" s="689"/>
      <c r="R27" s="3012"/>
    </row>
    <row r="28" spans="1:18">
      <c r="C28" s="3993"/>
      <c r="D28" s="3994"/>
      <c r="E28" s="3994"/>
      <c r="F28" s="3995"/>
      <c r="I28" s="3011"/>
      <c r="J28" s="689"/>
      <c r="K28" s="689"/>
      <c r="L28" s="3012"/>
      <c r="O28" s="3011"/>
      <c r="P28" s="689"/>
      <c r="Q28" s="689"/>
      <c r="R28" s="3012"/>
    </row>
    <row r="29" spans="1:18">
      <c r="C29" s="3993"/>
      <c r="D29" s="3994"/>
      <c r="E29" s="3994"/>
      <c r="F29" s="3995"/>
      <c r="I29" s="3011"/>
      <c r="J29" s="689"/>
      <c r="K29" s="689"/>
      <c r="L29" s="3012"/>
      <c r="O29" s="3011"/>
      <c r="P29" s="689"/>
      <c r="Q29" s="689"/>
      <c r="R29" s="3012"/>
    </row>
    <row r="30" spans="1:18">
      <c r="A30" s="405">
        <v>171027</v>
      </c>
      <c r="C30" s="3993" t="s">
        <v>4132</v>
      </c>
      <c r="D30" s="3994"/>
      <c r="E30" s="3994"/>
      <c r="F30" s="3995"/>
      <c r="I30" s="3011"/>
      <c r="J30" s="689"/>
      <c r="K30" s="689"/>
      <c r="L30" s="3012"/>
      <c r="O30" s="3011"/>
      <c r="P30" s="689"/>
      <c r="Q30" s="689"/>
      <c r="R30" s="3012"/>
    </row>
    <row r="31" spans="1:18">
      <c r="C31" s="3993"/>
      <c r="D31" s="3994"/>
      <c r="E31" s="3994"/>
      <c r="F31" s="3995"/>
      <c r="I31" s="3011"/>
      <c r="J31" s="689"/>
      <c r="K31" s="689"/>
      <c r="L31" s="3012"/>
      <c r="O31" s="3011"/>
      <c r="P31" s="689"/>
      <c r="Q31" s="689"/>
      <c r="R31" s="3012"/>
    </row>
    <row r="32" spans="1:18">
      <c r="C32" s="3993"/>
      <c r="D32" s="3994"/>
      <c r="E32" s="3994"/>
      <c r="F32" s="3995"/>
      <c r="I32" s="3011"/>
      <c r="J32" s="689"/>
      <c r="K32" s="689"/>
      <c r="L32" s="3012"/>
      <c r="O32" s="3011"/>
      <c r="P32" s="689"/>
      <c r="Q32" s="689"/>
      <c r="R32" s="3012"/>
    </row>
    <row r="33" spans="1:18">
      <c r="C33" s="3993"/>
      <c r="D33" s="3994"/>
      <c r="E33" s="3994"/>
      <c r="F33" s="3995"/>
      <c r="I33" s="3011"/>
      <c r="J33" s="689"/>
      <c r="K33" s="689"/>
      <c r="L33" s="3012"/>
      <c r="O33" s="3011"/>
      <c r="P33" s="689"/>
      <c r="Q33" s="689"/>
      <c r="R33" s="3012"/>
    </row>
    <row r="34" spans="1:18">
      <c r="A34" s="405">
        <v>171117</v>
      </c>
      <c r="C34" s="3996" t="s">
        <v>4134</v>
      </c>
      <c r="D34" s="3997"/>
      <c r="E34" s="3997"/>
      <c r="F34" s="3998"/>
      <c r="I34" s="3011"/>
      <c r="J34" s="689"/>
      <c r="K34" s="689"/>
      <c r="L34" s="3012"/>
      <c r="O34" s="3011"/>
      <c r="P34" s="689"/>
      <c r="Q34" s="689"/>
      <c r="R34" s="3012"/>
    </row>
    <row r="35" spans="1:18">
      <c r="C35" s="3996"/>
      <c r="D35" s="3997"/>
      <c r="E35" s="3997"/>
      <c r="F35" s="3998"/>
      <c r="I35" s="3011"/>
      <c r="J35" s="689"/>
      <c r="K35" s="689"/>
      <c r="L35" s="3012"/>
      <c r="O35" s="3011"/>
      <c r="P35" s="689"/>
      <c r="Q35" s="689"/>
      <c r="R35" s="3012"/>
    </row>
    <row r="36" spans="1:18" ht="12.95" customHeight="1">
      <c r="A36" s="405">
        <v>171124</v>
      </c>
      <c r="C36" s="3993" t="s">
        <v>4155</v>
      </c>
      <c r="D36" s="3994"/>
      <c r="E36" s="3994"/>
      <c r="F36" s="3995"/>
      <c r="I36" s="3011"/>
      <c r="J36" s="689"/>
      <c r="K36" s="689"/>
      <c r="L36" s="3012"/>
      <c r="O36" s="3011"/>
      <c r="P36" s="689"/>
      <c r="Q36" s="689"/>
      <c r="R36" s="3012"/>
    </row>
    <row r="37" spans="1:18">
      <c r="C37" s="3993"/>
      <c r="D37" s="3994"/>
      <c r="E37" s="3994"/>
      <c r="F37" s="3995"/>
      <c r="I37" s="3011"/>
      <c r="J37" s="689"/>
      <c r="K37" s="689"/>
      <c r="L37" s="3012"/>
      <c r="O37" s="3011"/>
      <c r="P37" s="689"/>
      <c r="Q37" s="689"/>
      <c r="R37" s="3012"/>
    </row>
    <row r="38" spans="1:18">
      <c r="C38" s="3993"/>
      <c r="D38" s="3994"/>
      <c r="E38" s="3994"/>
      <c r="F38" s="3995"/>
      <c r="I38" s="3011"/>
      <c r="J38" s="689"/>
      <c r="K38" s="689"/>
      <c r="L38" s="3012"/>
      <c r="O38" s="3011"/>
      <c r="P38" s="689"/>
      <c r="Q38" s="689"/>
      <c r="R38" s="3012"/>
    </row>
    <row r="39" spans="1:18">
      <c r="C39" s="3993"/>
      <c r="D39" s="3994"/>
      <c r="E39" s="3994"/>
      <c r="F39" s="3995"/>
      <c r="I39" s="3011"/>
      <c r="J39" s="689"/>
      <c r="K39" s="689"/>
      <c r="L39" s="3012"/>
      <c r="O39" s="3011"/>
      <c r="P39" s="689"/>
      <c r="Q39" s="689"/>
      <c r="R39" s="3012"/>
    </row>
    <row r="40" spans="1:18">
      <c r="C40" s="3993"/>
      <c r="D40" s="3994"/>
      <c r="E40" s="3994"/>
      <c r="F40" s="3995"/>
      <c r="I40" s="3011"/>
      <c r="J40" s="689"/>
      <c r="K40" s="689"/>
      <c r="L40" s="3012"/>
      <c r="O40" s="3011"/>
      <c r="P40" s="689"/>
      <c r="Q40" s="689"/>
      <c r="R40" s="3012"/>
    </row>
    <row r="41" spans="1:18">
      <c r="A41" s="405">
        <v>171125</v>
      </c>
      <c r="C41" s="3993" t="s">
        <v>4159</v>
      </c>
      <c r="D41" s="3994"/>
      <c r="E41" s="3994"/>
      <c r="F41" s="3995"/>
      <c r="I41" s="3011"/>
      <c r="J41" s="689"/>
      <c r="K41" s="689"/>
      <c r="L41" s="3012"/>
      <c r="O41" s="3011"/>
      <c r="P41" s="689"/>
      <c r="Q41" s="689"/>
      <c r="R41" s="3012"/>
    </row>
    <row r="42" spans="1:18">
      <c r="C42" s="3993"/>
      <c r="D42" s="3994"/>
      <c r="E42" s="3994"/>
      <c r="F42" s="3995"/>
      <c r="I42" s="3011"/>
      <c r="J42" s="689"/>
      <c r="K42" s="689"/>
      <c r="L42" s="3012"/>
      <c r="O42" s="3011"/>
      <c r="P42" s="689"/>
      <c r="Q42" s="689"/>
      <c r="R42" s="3012"/>
    </row>
    <row r="43" spans="1:18">
      <c r="C43" s="3993"/>
      <c r="D43" s="3994"/>
      <c r="E43" s="3994"/>
      <c r="F43" s="3995"/>
      <c r="I43" s="3011"/>
      <c r="J43" s="689"/>
      <c r="K43" s="689"/>
      <c r="L43" s="3012"/>
      <c r="O43" s="3011"/>
      <c r="P43" s="689"/>
      <c r="Q43" s="689"/>
      <c r="R43" s="3012"/>
    </row>
    <row r="44" spans="1:18">
      <c r="C44" s="3993"/>
      <c r="D44" s="3994"/>
      <c r="E44" s="3994"/>
      <c r="F44" s="3995"/>
      <c r="I44" s="3011"/>
      <c r="J44" s="689"/>
      <c r="K44" s="689"/>
      <c r="L44" s="3012"/>
      <c r="O44" s="3011"/>
      <c r="P44" s="689"/>
      <c r="Q44" s="689"/>
      <c r="R44" s="3012"/>
    </row>
    <row r="45" spans="1:18" ht="12.95" customHeight="1">
      <c r="A45" s="405">
        <v>171129</v>
      </c>
      <c r="C45" s="3993" t="s">
        <v>4169</v>
      </c>
      <c r="D45" s="3994"/>
      <c r="E45" s="3994"/>
      <c r="F45" s="3995"/>
      <c r="I45" s="3011"/>
      <c r="J45" s="689"/>
      <c r="K45" s="689"/>
      <c r="L45" s="3012"/>
      <c r="O45" s="3011"/>
      <c r="P45" s="689"/>
      <c r="Q45" s="689"/>
      <c r="R45" s="3012"/>
    </row>
    <row r="46" spans="1:18">
      <c r="C46" s="3993"/>
      <c r="D46" s="3994"/>
      <c r="E46" s="3994"/>
      <c r="F46" s="3995"/>
      <c r="I46" s="3011"/>
      <c r="J46" s="689"/>
      <c r="K46" s="689"/>
      <c r="L46" s="3012"/>
      <c r="O46" s="3011"/>
      <c r="P46" s="689"/>
      <c r="Q46" s="689"/>
      <c r="R46" s="3012"/>
    </row>
    <row r="47" spans="1:18">
      <c r="C47" s="3993"/>
      <c r="D47" s="3994"/>
      <c r="E47" s="3994"/>
      <c r="F47" s="3995"/>
      <c r="I47" s="3011"/>
      <c r="J47" s="689"/>
      <c r="K47" s="689"/>
      <c r="L47" s="3012"/>
      <c r="O47" s="3011"/>
      <c r="P47" s="689"/>
      <c r="Q47" s="689"/>
      <c r="R47" s="3012"/>
    </row>
    <row r="48" spans="1:18">
      <c r="C48" s="3993"/>
      <c r="D48" s="3994"/>
      <c r="E48" s="3994"/>
      <c r="F48" s="3995"/>
      <c r="I48" s="3011"/>
      <c r="J48" s="689"/>
      <c r="K48" s="689"/>
      <c r="L48" s="3012"/>
      <c r="O48" s="3011"/>
      <c r="P48" s="689"/>
      <c r="Q48" s="689"/>
      <c r="R48" s="3012"/>
    </row>
    <row r="49" spans="1:18">
      <c r="C49" s="3993"/>
      <c r="D49" s="3994"/>
      <c r="E49" s="3994"/>
      <c r="F49" s="3995"/>
      <c r="I49" s="3011"/>
      <c r="J49" s="689"/>
      <c r="K49" s="689"/>
      <c r="L49" s="3012"/>
      <c r="O49" s="3011"/>
      <c r="P49" s="689"/>
      <c r="Q49" s="689"/>
      <c r="R49" s="3012"/>
    </row>
    <row r="50" spans="1:18">
      <c r="C50" s="3993"/>
      <c r="D50" s="3994"/>
      <c r="E50" s="3994"/>
      <c r="F50" s="3995"/>
      <c r="I50" s="3011"/>
      <c r="J50" s="689"/>
      <c r="K50" s="689"/>
      <c r="L50" s="3012"/>
      <c r="O50" s="3011"/>
      <c r="P50" s="689"/>
      <c r="Q50" s="689"/>
      <c r="R50" s="3012"/>
    </row>
    <row r="51" spans="1:18">
      <c r="A51" s="405">
        <v>171208</v>
      </c>
      <c r="C51" s="3993" t="s">
        <v>4186</v>
      </c>
      <c r="D51" s="3994"/>
      <c r="E51" s="3994"/>
      <c r="F51" s="3995"/>
      <c r="I51" s="3011"/>
      <c r="J51" s="689"/>
      <c r="K51" s="689"/>
      <c r="L51" s="3012"/>
      <c r="O51" s="3011"/>
      <c r="P51" s="689"/>
      <c r="Q51" s="689"/>
      <c r="R51" s="3012"/>
    </row>
    <row r="52" spans="1:18">
      <c r="C52" s="3993"/>
      <c r="D52" s="3994"/>
      <c r="E52" s="3994"/>
      <c r="F52" s="3995"/>
      <c r="I52" s="3011"/>
      <c r="J52" s="689"/>
      <c r="K52" s="689"/>
      <c r="L52" s="3012"/>
      <c r="O52" s="3011"/>
      <c r="P52" s="689"/>
      <c r="Q52" s="689"/>
      <c r="R52" s="3012"/>
    </row>
    <row r="53" spans="1:18">
      <c r="C53" s="3993"/>
      <c r="D53" s="3994"/>
      <c r="E53" s="3994"/>
      <c r="F53" s="3995"/>
      <c r="I53" s="3011"/>
      <c r="J53" s="689"/>
      <c r="K53" s="689"/>
      <c r="L53" s="3012"/>
      <c r="O53" s="3011"/>
      <c r="P53" s="689"/>
      <c r="Q53" s="689"/>
      <c r="R53" s="3012"/>
    </row>
    <row r="54" spans="1:18">
      <c r="A54" s="405">
        <v>180101</v>
      </c>
      <c r="C54" s="3993" t="s">
        <v>4193</v>
      </c>
      <c r="D54" s="3994"/>
      <c r="E54" s="3994"/>
      <c r="F54" s="3995"/>
      <c r="I54" s="3011"/>
      <c r="J54" s="689"/>
      <c r="K54" s="689"/>
      <c r="L54" s="3012"/>
      <c r="O54" s="3011"/>
      <c r="P54" s="689"/>
      <c r="Q54" s="689"/>
      <c r="R54" s="3012"/>
    </row>
    <row r="55" spans="1:18">
      <c r="C55" s="3993"/>
      <c r="D55" s="3994"/>
      <c r="E55" s="3994"/>
      <c r="F55" s="3995"/>
      <c r="I55" s="3011"/>
      <c r="J55" s="689"/>
      <c r="K55" s="689"/>
      <c r="L55" s="3012"/>
      <c r="O55" s="3011"/>
      <c r="P55" s="689"/>
      <c r="Q55" s="689"/>
      <c r="R55" s="3012"/>
    </row>
    <row r="56" spans="1:18">
      <c r="C56" s="3993"/>
      <c r="D56" s="3994"/>
      <c r="E56" s="3994"/>
      <c r="F56" s="3995"/>
      <c r="I56" s="3011"/>
      <c r="J56" s="689"/>
      <c r="K56" s="689"/>
      <c r="L56" s="3012"/>
      <c r="O56" s="3011"/>
      <c r="P56" s="689"/>
      <c r="Q56" s="689"/>
      <c r="R56" s="3012"/>
    </row>
    <row r="57" spans="1:18">
      <c r="A57" s="405">
        <v>180103</v>
      </c>
      <c r="C57" s="3996" t="s">
        <v>4194</v>
      </c>
      <c r="D57" s="3997"/>
      <c r="E57" s="3997"/>
      <c r="F57" s="3998"/>
      <c r="I57" s="3011"/>
      <c r="J57" s="689"/>
      <c r="K57" s="689"/>
      <c r="L57" s="3012"/>
      <c r="O57" s="3011"/>
      <c r="P57" s="689"/>
      <c r="Q57" s="689"/>
      <c r="R57" s="3012"/>
    </row>
    <row r="58" spans="1:18">
      <c r="C58" s="3996"/>
      <c r="D58" s="3997"/>
      <c r="E58" s="3997"/>
      <c r="F58" s="3998"/>
      <c r="I58" s="3011"/>
      <c r="J58" s="689"/>
      <c r="K58" s="689"/>
      <c r="L58" s="3012"/>
      <c r="O58" s="3011"/>
      <c r="P58" s="689"/>
      <c r="Q58" s="689"/>
      <c r="R58" s="3012"/>
    </row>
    <row r="59" spans="1:18">
      <c r="C59" s="3996"/>
      <c r="D59" s="3997"/>
      <c r="E59" s="3997"/>
      <c r="F59" s="3998"/>
      <c r="I59" s="3011"/>
      <c r="J59" s="689"/>
      <c r="K59" s="689"/>
      <c r="L59" s="3012"/>
      <c r="O59" s="3011"/>
      <c r="P59" s="689"/>
      <c r="Q59" s="689"/>
      <c r="R59" s="3012"/>
    </row>
    <row r="60" spans="1:18">
      <c r="A60" s="405">
        <v>180104</v>
      </c>
      <c r="C60" s="3993" t="s">
        <v>4394</v>
      </c>
      <c r="D60" s="3994"/>
      <c r="E60" s="3994"/>
      <c r="F60" s="3995"/>
      <c r="I60" s="3011"/>
      <c r="J60" s="689"/>
      <c r="K60" s="689"/>
      <c r="L60" s="3012"/>
      <c r="O60" s="3011"/>
      <c r="P60" s="689"/>
      <c r="Q60" s="689"/>
      <c r="R60" s="3012"/>
    </row>
    <row r="61" spans="1:18">
      <c r="C61" s="3993"/>
      <c r="D61" s="3994"/>
      <c r="E61" s="3994"/>
      <c r="F61" s="3995"/>
      <c r="I61" s="3011"/>
      <c r="J61" s="689"/>
      <c r="K61" s="689"/>
      <c r="L61" s="3012"/>
      <c r="O61" s="3011"/>
      <c r="P61" s="689"/>
      <c r="Q61" s="689"/>
      <c r="R61" s="3012"/>
    </row>
    <row r="62" spans="1:18">
      <c r="C62" s="3993"/>
      <c r="D62" s="3994"/>
      <c r="E62" s="3994"/>
      <c r="F62" s="3995"/>
      <c r="I62" s="3011"/>
      <c r="J62" s="689"/>
      <c r="K62" s="689"/>
      <c r="L62" s="3012"/>
      <c r="O62" s="3011"/>
      <c r="P62" s="689"/>
      <c r="Q62" s="689"/>
      <c r="R62" s="3012"/>
    </row>
    <row r="63" spans="1:18">
      <c r="A63" s="405">
        <v>180116</v>
      </c>
      <c r="C63" s="3993" t="s">
        <v>4395</v>
      </c>
      <c r="D63" s="3994"/>
      <c r="E63" s="3994"/>
      <c r="F63" s="3995"/>
      <c r="I63" s="3011"/>
      <c r="J63" s="689"/>
      <c r="K63" s="689"/>
      <c r="L63" s="3012"/>
      <c r="O63" s="3011"/>
      <c r="P63" s="689"/>
      <c r="Q63" s="689"/>
      <c r="R63" s="3012"/>
    </row>
    <row r="64" spans="1:18">
      <c r="C64" s="3993"/>
      <c r="D64" s="3994"/>
      <c r="E64" s="3994"/>
      <c r="F64" s="3995"/>
      <c r="I64" s="3011"/>
      <c r="J64" s="689"/>
      <c r="K64" s="689"/>
      <c r="L64" s="3012"/>
      <c r="O64" s="3011"/>
      <c r="P64" s="689"/>
      <c r="Q64" s="689"/>
      <c r="R64" s="3012"/>
    </row>
    <row r="65" spans="1:18" ht="12.95" customHeight="1">
      <c r="A65" s="405">
        <v>180201</v>
      </c>
      <c r="C65" s="3993" t="s">
        <v>4396</v>
      </c>
      <c r="D65" s="3994"/>
      <c r="E65" s="3994"/>
      <c r="F65" s="3995"/>
      <c r="I65" s="3011"/>
      <c r="J65" s="689"/>
      <c r="K65" s="689"/>
      <c r="L65" s="3012"/>
      <c r="O65" s="3011"/>
      <c r="P65" s="689"/>
      <c r="Q65" s="689"/>
      <c r="R65" s="3012"/>
    </row>
    <row r="66" spans="1:18">
      <c r="C66" s="3993"/>
      <c r="D66" s="3994"/>
      <c r="E66" s="3994"/>
      <c r="F66" s="3995"/>
      <c r="I66" s="3011"/>
      <c r="J66" s="689"/>
      <c r="K66" s="689"/>
      <c r="L66" s="3012"/>
      <c r="O66" s="3011"/>
      <c r="P66" s="689"/>
      <c r="Q66" s="689"/>
      <c r="R66" s="3012"/>
    </row>
    <row r="67" spans="1:18">
      <c r="C67" s="3993"/>
      <c r="D67" s="3994"/>
      <c r="E67" s="3994"/>
      <c r="F67" s="3995"/>
      <c r="I67" s="3011"/>
      <c r="J67" s="689"/>
      <c r="K67" s="689"/>
      <c r="L67" s="3012"/>
      <c r="O67" s="3011"/>
      <c r="P67" s="689"/>
      <c r="Q67" s="689"/>
      <c r="R67" s="3012"/>
    </row>
    <row r="68" spans="1:18">
      <c r="C68" s="3993"/>
      <c r="D68" s="3994"/>
      <c r="E68" s="3994"/>
      <c r="F68" s="3995"/>
      <c r="I68" s="3011"/>
      <c r="J68" s="689"/>
      <c r="K68" s="689"/>
      <c r="L68" s="3012"/>
      <c r="O68" s="3011"/>
      <c r="P68" s="689"/>
      <c r="Q68" s="689"/>
      <c r="R68" s="3012"/>
    </row>
    <row r="69" spans="1:18">
      <c r="A69" s="405">
        <v>180202</v>
      </c>
      <c r="C69" s="3993" t="s">
        <v>4398</v>
      </c>
      <c r="D69" s="3994"/>
      <c r="E69" s="3994"/>
      <c r="F69" s="3995"/>
      <c r="I69" s="3011"/>
      <c r="J69" s="689"/>
      <c r="K69" s="689"/>
      <c r="L69" s="3012"/>
      <c r="O69" s="3011"/>
      <c r="P69" s="689"/>
      <c r="Q69" s="689"/>
      <c r="R69" s="3012"/>
    </row>
    <row r="70" spans="1:18">
      <c r="C70" s="3993"/>
      <c r="D70" s="3994"/>
      <c r="E70" s="3994"/>
      <c r="F70" s="3995"/>
      <c r="I70" s="3011"/>
      <c r="J70" s="689"/>
      <c r="K70" s="689"/>
      <c r="L70" s="3012"/>
      <c r="O70" s="3011"/>
      <c r="P70" s="689"/>
      <c r="Q70" s="689"/>
      <c r="R70" s="3012"/>
    </row>
    <row r="71" spans="1:18">
      <c r="I71" s="3011"/>
      <c r="J71" s="689"/>
      <c r="K71" s="689"/>
      <c r="L71" s="3012"/>
      <c r="O71" s="3011"/>
      <c r="P71" s="689"/>
      <c r="Q71" s="689"/>
      <c r="R71" s="3012"/>
    </row>
    <row r="72" spans="1:18">
      <c r="I72" s="3011"/>
      <c r="J72" s="689"/>
      <c r="K72" s="689"/>
      <c r="L72" s="3012"/>
      <c r="O72" s="3011"/>
      <c r="P72" s="689"/>
      <c r="Q72" s="689"/>
      <c r="R72" s="3012"/>
    </row>
    <row r="73" spans="1:18">
      <c r="I73" s="3011"/>
      <c r="J73" s="689"/>
      <c r="K73" s="689"/>
      <c r="L73" s="3012"/>
      <c r="O73" s="3011"/>
      <c r="P73" s="689"/>
      <c r="Q73" s="689"/>
      <c r="R73" s="3012"/>
    </row>
    <row r="74" spans="1:18">
      <c r="I74" s="3011"/>
      <c r="J74" s="689"/>
      <c r="K74" s="689"/>
      <c r="L74" s="3012"/>
      <c r="O74" s="3011"/>
      <c r="P74" s="689"/>
      <c r="Q74" s="689"/>
      <c r="R74" s="3012"/>
    </row>
    <row r="75" spans="1:18">
      <c r="I75" s="3011"/>
      <c r="J75" s="689"/>
      <c r="K75" s="689"/>
      <c r="L75" s="3012"/>
      <c r="O75" s="3011"/>
      <c r="P75" s="689"/>
      <c r="Q75" s="689"/>
      <c r="R75" s="3012"/>
    </row>
    <row r="76" spans="1:18">
      <c r="I76" s="3011"/>
      <c r="J76" s="689"/>
      <c r="K76" s="689"/>
      <c r="L76" s="3012"/>
      <c r="O76" s="3011"/>
      <c r="P76" s="689"/>
      <c r="Q76" s="689"/>
      <c r="R76" s="3012"/>
    </row>
    <row r="77" spans="1:18">
      <c r="I77" s="3011"/>
      <c r="J77" s="689"/>
      <c r="K77" s="689"/>
      <c r="L77" s="3012"/>
      <c r="O77" s="3011"/>
      <c r="P77" s="689"/>
      <c r="Q77" s="689"/>
      <c r="R77" s="3012"/>
    </row>
    <row r="78" spans="1:18">
      <c r="I78" s="3011"/>
      <c r="J78" s="689"/>
      <c r="K78" s="689"/>
      <c r="L78" s="3012"/>
      <c r="O78" s="3011"/>
      <c r="P78" s="689"/>
      <c r="Q78" s="689"/>
      <c r="R78" s="3012"/>
    </row>
    <row r="79" spans="1:18">
      <c r="I79" s="3011"/>
      <c r="J79" s="689"/>
      <c r="K79" s="689"/>
      <c r="L79" s="3012"/>
      <c r="O79" s="3011"/>
      <c r="P79" s="689"/>
      <c r="Q79" s="689"/>
      <c r="R79" s="3012"/>
    </row>
    <row r="80" spans="1:18">
      <c r="I80" s="3011"/>
      <c r="J80" s="689"/>
      <c r="K80" s="689"/>
      <c r="L80" s="3012"/>
      <c r="O80" s="3011"/>
      <c r="P80" s="689"/>
      <c r="Q80" s="689"/>
      <c r="R80" s="3012"/>
    </row>
    <row r="81" spans="9:18">
      <c r="I81" s="3011"/>
      <c r="J81" s="689"/>
      <c r="K81" s="689"/>
      <c r="L81" s="3012"/>
      <c r="O81" s="3011"/>
      <c r="P81" s="689"/>
      <c r="Q81" s="689"/>
      <c r="R81" s="3012"/>
    </row>
    <row r="82" spans="9:18">
      <c r="I82" s="3011"/>
      <c r="J82" s="689"/>
      <c r="K82" s="689"/>
      <c r="L82" s="3012"/>
      <c r="O82" s="3011"/>
      <c r="P82" s="689"/>
      <c r="Q82" s="689"/>
      <c r="R82" s="3012"/>
    </row>
    <row r="83" spans="9:18">
      <c r="I83" s="3011"/>
      <c r="J83" s="689"/>
      <c r="K83" s="689"/>
      <c r="L83" s="3012"/>
      <c r="O83" s="3011"/>
      <c r="P83" s="689"/>
      <c r="Q83" s="689"/>
      <c r="R83" s="3012"/>
    </row>
    <row r="84" spans="9:18">
      <c r="I84" s="3011"/>
      <c r="J84" s="689"/>
      <c r="K84" s="689"/>
      <c r="L84" s="3012"/>
      <c r="O84" s="3011"/>
      <c r="P84" s="689"/>
      <c r="Q84" s="689"/>
      <c r="R84" s="3012"/>
    </row>
    <row r="85" spans="9:18">
      <c r="I85" s="3011"/>
      <c r="J85" s="689"/>
      <c r="K85" s="689"/>
      <c r="L85" s="3012"/>
      <c r="O85" s="3011"/>
      <c r="P85" s="689"/>
      <c r="Q85" s="689"/>
      <c r="R85" s="3012"/>
    </row>
    <row r="86" spans="9:18">
      <c r="I86" s="3011"/>
      <c r="J86" s="689"/>
      <c r="K86" s="689"/>
      <c r="L86" s="3012"/>
      <c r="O86" s="3011"/>
      <c r="P86" s="689"/>
      <c r="Q86" s="689"/>
      <c r="R86" s="3012"/>
    </row>
    <row r="87" spans="9:18">
      <c r="I87" s="3011"/>
      <c r="J87" s="689"/>
      <c r="K87" s="689"/>
      <c r="L87" s="3012"/>
      <c r="O87" s="3011"/>
      <c r="P87" s="689"/>
      <c r="Q87" s="689"/>
      <c r="R87" s="3012"/>
    </row>
    <row r="88" spans="9:18">
      <c r="I88" s="3011"/>
      <c r="J88" s="689"/>
      <c r="K88" s="689"/>
      <c r="L88" s="3012"/>
      <c r="O88" s="3011"/>
      <c r="P88" s="689"/>
      <c r="Q88" s="689"/>
      <c r="R88" s="3012"/>
    </row>
    <row r="89" spans="9:18">
      <c r="I89" s="3011"/>
      <c r="J89" s="689"/>
      <c r="K89" s="689"/>
      <c r="L89" s="3012"/>
      <c r="O89" s="3011"/>
      <c r="P89" s="689"/>
      <c r="Q89" s="689"/>
      <c r="R89" s="3012"/>
    </row>
    <row r="90" spans="9:18">
      <c r="I90" s="3011"/>
      <c r="J90" s="689"/>
      <c r="K90" s="689"/>
      <c r="L90" s="3012"/>
      <c r="O90" s="3011"/>
      <c r="P90" s="689"/>
      <c r="Q90" s="689"/>
      <c r="R90" s="3012"/>
    </row>
    <row r="91" spans="9:18">
      <c r="I91" s="3011"/>
      <c r="J91" s="689"/>
      <c r="K91" s="689"/>
      <c r="L91" s="3012"/>
      <c r="O91" s="3011"/>
      <c r="P91" s="689"/>
      <c r="Q91" s="689"/>
      <c r="R91" s="3012"/>
    </row>
    <row r="92" spans="9:18">
      <c r="I92" s="3011"/>
      <c r="J92" s="689"/>
      <c r="K92" s="689"/>
      <c r="L92" s="3012"/>
      <c r="O92" s="3011"/>
      <c r="P92" s="689"/>
      <c r="Q92" s="689"/>
      <c r="R92" s="3012"/>
    </row>
    <row r="93" spans="9:18">
      <c r="I93" s="3011"/>
      <c r="J93" s="689"/>
      <c r="K93" s="689"/>
      <c r="L93" s="3012"/>
      <c r="O93" s="3011"/>
      <c r="P93" s="689"/>
      <c r="Q93" s="689"/>
      <c r="R93" s="3012"/>
    </row>
    <row r="94" spans="9:18">
      <c r="I94" s="3011"/>
      <c r="J94" s="689"/>
      <c r="K94" s="689"/>
      <c r="L94" s="3012"/>
      <c r="O94" s="3011"/>
      <c r="P94" s="689"/>
      <c r="Q94" s="689"/>
      <c r="R94" s="3012"/>
    </row>
    <row r="95" spans="9:18">
      <c r="I95" s="3011"/>
      <c r="J95" s="689"/>
      <c r="K95" s="689"/>
      <c r="L95" s="3012"/>
      <c r="O95" s="3011"/>
      <c r="P95" s="689"/>
      <c r="Q95" s="689"/>
      <c r="R95" s="3012"/>
    </row>
    <row r="96" spans="9:18">
      <c r="I96" s="3011"/>
      <c r="J96" s="689"/>
      <c r="K96" s="689"/>
      <c r="L96" s="3012"/>
      <c r="O96" s="3011"/>
      <c r="P96" s="689"/>
      <c r="Q96" s="689"/>
      <c r="R96" s="3012"/>
    </row>
    <row r="97" spans="9:18">
      <c r="I97" s="3011"/>
      <c r="J97" s="689"/>
      <c r="K97" s="689"/>
      <c r="L97" s="3012"/>
      <c r="O97" s="3011"/>
      <c r="P97" s="689"/>
      <c r="Q97" s="689"/>
      <c r="R97" s="3012"/>
    </row>
    <row r="98" spans="9:18">
      <c r="I98" s="3011"/>
      <c r="J98" s="689"/>
      <c r="K98" s="689"/>
      <c r="L98" s="3012"/>
      <c r="O98" s="3011"/>
      <c r="P98" s="689"/>
      <c r="Q98" s="689"/>
      <c r="R98" s="3012"/>
    </row>
    <row r="99" spans="9:18">
      <c r="I99" s="3011"/>
      <c r="J99" s="689"/>
      <c r="K99" s="689"/>
      <c r="L99" s="3012"/>
      <c r="O99" s="3011"/>
      <c r="P99" s="689"/>
      <c r="Q99" s="689"/>
      <c r="R99" s="3012"/>
    </row>
    <row r="100" spans="9:18">
      <c r="I100" s="3011"/>
      <c r="J100" s="689"/>
      <c r="K100" s="689"/>
      <c r="L100" s="3012"/>
      <c r="O100" s="3011"/>
      <c r="P100" s="689"/>
      <c r="Q100" s="689"/>
      <c r="R100" s="3012"/>
    </row>
    <row r="101" spans="9:18">
      <c r="I101" s="3011"/>
      <c r="J101" s="689"/>
      <c r="K101" s="689"/>
      <c r="L101" s="3012"/>
      <c r="O101" s="3011"/>
      <c r="P101" s="689"/>
      <c r="Q101" s="689"/>
      <c r="R101" s="3012"/>
    </row>
    <row r="102" spans="9:18">
      <c r="I102" s="3011"/>
      <c r="J102" s="689"/>
      <c r="K102" s="689"/>
      <c r="L102" s="3012"/>
      <c r="O102" s="3011"/>
      <c r="P102" s="689"/>
      <c r="Q102" s="689"/>
      <c r="R102" s="3012"/>
    </row>
    <row r="103" spans="9:18">
      <c r="I103" s="3011"/>
      <c r="J103" s="689"/>
      <c r="K103" s="689"/>
      <c r="L103" s="3012"/>
      <c r="O103" s="3011"/>
      <c r="P103" s="689"/>
      <c r="Q103" s="689"/>
      <c r="R103" s="3012"/>
    </row>
    <row r="104" spans="9:18">
      <c r="I104" s="3011"/>
      <c r="J104" s="689"/>
      <c r="K104" s="689"/>
      <c r="L104" s="3012"/>
      <c r="O104" s="3011"/>
      <c r="P104" s="689"/>
      <c r="Q104" s="689"/>
      <c r="R104" s="3012"/>
    </row>
    <row r="105" spans="9:18">
      <c r="I105" s="3011"/>
      <c r="J105" s="689"/>
      <c r="K105" s="689"/>
      <c r="L105" s="3012"/>
      <c r="O105" s="3011"/>
      <c r="P105" s="689"/>
      <c r="Q105" s="689"/>
      <c r="R105" s="3012"/>
    </row>
    <row r="106" spans="9:18">
      <c r="I106" s="3011"/>
      <c r="J106" s="689"/>
      <c r="K106" s="689"/>
      <c r="L106" s="3012"/>
      <c r="O106" s="3011"/>
      <c r="P106" s="689"/>
      <c r="Q106" s="689"/>
      <c r="R106" s="3012"/>
    </row>
    <row r="107" spans="9:18">
      <c r="I107" s="3011"/>
      <c r="J107" s="689"/>
      <c r="K107" s="689"/>
      <c r="L107" s="3012"/>
      <c r="O107" s="3011"/>
      <c r="P107" s="689"/>
      <c r="Q107" s="689"/>
      <c r="R107" s="3012"/>
    </row>
    <row r="108" spans="9:18">
      <c r="I108" s="3011"/>
      <c r="J108" s="689"/>
      <c r="K108" s="689"/>
      <c r="L108" s="3012"/>
      <c r="O108" s="3011"/>
      <c r="P108" s="689"/>
      <c r="Q108" s="689"/>
      <c r="R108" s="3012"/>
    </row>
    <row r="109" spans="9:18">
      <c r="I109" s="3011"/>
      <c r="J109" s="689"/>
      <c r="K109" s="689"/>
      <c r="L109" s="3012"/>
      <c r="O109" s="3011"/>
      <c r="P109" s="689"/>
      <c r="Q109" s="689"/>
      <c r="R109" s="3012"/>
    </row>
    <row r="110" spans="9:18">
      <c r="I110" s="3011"/>
      <c r="J110" s="689"/>
      <c r="K110" s="689"/>
      <c r="L110" s="3012"/>
      <c r="O110" s="3011"/>
      <c r="P110" s="689"/>
      <c r="Q110" s="689"/>
      <c r="R110" s="3012"/>
    </row>
    <row r="111" spans="9:18">
      <c r="I111" s="3011"/>
      <c r="J111" s="689"/>
      <c r="K111" s="689"/>
      <c r="L111" s="3012"/>
      <c r="O111" s="3011"/>
      <c r="P111" s="689"/>
      <c r="Q111" s="689"/>
      <c r="R111" s="3012"/>
    </row>
    <row r="112" spans="9:18">
      <c r="I112" s="3011"/>
      <c r="J112" s="689"/>
      <c r="K112" s="689"/>
      <c r="L112" s="3012"/>
      <c r="O112" s="3011"/>
      <c r="P112" s="689"/>
      <c r="Q112" s="689"/>
      <c r="R112" s="3012"/>
    </row>
    <row r="113" spans="9:18">
      <c r="I113" s="3011"/>
      <c r="J113" s="689"/>
      <c r="K113" s="689"/>
      <c r="L113" s="3012"/>
      <c r="O113" s="3011"/>
      <c r="P113" s="689"/>
      <c r="Q113" s="689"/>
      <c r="R113" s="3012"/>
    </row>
    <row r="114" spans="9:18">
      <c r="I114" s="3011"/>
      <c r="J114" s="689"/>
      <c r="K114" s="689"/>
      <c r="L114" s="3012"/>
      <c r="O114" s="3011"/>
      <c r="P114" s="689"/>
      <c r="Q114" s="689"/>
      <c r="R114" s="3012"/>
    </row>
    <row r="115" spans="9:18">
      <c r="I115" s="3011"/>
      <c r="J115" s="689"/>
      <c r="K115" s="689"/>
      <c r="L115" s="3012"/>
      <c r="O115" s="3011"/>
      <c r="P115" s="689"/>
      <c r="Q115" s="689"/>
      <c r="R115" s="3012"/>
    </row>
    <row r="116" spans="9:18">
      <c r="I116" s="3011"/>
      <c r="J116" s="689"/>
      <c r="K116" s="689"/>
      <c r="L116" s="3012"/>
      <c r="O116" s="3011"/>
      <c r="P116" s="689"/>
      <c r="Q116" s="689"/>
      <c r="R116" s="3012"/>
    </row>
    <row r="117" spans="9:18">
      <c r="I117" s="3011"/>
      <c r="J117" s="689"/>
      <c r="K117" s="689"/>
      <c r="L117" s="3012"/>
      <c r="O117" s="3011"/>
      <c r="P117" s="689"/>
      <c r="Q117" s="689"/>
      <c r="R117" s="3012"/>
    </row>
    <row r="118" spans="9:18">
      <c r="I118" s="3011"/>
      <c r="J118" s="689"/>
      <c r="K118" s="689"/>
      <c r="L118" s="3012"/>
      <c r="O118" s="3011"/>
      <c r="P118" s="689"/>
      <c r="Q118" s="689"/>
      <c r="R118" s="3012"/>
    </row>
    <row r="119" spans="9:18">
      <c r="I119" s="3011"/>
      <c r="J119" s="689"/>
      <c r="K119" s="689"/>
      <c r="L119" s="3012"/>
      <c r="O119" s="3011"/>
      <c r="P119" s="689"/>
      <c r="Q119" s="689"/>
      <c r="R119" s="3012"/>
    </row>
    <row r="120" spans="9:18">
      <c r="I120" s="3011"/>
      <c r="J120" s="689"/>
      <c r="K120" s="689"/>
      <c r="L120" s="3012"/>
      <c r="O120" s="3011"/>
      <c r="P120" s="689"/>
      <c r="Q120" s="689"/>
      <c r="R120" s="3012"/>
    </row>
    <row r="121" spans="9:18">
      <c r="I121" s="3011"/>
      <c r="J121" s="689"/>
      <c r="K121" s="689"/>
      <c r="L121" s="3012"/>
      <c r="O121" s="3011"/>
      <c r="P121" s="689"/>
      <c r="Q121" s="689"/>
      <c r="R121" s="3012"/>
    </row>
    <row r="122" spans="9:18">
      <c r="I122" s="3011"/>
      <c r="J122" s="689"/>
      <c r="K122" s="689"/>
      <c r="L122" s="3012"/>
      <c r="O122" s="3011"/>
      <c r="P122" s="689"/>
      <c r="Q122" s="689"/>
      <c r="R122" s="3012"/>
    </row>
    <row r="123" spans="9:18">
      <c r="I123" s="3011"/>
      <c r="J123" s="689"/>
      <c r="K123" s="689"/>
      <c r="L123" s="3012"/>
      <c r="O123" s="3011"/>
      <c r="P123" s="689"/>
      <c r="Q123" s="689"/>
      <c r="R123" s="3012"/>
    </row>
    <row r="124" spans="9:18">
      <c r="I124" s="3011"/>
      <c r="J124" s="689"/>
      <c r="K124" s="689"/>
      <c r="L124" s="3012"/>
      <c r="O124" s="3011"/>
      <c r="P124" s="689"/>
      <c r="Q124" s="689"/>
      <c r="R124" s="3012"/>
    </row>
    <row r="125" spans="9:18">
      <c r="I125" s="3011"/>
      <c r="J125" s="689"/>
      <c r="K125" s="689"/>
      <c r="L125" s="3012"/>
      <c r="O125" s="3011"/>
      <c r="P125" s="689"/>
      <c r="Q125" s="689"/>
      <c r="R125" s="3012"/>
    </row>
    <row r="126" spans="9:18">
      <c r="I126" s="3011"/>
      <c r="J126" s="689"/>
      <c r="K126" s="689"/>
      <c r="L126" s="3012"/>
      <c r="O126" s="3011"/>
      <c r="P126" s="689"/>
      <c r="Q126" s="689"/>
      <c r="R126" s="3012"/>
    </row>
    <row r="127" spans="9:18">
      <c r="I127" s="3011"/>
      <c r="J127" s="689"/>
      <c r="K127" s="689"/>
      <c r="L127" s="3012"/>
      <c r="O127" s="3011"/>
      <c r="P127" s="689"/>
      <c r="Q127" s="689"/>
      <c r="R127" s="3012"/>
    </row>
    <row r="128" spans="9:18">
      <c r="I128" s="3011"/>
      <c r="J128" s="689"/>
      <c r="K128" s="689"/>
      <c r="L128" s="3012"/>
      <c r="O128" s="3011"/>
      <c r="P128" s="689"/>
      <c r="Q128" s="689"/>
      <c r="R128" s="3012"/>
    </row>
    <row r="129" spans="9:18">
      <c r="I129" s="3011"/>
      <c r="J129" s="689"/>
      <c r="K129" s="689"/>
      <c r="L129" s="3012"/>
      <c r="O129" s="3011"/>
      <c r="P129" s="689"/>
      <c r="Q129" s="689"/>
      <c r="R129" s="3012"/>
    </row>
    <row r="130" spans="9:18">
      <c r="I130" s="3011"/>
      <c r="J130" s="689"/>
      <c r="K130" s="689"/>
      <c r="L130" s="3012"/>
      <c r="O130" s="3011"/>
      <c r="P130" s="689"/>
      <c r="Q130" s="689"/>
      <c r="R130" s="3012"/>
    </row>
    <row r="131" spans="9:18">
      <c r="I131" s="3011"/>
      <c r="J131" s="689"/>
      <c r="K131" s="689"/>
      <c r="L131" s="3012"/>
      <c r="O131" s="3011"/>
      <c r="P131" s="689"/>
      <c r="Q131" s="689"/>
      <c r="R131" s="3012"/>
    </row>
    <row r="132" spans="9:18">
      <c r="I132" s="3011"/>
      <c r="J132" s="689"/>
      <c r="K132" s="689"/>
      <c r="L132" s="3012"/>
      <c r="O132" s="3011"/>
      <c r="P132" s="689"/>
      <c r="Q132" s="689"/>
      <c r="R132" s="3012"/>
    </row>
    <row r="133" spans="9:18">
      <c r="I133" s="3011"/>
      <c r="J133" s="689"/>
      <c r="K133" s="689"/>
      <c r="L133" s="3012"/>
      <c r="O133" s="3011"/>
      <c r="P133" s="689"/>
      <c r="Q133" s="689"/>
      <c r="R133" s="3012"/>
    </row>
    <row r="134" spans="9:18">
      <c r="I134" s="3011"/>
      <c r="J134" s="689"/>
      <c r="K134" s="689"/>
      <c r="L134" s="3012"/>
      <c r="O134" s="3011"/>
      <c r="P134" s="689"/>
      <c r="Q134" s="689"/>
      <c r="R134" s="3012"/>
    </row>
    <row r="135" spans="9:18">
      <c r="I135" s="3011"/>
      <c r="J135" s="689"/>
      <c r="K135" s="689"/>
      <c r="L135" s="3012"/>
      <c r="O135" s="3011"/>
      <c r="P135" s="689"/>
      <c r="Q135" s="689"/>
      <c r="R135" s="3012"/>
    </row>
    <row r="136" spans="9:18">
      <c r="I136" s="3011"/>
      <c r="J136" s="689"/>
      <c r="K136" s="689"/>
      <c r="L136" s="3012"/>
      <c r="O136" s="3011"/>
      <c r="P136" s="689"/>
      <c r="Q136" s="689"/>
      <c r="R136" s="3012"/>
    </row>
    <row r="137" spans="9:18">
      <c r="I137" s="3011"/>
      <c r="J137" s="689"/>
      <c r="K137" s="689"/>
      <c r="L137" s="3012"/>
      <c r="O137" s="3011"/>
      <c r="P137" s="689"/>
      <c r="Q137" s="689"/>
      <c r="R137" s="3012"/>
    </row>
    <row r="138" spans="9:18">
      <c r="I138" s="3011"/>
      <c r="J138" s="689"/>
      <c r="K138" s="689"/>
      <c r="L138" s="3012"/>
      <c r="O138" s="3011"/>
      <c r="P138" s="689"/>
      <c r="Q138" s="689"/>
      <c r="R138" s="3012"/>
    </row>
    <row r="139" spans="9:18">
      <c r="I139" s="3011"/>
      <c r="J139" s="689"/>
      <c r="K139" s="689"/>
      <c r="L139" s="3012"/>
      <c r="O139" s="3011"/>
      <c r="P139" s="689"/>
      <c r="Q139" s="689"/>
      <c r="R139" s="3012"/>
    </row>
    <row r="140" spans="9:18">
      <c r="I140" s="3011"/>
      <c r="J140" s="689"/>
      <c r="K140" s="689"/>
      <c r="L140" s="3012"/>
      <c r="O140" s="3011"/>
      <c r="P140" s="689"/>
      <c r="Q140" s="689"/>
      <c r="R140" s="3012"/>
    </row>
    <row r="141" spans="9:18">
      <c r="I141" s="3011"/>
      <c r="J141" s="689"/>
      <c r="K141" s="689"/>
      <c r="L141" s="3012"/>
      <c r="O141" s="3011"/>
      <c r="P141" s="689"/>
      <c r="Q141" s="689"/>
      <c r="R141" s="3012"/>
    </row>
    <row r="142" spans="9:18">
      <c r="I142" s="3011"/>
      <c r="J142" s="689"/>
      <c r="K142" s="689"/>
      <c r="L142" s="3012"/>
      <c r="O142" s="3011"/>
      <c r="P142" s="689"/>
      <c r="Q142" s="689"/>
      <c r="R142" s="3012"/>
    </row>
    <row r="143" spans="9:18">
      <c r="I143" s="3011"/>
      <c r="J143" s="689"/>
      <c r="K143" s="689"/>
      <c r="L143" s="3012"/>
      <c r="O143" s="3011"/>
      <c r="P143" s="689"/>
      <c r="Q143" s="689"/>
      <c r="R143" s="3012"/>
    </row>
    <row r="144" spans="9:18">
      <c r="I144" s="3011"/>
      <c r="J144" s="689"/>
      <c r="K144" s="689"/>
      <c r="L144" s="3012"/>
      <c r="O144" s="3011"/>
      <c r="P144" s="689"/>
      <c r="Q144" s="689"/>
      <c r="R144" s="3012"/>
    </row>
    <row r="145" spans="9:18">
      <c r="I145" s="3011"/>
      <c r="J145" s="689"/>
      <c r="K145" s="689"/>
      <c r="L145" s="3012"/>
      <c r="O145" s="3011"/>
      <c r="P145" s="689"/>
      <c r="Q145" s="689"/>
      <c r="R145" s="3012"/>
    </row>
    <row r="146" spans="9:18">
      <c r="I146" s="3011"/>
      <c r="J146" s="689"/>
      <c r="K146" s="689"/>
      <c r="L146" s="3012"/>
      <c r="O146" s="3011"/>
      <c r="P146" s="689"/>
      <c r="Q146" s="689"/>
      <c r="R146" s="3012"/>
    </row>
    <row r="147" spans="9:18">
      <c r="I147" s="3011"/>
      <c r="J147" s="689"/>
      <c r="K147" s="689"/>
      <c r="L147" s="3012"/>
      <c r="O147" s="3011"/>
      <c r="P147" s="689"/>
      <c r="Q147" s="689"/>
      <c r="R147" s="3012"/>
    </row>
    <row r="148" spans="9:18">
      <c r="I148" s="3011"/>
      <c r="J148" s="689"/>
      <c r="K148" s="689"/>
      <c r="L148" s="3012"/>
      <c r="O148" s="3011"/>
      <c r="P148" s="689"/>
      <c r="Q148" s="689"/>
      <c r="R148" s="3012"/>
    </row>
    <row r="149" spans="9:18">
      <c r="I149" s="3011"/>
      <c r="J149" s="689"/>
      <c r="K149" s="689"/>
      <c r="L149" s="3012"/>
      <c r="O149" s="3011"/>
      <c r="P149" s="689"/>
      <c r="Q149" s="689"/>
      <c r="R149" s="3012"/>
    </row>
    <row r="150" spans="9:18">
      <c r="I150" s="3011"/>
      <c r="J150" s="689"/>
      <c r="K150" s="689"/>
      <c r="L150" s="3012"/>
      <c r="O150" s="3011"/>
      <c r="P150" s="689"/>
      <c r="Q150" s="689"/>
      <c r="R150" s="3012"/>
    </row>
    <row r="151" spans="9:18">
      <c r="I151" s="3011"/>
      <c r="J151" s="689"/>
      <c r="K151" s="689"/>
      <c r="L151" s="3012"/>
      <c r="O151" s="3011"/>
      <c r="P151" s="689"/>
      <c r="Q151" s="689"/>
      <c r="R151" s="3012"/>
    </row>
    <row r="152" spans="9:18">
      <c r="I152" s="3011"/>
      <c r="J152" s="689"/>
      <c r="K152" s="689"/>
      <c r="L152" s="3012"/>
      <c r="O152" s="3011"/>
      <c r="P152" s="689"/>
      <c r="Q152" s="689"/>
      <c r="R152" s="3012"/>
    </row>
    <row r="153" spans="9:18">
      <c r="I153" s="3011"/>
      <c r="J153" s="689"/>
      <c r="K153" s="689"/>
      <c r="L153" s="3012"/>
      <c r="O153" s="3011"/>
      <c r="P153" s="689"/>
      <c r="Q153" s="689"/>
      <c r="R153" s="3012"/>
    </row>
    <row r="154" spans="9:18">
      <c r="I154" s="3011"/>
      <c r="J154" s="689"/>
      <c r="K154" s="689"/>
      <c r="L154" s="3012"/>
      <c r="O154" s="3011"/>
      <c r="P154" s="689"/>
      <c r="Q154" s="689"/>
      <c r="R154" s="3012"/>
    </row>
    <row r="155" spans="9:18">
      <c r="I155" s="3011"/>
      <c r="J155" s="689"/>
      <c r="K155" s="689"/>
      <c r="L155" s="3012"/>
      <c r="O155" s="3011"/>
      <c r="P155" s="689"/>
      <c r="Q155" s="689"/>
      <c r="R155" s="3012"/>
    </row>
    <row r="156" spans="9:18">
      <c r="I156" s="3011"/>
      <c r="J156" s="689"/>
      <c r="K156" s="689"/>
      <c r="L156" s="3012"/>
      <c r="O156" s="3011"/>
      <c r="P156" s="689"/>
      <c r="Q156" s="689"/>
      <c r="R156" s="3012"/>
    </row>
    <row r="157" spans="9:18">
      <c r="I157" s="3011"/>
      <c r="J157" s="689"/>
      <c r="K157" s="689"/>
      <c r="L157" s="3012"/>
      <c r="O157" s="3011"/>
      <c r="P157" s="689"/>
      <c r="Q157" s="689"/>
      <c r="R157" s="3012"/>
    </row>
    <row r="158" spans="9:18">
      <c r="I158" s="3011"/>
      <c r="J158" s="689"/>
      <c r="K158" s="689"/>
      <c r="L158" s="3012"/>
      <c r="O158" s="3011"/>
      <c r="P158" s="689"/>
      <c r="Q158" s="689"/>
      <c r="R158" s="3012"/>
    </row>
    <row r="159" spans="9:18">
      <c r="I159" s="3011"/>
      <c r="J159" s="689"/>
      <c r="K159" s="689"/>
      <c r="L159" s="3012"/>
      <c r="O159" s="3011"/>
      <c r="P159" s="689"/>
      <c r="Q159" s="689"/>
      <c r="R159" s="3012"/>
    </row>
    <row r="160" spans="9:18">
      <c r="I160" s="3011"/>
      <c r="J160" s="689"/>
      <c r="K160" s="689"/>
      <c r="L160" s="3012"/>
      <c r="O160" s="3011"/>
      <c r="P160" s="689"/>
      <c r="Q160" s="689"/>
      <c r="R160" s="3012"/>
    </row>
    <row r="161" spans="9:18">
      <c r="I161" s="3011"/>
      <c r="J161" s="689"/>
      <c r="K161" s="689"/>
      <c r="L161" s="3012"/>
      <c r="O161" s="3011"/>
      <c r="P161" s="689"/>
      <c r="Q161" s="689"/>
      <c r="R161" s="3012"/>
    </row>
    <row r="162" spans="9:18">
      <c r="I162" s="3011"/>
      <c r="J162" s="689"/>
      <c r="K162" s="689"/>
      <c r="L162" s="3012"/>
      <c r="O162" s="3011"/>
      <c r="P162" s="689"/>
      <c r="Q162" s="689"/>
      <c r="R162" s="3012"/>
    </row>
    <row r="163" spans="9:18">
      <c r="I163" s="3011"/>
      <c r="J163" s="689"/>
      <c r="K163" s="689"/>
      <c r="L163" s="3012"/>
      <c r="O163" s="3011"/>
      <c r="P163" s="689"/>
      <c r="Q163" s="689"/>
      <c r="R163" s="3012"/>
    </row>
    <row r="164" spans="9:18">
      <c r="I164" s="3011"/>
      <c r="J164" s="689"/>
      <c r="K164" s="689"/>
      <c r="L164" s="3012"/>
      <c r="O164" s="3011"/>
      <c r="P164" s="689"/>
      <c r="Q164" s="689"/>
      <c r="R164" s="3012"/>
    </row>
    <row r="165" spans="9:18">
      <c r="I165" s="3011"/>
      <c r="J165" s="689"/>
      <c r="K165" s="689"/>
      <c r="L165" s="3012"/>
      <c r="O165" s="3011"/>
      <c r="P165" s="689"/>
      <c r="Q165" s="689"/>
      <c r="R165" s="3012"/>
    </row>
    <row r="166" spans="9:18">
      <c r="I166" s="3011"/>
      <c r="J166" s="689"/>
      <c r="K166" s="689"/>
      <c r="L166" s="3012"/>
      <c r="O166" s="3011"/>
      <c r="P166" s="689"/>
      <c r="Q166" s="689"/>
      <c r="R166" s="3012"/>
    </row>
    <row r="167" spans="9:18">
      <c r="I167" s="3011"/>
      <c r="J167" s="689"/>
      <c r="K167" s="689"/>
      <c r="L167" s="3012"/>
      <c r="O167" s="3011"/>
      <c r="P167" s="689"/>
      <c r="Q167" s="689"/>
      <c r="R167" s="3012"/>
    </row>
    <row r="168" spans="9:18">
      <c r="I168" s="3011"/>
      <c r="J168" s="689"/>
      <c r="K168" s="689"/>
      <c r="L168" s="3012"/>
      <c r="O168" s="3011"/>
      <c r="P168" s="689"/>
      <c r="Q168" s="689"/>
      <c r="R168" s="3012"/>
    </row>
    <row r="169" spans="9:18">
      <c r="I169" s="3011"/>
      <c r="J169" s="689"/>
      <c r="K169" s="689"/>
      <c r="L169" s="3012"/>
      <c r="O169" s="3011"/>
      <c r="P169" s="689"/>
      <c r="Q169" s="689"/>
      <c r="R169" s="3012"/>
    </row>
    <row r="170" spans="9:18">
      <c r="I170" s="3011"/>
      <c r="J170" s="689"/>
      <c r="K170" s="689"/>
      <c r="L170" s="3012"/>
      <c r="O170" s="3011"/>
      <c r="P170" s="689"/>
      <c r="Q170" s="689"/>
      <c r="R170" s="3012"/>
    </row>
    <row r="171" spans="9:18">
      <c r="I171" s="3011"/>
      <c r="J171" s="689"/>
      <c r="K171" s="689"/>
      <c r="L171" s="3012"/>
      <c r="O171" s="3011"/>
      <c r="P171" s="689"/>
      <c r="Q171" s="689"/>
      <c r="R171" s="3012"/>
    </row>
    <row r="172" spans="9:18">
      <c r="I172" s="3011"/>
      <c r="J172" s="689"/>
      <c r="K172" s="689"/>
      <c r="L172" s="3012"/>
      <c r="O172" s="3011"/>
      <c r="P172" s="689"/>
      <c r="Q172" s="689"/>
      <c r="R172" s="3012"/>
    </row>
    <row r="173" spans="9:18">
      <c r="I173" s="3011"/>
      <c r="J173" s="689"/>
      <c r="K173" s="689"/>
      <c r="L173" s="3012"/>
      <c r="O173" s="3011"/>
      <c r="P173" s="689"/>
      <c r="Q173" s="689"/>
      <c r="R173" s="3012"/>
    </row>
    <row r="174" spans="9:18">
      <c r="I174" s="3011"/>
      <c r="J174" s="689"/>
      <c r="K174" s="689"/>
      <c r="L174" s="3012"/>
      <c r="O174" s="3011"/>
      <c r="P174" s="689"/>
      <c r="Q174" s="689"/>
      <c r="R174" s="3012"/>
    </row>
    <row r="175" spans="9:18">
      <c r="I175" s="3011"/>
      <c r="J175" s="689"/>
      <c r="K175" s="689"/>
      <c r="L175" s="3012"/>
      <c r="O175" s="3011"/>
      <c r="P175" s="689"/>
      <c r="Q175" s="689"/>
      <c r="R175" s="3012"/>
    </row>
    <row r="176" spans="9:18">
      <c r="I176" s="3011"/>
      <c r="J176" s="689"/>
      <c r="K176" s="689"/>
      <c r="L176" s="3012"/>
      <c r="O176" s="3011"/>
      <c r="P176" s="689"/>
      <c r="Q176" s="689"/>
      <c r="R176" s="3012"/>
    </row>
    <row r="177" spans="9:18">
      <c r="I177" s="3011"/>
      <c r="J177" s="689"/>
      <c r="K177" s="689"/>
      <c r="L177" s="3012"/>
      <c r="O177" s="3011"/>
      <c r="P177" s="689"/>
      <c r="Q177" s="689"/>
      <c r="R177" s="3012"/>
    </row>
    <row r="178" spans="9:18">
      <c r="I178" s="3011"/>
      <c r="J178" s="689"/>
      <c r="K178" s="689"/>
      <c r="L178" s="3012"/>
      <c r="O178" s="3011"/>
      <c r="P178" s="689"/>
      <c r="Q178" s="689"/>
      <c r="R178" s="3012"/>
    </row>
    <row r="179" spans="9:18">
      <c r="I179" s="3011"/>
      <c r="J179" s="689"/>
      <c r="K179" s="689"/>
      <c r="L179" s="3012"/>
      <c r="O179" s="3011"/>
      <c r="P179" s="689"/>
      <c r="Q179" s="689"/>
      <c r="R179" s="3012"/>
    </row>
    <row r="180" spans="9:18">
      <c r="I180" s="3011"/>
      <c r="J180" s="689"/>
      <c r="K180" s="689"/>
      <c r="L180" s="3012"/>
      <c r="O180" s="3011"/>
      <c r="P180" s="689"/>
      <c r="Q180" s="689"/>
      <c r="R180" s="3012"/>
    </row>
    <row r="181" spans="9:18">
      <c r="I181" s="3011"/>
      <c r="J181" s="689"/>
      <c r="K181" s="689"/>
      <c r="L181" s="3012"/>
      <c r="O181" s="3011"/>
      <c r="P181" s="689"/>
      <c r="Q181" s="689"/>
      <c r="R181" s="3012"/>
    </row>
    <row r="182" spans="9:18">
      <c r="I182" s="3011"/>
      <c r="J182" s="689"/>
      <c r="K182" s="689"/>
      <c r="L182" s="3012"/>
      <c r="O182" s="3011"/>
      <c r="P182" s="689"/>
      <c r="Q182" s="689"/>
      <c r="R182" s="3012"/>
    </row>
    <row r="183" spans="9:18">
      <c r="I183" s="3011"/>
      <c r="J183" s="689"/>
      <c r="K183" s="689"/>
      <c r="L183" s="3012"/>
      <c r="O183" s="3011"/>
      <c r="P183" s="689"/>
      <c r="Q183" s="689"/>
      <c r="R183" s="3012"/>
    </row>
    <row r="184" spans="9:18">
      <c r="I184" s="3011"/>
      <c r="J184" s="689"/>
      <c r="K184" s="689"/>
      <c r="L184" s="3012"/>
      <c r="O184" s="3011"/>
      <c r="P184" s="689"/>
      <c r="Q184" s="689"/>
      <c r="R184" s="3012"/>
    </row>
    <row r="185" spans="9:18">
      <c r="I185" s="3011"/>
      <c r="J185" s="689"/>
      <c r="K185" s="689"/>
      <c r="L185" s="3012"/>
      <c r="O185" s="3011"/>
      <c r="P185" s="689"/>
      <c r="Q185" s="689"/>
      <c r="R185" s="3012"/>
    </row>
    <row r="186" spans="9:18">
      <c r="I186" s="3011"/>
      <c r="J186" s="689"/>
      <c r="K186" s="689"/>
      <c r="L186" s="3012"/>
      <c r="O186" s="3011"/>
      <c r="P186" s="689"/>
      <c r="Q186" s="689"/>
      <c r="R186" s="3012"/>
    </row>
    <row r="187" spans="9:18">
      <c r="I187" s="3011"/>
      <c r="J187" s="689"/>
      <c r="K187" s="689"/>
      <c r="L187" s="3012"/>
      <c r="O187" s="3011"/>
      <c r="P187" s="689"/>
      <c r="Q187" s="689"/>
      <c r="R187" s="3012"/>
    </row>
    <row r="188" spans="9:18">
      <c r="I188" s="3011"/>
      <c r="J188" s="689"/>
      <c r="K188" s="689"/>
      <c r="L188" s="3012"/>
      <c r="O188" s="3011"/>
      <c r="P188" s="689"/>
      <c r="Q188" s="689"/>
      <c r="R188" s="3012"/>
    </row>
    <row r="189" spans="9:18">
      <c r="I189" s="3011"/>
      <c r="J189" s="689"/>
      <c r="K189" s="689"/>
      <c r="L189" s="3012"/>
      <c r="O189" s="3011"/>
      <c r="P189" s="689"/>
      <c r="Q189" s="689"/>
      <c r="R189" s="3012"/>
    </row>
    <row r="190" spans="9:18">
      <c r="I190" s="3011"/>
      <c r="J190" s="689"/>
      <c r="K190" s="689"/>
      <c r="L190" s="3012"/>
      <c r="O190" s="3011"/>
      <c r="P190" s="689"/>
      <c r="Q190" s="689"/>
      <c r="R190" s="3012"/>
    </row>
    <row r="191" spans="9:18">
      <c r="I191" s="3011"/>
      <c r="J191" s="689"/>
      <c r="K191" s="689"/>
      <c r="L191" s="3012"/>
      <c r="O191" s="3011"/>
      <c r="P191" s="689"/>
      <c r="Q191" s="689"/>
      <c r="R191" s="3012"/>
    </row>
    <row r="192" spans="9:18">
      <c r="I192" s="3011"/>
      <c r="J192" s="689"/>
      <c r="K192" s="689"/>
      <c r="L192" s="3012"/>
      <c r="O192" s="3011"/>
      <c r="P192" s="689"/>
      <c r="Q192" s="689"/>
      <c r="R192" s="3012"/>
    </row>
    <row r="193" spans="9:18">
      <c r="I193" s="3011"/>
      <c r="J193" s="689"/>
      <c r="K193" s="689"/>
      <c r="L193" s="3012"/>
      <c r="O193" s="3011"/>
      <c r="P193" s="689"/>
      <c r="Q193" s="689"/>
      <c r="R193" s="3012"/>
    </row>
    <row r="194" spans="9:18">
      <c r="I194" s="3011"/>
      <c r="J194" s="689"/>
      <c r="K194" s="689"/>
      <c r="L194" s="3012"/>
      <c r="O194" s="3011"/>
      <c r="P194" s="689"/>
      <c r="Q194" s="689"/>
      <c r="R194" s="3012"/>
    </row>
    <row r="195" spans="9:18">
      <c r="I195" s="3011"/>
      <c r="J195" s="689"/>
      <c r="K195" s="689"/>
      <c r="L195" s="3012"/>
      <c r="O195" s="3011"/>
      <c r="P195" s="689"/>
      <c r="Q195" s="689"/>
      <c r="R195" s="3012"/>
    </row>
    <row r="196" spans="9:18">
      <c r="I196" s="3011"/>
      <c r="J196" s="689"/>
      <c r="K196" s="689"/>
      <c r="L196" s="3012"/>
      <c r="O196" s="3011"/>
      <c r="P196" s="689"/>
      <c r="Q196" s="689"/>
      <c r="R196" s="3012"/>
    </row>
    <row r="197" spans="9:18">
      <c r="I197" s="3011"/>
      <c r="J197" s="689"/>
      <c r="K197" s="689"/>
      <c r="L197" s="3012"/>
      <c r="O197" s="3011"/>
      <c r="P197" s="689"/>
      <c r="Q197" s="689"/>
      <c r="R197" s="3012"/>
    </row>
    <row r="198" spans="9:18">
      <c r="I198" s="3011"/>
      <c r="J198" s="689"/>
      <c r="K198" s="689"/>
      <c r="L198" s="3012"/>
      <c r="O198" s="3011"/>
      <c r="P198" s="689"/>
      <c r="Q198" s="689"/>
      <c r="R198" s="3012"/>
    </row>
    <row r="199" spans="9:18">
      <c r="I199" s="3011"/>
      <c r="J199" s="689"/>
      <c r="K199" s="689"/>
      <c r="L199" s="3012"/>
      <c r="O199" s="3011"/>
      <c r="P199" s="689"/>
      <c r="Q199" s="689"/>
      <c r="R199" s="3012"/>
    </row>
    <row r="200" spans="9:18">
      <c r="I200" s="3011"/>
      <c r="J200" s="689"/>
      <c r="K200" s="689"/>
      <c r="L200" s="3012"/>
      <c r="O200" s="3011"/>
      <c r="P200" s="689"/>
      <c r="Q200" s="689"/>
      <c r="R200" s="3012"/>
    </row>
    <row r="201" spans="9:18">
      <c r="I201" s="3011"/>
      <c r="J201" s="689"/>
      <c r="K201" s="689"/>
      <c r="L201" s="3012"/>
      <c r="O201" s="3011"/>
      <c r="P201" s="689"/>
      <c r="Q201" s="689"/>
      <c r="R201" s="3012"/>
    </row>
    <row r="202" spans="9:18">
      <c r="I202" s="3011"/>
      <c r="J202" s="689"/>
      <c r="K202" s="689"/>
      <c r="L202" s="3012"/>
      <c r="O202" s="3011"/>
      <c r="P202" s="689"/>
      <c r="Q202" s="689"/>
      <c r="R202" s="3012"/>
    </row>
    <row r="203" spans="9:18">
      <c r="I203" s="3011"/>
      <c r="J203" s="689"/>
      <c r="K203" s="689"/>
      <c r="L203" s="3012"/>
      <c r="O203" s="3011"/>
      <c r="P203" s="689"/>
      <c r="Q203" s="689"/>
      <c r="R203" s="3012"/>
    </row>
    <row r="204" spans="9:18">
      <c r="I204" s="3011"/>
      <c r="J204" s="689"/>
      <c r="K204" s="689"/>
      <c r="L204" s="3012"/>
      <c r="O204" s="3011"/>
      <c r="P204" s="689"/>
      <c r="Q204" s="689"/>
      <c r="R204" s="3012"/>
    </row>
    <row r="205" spans="9:18">
      <c r="I205" s="3011"/>
      <c r="J205" s="689"/>
      <c r="K205" s="689"/>
      <c r="L205" s="3012"/>
      <c r="O205" s="3011"/>
      <c r="P205" s="689"/>
      <c r="Q205" s="689"/>
      <c r="R205" s="3012"/>
    </row>
    <row r="206" spans="9:18">
      <c r="I206" s="3011"/>
      <c r="J206" s="689"/>
      <c r="K206" s="689"/>
      <c r="L206" s="3012"/>
      <c r="O206" s="3011"/>
      <c r="P206" s="689"/>
      <c r="Q206" s="689"/>
      <c r="R206" s="3012"/>
    </row>
    <row r="207" spans="9:18">
      <c r="I207" s="3011"/>
      <c r="J207" s="689"/>
      <c r="K207" s="689"/>
      <c r="L207" s="3012"/>
      <c r="O207" s="3011"/>
      <c r="P207" s="689"/>
      <c r="Q207" s="689"/>
      <c r="R207" s="3012"/>
    </row>
    <row r="208" spans="9:18">
      <c r="I208" s="3011"/>
      <c r="J208" s="689"/>
      <c r="K208" s="689"/>
      <c r="L208" s="3012"/>
      <c r="O208" s="3011"/>
      <c r="P208" s="689"/>
      <c r="Q208" s="689"/>
      <c r="R208" s="3012"/>
    </row>
    <row r="209" spans="9:18">
      <c r="I209" s="3011"/>
      <c r="J209" s="689"/>
      <c r="K209" s="689"/>
      <c r="L209" s="3012"/>
      <c r="O209" s="3011"/>
      <c r="P209" s="689"/>
      <c r="Q209" s="689"/>
      <c r="R209" s="3012"/>
    </row>
    <row r="210" spans="9:18">
      <c r="I210" s="3011"/>
      <c r="J210" s="689"/>
      <c r="K210" s="689"/>
      <c r="L210" s="3012"/>
      <c r="O210" s="3011"/>
      <c r="P210" s="689"/>
      <c r="Q210" s="689"/>
      <c r="R210" s="3012"/>
    </row>
    <row r="211" spans="9:18">
      <c r="I211" s="3011"/>
      <c r="J211" s="689"/>
      <c r="K211" s="689"/>
      <c r="L211" s="3012"/>
      <c r="O211" s="3011"/>
      <c r="P211" s="689"/>
      <c r="Q211" s="689"/>
      <c r="R211" s="3012"/>
    </row>
    <row r="212" spans="9:18">
      <c r="I212" s="3011"/>
      <c r="J212" s="689"/>
      <c r="K212" s="689"/>
      <c r="L212" s="3012"/>
      <c r="O212" s="3011"/>
      <c r="P212" s="689"/>
      <c r="Q212" s="689"/>
      <c r="R212" s="3012"/>
    </row>
    <row r="213" spans="9:18">
      <c r="I213" s="3011"/>
      <c r="J213" s="689"/>
      <c r="K213" s="689"/>
      <c r="L213" s="3012"/>
      <c r="O213" s="3011"/>
      <c r="P213" s="689"/>
      <c r="Q213" s="689"/>
      <c r="R213" s="3012"/>
    </row>
    <row r="214" spans="9:18">
      <c r="I214" s="3011"/>
      <c r="J214" s="689"/>
      <c r="K214" s="689"/>
      <c r="L214" s="3012"/>
      <c r="O214" s="3011"/>
      <c r="P214" s="689"/>
      <c r="Q214" s="689"/>
      <c r="R214" s="3012"/>
    </row>
    <row r="215" spans="9:18">
      <c r="I215" s="3011"/>
      <c r="J215" s="689"/>
      <c r="K215" s="689"/>
      <c r="L215" s="3012"/>
      <c r="O215" s="3011"/>
      <c r="P215" s="689"/>
      <c r="Q215" s="689"/>
      <c r="R215" s="3012"/>
    </row>
    <row r="216" spans="9:18">
      <c r="I216" s="3011"/>
      <c r="J216" s="689"/>
      <c r="K216" s="689"/>
      <c r="L216" s="3012"/>
      <c r="O216" s="3011"/>
      <c r="P216" s="689"/>
      <c r="Q216" s="689"/>
      <c r="R216" s="3012"/>
    </row>
    <row r="217" spans="9:18">
      <c r="I217" s="3011"/>
      <c r="J217" s="689"/>
      <c r="K217" s="689"/>
      <c r="L217" s="3012"/>
      <c r="O217" s="3011"/>
      <c r="P217" s="689"/>
      <c r="Q217" s="689"/>
      <c r="R217" s="3012"/>
    </row>
    <row r="218" spans="9:18">
      <c r="I218" s="3011"/>
      <c r="J218" s="689"/>
      <c r="K218" s="689"/>
      <c r="L218" s="3012"/>
      <c r="O218" s="3011"/>
      <c r="P218" s="689"/>
      <c r="Q218" s="689"/>
      <c r="R218" s="3012"/>
    </row>
    <row r="219" spans="9:18">
      <c r="I219" s="3011"/>
      <c r="J219" s="689"/>
      <c r="K219" s="689"/>
      <c r="L219" s="3012"/>
      <c r="O219" s="3011"/>
      <c r="P219" s="689"/>
      <c r="Q219" s="689"/>
      <c r="R219" s="3012"/>
    </row>
    <row r="220" spans="9:18">
      <c r="I220" s="3011"/>
      <c r="J220" s="689"/>
      <c r="K220" s="689"/>
      <c r="L220" s="3012"/>
      <c r="O220" s="3011"/>
      <c r="P220" s="689"/>
      <c r="Q220" s="689"/>
      <c r="R220" s="3012"/>
    </row>
    <row r="221" spans="9:18">
      <c r="I221" s="3011"/>
      <c r="J221" s="689"/>
      <c r="K221" s="689"/>
      <c r="L221" s="3012"/>
      <c r="O221" s="3011"/>
      <c r="P221" s="689"/>
      <c r="Q221" s="689"/>
      <c r="R221" s="3012"/>
    </row>
    <row r="222" spans="9:18">
      <c r="I222" s="3011"/>
      <c r="J222" s="689"/>
      <c r="K222" s="689"/>
      <c r="L222" s="3012"/>
      <c r="O222" s="3011"/>
      <c r="P222" s="689"/>
      <c r="Q222" s="689"/>
      <c r="R222" s="3012"/>
    </row>
    <row r="223" spans="9:18">
      <c r="I223" s="3011"/>
      <c r="J223" s="689"/>
      <c r="K223" s="689"/>
      <c r="L223" s="3012"/>
      <c r="O223" s="3011"/>
      <c r="P223" s="689"/>
      <c r="Q223" s="689"/>
      <c r="R223" s="3012"/>
    </row>
    <row r="224" spans="9:18">
      <c r="I224" s="3011"/>
      <c r="J224" s="689"/>
      <c r="K224" s="689"/>
      <c r="L224" s="3012"/>
      <c r="O224" s="3011"/>
      <c r="P224" s="689"/>
      <c r="Q224" s="689"/>
      <c r="R224" s="3012"/>
    </row>
    <row r="225" spans="9:18">
      <c r="I225" s="3011"/>
      <c r="J225" s="689"/>
      <c r="K225" s="689"/>
      <c r="L225" s="3012"/>
      <c r="O225" s="3011"/>
      <c r="P225" s="689"/>
      <c r="Q225" s="689"/>
      <c r="R225" s="3012"/>
    </row>
    <row r="226" spans="9:18">
      <c r="I226" s="3011"/>
      <c r="J226" s="689"/>
      <c r="K226" s="689"/>
      <c r="L226" s="3012"/>
      <c r="O226" s="3011"/>
      <c r="P226" s="689"/>
      <c r="Q226" s="689"/>
      <c r="R226" s="3012"/>
    </row>
    <row r="227" spans="9:18">
      <c r="I227" s="3011"/>
      <c r="J227" s="689"/>
      <c r="K227" s="689"/>
      <c r="L227" s="3012"/>
      <c r="O227" s="3011"/>
      <c r="P227" s="689"/>
      <c r="Q227" s="689"/>
      <c r="R227" s="3012"/>
    </row>
    <row r="228" spans="9:18">
      <c r="I228" s="3011"/>
      <c r="J228" s="689"/>
      <c r="K228" s="689"/>
      <c r="L228" s="3012"/>
      <c r="O228" s="3011"/>
      <c r="P228" s="689"/>
      <c r="Q228" s="689"/>
      <c r="R228" s="3012"/>
    </row>
    <row r="229" spans="9:18">
      <c r="I229" s="3011"/>
      <c r="J229" s="689"/>
      <c r="K229" s="689"/>
      <c r="L229" s="3012"/>
      <c r="O229" s="3011"/>
      <c r="P229" s="689"/>
      <c r="Q229" s="689"/>
      <c r="R229" s="3012"/>
    </row>
    <row r="230" spans="9:18">
      <c r="I230" s="3011"/>
      <c r="J230" s="689"/>
      <c r="K230" s="689"/>
      <c r="L230" s="3012"/>
      <c r="O230" s="3011"/>
      <c r="P230" s="689"/>
      <c r="Q230" s="689"/>
      <c r="R230" s="3012"/>
    </row>
    <row r="231" spans="9:18">
      <c r="I231" s="3011"/>
      <c r="J231" s="689"/>
      <c r="K231" s="689"/>
      <c r="L231" s="3012"/>
      <c r="O231" s="3011"/>
      <c r="P231" s="689"/>
      <c r="Q231" s="689"/>
      <c r="R231" s="3012"/>
    </row>
    <row r="232" spans="9:18">
      <c r="I232" s="3011"/>
      <c r="J232" s="689"/>
      <c r="K232" s="689"/>
      <c r="L232" s="3012"/>
      <c r="O232" s="3011"/>
      <c r="P232" s="689"/>
      <c r="Q232" s="689"/>
      <c r="R232" s="3012"/>
    </row>
    <row r="233" spans="9:18">
      <c r="I233" s="3011"/>
      <c r="J233" s="689"/>
      <c r="K233" s="689"/>
      <c r="L233" s="3012"/>
      <c r="O233" s="3011"/>
      <c r="P233" s="689"/>
      <c r="Q233" s="689"/>
      <c r="R233" s="3012"/>
    </row>
    <row r="234" spans="9:18">
      <c r="I234" s="3011"/>
      <c r="J234" s="689"/>
      <c r="K234" s="689"/>
      <c r="L234" s="3012"/>
      <c r="O234" s="3011"/>
      <c r="P234" s="689"/>
      <c r="Q234" s="689"/>
      <c r="R234" s="3012"/>
    </row>
    <row r="235" spans="9:18">
      <c r="I235" s="3011"/>
      <c r="J235" s="689"/>
      <c r="K235" s="689"/>
      <c r="L235" s="3012"/>
      <c r="O235" s="3011"/>
      <c r="P235" s="689"/>
      <c r="Q235" s="689"/>
      <c r="R235" s="3012"/>
    </row>
    <row r="236" spans="9:18">
      <c r="I236" s="3011"/>
      <c r="J236" s="689"/>
      <c r="K236" s="689"/>
      <c r="L236" s="3012"/>
      <c r="O236" s="3011"/>
      <c r="P236" s="689"/>
      <c r="Q236" s="689"/>
      <c r="R236" s="3012"/>
    </row>
    <row r="237" spans="9:18">
      <c r="I237" s="3011"/>
      <c r="J237" s="689"/>
      <c r="K237" s="689"/>
      <c r="L237" s="3012"/>
      <c r="O237" s="3011"/>
      <c r="P237" s="689"/>
      <c r="Q237" s="689"/>
      <c r="R237" s="3012"/>
    </row>
    <row r="238" spans="9:18">
      <c r="I238" s="3011"/>
      <c r="J238" s="689"/>
      <c r="K238" s="689"/>
      <c r="L238" s="3012"/>
      <c r="O238" s="3011"/>
      <c r="P238" s="689"/>
      <c r="Q238" s="689"/>
      <c r="R238" s="3012"/>
    </row>
    <row r="239" spans="9:18">
      <c r="I239" s="3011"/>
      <c r="J239" s="689"/>
      <c r="K239" s="689"/>
      <c r="L239" s="3012"/>
      <c r="O239" s="3011"/>
      <c r="P239" s="689"/>
      <c r="Q239" s="689"/>
      <c r="R239" s="3012"/>
    </row>
    <row r="240" spans="9:18">
      <c r="I240" s="3011"/>
      <c r="J240" s="689"/>
      <c r="K240" s="689"/>
      <c r="L240" s="3012"/>
      <c r="O240" s="3011"/>
      <c r="P240" s="689"/>
      <c r="Q240" s="689"/>
      <c r="R240" s="3012"/>
    </row>
    <row r="241" spans="9:18">
      <c r="I241" s="3011"/>
      <c r="J241" s="689"/>
      <c r="K241" s="689"/>
      <c r="L241" s="3012"/>
      <c r="O241" s="3011"/>
      <c r="P241" s="689"/>
      <c r="Q241" s="689"/>
      <c r="R241" s="3012"/>
    </row>
    <row r="242" spans="9:18">
      <c r="I242" s="3011"/>
      <c r="J242" s="689"/>
      <c r="K242" s="689"/>
      <c r="L242" s="3012"/>
      <c r="O242" s="3011"/>
      <c r="P242" s="689"/>
      <c r="Q242" s="689"/>
      <c r="R242" s="3012"/>
    </row>
    <row r="243" spans="9:18">
      <c r="I243" s="3011"/>
      <c r="J243" s="689"/>
      <c r="K243" s="689"/>
      <c r="L243" s="3012"/>
      <c r="O243" s="3011"/>
      <c r="P243" s="689"/>
      <c r="Q243" s="689"/>
      <c r="R243" s="3012"/>
    </row>
    <row r="244" spans="9:18">
      <c r="I244" s="3011"/>
      <c r="J244" s="689"/>
      <c r="K244" s="689"/>
      <c r="L244" s="3012"/>
      <c r="O244" s="3011"/>
      <c r="P244" s="689"/>
      <c r="Q244" s="689"/>
      <c r="R244" s="3012"/>
    </row>
    <row r="245" spans="9:18">
      <c r="I245" s="3011"/>
      <c r="J245" s="689"/>
      <c r="K245" s="689"/>
      <c r="L245" s="3012"/>
      <c r="O245" s="3011"/>
      <c r="P245" s="689"/>
      <c r="Q245" s="689"/>
      <c r="R245" s="3012"/>
    </row>
    <row r="246" spans="9:18">
      <c r="I246" s="3011"/>
      <c r="J246" s="689"/>
      <c r="K246" s="689"/>
      <c r="L246" s="3012"/>
      <c r="O246" s="3011"/>
      <c r="P246" s="689"/>
      <c r="Q246" s="689"/>
      <c r="R246" s="3012"/>
    </row>
    <row r="247" spans="9:18">
      <c r="I247" s="3011"/>
      <c r="J247" s="689"/>
      <c r="K247" s="689"/>
      <c r="L247" s="3012"/>
      <c r="O247" s="3011"/>
      <c r="P247" s="689"/>
      <c r="Q247" s="689"/>
      <c r="R247" s="3012"/>
    </row>
    <row r="248" spans="9:18">
      <c r="I248" s="3011"/>
      <c r="J248" s="689"/>
      <c r="K248" s="689"/>
      <c r="L248" s="3012"/>
      <c r="O248" s="3011"/>
      <c r="P248" s="689"/>
      <c r="Q248" s="689"/>
      <c r="R248" s="3012"/>
    </row>
    <row r="249" spans="9:18">
      <c r="I249" s="3011"/>
      <c r="J249" s="689"/>
      <c r="K249" s="689"/>
      <c r="L249" s="3012"/>
      <c r="O249" s="3011"/>
      <c r="P249" s="689"/>
      <c r="Q249" s="689"/>
      <c r="R249" s="3012"/>
    </row>
    <row r="250" spans="9:18">
      <c r="I250" s="3011"/>
      <c r="J250" s="689"/>
      <c r="K250" s="689"/>
      <c r="L250" s="3012"/>
      <c r="O250" s="3011"/>
      <c r="P250" s="689"/>
      <c r="Q250" s="689"/>
      <c r="R250" s="3012"/>
    </row>
    <row r="251" spans="9:18">
      <c r="I251" s="3011"/>
      <c r="J251" s="689"/>
      <c r="K251" s="689"/>
      <c r="L251" s="3012"/>
      <c r="O251" s="3011"/>
      <c r="P251" s="689"/>
      <c r="Q251" s="689"/>
      <c r="R251" s="3012"/>
    </row>
    <row r="252" spans="9:18">
      <c r="I252" s="3011"/>
      <c r="J252" s="689"/>
      <c r="K252" s="689"/>
      <c r="L252" s="3012"/>
      <c r="O252" s="3011"/>
      <c r="P252" s="689"/>
      <c r="Q252" s="689"/>
      <c r="R252" s="3012"/>
    </row>
    <row r="253" spans="9:18">
      <c r="I253" s="3011"/>
      <c r="J253" s="689"/>
      <c r="K253" s="689"/>
      <c r="L253" s="3012"/>
      <c r="O253" s="3011"/>
      <c r="P253" s="689"/>
      <c r="Q253" s="689"/>
      <c r="R253" s="3012"/>
    </row>
    <row r="254" spans="9:18">
      <c r="I254" s="3011"/>
      <c r="J254" s="689"/>
      <c r="K254" s="689"/>
      <c r="L254" s="3012"/>
      <c r="O254" s="3011"/>
      <c r="P254" s="689"/>
      <c r="Q254" s="689"/>
      <c r="R254" s="3012"/>
    </row>
    <row r="255" spans="9:18">
      <c r="I255" s="3011"/>
      <c r="J255" s="689"/>
      <c r="K255" s="689"/>
      <c r="L255" s="3012"/>
      <c r="O255" s="3011"/>
      <c r="P255" s="689"/>
      <c r="Q255" s="689"/>
      <c r="R255" s="3012"/>
    </row>
    <row r="256" spans="9:18">
      <c r="I256" s="3011"/>
      <c r="J256" s="689"/>
      <c r="K256" s="689"/>
      <c r="L256" s="3012"/>
      <c r="O256" s="3011"/>
      <c r="P256" s="689"/>
      <c r="Q256" s="689"/>
      <c r="R256" s="3012"/>
    </row>
    <row r="257" spans="9:18">
      <c r="I257" s="3011"/>
      <c r="J257" s="689"/>
      <c r="K257" s="689"/>
      <c r="L257" s="3012"/>
      <c r="O257" s="3011"/>
      <c r="P257" s="689"/>
      <c r="Q257" s="689"/>
      <c r="R257" s="3012"/>
    </row>
    <row r="258" spans="9:18">
      <c r="I258" s="3011"/>
      <c r="J258" s="689"/>
      <c r="K258" s="689"/>
      <c r="L258" s="3012"/>
      <c r="O258" s="3011"/>
      <c r="P258" s="689"/>
      <c r="Q258" s="689"/>
      <c r="R258" s="3012"/>
    </row>
    <row r="259" spans="9:18">
      <c r="I259" s="3011"/>
      <c r="J259" s="689"/>
      <c r="K259" s="689"/>
      <c r="L259" s="3012"/>
      <c r="O259" s="3011"/>
      <c r="P259" s="689"/>
      <c r="Q259" s="689"/>
      <c r="R259" s="3012"/>
    </row>
    <row r="260" spans="9:18">
      <c r="I260" s="3011"/>
      <c r="J260" s="689"/>
      <c r="K260" s="689"/>
      <c r="L260" s="3012"/>
      <c r="O260" s="3011"/>
      <c r="P260" s="689"/>
      <c r="Q260" s="689"/>
      <c r="R260" s="3012"/>
    </row>
    <row r="261" spans="9:18">
      <c r="I261" s="3011"/>
      <c r="J261" s="689"/>
      <c r="K261" s="689"/>
      <c r="L261" s="3012"/>
      <c r="O261" s="3011"/>
      <c r="P261" s="689"/>
      <c r="Q261" s="689"/>
      <c r="R261" s="3012"/>
    </row>
    <row r="262" spans="9:18">
      <c r="I262" s="3011"/>
      <c r="J262" s="689"/>
      <c r="K262" s="689"/>
      <c r="L262" s="3012"/>
      <c r="O262" s="3011"/>
      <c r="P262" s="689"/>
      <c r="Q262" s="689"/>
      <c r="R262" s="3012"/>
    </row>
    <row r="263" spans="9:18">
      <c r="I263" s="3011"/>
      <c r="J263" s="689"/>
      <c r="K263" s="689"/>
      <c r="L263" s="3012"/>
      <c r="O263" s="3011"/>
      <c r="P263" s="689"/>
      <c r="Q263" s="689"/>
      <c r="R263" s="3012"/>
    </row>
    <row r="264" spans="9:18">
      <c r="I264" s="3011"/>
      <c r="J264" s="689"/>
      <c r="K264" s="689"/>
      <c r="L264" s="3012"/>
      <c r="O264" s="3011"/>
      <c r="P264" s="689"/>
      <c r="Q264" s="689"/>
      <c r="R264" s="3012"/>
    </row>
    <row r="265" spans="9:18">
      <c r="I265" s="3011"/>
      <c r="J265" s="689"/>
      <c r="K265" s="689"/>
      <c r="L265" s="3012"/>
      <c r="O265" s="3011"/>
      <c r="P265" s="689"/>
      <c r="Q265" s="689"/>
      <c r="R265" s="3012"/>
    </row>
    <row r="266" spans="9:18">
      <c r="I266" s="3011"/>
      <c r="J266" s="689"/>
      <c r="K266" s="689"/>
      <c r="L266" s="3012"/>
      <c r="O266" s="3011"/>
      <c r="P266" s="689"/>
      <c r="Q266" s="689"/>
      <c r="R266" s="3012"/>
    </row>
    <row r="267" spans="9:18">
      <c r="I267" s="3011"/>
      <c r="J267" s="689"/>
      <c r="K267" s="689"/>
      <c r="L267" s="3012"/>
      <c r="O267" s="3011"/>
      <c r="P267" s="689"/>
      <c r="Q267" s="689"/>
      <c r="R267" s="3012"/>
    </row>
    <row r="268" spans="9:18">
      <c r="I268" s="3011"/>
      <c r="J268" s="689"/>
      <c r="K268" s="689"/>
      <c r="L268" s="3012"/>
      <c r="O268" s="3011"/>
      <c r="P268" s="689"/>
      <c r="Q268" s="689"/>
      <c r="R268" s="3012"/>
    </row>
    <row r="269" spans="9:18">
      <c r="I269" s="3011"/>
      <c r="J269" s="689"/>
      <c r="K269" s="689"/>
      <c r="L269" s="3012"/>
      <c r="O269" s="3011"/>
      <c r="P269" s="689"/>
      <c r="Q269" s="689"/>
      <c r="R269" s="3012"/>
    </row>
    <row r="270" spans="9:18">
      <c r="I270" s="3011"/>
      <c r="J270" s="689"/>
      <c r="K270" s="689"/>
      <c r="L270" s="3012"/>
      <c r="O270" s="3011"/>
      <c r="P270" s="689"/>
      <c r="Q270" s="689"/>
      <c r="R270" s="3012"/>
    </row>
    <row r="271" spans="9:18">
      <c r="I271" s="3011"/>
      <c r="J271" s="689"/>
      <c r="K271" s="689"/>
      <c r="L271" s="3012"/>
      <c r="O271" s="3011"/>
      <c r="P271" s="689"/>
      <c r="Q271" s="689"/>
      <c r="R271" s="3012"/>
    </row>
    <row r="272" spans="9:18">
      <c r="I272" s="3011"/>
      <c r="J272" s="689"/>
      <c r="K272" s="689"/>
      <c r="L272" s="3012"/>
      <c r="O272" s="3011"/>
      <c r="P272" s="689"/>
      <c r="Q272" s="689"/>
      <c r="R272" s="3012"/>
    </row>
    <row r="273" spans="9:18">
      <c r="I273" s="3011"/>
      <c r="J273" s="689"/>
      <c r="K273" s="689"/>
      <c r="L273" s="3012"/>
      <c r="O273" s="3011"/>
      <c r="P273" s="689"/>
      <c r="Q273" s="689"/>
      <c r="R273" s="3012"/>
    </row>
    <row r="274" spans="9:18">
      <c r="I274" s="3011"/>
      <c r="J274" s="689"/>
      <c r="K274" s="689"/>
      <c r="L274" s="3012"/>
      <c r="O274" s="3011"/>
      <c r="P274" s="689"/>
      <c r="Q274" s="689"/>
      <c r="R274" s="3012"/>
    </row>
    <row r="275" spans="9:18">
      <c r="I275" s="3011"/>
      <c r="J275" s="689"/>
      <c r="K275" s="689"/>
      <c r="L275" s="3012"/>
      <c r="O275" s="3011"/>
      <c r="P275" s="689"/>
      <c r="Q275" s="689"/>
      <c r="R275" s="3012"/>
    </row>
    <row r="276" spans="9:18">
      <c r="I276" s="3011"/>
      <c r="J276" s="689"/>
      <c r="K276" s="689"/>
      <c r="L276" s="3012"/>
      <c r="O276" s="3011"/>
      <c r="P276" s="689"/>
      <c r="Q276" s="689"/>
      <c r="R276" s="3012"/>
    </row>
    <row r="277" spans="9:18">
      <c r="I277" s="3011"/>
      <c r="J277" s="689"/>
      <c r="K277" s="689"/>
      <c r="L277" s="3012"/>
      <c r="O277" s="3011"/>
      <c r="P277" s="689"/>
      <c r="Q277" s="689"/>
      <c r="R277" s="3012"/>
    </row>
    <row r="278" spans="9:18">
      <c r="I278" s="3011"/>
      <c r="J278" s="689"/>
      <c r="K278" s="689"/>
      <c r="L278" s="3012"/>
      <c r="O278" s="3011"/>
      <c r="P278" s="689"/>
      <c r="Q278" s="689"/>
      <c r="R278" s="3012"/>
    </row>
    <row r="279" spans="9:18">
      <c r="I279" s="3011"/>
      <c r="J279" s="689"/>
      <c r="K279" s="689"/>
      <c r="L279" s="3012"/>
      <c r="O279" s="3011"/>
      <c r="P279" s="689"/>
      <c r="Q279" s="689"/>
      <c r="R279" s="3012"/>
    </row>
    <row r="280" spans="9:18">
      <c r="I280" s="3011"/>
      <c r="J280" s="689"/>
      <c r="K280" s="689"/>
      <c r="L280" s="3012"/>
      <c r="O280" s="3011"/>
      <c r="P280" s="689"/>
      <c r="Q280" s="689"/>
      <c r="R280" s="3012"/>
    </row>
    <row r="281" spans="9:18">
      <c r="I281" s="3011"/>
      <c r="J281" s="689"/>
      <c r="K281" s="689"/>
      <c r="L281" s="3012"/>
      <c r="O281" s="3011"/>
      <c r="P281" s="689"/>
      <c r="Q281" s="689"/>
      <c r="R281" s="3012"/>
    </row>
    <row r="282" spans="9:18">
      <c r="I282" s="3011"/>
      <c r="J282" s="689"/>
      <c r="K282" s="689"/>
      <c r="L282" s="3012"/>
      <c r="O282" s="3011"/>
      <c r="P282" s="689"/>
      <c r="Q282" s="689"/>
      <c r="R282" s="3012"/>
    </row>
    <row r="283" spans="9:18">
      <c r="I283" s="3011"/>
      <c r="J283" s="689"/>
      <c r="K283" s="689"/>
      <c r="L283" s="3012"/>
      <c r="O283" s="3011"/>
      <c r="P283" s="689"/>
      <c r="Q283" s="689"/>
      <c r="R283" s="3012"/>
    </row>
    <row r="284" spans="9:18">
      <c r="I284" s="3011"/>
      <c r="J284" s="689"/>
      <c r="K284" s="689"/>
      <c r="L284" s="3012"/>
      <c r="O284" s="3011"/>
      <c r="P284" s="689"/>
      <c r="Q284" s="689"/>
      <c r="R284" s="3012"/>
    </row>
    <row r="285" spans="9:18">
      <c r="I285" s="3011"/>
      <c r="J285" s="689"/>
      <c r="K285" s="689"/>
      <c r="L285" s="3012"/>
      <c r="O285" s="3011"/>
      <c r="P285" s="689"/>
      <c r="Q285" s="689"/>
      <c r="R285" s="3012"/>
    </row>
    <row r="286" spans="9:18">
      <c r="I286" s="3011"/>
      <c r="J286" s="689"/>
      <c r="K286" s="689"/>
      <c r="L286" s="3012"/>
      <c r="O286" s="3011"/>
      <c r="P286" s="689"/>
      <c r="Q286" s="689"/>
      <c r="R286" s="3012"/>
    </row>
    <row r="287" spans="9:18">
      <c r="I287" s="3011"/>
      <c r="J287" s="689"/>
      <c r="K287" s="689"/>
      <c r="L287" s="3012"/>
      <c r="O287" s="3011"/>
      <c r="P287" s="689"/>
      <c r="Q287" s="689"/>
      <c r="R287" s="3012"/>
    </row>
    <row r="288" spans="9:18">
      <c r="I288" s="3011"/>
      <c r="J288" s="689"/>
      <c r="K288" s="689"/>
      <c r="L288" s="3012"/>
      <c r="O288" s="3011"/>
      <c r="P288" s="689"/>
      <c r="Q288" s="689"/>
      <c r="R288" s="3012"/>
    </row>
    <row r="289" spans="9:18">
      <c r="I289" s="3011"/>
      <c r="J289" s="689"/>
      <c r="K289" s="689"/>
      <c r="L289" s="3012"/>
      <c r="O289" s="3011"/>
      <c r="P289" s="689"/>
      <c r="Q289" s="689"/>
      <c r="R289" s="3012"/>
    </row>
    <row r="290" spans="9:18">
      <c r="I290" s="3011"/>
      <c r="J290" s="689"/>
      <c r="K290" s="689"/>
      <c r="L290" s="3012"/>
      <c r="O290" s="3011"/>
      <c r="P290" s="689"/>
      <c r="Q290" s="689"/>
      <c r="R290" s="3012"/>
    </row>
    <row r="291" spans="9:18">
      <c r="I291" s="3011"/>
      <c r="J291" s="689"/>
      <c r="K291" s="689"/>
      <c r="L291" s="3012"/>
      <c r="O291" s="3011"/>
      <c r="P291" s="689"/>
      <c r="Q291" s="689"/>
      <c r="R291" s="3012"/>
    </row>
    <row r="292" spans="9:18">
      <c r="I292" s="3011"/>
      <c r="J292" s="689"/>
      <c r="K292" s="689"/>
      <c r="L292" s="3012"/>
      <c r="O292" s="3011"/>
      <c r="P292" s="689"/>
      <c r="Q292" s="689"/>
      <c r="R292" s="3012"/>
    </row>
    <row r="293" spans="9:18">
      <c r="I293" s="3011"/>
      <c r="J293" s="689"/>
      <c r="K293" s="689"/>
      <c r="L293" s="3012"/>
      <c r="O293" s="3011"/>
      <c r="P293" s="689"/>
      <c r="Q293" s="689"/>
      <c r="R293" s="3012"/>
    </row>
    <row r="294" spans="9:18">
      <c r="I294" s="3011"/>
      <c r="J294" s="689"/>
      <c r="K294" s="689"/>
      <c r="L294" s="3012"/>
      <c r="O294" s="3011"/>
      <c r="P294" s="689"/>
      <c r="Q294" s="689"/>
      <c r="R294" s="3012"/>
    </row>
    <row r="295" spans="9:18">
      <c r="I295" s="3011"/>
      <c r="J295" s="689"/>
      <c r="K295" s="689"/>
      <c r="L295" s="3012"/>
      <c r="O295" s="3011"/>
      <c r="P295" s="689"/>
      <c r="Q295" s="689"/>
      <c r="R295" s="3012"/>
    </row>
    <row r="296" spans="9:18">
      <c r="I296" s="3011"/>
      <c r="J296" s="689"/>
      <c r="K296" s="689"/>
      <c r="L296" s="3012"/>
      <c r="O296" s="3011"/>
      <c r="P296" s="689"/>
      <c r="Q296" s="689"/>
      <c r="R296" s="3012"/>
    </row>
    <row r="297" spans="9:18">
      <c r="I297" s="3011"/>
      <c r="J297" s="689"/>
      <c r="K297" s="689"/>
      <c r="L297" s="3012"/>
      <c r="O297" s="3011"/>
      <c r="P297" s="689"/>
      <c r="Q297" s="689"/>
      <c r="R297" s="3012"/>
    </row>
    <row r="298" spans="9:18">
      <c r="I298" s="3011"/>
      <c r="J298" s="689"/>
      <c r="K298" s="689"/>
      <c r="L298" s="3012"/>
      <c r="O298" s="3011"/>
      <c r="P298" s="689"/>
      <c r="Q298" s="689"/>
      <c r="R298" s="3012"/>
    </row>
    <row r="299" spans="9:18">
      <c r="I299" s="3011"/>
      <c r="J299" s="689"/>
      <c r="K299" s="689"/>
      <c r="L299" s="3012"/>
      <c r="O299" s="3011"/>
      <c r="P299" s="689"/>
      <c r="Q299" s="689"/>
      <c r="R299" s="3012"/>
    </row>
  </sheetData>
  <mergeCells count="21">
    <mergeCell ref="O5:R5"/>
    <mergeCell ref="C6:F9"/>
    <mergeCell ref="C10:F13"/>
    <mergeCell ref="C22:F25"/>
    <mergeCell ref="C14:F17"/>
    <mergeCell ref="C18:F21"/>
    <mergeCell ref="C5:F5"/>
    <mergeCell ref="I5:L5"/>
    <mergeCell ref="C69:F70"/>
    <mergeCell ref="C26:F29"/>
    <mergeCell ref="C45:F50"/>
    <mergeCell ref="C36:F40"/>
    <mergeCell ref="C41:F44"/>
    <mergeCell ref="C34:F35"/>
    <mergeCell ref="C30:F33"/>
    <mergeCell ref="C57:F59"/>
    <mergeCell ref="C54:F56"/>
    <mergeCell ref="C51:F53"/>
    <mergeCell ref="C65:F68"/>
    <mergeCell ref="C63:F64"/>
    <mergeCell ref="C60:F62"/>
  </mergeCells>
  <phoneticPr fontId="170" type="noConversion"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B2:D22"/>
  <sheetViews>
    <sheetView workbookViewId="0">
      <selection activeCell="J20" sqref="J20"/>
    </sheetView>
  </sheetViews>
  <sheetFormatPr defaultRowHeight="12.75"/>
  <cols>
    <col min="2" max="2" width="9.5703125" bestFit="1" customWidth="1"/>
    <col min="3" max="3" width="27.42578125" customWidth="1"/>
  </cols>
  <sheetData>
    <row r="2" spans="2:4">
      <c r="B2" s="3380" t="s">
        <v>4651</v>
      </c>
      <c r="C2" s="3380" t="s">
        <v>4652</v>
      </c>
      <c r="D2" s="3380" t="s">
        <v>4654</v>
      </c>
    </row>
    <row r="3" spans="2:4">
      <c r="B3" s="3366">
        <v>20190907</v>
      </c>
      <c r="C3" s="3381" t="s">
        <v>4698</v>
      </c>
      <c r="D3" s="3366"/>
    </row>
    <row r="4" spans="2:4">
      <c r="B4" s="3366">
        <v>20190908</v>
      </c>
      <c r="C4" s="3412" t="s">
        <v>4705</v>
      </c>
      <c r="D4" s="3366"/>
    </row>
    <row r="5" spans="2:4">
      <c r="B5" s="3366"/>
      <c r="C5" s="3366"/>
      <c r="D5" s="3366"/>
    </row>
    <row r="6" spans="2:4">
      <c r="B6" s="3366"/>
      <c r="C6" s="3366"/>
      <c r="D6" s="3366"/>
    </row>
    <row r="7" spans="2:4">
      <c r="B7" s="3366"/>
      <c r="C7" s="3366"/>
      <c r="D7" s="3366"/>
    </row>
    <row r="8" spans="2:4">
      <c r="B8" s="3366"/>
      <c r="C8" s="3366"/>
      <c r="D8" s="3366"/>
    </row>
    <row r="9" spans="2:4">
      <c r="B9" s="3366"/>
      <c r="C9" s="3366"/>
      <c r="D9" s="3366"/>
    </row>
    <row r="10" spans="2:4">
      <c r="B10" s="3366"/>
      <c r="C10" s="3366"/>
      <c r="D10" s="3366"/>
    </row>
    <row r="11" spans="2:4">
      <c r="B11" s="3366"/>
      <c r="C11" s="3366"/>
      <c r="D11" s="3366"/>
    </row>
    <row r="12" spans="2:4">
      <c r="B12" s="3366"/>
      <c r="C12" s="3366"/>
      <c r="D12" s="3366"/>
    </row>
    <row r="13" spans="2:4">
      <c r="B13" s="3366"/>
      <c r="C13" s="3366"/>
      <c r="D13" s="3366"/>
    </row>
    <row r="14" spans="2:4">
      <c r="B14" s="3366"/>
      <c r="C14" s="3366"/>
      <c r="D14" s="3366"/>
    </row>
    <row r="15" spans="2:4">
      <c r="B15" s="3366"/>
      <c r="C15" s="3366"/>
      <c r="D15" s="3366"/>
    </row>
    <row r="16" spans="2:4">
      <c r="B16" s="3366"/>
      <c r="C16" s="3366"/>
      <c r="D16" s="3366"/>
    </row>
    <row r="17" spans="2:4">
      <c r="B17" s="3366"/>
      <c r="C17" s="3366"/>
      <c r="D17" s="3366"/>
    </row>
    <row r="18" spans="2:4">
      <c r="B18" s="3366"/>
      <c r="C18" s="3366"/>
      <c r="D18" s="3366"/>
    </row>
    <row r="19" spans="2:4">
      <c r="B19" s="3366"/>
      <c r="C19" s="3366"/>
      <c r="D19" s="3366"/>
    </row>
    <row r="20" spans="2:4">
      <c r="B20" s="3366"/>
      <c r="C20" s="3366"/>
      <c r="D20" s="3366"/>
    </row>
    <row r="21" spans="2:4">
      <c r="B21" s="3366"/>
      <c r="C21" s="3366"/>
      <c r="D21" s="3366"/>
    </row>
    <row r="22" spans="2:4">
      <c r="B22" s="3366"/>
      <c r="C22" s="3366"/>
      <c r="D22" s="3366"/>
    </row>
  </sheetData>
  <phoneticPr fontId="170" type="noConversion"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pageSetUpPr fitToPage="1"/>
  </sheetPr>
  <dimension ref="A1:AI89"/>
  <sheetViews>
    <sheetView zoomScale="73" zoomScaleNormal="73" workbookViewId="0">
      <pane xSplit="3" ySplit="21" topLeftCell="D43" activePane="bottomRight" state="frozen"/>
      <selection activeCell="E125" sqref="E125"/>
      <selection pane="topRight" activeCell="E125" sqref="E125"/>
      <selection pane="bottomLeft" activeCell="E125" sqref="E125"/>
      <selection pane="bottomRight" activeCell="L95" sqref="L95"/>
    </sheetView>
  </sheetViews>
  <sheetFormatPr defaultColWidth="10.7109375" defaultRowHeight="12.75"/>
  <cols>
    <col min="1" max="1" width="28.42578125" style="117" customWidth="1"/>
    <col min="2" max="2" width="10.7109375" style="117" customWidth="1"/>
    <col min="3" max="3" width="20.85546875" style="117" customWidth="1"/>
    <col min="4" max="4" width="10.7109375" style="117" customWidth="1"/>
    <col min="5" max="5" width="47.28515625" style="117" customWidth="1"/>
    <col min="6" max="19" width="10.7109375" style="117" customWidth="1"/>
    <col min="20" max="16384" width="10.7109375" style="117"/>
  </cols>
  <sheetData>
    <row r="1" spans="1:32">
      <c r="A1" s="4002" t="s">
        <v>181</v>
      </c>
      <c r="B1" s="4003"/>
      <c r="C1" s="4003"/>
      <c r="D1" s="4003"/>
      <c r="E1" s="4003"/>
      <c r="F1" s="4003"/>
      <c r="G1" s="4003"/>
      <c r="H1" s="4003"/>
      <c r="I1" s="4003"/>
      <c r="J1" s="4004"/>
      <c r="L1" s="1992"/>
      <c r="M1" s="1992"/>
      <c r="N1" s="1993"/>
      <c r="O1" s="1993"/>
      <c r="P1" s="1993"/>
      <c r="Q1" s="1993"/>
      <c r="R1" s="1993"/>
      <c r="S1" s="1993"/>
      <c r="T1" s="1992"/>
      <c r="U1" s="1992"/>
      <c r="V1" s="1992"/>
      <c r="W1" s="1992"/>
      <c r="X1" s="1992"/>
      <c r="Y1" s="1992"/>
      <c r="Z1" s="1992"/>
      <c r="AA1" s="1992"/>
      <c r="AB1" s="1992"/>
      <c r="AC1" s="1992"/>
      <c r="AD1" s="1992"/>
      <c r="AE1" s="1992"/>
    </row>
    <row r="2" spans="1:32" ht="15">
      <c r="A2" s="133" t="s">
        <v>130</v>
      </c>
      <c r="B2" s="206" t="e">
        <f ca="1">System_weight_safe</f>
        <v>#REF!</v>
      </c>
      <c r="C2" s="210" t="s">
        <v>131</v>
      </c>
      <c r="D2" s="211"/>
      <c r="E2" s="704" t="s">
        <v>192</v>
      </c>
      <c r="F2" s="211"/>
      <c r="G2" s="211"/>
      <c r="H2" s="211"/>
      <c r="I2" s="207">
        <f>Min_Vib_no</f>
        <v>4</v>
      </c>
      <c r="J2" s="208">
        <f>Max_Vib_no</f>
        <v>4</v>
      </c>
      <c r="L2" s="1992"/>
      <c r="M2" s="1992"/>
      <c r="N2" s="1993"/>
      <c r="O2" s="1993"/>
      <c r="P2" s="1993"/>
      <c r="Q2" s="1993"/>
      <c r="R2" s="1994"/>
      <c r="S2" s="1994"/>
      <c r="T2" s="1992"/>
      <c r="U2" s="1992"/>
      <c r="V2" s="1992"/>
      <c r="W2" s="1992"/>
      <c r="X2" s="1992"/>
      <c r="Y2" s="1992"/>
      <c r="Z2" s="1992"/>
      <c r="AA2" s="1992"/>
      <c r="AB2" s="1992"/>
      <c r="AC2" s="1992"/>
      <c r="AD2" s="1992"/>
      <c r="AE2" s="1992"/>
    </row>
    <row r="3" spans="1:32" s="118" customFormat="1" ht="13.5" thickBot="1">
      <c r="A3" s="134" t="s">
        <v>133</v>
      </c>
      <c r="B3" s="209">
        <f>Fan_Max_rpm</f>
        <v>3000</v>
      </c>
      <c r="C3" s="212" t="s">
        <v>134</v>
      </c>
      <c r="D3" s="129"/>
      <c r="E3" s="129"/>
      <c r="F3" s="129"/>
      <c r="G3" s="129"/>
      <c r="H3" s="129"/>
      <c r="I3" s="129"/>
      <c r="J3" s="213"/>
      <c r="L3" s="1992"/>
      <c r="M3" s="1992"/>
      <c r="N3" s="1993"/>
      <c r="O3" s="1993"/>
      <c r="P3" s="1993"/>
      <c r="Q3" s="1993"/>
      <c r="R3" s="1993"/>
      <c r="S3" s="1993"/>
      <c r="T3" s="1992"/>
      <c r="U3" s="1992"/>
      <c r="V3" s="1992"/>
      <c r="W3" s="1992"/>
      <c r="X3" s="1992"/>
      <c r="Y3" s="1992"/>
      <c r="Z3" s="1992"/>
      <c r="AA3" s="1992"/>
      <c r="AB3" s="1992"/>
      <c r="AC3" s="1992"/>
      <c r="AD3" s="1992"/>
      <c r="AE3" s="1992"/>
    </row>
    <row r="4" spans="1:32" s="118" customFormat="1" ht="13.5" thickBot="1">
      <c r="L4" s="1992"/>
      <c r="M4" s="1992"/>
      <c r="N4" s="1995"/>
      <c r="O4" s="1995"/>
      <c r="P4" s="1995"/>
      <c r="Q4" s="1995"/>
      <c r="R4" s="1995"/>
      <c r="S4" s="1995"/>
      <c r="T4" s="1992"/>
      <c r="U4" s="1992"/>
      <c r="V4" s="1992"/>
      <c r="W4" s="1992"/>
      <c r="X4" s="1992"/>
      <c r="Y4" s="1992"/>
      <c r="Z4" s="1992"/>
      <c r="AA4" s="1992"/>
      <c r="AB4" s="1992"/>
      <c r="AC4" s="1992"/>
      <c r="AD4" s="1992"/>
      <c r="AE4" s="1992"/>
    </row>
    <row r="5" spans="1:32" s="118" customFormat="1">
      <c r="A5" s="128" t="s">
        <v>182</v>
      </c>
      <c r="B5" s="4005" t="s">
        <v>193</v>
      </c>
      <c r="C5" s="4006"/>
      <c r="D5" s="4005" t="s">
        <v>194</v>
      </c>
      <c r="E5" s="4006"/>
      <c r="F5" s="4005" t="s">
        <v>221</v>
      </c>
      <c r="G5" s="4006"/>
      <c r="L5" s="1992"/>
      <c r="M5" s="1992"/>
      <c r="N5" s="1995"/>
      <c r="O5" s="1995"/>
      <c r="P5" s="1995"/>
      <c r="Q5" s="1995"/>
      <c r="R5" s="1995"/>
      <c r="S5" s="1995"/>
      <c r="T5" s="1992"/>
      <c r="U5" s="1992"/>
      <c r="V5" s="1992"/>
      <c r="W5" s="1992"/>
      <c r="X5" s="1992"/>
      <c r="Y5" s="1992"/>
      <c r="Z5" s="1992"/>
      <c r="AA5" s="1992"/>
      <c r="AB5" s="1992"/>
      <c r="AC5" s="1992"/>
      <c r="AD5" s="1992"/>
      <c r="AE5" s="1992"/>
    </row>
    <row r="6" spans="1:32" s="118" customFormat="1">
      <c r="A6" s="214" t="s">
        <v>132</v>
      </c>
      <c r="B6" s="4007" t="e">
        <f ca="1">INDEX(Std_dampers,$V$16,1)&amp;" - "&amp;INDEX(Std_dampers,$V$16,2)</f>
        <v>#REF!</v>
      </c>
      <c r="C6" s="4008"/>
      <c r="D6" s="4007" t="e">
        <f ca="1">INDEX(Prot_dampers,$V$17,1)</f>
        <v>#REF!</v>
      </c>
      <c r="E6" s="4008"/>
      <c r="F6" s="4009" t="e">
        <f ca="1">B6</f>
        <v>#REF!</v>
      </c>
      <c r="G6" s="4010"/>
      <c r="H6" s="118" t="e">
        <f ca="1">MATCH($B$6,D_Name,0)</f>
        <v>#REF!</v>
      </c>
      <c r="I6" s="118" t="e">
        <f ca="1">MATCH($D$6,D_Name,0)</f>
        <v>#REF!</v>
      </c>
      <c r="J6" s="118" t="e">
        <f ca="1">MATCH($F$6,D_Name,0)</f>
        <v>#REF!</v>
      </c>
      <c r="K6" s="3421" t="e">
        <f ca="1">INDEX(Std_dampers,$V$16,1)</f>
        <v>#REF!</v>
      </c>
      <c r="L6" s="1992"/>
      <c r="M6" s="1992"/>
      <c r="N6" s="1995"/>
      <c r="O6" s="1995"/>
      <c r="P6" s="1995"/>
      <c r="Q6" s="1995"/>
      <c r="R6" s="1995"/>
      <c r="S6" s="1995"/>
      <c r="T6" s="1992"/>
      <c r="U6" s="1992"/>
      <c r="V6" s="1992"/>
      <c r="W6" s="1992"/>
      <c r="X6" s="1992"/>
      <c r="Y6" s="1992"/>
      <c r="Z6" s="1992"/>
      <c r="AA6" s="1992"/>
      <c r="AB6" s="1992"/>
      <c r="AC6" s="1992"/>
      <c r="AD6" s="1992"/>
      <c r="AE6" s="1992"/>
    </row>
    <row r="7" spans="1:32" s="118" customFormat="1">
      <c r="A7" s="214"/>
      <c r="B7" s="215" t="s">
        <v>199</v>
      </c>
      <c r="C7" s="216" t="s">
        <v>200</v>
      </c>
      <c r="D7" s="215" t="s">
        <v>199</v>
      </c>
      <c r="E7" s="216" t="s">
        <v>200</v>
      </c>
      <c r="F7" s="215" t="s">
        <v>199</v>
      </c>
      <c r="G7" s="216" t="s">
        <v>200</v>
      </c>
      <c r="L7" s="1992"/>
      <c r="M7" s="1992"/>
      <c r="N7" s="1996"/>
      <c r="O7" s="1997"/>
      <c r="P7" s="1996"/>
      <c r="Q7" s="1997"/>
      <c r="R7" s="1996"/>
      <c r="S7" s="1997"/>
      <c r="T7" s="1992"/>
      <c r="U7" s="1992"/>
      <c r="V7" s="1992"/>
      <c r="W7" s="1992"/>
      <c r="X7" s="1992"/>
      <c r="Y7" s="1992"/>
      <c r="Z7" s="1992"/>
      <c r="AA7" s="1992"/>
      <c r="AB7" s="1992"/>
      <c r="AC7" s="1992"/>
      <c r="AD7" s="1992"/>
      <c r="AE7" s="1992"/>
    </row>
    <row r="8" spans="1:32" s="118" customFormat="1">
      <c r="A8" s="217" t="s">
        <v>126</v>
      </c>
      <c r="B8" s="130" t="e">
        <f ca="1">$S$16</f>
        <v>#REF!</v>
      </c>
      <c r="C8" s="132" t="e">
        <f ca="1">$P$16</f>
        <v>#REF!</v>
      </c>
      <c r="D8" s="135" t="e">
        <f ca="1">$S$17</f>
        <v>#REF!</v>
      </c>
      <c r="E8" s="136" t="e">
        <f ca="1">$P$17</f>
        <v>#REF!</v>
      </c>
      <c r="F8" s="135" t="e">
        <f ca="1">INDEX(All_Dampers,$H$6,19)</f>
        <v>#REF!</v>
      </c>
      <c r="G8" s="136" t="e">
        <f ca="1">INDEX(All_Dampers,$H$6,16)</f>
        <v>#REF!</v>
      </c>
      <c r="L8" s="1992"/>
      <c r="M8" s="1992"/>
      <c r="N8" s="1992"/>
      <c r="O8" s="1992"/>
      <c r="P8" s="1992"/>
      <c r="Q8" s="1992"/>
      <c r="R8" s="1992"/>
      <c r="S8" s="1992"/>
      <c r="T8" s="1992"/>
      <c r="U8" s="1992"/>
      <c r="V8" s="1992"/>
      <c r="W8" s="1992"/>
      <c r="X8" s="1992"/>
      <c r="Y8" s="1992"/>
      <c r="Z8" s="1992"/>
      <c r="AA8" s="1992"/>
      <c r="AB8" s="1992"/>
      <c r="AC8" s="1992"/>
      <c r="AD8" s="1992"/>
      <c r="AE8" s="1992"/>
    </row>
    <row r="9" spans="1:32" s="118" customFormat="1" ht="13.5" thickBot="1">
      <c r="A9" s="217" t="s">
        <v>127</v>
      </c>
      <c r="B9" s="130" t="e">
        <f ca="1">$T$16</f>
        <v>#REF!</v>
      </c>
      <c r="C9" s="136" t="e">
        <f ca="1">$Q$16</f>
        <v>#REF!</v>
      </c>
      <c r="D9" s="135" t="e">
        <f ca="1">$T$17</f>
        <v>#REF!</v>
      </c>
      <c r="E9" s="136" t="e">
        <f ca="1">$Q$17</f>
        <v>#REF!</v>
      </c>
      <c r="F9" s="135" t="e">
        <f ca="1">INDEX(All_Dampers,$H$6,20)</f>
        <v>#REF!</v>
      </c>
      <c r="G9" s="136" t="e">
        <f ca="1">INDEX(All_Dampers,$H$6,17)</f>
        <v>#REF!</v>
      </c>
      <c r="R9" s="117" t="s">
        <v>201</v>
      </c>
      <c r="S9" s="118" t="s">
        <v>202</v>
      </c>
      <c r="U9" s="117" t="s">
        <v>201</v>
      </c>
      <c r="V9" s="118" t="s">
        <v>202</v>
      </c>
    </row>
    <row r="10" spans="1:32" s="118" customFormat="1">
      <c r="A10" s="214" t="s">
        <v>179</v>
      </c>
      <c r="B10" s="218" t="e">
        <f ca="1">$U$16</f>
        <v>#REF!</v>
      </c>
      <c r="C10" s="161" t="e">
        <f ca="1">$R$16</f>
        <v>#REF!</v>
      </c>
      <c r="D10" s="160" t="e">
        <f ca="1">$U$17</f>
        <v>#REF!</v>
      </c>
      <c r="E10" s="161" t="e">
        <f ca="1">$R$17</f>
        <v>#REF!</v>
      </c>
      <c r="F10" s="160" t="e">
        <f ca="1">INDEX(All_Dampers,$H$6,21)</f>
        <v>#REF!</v>
      </c>
      <c r="G10" s="161" t="e">
        <f ca="1">INDEX(All_Dampers,$H$6,18)</f>
        <v>#REF!</v>
      </c>
      <c r="H10" s="118" t="s">
        <v>201</v>
      </c>
      <c r="R10" s="152" t="e">
        <f ca="1">LOG(R16)-$B$16*LOG($B$3)</f>
        <v>#REF!</v>
      </c>
      <c r="S10" s="219" t="e">
        <f ca="1">INDEX($D$15:$L$17,1,T10+1)+(INDEX($D$15:$L$17,1,T10)-INDEX($D$15:$L$17,1,T10+1))*(R10-INDEX($D$15:$L$17,3,T10+1))/(INDEX($D$15:$L$17,3,T10)-INDEX($D$15:$L$17,3,T10+1))</f>
        <v>#REF!</v>
      </c>
      <c r="T10" s="220" t="e">
        <f ca="1">IF(R10&gt;MAX($D$17:$L$17),1,IF(R10&lt;MIN($D$17:$L$17),9,MATCH(R10,$D$17:$L$17,-1)))</f>
        <v>#REF!</v>
      </c>
      <c r="U10" s="152" t="e">
        <f ca="1">LOG(U16)-$B$16*LOG($B$3)</f>
        <v>#REF!</v>
      </c>
      <c r="V10" s="219" t="e">
        <f ca="1">INDEX($D$15:$L$17,1,W10+1)+(INDEX($D$15:$L$17,1,W10)-INDEX($D$15:$L$17,1,W10+1))*(U10-INDEX($D$15:$L$17,3,W10+1))/(INDEX($D$15:$L$17,3,W10)-INDEX($D$15:$L$17,3,W10+1))</f>
        <v>#REF!</v>
      </c>
      <c r="W10" s="220" t="e">
        <f ca="1">IF(U10&gt;MAX($D$17:$L$17),1,IF(U10&lt;MIN($D$17:$L$17),9,MATCH(U10,$D$17:$L$17,-1)))</f>
        <v>#REF!</v>
      </c>
    </row>
    <row r="11" spans="1:32" s="118" customFormat="1" ht="13.5" thickBot="1">
      <c r="A11" s="221" t="s">
        <v>180</v>
      </c>
      <c r="B11" s="222" t="e">
        <f ca="1">$V$10</f>
        <v>#REF!</v>
      </c>
      <c r="C11" s="223" t="e">
        <f ca="1">$S$10</f>
        <v>#REF!</v>
      </c>
      <c r="D11" s="146" t="e">
        <f ca="1">$V$11</f>
        <v>#REF!</v>
      </c>
      <c r="E11" s="223" t="e">
        <f ca="1">$S$11</f>
        <v>#REF!</v>
      </c>
      <c r="F11" s="146" t="e">
        <f ca="1">INDEX($D$15:$L$17,1,H12+1)+(INDEX($D$15:$L$17,1,H12)-INDEX($D$15:$L$17,1,H12+1))*(H11-INDEX($D$15:$L$17,3,H12+1))/(INDEX($D$15:$L$17,3,H12)-INDEX($D$15:$L$17,3,H12+1))</f>
        <v>#REF!</v>
      </c>
      <c r="G11" s="223" t="e">
        <f ca="1">INDEX($D$15:$L$17,1,I12+1)+(INDEX($D$15:$L$17,1,I12)-INDEX($D$15:$L$17,1,I12+1))*(I11-INDEX($D$15:$L$17,3,I12+1))/(INDEX($D$15:$L$17,3,I12)-INDEX($D$15:$L$17,3,I12+1))</f>
        <v>#REF!</v>
      </c>
      <c r="H11" s="127" t="e">
        <f ca="1">LOG($F$10)-$B$16*LOG($B$3)</f>
        <v>#REF!</v>
      </c>
      <c r="I11" s="127" t="e">
        <f ca="1">LOG($G$10)-$B$16*LOG($B$3)</f>
        <v>#REF!</v>
      </c>
      <c r="R11" s="156" t="e">
        <f ca="1">LOG(R17)-$B$16*LOG($B$3)</f>
        <v>#REF!</v>
      </c>
      <c r="S11" s="219" t="e">
        <f ca="1">INDEX($D$15:$L$17,1,T11+1)+(INDEX($D$15:$L$17,1,T11)-INDEX($D$15:$L$17,1,T11+1))*(R11-INDEX($D$15:$L$17,3,T11+1))/(INDEX($D$15:$L$17,3,T11)-INDEX($D$15:$L$17,3,T11+1))</f>
        <v>#REF!</v>
      </c>
      <c r="T11" s="220" t="e">
        <f ca="1">IF(R11&gt;MAX($D$17:$L$17),1,IF(R11&lt;MIN($D$17:$L$17),9,MATCH(R11,$D$17:$L$17,-1)))</f>
        <v>#REF!</v>
      </c>
      <c r="U11" s="156" t="e">
        <f ca="1">LOG(U17)-$B$16*LOG($B$3)</f>
        <v>#REF!</v>
      </c>
      <c r="V11" s="219" t="e">
        <f ca="1">INDEX($D$15:$L$17,1,W11+1)+(INDEX($D$15:$L$17,1,W11)-INDEX($D$15:$L$17,1,W11+1))*(U11-INDEX($D$15:$L$17,3,W11+1))/(INDEX($D$15:$L$17,3,W11)-INDEX($D$15:$L$17,3,W11+1))</f>
        <v>#REF!</v>
      </c>
      <c r="W11" s="220" t="e">
        <f ca="1">IF(U11&gt;MAX($D$17:$L$17),1,IF(U11&lt;MIN($D$17:$L$17),9,MATCH(U11,$D$17:$L$17,-1)))</f>
        <v>#REF!</v>
      </c>
    </row>
    <row r="12" spans="1:32" s="118" customFormat="1">
      <c r="A12" s="145"/>
      <c r="B12" s="145"/>
      <c r="C12" s="145"/>
      <c r="H12" s="248" t="e">
        <f ca="1">IF(H11&gt;MAX($D$17:$L$17),1,IF(H11&lt;MIN($D$17:$L$17),9,MATCH(H11,$D$17:$L$17,-1)))</f>
        <v>#REF!</v>
      </c>
      <c r="I12" s="248" t="e">
        <f ca="1">IF(I11&gt;MAX($D$17:$L$17),1,IF(I11&lt;MIN($D$17:$L$17),9,MATCH(I11,$D$17:$L$17,-1)))</f>
        <v>#REF!</v>
      </c>
    </row>
    <row r="13" spans="1:32" s="118" customFormat="1" ht="13.5" thickBot="1">
      <c r="A13" s="129"/>
      <c r="B13" s="129"/>
      <c r="C13" s="129"/>
      <c r="P13" s="118" t="s">
        <v>200</v>
      </c>
      <c r="Q13" s="118" t="s">
        <v>203</v>
      </c>
      <c r="R13" s="118" t="s">
        <v>199</v>
      </c>
      <c r="S13" s="118" t="s">
        <v>203</v>
      </c>
      <c r="T13" s="118" t="s">
        <v>200</v>
      </c>
      <c r="U13" s="118" t="s">
        <v>200</v>
      </c>
    </row>
    <row r="14" spans="1:32" s="118" customFormat="1">
      <c r="A14" s="142" t="s">
        <v>135</v>
      </c>
      <c r="B14" s="143">
        <f>10^($B$16*LOG($B$3)+$B$17)</f>
        <v>0.6248236946559429</v>
      </c>
      <c r="C14" s="144" t="s">
        <v>136</v>
      </c>
      <c r="D14" s="118">
        <v>1</v>
      </c>
      <c r="E14" s="118">
        <v>2</v>
      </c>
      <c r="F14" s="118">
        <v>3</v>
      </c>
      <c r="G14" s="118">
        <v>4</v>
      </c>
      <c r="H14" s="118">
        <v>5</v>
      </c>
      <c r="I14" s="118">
        <v>6</v>
      </c>
      <c r="J14" s="118">
        <v>7</v>
      </c>
      <c r="K14" s="118">
        <v>8</v>
      </c>
      <c r="L14" s="118">
        <v>9</v>
      </c>
      <c r="P14" s="117" t="s">
        <v>184</v>
      </c>
      <c r="Q14" s="117" t="s">
        <v>196</v>
      </c>
      <c r="R14" s="117" t="s">
        <v>197</v>
      </c>
      <c r="S14" s="117" t="s">
        <v>184</v>
      </c>
      <c r="T14" s="117" t="s">
        <v>196</v>
      </c>
      <c r="U14" s="117" t="s">
        <v>197</v>
      </c>
      <c r="V14" s="117" t="s">
        <v>183</v>
      </c>
      <c r="W14" s="117"/>
    </row>
    <row r="15" spans="1:32" ht="13.5" thickBot="1">
      <c r="A15" s="137" t="s">
        <v>198</v>
      </c>
      <c r="B15" s="147">
        <v>0.8</v>
      </c>
      <c r="C15" s="132"/>
      <c r="D15" s="119">
        <v>0.98</v>
      </c>
      <c r="E15" s="120">
        <v>0.97</v>
      </c>
      <c r="F15" s="120">
        <v>0.95</v>
      </c>
      <c r="G15" s="120">
        <v>0.9</v>
      </c>
      <c r="H15" s="120">
        <v>0.85</v>
      </c>
      <c r="I15" s="120">
        <v>0.8</v>
      </c>
      <c r="J15" s="120">
        <v>0.7</v>
      </c>
      <c r="K15" s="120">
        <v>0.5</v>
      </c>
      <c r="L15" s="121">
        <v>0</v>
      </c>
      <c r="M15" s="150"/>
      <c r="X15" s="118"/>
      <c r="Y15" s="118"/>
      <c r="Z15" s="118"/>
      <c r="AA15" s="118"/>
      <c r="AB15" s="118"/>
      <c r="AC15" s="118"/>
      <c r="AD15" s="118"/>
      <c r="AE15" s="118"/>
      <c r="AF15" s="118"/>
    </row>
    <row r="16" spans="1:32">
      <c r="A16" s="138" t="s">
        <v>204</v>
      </c>
      <c r="B16" s="131">
        <f>INDEX($D$15:$L$17,2,MATCH($B$15,$D$15:$L$15,-1))</f>
        <v>-2</v>
      </c>
      <c r="C16" s="132"/>
      <c r="D16" s="122">
        <v>-2</v>
      </c>
      <c r="E16" s="123">
        <v>-2</v>
      </c>
      <c r="F16" s="123">
        <v>-2</v>
      </c>
      <c r="G16" s="123">
        <v>-2</v>
      </c>
      <c r="H16" s="123">
        <v>-2</v>
      </c>
      <c r="I16" s="123">
        <v>-2</v>
      </c>
      <c r="J16" s="123">
        <v>-2</v>
      </c>
      <c r="K16" s="123">
        <v>-2</v>
      </c>
      <c r="L16" s="123">
        <v>-2</v>
      </c>
      <c r="M16" s="153"/>
      <c r="O16" s="154" t="s">
        <v>193</v>
      </c>
      <c r="P16" s="151" t="e">
        <f t="shared" ref="P16:U16" ca="1" si="0">INDEX(Std_dampers,$V$16,R$19)</f>
        <v>#REF!</v>
      </c>
      <c r="Q16" s="151" t="e">
        <f t="shared" ca="1" si="0"/>
        <v>#REF!</v>
      </c>
      <c r="R16" s="155" t="e">
        <f t="shared" ca="1" si="0"/>
        <v>#REF!</v>
      </c>
      <c r="S16" s="151" t="e">
        <f t="shared" ca="1" si="0"/>
        <v>#REF!</v>
      </c>
      <c r="T16" s="151" t="e">
        <f t="shared" ca="1" si="0"/>
        <v>#REF!</v>
      </c>
      <c r="U16" s="155" t="e">
        <f t="shared" ca="1" si="0"/>
        <v>#REF!</v>
      </c>
      <c r="V16" s="151" t="e">
        <f ca="1">IF(INDEX(Std_dampers,W16,1)="",W16+1,W16)</f>
        <v>#REF!</v>
      </c>
      <c r="W16" s="228" t="e">
        <f ca="1">MATCH(MIN($X$21:$X$78),$X$21:$X$78,0)</f>
        <v>#REF!</v>
      </c>
    </row>
    <row r="17" spans="1:35" ht="13.5" thickBot="1">
      <c r="A17" s="139" t="s">
        <v>205</v>
      </c>
      <c r="B17" s="140">
        <f>INDEX($D$15:$L$17,3,MATCH($B$15,$D$15:$L$15,-1))</f>
        <v>6.75</v>
      </c>
      <c r="C17" s="141"/>
      <c r="D17" s="125">
        <v>7.67</v>
      </c>
      <c r="E17" s="126">
        <v>7.51</v>
      </c>
      <c r="F17" s="126">
        <v>7.29</v>
      </c>
      <c r="G17" s="126">
        <v>7.01</v>
      </c>
      <c r="H17" s="126">
        <v>6.86</v>
      </c>
      <c r="I17" s="126">
        <v>6.75</v>
      </c>
      <c r="J17" s="126">
        <v>6.6</v>
      </c>
      <c r="K17" s="126">
        <v>6.45</v>
      </c>
      <c r="L17" s="126">
        <v>6.27</v>
      </c>
      <c r="M17" s="153"/>
      <c r="O17" s="139" t="s">
        <v>194</v>
      </c>
      <c r="P17" s="158" t="e">
        <f t="shared" ref="P17:U17" ca="1" si="1">INDEX(Prot_dampers,$V$17,R$19)</f>
        <v>#REF!</v>
      </c>
      <c r="Q17" s="158" t="e">
        <f t="shared" ca="1" si="1"/>
        <v>#REF!</v>
      </c>
      <c r="R17" s="157" t="e">
        <f t="shared" ca="1" si="1"/>
        <v>#REF!</v>
      </c>
      <c r="S17" s="158" t="e">
        <f t="shared" ca="1" si="1"/>
        <v>#REF!</v>
      </c>
      <c r="T17" s="158" t="e">
        <f t="shared" ca="1" si="1"/>
        <v>#REF!</v>
      </c>
      <c r="U17" s="157" t="e">
        <f t="shared" ca="1" si="1"/>
        <v>#REF!</v>
      </c>
      <c r="V17" s="158" t="e">
        <f ca="1">IF(INDEX(Prot_dampers,W17,1)="",W17+1,W17)</f>
        <v>#REF!</v>
      </c>
      <c r="W17" s="229" t="e">
        <f ca="1">MATCH(MIN($X$82:$X$89),$X$82:$X$89,0)</f>
        <v>#REF!</v>
      </c>
    </row>
    <row r="18" spans="1:35">
      <c r="A18" s="149"/>
      <c r="B18" s="150"/>
      <c r="C18" s="150"/>
      <c r="D18" s="150"/>
      <c r="E18" s="150"/>
      <c r="F18" s="150"/>
      <c r="G18" s="150"/>
      <c r="H18" s="150"/>
      <c r="I18" s="150"/>
      <c r="J18" s="150"/>
      <c r="K18" s="150"/>
      <c r="L18" s="150"/>
      <c r="M18" s="150"/>
    </row>
    <row r="19" spans="1:35" s="148" customFormat="1">
      <c r="B19" s="148" t="s">
        <v>187</v>
      </c>
      <c r="C19" s="148">
        <v>1</v>
      </c>
      <c r="D19" s="148">
        <f>C19+1</f>
        <v>2</v>
      </c>
      <c r="E19" s="148">
        <f>D19+1</f>
        <v>3</v>
      </c>
      <c r="F19" s="148">
        <f t="shared" ref="F19:AH19" si="2">E19+1</f>
        <v>4</v>
      </c>
      <c r="G19" s="148">
        <f t="shared" si="2"/>
        <v>5</v>
      </c>
      <c r="H19" s="148">
        <f t="shared" si="2"/>
        <v>6</v>
      </c>
      <c r="I19" s="148">
        <f t="shared" si="2"/>
        <v>7</v>
      </c>
      <c r="J19" s="148">
        <f t="shared" si="2"/>
        <v>8</v>
      </c>
      <c r="K19" s="148">
        <f t="shared" si="2"/>
        <v>9</v>
      </c>
      <c r="L19" s="148">
        <f t="shared" si="2"/>
        <v>10</v>
      </c>
      <c r="M19" s="148">
        <f t="shared" si="2"/>
        <v>11</v>
      </c>
      <c r="N19" s="148">
        <f t="shared" si="2"/>
        <v>12</v>
      </c>
      <c r="O19" s="148">
        <f t="shared" si="2"/>
        <v>13</v>
      </c>
      <c r="P19" s="148">
        <f t="shared" si="2"/>
        <v>14</v>
      </c>
      <c r="Q19" s="148">
        <f t="shared" si="2"/>
        <v>15</v>
      </c>
      <c r="R19" s="148">
        <f t="shared" si="2"/>
        <v>16</v>
      </c>
      <c r="S19" s="148">
        <f t="shared" si="2"/>
        <v>17</v>
      </c>
      <c r="T19" s="148">
        <f t="shared" si="2"/>
        <v>18</v>
      </c>
      <c r="U19" s="148">
        <f t="shared" si="2"/>
        <v>19</v>
      </c>
      <c r="V19" s="148">
        <f t="shared" si="2"/>
        <v>20</v>
      </c>
      <c r="W19" s="148">
        <f t="shared" si="2"/>
        <v>21</v>
      </c>
      <c r="X19" s="148">
        <f t="shared" si="2"/>
        <v>22</v>
      </c>
      <c r="Y19" s="148">
        <f t="shared" si="2"/>
        <v>23</v>
      </c>
      <c r="Z19" s="148">
        <f t="shared" si="2"/>
        <v>24</v>
      </c>
      <c r="AA19" s="148">
        <f t="shared" si="2"/>
        <v>25</v>
      </c>
      <c r="AB19" s="148">
        <f t="shared" si="2"/>
        <v>26</v>
      </c>
      <c r="AC19" s="148">
        <f t="shared" si="2"/>
        <v>27</v>
      </c>
      <c r="AD19" s="148">
        <f t="shared" si="2"/>
        <v>28</v>
      </c>
      <c r="AE19" s="148">
        <f t="shared" si="2"/>
        <v>29</v>
      </c>
      <c r="AF19" s="148">
        <f t="shared" si="2"/>
        <v>30</v>
      </c>
      <c r="AG19" s="148">
        <f t="shared" si="2"/>
        <v>31</v>
      </c>
      <c r="AH19" s="148">
        <f t="shared" si="2"/>
        <v>32</v>
      </c>
      <c r="AI19" s="117"/>
    </row>
    <row r="20" spans="1:35" s="148" customFormat="1" ht="13.5" thickBot="1">
      <c r="T20" s="224"/>
      <c r="W20" s="224"/>
      <c r="AC20" s="148" t="s">
        <v>1503</v>
      </c>
      <c r="AD20" s="148" t="s">
        <v>1507</v>
      </c>
      <c r="AE20" s="148" t="s">
        <v>1504</v>
      </c>
      <c r="AF20" s="148" t="s">
        <v>1509</v>
      </c>
      <c r="AG20" s="148" t="s">
        <v>1505</v>
      </c>
      <c r="AH20" s="148" t="s">
        <v>1506</v>
      </c>
    </row>
    <row r="21" spans="1:35" ht="13.5" thickTop="1">
      <c r="A21" s="1991" t="s">
        <v>3540</v>
      </c>
      <c r="B21" s="225" t="s">
        <v>1665</v>
      </c>
      <c r="C21" s="1975" t="s">
        <v>1666</v>
      </c>
      <c r="D21" s="1976" t="s">
        <v>137</v>
      </c>
      <c r="E21" s="1998" t="s">
        <v>215</v>
      </c>
      <c r="F21" s="1976" t="s">
        <v>138</v>
      </c>
      <c r="G21" s="1976" t="s">
        <v>139</v>
      </c>
      <c r="H21" s="1976" t="s">
        <v>140</v>
      </c>
      <c r="I21" s="1976" t="s">
        <v>141</v>
      </c>
      <c r="J21" s="1977" t="s">
        <v>142</v>
      </c>
      <c r="K21" s="1977"/>
      <c r="L21" s="1977" t="s">
        <v>143</v>
      </c>
      <c r="M21" s="1977"/>
      <c r="N21" s="1977"/>
      <c r="O21" s="1977"/>
      <c r="P21" s="1977"/>
      <c r="Q21" s="1978" t="s">
        <v>216</v>
      </c>
      <c r="R21" s="1978" t="s">
        <v>219</v>
      </c>
      <c r="S21" s="1978" t="s">
        <v>218</v>
      </c>
      <c r="T21" s="1979" t="s">
        <v>206</v>
      </c>
      <c r="U21" s="1978" t="s">
        <v>217</v>
      </c>
      <c r="V21" s="1978" t="s">
        <v>220</v>
      </c>
      <c r="W21" s="1979" t="s">
        <v>207</v>
      </c>
      <c r="X21" s="1980" t="s">
        <v>208</v>
      </c>
      <c r="Y21" s="1981" t="s">
        <v>209</v>
      </c>
      <c r="AB21" s="405" t="s">
        <v>1498</v>
      </c>
      <c r="AC21" s="405" t="s">
        <v>1499</v>
      </c>
      <c r="AD21" s="405" t="s">
        <v>1500</v>
      </c>
      <c r="AE21" s="405" t="s">
        <v>1501</v>
      </c>
      <c r="AF21" s="405" t="s">
        <v>1502</v>
      </c>
    </row>
    <row r="22" spans="1:35">
      <c r="A22" s="117">
        <v>1</v>
      </c>
      <c r="B22" s="225" t="s">
        <v>1667</v>
      </c>
      <c r="C22" s="1982" t="s">
        <v>144</v>
      </c>
      <c r="D22" s="1970" t="s">
        <v>145</v>
      </c>
      <c r="E22" s="1999" t="str">
        <f t="shared" ref="E22:E41" si="3">$C22&amp;" - "&amp;$D22</f>
        <v>ad1215 - W</v>
      </c>
      <c r="F22" s="1970">
        <v>0</v>
      </c>
      <c r="G22" s="1970">
        <v>7</v>
      </c>
      <c r="H22" s="1970">
        <v>0</v>
      </c>
      <c r="I22" s="1970">
        <v>2.6</v>
      </c>
      <c r="J22" s="1971">
        <f>LINEST(H22:I22,F22:G22)</f>
        <v>0.3714285714285715</v>
      </c>
      <c r="K22" s="1971"/>
      <c r="L22" s="1971">
        <v>25.2</v>
      </c>
      <c r="M22" s="1971"/>
      <c r="N22" s="1971"/>
      <c r="O22" s="1971"/>
      <c r="P22" s="1971"/>
      <c r="Q22" s="1972">
        <f t="shared" ref="Q22:Q41" si="4">IF($B$14&gt;$I22,0,$B$14/$J22)</f>
        <v>1.6822176394583075</v>
      </c>
      <c r="R22" s="1972" t="e">
        <f ca="1">IF(Q22&lt;&gt;0,IF(2*ROUNDDOWN($B$2/Q22/2,0)&gt;$J$2,$J$2,IF(2*ROUNDDOWN($B$2/Q22/2,0)&lt;$I$2,0,2*ROUNDDOWN($B$2/Q22/2,0))),0)</f>
        <v>#REF!</v>
      </c>
      <c r="S22" s="1972" t="e">
        <f ca="1">IF(R22=0,0,IF($B$2/R22&gt;G22,0,$B$2/R22))</f>
        <v>#REF!</v>
      </c>
      <c r="T22" s="1973" t="e">
        <f ca="1">IF(S22=0,0,S22*$J22)</f>
        <v>#REF!</v>
      </c>
      <c r="U22" s="1972" t="e">
        <f ca="1">IF(T22&lt;&gt;0,IF(2*ROUNDUP($B$2/G22/2,0)&lt;$I$2,$I$2,IF(2*ROUNDUP($B$2/G22/2,0)&gt;$J$2,0,2*ROUNDUP($B$2/G22/2,0))),0)</f>
        <v>#REF!</v>
      </c>
      <c r="V22" s="1972" t="e">
        <f ca="1">IF(U22=0,0,IF($B$2/U22&gt;G22,0,$B$2/U22))</f>
        <v>#REF!</v>
      </c>
      <c r="W22" s="1973" t="e">
        <f ca="1">IF(V22=0,0,V22*$J22)</f>
        <v>#REF!</v>
      </c>
      <c r="X22" s="1970" t="e">
        <f ca="1">IF(OR(L22=0,V22=0),"",$L22*U22)</f>
        <v>#REF!</v>
      </c>
      <c r="Y22" s="1983" t="e">
        <f ca="1">IF(OR(L22=0,S22=0),"",$L22*R22)</f>
        <v>#REF!</v>
      </c>
      <c r="AB22" s="117">
        <f>AG22+AH22</f>
        <v>19</v>
      </c>
      <c r="AC22" s="405">
        <v>60</v>
      </c>
      <c r="AD22" s="405">
        <v>20</v>
      </c>
      <c r="AE22" s="405">
        <v>40</v>
      </c>
      <c r="AF22" s="405">
        <v>20</v>
      </c>
      <c r="AG22" s="405">
        <v>4</v>
      </c>
      <c r="AH22" s="405">
        <v>15</v>
      </c>
    </row>
    <row r="23" spans="1:35">
      <c r="A23" s="117">
        <f t="shared" ref="A23:A86" si="5">A22+1</f>
        <v>2</v>
      </c>
      <c r="B23" s="225" t="s">
        <v>1668</v>
      </c>
      <c r="C23" s="1982" t="s">
        <v>146</v>
      </c>
      <c r="D23" s="1970" t="s">
        <v>145</v>
      </c>
      <c r="E23" s="1999" t="str">
        <f t="shared" si="3"/>
        <v>ad2015 - W</v>
      </c>
      <c r="F23" s="1970">
        <v>0</v>
      </c>
      <c r="G23" s="1970">
        <v>15</v>
      </c>
      <c r="H23" s="1970">
        <v>0</v>
      </c>
      <c r="I23" s="1970">
        <v>1.5</v>
      </c>
      <c r="J23" s="1971">
        <f t="shared" ref="J23:J77" si="6">LINEST(H23:I23,F23:G23)</f>
        <v>9.9999999999999992E-2</v>
      </c>
      <c r="K23" s="1971"/>
      <c r="L23" s="1971">
        <v>17.399999999999999</v>
      </c>
      <c r="M23" s="1971"/>
      <c r="N23" s="1971"/>
      <c r="O23" s="1971"/>
      <c r="P23" s="1971"/>
      <c r="Q23" s="1972">
        <f t="shared" si="4"/>
        <v>6.2482369465594294</v>
      </c>
      <c r="R23" s="1972" t="e">
        <f t="shared" ref="R23:R77" ca="1" si="7">IF(Q23&lt;&gt;0,IF(2*ROUNDDOWN($B$2/Q23/2,0)&gt;$J$2,$J$2,IF(2*ROUNDDOWN($B$2/Q23/2,0)&lt;$I$2,0,2*ROUNDDOWN($B$2/Q23/2,0))),0)</f>
        <v>#REF!</v>
      </c>
      <c r="S23" s="1972" t="e">
        <f t="shared" ref="S23:S77" ca="1" si="8">IF(R23=0,0,IF($B$2/R23&gt;G23,0,$B$2/R23))</f>
        <v>#REF!</v>
      </c>
      <c r="T23" s="1973" t="e">
        <f t="shared" ref="T23:T77" ca="1" si="9">IF(S23=0,0,S23*$J23)</f>
        <v>#REF!</v>
      </c>
      <c r="U23" s="1972" t="e">
        <f t="shared" ref="U23:U77" ca="1" si="10">IF(T23&lt;&gt;0,IF(2*ROUNDUP($B$2/G23/2,0)&lt;$I$2,$I$2,IF(2*ROUNDUP($B$2/G23/2,0)&gt;$J$2,0,2*ROUNDUP($B$2/G23/2,0))),0)</f>
        <v>#REF!</v>
      </c>
      <c r="V23" s="1972" t="e">
        <f t="shared" ref="V23:V77" ca="1" si="11">IF(U23=0,0,IF($B$2/U23&gt;G23,0,$B$2/U23))</f>
        <v>#REF!</v>
      </c>
      <c r="W23" s="1973" t="e">
        <f t="shared" ref="W23:W77" ca="1" si="12">IF(V23=0,0,V23*$J23)</f>
        <v>#REF!</v>
      </c>
      <c r="X23" s="1970" t="e">
        <f t="shared" ref="X23:X85" ca="1" si="13">IF(OR(L23=0,V23=0),"",$L23*U23)</f>
        <v>#REF!</v>
      </c>
      <c r="Y23" s="1983" t="e">
        <f t="shared" ref="Y23:Y85" ca="1" si="14">IF(OR(L23=0,S23=0),"",$L23*R23)</f>
        <v>#REF!</v>
      </c>
      <c r="AA23" s="405"/>
      <c r="AB23" s="117">
        <f t="shared" ref="AB23:AB29" si="15">AG23+AH23</f>
        <v>19</v>
      </c>
      <c r="AC23" s="405">
        <v>60</v>
      </c>
      <c r="AD23" s="405">
        <v>20</v>
      </c>
      <c r="AE23" s="405">
        <v>40</v>
      </c>
      <c r="AF23" s="405">
        <v>20</v>
      </c>
      <c r="AG23" s="405">
        <v>4</v>
      </c>
      <c r="AH23" s="405">
        <v>15</v>
      </c>
      <c r="AI23" s="405" t="s">
        <v>1508</v>
      </c>
    </row>
    <row r="24" spans="1:35">
      <c r="A24" s="117">
        <f t="shared" si="5"/>
        <v>3</v>
      </c>
      <c r="B24" s="225"/>
      <c r="C24" s="1982" t="s">
        <v>146</v>
      </c>
      <c r="D24" s="1970" t="s">
        <v>147</v>
      </c>
      <c r="E24" s="1999" t="str">
        <f t="shared" si="3"/>
        <v>ad2015 - R</v>
      </c>
      <c r="F24" s="1970">
        <v>0</v>
      </c>
      <c r="G24" s="1970">
        <v>20</v>
      </c>
      <c r="H24" s="1970">
        <v>0</v>
      </c>
      <c r="I24" s="1970">
        <v>2.6</v>
      </c>
      <c r="J24" s="1971">
        <f t="shared" si="6"/>
        <v>0.12999999999999995</v>
      </c>
      <c r="K24" s="1971"/>
      <c r="L24" s="1971"/>
      <c r="M24" s="1971"/>
      <c r="N24" s="1971"/>
      <c r="O24" s="1971"/>
      <c r="P24" s="1971"/>
      <c r="Q24" s="1972">
        <f t="shared" si="4"/>
        <v>4.8063361127380242</v>
      </c>
      <c r="R24" s="1972" t="e">
        <f t="shared" ca="1" si="7"/>
        <v>#REF!</v>
      </c>
      <c r="S24" s="1972" t="e">
        <f t="shared" ca="1" si="8"/>
        <v>#REF!</v>
      </c>
      <c r="T24" s="1973" t="e">
        <f t="shared" ca="1" si="9"/>
        <v>#REF!</v>
      </c>
      <c r="U24" s="1972" t="e">
        <f t="shared" ca="1" si="10"/>
        <v>#REF!</v>
      </c>
      <c r="V24" s="1972" t="e">
        <f t="shared" ca="1" si="11"/>
        <v>#REF!</v>
      </c>
      <c r="W24" s="1973" t="e">
        <f t="shared" ca="1" si="12"/>
        <v>#REF!</v>
      </c>
      <c r="X24" s="1970" t="e">
        <f t="shared" ca="1" si="13"/>
        <v>#REF!</v>
      </c>
      <c r="Y24" s="1983" t="e">
        <f t="shared" ca="1" si="14"/>
        <v>#REF!</v>
      </c>
      <c r="AA24" s="405"/>
      <c r="AB24" s="117">
        <f t="shared" si="15"/>
        <v>19</v>
      </c>
      <c r="AC24" s="405">
        <v>60</v>
      </c>
      <c r="AD24" s="405">
        <v>20</v>
      </c>
      <c r="AE24" s="405">
        <v>40</v>
      </c>
      <c r="AF24" s="405">
        <v>20</v>
      </c>
      <c r="AG24" s="405">
        <v>4</v>
      </c>
      <c r="AH24" s="405">
        <v>15</v>
      </c>
      <c r="AI24" s="405">
        <v>7.5</v>
      </c>
    </row>
    <row r="25" spans="1:35">
      <c r="A25" s="117">
        <f t="shared" si="5"/>
        <v>4</v>
      </c>
      <c r="B25" s="225"/>
      <c r="C25" s="1982" t="s">
        <v>146</v>
      </c>
      <c r="D25" s="1970" t="s">
        <v>147</v>
      </c>
      <c r="E25" s="1999" t="str">
        <f t="shared" si="3"/>
        <v>ad2015 - R</v>
      </c>
      <c r="F25" s="1970">
        <v>0</v>
      </c>
      <c r="G25" s="1970">
        <v>20</v>
      </c>
      <c r="H25" s="1970">
        <v>0</v>
      </c>
      <c r="I25" s="1970">
        <v>2.6</v>
      </c>
      <c r="J25" s="1971">
        <f t="shared" si="6"/>
        <v>0.12999999999999995</v>
      </c>
      <c r="K25" s="1971"/>
      <c r="L25" s="1971"/>
      <c r="M25" s="1971"/>
      <c r="N25" s="1971"/>
      <c r="O25" s="1971"/>
      <c r="P25" s="1971"/>
      <c r="Q25" s="1972">
        <f t="shared" si="4"/>
        <v>4.8063361127380242</v>
      </c>
      <c r="R25" s="1972" t="e">
        <f t="shared" ca="1" si="7"/>
        <v>#REF!</v>
      </c>
      <c r="S25" s="1972" t="e">
        <f t="shared" ca="1" si="8"/>
        <v>#REF!</v>
      </c>
      <c r="T25" s="1973" t="e">
        <f t="shared" ca="1" si="9"/>
        <v>#REF!</v>
      </c>
      <c r="U25" s="1972" t="e">
        <f t="shared" ca="1" si="10"/>
        <v>#REF!</v>
      </c>
      <c r="V25" s="1972" t="e">
        <f t="shared" ca="1" si="11"/>
        <v>#REF!</v>
      </c>
      <c r="W25" s="1973" t="e">
        <f t="shared" ca="1" si="12"/>
        <v>#REF!</v>
      </c>
      <c r="X25" s="1970" t="e">
        <f t="shared" ca="1" si="13"/>
        <v>#REF!</v>
      </c>
      <c r="Y25" s="1983" t="e">
        <f t="shared" ca="1" si="14"/>
        <v>#REF!</v>
      </c>
      <c r="AA25" s="405"/>
      <c r="AB25" s="117">
        <f t="shared" si="15"/>
        <v>19</v>
      </c>
      <c r="AC25" s="405">
        <v>60</v>
      </c>
      <c r="AD25" s="405">
        <v>20</v>
      </c>
      <c r="AE25" s="405">
        <v>40</v>
      </c>
      <c r="AF25" s="405">
        <v>20</v>
      </c>
      <c r="AG25" s="405">
        <v>4</v>
      </c>
      <c r="AH25" s="405">
        <v>15</v>
      </c>
      <c r="AI25" s="405">
        <v>10</v>
      </c>
    </row>
    <row r="26" spans="1:35">
      <c r="A26" s="117">
        <f t="shared" si="5"/>
        <v>5</v>
      </c>
      <c r="B26" s="225"/>
      <c r="C26" s="1982" t="s">
        <v>146</v>
      </c>
      <c r="D26" s="1970" t="s">
        <v>148</v>
      </c>
      <c r="E26" s="1999" t="str">
        <f t="shared" si="3"/>
        <v>ad2015 - B</v>
      </c>
      <c r="F26" s="1970">
        <v>0</v>
      </c>
      <c r="G26" s="1970">
        <v>25</v>
      </c>
      <c r="H26" s="1970">
        <v>0</v>
      </c>
      <c r="I26" s="1970">
        <v>2.4</v>
      </c>
      <c r="J26" s="1971">
        <f t="shared" si="6"/>
        <v>9.6000000000000016E-2</v>
      </c>
      <c r="K26" s="1971"/>
      <c r="L26" s="1971"/>
      <c r="M26" s="1971"/>
      <c r="N26" s="1971"/>
      <c r="O26" s="1971"/>
      <c r="P26" s="1971"/>
      <c r="Q26" s="1972">
        <f t="shared" si="4"/>
        <v>6.5085801526660712</v>
      </c>
      <c r="R26" s="1972" t="e">
        <f t="shared" ca="1" si="7"/>
        <v>#REF!</v>
      </c>
      <c r="S26" s="1972" t="e">
        <f t="shared" ca="1" si="8"/>
        <v>#REF!</v>
      </c>
      <c r="T26" s="1973" t="e">
        <f t="shared" ca="1" si="9"/>
        <v>#REF!</v>
      </c>
      <c r="U26" s="1972" t="e">
        <f t="shared" ca="1" si="10"/>
        <v>#REF!</v>
      </c>
      <c r="V26" s="1972" t="e">
        <f t="shared" ca="1" si="11"/>
        <v>#REF!</v>
      </c>
      <c r="W26" s="1973" t="e">
        <f t="shared" ca="1" si="12"/>
        <v>#REF!</v>
      </c>
      <c r="X26" s="1970" t="e">
        <f t="shared" ca="1" si="13"/>
        <v>#REF!</v>
      </c>
      <c r="Y26" s="1983" t="e">
        <f t="shared" ca="1" si="14"/>
        <v>#REF!</v>
      </c>
      <c r="AB26" s="117">
        <f t="shared" si="15"/>
        <v>19</v>
      </c>
      <c r="AC26" s="405">
        <v>60</v>
      </c>
      <c r="AD26" s="405">
        <v>20</v>
      </c>
      <c r="AE26" s="405">
        <v>40</v>
      </c>
      <c r="AF26" s="405">
        <v>20</v>
      </c>
      <c r="AG26" s="405">
        <v>4</v>
      </c>
      <c r="AH26" s="405">
        <v>15</v>
      </c>
      <c r="AI26" s="405">
        <v>10</v>
      </c>
    </row>
    <row r="27" spans="1:35">
      <c r="A27" s="117">
        <f t="shared" si="5"/>
        <v>6</v>
      </c>
      <c r="B27" s="225" t="s">
        <v>1669</v>
      </c>
      <c r="C27" s="1982" t="s">
        <v>149</v>
      </c>
      <c r="D27" s="1970" t="s">
        <v>145</v>
      </c>
      <c r="E27" s="1999" t="str">
        <f t="shared" si="3"/>
        <v>ad3025 - W</v>
      </c>
      <c r="F27" s="1970">
        <v>0</v>
      </c>
      <c r="G27" s="1970">
        <v>35</v>
      </c>
      <c r="H27" s="1970">
        <v>0</v>
      </c>
      <c r="I27" s="1970">
        <v>2.7</v>
      </c>
      <c r="J27" s="1971">
        <f t="shared" si="6"/>
        <v>7.7142857142857138E-2</v>
      </c>
      <c r="K27" s="1971"/>
      <c r="L27" s="1971">
        <v>25.7</v>
      </c>
      <c r="M27" s="1971"/>
      <c r="N27" s="1971"/>
      <c r="O27" s="1971"/>
      <c r="P27" s="1971"/>
      <c r="Q27" s="1972">
        <f t="shared" si="4"/>
        <v>8.0995664122066682</v>
      </c>
      <c r="R27" s="1972" t="e">
        <f t="shared" ca="1" si="7"/>
        <v>#REF!</v>
      </c>
      <c r="S27" s="1972" t="e">
        <f t="shared" ca="1" si="8"/>
        <v>#REF!</v>
      </c>
      <c r="T27" s="1973" t="e">
        <f t="shared" ca="1" si="9"/>
        <v>#REF!</v>
      </c>
      <c r="U27" s="1972" t="e">
        <f t="shared" ca="1" si="10"/>
        <v>#REF!</v>
      </c>
      <c r="V27" s="1972" t="e">
        <f t="shared" ca="1" si="11"/>
        <v>#REF!</v>
      </c>
      <c r="W27" s="1973" t="e">
        <f t="shared" ca="1" si="12"/>
        <v>#REF!</v>
      </c>
      <c r="X27" s="1970" t="e">
        <f t="shared" ca="1" si="13"/>
        <v>#REF!</v>
      </c>
      <c r="Y27" s="1983" t="e">
        <f t="shared" ca="1" si="14"/>
        <v>#REF!</v>
      </c>
      <c r="AA27" s="405"/>
      <c r="AB27" s="117">
        <f t="shared" si="15"/>
        <v>31</v>
      </c>
      <c r="AC27" s="405">
        <v>90</v>
      </c>
      <c r="AD27" s="405">
        <v>30</v>
      </c>
      <c r="AE27" s="405">
        <v>60</v>
      </c>
      <c r="AF27" s="405">
        <v>30</v>
      </c>
      <c r="AG27" s="405">
        <v>6</v>
      </c>
      <c r="AH27" s="405">
        <v>25</v>
      </c>
      <c r="AI27" s="405">
        <v>13</v>
      </c>
    </row>
    <row r="28" spans="1:35">
      <c r="A28" s="117">
        <f t="shared" si="5"/>
        <v>7</v>
      </c>
      <c r="B28" s="225"/>
      <c r="C28" s="1982" t="s">
        <v>149</v>
      </c>
      <c r="D28" s="1970" t="s">
        <v>147</v>
      </c>
      <c r="E28" s="1999" t="str">
        <f t="shared" si="3"/>
        <v>ad3025 - R</v>
      </c>
      <c r="F28" s="1970">
        <v>0</v>
      </c>
      <c r="G28" s="1970">
        <v>45</v>
      </c>
      <c r="H28" s="1970">
        <v>0</v>
      </c>
      <c r="I28" s="1970">
        <v>2.5</v>
      </c>
      <c r="J28" s="1971">
        <f t="shared" si="6"/>
        <v>5.5555555555555566E-2</v>
      </c>
      <c r="K28" s="1971"/>
      <c r="L28" s="1971"/>
      <c r="M28" s="1971"/>
      <c r="N28" s="1971"/>
      <c r="O28" s="1971"/>
      <c r="P28" s="1971"/>
      <c r="Q28" s="1972">
        <f t="shared" si="4"/>
        <v>11.24682650380697</v>
      </c>
      <c r="R28" s="1972" t="e">
        <f t="shared" ca="1" si="7"/>
        <v>#REF!</v>
      </c>
      <c r="S28" s="1972" t="e">
        <f t="shared" ca="1" si="8"/>
        <v>#REF!</v>
      </c>
      <c r="T28" s="1973" t="e">
        <f t="shared" ca="1" si="9"/>
        <v>#REF!</v>
      </c>
      <c r="U28" s="1972" t="e">
        <f t="shared" ca="1" si="10"/>
        <v>#REF!</v>
      </c>
      <c r="V28" s="1972" t="e">
        <f t="shared" ca="1" si="11"/>
        <v>#REF!</v>
      </c>
      <c r="W28" s="1973" t="e">
        <f t="shared" ca="1" si="12"/>
        <v>#REF!</v>
      </c>
      <c r="X28" s="1970" t="e">
        <f t="shared" ca="1" si="13"/>
        <v>#REF!</v>
      </c>
      <c r="Y28" s="1983" t="e">
        <f t="shared" ca="1" si="14"/>
        <v>#REF!</v>
      </c>
      <c r="AB28" s="117">
        <f t="shared" si="15"/>
        <v>31</v>
      </c>
      <c r="AC28" s="405">
        <v>90</v>
      </c>
      <c r="AD28" s="405">
        <v>30</v>
      </c>
      <c r="AE28" s="405">
        <v>60</v>
      </c>
      <c r="AF28" s="405">
        <v>30</v>
      </c>
      <c r="AG28" s="405">
        <v>6</v>
      </c>
      <c r="AH28" s="405">
        <v>25</v>
      </c>
      <c r="AI28" s="405">
        <v>13</v>
      </c>
    </row>
    <row r="29" spans="1:35">
      <c r="A29" s="117">
        <f t="shared" si="5"/>
        <v>8</v>
      </c>
      <c r="B29" s="225" t="s">
        <v>1669</v>
      </c>
      <c r="C29" s="1982" t="s">
        <v>149</v>
      </c>
      <c r="D29" s="1970" t="s">
        <v>148</v>
      </c>
      <c r="E29" s="1999" t="str">
        <f t="shared" si="3"/>
        <v>ad3025 - B</v>
      </c>
      <c r="F29" s="1970">
        <v>0</v>
      </c>
      <c r="G29" s="1970">
        <v>55</v>
      </c>
      <c r="H29" s="1970">
        <v>0</v>
      </c>
      <c r="I29" s="1970">
        <v>2</v>
      </c>
      <c r="J29" s="1971">
        <f t="shared" si="6"/>
        <v>3.6363636363636362E-2</v>
      </c>
      <c r="K29" s="1971"/>
      <c r="L29" s="1971">
        <v>25.7</v>
      </c>
      <c r="M29" s="1971"/>
      <c r="N29" s="1971"/>
      <c r="O29" s="1971"/>
      <c r="P29" s="1971"/>
      <c r="Q29" s="1972">
        <f t="shared" si="4"/>
        <v>17.18265160303843</v>
      </c>
      <c r="R29" s="1972" t="e">
        <f t="shared" ca="1" si="7"/>
        <v>#REF!</v>
      </c>
      <c r="S29" s="1972" t="e">
        <f t="shared" ca="1" si="8"/>
        <v>#REF!</v>
      </c>
      <c r="T29" s="1973" t="e">
        <f t="shared" ca="1" si="9"/>
        <v>#REF!</v>
      </c>
      <c r="U29" s="1972" t="e">
        <f t="shared" ca="1" si="10"/>
        <v>#REF!</v>
      </c>
      <c r="V29" s="1972" t="e">
        <f t="shared" ca="1" si="11"/>
        <v>#REF!</v>
      </c>
      <c r="W29" s="1973" t="e">
        <f t="shared" ca="1" si="12"/>
        <v>#REF!</v>
      </c>
      <c r="X29" s="1970" t="e">
        <f t="shared" ca="1" si="13"/>
        <v>#REF!</v>
      </c>
      <c r="Y29" s="1983" t="e">
        <f t="shared" ca="1" si="14"/>
        <v>#REF!</v>
      </c>
      <c r="AB29" s="117">
        <f t="shared" si="15"/>
        <v>31</v>
      </c>
      <c r="AC29" s="405">
        <v>90</v>
      </c>
      <c r="AD29" s="405">
        <v>30</v>
      </c>
      <c r="AE29" s="405">
        <v>60</v>
      </c>
      <c r="AF29" s="405">
        <v>30</v>
      </c>
      <c r="AG29" s="405">
        <v>6</v>
      </c>
      <c r="AH29" s="405">
        <v>25</v>
      </c>
    </row>
    <row r="30" spans="1:35">
      <c r="A30" s="117">
        <f t="shared" si="5"/>
        <v>9</v>
      </c>
      <c r="B30" s="225" t="s">
        <v>1670</v>
      </c>
      <c r="C30" s="1982" t="s">
        <v>150</v>
      </c>
      <c r="D30" s="1970" t="s">
        <v>145</v>
      </c>
      <c r="E30" s="1999" t="str">
        <f t="shared" si="3"/>
        <v>ad4030 - W</v>
      </c>
      <c r="F30" s="1970">
        <v>0</v>
      </c>
      <c r="G30" s="1970">
        <v>65</v>
      </c>
      <c r="H30" s="1970">
        <v>0</v>
      </c>
      <c r="I30" s="1970">
        <v>3.5</v>
      </c>
      <c r="J30" s="1971">
        <f t="shared" si="6"/>
        <v>5.3846153846153863E-2</v>
      </c>
      <c r="K30" s="1971"/>
      <c r="L30" s="1971">
        <v>31.6</v>
      </c>
      <c r="M30" s="1971"/>
      <c r="N30" s="1971"/>
      <c r="O30" s="1971"/>
      <c r="P30" s="1971"/>
      <c r="Q30" s="1972">
        <f t="shared" si="4"/>
        <v>11.603868615038936</v>
      </c>
      <c r="R30" s="1972" t="e">
        <f t="shared" ca="1" si="7"/>
        <v>#REF!</v>
      </c>
      <c r="S30" s="1972" t="e">
        <f t="shared" ca="1" si="8"/>
        <v>#REF!</v>
      </c>
      <c r="T30" s="1973" t="e">
        <f t="shared" ca="1" si="9"/>
        <v>#REF!</v>
      </c>
      <c r="U30" s="1972" t="e">
        <f t="shared" ca="1" si="10"/>
        <v>#REF!</v>
      </c>
      <c r="V30" s="1972" t="e">
        <f t="shared" ca="1" si="11"/>
        <v>#REF!</v>
      </c>
      <c r="W30" s="1973" t="e">
        <f t="shared" ca="1" si="12"/>
        <v>#REF!</v>
      </c>
      <c r="X30" s="1970" t="e">
        <f t="shared" ca="1" si="13"/>
        <v>#REF!</v>
      </c>
      <c r="Y30" s="1983" t="e">
        <f t="shared" ca="1" si="14"/>
        <v>#REF!</v>
      </c>
      <c r="AA30" s="405"/>
      <c r="AB30" s="117">
        <f t="shared" ref="AB30:AB41" si="16">AG30+AH30</f>
        <v>36</v>
      </c>
      <c r="AC30" s="405">
        <v>100</v>
      </c>
      <c r="AD30" s="405">
        <v>40</v>
      </c>
      <c r="AE30" s="405">
        <v>70</v>
      </c>
      <c r="AF30" s="405">
        <v>40</v>
      </c>
      <c r="AG30" s="405">
        <v>6</v>
      </c>
      <c r="AH30" s="405">
        <v>30</v>
      </c>
    </row>
    <row r="31" spans="1:35">
      <c r="A31" s="117">
        <f t="shared" si="5"/>
        <v>10</v>
      </c>
      <c r="B31" s="225"/>
      <c r="C31" s="1982" t="s">
        <v>150</v>
      </c>
      <c r="D31" s="1970" t="s">
        <v>147</v>
      </c>
      <c r="E31" s="1999" t="str">
        <f t="shared" si="3"/>
        <v>ad4030 - R</v>
      </c>
      <c r="F31" s="1970">
        <v>0</v>
      </c>
      <c r="G31" s="1970">
        <v>80</v>
      </c>
      <c r="H31" s="1970">
        <v>0</v>
      </c>
      <c r="I31" s="1970">
        <v>2.8</v>
      </c>
      <c r="J31" s="1971">
        <f t="shared" si="6"/>
        <v>3.4999999999999996E-2</v>
      </c>
      <c r="K31" s="1971"/>
      <c r="L31" s="1971"/>
      <c r="M31" s="1971"/>
      <c r="N31" s="1971"/>
      <c r="O31" s="1971"/>
      <c r="P31" s="1971"/>
      <c r="Q31" s="1972">
        <f t="shared" si="4"/>
        <v>17.852105561598371</v>
      </c>
      <c r="R31" s="1972" t="e">
        <f t="shared" ca="1" si="7"/>
        <v>#REF!</v>
      </c>
      <c r="S31" s="1972" t="e">
        <f t="shared" ca="1" si="8"/>
        <v>#REF!</v>
      </c>
      <c r="T31" s="1973" t="e">
        <f t="shared" ca="1" si="9"/>
        <v>#REF!</v>
      </c>
      <c r="U31" s="1972" t="e">
        <f t="shared" ca="1" si="10"/>
        <v>#REF!</v>
      </c>
      <c r="V31" s="1972" t="e">
        <f t="shared" ca="1" si="11"/>
        <v>#REF!</v>
      </c>
      <c r="W31" s="1973" t="e">
        <f t="shared" ca="1" si="12"/>
        <v>#REF!</v>
      </c>
      <c r="X31" s="1970" t="e">
        <f t="shared" ca="1" si="13"/>
        <v>#REF!</v>
      </c>
      <c r="Y31" s="1983" t="e">
        <f t="shared" ca="1" si="14"/>
        <v>#REF!</v>
      </c>
      <c r="AB31" s="117">
        <f t="shared" si="16"/>
        <v>36</v>
      </c>
      <c r="AC31" s="405">
        <v>100</v>
      </c>
      <c r="AD31" s="405">
        <v>40</v>
      </c>
      <c r="AE31" s="405">
        <v>70</v>
      </c>
      <c r="AF31" s="405">
        <v>40</v>
      </c>
      <c r="AG31" s="405">
        <v>6</v>
      </c>
      <c r="AH31" s="405">
        <v>30</v>
      </c>
    </row>
    <row r="32" spans="1:35">
      <c r="A32" s="117">
        <f t="shared" si="5"/>
        <v>11</v>
      </c>
      <c r="B32" s="225" t="s">
        <v>1670</v>
      </c>
      <c r="C32" s="1982" t="s">
        <v>150</v>
      </c>
      <c r="D32" s="1970" t="s">
        <v>148</v>
      </c>
      <c r="E32" s="1999" t="str">
        <f t="shared" si="3"/>
        <v>ad4030 - B</v>
      </c>
      <c r="F32" s="1970">
        <v>0</v>
      </c>
      <c r="G32" s="1970">
        <v>100</v>
      </c>
      <c r="H32" s="1970">
        <v>0</v>
      </c>
      <c r="I32" s="1970">
        <v>2</v>
      </c>
      <c r="J32" s="1971">
        <f t="shared" si="6"/>
        <v>2.0000000000000004E-2</v>
      </c>
      <c r="K32" s="1971"/>
      <c r="L32" s="1971">
        <v>31.6</v>
      </c>
      <c r="M32" s="1971"/>
      <c r="N32" s="1971"/>
      <c r="O32" s="1971"/>
      <c r="P32" s="1971"/>
      <c r="Q32" s="1972">
        <f t="shared" si="4"/>
        <v>31.241184732797137</v>
      </c>
      <c r="R32" s="1972" t="e">
        <f t="shared" ca="1" si="7"/>
        <v>#REF!</v>
      </c>
      <c r="S32" s="1972" t="e">
        <f t="shared" ca="1" si="8"/>
        <v>#REF!</v>
      </c>
      <c r="T32" s="1973" t="e">
        <f t="shared" ca="1" si="9"/>
        <v>#REF!</v>
      </c>
      <c r="U32" s="1972" t="e">
        <f t="shared" ca="1" si="10"/>
        <v>#REF!</v>
      </c>
      <c r="V32" s="1972" t="e">
        <f t="shared" ca="1" si="11"/>
        <v>#REF!</v>
      </c>
      <c r="W32" s="1973" t="e">
        <f t="shared" ca="1" si="12"/>
        <v>#REF!</v>
      </c>
      <c r="X32" s="1970" t="e">
        <f t="shared" ca="1" si="13"/>
        <v>#REF!</v>
      </c>
      <c r="Y32" s="1983" t="e">
        <f t="shared" ca="1" si="14"/>
        <v>#REF!</v>
      </c>
      <c r="AB32" s="117">
        <f t="shared" si="16"/>
        <v>36</v>
      </c>
      <c r="AC32" s="405">
        <v>100</v>
      </c>
      <c r="AD32" s="405">
        <v>40</v>
      </c>
      <c r="AE32" s="405">
        <v>70</v>
      </c>
      <c r="AF32" s="405">
        <v>40</v>
      </c>
      <c r="AG32" s="405">
        <v>6</v>
      </c>
      <c r="AH32" s="405">
        <v>30</v>
      </c>
    </row>
    <row r="33" spans="1:34">
      <c r="A33" s="117">
        <f t="shared" si="5"/>
        <v>12</v>
      </c>
      <c r="B33" s="225" t="s">
        <v>1671</v>
      </c>
      <c r="C33" s="1982" t="s">
        <v>151</v>
      </c>
      <c r="D33" s="1970" t="s">
        <v>145</v>
      </c>
      <c r="E33" s="1999" t="str">
        <f t="shared" si="3"/>
        <v>ad5035 - W</v>
      </c>
      <c r="F33" s="1970">
        <v>0</v>
      </c>
      <c r="G33" s="1970">
        <v>100</v>
      </c>
      <c r="H33" s="1970">
        <v>0</v>
      </c>
      <c r="I33" s="1970">
        <v>4</v>
      </c>
      <c r="J33" s="1971">
        <f t="shared" si="6"/>
        <v>4.0000000000000008E-2</v>
      </c>
      <c r="K33" s="1971"/>
      <c r="L33" s="1971">
        <v>48.8</v>
      </c>
      <c r="M33" s="1971"/>
      <c r="N33" s="1971"/>
      <c r="O33" s="1971"/>
      <c r="P33" s="1971"/>
      <c r="Q33" s="1972">
        <f t="shared" si="4"/>
        <v>15.620592366398569</v>
      </c>
      <c r="R33" s="1972" t="e">
        <f t="shared" ca="1" si="7"/>
        <v>#REF!</v>
      </c>
      <c r="S33" s="1972" t="e">
        <f t="shared" ca="1" si="8"/>
        <v>#REF!</v>
      </c>
      <c r="T33" s="1973" t="e">
        <f t="shared" ca="1" si="9"/>
        <v>#REF!</v>
      </c>
      <c r="U33" s="1972" t="e">
        <f t="shared" ca="1" si="10"/>
        <v>#REF!</v>
      </c>
      <c r="V33" s="1972" t="e">
        <f t="shared" ca="1" si="11"/>
        <v>#REF!</v>
      </c>
      <c r="W33" s="1973" t="e">
        <f t="shared" ca="1" si="12"/>
        <v>#REF!</v>
      </c>
      <c r="X33" s="1970" t="e">
        <f t="shared" ca="1" si="13"/>
        <v>#REF!</v>
      </c>
      <c r="Y33" s="1983" t="e">
        <f t="shared" ca="1" si="14"/>
        <v>#REF!</v>
      </c>
      <c r="AA33" s="405"/>
      <c r="AB33" s="117">
        <f t="shared" si="16"/>
        <v>43</v>
      </c>
      <c r="AC33" s="405">
        <v>110</v>
      </c>
      <c r="AD33" s="405">
        <v>50</v>
      </c>
      <c r="AE33" s="405">
        <v>80</v>
      </c>
      <c r="AF33" s="405">
        <v>50</v>
      </c>
      <c r="AG33" s="405">
        <v>8</v>
      </c>
      <c r="AH33" s="405">
        <v>35</v>
      </c>
    </row>
    <row r="34" spans="1:34">
      <c r="A34" s="117">
        <f t="shared" si="5"/>
        <v>13</v>
      </c>
      <c r="B34" s="225"/>
      <c r="C34" s="1982" t="s">
        <v>151</v>
      </c>
      <c r="D34" s="1970" t="s">
        <v>147</v>
      </c>
      <c r="E34" s="1999" t="str">
        <f t="shared" si="3"/>
        <v>ad5035 - R</v>
      </c>
      <c r="F34" s="1970">
        <v>0</v>
      </c>
      <c r="G34" s="1970">
        <v>115</v>
      </c>
      <c r="H34" s="1970">
        <v>0</v>
      </c>
      <c r="I34" s="1970">
        <v>3</v>
      </c>
      <c r="J34" s="1971">
        <f t="shared" si="6"/>
        <v>2.6086956521739126E-2</v>
      </c>
      <c r="K34" s="1971"/>
      <c r="L34" s="1971"/>
      <c r="M34" s="1971"/>
      <c r="N34" s="1971"/>
      <c r="O34" s="1971"/>
      <c r="P34" s="1971"/>
      <c r="Q34" s="1972">
        <f t="shared" si="4"/>
        <v>23.951574961811147</v>
      </c>
      <c r="R34" s="1972" t="e">
        <f t="shared" ca="1" si="7"/>
        <v>#REF!</v>
      </c>
      <c r="S34" s="1972" t="e">
        <f t="shared" ca="1" si="8"/>
        <v>#REF!</v>
      </c>
      <c r="T34" s="1973" t="e">
        <f t="shared" ca="1" si="9"/>
        <v>#REF!</v>
      </c>
      <c r="U34" s="1972" t="e">
        <f t="shared" ca="1" si="10"/>
        <v>#REF!</v>
      </c>
      <c r="V34" s="1972" t="e">
        <f t="shared" ca="1" si="11"/>
        <v>#REF!</v>
      </c>
      <c r="W34" s="1973" t="e">
        <f t="shared" ca="1" si="12"/>
        <v>#REF!</v>
      </c>
      <c r="X34" s="1970" t="e">
        <f t="shared" ca="1" si="13"/>
        <v>#REF!</v>
      </c>
      <c r="Y34" s="1983" t="e">
        <f t="shared" ca="1" si="14"/>
        <v>#REF!</v>
      </c>
      <c r="AB34" s="117">
        <f t="shared" si="16"/>
        <v>43</v>
      </c>
      <c r="AC34" s="405">
        <v>110</v>
      </c>
      <c r="AD34" s="405">
        <v>50</v>
      </c>
      <c r="AE34" s="405">
        <v>80</v>
      </c>
      <c r="AF34" s="405">
        <v>50</v>
      </c>
      <c r="AG34" s="405">
        <v>8</v>
      </c>
      <c r="AH34" s="405">
        <v>35</v>
      </c>
    </row>
    <row r="35" spans="1:34">
      <c r="A35" s="117">
        <f t="shared" si="5"/>
        <v>14</v>
      </c>
      <c r="B35" s="225" t="s">
        <v>1671</v>
      </c>
      <c r="C35" s="1982" t="s">
        <v>151</v>
      </c>
      <c r="D35" s="1970" t="s">
        <v>148</v>
      </c>
      <c r="E35" s="1999" t="str">
        <f t="shared" si="3"/>
        <v>ad5035 - B</v>
      </c>
      <c r="F35" s="1970">
        <v>0</v>
      </c>
      <c r="G35" s="1970">
        <v>135</v>
      </c>
      <c r="H35" s="1970">
        <v>0</v>
      </c>
      <c r="I35" s="1970">
        <v>2</v>
      </c>
      <c r="J35" s="1971">
        <f t="shared" si="6"/>
        <v>1.4814814814814817E-2</v>
      </c>
      <c r="K35" s="1971"/>
      <c r="L35" s="1971">
        <v>48.8</v>
      </c>
      <c r="M35" s="1971"/>
      <c r="N35" s="1971"/>
      <c r="O35" s="1971"/>
      <c r="P35" s="1971"/>
      <c r="Q35" s="1972">
        <f t="shared" si="4"/>
        <v>42.175599389276137</v>
      </c>
      <c r="R35" s="1972" t="e">
        <f t="shared" ca="1" si="7"/>
        <v>#REF!</v>
      </c>
      <c r="S35" s="1972" t="e">
        <f t="shared" ca="1" si="8"/>
        <v>#REF!</v>
      </c>
      <c r="T35" s="1973" t="e">
        <f t="shared" ca="1" si="9"/>
        <v>#REF!</v>
      </c>
      <c r="U35" s="1972" t="e">
        <f t="shared" ca="1" si="10"/>
        <v>#REF!</v>
      </c>
      <c r="V35" s="1972" t="e">
        <f t="shared" ca="1" si="11"/>
        <v>#REF!</v>
      </c>
      <c r="W35" s="1973" t="e">
        <f t="shared" ca="1" si="12"/>
        <v>#REF!</v>
      </c>
      <c r="X35" s="1970" t="e">
        <f t="shared" ca="1" si="13"/>
        <v>#REF!</v>
      </c>
      <c r="Y35" s="1983" t="e">
        <f t="shared" ca="1" si="14"/>
        <v>#REF!</v>
      </c>
      <c r="AB35" s="117">
        <f t="shared" si="16"/>
        <v>43</v>
      </c>
      <c r="AC35" s="405">
        <v>110</v>
      </c>
      <c r="AD35" s="405">
        <v>50</v>
      </c>
      <c r="AE35" s="405">
        <v>80</v>
      </c>
      <c r="AF35" s="405">
        <v>50</v>
      </c>
      <c r="AG35" s="405">
        <v>8</v>
      </c>
      <c r="AH35" s="405">
        <v>35</v>
      </c>
    </row>
    <row r="36" spans="1:34">
      <c r="A36" s="117">
        <f t="shared" si="5"/>
        <v>15</v>
      </c>
      <c r="B36" s="225" t="s">
        <v>1672</v>
      </c>
      <c r="C36" s="1982" t="s">
        <v>152</v>
      </c>
      <c r="D36" s="1970" t="s">
        <v>145</v>
      </c>
      <c r="E36" s="1999" t="str">
        <f t="shared" si="3"/>
        <v>ad7535 - W</v>
      </c>
      <c r="F36" s="1970">
        <v>0</v>
      </c>
      <c r="G36" s="1970">
        <v>225</v>
      </c>
      <c r="H36" s="1970">
        <v>0</v>
      </c>
      <c r="I36" s="1970">
        <v>2.8</v>
      </c>
      <c r="J36" s="1971">
        <f t="shared" si="6"/>
        <v>1.2444444444444445E-2</v>
      </c>
      <c r="K36" s="1971"/>
      <c r="L36" s="1971">
        <v>92.5</v>
      </c>
      <c r="M36" s="1971"/>
      <c r="N36" s="1971"/>
      <c r="O36" s="1971"/>
      <c r="P36" s="1971"/>
      <c r="Q36" s="1972">
        <f t="shared" si="4"/>
        <v>50.209046891995406</v>
      </c>
      <c r="R36" s="1972" t="e">
        <f t="shared" ca="1" si="7"/>
        <v>#REF!</v>
      </c>
      <c r="S36" s="1972" t="e">
        <f t="shared" ca="1" si="8"/>
        <v>#REF!</v>
      </c>
      <c r="T36" s="1973" t="e">
        <f t="shared" ca="1" si="9"/>
        <v>#REF!</v>
      </c>
      <c r="U36" s="1972" t="e">
        <f t="shared" ca="1" si="10"/>
        <v>#REF!</v>
      </c>
      <c r="V36" s="1972" t="e">
        <f t="shared" ca="1" si="11"/>
        <v>#REF!</v>
      </c>
      <c r="W36" s="1973" t="e">
        <f t="shared" ca="1" si="12"/>
        <v>#REF!</v>
      </c>
      <c r="X36" s="1970" t="e">
        <f t="shared" ca="1" si="13"/>
        <v>#REF!</v>
      </c>
      <c r="Y36" s="1983" t="e">
        <f t="shared" ca="1" si="14"/>
        <v>#REF!</v>
      </c>
      <c r="AA36" s="405"/>
      <c r="AB36" s="117">
        <f t="shared" si="16"/>
        <v>43</v>
      </c>
      <c r="AC36" s="405">
        <v>150</v>
      </c>
      <c r="AD36" s="405">
        <v>75</v>
      </c>
      <c r="AE36" s="405">
        <v>115</v>
      </c>
      <c r="AF36" s="405">
        <v>75</v>
      </c>
      <c r="AG36" s="405">
        <v>8</v>
      </c>
      <c r="AH36" s="405">
        <v>35</v>
      </c>
    </row>
    <row r="37" spans="1:34">
      <c r="A37" s="117">
        <f t="shared" si="5"/>
        <v>16</v>
      </c>
      <c r="B37" s="225"/>
      <c r="C37" s="1982" t="s">
        <v>152</v>
      </c>
      <c r="D37" s="1970" t="s">
        <v>147</v>
      </c>
      <c r="E37" s="1999" t="str">
        <f t="shared" si="3"/>
        <v>ad7535 - R</v>
      </c>
      <c r="F37" s="1970">
        <v>0</v>
      </c>
      <c r="G37" s="1970">
        <v>300</v>
      </c>
      <c r="H37" s="1970">
        <v>0</v>
      </c>
      <c r="I37" s="1970">
        <v>2.7</v>
      </c>
      <c r="J37" s="1971">
        <f t="shared" si="6"/>
        <v>8.9999999999999993E-3</v>
      </c>
      <c r="K37" s="1971"/>
      <c r="L37" s="1971"/>
      <c r="M37" s="1971"/>
      <c r="N37" s="1971"/>
      <c r="O37" s="1971"/>
      <c r="P37" s="1971"/>
      <c r="Q37" s="1972">
        <f t="shared" si="4"/>
        <v>69.424854961771445</v>
      </c>
      <c r="R37" s="1972" t="e">
        <f t="shared" ca="1" si="7"/>
        <v>#REF!</v>
      </c>
      <c r="S37" s="1972" t="e">
        <f t="shared" ca="1" si="8"/>
        <v>#REF!</v>
      </c>
      <c r="T37" s="1973" t="e">
        <f t="shared" ca="1" si="9"/>
        <v>#REF!</v>
      </c>
      <c r="U37" s="1972" t="e">
        <f t="shared" ca="1" si="10"/>
        <v>#REF!</v>
      </c>
      <c r="V37" s="1972" t="e">
        <f t="shared" ca="1" si="11"/>
        <v>#REF!</v>
      </c>
      <c r="W37" s="1973" t="e">
        <f t="shared" ca="1" si="12"/>
        <v>#REF!</v>
      </c>
      <c r="X37" s="1970" t="e">
        <f t="shared" ca="1" si="13"/>
        <v>#REF!</v>
      </c>
      <c r="Y37" s="1983" t="e">
        <f t="shared" ca="1" si="14"/>
        <v>#REF!</v>
      </c>
      <c r="AB37" s="117">
        <f t="shared" si="16"/>
        <v>43</v>
      </c>
      <c r="AC37" s="405">
        <v>150</v>
      </c>
      <c r="AD37" s="405">
        <v>75</v>
      </c>
      <c r="AE37" s="405">
        <v>115</v>
      </c>
      <c r="AF37" s="405">
        <v>75</v>
      </c>
      <c r="AG37" s="405">
        <v>8</v>
      </c>
      <c r="AH37" s="405">
        <v>35</v>
      </c>
    </row>
    <row r="38" spans="1:34">
      <c r="A38" s="117">
        <f t="shared" si="5"/>
        <v>17</v>
      </c>
      <c r="B38" s="225" t="s">
        <v>1672</v>
      </c>
      <c r="C38" s="1982" t="s">
        <v>152</v>
      </c>
      <c r="D38" s="1970" t="s">
        <v>148</v>
      </c>
      <c r="E38" s="1999" t="str">
        <f t="shared" si="3"/>
        <v>ad7535 - B</v>
      </c>
      <c r="F38" s="1970">
        <v>0</v>
      </c>
      <c r="G38" s="1970">
        <v>400</v>
      </c>
      <c r="H38" s="1970">
        <v>0</v>
      </c>
      <c r="I38" s="1970">
        <v>2.2000000000000002</v>
      </c>
      <c r="J38" s="1971">
        <f t="shared" si="6"/>
        <v>5.4999999999999997E-3</v>
      </c>
      <c r="K38" s="1971"/>
      <c r="L38" s="1971">
        <v>92.5</v>
      </c>
      <c r="M38" s="1971"/>
      <c r="N38" s="1971"/>
      <c r="O38" s="1971"/>
      <c r="P38" s="1971"/>
      <c r="Q38" s="1972">
        <f t="shared" si="4"/>
        <v>113.60430811926236</v>
      </c>
      <c r="R38" s="1972" t="e">
        <f t="shared" ca="1" si="7"/>
        <v>#REF!</v>
      </c>
      <c r="S38" s="1972" t="e">
        <f t="shared" ca="1" si="8"/>
        <v>#REF!</v>
      </c>
      <c r="T38" s="1973" t="e">
        <f t="shared" ca="1" si="9"/>
        <v>#REF!</v>
      </c>
      <c r="U38" s="1972" t="e">
        <f t="shared" ca="1" si="10"/>
        <v>#REF!</v>
      </c>
      <c r="V38" s="1972" t="e">
        <f t="shared" ca="1" si="11"/>
        <v>#REF!</v>
      </c>
      <c r="W38" s="1973" t="e">
        <f t="shared" ca="1" si="12"/>
        <v>#REF!</v>
      </c>
      <c r="X38" s="1970" t="e">
        <f t="shared" ca="1" si="13"/>
        <v>#REF!</v>
      </c>
      <c r="Y38" s="1983" t="e">
        <f t="shared" ca="1" si="14"/>
        <v>#REF!</v>
      </c>
      <c r="AA38" s="124"/>
      <c r="AB38" s="117">
        <f t="shared" si="16"/>
        <v>43</v>
      </c>
      <c r="AC38" s="405">
        <v>150</v>
      </c>
      <c r="AD38" s="405">
        <v>75</v>
      </c>
      <c r="AE38" s="405">
        <v>115</v>
      </c>
      <c r="AF38" s="405">
        <v>75</v>
      </c>
      <c r="AG38" s="405">
        <v>8</v>
      </c>
      <c r="AH38" s="405">
        <v>35</v>
      </c>
    </row>
    <row r="39" spans="1:34">
      <c r="A39" s="117">
        <f t="shared" si="5"/>
        <v>18</v>
      </c>
      <c r="B39" s="225" t="s">
        <v>1673</v>
      </c>
      <c r="C39" s="1982" t="s">
        <v>153</v>
      </c>
      <c r="D39" s="1970" t="s">
        <v>145</v>
      </c>
      <c r="E39" s="1999" t="str">
        <f t="shared" si="3"/>
        <v>ad10050 - W</v>
      </c>
      <c r="F39" s="1970">
        <v>0</v>
      </c>
      <c r="G39" s="1970">
        <v>300</v>
      </c>
      <c r="H39" s="1970">
        <v>0</v>
      </c>
      <c r="I39" s="1970">
        <v>4.2</v>
      </c>
      <c r="J39" s="1971">
        <f t="shared" si="6"/>
        <v>1.4000000000000002E-2</v>
      </c>
      <c r="K39" s="1971"/>
      <c r="L39" s="1971">
        <v>198</v>
      </c>
      <c r="M39" s="1971"/>
      <c r="N39" s="1971"/>
      <c r="O39" s="1971"/>
      <c r="P39" s="1971"/>
      <c r="Q39" s="1972">
        <f t="shared" si="4"/>
        <v>44.630263903995917</v>
      </c>
      <c r="R39" s="1972" t="e">
        <f t="shared" ca="1" si="7"/>
        <v>#REF!</v>
      </c>
      <c r="S39" s="1972" t="e">
        <f t="shared" ca="1" si="8"/>
        <v>#REF!</v>
      </c>
      <c r="T39" s="1973" t="e">
        <f t="shared" ca="1" si="9"/>
        <v>#REF!</v>
      </c>
      <c r="U39" s="1972" t="e">
        <f t="shared" ca="1" si="10"/>
        <v>#REF!</v>
      </c>
      <c r="V39" s="1972" t="e">
        <f t="shared" ca="1" si="11"/>
        <v>#REF!</v>
      </c>
      <c r="W39" s="1973" t="e">
        <f t="shared" ca="1" si="12"/>
        <v>#REF!</v>
      </c>
      <c r="X39" s="1970" t="e">
        <f t="shared" ca="1" si="13"/>
        <v>#REF!</v>
      </c>
      <c r="Y39" s="1983" t="e">
        <f t="shared" ca="1" si="14"/>
        <v>#REF!</v>
      </c>
      <c r="AA39" s="405"/>
      <c r="AB39" s="117">
        <f t="shared" si="16"/>
        <v>58</v>
      </c>
      <c r="AC39" s="405">
        <v>175</v>
      </c>
      <c r="AD39" s="405">
        <v>100</v>
      </c>
      <c r="AE39" s="405">
        <v>140</v>
      </c>
      <c r="AF39" s="405">
        <v>100</v>
      </c>
      <c r="AG39" s="405">
        <v>8</v>
      </c>
      <c r="AH39" s="405">
        <v>50</v>
      </c>
    </row>
    <row r="40" spans="1:34">
      <c r="A40" s="117">
        <f t="shared" si="5"/>
        <v>19</v>
      </c>
      <c r="B40" s="225"/>
      <c r="C40" s="1982" t="s">
        <v>153</v>
      </c>
      <c r="D40" s="1970" t="s">
        <v>147</v>
      </c>
      <c r="E40" s="1999" t="str">
        <f t="shared" si="3"/>
        <v>ad10050 - R</v>
      </c>
      <c r="F40" s="1970">
        <v>0</v>
      </c>
      <c r="G40" s="1970">
        <v>400</v>
      </c>
      <c r="H40" s="1970">
        <v>0</v>
      </c>
      <c r="I40" s="1970">
        <v>4</v>
      </c>
      <c r="J40" s="1971">
        <f t="shared" si="6"/>
        <v>1.0000000000000002E-2</v>
      </c>
      <c r="K40" s="1971"/>
      <c r="L40" s="1971"/>
      <c r="M40" s="1971"/>
      <c r="N40" s="1971"/>
      <c r="O40" s="1971"/>
      <c r="P40" s="1971"/>
      <c r="Q40" s="1972">
        <f t="shared" si="4"/>
        <v>62.482369465594275</v>
      </c>
      <c r="R40" s="1972" t="e">
        <f t="shared" ca="1" si="7"/>
        <v>#REF!</v>
      </c>
      <c r="S40" s="1972" t="e">
        <f t="shared" ca="1" si="8"/>
        <v>#REF!</v>
      </c>
      <c r="T40" s="1973" t="e">
        <f t="shared" ca="1" si="9"/>
        <v>#REF!</v>
      </c>
      <c r="U40" s="1972" t="e">
        <f t="shared" ca="1" si="10"/>
        <v>#REF!</v>
      </c>
      <c r="V40" s="1972" t="e">
        <f t="shared" ca="1" si="11"/>
        <v>#REF!</v>
      </c>
      <c r="W40" s="1973" t="e">
        <f t="shared" ca="1" si="12"/>
        <v>#REF!</v>
      </c>
      <c r="X40" s="1970" t="e">
        <f t="shared" ca="1" si="13"/>
        <v>#REF!</v>
      </c>
      <c r="Y40" s="1983" t="e">
        <f t="shared" ca="1" si="14"/>
        <v>#REF!</v>
      </c>
      <c r="AB40" s="117">
        <f t="shared" si="16"/>
        <v>58</v>
      </c>
      <c r="AC40" s="405">
        <v>175</v>
      </c>
      <c r="AD40" s="405">
        <v>100</v>
      </c>
      <c r="AE40" s="405">
        <v>140</v>
      </c>
      <c r="AF40" s="405">
        <v>100</v>
      </c>
      <c r="AG40" s="405">
        <v>8</v>
      </c>
      <c r="AH40" s="405">
        <v>50</v>
      </c>
    </row>
    <row r="41" spans="1:34">
      <c r="A41" s="117">
        <f t="shared" si="5"/>
        <v>20</v>
      </c>
      <c r="B41" s="225" t="s">
        <v>1673</v>
      </c>
      <c r="C41" s="1982" t="s">
        <v>153</v>
      </c>
      <c r="D41" s="1970" t="s">
        <v>148</v>
      </c>
      <c r="E41" s="1999" t="str">
        <f t="shared" si="3"/>
        <v>ad10050 - B</v>
      </c>
      <c r="F41" s="1970">
        <v>0</v>
      </c>
      <c r="G41" s="1970">
        <v>600</v>
      </c>
      <c r="H41" s="1970">
        <v>0</v>
      </c>
      <c r="I41" s="1970">
        <v>2.2000000000000002</v>
      </c>
      <c r="J41" s="1971">
        <f t="shared" si="6"/>
        <v>3.6666666666666666E-3</v>
      </c>
      <c r="K41" s="1971"/>
      <c r="L41" s="1971">
        <v>198</v>
      </c>
      <c r="M41" s="1971"/>
      <c r="N41" s="1971"/>
      <c r="O41" s="1971"/>
      <c r="P41" s="1971"/>
      <c r="Q41" s="1972">
        <f t="shared" si="4"/>
        <v>170.40646217889352</v>
      </c>
      <c r="R41" s="1972" t="e">
        <f t="shared" ca="1" si="7"/>
        <v>#REF!</v>
      </c>
      <c r="S41" s="1972" t="e">
        <f t="shared" ca="1" si="8"/>
        <v>#REF!</v>
      </c>
      <c r="T41" s="1973" t="e">
        <f t="shared" ca="1" si="9"/>
        <v>#REF!</v>
      </c>
      <c r="U41" s="1972" t="e">
        <f t="shared" ca="1" si="10"/>
        <v>#REF!</v>
      </c>
      <c r="V41" s="1972" t="e">
        <f t="shared" ca="1" si="11"/>
        <v>#REF!</v>
      </c>
      <c r="W41" s="1973" t="e">
        <f t="shared" ca="1" si="12"/>
        <v>#REF!</v>
      </c>
      <c r="X41" s="1970" t="e">
        <f t="shared" ca="1" si="13"/>
        <v>#REF!</v>
      </c>
      <c r="Y41" s="1983" t="e">
        <f t="shared" ca="1" si="14"/>
        <v>#REF!</v>
      </c>
      <c r="AB41" s="117">
        <f t="shared" si="16"/>
        <v>58</v>
      </c>
      <c r="AC41" s="405">
        <v>175</v>
      </c>
      <c r="AD41" s="405">
        <v>100</v>
      </c>
      <c r="AE41" s="405">
        <v>140</v>
      </c>
      <c r="AF41" s="405">
        <v>100</v>
      </c>
      <c r="AG41" s="405">
        <v>8</v>
      </c>
      <c r="AH41" s="405">
        <v>50</v>
      </c>
    </row>
    <row r="42" spans="1:34">
      <c r="A42" s="117">
        <f t="shared" si="5"/>
        <v>21</v>
      </c>
      <c r="B42" s="225"/>
      <c r="C42" s="1982"/>
      <c r="D42" s="1970"/>
      <c r="E42" s="1999"/>
      <c r="F42" s="1970"/>
      <c r="G42" s="1970"/>
      <c r="H42" s="1970"/>
      <c r="I42" s="1970"/>
      <c r="J42" s="1971"/>
      <c r="K42" s="1971"/>
      <c r="L42" s="1971"/>
      <c r="M42" s="1971"/>
      <c r="N42" s="1971"/>
      <c r="O42" s="1971"/>
      <c r="P42" s="1971"/>
      <c r="Q42" s="1972"/>
      <c r="R42" s="1972"/>
      <c r="S42" s="1972"/>
      <c r="T42" s="1973"/>
      <c r="U42" s="1972"/>
      <c r="V42" s="1972"/>
      <c r="W42" s="1973"/>
      <c r="X42" s="1970" t="str">
        <f t="shared" si="13"/>
        <v/>
      </c>
      <c r="Y42" s="1983" t="str">
        <f t="shared" si="14"/>
        <v/>
      </c>
    </row>
    <row r="43" spans="1:34">
      <c r="A43" s="117">
        <f t="shared" si="5"/>
        <v>22</v>
      </c>
      <c r="B43" s="225" t="s">
        <v>154</v>
      </c>
      <c r="C43" s="1982" t="s">
        <v>154</v>
      </c>
      <c r="D43" s="1970" t="s">
        <v>145</v>
      </c>
      <c r="E43" s="1999" t="str">
        <f>$C43&amp;" - "&amp;$D43</f>
        <v>sd 4343 - W</v>
      </c>
      <c r="F43" s="1970">
        <v>0</v>
      </c>
      <c r="G43" s="1970">
        <v>110</v>
      </c>
      <c r="H43" s="1970">
        <v>0</v>
      </c>
      <c r="I43" s="1970">
        <v>14</v>
      </c>
      <c r="J43" s="1971">
        <f t="shared" si="6"/>
        <v>0.12727272727272726</v>
      </c>
      <c r="K43" s="1971"/>
      <c r="L43" s="1971">
        <v>142</v>
      </c>
      <c r="M43" s="1971"/>
      <c r="N43" s="1971"/>
      <c r="O43" s="1971"/>
      <c r="P43" s="1971"/>
      <c r="Q43" s="1972">
        <f>IF($B$14&gt;$I43,0,$B$14/$J43)</f>
        <v>4.9093290294395517</v>
      </c>
      <c r="R43" s="1972" t="e">
        <f t="shared" ca="1" si="7"/>
        <v>#REF!</v>
      </c>
      <c r="S43" s="1972" t="e">
        <f t="shared" ca="1" si="8"/>
        <v>#REF!</v>
      </c>
      <c r="T43" s="1973" t="e">
        <f t="shared" ca="1" si="9"/>
        <v>#REF!</v>
      </c>
      <c r="U43" s="1972" t="e">
        <f t="shared" ca="1" si="10"/>
        <v>#REF!</v>
      </c>
      <c r="V43" s="1972" t="e">
        <f t="shared" ca="1" si="11"/>
        <v>#REF!</v>
      </c>
      <c r="W43" s="1973" t="e">
        <f t="shared" ca="1" si="12"/>
        <v>#REF!</v>
      </c>
      <c r="X43" s="1970" t="e">
        <f t="shared" ca="1" si="13"/>
        <v>#REF!</v>
      </c>
      <c r="Y43" s="1983" t="e">
        <f t="shared" ca="1" si="14"/>
        <v>#REF!</v>
      </c>
    </row>
    <row r="44" spans="1:34">
      <c r="A44" s="117">
        <f t="shared" si="5"/>
        <v>23</v>
      </c>
      <c r="B44" s="225" t="s">
        <v>154</v>
      </c>
      <c r="C44" s="1982" t="s">
        <v>154</v>
      </c>
      <c r="D44" s="1970" t="s">
        <v>147</v>
      </c>
      <c r="E44" s="1999" t="str">
        <f>$C44&amp;" - "&amp;$D44</f>
        <v>sd 4343 - R</v>
      </c>
      <c r="F44" s="1970">
        <v>0</v>
      </c>
      <c r="G44" s="1970">
        <v>160</v>
      </c>
      <c r="H44" s="1970">
        <v>0</v>
      </c>
      <c r="I44" s="1970">
        <v>14</v>
      </c>
      <c r="J44" s="1971">
        <f t="shared" si="6"/>
        <v>8.7499999999999994E-2</v>
      </c>
      <c r="K44" s="1971"/>
      <c r="L44" s="1971">
        <v>142</v>
      </c>
      <c r="M44" s="1971"/>
      <c r="N44" s="1971"/>
      <c r="O44" s="1971"/>
      <c r="P44" s="1971"/>
      <c r="Q44" s="1972">
        <f>IF($B$14&gt;$I44,0,$B$14/$J44)</f>
        <v>7.1408422246393481</v>
      </c>
      <c r="R44" s="1972" t="e">
        <f t="shared" ca="1" si="7"/>
        <v>#REF!</v>
      </c>
      <c r="S44" s="1972" t="e">
        <f t="shared" ca="1" si="8"/>
        <v>#REF!</v>
      </c>
      <c r="T44" s="1973" t="e">
        <f t="shared" ca="1" si="9"/>
        <v>#REF!</v>
      </c>
      <c r="U44" s="1972" t="e">
        <f t="shared" ca="1" si="10"/>
        <v>#REF!</v>
      </c>
      <c r="V44" s="1972" t="e">
        <f t="shared" ca="1" si="11"/>
        <v>#REF!</v>
      </c>
      <c r="W44" s="1973" t="e">
        <f t="shared" ca="1" si="12"/>
        <v>#REF!</v>
      </c>
      <c r="X44" s="1970" t="e">
        <f t="shared" ca="1" si="13"/>
        <v>#REF!</v>
      </c>
      <c r="Y44" s="1983" t="e">
        <f t="shared" ca="1" si="14"/>
        <v>#REF!</v>
      </c>
    </row>
    <row r="45" spans="1:34">
      <c r="A45" s="117">
        <f t="shared" si="5"/>
        <v>24</v>
      </c>
      <c r="B45" s="225" t="s">
        <v>154</v>
      </c>
      <c r="C45" s="1982" t="s">
        <v>154</v>
      </c>
      <c r="D45" s="1970" t="s">
        <v>148</v>
      </c>
      <c r="E45" s="1999" t="str">
        <f>$C45&amp;" - "&amp;$D45</f>
        <v>sd 4343 - B</v>
      </c>
      <c r="F45" s="1970">
        <v>0</v>
      </c>
      <c r="G45" s="1970">
        <v>230</v>
      </c>
      <c r="H45" s="1970">
        <v>0</v>
      </c>
      <c r="I45" s="1970">
        <v>14</v>
      </c>
      <c r="J45" s="1971">
        <f t="shared" si="6"/>
        <v>6.0869565217391279E-2</v>
      </c>
      <c r="K45" s="1971"/>
      <c r="L45" s="1971">
        <v>142</v>
      </c>
      <c r="M45" s="1971"/>
      <c r="N45" s="1971"/>
      <c r="O45" s="1971"/>
      <c r="P45" s="1971"/>
      <c r="Q45" s="1972">
        <f>IF($B$14&gt;$I45,0,$B$14/$J45)</f>
        <v>10.264960697919067</v>
      </c>
      <c r="R45" s="1972" t="e">
        <f t="shared" ca="1" si="7"/>
        <v>#REF!</v>
      </c>
      <c r="S45" s="1972" t="e">
        <f t="shared" ca="1" si="8"/>
        <v>#REF!</v>
      </c>
      <c r="T45" s="1973" t="e">
        <f t="shared" ca="1" si="9"/>
        <v>#REF!</v>
      </c>
      <c r="U45" s="1972" t="e">
        <f t="shared" ca="1" si="10"/>
        <v>#REF!</v>
      </c>
      <c r="V45" s="1972" t="e">
        <f t="shared" ca="1" si="11"/>
        <v>#REF!</v>
      </c>
      <c r="W45" s="1973" t="e">
        <f t="shared" ca="1" si="12"/>
        <v>#REF!</v>
      </c>
      <c r="X45" s="1970" t="e">
        <f t="shared" ca="1" si="13"/>
        <v>#REF!</v>
      </c>
      <c r="Y45" s="1983" t="e">
        <f t="shared" ca="1" si="14"/>
        <v>#REF!</v>
      </c>
    </row>
    <row r="46" spans="1:34">
      <c r="A46" s="117">
        <f t="shared" si="5"/>
        <v>25</v>
      </c>
      <c r="B46" s="225"/>
      <c r="C46" s="1982"/>
      <c r="D46" s="1970"/>
      <c r="E46" s="1999"/>
      <c r="F46" s="1970"/>
      <c r="G46" s="1970"/>
      <c r="H46" s="1970"/>
      <c r="I46" s="1970"/>
      <c r="J46" s="1971"/>
      <c r="K46" s="1971"/>
      <c r="L46" s="1971"/>
      <c r="M46" s="1971"/>
      <c r="N46" s="1971"/>
      <c r="O46" s="1971"/>
      <c r="P46" s="1971"/>
      <c r="Q46" s="1972"/>
      <c r="R46" s="1972"/>
      <c r="S46" s="1972"/>
      <c r="T46" s="1973"/>
      <c r="U46" s="1972"/>
      <c r="V46" s="1972"/>
      <c r="W46" s="1973"/>
      <c r="X46" s="1970" t="str">
        <f t="shared" si="13"/>
        <v/>
      </c>
      <c r="Y46" s="1983" t="str">
        <f t="shared" si="14"/>
        <v/>
      </c>
      <c r="AA46" s="405"/>
      <c r="AB46" s="405"/>
      <c r="AC46" s="405"/>
      <c r="AD46" s="405"/>
      <c r="AE46" s="405"/>
      <c r="AF46" s="405"/>
    </row>
    <row r="47" spans="1:34">
      <c r="A47" s="117">
        <f t="shared" si="5"/>
        <v>26</v>
      </c>
      <c r="B47" s="225" t="s">
        <v>1674</v>
      </c>
      <c r="C47" s="1982" t="s">
        <v>155</v>
      </c>
      <c r="D47" s="1970" t="s">
        <v>145</v>
      </c>
      <c r="E47" s="1999" t="str">
        <f t="shared" ref="E47:E64" si="17">$C47&amp;" - "&amp;$D47</f>
        <v>sandwich100 - W</v>
      </c>
      <c r="F47" s="1970">
        <v>0</v>
      </c>
      <c r="G47" s="1970">
        <v>300</v>
      </c>
      <c r="H47" s="1970">
        <v>0</v>
      </c>
      <c r="I47" s="1970">
        <v>4.5</v>
      </c>
      <c r="J47" s="1971">
        <f t="shared" si="6"/>
        <v>1.4999999999999999E-2</v>
      </c>
      <c r="K47" s="1971"/>
      <c r="L47" s="1971">
        <v>245</v>
      </c>
      <c r="M47" s="1971"/>
      <c r="N47" s="1971"/>
      <c r="O47" s="1971"/>
      <c r="P47" s="1971"/>
      <c r="Q47" s="1972">
        <f t="shared" ref="Q47:Q64" si="18">IF($B$14&gt;$I47,0,$B$14/$J47)</f>
        <v>41.654912977062864</v>
      </c>
      <c r="R47" s="1972" t="e">
        <f t="shared" ca="1" si="7"/>
        <v>#REF!</v>
      </c>
      <c r="S47" s="1972" t="e">
        <f t="shared" ca="1" si="8"/>
        <v>#REF!</v>
      </c>
      <c r="T47" s="1973" t="e">
        <f t="shared" ca="1" si="9"/>
        <v>#REF!</v>
      </c>
      <c r="U47" s="1972" t="e">
        <f t="shared" ca="1" si="10"/>
        <v>#REF!</v>
      </c>
      <c r="V47" s="1972" t="e">
        <f t="shared" ca="1" si="11"/>
        <v>#REF!</v>
      </c>
      <c r="W47" s="1973" t="e">
        <f t="shared" ca="1" si="12"/>
        <v>#REF!</v>
      </c>
      <c r="X47" s="1970" t="e">
        <f t="shared" ca="1" si="13"/>
        <v>#REF!</v>
      </c>
      <c r="Y47" s="1983" t="e">
        <f t="shared" ca="1" si="14"/>
        <v>#REF!</v>
      </c>
      <c r="AA47" s="405"/>
      <c r="AB47" s="405">
        <v>43</v>
      </c>
      <c r="AC47" s="405">
        <v>108</v>
      </c>
      <c r="AD47" s="405">
        <v>57</v>
      </c>
      <c r="AE47" s="405">
        <v>89</v>
      </c>
      <c r="AF47" s="405">
        <v>11</v>
      </c>
    </row>
    <row r="48" spans="1:34">
      <c r="A48" s="117">
        <f t="shared" si="5"/>
        <v>27</v>
      </c>
      <c r="B48" s="225" t="s">
        <v>1674</v>
      </c>
      <c r="C48" s="1982" t="s">
        <v>155</v>
      </c>
      <c r="D48" s="1970" t="s">
        <v>147</v>
      </c>
      <c r="E48" s="1999" t="str">
        <f t="shared" si="17"/>
        <v>sandwich100 - R</v>
      </c>
      <c r="F48" s="1970">
        <v>0</v>
      </c>
      <c r="G48" s="1970">
        <v>440</v>
      </c>
      <c r="H48" s="1970">
        <v>0</v>
      </c>
      <c r="I48" s="1970">
        <v>4.5</v>
      </c>
      <c r="J48" s="1971">
        <f t="shared" si="6"/>
        <v>1.0227272727272727E-2</v>
      </c>
      <c r="K48" s="1971"/>
      <c r="L48" s="1971">
        <v>245</v>
      </c>
      <c r="M48" s="1971"/>
      <c r="N48" s="1971"/>
      <c r="O48" s="1971"/>
      <c r="P48" s="1971"/>
      <c r="Q48" s="1972">
        <f t="shared" si="18"/>
        <v>61.093872366358859</v>
      </c>
      <c r="R48" s="1972" t="e">
        <f t="shared" ca="1" si="7"/>
        <v>#REF!</v>
      </c>
      <c r="S48" s="1972" t="e">
        <f t="shared" ca="1" si="8"/>
        <v>#REF!</v>
      </c>
      <c r="T48" s="1973" t="e">
        <f t="shared" ca="1" si="9"/>
        <v>#REF!</v>
      </c>
      <c r="U48" s="1972" t="e">
        <f t="shared" ca="1" si="10"/>
        <v>#REF!</v>
      </c>
      <c r="V48" s="1972" t="e">
        <f t="shared" ca="1" si="11"/>
        <v>#REF!</v>
      </c>
      <c r="W48" s="1973" t="e">
        <f t="shared" ca="1" si="12"/>
        <v>#REF!</v>
      </c>
      <c r="X48" s="1970" t="e">
        <f t="shared" ca="1" si="13"/>
        <v>#REF!</v>
      </c>
      <c r="Y48" s="1983" t="e">
        <f t="shared" ca="1" si="14"/>
        <v>#REF!</v>
      </c>
      <c r="AA48" s="405"/>
      <c r="AB48" s="405">
        <v>43</v>
      </c>
      <c r="AC48" s="405">
        <v>108</v>
      </c>
      <c r="AD48" s="405">
        <v>57</v>
      </c>
      <c r="AE48" s="405">
        <v>89</v>
      </c>
      <c r="AF48" s="405">
        <v>11</v>
      </c>
    </row>
    <row r="49" spans="1:32">
      <c r="A49" s="117">
        <f t="shared" si="5"/>
        <v>28</v>
      </c>
      <c r="B49" s="225" t="s">
        <v>1674</v>
      </c>
      <c r="C49" s="1982" t="s">
        <v>155</v>
      </c>
      <c r="D49" s="1970" t="s">
        <v>148</v>
      </c>
      <c r="E49" s="1999" t="str">
        <f t="shared" si="17"/>
        <v>sandwich100 - B</v>
      </c>
      <c r="F49" s="1970">
        <v>0</v>
      </c>
      <c r="G49" s="1970">
        <v>570</v>
      </c>
      <c r="H49" s="1970">
        <v>0</v>
      </c>
      <c r="I49" s="1970">
        <v>4.5</v>
      </c>
      <c r="J49" s="1971">
        <f t="shared" si="6"/>
        <v>7.8947368421052634E-3</v>
      </c>
      <c r="K49" s="1971"/>
      <c r="L49" s="1971">
        <v>245</v>
      </c>
      <c r="M49" s="1971"/>
      <c r="N49" s="1971"/>
      <c r="O49" s="1971"/>
      <c r="P49" s="1971"/>
      <c r="Q49" s="1972">
        <f t="shared" si="18"/>
        <v>79.144334656419431</v>
      </c>
      <c r="R49" s="1972" t="e">
        <f t="shared" ca="1" si="7"/>
        <v>#REF!</v>
      </c>
      <c r="S49" s="1972" t="e">
        <f t="shared" ca="1" si="8"/>
        <v>#REF!</v>
      </c>
      <c r="T49" s="1973" t="e">
        <f t="shared" ca="1" si="9"/>
        <v>#REF!</v>
      </c>
      <c r="U49" s="1972" t="e">
        <f t="shared" ca="1" si="10"/>
        <v>#REF!</v>
      </c>
      <c r="V49" s="1972" t="e">
        <f t="shared" ca="1" si="11"/>
        <v>#REF!</v>
      </c>
      <c r="W49" s="1973" t="e">
        <f t="shared" ca="1" si="12"/>
        <v>#REF!</v>
      </c>
      <c r="X49" s="1970" t="e">
        <f t="shared" ca="1" si="13"/>
        <v>#REF!</v>
      </c>
      <c r="Y49" s="1983" t="e">
        <f t="shared" ca="1" si="14"/>
        <v>#REF!</v>
      </c>
      <c r="AA49" s="405"/>
      <c r="AB49" s="405">
        <v>43</v>
      </c>
      <c r="AC49" s="405">
        <v>108</v>
      </c>
      <c r="AD49" s="405">
        <v>57</v>
      </c>
      <c r="AE49" s="405">
        <v>89</v>
      </c>
      <c r="AF49" s="405">
        <v>11</v>
      </c>
    </row>
    <row r="50" spans="1:32">
      <c r="A50" s="117">
        <f t="shared" si="5"/>
        <v>29</v>
      </c>
      <c r="B50" s="225" t="s">
        <v>1675</v>
      </c>
      <c r="C50" s="1982" t="s">
        <v>156</v>
      </c>
      <c r="D50" s="1970" t="s">
        <v>145</v>
      </c>
      <c r="E50" s="1999" t="str">
        <f t="shared" si="17"/>
        <v>sandwich200 - W</v>
      </c>
      <c r="F50" s="1970">
        <v>0</v>
      </c>
      <c r="G50" s="1970">
        <v>440</v>
      </c>
      <c r="H50" s="1970">
        <v>0</v>
      </c>
      <c r="I50" s="1970">
        <v>4.5</v>
      </c>
      <c r="J50" s="1971">
        <f t="shared" si="6"/>
        <v>1.0227272727272727E-2</v>
      </c>
      <c r="K50" s="1971"/>
      <c r="L50" s="1971">
        <v>273</v>
      </c>
      <c r="M50" s="1971"/>
      <c r="N50" s="1971"/>
      <c r="O50" s="1971"/>
      <c r="P50" s="1971"/>
      <c r="Q50" s="1972">
        <f t="shared" si="18"/>
        <v>61.093872366358859</v>
      </c>
      <c r="R50" s="1972" t="e">
        <f t="shared" ca="1" si="7"/>
        <v>#REF!</v>
      </c>
      <c r="S50" s="1972" t="e">
        <f t="shared" ca="1" si="8"/>
        <v>#REF!</v>
      </c>
      <c r="T50" s="1973" t="e">
        <f t="shared" ca="1" si="9"/>
        <v>#REF!</v>
      </c>
      <c r="U50" s="1972" t="e">
        <f t="shared" ca="1" si="10"/>
        <v>#REF!</v>
      </c>
      <c r="V50" s="1972" t="e">
        <f t="shared" ca="1" si="11"/>
        <v>#REF!</v>
      </c>
      <c r="W50" s="1973" t="e">
        <f t="shared" ca="1" si="12"/>
        <v>#REF!</v>
      </c>
      <c r="X50" s="1970" t="e">
        <f t="shared" ca="1" si="13"/>
        <v>#REF!</v>
      </c>
      <c r="Y50" s="1983" t="e">
        <f t="shared" ca="1" si="14"/>
        <v>#REF!</v>
      </c>
      <c r="AA50" s="405"/>
      <c r="AB50" s="405">
        <v>43</v>
      </c>
      <c r="AC50" s="405">
        <v>127</v>
      </c>
      <c r="AD50" s="405">
        <v>57</v>
      </c>
      <c r="AE50" s="405">
        <v>108</v>
      </c>
      <c r="AF50" s="405">
        <v>11</v>
      </c>
    </row>
    <row r="51" spans="1:32">
      <c r="A51" s="117">
        <f t="shared" si="5"/>
        <v>30</v>
      </c>
      <c r="B51" s="225" t="s">
        <v>1675</v>
      </c>
      <c r="C51" s="1982" t="s">
        <v>156</v>
      </c>
      <c r="D51" s="1970" t="s">
        <v>147</v>
      </c>
      <c r="E51" s="1999" t="str">
        <f t="shared" si="17"/>
        <v>sandwich200 - R</v>
      </c>
      <c r="F51" s="1970">
        <v>0</v>
      </c>
      <c r="G51" s="1970">
        <v>620</v>
      </c>
      <c r="H51" s="1970">
        <v>0</v>
      </c>
      <c r="I51" s="1970">
        <v>4.5</v>
      </c>
      <c r="J51" s="1971">
        <f t="shared" si="6"/>
        <v>7.2580645161290343E-3</v>
      </c>
      <c r="K51" s="1971"/>
      <c r="L51" s="1971">
        <v>273</v>
      </c>
      <c r="M51" s="1971"/>
      <c r="N51" s="1971"/>
      <c r="O51" s="1971"/>
      <c r="P51" s="1971"/>
      <c r="Q51" s="1972">
        <f t="shared" si="18"/>
        <v>86.086820152596559</v>
      </c>
      <c r="R51" s="1972" t="e">
        <f t="shared" ca="1" si="7"/>
        <v>#REF!</v>
      </c>
      <c r="S51" s="1972" t="e">
        <f t="shared" ca="1" si="8"/>
        <v>#REF!</v>
      </c>
      <c r="T51" s="1973" t="e">
        <f t="shared" ca="1" si="9"/>
        <v>#REF!</v>
      </c>
      <c r="U51" s="1972" t="e">
        <f t="shared" ca="1" si="10"/>
        <v>#REF!</v>
      </c>
      <c r="V51" s="1972" t="e">
        <f t="shared" ca="1" si="11"/>
        <v>#REF!</v>
      </c>
      <c r="W51" s="1973" t="e">
        <f t="shared" ca="1" si="12"/>
        <v>#REF!</v>
      </c>
      <c r="X51" s="1970" t="e">
        <f t="shared" ca="1" si="13"/>
        <v>#REF!</v>
      </c>
      <c r="Y51" s="1983" t="e">
        <f t="shared" ca="1" si="14"/>
        <v>#REF!</v>
      </c>
      <c r="AA51" s="405"/>
      <c r="AB51" s="405">
        <v>43</v>
      </c>
      <c r="AC51" s="405">
        <v>127</v>
      </c>
      <c r="AD51" s="405">
        <v>57</v>
      </c>
      <c r="AE51" s="405">
        <v>108</v>
      </c>
      <c r="AF51" s="405">
        <v>11</v>
      </c>
    </row>
    <row r="52" spans="1:32">
      <c r="A52" s="117">
        <f t="shared" si="5"/>
        <v>31</v>
      </c>
      <c r="B52" s="225" t="s">
        <v>1675</v>
      </c>
      <c r="C52" s="1982" t="s">
        <v>156</v>
      </c>
      <c r="D52" s="1970" t="s">
        <v>148</v>
      </c>
      <c r="E52" s="1999" t="str">
        <f t="shared" si="17"/>
        <v>sandwich200 - B</v>
      </c>
      <c r="F52" s="1970">
        <v>0</v>
      </c>
      <c r="G52" s="1970">
        <v>830</v>
      </c>
      <c r="H52" s="1970">
        <v>0</v>
      </c>
      <c r="I52" s="1970">
        <v>4.5</v>
      </c>
      <c r="J52" s="1971">
        <f t="shared" si="6"/>
        <v>5.4216867469879517E-3</v>
      </c>
      <c r="K52" s="1971"/>
      <c r="L52" s="1971">
        <v>273</v>
      </c>
      <c r="M52" s="1971"/>
      <c r="N52" s="1971"/>
      <c r="O52" s="1971"/>
      <c r="P52" s="1971"/>
      <c r="Q52" s="1972">
        <f t="shared" si="18"/>
        <v>115.24525923654058</v>
      </c>
      <c r="R52" s="1972" t="e">
        <f t="shared" ca="1" si="7"/>
        <v>#REF!</v>
      </c>
      <c r="S52" s="1972" t="e">
        <f t="shared" ca="1" si="8"/>
        <v>#REF!</v>
      </c>
      <c r="T52" s="1973" t="e">
        <f t="shared" ca="1" si="9"/>
        <v>#REF!</v>
      </c>
      <c r="U52" s="1972" t="e">
        <f t="shared" ca="1" si="10"/>
        <v>#REF!</v>
      </c>
      <c r="V52" s="1972" t="e">
        <f t="shared" ca="1" si="11"/>
        <v>#REF!</v>
      </c>
      <c r="W52" s="1973" t="e">
        <f t="shared" ca="1" si="12"/>
        <v>#REF!</v>
      </c>
      <c r="X52" s="1970" t="e">
        <f t="shared" ca="1" si="13"/>
        <v>#REF!</v>
      </c>
      <c r="Y52" s="1983" t="e">
        <f t="shared" ca="1" si="14"/>
        <v>#REF!</v>
      </c>
      <c r="AA52" s="405"/>
      <c r="AB52" s="405">
        <v>43</v>
      </c>
      <c r="AC52" s="405">
        <v>127</v>
      </c>
      <c r="AD52" s="405">
        <v>57</v>
      </c>
      <c r="AE52" s="405">
        <v>108</v>
      </c>
      <c r="AF52" s="405">
        <v>11</v>
      </c>
    </row>
    <row r="53" spans="1:32">
      <c r="A53" s="117">
        <f t="shared" si="5"/>
        <v>32</v>
      </c>
      <c r="B53" s="225" t="s">
        <v>1676</v>
      </c>
      <c r="C53" s="1982" t="s">
        <v>157</v>
      </c>
      <c r="D53" s="1970" t="s">
        <v>145</v>
      </c>
      <c r="E53" s="1999" t="str">
        <f t="shared" si="17"/>
        <v>sandwich400 - W</v>
      </c>
      <c r="F53" s="1970">
        <v>0</v>
      </c>
      <c r="G53" s="1970">
        <v>850</v>
      </c>
      <c r="H53" s="1970">
        <v>0</v>
      </c>
      <c r="I53" s="1970">
        <v>4.5</v>
      </c>
      <c r="J53" s="1971">
        <f t="shared" si="6"/>
        <v>5.294117647058825E-3</v>
      </c>
      <c r="K53" s="1971"/>
      <c r="L53" s="1971">
        <v>340</v>
      </c>
      <c r="M53" s="1971"/>
      <c r="N53" s="1971"/>
      <c r="O53" s="1971"/>
      <c r="P53" s="1971"/>
      <c r="Q53" s="1972">
        <f t="shared" si="18"/>
        <v>118.02225343501141</v>
      </c>
      <c r="R53" s="1972" t="e">
        <f t="shared" ca="1" si="7"/>
        <v>#REF!</v>
      </c>
      <c r="S53" s="1972" t="e">
        <f t="shared" ca="1" si="8"/>
        <v>#REF!</v>
      </c>
      <c r="T53" s="1973" t="e">
        <f t="shared" ca="1" si="9"/>
        <v>#REF!</v>
      </c>
      <c r="U53" s="1972" t="e">
        <f t="shared" ca="1" si="10"/>
        <v>#REF!</v>
      </c>
      <c r="V53" s="1972" t="e">
        <f t="shared" ca="1" si="11"/>
        <v>#REF!</v>
      </c>
      <c r="W53" s="1973" t="e">
        <f t="shared" ca="1" si="12"/>
        <v>#REF!</v>
      </c>
      <c r="X53" s="1970" t="e">
        <f t="shared" ca="1" si="13"/>
        <v>#REF!</v>
      </c>
      <c r="Y53" s="1983" t="e">
        <f t="shared" ca="1" si="14"/>
        <v>#REF!</v>
      </c>
      <c r="AA53" s="405"/>
      <c r="AB53" s="405">
        <v>43</v>
      </c>
      <c r="AC53" s="405">
        <v>168</v>
      </c>
      <c r="AD53" s="405">
        <v>57</v>
      </c>
      <c r="AE53" s="405">
        <v>146</v>
      </c>
      <c r="AF53" s="405">
        <v>11</v>
      </c>
    </row>
    <row r="54" spans="1:32">
      <c r="A54" s="117">
        <f t="shared" si="5"/>
        <v>33</v>
      </c>
      <c r="B54" s="225" t="s">
        <v>1676</v>
      </c>
      <c r="C54" s="1982" t="s">
        <v>157</v>
      </c>
      <c r="D54" s="1970" t="s">
        <v>147</v>
      </c>
      <c r="E54" s="1999" t="str">
        <f t="shared" si="17"/>
        <v>sandwich400 - R</v>
      </c>
      <c r="F54" s="1970">
        <v>0</v>
      </c>
      <c r="G54" s="1970">
        <v>1300</v>
      </c>
      <c r="H54" s="1970">
        <v>0</v>
      </c>
      <c r="I54" s="1970">
        <v>4.5</v>
      </c>
      <c r="J54" s="1971">
        <f t="shared" si="6"/>
        <v>3.4615384615384616E-3</v>
      </c>
      <c r="K54" s="1971"/>
      <c r="L54" s="1971">
        <v>340</v>
      </c>
      <c r="M54" s="1971"/>
      <c r="N54" s="1971"/>
      <c r="O54" s="1971"/>
      <c r="P54" s="1971"/>
      <c r="Q54" s="1972">
        <f t="shared" si="18"/>
        <v>180.50462290060571</v>
      </c>
      <c r="R54" s="1972" t="e">
        <f t="shared" ca="1" si="7"/>
        <v>#REF!</v>
      </c>
      <c r="S54" s="1972" t="e">
        <f t="shared" ca="1" si="8"/>
        <v>#REF!</v>
      </c>
      <c r="T54" s="1973" t="e">
        <f t="shared" ca="1" si="9"/>
        <v>#REF!</v>
      </c>
      <c r="U54" s="1972" t="e">
        <f t="shared" ca="1" si="10"/>
        <v>#REF!</v>
      </c>
      <c r="V54" s="1972" t="e">
        <f t="shared" ca="1" si="11"/>
        <v>#REF!</v>
      </c>
      <c r="W54" s="1973" t="e">
        <f t="shared" ca="1" si="12"/>
        <v>#REF!</v>
      </c>
      <c r="X54" s="1970" t="e">
        <f t="shared" ca="1" si="13"/>
        <v>#REF!</v>
      </c>
      <c r="Y54" s="1983" t="e">
        <f t="shared" ca="1" si="14"/>
        <v>#REF!</v>
      </c>
      <c r="AA54" s="405"/>
      <c r="AB54" s="405">
        <v>43</v>
      </c>
      <c r="AC54" s="405">
        <v>168</v>
      </c>
      <c r="AD54" s="405">
        <v>57</v>
      </c>
      <c r="AE54" s="405">
        <v>146</v>
      </c>
      <c r="AF54" s="405">
        <v>11</v>
      </c>
    </row>
    <row r="55" spans="1:32">
      <c r="A55" s="117">
        <f t="shared" si="5"/>
        <v>34</v>
      </c>
      <c r="B55" s="225" t="s">
        <v>1676</v>
      </c>
      <c r="C55" s="1982" t="s">
        <v>157</v>
      </c>
      <c r="D55" s="1970" t="s">
        <v>148</v>
      </c>
      <c r="E55" s="1999" t="str">
        <f t="shared" si="17"/>
        <v>sandwich400 - B</v>
      </c>
      <c r="F55" s="1970">
        <v>0</v>
      </c>
      <c r="G55" s="1970">
        <v>1800</v>
      </c>
      <c r="H55" s="1970">
        <v>0</v>
      </c>
      <c r="I55" s="1970">
        <v>4.5</v>
      </c>
      <c r="J55" s="1971">
        <f t="shared" si="6"/>
        <v>2.5000000000000009E-3</v>
      </c>
      <c r="K55" s="1971"/>
      <c r="L55" s="1971">
        <v>340</v>
      </c>
      <c r="M55" s="1971"/>
      <c r="N55" s="1971"/>
      <c r="O55" s="1971"/>
      <c r="P55" s="1971"/>
      <c r="Q55" s="1972">
        <f t="shared" si="18"/>
        <v>249.92947786237707</v>
      </c>
      <c r="R55" s="1972" t="e">
        <f t="shared" ca="1" si="7"/>
        <v>#REF!</v>
      </c>
      <c r="S55" s="1972" t="e">
        <f t="shared" ca="1" si="8"/>
        <v>#REF!</v>
      </c>
      <c r="T55" s="1973" t="e">
        <f t="shared" ca="1" si="9"/>
        <v>#REF!</v>
      </c>
      <c r="U55" s="1972" t="e">
        <f t="shared" ca="1" si="10"/>
        <v>#REF!</v>
      </c>
      <c r="V55" s="1972" t="e">
        <f t="shared" ca="1" si="11"/>
        <v>#REF!</v>
      </c>
      <c r="W55" s="1973" t="e">
        <f t="shared" ca="1" si="12"/>
        <v>#REF!</v>
      </c>
      <c r="X55" s="1970" t="e">
        <f t="shared" ca="1" si="13"/>
        <v>#REF!</v>
      </c>
      <c r="Y55" s="1983" t="e">
        <f t="shared" ca="1" si="14"/>
        <v>#REF!</v>
      </c>
      <c r="AA55" s="405"/>
      <c r="AB55" s="405">
        <v>43</v>
      </c>
      <c r="AC55" s="405">
        <v>168</v>
      </c>
      <c r="AD55" s="405">
        <v>57</v>
      </c>
      <c r="AE55" s="405">
        <v>146</v>
      </c>
      <c r="AF55" s="405">
        <v>11</v>
      </c>
    </row>
    <row r="56" spans="1:32">
      <c r="A56" s="117">
        <f t="shared" si="5"/>
        <v>35</v>
      </c>
      <c r="B56" s="225" t="s">
        <v>1677</v>
      </c>
      <c r="C56" s="1982" t="s">
        <v>158</v>
      </c>
      <c r="D56" s="1970" t="s">
        <v>145</v>
      </c>
      <c r="E56" s="1999" t="str">
        <f t="shared" si="17"/>
        <v>sandwich500 - W</v>
      </c>
      <c r="F56" s="1970">
        <v>0</v>
      </c>
      <c r="G56" s="1970">
        <v>1800</v>
      </c>
      <c r="H56" s="1970">
        <v>0</v>
      </c>
      <c r="I56" s="1970">
        <v>4.5</v>
      </c>
      <c r="J56" s="1971">
        <f t="shared" si="6"/>
        <v>2.5000000000000009E-3</v>
      </c>
      <c r="K56" s="1971"/>
      <c r="L56" s="1971">
        <v>577</v>
      </c>
      <c r="M56" s="1971"/>
      <c r="N56" s="1971"/>
      <c r="O56" s="1971"/>
      <c r="P56" s="1971"/>
      <c r="Q56" s="1972">
        <f t="shared" si="18"/>
        <v>249.92947786237707</v>
      </c>
      <c r="R56" s="1972" t="e">
        <f t="shared" ca="1" si="7"/>
        <v>#REF!</v>
      </c>
      <c r="S56" s="1972" t="e">
        <f t="shared" ca="1" si="8"/>
        <v>#REF!</v>
      </c>
      <c r="T56" s="1973" t="e">
        <f t="shared" ca="1" si="9"/>
        <v>#REF!</v>
      </c>
      <c r="U56" s="1972" t="e">
        <f t="shared" ca="1" si="10"/>
        <v>#REF!</v>
      </c>
      <c r="V56" s="1972" t="e">
        <f t="shared" ca="1" si="11"/>
        <v>#REF!</v>
      </c>
      <c r="W56" s="1973" t="e">
        <f t="shared" ca="1" si="12"/>
        <v>#REF!</v>
      </c>
      <c r="X56" s="1970" t="e">
        <f t="shared" ca="1" si="13"/>
        <v>#REF!</v>
      </c>
      <c r="Y56" s="1983" t="e">
        <f t="shared" ca="1" si="14"/>
        <v>#REF!</v>
      </c>
      <c r="AA56" s="405"/>
      <c r="AB56" s="405">
        <v>43</v>
      </c>
      <c r="AC56" s="405">
        <v>216</v>
      </c>
      <c r="AD56" s="405">
        <v>83</v>
      </c>
      <c r="AE56" s="405">
        <v>178</v>
      </c>
      <c r="AF56" s="405">
        <v>11</v>
      </c>
    </row>
    <row r="57" spans="1:32">
      <c r="A57" s="117">
        <f t="shared" si="5"/>
        <v>36</v>
      </c>
      <c r="B57" s="225" t="s">
        <v>1677</v>
      </c>
      <c r="C57" s="1982" t="s">
        <v>158</v>
      </c>
      <c r="D57" s="1970" t="s">
        <v>147</v>
      </c>
      <c r="E57" s="1999" t="str">
        <f t="shared" si="17"/>
        <v>sandwich500 - R</v>
      </c>
      <c r="F57" s="1970">
        <v>0</v>
      </c>
      <c r="G57" s="1970">
        <v>2700</v>
      </c>
      <c r="H57" s="1970">
        <v>0</v>
      </c>
      <c r="I57" s="1970">
        <v>4.5</v>
      </c>
      <c r="J57" s="1971">
        <f t="shared" si="6"/>
        <v>1.6666666666666668E-3</v>
      </c>
      <c r="K57" s="1971"/>
      <c r="L57" s="1971">
        <v>577</v>
      </c>
      <c r="M57" s="1971"/>
      <c r="N57" s="1971"/>
      <c r="O57" s="1971"/>
      <c r="P57" s="1971"/>
      <c r="Q57" s="1972">
        <f t="shared" si="18"/>
        <v>374.8942167935657</v>
      </c>
      <c r="R57" s="1972" t="e">
        <f t="shared" ca="1" si="7"/>
        <v>#REF!</v>
      </c>
      <c r="S57" s="1972" t="e">
        <f t="shared" ca="1" si="8"/>
        <v>#REF!</v>
      </c>
      <c r="T57" s="1973" t="e">
        <f t="shared" ca="1" si="9"/>
        <v>#REF!</v>
      </c>
      <c r="U57" s="1972" t="e">
        <f t="shared" ca="1" si="10"/>
        <v>#REF!</v>
      </c>
      <c r="V57" s="1972" t="e">
        <f t="shared" ca="1" si="11"/>
        <v>#REF!</v>
      </c>
      <c r="W57" s="1973" t="e">
        <f t="shared" ca="1" si="12"/>
        <v>#REF!</v>
      </c>
      <c r="X57" s="1970" t="e">
        <f t="shared" ca="1" si="13"/>
        <v>#REF!</v>
      </c>
      <c r="Y57" s="1983" t="e">
        <f t="shared" ca="1" si="14"/>
        <v>#REF!</v>
      </c>
      <c r="AA57" s="405"/>
      <c r="AB57" s="405">
        <v>43</v>
      </c>
      <c r="AC57" s="405">
        <v>216</v>
      </c>
      <c r="AD57" s="405">
        <v>84</v>
      </c>
      <c r="AE57" s="405">
        <v>178</v>
      </c>
      <c r="AF57" s="405">
        <v>11</v>
      </c>
    </row>
    <row r="58" spans="1:32">
      <c r="A58" s="117">
        <f t="shared" si="5"/>
        <v>37</v>
      </c>
      <c r="B58" s="225" t="s">
        <v>1677</v>
      </c>
      <c r="C58" s="1982" t="s">
        <v>158</v>
      </c>
      <c r="D58" s="1970" t="s">
        <v>148</v>
      </c>
      <c r="E58" s="1999" t="str">
        <f t="shared" si="17"/>
        <v>sandwich500 - B</v>
      </c>
      <c r="F58" s="1970">
        <v>0</v>
      </c>
      <c r="G58" s="1970">
        <v>4000</v>
      </c>
      <c r="H58" s="1970">
        <v>0</v>
      </c>
      <c r="I58" s="1970">
        <v>4.5</v>
      </c>
      <c r="J58" s="1971">
        <f t="shared" si="6"/>
        <v>1.1249999999999999E-3</v>
      </c>
      <c r="K58" s="1971"/>
      <c r="L58" s="1971">
        <v>577</v>
      </c>
      <c r="M58" s="1971"/>
      <c r="N58" s="1971"/>
      <c r="O58" s="1971"/>
      <c r="P58" s="1971"/>
      <c r="Q58" s="1972">
        <f t="shared" si="18"/>
        <v>555.39883969417156</v>
      </c>
      <c r="R58" s="1972" t="e">
        <f t="shared" ca="1" si="7"/>
        <v>#REF!</v>
      </c>
      <c r="S58" s="1972" t="e">
        <f t="shared" ca="1" si="8"/>
        <v>#REF!</v>
      </c>
      <c r="T58" s="1973" t="e">
        <f t="shared" ca="1" si="9"/>
        <v>#REF!</v>
      </c>
      <c r="U58" s="1972" t="e">
        <f t="shared" ca="1" si="10"/>
        <v>#REF!</v>
      </c>
      <c r="V58" s="1972" t="e">
        <f t="shared" ca="1" si="11"/>
        <v>#REF!</v>
      </c>
      <c r="W58" s="1973" t="e">
        <f t="shared" ca="1" si="12"/>
        <v>#REF!</v>
      </c>
      <c r="X58" s="1970" t="e">
        <f t="shared" ca="1" si="13"/>
        <v>#REF!</v>
      </c>
      <c r="Y58" s="1983" t="e">
        <f t="shared" ca="1" si="14"/>
        <v>#REF!</v>
      </c>
      <c r="AA58" s="405"/>
      <c r="AB58" s="405">
        <v>43</v>
      </c>
      <c r="AC58" s="405">
        <v>216</v>
      </c>
      <c r="AD58" s="405">
        <v>85</v>
      </c>
      <c r="AE58" s="405">
        <v>178</v>
      </c>
      <c r="AF58" s="405">
        <v>11</v>
      </c>
    </row>
    <row r="59" spans="1:32">
      <c r="A59" s="117">
        <f t="shared" si="5"/>
        <v>38</v>
      </c>
      <c r="B59" s="225" t="s">
        <v>1678</v>
      </c>
      <c r="C59" s="1982" t="s">
        <v>159</v>
      </c>
      <c r="D59" s="1970" t="s">
        <v>145</v>
      </c>
      <c r="E59" s="1999" t="str">
        <f t="shared" si="17"/>
        <v>sandwich600 - W</v>
      </c>
      <c r="F59" s="1970">
        <v>0</v>
      </c>
      <c r="G59" s="1970">
        <v>3700</v>
      </c>
      <c r="H59" s="1970">
        <v>0</v>
      </c>
      <c r="I59" s="1970">
        <v>4.5</v>
      </c>
      <c r="J59" s="1971">
        <f t="shared" si="6"/>
        <v>1.2162162162162159E-3</v>
      </c>
      <c r="K59" s="1971"/>
      <c r="L59" s="1971">
        <v>747</v>
      </c>
      <c r="M59" s="1971"/>
      <c r="N59" s="1971"/>
      <c r="O59" s="1971"/>
      <c r="P59" s="1971"/>
      <c r="Q59" s="1972">
        <f t="shared" si="18"/>
        <v>513.74392671710871</v>
      </c>
      <c r="R59" s="1972" t="e">
        <f t="shared" ca="1" si="7"/>
        <v>#REF!</v>
      </c>
      <c r="S59" s="1972" t="e">
        <f t="shared" ca="1" si="8"/>
        <v>#REF!</v>
      </c>
      <c r="T59" s="1973" t="e">
        <f t="shared" ca="1" si="9"/>
        <v>#REF!</v>
      </c>
      <c r="U59" s="1972" t="e">
        <f t="shared" ca="1" si="10"/>
        <v>#REF!</v>
      </c>
      <c r="V59" s="1972" t="e">
        <f t="shared" ca="1" si="11"/>
        <v>#REF!</v>
      </c>
      <c r="W59" s="1973" t="e">
        <f t="shared" ca="1" si="12"/>
        <v>#REF!</v>
      </c>
      <c r="X59" s="1970" t="e">
        <f t="shared" ca="1" si="13"/>
        <v>#REF!</v>
      </c>
      <c r="Y59" s="1983" t="e">
        <f t="shared" ca="1" si="14"/>
        <v>#REF!</v>
      </c>
      <c r="AA59" s="405"/>
      <c r="AB59" s="405">
        <v>43</v>
      </c>
      <c r="AC59" s="405">
        <v>251</v>
      </c>
      <c r="AD59" s="405">
        <v>108</v>
      </c>
      <c r="AE59" s="405">
        <v>210</v>
      </c>
      <c r="AF59" s="405">
        <v>13</v>
      </c>
    </row>
    <row r="60" spans="1:32">
      <c r="A60" s="117">
        <f t="shared" si="5"/>
        <v>39</v>
      </c>
      <c r="B60" s="225" t="s">
        <v>1678</v>
      </c>
      <c r="C60" s="1982" t="s">
        <v>159</v>
      </c>
      <c r="D60" s="1970" t="s">
        <v>147</v>
      </c>
      <c r="E60" s="1999" t="str">
        <f t="shared" si="17"/>
        <v>sandwich600 - R</v>
      </c>
      <c r="F60" s="1970">
        <v>0</v>
      </c>
      <c r="G60" s="1970">
        <v>5800</v>
      </c>
      <c r="H60" s="1970">
        <v>0</v>
      </c>
      <c r="I60" s="1970">
        <v>4.5</v>
      </c>
      <c r="J60" s="1971">
        <f t="shared" si="6"/>
        <v>7.7586206896551732E-4</v>
      </c>
      <c r="K60" s="1971"/>
      <c r="L60" s="1971">
        <v>747</v>
      </c>
      <c r="M60" s="1971"/>
      <c r="N60" s="1971"/>
      <c r="O60" s="1971"/>
      <c r="P60" s="1971"/>
      <c r="Q60" s="1972">
        <f t="shared" si="18"/>
        <v>805.32831755654854</v>
      </c>
      <c r="R60" s="1972" t="e">
        <f t="shared" ca="1" si="7"/>
        <v>#REF!</v>
      </c>
      <c r="S60" s="1972" t="e">
        <f t="shared" ca="1" si="8"/>
        <v>#REF!</v>
      </c>
      <c r="T60" s="1973" t="e">
        <f t="shared" ca="1" si="9"/>
        <v>#REF!</v>
      </c>
      <c r="U60" s="1972" t="e">
        <f t="shared" ca="1" si="10"/>
        <v>#REF!</v>
      </c>
      <c r="V60" s="1972" t="e">
        <f t="shared" ca="1" si="11"/>
        <v>#REF!</v>
      </c>
      <c r="W60" s="1973" t="e">
        <f t="shared" ca="1" si="12"/>
        <v>#REF!</v>
      </c>
      <c r="X60" s="1970" t="e">
        <f t="shared" ca="1" si="13"/>
        <v>#REF!</v>
      </c>
      <c r="Y60" s="1983" t="e">
        <f t="shared" ca="1" si="14"/>
        <v>#REF!</v>
      </c>
      <c r="AA60" s="405"/>
      <c r="AB60" s="405">
        <v>43</v>
      </c>
      <c r="AC60" s="405">
        <v>251</v>
      </c>
      <c r="AD60" s="405">
        <v>108</v>
      </c>
      <c r="AE60" s="405">
        <v>210</v>
      </c>
      <c r="AF60" s="405">
        <v>13</v>
      </c>
    </row>
    <row r="61" spans="1:32">
      <c r="A61" s="117">
        <f t="shared" si="5"/>
        <v>40</v>
      </c>
      <c r="B61" s="225" t="s">
        <v>1678</v>
      </c>
      <c r="C61" s="1982" t="s">
        <v>159</v>
      </c>
      <c r="D61" s="1970" t="s">
        <v>148</v>
      </c>
      <c r="E61" s="1999" t="str">
        <f t="shared" si="17"/>
        <v>sandwich600 - B</v>
      </c>
      <c r="F61" s="1970">
        <v>0</v>
      </c>
      <c r="G61" s="1970">
        <v>8600</v>
      </c>
      <c r="H61" s="1970">
        <v>0</v>
      </c>
      <c r="I61" s="1970">
        <v>4.5</v>
      </c>
      <c r="J61" s="1971">
        <f t="shared" si="6"/>
        <v>5.2325581395348852E-4</v>
      </c>
      <c r="K61" s="1971"/>
      <c r="L61" s="1971">
        <v>747</v>
      </c>
      <c r="M61" s="1971"/>
      <c r="N61" s="1971"/>
      <c r="O61" s="1971"/>
      <c r="P61" s="1971"/>
      <c r="Q61" s="1972">
        <f t="shared" si="18"/>
        <v>1194.1075053424684</v>
      </c>
      <c r="R61" s="1972" t="e">
        <f t="shared" ca="1" si="7"/>
        <v>#REF!</v>
      </c>
      <c r="S61" s="1972" t="e">
        <f t="shared" ca="1" si="8"/>
        <v>#REF!</v>
      </c>
      <c r="T61" s="1973" t="e">
        <f t="shared" ca="1" si="9"/>
        <v>#REF!</v>
      </c>
      <c r="U61" s="1972" t="e">
        <f t="shared" ca="1" si="10"/>
        <v>#REF!</v>
      </c>
      <c r="V61" s="1972" t="e">
        <f t="shared" ca="1" si="11"/>
        <v>#REF!</v>
      </c>
      <c r="W61" s="1973" t="e">
        <f t="shared" ca="1" si="12"/>
        <v>#REF!</v>
      </c>
      <c r="X61" s="1970" t="e">
        <f t="shared" ca="1" si="13"/>
        <v>#REF!</v>
      </c>
      <c r="Y61" s="1983" t="e">
        <f t="shared" ca="1" si="14"/>
        <v>#REF!</v>
      </c>
      <c r="AA61" s="405"/>
      <c r="AB61" s="405">
        <v>43</v>
      </c>
      <c r="AC61" s="405">
        <v>251</v>
      </c>
      <c r="AD61" s="405">
        <v>108</v>
      </c>
      <c r="AE61" s="405">
        <v>210</v>
      </c>
      <c r="AF61" s="405">
        <v>13</v>
      </c>
    </row>
    <row r="62" spans="1:32">
      <c r="A62" s="117">
        <f t="shared" si="5"/>
        <v>41</v>
      </c>
      <c r="B62" s="225" t="s">
        <v>1679</v>
      </c>
      <c r="C62" s="1982" t="s">
        <v>160</v>
      </c>
      <c r="D62" s="1970" t="s">
        <v>145</v>
      </c>
      <c r="E62" s="1999" t="str">
        <f t="shared" si="17"/>
        <v>sandwich700 - W</v>
      </c>
      <c r="F62" s="1970">
        <v>0</v>
      </c>
      <c r="G62" s="1970">
        <v>6400</v>
      </c>
      <c r="H62" s="1970">
        <v>0</v>
      </c>
      <c r="I62" s="1970">
        <v>4.5</v>
      </c>
      <c r="J62" s="1971">
        <f t="shared" si="6"/>
        <v>7.0312499999999997E-4</v>
      </c>
      <c r="K62" s="1971"/>
      <c r="L62" s="1971">
        <v>860</v>
      </c>
      <c r="M62" s="1971"/>
      <c r="N62" s="1971"/>
      <c r="O62" s="1971"/>
      <c r="P62" s="1971"/>
      <c r="Q62" s="1972">
        <f t="shared" si="18"/>
        <v>888.63814351067435</v>
      </c>
      <c r="R62" s="1972" t="e">
        <f t="shared" ca="1" si="7"/>
        <v>#REF!</v>
      </c>
      <c r="S62" s="1972" t="e">
        <f t="shared" ca="1" si="8"/>
        <v>#REF!</v>
      </c>
      <c r="T62" s="1973" t="e">
        <f t="shared" ca="1" si="9"/>
        <v>#REF!</v>
      </c>
      <c r="U62" s="1972" t="e">
        <f t="shared" ca="1" si="10"/>
        <v>#REF!</v>
      </c>
      <c r="V62" s="1972" t="e">
        <f t="shared" ca="1" si="11"/>
        <v>#REF!</v>
      </c>
      <c r="W62" s="1973" t="e">
        <f t="shared" ca="1" si="12"/>
        <v>#REF!</v>
      </c>
      <c r="X62" s="1970" t="e">
        <f t="shared" ca="1" si="13"/>
        <v>#REF!</v>
      </c>
      <c r="Y62" s="1983" t="e">
        <f t="shared" ca="1" si="14"/>
        <v>#REF!</v>
      </c>
      <c r="AA62" s="405"/>
      <c r="AB62" s="405">
        <v>43</v>
      </c>
      <c r="AC62" s="405">
        <v>302</v>
      </c>
      <c r="AD62" s="405">
        <v>108</v>
      </c>
      <c r="AE62" s="405">
        <v>260</v>
      </c>
      <c r="AF62" s="405">
        <v>14</v>
      </c>
    </row>
    <row r="63" spans="1:32">
      <c r="A63" s="117">
        <f t="shared" si="5"/>
        <v>42</v>
      </c>
      <c r="B63" s="225" t="s">
        <v>1679</v>
      </c>
      <c r="C63" s="1982" t="s">
        <v>160</v>
      </c>
      <c r="D63" s="1970" t="s">
        <v>147</v>
      </c>
      <c r="E63" s="1999" t="str">
        <f t="shared" si="17"/>
        <v>sandwich700 - R</v>
      </c>
      <c r="F63" s="1970">
        <v>0</v>
      </c>
      <c r="G63" s="1970">
        <v>10000</v>
      </c>
      <c r="H63" s="1970">
        <v>0</v>
      </c>
      <c r="I63" s="1970">
        <v>4.5</v>
      </c>
      <c r="J63" s="1971">
        <f t="shared" si="6"/>
        <v>4.4999999999999999E-4</v>
      </c>
      <c r="K63" s="1971"/>
      <c r="L63" s="1971">
        <v>860</v>
      </c>
      <c r="M63" s="1971"/>
      <c r="N63" s="1971"/>
      <c r="O63" s="1971"/>
      <c r="P63" s="1971"/>
      <c r="Q63" s="1972">
        <f t="shared" si="18"/>
        <v>1388.4970992354288</v>
      </c>
      <c r="R63" s="1972" t="e">
        <f t="shared" ca="1" si="7"/>
        <v>#REF!</v>
      </c>
      <c r="S63" s="1972" t="e">
        <f t="shared" ca="1" si="8"/>
        <v>#REF!</v>
      </c>
      <c r="T63" s="1973" t="e">
        <f t="shared" ca="1" si="9"/>
        <v>#REF!</v>
      </c>
      <c r="U63" s="1972" t="e">
        <f t="shared" ca="1" si="10"/>
        <v>#REF!</v>
      </c>
      <c r="V63" s="1972" t="e">
        <f t="shared" ca="1" si="11"/>
        <v>#REF!</v>
      </c>
      <c r="W63" s="1973" t="e">
        <f t="shared" ca="1" si="12"/>
        <v>#REF!</v>
      </c>
      <c r="X63" s="1970" t="e">
        <f t="shared" ca="1" si="13"/>
        <v>#REF!</v>
      </c>
      <c r="Y63" s="1983" t="e">
        <f t="shared" ca="1" si="14"/>
        <v>#REF!</v>
      </c>
      <c r="AA63" s="405"/>
      <c r="AB63" s="405">
        <v>43</v>
      </c>
      <c r="AC63" s="405">
        <v>302</v>
      </c>
      <c r="AD63" s="405">
        <v>108</v>
      </c>
      <c r="AE63" s="405">
        <v>260</v>
      </c>
      <c r="AF63" s="405">
        <v>14</v>
      </c>
    </row>
    <row r="64" spans="1:32">
      <c r="A64" s="117">
        <f t="shared" si="5"/>
        <v>43</v>
      </c>
      <c r="B64" s="225" t="s">
        <v>1679</v>
      </c>
      <c r="C64" s="1982" t="s">
        <v>160</v>
      </c>
      <c r="D64" s="1970" t="s">
        <v>148</v>
      </c>
      <c r="E64" s="1999" t="str">
        <f t="shared" si="17"/>
        <v>sandwich700 - B</v>
      </c>
      <c r="F64" s="1970">
        <v>0</v>
      </c>
      <c r="G64" s="1970">
        <v>15000</v>
      </c>
      <c r="H64" s="1970">
        <v>0</v>
      </c>
      <c r="I64" s="1970">
        <v>4.5</v>
      </c>
      <c r="J64" s="1971">
        <f t="shared" si="6"/>
        <v>3.0000000000000003E-4</v>
      </c>
      <c r="K64" s="1971"/>
      <c r="L64" s="1971">
        <v>860</v>
      </c>
      <c r="M64" s="1971"/>
      <c r="N64" s="1971"/>
      <c r="O64" s="1971"/>
      <c r="P64" s="1971"/>
      <c r="Q64" s="1972">
        <f t="shared" si="18"/>
        <v>2082.7456488531429</v>
      </c>
      <c r="R64" s="1972" t="e">
        <f t="shared" ca="1" si="7"/>
        <v>#REF!</v>
      </c>
      <c r="S64" s="1972" t="e">
        <f t="shared" ca="1" si="8"/>
        <v>#REF!</v>
      </c>
      <c r="T64" s="1973" t="e">
        <f t="shared" ca="1" si="9"/>
        <v>#REF!</v>
      </c>
      <c r="U64" s="1972" t="e">
        <f t="shared" ca="1" si="10"/>
        <v>#REF!</v>
      </c>
      <c r="V64" s="1972" t="e">
        <f t="shared" ca="1" si="11"/>
        <v>#REF!</v>
      </c>
      <c r="W64" s="1973" t="e">
        <f t="shared" ca="1" si="12"/>
        <v>#REF!</v>
      </c>
      <c r="X64" s="1970" t="e">
        <f t="shared" ca="1" si="13"/>
        <v>#REF!</v>
      </c>
      <c r="Y64" s="1983" t="e">
        <f t="shared" ca="1" si="14"/>
        <v>#REF!</v>
      </c>
      <c r="AA64" s="405"/>
      <c r="AB64" s="405">
        <v>43</v>
      </c>
      <c r="AC64" s="405">
        <v>302</v>
      </c>
      <c r="AD64" s="405">
        <v>108</v>
      </c>
      <c r="AE64" s="405">
        <v>260</v>
      </c>
      <c r="AF64" s="405">
        <v>14</v>
      </c>
    </row>
    <row r="65" spans="1:25">
      <c r="A65" s="117">
        <f t="shared" si="5"/>
        <v>44</v>
      </c>
      <c r="B65" s="225"/>
      <c r="C65" s="1982"/>
      <c r="D65" s="1970"/>
      <c r="E65" s="1999"/>
      <c r="F65" s="1970"/>
      <c r="G65" s="1970"/>
      <c r="H65" s="1970"/>
      <c r="I65" s="1970"/>
      <c r="J65" s="1971"/>
      <c r="K65" s="1971"/>
      <c r="L65" s="1971"/>
      <c r="M65" s="1971"/>
      <c r="N65" s="1971"/>
      <c r="O65" s="1971"/>
      <c r="P65" s="1971"/>
      <c r="Q65" s="1972"/>
      <c r="R65" s="1972"/>
      <c r="S65" s="1972"/>
      <c r="T65" s="1973"/>
      <c r="U65" s="1972"/>
      <c r="V65" s="1972"/>
      <c r="W65" s="1973"/>
      <c r="X65" s="1970" t="str">
        <f t="shared" si="13"/>
        <v/>
      </c>
      <c r="Y65" s="1983" t="str">
        <f t="shared" si="14"/>
        <v/>
      </c>
    </row>
    <row r="66" spans="1:25">
      <c r="A66" s="117">
        <f t="shared" si="5"/>
        <v>45</v>
      </c>
      <c r="B66" s="225" t="s">
        <v>161</v>
      </c>
      <c r="C66" s="1982" t="s">
        <v>161</v>
      </c>
      <c r="D66" s="1970"/>
      <c r="E66" s="1999" t="str">
        <f t="shared" ref="E66:E77" si="19">$C66&amp;" - "&amp;$D66</f>
        <v xml:space="preserve">1 AMC 150 - </v>
      </c>
      <c r="F66" s="1970">
        <v>0</v>
      </c>
      <c r="G66" s="1970">
        <v>150</v>
      </c>
      <c r="H66" s="1970">
        <v>0</v>
      </c>
      <c r="I66" s="1970">
        <v>30</v>
      </c>
      <c r="J66" s="1971">
        <f t="shared" si="6"/>
        <v>0.2</v>
      </c>
      <c r="K66" s="1971"/>
      <c r="L66" s="1971">
        <v>359</v>
      </c>
      <c r="M66" s="1971"/>
      <c r="N66" s="1971"/>
      <c r="O66" s="1971"/>
      <c r="P66" s="1971"/>
      <c r="Q66" s="1972">
        <f t="shared" ref="Q66:Q77" si="20">IF($B$14&gt;$I66,0,$B$14/$J66)</f>
        <v>3.1241184732797143</v>
      </c>
      <c r="R66" s="1972" t="e">
        <f t="shared" ca="1" si="7"/>
        <v>#REF!</v>
      </c>
      <c r="S66" s="1972" t="e">
        <f t="shared" ca="1" si="8"/>
        <v>#REF!</v>
      </c>
      <c r="T66" s="1973" t="e">
        <f t="shared" ca="1" si="9"/>
        <v>#REF!</v>
      </c>
      <c r="U66" s="1972" t="e">
        <f t="shared" ca="1" si="10"/>
        <v>#REF!</v>
      </c>
      <c r="V66" s="1972" t="e">
        <f t="shared" ca="1" si="11"/>
        <v>#REF!</v>
      </c>
      <c r="W66" s="1973" t="e">
        <f t="shared" ca="1" si="12"/>
        <v>#REF!</v>
      </c>
      <c r="X66" s="1970" t="e">
        <f t="shared" ca="1" si="13"/>
        <v>#REF!</v>
      </c>
      <c r="Y66" s="1983" t="e">
        <f t="shared" ca="1" si="14"/>
        <v>#REF!</v>
      </c>
    </row>
    <row r="67" spans="1:25">
      <c r="A67" s="117">
        <f t="shared" si="5"/>
        <v>46</v>
      </c>
      <c r="B67" s="225" t="s">
        <v>162</v>
      </c>
      <c r="C67" s="1982" t="s">
        <v>162</v>
      </c>
      <c r="D67" s="1970"/>
      <c r="E67" s="1999" t="str">
        <f t="shared" si="19"/>
        <v xml:space="preserve">1 AMC 200 - </v>
      </c>
      <c r="F67" s="1970">
        <v>0</v>
      </c>
      <c r="G67" s="1970">
        <v>200</v>
      </c>
      <c r="H67" s="1970">
        <v>0</v>
      </c>
      <c r="I67" s="1970">
        <v>30</v>
      </c>
      <c r="J67" s="1971">
        <f t="shared" si="6"/>
        <v>0.15</v>
      </c>
      <c r="K67" s="1971"/>
      <c r="L67" s="1971">
        <v>395</v>
      </c>
      <c r="M67" s="1971"/>
      <c r="N67" s="1971"/>
      <c r="O67" s="1971"/>
      <c r="P67" s="1971"/>
      <c r="Q67" s="1972">
        <f t="shared" si="20"/>
        <v>4.1654912977062866</v>
      </c>
      <c r="R67" s="1972" t="e">
        <f t="shared" ca="1" si="7"/>
        <v>#REF!</v>
      </c>
      <c r="S67" s="1972" t="e">
        <f t="shared" ca="1" si="8"/>
        <v>#REF!</v>
      </c>
      <c r="T67" s="1973" t="e">
        <f t="shared" ca="1" si="9"/>
        <v>#REF!</v>
      </c>
      <c r="U67" s="1972" t="e">
        <f t="shared" ca="1" si="10"/>
        <v>#REF!</v>
      </c>
      <c r="V67" s="1972" t="e">
        <f t="shared" ca="1" si="11"/>
        <v>#REF!</v>
      </c>
      <c r="W67" s="1973" t="e">
        <f t="shared" ca="1" si="12"/>
        <v>#REF!</v>
      </c>
      <c r="X67" s="1970" t="e">
        <f t="shared" ca="1" si="13"/>
        <v>#REF!</v>
      </c>
      <c r="Y67" s="1983" t="e">
        <f t="shared" ca="1" si="14"/>
        <v>#REF!</v>
      </c>
    </row>
    <row r="68" spans="1:25">
      <c r="A68" s="117">
        <f t="shared" si="5"/>
        <v>47</v>
      </c>
      <c r="B68" s="225" t="s">
        <v>163</v>
      </c>
      <c r="C68" s="1982" t="s">
        <v>163</v>
      </c>
      <c r="D68" s="1970"/>
      <c r="E68" s="1999" t="str">
        <f t="shared" si="19"/>
        <v xml:space="preserve">1 AMC 250 - </v>
      </c>
      <c r="F68" s="1970">
        <v>0</v>
      </c>
      <c r="G68" s="1970">
        <v>250</v>
      </c>
      <c r="H68" s="1970">
        <v>0</v>
      </c>
      <c r="I68" s="1970">
        <v>30</v>
      </c>
      <c r="J68" s="1971">
        <f t="shared" si="6"/>
        <v>0.12</v>
      </c>
      <c r="K68" s="1971"/>
      <c r="L68" s="1971">
        <v>428</v>
      </c>
      <c r="M68" s="1971"/>
      <c r="N68" s="1971"/>
      <c r="O68" s="1971"/>
      <c r="P68" s="1971"/>
      <c r="Q68" s="1972">
        <f t="shared" si="20"/>
        <v>5.206864122132858</v>
      </c>
      <c r="R68" s="1972" t="e">
        <f t="shared" ca="1" si="7"/>
        <v>#REF!</v>
      </c>
      <c r="S68" s="1972" t="e">
        <f t="shared" ca="1" si="8"/>
        <v>#REF!</v>
      </c>
      <c r="T68" s="1973" t="e">
        <f t="shared" ca="1" si="9"/>
        <v>#REF!</v>
      </c>
      <c r="U68" s="1972" t="e">
        <f t="shared" ca="1" si="10"/>
        <v>#REF!</v>
      </c>
      <c r="V68" s="1972" t="e">
        <f t="shared" ca="1" si="11"/>
        <v>#REF!</v>
      </c>
      <c r="W68" s="1973" t="e">
        <f t="shared" ca="1" si="12"/>
        <v>#REF!</v>
      </c>
      <c r="X68" s="1970" t="e">
        <f t="shared" ca="1" si="13"/>
        <v>#REF!</v>
      </c>
      <c r="Y68" s="1983" t="e">
        <f t="shared" ca="1" si="14"/>
        <v>#REF!</v>
      </c>
    </row>
    <row r="69" spans="1:25">
      <c r="A69" s="117">
        <f t="shared" si="5"/>
        <v>48</v>
      </c>
      <c r="B69" s="225" t="s">
        <v>164</v>
      </c>
      <c r="C69" s="1982" t="s">
        <v>164</v>
      </c>
      <c r="D69" s="1970"/>
      <c r="E69" s="1999" t="str">
        <f t="shared" si="19"/>
        <v xml:space="preserve">1 AMC 350 - </v>
      </c>
      <c r="F69" s="1970">
        <v>0</v>
      </c>
      <c r="G69" s="1970">
        <v>350</v>
      </c>
      <c r="H69" s="1970">
        <v>0</v>
      </c>
      <c r="I69" s="1970">
        <v>30</v>
      </c>
      <c r="J69" s="1971">
        <f t="shared" si="6"/>
        <v>8.5714285714285687E-2</v>
      </c>
      <c r="K69" s="1971"/>
      <c r="L69" s="1971">
        <v>489</v>
      </c>
      <c r="M69" s="1971"/>
      <c r="N69" s="1971"/>
      <c r="O69" s="1971"/>
      <c r="P69" s="1971"/>
      <c r="Q69" s="1972">
        <f t="shared" si="20"/>
        <v>7.2896097709860026</v>
      </c>
      <c r="R69" s="1972" t="e">
        <f t="shared" ca="1" si="7"/>
        <v>#REF!</v>
      </c>
      <c r="S69" s="1972" t="e">
        <f t="shared" ca="1" si="8"/>
        <v>#REF!</v>
      </c>
      <c r="T69" s="1973" t="e">
        <f t="shared" ca="1" si="9"/>
        <v>#REF!</v>
      </c>
      <c r="U69" s="1972" t="e">
        <f t="shared" ca="1" si="10"/>
        <v>#REF!</v>
      </c>
      <c r="V69" s="1972" t="e">
        <f t="shared" ca="1" si="11"/>
        <v>#REF!</v>
      </c>
      <c r="W69" s="1973" t="e">
        <f t="shared" ca="1" si="12"/>
        <v>#REF!</v>
      </c>
      <c r="X69" s="1970" t="e">
        <f t="shared" ca="1" si="13"/>
        <v>#REF!</v>
      </c>
      <c r="Y69" s="1983" t="e">
        <f t="shared" ca="1" si="14"/>
        <v>#REF!</v>
      </c>
    </row>
    <row r="70" spans="1:25">
      <c r="A70" s="117">
        <f t="shared" si="5"/>
        <v>49</v>
      </c>
      <c r="B70" s="225" t="s">
        <v>165</v>
      </c>
      <c r="C70" s="1982" t="s">
        <v>165</v>
      </c>
      <c r="D70" s="1970"/>
      <c r="E70" s="1999" t="str">
        <f t="shared" si="19"/>
        <v xml:space="preserve">1 AMC 500 - </v>
      </c>
      <c r="F70" s="1970">
        <v>0</v>
      </c>
      <c r="G70" s="1970">
        <v>500</v>
      </c>
      <c r="H70" s="1970">
        <v>0</v>
      </c>
      <c r="I70" s="1970">
        <v>18</v>
      </c>
      <c r="J70" s="1971">
        <f t="shared" si="6"/>
        <v>3.5999999999999997E-2</v>
      </c>
      <c r="K70" s="1971"/>
      <c r="L70" s="1971">
        <v>664</v>
      </c>
      <c r="M70" s="1971"/>
      <c r="N70" s="1971"/>
      <c r="O70" s="1971"/>
      <c r="P70" s="1971"/>
      <c r="Q70" s="1972">
        <f t="shared" si="20"/>
        <v>17.356213740442861</v>
      </c>
      <c r="R70" s="1972" t="e">
        <f t="shared" ca="1" si="7"/>
        <v>#REF!</v>
      </c>
      <c r="S70" s="1972" t="e">
        <f t="shared" ca="1" si="8"/>
        <v>#REF!</v>
      </c>
      <c r="T70" s="1973" t="e">
        <f t="shared" ca="1" si="9"/>
        <v>#REF!</v>
      </c>
      <c r="U70" s="1972" t="e">
        <f t="shared" ca="1" si="10"/>
        <v>#REF!</v>
      </c>
      <c r="V70" s="1972" t="e">
        <f t="shared" ca="1" si="11"/>
        <v>#REF!</v>
      </c>
      <c r="W70" s="1973" t="e">
        <f t="shared" ca="1" si="12"/>
        <v>#REF!</v>
      </c>
      <c r="X70" s="1970" t="e">
        <f t="shared" ca="1" si="13"/>
        <v>#REF!</v>
      </c>
      <c r="Y70" s="1983" t="e">
        <f t="shared" ca="1" si="14"/>
        <v>#REF!</v>
      </c>
    </row>
    <row r="71" spans="1:25">
      <c r="A71" s="117">
        <f t="shared" si="5"/>
        <v>50</v>
      </c>
      <c r="B71" s="225" t="s">
        <v>166</v>
      </c>
      <c r="C71" s="1982" t="s">
        <v>166</v>
      </c>
      <c r="D71" s="1970"/>
      <c r="E71" s="1999" t="str">
        <f t="shared" si="19"/>
        <v xml:space="preserve">1 AMC 750 - </v>
      </c>
      <c r="F71" s="1970">
        <v>0</v>
      </c>
      <c r="G71" s="1970">
        <v>750</v>
      </c>
      <c r="H71" s="1970">
        <v>0</v>
      </c>
      <c r="I71" s="1970">
        <v>18</v>
      </c>
      <c r="J71" s="1971">
        <f t="shared" si="6"/>
        <v>2.4E-2</v>
      </c>
      <c r="K71" s="1971"/>
      <c r="L71" s="1971">
        <v>692</v>
      </c>
      <c r="M71" s="1971"/>
      <c r="N71" s="1971"/>
      <c r="O71" s="1971"/>
      <c r="P71" s="1971"/>
      <c r="Q71" s="1972">
        <f t="shared" si="20"/>
        <v>26.034320610664288</v>
      </c>
      <c r="R71" s="1972" t="e">
        <f t="shared" ca="1" si="7"/>
        <v>#REF!</v>
      </c>
      <c r="S71" s="1972" t="e">
        <f t="shared" ca="1" si="8"/>
        <v>#REF!</v>
      </c>
      <c r="T71" s="1973" t="e">
        <f t="shared" ca="1" si="9"/>
        <v>#REF!</v>
      </c>
      <c r="U71" s="1972" t="e">
        <f t="shared" ca="1" si="10"/>
        <v>#REF!</v>
      </c>
      <c r="V71" s="1972" t="e">
        <f t="shared" ca="1" si="11"/>
        <v>#REF!</v>
      </c>
      <c r="W71" s="1973" t="e">
        <f t="shared" ca="1" si="12"/>
        <v>#REF!</v>
      </c>
      <c r="X71" s="1970" t="e">
        <f t="shared" ca="1" si="13"/>
        <v>#REF!</v>
      </c>
      <c r="Y71" s="1983" t="e">
        <f t="shared" ca="1" si="14"/>
        <v>#REF!</v>
      </c>
    </row>
    <row r="72" spans="1:25">
      <c r="A72" s="117">
        <f t="shared" si="5"/>
        <v>51</v>
      </c>
      <c r="B72" s="225" t="s">
        <v>167</v>
      </c>
      <c r="C72" s="1982" t="s">
        <v>167</v>
      </c>
      <c r="D72" s="1970"/>
      <c r="E72" s="1999" t="str">
        <f t="shared" si="19"/>
        <v xml:space="preserve">2 AMC 300 - </v>
      </c>
      <c r="F72" s="1970">
        <v>0</v>
      </c>
      <c r="G72" s="1970">
        <v>300</v>
      </c>
      <c r="H72" s="1970">
        <v>0</v>
      </c>
      <c r="I72" s="1970">
        <v>30</v>
      </c>
      <c r="J72" s="1971">
        <f t="shared" si="6"/>
        <v>0.1</v>
      </c>
      <c r="K72" s="1971"/>
      <c r="L72" s="1971">
        <v>713</v>
      </c>
      <c r="M72" s="1971"/>
      <c r="N72" s="1971"/>
      <c r="O72" s="1971"/>
      <c r="P72" s="1971"/>
      <c r="Q72" s="1972">
        <f t="shared" si="20"/>
        <v>6.2482369465594285</v>
      </c>
      <c r="R72" s="1972" t="e">
        <f t="shared" ca="1" si="7"/>
        <v>#REF!</v>
      </c>
      <c r="S72" s="1972" t="e">
        <f t="shared" ca="1" si="8"/>
        <v>#REF!</v>
      </c>
      <c r="T72" s="1973" t="e">
        <f t="shared" ca="1" si="9"/>
        <v>#REF!</v>
      </c>
      <c r="U72" s="1972" t="e">
        <f t="shared" ca="1" si="10"/>
        <v>#REF!</v>
      </c>
      <c r="V72" s="1972" t="e">
        <f t="shared" ca="1" si="11"/>
        <v>#REF!</v>
      </c>
      <c r="W72" s="1973" t="e">
        <f t="shared" ca="1" si="12"/>
        <v>#REF!</v>
      </c>
      <c r="X72" s="1970" t="e">
        <f t="shared" ca="1" si="13"/>
        <v>#REF!</v>
      </c>
      <c r="Y72" s="1983" t="e">
        <f t="shared" ca="1" si="14"/>
        <v>#REF!</v>
      </c>
    </row>
    <row r="73" spans="1:25">
      <c r="A73" s="117">
        <f t="shared" si="5"/>
        <v>52</v>
      </c>
      <c r="B73" s="225" t="s">
        <v>168</v>
      </c>
      <c r="C73" s="1982" t="s">
        <v>168</v>
      </c>
      <c r="D73" s="1970"/>
      <c r="E73" s="1999" t="str">
        <f t="shared" si="19"/>
        <v xml:space="preserve">2 AMC 400 - </v>
      </c>
      <c r="F73" s="1970">
        <v>0</v>
      </c>
      <c r="G73" s="1970">
        <v>400</v>
      </c>
      <c r="H73" s="1970">
        <v>0</v>
      </c>
      <c r="I73" s="1970">
        <v>30</v>
      </c>
      <c r="J73" s="1971">
        <f t="shared" si="6"/>
        <v>7.4999999999999997E-2</v>
      </c>
      <c r="K73" s="1971"/>
      <c r="L73" s="1971">
        <v>746</v>
      </c>
      <c r="M73" s="1971"/>
      <c r="N73" s="1971"/>
      <c r="O73" s="1971"/>
      <c r="P73" s="1971"/>
      <c r="Q73" s="1972">
        <f t="shared" si="20"/>
        <v>8.3309825954125731</v>
      </c>
      <c r="R73" s="1972" t="e">
        <f t="shared" ca="1" si="7"/>
        <v>#REF!</v>
      </c>
      <c r="S73" s="1972" t="e">
        <f t="shared" ca="1" si="8"/>
        <v>#REF!</v>
      </c>
      <c r="T73" s="1973" t="e">
        <f t="shared" ca="1" si="9"/>
        <v>#REF!</v>
      </c>
      <c r="U73" s="1972" t="e">
        <f t="shared" ca="1" si="10"/>
        <v>#REF!</v>
      </c>
      <c r="V73" s="1972" t="e">
        <f t="shared" ca="1" si="11"/>
        <v>#REF!</v>
      </c>
      <c r="W73" s="1973" t="e">
        <f t="shared" ca="1" si="12"/>
        <v>#REF!</v>
      </c>
      <c r="X73" s="1970" t="e">
        <f t="shared" ca="1" si="13"/>
        <v>#REF!</v>
      </c>
      <c r="Y73" s="1983" t="e">
        <f t="shared" ca="1" si="14"/>
        <v>#REF!</v>
      </c>
    </row>
    <row r="74" spans="1:25">
      <c r="A74" s="117">
        <f t="shared" si="5"/>
        <v>53</v>
      </c>
      <c r="B74" s="225" t="s">
        <v>169</v>
      </c>
      <c r="C74" s="1982" t="s">
        <v>169</v>
      </c>
      <c r="D74" s="1970"/>
      <c r="E74" s="1999" t="str">
        <f t="shared" si="19"/>
        <v xml:space="preserve">2 AMC 500 - </v>
      </c>
      <c r="F74" s="1970">
        <v>0</v>
      </c>
      <c r="G74" s="1970">
        <v>500</v>
      </c>
      <c r="H74" s="1970">
        <v>0</v>
      </c>
      <c r="I74" s="1970">
        <v>30</v>
      </c>
      <c r="J74" s="1971">
        <f t="shared" si="6"/>
        <v>0.06</v>
      </c>
      <c r="K74" s="1971"/>
      <c r="L74" s="1971">
        <v>803</v>
      </c>
      <c r="M74" s="1971"/>
      <c r="N74" s="1971"/>
      <c r="O74" s="1971"/>
      <c r="P74" s="1971"/>
      <c r="Q74" s="1972">
        <f t="shared" si="20"/>
        <v>10.413728244265716</v>
      </c>
      <c r="R74" s="1972" t="e">
        <f t="shared" ca="1" si="7"/>
        <v>#REF!</v>
      </c>
      <c r="S74" s="1972" t="e">
        <f t="shared" ca="1" si="8"/>
        <v>#REF!</v>
      </c>
      <c r="T74" s="1973" t="e">
        <f t="shared" ca="1" si="9"/>
        <v>#REF!</v>
      </c>
      <c r="U74" s="1972" t="e">
        <f t="shared" ca="1" si="10"/>
        <v>#REF!</v>
      </c>
      <c r="V74" s="1972" t="e">
        <f t="shared" ca="1" si="11"/>
        <v>#REF!</v>
      </c>
      <c r="W74" s="1973" t="e">
        <f t="shared" ca="1" si="12"/>
        <v>#REF!</v>
      </c>
      <c r="X74" s="1970" t="e">
        <f t="shared" ca="1" si="13"/>
        <v>#REF!</v>
      </c>
      <c r="Y74" s="1983" t="e">
        <f t="shared" ca="1" si="14"/>
        <v>#REF!</v>
      </c>
    </row>
    <row r="75" spans="1:25">
      <c r="A75" s="117">
        <f t="shared" si="5"/>
        <v>54</v>
      </c>
      <c r="B75" s="225" t="s">
        <v>170</v>
      </c>
      <c r="C75" s="1982" t="s">
        <v>170</v>
      </c>
      <c r="D75" s="1970"/>
      <c r="E75" s="1999" t="str">
        <f t="shared" si="19"/>
        <v xml:space="preserve">2 AMC 700 - </v>
      </c>
      <c r="F75" s="1970">
        <v>0</v>
      </c>
      <c r="G75" s="1970">
        <v>700</v>
      </c>
      <c r="H75" s="1970">
        <v>0</v>
      </c>
      <c r="I75" s="1970">
        <v>30</v>
      </c>
      <c r="J75" s="1971">
        <f t="shared" si="6"/>
        <v>4.2857142857142844E-2</v>
      </c>
      <c r="K75" s="1971"/>
      <c r="L75" s="1971">
        <v>856</v>
      </c>
      <c r="M75" s="1971"/>
      <c r="N75" s="1971"/>
      <c r="O75" s="1971"/>
      <c r="P75" s="1971"/>
      <c r="Q75" s="1972">
        <f t="shared" si="20"/>
        <v>14.579219541972005</v>
      </c>
      <c r="R75" s="1972" t="e">
        <f t="shared" ca="1" si="7"/>
        <v>#REF!</v>
      </c>
      <c r="S75" s="1972" t="e">
        <f t="shared" ca="1" si="8"/>
        <v>#REF!</v>
      </c>
      <c r="T75" s="1973" t="e">
        <f t="shared" ca="1" si="9"/>
        <v>#REF!</v>
      </c>
      <c r="U75" s="1972" t="e">
        <f t="shared" ca="1" si="10"/>
        <v>#REF!</v>
      </c>
      <c r="V75" s="1972" t="e">
        <f t="shared" ca="1" si="11"/>
        <v>#REF!</v>
      </c>
      <c r="W75" s="1973" t="e">
        <f t="shared" ca="1" si="12"/>
        <v>#REF!</v>
      </c>
      <c r="X75" s="1970" t="e">
        <f t="shared" ca="1" si="13"/>
        <v>#REF!</v>
      </c>
      <c r="Y75" s="1983" t="e">
        <f t="shared" ca="1" si="14"/>
        <v>#REF!</v>
      </c>
    </row>
    <row r="76" spans="1:25">
      <c r="A76" s="117">
        <f t="shared" si="5"/>
        <v>55</v>
      </c>
      <c r="B76" s="225" t="s">
        <v>171</v>
      </c>
      <c r="C76" s="1982" t="s">
        <v>171</v>
      </c>
      <c r="D76" s="1970"/>
      <c r="E76" s="1999" t="str">
        <f t="shared" si="19"/>
        <v xml:space="preserve">2 AMC 1000 - </v>
      </c>
      <c r="F76" s="1970">
        <v>0</v>
      </c>
      <c r="G76" s="1970">
        <v>1000</v>
      </c>
      <c r="H76" s="1970">
        <v>0</v>
      </c>
      <c r="I76" s="1970">
        <v>18</v>
      </c>
      <c r="J76" s="1971">
        <f t="shared" si="6"/>
        <v>1.7999999999999999E-2</v>
      </c>
      <c r="K76" s="1971"/>
      <c r="L76" s="1971">
        <v>1047</v>
      </c>
      <c r="M76" s="1971"/>
      <c r="N76" s="1971"/>
      <c r="O76" s="1971"/>
      <c r="P76" s="1971"/>
      <c r="Q76" s="1972">
        <f t="shared" si="20"/>
        <v>34.712427480885722</v>
      </c>
      <c r="R76" s="1972" t="e">
        <f t="shared" ca="1" si="7"/>
        <v>#REF!</v>
      </c>
      <c r="S76" s="1972" t="e">
        <f t="shared" ca="1" si="8"/>
        <v>#REF!</v>
      </c>
      <c r="T76" s="1973" t="e">
        <f t="shared" ca="1" si="9"/>
        <v>#REF!</v>
      </c>
      <c r="U76" s="1972" t="e">
        <f t="shared" ca="1" si="10"/>
        <v>#REF!</v>
      </c>
      <c r="V76" s="1972" t="e">
        <f t="shared" ca="1" si="11"/>
        <v>#REF!</v>
      </c>
      <c r="W76" s="1973" t="e">
        <f t="shared" ca="1" si="12"/>
        <v>#REF!</v>
      </c>
      <c r="X76" s="1970" t="e">
        <f t="shared" ca="1" si="13"/>
        <v>#REF!</v>
      </c>
      <c r="Y76" s="1983" t="e">
        <f t="shared" ca="1" si="14"/>
        <v>#REF!</v>
      </c>
    </row>
    <row r="77" spans="1:25">
      <c r="A77" s="117">
        <f t="shared" si="5"/>
        <v>56</v>
      </c>
      <c r="B77" s="225" t="s">
        <v>172</v>
      </c>
      <c r="C77" s="1982" t="s">
        <v>172</v>
      </c>
      <c r="D77" s="1970"/>
      <c r="E77" s="1999" t="str">
        <f t="shared" si="19"/>
        <v xml:space="preserve">2 AMC 1500 - </v>
      </c>
      <c r="F77" s="1970">
        <v>0</v>
      </c>
      <c r="G77" s="1970">
        <v>1500</v>
      </c>
      <c r="H77" s="1970">
        <v>0</v>
      </c>
      <c r="I77" s="1970">
        <v>18</v>
      </c>
      <c r="J77" s="1971">
        <f t="shared" si="6"/>
        <v>1.2E-2</v>
      </c>
      <c r="K77" s="1971"/>
      <c r="L77" s="1971">
        <v>1197</v>
      </c>
      <c r="M77" s="1971"/>
      <c r="N77" s="1971"/>
      <c r="O77" s="1971"/>
      <c r="P77" s="1971"/>
      <c r="Q77" s="1972">
        <f t="shared" si="20"/>
        <v>52.068641221328576</v>
      </c>
      <c r="R77" s="1972" t="e">
        <f t="shared" ca="1" si="7"/>
        <v>#REF!</v>
      </c>
      <c r="S77" s="1972" t="e">
        <f t="shared" ca="1" si="8"/>
        <v>#REF!</v>
      </c>
      <c r="T77" s="1973" t="e">
        <f t="shared" ca="1" si="9"/>
        <v>#REF!</v>
      </c>
      <c r="U77" s="1972" t="e">
        <f t="shared" ca="1" si="10"/>
        <v>#REF!</v>
      </c>
      <c r="V77" s="1972" t="e">
        <f t="shared" ca="1" si="11"/>
        <v>#REF!</v>
      </c>
      <c r="W77" s="1973" t="e">
        <f t="shared" ca="1" si="12"/>
        <v>#REF!</v>
      </c>
      <c r="X77" s="1970" t="e">
        <f t="shared" ca="1" si="13"/>
        <v>#REF!</v>
      </c>
      <c r="Y77" s="1983" t="e">
        <f t="shared" ca="1" si="14"/>
        <v>#REF!</v>
      </c>
    </row>
    <row r="78" spans="1:25">
      <c r="A78" s="117">
        <f t="shared" si="5"/>
        <v>57</v>
      </c>
      <c r="B78" s="225"/>
      <c r="C78" s="1982"/>
      <c r="D78" s="1970"/>
      <c r="E78" s="1999"/>
      <c r="F78" s="1970"/>
      <c r="G78" s="1970"/>
      <c r="H78" s="1970"/>
      <c r="I78" s="1970"/>
      <c r="J78" s="1971"/>
      <c r="K78" s="1971"/>
      <c r="L78" s="1971"/>
      <c r="M78" s="1971"/>
      <c r="N78" s="1971"/>
      <c r="O78" s="1971"/>
      <c r="P78" s="1971"/>
      <c r="Q78" s="1972"/>
      <c r="R78" s="1972"/>
      <c r="S78" s="1972"/>
      <c r="T78" s="1973"/>
      <c r="U78" s="1972"/>
      <c r="V78" s="1972"/>
      <c r="W78" s="1973"/>
      <c r="X78" s="1970" t="str">
        <f t="shared" si="13"/>
        <v/>
      </c>
      <c r="Y78" s="1983" t="str">
        <f t="shared" si="14"/>
        <v/>
      </c>
    </row>
    <row r="79" spans="1:25">
      <c r="A79" s="117">
        <f t="shared" si="5"/>
        <v>58</v>
      </c>
      <c r="B79" s="225"/>
      <c r="C79" s="1982"/>
      <c r="D79" s="1970"/>
      <c r="E79" s="1999"/>
      <c r="F79" s="1970"/>
      <c r="G79" s="1970"/>
      <c r="H79" s="1970"/>
      <c r="I79" s="1970"/>
      <c r="J79" s="1971"/>
      <c r="K79" s="1971"/>
      <c r="L79" s="1971"/>
      <c r="M79" s="1971"/>
      <c r="N79" s="1971"/>
      <c r="O79" s="1971"/>
      <c r="P79" s="1971"/>
      <c r="Q79" s="1972"/>
      <c r="R79" s="1972"/>
      <c r="S79" s="1972"/>
      <c r="T79" s="1973"/>
      <c r="U79" s="1972"/>
      <c r="V79" s="1972"/>
      <c r="W79" s="1973"/>
      <c r="X79" s="1970" t="str">
        <f t="shared" si="13"/>
        <v/>
      </c>
      <c r="Y79" s="1983" t="str">
        <f t="shared" si="14"/>
        <v/>
      </c>
    </row>
    <row r="80" spans="1:25">
      <c r="A80" s="117">
        <f t="shared" si="5"/>
        <v>59</v>
      </c>
      <c r="B80" s="225"/>
      <c r="C80" s="1982"/>
      <c r="D80" s="1970"/>
      <c r="E80" s="1999"/>
      <c r="F80" s="1970"/>
      <c r="G80" s="1970"/>
      <c r="H80" s="1970"/>
      <c r="I80" s="1970"/>
      <c r="J80" s="1971"/>
      <c r="K80" s="1971"/>
      <c r="L80" s="1971"/>
      <c r="M80" s="1971"/>
      <c r="N80" s="1971"/>
      <c r="O80" s="1971"/>
      <c r="P80" s="1971"/>
      <c r="Q80" s="1972"/>
      <c r="R80" s="1972"/>
      <c r="S80" s="1972"/>
      <c r="T80" s="1973"/>
      <c r="U80" s="1972"/>
      <c r="V80" s="1972"/>
      <c r="W80" s="1973"/>
      <c r="X80" s="1970" t="str">
        <f t="shared" si="13"/>
        <v/>
      </c>
      <c r="Y80" s="1983" t="str">
        <f t="shared" si="14"/>
        <v/>
      </c>
    </row>
    <row r="81" spans="1:25">
      <c r="A81" s="117">
        <f t="shared" si="5"/>
        <v>60</v>
      </c>
      <c r="B81" s="225"/>
      <c r="C81" s="1982"/>
      <c r="D81" s="1970"/>
      <c r="E81" s="1999"/>
      <c r="F81" s="1970"/>
      <c r="G81" s="1970"/>
      <c r="H81" s="1970"/>
      <c r="I81" s="1970"/>
      <c r="J81" s="1971"/>
      <c r="K81" s="1971"/>
      <c r="L81" s="1971"/>
      <c r="M81" s="1971"/>
      <c r="N81" s="1971"/>
      <c r="O81" s="1971"/>
      <c r="P81" s="1971"/>
      <c r="Q81" s="1972"/>
      <c r="R81" s="1972"/>
      <c r="S81" s="1972"/>
      <c r="T81" s="1973"/>
      <c r="U81" s="1972"/>
      <c r="V81" s="1972"/>
      <c r="W81" s="1973"/>
      <c r="X81" s="1970" t="str">
        <f t="shared" si="13"/>
        <v/>
      </c>
      <c r="Y81" s="1983" t="str">
        <f t="shared" si="14"/>
        <v/>
      </c>
    </row>
    <row r="82" spans="1:25">
      <c r="A82" s="117">
        <f t="shared" si="5"/>
        <v>61</v>
      </c>
      <c r="B82" s="938" t="s">
        <v>195</v>
      </c>
      <c r="C82" s="1984" t="s">
        <v>195</v>
      </c>
      <c r="D82" s="1974"/>
      <c r="E82" s="1999"/>
      <c r="F82" s="1970"/>
      <c r="G82" s="1970"/>
      <c r="H82" s="1970"/>
      <c r="I82" s="1970"/>
      <c r="J82" s="1971" t="s">
        <v>210</v>
      </c>
      <c r="K82" s="1971" t="s">
        <v>211</v>
      </c>
      <c r="L82" s="1971"/>
      <c r="M82" s="1971"/>
      <c r="N82" s="1971"/>
      <c r="O82" s="1971"/>
      <c r="P82" s="1971"/>
      <c r="Q82" s="1972" t="s">
        <v>212</v>
      </c>
      <c r="R82" s="1972"/>
      <c r="S82" s="1972"/>
      <c r="T82" s="1973" t="s">
        <v>213</v>
      </c>
      <c r="U82" s="1972"/>
      <c r="V82" s="1972"/>
      <c r="W82" s="1973" t="s">
        <v>213</v>
      </c>
      <c r="X82" s="1970" t="str">
        <f t="shared" si="13"/>
        <v/>
      </c>
      <c r="Y82" s="1983" t="str">
        <f t="shared" si="14"/>
        <v/>
      </c>
    </row>
    <row r="83" spans="1:25">
      <c r="A83" s="117">
        <f t="shared" si="5"/>
        <v>62</v>
      </c>
      <c r="B83" s="225" t="s">
        <v>173</v>
      </c>
      <c r="C83" s="1982" t="s">
        <v>173</v>
      </c>
      <c r="D83" s="1970"/>
      <c r="E83" s="1999" t="str">
        <f t="shared" ref="E83:E88" si="21">$C83</f>
        <v>BRB 180 40</v>
      </c>
      <c r="F83" s="1970"/>
      <c r="G83" s="1970">
        <v>875</v>
      </c>
      <c r="H83" s="1970"/>
      <c r="I83" s="1970">
        <v>15</v>
      </c>
      <c r="J83" s="1971">
        <v>1</v>
      </c>
      <c r="K83" s="1971">
        <v>-1.8</v>
      </c>
      <c r="L83" s="1971">
        <v>1989</v>
      </c>
      <c r="M83" s="1971"/>
      <c r="N83" s="1971"/>
      <c r="O83" s="1971"/>
      <c r="P83" s="1971"/>
      <c r="Q83" s="1972">
        <f t="shared" ref="Q83:Q88" si="22">IF($B$14&gt;$I83,0,IF(10^((LOG($B$14)-$K83)/$J83)&gt;$G83,0,10^((LOG($B$14)-$K83)/$J83)))</f>
        <v>39.423709914841716</v>
      </c>
      <c r="R83" s="1972" t="e">
        <f t="shared" ref="R83:R88" ca="1" si="23">IF(Q83&lt;&gt;0,IF(2*ROUNDDOWN($B$2/Q83/2,0)&gt;$J$2,$J$2,IF(2*ROUNDDOWN($B$2/Q83/2,0)&lt;$I$2,0,2*ROUNDDOWN($B$2/Q83/2,0))),0)</f>
        <v>#REF!</v>
      </c>
      <c r="S83" s="1972" t="e">
        <f t="shared" ref="S83:S88" ca="1" si="24">IF(R83=0,0,IF($B$2/R83&gt;G83,0,$B$2/R83))</f>
        <v>#REF!</v>
      </c>
      <c r="T83" s="1973" t="e">
        <f t="shared" ref="T83:T88" ca="1" si="25">IF($S83=0,0,10^($J83*LOG($S83)+$K83))</f>
        <v>#REF!</v>
      </c>
      <c r="U83" s="1972" t="e">
        <f t="shared" ref="U83:U88" ca="1" si="26">IF(T83&lt;&gt;0,IF(2*ROUNDUP($B$2/G83/2,0)&lt;$I$2,$I$2,IF(2*ROUNDUP($B$2/G83/2,0)&gt;$J$2,0,2*ROUNDUP($B$2/G83/2,0))),0)</f>
        <v>#REF!</v>
      </c>
      <c r="V83" s="1972" t="e">
        <f t="shared" ref="V83:V88" ca="1" si="27">IF(U83=0,0,IF($B$2/U83&gt;G83,0,$B$2/U83))</f>
        <v>#REF!</v>
      </c>
      <c r="W83" s="1973" t="e">
        <f t="shared" ref="W83:W88" ca="1" si="28">IF($V83=0,0,10^($J83*LOG($V83)+$K83))</f>
        <v>#REF!</v>
      </c>
      <c r="X83" s="1970" t="e">
        <f t="shared" ca="1" si="13"/>
        <v>#REF!</v>
      </c>
      <c r="Y83" s="1983" t="e">
        <f t="shared" ca="1" si="14"/>
        <v>#REF!</v>
      </c>
    </row>
    <row r="84" spans="1:25">
      <c r="A84" s="117">
        <f t="shared" si="5"/>
        <v>63</v>
      </c>
      <c r="B84" s="225" t="s">
        <v>174</v>
      </c>
      <c r="C84" s="1982" t="s">
        <v>174</v>
      </c>
      <c r="D84" s="1970"/>
      <c r="E84" s="1999" t="str">
        <f t="shared" si="21"/>
        <v>BRB 180 50</v>
      </c>
      <c r="F84" s="1970"/>
      <c r="G84" s="1970">
        <v>1110</v>
      </c>
      <c r="H84" s="1970"/>
      <c r="I84" s="1970">
        <v>14</v>
      </c>
      <c r="J84" s="1971">
        <v>1</v>
      </c>
      <c r="K84" s="1971">
        <v>-1.9</v>
      </c>
      <c r="L84" s="1971">
        <v>1989</v>
      </c>
      <c r="M84" s="1971"/>
      <c r="N84" s="1971"/>
      <c r="O84" s="1971"/>
      <c r="P84" s="1971"/>
      <c r="Q84" s="1972">
        <f t="shared" si="22"/>
        <v>49.631510238995872</v>
      </c>
      <c r="R84" s="1972" t="e">
        <f t="shared" ca="1" si="23"/>
        <v>#REF!</v>
      </c>
      <c r="S84" s="1972" t="e">
        <f t="shared" ca="1" si="24"/>
        <v>#REF!</v>
      </c>
      <c r="T84" s="1973" t="e">
        <f t="shared" ca="1" si="25"/>
        <v>#REF!</v>
      </c>
      <c r="U84" s="1972" t="e">
        <f t="shared" ca="1" si="26"/>
        <v>#REF!</v>
      </c>
      <c r="V84" s="1972" t="e">
        <f t="shared" ca="1" si="27"/>
        <v>#REF!</v>
      </c>
      <c r="W84" s="1973" t="e">
        <f t="shared" ca="1" si="28"/>
        <v>#REF!</v>
      </c>
      <c r="X84" s="1970" t="e">
        <f t="shared" ca="1" si="13"/>
        <v>#REF!</v>
      </c>
      <c r="Y84" s="1983" t="e">
        <f t="shared" ca="1" si="14"/>
        <v>#REF!</v>
      </c>
    </row>
    <row r="85" spans="1:25">
      <c r="A85" s="117">
        <f t="shared" si="5"/>
        <v>64</v>
      </c>
      <c r="B85" s="225" t="s">
        <v>175</v>
      </c>
      <c r="C85" s="1982" t="s">
        <v>175</v>
      </c>
      <c r="D85" s="1970"/>
      <c r="E85" s="1999" t="str">
        <f t="shared" si="21"/>
        <v>BRB 220 40</v>
      </c>
      <c r="F85" s="1970"/>
      <c r="G85" s="1970">
        <v>1600</v>
      </c>
      <c r="H85" s="1970"/>
      <c r="I85" s="1970">
        <v>15</v>
      </c>
      <c r="J85" s="1971">
        <v>1</v>
      </c>
      <c r="K85" s="1971">
        <v>-2</v>
      </c>
      <c r="L85" s="1971">
        <v>2478</v>
      </c>
      <c r="M85" s="1971"/>
      <c r="N85" s="1971"/>
      <c r="O85" s="1971"/>
      <c r="P85" s="1971"/>
      <c r="Q85" s="1972">
        <f t="shared" si="22"/>
        <v>62.482369465594324</v>
      </c>
      <c r="R85" s="1972" t="e">
        <f t="shared" ca="1" si="23"/>
        <v>#REF!</v>
      </c>
      <c r="S85" s="1972" t="e">
        <f t="shared" ca="1" si="24"/>
        <v>#REF!</v>
      </c>
      <c r="T85" s="1973" t="e">
        <f t="shared" ca="1" si="25"/>
        <v>#REF!</v>
      </c>
      <c r="U85" s="1972" t="e">
        <f t="shared" ca="1" si="26"/>
        <v>#REF!</v>
      </c>
      <c r="V85" s="1972" t="e">
        <f t="shared" ca="1" si="27"/>
        <v>#REF!</v>
      </c>
      <c r="W85" s="1973" t="e">
        <f t="shared" ca="1" si="28"/>
        <v>#REF!</v>
      </c>
      <c r="X85" s="1970" t="e">
        <f t="shared" ca="1" si="13"/>
        <v>#REF!</v>
      </c>
      <c r="Y85" s="1983" t="e">
        <f t="shared" ca="1" si="14"/>
        <v>#REF!</v>
      </c>
    </row>
    <row r="86" spans="1:25">
      <c r="A86" s="117">
        <f t="shared" si="5"/>
        <v>65</v>
      </c>
      <c r="B86" s="225" t="s">
        <v>176</v>
      </c>
      <c r="C86" s="1982" t="s">
        <v>176</v>
      </c>
      <c r="D86" s="1970"/>
      <c r="E86" s="1999" t="str">
        <f t="shared" si="21"/>
        <v>BRB 220 50</v>
      </c>
      <c r="F86" s="1970"/>
      <c r="G86" s="1970">
        <v>2400</v>
      </c>
      <c r="H86" s="1970"/>
      <c r="I86" s="1970">
        <v>14</v>
      </c>
      <c r="J86" s="1971">
        <v>1</v>
      </c>
      <c r="K86" s="1971">
        <v>-2.2000000000000002</v>
      </c>
      <c r="L86" s="1971">
        <v>2478</v>
      </c>
      <c r="M86" s="1971"/>
      <c r="N86" s="1971"/>
      <c r="O86" s="1971"/>
      <c r="P86" s="1971"/>
      <c r="Q86" s="1972">
        <f t="shared" si="22"/>
        <v>99.027882014860666</v>
      </c>
      <c r="R86" s="1972" t="e">
        <f t="shared" ca="1" si="23"/>
        <v>#REF!</v>
      </c>
      <c r="S86" s="1972" t="e">
        <f t="shared" ca="1" si="24"/>
        <v>#REF!</v>
      </c>
      <c r="T86" s="1973" t="e">
        <f t="shared" ca="1" si="25"/>
        <v>#REF!</v>
      </c>
      <c r="U86" s="1972" t="e">
        <f t="shared" ca="1" si="26"/>
        <v>#REF!</v>
      </c>
      <c r="V86" s="1972" t="e">
        <f t="shared" ca="1" si="27"/>
        <v>#REF!</v>
      </c>
      <c r="W86" s="1973" t="e">
        <f t="shared" ca="1" si="28"/>
        <v>#REF!</v>
      </c>
      <c r="X86" s="1970" t="e">
        <f ca="1">IF(OR(L86=0,V86=0),"",$L86*U86)</f>
        <v>#REF!</v>
      </c>
      <c r="Y86" s="1983" t="e">
        <f ca="1">IF(OR(L86=0,S86=0),"",$L86*R86)</f>
        <v>#REF!</v>
      </c>
    </row>
    <row r="87" spans="1:25">
      <c r="A87" s="117">
        <f t="shared" ref="A87:A88" si="29">A86+1</f>
        <v>66</v>
      </c>
      <c r="B87" s="225" t="s">
        <v>177</v>
      </c>
      <c r="C87" s="1982" t="s">
        <v>177</v>
      </c>
      <c r="D87" s="1970"/>
      <c r="E87" s="1999" t="str">
        <f t="shared" si="21"/>
        <v>BRB 220 60</v>
      </c>
      <c r="F87" s="1970"/>
      <c r="G87" s="1970">
        <v>3400</v>
      </c>
      <c r="H87" s="1970"/>
      <c r="I87" s="1970">
        <v>14</v>
      </c>
      <c r="J87" s="1971">
        <v>1</v>
      </c>
      <c r="K87" s="1971">
        <v>-2.4</v>
      </c>
      <c r="L87" s="1971">
        <v>2478</v>
      </c>
      <c r="M87" s="1971"/>
      <c r="N87" s="1971"/>
      <c r="O87" s="1971"/>
      <c r="P87" s="1971"/>
      <c r="Q87" s="1972">
        <f t="shared" si="22"/>
        <v>156.94861606919483</v>
      </c>
      <c r="R87" s="1972" t="e">
        <f t="shared" ca="1" si="23"/>
        <v>#REF!</v>
      </c>
      <c r="S87" s="1972" t="e">
        <f t="shared" ca="1" si="24"/>
        <v>#REF!</v>
      </c>
      <c r="T87" s="1973" t="e">
        <f t="shared" ca="1" si="25"/>
        <v>#REF!</v>
      </c>
      <c r="U87" s="1972" t="e">
        <f t="shared" ca="1" si="26"/>
        <v>#REF!</v>
      </c>
      <c r="V87" s="1972" t="e">
        <f t="shared" ca="1" si="27"/>
        <v>#REF!</v>
      </c>
      <c r="W87" s="1973" t="e">
        <f t="shared" ca="1" si="28"/>
        <v>#REF!</v>
      </c>
      <c r="X87" s="1970" t="e">
        <f ca="1">IF(OR(L87=0,V87=0),"",$L87*U87)</f>
        <v>#REF!</v>
      </c>
      <c r="Y87" s="1983" t="e">
        <f ca="1">IF(OR(L87=0,S87=0),"",$L87*R87)</f>
        <v>#REF!</v>
      </c>
    </row>
    <row r="88" spans="1:25" ht="13.5" thickBot="1">
      <c r="A88" s="117">
        <f t="shared" si="29"/>
        <v>67</v>
      </c>
      <c r="B88" s="225" t="s">
        <v>178</v>
      </c>
      <c r="C88" s="1985" t="s">
        <v>178</v>
      </c>
      <c r="D88" s="1986"/>
      <c r="E88" s="2000" t="str">
        <f t="shared" si="21"/>
        <v>BRB 220 70</v>
      </c>
      <c r="F88" s="1986"/>
      <c r="G88" s="1986">
        <v>4200</v>
      </c>
      <c r="H88" s="1986"/>
      <c r="I88" s="1986">
        <v>10</v>
      </c>
      <c r="J88" s="1987">
        <v>1</v>
      </c>
      <c r="K88" s="1987">
        <v>-2.6</v>
      </c>
      <c r="L88" s="1987">
        <v>2478</v>
      </c>
      <c r="M88" s="1987"/>
      <c r="N88" s="1987"/>
      <c r="O88" s="1987"/>
      <c r="P88" s="1987"/>
      <c r="Q88" s="1988">
        <f t="shared" si="22"/>
        <v>248.74679317426001</v>
      </c>
      <c r="R88" s="1988" t="e">
        <f t="shared" ca="1" si="23"/>
        <v>#REF!</v>
      </c>
      <c r="S88" s="1988" t="e">
        <f t="shared" ca="1" si="24"/>
        <v>#REF!</v>
      </c>
      <c r="T88" s="1989" t="e">
        <f t="shared" ca="1" si="25"/>
        <v>#REF!</v>
      </c>
      <c r="U88" s="1988" t="e">
        <f t="shared" ca="1" si="26"/>
        <v>#REF!</v>
      </c>
      <c r="V88" s="1988" t="e">
        <f t="shared" ca="1" si="27"/>
        <v>#REF!</v>
      </c>
      <c r="W88" s="1989" t="e">
        <f t="shared" ca="1" si="28"/>
        <v>#REF!</v>
      </c>
      <c r="X88" s="1986" t="e">
        <f ca="1">IF(OR(L88=0,V88=0),"",$L88*U88)</f>
        <v>#REF!</v>
      </c>
      <c r="Y88" s="1990" t="e">
        <f ca="1">IF(OR(L88=0,S88=0),"",$L88*R88)</f>
        <v>#REF!</v>
      </c>
    </row>
    <row r="89" spans="1:25" ht="13.5" thickTop="1">
      <c r="W89" s="159"/>
    </row>
  </sheetData>
  <mergeCells count="7">
    <mergeCell ref="A1:J1"/>
    <mergeCell ref="B5:C5"/>
    <mergeCell ref="D5:E5"/>
    <mergeCell ref="B6:C6"/>
    <mergeCell ref="D6:E6"/>
    <mergeCell ref="F5:G5"/>
    <mergeCell ref="F6:G6"/>
  </mergeCells>
  <phoneticPr fontId="170" type="noConversion"/>
  <conditionalFormatting sqref="D21:Y23 B31 B34 B37 B40 B42:Y88 C39:Y40 C27:Y37 C25:Y25 B21:B25">
    <cfRule type="expression" dxfId="267" priority="26">
      <formula>OR($X21&lt;&gt;"",$Y21&lt;&gt;"")</formula>
    </cfRule>
  </conditionalFormatting>
  <conditionalFormatting sqref="C21:C22">
    <cfRule type="expression" dxfId="266" priority="25">
      <formula>OR($X21&lt;&gt;"",$Y21&lt;&gt;"")</formula>
    </cfRule>
  </conditionalFormatting>
  <conditionalFormatting sqref="D24:Y24">
    <cfRule type="expression" dxfId="265" priority="24">
      <formula>OR($X24&lt;&gt;"",$Y24&lt;&gt;"")</formula>
    </cfRule>
  </conditionalFormatting>
  <conditionalFormatting sqref="C24">
    <cfRule type="expression" dxfId="264" priority="23">
      <formula>OR($X24&lt;&gt;"",$Y24&lt;&gt;"")</formula>
    </cfRule>
  </conditionalFormatting>
  <conditionalFormatting sqref="D38:Y38">
    <cfRule type="expression" dxfId="263" priority="20">
      <formula>OR($X38&lt;&gt;"",$Y38&lt;&gt;"")</formula>
    </cfRule>
  </conditionalFormatting>
  <conditionalFormatting sqref="C38">
    <cfRule type="expression" dxfId="262" priority="19">
      <formula>OR($X38&lt;&gt;"",$Y38&lt;&gt;"")</formula>
    </cfRule>
  </conditionalFormatting>
  <conditionalFormatting sqref="D41:Y41">
    <cfRule type="expression" dxfId="261" priority="18">
      <formula>OR($X41&lt;&gt;"",$Y41&lt;&gt;"")</formula>
    </cfRule>
  </conditionalFormatting>
  <conditionalFormatting sqref="C41">
    <cfRule type="expression" dxfId="260" priority="17">
      <formula>OR($X41&lt;&gt;"",$Y41&lt;&gt;"")</formula>
    </cfRule>
  </conditionalFormatting>
  <conditionalFormatting sqref="B41">
    <cfRule type="expression" dxfId="259" priority="16">
      <formula>OR($X41&lt;&gt;"",$Y41&lt;&gt;"")</formula>
    </cfRule>
  </conditionalFormatting>
  <conditionalFormatting sqref="B39">
    <cfRule type="expression" dxfId="258" priority="15">
      <formula>OR($X39&lt;&gt;"",$Y39&lt;&gt;"")</formula>
    </cfRule>
  </conditionalFormatting>
  <conditionalFormatting sqref="B38">
    <cfRule type="expression" dxfId="257" priority="14">
      <formula>OR($X38&lt;&gt;"",$Y38&lt;&gt;"")</formula>
    </cfRule>
  </conditionalFormatting>
  <conditionalFormatting sqref="B36">
    <cfRule type="expression" dxfId="256" priority="13">
      <formula>OR($X36&lt;&gt;"",$Y36&lt;&gt;"")</formula>
    </cfRule>
  </conditionalFormatting>
  <conditionalFormatting sqref="B35">
    <cfRule type="expression" dxfId="255" priority="12">
      <formula>OR($X35&lt;&gt;"",$Y35&lt;&gt;"")</formula>
    </cfRule>
  </conditionalFormatting>
  <conditionalFormatting sqref="B33">
    <cfRule type="expression" dxfId="254" priority="11">
      <formula>OR($X33&lt;&gt;"",$Y33&lt;&gt;"")</formula>
    </cfRule>
  </conditionalFormatting>
  <conditionalFormatting sqref="B32">
    <cfRule type="expression" dxfId="253" priority="10">
      <formula>OR($X32&lt;&gt;"",$Y32&lt;&gt;"")</formula>
    </cfRule>
  </conditionalFormatting>
  <conditionalFormatting sqref="B30">
    <cfRule type="expression" dxfId="252" priority="9">
      <formula>OR($X30&lt;&gt;"",$Y30&lt;&gt;"")</formula>
    </cfRule>
  </conditionalFormatting>
  <conditionalFormatting sqref="B29">
    <cfRule type="expression" dxfId="251" priority="8">
      <formula>OR($X29&lt;&gt;"",$Y29&lt;&gt;"")</formula>
    </cfRule>
  </conditionalFormatting>
  <conditionalFormatting sqref="C23">
    <cfRule type="expression" dxfId="250" priority="6">
      <formula>OR($X23&lt;&gt;"",$Y23&lt;&gt;"")</formula>
    </cfRule>
  </conditionalFormatting>
  <conditionalFormatting sqref="D26:Y26">
    <cfRule type="expression" dxfId="249" priority="5">
      <formula>OR($X26&lt;&gt;"",$Y26&lt;&gt;"")</formula>
    </cfRule>
  </conditionalFormatting>
  <conditionalFormatting sqref="C26">
    <cfRule type="expression" dxfId="248" priority="4">
      <formula>OR($X26&lt;&gt;"",$Y26&lt;&gt;"")</formula>
    </cfRule>
  </conditionalFormatting>
  <conditionalFormatting sqref="B26">
    <cfRule type="expression" dxfId="247" priority="3">
      <formula>OR($X26&lt;&gt;"",$Y26&lt;&gt;"")</formula>
    </cfRule>
  </conditionalFormatting>
  <conditionalFormatting sqref="B28">
    <cfRule type="expression" dxfId="246" priority="2">
      <formula>OR($X28&lt;&gt;"",$Y28&lt;&gt;"")</formula>
    </cfRule>
  </conditionalFormatting>
  <conditionalFormatting sqref="B27">
    <cfRule type="expression" dxfId="245" priority="1">
      <formula>OR($X27&lt;&gt;"",$Y27&lt;&gt;"")</formula>
    </cfRule>
  </conditionalFormatting>
  <dataValidations disablePrompts="1" count="1">
    <dataValidation type="list" allowBlank="1" showInputMessage="1" showErrorMessage="1" sqref="F6:G6">
      <formula1>D_Name</formula1>
    </dataValidation>
  </dataValidations>
  <pageMargins left="0.70866141732283472" right="0.70866141732283472" top="0.74803149606299213" bottom="0.74803149606299213" header="0.31496062992125984" footer="0.31496062992125984"/>
  <pageSetup paperSize="9" scale="29" orientation="landscape" r:id="rId1"/>
  <headerFooter>
    <oddHeader>&amp;L&amp;F / &amp;A&amp;R&amp;D</oddHeader>
    <oddFooter>&amp;L&amp;12CONFIDENTIAL&amp;C&amp;12BARKER JET&amp;Rpage &amp;P / &amp;N</oddFooter>
  </headerFooter>
  <drawing r:id="rId2"/>
  <legacyDrawing r:id="rId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pageSetUpPr fitToPage="1"/>
  </sheetPr>
  <dimension ref="A1:AA16400"/>
  <sheetViews>
    <sheetView zoomScale="80" zoomScaleNormal="80" workbookViewId="0">
      <pane xSplit="2" ySplit="2" topLeftCell="C90" activePane="bottomRight" state="frozen"/>
      <selection activeCell="E125" sqref="E125"/>
      <selection pane="topRight" activeCell="E125" sqref="E125"/>
      <selection pane="bottomLeft" activeCell="E125" sqref="E125"/>
      <selection pane="bottomRight" activeCell="A103" sqref="A103:Y108"/>
    </sheetView>
  </sheetViews>
  <sheetFormatPr defaultColWidth="10.7109375" defaultRowHeight="12"/>
  <cols>
    <col min="1" max="1" width="16.140625" style="1077" bestFit="1" customWidth="1"/>
    <col min="2" max="2" width="17.5703125" style="1049" bestFit="1" customWidth="1"/>
    <col min="3" max="7" width="10.7109375" style="1049"/>
    <col min="8" max="13" width="10.7109375" style="1051"/>
    <col min="14" max="16384" width="10.7109375" style="1049"/>
  </cols>
  <sheetData>
    <row r="1" spans="1:25" ht="12.75" thickBot="1">
      <c r="A1" s="1077">
        <v>1</v>
      </c>
      <c r="B1" s="1049">
        <f>A1+1</f>
        <v>2</v>
      </c>
      <c r="C1" s="1049">
        <f t="shared" ref="C1:M1" si="0">B1+1</f>
        <v>3</v>
      </c>
      <c r="D1" s="1049">
        <f t="shared" si="0"/>
        <v>4</v>
      </c>
      <c r="E1" s="1049">
        <f t="shared" si="0"/>
        <v>5</v>
      </c>
      <c r="F1" s="1049">
        <f t="shared" si="0"/>
        <v>6</v>
      </c>
      <c r="G1" s="1049">
        <f t="shared" si="0"/>
        <v>7</v>
      </c>
      <c r="H1" s="1049">
        <f t="shared" si="0"/>
        <v>8</v>
      </c>
      <c r="I1" s="1049">
        <f t="shared" si="0"/>
        <v>9</v>
      </c>
      <c r="J1" s="1049">
        <f t="shared" si="0"/>
        <v>10</v>
      </c>
      <c r="K1" s="1049">
        <f t="shared" si="0"/>
        <v>11</v>
      </c>
      <c r="L1" s="1049">
        <f t="shared" si="0"/>
        <v>12</v>
      </c>
      <c r="M1" s="1049">
        <f t="shared" si="0"/>
        <v>13</v>
      </c>
      <c r="N1" s="1049">
        <f t="shared" ref="N1:Y1" si="1">M1+1</f>
        <v>14</v>
      </c>
      <c r="O1" s="1049">
        <f t="shared" si="1"/>
        <v>15</v>
      </c>
      <c r="P1" s="1049">
        <f t="shared" si="1"/>
        <v>16</v>
      </c>
      <c r="Q1" s="1049">
        <f t="shared" si="1"/>
        <v>17</v>
      </c>
      <c r="R1" s="1049">
        <f t="shared" si="1"/>
        <v>18</v>
      </c>
      <c r="S1" s="1049">
        <f t="shared" si="1"/>
        <v>19</v>
      </c>
      <c r="T1" s="1049">
        <f t="shared" si="1"/>
        <v>20</v>
      </c>
      <c r="U1" s="1049">
        <f t="shared" si="1"/>
        <v>21</v>
      </c>
      <c r="V1" s="1049">
        <f t="shared" si="1"/>
        <v>22</v>
      </c>
      <c r="W1" s="1049">
        <f t="shared" si="1"/>
        <v>23</v>
      </c>
      <c r="X1" s="1049">
        <f t="shared" si="1"/>
        <v>24</v>
      </c>
      <c r="Y1" s="1049">
        <f t="shared" si="1"/>
        <v>25</v>
      </c>
    </row>
    <row r="2" spans="1:25" s="1076" customFormat="1" ht="60.75" thickBot="1">
      <c r="A2" s="1078" t="s">
        <v>52</v>
      </c>
      <c r="B2" s="1070" t="s">
        <v>309</v>
      </c>
      <c r="C2" s="1070" t="s">
        <v>1406</v>
      </c>
      <c r="D2" s="1070" t="s">
        <v>1405</v>
      </c>
      <c r="E2" s="1070" t="s">
        <v>1404</v>
      </c>
      <c r="F2" s="1070" t="s">
        <v>243</v>
      </c>
      <c r="G2" s="1070" t="s">
        <v>1403</v>
      </c>
      <c r="H2" s="1070" t="s">
        <v>238</v>
      </c>
      <c r="I2" s="1070" t="s">
        <v>1402</v>
      </c>
      <c r="J2" s="1070" t="s">
        <v>236</v>
      </c>
      <c r="K2" s="1070" t="s">
        <v>1401</v>
      </c>
      <c r="L2" s="1070" t="s">
        <v>233</v>
      </c>
      <c r="M2" s="1070" t="s">
        <v>1400</v>
      </c>
      <c r="N2" s="1071"/>
      <c r="O2" s="1072" t="s">
        <v>336</v>
      </c>
      <c r="P2" s="1072" t="s">
        <v>334</v>
      </c>
      <c r="Q2" s="1072" t="s">
        <v>337</v>
      </c>
      <c r="R2" s="1072" t="s">
        <v>335</v>
      </c>
      <c r="S2" s="1072" t="s">
        <v>1</v>
      </c>
      <c r="T2" s="1072" t="s">
        <v>54</v>
      </c>
      <c r="U2" s="1073" t="s">
        <v>2</v>
      </c>
      <c r="V2" s="1074" t="s">
        <v>2496</v>
      </c>
      <c r="W2" s="1808" t="s">
        <v>2497</v>
      </c>
      <c r="X2" s="1072" t="s">
        <v>13</v>
      </c>
      <c r="Y2" s="1075" t="s">
        <v>2498</v>
      </c>
    </row>
    <row r="3" spans="1:25">
      <c r="A3" s="1063" t="s">
        <v>2414</v>
      </c>
      <c r="B3" s="1064" t="s">
        <v>317</v>
      </c>
      <c r="C3" s="1065">
        <v>35</v>
      </c>
      <c r="D3" s="1065">
        <v>60</v>
      </c>
      <c r="E3" s="1065">
        <v>170</v>
      </c>
      <c r="F3" s="1065">
        <v>205</v>
      </c>
      <c r="G3" s="1065">
        <v>60</v>
      </c>
      <c r="H3" s="1065">
        <v>108</v>
      </c>
      <c r="I3" s="1065">
        <v>15</v>
      </c>
      <c r="J3" s="1065">
        <v>12</v>
      </c>
      <c r="K3" s="1065">
        <v>2.9</v>
      </c>
      <c r="L3" s="1065">
        <v>85</v>
      </c>
      <c r="M3" s="1065">
        <v>25</v>
      </c>
      <c r="N3" s="1066"/>
      <c r="O3" s="1067">
        <v>1</v>
      </c>
      <c r="P3" s="1067">
        <v>0.65</v>
      </c>
      <c r="Q3" s="1067">
        <v>2.9</v>
      </c>
      <c r="R3" s="1067">
        <v>4.5</v>
      </c>
      <c r="S3" s="1067">
        <v>0.22</v>
      </c>
      <c r="T3" s="1067"/>
      <c r="U3" s="1065">
        <v>19900</v>
      </c>
      <c r="V3" s="1065">
        <v>11000</v>
      </c>
      <c r="W3" s="1068">
        <f t="shared" ref="W3:W70" si="2">V3*IF(Y3="Grease",0.7,0.75)</f>
        <v>7699.9999999999991</v>
      </c>
      <c r="X3" s="1067">
        <v>3</v>
      </c>
      <c r="Y3" s="1069" t="s">
        <v>2499</v>
      </c>
    </row>
    <row r="4" spans="1:25">
      <c r="A4" s="697" t="s">
        <v>2415</v>
      </c>
      <c r="B4" s="698" t="s">
        <v>317</v>
      </c>
      <c r="C4" s="699">
        <v>35</v>
      </c>
      <c r="D4" s="699">
        <v>60</v>
      </c>
      <c r="E4" s="699">
        <v>170</v>
      </c>
      <c r="F4" s="699">
        <v>205</v>
      </c>
      <c r="G4" s="699">
        <v>60</v>
      </c>
      <c r="H4" s="699">
        <v>108</v>
      </c>
      <c r="I4" s="699">
        <v>15</v>
      </c>
      <c r="J4" s="699">
        <v>12</v>
      </c>
      <c r="K4" s="699">
        <v>2.9</v>
      </c>
      <c r="L4" s="699">
        <v>85</v>
      </c>
      <c r="M4" s="699">
        <v>25</v>
      </c>
      <c r="N4" s="1052"/>
      <c r="O4" s="1053">
        <v>1</v>
      </c>
      <c r="P4" s="1053">
        <v>0.65</v>
      </c>
      <c r="Q4" s="1053">
        <v>2.2000000000000002</v>
      </c>
      <c r="R4" s="1053">
        <v>3.5</v>
      </c>
      <c r="S4" s="1053">
        <v>0.28000000000000003</v>
      </c>
      <c r="T4" s="1053"/>
      <c r="U4" s="699">
        <v>31900</v>
      </c>
      <c r="V4" s="699">
        <v>11000</v>
      </c>
      <c r="W4" s="1054">
        <f t="shared" si="2"/>
        <v>7699.9999999999991</v>
      </c>
      <c r="X4" s="1053">
        <v>3</v>
      </c>
      <c r="Y4" s="1055" t="s">
        <v>2499</v>
      </c>
    </row>
    <row r="5" spans="1:25">
      <c r="A5" s="697" t="s">
        <v>2416</v>
      </c>
      <c r="B5" s="698" t="s">
        <v>318</v>
      </c>
      <c r="C5" s="699">
        <v>35</v>
      </c>
      <c r="D5" s="699">
        <v>60</v>
      </c>
      <c r="E5" s="699">
        <v>170</v>
      </c>
      <c r="F5" s="699">
        <v>205</v>
      </c>
      <c r="G5" s="699">
        <v>60</v>
      </c>
      <c r="H5" s="699">
        <v>113</v>
      </c>
      <c r="I5" s="699">
        <v>15</v>
      </c>
      <c r="J5" s="699">
        <v>12</v>
      </c>
      <c r="K5" s="699">
        <v>3.2</v>
      </c>
      <c r="L5" s="699">
        <v>90</v>
      </c>
      <c r="M5" s="699">
        <v>25</v>
      </c>
      <c r="N5" s="1052"/>
      <c r="O5" s="1053">
        <v>1</v>
      </c>
      <c r="P5" s="1053">
        <v>0.65</v>
      </c>
      <c r="Q5" s="1053">
        <v>2.7</v>
      </c>
      <c r="R5" s="1053">
        <v>4.2</v>
      </c>
      <c r="S5" s="1053">
        <v>0.23</v>
      </c>
      <c r="T5" s="1053"/>
      <c r="U5" s="699">
        <v>33800</v>
      </c>
      <c r="V5" s="699">
        <v>9500</v>
      </c>
      <c r="W5" s="1054">
        <f t="shared" si="2"/>
        <v>6650</v>
      </c>
      <c r="X5" s="1053">
        <v>3</v>
      </c>
      <c r="Y5" s="1055" t="s">
        <v>2499</v>
      </c>
    </row>
    <row r="6" spans="1:25">
      <c r="A6" s="697" t="s">
        <v>2417</v>
      </c>
      <c r="B6" s="698" t="s">
        <v>318</v>
      </c>
      <c r="C6" s="699">
        <v>35</v>
      </c>
      <c r="D6" s="699">
        <v>60</v>
      </c>
      <c r="E6" s="699">
        <v>170</v>
      </c>
      <c r="F6" s="699">
        <v>205</v>
      </c>
      <c r="G6" s="699">
        <v>60</v>
      </c>
      <c r="H6" s="699">
        <v>113</v>
      </c>
      <c r="I6" s="699">
        <v>15</v>
      </c>
      <c r="J6" s="699">
        <v>12</v>
      </c>
      <c r="K6" s="699">
        <v>3.2</v>
      </c>
      <c r="L6" s="699">
        <v>90</v>
      </c>
      <c r="M6" s="699">
        <v>25</v>
      </c>
      <c r="N6" s="1052"/>
      <c r="O6" s="1053">
        <v>1</v>
      </c>
      <c r="P6" s="1053">
        <v>0.65</v>
      </c>
      <c r="Q6" s="1053">
        <v>1.6</v>
      </c>
      <c r="R6" s="1053">
        <v>2.4</v>
      </c>
      <c r="S6" s="1053">
        <v>0.4</v>
      </c>
      <c r="T6" s="1053"/>
      <c r="U6" s="699">
        <v>54000</v>
      </c>
      <c r="V6" s="699">
        <v>10000</v>
      </c>
      <c r="W6" s="1054">
        <f t="shared" si="2"/>
        <v>7000</v>
      </c>
      <c r="X6" s="1053">
        <v>3</v>
      </c>
      <c r="Y6" s="1055" t="s">
        <v>2499</v>
      </c>
    </row>
    <row r="7" spans="1:25">
      <c r="A7" s="697" t="s">
        <v>2418</v>
      </c>
      <c r="B7" s="698" t="s">
        <v>319</v>
      </c>
      <c r="C7" s="699">
        <v>40</v>
      </c>
      <c r="D7" s="699">
        <v>60</v>
      </c>
      <c r="E7" s="699">
        <v>170</v>
      </c>
      <c r="F7" s="699">
        <v>205</v>
      </c>
      <c r="G7" s="699">
        <v>60</v>
      </c>
      <c r="H7" s="699">
        <v>109</v>
      </c>
      <c r="I7" s="699">
        <v>15</v>
      </c>
      <c r="J7" s="699">
        <v>12</v>
      </c>
      <c r="K7" s="699">
        <v>2.9</v>
      </c>
      <c r="L7" s="699">
        <v>85</v>
      </c>
      <c r="M7" s="699">
        <v>25</v>
      </c>
      <c r="N7" s="1052"/>
      <c r="O7" s="1053">
        <v>1</v>
      </c>
      <c r="P7" s="1053">
        <v>0.65</v>
      </c>
      <c r="Q7" s="1053">
        <v>3</v>
      </c>
      <c r="R7" s="1053">
        <v>4.5999999999999996</v>
      </c>
      <c r="S7" s="1053">
        <v>0.21</v>
      </c>
      <c r="T7" s="1053"/>
      <c r="U7" s="699">
        <v>22900</v>
      </c>
      <c r="V7" s="699">
        <v>11000</v>
      </c>
      <c r="W7" s="1054">
        <f t="shared" si="2"/>
        <v>7699.9999999999991</v>
      </c>
      <c r="X7" s="1053">
        <v>3</v>
      </c>
      <c r="Y7" s="1055" t="s">
        <v>2499</v>
      </c>
    </row>
    <row r="8" spans="1:25">
      <c r="A8" s="697" t="s">
        <v>2419</v>
      </c>
      <c r="B8" s="698" t="s">
        <v>319</v>
      </c>
      <c r="C8" s="699">
        <v>40</v>
      </c>
      <c r="D8" s="699">
        <v>60</v>
      </c>
      <c r="E8" s="699">
        <v>170</v>
      </c>
      <c r="F8" s="699">
        <v>205</v>
      </c>
      <c r="G8" s="699">
        <v>60</v>
      </c>
      <c r="H8" s="699">
        <v>109</v>
      </c>
      <c r="I8" s="699">
        <v>15</v>
      </c>
      <c r="J8" s="699">
        <v>12</v>
      </c>
      <c r="K8" s="699">
        <v>2.9</v>
      </c>
      <c r="L8" s="699">
        <v>85</v>
      </c>
      <c r="M8" s="699">
        <v>25</v>
      </c>
      <c r="N8" s="1052"/>
      <c r="O8" s="1053">
        <v>1</v>
      </c>
      <c r="P8" s="1053">
        <v>0.65</v>
      </c>
      <c r="Q8" s="1053">
        <v>2.4</v>
      </c>
      <c r="R8" s="1053">
        <v>3.7</v>
      </c>
      <c r="S8" s="1053">
        <v>0.26</v>
      </c>
      <c r="T8" s="1053"/>
      <c r="U8" s="699">
        <v>32500</v>
      </c>
      <c r="V8" s="699">
        <v>10000</v>
      </c>
      <c r="W8" s="1054">
        <f t="shared" si="2"/>
        <v>7000</v>
      </c>
      <c r="X8" s="1053">
        <v>3</v>
      </c>
      <c r="Y8" s="1055" t="s">
        <v>2499</v>
      </c>
    </row>
    <row r="9" spans="1:25">
      <c r="A9" s="697" t="s">
        <v>2420</v>
      </c>
      <c r="B9" s="698" t="s">
        <v>333</v>
      </c>
      <c r="C9" s="699">
        <v>40</v>
      </c>
      <c r="D9" s="699">
        <v>70</v>
      </c>
      <c r="E9" s="699">
        <v>210</v>
      </c>
      <c r="F9" s="699">
        <v>255</v>
      </c>
      <c r="G9" s="699">
        <v>70</v>
      </c>
      <c r="H9" s="699">
        <v>128</v>
      </c>
      <c r="I9" s="699">
        <v>18</v>
      </c>
      <c r="J9" s="699">
        <v>16</v>
      </c>
      <c r="K9" s="699">
        <v>4.4000000000000004</v>
      </c>
      <c r="L9" s="699">
        <v>95</v>
      </c>
      <c r="M9" s="699">
        <v>28</v>
      </c>
      <c r="N9" s="1052"/>
      <c r="O9" s="1053">
        <v>1</v>
      </c>
      <c r="P9" s="1053">
        <v>0.65</v>
      </c>
      <c r="Q9" s="1053">
        <v>2.7</v>
      </c>
      <c r="R9" s="1053">
        <v>4.2</v>
      </c>
      <c r="S9" s="1053">
        <v>0.23</v>
      </c>
      <c r="T9" s="1053"/>
      <c r="U9" s="699">
        <v>39000</v>
      </c>
      <c r="V9" s="699">
        <v>8500</v>
      </c>
      <c r="W9" s="1054">
        <f t="shared" si="2"/>
        <v>5950</v>
      </c>
      <c r="X9" s="1053">
        <v>3</v>
      </c>
      <c r="Y9" s="1055" t="s">
        <v>2499</v>
      </c>
    </row>
    <row r="10" spans="1:25">
      <c r="A10" s="697" t="s">
        <v>2421</v>
      </c>
      <c r="B10" s="698" t="s">
        <v>333</v>
      </c>
      <c r="C10" s="699">
        <v>40</v>
      </c>
      <c r="D10" s="699">
        <v>70</v>
      </c>
      <c r="E10" s="699">
        <v>210</v>
      </c>
      <c r="F10" s="699">
        <v>255</v>
      </c>
      <c r="G10" s="699">
        <v>70</v>
      </c>
      <c r="H10" s="699">
        <v>128</v>
      </c>
      <c r="I10" s="699">
        <v>18</v>
      </c>
      <c r="J10" s="699">
        <v>16</v>
      </c>
      <c r="K10" s="699">
        <v>4.4000000000000004</v>
      </c>
      <c r="L10" s="699">
        <v>95</v>
      </c>
      <c r="M10" s="699">
        <v>28</v>
      </c>
      <c r="N10" s="1052"/>
      <c r="O10" s="1053">
        <v>1</v>
      </c>
      <c r="P10" s="1053">
        <v>0.65</v>
      </c>
      <c r="Q10" s="1053">
        <v>1.9</v>
      </c>
      <c r="R10" s="1053">
        <v>3</v>
      </c>
      <c r="S10" s="1053">
        <v>0.33</v>
      </c>
      <c r="T10" s="1053"/>
      <c r="U10" s="699">
        <v>63700</v>
      </c>
      <c r="V10" s="699">
        <v>9000</v>
      </c>
      <c r="W10" s="1054">
        <f t="shared" si="2"/>
        <v>6300</v>
      </c>
      <c r="X10" s="1053">
        <v>3</v>
      </c>
      <c r="Y10" s="1055" t="s">
        <v>2499</v>
      </c>
    </row>
    <row r="11" spans="1:25">
      <c r="A11" s="697" t="s">
        <v>2422</v>
      </c>
      <c r="B11" s="698" t="s">
        <v>318</v>
      </c>
      <c r="C11" s="699">
        <v>45</v>
      </c>
      <c r="D11" s="699">
        <v>60</v>
      </c>
      <c r="E11" s="699">
        <v>170</v>
      </c>
      <c r="F11" s="699">
        <v>205</v>
      </c>
      <c r="G11" s="699">
        <v>60</v>
      </c>
      <c r="H11" s="699">
        <v>113</v>
      </c>
      <c r="I11" s="699">
        <v>15</v>
      </c>
      <c r="J11" s="699">
        <v>12</v>
      </c>
      <c r="K11" s="699">
        <v>3.2</v>
      </c>
      <c r="L11" s="699">
        <v>90</v>
      </c>
      <c r="M11" s="699">
        <v>25</v>
      </c>
      <c r="N11" s="1052"/>
      <c r="O11" s="1053">
        <v>1</v>
      </c>
      <c r="P11" s="1053">
        <v>0.65</v>
      </c>
      <c r="Q11" s="1053">
        <v>3</v>
      </c>
      <c r="R11" s="1053">
        <v>4.5999999999999996</v>
      </c>
      <c r="S11" s="1053">
        <v>0.21</v>
      </c>
      <c r="T11" s="1053"/>
      <c r="U11" s="699">
        <v>26500</v>
      </c>
      <c r="V11" s="699">
        <v>10000</v>
      </c>
      <c r="W11" s="1054">
        <f t="shared" si="2"/>
        <v>7000</v>
      </c>
      <c r="X11" s="1053">
        <v>3</v>
      </c>
      <c r="Y11" s="1055" t="s">
        <v>2499</v>
      </c>
    </row>
    <row r="12" spans="1:25">
      <c r="A12" s="697" t="s">
        <v>2423</v>
      </c>
      <c r="B12" s="698" t="s">
        <v>318</v>
      </c>
      <c r="C12" s="699">
        <v>45</v>
      </c>
      <c r="D12" s="699">
        <v>60</v>
      </c>
      <c r="E12" s="699">
        <v>170</v>
      </c>
      <c r="F12" s="699">
        <v>205</v>
      </c>
      <c r="G12" s="699">
        <v>60</v>
      </c>
      <c r="H12" s="699">
        <v>113</v>
      </c>
      <c r="I12" s="699">
        <v>15</v>
      </c>
      <c r="J12" s="699">
        <v>12</v>
      </c>
      <c r="K12" s="699">
        <v>3.2</v>
      </c>
      <c r="L12" s="699">
        <v>90</v>
      </c>
      <c r="M12" s="699">
        <v>25</v>
      </c>
      <c r="N12" s="1052"/>
      <c r="O12" s="1053">
        <v>1</v>
      </c>
      <c r="P12" s="1053">
        <v>0.65</v>
      </c>
      <c r="Q12" s="1053">
        <v>2.7</v>
      </c>
      <c r="R12" s="1053">
        <v>4.2</v>
      </c>
      <c r="S12" s="1053">
        <v>0.23</v>
      </c>
      <c r="T12" s="1053"/>
      <c r="U12" s="699">
        <v>33800</v>
      </c>
      <c r="V12" s="699">
        <v>9500</v>
      </c>
      <c r="W12" s="1054">
        <f t="shared" si="2"/>
        <v>6650</v>
      </c>
      <c r="X12" s="1053">
        <v>3</v>
      </c>
      <c r="Y12" s="1055" t="s">
        <v>2499</v>
      </c>
    </row>
    <row r="13" spans="1:25">
      <c r="A13" s="697" t="s">
        <v>2424</v>
      </c>
      <c r="B13" s="698" t="s">
        <v>320</v>
      </c>
      <c r="C13" s="699">
        <v>45</v>
      </c>
      <c r="D13" s="699">
        <v>70</v>
      </c>
      <c r="E13" s="699">
        <v>210</v>
      </c>
      <c r="F13" s="699">
        <v>255</v>
      </c>
      <c r="G13" s="699">
        <v>70</v>
      </c>
      <c r="H13" s="699">
        <v>134</v>
      </c>
      <c r="I13" s="699">
        <v>18</v>
      </c>
      <c r="J13" s="699">
        <v>16</v>
      </c>
      <c r="K13" s="699">
        <v>5.0999999999999996</v>
      </c>
      <c r="L13" s="699">
        <v>105</v>
      </c>
      <c r="M13" s="699">
        <v>30</v>
      </c>
      <c r="N13" s="1052"/>
      <c r="O13" s="1053">
        <v>1</v>
      </c>
      <c r="P13" s="1053">
        <v>0.65</v>
      </c>
      <c r="Q13" s="1053">
        <v>2.6</v>
      </c>
      <c r="R13" s="1053">
        <v>4.0999999999999996</v>
      </c>
      <c r="S13" s="1053">
        <v>0.24</v>
      </c>
      <c r="T13" s="1053"/>
      <c r="U13" s="699">
        <v>43600</v>
      </c>
      <c r="V13" s="699">
        <v>8000</v>
      </c>
      <c r="W13" s="1054">
        <f t="shared" si="2"/>
        <v>5600</v>
      </c>
      <c r="X13" s="1053">
        <v>3</v>
      </c>
      <c r="Y13" s="1055" t="s">
        <v>2499</v>
      </c>
    </row>
    <row r="14" spans="1:25">
      <c r="A14" s="697" t="s">
        <v>2425</v>
      </c>
      <c r="B14" s="698" t="s">
        <v>320</v>
      </c>
      <c r="C14" s="699">
        <v>45</v>
      </c>
      <c r="D14" s="699">
        <v>70</v>
      </c>
      <c r="E14" s="699">
        <v>210</v>
      </c>
      <c r="F14" s="699">
        <v>255</v>
      </c>
      <c r="G14" s="699">
        <v>70</v>
      </c>
      <c r="H14" s="699">
        <v>134</v>
      </c>
      <c r="I14" s="699">
        <v>18</v>
      </c>
      <c r="J14" s="699">
        <v>16</v>
      </c>
      <c r="K14" s="699">
        <v>5.0999999999999996</v>
      </c>
      <c r="L14" s="699">
        <v>105</v>
      </c>
      <c r="M14" s="699">
        <v>30</v>
      </c>
      <c r="N14" s="1052"/>
      <c r="O14" s="1053">
        <v>1</v>
      </c>
      <c r="P14" s="1053">
        <v>0.65</v>
      </c>
      <c r="Q14" s="1053">
        <v>1.5</v>
      </c>
      <c r="R14" s="1053">
        <v>2.2999999999999998</v>
      </c>
      <c r="S14" s="1053">
        <v>0.43</v>
      </c>
      <c r="T14" s="1053"/>
      <c r="U14" s="699">
        <v>63700</v>
      </c>
      <c r="V14" s="699">
        <v>9500</v>
      </c>
      <c r="W14" s="1054">
        <f t="shared" si="2"/>
        <v>6650</v>
      </c>
      <c r="X14" s="1053">
        <v>3</v>
      </c>
      <c r="Y14" s="1055" t="s">
        <v>2499</v>
      </c>
    </row>
    <row r="15" spans="1:25">
      <c r="A15" s="697" t="s">
        <v>2426</v>
      </c>
      <c r="B15" s="698" t="s">
        <v>333</v>
      </c>
      <c r="C15" s="699">
        <v>50</v>
      </c>
      <c r="D15" s="699">
        <v>70</v>
      </c>
      <c r="E15" s="699">
        <v>210</v>
      </c>
      <c r="F15" s="699">
        <v>255</v>
      </c>
      <c r="G15" s="699">
        <v>70</v>
      </c>
      <c r="H15" s="699">
        <v>128</v>
      </c>
      <c r="I15" s="699">
        <v>18</v>
      </c>
      <c r="J15" s="699">
        <v>16</v>
      </c>
      <c r="K15" s="699">
        <v>4.4000000000000004</v>
      </c>
      <c r="L15" s="699">
        <v>95</v>
      </c>
      <c r="M15" s="699">
        <v>28</v>
      </c>
      <c r="N15" s="1052"/>
      <c r="O15" s="1053">
        <v>1</v>
      </c>
      <c r="P15" s="1053">
        <v>0.65</v>
      </c>
      <c r="Q15" s="1053">
        <v>3.3</v>
      </c>
      <c r="R15" s="1053">
        <v>5.0999999999999996</v>
      </c>
      <c r="S15" s="1053">
        <v>0.19</v>
      </c>
      <c r="T15" s="1053"/>
      <c r="U15" s="699">
        <v>27600</v>
      </c>
      <c r="V15" s="699">
        <v>9000</v>
      </c>
      <c r="W15" s="1054">
        <f t="shared" si="2"/>
        <v>6300</v>
      </c>
      <c r="X15" s="1053">
        <v>3</v>
      </c>
      <c r="Y15" s="1055" t="s">
        <v>2499</v>
      </c>
    </row>
    <row r="16" spans="1:25">
      <c r="A16" s="700" t="s">
        <v>2427</v>
      </c>
      <c r="B16" s="698" t="s">
        <v>333</v>
      </c>
      <c r="C16" s="699">
        <v>50</v>
      </c>
      <c r="D16" s="699">
        <v>70</v>
      </c>
      <c r="E16" s="699">
        <v>210</v>
      </c>
      <c r="F16" s="699">
        <v>255</v>
      </c>
      <c r="G16" s="699">
        <v>70</v>
      </c>
      <c r="H16" s="699">
        <v>128</v>
      </c>
      <c r="I16" s="699">
        <v>18</v>
      </c>
      <c r="J16" s="699">
        <v>16</v>
      </c>
      <c r="K16" s="699">
        <v>4.4000000000000004</v>
      </c>
      <c r="L16" s="699">
        <v>95</v>
      </c>
      <c r="M16" s="699">
        <v>28</v>
      </c>
      <c r="N16" s="1052"/>
      <c r="O16" s="1053">
        <v>1</v>
      </c>
      <c r="P16" s="1053">
        <v>0.65</v>
      </c>
      <c r="Q16" s="1053">
        <v>2.7</v>
      </c>
      <c r="R16" s="1053">
        <v>4.2</v>
      </c>
      <c r="S16" s="1053">
        <v>0.23</v>
      </c>
      <c r="T16" s="1053"/>
      <c r="U16" s="699">
        <v>39000</v>
      </c>
      <c r="V16" s="699">
        <v>8500</v>
      </c>
      <c r="W16" s="1054">
        <f t="shared" si="2"/>
        <v>5950</v>
      </c>
      <c r="X16" s="1053">
        <v>3</v>
      </c>
      <c r="Y16" s="1055" t="s">
        <v>2499</v>
      </c>
    </row>
    <row r="17" spans="1:25">
      <c r="A17" s="700" t="s">
        <v>2428</v>
      </c>
      <c r="B17" s="698" t="s">
        <v>321</v>
      </c>
      <c r="C17" s="699">
        <v>50</v>
      </c>
      <c r="D17" s="699">
        <v>80</v>
      </c>
      <c r="E17" s="699">
        <v>230</v>
      </c>
      <c r="F17" s="699">
        <v>275</v>
      </c>
      <c r="G17" s="699">
        <v>80</v>
      </c>
      <c r="H17" s="699">
        <v>150</v>
      </c>
      <c r="I17" s="699">
        <v>18</v>
      </c>
      <c r="J17" s="699">
        <v>16</v>
      </c>
      <c r="K17" s="699">
        <v>6.5</v>
      </c>
      <c r="L17" s="699">
        <v>110</v>
      </c>
      <c r="M17" s="699">
        <v>30</v>
      </c>
      <c r="N17" s="1052"/>
      <c r="O17" s="1053">
        <v>1</v>
      </c>
      <c r="P17" s="1053">
        <v>0.65</v>
      </c>
      <c r="Q17" s="1053">
        <v>2.7</v>
      </c>
      <c r="R17" s="1053">
        <v>4.2</v>
      </c>
      <c r="S17" s="1053">
        <v>0.23</v>
      </c>
      <c r="T17" s="1053"/>
      <c r="U17" s="699">
        <v>50700</v>
      </c>
      <c r="V17" s="699">
        <v>7500</v>
      </c>
      <c r="W17" s="1054">
        <f t="shared" si="2"/>
        <v>5250</v>
      </c>
      <c r="X17" s="1053">
        <v>3</v>
      </c>
      <c r="Y17" s="1055" t="s">
        <v>2499</v>
      </c>
    </row>
    <row r="18" spans="1:25">
      <c r="A18" s="700" t="s">
        <v>2429</v>
      </c>
      <c r="B18" s="698" t="s">
        <v>321</v>
      </c>
      <c r="C18" s="699">
        <v>50</v>
      </c>
      <c r="D18" s="699">
        <v>80</v>
      </c>
      <c r="E18" s="699">
        <v>230</v>
      </c>
      <c r="F18" s="699">
        <v>275</v>
      </c>
      <c r="G18" s="699">
        <v>80</v>
      </c>
      <c r="H18" s="699">
        <v>150</v>
      </c>
      <c r="I18" s="699">
        <v>18</v>
      </c>
      <c r="J18" s="699">
        <v>16</v>
      </c>
      <c r="K18" s="699">
        <v>6.5</v>
      </c>
      <c r="L18" s="699">
        <v>110</v>
      </c>
      <c r="M18" s="699">
        <v>30</v>
      </c>
      <c r="N18" s="1052"/>
      <c r="O18" s="1053">
        <v>1</v>
      </c>
      <c r="P18" s="1053">
        <v>0.65</v>
      </c>
      <c r="Q18" s="1053">
        <v>1.6</v>
      </c>
      <c r="R18" s="1053">
        <v>2.4</v>
      </c>
      <c r="S18" s="1053">
        <v>0.4</v>
      </c>
      <c r="T18" s="1053"/>
      <c r="U18" s="699">
        <v>76100</v>
      </c>
      <c r="V18" s="699">
        <v>7500</v>
      </c>
      <c r="W18" s="1054">
        <f t="shared" si="2"/>
        <v>5250</v>
      </c>
      <c r="X18" s="1053">
        <v>3</v>
      </c>
      <c r="Y18" s="1055" t="s">
        <v>2499</v>
      </c>
    </row>
    <row r="19" spans="1:25">
      <c r="A19" s="700" t="s">
        <v>2430</v>
      </c>
      <c r="B19" s="698" t="s">
        <v>320</v>
      </c>
      <c r="C19" s="699">
        <v>55</v>
      </c>
      <c r="D19" s="699">
        <v>70</v>
      </c>
      <c r="E19" s="699">
        <v>210</v>
      </c>
      <c r="F19" s="699">
        <v>255</v>
      </c>
      <c r="G19" s="699">
        <v>70</v>
      </c>
      <c r="H19" s="699">
        <v>134</v>
      </c>
      <c r="I19" s="699">
        <v>18</v>
      </c>
      <c r="J19" s="699">
        <v>16</v>
      </c>
      <c r="K19" s="699">
        <v>5.0999999999999996</v>
      </c>
      <c r="L19" s="699">
        <v>105</v>
      </c>
      <c r="M19" s="699">
        <v>30</v>
      </c>
      <c r="N19" s="1052"/>
      <c r="O19" s="1053">
        <v>1</v>
      </c>
      <c r="P19" s="1053">
        <v>0.65</v>
      </c>
      <c r="Q19" s="1053">
        <v>2.7</v>
      </c>
      <c r="R19" s="1053">
        <v>4.2</v>
      </c>
      <c r="S19" s="1053">
        <v>0.23</v>
      </c>
      <c r="T19" s="1053"/>
      <c r="U19" s="699">
        <v>31200</v>
      </c>
      <c r="V19" s="699">
        <v>8500</v>
      </c>
      <c r="W19" s="1054">
        <f t="shared" si="2"/>
        <v>5950</v>
      </c>
      <c r="X19" s="1053">
        <v>3</v>
      </c>
      <c r="Y19" s="1055" t="s">
        <v>2499</v>
      </c>
    </row>
    <row r="20" spans="1:25">
      <c r="A20" s="700" t="s">
        <v>2431</v>
      </c>
      <c r="B20" s="698" t="s">
        <v>320</v>
      </c>
      <c r="C20" s="699">
        <v>55</v>
      </c>
      <c r="D20" s="699">
        <v>70</v>
      </c>
      <c r="E20" s="699">
        <v>210</v>
      </c>
      <c r="F20" s="699">
        <v>255</v>
      </c>
      <c r="G20" s="699">
        <v>70</v>
      </c>
      <c r="H20" s="699">
        <v>134</v>
      </c>
      <c r="I20" s="699">
        <v>18</v>
      </c>
      <c r="J20" s="699">
        <v>16</v>
      </c>
      <c r="K20" s="699">
        <v>5.0999999999999996</v>
      </c>
      <c r="L20" s="699">
        <v>105</v>
      </c>
      <c r="M20" s="699">
        <v>30</v>
      </c>
      <c r="N20" s="1052"/>
      <c r="O20" s="1053">
        <v>1</v>
      </c>
      <c r="P20" s="1053">
        <v>0.65</v>
      </c>
      <c r="Q20" s="1053">
        <v>2.7</v>
      </c>
      <c r="R20" s="1053">
        <v>4.2</v>
      </c>
      <c r="S20" s="1053">
        <v>0.23</v>
      </c>
      <c r="T20" s="1053"/>
      <c r="U20" s="699">
        <v>48800</v>
      </c>
      <c r="V20" s="699">
        <v>8000</v>
      </c>
      <c r="W20" s="1054">
        <f t="shared" si="2"/>
        <v>5600</v>
      </c>
      <c r="X20" s="1053">
        <v>3</v>
      </c>
      <c r="Y20" s="1055" t="s">
        <v>2499</v>
      </c>
    </row>
    <row r="21" spans="1:25">
      <c r="A21" s="700" t="s">
        <v>2432</v>
      </c>
      <c r="B21" s="701" t="s">
        <v>320</v>
      </c>
      <c r="C21" s="699">
        <v>55</v>
      </c>
      <c r="D21" s="699">
        <v>70</v>
      </c>
      <c r="E21" s="699">
        <v>210</v>
      </c>
      <c r="F21" s="699">
        <v>255</v>
      </c>
      <c r="G21" s="699">
        <v>70</v>
      </c>
      <c r="H21" s="699">
        <v>134</v>
      </c>
      <c r="I21" s="699">
        <v>18</v>
      </c>
      <c r="J21" s="699">
        <v>16</v>
      </c>
      <c r="K21" s="699">
        <v>5.0999999999999996</v>
      </c>
      <c r="L21" s="699">
        <v>105</v>
      </c>
      <c r="M21" s="699">
        <v>30</v>
      </c>
      <c r="N21" s="1056"/>
      <c r="O21" s="1057">
        <v>1</v>
      </c>
      <c r="P21" s="1057">
        <v>0.67</v>
      </c>
      <c r="Q21" s="1057">
        <v>2.8</v>
      </c>
      <c r="R21" s="1057">
        <v>4.2</v>
      </c>
      <c r="S21" s="1057">
        <v>0.24</v>
      </c>
      <c r="T21" s="1057"/>
      <c r="U21" s="1058">
        <v>156000</v>
      </c>
      <c r="V21" s="1058">
        <v>5600</v>
      </c>
      <c r="W21" s="1054">
        <f t="shared" si="2"/>
        <v>3919.9999999999995</v>
      </c>
      <c r="X21" s="1057">
        <f>10/3</f>
        <v>3.3333333333333335</v>
      </c>
      <c r="Y21" s="1055" t="s">
        <v>2499</v>
      </c>
    </row>
    <row r="22" spans="1:25">
      <c r="A22" s="700" t="s">
        <v>2433</v>
      </c>
      <c r="B22" s="698" t="s">
        <v>322</v>
      </c>
      <c r="C22" s="699">
        <v>55</v>
      </c>
      <c r="D22" s="699">
        <v>80</v>
      </c>
      <c r="E22" s="699">
        <v>230</v>
      </c>
      <c r="F22" s="699">
        <v>280</v>
      </c>
      <c r="G22" s="699">
        <v>80</v>
      </c>
      <c r="H22" s="699">
        <v>156</v>
      </c>
      <c r="I22" s="699">
        <v>18</v>
      </c>
      <c r="J22" s="699">
        <v>16</v>
      </c>
      <c r="K22" s="699">
        <v>7</v>
      </c>
      <c r="L22" s="699">
        <v>115</v>
      </c>
      <c r="M22" s="699">
        <v>30</v>
      </c>
      <c r="N22" s="1052"/>
      <c r="O22" s="1053">
        <v>1</v>
      </c>
      <c r="P22" s="1053">
        <v>0.65</v>
      </c>
      <c r="Q22" s="1053">
        <v>2.7</v>
      </c>
      <c r="R22" s="1053">
        <v>4.2</v>
      </c>
      <c r="S22" s="1053">
        <v>0.23</v>
      </c>
      <c r="T22" s="1053"/>
      <c r="U22" s="699">
        <v>58500</v>
      </c>
      <c r="V22" s="699">
        <v>6300</v>
      </c>
      <c r="W22" s="1054">
        <f t="shared" si="2"/>
        <v>4410</v>
      </c>
      <c r="X22" s="1053">
        <v>3</v>
      </c>
      <c r="Y22" s="1055" t="s">
        <v>2499</v>
      </c>
    </row>
    <row r="23" spans="1:25">
      <c r="A23" s="700" t="s">
        <v>2434</v>
      </c>
      <c r="B23" s="698" t="s">
        <v>322</v>
      </c>
      <c r="C23" s="699">
        <v>55</v>
      </c>
      <c r="D23" s="699">
        <v>80</v>
      </c>
      <c r="E23" s="699">
        <v>230</v>
      </c>
      <c r="F23" s="699">
        <v>280</v>
      </c>
      <c r="G23" s="699">
        <v>80</v>
      </c>
      <c r="H23" s="699">
        <v>156</v>
      </c>
      <c r="I23" s="699">
        <v>18</v>
      </c>
      <c r="J23" s="699">
        <v>16</v>
      </c>
      <c r="K23" s="699">
        <v>7</v>
      </c>
      <c r="L23" s="699">
        <v>115</v>
      </c>
      <c r="M23" s="699">
        <v>30</v>
      </c>
      <c r="N23" s="1052"/>
      <c r="O23" s="1053">
        <v>1</v>
      </c>
      <c r="P23" s="1053">
        <v>0.65</v>
      </c>
      <c r="Q23" s="1053">
        <v>2.7</v>
      </c>
      <c r="R23" s="1053">
        <v>4.2</v>
      </c>
      <c r="S23" s="1053">
        <v>0.23</v>
      </c>
      <c r="T23" s="1053"/>
      <c r="U23" s="699">
        <v>87100</v>
      </c>
      <c r="V23" s="699">
        <v>7000</v>
      </c>
      <c r="W23" s="1054">
        <f t="shared" si="2"/>
        <v>4900</v>
      </c>
      <c r="X23" s="1053">
        <v>3</v>
      </c>
      <c r="Y23" s="1055" t="s">
        <v>2499</v>
      </c>
    </row>
    <row r="24" spans="1:25">
      <c r="A24" s="700" t="s">
        <v>2435</v>
      </c>
      <c r="B24" s="701" t="s">
        <v>322</v>
      </c>
      <c r="C24" s="699">
        <v>55</v>
      </c>
      <c r="D24" s="699">
        <v>80</v>
      </c>
      <c r="E24" s="699">
        <v>230</v>
      </c>
      <c r="F24" s="699">
        <v>280</v>
      </c>
      <c r="G24" s="699">
        <v>80</v>
      </c>
      <c r="H24" s="699">
        <v>156</v>
      </c>
      <c r="I24" s="699">
        <v>18</v>
      </c>
      <c r="J24" s="699">
        <v>16</v>
      </c>
      <c r="K24" s="699">
        <v>7</v>
      </c>
      <c r="L24" s="699">
        <v>115</v>
      </c>
      <c r="M24" s="699">
        <v>30</v>
      </c>
      <c r="N24" s="1056"/>
      <c r="O24" s="1057">
        <v>1</v>
      </c>
      <c r="P24" s="1057">
        <v>0.67</v>
      </c>
      <c r="Q24" s="1057">
        <v>3</v>
      </c>
      <c r="R24" s="1057">
        <v>4.5999999999999996</v>
      </c>
      <c r="S24" s="1057">
        <v>0.22</v>
      </c>
      <c r="T24" s="1057"/>
      <c r="U24" s="1058">
        <v>212000</v>
      </c>
      <c r="V24" s="1058">
        <v>4800</v>
      </c>
      <c r="W24" s="1054">
        <f t="shared" si="2"/>
        <v>3360</v>
      </c>
      <c r="X24" s="1057">
        <f>10/3</f>
        <v>3.3333333333333335</v>
      </c>
      <c r="Y24" s="1055" t="s">
        <v>2499</v>
      </c>
    </row>
    <row r="25" spans="1:25">
      <c r="A25" s="700" t="s">
        <v>2436</v>
      </c>
      <c r="B25" s="701" t="s">
        <v>322</v>
      </c>
      <c r="C25" s="699">
        <v>55</v>
      </c>
      <c r="D25" s="699">
        <v>80</v>
      </c>
      <c r="E25" s="699">
        <v>230</v>
      </c>
      <c r="F25" s="699">
        <v>280</v>
      </c>
      <c r="G25" s="699">
        <v>80</v>
      </c>
      <c r="H25" s="699">
        <v>156</v>
      </c>
      <c r="I25" s="699">
        <v>18</v>
      </c>
      <c r="J25" s="699">
        <v>16</v>
      </c>
      <c r="K25" s="699">
        <v>7</v>
      </c>
      <c r="L25" s="699">
        <v>115</v>
      </c>
      <c r="M25" s="699">
        <v>30</v>
      </c>
      <c r="N25" s="1056"/>
      <c r="O25" s="1057">
        <v>1</v>
      </c>
      <c r="P25" s="1057">
        <v>0.67</v>
      </c>
      <c r="Q25" s="1057">
        <v>1.9</v>
      </c>
      <c r="R25" s="1057">
        <v>2.9</v>
      </c>
      <c r="S25" s="1057">
        <v>0.35</v>
      </c>
      <c r="T25" s="1057"/>
      <c r="U25" s="1058">
        <v>310000</v>
      </c>
      <c r="V25" s="1058">
        <v>4000</v>
      </c>
      <c r="W25" s="1054">
        <f t="shared" si="2"/>
        <v>2800</v>
      </c>
      <c r="X25" s="1057">
        <f>10/3</f>
        <v>3.3333333333333335</v>
      </c>
      <c r="Y25" s="1055" t="s">
        <v>2499</v>
      </c>
    </row>
    <row r="26" spans="1:25">
      <c r="A26" s="700" t="s">
        <v>2437</v>
      </c>
      <c r="B26" s="698" t="s">
        <v>321</v>
      </c>
      <c r="C26" s="699">
        <v>60</v>
      </c>
      <c r="D26" s="699">
        <v>80</v>
      </c>
      <c r="E26" s="699">
        <v>230</v>
      </c>
      <c r="F26" s="699">
        <v>275</v>
      </c>
      <c r="G26" s="699">
        <v>80</v>
      </c>
      <c r="H26" s="699">
        <v>150</v>
      </c>
      <c r="I26" s="699">
        <v>18</v>
      </c>
      <c r="J26" s="699">
        <v>16</v>
      </c>
      <c r="K26" s="699">
        <v>6.5</v>
      </c>
      <c r="L26" s="699">
        <v>110</v>
      </c>
      <c r="M26" s="699">
        <v>30</v>
      </c>
      <c r="N26" s="1052"/>
      <c r="O26" s="1053">
        <v>1</v>
      </c>
      <c r="P26" s="1053">
        <v>0.65</v>
      </c>
      <c r="Q26" s="1053">
        <v>3.5</v>
      </c>
      <c r="R26" s="1053">
        <v>5.4</v>
      </c>
      <c r="S26" s="1053">
        <v>0.18</v>
      </c>
      <c r="T26" s="1053"/>
      <c r="U26" s="699">
        <v>35100</v>
      </c>
      <c r="V26" s="699">
        <v>7000</v>
      </c>
      <c r="W26" s="1054">
        <f t="shared" si="2"/>
        <v>4900</v>
      </c>
      <c r="X26" s="1053">
        <v>3</v>
      </c>
      <c r="Y26" s="1055" t="s">
        <v>2499</v>
      </c>
    </row>
    <row r="27" spans="1:25">
      <c r="A27" s="700" t="s">
        <v>2438</v>
      </c>
      <c r="B27" s="698" t="s">
        <v>321</v>
      </c>
      <c r="C27" s="699">
        <v>60</v>
      </c>
      <c r="D27" s="699">
        <v>80</v>
      </c>
      <c r="E27" s="699">
        <v>230</v>
      </c>
      <c r="F27" s="699">
        <v>275</v>
      </c>
      <c r="G27" s="699">
        <v>80</v>
      </c>
      <c r="H27" s="699">
        <v>150</v>
      </c>
      <c r="I27" s="699">
        <v>18</v>
      </c>
      <c r="J27" s="699">
        <v>16</v>
      </c>
      <c r="K27" s="699">
        <v>6.5</v>
      </c>
      <c r="L27" s="699">
        <v>110</v>
      </c>
      <c r="M27" s="699">
        <v>30</v>
      </c>
      <c r="N27" s="1052"/>
      <c r="O27" s="1053">
        <v>1</v>
      </c>
      <c r="P27" s="1053">
        <v>0.65</v>
      </c>
      <c r="Q27" s="1053">
        <v>2.6</v>
      </c>
      <c r="R27" s="1053">
        <v>4.0999999999999996</v>
      </c>
      <c r="S27" s="1053">
        <v>0.24</v>
      </c>
      <c r="T27" s="1053"/>
      <c r="U27" s="699">
        <v>57200</v>
      </c>
      <c r="V27" s="699">
        <v>7000</v>
      </c>
      <c r="W27" s="1054">
        <f t="shared" si="2"/>
        <v>4900</v>
      </c>
      <c r="X27" s="1053">
        <v>3</v>
      </c>
      <c r="Y27" s="1055" t="s">
        <v>2499</v>
      </c>
    </row>
    <row r="28" spans="1:25">
      <c r="A28" s="700" t="s">
        <v>2439</v>
      </c>
      <c r="B28" s="701" t="s">
        <v>321</v>
      </c>
      <c r="C28" s="699">
        <v>60</v>
      </c>
      <c r="D28" s="699">
        <v>80</v>
      </c>
      <c r="E28" s="699">
        <v>230</v>
      </c>
      <c r="F28" s="699">
        <v>275</v>
      </c>
      <c r="G28" s="699">
        <v>80</v>
      </c>
      <c r="H28" s="699">
        <v>150</v>
      </c>
      <c r="I28" s="699">
        <v>18</v>
      </c>
      <c r="J28" s="699">
        <v>16</v>
      </c>
      <c r="K28" s="699">
        <v>6.5</v>
      </c>
      <c r="L28" s="699">
        <v>110</v>
      </c>
      <c r="M28" s="699">
        <v>30</v>
      </c>
      <c r="N28" s="1056"/>
      <c r="O28" s="1057">
        <v>1</v>
      </c>
      <c r="P28" s="1057">
        <v>0.67</v>
      </c>
      <c r="Q28" s="1057">
        <v>2.8</v>
      </c>
      <c r="R28" s="1057">
        <v>4.2</v>
      </c>
      <c r="S28" s="1057">
        <v>0.24</v>
      </c>
      <c r="T28" s="1057"/>
      <c r="U28" s="1058">
        <v>193000</v>
      </c>
      <c r="V28" s="1058">
        <v>5000</v>
      </c>
      <c r="W28" s="1054">
        <f t="shared" si="2"/>
        <v>3500</v>
      </c>
      <c r="X28" s="1057">
        <f>10/3</f>
        <v>3.3333333333333335</v>
      </c>
      <c r="Y28" s="1055" t="s">
        <v>2499</v>
      </c>
    </row>
    <row r="29" spans="1:25">
      <c r="A29" s="700" t="s">
        <v>2440</v>
      </c>
      <c r="B29" s="698" t="s">
        <v>323</v>
      </c>
      <c r="C29" s="699">
        <v>60</v>
      </c>
      <c r="D29" s="699">
        <v>95</v>
      </c>
      <c r="E29" s="699">
        <v>260</v>
      </c>
      <c r="F29" s="699">
        <v>315</v>
      </c>
      <c r="G29" s="699">
        <v>90</v>
      </c>
      <c r="H29" s="699">
        <v>177</v>
      </c>
      <c r="I29" s="699">
        <v>22</v>
      </c>
      <c r="J29" s="699">
        <v>20</v>
      </c>
      <c r="K29" s="699">
        <v>9.5</v>
      </c>
      <c r="L29" s="699">
        <v>120</v>
      </c>
      <c r="M29" s="699">
        <v>32</v>
      </c>
      <c r="N29" s="1052"/>
      <c r="O29" s="1053">
        <v>1</v>
      </c>
      <c r="P29" s="1053">
        <v>0.65</v>
      </c>
      <c r="Q29" s="1053">
        <v>2.9</v>
      </c>
      <c r="R29" s="1053">
        <v>4.5</v>
      </c>
      <c r="S29" s="1053">
        <v>0.22</v>
      </c>
      <c r="T29" s="1053"/>
      <c r="U29" s="699">
        <v>65000</v>
      </c>
      <c r="V29" s="699">
        <v>6000</v>
      </c>
      <c r="W29" s="1054">
        <f t="shared" si="2"/>
        <v>4200</v>
      </c>
      <c r="X29" s="1053">
        <v>3</v>
      </c>
      <c r="Y29" s="1055" t="s">
        <v>2499</v>
      </c>
    </row>
    <row r="30" spans="1:25">
      <c r="A30" s="700" t="s">
        <v>2441</v>
      </c>
      <c r="B30" s="698" t="s">
        <v>323</v>
      </c>
      <c r="C30" s="699">
        <v>60</v>
      </c>
      <c r="D30" s="699">
        <v>95</v>
      </c>
      <c r="E30" s="699">
        <v>260</v>
      </c>
      <c r="F30" s="699">
        <v>315</v>
      </c>
      <c r="G30" s="699">
        <v>90</v>
      </c>
      <c r="H30" s="699">
        <v>177</v>
      </c>
      <c r="I30" s="699">
        <v>22</v>
      </c>
      <c r="J30" s="699">
        <v>20</v>
      </c>
      <c r="K30" s="699">
        <v>9.5</v>
      </c>
      <c r="L30" s="699">
        <v>120</v>
      </c>
      <c r="M30" s="699">
        <v>32</v>
      </c>
      <c r="N30" s="1052"/>
      <c r="O30" s="1053">
        <v>1</v>
      </c>
      <c r="P30" s="1053">
        <v>0.65</v>
      </c>
      <c r="Q30" s="1053">
        <v>1.7</v>
      </c>
      <c r="R30" s="1053">
        <v>2.6</v>
      </c>
      <c r="S30" s="1053">
        <v>0.37</v>
      </c>
      <c r="T30" s="1053"/>
      <c r="U30" s="699">
        <v>95600</v>
      </c>
      <c r="V30" s="699">
        <v>6300</v>
      </c>
      <c r="W30" s="1054">
        <f t="shared" si="2"/>
        <v>4410</v>
      </c>
      <c r="X30" s="1053">
        <v>3</v>
      </c>
      <c r="Y30" s="1055" t="s">
        <v>2499</v>
      </c>
    </row>
    <row r="31" spans="1:25">
      <c r="A31" s="700" t="s">
        <v>2442</v>
      </c>
      <c r="B31" s="701" t="s">
        <v>323</v>
      </c>
      <c r="C31" s="699">
        <v>60</v>
      </c>
      <c r="D31" s="699">
        <v>95</v>
      </c>
      <c r="E31" s="699">
        <v>260</v>
      </c>
      <c r="F31" s="699">
        <v>315</v>
      </c>
      <c r="G31" s="699">
        <v>90</v>
      </c>
      <c r="H31" s="699">
        <v>177</v>
      </c>
      <c r="I31" s="699">
        <v>22</v>
      </c>
      <c r="J31" s="699">
        <v>20</v>
      </c>
      <c r="K31" s="699">
        <v>9.5</v>
      </c>
      <c r="L31" s="699">
        <v>120</v>
      </c>
      <c r="M31" s="699">
        <v>32</v>
      </c>
      <c r="N31" s="1056"/>
      <c r="O31" s="1057">
        <v>1</v>
      </c>
      <c r="P31" s="1057">
        <v>0.67</v>
      </c>
      <c r="Q31" s="1057">
        <v>3</v>
      </c>
      <c r="R31" s="1057">
        <v>4.5999999999999996</v>
      </c>
      <c r="S31" s="1057">
        <v>0.22</v>
      </c>
      <c r="T31" s="1057"/>
      <c r="U31" s="1058">
        <v>236000</v>
      </c>
      <c r="V31" s="1058">
        <v>4300</v>
      </c>
      <c r="W31" s="1054">
        <f t="shared" si="2"/>
        <v>3010</v>
      </c>
      <c r="X31" s="1057">
        <f>10/3</f>
        <v>3.3333333333333335</v>
      </c>
      <c r="Y31" s="1055" t="s">
        <v>2499</v>
      </c>
    </row>
    <row r="32" spans="1:25">
      <c r="A32" s="700" t="s">
        <v>2443</v>
      </c>
      <c r="B32" s="702" t="s">
        <v>323</v>
      </c>
      <c r="C32" s="699">
        <v>60</v>
      </c>
      <c r="D32" s="699">
        <v>95</v>
      </c>
      <c r="E32" s="699">
        <v>260</v>
      </c>
      <c r="F32" s="699">
        <v>315</v>
      </c>
      <c r="G32" s="699">
        <v>90</v>
      </c>
      <c r="H32" s="699">
        <v>177</v>
      </c>
      <c r="I32" s="699">
        <v>22</v>
      </c>
      <c r="J32" s="699">
        <v>20</v>
      </c>
      <c r="K32" s="699">
        <v>9.5</v>
      </c>
      <c r="L32" s="699">
        <v>120</v>
      </c>
      <c r="M32" s="699">
        <v>32</v>
      </c>
      <c r="N32" s="1059"/>
      <c r="O32" s="1053">
        <v>1</v>
      </c>
      <c r="P32" s="1053">
        <v>0.67</v>
      </c>
      <c r="Q32" s="1053">
        <v>1.9</v>
      </c>
      <c r="R32" s="1053">
        <v>2.9</v>
      </c>
      <c r="S32" s="1053">
        <v>0.35</v>
      </c>
      <c r="T32" s="1053"/>
      <c r="U32" s="699">
        <v>340000</v>
      </c>
      <c r="V32" s="699">
        <v>3800</v>
      </c>
      <c r="W32" s="1054">
        <f t="shared" si="2"/>
        <v>2660</v>
      </c>
      <c r="X32" s="1057">
        <f>10/3</f>
        <v>3.3333333333333335</v>
      </c>
      <c r="Y32" s="1055" t="s">
        <v>2499</v>
      </c>
    </row>
    <row r="33" spans="1:25">
      <c r="A33" s="700" t="s">
        <v>2444</v>
      </c>
      <c r="B33" s="698" t="s">
        <v>322</v>
      </c>
      <c r="C33" s="699">
        <v>65</v>
      </c>
      <c r="D33" s="699">
        <v>80</v>
      </c>
      <c r="E33" s="699">
        <v>230</v>
      </c>
      <c r="F33" s="699">
        <v>280</v>
      </c>
      <c r="G33" s="699">
        <v>80</v>
      </c>
      <c r="H33" s="699">
        <v>156</v>
      </c>
      <c r="I33" s="699">
        <v>18</v>
      </c>
      <c r="J33" s="699">
        <v>16</v>
      </c>
      <c r="K33" s="699">
        <v>7</v>
      </c>
      <c r="L33" s="699">
        <v>115</v>
      </c>
      <c r="M33" s="699">
        <v>30</v>
      </c>
      <c r="N33" s="1052"/>
      <c r="O33" s="1053">
        <v>1</v>
      </c>
      <c r="P33" s="1053">
        <v>0.65</v>
      </c>
      <c r="Q33" s="1053">
        <v>3.7</v>
      </c>
      <c r="R33" s="1053">
        <v>5.7</v>
      </c>
      <c r="S33" s="1053">
        <v>0.17</v>
      </c>
      <c r="T33" s="1053"/>
      <c r="U33" s="699">
        <v>39000</v>
      </c>
      <c r="V33" s="699">
        <v>6700</v>
      </c>
      <c r="W33" s="1054">
        <f t="shared" si="2"/>
        <v>4690</v>
      </c>
      <c r="X33" s="1053">
        <v>3</v>
      </c>
      <c r="Y33" s="1055" t="s">
        <v>2499</v>
      </c>
    </row>
    <row r="34" spans="1:25">
      <c r="A34" s="700" t="s">
        <v>2445</v>
      </c>
      <c r="B34" s="698" t="s">
        <v>322</v>
      </c>
      <c r="C34" s="699">
        <v>65</v>
      </c>
      <c r="D34" s="699">
        <v>80</v>
      </c>
      <c r="E34" s="699">
        <v>230</v>
      </c>
      <c r="F34" s="699">
        <v>280</v>
      </c>
      <c r="G34" s="699">
        <v>80</v>
      </c>
      <c r="H34" s="699">
        <v>156</v>
      </c>
      <c r="I34" s="699">
        <v>18</v>
      </c>
      <c r="J34" s="699">
        <v>16</v>
      </c>
      <c r="K34" s="699">
        <v>7</v>
      </c>
      <c r="L34" s="699">
        <v>115</v>
      </c>
      <c r="M34" s="699">
        <v>30</v>
      </c>
      <c r="N34" s="1052"/>
      <c r="O34" s="1053">
        <v>1</v>
      </c>
      <c r="P34" s="1053">
        <v>0.65</v>
      </c>
      <c r="Q34" s="1053">
        <v>2.9</v>
      </c>
      <c r="R34" s="1053">
        <v>4.5</v>
      </c>
      <c r="S34" s="1053">
        <v>0.22</v>
      </c>
      <c r="T34" s="1053"/>
      <c r="U34" s="699">
        <v>58500</v>
      </c>
      <c r="V34" s="699">
        <v>6300</v>
      </c>
      <c r="W34" s="1054">
        <f t="shared" si="2"/>
        <v>4410</v>
      </c>
      <c r="X34" s="1053">
        <v>3</v>
      </c>
      <c r="Y34" s="1055" t="s">
        <v>2499</v>
      </c>
    </row>
    <row r="35" spans="1:25">
      <c r="A35" s="700" t="s">
        <v>2446</v>
      </c>
      <c r="B35" s="702" t="s">
        <v>322</v>
      </c>
      <c r="C35" s="699">
        <v>65</v>
      </c>
      <c r="D35" s="699">
        <v>80</v>
      </c>
      <c r="E35" s="699">
        <v>230</v>
      </c>
      <c r="F35" s="699">
        <v>280</v>
      </c>
      <c r="G35" s="699">
        <v>80</v>
      </c>
      <c r="H35" s="699">
        <v>156</v>
      </c>
      <c r="I35" s="699">
        <v>18</v>
      </c>
      <c r="J35" s="699">
        <v>16</v>
      </c>
      <c r="K35" s="699">
        <v>7</v>
      </c>
      <c r="L35" s="699">
        <v>115</v>
      </c>
      <c r="M35" s="699">
        <v>30</v>
      </c>
      <c r="N35" s="1059"/>
      <c r="O35" s="1053">
        <v>1</v>
      </c>
      <c r="P35" s="1053">
        <v>0.67</v>
      </c>
      <c r="Q35" s="1053">
        <v>3</v>
      </c>
      <c r="R35" s="1053">
        <v>4.5999999999999996</v>
      </c>
      <c r="S35" s="1053">
        <v>0.22</v>
      </c>
      <c r="T35" s="1053"/>
      <c r="U35" s="699">
        <v>212000</v>
      </c>
      <c r="V35" s="699">
        <v>4800</v>
      </c>
      <c r="W35" s="1054">
        <f t="shared" si="2"/>
        <v>3360</v>
      </c>
      <c r="X35" s="1057">
        <f>10/3</f>
        <v>3.3333333333333335</v>
      </c>
      <c r="Y35" s="1055" t="s">
        <v>2499</v>
      </c>
    </row>
    <row r="36" spans="1:25">
      <c r="A36" s="700" t="s">
        <v>2447</v>
      </c>
      <c r="B36" s="698" t="s">
        <v>324</v>
      </c>
      <c r="C36" s="699">
        <v>65</v>
      </c>
      <c r="D36" s="699">
        <v>100</v>
      </c>
      <c r="E36" s="699">
        <v>290</v>
      </c>
      <c r="F36" s="699">
        <v>345</v>
      </c>
      <c r="G36" s="699">
        <v>100</v>
      </c>
      <c r="H36" s="699">
        <v>194</v>
      </c>
      <c r="I36" s="699">
        <v>22</v>
      </c>
      <c r="J36" s="699">
        <v>20</v>
      </c>
      <c r="K36" s="699">
        <v>12.5</v>
      </c>
      <c r="L36" s="699">
        <v>140</v>
      </c>
      <c r="M36" s="699">
        <v>35</v>
      </c>
      <c r="N36" s="1052"/>
      <c r="O36" s="1053">
        <v>1</v>
      </c>
      <c r="P36" s="1053">
        <v>0.65</v>
      </c>
      <c r="Q36" s="1053">
        <v>2.9</v>
      </c>
      <c r="R36" s="1053">
        <v>4.5</v>
      </c>
      <c r="S36" s="1053">
        <v>0.22</v>
      </c>
      <c r="T36" s="1053"/>
      <c r="U36" s="699">
        <v>79300</v>
      </c>
      <c r="V36" s="699">
        <v>5600</v>
      </c>
      <c r="W36" s="1054">
        <f t="shared" si="2"/>
        <v>3919.9999999999995</v>
      </c>
      <c r="X36" s="1053">
        <v>3</v>
      </c>
      <c r="Y36" s="1055" t="s">
        <v>2499</v>
      </c>
    </row>
    <row r="37" spans="1:25">
      <c r="A37" s="700" t="s">
        <v>2448</v>
      </c>
      <c r="B37" s="698" t="s">
        <v>324</v>
      </c>
      <c r="C37" s="699">
        <v>65</v>
      </c>
      <c r="D37" s="699">
        <v>100</v>
      </c>
      <c r="E37" s="699">
        <v>290</v>
      </c>
      <c r="F37" s="699">
        <v>345</v>
      </c>
      <c r="G37" s="699">
        <v>100</v>
      </c>
      <c r="H37" s="699">
        <v>194</v>
      </c>
      <c r="I37" s="699">
        <v>22</v>
      </c>
      <c r="J37" s="699">
        <v>20</v>
      </c>
      <c r="K37" s="699">
        <v>12.5</v>
      </c>
      <c r="L37" s="699">
        <v>140</v>
      </c>
      <c r="M37" s="699">
        <v>35</v>
      </c>
      <c r="N37" s="1052"/>
      <c r="O37" s="1053">
        <v>1</v>
      </c>
      <c r="P37" s="1053">
        <v>0.65</v>
      </c>
      <c r="Q37" s="1053">
        <v>1.7</v>
      </c>
      <c r="R37" s="1053">
        <v>2.6</v>
      </c>
      <c r="S37" s="1053">
        <v>0.37</v>
      </c>
      <c r="T37" s="1053"/>
      <c r="U37" s="699">
        <v>124000</v>
      </c>
      <c r="V37" s="699">
        <v>5600</v>
      </c>
      <c r="W37" s="1054">
        <f t="shared" si="2"/>
        <v>3919.9999999999995</v>
      </c>
      <c r="X37" s="1053">
        <v>3</v>
      </c>
      <c r="Y37" s="1055" t="s">
        <v>2499</v>
      </c>
    </row>
    <row r="38" spans="1:25">
      <c r="A38" s="700" t="s">
        <v>2449</v>
      </c>
      <c r="B38" s="702" t="s">
        <v>324</v>
      </c>
      <c r="C38" s="699">
        <v>65</v>
      </c>
      <c r="D38" s="699">
        <v>100</v>
      </c>
      <c r="E38" s="699">
        <v>290</v>
      </c>
      <c r="F38" s="699">
        <v>345</v>
      </c>
      <c r="G38" s="699">
        <v>100</v>
      </c>
      <c r="H38" s="699">
        <v>194</v>
      </c>
      <c r="I38" s="699">
        <v>22</v>
      </c>
      <c r="J38" s="699">
        <v>20</v>
      </c>
      <c r="K38" s="699">
        <v>12.5</v>
      </c>
      <c r="L38" s="699">
        <v>140</v>
      </c>
      <c r="M38" s="699">
        <v>35</v>
      </c>
      <c r="N38" s="1059"/>
      <c r="O38" s="1053">
        <v>1</v>
      </c>
      <c r="P38" s="1053">
        <v>0.67</v>
      </c>
      <c r="Q38" s="1053">
        <v>3</v>
      </c>
      <c r="R38" s="1053">
        <v>4.5999999999999996</v>
      </c>
      <c r="S38" s="1053">
        <v>0.22</v>
      </c>
      <c r="T38" s="1053"/>
      <c r="U38" s="699">
        <v>285000</v>
      </c>
      <c r="V38" s="699">
        <v>4000</v>
      </c>
      <c r="W38" s="1054">
        <f t="shared" si="2"/>
        <v>2800</v>
      </c>
      <c r="X38" s="1057">
        <f>10/3</f>
        <v>3.3333333333333335</v>
      </c>
      <c r="Y38" s="1055" t="s">
        <v>2499</v>
      </c>
    </row>
    <row r="39" spans="1:25">
      <c r="A39" s="700" t="s">
        <v>2450</v>
      </c>
      <c r="B39" s="702" t="s">
        <v>324</v>
      </c>
      <c r="C39" s="699">
        <v>65</v>
      </c>
      <c r="D39" s="699">
        <v>100</v>
      </c>
      <c r="E39" s="699">
        <v>290</v>
      </c>
      <c r="F39" s="699">
        <v>345</v>
      </c>
      <c r="G39" s="699">
        <v>100</v>
      </c>
      <c r="H39" s="699">
        <v>194</v>
      </c>
      <c r="I39" s="699">
        <v>22</v>
      </c>
      <c r="J39" s="699">
        <v>20</v>
      </c>
      <c r="K39" s="699">
        <v>12.5</v>
      </c>
      <c r="L39" s="699">
        <v>140</v>
      </c>
      <c r="M39" s="699">
        <v>35</v>
      </c>
      <c r="N39" s="1059"/>
      <c r="O39" s="1053">
        <v>1</v>
      </c>
      <c r="P39" s="1053">
        <v>0.67</v>
      </c>
      <c r="Q39" s="1053">
        <v>1.9</v>
      </c>
      <c r="R39" s="1053">
        <v>2.9</v>
      </c>
      <c r="S39" s="1053">
        <v>0.35</v>
      </c>
      <c r="T39" s="1053"/>
      <c r="U39" s="699">
        <v>440000</v>
      </c>
      <c r="V39" s="699">
        <v>3200</v>
      </c>
      <c r="W39" s="1054">
        <f t="shared" si="2"/>
        <v>2240</v>
      </c>
      <c r="X39" s="1057">
        <f>10/3</f>
        <v>3.3333333333333335</v>
      </c>
      <c r="Y39" s="1055" t="s">
        <v>2499</v>
      </c>
    </row>
    <row r="40" spans="1:25">
      <c r="A40" s="700" t="s">
        <v>2451</v>
      </c>
      <c r="B40" s="698" t="s">
        <v>323</v>
      </c>
      <c r="C40" s="699">
        <v>70</v>
      </c>
      <c r="D40" s="699">
        <v>95</v>
      </c>
      <c r="E40" s="699">
        <v>260</v>
      </c>
      <c r="F40" s="699">
        <v>315</v>
      </c>
      <c r="G40" s="699">
        <v>90</v>
      </c>
      <c r="H40" s="699">
        <v>177</v>
      </c>
      <c r="I40" s="699">
        <v>22</v>
      </c>
      <c r="J40" s="699">
        <v>20</v>
      </c>
      <c r="K40" s="699">
        <v>9.5</v>
      </c>
      <c r="L40" s="699">
        <v>120</v>
      </c>
      <c r="M40" s="699">
        <v>32</v>
      </c>
      <c r="N40" s="1052"/>
      <c r="O40" s="1053">
        <v>1</v>
      </c>
      <c r="P40" s="1053">
        <v>0.65</v>
      </c>
      <c r="Q40" s="1053">
        <v>3.9</v>
      </c>
      <c r="R40" s="1053">
        <v>6.1</v>
      </c>
      <c r="S40" s="1053">
        <v>0.16</v>
      </c>
      <c r="T40" s="1053"/>
      <c r="U40" s="699">
        <v>39700</v>
      </c>
      <c r="V40" s="699">
        <v>6000</v>
      </c>
      <c r="W40" s="1054">
        <f t="shared" si="2"/>
        <v>4200</v>
      </c>
      <c r="X40" s="1053">
        <v>3</v>
      </c>
      <c r="Y40" s="1055" t="s">
        <v>2499</v>
      </c>
    </row>
    <row r="41" spans="1:25">
      <c r="A41" s="700" t="s">
        <v>2452</v>
      </c>
      <c r="B41" s="698" t="s">
        <v>323</v>
      </c>
      <c r="C41" s="699">
        <v>70</v>
      </c>
      <c r="D41" s="699">
        <v>95</v>
      </c>
      <c r="E41" s="699">
        <v>260</v>
      </c>
      <c r="F41" s="699">
        <v>315</v>
      </c>
      <c r="G41" s="699">
        <v>90</v>
      </c>
      <c r="H41" s="699">
        <v>177</v>
      </c>
      <c r="I41" s="699">
        <v>22</v>
      </c>
      <c r="J41" s="699">
        <v>20</v>
      </c>
      <c r="K41" s="699">
        <v>9.5</v>
      </c>
      <c r="L41" s="699">
        <v>120</v>
      </c>
      <c r="M41" s="699">
        <v>32</v>
      </c>
      <c r="N41" s="1052"/>
      <c r="O41" s="1053">
        <v>1</v>
      </c>
      <c r="P41" s="1053">
        <v>0.65</v>
      </c>
      <c r="Q41" s="1053">
        <v>2.9</v>
      </c>
      <c r="R41" s="1053">
        <v>4.5</v>
      </c>
      <c r="S41" s="1053">
        <v>0.222</v>
      </c>
      <c r="T41" s="1053"/>
      <c r="U41" s="699">
        <v>65000</v>
      </c>
      <c r="V41" s="699">
        <v>6000</v>
      </c>
      <c r="W41" s="1054">
        <f t="shared" si="2"/>
        <v>4200</v>
      </c>
      <c r="X41" s="1053">
        <v>3</v>
      </c>
      <c r="Y41" s="1055" t="s">
        <v>2499</v>
      </c>
    </row>
    <row r="42" spans="1:25">
      <c r="A42" s="700" t="s">
        <v>2453</v>
      </c>
      <c r="B42" s="702" t="s">
        <v>323</v>
      </c>
      <c r="C42" s="699">
        <v>70</v>
      </c>
      <c r="D42" s="699">
        <v>95</v>
      </c>
      <c r="E42" s="699">
        <v>260</v>
      </c>
      <c r="F42" s="699">
        <v>315</v>
      </c>
      <c r="G42" s="699">
        <v>90</v>
      </c>
      <c r="H42" s="699">
        <v>177</v>
      </c>
      <c r="I42" s="699">
        <v>22</v>
      </c>
      <c r="J42" s="699">
        <v>20</v>
      </c>
      <c r="K42" s="699">
        <v>9.5</v>
      </c>
      <c r="L42" s="699">
        <v>120</v>
      </c>
      <c r="M42" s="699">
        <v>32</v>
      </c>
      <c r="N42" s="1059"/>
      <c r="O42" s="1053">
        <v>1</v>
      </c>
      <c r="P42" s="1053">
        <v>0.67</v>
      </c>
      <c r="Q42" s="1053">
        <v>3</v>
      </c>
      <c r="R42" s="1053">
        <v>4.5999999999999996</v>
      </c>
      <c r="S42" s="1053">
        <v>0.22</v>
      </c>
      <c r="T42" s="1053"/>
      <c r="U42" s="699">
        <v>236000</v>
      </c>
      <c r="V42" s="699">
        <v>4300</v>
      </c>
      <c r="W42" s="1054">
        <f t="shared" si="2"/>
        <v>3010</v>
      </c>
      <c r="X42" s="1057">
        <f>10/3</f>
        <v>3.3333333333333335</v>
      </c>
      <c r="Y42" s="1055" t="s">
        <v>2499</v>
      </c>
    </row>
    <row r="43" spans="1:25">
      <c r="A43" s="700" t="s">
        <v>2454</v>
      </c>
      <c r="B43" s="698" t="s">
        <v>325</v>
      </c>
      <c r="C43" s="699">
        <v>70</v>
      </c>
      <c r="D43" s="699">
        <v>112</v>
      </c>
      <c r="E43" s="699">
        <v>290</v>
      </c>
      <c r="F43" s="699">
        <v>345</v>
      </c>
      <c r="G43" s="699">
        <v>100</v>
      </c>
      <c r="H43" s="699">
        <v>212</v>
      </c>
      <c r="I43" s="699">
        <v>22</v>
      </c>
      <c r="J43" s="699">
        <v>20</v>
      </c>
      <c r="K43" s="699">
        <v>13.7</v>
      </c>
      <c r="L43" s="699">
        <v>145</v>
      </c>
      <c r="M43" s="699">
        <v>35</v>
      </c>
      <c r="N43" s="1052"/>
      <c r="O43" s="1053">
        <v>1</v>
      </c>
      <c r="P43" s="1053">
        <v>0.65</v>
      </c>
      <c r="Q43" s="1053">
        <v>2.9</v>
      </c>
      <c r="R43" s="1053">
        <v>4.5</v>
      </c>
      <c r="S43" s="1053">
        <v>0.22</v>
      </c>
      <c r="T43" s="1053"/>
      <c r="U43" s="699">
        <v>88400</v>
      </c>
      <c r="V43" s="699">
        <v>5300</v>
      </c>
      <c r="W43" s="1054">
        <f t="shared" si="2"/>
        <v>3709.9999999999995</v>
      </c>
      <c r="X43" s="1053">
        <v>3</v>
      </c>
      <c r="Y43" s="1055" t="s">
        <v>2499</v>
      </c>
    </row>
    <row r="44" spans="1:25">
      <c r="A44" s="700" t="s">
        <v>2455</v>
      </c>
      <c r="B44" s="698" t="s">
        <v>325</v>
      </c>
      <c r="C44" s="699">
        <v>70</v>
      </c>
      <c r="D44" s="699">
        <v>112</v>
      </c>
      <c r="E44" s="699">
        <v>290</v>
      </c>
      <c r="F44" s="699">
        <v>345</v>
      </c>
      <c r="G44" s="699">
        <v>100</v>
      </c>
      <c r="H44" s="699">
        <v>212</v>
      </c>
      <c r="I44" s="699">
        <v>22</v>
      </c>
      <c r="J44" s="699">
        <v>20</v>
      </c>
      <c r="K44" s="699">
        <v>13.7</v>
      </c>
      <c r="L44" s="699">
        <v>145</v>
      </c>
      <c r="M44" s="699">
        <v>35</v>
      </c>
      <c r="N44" s="1052"/>
      <c r="O44" s="1053">
        <v>1</v>
      </c>
      <c r="P44" s="1053">
        <v>0.65</v>
      </c>
      <c r="Q44" s="1053">
        <v>1.7</v>
      </c>
      <c r="R44" s="1053">
        <v>2.6</v>
      </c>
      <c r="S44" s="1053">
        <v>0.37</v>
      </c>
      <c r="T44" s="1053"/>
      <c r="U44" s="699">
        <v>135000</v>
      </c>
      <c r="V44" s="699">
        <v>5300</v>
      </c>
      <c r="W44" s="1054">
        <f t="shared" si="2"/>
        <v>3709.9999999999995</v>
      </c>
      <c r="X44" s="1053">
        <v>3</v>
      </c>
      <c r="Y44" s="1055" t="s">
        <v>2499</v>
      </c>
    </row>
    <row r="45" spans="1:25">
      <c r="A45" s="700" t="s">
        <v>2456</v>
      </c>
      <c r="B45" s="701" t="s">
        <v>325</v>
      </c>
      <c r="C45" s="699">
        <v>70</v>
      </c>
      <c r="D45" s="699">
        <v>112</v>
      </c>
      <c r="E45" s="699">
        <v>290</v>
      </c>
      <c r="F45" s="699">
        <v>345</v>
      </c>
      <c r="G45" s="699">
        <v>100</v>
      </c>
      <c r="H45" s="699">
        <v>212</v>
      </c>
      <c r="I45" s="699">
        <v>22</v>
      </c>
      <c r="J45" s="699">
        <v>20</v>
      </c>
      <c r="K45" s="699">
        <v>13.7</v>
      </c>
      <c r="L45" s="699">
        <v>145</v>
      </c>
      <c r="M45" s="699">
        <v>35</v>
      </c>
      <c r="N45" s="1056"/>
      <c r="O45" s="1057">
        <v>1</v>
      </c>
      <c r="P45" s="1057">
        <v>0.67</v>
      </c>
      <c r="Q45" s="1057">
        <v>2.8</v>
      </c>
      <c r="R45" s="1057">
        <v>4.2</v>
      </c>
      <c r="S45" s="1057">
        <v>0.24</v>
      </c>
      <c r="T45" s="1057"/>
      <c r="U45" s="1058">
        <v>325000</v>
      </c>
      <c r="V45" s="1058">
        <v>3800</v>
      </c>
      <c r="W45" s="1054">
        <f t="shared" si="2"/>
        <v>2660</v>
      </c>
      <c r="X45" s="1057">
        <f>10/3</f>
        <v>3.3333333333333335</v>
      </c>
      <c r="Y45" s="1055" t="s">
        <v>2499</v>
      </c>
    </row>
    <row r="46" spans="1:25">
      <c r="A46" s="700" t="s">
        <v>2457</v>
      </c>
      <c r="B46" s="702" t="s">
        <v>325</v>
      </c>
      <c r="C46" s="699">
        <v>70</v>
      </c>
      <c r="D46" s="699">
        <v>112</v>
      </c>
      <c r="E46" s="699">
        <v>290</v>
      </c>
      <c r="F46" s="699">
        <v>345</v>
      </c>
      <c r="G46" s="699">
        <v>100</v>
      </c>
      <c r="H46" s="699">
        <v>212</v>
      </c>
      <c r="I46" s="699">
        <v>22</v>
      </c>
      <c r="J46" s="699">
        <v>20</v>
      </c>
      <c r="K46" s="699">
        <v>13.7</v>
      </c>
      <c r="L46" s="699">
        <v>145</v>
      </c>
      <c r="M46" s="699">
        <v>35</v>
      </c>
      <c r="N46" s="1059"/>
      <c r="O46" s="1053">
        <v>1</v>
      </c>
      <c r="P46" s="1053">
        <v>0.67</v>
      </c>
      <c r="Q46" s="1053">
        <v>1.9</v>
      </c>
      <c r="R46" s="1053">
        <v>2.9</v>
      </c>
      <c r="S46" s="1053">
        <v>0.35</v>
      </c>
      <c r="T46" s="1053"/>
      <c r="U46" s="699">
        <v>490000</v>
      </c>
      <c r="V46" s="699">
        <v>3000</v>
      </c>
      <c r="W46" s="1054">
        <f t="shared" si="2"/>
        <v>2100</v>
      </c>
      <c r="X46" s="1057">
        <f>10/3</f>
        <v>3.3333333333333335</v>
      </c>
      <c r="Y46" s="1055" t="s">
        <v>2499</v>
      </c>
    </row>
    <row r="47" spans="1:25">
      <c r="A47" s="700" t="s">
        <v>2458</v>
      </c>
      <c r="B47" s="698" t="s">
        <v>1664</v>
      </c>
      <c r="C47" s="699">
        <v>75</v>
      </c>
      <c r="D47" s="699">
        <v>95</v>
      </c>
      <c r="E47" s="699">
        <v>260</v>
      </c>
      <c r="F47" s="699">
        <v>320</v>
      </c>
      <c r="G47" s="699">
        <v>90</v>
      </c>
      <c r="H47" s="699">
        <v>183</v>
      </c>
      <c r="I47" s="699">
        <v>22</v>
      </c>
      <c r="J47" s="699">
        <v>20</v>
      </c>
      <c r="K47" s="699">
        <v>10</v>
      </c>
      <c r="L47" s="699">
        <v>125</v>
      </c>
      <c r="M47" s="699">
        <v>32</v>
      </c>
      <c r="N47" s="1052"/>
      <c r="O47" s="1053">
        <v>1</v>
      </c>
      <c r="P47" s="1053">
        <v>0.65</v>
      </c>
      <c r="Q47" s="1053">
        <v>3.7</v>
      </c>
      <c r="R47" s="1053">
        <v>5.7</v>
      </c>
      <c r="S47" s="1053">
        <v>0.17</v>
      </c>
      <c r="T47" s="1053"/>
      <c r="U47" s="699">
        <v>48800</v>
      </c>
      <c r="V47" s="699">
        <v>5600</v>
      </c>
      <c r="W47" s="1054">
        <f t="shared" si="2"/>
        <v>3919.9999999999995</v>
      </c>
      <c r="X47" s="1053">
        <v>3</v>
      </c>
      <c r="Y47" s="1055" t="s">
        <v>2499</v>
      </c>
    </row>
    <row r="48" spans="1:25">
      <c r="A48" s="700" t="s">
        <v>2459</v>
      </c>
      <c r="B48" s="698" t="s">
        <v>1664</v>
      </c>
      <c r="C48" s="699">
        <v>75</v>
      </c>
      <c r="D48" s="699">
        <v>95</v>
      </c>
      <c r="E48" s="699">
        <v>260</v>
      </c>
      <c r="F48" s="699">
        <v>320</v>
      </c>
      <c r="G48" s="699">
        <v>90</v>
      </c>
      <c r="H48" s="699">
        <v>183</v>
      </c>
      <c r="I48" s="699">
        <v>22</v>
      </c>
      <c r="J48" s="699">
        <v>20</v>
      </c>
      <c r="K48" s="699">
        <v>10</v>
      </c>
      <c r="L48" s="699">
        <v>125</v>
      </c>
      <c r="M48" s="699">
        <v>32</v>
      </c>
      <c r="N48" s="1052"/>
      <c r="O48" s="1053">
        <v>1</v>
      </c>
      <c r="P48" s="1053">
        <v>0.65</v>
      </c>
      <c r="Q48" s="1053">
        <v>2.5</v>
      </c>
      <c r="R48" s="1053">
        <v>3.9</v>
      </c>
      <c r="S48" s="1053">
        <v>0.25</v>
      </c>
      <c r="T48" s="1053"/>
      <c r="U48" s="699">
        <v>58500</v>
      </c>
      <c r="V48" s="699">
        <v>5600</v>
      </c>
      <c r="W48" s="1054">
        <f t="shared" si="2"/>
        <v>3919.9999999999995</v>
      </c>
      <c r="X48" s="1053">
        <v>3</v>
      </c>
      <c r="Y48" s="1055" t="s">
        <v>2499</v>
      </c>
    </row>
    <row r="49" spans="1:25">
      <c r="A49" s="700" t="s">
        <v>2459</v>
      </c>
      <c r="B49" s="1054" t="s">
        <v>2632</v>
      </c>
      <c r="C49" s="699">
        <v>75</v>
      </c>
      <c r="D49" s="1054">
        <v>125</v>
      </c>
      <c r="E49" s="1054">
        <v>260</v>
      </c>
      <c r="F49" s="1054">
        <v>330</v>
      </c>
      <c r="G49" s="1054">
        <v>110</v>
      </c>
      <c r="H49" s="1054">
        <v>230</v>
      </c>
      <c r="I49" s="1054">
        <v>22</v>
      </c>
      <c r="J49" s="1054">
        <v>20</v>
      </c>
      <c r="K49" s="1054">
        <v>26</v>
      </c>
      <c r="L49" s="1054">
        <v>163</v>
      </c>
      <c r="M49" s="1054">
        <v>35</v>
      </c>
      <c r="N49" s="1059"/>
      <c r="O49" s="1053">
        <v>1</v>
      </c>
      <c r="P49" s="1053">
        <v>0.67</v>
      </c>
      <c r="Q49" s="1053">
        <v>2.5</v>
      </c>
      <c r="R49" s="1053">
        <v>3.9</v>
      </c>
      <c r="S49" s="1053">
        <v>0.25</v>
      </c>
      <c r="T49" s="1053"/>
      <c r="U49" s="699">
        <v>58500</v>
      </c>
      <c r="V49" s="699">
        <v>5600</v>
      </c>
      <c r="W49" s="1054">
        <f>V49*IF(Y49="Grease",0.7,0.75)</f>
        <v>4200</v>
      </c>
      <c r="X49" s="1053">
        <v>3</v>
      </c>
      <c r="Y49" s="1055" t="s">
        <v>2506</v>
      </c>
    </row>
    <row r="50" spans="1:25">
      <c r="A50" s="700" t="s">
        <v>2460</v>
      </c>
      <c r="B50" s="701" t="s">
        <v>1664</v>
      </c>
      <c r="C50" s="699">
        <v>75</v>
      </c>
      <c r="D50" s="699">
        <v>95</v>
      </c>
      <c r="E50" s="699">
        <v>260</v>
      </c>
      <c r="F50" s="699">
        <v>320</v>
      </c>
      <c r="G50" s="699">
        <v>90</v>
      </c>
      <c r="H50" s="699">
        <v>183</v>
      </c>
      <c r="I50" s="699">
        <v>22</v>
      </c>
      <c r="J50" s="699">
        <v>20</v>
      </c>
      <c r="K50" s="699">
        <v>10</v>
      </c>
      <c r="L50" s="699">
        <v>125</v>
      </c>
      <c r="M50" s="699">
        <v>32</v>
      </c>
      <c r="N50" s="1056"/>
      <c r="O50" s="1057">
        <v>1</v>
      </c>
      <c r="P50" s="1057">
        <v>0.67</v>
      </c>
      <c r="Q50" s="1057">
        <v>3</v>
      </c>
      <c r="R50" s="1057">
        <v>4.5999999999999996</v>
      </c>
      <c r="S50" s="1057">
        <v>0.22</v>
      </c>
      <c r="T50" s="1057"/>
      <c r="U50" s="1058">
        <v>285000</v>
      </c>
      <c r="V50" s="1058">
        <v>4000</v>
      </c>
      <c r="W50" s="1054">
        <f t="shared" si="2"/>
        <v>2800</v>
      </c>
      <c r="X50" s="1057">
        <v>3</v>
      </c>
      <c r="Y50" s="1055" t="s">
        <v>2499</v>
      </c>
    </row>
    <row r="51" spans="1:25">
      <c r="A51" s="700" t="s">
        <v>2460</v>
      </c>
      <c r="B51" s="702" t="s">
        <v>345</v>
      </c>
      <c r="C51" s="699">
        <v>75</v>
      </c>
      <c r="D51" s="699">
        <v>125</v>
      </c>
      <c r="E51" s="699">
        <v>260</v>
      </c>
      <c r="F51" s="699">
        <v>330</v>
      </c>
      <c r="G51" s="699">
        <v>110</v>
      </c>
      <c r="H51" s="699">
        <v>230</v>
      </c>
      <c r="I51" s="699">
        <v>22</v>
      </c>
      <c r="J51" s="699">
        <v>20</v>
      </c>
      <c r="K51" s="699">
        <v>26</v>
      </c>
      <c r="L51" s="699">
        <v>163</v>
      </c>
      <c r="M51" s="699">
        <v>35</v>
      </c>
      <c r="N51" s="1059"/>
      <c r="O51" s="1053">
        <v>1</v>
      </c>
      <c r="P51" s="1053">
        <v>0.67</v>
      </c>
      <c r="Q51" s="1053">
        <v>3</v>
      </c>
      <c r="R51" s="1053">
        <v>4.5999999999999996</v>
      </c>
      <c r="S51" s="1053">
        <v>0.22</v>
      </c>
      <c r="T51" s="1053"/>
      <c r="U51" s="1058">
        <v>285000</v>
      </c>
      <c r="V51" s="1058">
        <v>4000</v>
      </c>
      <c r="W51" s="1054">
        <f>V51*IF(Y51="Grease",0.7,0.75)</f>
        <v>3000</v>
      </c>
      <c r="X51" s="1053">
        <f>10/3</f>
        <v>3.3333333333333335</v>
      </c>
      <c r="Y51" s="1055" t="s">
        <v>2506</v>
      </c>
    </row>
    <row r="52" spans="1:25">
      <c r="A52" s="700" t="s">
        <v>2461</v>
      </c>
      <c r="B52" s="698" t="s">
        <v>326</v>
      </c>
      <c r="C52" s="699">
        <v>75</v>
      </c>
      <c r="D52" s="699">
        <v>112</v>
      </c>
      <c r="E52" s="699">
        <v>320</v>
      </c>
      <c r="F52" s="699">
        <v>380</v>
      </c>
      <c r="G52" s="699">
        <v>110</v>
      </c>
      <c r="H52" s="699">
        <v>218</v>
      </c>
      <c r="I52" s="699">
        <v>26</v>
      </c>
      <c r="J52" s="699">
        <v>24</v>
      </c>
      <c r="K52" s="699">
        <v>17.600000000000001</v>
      </c>
      <c r="L52" s="699">
        <v>160</v>
      </c>
      <c r="M52" s="699">
        <v>40</v>
      </c>
      <c r="N52" s="1052"/>
      <c r="O52" s="1053">
        <v>1</v>
      </c>
      <c r="P52" s="1053">
        <v>0.65</v>
      </c>
      <c r="Q52" s="1053">
        <v>2.9</v>
      </c>
      <c r="R52" s="1053">
        <v>4.5</v>
      </c>
      <c r="S52" s="1053">
        <v>0.22</v>
      </c>
      <c r="T52" s="1053"/>
      <c r="U52" s="699">
        <v>97500</v>
      </c>
      <c r="V52" s="699">
        <v>4800</v>
      </c>
      <c r="W52" s="1054">
        <f t="shared" si="2"/>
        <v>3360</v>
      </c>
      <c r="X52" s="1053">
        <v>3</v>
      </c>
      <c r="Y52" s="1055" t="s">
        <v>2499</v>
      </c>
    </row>
    <row r="53" spans="1:25">
      <c r="A53" s="700" t="s">
        <v>2462</v>
      </c>
      <c r="B53" s="698" t="s">
        <v>326</v>
      </c>
      <c r="C53" s="699">
        <v>75</v>
      </c>
      <c r="D53" s="699">
        <v>112</v>
      </c>
      <c r="E53" s="699">
        <v>320</v>
      </c>
      <c r="F53" s="699">
        <v>380</v>
      </c>
      <c r="G53" s="699">
        <v>110</v>
      </c>
      <c r="H53" s="699">
        <v>218</v>
      </c>
      <c r="I53" s="699">
        <v>26</v>
      </c>
      <c r="J53" s="699">
        <v>24</v>
      </c>
      <c r="K53" s="699">
        <v>17.600000000000001</v>
      </c>
      <c r="L53" s="699">
        <v>160</v>
      </c>
      <c r="M53" s="699">
        <v>40</v>
      </c>
      <c r="N53" s="1052"/>
      <c r="O53" s="1053">
        <v>1</v>
      </c>
      <c r="P53" s="1053">
        <v>0.65</v>
      </c>
      <c r="Q53" s="1053">
        <v>1.7</v>
      </c>
      <c r="R53" s="1053">
        <v>2.6</v>
      </c>
      <c r="S53" s="1053">
        <v>0.37</v>
      </c>
      <c r="T53" s="1053"/>
      <c r="U53" s="699">
        <v>140000</v>
      </c>
      <c r="V53" s="699">
        <v>4800</v>
      </c>
      <c r="W53" s="1054">
        <f t="shared" si="2"/>
        <v>3360</v>
      </c>
      <c r="X53" s="1053">
        <v>3</v>
      </c>
      <c r="Y53" s="1055" t="s">
        <v>2499</v>
      </c>
    </row>
    <row r="54" spans="1:25">
      <c r="A54" s="700" t="s">
        <v>2463</v>
      </c>
      <c r="B54" s="702" t="s">
        <v>326</v>
      </c>
      <c r="C54" s="699">
        <v>75</v>
      </c>
      <c r="D54" s="699">
        <v>112</v>
      </c>
      <c r="E54" s="699">
        <v>320</v>
      </c>
      <c r="F54" s="699">
        <v>380</v>
      </c>
      <c r="G54" s="699">
        <v>110</v>
      </c>
      <c r="H54" s="699">
        <v>218</v>
      </c>
      <c r="I54" s="699">
        <v>26</v>
      </c>
      <c r="J54" s="699">
        <v>24</v>
      </c>
      <c r="K54" s="699">
        <v>17.600000000000001</v>
      </c>
      <c r="L54" s="699">
        <v>160</v>
      </c>
      <c r="M54" s="699">
        <v>40</v>
      </c>
      <c r="N54" s="1059"/>
      <c r="O54" s="1053">
        <v>1</v>
      </c>
      <c r="P54" s="1053">
        <v>0.67</v>
      </c>
      <c r="Q54" s="1053">
        <v>2.8</v>
      </c>
      <c r="R54" s="1053">
        <v>4.2</v>
      </c>
      <c r="S54" s="1053">
        <v>0.24</v>
      </c>
      <c r="T54" s="1053"/>
      <c r="U54" s="699">
        <v>325000</v>
      </c>
      <c r="V54" s="699">
        <v>3800</v>
      </c>
      <c r="W54" s="1054">
        <f t="shared" si="2"/>
        <v>2660</v>
      </c>
      <c r="X54" s="1057">
        <f>10/3</f>
        <v>3.3333333333333335</v>
      </c>
      <c r="Y54" s="1055" t="s">
        <v>2499</v>
      </c>
    </row>
    <row r="55" spans="1:25">
      <c r="A55" s="700" t="s">
        <v>2464</v>
      </c>
      <c r="B55" s="702" t="s">
        <v>326</v>
      </c>
      <c r="C55" s="699">
        <v>75</v>
      </c>
      <c r="D55" s="699">
        <v>112</v>
      </c>
      <c r="E55" s="699">
        <v>320</v>
      </c>
      <c r="F55" s="699">
        <v>380</v>
      </c>
      <c r="G55" s="699">
        <v>110</v>
      </c>
      <c r="H55" s="699">
        <v>218</v>
      </c>
      <c r="I55" s="699">
        <v>26</v>
      </c>
      <c r="J55" s="699">
        <v>24</v>
      </c>
      <c r="K55" s="699">
        <v>17.600000000000001</v>
      </c>
      <c r="L55" s="699">
        <v>160</v>
      </c>
      <c r="M55" s="699">
        <v>40</v>
      </c>
      <c r="N55" s="1059"/>
      <c r="O55" s="1053">
        <v>1</v>
      </c>
      <c r="P55" s="1053">
        <v>0.67</v>
      </c>
      <c r="Q55" s="1053">
        <v>2</v>
      </c>
      <c r="R55" s="1053">
        <v>3</v>
      </c>
      <c r="S55" s="1053">
        <v>0.33</v>
      </c>
      <c r="T55" s="1053"/>
      <c r="U55" s="699">
        <v>550000</v>
      </c>
      <c r="V55" s="699">
        <v>2800</v>
      </c>
      <c r="W55" s="1054">
        <f t="shared" si="2"/>
        <v>1959.9999999999998</v>
      </c>
      <c r="X55" s="1057">
        <f>10/3</f>
        <v>3.3333333333333335</v>
      </c>
      <c r="Y55" s="1055" t="s">
        <v>2499</v>
      </c>
    </row>
    <row r="56" spans="1:25">
      <c r="A56" s="700" t="s">
        <v>2465</v>
      </c>
      <c r="B56" s="698" t="s">
        <v>324</v>
      </c>
      <c r="C56" s="699">
        <v>80</v>
      </c>
      <c r="D56" s="699">
        <v>100</v>
      </c>
      <c r="E56" s="699">
        <v>290</v>
      </c>
      <c r="F56" s="699">
        <v>345</v>
      </c>
      <c r="G56" s="699">
        <v>100</v>
      </c>
      <c r="H56" s="699">
        <v>194</v>
      </c>
      <c r="I56" s="699">
        <v>22</v>
      </c>
      <c r="J56" s="699">
        <v>20</v>
      </c>
      <c r="K56" s="699">
        <v>12.5</v>
      </c>
      <c r="L56" s="699">
        <v>140</v>
      </c>
      <c r="M56" s="699">
        <v>35</v>
      </c>
      <c r="N56" s="1052"/>
      <c r="O56" s="1053">
        <v>1</v>
      </c>
      <c r="P56" s="1053">
        <v>0.65</v>
      </c>
      <c r="Q56" s="1053">
        <v>3.7</v>
      </c>
      <c r="R56" s="1053">
        <v>5.7</v>
      </c>
      <c r="S56" s="1053">
        <v>0.17</v>
      </c>
      <c r="T56" s="1053"/>
      <c r="U56" s="699">
        <v>57200</v>
      </c>
      <c r="V56" s="699">
        <v>5300</v>
      </c>
      <c r="W56" s="1054">
        <f t="shared" si="2"/>
        <v>3709.9999999999995</v>
      </c>
      <c r="X56" s="1053">
        <v>3</v>
      </c>
      <c r="Y56" s="1055" t="s">
        <v>2499</v>
      </c>
    </row>
    <row r="57" spans="1:25">
      <c r="A57" s="700" t="s">
        <v>2466</v>
      </c>
      <c r="B57" s="698" t="s">
        <v>324</v>
      </c>
      <c r="C57" s="699">
        <v>80</v>
      </c>
      <c r="D57" s="699">
        <v>100</v>
      </c>
      <c r="E57" s="699">
        <v>290</v>
      </c>
      <c r="F57" s="699">
        <v>345</v>
      </c>
      <c r="G57" s="699">
        <v>100</v>
      </c>
      <c r="H57" s="699">
        <v>194</v>
      </c>
      <c r="I57" s="699">
        <v>22</v>
      </c>
      <c r="J57" s="699">
        <v>20</v>
      </c>
      <c r="K57" s="699">
        <v>12.5</v>
      </c>
      <c r="L57" s="699">
        <v>140</v>
      </c>
      <c r="M57" s="699">
        <v>35</v>
      </c>
      <c r="N57" s="1052"/>
      <c r="O57" s="1053">
        <v>1</v>
      </c>
      <c r="P57" s="1053">
        <v>0.65</v>
      </c>
      <c r="Q57" s="1053">
        <v>2.2999999999999998</v>
      </c>
      <c r="R57" s="1053">
        <v>3.6</v>
      </c>
      <c r="S57" s="1053">
        <v>0.27</v>
      </c>
      <c r="T57" s="1053"/>
      <c r="U57" s="699">
        <v>70200</v>
      </c>
      <c r="V57" s="699">
        <v>5300</v>
      </c>
      <c r="W57" s="1054">
        <f t="shared" si="2"/>
        <v>3709.9999999999995</v>
      </c>
      <c r="X57" s="1053">
        <v>3</v>
      </c>
      <c r="Y57" s="1055" t="s">
        <v>2499</v>
      </c>
    </row>
    <row r="58" spans="1:25">
      <c r="A58" s="700" t="s">
        <v>2507</v>
      </c>
      <c r="B58" s="1054" t="s">
        <v>2632</v>
      </c>
      <c r="C58" s="699">
        <v>80</v>
      </c>
      <c r="D58" s="1054">
        <v>135</v>
      </c>
      <c r="E58" s="1054">
        <v>290</v>
      </c>
      <c r="F58" s="1054">
        <v>360</v>
      </c>
      <c r="G58" s="1054">
        <v>120</v>
      </c>
      <c r="H58" s="1054">
        <v>245</v>
      </c>
      <c r="I58" s="1054">
        <v>22</v>
      </c>
      <c r="J58" s="1054">
        <v>20</v>
      </c>
      <c r="K58" s="1054">
        <v>33</v>
      </c>
      <c r="L58" s="1054">
        <v>170</v>
      </c>
      <c r="M58" s="1054">
        <v>45</v>
      </c>
      <c r="N58" s="1059"/>
      <c r="O58" s="1053">
        <v>1</v>
      </c>
      <c r="P58" s="1053">
        <v>0.67</v>
      </c>
      <c r="Q58" s="1053">
        <v>2.2999999999999998</v>
      </c>
      <c r="R58" s="1053">
        <v>3.6</v>
      </c>
      <c r="S58" s="1053">
        <v>0.27</v>
      </c>
      <c r="T58" s="1053"/>
      <c r="U58" s="1058">
        <v>70200</v>
      </c>
      <c r="V58" s="1058">
        <v>5300</v>
      </c>
      <c r="W58" s="1054">
        <f>V58*IF(Y58="Grease",0.7,0.75)</f>
        <v>3975</v>
      </c>
      <c r="X58" s="1053">
        <v>3</v>
      </c>
      <c r="Y58" s="1055" t="s">
        <v>2506</v>
      </c>
    </row>
    <row r="59" spans="1:25">
      <c r="A59" s="700" t="s">
        <v>2467</v>
      </c>
      <c r="B59" s="702" t="s">
        <v>324</v>
      </c>
      <c r="C59" s="699">
        <v>80</v>
      </c>
      <c r="D59" s="699">
        <v>100</v>
      </c>
      <c r="E59" s="699">
        <v>290</v>
      </c>
      <c r="F59" s="699">
        <v>345</v>
      </c>
      <c r="G59" s="699">
        <v>100</v>
      </c>
      <c r="H59" s="699">
        <v>194</v>
      </c>
      <c r="I59" s="699">
        <v>22</v>
      </c>
      <c r="J59" s="699">
        <v>20</v>
      </c>
      <c r="K59" s="699">
        <v>12.5</v>
      </c>
      <c r="L59" s="699">
        <v>140</v>
      </c>
      <c r="M59" s="699">
        <v>35</v>
      </c>
      <c r="N59" s="1059"/>
      <c r="O59" s="1053">
        <v>1</v>
      </c>
      <c r="P59" s="1053">
        <v>0.67</v>
      </c>
      <c r="Q59" s="1053">
        <v>2.8</v>
      </c>
      <c r="R59" s="1053">
        <v>4.2</v>
      </c>
      <c r="S59" s="1053">
        <v>0.24</v>
      </c>
      <c r="T59" s="1053"/>
      <c r="U59" s="699">
        <v>325000</v>
      </c>
      <c r="V59" s="699">
        <v>3800</v>
      </c>
      <c r="W59" s="1054">
        <f t="shared" si="2"/>
        <v>2660</v>
      </c>
      <c r="X59" s="1057">
        <f>10/3</f>
        <v>3.3333333333333335</v>
      </c>
      <c r="Y59" s="1055" t="s">
        <v>2499</v>
      </c>
    </row>
    <row r="60" spans="1:25">
      <c r="A60" s="700" t="s">
        <v>2467</v>
      </c>
      <c r="B60" s="702" t="s">
        <v>344</v>
      </c>
      <c r="C60" s="699">
        <v>80</v>
      </c>
      <c r="D60" s="699">
        <v>135</v>
      </c>
      <c r="E60" s="699">
        <v>290</v>
      </c>
      <c r="F60" s="699">
        <v>360</v>
      </c>
      <c r="G60" s="699">
        <v>120</v>
      </c>
      <c r="H60" s="699">
        <v>245</v>
      </c>
      <c r="I60" s="699">
        <v>22</v>
      </c>
      <c r="J60" s="699">
        <v>20</v>
      </c>
      <c r="K60" s="699">
        <v>33</v>
      </c>
      <c r="L60" s="699">
        <v>170</v>
      </c>
      <c r="M60" s="699">
        <v>45</v>
      </c>
      <c r="N60" s="1059"/>
      <c r="O60" s="1053">
        <v>1</v>
      </c>
      <c r="P60" s="1053">
        <v>0.67</v>
      </c>
      <c r="Q60" s="1053">
        <v>2.8</v>
      </c>
      <c r="R60" s="1053">
        <v>4.2</v>
      </c>
      <c r="S60" s="1053">
        <v>0.24</v>
      </c>
      <c r="T60" s="1053"/>
      <c r="U60" s="1058">
        <v>325000</v>
      </c>
      <c r="V60" s="1058">
        <v>3800</v>
      </c>
      <c r="W60" s="1054">
        <f>V60*IF(Y60="Grease",0.7,0.75)</f>
        <v>2850</v>
      </c>
      <c r="X60" s="1053">
        <f>10/3</f>
        <v>3.3333333333333335</v>
      </c>
      <c r="Y60" s="1055" t="s">
        <v>2506</v>
      </c>
    </row>
    <row r="61" spans="1:25">
      <c r="A61" s="700" t="s">
        <v>2468</v>
      </c>
      <c r="B61" s="702" t="s">
        <v>324</v>
      </c>
      <c r="C61" s="699">
        <v>80</v>
      </c>
      <c r="D61" s="699">
        <v>100</v>
      </c>
      <c r="E61" s="699">
        <v>290</v>
      </c>
      <c r="F61" s="699">
        <v>345</v>
      </c>
      <c r="G61" s="699">
        <v>100</v>
      </c>
      <c r="H61" s="699">
        <v>194</v>
      </c>
      <c r="I61" s="699">
        <v>22</v>
      </c>
      <c r="J61" s="699">
        <v>20</v>
      </c>
      <c r="K61" s="699">
        <v>12.5</v>
      </c>
      <c r="L61" s="699">
        <v>140</v>
      </c>
      <c r="M61" s="699">
        <v>35</v>
      </c>
      <c r="N61" s="1059"/>
      <c r="O61" s="1053">
        <v>1</v>
      </c>
      <c r="P61" s="1053">
        <v>0.67</v>
      </c>
      <c r="Q61" s="1053">
        <v>2.2000000000000002</v>
      </c>
      <c r="R61" s="1053">
        <v>3.3</v>
      </c>
      <c r="S61" s="1053">
        <v>0.31</v>
      </c>
      <c r="T61" s="1053"/>
      <c r="U61" s="699">
        <v>355000</v>
      </c>
      <c r="V61" s="699">
        <v>2800</v>
      </c>
      <c r="W61" s="1054">
        <f t="shared" si="2"/>
        <v>1959.9999999999998</v>
      </c>
      <c r="X61" s="1057">
        <f>10/3</f>
        <v>3.3333333333333335</v>
      </c>
      <c r="Y61" s="1055" t="s">
        <v>2499</v>
      </c>
    </row>
    <row r="62" spans="1:25">
      <c r="A62" s="700" t="s">
        <v>2500</v>
      </c>
      <c r="B62" s="1054" t="s">
        <v>2632</v>
      </c>
      <c r="C62" s="699">
        <v>80</v>
      </c>
      <c r="D62" s="1054">
        <v>125</v>
      </c>
      <c r="E62" s="1054">
        <v>350</v>
      </c>
      <c r="F62" s="1054">
        <v>410</v>
      </c>
      <c r="G62" s="1054">
        <v>120</v>
      </c>
      <c r="H62" s="1054">
        <v>242</v>
      </c>
      <c r="I62" s="1054">
        <v>26</v>
      </c>
      <c r="J62" s="1054">
        <v>24</v>
      </c>
      <c r="K62" s="1054">
        <v>22</v>
      </c>
      <c r="L62" s="1054">
        <v>175</v>
      </c>
      <c r="M62" s="1054">
        <v>45</v>
      </c>
      <c r="N62" s="1052"/>
      <c r="O62" s="1053">
        <v>1</v>
      </c>
      <c r="P62" s="1053">
        <v>0.65</v>
      </c>
      <c r="Q62" s="1053">
        <v>2.9</v>
      </c>
      <c r="R62" s="1053">
        <v>4.5</v>
      </c>
      <c r="S62" s="1053">
        <v>0.22</v>
      </c>
      <c r="T62" s="1053"/>
      <c r="U62" s="699">
        <v>117000</v>
      </c>
      <c r="V62" s="699">
        <v>4500</v>
      </c>
      <c r="W62" s="1054">
        <f t="shared" si="2"/>
        <v>3150</v>
      </c>
      <c r="X62" s="1053">
        <v>3</v>
      </c>
      <c r="Y62" s="1055" t="s">
        <v>2499</v>
      </c>
    </row>
    <row r="63" spans="1:25">
      <c r="A63" s="700" t="s">
        <v>2501</v>
      </c>
      <c r="B63" s="1054" t="s">
        <v>2632</v>
      </c>
      <c r="C63" s="699">
        <v>80</v>
      </c>
      <c r="D63" s="1054">
        <v>125</v>
      </c>
      <c r="E63" s="1054">
        <v>350</v>
      </c>
      <c r="F63" s="1054">
        <v>410</v>
      </c>
      <c r="G63" s="1054">
        <v>120</v>
      </c>
      <c r="H63" s="1054">
        <v>242</v>
      </c>
      <c r="I63" s="1054">
        <v>26</v>
      </c>
      <c r="J63" s="1054">
        <v>24</v>
      </c>
      <c r="K63" s="1054">
        <v>22</v>
      </c>
      <c r="L63" s="1054">
        <v>175</v>
      </c>
      <c r="M63" s="1054">
        <v>45</v>
      </c>
      <c r="N63" s="1052"/>
      <c r="O63" s="1053">
        <v>1</v>
      </c>
      <c r="P63" s="1053">
        <v>0.65</v>
      </c>
      <c r="Q63" s="1053">
        <v>1.7</v>
      </c>
      <c r="R63" s="1053">
        <v>2.6</v>
      </c>
      <c r="S63" s="1053">
        <v>0.37</v>
      </c>
      <c r="T63" s="1053"/>
      <c r="U63" s="699">
        <v>153000</v>
      </c>
      <c r="V63" s="699">
        <v>4500</v>
      </c>
      <c r="W63" s="1054">
        <f t="shared" si="2"/>
        <v>3150</v>
      </c>
      <c r="X63" s="1053">
        <v>3</v>
      </c>
      <c r="Y63" s="1055" t="s">
        <v>2499</v>
      </c>
    </row>
    <row r="64" spans="1:25">
      <c r="A64" s="700" t="s">
        <v>2502</v>
      </c>
      <c r="B64" s="1054" t="s">
        <v>2503</v>
      </c>
      <c r="C64" s="699">
        <v>80</v>
      </c>
      <c r="D64" s="1054">
        <v>125</v>
      </c>
      <c r="E64" s="1054">
        <v>350</v>
      </c>
      <c r="F64" s="1054">
        <v>410</v>
      </c>
      <c r="G64" s="1054">
        <v>120</v>
      </c>
      <c r="H64" s="1054">
        <v>242</v>
      </c>
      <c r="I64" s="1054">
        <v>26</v>
      </c>
      <c r="J64" s="1054">
        <v>24</v>
      </c>
      <c r="K64" s="1054">
        <v>22</v>
      </c>
      <c r="L64" s="1054">
        <v>175</v>
      </c>
      <c r="M64" s="1054">
        <v>45</v>
      </c>
      <c r="N64" s="1059"/>
      <c r="O64" s="1053">
        <v>1</v>
      </c>
      <c r="P64" s="1053">
        <v>0.67</v>
      </c>
      <c r="Q64" s="1053">
        <v>2</v>
      </c>
      <c r="R64" s="1053">
        <v>3</v>
      </c>
      <c r="S64" s="1053">
        <v>0.33</v>
      </c>
      <c r="T64" s="1053"/>
      <c r="U64" s="699">
        <v>610000</v>
      </c>
      <c r="V64" s="699">
        <v>2600</v>
      </c>
      <c r="W64" s="1054">
        <f t="shared" si="2"/>
        <v>1819.9999999999998</v>
      </c>
      <c r="X64" s="1057">
        <f>10/3</f>
        <v>3.3333333333333335</v>
      </c>
      <c r="Y64" s="1055" t="s">
        <v>2499</v>
      </c>
    </row>
    <row r="65" spans="1:25">
      <c r="A65" s="700" t="s">
        <v>2469</v>
      </c>
      <c r="B65" s="698" t="s">
        <v>325</v>
      </c>
      <c r="C65" s="699">
        <v>85</v>
      </c>
      <c r="D65" s="699">
        <v>112</v>
      </c>
      <c r="E65" s="699">
        <v>290</v>
      </c>
      <c r="F65" s="699">
        <v>345</v>
      </c>
      <c r="G65" s="699">
        <v>100</v>
      </c>
      <c r="H65" s="699">
        <v>212</v>
      </c>
      <c r="I65" s="699">
        <v>22</v>
      </c>
      <c r="J65" s="699">
        <v>20</v>
      </c>
      <c r="K65" s="699">
        <v>13.7</v>
      </c>
      <c r="L65" s="699">
        <v>145</v>
      </c>
      <c r="M65" s="699">
        <v>35</v>
      </c>
      <c r="N65" s="1052"/>
      <c r="O65" s="1053">
        <v>1</v>
      </c>
      <c r="P65" s="1053">
        <v>0.65</v>
      </c>
      <c r="Q65" s="1053">
        <v>3.7</v>
      </c>
      <c r="R65" s="1053">
        <v>5.7</v>
      </c>
      <c r="S65" s="1053">
        <v>0.17</v>
      </c>
      <c r="T65" s="1053"/>
      <c r="U65" s="699">
        <v>63700</v>
      </c>
      <c r="V65" s="699">
        <v>5000</v>
      </c>
      <c r="W65" s="1054">
        <f t="shared" si="2"/>
        <v>3500</v>
      </c>
      <c r="X65" s="1053">
        <v>3</v>
      </c>
      <c r="Y65" s="1055" t="s">
        <v>2499</v>
      </c>
    </row>
    <row r="66" spans="1:25">
      <c r="A66" s="700" t="s">
        <v>2470</v>
      </c>
      <c r="B66" s="698" t="s">
        <v>325</v>
      </c>
      <c r="C66" s="699">
        <v>85</v>
      </c>
      <c r="D66" s="699">
        <v>112</v>
      </c>
      <c r="E66" s="699">
        <v>290</v>
      </c>
      <c r="F66" s="699">
        <v>345</v>
      </c>
      <c r="G66" s="699">
        <v>100</v>
      </c>
      <c r="H66" s="699">
        <v>212</v>
      </c>
      <c r="I66" s="699">
        <v>22</v>
      </c>
      <c r="J66" s="699">
        <v>20</v>
      </c>
      <c r="K66" s="699">
        <v>13.7</v>
      </c>
      <c r="L66" s="699">
        <v>145</v>
      </c>
      <c r="M66" s="699">
        <v>35</v>
      </c>
      <c r="N66" s="1052"/>
      <c r="O66" s="1053">
        <v>1</v>
      </c>
      <c r="P66" s="1053">
        <v>0.65</v>
      </c>
      <c r="Q66" s="1053">
        <v>2.2999999999999998</v>
      </c>
      <c r="R66" s="1053">
        <v>3.6</v>
      </c>
      <c r="S66" s="1053">
        <v>0.27</v>
      </c>
      <c r="T66" s="1053"/>
      <c r="U66" s="699">
        <v>83200</v>
      </c>
      <c r="V66" s="699">
        <v>5000</v>
      </c>
      <c r="W66" s="1054">
        <f t="shared" si="2"/>
        <v>3500</v>
      </c>
      <c r="X66" s="1053">
        <v>3</v>
      </c>
      <c r="Y66" s="1055" t="s">
        <v>2499</v>
      </c>
    </row>
    <row r="67" spans="1:25">
      <c r="A67" s="700" t="s">
        <v>2471</v>
      </c>
      <c r="B67" s="702" t="s">
        <v>325</v>
      </c>
      <c r="C67" s="699">
        <v>85</v>
      </c>
      <c r="D67" s="699">
        <v>112</v>
      </c>
      <c r="E67" s="699">
        <v>290</v>
      </c>
      <c r="F67" s="699">
        <v>345</v>
      </c>
      <c r="G67" s="699">
        <v>100</v>
      </c>
      <c r="H67" s="699">
        <v>212</v>
      </c>
      <c r="I67" s="699">
        <v>22</v>
      </c>
      <c r="J67" s="699">
        <v>20</v>
      </c>
      <c r="K67" s="699">
        <v>13.7</v>
      </c>
      <c r="L67" s="699">
        <v>145</v>
      </c>
      <c r="M67" s="699">
        <v>35</v>
      </c>
      <c r="N67" s="1059"/>
      <c r="O67" s="1053">
        <v>1</v>
      </c>
      <c r="P67" s="1053">
        <v>0.67</v>
      </c>
      <c r="Q67" s="1053">
        <v>2.8</v>
      </c>
      <c r="R67" s="1053">
        <v>4.2</v>
      </c>
      <c r="S67" s="1053">
        <v>0.24</v>
      </c>
      <c r="T67" s="1053"/>
      <c r="U67" s="699">
        <v>380000</v>
      </c>
      <c r="V67" s="699">
        <v>3600</v>
      </c>
      <c r="W67" s="1054">
        <f t="shared" si="2"/>
        <v>2520</v>
      </c>
      <c r="X67" s="1057">
        <f>10/3</f>
        <v>3.3333333333333335</v>
      </c>
      <c r="Y67" s="1055" t="s">
        <v>2499</v>
      </c>
    </row>
    <row r="68" spans="1:25">
      <c r="A68" s="700" t="s">
        <v>2472</v>
      </c>
      <c r="B68" s="698" t="s">
        <v>327</v>
      </c>
      <c r="C68" s="699">
        <v>85</v>
      </c>
      <c r="D68" s="699">
        <v>125</v>
      </c>
      <c r="E68" s="699">
        <v>350</v>
      </c>
      <c r="F68" s="699">
        <v>410</v>
      </c>
      <c r="G68" s="699">
        <v>120</v>
      </c>
      <c r="H68" s="699">
        <v>242</v>
      </c>
      <c r="I68" s="699">
        <v>26</v>
      </c>
      <c r="J68" s="699">
        <v>24</v>
      </c>
      <c r="K68" s="699">
        <v>22</v>
      </c>
      <c r="L68" s="699">
        <v>175</v>
      </c>
      <c r="M68" s="699">
        <v>45</v>
      </c>
      <c r="N68" s="1052"/>
      <c r="O68" s="1053">
        <v>1</v>
      </c>
      <c r="P68" s="1053">
        <v>0.65</v>
      </c>
      <c r="Q68" s="1053">
        <v>2.7</v>
      </c>
      <c r="R68" s="1053">
        <v>4.2</v>
      </c>
      <c r="S68" s="1053">
        <v>0.23</v>
      </c>
      <c r="T68" s="1053"/>
      <c r="U68" s="699">
        <v>133000</v>
      </c>
      <c r="V68" s="699">
        <v>4300</v>
      </c>
      <c r="W68" s="1054">
        <f t="shared" si="2"/>
        <v>3010</v>
      </c>
      <c r="X68" s="1053">
        <v>3</v>
      </c>
      <c r="Y68" s="1055" t="s">
        <v>2499</v>
      </c>
    </row>
    <row r="69" spans="1:25">
      <c r="A69" s="700" t="s">
        <v>2473</v>
      </c>
      <c r="B69" s="698" t="s">
        <v>327</v>
      </c>
      <c r="C69" s="699">
        <v>85</v>
      </c>
      <c r="D69" s="699">
        <v>125</v>
      </c>
      <c r="E69" s="699">
        <v>350</v>
      </c>
      <c r="F69" s="699">
        <v>410</v>
      </c>
      <c r="G69" s="699">
        <v>120</v>
      </c>
      <c r="H69" s="699">
        <v>242</v>
      </c>
      <c r="I69" s="699">
        <v>26</v>
      </c>
      <c r="J69" s="699">
        <v>24</v>
      </c>
      <c r="K69" s="699">
        <v>22</v>
      </c>
      <c r="L69" s="699">
        <v>175</v>
      </c>
      <c r="M69" s="699">
        <v>45</v>
      </c>
      <c r="N69" s="1052"/>
      <c r="O69" s="1053">
        <v>1</v>
      </c>
      <c r="P69" s="1053">
        <v>0.65</v>
      </c>
      <c r="Q69" s="1053">
        <v>1.7</v>
      </c>
      <c r="R69" s="1053">
        <v>2.6</v>
      </c>
      <c r="S69" s="1053">
        <v>0.37</v>
      </c>
      <c r="T69" s="1053"/>
      <c r="U69" s="699">
        <v>165000</v>
      </c>
      <c r="V69" s="699">
        <v>4500</v>
      </c>
      <c r="W69" s="1054">
        <f t="shared" si="2"/>
        <v>3150</v>
      </c>
      <c r="X69" s="1053">
        <v>3</v>
      </c>
      <c r="Y69" s="1055" t="s">
        <v>2499</v>
      </c>
    </row>
    <row r="70" spans="1:25">
      <c r="A70" s="700" t="s">
        <v>2474</v>
      </c>
      <c r="B70" s="702" t="s">
        <v>327</v>
      </c>
      <c r="C70" s="699">
        <v>85</v>
      </c>
      <c r="D70" s="699">
        <v>125</v>
      </c>
      <c r="E70" s="699">
        <v>350</v>
      </c>
      <c r="F70" s="699">
        <v>410</v>
      </c>
      <c r="G70" s="699">
        <v>120</v>
      </c>
      <c r="H70" s="699">
        <v>242</v>
      </c>
      <c r="I70" s="699">
        <v>26</v>
      </c>
      <c r="J70" s="699">
        <v>24</v>
      </c>
      <c r="K70" s="699">
        <v>22</v>
      </c>
      <c r="L70" s="699">
        <v>175</v>
      </c>
      <c r="M70" s="699">
        <v>45</v>
      </c>
      <c r="N70" s="1059"/>
      <c r="O70" s="1053">
        <v>1</v>
      </c>
      <c r="P70" s="1053">
        <v>0.67</v>
      </c>
      <c r="Q70" s="1053">
        <v>2.8</v>
      </c>
      <c r="R70" s="1053">
        <v>4.2</v>
      </c>
      <c r="S70" s="1053">
        <v>0.24</v>
      </c>
      <c r="T70" s="1053"/>
      <c r="U70" s="699">
        <v>425000</v>
      </c>
      <c r="V70" s="699">
        <v>3400</v>
      </c>
      <c r="W70" s="1054">
        <f t="shared" si="2"/>
        <v>2380</v>
      </c>
      <c r="X70" s="1057">
        <f>10/3</f>
        <v>3.3333333333333335</v>
      </c>
      <c r="Y70" s="1055" t="s">
        <v>2499</v>
      </c>
    </row>
    <row r="71" spans="1:25">
      <c r="A71" s="700" t="s">
        <v>2475</v>
      </c>
      <c r="B71" s="702" t="s">
        <v>327</v>
      </c>
      <c r="C71" s="699">
        <v>85</v>
      </c>
      <c r="D71" s="699">
        <v>125</v>
      </c>
      <c r="E71" s="699">
        <v>350</v>
      </c>
      <c r="F71" s="699">
        <v>410</v>
      </c>
      <c r="G71" s="699">
        <v>120</v>
      </c>
      <c r="H71" s="699">
        <v>242</v>
      </c>
      <c r="I71" s="699">
        <v>26</v>
      </c>
      <c r="J71" s="699">
        <v>24</v>
      </c>
      <c r="K71" s="699">
        <v>22</v>
      </c>
      <c r="L71" s="699">
        <v>175</v>
      </c>
      <c r="M71" s="699">
        <v>45</v>
      </c>
      <c r="N71" s="1059"/>
      <c r="O71" s="1053">
        <v>1</v>
      </c>
      <c r="P71" s="1053">
        <v>0.67</v>
      </c>
      <c r="Q71" s="1053">
        <v>2</v>
      </c>
      <c r="R71" s="1053">
        <v>3</v>
      </c>
      <c r="S71" s="1053">
        <v>0.33</v>
      </c>
      <c r="T71" s="1053"/>
      <c r="U71" s="699">
        <v>670000</v>
      </c>
      <c r="V71" s="699">
        <v>2600</v>
      </c>
      <c r="W71" s="1054">
        <f t="shared" ref="W71:W102" si="3">V71*IF(Y71="Grease",0.7,0.75)</f>
        <v>1819.9999999999998</v>
      </c>
      <c r="X71" s="1057">
        <f>10/3</f>
        <v>3.3333333333333335</v>
      </c>
      <c r="Y71" s="1055" t="s">
        <v>2499</v>
      </c>
    </row>
    <row r="72" spans="1:25">
      <c r="A72" s="700" t="s">
        <v>2476</v>
      </c>
      <c r="B72" s="698" t="s">
        <v>326</v>
      </c>
      <c r="C72" s="699">
        <v>90</v>
      </c>
      <c r="D72" s="699">
        <v>112</v>
      </c>
      <c r="E72" s="699">
        <v>320</v>
      </c>
      <c r="F72" s="699">
        <v>380</v>
      </c>
      <c r="G72" s="699">
        <v>110</v>
      </c>
      <c r="H72" s="699">
        <v>218</v>
      </c>
      <c r="I72" s="699">
        <v>26</v>
      </c>
      <c r="J72" s="699">
        <v>24</v>
      </c>
      <c r="K72" s="699">
        <v>17.600000000000001</v>
      </c>
      <c r="L72" s="699">
        <v>160</v>
      </c>
      <c r="M72" s="699">
        <v>40</v>
      </c>
      <c r="N72" s="1052"/>
      <c r="O72" s="1053">
        <v>1</v>
      </c>
      <c r="P72" s="1053">
        <v>0.65</v>
      </c>
      <c r="Q72" s="1053">
        <v>3.7</v>
      </c>
      <c r="R72" s="1053">
        <v>5.7</v>
      </c>
      <c r="S72" s="1053">
        <v>0.17</v>
      </c>
      <c r="T72" s="1053"/>
      <c r="U72" s="699">
        <v>68900</v>
      </c>
      <c r="V72" s="699">
        <v>4800</v>
      </c>
      <c r="W72" s="1054">
        <f t="shared" si="3"/>
        <v>3360</v>
      </c>
      <c r="X72" s="1053">
        <v>3</v>
      </c>
      <c r="Y72" s="1055" t="s">
        <v>2499</v>
      </c>
    </row>
    <row r="73" spans="1:25">
      <c r="A73" s="700" t="s">
        <v>2477</v>
      </c>
      <c r="B73" s="698" t="s">
        <v>326</v>
      </c>
      <c r="C73" s="699">
        <v>90</v>
      </c>
      <c r="D73" s="699">
        <v>112</v>
      </c>
      <c r="E73" s="699">
        <v>320</v>
      </c>
      <c r="F73" s="699">
        <v>380</v>
      </c>
      <c r="G73" s="699">
        <v>110</v>
      </c>
      <c r="H73" s="699">
        <v>218</v>
      </c>
      <c r="I73" s="699">
        <v>26</v>
      </c>
      <c r="J73" s="699">
        <v>24</v>
      </c>
      <c r="K73" s="699">
        <v>17.600000000000001</v>
      </c>
      <c r="L73" s="699">
        <v>160</v>
      </c>
      <c r="M73" s="699">
        <v>40</v>
      </c>
      <c r="N73" s="1052"/>
      <c r="O73" s="1053">
        <v>1</v>
      </c>
      <c r="P73" s="1053">
        <v>0.65</v>
      </c>
      <c r="Q73" s="1053">
        <v>2.2999999999999998</v>
      </c>
      <c r="R73" s="1053">
        <v>3.6</v>
      </c>
      <c r="S73" s="1053">
        <v>0.27</v>
      </c>
      <c r="T73" s="1053"/>
      <c r="U73" s="699">
        <v>97500</v>
      </c>
      <c r="V73" s="699">
        <v>4800</v>
      </c>
      <c r="W73" s="1054">
        <f t="shared" si="3"/>
        <v>3360</v>
      </c>
      <c r="X73" s="1053">
        <v>3</v>
      </c>
      <c r="Y73" s="1055" t="s">
        <v>2499</v>
      </c>
    </row>
    <row r="74" spans="1:25">
      <c r="A74" s="700" t="s">
        <v>1663</v>
      </c>
      <c r="B74" s="702" t="s">
        <v>326</v>
      </c>
      <c r="C74" s="699">
        <v>90</v>
      </c>
      <c r="D74" s="699">
        <v>112</v>
      </c>
      <c r="E74" s="699">
        <v>320</v>
      </c>
      <c r="F74" s="699">
        <v>380</v>
      </c>
      <c r="G74" s="699">
        <v>110</v>
      </c>
      <c r="H74" s="699">
        <v>218</v>
      </c>
      <c r="I74" s="699">
        <v>26</v>
      </c>
      <c r="J74" s="699">
        <v>24</v>
      </c>
      <c r="K74" s="699">
        <v>17.600000000000001</v>
      </c>
      <c r="L74" s="699">
        <v>160</v>
      </c>
      <c r="M74" s="699">
        <v>40</v>
      </c>
      <c r="N74" s="1059"/>
      <c r="O74" s="1053">
        <v>1</v>
      </c>
      <c r="P74" s="1053">
        <v>0.67</v>
      </c>
      <c r="Q74" s="1053">
        <v>2.8</v>
      </c>
      <c r="R74" s="1053">
        <v>4.2</v>
      </c>
      <c r="S74" s="1053">
        <v>0.24</v>
      </c>
      <c r="T74" s="1053"/>
      <c r="U74" s="699">
        <v>425000</v>
      </c>
      <c r="V74" s="699">
        <v>3400</v>
      </c>
      <c r="W74" s="1054">
        <f t="shared" si="3"/>
        <v>2380</v>
      </c>
      <c r="X74" s="1057">
        <f>10/3</f>
        <v>3.3333333333333335</v>
      </c>
      <c r="Y74" s="1055" t="s">
        <v>2499</v>
      </c>
    </row>
    <row r="75" spans="1:25">
      <c r="A75" s="700" t="s">
        <v>1663</v>
      </c>
      <c r="B75" s="702" t="s">
        <v>310</v>
      </c>
      <c r="C75" s="699">
        <v>90</v>
      </c>
      <c r="D75" s="699">
        <v>145</v>
      </c>
      <c r="E75" s="699">
        <v>320</v>
      </c>
      <c r="F75" s="699">
        <v>400</v>
      </c>
      <c r="G75" s="699">
        <v>130</v>
      </c>
      <c r="H75" s="699">
        <v>270</v>
      </c>
      <c r="I75" s="699">
        <v>26</v>
      </c>
      <c r="J75" s="699">
        <v>24</v>
      </c>
      <c r="K75" s="699">
        <v>42</v>
      </c>
      <c r="L75" s="699">
        <v>186</v>
      </c>
      <c r="M75" s="699">
        <v>50</v>
      </c>
      <c r="N75" s="1059"/>
      <c r="O75" s="1053">
        <v>1</v>
      </c>
      <c r="P75" s="1053">
        <v>0.67</v>
      </c>
      <c r="Q75" s="1053">
        <v>2.8</v>
      </c>
      <c r="R75" s="1053">
        <v>4.2</v>
      </c>
      <c r="S75" s="1053">
        <v>0.24</v>
      </c>
      <c r="T75" s="1053"/>
      <c r="U75" s="1058">
        <v>425000</v>
      </c>
      <c r="V75" s="1058">
        <v>3400</v>
      </c>
      <c r="W75" s="1054">
        <f>V75*IF(Y75="Grease",0.7,0.75)</f>
        <v>2550</v>
      </c>
      <c r="X75" s="1053">
        <f>10/3</f>
        <v>3.3333333333333335</v>
      </c>
      <c r="Y75" s="1055" t="s">
        <v>2506</v>
      </c>
    </row>
    <row r="76" spans="1:25">
      <c r="A76" s="700" t="s">
        <v>2478</v>
      </c>
      <c r="B76" s="702" t="s">
        <v>326</v>
      </c>
      <c r="C76" s="699">
        <v>90</v>
      </c>
      <c r="D76" s="699">
        <v>112</v>
      </c>
      <c r="E76" s="699">
        <v>320</v>
      </c>
      <c r="F76" s="699">
        <v>380</v>
      </c>
      <c r="G76" s="699">
        <v>110</v>
      </c>
      <c r="H76" s="699">
        <v>218</v>
      </c>
      <c r="I76" s="699">
        <v>26</v>
      </c>
      <c r="J76" s="699">
        <v>24</v>
      </c>
      <c r="K76" s="699">
        <v>17.600000000000001</v>
      </c>
      <c r="L76" s="699">
        <v>160</v>
      </c>
      <c r="M76" s="699">
        <v>40</v>
      </c>
      <c r="N76" s="1059"/>
      <c r="O76" s="1053">
        <v>1</v>
      </c>
      <c r="P76" s="1053">
        <v>0.67</v>
      </c>
      <c r="Q76" s="1053">
        <v>2</v>
      </c>
      <c r="R76" s="1053">
        <v>3</v>
      </c>
      <c r="S76" s="1053">
        <v>0.33</v>
      </c>
      <c r="T76" s="1053"/>
      <c r="U76" s="699">
        <v>475000</v>
      </c>
      <c r="V76" s="699">
        <v>2400</v>
      </c>
      <c r="W76" s="1054">
        <f t="shared" si="3"/>
        <v>1680</v>
      </c>
      <c r="X76" s="1057">
        <f>10/3</f>
        <v>3.3333333333333335</v>
      </c>
      <c r="Y76" s="1055" t="s">
        <v>2499</v>
      </c>
    </row>
    <row r="77" spans="1:25">
      <c r="A77" s="700" t="s">
        <v>2479</v>
      </c>
      <c r="B77" s="698" t="s">
        <v>328</v>
      </c>
      <c r="C77" s="699">
        <v>90</v>
      </c>
      <c r="D77" s="699">
        <v>140</v>
      </c>
      <c r="E77" s="699">
        <v>350</v>
      </c>
      <c r="F77" s="699">
        <v>410</v>
      </c>
      <c r="G77" s="699">
        <v>120</v>
      </c>
      <c r="H77" s="699">
        <v>271</v>
      </c>
      <c r="I77" s="699">
        <v>26</v>
      </c>
      <c r="J77" s="699">
        <v>24</v>
      </c>
      <c r="K77" s="699">
        <v>26.2</v>
      </c>
      <c r="L77" s="699">
        <v>185</v>
      </c>
      <c r="M77" s="699">
        <v>45</v>
      </c>
      <c r="N77" s="1052"/>
      <c r="O77" s="1053">
        <v>1</v>
      </c>
      <c r="P77" s="1053">
        <v>0.65</v>
      </c>
      <c r="Q77" s="1053">
        <v>2.7</v>
      </c>
      <c r="R77" s="1053">
        <v>4.2</v>
      </c>
      <c r="S77" s="1053">
        <v>0.23</v>
      </c>
      <c r="T77" s="1053"/>
      <c r="U77" s="699">
        <v>143000</v>
      </c>
      <c r="V77" s="699">
        <v>4000</v>
      </c>
      <c r="W77" s="1054">
        <f t="shared" si="3"/>
        <v>2800</v>
      </c>
      <c r="X77" s="1057">
        <v>3</v>
      </c>
      <c r="Y77" s="1055" t="s">
        <v>2499</v>
      </c>
    </row>
    <row r="78" spans="1:25">
      <c r="A78" s="700" t="s">
        <v>2480</v>
      </c>
      <c r="B78" s="698" t="s">
        <v>328</v>
      </c>
      <c r="C78" s="699">
        <v>90</v>
      </c>
      <c r="D78" s="699">
        <v>140</v>
      </c>
      <c r="E78" s="699">
        <v>350</v>
      </c>
      <c r="F78" s="699">
        <v>410</v>
      </c>
      <c r="G78" s="699">
        <v>120</v>
      </c>
      <c r="H78" s="699">
        <v>271</v>
      </c>
      <c r="I78" s="699">
        <v>26</v>
      </c>
      <c r="J78" s="699">
        <v>24</v>
      </c>
      <c r="K78" s="699">
        <v>26.2</v>
      </c>
      <c r="L78" s="699">
        <v>185</v>
      </c>
      <c r="M78" s="699">
        <v>45</v>
      </c>
      <c r="N78" s="1052"/>
      <c r="O78" s="1053">
        <v>1</v>
      </c>
      <c r="P78" s="1053">
        <v>0.65</v>
      </c>
      <c r="Q78" s="1053">
        <v>1.7</v>
      </c>
      <c r="R78" s="1053">
        <v>2.6</v>
      </c>
      <c r="S78" s="1053">
        <v>0.37</v>
      </c>
      <c r="T78" s="1053"/>
      <c r="U78" s="699">
        <v>190000</v>
      </c>
      <c r="V78" s="699">
        <v>4000</v>
      </c>
      <c r="W78" s="1054">
        <f t="shared" si="3"/>
        <v>2800</v>
      </c>
      <c r="X78" s="1053">
        <v>3</v>
      </c>
      <c r="Y78" s="1055" t="s">
        <v>2499</v>
      </c>
    </row>
    <row r="79" spans="1:25">
      <c r="A79" s="700" t="s">
        <v>2481</v>
      </c>
      <c r="B79" s="702" t="s">
        <v>328</v>
      </c>
      <c r="C79" s="699">
        <v>90</v>
      </c>
      <c r="D79" s="699">
        <v>140</v>
      </c>
      <c r="E79" s="699">
        <v>350</v>
      </c>
      <c r="F79" s="699">
        <v>410</v>
      </c>
      <c r="G79" s="699">
        <v>120</v>
      </c>
      <c r="H79" s="699">
        <v>271</v>
      </c>
      <c r="I79" s="699">
        <v>26</v>
      </c>
      <c r="J79" s="699">
        <v>24</v>
      </c>
      <c r="K79" s="699">
        <v>26.2</v>
      </c>
      <c r="L79" s="699">
        <v>185</v>
      </c>
      <c r="M79" s="699">
        <v>45</v>
      </c>
      <c r="N79" s="1059"/>
      <c r="O79" s="1053">
        <v>1</v>
      </c>
      <c r="P79" s="1053">
        <v>0.67</v>
      </c>
      <c r="Q79" s="1053">
        <v>2.8</v>
      </c>
      <c r="R79" s="1053">
        <v>4.2</v>
      </c>
      <c r="S79" s="1053">
        <v>0.24</v>
      </c>
      <c r="T79" s="1053"/>
      <c r="U79" s="699">
        <v>425000</v>
      </c>
      <c r="V79" s="699">
        <v>3400</v>
      </c>
      <c r="W79" s="1054">
        <f t="shared" si="3"/>
        <v>2380</v>
      </c>
      <c r="X79" s="1053">
        <f>10/3</f>
        <v>3.3333333333333335</v>
      </c>
      <c r="Y79" s="1055" t="s">
        <v>2499</v>
      </c>
    </row>
    <row r="80" spans="1:25">
      <c r="A80" s="700" t="s">
        <v>2482</v>
      </c>
      <c r="B80" s="702" t="s">
        <v>328</v>
      </c>
      <c r="C80" s="699">
        <v>90</v>
      </c>
      <c r="D80" s="699">
        <v>140</v>
      </c>
      <c r="E80" s="699">
        <v>350</v>
      </c>
      <c r="F80" s="699">
        <v>410</v>
      </c>
      <c r="G80" s="699">
        <v>120</v>
      </c>
      <c r="H80" s="699">
        <v>271</v>
      </c>
      <c r="I80" s="699">
        <v>26</v>
      </c>
      <c r="J80" s="699">
        <v>24</v>
      </c>
      <c r="K80" s="699">
        <v>26.2</v>
      </c>
      <c r="L80" s="699">
        <v>185</v>
      </c>
      <c r="M80" s="699">
        <v>45</v>
      </c>
      <c r="N80" s="1059"/>
      <c r="O80" s="1053">
        <v>1</v>
      </c>
      <c r="P80" s="1053">
        <v>0.67</v>
      </c>
      <c r="Q80" s="1053">
        <v>2</v>
      </c>
      <c r="R80" s="1053">
        <v>3</v>
      </c>
      <c r="S80" s="1053">
        <v>0.33</v>
      </c>
      <c r="T80" s="1053"/>
      <c r="U80" s="699">
        <v>815000</v>
      </c>
      <c r="V80" s="699">
        <v>2400</v>
      </c>
      <c r="W80" s="1054">
        <f t="shared" si="3"/>
        <v>1680</v>
      </c>
      <c r="X80" s="1053">
        <f>10/3</f>
        <v>3.3333333333333335</v>
      </c>
      <c r="Y80" s="1055" t="s">
        <v>2499</v>
      </c>
    </row>
    <row r="81" spans="1:25">
      <c r="A81" s="700" t="s">
        <v>2483</v>
      </c>
      <c r="B81" s="698" t="s">
        <v>327</v>
      </c>
      <c r="C81" s="699">
        <v>100</v>
      </c>
      <c r="D81" s="699">
        <v>125</v>
      </c>
      <c r="E81" s="699">
        <v>350</v>
      </c>
      <c r="F81" s="699">
        <v>410</v>
      </c>
      <c r="G81" s="699">
        <v>120</v>
      </c>
      <c r="H81" s="699">
        <v>242</v>
      </c>
      <c r="I81" s="699">
        <v>26</v>
      </c>
      <c r="J81" s="699">
        <v>24</v>
      </c>
      <c r="K81" s="699">
        <v>22</v>
      </c>
      <c r="L81" s="699">
        <v>175</v>
      </c>
      <c r="M81" s="699">
        <v>45</v>
      </c>
      <c r="N81" s="1052"/>
      <c r="O81" s="1053">
        <v>1</v>
      </c>
      <c r="P81" s="1053">
        <v>0.65</v>
      </c>
      <c r="Q81" s="1053">
        <v>3.7</v>
      </c>
      <c r="R81" s="1053">
        <v>5.7</v>
      </c>
      <c r="S81" s="1053">
        <v>0.17</v>
      </c>
      <c r="T81" s="1053"/>
      <c r="U81" s="699">
        <v>88400</v>
      </c>
      <c r="V81" s="699">
        <v>4300</v>
      </c>
      <c r="W81" s="1054">
        <f t="shared" si="3"/>
        <v>3010</v>
      </c>
      <c r="X81" s="1053">
        <v>3</v>
      </c>
      <c r="Y81" s="1055" t="s">
        <v>2499</v>
      </c>
    </row>
    <row r="82" spans="1:25">
      <c r="A82" s="700" t="s">
        <v>2484</v>
      </c>
      <c r="B82" s="698" t="s">
        <v>327</v>
      </c>
      <c r="C82" s="699">
        <v>100</v>
      </c>
      <c r="D82" s="699">
        <v>125</v>
      </c>
      <c r="E82" s="699">
        <v>350</v>
      </c>
      <c r="F82" s="699">
        <v>410</v>
      </c>
      <c r="G82" s="699">
        <v>120</v>
      </c>
      <c r="H82" s="699">
        <v>242</v>
      </c>
      <c r="I82" s="699">
        <v>26</v>
      </c>
      <c r="J82" s="699">
        <v>24</v>
      </c>
      <c r="K82" s="699">
        <v>22</v>
      </c>
      <c r="L82" s="699">
        <v>175</v>
      </c>
      <c r="M82" s="699">
        <v>45</v>
      </c>
      <c r="N82" s="1052"/>
      <c r="O82" s="1053">
        <v>1</v>
      </c>
      <c r="P82" s="1053">
        <v>0.65</v>
      </c>
      <c r="Q82" s="1053">
        <v>2.2000000000000002</v>
      </c>
      <c r="R82" s="1053">
        <v>3.5</v>
      </c>
      <c r="S82" s="1053">
        <v>0.28000000000000003</v>
      </c>
      <c r="T82" s="1053"/>
      <c r="U82" s="699">
        <v>124000</v>
      </c>
      <c r="V82" s="699">
        <v>4300</v>
      </c>
      <c r="W82" s="1054">
        <f t="shared" si="3"/>
        <v>3010</v>
      </c>
      <c r="X82" s="1053">
        <v>3</v>
      </c>
      <c r="Y82" s="1055" t="s">
        <v>2499</v>
      </c>
    </row>
    <row r="83" spans="1:25">
      <c r="A83" s="700" t="s">
        <v>2485</v>
      </c>
      <c r="B83" s="702" t="s">
        <v>327</v>
      </c>
      <c r="C83" s="699">
        <v>100</v>
      </c>
      <c r="D83" s="699">
        <v>125</v>
      </c>
      <c r="E83" s="699">
        <v>350</v>
      </c>
      <c r="F83" s="699">
        <v>410</v>
      </c>
      <c r="G83" s="699">
        <v>120</v>
      </c>
      <c r="H83" s="699">
        <v>242</v>
      </c>
      <c r="I83" s="699">
        <v>26</v>
      </c>
      <c r="J83" s="699">
        <v>24</v>
      </c>
      <c r="K83" s="699">
        <v>22</v>
      </c>
      <c r="L83" s="699">
        <v>175</v>
      </c>
      <c r="M83" s="699">
        <v>45</v>
      </c>
      <c r="N83" s="1059"/>
      <c r="O83" s="1053">
        <v>1</v>
      </c>
      <c r="P83" s="1053">
        <v>0.67</v>
      </c>
      <c r="Q83" s="1053">
        <v>2.7</v>
      </c>
      <c r="R83" s="1053">
        <v>4</v>
      </c>
      <c r="S83" s="1053">
        <v>0.25</v>
      </c>
      <c r="T83" s="1053"/>
      <c r="U83" s="699">
        <v>560000</v>
      </c>
      <c r="V83" s="699">
        <v>3000</v>
      </c>
      <c r="W83" s="1054">
        <f t="shared" si="3"/>
        <v>2100</v>
      </c>
      <c r="X83" s="1053">
        <f>10/3</f>
        <v>3.3333333333333335</v>
      </c>
      <c r="Y83" s="1055" t="s">
        <v>2499</v>
      </c>
    </row>
    <row r="84" spans="1:25">
      <c r="A84" s="700" t="s">
        <v>2485</v>
      </c>
      <c r="B84" s="702" t="s">
        <v>311</v>
      </c>
      <c r="C84" s="699">
        <v>100</v>
      </c>
      <c r="D84" s="699">
        <v>160</v>
      </c>
      <c r="E84" s="699">
        <v>347</v>
      </c>
      <c r="F84" s="699">
        <v>420</v>
      </c>
      <c r="G84" s="699">
        <v>145</v>
      </c>
      <c r="H84" s="699">
        <v>290</v>
      </c>
      <c r="I84" s="699">
        <v>26</v>
      </c>
      <c r="J84" s="699">
        <v>24</v>
      </c>
      <c r="K84" s="699">
        <v>53</v>
      </c>
      <c r="L84" s="699">
        <v>213</v>
      </c>
      <c r="M84" s="699">
        <v>50</v>
      </c>
      <c r="N84" s="1059"/>
      <c r="O84" s="1053">
        <v>1</v>
      </c>
      <c r="P84" s="1053">
        <v>0.67</v>
      </c>
      <c r="Q84" s="1053">
        <v>2.7</v>
      </c>
      <c r="R84" s="1053">
        <v>4</v>
      </c>
      <c r="S84" s="1053">
        <v>0.25</v>
      </c>
      <c r="T84" s="1053"/>
      <c r="U84" s="1058">
        <v>560000</v>
      </c>
      <c r="V84" s="1058">
        <v>3000</v>
      </c>
      <c r="W84" s="1054">
        <f>V84*IF(Y84="Grease",0.7,0.75)</f>
        <v>2250</v>
      </c>
      <c r="X84" s="1053">
        <f>10/3</f>
        <v>3.3333333333333335</v>
      </c>
      <c r="Y84" s="1055" t="s">
        <v>2506</v>
      </c>
    </row>
    <row r="85" spans="1:25">
      <c r="A85" s="700" t="s">
        <v>2486</v>
      </c>
      <c r="B85" s="702" t="s">
        <v>327</v>
      </c>
      <c r="C85" s="699">
        <v>100</v>
      </c>
      <c r="D85" s="699">
        <v>125</v>
      </c>
      <c r="E85" s="699">
        <v>350</v>
      </c>
      <c r="F85" s="699">
        <v>410</v>
      </c>
      <c r="G85" s="699">
        <v>120</v>
      </c>
      <c r="H85" s="699">
        <v>242</v>
      </c>
      <c r="I85" s="699">
        <v>26</v>
      </c>
      <c r="J85" s="699">
        <v>24</v>
      </c>
      <c r="K85" s="699">
        <v>22</v>
      </c>
      <c r="L85" s="699">
        <v>175</v>
      </c>
      <c r="M85" s="699">
        <v>45</v>
      </c>
      <c r="N85" s="1059"/>
      <c r="O85" s="1053">
        <v>1</v>
      </c>
      <c r="P85" s="1053">
        <v>0.67</v>
      </c>
      <c r="Q85" s="1053">
        <v>2</v>
      </c>
      <c r="R85" s="1053">
        <v>3</v>
      </c>
      <c r="S85" s="1053">
        <v>0.33</v>
      </c>
      <c r="T85" s="1053"/>
      <c r="U85" s="699">
        <v>600000</v>
      </c>
      <c r="V85" s="699">
        <v>2200</v>
      </c>
      <c r="W85" s="1054">
        <f t="shared" si="3"/>
        <v>1540</v>
      </c>
      <c r="X85" s="1053">
        <f>10/3</f>
        <v>3.3333333333333335</v>
      </c>
      <c r="Y85" s="1055" t="s">
        <v>2499</v>
      </c>
    </row>
    <row r="86" spans="1:25">
      <c r="A86" s="700" t="s">
        <v>2504</v>
      </c>
      <c r="B86" s="1054" t="s">
        <v>2632</v>
      </c>
      <c r="C86" s="699">
        <v>100</v>
      </c>
      <c r="D86" s="1054">
        <v>125</v>
      </c>
      <c r="E86" s="1054">
        <v>350</v>
      </c>
      <c r="F86" s="1054">
        <v>410</v>
      </c>
      <c r="G86" s="1054">
        <v>120</v>
      </c>
      <c r="H86" s="1054">
        <v>242</v>
      </c>
      <c r="I86" s="1054">
        <v>26</v>
      </c>
      <c r="J86" s="1054">
        <v>24</v>
      </c>
      <c r="K86" s="1054">
        <v>22</v>
      </c>
      <c r="L86" s="1054">
        <v>175</v>
      </c>
      <c r="M86" s="1054">
        <v>45</v>
      </c>
      <c r="N86" s="1052"/>
      <c r="O86" s="1053">
        <v>1</v>
      </c>
      <c r="P86" s="1053">
        <v>0.65</v>
      </c>
      <c r="Q86" s="1053">
        <v>2.9</v>
      </c>
      <c r="R86" s="1053">
        <v>4.5</v>
      </c>
      <c r="S86" s="1053">
        <v>0.22</v>
      </c>
      <c r="T86" s="1053"/>
      <c r="U86" s="699">
        <v>163000</v>
      </c>
      <c r="V86" s="699">
        <v>3600</v>
      </c>
      <c r="W86" s="1054">
        <f t="shared" si="3"/>
        <v>2520</v>
      </c>
      <c r="X86" s="1053">
        <v>3</v>
      </c>
      <c r="Y86" s="1055" t="s">
        <v>2499</v>
      </c>
    </row>
    <row r="87" spans="1:25">
      <c r="A87" s="700" t="s">
        <v>2505</v>
      </c>
      <c r="B87" s="1054" t="s">
        <v>2632</v>
      </c>
      <c r="C87" s="699">
        <v>100</v>
      </c>
      <c r="D87" s="1054">
        <v>160</v>
      </c>
      <c r="E87" s="1054">
        <v>347</v>
      </c>
      <c r="F87" s="1054">
        <v>420</v>
      </c>
      <c r="G87" s="1054">
        <v>145</v>
      </c>
      <c r="H87" s="1054">
        <v>290</v>
      </c>
      <c r="I87" s="1054">
        <v>26</v>
      </c>
      <c r="J87" s="1054">
        <v>24</v>
      </c>
      <c r="K87" s="1054">
        <v>53</v>
      </c>
      <c r="L87" s="1054">
        <v>213</v>
      </c>
      <c r="M87" s="1054">
        <v>50</v>
      </c>
      <c r="N87" s="1059"/>
      <c r="O87" s="1053">
        <v>1</v>
      </c>
      <c r="P87" s="1053">
        <v>0.67</v>
      </c>
      <c r="Q87" s="1053">
        <v>2</v>
      </c>
      <c r="R87" s="1053">
        <v>3</v>
      </c>
      <c r="S87" s="1053">
        <v>0.33</v>
      </c>
      <c r="T87" s="1053"/>
      <c r="U87" s="699">
        <v>950000</v>
      </c>
      <c r="V87" s="699">
        <v>2000</v>
      </c>
      <c r="W87" s="1054">
        <f t="shared" si="3"/>
        <v>1400</v>
      </c>
      <c r="X87" s="1053">
        <f t="shared" ref="X87:X110" si="4">10/3</f>
        <v>3.3333333333333335</v>
      </c>
      <c r="Y87" s="1055" t="s">
        <v>2499</v>
      </c>
    </row>
    <row r="88" spans="1:25">
      <c r="A88" s="700" t="s">
        <v>2487</v>
      </c>
      <c r="B88" s="702" t="s">
        <v>328</v>
      </c>
      <c r="C88" s="699">
        <v>110</v>
      </c>
      <c r="D88" s="699">
        <v>140</v>
      </c>
      <c r="E88" s="699">
        <v>350</v>
      </c>
      <c r="F88" s="699">
        <v>410</v>
      </c>
      <c r="G88" s="699">
        <v>120</v>
      </c>
      <c r="H88" s="699">
        <v>271</v>
      </c>
      <c r="I88" s="699">
        <v>26</v>
      </c>
      <c r="J88" s="699">
        <v>24</v>
      </c>
      <c r="K88" s="699">
        <v>26.2</v>
      </c>
      <c r="L88" s="699">
        <v>185</v>
      </c>
      <c r="M88" s="699">
        <v>45</v>
      </c>
      <c r="N88" s="1059"/>
      <c r="O88" s="1053">
        <v>1</v>
      </c>
      <c r="P88" s="1053">
        <v>0.67</v>
      </c>
      <c r="Q88" s="1053">
        <v>2.6</v>
      </c>
      <c r="R88" s="1053">
        <v>3.9</v>
      </c>
      <c r="S88" s="1053">
        <v>0.26</v>
      </c>
      <c r="T88" s="1053"/>
      <c r="U88" s="699">
        <v>630000</v>
      </c>
      <c r="V88" s="699">
        <v>2800</v>
      </c>
      <c r="W88" s="1054">
        <f t="shared" si="3"/>
        <v>1959.9999999999998</v>
      </c>
      <c r="X88" s="1053">
        <f t="shared" si="4"/>
        <v>3.3333333333333335</v>
      </c>
      <c r="Y88" s="1055" t="s">
        <v>2499</v>
      </c>
    </row>
    <row r="89" spans="1:25">
      <c r="A89" s="700" t="s">
        <v>2487</v>
      </c>
      <c r="B89" s="702" t="s">
        <v>312</v>
      </c>
      <c r="C89" s="699">
        <v>110</v>
      </c>
      <c r="D89" s="699">
        <v>170</v>
      </c>
      <c r="E89" s="699">
        <v>347</v>
      </c>
      <c r="F89" s="699">
        <v>420</v>
      </c>
      <c r="G89" s="699">
        <v>170</v>
      </c>
      <c r="H89" s="699">
        <v>315</v>
      </c>
      <c r="I89" s="699">
        <v>26</v>
      </c>
      <c r="J89" s="699">
        <v>24</v>
      </c>
      <c r="K89" s="699">
        <v>72</v>
      </c>
      <c r="L89" s="699">
        <v>245</v>
      </c>
      <c r="M89" s="699">
        <v>55</v>
      </c>
      <c r="N89" s="1059"/>
      <c r="O89" s="1053">
        <v>1</v>
      </c>
      <c r="P89" s="1053">
        <v>0.67</v>
      </c>
      <c r="Q89" s="1053">
        <v>2.6</v>
      </c>
      <c r="R89" s="1053">
        <v>3.9</v>
      </c>
      <c r="S89" s="1053">
        <v>0.26</v>
      </c>
      <c r="T89" s="1053"/>
      <c r="U89" s="1058">
        <v>630000</v>
      </c>
      <c r="V89" s="1058">
        <v>2800</v>
      </c>
      <c r="W89" s="1054">
        <f>V89*IF(Y89="Grease",0.7,0.75)</f>
        <v>2100</v>
      </c>
      <c r="X89" s="1053">
        <f t="shared" si="4"/>
        <v>3.3333333333333335</v>
      </c>
      <c r="Y89" s="1055" t="s">
        <v>2506</v>
      </c>
    </row>
    <row r="90" spans="1:25">
      <c r="A90" s="700" t="s">
        <v>2488</v>
      </c>
      <c r="B90" s="702" t="s">
        <v>328</v>
      </c>
      <c r="C90" s="699">
        <v>110</v>
      </c>
      <c r="D90" s="699">
        <v>140</v>
      </c>
      <c r="E90" s="699">
        <v>350</v>
      </c>
      <c r="F90" s="699">
        <v>410</v>
      </c>
      <c r="G90" s="699">
        <v>120</v>
      </c>
      <c r="H90" s="699">
        <v>271</v>
      </c>
      <c r="I90" s="699">
        <v>26</v>
      </c>
      <c r="J90" s="699">
        <v>24</v>
      </c>
      <c r="K90" s="699">
        <v>26.2</v>
      </c>
      <c r="L90" s="699">
        <v>185</v>
      </c>
      <c r="M90" s="699">
        <v>45</v>
      </c>
      <c r="N90" s="1059"/>
      <c r="O90" s="1053">
        <v>1</v>
      </c>
      <c r="P90" s="1053">
        <v>0.67</v>
      </c>
      <c r="Q90" s="1053">
        <v>1.9</v>
      </c>
      <c r="R90" s="1053">
        <v>2.9</v>
      </c>
      <c r="S90" s="1053">
        <v>0.35</v>
      </c>
      <c r="T90" s="1053"/>
      <c r="U90" s="699">
        <v>695000</v>
      </c>
      <c r="V90" s="699">
        <v>2000</v>
      </c>
      <c r="W90" s="1054">
        <f t="shared" si="3"/>
        <v>1400</v>
      </c>
      <c r="X90" s="1053">
        <f t="shared" si="4"/>
        <v>3.3333333333333335</v>
      </c>
      <c r="Y90" s="1055" t="s">
        <v>2499</v>
      </c>
    </row>
    <row r="91" spans="1:25">
      <c r="A91" s="700" t="s">
        <v>2489</v>
      </c>
      <c r="B91" s="702" t="s">
        <v>329</v>
      </c>
      <c r="C91" s="699">
        <v>115</v>
      </c>
      <c r="D91" s="699">
        <v>150</v>
      </c>
      <c r="E91" s="699">
        <v>380</v>
      </c>
      <c r="F91" s="699">
        <v>445</v>
      </c>
      <c r="G91" s="699">
        <v>130</v>
      </c>
      <c r="H91" s="699">
        <v>290</v>
      </c>
      <c r="I91" s="699">
        <v>28</v>
      </c>
      <c r="J91" s="699">
        <v>24</v>
      </c>
      <c r="K91" s="699">
        <v>33</v>
      </c>
      <c r="L91" s="699">
        <v>190</v>
      </c>
      <c r="M91" s="699">
        <v>50</v>
      </c>
      <c r="N91" s="1059"/>
      <c r="O91" s="1053">
        <v>1</v>
      </c>
      <c r="P91" s="1053">
        <v>0.67</v>
      </c>
      <c r="Q91" s="1053">
        <v>2.5</v>
      </c>
      <c r="R91" s="1053">
        <v>3.7</v>
      </c>
      <c r="S91" s="1053">
        <v>0.27</v>
      </c>
      <c r="T91" s="1053"/>
      <c r="U91" s="699">
        <v>735000</v>
      </c>
      <c r="V91" s="699">
        <v>2600</v>
      </c>
      <c r="W91" s="1054">
        <f t="shared" si="3"/>
        <v>1819.9999999999998</v>
      </c>
      <c r="X91" s="1053">
        <f t="shared" si="4"/>
        <v>3.3333333333333335</v>
      </c>
      <c r="Y91" s="1055" t="s">
        <v>2499</v>
      </c>
    </row>
    <row r="92" spans="1:25">
      <c r="A92" s="700" t="s">
        <v>2489</v>
      </c>
      <c r="B92" s="702" t="s">
        <v>313</v>
      </c>
      <c r="C92" s="699">
        <v>115</v>
      </c>
      <c r="D92" s="699">
        <v>180</v>
      </c>
      <c r="E92" s="699">
        <v>377</v>
      </c>
      <c r="F92" s="699">
        <v>450</v>
      </c>
      <c r="G92" s="699">
        <v>180</v>
      </c>
      <c r="H92" s="699">
        <v>335</v>
      </c>
      <c r="I92" s="699">
        <v>28</v>
      </c>
      <c r="J92" s="699">
        <v>24</v>
      </c>
      <c r="K92" s="699">
        <v>87</v>
      </c>
      <c r="L92" s="699">
        <v>255</v>
      </c>
      <c r="M92" s="699">
        <v>60</v>
      </c>
      <c r="N92" s="1059"/>
      <c r="O92" s="1053">
        <v>1</v>
      </c>
      <c r="P92" s="1053">
        <v>0.67</v>
      </c>
      <c r="Q92" s="1053">
        <v>2.5</v>
      </c>
      <c r="R92" s="1053">
        <v>3.7</v>
      </c>
      <c r="S92" s="1053">
        <v>0.27</v>
      </c>
      <c r="T92" s="1053"/>
      <c r="U92" s="1058">
        <v>735000</v>
      </c>
      <c r="V92" s="1058">
        <v>2600</v>
      </c>
      <c r="W92" s="1054">
        <f>V92*IF(Y92="Grease",0.7,0.75)</f>
        <v>1950</v>
      </c>
      <c r="X92" s="1053">
        <f t="shared" si="4"/>
        <v>3.3333333333333335</v>
      </c>
      <c r="Y92" s="1055" t="s">
        <v>2506</v>
      </c>
    </row>
    <row r="93" spans="1:25">
      <c r="A93" s="700" t="s">
        <v>2490</v>
      </c>
      <c r="B93" s="702" t="s">
        <v>329</v>
      </c>
      <c r="C93" s="699">
        <v>115</v>
      </c>
      <c r="D93" s="699">
        <v>150</v>
      </c>
      <c r="E93" s="699">
        <v>380</v>
      </c>
      <c r="F93" s="699">
        <v>445</v>
      </c>
      <c r="G93" s="699">
        <v>130</v>
      </c>
      <c r="H93" s="699">
        <v>290</v>
      </c>
      <c r="I93" s="699">
        <v>28</v>
      </c>
      <c r="J93" s="699">
        <v>24</v>
      </c>
      <c r="K93" s="699">
        <v>33</v>
      </c>
      <c r="L93" s="699">
        <v>190</v>
      </c>
      <c r="M93" s="699">
        <v>50</v>
      </c>
      <c r="N93" s="1059"/>
      <c r="O93" s="1053">
        <v>1</v>
      </c>
      <c r="P93" s="1053">
        <v>0.67</v>
      </c>
      <c r="Q93" s="1053">
        <v>2</v>
      </c>
      <c r="R93" s="1053">
        <v>3</v>
      </c>
      <c r="S93" s="1053">
        <v>0.33</v>
      </c>
      <c r="T93" s="1053"/>
      <c r="U93" s="699">
        <v>780000</v>
      </c>
      <c r="V93" s="699">
        <v>1900</v>
      </c>
      <c r="W93" s="1054">
        <f t="shared" si="3"/>
        <v>1330</v>
      </c>
      <c r="X93" s="1053">
        <f t="shared" si="4"/>
        <v>3.3333333333333335</v>
      </c>
      <c r="Y93" s="1055" t="s">
        <v>2499</v>
      </c>
    </row>
    <row r="94" spans="1:25">
      <c r="A94" s="700" t="s">
        <v>2491</v>
      </c>
      <c r="B94" s="702" t="s">
        <v>330</v>
      </c>
      <c r="C94" s="699">
        <v>125</v>
      </c>
      <c r="D94" s="699">
        <v>150</v>
      </c>
      <c r="E94" s="699">
        <v>420</v>
      </c>
      <c r="F94" s="699">
        <v>500</v>
      </c>
      <c r="G94" s="699">
        <v>150</v>
      </c>
      <c r="H94" s="699">
        <v>302</v>
      </c>
      <c r="I94" s="699">
        <v>35</v>
      </c>
      <c r="J94" s="699">
        <v>30</v>
      </c>
      <c r="K94" s="699">
        <v>40</v>
      </c>
      <c r="L94" s="699">
        <v>205</v>
      </c>
      <c r="M94" s="699">
        <v>50</v>
      </c>
      <c r="N94" s="1059"/>
      <c r="O94" s="1053">
        <v>1</v>
      </c>
      <c r="P94" s="1053">
        <v>0.67</v>
      </c>
      <c r="Q94" s="1053">
        <v>2.6</v>
      </c>
      <c r="R94" s="1053">
        <v>3.9</v>
      </c>
      <c r="S94" s="1053">
        <v>0.26</v>
      </c>
      <c r="T94" s="1053"/>
      <c r="U94" s="699">
        <v>710000</v>
      </c>
      <c r="V94" s="699">
        <v>2400</v>
      </c>
      <c r="W94" s="1054">
        <f t="shared" si="3"/>
        <v>1680</v>
      </c>
      <c r="X94" s="1053">
        <f t="shared" si="4"/>
        <v>3.3333333333333335</v>
      </c>
      <c r="Y94" s="1055" t="s">
        <v>2499</v>
      </c>
    </row>
    <row r="95" spans="1:25">
      <c r="A95" s="700" t="s">
        <v>2491</v>
      </c>
      <c r="B95" s="702" t="s">
        <v>314</v>
      </c>
      <c r="C95" s="699">
        <v>125</v>
      </c>
      <c r="D95" s="699">
        <v>190</v>
      </c>
      <c r="E95" s="699">
        <v>415</v>
      </c>
      <c r="F95" s="699">
        <v>500</v>
      </c>
      <c r="G95" s="699">
        <v>190</v>
      </c>
      <c r="H95" s="699">
        <v>355</v>
      </c>
      <c r="I95" s="699">
        <v>35</v>
      </c>
      <c r="J95" s="699">
        <v>30</v>
      </c>
      <c r="K95" s="699">
        <v>102</v>
      </c>
      <c r="L95" s="699">
        <v>260</v>
      </c>
      <c r="M95" s="699">
        <v>65</v>
      </c>
      <c r="N95" s="1059"/>
      <c r="O95" s="1053">
        <v>1</v>
      </c>
      <c r="P95" s="1053">
        <v>0.67</v>
      </c>
      <c r="Q95" s="1053">
        <v>2.6</v>
      </c>
      <c r="R95" s="1053">
        <v>3.9</v>
      </c>
      <c r="S95" s="1053">
        <v>0.26</v>
      </c>
      <c r="T95" s="1053"/>
      <c r="U95" s="1058">
        <v>710000</v>
      </c>
      <c r="V95" s="1058">
        <v>2400</v>
      </c>
      <c r="W95" s="1054">
        <f>V95*IF(Y95="Grease",0.7,0.75)</f>
        <v>1800</v>
      </c>
      <c r="X95" s="1053">
        <f t="shared" si="4"/>
        <v>3.3333333333333335</v>
      </c>
      <c r="Y95" s="1055" t="s">
        <v>2506</v>
      </c>
    </row>
    <row r="96" spans="1:25">
      <c r="A96" s="700" t="s">
        <v>2508</v>
      </c>
      <c r="B96" s="702" t="s">
        <v>330</v>
      </c>
      <c r="C96" s="699">
        <v>125</v>
      </c>
      <c r="D96" s="699">
        <v>150</v>
      </c>
      <c r="E96" s="699">
        <v>420</v>
      </c>
      <c r="F96" s="699">
        <v>500</v>
      </c>
      <c r="G96" s="699">
        <v>150</v>
      </c>
      <c r="H96" s="699">
        <v>302</v>
      </c>
      <c r="I96" s="699">
        <v>35</v>
      </c>
      <c r="J96" s="699">
        <v>30</v>
      </c>
      <c r="K96" s="699">
        <v>40</v>
      </c>
      <c r="L96" s="699">
        <v>205</v>
      </c>
      <c r="M96" s="699">
        <v>50</v>
      </c>
      <c r="N96" s="1059"/>
      <c r="O96" s="1053">
        <v>1</v>
      </c>
      <c r="P96" s="1053">
        <v>0.67</v>
      </c>
      <c r="Q96" s="1053">
        <v>2</v>
      </c>
      <c r="R96" s="1053">
        <v>3</v>
      </c>
      <c r="S96" s="1053">
        <v>0.33</v>
      </c>
      <c r="T96" s="1053"/>
      <c r="U96" s="699">
        <v>915000</v>
      </c>
      <c r="V96" s="699">
        <v>1700</v>
      </c>
      <c r="W96" s="1054">
        <f t="shared" si="3"/>
        <v>1190</v>
      </c>
      <c r="X96" s="1053">
        <f t="shared" si="4"/>
        <v>3.3333333333333335</v>
      </c>
      <c r="Y96" s="1055" t="s">
        <v>2499</v>
      </c>
    </row>
    <row r="97" spans="1:25">
      <c r="A97" s="700" t="s">
        <v>2492</v>
      </c>
      <c r="B97" s="702" t="s">
        <v>331</v>
      </c>
      <c r="C97" s="699">
        <v>135</v>
      </c>
      <c r="D97" s="699">
        <v>160</v>
      </c>
      <c r="E97" s="699">
        <v>450</v>
      </c>
      <c r="F97" s="699">
        <v>530</v>
      </c>
      <c r="G97" s="699">
        <v>160</v>
      </c>
      <c r="H97" s="699">
        <v>323</v>
      </c>
      <c r="I97" s="699">
        <v>35</v>
      </c>
      <c r="J97" s="699">
        <v>30</v>
      </c>
      <c r="K97" s="699">
        <v>49</v>
      </c>
      <c r="L97" s="699">
        <v>220</v>
      </c>
      <c r="M97" s="699">
        <v>60</v>
      </c>
      <c r="N97" s="1059"/>
      <c r="O97" s="1053">
        <v>1</v>
      </c>
      <c r="P97" s="1053">
        <v>0.67</v>
      </c>
      <c r="Q97" s="1053">
        <v>2.6</v>
      </c>
      <c r="R97" s="1053">
        <v>3.9</v>
      </c>
      <c r="S97" s="1053">
        <v>0.26</v>
      </c>
      <c r="T97" s="1053"/>
      <c r="U97" s="699">
        <v>850000</v>
      </c>
      <c r="V97" s="699">
        <v>2200</v>
      </c>
      <c r="W97" s="1054">
        <f t="shared" si="3"/>
        <v>1540</v>
      </c>
      <c r="X97" s="1053">
        <f t="shared" si="4"/>
        <v>3.3333333333333335</v>
      </c>
      <c r="Y97" s="1055" t="s">
        <v>2499</v>
      </c>
    </row>
    <row r="98" spans="1:25">
      <c r="A98" s="700" t="s">
        <v>2492</v>
      </c>
      <c r="B98" s="702" t="s">
        <v>315</v>
      </c>
      <c r="C98" s="699">
        <v>135</v>
      </c>
      <c r="D98" s="699">
        <v>200</v>
      </c>
      <c r="E98" s="699">
        <v>450</v>
      </c>
      <c r="F98" s="699">
        <v>540</v>
      </c>
      <c r="G98" s="699">
        <v>190</v>
      </c>
      <c r="H98" s="699">
        <v>375</v>
      </c>
      <c r="I98" s="699">
        <v>35</v>
      </c>
      <c r="J98" s="699">
        <v>30</v>
      </c>
      <c r="K98" s="699">
        <v>115</v>
      </c>
      <c r="L98" s="699">
        <v>260</v>
      </c>
      <c r="M98" s="699">
        <v>65</v>
      </c>
      <c r="N98" s="1059"/>
      <c r="O98" s="1053">
        <v>1</v>
      </c>
      <c r="P98" s="1053">
        <v>0.67</v>
      </c>
      <c r="Q98" s="1053">
        <v>2.6</v>
      </c>
      <c r="R98" s="1053">
        <v>3.9</v>
      </c>
      <c r="S98" s="1053">
        <v>0.26</v>
      </c>
      <c r="T98" s="1053"/>
      <c r="U98" s="1058">
        <v>850000</v>
      </c>
      <c r="V98" s="1058">
        <v>2200</v>
      </c>
      <c r="W98" s="1054">
        <f>V98*IF(Y98="Grease",0.7,0.75)</f>
        <v>1650</v>
      </c>
      <c r="X98" s="1053">
        <f t="shared" si="4"/>
        <v>3.3333333333333335</v>
      </c>
      <c r="Y98" s="1055" t="s">
        <v>2506</v>
      </c>
    </row>
    <row r="99" spans="1:25">
      <c r="A99" s="700" t="s">
        <v>2493</v>
      </c>
      <c r="B99" s="702" t="s">
        <v>331</v>
      </c>
      <c r="C99" s="699">
        <v>135</v>
      </c>
      <c r="D99" s="699">
        <v>160</v>
      </c>
      <c r="E99" s="699">
        <v>450</v>
      </c>
      <c r="F99" s="699">
        <v>530</v>
      </c>
      <c r="G99" s="699">
        <v>160</v>
      </c>
      <c r="H99" s="699">
        <v>323</v>
      </c>
      <c r="I99" s="699">
        <v>35</v>
      </c>
      <c r="J99" s="699">
        <v>30</v>
      </c>
      <c r="K99" s="699">
        <v>49</v>
      </c>
      <c r="L99" s="699">
        <v>220</v>
      </c>
      <c r="M99" s="699">
        <v>60</v>
      </c>
      <c r="N99" s="1059"/>
      <c r="O99" s="1053">
        <v>1</v>
      </c>
      <c r="P99" s="1053">
        <v>0.67</v>
      </c>
      <c r="Q99" s="1053">
        <v>1.9</v>
      </c>
      <c r="R99" s="1053">
        <v>2.9</v>
      </c>
      <c r="S99" s="1053">
        <v>0.35</v>
      </c>
      <c r="T99" s="1053"/>
      <c r="U99" s="699">
        <v>1080000</v>
      </c>
      <c r="V99" s="699">
        <v>1600</v>
      </c>
      <c r="W99" s="1054">
        <f t="shared" si="3"/>
        <v>1120</v>
      </c>
      <c r="X99" s="1053">
        <f t="shared" si="4"/>
        <v>3.3333333333333335</v>
      </c>
      <c r="Y99" s="1055" t="s">
        <v>2499</v>
      </c>
    </row>
    <row r="100" spans="1:25">
      <c r="A100" s="700" t="s">
        <v>2494</v>
      </c>
      <c r="B100" s="702" t="s">
        <v>332</v>
      </c>
      <c r="C100" s="699">
        <v>140</v>
      </c>
      <c r="D100" s="699">
        <v>170</v>
      </c>
      <c r="E100" s="699">
        <v>470</v>
      </c>
      <c r="F100" s="699">
        <v>550</v>
      </c>
      <c r="G100" s="699">
        <v>160</v>
      </c>
      <c r="H100" s="699">
        <v>344</v>
      </c>
      <c r="I100" s="699">
        <v>35</v>
      </c>
      <c r="J100" s="699">
        <v>30</v>
      </c>
      <c r="K100" s="699">
        <v>55</v>
      </c>
      <c r="L100" s="699">
        <v>235</v>
      </c>
      <c r="M100" s="699">
        <v>60</v>
      </c>
      <c r="N100" s="1059"/>
      <c r="O100" s="1053">
        <v>1</v>
      </c>
      <c r="P100" s="1053">
        <v>0.67</v>
      </c>
      <c r="Q100" s="1053">
        <v>2.6</v>
      </c>
      <c r="R100" s="1053">
        <v>3.9</v>
      </c>
      <c r="S100" s="1053">
        <v>0.26</v>
      </c>
      <c r="T100" s="1053"/>
      <c r="U100" s="699">
        <v>1000000</v>
      </c>
      <c r="V100" s="699">
        <v>2000</v>
      </c>
      <c r="W100" s="1054">
        <f t="shared" si="3"/>
        <v>1400</v>
      </c>
      <c r="X100" s="1053">
        <f t="shared" si="4"/>
        <v>3.3333333333333335</v>
      </c>
      <c r="Y100" s="1055" t="s">
        <v>2499</v>
      </c>
    </row>
    <row r="101" spans="1:25">
      <c r="A101" s="700" t="s">
        <v>2494</v>
      </c>
      <c r="B101" s="702" t="s">
        <v>316</v>
      </c>
      <c r="C101" s="699">
        <v>140</v>
      </c>
      <c r="D101" s="699">
        <v>215</v>
      </c>
      <c r="E101" s="699">
        <v>470</v>
      </c>
      <c r="F101" s="699">
        <v>560</v>
      </c>
      <c r="G101" s="699">
        <v>205</v>
      </c>
      <c r="H101" s="699">
        <v>406</v>
      </c>
      <c r="I101" s="699">
        <v>35</v>
      </c>
      <c r="J101" s="699">
        <v>30</v>
      </c>
      <c r="K101" s="699">
        <v>141</v>
      </c>
      <c r="L101" s="699">
        <v>278</v>
      </c>
      <c r="M101" s="699">
        <v>65</v>
      </c>
      <c r="N101" s="1059"/>
      <c r="O101" s="1053">
        <v>1</v>
      </c>
      <c r="P101" s="1053">
        <v>0.67</v>
      </c>
      <c r="Q101" s="1053">
        <v>2.6</v>
      </c>
      <c r="R101" s="1053">
        <v>3.9</v>
      </c>
      <c r="S101" s="1053">
        <v>0.26</v>
      </c>
      <c r="T101" s="1053"/>
      <c r="U101" s="1058">
        <v>1000000</v>
      </c>
      <c r="V101" s="1058">
        <v>2000</v>
      </c>
      <c r="W101" s="1054">
        <f>V101*IF(Y101="Grease",0.7,0.75)</f>
        <v>1500</v>
      </c>
      <c r="X101" s="1053">
        <f t="shared" si="4"/>
        <v>3.3333333333333335</v>
      </c>
      <c r="Y101" s="1055" t="s">
        <v>2506</v>
      </c>
    </row>
    <row r="102" spans="1:25">
      <c r="A102" s="700" t="s">
        <v>2495</v>
      </c>
      <c r="B102" s="702" t="s">
        <v>332</v>
      </c>
      <c r="C102" s="699">
        <v>140</v>
      </c>
      <c r="D102" s="699">
        <v>170</v>
      </c>
      <c r="E102" s="699">
        <v>470</v>
      </c>
      <c r="F102" s="699">
        <v>550</v>
      </c>
      <c r="G102" s="699">
        <v>160</v>
      </c>
      <c r="H102" s="699">
        <v>344</v>
      </c>
      <c r="I102" s="699">
        <v>35</v>
      </c>
      <c r="J102" s="699">
        <v>30</v>
      </c>
      <c r="K102" s="699">
        <v>55</v>
      </c>
      <c r="L102" s="699">
        <v>235</v>
      </c>
      <c r="M102" s="699">
        <v>60</v>
      </c>
      <c r="N102" s="1059"/>
      <c r="O102" s="1053">
        <v>1</v>
      </c>
      <c r="P102" s="1053">
        <v>0.67</v>
      </c>
      <c r="Q102" s="1053">
        <v>1.9</v>
      </c>
      <c r="R102" s="1053">
        <v>2.9</v>
      </c>
      <c r="S102" s="1053">
        <v>0.35</v>
      </c>
      <c r="T102" s="1053"/>
      <c r="U102" s="699">
        <v>1220000</v>
      </c>
      <c r="V102" s="699">
        <v>1500</v>
      </c>
      <c r="W102" s="1054">
        <f t="shared" si="3"/>
        <v>1050</v>
      </c>
      <c r="X102" s="1053">
        <f t="shared" si="4"/>
        <v>3.3333333333333335</v>
      </c>
      <c r="Y102" s="1055" t="s">
        <v>2499</v>
      </c>
    </row>
    <row r="103" spans="1:25">
      <c r="A103" s="700" t="s">
        <v>4187</v>
      </c>
      <c r="B103" s="1059" t="s">
        <v>3516</v>
      </c>
      <c r="C103" s="699">
        <v>150</v>
      </c>
      <c r="D103" s="699">
        <v>190</v>
      </c>
      <c r="E103" s="699">
        <v>480</v>
      </c>
      <c r="F103" s="699">
        <v>560</v>
      </c>
      <c r="G103" s="699">
        <v>210</v>
      </c>
      <c r="H103" s="699">
        <v>375</v>
      </c>
      <c r="I103" s="699">
        <v>28</v>
      </c>
      <c r="J103" s="699">
        <v>24</v>
      </c>
      <c r="K103" s="699">
        <v>97.5</v>
      </c>
      <c r="L103" s="699">
        <v>260</v>
      </c>
      <c r="M103" s="699">
        <v>80</v>
      </c>
      <c r="N103" s="1059"/>
      <c r="O103" s="1053">
        <v>1</v>
      </c>
      <c r="P103" s="1053">
        <v>0.67</v>
      </c>
      <c r="Q103" s="1053">
        <v>2.5</v>
      </c>
      <c r="R103" s="1053">
        <v>3.7</v>
      </c>
      <c r="S103" s="1053">
        <v>0.27</v>
      </c>
      <c r="T103" s="1053">
        <v>1460</v>
      </c>
      <c r="U103" s="1058">
        <v>1120000</v>
      </c>
      <c r="V103" s="1058">
        <v>2600</v>
      </c>
      <c r="W103" s="1058">
        <v>1819.9999999999998</v>
      </c>
      <c r="X103" s="1053">
        <f t="shared" si="4"/>
        <v>3.3333333333333335</v>
      </c>
      <c r="Y103" s="1055" t="s">
        <v>3479</v>
      </c>
    </row>
    <row r="104" spans="1:25">
      <c r="A104" s="700" t="s">
        <v>4188</v>
      </c>
      <c r="B104" s="1805" t="s">
        <v>3517</v>
      </c>
      <c r="C104" s="1065">
        <v>160</v>
      </c>
      <c r="D104" s="1065">
        <v>190</v>
      </c>
      <c r="E104" s="1065">
        <v>480</v>
      </c>
      <c r="F104" s="1065">
        <v>560</v>
      </c>
      <c r="G104" s="1065">
        <v>210</v>
      </c>
      <c r="H104" s="1065">
        <v>375</v>
      </c>
      <c r="I104" s="1065">
        <v>28</v>
      </c>
      <c r="J104" s="1065">
        <v>24</v>
      </c>
      <c r="K104" s="1065">
        <v>97.5</v>
      </c>
      <c r="L104" s="1065">
        <v>260</v>
      </c>
      <c r="M104" s="1065">
        <v>80</v>
      </c>
      <c r="N104" s="1806"/>
      <c r="O104" s="1067">
        <v>1</v>
      </c>
      <c r="P104" s="1067">
        <v>0.67</v>
      </c>
      <c r="Q104" s="1067">
        <v>2.6</v>
      </c>
      <c r="R104" s="1067">
        <v>3.9</v>
      </c>
      <c r="S104" s="1067">
        <v>0.26</v>
      </c>
      <c r="T104" s="1067">
        <v>1560</v>
      </c>
      <c r="U104" s="1807">
        <v>1180000</v>
      </c>
      <c r="V104" s="1807">
        <v>2600</v>
      </c>
      <c r="W104" s="1065">
        <v>1819.9999999999998</v>
      </c>
      <c r="X104" s="1067">
        <f t="shared" si="4"/>
        <v>3.3333333333333335</v>
      </c>
      <c r="Y104" s="1055" t="s">
        <v>3479</v>
      </c>
    </row>
    <row r="105" spans="1:25">
      <c r="A105" s="700" t="s">
        <v>4189</v>
      </c>
      <c r="B105" s="702" t="s">
        <v>3518</v>
      </c>
      <c r="C105" s="699">
        <v>170</v>
      </c>
      <c r="D105" s="699">
        <v>210</v>
      </c>
      <c r="E105" s="699">
        <v>510</v>
      </c>
      <c r="F105" s="699">
        <v>610</v>
      </c>
      <c r="G105" s="699">
        <v>230</v>
      </c>
      <c r="H105" s="699">
        <v>411</v>
      </c>
      <c r="I105" s="699">
        <v>35</v>
      </c>
      <c r="J105" s="699">
        <v>30</v>
      </c>
      <c r="K105" s="699">
        <v>123</v>
      </c>
      <c r="L105" s="699">
        <v>280</v>
      </c>
      <c r="M105" s="699">
        <v>85</v>
      </c>
      <c r="N105" s="1059"/>
      <c r="O105" s="1053">
        <v>1</v>
      </c>
      <c r="P105" s="1053">
        <v>0.67</v>
      </c>
      <c r="Q105" s="1053">
        <v>2.6</v>
      </c>
      <c r="R105" s="1053">
        <v>3.9</v>
      </c>
      <c r="S105" s="1053">
        <v>0.26</v>
      </c>
      <c r="T105" s="1053">
        <v>1700</v>
      </c>
      <c r="U105" s="699">
        <v>1270000</v>
      </c>
      <c r="V105" s="699">
        <v>2400</v>
      </c>
      <c r="W105" s="699">
        <v>1680</v>
      </c>
      <c r="X105" s="1053">
        <f t="shared" si="4"/>
        <v>3.3333333333333335</v>
      </c>
      <c r="Y105" s="1055" t="s">
        <v>3479</v>
      </c>
    </row>
    <row r="106" spans="1:25">
      <c r="A106" s="700" t="s">
        <v>4190</v>
      </c>
      <c r="B106" s="702" t="s">
        <v>3519</v>
      </c>
      <c r="C106" s="699">
        <v>180</v>
      </c>
      <c r="D106" s="699">
        <v>220</v>
      </c>
      <c r="E106" s="699">
        <v>540</v>
      </c>
      <c r="F106" s="699">
        <v>640</v>
      </c>
      <c r="G106" s="699">
        <v>240</v>
      </c>
      <c r="H106" s="699">
        <v>434</v>
      </c>
      <c r="I106" s="699">
        <v>35</v>
      </c>
      <c r="J106" s="699">
        <v>30</v>
      </c>
      <c r="K106" s="699">
        <v>139</v>
      </c>
      <c r="L106" s="699">
        <v>290</v>
      </c>
      <c r="M106" s="699">
        <v>90</v>
      </c>
      <c r="N106" s="1059"/>
      <c r="O106" s="1053">
        <v>1</v>
      </c>
      <c r="P106" s="1053">
        <v>0.67</v>
      </c>
      <c r="Q106" s="1053">
        <v>2.6</v>
      </c>
      <c r="R106" s="1053">
        <v>3.9</v>
      </c>
      <c r="S106" s="1053">
        <v>0.26</v>
      </c>
      <c r="T106" s="1053">
        <v>1930</v>
      </c>
      <c r="U106" s="699">
        <v>1460000</v>
      </c>
      <c r="V106" s="699">
        <v>2200</v>
      </c>
      <c r="W106" s="699">
        <v>1540</v>
      </c>
      <c r="X106" s="1053">
        <f t="shared" si="4"/>
        <v>3.3333333333333335</v>
      </c>
      <c r="Y106" s="1055" t="s">
        <v>3479</v>
      </c>
    </row>
    <row r="107" spans="1:25">
      <c r="A107" s="700" t="s">
        <v>4191</v>
      </c>
      <c r="B107" s="702" t="s">
        <v>3520</v>
      </c>
      <c r="C107" s="699">
        <v>200</v>
      </c>
      <c r="D107" s="699">
        <v>240</v>
      </c>
      <c r="E107" s="699">
        <v>600</v>
      </c>
      <c r="F107" s="699">
        <v>700</v>
      </c>
      <c r="G107" s="699">
        <v>260</v>
      </c>
      <c r="H107" s="699">
        <v>474</v>
      </c>
      <c r="I107" s="699">
        <v>35</v>
      </c>
      <c r="J107" s="699">
        <v>30</v>
      </c>
      <c r="K107" s="699">
        <v>187</v>
      </c>
      <c r="L107" s="699">
        <v>310</v>
      </c>
      <c r="M107" s="699">
        <v>95</v>
      </c>
      <c r="N107" s="1059"/>
      <c r="O107" s="1053">
        <v>1</v>
      </c>
      <c r="P107" s="1053">
        <v>0.67</v>
      </c>
      <c r="Q107" s="1053">
        <v>2.5</v>
      </c>
      <c r="R107" s="1053">
        <v>3.7</v>
      </c>
      <c r="S107" s="1053">
        <v>0.27</v>
      </c>
      <c r="T107" s="1053">
        <v>2360</v>
      </c>
      <c r="U107" s="1058">
        <v>1760000</v>
      </c>
      <c r="V107" s="1058">
        <v>2000</v>
      </c>
      <c r="W107" s="699">
        <v>1400</v>
      </c>
      <c r="X107" s="1053">
        <f t="shared" si="4"/>
        <v>3.3333333333333335</v>
      </c>
      <c r="Y107" s="1055" t="s">
        <v>3479</v>
      </c>
    </row>
    <row r="108" spans="1:25">
      <c r="A108" s="700" t="s">
        <v>4192</v>
      </c>
      <c r="B108" s="702" t="s">
        <v>3521</v>
      </c>
      <c r="C108" s="699">
        <v>220</v>
      </c>
      <c r="D108" s="699">
        <v>260</v>
      </c>
      <c r="E108" s="699">
        <v>650</v>
      </c>
      <c r="F108" s="699">
        <v>770</v>
      </c>
      <c r="G108" s="699">
        <v>280</v>
      </c>
      <c r="H108" s="699">
        <v>516</v>
      </c>
      <c r="I108" s="699">
        <v>42</v>
      </c>
      <c r="J108" s="699">
        <v>36</v>
      </c>
      <c r="K108" s="699">
        <v>221</v>
      </c>
      <c r="L108" s="699">
        <v>320</v>
      </c>
      <c r="M108" s="699">
        <v>100</v>
      </c>
      <c r="N108" s="1059"/>
      <c r="O108" s="1053">
        <v>1</v>
      </c>
      <c r="P108" s="1053">
        <v>0.67</v>
      </c>
      <c r="Q108" s="1053">
        <v>2.5</v>
      </c>
      <c r="R108" s="1053">
        <v>3.7</v>
      </c>
      <c r="S108" s="1053">
        <v>0.27</v>
      </c>
      <c r="T108" s="1053">
        <v>3000</v>
      </c>
      <c r="U108" s="699">
        <v>2200000</v>
      </c>
      <c r="V108" s="699">
        <v>1800</v>
      </c>
      <c r="W108" s="699">
        <v>1260</v>
      </c>
      <c r="X108" s="1053">
        <f t="shared" si="4"/>
        <v>3.3333333333333335</v>
      </c>
      <c r="Y108" s="1055" t="s">
        <v>3479</v>
      </c>
    </row>
    <row r="109" spans="1:25">
      <c r="A109" s="700"/>
      <c r="B109" s="702"/>
      <c r="C109" s="699"/>
      <c r="D109" s="1054"/>
      <c r="E109" s="1054"/>
      <c r="F109" s="1054"/>
      <c r="G109" s="1054"/>
      <c r="H109" s="1054"/>
      <c r="I109" s="1054"/>
      <c r="J109" s="1054"/>
      <c r="K109" s="1054"/>
      <c r="L109" s="1054"/>
      <c r="M109" s="1054"/>
      <c r="N109" s="1059"/>
      <c r="O109" s="1810"/>
      <c r="P109" s="1810"/>
      <c r="Q109" s="1810"/>
      <c r="R109" s="1810"/>
      <c r="S109" s="1810"/>
      <c r="T109" s="1810"/>
      <c r="U109" s="1054"/>
      <c r="V109" s="1054"/>
      <c r="W109" s="1054">
        <f t="shared" ref="W109:W110" si="5">V109*IF(Y109="Grease",0.7,0.75)</f>
        <v>0</v>
      </c>
      <c r="X109" s="1810">
        <f t="shared" si="4"/>
        <v>3.3333333333333335</v>
      </c>
      <c r="Y109" s="1809" t="s">
        <v>3479</v>
      </c>
    </row>
    <row r="110" spans="1:25" ht="12.75" thickBot="1">
      <c r="A110" s="703"/>
      <c r="B110" s="1060"/>
      <c r="C110" s="1062"/>
      <c r="D110" s="1832"/>
      <c r="E110" s="1832"/>
      <c r="F110" s="1832"/>
      <c r="G110" s="1832"/>
      <c r="H110" s="1832"/>
      <c r="I110" s="1832"/>
      <c r="J110" s="1832"/>
      <c r="K110" s="1832"/>
      <c r="L110" s="1832"/>
      <c r="M110" s="1832"/>
      <c r="N110" s="1060"/>
      <c r="O110" s="1811"/>
      <c r="P110" s="1811"/>
      <c r="Q110" s="1811"/>
      <c r="R110" s="1811"/>
      <c r="S110" s="1811"/>
      <c r="T110" s="1811"/>
      <c r="U110" s="1061"/>
      <c r="V110" s="1061"/>
      <c r="W110" s="1061">
        <f t="shared" si="5"/>
        <v>0</v>
      </c>
      <c r="X110" s="1811">
        <f t="shared" si="4"/>
        <v>3.3333333333333335</v>
      </c>
      <c r="Y110" s="1812" t="s">
        <v>3479</v>
      </c>
    </row>
    <row r="111" spans="1:25">
      <c r="A111" s="1079"/>
      <c r="B111" s="1050"/>
      <c r="C111" s="1050"/>
      <c r="D111" s="1050"/>
      <c r="E111" s="1050"/>
      <c r="F111" s="1050"/>
      <c r="G111" s="1050"/>
    </row>
    <row r="112" spans="1:25">
      <c r="A112" s="1079"/>
      <c r="B112" s="1050"/>
      <c r="C112" s="1050"/>
      <c r="D112" s="1050"/>
      <c r="E112" s="1050"/>
      <c r="F112" s="1050"/>
      <c r="G112" s="1050"/>
    </row>
    <row r="113" spans="1:25">
      <c r="A113" s="1079"/>
      <c r="B113" s="1050"/>
      <c r="C113" s="1050"/>
      <c r="D113" s="1050"/>
      <c r="E113" s="1050"/>
      <c r="F113" s="1050"/>
      <c r="G113" s="1050"/>
    </row>
    <row r="114" spans="1:25">
      <c r="A114" s="1079"/>
      <c r="B114" s="1050"/>
      <c r="C114" s="1050"/>
      <c r="D114" s="1050"/>
      <c r="E114" s="1050"/>
      <c r="F114" s="1050"/>
      <c r="G114" s="1050"/>
    </row>
    <row r="115" spans="1:25">
      <c r="A115" s="1079"/>
      <c r="B115" s="1050"/>
      <c r="C115" s="1050"/>
      <c r="D115" s="1050"/>
      <c r="E115" s="1050"/>
      <c r="F115" s="1050"/>
      <c r="G115" s="1050"/>
    </row>
    <row r="116" spans="1:25">
      <c r="A116" s="1079"/>
      <c r="B116" s="1050"/>
      <c r="C116" s="1050"/>
      <c r="D116" s="1050"/>
      <c r="E116" s="1050"/>
      <c r="F116" s="1050"/>
      <c r="G116" s="1050"/>
    </row>
    <row r="117" spans="1:25">
      <c r="A117" s="1079"/>
      <c r="B117" s="1050"/>
      <c r="C117" s="1050"/>
      <c r="D117" s="1050"/>
      <c r="E117" s="1050"/>
      <c r="F117" s="1050"/>
      <c r="G117" s="1050"/>
    </row>
    <row r="118" spans="1:25">
      <c r="A118" s="1079"/>
      <c r="B118" s="1050"/>
      <c r="C118" s="1050"/>
      <c r="D118" s="1050"/>
      <c r="E118" s="1050"/>
      <c r="F118" s="1050"/>
      <c r="G118" s="1050"/>
    </row>
    <row r="119" spans="1:25">
      <c r="A119" s="1079"/>
      <c r="B119" s="1050"/>
      <c r="C119" s="1050"/>
      <c r="D119" s="1050"/>
      <c r="E119" s="1050"/>
      <c r="F119" s="1050"/>
      <c r="G119" s="1050"/>
    </row>
    <row r="120" spans="1:25" ht="12.75" thickBot="1">
      <c r="A120" s="2028" t="s">
        <v>56</v>
      </c>
      <c r="B120" s="1079"/>
      <c r="C120" s="1050"/>
      <c r="D120" s="1050"/>
      <c r="E120" s="1050"/>
      <c r="F120" s="1050"/>
      <c r="G120" s="1050"/>
      <c r="H120" s="1050"/>
      <c r="N120" s="1051"/>
    </row>
    <row r="121" spans="1:25" ht="12.75">
      <c r="A121" s="2029" t="s">
        <v>52</v>
      </c>
      <c r="B121" s="2030">
        <v>1</v>
      </c>
      <c r="C121" s="2030">
        <v>6308</v>
      </c>
      <c r="D121" s="2030">
        <v>6309</v>
      </c>
      <c r="E121" s="2030">
        <v>6210</v>
      </c>
      <c r="F121" s="2030">
        <v>6310</v>
      </c>
      <c r="G121" s="2030">
        <v>6211</v>
      </c>
      <c r="H121" s="2030">
        <v>6311</v>
      </c>
      <c r="I121" s="2030">
        <v>6212</v>
      </c>
      <c r="J121" s="2030">
        <v>6312</v>
      </c>
      <c r="K121" s="2030">
        <v>6213</v>
      </c>
      <c r="L121" s="2030">
        <v>6313</v>
      </c>
      <c r="M121" s="2030">
        <v>6215</v>
      </c>
      <c r="N121" s="2030">
        <v>6315</v>
      </c>
      <c r="O121" s="2030">
        <v>6216</v>
      </c>
      <c r="P121" s="2030">
        <v>6316</v>
      </c>
      <c r="Q121" s="2030">
        <v>6218</v>
      </c>
      <c r="R121" s="2030">
        <v>6219</v>
      </c>
      <c r="S121" s="2030">
        <v>6319</v>
      </c>
      <c r="T121" s="2030">
        <v>6220</v>
      </c>
      <c r="U121" s="2030">
        <v>6320</v>
      </c>
      <c r="V121" s="2030">
        <v>6222</v>
      </c>
      <c r="W121" s="2030">
        <v>6322</v>
      </c>
      <c r="X121" s="2030">
        <v>6224</v>
      </c>
      <c r="Y121" s="2031">
        <v>6228</v>
      </c>
    </row>
    <row r="122" spans="1:25" ht="12.75">
      <c r="A122" s="2032" t="s">
        <v>309</v>
      </c>
      <c r="B122" s="2033">
        <f>B121+1</f>
        <v>2</v>
      </c>
      <c r="C122" s="2033" t="s">
        <v>1803</v>
      </c>
      <c r="D122" s="2033" t="s">
        <v>1804</v>
      </c>
      <c r="E122" s="2033" t="s">
        <v>1803</v>
      </c>
      <c r="F122" s="2033" t="s">
        <v>1805</v>
      </c>
      <c r="G122" s="2033" t="s">
        <v>1804</v>
      </c>
      <c r="H122" s="2033" t="s">
        <v>1805</v>
      </c>
      <c r="I122" s="2033" t="s">
        <v>1805</v>
      </c>
      <c r="J122" s="2033" t="s">
        <v>1806</v>
      </c>
      <c r="K122" s="2033" t="s">
        <v>1805</v>
      </c>
      <c r="L122" s="2033" t="s">
        <v>1806</v>
      </c>
      <c r="M122" s="2033" t="s">
        <v>1806</v>
      </c>
      <c r="N122" s="2033" t="s">
        <v>1807</v>
      </c>
      <c r="O122" s="2033" t="s">
        <v>1806</v>
      </c>
      <c r="P122" s="2033" t="s">
        <v>1807</v>
      </c>
      <c r="Q122" s="2033" t="s">
        <v>1807</v>
      </c>
      <c r="R122" s="2033" t="s">
        <v>1807</v>
      </c>
      <c r="S122" s="2033" t="s">
        <v>1809</v>
      </c>
      <c r="T122" s="2033" t="s">
        <v>1807</v>
      </c>
      <c r="U122" s="2033" t="s">
        <v>1809</v>
      </c>
      <c r="V122" s="2033" t="s">
        <v>1809</v>
      </c>
      <c r="W122" s="2033" t="s">
        <v>1813</v>
      </c>
      <c r="X122" s="2033" t="s">
        <v>1809</v>
      </c>
      <c r="Y122" s="2034" t="s">
        <v>1813</v>
      </c>
    </row>
    <row r="123" spans="1:25" ht="12.75">
      <c r="A123" s="2032"/>
      <c r="B123" s="2033"/>
      <c r="C123" s="2033"/>
      <c r="D123" s="2033"/>
      <c r="E123" s="2033"/>
      <c r="F123" s="2033"/>
      <c r="G123" s="2033"/>
      <c r="H123" s="2033"/>
      <c r="I123" s="2033"/>
      <c r="J123" s="2033"/>
      <c r="K123" s="2033"/>
      <c r="L123" s="2033"/>
      <c r="M123" s="2033"/>
      <c r="N123" s="2033"/>
      <c r="O123" s="2033"/>
      <c r="P123" s="2033"/>
      <c r="Q123" s="2033"/>
      <c r="R123" s="2033"/>
      <c r="S123" s="2033"/>
      <c r="T123" s="2033"/>
      <c r="U123" s="2033"/>
      <c r="V123" s="2033"/>
      <c r="W123" s="2033"/>
      <c r="X123" s="2033"/>
      <c r="Y123" s="2034"/>
    </row>
    <row r="124" spans="1:25" ht="12.75">
      <c r="A124" s="2032" t="s">
        <v>72</v>
      </c>
      <c r="B124" s="2033">
        <f>B122+1</f>
        <v>3</v>
      </c>
      <c r="C124" s="2033">
        <v>40</v>
      </c>
      <c r="D124" s="2033">
        <v>45</v>
      </c>
      <c r="E124" s="2033">
        <v>50</v>
      </c>
      <c r="F124" s="2033">
        <v>50</v>
      </c>
      <c r="G124" s="2033">
        <v>55</v>
      </c>
      <c r="H124" s="2033">
        <v>55</v>
      </c>
      <c r="I124" s="2033">
        <v>60</v>
      </c>
      <c r="J124" s="2033">
        <v>60</v>
      </c>
      <c r="K124" s="2033">
        <v>65</v>
      </c>
      <c r="L124" s="2033">
        <v>65</v>
      </c>
      <c r="M124" s="2033">
        <v>75</v>
      </c>
      <c r="N124" s="2033">
        <v>75</v>
      </c>
      <c r="O124" s="2033">
        <v>80</v>
      </c>
      <c r="P124" s="2033">
        <v>80</v>
      </c>
      <c r="Q124" s="2033">
        <v>90</v>
      </c>
      <c r="R124" s="2033">
        <v>95</v>
      </c>
      <c r="S124" s="2033">
        <v>95</v>
      </c>
      <c r="T124" s="2033">
        <v>100</v>
      </c>
      <c r="U124" s="2033">
        <v>100</v>
      </c>
      <c r="V124" s="2033">
        <v>110</v>
      </c>
      <c r="W124" s="2033">
        <v>110</v>
      </c>
      <c r="X124" s="2033">
        <v>120</v>
      </c>
      <c r="Y124" s="2034">
        <v>140</v>
      </c>
    </row>
    <row r="125" spans="1:25" ht="12.75">
      <c r="A125" s="2032" t="s">
        <v>1407</v>
      </c>
      <c r="B125" s="2033">
        <f t="shared" ref="B125:B140" si="6">B124+1</f>
        <v>4</v>
      </c>
      <c r="C125" s="2033">
        <v>90</v>
      </c>
      <c r="D125" s="2033">
        <v>90</v>
      </c>
      <c r="E125" s="2033">
        <v>90</v>
      </c>
      <c r="F125" s="2033">
        <v>100</v>
      </c>
      <c r="G125" s="2033">
        <v>90</v>
      </c>
      <c r="H125" s="2033">
        <v>100</v>
      </c>
      <c r="I125" s="2033">
        <v>100</v>
      </c>
      <c r="J125" s="2033">
        <v>120</v>
      </c>
      <c r="K125" s="2033">
        <v>100</v>
      </c>
      <c r="L125" s="2033">
        <v>120</v>
      </c>
      <c r="M125" s="2033">
        <v>120</v>
      </c>
      <c r="N125" s="2033">
        <v>160</v>
      </c>
      <c r="O125" s="2033">
        <v>120</v>
      </c>
      <c r="P125" s="2033">
        <v>160</v>
      </c>
      <c r="Q125" s="2033">
        <v>160</v>
      </c>
      <c r="R125" s="2033">
        <v>160</v>
      </c>
      <c r="S125" s="2033">
        <v>190</v>
      </c>
      <c r="T125" s="2033">
        <v>160</v>
      </c>
      <c r="U125" s="2033">
        <v>190</v>
      </c>
      <c r="V125" s="2033">
        <v>190</v>
      </c>
      <c r="W125" s="2033">
        <v>220</v>
      </c>
      <c r="X125" s="2033">
        <v>190</v>
      </c>
      <c r="Y125" s="2034">
        <v>220</v>
      </c>
    </row>
    <row r="126" spans="1:25" ht="12.75">
      <c r="A126" s="2032" t="s">
        <v>3557</v>
      </c>
      <c r="B126" s="2033">
        <f t="shared" si="6"/>
        <v>5</v>
      </c>
      <c r="C126" s="2033">
        <v>230</v>
      </c>
      <c r="D126" s="2033">
        <v>230</v>
      </c>
      <c r="E126" s="2033">
        <v>230</v>
      </c>
      <c r="F126" s="2033">
        <v>260</v>
      </c>
      <c r="G126" s="2033">
        <v>230</v>
      </c>
      <c r="H126" s="2033">
        <v>260</v>
      </c>
      <c r="I126" s="2033">
        <v>260</v>
      </c>
      <c r="J126" s="2033">
        <v>290</v>
      </c>
      <c r="K126" s="2033">
        <v>260</v>
      </c>
      <c r="L126" s="2033">
        <v>290</v>
      </c>
      <c r="M126" s="2033">
        <v>290</v>
      </c>
      <c r="N126" s="2033">
        <v>380</v>
      </c>
      <c r="O126" s="2033">
        <v>290</v>
      </c>
      <c r="P126" s="2033">
        <v>380</v>
      </c>
      <c r="Q126" s="2033">
        <v>380</v>
      </c>
      <c r="R126" s="2033">
        <v>380</v>
      </c>
      <c r="S126" s="2033">
        <v>470</v>
      </c>
      <c r="T126" s="2033">
        <v>380</v>
      </c>
      <c r="U126" s="2033">
        <v>470</v>
      </c>
      <c r="V126" s="2033">
        <v>470</v>
      </c>
      <c r="W126" s="2033">
        <v>540</v>
      </c>
      <c r="X126" s="2033">
        <v>470</v>
      </c>
      <c r="Y126" s="2034">
        <v>540</v>
      </c>
    </row>
    <row r="127" spans="1:25" ht="12.75">
      <c r="A127" s="2032" t="s">
        <v>1412</v>
      </c>
      <c r="B127" s="2033">
        <f t="shared" si="6"/>
        <v>6</v>
      </c>
      <c r="C127" s="2033">
        <v>50</v>
      </c>
      <c r="D127" s="2033">
        <v>50</v>
      </c>
      <c r="E127" s="2033">
        <v>50</v>
      </c>
      <c r="F127" s="2033">
        <v>50</v>
      </c>
      <c r="G127" s="2033">
        <v>50</v>
      </c>
      <c r="H127" s="2033">
        <v>50</v>
      </c>
      <c r="I127" s="2033">
        <v>50</v>
      </c>
      <c r="J127" s="2033">
        <v>63</v>
      </c>
      <c r="K127" s="2033">
        <v>50</v>
      </c>
      <c r="L127" s="2033">
        <v>63</v>
      </c>
      <c r="M127" s="2033">
        <v>63</v>
      </c>
      <c r="N127" s="2033">
        <v>85</v>
      </c>
      <c r="O127" s="2033">
        <v>63</v>
      </c>
      <c r="P127" s="2033">
        <v>85</v>
      </c>
      <c r="Q127" s="2033">
        <v>85</v>
      </c>
      <c r="R127" s="2033">
        <v>85</v>
      </c>
      <c r="S127" s="2033">
        <v>102</v>
      </c>
      <c r="T127" s="2033">
        <v>85</v>
      </c>
      <c r="U127" s="2033">
        <v>102</v>
      </c>
      <c r="V127" s="2033">
        <v>102</v>
      </c>
      <c r="W127" s="2033">
        <v>120</v>
      </c>
      <c r="X127" s="2033">
        <v>102</v>
      </c>
      <c r="Y127" s="2034">
        <v>120</v>
      </c>
    </row>
    <row r="128" spans="1:25" ht="12.75">
      <c r="A128" s="2032" t="s">
        <v>3558</v>
      </c>
      <c r="B128" s="2033">
        <f t="shared" si="6"/>
        <v>7</v>
      </c>
      <c r="C128" s="2033">
        <v>185</v>
      </c>
      <c r="D128" s="2033">
        <v>185</v>
      </c>
      <c r="E128" s="2033">
        <v>185</v>
      </c>
      <c r="F128" s="2033">
        <v>210</v>
      </c>
      <c r="G128" s="2033">
        <v>185</v>
      </c>
      <c r="H128" s="2033">
        <v>210</v>
      </c>
      <c r="I128" s="2033">
        <v>210</v>
      </c>
      <c r="J128" s="2033">
        <v>240</v>
      </c>
      <c r="K128" s="2033">
        <v>210</v>
      </c>
      <c r="L128" s="2033">
        <v>240</v>
      </c>
      <c r="M128" s="2033">
        <v>240</v>
      </c>
      <c r="N128" s="2033">
        <v>310</v>
      </c>
      <c r="O128" s="2033">
        <v>240</v>
      </c>
      <c r="P128" s="2033">
        <v>310</v>
      </c>
      <c r="Q128" s="2033">
        <v>310</v>
      </c>
      <c r="R128" s="2033">
        <v>310</v>
      </c>
      <c r="S128" s="2033">
        <v>385</v>
      </c>
      <c r="T128" s="2033">
        <v>310</v>
      </c>
      <c r="U128" s="2033">
        <v>385</v>
      </c>
      <c r="V128" s="2033">
        <v>385</v>
      </c>
      <c r="W128" s="2033">
        <v>440</v>
      </c>
      <c r="X128" s="2033">
        <v>385</v>
      </c>
      <c r="Y128" s="2034">
        <v>440</v>
      </c>
    </row>
    <row r="129" spans="1:27" ht="12.75">
      <c r="A129" s="2032" t="s">
        <v>3559</v>
      </c>
      <c r="B129" s="2033">
        <f t="shared" si="6"/>
        <v>8</v>
      </c>
      <c r="C129" s="2033">
        <v>14</v>
      </c>
      <c r="D129" s="2033">
        <v>14</v>
      </c>
      <c r="E129" s="2033">
        <v>14</v>
      </c>
      <c r="F129" s="2033">
        <v>18</v>
      </c>
      <c r="G129" s="2033">
        <v>14</v>
      </c>
      <c r="H129" s="2033">
        <v>18</v>
      </c>
      <c r="I129" s="2033">
        <v>18</v>
      </c>
      <c r="J129" s="2033">
        <v>18</v>
      </c>
      <c r="K129" s="2033">
        <v>18</v>
      </c>
      <c r="L129" s="2033">
        <v>18</v>
      </c>
      <c r="M129" s="2033">
        <v>18</v>
      </c>
      <c r="N129" s="2033">
        <v>22</v>
      </c>
      <c r="O129" s="2033">
        <v>18</v>
      </c>
      <c r="P129" s="2033">
        <v>22</v>
      </c>
      <c r="Q129" s="2033">
        <v>22</v>
      </c>
      <c r="R129" s="2033">
        <v>22</v>
      </c>
      <c r="S129" s="2033">
        <v>26</v>
      </c>
      <c r="T129" s="2033">
        <v>22</v>
      </c>
      <c r="U129" s="2033">
        <v>26</v>
      </c>
      <c r="V129" s="2033">
        <v>26</v>
      </c>
      <c r="W129" s="2033">
        <v>32</v>
      </c>
      <c r="X129" s="2033">
        <v>26</v>
      </c>
      <c r="Y129" s="2034">
        <v>32</v>
      </c>
    </row>
    <row r="130" spans="1:27" ht="12.75">
      <c r="A130" s="2032" t="s">
        <v>1744</v>
      </c>
      <c r="B130" s="2033">
        <f t="shared" si="6"/>
        <v>9</v>
      </c>
      <c r="C130" s="2033">
        <v>240</v>
      </c>
      <c r="D130" s="2033">
        <v>245</v>
      </c>
      <c r="E130" s="2033">
        <v>225</v>
      </c>
      <c r="F130" s="2033">
        <v>275</v>
      </c>
      <c r="G130" s="2033">
        <v>275</v>
      </c>
      <c r="H130" s="2033">
        <v>280</v>
      </c>
      <c r="I130" s="2033">
        <v>275</v>
      </c>
      <c r="J130" s="2033">
        <v>335</v>
      </c>
      <c r="K130" s="2033">
        <v>360</v>
      </c>
      <c r="L130" s="2033">
        <v>340</v>
      </c>
      <c r="M130" s="2033">
        <v>360</v>
      </c>
      <c r="N130" s="2033">
        <v>435</v>
      </c>
      <c r="O130" s="2033">
        <v>360</v>
      </c>
      <c r="P130" s="2033">
        <v>440</v>
      </c>
      <c r="Q130" s="2033">
        <v>450</v>
      </c>
      <c r="R130" s="2033">
        <v>450</v>
      </c>
      <c r="S130" s="2033">
        <v>545</v>
      </c>
      <c r="T130" s="2033">
        <v>450</v>
      </c>
      <c r="U130" s="2033">
        <v>550</v>
      </c>
      <c r="V130" s="2033">
        <v>540</v>
      </c>
      <c r="W130" s="2033">
        <v>650</v>
      </c>
      <c r="X130" s="2033">
        <v>540</v>
      </c>
      <c r="Y130" s="2034">
        <v>540</v>
      </c>
    </row>
    <row r="131" spans="1:27" ht="12.75">
      <c r="A131" s="2032"/>
      <c r="B131" s="2033">
        <f t="shared" si="6"/>
        <v>10</v>
      </c>
      <c r="C131" s="2033"/>
      <c r="D131" s="2033"/>
      <c r="E131" s="2033"/>
      <c r="F131" s="2033"/>
      <c r="G131" s="2033"/>
      <c r="H131" s="2033"/>
      <c r="I131" s="2033"/>
      <c r="J131" s="2033"/>
      <c r="K131" s="2033"/>
      <c r="L131" s="2033"/>
      <c r="M131" s="2033"/>
      <c r="N131" s="2033"/>
      <c r="O131" s="2033"/>
      <c r="P131" s="2033"/>
      <c r="Q131" s="2033"/>
      <c r="R131" s="2033"/>
      <c r="S131" s="2033"/>
      <c r="T131" s="2033"/>
      <c r="U131" s="2033"/>
      <c r="V131" s="2033"/>
      <c r="W131" s="2033"/>
      <c r="X131" s="2033"/>
      <c r="Y131" s="2034"/>
    </row>
    <row r="132" spans="1:27" ht="12.75">
      <c r="A132" s="2032" t="s">
        <v>9</v>
      </c>
      <c r="B132" s="2033">
        <f t="shared" si="6"/>
        <v>11</v>
      </c>
      <c r="C132" s="2033">
        <v>1</v>
      </c>
      <c r="D132" s="2033">
        <v>1</v>
      </c>
      <c r="E132" s="2033">
        <v>1</v>
      </c>
      <c r="F132" s="2033">
        <v>1</v>
      </c>
      <c r="G132" s="2033">
        <v>1</v>
      </c>
      <c r="H132" s="2033">
        <v>1</v>
      </c>
      <c r="I132" s="2033">
        <v>1</v>
      </c>
      <c r="J132" s="2033">
        <v>1</v>
      </c>
      <c r="K132" s="2033">
        <v>1</v>
      </c>
      <c r="L132" s="2033">
        <v>1</v>
      </c>
      <c r="M132" s="2033">
        <v>1</v>
      </c>
      <c r="N132" s="2033">
        <v>1</v>
      </c>
      <c r="O132" s="2033">
        <v>1</v>
      </c>
      <c r="P132" s="2033">
        <v>1</v>
      </c>
      <c r="Q132" s="2033">
        <v>1</v>
      </c>
      <c r="R132" s="2033">
        <v>1</v>
      </c>
      <c r="S132" s="2033">
        <v>1</v>
      </c>
      <c r="T132" s="2033">
        <v>1</v>
      </c>
      <c r="U132" s="2033">
        <v>1</v>
      </c>
      <c r="V132" s="2033">
        <v>1</v>
      </c>
      <c r="W132" s="2033">
        <v>1</v>
      </c>
      <c r="X132" s="2033">
        <v>1</v>
      </c>
      <c r="Y132" s="2034">
        <v>1</v>
      </c>
    </row>
    <row r="133" spans="1:27" ht="12.75">
      <c r="A133" s="2032" t="s">
        <v>10</v>
      </c>
      <c r="B133" s="2033">
        <f t="shared" si="6"/>
        <v>12</v>
      </c>
      <c r="C133" s="2033" t="s">
        <v>3560</v>
      </c>
      <c r="D133" s="2033" t="s">
        <v>3560</v>
      </c>
      <c r="E133" s="2033" t="s">
        <v>3560</v>
      </c>
      <c r="F133" s="2033" t="s">
        <v>3560</v>
      </c>
      <c r="G133" s="2033" t="s">
        <v>3561</v>
      </c>
      <c r="H133" s="2033" t="s">
        <v>3561</v>
      </c>
      <c r="I133" s="2033" t="s">
        <v>3560</v>
      </c>
      <c r="J133" s="2033" t="s">
        <v>3560</v>
      </c>
      <c r="K133" s="2033" t="s">
        <v>3561</v>
      </c>
      <c r="L133" s="2033" t="s">
        <v>3560</v>
      </c>
      <c r="M133" s="2033" t="s">
        <v>3560</v>
      </c>
      <c r="N133" s="2033" t="s">
        <v>3560</v>
      </c>
      <c r="O133" s="2033" t="s">
        <v>3560</v>
      </c>
      <c r="P133" s="2033" t="s">
        <v>3560</v>
      </c>
      <c r="Q133" s="2033" t="s">
        <v>3560</v>
      </c>
      <c r="R133" s="2033" t="s">
        <v>3560</v>
      </c>
      <c r="S133" s="2033" t="s">
        <v>3560</v>
      </c>
      <c r="T133" s="2033" t="s">
        <v>3560</v>
      </c>
      <c r="U133" s="2033" t="s">
        <v>3560</v>
      </c>
      <c r="V133" s="2033" t="s">
        <v>3560</v>
      </c>
      <c r="W133" s="2033" t="s">
        <v>3560</v>
      </c>
      <c r="X133" s="2033" t="s">
        <v>3560</v>
      </c>
      <c r="Y133" s="2034" t="s">
        <v>3560</v>
      </c>
    </row>
    <row r="134" spans="1:27" ht="12.75">
      <c r="A134" s="2032" t="s">
        <v>11</v>
      </c>
      <c r="B134" s="2033">
        <f t="shared" si="6"/>
        <v>13</v>
      </c>
      <c r="C134" s="2033">
        <v>0</v>
      </c>
      <c r="D134" s="2033">
        <v>0</v>
      </c>
      <c r="E134" s="2033">
        <v>0</v>
      </c>
      <c r="F134" s="2033">
        <v>0</v>
      </c>
      <c r="G134" s="2033">
        <v>0</v>
      </c>
      <c r="H134" s="2033">
        <v>0</v>
      </c>
      <c r="I134" s="2033">
        <v>0</v>
      </c>
      <c r="J134" s="2033">
        <v>0</v>
      </c>
      <c r="K134" s="2033">
        <v>0</v>
      </c>
      <c r="L134" s="2033">
        <v>0</v>
      </c>
      <c r="M134" s="2033">
        <v>0</v>
      </c>
      <c r="N134" s="2033">
        <v>0</v>
      </c>
      <c r="O134" s="2033">
        <v>0</v>
      </c>
      <c r="P134" s="2033">
        <v>0</v>
      </c>
      <c r="Q134" s="2033">
        <v>0</v>
      </c>
      <c r="R134" s="2033">
        <v>0</v>
      </c>
      <c r="S134" s="2033">
        <v>0</v>
      </c>
      <c r="T134" s="2033">
        <v>0</v>
      </c>
      <c r="U134" s="2033">
        <v>0</v>
      </c>
      <c r="V134" s="2033">
        <v>0</v>
      </c>
      <c r="W134" s="2033">
        <v>0</v>
      </c>
      <c r="X134" s="2033">
        <v>0</v>
      </c>
      <c r="Y134" s="2034">
        <v>0</v>
      </c>
    </row>
    <row r="135" spans="1:27" ht="12.75">
      <c r="A135" s="2032" t="s">
        <v>12</v>
      </c>
      <c r="B135" s="2033">
        <f t="shared" si="6"/>
        <v>14</v>
      </c>
      <c r="C135" s="2033" t="s">
        <v>3560</v>
      </c>
      <c r="D135" s="2033" t="s">
        <v>3560</v>
      </c>
      <c r="E135" s="2033" t="s">
        <v>3560</v>
      </c>
      <c r="F135" s="2033" t="s">
        <v>3560</v>
      </c>
      <c r="G135" s="2033" t="s">
        <v>3560</v>
      </c>
      <c r="H135" s="2033" t="s">
        <v>3560</v>
      </c>
      <c r="I135" s="2033" t="s">
        <v>3560</v>
      </c>
      <c r="J135" s="2033" t="s">
        <v>3560</v>
      </c>
      <c r="K135" s="2033" t="s">
        <v>3560</v>
      </c>
      <c r="L135" s="2033" t="s">
        <v>3560</v>
      </c>
      <c r="M135" s="2033" t="s">
        <v>3560</v>
      </c>
      <c r="N135" s="2033" t="s">
        <v>3560</v>
      </c>
      <c r="O135" s="2033" t="s">
        <v>3560</v>
      </c>
      <c r="P135" s="2033" t="s">
        <v>3560</v>
      </c>
      <c r="Q135" s="2033" t="s">
        <v>3561</v>
      </c>
      <c r="R135" s="2033" t="s">
        <v>3560</v>
      </c>
      <c r="S135" s="2033" t="s">
        <v>3560</v>
      </c>
      <c r="T135" s="2033" t="s">
        <v>3560</v>
      </c>
      <c r="U135" s="2033" t="s">
        <v>3560</v>
      </c>
      <c r="V135" s="2033" t="s">
        <v>3560</v>
      </c>
      <c r="W135" s="2033" t="s">
        <v>3560</v>
      </c>
      <c r="X135" s="2033" t="s">
        <v>3560</v>
      </c>
      <c r="Y135" s="2034" t="s">
        <v>3560</v>
      </c>
    </row>
    <row r="136" spans="1:27" ht="12.75">
      <c r="A136" s="2032" t="s">
        <v>1</v>
      </c>
      <c r="B136" s="2033">
        <f t="shared" si="6"/>
        <v>15</v>
      </c>
      <c r="C136" s="2033" t="s">
        <v>3560</v>
      </c>
      <c r="D136" s="2033" t="s">
        <v>3560</v>
      </c>
      <c r="E136" s="2033" t="s">
        <v>3560</v>
      </c>
      <c r="F136" s="2033" t="s">
        <v>3560</v>
      </c>
      <c r="G136" s="2033" t="s">
        <v>3560</v>
      </c>
      <c r="H136" s="2033" t="s">
        <v>3560</v>
      </c>
      <c r="I136" s="2033" t="s">
        <v>3560</v>
      </c>
      <c r="J136" s="2033" t="s">
        <v>3561</v>
      </c>
      <c r="K136" s="2033" t="s">
        <v>3560</v>
      </c>
      <c r="L136" s="2033" t="s">
        <v>3560</v>
      </c>
      <c r="M136" s="2033" t="s">
        <v>3560</v>
      </c>
      <c r="N136" s="2033" t="s">
        <v>3560</v>
      </c>
      <c r="O136" s="2033" t="s">
        <v>3560</v>
      </c>
      <c r="P136" s="2033" t="s">
        <v>3560</v>
      </c>
      <c r="Q136" s="2033" t="s">
        <v>3560</v>
      </c>
      <c r="R136" s="2033" t="s">
        <v>3560</v>
      </c>
      <c r="S136" s="2033" t="s">
        <v>3560</v>
      </c>
      <c r="T136" s="2033" t="s">
        <v>3561</v>
      </c>
      <c r="U136" s="2033" t="s">
        <v>3561</v>
      </c>
      <c r="V136" s="2033" t="s">
        <v>3560</v>
      </c>
      <c r="W136" s="2033" t="s">
        <v>3560</v>
      </c>
      <c r="X136" s="2033" t="s">
        <v>3560</v>
      </c>
      <c r="Y136" s="2034" t="s">
        <v>3560</v>
      </c>
    </row>
    <row r="137" spans="1:27" ht="12.75">
      <c r="A137" s="2032" t="s">
        <v>54</v>
      </c>
      <c r="B137" s="2033">
        <f t="shared" si="6"/>
        <v>16</v>
      </c>
      <c r="C137" s="1049">
        <v>24000</v>
      </c>
      <c r="D137" s="1049">
        <v>31500</v>
      </c>
      <c r="E137" s="1049">
        <v>23200</v>
      </c>
      <c r="F137" s="1049">
        <v>38000</v>
      </c>
      <c r="G137" s="1049">
        <v>29000</v>
      </c>
      <c r="H137" s="1049">
        <v>45000</v>
      </c>
      <c r="I137" s="1049">
        <v>36000</v>
      </c>
      <c r="J137" s="1049">
        <v>52000</v>
      </c>
      <c r="K137" s="1049">
        <v>40500</v>
      </c>
      <c r="L137" s="1049">
        <v>60000</v>
      </c>
      <c r="M137" s="1049">
        <v>49000</v>
      </c>
      <c r="N137" s="1049">
        <v>76500</v>
      </c>
      <c r="O137" s="1049">
        <v>55000</v>
      </c>
      <c r="P137" s="1049">
        <v>86500</v>
      </c>
      <c r="Q137" s="1049">
        <v>73500</v>
      </c>
      <c r="R137" s="1049">
        <v>81500</v>
      </c>
      <c r="S137" s="1049">
        <v>118000</v>
      </c>
      <c r="T137" s="1049">
        <v>93000</v>
      </c>
      <c r="U137" s="1049">
        <v>140000</v>
      </c>
      <c r="V137" s="1049">
        <v>118000</v>
      </c>
      <c r="W137" s="1049">
        <v>180000</v>
      </c>
      <c r="X137" s="1049">
        <v>118000</v>
      </c>
      <c r="Y137" s="1049">
        <v>150000</v>
      </c>
      <c r="AA137" s="1049">
        <v>1000</v>
      </c>
    </row>
    <row r="138" spans="1:27" ht="12.75">
      <c r="A138" s="2032" t="s">
        <v>2</v>
      </c>
      <c r="B138" s="2033">
        <f t="shared" si="6"/>
        <v>17</v>
      </c>
      <c r="C138" s="1049">
        <v>42300</v>
      </c>
      <c r="D138" s="1049">
        <v>55300</v>
      </c>
      <c r="E138" s="1049">
        <v>37100</v>
      </c>
      <c r="F138" s="1049">
        <v>65000</v>
      </c>
      <c r="G138" s="1049">
        <v>46200</v>
      </c>
      <c r="H138" s="1049">
        <v>74100</v>
      </c>
      <c r="I138" s="1049">
        <v>55300</v>
      </c>
      <c r="J138" s="1049">
        <v>85200</v>
      </c>
      <c r="K138" s="1049">
        <v>58500</v>
      </c>
      <c r="L138" s="1049">
        <v>97500</v>
      </c>
      <c r="M138" s="1049">
        <v>68900</v>
      </c>
      <c r="N138" s="1049">
        <v>119000</v>
      </c>
      <c r="O138" s="1049">
        <v>72800</v>
      </c>
      <c r="P138" s="1049">
        <v>130000</v>
      </c>
      <c r="Q138" s="1049">
        <v>101000</v>
      </c>
      <c r="R138" s="1049">
        <v>114000</v>
      </c>
      <c r="S138" s="1049">
        <v>159000</v>
      </c>
      <c r="T138" s="1049">
        <v>127000</v>
      </c>
      <c r="U138" s="1049">
        <v>174000</v>
      </c>
      <c r="V138" s="1049">
        <v>151000</v>
      </c>
      <c r="W138" s="1049">
        <v>203000</v>
      </c>
      <c r="X138" s="1049">
        <v>146000</v>
      </c>
      <c r="Y138" s="1049">
        <v>165000</v>
      </c>
    </row>
    <row r="139" spans="1:27" ht="12.75">
      <c r="A139" s="2032" t="s">
        <v>226</v>
      </c>
      <c r="B139" s="2033">
        <f t="shared" si="6"/>
        <v>18</v>
      </c>
      <c r="C139" s="2033">
        <v>8250</v>
      </c>
      <c r="D139" s="2033">
        <v>7125</v>
      </c>
      <c r="E139" s="2033">
        <v>7500</v>
      </c>
      <c r="F139" s="2033">
        <v>6375</v>
      </c>
      <c r="G139" s="2033">
        <v>6750</v>
      </c>
      <c r="H139" s="2033">
        <v>6000</v>
      </c>
      <c r="I139" s="2033">
        <v>6000</v>
      </c>
      <c r="J139" s="2033">
        <v>5250</v>
      </c>
      <c r="K139" s="2033">
        <v>5625</v>
      </c>
      <c r="L139" s="2033">
        <v>5025</v>
      </c>
      <c r="M139" s="2033">
        <v>5025</v>
      </c>
      <c r="N139" s="2033">
        <v>4200</v>
      </c>
      <c r="O139" s="2033">
        <v>4500</v>
      </c>
      <c r="P139" s="2033">
        <v>3975</v>
      </c>
      <c r="Q139" s="2033">
        <v>3975</v>
      </c>
      <c r="R139" s="2033">
        <v>3750</v>
      </c>
      <c r="S139" s="2033">
        <v>3375</v>
      </c>
      <c r="T139" s="2033">
        <v>3600</v>
      </c>
      <c r="U139" s="2033">
        <v>3225</v>
      </c>
      <c r="V139" s="2033">
        <v>3225</v>
      </c>
      <c r="W139" s="2033">
        <v>2850</v>
      </c>
      <c r="X139" s="2033">
        <v>3000</v>
      </c>
      <c r="Y139" s="2034">
        <v>2550</v>
      </c>
    </row>
    <row r="140" spans="1:27" ht="13.5" thickBot="1">
      <c r="A140" s="2035" t="s">
        <v>13</v>
      </c>
      <c r="B140" s="2036">
        <f t="shared" si="6"/>
        <v>19</v>
      </c>
      <c r="C140" s="2036">
        <v>3</v>
      </c>
      <c r="D140" s="2036">
        <v>3</v>
      </c>
      <c r="E140" s="2036">
        <v>3</v>
      </c>
      <c r="F140" s="2036">
        <v>3</v>
      </c>
      <c r="G140" s="2036">
        <v>3</v>
      </c>
      <c r="H140" s="2036">
        <v>3</v>
      </c>
      <c r="I140" s="2036">
        <v>3</v>
      </c>
      <c r="J140" s="2036">
        <v>3</v>
      </c>
      <c r="K140" s="2036">
        <v>3</v>
      </c>
      <c r="L140" s="2036">
        <v>3</v>
      </c>
      <c r="M140" s="2036">
        <v>3</v>
      </c>
      <c r="N140" s="2036">
        <v>3</v>
      </c>
      <c r="O140" s="2036">
        <v>3</v>
      </c>
      <c r="P140" s="2036">
        <v>3</v>
      </c>
      <c r="Q140" s="2036">
        <v>3</v>
      </c>
      <c r="R140" s="2036">
        <v>3</v>
      </c>
      <c r="S140" s="2036">
        <v>3</v>
      </c>
      <c r="T140" s="2036">
        <v>3</v>
      </c>
      <c r="U140" s="2036">
        <v>3</v>
      </c>
      <c r="V140" s="2036">
        <v>3</v>
      </c>
      <c r="W140" s="2036">
        <v>3</v>
      </c>
      <c r="X140" s="2036">
        <v>3</v>
      </c>
      <c r="Y140" s="2037">
        <v>3</v>
      </c>
    </row>
    <row r="141" spans="1:27">
      <c r="A141" s="1079"/>
      <c r="B141" s="1050"/>
      <c r="C141" s="1050"/>
      <c r="D141" s="1050"/>
      <c r="E141" s="1050"/>
      <c r="F141" s="1050"/>
      <c r="G141" s="1050"/>
    </row>
    <row r="142" spans="1:27">
      <c r="A142" s="1079"/>
      <c r="B142" s="1050"/>
      <c r="C142" s="1050"/>
      <c r="D142" s="1050"/>
      <c r="E142" s="1050"/>
      <c r="F142" s="1050"/>
      <c r="G142" s="1050"/>
    </row>
    <row r="143" spans="1:27">
      <c r="A143" s="1079"/>
      <c r="B143" s="1050"/>
      <c r="C143" s="1050"/>
      <c r="D143" s="1050"/>
      <c r="E143" s="1050"/>
      <c r="F143" s="1050"/>
      <c r="G143" s="1050"/>
    </row>
    <row r="144" spans="1:27">
      <c r="A144" s="1079"/>
      <c r="B144" s="1050"/>
      <c r="C144" s="1050"/>
      <c r="D144" s="1050"/>
      <c r="E144" s="1050"/>
      <c r="F144" s="1050"/>
      <c r="G144" s="1050"/>
    </row>
    <row r="145" spans="1:7">
      <c r="A145" s="1079"/>
      <c r="B145" s="1050"/>
      <c r="C145" s="1050"/>
      <c r="D145" s="1050"/>
      <c r="E145" s="1050"/>
      <c r="F145" s="1050"/>
      <c r="G145" s="1050"/>
    </row>
    <row r="146" spans="1:7">
      <c r="A146" s="1079"/>
      <c r="B146" s="1050"/>
      <c r="C146" s="1050"/>
      <c r="D146" s="1050"/>
      <c r="E146" s="1050"/>
      <c r="F146" s="1050"/>
      <c r="G146" s="1050"/>
    </row>
    <row r="147" spans="1:7">
      <c r="A147" s="1079"/>
      <c r="B147" s="1050"/>
      <c r="C147" s="1050"/>
      <c r="D147" s="1050"/>
      <c r="E147" s="1050"/>
      <c r="F147" s="1050"/>
      <c r="G147" s="1050"/>
    </row>
    <row r="148" spans="1:7">
      <c r="A148" s="1079"/>
      <c r="B148" s="1050"/>
      <c r="C148" s="1050"/>
      <c r="D148" s="1050"/>
      <c r="E148" s="1050"/>
      <c r="F148" s="1050"/>
      <c r="G148" s="1050"/>
    </row>
    <row r="149" spans="1:7">
      <c r="A149" s="1079"/>
      <c r="B149" s="1050"/>
      <c r="C149" s="1050"/>
      <c r="D149" s="1050"/>
      <c r="E149" s="1050"/>
      <c r="F149" s="1050"/>
      <c r="G149" s="1050"/>
    </row>
    <row r="150" spans="1:7">
      <c r="A150" s="1079"/>
      <c r="B150" s="1050"/>
      <c r="C150" s="1050"/>
      <c r="D150" s="1050"/>
      <c r="E150" s="1050"/>
      <c r="F150" s="1050"/>
      <c r="G150" s="1050"/>
    </row>
    <row r="151" spans="1:7">
      <c r="A151" s="1079"/>
      <c r="B151" s="1050"/>
      <c r="C151" s="1050"/>
      <c r="D151" s="1050"/>
      <c r="E151" s="1050"/>
      <c r="F151" s="1050"/>
      <c r="G151" s="1050"/>
    </row>
    <row r="152" spans="1:7">
      <c r="A152" s="1079"/>
      <c r="B152" s="1050"/>
      <c r="C152" s="1050"/>
      <c r="D152" s="1050"/>
      <c r="E152" s="1050"/>
      <c r="F152" s="1050"/>
      <c r="G152" s="1050"/>
    </row>
    <row r="153" spans="1:7">
      <c r="A153" s="1079"/>
      <c r="B153" s="1050"/>
      <c r="C153" s="1050"/>
      <c r="D153" s="1050"/>
      <c r="E153" s="1050"/>
      <c r="F153" s="1050"/>
      <c r="G153" s="1050"/>
    </row>
    <row r="154" spans="1:7">
      <c r="A154" s="1079"/>
      <c r="B154" s="1050"/>
      <c r="C154" s="1050"/>
      <c r="D154" s="1050"/>
      <c r="E154" s="1050"/>
      <c r="F154" s="1050"/>
      <c r="G154" s="1050"/>
    </row>
    <row r="155" spans="1:7">
      <c r="A155" s="1079"/>
      <c r="B155" s="1050"/>
      <c r="C155" s="1050"/>
      <c r="D155" s="1050"/>
      <c r="E155" s="1050"/>
      <c r="F155" s="1050"/>
      <c r="G155" s="1050"/>
    </row>
    <row r="156" spans="1:7">
      <c r="A156" s="1079"/>
      <c r="B156" s="1050"/>
      <c r="C156" s="1050"/>
      <c r="D156" s="1050"/>
      <c r="E156" s="1050"/>
      <c r="F156" s="1050"/>
      <c r="G156" s="1050"/>
    </row>
    <row r="157" spans="1:7">
      <c r="A157" s="1079"/>
      <c r="B157" s="1050"/>
      <c r="C157" s="1050"/>
      <c r="D157" s="1050"/>
      <c r="E157" s="1050"/>
      <c r="F157" s="1050"/>
      <c r="G157" s="1050"/>
    </row>
    <row r="158" spans="1:7">
      <c r="A158" s="1079"/>
      <c r="B158" s="1050"/>
      <c r="C158" s="1050"/>
      <c r="D158" s="1050"/>
      <c r="E158" s="1050"/>
      <c r="F158" s="1050"/>
      <c r="G158" s="1050"/>
    </row>
    <row r="159" spans="1:7">
      <c r="A159" s="1079"/>
      <c r="B159" s="1050"/>
      <c r="C159" s="1050"/>
      <c r="D159" s="1050"/>
      <c r="E159" s="1050"/>
      <c r="F159" s="1050"/>
      <c r="G159" s="1050"/>
    </row>
    <row r="160" spans="1:7">
      <c r="A160" s="1079"/>
      <c r="B160" s="1050"/>
      <c r="C160" s="1050"/>
      <c r="D160" s="1050"/>
      <c r="E160" s="1050"/>
      <c r="F160" s="1050"/>
      <c r="G160" s="1050"/>
    </row>
    <row r="161" spans="1:7">
      <c r="A161" s="1079"/>
      <c r="B161" s="1050"/>
      <c r="C161" s="1050"/>
      <c r="D161" s="1050"/>
      <c r="E161" s="1050"/>
      <c r="F161" s="1050"/>
      <c r="G161" s="1050"/>
    </row>
    <row r="162" spans="1:7">
      <c r="A162" s="1079"/>
      <c r="B162" s="1050"/>
      <c r="C162" s="1050"/>
      <c r="D162" s="1050"/>
      <c r="E162" s="1050"/>
      <c r="F162" s="1050"/>
      <c r="G162" s="1050"/>
    </row>
    <row r="163" spans="1:7">
      <c r="A163" s="1079"/>
      <c r="B163" s="1050"/>
      <c r="C163" s="1050"/>
      <c r="D163" s="1050"/>
      <c r="E163" s="1050"/>
      <c r="F163" s="1050"/>
      <c r="G163" s="1050"/>
    </row>
    <row r="164" spans="1:7">
      <c r="A164" s="1079"/>
      <c r="B164" s="1050"/>
      <c r="C164" s="1050"/>
      <c r="D164" s="1050"/>
      <c r="E164" s="1050"/>
      <c r="F164" s="1050"/>
      <c r="G164" s="1050"/>
    </row>
    <row r="165" spans="1:7">
      <c r="A165" s="1079"/>
      <c r="B165" s="1050"/>
      <c r="C165" s="1050"/>
      <c r="D165" s="1050"/>
      <c r="E165" s="1050"/>
      <c r="F165" s="1050"/>
      <c r="G165" s="1050"/>
    </row>
    <row r="166" spans="1:7">
      <c r="A166" s="1079"/>
      <c r="B166" s="1050"/>
      <c r="C166" s="1050"/>
      <c r="D166" s="1050"/>
      <c r="E166" s="1050"/>
      <c r="F166" s="1050"/>
      <c r="G166" s="1050"/>
    </row>
    <row r="167" spans="1:7">
      <c r="A167" s="1079"/>
      <c r="B167" s="1050"/>
      <c r="C167" s="1050"/>
      <c r="D167" s="1050"/>
      <c r="E167" s="1050"/>
      <c r="F167" s="1050"/>
      <c r="G167" s="1050"/>
    </row>
    <row r="168" spans="1:7">
      <c r="A168" s="1079"/>
      <c r="B168" s="1050"/>
      <c r="C168" s="1050"/>
      <c r="D168" s="1050"/>
      <c r="E168" s="1050"/>
      <c r="F168" s="1050"/>
      <c r="G168" s="1050"/>
    </row>
    <row r="169" spans="1:7">
      <c r="A169" s="1079"/>
      <c r="B169" s="1050"/>
      <c r="C169" s="1050"/>
      <c r="D169" s="1050"/>
      <c r="E169" s="1050"/>
      <c r="F169" s="1050"/>
      <c r="G169" s="1050"/>
    </row>
    <row r="170" spans="1:7">
      <c r="A170" s="1079"/>
      <c r="B170" s="1050"/>
      <c r="C170" s="1050"/>
      <c r="D170" s="1050"/>
      <c r="E170" s="1050"/>
      <c r="F170" s="1050"/>
      <c r="G170" s="1050"/>
    </row>
    <row r="171" spans="1:7">
      <c r="A171" s="1079"/>
      <c r="B171" s="1050"/>
      <c r="C171" s="1050"/>
      <c r="D171" s="1050"/>
      <c r="E171" s="1050"/>
      <c r="F171" s="1050"/>
      <c r="G171" s="1050"/>
    </row>
    <row r="172" spans="1:7">
      <c r="A172" s="1079"/>
      <c r="B172" s="1050"/>
      <c r="C172" s="1050"/>
      <c r="D172" s="1050"/>
      <c r="E172" s="1050"/>
      <c r="F172" s="1050"/>
      <c r="G172" s="1050"/>
    </row>
    <row r="173" spans="1:7">
      <c r="A173" s="1079"/>
      <c r="B173" s="1050"/>
      <c r="C173" s="1050"/>
      <c r="D173" s="1050"/>
      <c r="E173" s="1050"/>
      <c r="F173" s="1050"/>
      <c r="G173" s="1050"/>
    </row>
    <row r="174" spans="1:7">
      <c r="A174" s="1079"/>
      <c r="B174" s="1050"/>
      <c r="C174" s="1050"/>
      <c r="D174" s="1050"/>
      <c r="E174" s="1050"/>
      <c r="F174" s="1050"/>
      <c r="G174" s="1050"/>
    </row>
    <row r="175" spans="1:7">
      <c r="A175" s="1079"/>
      <c r="B175" s="1050"/>
      <c r="C175" s="1050"/>
      <c r="D175" s="1050"/>
      <c r="E175" s="1050"/>
      <c r="F175" s="1050"/>
      <c r="G175" s="1050"/>
    </row>
    <row r="176" spans="1:7">
      <c r="A176" s="1079"/>
      <c r="B176" s="1050"/>
      <c r="C176" s="1050"/>
      <c r="D176" s="1050"/>
      <c r="E176" s="1050"/>
      <c r="F176" s="1050"/>
      <c r="G176" s="1050"/>
    </row>
    <row r="177" spans="1:7">
      <c r="A177" s="1079"/>
      <c r="B177" s="1050"/>
      <c r="C177" s="1050"/>
      <c r="D177" s="1050"/>
      <c r="E177" s="1050"/>
      <c r="F177" s="1050"/>
      <c r="G177" s="1050"/>
    </row>
    <row r="178" spans="1:7">
      <c r="A178" s="1079"/>
      <c r="B178" s="1050"/>
      <c r="C178" s="1050"/>
      <c r="D178" s="1050"/>
      <c r="E178" s="1050"/>
      <c r="F178" s="1050"/>
      <c r="G178" s="1050"/>
    </row>
    <row r="179" spans="1:7">
      <c r="A179" s="1079"/>
      <c r="B179" s="1050"/>
      <c r="C179" s="1050"/>
      <c r="D179" s="1050"/>
      <c r="E179" s="1050"/>
      <c r="F179" s="1050"/>
      <c r="G179" s="1050"/>
    </row>
    <row r="180" spans="1:7">
      <c r="A180" s="1079"/>
      <c r="B180" s="1050"/>
      <c r="C180" s="1050"/>
      <c r="D180" s="1050"/>
      <c r="E180" s="1050"/>
      <c r="F180" s="1050"/>
      <c r="G180" s="1050"/>
    </row>
    <row r="181" spans="1:7">
      <c r="A181" s="1079"/>
      <c r="B181" s="1050"/>
      <c r="C181" s="1050"/>
      <c r="D181" s="1050"/>
      <c r="E181" s="1050"/>
      <c r="F181" s="1050"/>
      <c r="G181" s="1050"/>
    </row>
    <row r="182" spans="1:7">
      <c r="A182" s="1079"/>
      <c r="B182" s="1050"/>
      <c r="C182" s="1050"/>
      <c r="D182" s="1050"/>
      <c r="E182" s="1050"/>
      <c r="F182" s="1050"/>
      <c r="G182" s="1050"/>
    </row>
    <row r="183" spans="1:7">
      <c r="A183" s="1079"/>
      <c r="B183" s="1050"/>
      <c r="C183" s="1050"/>
      <c r="D183" s="1050"/>
      <c r="E183" s="1050"/>
      <c r="F183" s="1050"/>
      <c r="G183" s="1050"/>
    </row>
    <row r="184" spans="1:7">
      <c r="A184" s="1079"/>
      <c r="B184" s="1050"/>
      <c r="C184" s="1050"/>
      <c r="D184" s="1050"/>
      <c r="E184" s="1050"/>
      <c r="F184" s="1050"/>
      <c r="G184" s="1050"/>
    </row>
    <row r="185" spans="1:7">
      <c r="A185" s="1079"/>
      <c r="B185" s="1050"/>
      <c r="C185" s="1050"/>
      <c r="D185" s="1050"/>
      <c r="E185" s="1050"/>
      <c r="F185" s="1050"/>
      <c r="G185" s="1050"/>
    </row>
    <row r="186" spans="1:7">
      <c r="A186" s="1079"/>
      <c r="B186" s="1050"/>
      <c r="C186" s="1050"/>
      <c r="D186" s="1050"/>
      <c r="E186" s="1050"/>
      <c r="F186" s="1050"/>
      <c r="G186" s="1050"/>
    </row>
    <row r="187" spans="1:7">
      <c r="A187" s="1079"/>
      <c r="B187" s="1050"/>
      <c r="C187" s="1050"/>
      <c r="D187" s="1050"/>
      <c r="E187" s="1050"/>
      <c r="F187" s="1050"/>
      <c r="G187" s="1050"/>
    </row>
    <row r="188" spans="1:7">
      <c r="A188" s="1079"/>
      <c r="B188" s="1050"/>
      <c r="C188" s="1050"/>
      <c r="D188" s="1050"/>
      <c r="E188" s="1050"/>
      <c r="F188" s="1050"/>
      <c r="G188" s="1050"/>
    </row>
    <row r="189" spans="1:7">
      <c r="A189" s="1079"/>
      <c r="B189" s="1050"/>
      <c r="C189" s="1050"/>
      <c r="D189" s="1050"/>
      <c r="E189" s="1050"/>
      <c r="F189" s="1050"/>
      <c r="G189" s="1050"/>
    </row>
    <row r="190" spans="1:7">
      <c r="A190" s="1079"/>
      <c r="B190" s="1050"/>
      <c r="C190" s="1050"/>
      <c r="D190" s="1050"/>
      <c r="E190" s="1050"/>
      <c r="F190" s="1050"/>
      <c r="G190" s="1050"/>
    </row>
    <row r="191" spans="1:7">
      <c r="A191" s="1079"/>
      <c r="B191" s="1050"/>
      <c r="C191" s="1050"/>
      <c r="D191" s="1050"/>
      <c r="E191" s="1050"/>
      <c r="F191" s="1050"/>
      <c r="G191" s="1050"/>
    </row>
    <row r="192" spans="1:7">
      <c r="A192" s="1079"/>
      <c r="B192" s="1050"/>
      <c r="C192" s="1050"/>
      <c r="D192" s="1050"/>
      <c r="E192" s="1050"/>
      <c r="F192" s="1050"/>
      <c r="G192" s="1050"/>
    </row>
    <row r="193" spans="1:7">
      <c r="A193" s="1079"/>
      <c r="B193" s="1050"/>
      <c r="C193" s="1050"/>
      <c r="D193" s="1050"/>
      <c r="E193" s="1050"/>
      <c r="F193" s="1050"/>
      <c r="G193" s="1050"/>
    </row>
    <row r="194" spans="1:7">
      <c r="A194" s="1079"/>
      <c r="B194" s="1050"/>
      <c r="C194" s="1050"/>
      <c r="D194" s="1050"/>
      <c r="E194" s="1050"/>
      <c r="F194" s="1050"/>
      <c r="G194" s="1050"/>
    </row>
    <row r="195" spans="1:7">
      <c r="A195" s="1079"/>
      <c r="B195" s="1050"/>
      <c r="C195" s="1050"/>
      <c r="D195" s="1050"/>
      <c r="E195" s="1050"/>
      <c r="F195" s="1050"/>
      <c r="G195" s="1050"/>
    </row>
    <row r="196" spans="1:7">
      <c r="A196" s="1079"/>
      <c r="B196" s="1050"/>
      <c r="C196" s="1050"/>
      <c r="D196" s="1050"/>
      <c r="E196" s="1050"/>
      <c r="F196" s="1050"/>
      <c r="G196" s="1050"/>
    </row>
    <row r="197" spans="1:7">
      <c r="A197" s="1079"/>
      <c r="B197" s="1050"/>
      <c r="C197" s="1050"/>
      <c r="D197" s="1050"/>
      <c r="E197" s="1050"/>
      <c r="F197" s="1050"/>
      <c r="G197" s="1050"/>
    </row>
    <row r="198" spans="1:7">
      <c r="A198" s="1079"/>
      <c r="B198" s="1050"/>
      <c r="C198" s="1050"/>
      <c r="D198" s="1050"/>
      <c r="E198" s="1050"/>
      <c r="F198" s="1050"/>
      <c r="G198" s="1050"/>
    </row>
    <row r="199" spans="1:7">
      <c r="A199" s="1079"/>
      <c r="B199" s="1050"/>
      <c r="C199" s="1050"/>
      <c r="D199" s="1050"/>
      <c r="E199" s="1050"/>
      <c r="F199" s="1050"/>
      <c r="G199" s="1050"/>
    </row>
    <row r="200" spans="1:7">
      <c r="A200" s="1079"/>
      <c r="B200" s="1050"/>
      <c r="C200" s="1050"/>
      <c r="D200" s="1050"/>
      <c r="E200" s="1050"/>
      <c r="F200" s="1050"/>
      <c r="G200" s="1050"/>
    </row>
    <row r="201" spans="1:7">
      <c r="A201" s="1079"/>
      <c r="B201" s="1050"/>
      <c r="C201" s="1050"/>
      <c r="D201" s="1050"/>
      <c r="E201" s="1050"/>
      <c r="F201" s="1050"/>
      <c r="G201" s="1050"/>
    </row>
    <row r="202" spans="1:7">
      <c r="A202" s="1079"/>
      <c r="B202" s="1050"/>
      <c r="C202" s="1050"/>
      <c r="D202" s="1050"/>
      <c r="E202" s="1050"/>
      <c r="F202" s="1050"/>
      <c r="G202" s="1050"/>
    </row>
    <row r="203" spans="1:7">
      <c r="A203" s="1079"/>
      <c r="B203" s="1050"/>
      <c r="C203" s="1050"/>
      <c r="D203" s="1050"/>
      <c r="E203" s="1050"/>
      <c r="F203" s="1050"/>
      <c r="G203" s="1050"/>
    </row>
    <row r="204" spans="1:7">
      <c r="A204" s="1079"/>
      <c r="B204" s="1050"/>
      <c r="C204" s="1050"/>
      <c r="D204" s="1050"/>
      <c r="E204" s="1050"/>
      <c r="F204" s="1050"/>
      <c r="G204" s="1050"/>
    </row>
    <row r="205" spans="1:7">
      <c r="A205" s="1079"/>
      <c r="B205" s="1050"/>
      <c r="C205" s="1050"/>
      <c r="D205" s="1050"/>
      <c r="E205" s="1050"/>
      <c r="F205" s="1050"/>
      <c r="G205" s="1050"/>
    </row>
    <row r="206" spans="1:7">
      <c r="A206" s="1079"/>
      <c r="B206" s="1050"/>
      <c r="C206" s="1050"/>
      <c r="D206" s="1050"/>
      <c r="E206" s="1050"/>
      <c r="F206" s="1050"/>
      <c r="G206" s="1050"/>
    </row>
    <row r="207" spans="1:7">
      <c r="A207" s="1079"/>
      <c r="B207" s="1050"/>
      <c r="C207" s="1050"/>
      <c r="D207" s="1050"/>
      <c r="E207" s="1050"/>
      <c r="F207" s="1050"/>
      <c r="G207" s="1050"/>
    </row>
    <row r="208" spans="1:7">
      <c r="A208" s="1079"/>
      <c r="B208" s="1050"/>
      <c r="C208" s="1050"/>
      <c r="D208" s="1050"/>
      <c r="E208" s="1050"/>
      <c r="F208" s="1050"/>
      <c r="G208" s="1050"/>
    </row>
    <row r="209" spans="1:7">
      <c r="A209" s="1079"/>
      <c r="B209" s="1050"/>
      <c r="C209" s="1050"/>
      <c r="D209" s="1050"/>
      <c r="E209" s="1050"/>
      <c r="F209" s="1050"/>
      <c r="G209" s="1050"/>
    </row>
    <row r="210" spans="1:7">
      <c r="A210" s="1079"/>
      <c r="B210" s="1050"/>
      <c r="C210" s="1050"/>
      <c r="D210" s="1050"/>
      <c r="E210" s="1050"/>
      <c r="F210" s="1050"/>
      <c r="G210" s="1050"/>
    </row>
    <row r="211" spans="1:7">
      <c r="A211" s="1079"/>
      <c r="B211" s="1050"/>
      <c r="C211" s="1050"/>
      <c r="D211" s="1050"/>
      <c r="E211" s="1050"/>
      <c r="F211" s="1050"/>
      <c r="G211" s="1050"/>
    </row>
    <row r="212" spans="1:7">
      <c r="A212" s="1079"/>
      <c r="B212" s="1050"/>
      <c r="C212" s="1050"/>
      <c r="D212" s="1050"/>
      <c r="E212" s="1050"/>
      <c r="F212" s="1050"/>
      <c r="G212" s="1050"/>
    </row>
    <row r="213" spans="1:7">
      <c r="A213" s="1079"/>
      <c r="B213" s="1050"/>
      <c r="C213" s="1050"/>
      <c r="D213" s="1050"/>
      <c r="E213" s="1050"/>
      <c r="F213" s="1050"/>
      <c r="G213" s="1050"/>
    </row>
    <row r="214" spans="1:7">
      <c r="A214" s="1079"/>
      <c r="B214" s="1050"/>
      <c r="C214" s="1050"/>
      <c r="D214" s="1050"/>
      <c r="E214" s="1050"/>
      <c r="F214" s="1050"/>
      <c r="G214" s="1050"/>
    </row>
    <row r="215" spans="1:7">
      <c r="A215" s="1079"/>
      <c r="B215" s="1050"/>
      <c r="C215" s="1050"/>
      <c r="D215" s="1050"/>
      <c r="E215" s="1050"/>
      <c r="F215" s="1050"/>
      <c r="G215" s="1050"/>
    </row>
    <row r="216" spans="1:7">
      <c r="A216" s="1079"/>
      <c r="B216" s="1050"/>
      <c r="C216" s="1050"/>
      <c r="D216" s="1050"/>
      <c r="E216" s="1050"/>
      <c r="F216" s="1050"/>
      <c r="G216" s="1050"/>
    </row>
    <row r="217" spans="1:7">
      <c r="A217" s="1079"/>
      <c r="B217" s="1050"/>
      <c r="C217" s="1050"/>
      <c r="D217" s="1050"/>
      <c r="E217" s="1050"/>
      <c r="F217" s="1050"/>
      <c r="G217" s="1050"/>
    </row>
    <row r="218" spans="1:7">
      <c r="A218" s="1079"/>
      <c r="B218" s="1050"/>
      <c r="C218" s="1050"/>
      <c r="D218" s="1050"/>
      <c r="E218" s="1050"/>
      <c r="F218" s="1050"/>
      <c r="G218" s="1050"/>
    </row>
    <row r="219" spans="1:7">
      <c r="A219" s="1079"/>
      <c r="B219" s="1050"/>
      <c r="C219" s="1050"/>
      <c r="D219" s="1050"/>
      <c r="E219" s="1050"/>
      <c r="F219" s="1050"/>
      <c r="G219" s="1050"/>
    </row>
    <row r="220" spans="1:7">
      <c r="A220" s="1079"/>
      <c r="B220" s="1050"/>
      <c r="C220" s="1050"/>
      <c r="D220" s="1050"/>
      <c r="E220" s="1050"/>
      <c r="F220" s="1050"/>
      <c r="G220" s="1050"/>
    </row>
    <row r="221" spans="1:7">
      <c r="A221" s="1079"/>
      <c r="B221" s="1050"/>
      <c r="C221" s="1050"/>
      <c r="D221" s="1050"/>
      <c r="E221" s="1050"/>
      <c r="F221" s="1050"/>
      <c r="G221" s="1050"/>
    </row>
    <row r="222" spans="1:7">
      <c r="A222" s="1079"/>
      <c r="B222" s="1050"/>
      <c r="C222" s="1050"/>
      <c r="D222" s="1050"/>
      <c r="E222" s="1050"/>
      <c r="F222" s="1050"/>
      <c r="G222" s="1050"/>
    </row>
    <row r="223" spans="1:7">
      <c r="A223" s="1079"/>
      <c r="B223" s="1050"/>
      <c r="C223" s="1050"/>
      <c r="D223" s="1050"/>
      <c r="E223" s="1050"/>
      <c r="F223" s="1050"/>
      <c r="G223" s="1050"/>
    </row>
    <row r="224" spans="1:7">
      <c r="A224" s="1079"/>
      <c r="B224" s="1050"/>
      <c r="C224" s="1050"/>
      <c r="D224" s="1050"/>
      <c r="E224" s="1050"/>
      <c r="F224" s="1050"/>
      <c r="G224" s="1050"/>
    </row>
    <row r="225" spans="1:7">
      <c r="A225" s="1079"/>
      <c r="B225" s="1050"/>
      <c r="C225" s="1050"/>
      <c r="D225" s="1050"/>
      <c r="E225" s="1050"/>
      <c r="F225" s="1050"/>
      <c r="G225" s="1050"/>
    </row>
    <row r="226" spans="1:7">
      <c r="A226" s="1079"/>
      <c r="B226" s="1050"/>
      <c r="C226" s="1050"/>
      <c r="D226" s="1050"/>
      <c r="E226" s="1050"/>
      <c r="F226" s="1050"/>
      <c r="G226" s="1050"/>
    </row>
    <row r="227" spans="1:7">
      <c r="A227" s="1079"/>
      <c r="B227" s="1050"/>
      <c r="C227" s="1050"/>
      <c r="D227" s="1050"/>
      <c r="E227" s="1050"/>
      <c r="F227" s="1050"/>
      <c r="G227" s="1050"/>
    </row>
    <row r="228" spans="1:7">
      <c r="A228" s="1079"/>
      <c r="B228" s="1050"/>
      <c r="C228" s="1050"/>
      <c r="D228" s="1050"/>
      <c r="E228" s="1050"/>
      <c r="F228" s="1050"/>
      <c r="G228" s="1050"/>
    </row>
    <row r="229" spans="1:7">
      <c r="A229" s="1079"/>
      <c r="B229" s="1050"/>
      <c r="C229" s="1050"/>
      <c r="D229" s="1050"/>
      <c r="E229" s="1050"/>
      <c r="F229" s="1050"/>
      <c r="G229" s="1050"/>
    </row>
    <row r="230" spans="1:7">
      <c r="A230" s="1079"/>
      <c r="B230" s="1050"/>
      <c r="C230" s="1050"/>
      <c r="D230" s="1050"/>
      <c r="E230" s="1050"/>
      <c r="F230" s="1050"/>
      <c r="G230" s="1050"/>
    </row>
    <row r="231" spans="1:7">
      <c r="A231" s="1079"/>
      <c r="B231" s="1050"/>
      <c r="C231" s="1050"/>
      <c r="D231" s="1050"/>
      <c r="E231" s="1050"/>
      <c r="F231" s="1050"/>
      <c r="G231" s="1050"/>
    </row>
    <row r="232" spans="1:7">
      <c r="A232" s="1079"/>
      <c r="B232" s="1050"/>
      <c r="C232" s="1050"/>
      <c r="D232" s="1050"/>
      <c r="E232" s="1050"/>
      <c r="F232" s="1050"/>
      <c r="G232" s="1050"/>
    </row>
    <row r="233" spans="1:7">
      <c r="A233" s="1079"/>
      <c r="B233" s="1050"/>
      <c r="C233" s="1050"/>
      <c r="D233" s="1050"/>
      <c r="E233" s="1050"/>
      <c r="F233" s="1050"/>
      <c r="G233" s="1050"/>
    </row>
    <row r="234" spans="1:7">
      <c r="A234" s="1079"/>
      <c r="B234" s="1050"/>
      <c r="C234" s="1050"/>
      <c r="D234" s="1050"/>
      <c r="E234" s="1050"/>
      <c r="F234" s="1050"/>
      <c r="G234" s="1050"/>
    </row>
    <row r="235" spans="1:7">
      <c r="A235" s="1079"/>
      <c r="B235" s="1050"/>
      <c r="C235" s="1050"/>
      <c r="D235" s="1050"/>
      <c r="E235" s="1050"/>
      <c r="F235" s="1050"/>
      <c r="G235" s="1050"/>
    </row>
    <row r="236" spans="1:7">
      <c r="A236" s="1079"/>
      <c r="B236" s="1050"/>
      <c r="C236" s="1050"/>
      <c r="D236" s="1050"/>
      <c r="E236" s="1050"/>
      <c r="F236" s="1050"/>
      <c r="G236" s="1050"/>
    </row>
    <row r="237" spans="1:7">
      <c r="A237" s="1079"/>
      <c r="B237" s="1050"/>
      <c r="C237" s="1050"/>
      <c r="D237" s="1050"/>
      <c r="E237" s="1050"/>
      <c r="F237" s="1050"/>
      <c r="G237" s="1050"/>
    </row>
    <row r="238" spans="1:7">
      <c r="A238" s="1079"/>
      <c r="B238" s="1050"/>
      <c r="C238" s="1050"/>
      <c r="D238" s="1050"/>
      <c r="E238" s="1050"/>
      <c r="F238" s="1050"/>
      <c r="G238" s="1050"/>
    </row>
    <row r="239" spans="1:7">
      <c r="A239" s="1079"/>
      <c r="B239" s="1050"/>
      <c r="C239" s="1050"/>
      <c r="D239" s="1050"/>
      <c r="E239" s="1050"/>
      <c r="F239" s="1050"/>
      <c r="G239" s="1050"/>
    </row>
    <row r="240" spans="1:7">
      <c r="A240" s="1079"/>
      <c r="B240" s="1050"/>
      <c r="C240" s="1050"/>
      <c r="D240" s="1050"/>
      <c r="E240" s="1050"/>
      <c r="F240" s="1050"/>
      <c r="G240" s="1050"/>
    </row>
    <row r="241" spans="1:7">
      <c r="A241" s="1079"/>
      <c r="B241" s="1050"/>
      <c r="C241" s="1050"/>
      <c r="D241" s="1050"/>
      <c r="E241" s="1050"/>
      <c r="F241" s="1050"/>
      <c r="G241" s="1050"/>
    </row>
    <row r="242" spans="1:7">
      <c r="A242" s="1079"/>
      <c r="B242" s="1050"/>
      <c r="C242" s="1050"/>
      <c r="D242" s="1050"/>
      <c r="E242" s="1050"/>
      <c r="F242" s="1050"/>
      <c r="G242" s="1050"/>
    </row>
    <row r="243" spans="1:7">
      <c r="A243" s="1079"/>
      <c r="B243" s="1050"/>
      <c r="C243" s="1050"/>
      <c r="D243" s="1050"/>
      <c r="E243" s="1050"/>
      <c r="F243" s="1050"/>
      <c r="G243" s="1050"/>
    </row>
    <row r="244" spans="1:7">
      <c r="A244" s="1079"/>
      <c r="B244" s="1050"/>
      <c r="C244" s="1050"/>
      <c r="D244" s="1050"/>
      <c r="E244" s="1050"/>
      <c r="F244" s="1050"/>
      <c r="G244" s="1050"/>
    </row>
    <row r="245" spans="1:7">
      <c r="A245" s="1079"/>
      <c r="B245" s="1050"/>
      <c r="C245" s="1050"/>
      <c r="D245" s="1050"/>
      <c r="E245" s="1050"/>
      <c r="F245" s="1050"/>
      <c r="G245" s="1050"/>
    </row>
    <row r="246" spans="1:7">
      <c r="A246" s="1079"/>
      <c r="B246" s="1050"/>
      <c r="C246" s="1050"/>
      <c r="D246" s="1050"/>
      <c r="E246" s="1050"/>
      <c r="F246" s="1050"/>
      <c r="G246" s="1050"/>
    </row>
    <row r="247" spans="1:7">
      <c r="A247" s="1079"/>
      <c r="B247" s="1050"/>
      <c r="C247" s="1050"/>
      <c r="D247" s="1050"/>
      <c r="E247" s="1050"/>
      <c r="F247" s="1050"/>
      <c r="G247" s="1050"/>
    </row>
    <row r="248" spans="1:7">
      <c r="A248" s="1079"/>
      <c r="B248" s="1050"/>
      <c r="C248" s="1050"/>
      <c r="D248" s="1050"/>
      <c r="E248" s="1050"/>
      <c r="F248" s="1050"/>
      <c r="G248" s="1050"/>
    </row>
    <row r="249" spans="1:7">
      <c r="A249" s="1079"/>
      <c r="B249" s="1050"/>
      <c r="C249" s="1050"/>
      <c r="D249" s="1050"/>
      <c r="E249" s="1050"/>
      <c r="F249" s="1050"/>
      <c r="G249" s="1050"/>
    </row>
    <row r="250" spans="1:7">
      <c r="A250" s="1079"/>
      <c r="B250" s="1050"/>
      <c r="C250" s="1050"/>
      <c r="D250" s="1050"/>
      <c r="E250" s="1050"/>
      <c r="F250" s="1050"/>
      <c r="G250" s="1050"/>
    </row>
    <row r="251" spans="1:7">
      <c r="A251" s="1079"/>
      <c r="B251" s="1050"/>
      <c r="C251" s="1050"/>
      <c r="D251" s="1050"/>
      <c r="E251" s="1050"/>
      <c r="F251" s="1050"/>
      <c r="G251" s="1050"/>
    </row>
    <row r="252" spans="1:7">
      <c r="A252" s="1079"/>
      <c r="B252" s="1050"/>
      <c r="C252" s="1050"/>
      <c r="D252" s="1050"/>
      <c r="E252" s="1050"/>
      <c r="F252" s="1050"/>
      <c r="G252" s="1050"/>
    </row>
    <row r="253" spans="1:7">
      <c r="A253" s="1079"/>
      <c r="B253" s="1050"/>
      <c r="C253" s="1050"/>
      <c r="D253" s="1050"/>
      <c r="E253" s="1050"/>
      <c r="F253" s="1050"/>
      <c r="G253" s="1050"/>
    </row>
    <row r="254" spans="1:7">
      <c r="A254" s="1079"/>
      <c r="B254" s="1050"/>
      <c r="C254" s="1050"/>
      <c r="D254" s="1050"/>
      <c r="E254" s="1050"/>
      <c r="F254" s="1050"/>
      <c r="G254" s="1050"/>
    </row>
    <row r="255" spans="1:7">
      <c r="A255" s="1079"/>
      <c r="B255" s="1050"/>
      <c r="C255" s="1050"/>
      <c r="D255" s="1050"/>
      <c r="E255" s="1050"/>
      <c r="F255" s="1050"/>
      <c r="G255" s="1050"/>
    </row>
    <row r="256" spans="1:7">
      <c r="A256" s="1079"/>
      <c r="B256" s="1050"/>
      <c r="C256" s="1050"/>
      <c r="D256" s="1050"/>
      <c r="E256" s="1050"/>
      <c r="F256" s="1050"/>
      <c r="G256" s="1050"/>
    </row>
    <row r="257" spans="1:7">
      <c r="A257" s="1079"/>
      <c r="B257" s="1050"/>
      <c r="C257" s="1050"/>
      <c r="D257" s="1050"/>
      <c r="E257" s="1050"/>
      <c r="F257" s="1050"/>
      <c r="G257" s="1050"/>
    </row>
    <row r="258" spans="1:7">
      <c r="A258" s="1079"/>
      <c r="B258" s="1050"/>
      <c r="C258" s="1050"/>
      <c r="D258" s="1050"/>
      <c r="E258" s="1050"/>
      <c r="F258" s="1050"/>
      <c r="G258" s="1050"/>
    </row>
    <row r="259" spans="1:7">
      <c r="A259" s="1079"/>
      <c r="B259" s="1050"/>
      <c r="C259" s="1050"/>
      <c r="D259" s="1050"/>
      <c r="E259" s="1050"/>
      <c r="F259" s="1050"/>
      <c r="G259" s="1050"/>
    </row>
    <row r="260" spans="1:7">
      <c r="A260" s="1079"/>
      <c r="B260" s="1050"/>
      <c r="C260" s="1050"/>
      <c r="D260" s="1050"/>
      <c r="E260" s="1050"/>
      <c r="F260" s="1050"/>
      <c r="G260" s="1050"/>
    </row>
    <row r="261" spans="1:7">
      <c r="A261" s="1079"/>
      <c r="B261" s="1050"/>
      <c r="C261" s="1050"/>
      <c r="D261" s="1050"/>
      <c r="E261" s="1050"/>
      <c r="F261" s="1050"/>
      <c r="G261" s="1050"/>
    </row>
    <row r="262" spans="1:7">
      <c r="A262" s="1079"/>
      <c r="B262" s="1050"/>
      <c r="C262" s="1050"/>
      <c r="D262" s="1050"/>
      <c r="E262" s="1050"/>
      <c r="F262" s="1050"/>
      <c r="G262" s="1050"/>
    </row>
    <row r="263" spans="1:7">
      <c r="A263" s="1079"/>
      <c r="B263" s="1050"/>
      <c r="C263" s="1050"/>
      <c r="D263" s="1050"/>
      <c r="E263" s="1050"/>
      <c r="F263" s="1050"/>
      <c r="G263" s="1050"/>
    </row>
    <row r="264" spans="1:7">
      <c r="A264" s="1079"/>
      <c r="B264" s="1050"/>
      <c r="C264" s="1050"/>
      <c r="D264" s="1050"/>
      <c r="E264" s="1050"/>
      <c r="F264" s="1050"/>
      <c r="G264" s="1050"/>
    </row>
    <row r="265" spans="1:7">
      <c r="A265" s="1079"/>
      <c r="B265" s="1050"/>
      <c r="C265" s="1050"/>
      <c r="D265" s="1050"/>
      <c r="E265" s="1050"/>
      <c r="F265" s="1050"/>
      <c r="G265" s="1050"/>
    </row>
    <row r="266" spans="1:7">
      <c r="A266" s="1079"/>
      <c r="B266" s="1050"/>
      <c r="C266" s="1050"/>
      <c r="D266" s="1050"/>
      <c r="E266" s="1050"/>
      <c r="F266" s="1050"/>
      <c r="G266" s="1050"/>
    </row>
    <row r="267" spans="1:7">
      <c r="A267" s="1079"/>
      <c r="B267" s="1050"/>
      <c r="C267" s="1050"/>
      <c r="D267" s="1050"/>
      <c r="E267" s="1050"/>
      <c r="F267" s="1050"/>
      <c r="G267" s="1050"/>
    </row>
    <row r="268" spans="1:7">
      <c r="A268" s="1079"/>
      <c r="B268" s="1050"/>
      <c r="C268" s="1050"/>
      <c r="D268" s="1050"/>
      <c r="E268" s="1050"/>
      <c r="F268" s="1050"/>
      <c r="G268" s="1050"/>
    </row>
    <row r="269" spans="1:7">
      <c r="A269" s="1079"/>
      <c r="B269" s="1050"/>
      <c r="C269" s="1050"/>
      <c r="D269" s="1050"/>
      <c r="E269" s="1050"/>
      <c r="F269" s="1050"/>
      <c r="G269" s="1050"/>
    </row>
    <row r="270" spans="1:7">
      <c r="A270" s="1079"/>
      <c r="B270" s="1050"/>
      <c r="C270" s="1050"/>
      <c r="D270" s="1050"/>
      <c r="E270" s="1050"/>
      <c r="F270" s="1050"/>
      <c r="G270" s="1050"/>
    </row>
    <row r="271" spans="1:7">
      <c r="A271" s="1079"/>
      <c r="B271" s="1050"/>
      <c r="C271" s="1050"/>
      <c r="D271" s="1050"/>
      <c r="E271" s="1050"/>
      <c r="F271" s="1050"/>
      <c r="G271" s="1050"/>
    </row>
    <row r="272" spans="1:7">
      <c r="A272" s="1079"/>
      <c r="B272" s="1050"/>
      <c r="C272" s="1050"/>
      <c r="D272" s="1050"/>
      <c r="E272" s="1050"/>
      <c r="F272" s="1050"/>
      <c r="G272" s="1050"/>
    </row>
    <row r="273" spans="1:7">
      <c r="A273" s="1079"/>
      <c r="B273" s="1050"/>
      <c r="C273" s="1050"/>
      <c r="D273" s="1050"/>
      <c r="E273" s="1050"/>
      <c r="F273" s="1050"/>
      <c r="G273" s="1050"/>
    </row>
    <row r="274" spans="1:7">
      <c r="A274" s="1079"/>
      <c r="B274" s="1050"/>
      <c r="C274" s="1050"/>
      <c r="D274" s="1050"/>
      <c r="E274" s="1050"/>
      <c r="F274" s="1050"/>
      <c r="G274" s="1050"/>
    </row>
    <row r="275" spans="1:7">
      <c r="A275" s="1079"/>
      <c r="B275" s="1050"/>
      <c r="C275" s="1050"/>
      <c r="D275" s="1050"/>
      <c r="E275" s="1050"/>
      <c r="F275" s="1050"/>
      <c r="G275" s="1050"/>
    </row>
    <row r="276" spans="1:7">
      <c r="A276" s="1079"/>
      <c r="B276" s="1050"/>
      <c r="C276" s="1050"/>
      <c r="D276" s="1050"/>
      <c r="E276" s="1050"/>
      <c r="F276" s="1050"/>
      <c r="G276" s="1050"/>
    </row>
    <row r="277" spans="1:7">
      <c r="A277" s="1079"/>
      <c r="B277" s="1050"/>
      <c r="C277" s="1050"/>
      <c r="D277" s="1050"/>
      <c r="E277" s="1050"/>
      <c r="F277" s="1050"/>
      <c r="G277" s="1050"/>
    </row>
    <row r="278" spans="1:7">
      <c r="A278" s="1079"/>
      <c r="B278" s="1050"/>
      <c r="C278" s="1050"/>
      <c r="D278" s="1050"/>
      <c r="E278" s="1050"/>
      <c r="F278" s="1050"/>
      <c r="G278" s="1050"/>
    </row>
    <row r="279" spans="1:7">
      <c r="A279" s="1079"/>
      <c r="B279" s="1050"/>
      <c r="C279" s="1050"/>
      <c r="D279" s="1050"/>
      <c r="E279" s="1050"/>
      <c r="F279" s="1050"/>
      <c r="G279" s="1050"/>
    </row>
    <row r="280" spans="1:7">
      <c r="A280" s="1079"/>
      <c r="B280" s="1050"/>
      <c r="C280" s="1050"/>
      <c r="D280" s="1050"/>
      <c r="E280" s="1050"/>
      <c r="F280" s="1050"/>
      <c r="G280" s="1050"/>
    </row>
    <row r="281" spans="1:7">
      <c r="A281" s="1079"/>
      <c r="B281" s="1050"/>
      <c r="C281" s="1050"/>
      <c r="D281" s="1050"/>
      <c r="E281" s="1050"/>
      <c r="F281" s="1050"/>
      <c r="G281" s="1050"/>
    </row>
    <row r="282" spans="1:7">
      <c r="A282" s="1079"/>
      <c r="B282" s="1050"/>
      <c r="C282" s="1050"/>
      <c r="D282" s="1050"/>
      <c r="E282" s="1050"/>
      <c r="F282" s="1050"/>
      <c r="G282" s="1050"/>
    </row>
    <row r="283" spans="1:7">
      <c r="A283" s="1079"/>
      <c r="B283" s="1050"/>
      <c r="C283" s="1050"/>
      <c r="D283" s="1050"/>
      <c r="E283" s="1050"/>
      <c r="F283" s="1050"/>
      <c r="G283" s="1050"/>
    </row>
    <row r="284" spans="1:7">
      <c r="A284" s="1079"/>
      <c r="B284" s="1050"/>
      <c r="C284" s="1050"/>
      <c r="D284" s="1050"/>
      <c r="E284" s="1050"/>
      <c r="F284" s="1050"/>
      <c r="G284" s="1050"/>
    </row>
    <row r="285" spans="1:7">
      <c r="A285" s="1079"/>
      <c r="B285" s="1050"/>
      <c r="C285" s="1050"/>
      <c r="D285" s="1050"/>
      <c r="E285" s="1050"/>
      <c r="F285" s="1050"/>
      <c r="G285" s="1050"/>
    </row>
    <row r="286" spans="1:7">
      <c r="A286" s="1079"/>
      <c r="B286" s="1050"/>
      <c r="C286" s="1050"/>
      <c r="D286" s="1050"/>
      <c r="E286" s="1050"/>
      <c r="F286" s="1050"/>
      <c r="G286" s="1050"/>
    </row>
    <row r="287" spans="1:7">
      <c r="A287" s="1079"/>
      <c r="B287" s="1050"/>
      <c r="C287" s="1050"/>
      <c r="D287" s="1050"/>
      <c r="E287" s="1050"/>
      <c r="F287" s="1050"/>
      <c r="G287" s="1050"/>
    </row>
    <row r="288" spans="1:7">
      <c r="A288" s="1079"/>
      <c r="B288" s="1050"/>
      <c r="C288" s="1050"/>
      <c r="D288" s="1050"/>
      <c r="E288" s="1050"/>
      <c r="F288" s="1050"/>
      <c r="G288" s="1050"/>
    </row>
    <row r="289" spans="1:7">
      <c r="A289" s="1079"/>
      <c r="B289" s="1050"/>
      <c r="C289" s="1050"/>
      <c r="D289" s="1050"/>
      <c r="E289" s="1050"/>
      <c r="F289" s="1050"/>
      <c r="G289" s="1050"/>
    </row>
    <row r="290" spans="1:7">
      <c r="A290" s="1079"/>
      <c r="B290" s="1050"/>
      <c r="C290" s="1050"/>
      <c r="D290" s="1050"/>
      <c r="E290" s="1050"/>
      <c r="F290" s="1050"/>
      <c r="G290" s="1050"/>
    </row>
    <row r="291" spans="1:7">
      <c r="A291" s="1079"/>
      <c r="B291" s="1050"/>
      <c r="C291" s="1050"/>
      <c r="D291" s="1050"/>
      <c r="E291" s="1050"/>
      <c r="F291" s="1050"/>
      <c r="G291" s="1050"/>
    </row>
    <row r="292" spans="1:7">
      <c r="A292" s="1079"/>
      <c r="B292" s="1050"/>
      <c r="C292" s="1050"/>
      <c r="D292" s="1050"/>
      <c r="E292" s="1050"/>
      <c r="F292" s="1050"/>
      <c r="G292" s="1050"/>
    </row>
    <row r="293" spans="1:7">
      <c r="A293" s="1079"/>
      <c r="B293" s="1050"/>
      <c r="C293" s="1050"/>
      <c r="D293" s="1050"/>
      <c r="E293" s="1050"/>
      <c r="F293" s="1050"/>
      <c r="G293" s="1050"/>
    </row>
    <row r="294" spans="1:7">
      <c r="A294" s="1079"/>
      <c r="B294" s="1050"/>
      <c r="C294" s="1050"/>
      <c r="D294" s="1050"/>
      <c r="E294" s="1050"/>
      <c r="F294" s="1050"/>
      <c r="G294" s="1050"/>
    </row>
    <row r="295" spans="1:7">
      <c r="A295" s="1079"/>
      <c r="B295" s="1050"/>
      <c r="C295" s="1050"/>
      <c r="D295" s="1050"/>
      <c r="E295" s="1050"/>
      <c r="F295" s="1050"/>
      <c r="G295" s="1050"/>
    </row>
    <row r="296" spans="1:7">
      <c r="A296" s="1079"/>
      <c r="B296" s="1050"/>
      <c r="C296" s="1050"/>
      <c r="D296" s="1050"/>
      <c r="E296" s="1050"/>
      <c r="F296" s="1050"/>
      <c r="G296" s="1050"/>
    </row>
    <row r="297" spans="1:7">
      <c r="A297" s="1079"/>
      <c r="B297" s="1050"/>
      <c r="C297" s="1050"/>
      <c r="D297" s="1050"/>
      <c r="E297" s="1050"/>
      <c r="F297" s="1050"/>
      <c r="G297" s="1050"/>
    </row>
    <row r="298" spans="1:7">
      <c r="A298" s="1079"/>
      <c r="B298" s="1050"/>
      <c r="C298" s="1050"/>
      <c r="D298" s="1050"/>
      <c r="E298" s="1050"/>
      <c r="F298" s="1050"/>
      <c r="G298" s="1050"/>
    </row>
    <row r="299" spans="1:7">
      <c r="A299" s="1079"/>
      <c r="B299" s="1050"/>
      <c r="C299" s="1050"/>
      <c r="D299" s="1050"/>
      <c r="E299" s="1050"/>
      <c r="F299" s="1050"/>
      <c r="G299" s="1050"/>
    </row>
    <row r="300" spans="1:7">
      <c r="A300" s="1079"/>
      <c r="B300" s="1050"/>
      <c r="C300" s="1050"/>
      <c r="D300" s="1050"/>
      <c r="E300" s="1050"/>
      <c r="F300" s="1050"/>
      <c r="G300" s="1050"/>
    </row>
    <row r="301" spans="1:7">
      <c r="A301" s="1079"/>
      <c r="B301" s="1050"/>
      <c r="C301" s="1050"/>
      <c r="D301" s="1050"/>
      <c r="E301" s="1050"/>
      <c r="F301" s="1050"/>
      <c r="G301" s="1050"/>
    </row>
    <row r="302" spans="1:7">
      <c r="A302" s="1079"/>
      <c r="B302" s="1050"/>
      <c r="C302" s="1050"/>
      <c r="D302" s="1050"/>
      <c r="E302" s="1050"/>
      <c r="F302" s="1050"/>
      <c r="G302" s="1050"/>
    </row>
    <row r="303" spans="1:7">
      <c r="A303" s="1079"/>
      <c r="B303" s="1050"/>
      <c r="C303" s="1050"/>
      <c r="D303" s="1050"/>
      <c r="E303" s="1050"/>
      <c r="F303" s="1050"/>
      <c r="G303" s="1050"/>
    </row>
    <row r="304" spans="1:7">
      <c r="A304" s="1079"/>
      <c r="B304" s="1050"/>
      <c r="C304" s="1050"/>
      <c r="D304" s="1050"/>
      <c r="E304" s="1050"/>
      <c r="F304" s="1050"/>
      <c r="G304" s="1050"/>
    </row>
    <row r="305" spans="1:7">
      <c r="A305" s="1079"/>
      <c r="B305" s="1050"/>
      <c r="C305" s="1050"/>
      <c r="D305" s="1050"/>
      <c r="E305" s="1050"/>
      <c r="F305" s="1050"/>
      <c r="G305" s="1050"/>
    </row>
    <row r="306" spans="1:7">
      <c r="A306" s="1079"/>
      <c r="B306" s="1050"/>
      <c r="C306" s="1050"/>
      <c r="D306" s="1050"/>
      <c r="E306" s="1050"/>
      <c r="F306" s="1050"/>
      <c r="G306" s="1050"/>
    </row>
    <row r="307" spans="1:7">
      <c r="A307" s="1079"/>
      <c r="B307" s="1050"/>
      <c r="C307" s="1050"/>
      <c r="D307" s="1050"/>
      <c r="E307" s="1050"/>
      <c r="F307" s="1050"/>
      <c r="G307" s="1050"/>
    </row>
    <row r="308" spans="1:7">
      <c r="A308" s="1079"/>
      <c r="B308" s="1050"/>
      <c r="C308" s="1050"/>
      <c r="D308" s="1050"/>
      <c r="E308" s="1050"/>
      <c r="F308" s="1050"/>
      <c r="G308" s="1050"/>
    </row>
    <row r="309" spans="1:7">
      <c r="A309" s="1079"/>
      <c r="B309" s="1050"/>
      <c r="C309" s="1050"/>
      <c r="D309" s="1050"/>
      <c r="E309" s="1050"/>
      <c r="F309" s="1050"/>
      <c r="G309" s="1050"/>
    </row>
    <row r="310" spans="1:7">
      <c r="A310" s="1079"/>
      <c r="B310" s="1050"/>
      <c r="C310" s="1050"/>
      <c r="D310" s="1050"/>
      <c r="E310" s="1050"/>
      <c r="F310" s="1050"/>
      <c r="G310" s="1050"/>
    </row>
    <row r="311" spans="1:7">
      <c r="A311" s="1079"/>
      <c r="B311" s="1050"/>
      <c r="C311" s="1050"/>
      <c r="D311" s="1050"/>
      <c r="E311" s="1050"/>
      <c r="F311" s="1050"/>
      <c r="G311" s="1050"/>
    </row>
    <row r="312" spans="1:7">
      <c r="A312" s="1079"/>
      <c r="B312" s="1050"/>
      <c r="C312" s="1050"/>
      <c r="D312" s="1050"/>
      <c r="E312" s="1050"/>
      <c r="F312" s="1050"/>
      <c r="G312" s="1050"/>
    </row>
    <row r="313" spans="1:7">
      <c r="A313" s="1079"/>
      <c r="B313" s="1050"/>
      <c r="C313" s="1050"/>
      <c r="D313" s="1050"/>
      <c r="E313" s="1050"/>
      <c r="F313" s="1050"/>
      <c r="G313" s="1050"/>
    </row>
    <row r="314" spans="1:7">
      <c r="A314" s="1079"/>
      <c r="B314" s="1050"/>
      <c r="C314" s="1050"/>
      <c r="D314" s="1050"/>
      <c r="E314" s="1050"/>
      <c r="F314" s="1050"/>
      <c r="G314" s="1050"/>
    </row>
    <row r="315" spans="1:7">
      <c r="A315" s="1079"/>
      <c r="B315" s="1050"/>
      <c r="C315" s="1050"/>
      <c r="D315" s="1050"/>
      <c r="E315" s="1050"/>
      <c r="F315" s="1050"/>
      <c r="G315" s="1050"/>
    </row>
    <row r="316" spans="1:7">
      <c r="A316" s="1079"/>
      <c r="B316" s="1050"/>
      <c r="C316" s="1050"/>
      <c r="D316" s="1050"/>
      <c r="E316" s="1050"/>
      <c r="F316" s="1050"/>
      <c r="G316" s="1050"/>
    </row>
    <row r="317" spans="1:7">
      <c r="A317" s="1079"/>
      <c r="B317" s="1050"/>
      <c r="C317" s="1050"/>
      <c r="D317" s="1050"/>
      <c r="E317" s="1050"/>
      <c r="F317" s="1050"/>
      <c r="G317" s="1050"/>
    </row>
    <row r="318" spans="1:7">
      <c r="A318" s="1079"/>
      <c r="B318" s="1050"/>
      <c r="C318" s="1050"/>
      <c r="D318" s="1050"/>
      <c r="E318" s="1050"/>
      <c r="F318" s="1050"/>
      <c r="G318" s="1050"/>
    </row>
    <row r="319" spans="1:7">
      <c r="A319" s="1079"/>
      <c r="B319" s="1050"/>
      <c r="C319" s="1050"/>
      <c r="D319" s="1050"/>
      <c r="E319" s="1050"/>
      <c r="F319" s="1050"/>
      <c r="G319" s="1050"/>
    </row>
    <row r="320" spans="1:7">
      <c r="A320" s="1079"/>
      <c r="B320" s="1050"/>
      <c r="C320" s="1050"/>
      <c r="D320" s="1050"/>
      <c r="E320" s="1050"/>
      <c r="F320" s="1050"/>
      <c r="G320" s="1050"/>
    </row>
    <row r="321" spans="1:7">
      <c r="A321" s="1079"/>
      <c r="B321" s="1050"/>
      <c r="C321" s="1050"/>
      <c r="D321" s="1050"/>
      <c r="E321" s="1050"/>
      <c r="F321" s="1050"/>
      <c r="G321" s="1050"/>
    </row>
    <row r="322" spans="1:7">
      <c r="A322" s="1079"/>
      <c r="B322" s="1050"/>
      <c r="C322" s="1050"/>
      <c r="D322" s="1050"/>
      <c r="E322" s="1050"/>
      <c r="F322" s="1050"/>
      <c r="G322" s="1050"/>
    </row>
    <row r="323" spans="1:7">
      <c r="A323" s="1079"/>
      <c r="B323" s="1050"/>
      <c r="C323" s="1050"/>
      <c r="D323" s="1050"/>
      <c r="E323" s="1050"/>
      <c r="F323" s="1050"/>
      <c r="G323" s="1050"/>
    </row>
    <row r="324" spans="1:7">
      <c r="A324" s="1079"/>
      <c r="B324" s="1050"/>
      <c r="C324" s="1050"/>
      <c r="D324" s="1050"/>
      <c r="E324" s="1050"/>
      <c r="F324" s="1050"/>
      <c r="G324" s="1050"/>
    </row>
    <row r="325" spans="1:7">
      <c r="A325" s="1079"/>
      <c r="B325" s="1050"/>
      <c r="C325" s="1050"/>
      <c r="D325" s="1050"/>
      <c r="E325" s="1050"/>
      <c r="F325" s="1050"/>
      <c r="G325" s="1050"/>
    </row>
    <row r="326" spans="1:7">
      <c r="A326" s="1079"/>
      <c r="B326" s="1050"/>
      <c r="C326" s="1050"/>
      <c r="D326" s="1050"/>
      <c r="E326" s="1050"/>
      <c r="F326" s="1050"/>
      <c r="G326" s="1050"/>
    </row>
    <row r="327" spans="1:7">
      <c r="A327" s="1079"/>
      <c r="B327" s="1050"/>
      <c r="C327" s="1050"/>
      <c r="D327" s="1050"/>
      <c r="E327" s="1050"/>
      <c r="F327" s="1050"/>
      <c r="G327" s="1050"/>
    </row>
    <row r="328" spans="1:7">
      <c r="A328" s="1079"/>
      <c r="B328" s="1050"/>
      <c r="C328" s="1050"/>
      <c r="D328" s="1050"/>
      <c r="E328" s="1050"/>
      <c r="F328" s="1050"/>
      <c r="G328" s="1050"/>
    </row>
    <row r="329" spans="1:7">
      <c r="A329" s="1079"/>
      <c r="B329" s="1050"/>
      <c r="C329" s="1050"/>
      <c r="D329" s="1050"/>
      <c r="E329" s="1050"/>
      <c r="F329" s="1050"/>
      <c r="G329" s="1050"/>
    </row>
    <row r="330" spans="1:7">
      <c r="A330" s="1079"/>
      <c r="B330" s="1050"/>
      <c r="C330" s="1050"/>
      <c r="D330" s="1050"/>
      <c r="E330" s="1050"/>
      <c r="F330" s="1050"/>
      <c r="G330" s="1050"/>
    </row>
    <row r="331" spans="1:7">
      <c r="A331" s="1079"/>
      <c r="B331" s="1050"/>
      <c r="C331" s="1050"/>
      <c r="D331" s="1050"/>
      <c r="E331" s="1050"/>
      <c r="F331" s="1050"/>
      <c r="G331" s="1050"/>
    </row>
    <row r="332" spans="1:7">
      <c r="A332" s="1079"/>
      <c r="B332" s="1050"/>
      <c r="C332" s="1050"/>
      <c r="D332" s="1050"/>
      <c r="E332" s="1050"/>
      <c r="F332" s="1050"/>
      <c r="G332" s="1050"/>
    </row>
    <row r="333" spans="1:7">
      <c r="A333" s="1079"/>
      <c r="B333" s="1050"/>
      <c r="C333" s="1050"/>
      <c r="D333" s="1050"/>
      <c r="E333" s="1050"/>
      <c r="F333" s="1050"/>
      <c r="G333" s="1050"/>
    </row>
    <row r="334" spans="1:7">
      <c r="A334" s="1079"/>
      <c r="B334" s="1050"/>
      <c r="C334" s="1050"/>
      <c r="D334" s="1050"/>
      <c r="E334" s="1050"/>
      <c r="F334" s="1050"/>
      <c r="G334" s="1050"/>
    </row>
    <row r="335" spans="1:7">
      <c r="A335" s="1079"/>
      <c r="B335" s="1050"/>
      <c r="C335" s="1050"/>
      <c r="D335" s="1050"/>
      <c r="E335" s="1050"/>
      <c r="F335" s="1050"/>
      <c r="G335" s="1050"/>
    </row>
    <row r="336" spans="1:7">
      <c r="A336" s="1079"/>
      <c r="B336" s="1050"/>
      <c r="C336" s="1050"/>
      <c r="D336" s="1050"/>
      <c r="E336" s="1050"/>
      <c r="F336" s="1050"/>
      <c r="G336" s="1050"/>
    </row>
    <row r="337" spans="1:7">
      <c r="A337" s="1079"/>
      <c r="B337" s="1050"/>
      <c r="C337" s="1050"/>
      <c r="D337" s="1050"/>
      <c r="E337" s="1050"/>
      <c r="F337" s="1050"/>
      <c r="G337" s="1050"/>
    </row>
    <row r="338" spans="1:7">
      <c r="A338" s="1079"/>
      <c r="B338" s="1050"/>
      <c r="C338" s="1050"/>
      <c r="D338" s="1050"/>
      <c r="E338" s="1050"/>
      <c r="F338" s="1050"/>
      <c r="G338" s="1050"/>
    </row>
    <row r="339" spans="1:7">
      <c r="A339" s="1079"/>
      <c r="B339" s="1050"/>
      <c r="C339" s="1050"/>
      <c r="D339" s="1050"/>
      <c r="E339" s="1050"/>
      <c r="F339" s="1050"/>
      <c r="G339" s="1050"/>
    </row>
    <row r="340" spans="1:7">
      <c r="A340" s="1079"/>
      <c r="B340" s="1050"/>
      <c r="C340" s="1050"/>
      <c r="D340" s="1050"/>
      <c r="E340" s="1050"/>
      <c r="F340" s="1050"/>
      <c r="G340" s="1050"/>
    </row>
    <row r="341" spans="1:7">
      <c r="A341" s="1079"/>
      <c r="B341" s="1050"/>
      <c r="C341" s="1050"/>
      <c r="D341" s="1050"/>
      <c r="E341" s="1050"/>
      <c r="F341" s="1050"/>
      <c r="G341" s="1050"/>
    </row>
    <row r="342" spans="1:7">
      <c r="A342" s="1079"/>
      <c r="B342" s="1050"/>
      <c r="C342" s="1050"/>
      <c r="D342" s="1050"/>
      <c r="E342" s="1050"/>
      <c r="F342" s="1050"/>
      <c r="G342" s="1050"/>
    </row>
    <row r="343" spans="1:7">
      <c r="A343" s="1079"/>
      <c r="B343" s="1050"/>
      <c r="C343" s="1050"/>
      <c r="D343" s="1050"/>
      <c r="E343" s="1050"/>
      <c r="F343" s="1050"/>
      <c r="G343" s="1050"/>
    </row>
    <row r="344" spans="1:7">
      <c r="A344" s="1079"/>
      <c r="B344" s="1050"/>
      <c r="C344" s="1050"/>
      <c r="D344" s="1050"/>
      <c r="E344" s="1050"/>
      <c r="F344" s="1050"/>
      <c r="G344" s="1050"/>
    </row>
    <row r="345" spans="1:7">
      <c r="A345" s="1079"/>
      <c r="B345" s="1050"/>
      <c r="C345" s="1050"/>
      <c r="D345" s="1050"/>
      <c r="E345" s="1050"/>
      <c r="F345" s="1050"/>
      <c r="G345" s="1050"/>
    </row>
    <row r="346" spans="1:7">
      <c r="A346" s="1079"/>
      <c r="B346" s="1050"/>
      <c r="C346" s="1050"/>
      <c r="D346" s="1050"/>
      <c r="E346" s="1050"/>
      <c r="F346" s="1050"/>
      <c r="G346" s="1050"/>
    </row>
    <row r="347" spans="1:7">
      <c r="A347" s="1079"/>
      <c r="B347" s="1050"/>
      <c r="C347" s="1050"/>
      <c r="D347" s="1050"/>
      <c r="E347" s="1050"/>
      <c r="F347" s="1050"/>
      <c r="G347" s="1050"/>
    </row>
    <row r="348" spans="1:7">
      <c r="A348" s="1079"/>
      <c r="B348" s="1050"/>
      <c r="C348" s="1050"/>
      <c r="D348" s="1050"/>
      <c r="E348" s="1050"/>
      <c r="F348" s="1050"/>
      <c r="G348" s="1050"/>
    </row>
    <row r="349" spans="1:7">
      <c r="A349" s="1079"/>
      <c r="B349" s="1050"/>
      <c r="C349" s="1050"/>
      <c r="D349" s="1050"/>
      <c r="E349" s="1050"/>
      <c r="F349" s="1050"/>
      <c r="G349" s="1050"/>
    </row>
    <row r="350" spans="1:7">
      <c r="A350" s="1079"/>
      <c r="B350" s="1050"/>
      <c r="C350" s="1050"/>
      <c r="D350" s="1050"/>
      <c r="E350" s="1050"/>
      <c r="F350" s="1050"/>
      <c r="G350" s="1050"/>
    </row>
    <row r="351" spans="1:7">
      <c r="A351" s="1079"/>
      <c r="B351" s="1050"/>
      <c r="C351" s="1050"/>
      <c r="D351" s="1050"/>
      <c r="E351" s="1050"/>
      <c r="F351" s="1050"/>
      <c r="G351" s="1050"/>
    </row>
    <row r="352" spans="1:7">
      <c r="A352" s="1079"/>
      <c r="B352" s="1050"/>
      <c r="C352" s="1050"/>
      <c r="D352" s="1050"/>
      <c r="E352" s="1050"/>
      <c r="F352" s="1050"/>
      <c r="G352" s="1050"/>
    </row>
    <row r="353" spans="1:7">
      <c r="A353" s="1079"/>
      <c r="B353" s="1050"/>
      <c r="C353" s="1050"/>
      <c r="D353" s="1050"/>
      <c r="E353" s="1050"/>
      <c r="F353" s="1050"/>
      <c r="G353" s="1050"/>
    </row>
    <row r="354" spans="1:7">
      <c r="A354" s="1079"/>
      <c r="B354" s="1050"/>
      <c r="C354" s="1050"/>
      <c r="D354" s="1050"/>
      <c r="E354" s="1050"/>
      <c r="F354" s="1050"/>
      <c r="G354" s="1050"/>
    </row>
    <row r="355" spans="1:7">
      <c r="A355" s="1079"/>
      <c r="B355" s="1050"/>
      <c r="C355" s="1050"/>
      <c r="D355" s="1050"/>
      <c r="E355" s="1050"/>
      <c r="F355" s="1050"/>
      <c r="G355" s="1050"/>
    </row>
    <row r="356" spans="1:7">
      <c r="A356" s="1079"/>
      <c r="B356" s="1050"/>
      <c r="C356" s="1050"/>
      <c r="D356" s="1050"/>
      <c r="E356" s="1050"/>
      <c r="F356" s="1050"/>
      <c r="G356" s="1050"/>
    </row>
    <row r="357" spans="1:7">
      <c r="A357" s="1079"/>
      <c r="B357" s="1050"/>
      <c r="C357" s="1050"/>
      <c r="D357" s="1050"/>
      <c r="E357" s="1050"/>
      <c r="F357" s="1050"/>
      <c r="G357" s="1050"/>
    </row>
    <row r="358" spans="1:7">
      <c r="A358" s="1079"/>
      <c r="B358" s="1050"/>
      <c r="C358" s="1050"/>
      <c r="D358" s="1050"/>
      <c r="E358" s="1050"/>
      <c r="F358" s="1050"/>
      <c r="G358" s="1050"/>
    </row>
    <row r="359" spans="1:7">
      <c r="A359" s="1079"/>
      <c r="B359" s="1050"/>
      <c r="C359" s="1050"/>
      <c r="D359" s="1050"/>
      <c r="E359" s="1050"/>
      <c r="F359" s="1050"/>
      <c r="G359" s="1050"/>
    </row>
    <row r="360" spans="1:7">
      <c r="A360" s="1079"/>
      <c r="B360" s="1050"/>
      <c r="C360" s="1050"/>
      <c r="D360" s="1050"/>
      <c r="E360" s="1050"/>
      <c r="F360" s="1050"/>
      <c r="G360" s="1050"/>
    </row>
    <row r="361" spans="1:7">
      <c r="A361" s="1079"/>
      <c r="B361" s="1050"/>
      <c r="C361" s="1050"/>
      <c r="D361" s="1050"/>
      <c r="E361" s="1050"/>
      <c r="F361" s="1050"/>
      <c r="G361" s="1050"/>
    </row>
    <row r="362" spans="1:7">
      <c r="A362" s="1079"/>
      <c r="B362" s="1050"/>
      <c r="C362" s="1050"/>
      <c r="D362" s="1050"/>
      <c r="E362" s="1050"/>
      <c r="F362" s="1050"/>
      <c r="G362" s="1050"/>
    </row>
    <row r="363" spans="1:7">
      <c r="A363" s="1079"/>
      <c r="B363" s="1050"/>
      <c r="C363" s="1050"/>
      <c r="D363" s="1050"/>
      <c r="E363" s="1050"/>
      <c r="F363" s="1050"/>
      <c r="G363" s="1050"/>
    </row>
    <row r="364" spans="1:7">
      <c r="A364" s="1079"/>
      <c r="B364" s="1050"/>
      <c r="C364" s="1050"/>
      <c r="D364" s="1050"/>
      <c r="E364" s="1050"/>
      <c r="F364" s="1050"/>
      <c r="G364" s="1050"/>
    </row>
    <row r="365" spans="1:7">
      <c r="A365" s="1079"/>
      <c r="B365" s="1050"/>
      <c r="C365" s="1050"/>
      <c r="D365" s="1050"/>
      <c r="E365" s="1050"/>
      <c r="F365" s="1050"/>
      <c r="G365" s="1050"/>
    </row>
    <row r="366" spans="1:7">
      <c r="A366" s="1079"/>
      <c r="B366" s="1050"/>
      <c r="C366" s="1050"/>
      <c r="D366" s="1050"/>
      <c r="E366" s="1050"/>
      <c r="F366" s="1050"/>
      <c r="G366" s="1050"/>
    </row>
    <row r="367" spans="1:7">
      <c r="A367" s="1079"/>
      <c r="B367" s="1050"/>
      <c r="C367" s="1050"/>
      <c r="D367" s="1050"/>
      <c r="E367" s="1050"/>
      <c r="F367" s="1050"/>
      <c r="G367" s="1050"/>
    </row>
    <row r="368" spans="1:7">
      <c r="A368" s="1079"/>
      <c r="B368" s="1050"/>
      <c r="C368" s="1050"/>
      <c r="D368" s="1050"/>
      <c r="E368" s="1050"/>
      <c r="F368" s="1050"/>
      <c r="G368" s="1050"/>
    </row>
    <row r="369" spans="1:7">
      <c r="A369" s="1079"/>
      <c r="B369" s="1050"/>
      <c r="C369" s="1050"/>
      <c r="D369" s="1050"/>
      <c r="E369" s="1050"/>
      <c r="F369" s="1050"/>
      <c r="G369" s="1050"/>
    </row>
    <row r="370" spans="1:7">
      <c r="A370" s="1079"/>
      <c r="B370" s="1050"/>
      <c r="C370" s="1050"/>
      <c r="D370" s="1050"/>
      <c r="E370" s="1050"/>
      <c r="F370" s="1050"/>
      <c r="G370" s="1050"/>
    </row>
    <row r="371" spans="1:7">
      <c r="A371" s="1079"/>
      <c r="B371" s="1050"/>
      <c r="C371" s="1050"/>
      <c r="D371" s="1050"/>
      <c r="E371" s="1050"/>
      <c r="F371" s="1050"/>
      <c r="G371" s="1050"/>
    </row>
    <row r="372" spans="1:7">
      <c r="A372" s="1079"/>
      <c r="B372" s="1050"/>
      <c r="C372" s="1050"/>
      <c r="D372" s="1050"/>
      <c r="E372" s="1050"/>
      <c r="F372" s="1050"/>
      <c r="G372" s="1050"/>
    </row>
    <row r="373" spans="1:7">
      <c r="A373" s="1079"/>
      <c r="B373" s="1050"/>
      <c r="C373" s="1050"/>
      <c r="D373" s="1050"/>
      <c r="E373" s="1050"/>
      <c r="F373" s="1050"/>
      <c r="G373" s="1050"/>
    </row>
    <row r="374" spans="1:7">
      <c r="A374" s="1079"/>
      <c r="B374" s="1050"/>
      <c r="C374" s="1050"/>
      <c r="D374" s="1050"/>
      <c r="E374" s="1050"/>
      <c r="F374" s="1050"/>
      <c r="G374" s="1050"/>
    </row>
    <row r="375" spans="1:7">
      <c r="A375" s="1079"/>
      <c r="B375" s="1050"/>
      <c r="C375" s="1050"/>
      <c r="D375" s="1050"/>
      <c r="E375" s="1050"/>
      <c r="F375" s="1050"/>
      <c r="G375" s="1050"/>
    </row>
    <row r="376" spans="1:7">
      <c r="A376" s="1079"/>
      <c r="B376" s="1050"/>
      <c r="C376" s="1050"/>
      <c r="D376" s="1050"/>
      <c r="E376" s="1050"/>
      <c r="F376" s="1050"/>
      <c r="G376" s="1050"/>
    </row>
    <row r="377" spans="1:7">
      <c r="A377" s="1079"/>
      <c r="B377" s="1050"/>
      <c r="C377" s="1050"/>
      <c r="D377" s="1050"/>
      <c r="E377" s="1050"/>
      <c r="F377" s="1050"/>
      <c r="G377" s="1050"/>
    </row>
    <row r="378" spans="1:7">
      <c r="A378" s="1079"/>
      <c r="B378" s="1050"/>
      <c r="C378" s="1050"/>
      <c r="D378" s="1050"/>
      <c r="E378" s="1050"/>
      <c r="F378" s="1050"/>
      <c r="G378" s="1050"/>
    </row>
    <row r="379" spans="1:7">
      <c r="A379" s="1079"/>
      <c r="B379" s="1050"/>
      <c r="C379" s="1050"/>
      <c r="D379" s="1050"/>
      <c r="E379" s="1050"/>
      <c r="F379" s="1050"/>
      <c r="G379" s="1050"/>
    </row>
    <row r="380" spans="1:7">
      <c r="A380" s="1079"/>
      <c r="B380" s="1050"/>
      <c r="C380" s="1050"/>
      <c r="D380" s="1050"/>
      <c r="E380" s="1050"/>
      <c r="F380" s="1050"/>
      <c r="G380" s="1050"/>
    </row>
    <row r="381" spans="1:7">
      <c r="A381" s="1079"/>
      <c r="B381" s="1050"/>
      <c r="C381" s="1050"/>
      <c r="D381" s="1050"/>
      <c r="E381" s="1050"/>
      <c r="F381" s="1050"/>
      <c r="G381" s="1050"/>
    </row>
    <row r="382" spans="1:7">
      <c r="A382" s="1079"/>
      <c r="B382" s="1050"/>
      <c r="C382" s="1050"/>
      <c r="D382" s="1050"/>
      <c r="E382" s="1050"/>
      <c r="F382" s="1050"/>
      <c r="G382" s="1050"/>
    </row>
    <row r="383" spans="1:7">
      <c r="A383" s="1079"/>
      <c r="B383" s="1050"/>
      <c r="C383" s="1050"/>
      <c r="D383" s="1050"/>
      <c r="E383" s="1050"/>
      <c r="F383" s="1050"/>
      <c r="G383" s="1050"/>
    </row>
    <row r="384" spans="1:7">
      <c r="A384" s="1079"/>
      <c r="B384" s="1050"/>
      <c r="C384" s="1050"/>
      <c r="D384" s="1050"/>
      <c r="E384" s="1050"/>
      <c r="F384" s="1050"/>
      <c r="G384" s="1050"/>
    </row>
    <row r="385" spans="1:7">
      <c r="A385" s="1079"/>
      <c r="B385" s="1050"/>
      <c r="C385" s="1050"/>
      <c r="D385" s="1050"/>
      <c r="E385" s="1050"/>
      <c r="F385" s="1050"/>
      <c r="G385" s="1050"/>
    </row>
    <row r="386" spans="1:7">
      <c r="A386" s="1079"/>
      <c r="B386" s="1050"/>
      <c r="C386" s="1050"/>
      <c r="D386" s="1050"/>
      <c r="E386" s="1050"/>
      <c r="F386" s="1050"/>
      <c r="G386" s="1050"/>
    </row>
    <row r="387" spans="1:7">
      <c r="A387" s="1079"/>
      <c r="B387" s="1050"/>
      <c r="C387" s="1050"/>
      <c r="D387" s="1050"/>
      <c r="E387" s="1050"/>
      <c r="F387" s="1050"/>
      <c r="G387" s="1050"/>
    </row>
    <row r="388" spans="1:7">
      <c r="A388" s="1079"/>
      <c r="B388" s="1050"/>
      <c r="C388" s="1050"/>
      <c r="D388" s="1050"/>
      <c r="E388" s="1050"/>
      <c r="F388" s="1050"/>
      <c r="G388" s="1050"/>
    </row>
    <row r="389" spans="1:7">
      <c r="A389" s="1079"/>
      <c r="B389" s="1050"/>
      <c r="C389" s="1050"/>
      <c r="D389" s="1050"/>
      <c r="E389" s="1050"/>
      <c r="F389" s="1050"/>
      <c r="G389" s="1050"/>
    </row>
    <row r="390" spans="1:7">
      <c r="A390" s="1079"/>
      <c r="B390" s="1050"/>
      <c r="C390" s="1050"/>
      <c r="D390" s="1050"/>
      <c r="E390" s="1050"/>
      <c r="F390" s="1050"/>
      <c r="G390" s="1050"/>
    </row>
    <row r="391" spans="1:7">
      <c r="A391" s="1079"/>
      <c r="B391" s="1050"/>
      <c r="C391" s="1050"/>
      <c r="D391" s="1050"/>
      <c r="E391" s="1050"/>
      <c r="F391" s="1050"/>
      <c r="G391" s="1050"/>
    </row>
    <row r="392" spans="1:7">
      <c r="A392" s="1079"/>
      <c r="B392" s="1050"/>
      <c r="C392" s="1050"/>
      <c r="D392" s="1050"/>
      <c r="E392" s="1050"/>
      <c r="F392" s="1050"/>
      <c r="G392" s="1050"/>
    </row>
    <row r="393" spans="1:7">
      <c r="A393" s="1079"/>
      <c r="B393" s="1050"/>
      <c r="C393" s="1050"/>
      <c r="D393" s="1050"/>
      <c r="E393" s="1050"/>
      <c r="F393" s="1050"/>
      <c r="G393" s="1050"/>
    </row>
    <row r="394" spans="1:7">
      <c r="A394" s="1079"/>
      <c r="B394" s="1050"/>
      <c r="C394" s="1050"/>
      <c r="D394" s="1050"/>
      <c r="E394" s="1050"/>
      <c r="F394" s="1050"/>
      <c r="G394" s="1050"/>
    </row>
    <row r="395" spans="1:7">
      <c r="A395" s="1079"/>
      <c r="B395" s="1050"/>
      <c r="C395" s="1050"/>
      <c r="D395" s="1050"/>
      <c r="E395" s="1050"/>
      <c r="F395" s="1050"/>
      <c r="G395" s="1050"/>
    </row>
    <row r="396" spans="1:7">
      <c r="A396" s="1079"/>
      <c r="B396" s="1050"/>
      <c r="C396" s="1050"/>
      <c r="D396" s="1050"/>
      <c r="E396" s="1050"/>
      <c r="F396" s="1050"/>
      <c r="G396" s="1050"/>
    </row>
    <row r="397" spans="1:7">
      <c r="A397" s="1079"/>
      <c r="B397" s="1050"/>
      <c r="C397" s="1050"/>
      <c r="D397" s="1050"/>
      <c r="E397" s="1050"/>
      <c r="F397" s="1050"/>
      <c r="G397" s="1050"/>
    </row>
    <row r="398" spans="1:7">
      <c r="A398" s="1079"/>
      <c r="B398" s="1050"/>
      <c r="C398" s="1050"/>
      <c r="D398" s="1050"/>
      <c r="E398" s="1050"/>
      <c r="F398" s="1050"/>
      <c r="G398" s="1050"/>
    </row>
    <row r="399" spans="1:7">
      <c r="A399" s="1079"/>
      <c r="B399" s="1050"/>
      <c r="C399" s="1050"/>
      <c r="D399" s="1050"/>
      <c r="E399" s="1050"/>
      <c r="F399" s="1050"/>
      <c r="G399" s="1050"/>
    </row>
    <row r="400" spans="1:7">
      <c r="A400" s="1079"/>
      <c r="B400" s="1050"/>
      <c r="C400" s="1050"/>
      <c r="D400" s="1050"/>
      <c r="E400" s="1050"/>
      <c r="F400" s="1050"/>
      <c r="G400" s="1050"/>
    </row>
    <row r="401" spans="1:7">
      <c r="A401" s="1079"/>
      <c r="B401" s="1050"/>
      <c r="C401" s="1050"/>
      <c r="D401" s="1050"/>
      <c r="E401" s="1050"/>
      <c r="F401" s="1050"/>
      <c r="G401" s="1050"/>
    </row>
    <row r="402" spans="1:7">
      <c r="A402" s="1079"/>
      <c r="B402" s="1050"/>
      <c r="C402" s="1050"/>
      <c r="D402" s="1050"/>
      <c r="E402" s="1050"/>
      <c r="F402" s="1050"/>
      <c r="G402" s="1050"/>
    </row>
    <row r="403" spans="1:7">
      <c r="A403" s="1079"/>
      <c r="B403" s="1050"/>
      <c r="C403" s="1050"/>
      <c r="D403" s="1050"/>
      <c r="E403" s="1050"/>
      <c r="F403" s="1050"/>
      <c r="G403" s="1050"/>
    </row>
    <row r="404" spans="1:7">
      <c r="A404" s="1079"/>
      <c r="B404" s="1050"/>
      <c r="C404" s="1050"/>
      <c r="D404" s="1050"/>
      <c r="E404" s="1050"/>
      <c r="F404" s="1050"/>
      <c r="G404" s="1050"/>
    </row>
    <row r="405" spans="1:7">
      <c r="A405" s="1079"/>
      <c r="B405" s="1050"/>
      <c r="C405" s="1050"/>
      <c r="D405" s="1050"/>
      <c r="E405" s="1050"/>
      <c r="F405" s="1050"/>
      <c r="G405" s="1050"/>
    </row>
    <row r="406" spans="1:7">
      <c r="A406" s="1079"/>
      <c r="B406" s="1050"/>
      <c r="C406" s="1050"/>
      <c r="D406" s="1050"/>
      <c r="E406" s="1050"/>
      <c r="F406" s="1050"/>
      <c r="G406" s="1050"/>
    </row>
    <row r="407" spans="1:7">
      <c r="A407" s="1079"/>
      <c r="B407" s="1050"/>
      <c r="C407" s="1050"/>
      <c r="D407" s="1050"/>
      <c r="E407" s="1050"/>
      <c r="F407" s="1050"/>
      <c r="G407" s="1050"/>
    </row>
    <row r="408" spans="1:7">
      <c r="A408" s="1079"/>
      <c r="B408" s="1050"/>
      <c r="C408" s="1050"/>
      <c r="D408" s="1050"/>
      <c r="E408" s="1050"/>
      <c r="F408" s="1050"/>
      <c r="G408" s="1050"/>
    </row>
    <row r="409" spans="1:7">
      <c r="A409" s="1079"/>
      <c r="B409" s="1050"/>
      <c r="C409" s="1050"/>
      <c r="D409" s="1050"/>
      <c r="E409" s="1050"/>
      <c r="F409" s="1050"/>
      <c r="G409" s="1050"/>
    </row>
    <row r="410" spans="1:7">
      <c r="A410" s="1079"/>
      <c r="B410" s="1050"/>
      <c r="C410" s="1050"/>
      <c r="D410" s="1050"/>
      <c r="E410" s="1050"/>
      <c r="F410" s="1050"/>
      <c r="G410" s="1050"/>
    </row>
    <row r="411" spans="1:7">
      <c r="A411" s="1079"/>
      <c r="B411" s="1050"/>
      <c r="C411" s="1050"/>
      <c r="D411" s="1050"/>
      <c r="E411" s="1050"/>
      <c r="F411" s="1050"/>
      <c r="G411" s="1050"/>
    </row>
    <row r="412" spans="1:7">
      <c r="A412" s="1079"/>
      <c r="B412" s="1050"/>
      <c r="C412" s="1050"/>
      <c r="D412" s="1050"/>
      <c r="E412" s="1050"/>
      <c r="F412" s="1050"/>
      <c r="G412" s="1050"/>
    </row>
    <row r="413" spans="1:7">
      <c r="A413" s="1079"/>
      <c r="B413" s="1050"/>
      <c r="C413" s="1050"/>
      <c r="D413" s="1050"/>
      <c r="E413" s="1050"/>
      <c r="F413" s="1050"/>
      <c r="G413" s="1050"/>
    </row>
    <row r="414" spans="1:7">
      <c r="A414" s="1079"/>
      <c r="B414" s="1050"/>
      <c r="C414" s="1050"/>
      <c r="D414" s="1050"/>
      <c r="E414" s="1050"/>
      <c r="F414" s="1050"/>
      <c r="G414" s="1050"/>
    </row>
    <row r="415" spans="1:7">
      <c r="A415" s="1079"/>
      <c r="B415" s="1050"/>
      <c r="C415" s="1050"/>
      <c r="D415" s="1050"/>
      <c r="E415" s="1050"/>
      <c r="F415" s="1050"/>
      <c r="G415" s="1050"/>
    </row>
    <row r="416" spans="1:7">
      <c r="A416" s="1079"/>
      <c r="B416" s="1050"/>
      <c r="C416" s="1050"/>
      <c r="D416" s="1050"/>
      <c r="E416" s="1050"/>
      <c r="F416" s="1050"/>
      <c r="G416" s="1050"/>
    </row>
    <row r="417" spans="1:7">
      <c r="A417" s="1079"/>
      <c r="B417" s="1050"/>
      <c r="C417" s="1050"/>
      <c r="D417" s="1050"/>
      <c r="E417" s="1050"/>
      <c r="F417" s="1050"/>
      <c r="G417" s="1050"/>
    </row>
    <row r="418" spans="1:7">
      <c r="A418" s="1079"/>
      <c r="B418" s="1050"/>
      <c r="C418" s="1050"/>
      <c r="D418" s="1050"/>
      <c r="E418" s="1050"/>
      <c r="F418" s="1050"/>
      <c r="G418" s="1050"/>
    </row>
    <row r="419" spans="1:7">
      <c r="A419" s="1079"/>
      <c r="B419" s="1050"/>
      <c r="C419" s="1050"/>
      <c r="D419" s="1050"/>
      <c r="E419" s="1050"/>
      <c r="F419" s="1050"/>
      <c r="G419" s="1050"/>
    </row>
    <row r="420" spans="1:7">
      <c r="A420" s="1079"/>
      <c r="B420" s="1050"/>
      <c r="C420" s="1050"/>
      <c r="D420" s="1050"/>
      <c r="E420" s="1050"/>
      <c r="F420" s="1050"/>
      <c r="G420" s="1050"/>
    </row>
    <row r="421" spans="1:7">
      <c r="A421" s="1079"/>
      <c r="B421" s="1050"/>
      <c r="C421" s="1050"/>
      <c r="D421" s="1050"/>
      <c r="E421" s="1050"/>
      <c r="F421" s="1050"/>
      <c r="G421" s="1050"/>
    </row>
    <row r="422" spans="1:7">
      <c r="A422" s="1079"/>
      <c r="B422" s="1050"/>
      <c r="C422" s="1050"/>
      <c r="D422" s="1050"/>
      <c r="E422" s="1050"/>
      <c r="F422" s="1050"/>
      <c r="G422" s="1050"/>
    </row>
    <row r="423" spans="1:7">
      <c r="A423" s="1079"/>
      <c r="B423" s="1050"/>
      <c r="C423" s="1050"/>
      <c r="D423" s="1050"/>
      <c r="E423" s="1050"/>
      <c r="F423" s="1050"/>
      <c r="G423" s="1050"/>
    </row>
    <row r="424" spans="1:7">
      <c r="A424" s="1079"/>
      <c r="B424" s="1050"/>
      <c r="C424" s="1050"/>
      <c r="D424" s="1050"/>
      <c r="E424" s="1050"/>
      <c r="F424" s="1050"/>
      <c r="G424" s="1050"/>
    </row>
    <row r="425" spans="1:7">
      <c r="A425" s="1079"/>
      <c r="B425" s="1050"/>
      <c r="C425" s="1050"/>
      <c r="D425" s="1050"/>
      <c r="E425" s="1050"/>
      <c r="F425" s="1050"/>
      <c r="G425" s="1050"/>
    </row>
    <row r="426" spans="1:7">
      <c r="A426" s="1079"/>
      <c r="B426" s="1050"/>
      <c r="C426" s="1050"/>
      <c r="D426" s="1050"/>
      <c r="E426" s="1050"/>
      <c r="F426" s="1050"/>
      <c r="G426" s="1050"/>
    </row>
    <row r="427" spans="1:7">
      <c r="A427" s="1079"/>
      <c r="B427" s="1050"/>
      <c r="C427" s="1050"/>
      <c r="D427" s="1050"/>
      <c r="E427" s="1050"/>
      <c r="F427" s="1050"/>
      <c r="G427" s="1050"/>
    </row>
    <row r="428" spans="1:7">
      <c r="A428" s="1079"/>
      <c r="B428" s="1050"/>
      <c r="C428" s="1050"/>
      <c r="D428" s="1050"/>
      <c r="E428" s="1050"/>
      <c r="F428" s="1050"/>
      <c r="G428" s="1050"/>
    </row>
    <row r="429" spans="1:7">
      <c r="A429" s="1079"/>
      <c r="B429" s="1050"/>
      <c r="C429" s="1050"/>
      <c r="D429" s="1050"/>
      <c r="E429" s="1050"/>
      <c r="F429" s="1050"/>
      <c r="G429" s="1050"/>
    </row>
    <row r="430" spans="1:7">
      <c r="A430" s="1079"/>
      <c r="B430" s="1050"/>
      <c r="C430" s="1050"/>
      <c r="D430" s="1050"/>
      <c r="E430" s="1050"/>
      <c r="F430" s="1050"/>
      <c r="G430" s="1050"/>
    </row>
    <row r="431" spans="1:7">
      <c r="A431" s="1079"/>
      <c r="B431" s="1050"/>
      <c r="C431" s="1050"/>
      <c r="D431" s="1050"/>
      <c r="E431" s="1050"/>
      <c r="F431" s="1050"/>
      <c r="G431" s="1050"/>
    </row>
    <row r="432" spans="1:7">
      <c r="A432" s="1079"/>
      <c r="B432" s="1050"/>
      <c r="C432" s="1050"/>
      <c r="D432" s="1050"/>
      <c r="E432" s="1050"/>
      <c r="F432" s="1050"/>
      <c r="G432" s="1050"/>
    </row>
    <row r="433" spans="1:7">
      <c r="A433" s="1079"/>
      <c r="B433" s="1050"/>
      <c r="C433" s="1050"/>
      <c r="D433" s="1050"/>
      <c r="E433" s="1050"/>
      <c r="F433" s="1050"/>
      <c r="G433" s="1050"/>
    </row>
    <row r="434" spans="1:7">
      <c r="A434" s="1079"/>
      <c r="B434" s="1050"/>
      <c r="C434" s="1050"/>
      <c r="D434" s="1050"/>
      <c r="E434" s="1050"/>
      <c r="F434" s="1050"/>
      <c r="G434" s="1050"/>
    </row>
    <row r="435" spans="1:7">
      <c r="A435" s="1079"/>
      <c r="B435" s="1050"/>
      <c r="C435" s="1050"/>
      <c r="D435" s="1050"/>
      <c r="E435" s="1050"/>
      <c r="F435" s="1050"/>
      <c r="G435" s="1050"/>
    </row>
    <row r="436" spans="1:7">
      <c r="A436" s="1079"/>
      <c r="B436" s="1050"/>
      <c r="C436" s="1050"/>
      <c r="D436" s="1050"/>
      <c r="E436" s="1050"/>
      <c r="F436" s="1050"/>
      <c r="G436" s="1050"/>
    </row>
    <row r="437" spans="1:7">
      <c r="A437" s="1079"/>
      <c r="B437" s="1050"/>
      <c r="C437" s="1050"/>
      <c r="D437" s="1050"/>
      <c r="E437" s="1050"/>
      <c r="F437" s="1050"/>
      <c r="G437" s="1050"/>
    </row>
    <row r="438" spans="1:7">
      <c r="A438" s="1079"/>
      <c r="B438" s="1050"/>
      <c r="C438" s="1050"/>
      <c r="D438" s="1050"/>
      <c r="E438" s="1050"/>
      <c r="F438" s="1050"/>
      <c r="G438" s="1050"/>
    </row>
    <row r="439" spans="1:7">
      <c r="A439" s="1079"/>
      <c r="B439" s="1050"/>
      <c r="C439" s="1050"/>
      <c r="D439" s="1050"/>
      <c r="E439" s="1050"/>
      <c r="F439" s="1050"/>
      <c r="G439" s="1050"/>
    </row>
    <row r="440" spans="1:7">
      <c r="A440" s="1079"/>
      <c r="B440" s="1050"/>
      <c r="C440" s="1050"/>
      <c r="D440" s="1050"/>
      <c r="E440" s="1050"/>
      <c r="F440" s="1050"/>
      <c r="G440" s="1050"/>
    </row>
    <row r="441" spans="1:7">
      <c r="A441" s="1079"/>
      <c r="B441" s="1050"/>
      <c r="C441" s="1050"/>
      <c r="D441" s="1050"/>
      <c r="E441" s="1050"/>
      <c r="F441" s="1050"/>
      <c r="G441" s="1050"/>
    </row>
    <row r="442" spans="1:7">
      <c r="A442" s="1079"/>
      <c r="B442" s="1050"/>
      <c r="C442" s="1050"/>
      <c r="D442" s="1050"/>
      <c r="E442" s="1050"/>
      <c r="F442" s="1050"/>
      <c r="G442" s="1050"/>
    </row>
    <row r="443" spans="1:7">
      <c r="A443" s="1079"/>
      <c r="B443" s="1050"/>
      <c r="C443" s="1050"/>
      <c r="D443" s="1050"/>
      <c r="E443" s="1050"/>
      <c r="F443" s="1050"/>
      <c r="G443" s="1050"/>
    </row>
    <row r="444" spans="1:7">
      <c r="A444" s="1079"/>
      <c r="B444" s="1050"/>
      <c r="C444" s="1050"/>
      <c r="D444" s="1050"/>
      <c r="E444" s="1050"/>
      <c r="F444" s="1050"/>
      <c r="G444" s="1050"/>
    </row>
    <row r="445" spans="1:7">
      <c r="A445" s="1079"/>
      <c r="B445" s="1050"/>
      <c r="C445" s="1050"/>
      <c r="D445" s="1050"/>
      <c r="E445" s="1050"/>
      <c r="F445" s="1050"/>
      <c r="G445" s="1050"/>
    </row>
    <row r="446" spans="1:7">
      <c r="A446" s="1079"/>
      <c r="B446" s="1050"/>
      <c r="C446" s="1050"/>
      <c r="D446" s="1050"/>
      <c r="E446" s="1050"/>
      <c r="F446" s="1050"/>
      <c r="G446" s="1050"/>
    </row>
    <row r="447" spans="1:7">
      <c r="A447" s="1079"/>
      <c r="B447" s="1050"/>
      <c r="C447" s="1050"/>
      <c r="D447" s="1050"/>
      <c r="E447" s="1050"/>
      <c r="F447" s="1050"/>
      <c r="G447" s="1050"/>
    </row>
    <row r="448" spans="1:7">
      <c r="A448" s="1079"/>
      <c r="B448" s="1050"/>
      <c r="C448" s="1050"/>
      <c r="D448" s="1050"/>
      <c r="E448" s="1050"/>
      <c r="F448" s="1050"/>
      <c r="G448" s="1050"/>
    </row>
    <row r="449" spans="1:7">
      <c r="A449" s="1079"/>
      <c r="B449" s="1050"/>
      <c r="C449" s="1050"/>
      <c r="D449" s="1050"/>
      <c r="E449" s="1050"/>
      <c r="F449" s="1050"/>
      <c r="G449" s="1050"/>
    </row>
    <row r="450" spans="1:7">
      <c r="A450" s="1079"/>
      <c r="B450" s="1050"/>
      <c r="C450" s="1050"/>
      <c r="D450" s="1050"/>
      <c r="E450" s="1050"/>
      <c r="F450" s="1050"/>
      <c r="G450" s="1050"/>
    </row>
    <row r="451" spans="1:7">
      <c r="A451" s="1079"/>
      <c r="B451" s="1050"/>
      <c r="C451" s="1050"/>
      <c r="D451" s="1050"/>
      <c r="E451" s="1050"/>
      <c r="F451" s="1050"/>
      <c r="G451" s="1050"/>
    </row>
    <row r="452" spans="1:7">
      <c r="A452" s="1079"/>
      <c r="B452" s="1050"/>
      <c r="C452" s="1050"/>
      <c r="D452" s="1050"/>
      <c r="E452" s="1050"/>
      <c r="F452" s="1050"/>
      <c r="G452" s="1050"/>
    </row>
    <row r="453" spans="1:7">
      <c r="A453" s="1079"/>
      <c r="B453" s="1050"/>
      <c r="C453" s="1050"/>
      <c r="D453" s="1050"/>
      <c r="E453" s="1050"/>
      <c r="F453" s="1050"/>
      <c r="G453" s="1050"/>
    </row>
    <row r="454" spans="1:7">
      <c r="A454" s="1079"/>
      <c r="B454" s="1050"/>
      <c r="C454" s="1050"/>
      <c r="D454" s="1050"/>
      <c r="E454" s="1050"/>
      <c r="F454" s="1050"/>
      <c r="G454" s="1050"/>
    </row>
    <row r="455" spans="1:7">
      <c r="A455" s="1079"/>
      <c r="B455" s="1050"/>
      <c r="C455" s="1050"/>
      <c r="D455" s="1050"/>
      <c r="E455" s="1050"/>
      <c r="F455" s="1050"/>
      <c r="G455" s="1050"/>
    </row>
    <row r="456" spans="1:7">
      <c r="A456" s="1079"/>
      <c r="B456" s="1050"/>
      <c r="C456" s="1050"/>
      <c r="D456" s="1050"/>
      <c r="E456" s="1050"/>
      <c r="F456" s="1050"/>
      <c r="G456" s="1050"/>
    </row>
    <row r="457" spans="1:7">
      <c r="A457" s="1079"/>
      <c r="B457" s="1050"/>
      <c r="C457" s="1050"/>
      <c r="D457" s="1050"/>
      <c r="E457" s="1050"/>
      <c r="F457" s="1050"/>
      <c r="G457" s="1050"/>
    </row>
    <row r="458" spans="1:7">
      <c r="A458" s="1079"/>
      <c r="B458" s="1050"/>
      <c r="C458" s="1050"/>
      <c r="D458" s="1050"/>
      <c r="E458" s="1050"/>
      <c r="F458" s="1050"/>
      <c r="G458" s="1050"/>
    </row>
    <row r="459" spans="1:7">
      <c r="A459" s="1079"/>
      <c r="B459" s="1050"/>
      <c r="C459" s="1050"/>
      <c r="D459" s="1050"/>
      <c r="E459" s="1050"/>
      <c r="F459" s="1050"/>
      <c r="G459" s="1050"/>
    </row>
    <row r="460" spans="1:7">
      <c r="A460" s="1079"/>
      <c r="B460" s="1050"/>
      <c r="C460" s="1050"/>
      <c r="D460" s="1050"/>
      <c r="E460" s="1050"/>
      <c r="F460" s="1050"/>
      <c r="G460" s="1050"/>
    </row>
    <row r="461" spans="1:7">
      <c r="A461" s="1079"/>
      <c r="B461" s="1050"/>
      <c r="C461" s="1050"/>
      <c r="D461" s="1050"/>
      <c r="E461" s="1050"/>
      <c r="F461" s="1050"/>
      <c r="G461" s="1050"/>
    </row>
    <row r="462" spans="1:7">
      <c r="A462" s="1079"/>
      <c r="B462" s="1050"/>
      <c r="C462" s="1050"/>
      <c r="D462" s="1050"/>
      <c r="E462" s="1050"/>
      <c r="F462" s="1050"/>
      <c r="G462" s="1050"/>
    </row>
    <row r="463" spans="1:7">
      <c r="A463" s="1079"/>
      <c r="B463" s="1050"/>
      <c r="C463" s="1050"/>
      <c r="D463" s="1050"/>
      <c r="E463" s="1050"/>
      <c r="F463" s="1050"/>
      <c r="G463" s="1050"/>
    </row>
    <row r="464" spans="1:7">
      <c r="A464" s="1079"/>
      <c r="B464" s="1050"/>
      <c r="C464" s="1050"/>
      <c r="D464" s="1050"/>
      <c r="E464" s="1050"/>
      <c r="F464" s="1050"/>
      <c r="G464" s="1050"/>
    </row>
    <row r="465" spans="1:7">
      <c r="A465" s="1079"/>
      <c r="B465" s="1050"/>
      <c r="C465" s="1050"/>
      <c r="D465" s="1050"/>
      <c r="E465" s="1050"/>
      <c r="F465" s="1050"/>
      <c r="G465" s="1050"/>
    </row>
    <row r="466" spans="1:7">
      <c r="A466" s="1079"/>
      <c r="B466" s="1050"/>
      <c r="C466" s="1050"/>
      <c r="D466" s="1050"/>
      <c r="E466" s="1050"/>
      <c r="F466" s="1050"/>
      <c r="G466" s="1050"/>
    </row>
    <row r="467" spans="1:7">
      <c r="A467" s="1079"/>
      <c r="B467" s="1050"/>
      <c r="C467" s="1050"/>
      <c r="D467" s="1050"/>
      <c r="E467" s="1050"/>
      <c r="F467" s="1050"/>
      <c r="G467" s="1050"/>
    </row>
    <row r="468" spans="1:7">
      <c r="A468" s="1079"/>
      <c r="B468" s="1050"/>
      <c r="C468" s="1050"/>
      <c r="D468" s="1050"/>
      <c r="E468" s="1050"/>
      <c r="F468" s="1050"/>
      <c r="G468" s="1050"/>
    </row>
    <row r="469" spans="1:7">
      <c r="A469" s="1079"/>
      <c r="B469" s="1050"/>
      <c r="C469" s="1050"/>
      <c r="D469" s="1050"/>
      <c r="E469" s="1050"/>
      <c r="F469" s="1050"/>
      <c r="G469" s="1050"/>
    </row>
    <row r="470" spans="1:7">
      <c r="A470" s="1079"/>
      <c r="B470" s="1050"/>
      <c r="C470" s="1050"/>
      <c r="D470" s="1050"/>
      <c r="E470" s="1050"/>
      <c r="F470" s="1050"/>
      <c r="G470" s="1050"/>
    </row>
    <row r="471" spans="1:7">
      <c r="A471" s="1079"/>
      <c r="B471" s="1050"/>
      <c r="C471" s="1050"/>
      <c r="D471" s="1050"/>
      <c r="E471" s="1050"/>
      <c r="F471" s="1050"/>
      <c r="G471" s="1050"/>
    </row>
    <row r="472" spans="1:7">
      <c r="A472" s="1079"/>
      <c r="B472" s="1050"/>
      <c r="C472" s="1050"/>
      <c r="D472" s="1050"/>
      <c r="E472" s="1050"/>
      <c r="F472" s="1050"/>
      <c r="G472" s="1050"/>
    </row>
    <row r="473" spans="1:7">
      <c r="A473" s="1079"/>
      <c r="B473" s="1050"/>
      <c r="C473" s="1050"/>
      <c r="D473" s="1050"/>
      <c r="E473" s="1050"/>
      <c r="F473" s="1050"/>
      <c r="G473" s="1050"/>
    </row>
    <row r="474" spans="1:7">
      <c r="A474" s="1079"/>
      <c r="B474" s="1050"/>
      <c r="C474" s="1050"/>
      <c r="D474" s="1050"/>
      <c r="E474" s="1050"/>
      <c r="F474" s="1050"/>
      <c r="G474" s="1050"/>
    </row>
    <row r="475" spans="1:7">
      <c r="A475" s="1079"/>
      <c r="B475" s="1050"/>
      <c r="C475" s="1050"/>
      <c r="D475" s="1050"/>
      <c r="E475" s="1050"/>
      <c r="F475" s="1050"/>
      <c r="G475" s="1050"/>
    </row>
    <row r="476" spans="1:7">
      <c r="A476" s="1079"/>
      <c r="B476" s="1050"/>
      <c r="C476" s="1050"/>
      <c r="D476" s="1050"/>
      <c r="E476" s="1050"/>
      <c r="F476" s="1050"/>
      <c r="G476" s="1050"/>
    </row>
    <row r="477" spans="1:7">
      <c r="A477" s="1079"/>
      <c r="B477" s="1050"/>
      <c r="C477" s="1050"/>
      <c r="D477" s="1050"/>
      <c r="E477" s="1050"/>
      <c r="F477" s="1050"/>
      <c r="G477" s="1050"/>
    </row>
    <row r="478" spans="1:7">
      <c r="A478" s="1079"/>
      <c r="B478" s="1050"/>
      <c r="C478" s="1050"/>
      <c r="D478" s="1050"/>
      <c r="E478" s="1050"/>
      <c r="F478" s="1050"/>
      <c r="G478" s="1050"/>
    </row>
    <row r="479" spans="1:7">
      <c r="A479" s="1079"/>
      <c r="B479" s="1050"/>
      <c r="C479" s="1050"/>
      <c r="D479" s="1050"/>
      <c r="E479" s="1050"/>
      <c r="F479" s="1050"/>
      <c r="G479" s="1050"/>
    </row>
    <row r="480" spans="1:7">
      <c r="A480" s="1079"/>
      <c r="B480" s="1050"/>
      <c r="C480" s="1050"/>
      <c r="D480" s="1050"/>
      <c r="E480" s="1050"/>
      <c r="F480" s="1050"/>
      <c r="G480" s="1050"/>
    </row>
    <row r="481" spans="1:7">
      <c r="A481" s="1079"/>
      <c r="B481" s="1050"/>
      <c r="C481" s="1050"/>
      <c r="D481" s="1050"/>
      <c r="E481" s="1050"/>
      <c r="F481" s="1050"/>
      <c r="G481" s="1050"/>
    </row>
    <row r="482" spans="1:7">
      <c r="A482" s="1079"/>
      <c r="B482" s="1050"/>
      <c r="C482" s="1050"/>
      <c r="D482" s="1050"/>
      <c r="E482" s="1050"/>
      <c r="F482" s="1050"/>
      <c r="G482" s="1050"/>
    </row>
    <row r="483" spans="1:7">
      <c r="A483" s="1079"/>
      <c r="B483" s="1050"/>
      <c r="C483" s="1050"/>
      <c r="D483" s="1050"/>
      <c r="E483" s="1050"/>
      <c r="F483" s="1050"/>
      <c r="G483" s="1050"/>
    </row>
    <row r="484" spans="1:7">
      <c r="A484" s="1079"/>
      <c r="B484" s="1050"/>
      <c r="C484" s="1050"/>
      <c r="D484" s="1050"/>
      <c r="E484" s="1050"/>
      <c r="F484" s="1050"/>
      <c r="G484" s="1050"/>
    </row>
    <row r="485" spans="1:7">
      <c r="A485" s="1079"/>
      <c r="B485" s="1050"/>
      <c r="C485" s="1050"/>
      <c r="D485" s="1050"/>
      <c r="E485" s="1050"/>
      <c r="F485" s="1050"/>
      <c r="G485" s="1050"/>
    </row>
    <row r="486" spans="1:7">
      <c r="A486" s="1079"/>
      <c r="B486" s="1050"/>
      <c r="C486" s="1050"/>
      <c r="D486" s="1050"/>
      <c r="E486" s="1050"/>
      <c r="F486" s="1050"/>
      <c r="G486" s="1050"/>
    </row>
    <row r="487" spans="1:7">
      <c r="A487" s="1079"/>
      <c r="B487" s="1050"/>
      <c r="C487" s="1050"/>
      <c r="D487" s="1050"/>
      <c r="E487" s="1050"/>
      <c r="F487" s="1050"/>
      <c r="G487" s="1050"/>
    </row>
    <row r="488" spans="1:7">
      <c r="A488" s="1079"/>
      <c r="B488" s="1050"/>
      <c r="C488" s="1050"/>
      <c r="D488" s="1050"/>
      <c r="E488" s="1050"/>
      <c r="F488" s="1050"/>
      <c r="G488" s="1050"/>
    </row>
    <row r="489" spans="1:7">
      <c r="A489" s="1079"/>
      <c r="B489" s="1050"/>
      <c r="C489" s="1050"/>
      <c r="D489" s="1050"/>
      <c r="E489" s="1050"/>
      <c r="F489" s="1050"/>
      <c r="G489" s="1050"/>
    </row>
    <row r="490" spans="1:7">
      <c r="A490" s="1079"/>
      <c r="B490" s="1050"/>
      <c r="C490" s="1050"/>
      <c r="D490" s="1050"/>
      <c r="E490" s="1050"/>
      <c r="F490" s="1050"/>
      <c r="G490" s="1050"/>
    </row>
    <row r="491" spans="1:7">
      <c r="A491" s="1079"/>
      <c r="B491" s="1050"/>
      <c r="C491" s="1050"/>
      <c r="D491" s="1050"/>
      <c r="E491" s="1050"/>
      <c r="F491" s="1050"/>
      <c r="G491" s="1050"/>
    </row>
    <row r="492" spans="1:7">
      <c r="A492" s="1079"/>
      <c r="B492" s="1050"/>
      <c r="C492" s="1050"/>
      <c r="D492" s="1050"/>
      <c r="E492" s="1050"/>
      <c r="F492" s="1050"/>
      <c r="G492" s="1050"/>
    </row>
    <row r="493" spans="1:7">
      <c r="A493" s="1079"/>
      <c r="B493" s="1050"/>
      <c r="C493" s="1050"/>
      <c r="D493" s="1050"/>
      <c r="E493" s="1050"/>
      <c r="F493" s="1050"/>
      <c r="G493" s="1050"/>
    </row>
    <row r="494" spans="1:7">
      <c r="A494" s="1079"/>
      <c r="B494" s="1050"/>
      <c r="C494" s="1050"/>
      <c r="D494" s="1050"/>
      <c r="E494" s="1050"/>
      <c r="F494" s="1050"/>
      <c r="G494" s="1050"/>
    </row>
    <row r="495" spans="1:7">
      <c r="A495" s="1079"/>
      <c r="B495" s="1050"/>
      <c r="C495" s="1050"/>
      <c r="D495" s="1050"/>
      <c r="E495" s="1050"/>
      <c r="F495" s="1050"/>
      <c r="G495" s="1050"/>
    </row>
    <row r="496" spans="1:7">
      <c r="A496" s="1079"/>
      <c r="B496" s="1050"/>
      <c r="C496" s="1050"/>
      <c r="D496" s="1050"/>
      <c r="E496" s="1050"/>
      <c r="F496" s="1050"/>
      <c r="G496" s="1050"/>
    </row>
    <row r="497" spans="1:7">
      <c r="A497" s="1079"/>
      <c r="B497" s="1050"/>
      <c r="C497" s="1050"/>
      <c r="D497" s="1050"/>
      <c r="E497" s="1050"/>
      <c r="F497" s="1050"/>
      <c r="G497" s="1050"/>
    </row>
    <row r="498" spans="1:7">
      <c r="A498" s="1079"/>
      <c r="B498" s="1050"/>
      <c r="C498" s="1050"/>
      <c r="D498" s="1050"/>
      <c r="E498" s="1050"/>
      <c r="F498" s="1050"/>
      <c r="G498" s="1050"/>
    </row>
    <row r="499" spans="1:7">
      <c r="A499" s="1079"/>
      <c r="B499" s="1050"/>
      <c r="C499" s="1050"/>
      <c r="D499" s="1050"/>
      <c r="E499" s="1050"/>
      <c r="F499" s="1050"/>
      <c r="G499" s="1050"/>
    </row>
    <row r="500" spans="1:7">
      <c r="A500" s="1079"/>
      <c r="B500" s="1050"/>
      <c r="C500" s="1050"/>
      <c r="D500" s="1050"/>
      <c r="E500" s="1050"/>
      <c r="F500" s="1050"/>
      <c r="G500" s="1050"/>
    </row>
    <row r="501" spans="1:7">
      <c r="A501" s="1079"/>
      <c r="B501" s="1050"/>
      <c r="C501" s="1050"/>
      <c r="D501" s="1050"/>
      <c r="E501" s="1050"/>
      <c r="F501" s="1050"/>
      <c r="G501" s="1050"/>
    </row>
    <row r="502" spans="1:7">
      <c r="A502" s="1079"/>
      <c r="B502" s="1050"/>
      <c r="C502" s="1050"/>
      <c r="D502" s="1050"/>
      <c r="E502" s="1050"/>
      <c r="F502" s="1050"/>
      <c r="G502" s="1050"/>
    </row>
    <row r="503" spans="1:7">
      <c r="A503" s="1079"/>
      <c r="B503" s="1050"/>
      <c r="C503" s="1050"/>
      <c r="D503" s="1050"/>
      <c r="E503" s="1050"/>
      <c r="F503" s="1050"/>
      <c r="G503" s="1050"/>
    </row>
    <row r="504" spans="1:7">
      <c r="A504" s="1079"/>
      <c r="B504" s="1050"/>
      <c r="C504" s="1050"/>
      <c r="D504" s="1050"/>
      <c r="E504" s="1050"/>
      <c r="F504" s="1050"/>
      <c r="G504" s="1050"/>
    </row>
    <row r="505" spans="1:7">
      <c r="A505" s="1079"/>
      <c r="B505" s="1050"/>
      <c r="C505" s="1050"/>
      <c r="D505" s="1050"/>
      <c r="E505" s="1050"/>
      <c r="F505" s="1050"/>
      <c r="G505" s="1050"/>
    </row>
    <row r="506" spans="1:7">
      <c r="A506" s="1079"/>
      <c r="B506" s="1050"/>
      <c r="C506" s="1050"/>
      <c r="D506" s="1050"/>
      <c r="E506" s="1050"/>
      <c r="F506" s="1050"/>
      <c r="G506" s="1050"/>
    </row>
    <row r="507" spans="1:7">
      <c r="A507" s="1079"/>
      <c r="B507" s="1050"/>
      <c r="C507" s="1050"/>
      <c r="D507" s="1050"/>
      <c r="E507" s="1050"/>
      <c r="F507" s="1050"/>
      <c r="G507" s="1050"/>
    </row>
    <row r="508" spans="1:7">
      <c r="A508" s="1079"/>
      <c r="B508" s="1050"/>
      <c r="C508" s="1050"/>
      <c r="D508" s="1050"/>
      <c r="E508" s="1050"/>
      <c r="F508" s="1050"/>
      <c r="G508" s="1050"/>
    </row>
    <row r="509" spans="1:7">
      <c r="A509" s="1079"/>
      <c r="B509" s="1050"/>
      <c r="C509" s="1050"/>
      <c r="D509" s="1050"/>
      <c r="E509" s="1050"/>
      <c r="F509" s="1050"/>
      <c r="G509" s="1050"/>
    </row>
    <row r="510" spans="1:7">
      <c r="A510" s="1079"/>
      <c r="B510" s="1050"/>
      <c r="C510" s="1050"/>
      <c r="D510" s="1050"/>
      <c r="E510" s="1050"/>
      <c r="F510" s="1050"/>
      <c r="G510" s="1050"/>
    </row>
    <row r="511" spans="1:7">
      <c r="A511" s="1079"/>
      <c r="B511" s="1050"/>
      <c r="C511" s="1050"/>
      <c r="D511" s="1050"/>
      <c r="E511" s="1050"/>
      <c r="F511" s="1050"/>
      <c r="G511" s="1050"/>
    </row>
    <row r="512" spans="1:7">
      <c r="A512" s="1079"/>
      <c r="B512" s="1050"/>
      <c r="C512" s="1050"/>
      <c r="D512" s="1050"/>
      <c r="E512" s="1050"/>
      <c r="F512" s="1050"/>
      <c r="G512" s="1050"/>
    </row>
    <row r="513" spans="1:7">
      <c r="A513" s="1079"/>
      <c r="B513" s="1050"/>
      <c r="C513" s="1050"/>
      <c r="D513" s="1050"/>
      <c r="E513" s="1050"/>
      <c r="F513" s="1050"/>
      <c r="G513" s="1050"/>
    </row>
    <row r="514" spans="1:7">
      <c r="A514" s="1079"/>
      <c r="B514" s="1050"/>
      <c r="C514" s="1050"/>
      <c r="D514" s="1050"/>
      <c r="E514" s="1050"/>
      <c r="F514" s="1050"/>
      <c r="G514" s="1050"/>
    </row>
    <row r="515" spans="1:7">
      <c r="A515" s="1079"/>
      <c r="B515" s="1050"/>
      <c r="C515" s="1050"/>
      <c r="D515" s="1050"/>
      <c r="E515" s="1050"/>
      <c r="F515" s="1050"/>
      <c r="G515" s="1050"/>
    </row>
    <row r="516" spans="1:7">
      <c r="A516" s="1079"/>
      <c r="B516" s="1050"/>
      <c r="C516" s="1050"/>
      <c r="D516" s="1050"/>
      <c r="E516" s="1050"/>
      <c r="F516" s="1050"/>
      <c r="G516" s="1050"/>
    </row>
    <row r="517" spans="1:7">
      <c r="A517" s="1079"/>
      <c r="B517" s="1050"/>
      <c r="C517" s="1050"/>
      <c r="D517" s="1050"/>
      <c r="E517" s="1050"/>
      <c r="F517" s="1050"/>
      <c r="G517" s="1050"/>
    </row>
    <row r="518" spans="1:7">
      <c r="A518" s="1079"/>
      <c r="B518" s="1050"/>
      <c r="C518" s="1050"/>
      <c r="D518" s="1050"/>
      <c r="E518" s="1050"/>
      <c r="F518" s="1050"/>
      <c r="G518" s="1050"/>
    </row>
    <row r="519" spans="1:7">
      <c r="A519" s="1079"/>
      <c r="B519" s="1050"/>
      <c r="C519" s="1050"/>
      <c r="D519" s="1050"/>
      <c r="E519" s="1050"/>
      <c r="F519" s="1050"/>
      <c r="G519" s="1050"/>
    </row>
    <row r="520" spans="1:7">
      <c r="A520" s="1079"/>
      <c r="B520" s="1050"/>
      <c r="C520" s="1050"/>
      <c r="D520" s="1050"/>
      <c r="E520" s="1050"/>
      <c r="F520" s="1050"/>
      <c r="G520" s="1050"/>
    </row>
    <row r="521" spans="1:7">
      <c r="A521" s="1079"/>
      <c r="B521" s="1050"/>
      <c r="C521" s="1050"/>
      <c r="D521" s="1050"/>
      <c r="E521" s="1050"/>
      <c r="F521" s="1050"/>
      <c r="G521" s="1050"/>
    </row>
    <row r="522" spans="1:7">
      <c r="A522" s="1079"/>
      <c r="B522" s="1050"/>
      <c r="C522" s="1050"/>
      <c r="D522" s="1050"/>
      <c r="E522" s="1050"/>
      <c r="F522" s="1050"/>
      <c r="G522" s="1050"/>
    </row>
    <row r="523" spans="1:7">
      <c r="A523" s="1079"/>
      <c r="B523" s="1050"/>
      <c r="C523" s="1050"/>
      <c r="D523" s="1050"/>
      <c r="E523" s="1050"/>
      <c r="F523" s="1050"/>
      <c r="G523" s="1050"/>
    </row>
    <row r="524" spans="1:7">
      <c r="A524" s="1079"/>
      <c r="B524" s="1050"/>
      <c r="C524" s="1050"/>
      <c r="D524" s="1050"/>
      <c r="E524" s="1050"/>
      <c r="F524" s="1050"/>
      <c r="G524" s="1050"/>
    </row>
    <row r="525" spans="1:7">
      <c r="A525" s="1079"/>
      <c r="B525" s="1050"/>
      <c r="C525" s="1050"/>
      <c r="D525" s="1050"/>
      <c r="E525" s="1050"/>
      <c r="F525" s="1050"/>
      <c r="G525" s="1050"/>
    </row>
    <row r="526" spans="1:7">
      <c r="A526" s="1079"/>
      <c r="B526" s="1050"/>
      <c r="C526" s="1050"/>
      <c r="D526" s="1050"/>
      <c r="E526" s="1050"/>
      <c r="F526" s="1050"/>
      <c r="G526" s="1050"/>
    </row>
    <row r="527" spans="1:7">
      <c r="A527" s="1079"/>
      <c r="B527" s="1050"/>
      <c r="C527" s="1050"/>
      <c r="D527" s="1050"/>
      <c r="E527" s="1050"/>
      <c r="F527" s="1050"/>
      <c r="G527" s="1050"/>
    </row>
    <row r="528" spans="1:7">
      <c r="A528" s="1079"/>
      <c r="B528" s="1050"/>
      <c r="C528" s="1050"/>
      <c r="D528" s="1050"/>
      <c r="E528" s="1050"/>
      <c r="F528" s="1050"/>
      <c r="G528" s="1050"/>
    </row>
    <row r="529" spans="1:7">
      <c r="A529" s="1079"/>
      <c r="B529" s="1050"/>
      <c r="C529" s="1050"/>
      <c r="D529" s="1050"/>
      <c r="E529" s="1050"/>
      <c r="F529" s="1050"/>
      <c r="G529" s="1050"/>
    </row>
    <row r="530" spans="1:7">
      <c r="A530" s="1079"/>
      <c r="B530" s="1050"/>
      <c r="C530" s="1050"/>
      <c r="D530" s="1050"/>
      <c r="E530" s="1050"/>
      <c r="F530" s="1050"/>
      <c r="G530" s="1050"/>
    </row>
    <row r="531" spans="1:7">
      <c r="A531" s="1079"/>
      <c r="B531" s="1050"/>
      <c r="C531" s="1050"/>
      <c r="D531" s="1050"/>
      <c r="E531" s="1050"/>
      <c r="F531" s="1050"/>
      <c r="G531" s="1050"/>
    </row>
    <row r="532" spans="1:7">
      <c r="A532" s="1079"/>
      <c r="B532" s="1050"/>
      <c r="C532" s="1050"/>
      <c r="D532" s="1050"/>
      <c r="E532" s="1050"/>
      <c r="F532" s="1050"/>
      <c r="G532" s="1050"/>
    </row>
    <row r="533" spans="1:7">
      <c r="A533" s="1079"/>
      <c r="B533" s="1050"/>
      <c r="C533" s="1050"/>
      <c r="D533" s="1050"/>
      <c r="E533" s="1050"/>
      <c r="F533" s="1050"/>
      <c r="G533" s="1050"/>
    </row>
    <row r="534" spans="1:7">
      <c r="A534" s="1079"/>
      <c r="B534" s="1050"/>
      <c r="C534" s="1050"/>
      <c r="D534" s="1050"/>
      <c r="E534" s="1050"/>
      <c r="F534" s="1050"/>
      <c r="G534" s="1050"/>
    </row>
    <row r="535" spans="1:7">
      <c r="A535" s="1079"/>
      <c r="B535" s="1050"/>
      <c r="C535" s="1050"/>
      <c r="D535" s="1050"/>
      <c r="E535" s="1050"/>
      <c r="F535" s="1050"/>
      <c r="G535" s="1050"/>
    </row>
    <row r="536" spans="1:7">
      <c r="A536" s="1079"/>
      <c r="B536" s="1050"/>
      <c r="C536" s="1050"/>
      <c r="D536" s="1050"/>
      <c r="E536" s="1050"/>
      <c r="F536" s="1050"/>
      <c r="G536" s="1050"/>
    </row>
    <row r="537" spans="1:7">
      <c r="A537" s="1079"/>
      <c r="B537" s="1050"/>
      <c r="C537" s="1050"/>
      <c r="D537" s="1050"/>
      <c r="E537" s="1050"/>
      <c r="F537" s="1050"/>
      <c r="G537" s="1050"/>
    </row>
    <row r="538" spans="1:7">
      <c r="A538" s="1079"/>
      <c r="B538" s="1050"/>
      <c r="C538" s="1050"/>
      <c r="D538" s="1050"/>
      <c r="E538" s="1050"/>
      <c r="F538" s="1050"/>
      <c r="G538" s="1050"/>
    </row>
    <row r="539" spans="1:7">
      <c r="A539" s="1079"/>
      <c r="B539" s="1050"/>
      <c r="C539" s="1050"/>
      <c r="D539" s="1050"/>
      <c r="E539" s="1050"/>
      <c r="F539" s="1050"/>
      <c r="G539" s="1050"/>
    </row>
    <row r="540" spans="1:7">
      <c r="A540" s="1079"/>
      <c r="B540" s="1050"/>
      <c r="C540" s="1050"/>
      <c r="D540" s="1050"/>
      <c r="E540" s="1050"/>
      <c r="F540" s="1050"/>
      <c r="G540" s="1050"/>
    </row>
    <row r="541" spans="1:7">
      <c r="A541" s="1079"/>
      <c r="B541" s="1050"/>
      <c r="C541" s="1050"/>
      <c r="D541" s="1050"/>
      <c r="E541" s="1050"/>
      <c r="F541" s="1050"/>
      <c r="G541" s="1050"/>
    </row>
    <row r="542" spans="1:7">
      <c r="A542" s="1079"/>
      <c r="B542" s="1050"/>
      <c r="C542" s="1050"/>
      <c r="D542" s="1050"/>
      <c r="E542" s="1050"/>
      <c r="F542" s="1050"/>
      <c r="G542" s="1050"/>
    </row>
    <row r="543" spans="1:7">
      <c r="A543" s="1079"/>
      <c r="B543" s="1050"/>
      <c r="C543" s="1050"/>
      <c r="D543" s="1050"/>
      <c r="E543" s="1050"/>
      <c r="F543" s="1050"/>
      <c r="G543" s="1050"/>
    </row>
    <row r="544" spans="1:7">
      <c r="A544" s="1079"/>
      <c r="B544" s="1050"/>
      <c r="C544" s="1050"/>
      <c r="D544" s="1050"/>
      <c r="E544" s="1050"/>
      <c r="F544" s="1050"/>
      <c r="G544" s="1050"/>
    </row>
    <row r="545" spans="1:7">
      <c r="A545" s="1079"/>
      <c r="B545" s="1050"/>
      <c r="C545" s="1050"/>
      <c r="D545" s="1050"/>
      <c r="E545" s="1050"/>
      <c r="F545" s="1050"/>
      <c r="G545" s="1050"/>
    </row>
    <row r="546" spans="1:7">
      <c r="A546" s="1079"/>
      <c r="B546" s="1050"/>
      <c r="C546" s="1050"/>
      <c r="D546" s="1050"/>
      <c r="E546" s="1050"/>
      <c r="F546" s="1050"/>
      <c r="G546" s="1050"/>
    </row>
    <row r="547" spans="1:7">
      <c r="A547" s="1079"/>
      <c r="B547" s="1050"/>
      <c r="C547" s="1050"/>
      <c r="D547" s="1050"/>
      <c r="E547" s="1050"/>
      <c r="F547" s="1050"/>
      <c r="G547" s="1050"/>
    </row>
    <row r="548" spans="1:7">
      <c r="A548" s="1079"/>
      <c r="B548" s="1050"/>
      <c r="C548" s="1050"/>
      <c r="D548" s="1050"/>
      <c r="E548" s="1050"/>
      <c r="F548" s="1050"/>
      <c r="G548" s="1050"/>
    </row>
    <row r="549" spans="1:7">
      <c r="A549" s="1079"/>
      <c r="B549" s="1050"/>
      <c r="C549" s="1050"/>
      <c r="D549" s="1050"/>
      <c r="E549" s="1050"/>
      <c r="F549" s="1050"/>
      <c r="G549" s="1050"/>
    </row>
    <row r="550" spans="1:7">
      <c r="A550" s="1079"/>
      <c r="B550" s="1050"/>
      <c r="C550" s="1050"/>
      <c r="D550" s="1050"/>
      <c r="E550" s="1050"/>
      <c r="F550" s="1050"/>
      <c r="G550" s="1050"/>
    </row>
    <row r="551" spans="1:7">
      <c r="A551" s="1079"/>
      <c r="B551" s="1050"/>
      <c r="C551" s="1050"/>
      <c r="D551" s="1050"/>
      <c r="E551" s="1050"/>
      <c r="F551" s="1050"/>
      <c r="G551" s="1050"/>
    </row>
    <row r="552" spans="1:7">
      <c r="A552" s="1079"/>
      <c r="B552" s="1050"/>
      <c r="C552" s="1050"/>
      <c r="D552" s="1050"/>
      <c r="E552" s="1050"/>
      <c r="F552" s="1050"/>
      <c r="G552" s="1050"/>
    </row>
    <row r="553" spans="1:7">
      <c r="A553" s="1079"/>
      <c r="B553" s="1050"/>
      <c r="C553" s="1050"/>
      <c r="D553" s="1050"/>
      <c r="E553" s="1050"/>
      <c r="F553" s="1050"/>
      <c r="G553" s="1050"/>
    </row>
    <row r="554" spans="1:7">
      <c r="A554" s="1079"/>
      <c r="B554" s="1050"/>
      <c r="C554" s="1050"/>
      <c r="D554" s="1050"/>
      <c r="E554" s="1050"/>
      <c r="F554" s="1050"/>
      <c r="G554" s="1050"/>
    </row>
    <row r="555" spans="1:7">
      <c r="A555" s="1079"/>
      <c r="B555" s="1050"/>
      <c r="C555" s="1050"/>
      <c r="D555" s="1050"/>
      <c r="E555" s="1050"/>
      <c r="F555" s="1050"/>
      <c r="G555" s="1050"/>
    </row>
    <row r="556" spans="1:7">
      <c r="A556" s="1079"/>
      <c r="B556" s="1050"/>
      <c r="C556" s="1050"/>
      <c r="D556" s="1050"/>
      <c r="E556" s="1050"/>
      <c r="F556" s="1050"/>
      <c r="G556" s="1050"/>
    </row>
    <row r="557" spans="1:7">
      <c r="A557" s="1079"/>
      <c r="B557" s="1050"/>
      <c r="C557" s="1050"/>
      <c r="D557" s="1050"/>
      <c r="E557" s="1050"/>
      <c r="F557" s="1050"/>
      <c r="G557" s="1050"/>
    </row>
    <row r="558" spans="1:7">
      <c r="A558" s="1079"/>
      <c r="B558" s="1050"/>
      <c r="C558" s="1050"/>
      <c r="D558" s="1050"/>
      <c r="E558" s="1050"/>
      <c r="F558" s="1050"/>
      <c r="G558" s="1050"/>
    </row>
    <row r="559" spans="1:7">
      <c r="A559" s="1079"/>
      <c r="B559" s="1050"/>
      <c r="C559" s="1050"/>
      <c r="D559" s="1050"/>
      <c r="E559" s="1050"/>
      <c r="F559" s="1050"/>
      <c r="G559" s="1050"/>
    </row>
    <row r="560" spans="1:7">
      <c r="A560" s="1079"/>
      <c r="B560" s="1050"/>
      <c r="C560" s="1050"/>
      <c r="D560" s="1050"/>
      <c r="E560" s="1050"/>
      <c r="F560" s="1050"/>
      <c r="G560" s="1050"/>
    </row>
    <row r="561" spans="1:7">
      <c r="A561" s="1079"/>
      <c r="B561" s="1050"/>
      <c r="C561" s="1050"/>
      <c r="D561" s="1050"/>
      <c r="E561" s="1050"/>
      <c r="F561" s="1050"/>
      <c r="G561" s="1050"/>
    </row>
    <row r="562" spans="1:7">
      <c r="A562" s="1079"/>
      <c r="B562" s="1050"/>
      <c r="C562" s="1050"/>
      <c r="D562" s="1050"/>
      <c r="E562" s="1050"/>
      <c r="F562" s="1050"/>
      <c r="G562" s="1050"/>
    </row>
    <row r="563" spans="1:7">
      <c r="A563" s="1079"/>
      <c r="B563" s="1050"/>
      <c r="C563" s="1050"/>
      <c r="D563" s="1050"/>
      <c r="E563" s="1050"/>
      <c r="F563" s="1050"/>
      <c r="G563" s="1050"/>
    </row>
    <row r="564" spans="1:7">
      <c r="A564" s="1079"/>
      <c r="B564" s="1050"/>
      <c r="C564" s="1050"/>
      <c r="D564" s="1050"/>
      <c r="E564" s="1050"/>
      <c r="F564" s="1050"/>
      <c r="G564" s="1050"/>
    </row>
    <row r="565" spans="1:7">
      <c r="A565" s="1079"/>
      <c r="B565" s="1050"/>
      <c r="C565" s="1050"/>
      <c r="D565" s="1050"/>
      <c r="E565" s="1050"/>
      <c r="F565" s="1050"/>
      <c r="G565" s="1050"/>
    </row>
    <row r="566" spans="1:7">
      <c r="A566" s="1079"/>
      <c r="B566" s="1050"/>
      <c r="C566" s="1050"/>
      <c r="D566" s="1050"/>
      <c r="E566" s="1050"/>
      <c r="F566" s="1050"/>
      <c r="G566" s="1050"/>
    </row>
    <row r="567" spans="1:7">
      <c r="A567" s="1079"/>
      <c r="B567" s="1050"/>
      <c r="C567" s="1050"/>
      <c r="D567" s="1050"/>
      <c r="E567" s="1050"/>
      <c r="F567" s="1050"/>
      <c r="G567" s="1050"/>
    </row>
    <row r="568" spans="1:7">
      <c r="A568" s="1079"/>
      <c r="B568" s="1050"/>
      <c r="C568" s="1050"/>
      <c r="D568" s="1050"/>
      <c r="E568" s="1050"/>
      <c r="F568" s="1050"/>
      <c r="G568" s="1050"/>
    </row>
    <row r="569" spans="1:7">
      <c r="A569" s="1079"/>
      <c r="B569" s="1050"/>
      <c r="C569" s="1050"/>
      <c r="D569" s="1050"/>
      <c r="E569" s="1050"/>
      <c r="F569" s="1050"/>
      <c r="G569" s="1050"/>
    </row>
    <row r="570" spans="1:7">
      <c r="A570" s="1079"/>
      <c r="B570" s="1050"/>
      <c r="C570" s="1050"/>
      <c r="D570" s="1050"/>
      <c r="E570" s="1050"/>
      <c r="F570" s="1050"/>
      <c r="G570" s="1050"/>
    </row>
    <row r="571" spans="1:7">
      <c r="A571" s="1079"/>
      <c r="B571" s="1050"/>
      <c r="C571" s="1050"/>
      <c r="D571" s="1050"/>
      <c r="E571" s="1050"/>
      <c r="F571" s="1050"/>
      <c r="G571" s="1050"/>
    </row>
    <row r="572" spans="1:7">
      <c r="A572" s="1079"/>
      <c r="B572" s="1050"/>
      <c r="C572" s="1050"/>
      <c r="D572" s="1050"/>
      <c r="E572" s="1050"/>
      <c r="F572" s="1050"/>
      <c r="G572" s="1050"/>
    </row>
    <row r="573" spans="1:7">
      <c r="A573" s="1079"/>
      <c r="B573" s="1050"/>
      <c r="C573" s="1050"/>
      <c r="D573" s="1050"/>
      <c r="E573" s="1050"/>
      <c r="F573" s="1050"/>
      <c r="G573" s="1050"/>
    </row>
    <row r="574" spans="1:7">
      <c r="A574" s="1079"/>
      <c r="B574" s="1050"/>
      <c r="C574" s="1050"/>
      <c r="D574" s="1050"/>
      <c r="E574" s="1050"/>
      <c r="F574" s="1050"/>
      <c r="G574" s="1050"/>
    </row>
    <row r="575" spans="1:7">
      <c r="A575" s="1079"/>
      <c r="B575" s="1050"/>
      <c r="C575" s="1050"/>
      <c r="D575" s="1050"/>
      <c r="E575" s="1050"/>
      <c r="F575" s="1050"/>
      <c r="G575" s="1050"/>
    </row>
    <row r="576" spans="1:7">
      <c r="A576" s="1079"/>
      <c r="B576" s="1050"/>
      <c r="C576" s="1050"/>
      <c r="D576" s="1050"/>
      <c r="E576" s="1050"/>
      <c r="F576" s="1050"/>
      <c r="G576" s="1050"/>
    </row>
    <row r="577" spans="1:7">
      <c r="A577" s="1079"/>
      <c r="B577" s="1050"/>
      <c r="C577" s="1050"/>
      <c r="D577" s="1050"/>
      <c r="E577" s="1050"/>
      <c r="F577" s="1050"/>
      <c r="G577" s="1050"/>
    </row>
    <row r="578" spans="1:7">
      <c r="A578" s="1079"/>
      <c r="B578" s="1050"/>
      <c r="C578" s="1050"/>
      <c r="D578" s="1050"/>
      <c r="E578" s="1050"/>
      <c r="F578" s="1050"/>
      <c r="G578" s="1050"/>
    </row>
    <row r="579" spans="1:7">
      <c r="A579" s="1079"/>
      <c r="B579" s="1050"/>
      <c r="C579" s="1050"/>
      <c r="D579" s="1050"/>
      <c r="E579" s="1050"/>
      <c r="F579" s="1050"/>
      <c r="G579" s="1050"/>
    </row>
    <row r="580" spans="1:7">
      <c r="A580" s="1079"/>
      <c r="B580" s="1050"/>
      <c r="C580" s="1050"/>
      <c r="D580" s="1050"/>
      <c r="E580" s="1050"/>
      <c r="F580" s="1050"/>
      <c r="G580" s="1050"/>
    </row>
    <row r="581" spans="1:7">
      <c r="A581" s="1079"/>
      <c r="B581" s="1050"/>
      <c r="C581" s="1050"/>
      <c r="D581" s="1050"/>
      <c r="E581" s="1050"/>
      <c r="F581" s="1050"/>
      <c r="G581" s="1050"/>
    </row>
    <row r="582" spans="1:7">
      <c r="A582" s="1079"/>
      <c r="B582" s="1050"/>
      <c r="C582" s="1050"/>
      <c r="D582" s="1050"/>
      <c r="E582" s="1050"/>
      <c r="F582" s="1050"/>
      <c r="G582" s="1050"/>
    </row>
    <row r="583" spans="1:7">
      <c r="A583" s="1079"/>
      <c r="B583" s="1050"/>
      <c r="C583" s="1050"/>
      <c r="D583" s="1050"/>
      <c r="E583" s="1050"/>
      <c r="F583" s="1050"/>
      <c r="G583" s="1050"/>
    </row>
    <row r="584" spans="1:7">
      <c r="A584" s="1079"/>
      <c r="B584" s="1050"/>
      <c r="C584" s="1050"/>
      <c r="D584" s="1050"/>
      <c r="E584" s="1050"/>
      <c r="F584" s="1050"/>
      <c r="G584" s="1050"/>
    </row>
    <row r="585" spans="1:7">
      <c r="A585" s="1079"/>
      <c r="B585" s="1050"/>
      <c r="C585" s="1050"/>
      <c r="D585" s="1050"/>
      <c r="E585" s="1050"/>
      <c r="F585" s="1050"/>
      <c r="G585" s="1050"/>
    </row>
    <row r="586" spans="1:7">
      <c r="A586" s="1079"/>
      <c r="B586" s="1050"/>
      <c r="C586" s="1050"/>
      <c r="D586" s="1050"/>
      <c r="E586" s="1050"/>
      <c r="F586" s="1050"/>
      <c r="G586" s="1050"/>
    </row>
    <row r="587" spans="1:7">
      <c r="A587" s="1079"/>
      <c r="B587" s="1050"/>
      <c r="C587" s="1050"/>
      <c r="D587" s="1050"/>
      <c r="E587" s="1050"/>
      <c r="F587" s="1050"/>
      <c r="G587" s="1050"/>
    </row>
    <row r="588" spans="1:7">
      <c r="A588" s="1079"/>
      <c r="B588" s="1050"/>
      <c r="C588" s="1050"/>
      <c r="D588" s="1050"/>
      <c r="E588" s="1050"/>
      <c r="F588" s="1050"/>
      <c r="G588" s="1050"/>
    </row>
    <row r="589" spans="1:7">
      <c r="A589" s="1079"/>
      <c r="B589" s="1050"/>
      <c r="C589" s="1050"/>
      <c r="D589" s="1050"/>
      <c r="E589" s="1050"/>
      <c r="F589" s="1050"/>
      <c r="G589" s="1050"/>
    </row>
    <row r="590" spans="1:7">
      <c r="A590" s="1079"/>
      <c r="B590" s="1050"/>
      <c r="C590" s="1050"/>
      <c r="D590" s="1050"/>
      <c r="E590" s="1050"/>
      <c r="F590" s="1050"/>
      <c r="G590" s="1050"/>
    </row>
    <row r="591" spans="1:7">
      <c r="A591" s="1079"/>
      <c r="B591" s="1050"/>
      <c r="C591" s="1050"/>
      <c r="D591" s="1050"/>
      <c r="E591" s="1050"/>
      <c r="F591" s="1050"/>
      <c r="G591" s="1050"/>
    </row>
    <row r="592" spans="1:7">
      <c r="A592" s="1079"/>
      <c r="B592" s="1050"/>
      <c r="C592" s="1050"/>
      <c r="D592" s="1050"/>
      <c r="E592" s="1050"/>
      <c r="F592" s="1050"/>
      <c r="G592" s="1050"/>
    </row>
    <row r="593" spans="1:7">
      <c r="A593" s="1079"/>
      <c r="B593" s="1050"/>
      <c r="C593" s="1050"/>
      <c r="D593" s="1050"/>
      <c r="E593" s="1050"/>
      <c r="F593" s="1050"/>
      <c r="G593" s="1050"/>
    </row>
    <row r="594" spans="1:7">
      <c r="A594" s="1079"/>
      <c r="B594" s="1050"/>
      <c r="C594" s="1050"/>
      <c r="D594" s="1050"/>
      <c r="E594" s="1050"/>
      <c r="F594" s="1050"/>
      <c r="G594" s="1050"/>
    </row>
    <row r="595" spans="1:7">
      <c r="A595" s="1079"/>
      <c r="B595" s="1050"/>
      <c r="C595" s="1050"/>
      <c r="D595" s="1050"/>
      <c r="E595" s="1050"/>
      <c r="F595" s="1050"/>
      <c r="G595" s="1050"/>
    </row>
    <row r="596" spans="1:7">
      <c r="A596" s="1079"/>
      <c r="B596" s="1050"/>
      <c r="C596" s="1050"/>
      <c r="D596" s="1050"/>
      <c r="E596" s="1050"/>
      <c r="F596" s="1050"/>
      <c r="G596" s="1050"/>
    </row>
    <row r="597" spans="1:7">
      <c r="A597" s="1079"/>
      <c r="B597" s="1050"/>
      <c r="C597" s="1050"/>
      <c r="D597" s="1050"/>
      <c r="E597" s="1050"/>
      <c r="F597" s="1050"/>
      <c r="G597" s="1050"/>
    </row>
    <row r="598" spans="1:7">
      <c r="A598" s="1079"/>
      <c r="B598" s="1050"/>
      <c r="C598" s="1050"/>
      <c r="D598" s="1050"/>
      <c r="E598" s="1050"/>
      <c r="F598" s="1050"/>
      <c r="G598" s="1050"/>
    </row>
    <row r="599" spans="1:7">
      <c r="A599" s="1079"/>
      <c r="B599" s="1050"/>
      <c r="C599" s="1050"/>
      <c r="D599" s="1050"/>
      <c r="E599" s="1050"/>
      <c r="F599" s="1050"/>
      <c r="G599" s="1050"/>
    </row>
    <row r="600" spans="1:7">
      <c r="A600" s="1079"/>
      <c r="B600" s="1050"/>
      <c r="C600" s="1050"/>
      <c r="D600" s="1050"/>
      <c r="E600" s="1050"/>
      <c r="F600" s="1050"/>
      <c r="G600" s="1050"/>
    </row>
    <row r="601" spans="1:7">
      <c r="A601" s="1079"/>
      <c r="B601" s="1050"/>
      <c r="C601" s="1050"/>
      <c r="D601" s="1050"/>
      <c r="E601" s="1050"/>
      <c r="F601" s="1050"/>
      <c r="G601" s="1050"/>
    </row>
    <row r="602" spans="1:7">
      <c r="A602" s="1079"/>
      <c r="B602" s="1050"/>
      <c r="C602" s="1050"/>
      <c r="D602" s="1050"/>
      <c r="E602" s="1050"/>
      <c r="F602" s="1050"/>
      <c r="G602" s="1050"/>
    </row>
    <row r="603" spans="1:7">
      <c r="A603" s="1079"/>
      <c r="B603" s="1050"/>
      <c r="C603" s="1050"/>
      <c r="D603" s="1050"/>
      <c r="E603" s="1050"/>
      <c r="F603" s="1050"/>
      <c r="G603" s="1050"/>
    </row>
    <row r="604" spans="1:7">
      <c r="A604" s="1079"/>
      <c r="B604" s="1050"/>
      <c r="C604" s="1050"/>
      <c r="D604" s="1050"/>
      <c r="E604" s="1050"/>
      <c r="F604" s="1050"/>
      <c r="G604" s="1050"/>
    </row>
    <row r="605" spans="1:7">
      <c r="A605" s="1079"/>
      <c r="B605" s="1050"/>
      <c r="C605" s="1050"/>
      <c r="D605" s="1050"/>
      <c r="E605" s="1050"/>
      <c r="F605" s="1050"/>
      <c r="G605" s="1050"/>
    </row>
    <row r="606" spans="1:7">
      <c r="A606" s="1079"/>
      <c r="B606" s="1050"/>
      <c r="C606" s="1050"/>
      <c r="D606" s="1050"/>
      <c r="E606" s="1050"/>
      <c r="F606" s="1050"/>
      <c r="G606" s="1050"/>
    </row>
    <row r="607" spans="1:7">
      <c r="A607" s="1079"/>
      <c r="B607" s="1050"/>
      <c r="C607" s="1050"/>
      <c r="D607" s="1050"/>
      <c r="E607" s="1050"/>
      <c r="F607" s="1050"/>
      <c r="G607" s="1050"/>
    </row>
    <row r="608" spans="1:7">
      <c r="A608" s="1079"/>
      <c r="B608" s="1050"/>
      <c r="C608" s="1050"/>
      <c r="D608" s="1050"/>
      <c r="E608" s="1050"/>
      <c r="F608" s="1050"/>
      <c r="G608" s="1050"/>
    </row>
    <row r="609" spans="1:7">
      <c r="A609" s="1079"/>
      <c r="B609" s="1050"/>
      <c r="C609" s="1050"/>
      <c r="D609" s="1050"/>
      <c r="E609" s="1050"/>
      <c r="F609" s="1050"/>
      <c r="G609" s="1050"/>
    </row>
    <row r="610" spans="1:7">
      <c r="A610" s="1079"/>
      <c r="B610" s="1050"/>
      <c r="C610" s="1050"/>
      <c r="D610" s="1050"/>
      <c r="E610" s="1050"/>
      <c r="F610" s="1050"/>
      <c r="G610" s="1050"/>
    </row>
    <row r="611" spans="1:7">
      <c r="A611" s="1079"/>
      <c r="B611" s="1050"/>
      <c r="C611" s="1050"/>
      <c r="D611" s="1050"/>
      <c r="E611" s="1050"/>
      <c r="F611" s="1050"/>
      <c r="G611" s="1050"/>
    </row>
    <row r="612" spans="1:7">
      <c r="A612" s="1079"/>
      <c r="B612" s="1050"/>
      <c r="C612" s="1050"/>
      <c r="D612" s="1050"/>
      <c r="E612" s="1050"/>
      <c r="F612" s="1050"/>
      <c r="G612" s="1050"/>
    </row>
    <row r="613" spans="1:7">
      <c r="A613" s="1079"/>
      <c r="B613" s="1050"/>
      <c r="C613" s="1050"/>
      <c r="D613" s="1050"/>
      <c r="E613" s="1050"/>
      <c r="F613" s="1050"/>
      <c r="G613" s="1050"/>
    </row>
    <row r="614" spans="1:7">
      <c r="A614" s="1079"/>
      <c r="B614" s="1050"/>
      <c r="C614" s="1050"/>
      <c r="D614" s="1050"/>
      <c r="E614" s="1050"/>
      <c r="F614" s="1050"/>
      <c r="G614" s="1050"/>
    </row>
    <row r="615" spans="1:7">
      <c r="A615" s="1079"/>
      <c r="B615" s="1050"/>
      <c r="C615" s="1050"/>
      <c r="D615" s="1050"/>
      <c r="E615" s="1050"/>
      <c r="F615" s="1050"/>
      <c r="G615" s="1050"/>
    </row>
    <row r="616" spans="1:7">
      <c r="A616" s="1079"/>
      <c r="B616" s="1050"/>
      <c r="C616" s="1050"/>
      <c r="D616" s="1050"/>
      <c r="E616" s="1050"/>
      <c r="F616" s="1050"/>
      <c r="G616" s="1050"/>
    </row>
    <row r="617" spans="1:7">
      <c r="A617" s="1079"/>
      <c r="B617" s="1050"/>
      <c r="C617" s="1050"/>
      <c r="D617" s="1050"/>
      <c r="E617" s="1050"/>
      <c r="F617" s="1050"/>
      <c r="G617" s="1050"/>
    </row>
    <row r="618" spans="1:7">
      <c r="A618" s="1079"/>
      <c r="B618" s="1050"/>
      <c r="C618" s="1050"/>
      <c r="D618" s="1050"/>
      <c r="E618" s="1050"/>
      <c r="F618" s="1050"/>
      <c r="G618" s="1050"/>
    </row>
    <row r="619" spans="1:7">
      <c r="A619" s="1079"/>
      <c r="B619" s="1050"/>
      <c r="C619" s="1050"/>
      <c r="D619" s="1050"/>
      <c r="E619" s="1050"/>
      <c r="F619" s="1050"/>
      <c r="G619" s="1050"/>
    </row>
    <row r="620" spans="1:7">
      <c r="A620" s="1079"/>
      <c r="B620" s="1050"/>
      <c r="C620" s="1050"/>
      <c r="D620" s="1050"/>
      <c r="E620" s="1050"/>
      <c r="F620" s="1050"/>
      <c r="G620" s="1050"/>
    </row>
    <row r="621" spans="1:7">
      <c r="A621" s="1079"/>
      <c r="B621" s="1050"/>
      <c r="C621" s="1050"/>
      <c r="D621" s="1050"/>
      <c r="E621" s="1050"/>
      <c r="F621" s="1050"/>
      <c r="G621" s="1050"/>
    </row>
    <row r="622" spans="1:7">
      <c r="A622" s="1079"/>
      <c r="B622" s="1050"/>
      <c r="C622" s="1050"/>
      <c r="D622" s="1050"/>
      <c r="E622" s="1050"/>
      <c r="F622" s="1050"/>
      <c r="G622" s="1050"/>
    </row>
    <row r="623" spans="1:7">
      <c r="A623" s="1079"/>
      <c r="B623" s="1050"/>
      <c r="C623" s="1050"/>
      <c r="D623" s="1050"/>
      <c r="E623" s="1050"/>
      <c r="F623" s="1050"/>
      <c r="G623" s="1050"/>
    </row>
    <row r="624" spans="1:7">
      <c r="A624" s="1079"/>
      <c r="B624" s="1050"/>
      <c r="C624" s="1050"/>
      <c r="D624" s="1050"/>
      <c r="E624" s="1050"/>
      <c r="F624" s="1050"/>
      <c r="G624" s="1050"/>
    </row>
    <row r="625" spans="1:7">
      <c r="A625" s="1079"/>
      <c r="B625" s="1050"/>
      <c r="C625" s="1050"/>
      <c r="D625" s="1050"/>
      <c r="E625" s="1050"/>
      <c r="F625" s="1050"/>
      <c r="G625" s="1050"/>
    </row>
    <row r="626" spans="1:7">
      <c r="A626" s="1079"/>
      <c r="B626" s="1050"/>
      <c r="C626" s="1050"/>
      <c r="D626" s="1050"/>
      <c r="E626" s="1050"/>
      <c r="F626" s="1050"/>
      <c r="G626" s="1050"/>
    </row>
    <row r="627" spans="1:7">
      <c r="A627" s="1079"/>
      <c r="B627" s="1050"/>
      <c r="C627" s="1050"/>
      <c r="D627" s="1050"/>
      <c r="E627" s="1050"/>
      <c r="F627" s="1050"/>
      <c r="G627" s="1050"/>
    </row>
    <row r="628" spans="1:7">
      <c r="A628" s="1079"/>
      <c r="B628" s="1050"/>
      <c r="C628" s="1050"/>
      <c r="D628" s="1050"/>
      <c r="E628" s="1050"/>
      <c r="F628" s="1050"/>
      <c r="G628" s="1050"/>
    </row>
    <row r="629" spans="1:7">
      <c r="A629" s="1079"/>
      <c r="B629" s="1050"/>
      <c r="C629" s="1050"/>
      <c r="D629" s="1050"/>
      <c r="E629" s="1050"/>
      <c r="F629" s="1050"/>
      <c r="G629" s="1050"/>
    </row>
    <row r="630" spans="1:7">
      <c r="A630" s="1079"/>
      <c r="B630" s="1050"/>
      <c r="C630" s="1050"/>
      <c r="D630" s="1050"/>
      <c r="E630" s="1050"/>
      <c r="F630" s="1050"/>
      <c r="G630" s="1050"/>
    </row>
    <row r="631" spans="1:7">
      <c r="A631" s="1079"/>
      <c r="B631" s="1050"/>
      <c r="C631" s="1050"/>
      <c r="D631" s="1050"/>
      <c r="E631" s="1050"/>
      <c r="F631" s="1050"/>
      <c r="G631" s="1050"/>
    </row>
    <row r="632" spans="1:7">
      <c r="A632" s="1079"/>
      <c r="B632" s="1050"/>
      <c r="C632" s="1050"/>
      <c r="D632" s="1050"/>
      <c r="E632" s="1050"/>
      <c r="F632" s="1050"/>
      <c r="G632" s="1050"/>
    </row>
    <row r="633" spans="1:7">
      <c r="A633" s="1079"/>
      <c r="B633" s="1050"/>
      <c r="C633" s="1050"/>
      <c r="D633" s="1050"/>
      <c r="E633" s="1050"/>
      <c r="F633" s="1050"/>
      <c r="G633" s="1050"/>
    </row>
    <row r="634" spans="1:7">
      <c r="A634" s="1079"/>
      <c r="B634" s="1050"/>
      <c r="C634" s="1050"/>
      <c r="D634" s="1050"/>
      <c r="E634" s="1050"/>
      <c r="F634" s="1050"/>
      <c r="G634" s="1050"/>
    </row>
    <row r="635" spans="1:7">
      <c r="A635" s="1079"/>
      <c r="B635" s="1050"/>
      <c r="C635" s="1050"/>
      <c r="D635" s="1050"/>
      <c r="E635" s="1050"/>
      <c r="F635" s="1050"/>
      <c r="G635" s="1050"/>
    </row>
    <row r="636" spans="1:7">
      <c r="A636" s="1079"/>
      <c r="B636" s="1050"/>
      <c r="C636" s="1050"/>
      <c r="D636" s="1050"/>
      <c r="E636" s="1050"/>
      <c r="F636" s="1050"/>
      <c r="G636" s="1050"/>
    </row>
    <row r="637" spans="1:7">
      <c r="A637" s="1079"/>
      <c r="B637" s="1050"/>
      <c r="C637" s="1050"/>
      <c r="D637" s="1050"/>
      <c r="E637" s="1050"/>
      <c r="F637" s="1050"/>
      <c r="G637" s="1050"/>
    </row>
    <row r="638" spans="1:7">
      <c r="A638" s="1079"/>
      <c r="B638" s="1050"/>
      <c r="C638" s="1050"/>
      <c r="D638" s="1050"/>
      <c r="E638" s="1050"/>
      <c r="F638" s="1050"/>
      <c r="G638" s="1050"/>
    </row>
    <row r="639" spans="1:7">
      <c r="A639" s="1079"/>
      <c r="B639" s="1050"/>
      <c r="C639" s="1050"/>
      <c r="D639" s="1050"/>
      <c r="E639" s="1050"/>
      <c r="F639" s="1050"/>
      <c r="G639" s="1050"/>
    </row>
    <row r="640" spans="1:7">
      <c r="A640" s="1079"/>
      <c r="B640" s="1050"/>
      <c r="C640" s="1050"/>
      <c r="D640" s="1050"/>
      <c r="E640" s="1050"/>
      <c r="F640" s="1050"/>
      <c r="G640" s="1050"/>
    </row>
    <row r="641" spans="1:7">
      <c r="A641" s="1079"/>
      <c r="B641" s="1050"/>
      <c r="C641" s="1050"/>
      <c r="D641" s="1050"/>
      <c r="E641" s="1050"/>
      <c r="F641" s="1050"/>
      <c r="G641" s="1050"/>
    </row>
    <row r="642" spans="1:7">
      <c r="A642" s="1079"/>
      <c r="B642" s="1050"/>
      <c r="C642" s="1050"/>
      <c r="D642" s="1050"/>
      <c r="E642" s="1050"/>
      <c r="F642" s="1050"/>
      <c r="G642" s="1050"/>
    </row>
    <row r="643" spans="1:7">
      <c r="A643" s="1079"/>
      <c r="B643" s="1050"/>
      <c r="C643" s="1050"/>
      <c r="D643" s="1050"/>
      <c r="E643" s="1050"/>
      <c r="F643" s="1050"/>
      <c r="G643" s="1050"/>
    </row>
    <row r="644" spans="1:7">
      <c r="A644" s="1079"/>
      <c r="B644" s="1050"/>
      <c r="C644" s="1050"/>
      <c r="D644" s="1050"/>
      <c r="E644" s="1050"/>
      <c r="F644" s="1050"/>
      <c r="G644" s="1050"/>
    </row>
    <row r="645" spans="1:7">
      <c r="A645" s="1079"/>
      <c r="B645" s="1050"/>
      <c r="C645" s="1050"/>
      <c r="D645" s="1050"/>
      <c r="E645" s="1050"/>
      <c r="F645" s="1050"/>
      <c r="G645" s="1050"/>
    </row>
    <row r="646" spans="1:7">
      <c r="A646" s="1079"/>
      <c r="B646" s="1050"/>
      <c r="C646" s="1050"/>
      <c r="D646" s="1050"/>
      <c r="E646" s="1050"/>
      <c r="F646" s="1050"/>
      <c r="G646" s="1050"/>
    </row>
    <row r="647" spans="1:7">
      <c r="A647" s="1079"/>
      <c r="B647" s="1050"/>
      <c r="C647" s="1050"/>
      <c r="D647" s="1050"/>
      <c r="E647" s="1050"/>
      <c r="F647" s="1050"/>
      <c r="G647" s="1050"/>
    </row>
    <row r="648" spans="1:7">
      <c r="A648" s="1079"/>
      <c r="B648" s="1050"/>
      <c r="C648" s="1050"/>
      <c r="D648" s="1050"/>
      <c r="E648" s="1050"/>
      <c r="F648" s="1050"/>
      <c r="G648" s="1050"/>
    </row>
    <row r="649" spans="1:7">
      <c r="A649" s="1079"/>
      <c r="B649" s="1050"/>
      <c r="C649" s="1050"/>
      <c r="D649" s="1050"/>
      <c r="E649" s="1050"/>
      <c r="F649" s="1050"/>
      <c r="G649" s="1050"/>
    </row>
    <row r="650" spans="1:7">
      <c r="A650" s="1079"/>
      <c r="B650" s="1050"/>
      <c r="C650" s="1050"/>
      <c r="D650" s="1050"/>
      <c r="E650" s="1050"/>
      <c r="F650" s="1050"/>
      <c r="G650" s="1050"/>
    </row>
    <row r="651" spans="1:7">
      <c r="A651" s="1079"/>
      <c r="B651" s="1050"/>
      <c r="C651" s="1050"/>
      <c r="D651" s="1050"/>
      <c r="E651" s="1050"/>
      <c r="F651" s="1050"/>
      <c r="G651" s="1050"/>
    </row>
    <row r="652" spans="1:7">
      <c r="A652" s="1079"/>
      <c r="B652" s="1050"/>
      <c r="C652" s="1050"/>
      <c r="D652" s="1050"/>
      <c r="E652" s="1050"/>
      <c r="F652" s="1050"/>
      <c r="G652" s="1050"/>
    </row>
    <row r="653" spans="1:7">
      <c r="A653" s="1079"/>
      <c r="B653" s="1050"/>
      <c r="C653" s="1050"/>
      <c r="D653" s="1050"/>
      <c r="E653" s="1050"/>
      <c r="F653" s="1050"/>
      <c r="G653" s="1050"/>
    </row>
    <row r="654" spans="1:7">
      <c r="A654" s="1079"/>
      <c r="B654" s="1050"/>
      <c r="C654" s="1050"/>
      <c r="D654" s="1050"/>
      <c r="E654" s="1050"/>
      <c r="F654" s="1050"/>
      <c r="G654" s="1050"/>
    </row>
    <row r="655" spans="1:7">
      <c r="A655" s="1079"/>
      <c r="B655" s="1050"/>
      <c r="C655" s="1050"/>
      <c r="D655" s="1050"/>
      <c r="E655" s="1050"/>
      <c r="F655" s="1050"/>
      <c r="G655" s="1050"/>
    </row>
    <row r="656" spans="1:7">
      <c r="A656" s="1079"/>
      <c r="B656" s="1050"/>
      <c r="C656" s="1050"/>
      <c r="D656" s="1050"/>
      <c r="E656" s="1050"/>
      <c r="F656" s="1050"/>
      <c r="G656" s="1050"/>
    </row>
    <row r="657" spans="1:7">
      <c r="A657" s="1079"/>
      <c r="B657" s="1050"/>
      <c r="C657" s="1050"/>
      <c r="D657" s="1050"/>
      <c r="E657" s="1050"/>
      <c r="F657" s="1050"/>
      <c r="G657" s="1050"/>
    </row>
    <row r="658" spans="1:7">
      <c r="A658" s="1079"/>
      <c r="B658" s="1050"/>
      <c r="C658" s="1050"/>
      <c r="D658" s="1050"/>
      <c r="E658" s="1050"/>
      <c r="F658" s="1050"/>
      <c r="G658" s="1050"/>
    </row>
    <row r="659" spans="1:7">
      <c r="A659" s="1079"/>
      <c r="B659" s="1050"/>
      <c r="C659" s="1050"/>
      <c r="D659" s="1050"/>
      <c r="E659" s="1050"/>
      <c r="F659" s="1050"/>
      <c r="G659" s="1050"/>
    </row>
    <row r="660" spans="1:7">
      <c r="A660" s="1079"/>
      <c r="B660" s="1050"/>
      <c r="C660" s="1050"/>
      <c r="D660" s="1050"/>
      <c r="E660" s="1050"/>
      <c r="F660" s="1050"/>
      <c r="G660" s="1050"/>
    </row>
    <row r="661" spans="1:7">
      <c r="A661" s="1079"/>
      <c r="B661" s="1050"/>
      <c r="C661" s="1050"/>
      <c r="D661" s="1050"/>
      <c r="E661" s="1050"/>
      <c r="F661" s="1050"/>
      <c r="G661" s="1050"/>
    </row>
    <row r="662" spans="1:7">
      <c r="A662" s="1079"/>
      <c r="B662" s="1050"/>
      <c r="C662" s="1050"/>
      <c r="D662" s="1050"/>
      <c r="E662" s="1050"/>
      <c r="F662" s="1050"/>
      <c r="G662" s="1050"/>
    </row>
    <row r="663" spans="1:7">
      <c r="A663" s="1079"/>
      <c r="B663" s="1050"/>
      <c r="C663" s="1050"/>
      <c r="D663" s="1050"/>
      <c r="E663" s="1050"/>
      <c r="F663" s="1050"/>
      <c r="G663" s="1050"/>
    </row>
    <row r="664" spans="1:7">
      <c r="A664" s="1079"/>
      <c r="B664" s="1050"/>
      <c r="C664" s="1050"/>
      <c r="D664" s="1050"/>
      <c r="E664" s="1050"/>
      <c r="F664" s="1050"/>
      <c r="G664" s="1050"/>
    </row>
    <row r="665" spans="1:7">
      <c r="A665" s="1079"/>
      <c r="B665" s="1050"/>
      <c r="C665" s="1050"/>
      <c r="D665" s="1050"/>
      <c r="E665" s="1050"/>
      <c r="F665" s="1050"/>
      <c r="G665" s="1050"/>
    </row>
    <row r="666" spans="1:7">
      <c r="A666" s="1079"/>
      <c r="B666" s="1050"/>
      <c r="C666" s="1050"/>
      <c r="D666" s="1050"/>
      <c r="E666" s="1050"/>
      <c r="F666" s="1050"/>
      <c r="G666" s="1050"/>
    </row>
    <row r="667" spans="1:7">
      <c r="A667" s="1079"/>
      <c r="B667" s="1050"/>
      <c r="C667" s="1050"/>
      <c r="D667" s="1050"/>
      <c r="E667" s="1050"/>
      <c r="F667" s="1050"/>
      <c r="G667" s="1050"/>
    </row>
    <row r="668" spans="1:7">
      <c r="A668" s="1079"/>
      <c r="B668" s="1050"/>
      <c r="C668" s="1050"/>
      <c r="D668" s="1050"/>
      <c r="E668" s="1050"/>
      <c r="F668" s="1050"/>
      <c r="G668" s="1050"/>
    </row>
    <row r="669" spans="1:7">
      <c r="A669" s="1079"/>
      <c r="B669" s="1050"/>
      <c r="C669" s="1050"/>
      <c r="D669" s="1050"/>
      <c r="E669" s="1050"/>
      <c r="F669" s="1050"/>
      <c r="G669" s="1050"/>
    </row>
    <row r="670" spans="1:7">
      <c r="A670" s="1079"/>
      <c r="B670" s="1050"/>
      <c r="C670" s="1050"/>
      <c r="D670" s="1050"/>
      <c r="E670" s="1050"/>
      <c r="F670" s="1050"/>
      <c r="G670" s="1050"/>
    </row>
    <row r="671" spans="1:7">
      <c r="A671" s="1079"/>
      <c r="B671" s="1050"/>
      <c r="C671" s="1050"/>
      <c r="D671" s="1050"/>
      <c r="E671" s="1050"/>
      <c r="F671" s="1050"/>
      <c r="G671" s="1050"/>
    </row>
    <row r="672" spans="1:7">
      <c r="A672" s="1079"/>
      <c r="B672" s="1050"/>
      <c r="C672" s="1050"/>
      <c r="D672" s="1050"/>
      <c r="E672" s="1050"/>
      <c r="F672" s="1050"/>
      <c r="G672" s="1050"/>
    </row>
    <row r="673" spans="1:7">
      <c r="A673" s="1079"/>
      <c r="B673" s="1050"/>
      <c r="C673" s="1050"/>
      <c r="D673" s="1050"/>
      <c r="E673" s="1050"/>
      <c r="F673" s="1050"/>
      <c r="G673" s="1050"/>
    </row>
    <row r="674" spans="1:7">
      <c r="A674" s="1079"/>
      <c r="B674" s="1050"/>
      <c r="C674" s="1050"/>
      <c r="D674" s="1050"/>
      <c r="E674" s="1050"/>
      <c r="F674" s="1050"/>
      <c r="G674" s="1050"/>
    </row>
    <row r="675" spans="1:7">
      <c r="A675" s="1079"/>
      <c r="B675" s="1050"/>
      <c r="C675" s="1050"/>
      <c r="D675" s="1050"/>
      <c r="E675" s="1050"/>
      <c r="F675" s="1050"/>
      <c r="G675" s="1050"/>
    </row>
    <row r="676" spans="1:7">
      <c r="A676" s="1079"/>
      <c r="B676" s="1050"/>
      <c r="C676" s="1050"/>
      <c r="D676" s="1050"/>
      <c r="E676" s="1050"/>
      <c r="F676" s="1050"/>
      <c r="G676" s="1050"/>
    </row>
    <row r="677" spans="1:7">
      <c r="A677" s="1079"/>
      <c r="B677" s="1050"/>
      <c r="C677" s="1050"/>
      <c r="D677" s="1050"/>
      <c r="E677" s="1050"/>
      <c r="F677" s="1050"/>
      <c r="G677" s="1050"/>
    </row>
    <row r="678" spans="1:7">
      <c r="A678" s="1079"/>
      <c r="B678" s="1050"/>
      <c r="C678" s="1050"/>
      <c r="D678" s="1050"/>
      <c r="E678" s="1050"/>
      <c r="F678" s="1050"/>
      <c r="G678" s="1050"/>
    </row>
    <row r="679" spans="1:7">
      <c r="A679" s="1079"/>
      <c r="B679" s="1050"/>
      <c r="C679" s="1050"/>
      <c r="D679" s="1050"/>
      <c r="E679" s="1050"/>
      <c r="F679" s="1050"/>
      <c r="G679" s="1050"/>
    </row>
    <row r="680" spans="1:7">
      <c r="A680" s="1079"/>
      <c r="B680" s="1050"/>
      <c r="C680" s="1050"/>
      <c r="D680" s="1050"/>
      <c r="E680" s="1050"/>
      <c r="F680" s="1050"/>
      <c r="G680" s="1050"/>
    </row>
    <row r="681" spans="1:7">
      <c r="A681" s="1079"/>
      <c r="B681" s="1050"/>
      <c r="C681" s="1050"/>
      <c r="D681" s="1050"/>
      <c r="E681" s="1050"/>
      <c r="F681" s="1050"/>
      <c r="G681" s="1050"/>
    </row>
    <row r="682" spans="1:7">
      <c r="A682" s="1079"/>
      <c r="B682" s="1050"/>
      <c r="C682" s="1050"/>
      <c r="D682" s="1050"/>
      <c r="E682" s="1050"/>
      <c r="F682" s="1050"/>
      <c r="G682" s="1050"/>
    </row>
    <row r="683" spans="1:7">
      <c r="A683" s="1079"/>
      <c r="B683" s="1050"/>
      <c r="C683" s="1050"/>
      <c r="D683" s="1050"/>
      <c r="E683" s="1050"/>
      <c r="F683" s="1050"/>
      <c r="G683" s="1050"/>
    </row>
    <row r="684" spans="1:7">
      <c r="A684" s="1079"/>
      <c r="B684" s="1050"/>
      <c r="C684" s="1050"/>
      <c r="D684" s="1050"/>
      <c r="E684" s="1050"/>
      <c r="F684" s="1050"/>
      <c r="G684" s="1050"/>
    </row>
    <row r="685" spans="1:7">
      <c r="A685" s="1079"/>
      <c r="B685" s="1050"/>
      <c r="C685" s="1050"/>
      <c r="D685" s="1050"/>
      <c r="E685" s="1050"/>
      <c r="F685" s="1050"/>
      <c r="G685" s="1050"/>
    </row>
    <row r="686" spans="1:7">
      <c r="A686" s="1079"/>
      <c r="B686" s="1050"/>
      <c r="C686" s="1050"/>
      <c r="D686" s="1050"/>
      <c r="E686" s="1050"/>
      <c r="F686" s="1050"/>
      <c r="G686" s="1050"/>
    </row>
    <row r="687" spans="1:7">
      <c r="A687" s="1079"/>
      <c r="B687" s="1050"/>
      <c r="C687" s="1050"/>
      <c r="D687" s="1050"/>
      <c r="E687" s="1050"/>
      <c r="F687" s="1050"/>
      <c r="G687" s="1050"/>
    </row>
    <row r="688" spans="1:7">
      <c r="A688" s="1079"/>
      <c r="B688" s="1050"/>
      <c r="C688" s="1050"/>
      <c r="D688" s="1050"/>
      <c r="E688" s="1050"/>
      <c r="F688" s="1050"/>
      <c r="G688" s="1050"/>
    </row>
    <row r="689" spans="1:7">
      <c r="A689" s="1079"/>
      <c r="B689" s="1050"/>
      <c r="C689" s="1050"/>
      <c r="D689" s="1050"/>
      <c r="E689" s="1050"/>
      <c r="F689" s="1050"/>
      <c r="G689" s="1050"/>
    </row>
    <row r="690" spans="1:7">
      <c r="A690" s="1079"/>
      <c r="B690" s="1050"/>
      <c r="C690" s="1050"/>
      <c r="D690" s="1050"/>
      <c r="E690" s="1050"/>
      <c r="F690" s="1050"/>
      <c r="G690" s="1050"/>
    </row>
    <row r="691" spans="1:7">
      <c r="A691" s="1079"/>
      <c r="B691" s="1050"/>
      <c r="C691" s="1050"/>
      <c r="D691" s="1050"/>
      <c r="E691" s="1050"/>
      <c r="F691" s="1050"/>
      <c r="G691" s="1050"/>
    </row>
    <row r="692" spans="1:7">
      <c r="A692" s="1079"/>
      <c r="B692" s="1050"/>
      <c r="C692" s="1050"/>
      <c r="D692" s="1050"/>
      <c r="E692" s="1050"/>
      <c r="F692" s="1050"/>
      <c r="G692" s="1050"/>
    </row>
    <row r="693" spans="1:7">
      <c r="A693" s="1079"/>
      <c r="B693" s="1050"/>
      <c r="C693" s="1050"/>
      <c r="D693" s="1050"/>
      <c r="E693" s="1050"/>
      <c r="F693" s="1050"/>
      <c r="G693" s="1050"/>
    </row>
    <row r="694" spans="1:7">
      <c r="A694" s="1079"/>
      <c r="B694" s="1050"/>
      <c r="C694" s="1050"/>
      <c r="D694" s="1050"/>
      <c r="E694" s="1050"/>
      <c r="F694" s="1050"/>
      <c r="G694" s="1050"/>
    </row>
    <row r="695" spans="1:7">
      <c r="A695" s="1079"/>
      <c r="B695" s="1050"/>
      <c r="C695" s="1050"/>
      <c r="D695" s="1050"/>
      <c r="E695" s="1050"/>
      <c r="F695" s="1050"/>
      <c r="G695" s="1050"/>
    </row>
    <row r="696" spans="1:7">
      <c r="A696" s="1079"/>
      <c r="B696" s="1050"/>
      <c r="C696" s="1050"/>
      <c r="D696" s="1050"/>
      <c r="E696" s="1050"/>
      <c r="F696" s="1050"/>
      <c r="G696" s="1050"/>
    </row>
    <row r="697" spans="1:7">
      <c r="A697" s="1079"/>
      <c r="B697" s="1050"/>
      <c r="C697" s="1050"/>
      <c r="D697" s="1050"/>
      <c r="E697" s="1050"/>
      <c r="F697" s="1050"/>
      <c r="G697" s="1050"/>
    </row>
    <row r="698" spans="1:7">
      <c r="A698" s="1079"/>
      <c r="B698" s="1050"/>
      <c r="C698" s="1050"/>
      <c r="D698" s="1050"/>
      <c r="E698" s="1050"/>
      <c r="F698" s="1050"/>
      <c r="G698" s="1050"/>
    </row>
    <row r="699" spans="1:7">
      <c r="A699" s="1079"/>
      <c r="B699" s="1050"/>
      <c r="C699" s="1050"/>
      <c r="D699" s="1050"/>
      <c r="E699" s="1050"/>
      <c r="F699" s="1050"/>
      <c r="G699" s="1050"/>
    </row>
    <row r="700" spans="1:7">
      <c r="A700" s="1079"/>
      <c r="B700" s="1050"/>
      <c r="C700" s="1050"/>
      <c r="D700" s="1050"/>
      <c r="E700" s="1050"/>
      <c r="F700" s="1050"/>
      <c r="G700" s="1050"/>
    </row>
    <row r="701" spans="1:7">
      <c r="A701" s="1079"/>
      <c r="B701" s="1050"/>
      <c r="C701" s="1050"/>
      <c r="D701" s="1050"/>
      <c r="E701" s="1050"/>
      <c r="F701" s="1050"/>
      <c r="G701" s="1050"/>
    </row>
    <row r="702" spans="1:7">
      <c r="A702" s="1079"/>
      <c r="B702" s="1050"/>
      <c r="C702" s="1050"/>
      <c r="D702" s="1050"/>
      <c r="E702" s="1050"/>
      <c r="F702" s="1050"/>
      <c r="G702" s="1050"/>
    </row>
    <row r="703" spans="1:7">
      <c r="A703" s="1079"/>
      <c r="B703" s="1050"/>
      <c r="C703" s="1050"/>
      <c r="D703" s="1050"/>
      <c r="E703" s="1050"/>
      <c r="F703" s="1050"/>
      <c r="G703" s="1050"/>
    </row>
    <row r="704" spans="1:7">
      <c r="A704" s="1079"/>
      <c r="B704" s="1050"/>
      <c r="C704" s="1050"/>
      <c r="D704" s="1050"/>
      <c r="E704" s="1050"/>
      <c r="F704" s="1050"/>
      <c r="G704" s="1050"/>
    </row>
    <row r="705" spans="1:7">
      <c r="A705" s="1079"/>
      <c r="B705" s="1050"/>
      <c r="C705" s="1050"/>
      <c r="D705" s="1050"/>
      <c r="E705" s="1050"/>
      <c r="F705" s="1050"/>
      <c r="G705" s="1050"/>
    </row>
    <row r="706" spans="1:7">
      <c r="A706" s="1079"/>
      <c r="B706" s="1050"/>
      <c r="C706" s="1050"/>
      <c r="D706" s="1050"/>
      <c r="E706" s="1050"/>
      <c r="F706" s="1050"/>
      <c r="G706" s="1050"/>
    </row>
    <row r="707" spans="1:7">
      <c r="A707" s="1079"/>
      <c r="B707" s="1050"/>
      <c r="C707" s="1050"/>
      <c r="D707" s="1050"/>
      <c r="E707" s="1050"/>
      <c r="F707" s="1050"/>
      <c r="G707" s="1050"/>
    </row>
    <row r="708" spans="1:7">
      <c r="A708" s="1079"/>
      <c r="B708" s="1050"/>
      <c r="C708" s="1050"/>
      <c r="D708" s="1050"/>
      <c r="E708" s="1050"/>
      <c r="F708" s="1050"/>
      <c r="G708" s="1050"/>
    </row>
    <row r="709" spans="1:7">
      <c r="A709" s="1079"/>
      <c r="B709" s="1050"/>
      <c r="C709" s="1050"/>
      <c r="D709" s="1050"/>
      <c r="E709" s="1050"/>
      <c r="F709" s="1050"/>
      <c r="G709" s="1050"/>
    </row>
    <row r="710" spans="1:7">
      <c r="A710" s="1079"/>
      <c r="B710" s="1050"/>
      <c r="C710" s="1050"/>
      <c r="D710" s="1050"/>
      <c r="E710" s="1050"/>
      <c r="F710" s="1050"/>
      <c r="G710" s="1050"/>
    </row>
    <row r="711" spans="1:7">
      <c r="A711" s="1079"/>
      <c r="B711" s="1050"/>
      <c r="C711" s="1050"/>
      <c r="D711" s="1050"/>
      <c r="E711" s="1050"/>
      <c r="F711" s="1050"/>
      <c r="G711" s="1050"/>
    </row>
    <row r="712" spans="1:7">
      <c r="A712" s="1079"/>
      <c r="B712" s="1050"/>
      <c r="C712" s="1050"/>
      <c r="D712" s="1050"/>
      <c r="E712" s="1050"/>
      <c r="F712" s="1050"/>
      <c r="G712" s="1050"/>
    </row>
    <row r="713" spans="1:7">
      <c r="A713" s="1079"/>
      <c r="B713" s="1050"/>
      <c r="C713" s="1050"/>
      <c r="D713" s="1050"/>
      <c r="E713" s="1050"/>
      <c r="F713" s="1050"/>
      <c r="G713" s="1050"/>
    </row>
    <row r="714" spans="1:7">
      <c r="A714" s="1079"/>
      <c r="B714" s="1050"/>
      <c r="C714" s="1050"/>
      <c r="D714" s="1050"/>
      <c r="E714" s="1050"/>
      <c r="F714" s="1050"/>
      <c r="G714" s="1050"/>
    </row>
    <row r="715" spans="1:7">
      <c r="A715" s="1079"/>
      <c r="B715" s="1050"/>
      <c r="C715" s="1050"/>
      <c r="D715" s="1050"/>
      <c r="E715" s="1050"/>
      <c r="F715" s="1050"/>
      <c r="G715" s="1050"/>
    </row>
    <row r="716" spans="1:7">
      <c r="A716" s="1079"/>
      <c r="B716" s="1050"/>
      <c r="C716" s="1050"/>
      <c r="D716" s="1050"/>
      <c r="E716" s="1050"/>
      <c r="F716" s="1050"/>
      <c r="G716" s="1050"/>
    </row>
    <row r="717" spans="1:7">
      <c r="A717" s="1079"/>
      <c r="B717" s="1050"/>
      <c r="C717" s="1050"/>
      <c r="D717" s="1050"/>
      <c r="E717" s="1050"/>
      <c r="F717" s="1050"/>
      <c r="G717" s="1050"/>
    </row>
    <row r="718" spans="1:7">
      <c r="A718" s="1079"/>
      <c r="B718" s="1050"/>
      <c r="C718" s="1050"/>
      <c r="D718" s="1050"/>
      <c r="E718" s="1050"/>
      <c r="F718" s="1050"/>
      <c r="G718" s="1050"/>
    </row>
    <row r="719" spans="1:7">
      <c r="A719" s="1079"/>
      <c r="B719" s="1050"/>
      <c r="C719" s="1050"/>
      <c r="D719" s="1050"/>
      <c r="E719" s="1050"/>
      <c r="F719" s="1050"/>
      <c r="G719" s="1050"/>
    </row>
    <row r="720" spans="1:7">
      <c r="A720" s="1079"/>
      <c r="B720" s="1050"/>
      <c r="C720" s="1050"/>
      <c r="D720" s="1050"/>
      <c r="E720" s="1050"/>
      <c r="F720" s="1050"/>
      <c r="G720" s="1050"/>
    </row>
    <row r="721" spans="1:7">
      <c r="A721" s="1079"/>
      <c r="B721" s="1050"/>
      <c r="C721" s="1050"/>
      <c r="D721" s="1050"/>
      <c r="E721" s="1050"/>
      <c r="F721" s="1050"/>
      <c r="G721" s="1050"/>
    </row>
    <row r="722" spans="1:7">
      <c r="A722" s="1079"/>
      <c r="B722" s="1050"/>
      <c r="C722" s="1050"/>
      <c r="D722" s="1050"/>
      <c r="E722" s="1050"/>
      <c r="F722" s="1050"/>
      <c r="G722" s="1050"/>
    </row>
    <row r="723" spans="1:7">
      <c r="A723" s="1079"/>
      <c r="B723" s="1050"/>
      <c r="C723" s="1050"/>
      <c r="D723" s="1050"/>
      <c r="E723" s="1050"/>
      <c r="F723" s="1050"/>
      <c r="G723" s="1050"/>
    </row>
    <row r="724" spans="1:7">
      <c r="A724" s="1079"/>
      <c r="B724" s="1050"/>
      <c r="C724" s="1050"/>
      <c r="D724" s="1050"/>
      <c r="E724" s="1050"/>
      <c r="F724" s="1050"/>
      <c r="G724" s="1050"/>
    </row>
    <row r="725" spans="1:7">
      <c r="A725" s="1079"/>
      <c r="B725" s="1050"/>
      <c r="C725" s="1050"/>
      <c r="D725" s="1050"/>
      <c r="E725" s="1050"/>
      <c r="F725" s="1050"/>
      <c r="G725" s="1050"/>
    </row>
    <row r="726" spans="1:7">
      <c r="A726" s="1079"/>
      <c r="B726" s="1050"/>
      <c r="C726" s="1050"/>
      <c r="D726" s="1050"/>
      <c r="E726" s="1050"/>
      <c r="F726" s="1050"/>
      <c r="G726" s="1050"/>
    </row>
    <row r="727" spans="1:7">
      <c r="A727" s="1079"/>
      <c r="B727" s="1050"/>
      <c r="C727" s="1050"/>
      <c r="D727" s="1050"/>
      <c r="E727" s="1050"/>
      <c r="F727" s="1050"/>
      <c r="G727" s="1050"/>
    </row>
    <row r="728" spans="1:7">
      <c r="A728" s="1079"/>
      <c r="B728" s="1050"/>
      <c r="C728" s="1050"/>
      <c r="D728" s="1050"/>
      <c r="E728" s="1050"/>
      <c r="F728" s="1050"/>
      <c r="G728" s="1050"/>
    </row>
    <row r="729" spans="1:7">
      <c r="A729" s="1079"/>
      <c r="B729" s="1050"/>
      <c r="C729" s="1050"/>
      <c r="D729" s="1050"/>
      <c r="E729" s="1050"/>
      <c r="F729" s="1050"/>
      <c r="G729" s="1050"/>
    </row>
    <row r="730" spans="1:7">
      <c r="A730" s="1079"/>
      <c r="B730" s="1050"/>
      <c r="C730" s="1050"/>
      <c r="D730" s="1050"/>
      <c r="E730" s="1050"/>
      <c r="F730" s="1050"/>
      <c r="G730" s="1050"/>
    </row>
    <row r="731" spans="1:7">
      <c r="A731" s="1079"/>
      <c r="B731" s="1050"/>
      <c r="C731" s="1050"/>
      <c r="D731" s="1050"/>
      <c r="E731" s="1050"/>
      <c r="F731" s="1050"/>
      <c r="G731" s="1050"/>
    </row>
    <row r="732" spans="1:7">
      <c r="A732" s="1079"/>
      <c r="B732" s="1050"/>
      <c r="C732" s="1050"/>
      <c r="D732" s="1050"/>
      <c r="E732" s="1050"/>
      <c r="F732" s="1050"/>
      <c r="G732" s="1050"/>
    </row>
    <row r="733" spans="1:7">
      <c r="A733" s="1079"/>
      <c r="B733" s="1050"/>
      <c r="C733" s="1050"/>
      <c r="D733" s="1050"/>
      <c r="E733" s="1050"/>
      <c r="F733" s="1050"/>
      <c r="G733" s="1050"/>
    </row>
    <row r="734" spans="1:7">
      <c r="A734" s="1079"/>
      <c r="B734" s="1050"/>
      <c r="C734" s="1050"/>
      <c r="D734" s="1050"/>
      <c r="E734" s="1050"/>
      <c r="F734" s="1050"/>
      <c r="G734" s="1050"/>
    </row>
    <row r="735" spans="1:7">
      <c r="A735" s="1079"/>
      <c r="B735" s="1050"/>
      <c r="C735" s="1050"/>
      <c r="D735" s="1050"/>
      <c r="E735" s="1050"/>
      <c r="F735" s="1050"/>
      <c r="G735" s="1050"/>
    </row>
    <row r="736" spans="1:7">
      <c r="A736" s="1079"/>
      <c r="B736" s="1050"/>
      <c r="C736" s="1050"/>
      <c r="D736" s="1050"/>
      <c r="E736" s="1050"/>
      <c r="F736" s="1050"/>
      <c r="G736" s="1050"/>
    </row>
    <row r="737" spans="1:7">
      <c r="A737" s="1079"/>
      <c r="B737" s="1050"/>
      <c r="C737" s="1050"/>
      <c r="D737" s="1050"/>
      <c r="E737" s="1050"/>
      <c r="F737" s="1050"/>
      <c r="G737" s="1050"/>
    </row>
    <row r="738" spans="1:7">
      <c r="A738" s="1079"/>
      <c r="B738" s="1050"/>
      <c r="C738" s="1050"/>
      <c r="D738" s="1050"/>
      <c r="E738" s="1050"/>
      <c r="F738" s="1050"/>
      <c r="G738" s="1050"/>
    </row>
    <row r="739" spans="1:7">
      <c r="A739" s="1079"/>
      <c r="B739" s="1050"/>
      <c r="C739" s="1050"/>
      <c r="D739" s="1050"/>
      <c r="E739" s="1050"/>
      <c r="F739" s="1050"/>
      <c r="G739" s="1050"/>
    </row>
    <row r="740" spans="1:7">
      <c r="A740" s="1079"/>
      <c r="B740" s="1050"/>
      <c r="C740" s="1050"/>
      <c r="D740" s="1050"/>
      <c r="E740" s="1050"/>
      <c r="F740" s="1050"/>
      <c r="G740" s="1050"/>
    </row>
    <row r="741" spans="1:7">
      <c r="A741" s="1079"/>
      <c r="B741" s="1050"/>
      <c r="C741" s="1050"/>
      <c r="D741" s="1050"/>
      <c r="E741" s="1050"/>
      <c r="F741" s="1050"/>
      <c r="G741" s="1050"/>
    </row>
    <row r="742" spans="1:7">
      <c r="A742" s="1079"/>
      <c r="B742" s="1050"/>
      <c r="C742" s="1050"/>
      <c r="D742" s="1050"/>
      <c r="E742" s="1050"/>
      <c r="F742" s="1050"/>
      <c r="G742" s="1050"/>
    </row>
    <row r="743" spans="1:7">
      <c r="A743" s="1079"/>
      <c r="B743" s="1050"/>
      <c r="C743" s="1050"/>
      <c r="D743" s="1050"/>
      <c r="E743" s="1050"/>
      <c r="F743" s="1050"/>
      <c r="G743" s="1050"/>
    </row>
    <row r="744" spans="1:7">
      <c r="A744" s="1079"/>
      <c r="B744" s="1050"/>
      <c r="C744" s="1050"/>
      <c r="D744" s="1050"/>
      <c r="E744" s="1050"/>
      <c r="F744" s="1050"/>
      <c r="G744" s="1050"/>
    </row>
    <row r="745" spans="1:7">
      <c r="A745" s="1079"/>
      <c r="B745" s="1050"/>
      <c r="C745" s="1050"/>
      <c r="D745" s="1050"/>
      <c r="E745" s="1050"/>
      <c r="F745" s="1050"/>
      <c r="G745" s="1050"/>
    </row>
    <row r="746" spans="1:7">
      <c r="A746" s="1079"/>
      <c r="B746" s="1050"/>
      <c r="C746" s="1050"/>
      <c r="D746" s="1050"/>
      <c r="E746" s="1050"/>
      <c r="F746" s="1050"/>
      <c r="G746" s="1050"/>
    </row>
    <row r="747" spans="1:7">
      <c r="A747" s="1079"/>
      <c r="B747" s="1050"/>
      <c r="C747" s="1050"/>
      <c r="D747" s="1050"/>
      <c r="E747" s="1050"/>
      <c r="F747" s="1050"/>
      <c r="G747" s="1050"/>
    </row>
    <row r="748" spans="1:7">
      <c r="A748" s="1079"/>
      <c r="B748" s="1050"/>
      <c r="C748" s="1050"/>
      <c r="D748" s="1050"/>
      <c r="E748" s="1050"/>
      <c r="F748" s="1050"/>
      <c r="G748" s="1050"/>
    </row>
    <row r="749" spans="1:7">
      <c r="A749" s="1079"/>
      <c r="B749" s="1050"/>
      <c r="C749" s="1050"/>
      <c r="D749" s="1050"/>
      <c r="E749" s="1050"/>
      <c r="F749" s="1050"/>
      <c r="G749" s="1050"/>
    </row>
    <row r="750" spans="1:7">
      <c r="A750" s="1079"/>
      <c r="B750" s="1050"/>
      <c r="C750" s="1050"/>
      <c r="D750" s="1050"/>
      <c r="E750" s="1050"/>
      <c r="F750" s="1050"/>
      <c r="G750" s="1050"/>
    </row>
    <row r="751" spans="1:7">
      <c r="A751" s="1079"/>
      <c r="B751" s="1050"/>
      <c r="C751" s="1050"/>
      <c r="D751" s="1050"/>
      <c r="E751" s="1050"/>
      <c r="F751" s="1050"/>
      <c r="G751" s="1050"/>
    </row>
    <row r="752" spans="1:7">
      <c r="A752" s="1079"/>
      <c r="B752" s="1050"/>
      <c r="C752" s="1050"/>
      <c r="D752" s="1050"/>
      <c r="E752" s="1050"/>
      <c r="F752" s="1050"/>
      <c r="G752" s="1050"/>
    </row>
    <row r="753" spans="1:7">
      <c r="A753" s="1079"/>
      <c r="B753" s="1050"/>
      <c r="C753" s="1050"/>
      <c r="D753" s="1050"/>
      <c r="E753" s="1050"/>
      <c r="F753" s="1050"/>
      <c r="G753" s="1050"/>
    </row>
    <row r="754" spans="1:7">
      <c r="A754" s="1079"/>
      <c r="B754" s="1050"/>
      <c r="C754" s="1050"/>
      <c r="D754" s="1050"/>
      <c r="E754" s="1050"/>
      <c r="F754" s="1050"/>
      <c r="G754" s="1050"/>
    </row>
    <row r="755" spans="1:7">
      <c r="A755" s="1079"/>
      <c r="B755" s="1050"/>
      <c r="C755" s="1050"/>
      <c r="D755" s="1050"/>
      <c r="E755" s="1050"/>
      <c r="F755" s="1050"/>
      <c r="G755" s="1050"/>
    </row>
    <row r="756" spans="1:7">
      <c r="A756" s="1079"/>
      <c r="B756" s="1050"/>
      <c r="C756" s="1050"/>
      <c r="D756" s="1050"/>
      <c r="E756" s="1050"/>
      <c r="F756" s="1050"/>
      <c r="G756" s="1050"/>
    </row>
    <row r="757" spans="1:7">
      <c r="A757" s="1079"/>
      <c r="B757" s="1050"/>
      <c r="C757" s="1050"/>
      <c r="D757" s="1050"/>
      <c r="E757" s="1050"/>
      <c r="F757" s="1050"/>
      <c r="G757" s="1050"/>
    </row>
    <row r="758" spans="1:7">
      <c r="A758" s="1079"/>
      <c r="B758" s="1050"/>
      <c r="C758" s="1050"/>
      <c r="D758" s="1050"/>
      <c r="E758" s="1050"/>
      <c r="F758" s="1050"/>
      <c r="G758" s="1050"/>
    </row>
    <row r="759" spans="1:7">
      <c r="A759" s="1079"/>
      <c r="B759" s="1050"/>
      <c r="C759" s="1050"/>
      <c r="D759" s="1050"/>
      <c r="E759" s="1050"/>
      <c r="F759" s="1050"/>
      <c r="G759" s="1050"/>
    </row>
    <row r="760" spans="1:7">
      <c r="A760" s="1079"/>
      <c r="B760" s="1050"/>
      <c r="C760" s="1050"/>
      <c r="D760" s="1050"/>
      <c r="E760" s="1050"/>
      <c r="F760" s="1050"/>
      <c r="G760" s="1050"/>
    </row>
    <row r="761" spans="1:7">
      <c r="A761" s="1079"/>
      <c r="B761" s="1050"/>
      <c r="C761" s="1050"/>
      <c r="D761" s="1050"/>
      <c r="E761" s="1050"/>
      <c r="F761" s="1050"/>
      <c r="G761" s="1050"/>
    </row>
    <row r="762" spans="1:7">
      <c r="A762" s="1079"/>
      <c r="B762" s="1050"/>
      <c r="C762" s="1050"/>
      <c r="D762" s="1050"/>
      <c r="E762" s="1050"/>
      <c r="F762" s="1050"/>
      <c r="G762" s="1050"/>
    </row>
    <row r="763" spans="1:7">
      <c r="A763" s="1079"/>
      <c r="B763" s="1050"/>
      <c r="C763" s="1050"/>
      <c r="D763" s="1050"/>
      <c r="E763" s="1050"/>
      <c r="F763" s="1050"/>
      <c r="G763" s="1050"/>
    </row>
    <row r="764" spans="1:7">
      <c r="A764" s="1079"/>
      <c r="B764" s="1050"/>
      <c r="C764" s="1050"/>
      <c r="D764" s="1050"/>
      <c r="E764" s="1050"/>
      <c r="F764" s="1050"/>
      <c r="G764" s="1050"/>
    </row>
    <row r="765" spans="1:7">
      <c r="A765" s="1079"/>
      <c r="B765" s="1050"/>
      <c r="C765" s="1050"/>
      <c r="D765" s="1050"/>
      <c r="E765" s="1050"/>
      <c r="F765" s="1050"/>
      <c r="G765" s="1050"/>
    </row>
    <row r="766" spans="1:7">
      <c r="A766" s="1079"/>
      <c r="B766" s="1050"/>
      <c r="C766" s="1050"/>
      <c r="D766" s="1050"/>
      <c r="E766" s="1050"/>
      <c r="F766" s="1050"/>
      <c r="G766" s="1050"/>
    </row>
    <row r="767" spans="1:7">
      <c r="A767" s="1079"/>
      <c r="B767" s="1050"/>
      <c r="C767" s="1050"/>
      <c r="D767" s="1050"/>
      <c r="E767" s="1050"/>
      <c r="F767" s="1050"/>
      <c r="G767" s="1050"/>
    </row>
    <row r="768" spans="1:7">
      <c r="A768" s="1079"/>
      <c r="B768" s="1050"/>
      <c r="C768" s="1050"/>
      <c r="D768" s="1050"/>
      <c r="E768" s="1050"/>
      <c r="F768" s="1050"/>
      <c r="G768" s="1050"/>
    </row>
    <row r="769" spans="1:7">
      <c r="A769" s="1079"/>
      <c r="B769" s="1050"/>
      <c r="C769" s="1050"/>
      <c r="D769" s="1050"/>
      <c r="E769" s="1050"/>
      <c r="F769" s="1050"/>
      <c r="G769" s="1050"/>
    </row>
    <row r="770" spans="1:7">
      <c r="A770" s="1079"/>
      <c r="B770" s="1050"/>
      <c r="C770" s="1050"/>
      <c r="D770" s="1050"/>
      <c r="E770" s="1050"/>
      <c r="F770" s="1050"/>
      <c r="G770" s="1050"/>
    </row>
    <row r="771" spans="1:7">
      <c r="A771" s="1079"/>
      <c r="B771" s="1050"/>
      <c r="C771" s="1050"/>
      <c r="D771" s="1050"/>
      <c r="E771" s="1050"/>
      <c r="F771" s="1050"/>
      <c r="G771" s="1050"/>
    </row>
    <row r="772" spans="1:7">
      <c r="A772" s="1079"/>
      <c r="B772" s="1050"/>
      <c r="C772" s="1050"/>
      <c r="D772" s="1050"/>
      <c r="E772" s="1050"/>
      <c r="F772" s="1050"/>
      <c r="G772" s="1050"/>
    </row>
    <row r="773" spans="1:7">
      <c r="A773" s="1079"/>
      <c r="B773" s="1050"/>
      <c r="C773" s="1050"/>
      <c r="D773" s="1050"/>
      <c r="E773" s="1050"/>
      <c r="F773" s="1050"/>
      <c r="G773" s="1050"/>
    </row>
    <row r="774" spans="1:7">
      <c r="A774" s="1079"/>
      <c r="B774" s="1050"/>
      <c r="C774" s="1050"/>
      <c r="D774" s="1050"/>
      <c r="E774" s="1050"/>
      <c r="F774" s="1050"/>
      <c r="G774" s="1050"/>
    </row>
    <row r="775" spans="1:7">
      <c r="A775" s="1079"/>
      <c r="B775" s="1050"/>
      <c r="C775" s="1050"/>
      <c r="D775" s="1050"/>
      <c r="E775" s="1050"/>
      <c r="F775" s="1050"/>
      <c r="G775" s="1050"/>
    </row>
    <row r="776" spans="1:7">
      <c r="A776" s="1079"/>
      <c r="B776" s="1050"/>
      <c r="C776" s="1050"/>
      <c r="D776" s="1050"/>
      <c r="E776" s="1050"/>
      <c r="F776" s="1050"/>
      <c r="G776" s="1050"/>
    </row>
    <row r="777" spans="1:7">
      <c r="A777" s="1079"/>
      <c r="B777" s="1050"/>
      <c r="C777" s="1050"/>
      <c r="D777" s="1050"/>
      <c r="E777" s="1050"/>
      <c r="F777" s="1050"/>
      <c r="G777" s="1050"/>
    </row>
    <row r="778" spans="1:7">
      <c r="A778" s="1079"/>
      <c r="B778" s="1050"/>
      <c r="C778" s="1050"/>
      <c r="D778" s="1050"/>
      <c r="E778" s="1050"/>
      <c r="F778" s="1050"/>
      <c r="G778" s="1050"/>
    </row>
    <row r="779" spans="1:7">
      <c r="A779" s="1079"/>
      <c r="B779" s="1050"/>
      <c r="C779" s="1050"/>
      <c r="D779" s="1050"/>
      <c r="E779" s="1050"/>
      <c r="F779" s="1050"/>
      <c r="G779" s="1050"/>
    </row>
    <row r="780" spans="1:7">
      <c r="A780" s="1079"/>
      <c r="B780" s="1050"/>
      <c r="C780" s="1050"/>
      <c r="D780" s="1050"/>
      <c r="E780" s="1050"/>
      <c r="F780" s="1050"/>
      <c r="G780" s="1050"/>
    </row>
    <row r="781" spans="1:7">
      <c r="A781" s="1079"/>
      <c r="B781" s="1050"/>
      <c r="C781" s="1050"/>
      <c r="D781" s="1050"/>
      <c r="E781" s="1050"/>
      <c r="F781" s="1050"/>
      <c r="G781" s="1050"/>
    </row>
    <row r="782" spans="1:7">
      <c r="A782" s="1079"/>
      <c r="B782" s="1050"/>
      <c r="C782" s="1050"/>
      <c r="D782" s="1050"/>
      <c r="E782" s="1050"/>
      <c r="F782" s="1050"/>
      <c r="G782" s="1050"/>
    </row>
    <row r="783" spans="1:7">
      <c r="A783" s="1079"/>
      <c r="B783" s="1050"/>
      <c r="C783" s="1050"/>
      <c r="D783" s="1050"/>
      <c r="E783" s="1050"/>
      <c r="F783" s="1050"/>
      <c r="G783" s="1050"/>
    </row>
    <row r="784" spans="1:7">
      <c r="A784" s="1079"/>
      <c r="B784" s="1050"/>
      <c r="C784" s="1050"/>
      <c r="D784" s="1050"/>
      <c r="E784" s="1050"/>
      <c r="F784" s="1050"/>
      <c r="G784" s="1050"/>
    </row>
    <row r="785" spans="1:7">
      <c r="A785" s="1079"/>
      <c r="B785" s="1050"/>
      <c r="C785" s="1050"/>
      <c r="D785" s="1050"/>
      <c r="E785" s="1050"/>
      <c r="F785" s="1050"/>
      <c r="G785" s="1050"/>
    </row>
    <row r="786" spans="1:7">
      <c r="A786" s="1079"/>
      <c r="B786" s="1050"/>
      <c r="C786" s="1050"/>
      <c r="D786" s="1050"/>
      <c r="E786" s="1050"/>
      <c r="F786" s="1050"/>
      <c r="G786" s="1050"/>
    </row>
    <row r="787" spans="1:7">
      <c r="A787" s="1079"/>
      <c r="B787" s="1050"/>
      <c r="C787" s="1050"/>
      <c r="D787" s="1050"/>
      <c r="E787" s="1050"/>
      <c r="F787" s="1050"/>
      <c r="G787" s="1050"/>
    </row>
    <row r="788" spans="1:7">
      <c r="A788" s="1079"/>
      <c r="B788" s="1050"/>
      <c r="C788" s="1050"/>
      <c r="D788" s="1050"/>
      <c r="E788" s="1050"/>
      <c r="F788" s="1050"/>
      <c r="G788" s="1050"/>
    </row>
    <row r="789" spans="1:7">
      <c r="A789" s="1079"/>
      <c r="B789" s="1050"/>
      <c r="C789" s="1050"/>
      <c r="D789" s="1050"/>
      <c r="E789" s="1050"/>
      <c r="F789" s="1050"/>
      <c r="G789" s="1050"/>
    </row>
    <row r="790" spans="1:7">
      <c r="A790" s="1079"/>
      <c r="B790" s="1050"/>
      <c r="C790" s="1050"/>
      <c r="D790" s="1050"/>
      <c r="E790" s="1050"/>
      <c r="F790" s="1050"/>
      <c r="G790" s="1050"/>
    </row>
    <row r="791" spans="1:7">
      <c r="A791" s="1079"/>
      <c r="B791" s="1050"/>
      <c r="C791" s="1050"/>
      <c r="D791" s="1050"/>
      <c r="E791" s="1050"/>
      <c r="F791" s="1050"/>
      <c r="G791" s="1050"/>
    </row>
    <row r="792" spans="1:7">
      <c r="A792" s="1079"/>
      <c r="B792" s="1050"/>
      <c r="C792" s="1050"/>
      <c r="D792" s="1050"/>
      <c r="E792" s="1050"/>
      <c r="F792" s="1050"/>
      <c r="G792" s="1050"/>
    </row>
    <row r="793" spans="1:7">
      <c r="A793" s="1079"/>
      <c r="B793" s="1050"/>
      <c r="C793" s="1050"/>
      <c r="D793" s="1050"/>
      <c r="E793" s="1050"/>
      <c r="F793" s="1050"/>
      <c r="G793" s="1050"/>
    </row>
    <row r="794" spans="1:7">
      <c r="A794" s="1079"/>
      <c r="B794" s="1050"/>
      <c r="C794" s="1050"/>
      <c r="D794" s="1050"/>
      <c r="E794" s="1050"/>
      <c r="F794" s="1050"/>
      <c r="G794" s="1050"/>
    </row>
    <row r="795" spans="1:7">
      <c r="A795" s="1079"/>
      <c r="B795" s="1050"/>
      <c r="C795" s="1050"/>
      <c r="D795" s="1050"/>
      <c r="E795" s="1050"/>
      <c r="F795" s="1050"/>
      <c r="G795" s="1050"/>
    </row>
    <row r="796" spans="1:7">
      <c r="A796" s="1079"/>
      <c r="B796" s="1050"/>
      <c r="C796" s="1050"/>
      <c r="D796" s="1050"/>
      <c r="E796" s="1050"/>
      <c r="F796" s="1050"/>
      <c r="G796" s="1050"/>
    </row>
    <row r="797" spans="1:7">
      <c r="A797" s="1079"/>
      <c r="B797" s="1050"/>
      <c r="C797" s="1050"/>
      <c r="D797" s="1050"/>
      <c r="E797" s="1050"/>
      <c r="F797" s="1050"/>
      <c r="G797" s="1050"/>
    </row>
    <row r="798" spans="1:7">
      <c r="A798" s="1079"/>
      <c r="B798" s="1050"/>
      <c r="C798" s="1050"/>
      <c r="D798" s="1050"/>
      <c r="E798" s="1050"/>
      <c r="F798" s="1050"/>
      <c r="G798" s="1050"/>
    </row>
    <row r="799" spans="1:7">
      <c r="A799" s="1079"/>
      <c r="B799" s="1050"/>
      <c r="C799" s="1050"/>
      <c r="D799" s="1050"/>
      <c r="E799" s="1050"/>
      <c r="F799" s="1050"/>
      <c r="G799" s="1050"/>
    </row>
    <row r="800" spans="1:7">
      <c r="A800" s="1079"/>
      <c r="B800" s="1050"/>
      <c r="C800" s="1050"/>
      <c r="D800" s="1050"/>
      <c r="E800" s="1050"/>
      <c r="F800" s="1050"/>
      <c r="G800" s="1050"/>
    </row>
    <row r="801" spans="1:7">
      <c r="A801" s="1079"/>
      <c r="B801" s="1050"/>
      <c r="C801" s="1050"/>
      <c r="D801" s="1050"/>
      <c r="E801" s="1050"/>
      <c r="F801" s="1050"/>
      <c r="G801" s="1050"/>
    </row>
    <row r="802" spans="1:7">
      <c r="A802" s="1079"/>
      <c r="B802" s="1050"/>
      <c r="C802" s="1050"/>
      <c r="D802" s="1050"/>
      <c r="E802" s="1050"/>
      <c r="F802" s="1050"/>
      <c r="G802" s="1050"/>
    </row>
    <row r="803" spans="1:7">
      <c r="A803" s="1079"/>
      <c r="B803" s="1050"/>
      <c r="C803" s="1050"/>
      <c r="D803" s="1050"/>
      <c r="E803" s="1050"/>
      <c r="F803" s="1050"/>
      <c r="G803" s="1050"/>
    </row>
    <row r="804" spans="1:7">
      <c r="A804" s="1079"/>
      <c r="B804" s="1050"/>
      <c r="C804" s="1050"/>
      <c r="D804" s="1050"/>
      <c r="E804" s="1050"/>
      <c r="F804" s="1050"/>
      <c r="G804" s="1050"/>
    </row>
    <row r="805" spans="1:7">
      <c r="A805" s="1079"/>
      <c r="B805" s="1050"/>
      <c r="C805" s="1050"/>
      <c r="D805" s="1050"/>
      <c r="E805" s="1050"/>
      <c r="F805" s="1050"/>
      <c r="G805" s="1050"/>
    </row>
    <row r="806" spans="1:7">
      <c r="A806" s="1079"/>
      <c r="B806" s="1050"/>
      <c r="C806" s="1050"/>
      <c r="D806" s="1050"/>
      <c r="E806" s="1050"/>
      <c r="F806" s="1050"/>
      <c r="G806" s="1050"/>
    </row>
    <row r="807" spans="1:7">
      <c r="A807" s="1079"/>
      <c r="B807" s="1050"/>
      <c r="C807" s="1050"/>
      <c r="D807" s="1050"/>
      <c r="E807" s="1050"/>
      <c r="F807" s="1050"/>
      <c r="G807" s="1050"/>
    </row>
    <row r="808" spans="1:7">
      <c r="A808" s="1079"/>
      <c r="B808" s="1050"/>
      <c r="C808" s="1050"/>
      <c r="D808" s="1050"/>
      <c r="E808" s="1050"/>
      <c r="F808" s="1050"/>
      <c r="G808" s="1050"/>
    </row>
    <row r="809" spans="1:7">
      <c r="A809" s="1079"/>
      <c r="B809" s="1050"/>
      <c r="C809" s="1050"/>
      <c r="D809" s="1050"/>
      <c r="E809" s="1050"/>
      <c r="F809" s="1050"/>
      <c r="G809" s="1050"/>
    </row>
    <row r="810" spans="1:7">
      <c r="A810" s="1079"/>
      <c r="B810" s="1050"/>
      <c r="C810" s="1050"/>
      <c r="D810" s="1050"/>
      <c r="E810" s="1050"/>
      <c r="F810" s="1050"/>
      <c r="G810" s="1050"/>
    </row>
    <row r="811" spans="1:7">
      <c r="A811" s="1079"/>
      <c r="B811" s="1050"/>
      <c r="C811" s="1050"/>
      <c r="D811" s="1050"/>
      <c r="E811" s="1050"/>
      <c r="F811" s="1050"/>
      <c r="G811" s="1050"/>
    </row>
    <row r="812" spans="1:7">
      <c r="A812" s="1079"/>
      <c r="B812" s="1050"/>
      <c r="C812" s="1050"/>
      <c r="D812" s="1050"/>
      <c r="E812" s="1050"/>
      <c r="F812" s="1050"/>
      <c r="G812" s="1050"/>
    </row>
    <row r="813" spans="1:7">
      <c r="A813" s="1079"/>
      <c r="B813" s="1050"/>
      <c r="C813" s="1050"/>
      <c r="D813" s="1050"/>
      <c r="E813" s="1050"/>
      <c r="F813" s="1050"/>
      <c r="G813" s="1050"/>
    </row>
    <row r="814" spans="1:7">
      <c r="A814" s="1079"/>
      <c r="B814" s="1050"/>
      <c r="C814" s="1050"/>
      <c r="D814" s="1050"/>
      <c r="E814" s="1050"/>
      <c r="F814" s="1050"/>
      <c r="G814" s="1050"/>
    </row>
    <row r="815" spans="1:7">
      <c r="A815" s="1079"/>
      <c r="B815" s="1050"/>
      <c r="C815" s="1050"/>
      <c r="D815" s="1050"/>
      <c r="E815" s="1050"/>
      <c r="F815" s="1050"/>
      <c r="G815" s="1050"/>
    </row>
    <row r="816" spans="1:7">
      <c r="A816" s="1079"/>
      <c r="B816" s="1050"/>
      <c r="C816" s="1050"/>
      <c r="D816" s="1050"/>
      <c r="E816" s="1050"/>
      <c r="F816" s="1050"/>
      <c r="G816" s="1050"/>
    </row>
    <row r="817" spans="1:7">
      <c r="A817" s="1079"/>
      <c r="B817" s="1050"/>
      <c r="C817" s="1050"/>
      <c r="D817" s="1050"/>
      <c r="E817" s="1050"/>
      <c r="F817" s="1050"/>
      <c r="G817" s="1050"/>
    </row>
    <row r="818" spans="1:7">
      <c r="A818" s="1079"/>
      <c r="B818" s="1050"/>
      <c r="C818" s="1050"/>
      <c r="D818" s="1050"/>
      <c r="E818" s="1050"/>
      <c r="F818" s="1050"/>
      <c r="G818" s="1050"/>
    </row>
    <row r="819" spans="1:7">
      <c r="A819" s="1079"/>
      <c r="B819" s="1050"/>
      <c r="C819" s="1050"/>
      <c r="D819" s="1050"/>
      <c r="E819" s="1050"/>
      <c r="F819" s="1050"/>
      <c r="G819" s="1050"/>
    </row>
    <row r="820" spans="1:7">
      <c r="A820" s="1079"/>
      <c r="B820" s="1050"/>
      <c r="C820" s="1050"/>
      <c r="D820" s="1050"/>
      <c r="E820" s="1050"/>
      <c r="F820" s="1050"/>
      <c r="G820" s="1050"/>
    </row>
    <row r="821" spans="1:7">
      <c r="A821" s="1079"/>
      <c r="B821" s="1050"/>
      <c r="C821" s="1050"/>
      <c r="D821" s="1050"/>
      <c r="E821" s="1050"/>
      <c r="F821" s="1050"/>
      <c r="G821" s="1050"/>
    </row>
    <row r="822" spans="1:7">
      <c r="A822" s="1079"/>
      <c r="B822" s="1050"/>
      <c r="C822" s="1050"/>
      <c r="D822" s="1050"/>
      <c r="E822" s="1050"/>
      <c r="F822" s="1050"/>
      <c r="G822" s="1050"/>
    </row>
    <row r="823" spans="1:7">
      <c r="A823" s="1079"/>
      <c r="B823" s="1050"/>
      <c r="C823" s="1050"/>
      <c r="D823" s="1050"/>
      <c r="E823" s="1050"/>
      <c r="F823" s="1050"/>
      <c r="G823" s="1050"/>
    </row>
    <row r="824" spans="1:7">
      <c r="A824" s="1079"/>
      <c r="B824" s="1050"/>
      <c r="C824" s="1050"/>
      <c r="D824" s="1050"/>
      <c r="E824" s="1050"/>
      <c r="F824" s="1050"/>
      <c r="G824" s="1050"/>
    </row>
    <row r="825" spans="1:7">
      <c r="A825" s="1079"/>
      <c r="B825" s="1050"/>
      <c r="C825" s="1050"/>
      <c r="D825" s="1050"/>
      <c r="E825" s="1050"/>
      <c r="F825" s="1050"/>
      <c r="G825" s="1050"/>
    </row>
    <row r="826" spans="1:7">
      <c r="A826" s="1079"/>
      <c r="B826" s="1050"/>
      <c r="C826" s="1050"/>
      <c r="D826" s="1050"/>
      <c r="E826" s="1050"/>
      <c r="F826" s="1050"/>
      <c r="G826" s="1050"/>
    </row>
    <row r="827" spans="1:7">
      <c r="A827" s="1079"/>
      <c r="B827" s="1050"/>
      <c r="C827" s="1050"/>
      <c r="D827" s="1050"/>
      <c r="E827" s="1050"/>
      <c r="F827" s="1050"/>
      <c r="G827" s="1050"/>
    </row>
    <row r="828" spans="1:7">
      <c r="A828" s="1079"/>
      <c r="B828" s="1050"/>
      <c r="C828" s="1050"/>
      <c r="D828" s="1050"/>
      <c r="E828" s="1050"/>
      <c r="F828" s="1050"/>
      <c r="G828" s="1050"/>
    </row>
    <row r="829" spans="1:7">
      <c r="A829" s="1079"/>
      <c r="B829" s="1050"/>
      <c r="C829" s="1050"/>
      <c r="D829" s="1050"/>
      <c r="E829" s="1050"/>
      <c r="F829" s="1050"/>
      <c r="G829" s="1050"/>
    </row>
    <row r="830" spans="1:7">
      <c r="A830" s="1079"/>
      <c r="B830" s="1050"/>
      <c r="C830" s="1050"/>
      <c r="D830" s="1050"/>
      <c r="E830" s="1050"/>
      <c r="F830" s="1050"/>
      <c r="G830" s="1050"/>
    </row>
    <row r="831" spans="1:7">
      <c r="A831" s="1079"/>
      <c r="B831" s="1050"/>
      <c r="C831" s="1050"/>
      <c r="D831" s="1050"/>
      <c r="E831" s="1050"/>
      <c r="F831" s="1050"/>
      <c r="G831" s="1050"/>
    </row>
    <row r="832" spans="1:7">
      <c r="A832" s="1079"/>
      <c r="B832" s="1050"/>
      <c r="C832" s="1050"/>
      <c r="D832" s="1050"/>
      <c r="E832" s="1050"/>
      <c r="F832" s="1050"/>
      <c r="G832" s="1050"/>
    </row>
    <row r="833" spans="1:7">
      <c r="A833" s="1079"/>
      <c r="B833" s="1050"/>
      <c r="C833" s="1050"/>
      <c r="D833" s="1050"/>
      <c r="E833" s="1050"/>
      <c r="F833" s="1050"/>
      <c r="G833" s="1050"/>
    </row>
    <row r="834" spans="1:7">
      <c r="A834" s="1079"/>
      <c r="B834" s="1050"/>
      <c r="C834" s="1050"/>
      <c r="D834" s="1050"/>
      <c r="E834" s="1050"/>
      <c r="F834" s="1050"/>
      <c r="G834" s="1050"/>
    </row>
    <row r="835" spans="1:7">
      <c r="A835" s="1079"/>
      <c r="B835" s="1050"/>
      <c r="C835" s="1050"/>
      <c r="D835" s="1050"/>
      <c r="E835" s="1050"/>
      <c r="F835" s="1050"/>
      <c r="G835" s="1050"/>
    </row>
    <row r="836" spans="1:7">
      <c r="A836" s="1079"/>
      <c r="B836" s="1050"/>
      <c r="C836" s="1050"/>
      <c r="D836" s="1050"/>
      <c r="E836" s="1050"/>
      <c r="F836" s="1050"/>
      <c r="G836" s="1050"/>
    </row>
    <row r="837" spans="1:7">
      <c r="A837" s="1079"/>
      <c r="B837" s="1050"/>
      <c r="C837" s="1050"/>
      <c r="D837" s="1050"/>
      <c r="E837" s="1050"/>
      <c r="F837" s="1050"/>
      <c r="G837" s="1050"/>
    </row>
    <row r="838" spans="1:7">
      <c r="A838" s="1079"/>
      <c r="B838" s="1050"/>
      <c r="C838" s="1050"/>
      <c r="D838" s="1050"/>
      <c r="E838" s="1050"/>
      <c r="F838" s="1050"/>
      <c r="G838" s="1050"/>
    </row>
    <row r="839" spans="1:7">
      <c r="A839" s="1079"/>
      <c r="B839" s="1050"/>
      <c r="C839" s="1050"/>
      <c r="D839" s="1050"/>
      <c r="E839" s="1050"/>
      <c r="F839" s="1050"/>
      <c r="G839" s="1050"/>
    </row>
    <row r="840" spans="1:7">
      <c r="A840" s="1079"/>
      <c r="B840" s="1050"/>
      <c r="C840" s="1050"/>
      <c r="D840" s="1050"/>
      <c r="E840" s="1050"/>
      <c r="F840" s="1050"/>
      <c r="G840" s="1050"/>
    </row>
    <row r="841" spans="1:7">
      <c r="A841" s="1079"/>
      <c r="B841" s="1050"/>
      <c r="C841" s="1050"/>
      <c r="D841" s="1050"/>
      <c r="E841" s="1050"/>
      <c r="F841" s="1050"/>
      <c r="G841" s="1050"/>
    </row>
    <row r="842" spans="1:7">
      <c r="A842" s="1079"/>
      <c r="B842" s="1050"/>
      <c r="C842" s="1050"/>
      <c r="D842" s="1050"/>
      <c r="E842" s="1050"/>
      <c r="F842" s="1050"/>
      <c r="G842" s="1050"/>
    </row>
    <row r="843" spans="1:7">
      <c r="A843" s="1079"/>
      <c r="B843" s="1050"/>
      <c r="C843" s="1050"/>
      <c r="D843" s="1050"/>
      <c r="E843" s="1050"/>
      <c r="F843" s="1050"/>
      <c r="G843" s="1050"/>
    </row>
    <row r="844" spans="1:7">
      <c r="A844" s="1079"/>
      <c r="B844" s="1050"/>
      <c r="C844" s="1050"/>
      <c r="D844" s="1050"/>
      <c r="E844" s="1050"/>
      <c r="F844" s="1050"/>
      <c r="G844" s="1050"/>
    </row>
    <row r="845" spans="1:7">
      <c r="A845" s="1079"/>
      <c r="B845" s="1050"/>
      <c r="C845" s="1050"/>
      <c r="D845" s="1050"/>
      <c r="E845" s="1050"/>
      <c r="F845" s="1050"/>
      <c r="G845" s="1050"/>
    </row>
    <row r="846" spans="1:7">
      <c r="A846" s="1079"/>
      <c r="B846" s="1050"/>
      <c r="C846" s="1050"/>
      <c r="D846" s="1050"/>
      <c r="E846" s="1050"/>
      <c r="F846" s="1050"/>
      <c r="G846" s="1050"/>
    </row>
    <row r="847" spans="1:7">
      <c r="A847" s="1079"/>
      <c r="B847" s="1050"/>
      <c r="C847" s="1050"/>
      <c r="D847" s="1050"/>
      <c r="E847" s="1050"/>
      <c r="F847" s="1050"/>
      <c r="G847" s="1050"/>
    </row>
    <row r="848" spans="1:7">
      <c r="A848" s="1079"/>
      <c r="B848" s="1050"/>
      <c r="C848" s="1050"/>
      <c r="D848" s="1050"/>
      <c r="E848" s="1050"/>
      <c r="F848" s="1050"/>
      <c r="G848" s="1050"/>
    </row>
    <row r="849" spans="1:7">
      <c r="A849" s="1079"/>
      <c r="B849" s="1050"/>
      <c r="C849" s="1050"/>
      <c r="D849" s="1050"/>
      <c r="E849" s="1050"/>
      <c r="F849" s="1050"/>
      <c r="G849" s="1050"/>
    </row>
    <row r="850" spans="1:7">
      <c r="A850" s="1079"/>
      <c r="B850" s="1050"/>
      <c r="C850" s="1050"/>
      <c r="D850" s="1050"/>
      <c r="E850" s="1050"/>
      <c r="F850" s="1050"/>
      <c r="G850" s="1050"/>
    </row>
    <row r="851" spans="1:7">
      <c r="A851" s="1079"/>
      <c r="B851" s="1050"/>
      <c r="C851" s="1050"/>
      <c r="D851" s="1050"/>
      <c r="E851" s="1050"/>
      <c r="F851" s="1050"/>
      <c r="G851" s="1050"/>
    </row>
    <row r="852" spans="1:7">
      <c r="A852" s="1079"/>
      <c r="B852" s="1050"/>
      <c r="C852" s="1050"/>
      <c r="D852" s="1050"/>
      <c r="E852" s="1050"/>
      <c r="F852" s="1050"/>
      <c r="G852" s="1050"/>
    </row>
    <row r="853" spans="1:7">
      <c r="A853" s="1079"/>
      <c r="B853" s="1050"/>
      <c r="C853" s="1050"/>
      <c r="D853" s="1050"/>
      <c r="E853" s="1050"/>
      <c r="F853" s="1050"/>
      <c r="G853" s="1050"/>
    </row>
    <row r="854" spans="1:7">
      <c r="A854" s="1079"/>
      <c r="B854" s="1050"/>
      <c r="C854" s="1050"/>
      <c r="D854" s="1050"/>
      <c r="E854" s="1050"/>
      <c r="F854" s="1050"/>
      <c r="G854" s="1050"/>
    </row>
    <row r="855" spans="1:7">
      <c r="A855" s="1079"/>
      <c r="B855" s="1050"/>
      <c r="C855" s="1050"/>
      <c r="D855" s="1050"/>
      <c r="E855" s="1050"/>
      <c r="F855" s="1050"/>
      <c r="G855" s="1050"/>
    </row>
    <row r="856" spans="1:7">
      <c r="A856" s="1079"/>
      <c r="B856" s="1050"/>
      <c r="C856" s="1050"/>
      <c r="D856" s="1050"/>
      <c r="E856" s="1050"/>
      <c r="F856" s="1050"/>
      <c r="G856" s="1050"/>
    </row>
    <row r="857" spans="1:7">
      <c r="A857" s="1079"/>
      <c r="B857" s="1050"/>
      <c r="C857" s="1050"/>
      <c r="D857" s="1050"/>
      <c r="E857" s="1050"/>
      <c r="F857" s="1050"/>
      <c r="G857" s="1050"/>
    </row>
    <row r="858" spans="1:7">
      <c r="A858" s="1079"/>
      <c r="B858" s="1050"/>
      <c r="C858" s="1050"/>
      <c r="D858" s="1050"/>
      <c r="E858" s="1050"/>
      <c r="F858" s="1050"/>
      <c r="G858" s="1050"/>
    </row>
    <row r="859" spans="1:7">
      <c r="A859" s="1079"/>
      <c r="B859" s="1050"/>
      <c r="C859" s="1050"/>
      <c r="D859" s="1050"/>
      <c r="E859" s="1050"/>
      <c r="F859" s="1050"/>
      <c r="G859" s="1050"/>
    </row>
    <row r="860" spans="1:7">
      <c r="A860" s="1079"/>
      <c r="B860" s="1050"/>
      <c r="C860" s="1050"/>
      <c r="D860" s="1050"/>
      <c r="E860" s="1050"/>
      <c r="F860" s="1050"/>
      <c r="G860" s="1050"/>
    </row>
    <row r="861" spans="1:7">
      <c r="A861" s="1079"/>
      <c r="B861" s="1050"/>
      <c r="C861" s="1050"/>
      <c r="D861" s="1050"/>
      <c r="E861" s="1050"/>
      <c r="F861" s="1050"/>
      <c r="G861" s="1050"/>
    </row>
    <row r="862" spans="1:7">
      <c r="A862" s="1079"/>
      <c r="B862" s="1050"/>
      <c r="C862" s="1050"/>
      <c r="D862" s="1050"/>
      <c r="E862" s="1050"/>
      <c r="F862" s="1050"/>
      <c r="G862" s="1050"/>
    </row>
    <row r="863" spans="1:7">
      <c r="A863" s="1079"/>
      <c r="B863" s="1050"/>
      <c r="C863" s="1050"/>
      <c r="D863" s="1050"/>
      <c r="E863" s="1050"/>
      <c r="F863" s="1050"/>
      <c r="G863" s="1050"/>
    </row>
    <row r="864" spans="1:7">
      <c r="A864" s="1079"/>
      <c r="B864" s="1050"/>
      <c r="C864" s="1050"/>
      <c r="D864" s="1050"/>
      <c r="E864" s="1050"/>
      <c r="F864" s="1050"/>
      <c r="G864" s="1050"/>
    </row>
    <row r="865" spans="1:7">
      <c r="A865" s="1079"/>
      <c r="B865" s="1050"/>
      <c r="C865" s="1050"/>
      <c r="D865" s="1050"/>
      <c r="E865" s="1050"/>
      <c r="F865" s="1050"/>
      <c r="G865" s="1050"/>
    </row>
    <row r="866" spans="1:7">
      <c r="A866" s="1079"/>
      <c r="B866" s="1050"/>
      <c r="C866" s="1050"/>
      <c r="D866" s="1050"/>
      <c r="E866" s="1050"/>
      <c r="F866" s="1050"/>
      <c r="G866" s="1050"/>
    </row>
    <row r="867" spans="1:7">
      <c r="A867" s="1079"/>
      <c r="B867" s="1050"/>
      <c r="C867" s="1050"/>
      <c r="D867" s="1050"/>
      <c r="E867" s="1050"/>
      <c r="F867" s="1050"/>
      <c r="G867" s="1050"/>
    </row>
    <row r="868" spans="1:7">
      <c r="A868" s="1079"/>
      <c r="B868" s="1050"/>
      <c r="C868" s="1050"/>
      <c r="D868" s="1050"/>
      <c r="E868" s="1050"/>
      <c r="F868" s="1050"/>
      <c r="G868" s="1050"/>
    </row>
    <row r="869" spans="1:7">
      <c r="A869" s="1079"/>
      <c r="B869" s="1050"/>
      <c r="C869" s="1050"/>
      <c r="D869" s="1050"/>
      <c r="E869" s="1050"/>
      <c r="F869" s="1050"/>
      <c r="G869" s="1050"/>
    </row>
    <row r="870" spans="1:7">
      <c r="A870" s="1079"/>
      <c r="B870" s="1050"/>
      <c r="C870" s="1050"/>
      <c r="D870" s="1050"/>
      <c r="E870" s="1050"/>
      <c r="F870" s="1050"/>
      <c r="G870" s="1050"/>
    </row>
    <row r="871" spans="1:7">
      <c r="A871" s="1079"/>
      <c r="B871" s="1050"/>
      <c r="C871" s="1050"/>
      <c r="D871" s="1050"/>
      <c r="E871" s="1050"/>
      <c r="F871" s="1050"/>
      <c r="G871" s="1050"/>
    </row>
    <row r="872" spans="1:7">
      <c r="A872" s="1079"/>
      <c r="B872" s="1050"/>
      <c r="C872" s="1050"/>
      <c r="D872" s="1050"/>
      <c r="E872" s="1050"/>
      <c r="F872" s="1050"/>
      <c r="G872" s="1050"/>
    </row>
    <row r="873" spans="1:7">
      <c r="A873" s="1079"/>
      <c r="B873" s="1050"/>
      <c r="C873" s="1050"/>
      <c r="D873" s="1050"/>
      <c r="E873" s="1050"/>
      <c r="F873" s="1050"/>
      <c r="G873" s="1050"/>
    </row>
    <row r="874" spans="1:7">
      <c r="A874" s="1079"/>
      <c r="B874" s="1050"/>
      <c r="C874" s="1050"/>
      <c r="D874" s="1050"/>
      <c r="E874" s="1050"/>
      <c r="F874" s="1050"/>
      <c r="G874" s="1050"/>
    </row>
    <row r="875" spans="1:7">
      <c r="A875" s="1079"/>
      <c r="B875" s="1050"/>
      <c r="C875" s="1050"/>
      <c r="D875" s="1050"/>
      <c r="E875" s="1050"/>
      <c r="F875" s="1050"/>
      <c r="G875" s="1050"/>
    </row>
    <row r="876" spans="1:7">
      <c r="A876" s="1079"/>
      <c r="B876" s="1050"/>
      <c r="C876" s="1050"/>
      <c r="D876" s="1050"/>
      <c r="E876" s="1050"/>
      <c r="F876" s="1050"/>
      <c r="G876" s="1050"/>
    </row>
    <row r="877" spans="1:7">
      <c r="A877" s="1079"/>
      <c r="B877" s="1050"/>
      <c r="C877" s="1050"/>
      <c r="D877" s="1050"/>
      <c r="E877" s="1050"/>
      <c r="F877" s="1050"/>
      <c r="G877" s="1050"/>
    </row>
    <row r="878" spans="1:7">
      <c r="A878" s="1079"/>
      <c r="B878" s="1050"/>
      <c r="C878" s="1050"/>
      <c r="D878" s="1050"/>
      <c r="E878" s="1050"/>
      <c r="F878" s="1050"/>
      <c r="G878" s="1050"/>
    </row>
    <row r="879" spans="1:7">
      <c r="A879" s="1079"/>
      <c r="B879" s="1050"/>
      <c r="C879" s="1050"/>
      <c r="D879" s="1050"/>
      <c r="E879" s="1050"/>
      <c r="F879" s="1050"/>
      <c r="G879" s="1050"/>
    </row>
    <row r="880" spans="1:7">
      <c r="A880" s="1079"/>
      <c r="B880" s="1050"/>
      <c r="C880" s="1050"/>
      <c r="D880" s="1050"/>
      <c r="E880" s="1050"/>
      <c r="F880" s="1050"/>
      <c r="G880" s="1050"/>
    </row>
    <row r="881" spans="1:7">
      <c r="A881" s="1079"/>
      <c r="B881" s="1050"/>
      <c r="C881" s="1050"/>
      <c r="D881" s="1050"/>
      <c r="E881" s="1050"/>
      <c r="F881" s="1050"/>
      <c r="G881" s="1050"/>
    </row>
    <row r="882" spans="1:7">
      <c r="A882" s="1079"/>
      <c r="B882" s="1050"/>
      <c r="C882" s="1050"/>
      <c r="D882" s="1050"/>
      <c r="E882" s="1050"/>
      <c r="F882" s="1050"/>
      <c r="G882" s="1050"/>
    </row>
    <row r="883" spans="1:7">
      <c r="A883" s="1079"/>
      <c r="B883" s="1050"/>
      <c r="C883" s="1050"/>
      <c r="D883" s="1050"/>
      <c r="E883" s="1050"/>
      <c r="F883" s="1050"/>
      <c r="G883" s="1050"/>
    </row>
    <row r="884" spans="1:7">
      <c r="A884" s="1079"/>
      <c r="B884" s="1050"/>
      <c r="C884" s="1050"/>
      <c r="D884" s="1050"/>
      <c r="E884" s="1050"/>
      <c r="F884" s="1050"/>
      <c r="G884" s="1050"/>
    </row>
    <row r="885" spans="1:7">
      <c r="A885" s="1079"/>
      <c r="B885" s="1050"/>
      <c r="C885" s="1050"/>
      <c r="D885" s="1050"/>
      <c r="E885" s="1050"/>
      <c r="F885" s="1050"/>
      <c r="G885" s="1050"/>
    </row>
    <row r="886" spans="1:7">
      <c r="A886" s="1079"/>
      <c r="B886" s="1050"/>
      <c r="C886" s="1050"/>
      <c r="D886" s="1050"/>
      <c r="E886" s="1050"/>
      <c r="F886" s="1050"/>
      <c r="G886" s="1050"/>
    </row>
    <row r="887" spans="1:7">
      <c r="A887" s="1079"/>
      <c r="B887" s="1050"/>
      <c r="C887" s="1050"/>
      <c r="D887" s="1050"/>
      <c r="E887" s="1050"/>
      <c r="F887" s="1050"/>
      <c r="G887" s="1050"/>
    </row>
    <row r="888" spans="1:7">
      <c r="A888" s="1079"/>
      <c r="B888" s="1050"/>
      <c r="C888" s="1050"/>
      <c r="D888" s="1050"/>
      <c r="E888" s="1050"/>
      <c r="F888" s="1050"/>
      <c r="G888" s="1050"/>
    </row>
    <row r="889" spans="1:7">
      <c r="A889" s="1079"/>
      <c r="B889" s="1050"/>
      <c r="C889" s="1050"/>
      <c r="D889" s="1050"/>
      <c r="E889" s="1050"/>
      <c r="F889" s="1050"/>
      <c r="G889" s="1050"/>
    </row>
    <row r="890" spans="1:7">
      <c r="A890" s="1079"/>
      <c r="B890" s="1050"/>
      <c r="C890" s="1050"/>
      <c r="D890" s="1050"/>
      <c r="E890" s="1050"/>
      <c r="F890" s="1050"/>
      <c r="G890" s="1050"/>
    </row>
    <row r="891" spans="1:7">
      <c r="A891" s="1079"/>
      <c r="B891" s="1050"/>
      <c r="C891" s="1050"/>
      <c r="D891" s="1050"/>
      <c r="E891" s="1050"/>
      <c r="F891" s="1050"/>
      <c r="G891" s="1050"/>
    </row>
    <row r="892" spans="1:7">
      <c r="A892" s="1079"/>
      <c r="B892" s="1050"/>
      <c r="C892" s="1050"/>
      <c r="D892" s="1050"/>
      <c r="E892" s="1050"/>
      <c r="F892" s="1050"/>
      <c r="G892" s="1050"/>
    </row>
    <row r="893" spans="1:7">
      <c r="A893" s="1079"/>
      <c r="B893" s="1050"/>
      <c r="C893" s="1050"/>
      <c r="D893" s="1050"/>
      <c r="E893" s="1050"/>
      <c r="F893" s="1050"/>
      <c r="G893" s="1050"/>
    </row>
    <row r="894" spans="1:7">
      <c r="A894" s="1079"/>
      <c r="B894" s="1050"/>
      <c r="C894" s="1050"/>
      <c r="D894" s="1050"/>
      <c r="E894" s="1050"/>
      <c r="F894" s="1050"/>
      <c r="G894" s="1050"/>
    </row>
    <row r="895" spans="1:7">
      <c r="A895" s="1079"/>
      <c r="B895" s="1050"/>
      <c r="C895" s="1050"/>
      <c r="D895" s="1050"/>
      <c r="E895" s="1050"/>
      <c r="F895" s="1050"/>
      <c r="G895" s="1050"/>
    </row>
    <row r="896" spans="1:7">
      <c r="A896" s="1079"/>
      <c r="B896" s="1050"/>
      <c r="C896" s="1050"/>
      <c r="D896" s="1050"/>
      <c r="E896" s="1050"/>
      <c r="F896" s="1050"/>
      <c r="G896" s="1050"/>
    </row>
    <row r="897" spans="1:7">
      <c r="A897" s="1079"/>
      <c r="B897" s="1050"/>
      <c r="C897" s="1050"/>
      <c r="D897" s="1050"/>
      <c r="E897" s="1050"/>
      <c r="F897" s="1050"/>
      <c r="G897" s="1050"/>
    </row>
    <row r="898" spans="1:7">
      <c r="A898" s="1079"/>
      <c r="B898" s="1050"/>
      <c r="C898" s="1050"/>
      <c r="D898" s="1050"/>
      <c r="E898" s="1050"/>
      <c r="F898" s="1050"/>
      <c r="G898" s="1050"/>
    </row>
    <row r="899" spans="1:7">
      <c r="A899" s="1079"/>
      <c r="B899" s="1050"/>
      <c r="C899" s="1050"/>
      <c r="D899" s="1050"/>
      <c r="E899" s="1050"/>
      <c r="F899" s="1050"/>
      <c r="G899" s="1050"/>
    </row>
    <row r="900" spans="1:7">
      <c r="A900" s="1079"/>
      <c r="B900" s="1050"/>
      <c r="C900" s="1050"/>
      <c r="D900" s="1050"/>
      <c r="E900" s="1050"/>
      <c r="F900" s="1050"/>
      <c r="G900" s="1050"/>
    </row>
    <row r="901" spans="1:7">
      <c r="A901" s="1079"/>
      <c r="B901" s="1050"/>
      <c r="C901" s="1050"/>
      <c r="D901" s="1050"/>
      <c r="E901" s="1050"/>
      <c r="F901" s="1050"/>
      <c r="G901" s="1050"/>
    </row>
    <row r="902" spans="1:7">
      <c r="A902" s="1079"/>
      <c r="B902" s="1050"/>
      <c r="C902" s="1050"/>
      <c r="D902" s="1050"/>
      <c r="E902" s="1050"/>
      <c r="F902" s="1050"/>
      <c r="G902" s="1050"/>
    </row>
    <row r="903" spans="1:7">
      <c r="A903" s="1079"/>
      <c r="B903" s="1050"/>
      <c r="C903" s="1050"/>
      <c r="D903" s="1050"/>
      <c r="E903" s="1050"/>
      <c r="F903" s="1050"/>
      <c r="G903" s="1050"/>
    </row>
    <row r="904" spans="1:7">
      <c r="A904" s="1079"/>
      <c r="B904" s="1050"/>
      <c r="C904" s="1050"/>
      <c r="D904" s="1050"/>
      <c r="E904" s="1050"/>
      <c r="F904" s="1050"/>
      <c r="G904" s="1050"/>
    </row>
    <row r="905" spans="1:7">
      <c r="A905" s="1079"/>
      <c r="B905" s="1050"/>
      <c r="C905" s="1050"/>
      <c r="D905" s="1050"/>
      <c r="E905" s="1050"/>
      <c r="F905" s="1050"/>
      <c r="G905" s="1050"/>
    </row>
    <row r="906" spans="1:7">
      <c r="A906" s="1079"/>
      <c r="B906" s="1050"/>
      <c r="C906" s="1050"/>
      <c r="D906" s="1050"/>
      <c r="E906" s="1050"/>
      <c r="F906" s="1050"/>
      <c r="G906" s="1050"/>
    </row>
    <row r="907" spans="1:7">
      <c r="A907" s="1079"/>
      <c r="B907" s="1050"/>
      <c r="C907" s="1050"/>
      <c r="D907" s="1050"/>
      <c r="E907" s="1050"/>
      <c r="F907" s="1050"/>
      <c r="G907" s="1050"/>
    </row>
    <row r="908" spans="1:7">
      <c r="A908" s="1079"/>
      <c r="B908" s="1050"/>
      <c r="C908" s="1050"/>
      <c r="D908" s="1050"/>
      <c r="E908" s="1050"/>
      <c r="F908" s="1050"/>
      <c r="G908" s="1050"/>
    </row>
    <row r="909" spans="1:7">
      <c r="A909" s="1079"/>
      <c r="B909" s="1050"/>
      <c r="C909" s="1050"/>
      <c r="D909" s="1050"/>
      <c r="E909" s="1050"/>
      <c r="F909" s="1050"/>
      <c r="G909" s="1050"/>
    </row>
    <row r="910" spans="1:7">
      <c r="A910" s="1079"/>
      <c r="B910" s="1050"/>
      <c r="C910" s="1050"/>
      <c r="D910" s="1050"/>
      <c r="E910" s="1050"/>
      <c r="F910" s="1050"/>
      <c r="G910" s="1050"/>
    </row>
    <row r="911" spans="1:7">
      <c r="A911" s="1079"/>
      <c r="B911" s="1050"/>
      <c r="C911" s="1050"/>
      <c r="D911" s="1050"/>
      <c r="E911" s="1050"/>
      <c r="F911" s="1050"/>
      <c r="G911" s="1050"/>
    </row>
    <row r="912" spans="1:7">
      <c r="A912" s="1079"/>
      <c r="B912" s="1050"/>
      <c r="C912" s="1050"/>
      <c r="D912" s="1050"/>
      <c r="E912" s="1050"/>
      <c r="F912" s="1050"/>
      <c r="G912" s="1050"/>
    </row>
    <row r="913" spans="1:7">
      <c r="A913" s="1079"/>
      <c r="B913" s="1050"/>
      <c r="C913" s="1050"/>
      <c r="D913" s="1050"/>
      <c r="E913" s="1050"/>
      <c r="F913" s="1050"/>
      <c r="G913" s="1050"/>
    </row>
    <row r="914" spans="1:7">
      <c r="A914" s="1079"/>
      <c r="B914" s="1050"/>
      <c r="C914" s="1050"/>
      <c r="D914" s="1050"/>
      <c r="E914" s="1050"/>
      <c r="F914" s="1050"/>
      <c r="G914" s="1050"/>
    </row>
    <row r="915" spans="1:7">
      <c r="A915" s="1079"/>
      <c r="B915" s="1050"/>
      <c r="C915" s="1050"/>
      <c r="D915" s="1050"/>
      <c r="E915" s="1050"/>
      <c r="F915" s="1050"/>
      <c r="G915" s="1050"/>
    </row>
    <row r="916" spans="1:7">
      <c r="A916" s="1079"/>
      <c r="B916" s="1050"/>
      <c r="C916" s="1050"/>
      <c r="D916" s="1050"/>
      <c r="E916" s="1050"/>
      <c r="F916" s="1050"/>
      <c r="G916" s="1050"/>
    </row>
    <row r="917" spans="1:7">
      <c r="A917" s="1079"/>
      <c r="B917" s="1050"/>
      <c r="C917" s="1050"/>
      <c r="D917" s="1050"/>
      <c r="E917" s="1050"/>
      <c r="F917" s="1050"/>
      <c r="G917" s="1050"/>
    </row>
    <row r="918" spans="1:7">
      <c r="A918" s="1079"/>
      <c r="B918" s="1050"/>
      <c r="C918" s="1050"/>
      <c r="D918" s="1050"/>
      <c r="E918" s="1050"/>
      <c r="F918" s="1050"/>
      <c r="G918" s="1050"/>
    </row>
    <row r="919" spans="1:7">
      <c r="A919" s="1079"/>
      <c r="B919" s="1050"/>
      <c r="C919" s="1050"/>
      <c r="D919" s="1050"/>
      <c r="E919" s="1050"/>
      <c r="F919" s="1050"/>
      <c r="G919" s="1050"/>
    </row>
    <row r="920" spans="1:7">
      <c r="A920" s="1079"/>
      <c r="B920" s="1050"/>
      <c r="C920" s="1050"/>
      <c r="D920" s="1050"/>
      <c r="E920" s="1050"/>
      <c r="F920" s="1050"/>
      <c r="G920" s="1050"/>
    </row>
    <row r="921" spans="1:7">
      <c r="A921" s="1079"/>
      <c r="B921" s="1050"/>
      <c r="C921" s="1050"/>
      <c r="D921" s="1050"/>
      <c r="E921" s="1050"/>
      <c r="F921" s="1050"/>
      <c r="G921" s="1050"/>
    </row>
    <row r="922" spans="1:7">
      <c r="A922" s="1079"/>
      <c r="B922" s="1050"/>
      <c r="C922" s="1050"/>
      <c r="D922" s="1050"/>
      <c r="E922" s="1050"/>
      <c r="F922" s="1050"/>
      <c r="G922" s="1050"/>
    </row>
    <row r="923" spans="1:7">
      <c r="A923" s="1079"/>
      <c r="B923" s="1050"/>
      <c r="C923" s="1050"/>
      <c r="D923" s="1050"/>
      <c r="E923" s="1050"/>
      <c r="F923" s="1050"/>
      <c r="G923" s="1050"/>
    </row>
    <row r="924" spans="1:7">
      <c r="A924" s="1079"/>
      <c r="B924" s="1050"/>
      <c r="C924" s="1050"/>
      <c r="D924" s="1050"/>
      <c r="E924" s="1050"/>
      <c r="F924" s="1050"/>
      <c r="G924" s="1050"/>
    </row>
    <row r="925" spans="1:7">
      <c r="A925" s="1079"/>
      <c r="B925" s="1050"/>
      <c r="C925" s="1050"/>
      <c r="D925" s="1050"/>
      <c r="E925" s="1050"/>
      <c r="F925" s="1050"/>
      <c r="G925" s="1050"/>
    </row>
    <row r="926" spans="1:7">
      <c r="A926" s="1079"/>
      <c r="B926" s="1050"/>
      <c r="C926" s="1050"/>
      <c r="D926" s="1050"/>
      <c r="E926" s="1050"/>
      <c r="F926" s="1050"/>
      <c r="G926" s="1050"/>
    </row>
    <row r="927" spans="1:7">
      <c r="A927" s="1079"/>
      <c r="B927" s="1050"/>
      <c r="C927" s="1050"/>
      <c r="D927" s="1050"/>
      <c r="E927" s="1050"/>
      <c r="F927" s="1050"/>
      <c r="G927" s="1050"/>
    </row>
    <row r="928" spans="1:7">
      <c r="A928" s="1079"/>
      <c r="B928" s="1050"/>
      <c r="C928" s="1050"/>
      <c r="D928" s="1050"/>
      <c r="E928" s="1050"/>
      <c r="F928" s="1050"/>
      <c r="G928" s="1050"/>
    </row>
    <row r="929" spans="1:7">
      <c r="A929" s="1079"/>
      <c r="B929" s="1050"/>
      <c r="C929" s="1050"/>
      <c r="D929" s="1050"/>
      <c r="E929" s="1050"/>
      <c r="F929" s="1050"/>
      <c r="G929" s="1050"/>
    </row>
    <row r="930" spans="1:7">
      <c r="A930" s="1079"/>
      <c r="B930" s="1050"/>
      <c r="C930" s="1050"/>
      <c r="D930" s="1050"/>
      <c r="E930" s="1050"/>
      <c r="F930" s="1050"/>
      <c r="G930" s="1050"/>
    </row>
    <row r="931" spans="1:7">
      <c r="A931" s="1079"/>
      <c r="B931" s="1050"/>
      <c r="C931" s="1050"/>
      <c r="D931" s="1050"/>
      <c r="E931" s="1050"/>
      <c r="F931" s="1050"/>
      <c r="G931" s="1050"/>
    </row>
    <row r="932" spans="1:7">
      <c r="A932" s="1079"/>
      <c r="B932" s="1050"/>
      <c r="C932" s="1050"/>
      <c r="D932" s="1050"/>
      <c r="E932" s="1050"/>
      <c r="F932" s="1050"/>
      <c r="G932" s="1050"/>
    </row>
    <row r="933" spans="1:7">
      <c r="A933" s="1079"/>
      <c r="B933" s="1050"/>
      <c r="C933" s="1050"/>
      <c r="D933" s="1050"/>
      <c r="E933" s="1050"/>
      <c r="F933" s="1050"/>
      <c r="G933" s="1050"/>
    </row>
    <row r="934" spans="1:7">
      <c r="A934" s="1079"/>
      <c r="B934" s="1050"/>
      <c r="C934" s="1050"/>
      <c r="D934" s="1050"/>
      <c r="E934" s="1050"/>
      <c r="F934" s="1050"/>
      <c r="G934" s="1050"/>
    </row>
    <row r="935" spans="1:7">
      <c r="A935" s="1079"/>
      <c r="B935" s="1050"/>
      <c r="C935" s="1050"/>
      <c r="D935" s="1050"/>
      <c r="E935" s="1050"/>
      <c r="F935" s="1050"/>
      <c r="G935" s="1050"/>
    </row>
    <row r="936" spans="1:7">
      <c r="A936" s="1079"/>
      <c r="B936" s="1050"/>
      <c r="C936" s="1050"/>
      <c r="D936" s="1050"/>
      <c r="E936" s="1050"/>
      <c r="F936" s="1050"/>
      <c r="G936" s="1050"/>
    </row>
    <row r="937" spans="1:7">
      <c r="A937" s="1079"/>
      <c r="B937" s="1050"/>
      <c r="C937" s="1050"/>
      <c r="D937" s="1050"/>
      <c r="E937" s="1050"/>
      <c r="F937" s="1050"/>
      <c r="G937" s="1050"/>
    </row>
    <row r="938" spans="1:7">
      <c r="A938" s="1079"/>
      <c r="B938" s="1050"/>
      <c r="C938" s="1050"/>
      <c r="D938" s="1050"/>
      <c r="E938" s="1050"/>
      <c r="F938" s="1050"/>
      <c r="G938" s="1050"/>
    </row>
    <row r="939" spans="1:7">
      <c r="A939" s="1079"/>
      <c r="B939" s="1050"/>
      <c r="C939" s="1050"/>
      <c r="D939" s="1050"/>
      <c r="E939" s="1050"/>
      <c r="F939" s="1050"/>
      <c r="G939" s="1050"/>
    </row>
    <row r="940" spans="1:7">
      <c r="A940" s="1079"/>
      <c r="B940" s="1050"/>
      <c r="C940" s="1050"/>
      <c r="D940" s="1050"/>
      <c r="E940" s="1050"/>
      <c r="F940" s="1050"/>
      <c r="G940" s="1050"/>
    </row>
    <row r="941" spans="1:7">
      <c r="A941" s="1079"/>
      <c r="B941" s="1050"/>
      <c r="C941" s="1050"/>
      <c r="D941" s="1050"/>
      <c r="E941" s="1050"/>
      <c r="F941" s="1050"/>
      <c r="G941" s="1050"/>
    </row>
    <row r="942" spans="1:7">
      <c r="A942" s="1079"/>
      <c r="B942" s="1050"/>
      <c r="C942" s="1050"/>
      <c r="D942" s="1050"/>
      <c r="E942" s="1050"/>
      <c r="F942" s="1050"/>
      <c r="G942" s="1050"/>
    </row>
    <row r="943" spans="1:7">
      <c r="A943" s="1079"/>
      <c r="B943" s="1050"/>
      <c r="C943" s="1050"/>
      <c r="D943" s="1050"/>
      <c r="E943" s="1050"/>
      <c r="F943" s="1050"/>
      <c r="G943" s="1050"/>
    </row>
    <row r="944" spans="1:7">
      <c r="A944" s="1079"/>
      <c r="B944" s="1050"/>
      <c r="C944" s="1050"/>
      <c r="D944" s="1050"/>
      <c r="E944" s="1050"/>
      <c r="F944" s="1050"/>
      <c r="G944" s="1050"/>
    </row>
    <row r="945" spans="1:7">
      <c r="A945" s="1079"/>
      <c r="B945" s="1050"/>
      <c r="C945" s="1050"/>
      <c r="D945" s="1050"/>
      <c r="E945" s="1050"/>
      <c r="F945" s="1050"/>
      <c r="G945" s="1050"/>
    </row>
    <row r="946" spans="1:7">
      <c r="A946" s="1079"/>
      <c r="B946" s="1050"/>
      <c r="C946" s="1050"/>
      <c r="D946" s="1050"/>
      <c r="E946" s="1050"/>
      <c r="F946" s="1050"/>
      <c r="G946" s="1050"/>
    </row>
    <row r="947" spans="1:7">
      <c r="A947" s="1079"/>
      <c r="B947" s="1050"/>
      <c r="C947" s="1050"/>
      <c r="D947" s="1050"/>
      <c r="E947" s="1050"/>
      <c r="F947" s="1050"/>
      <c r="G947" s="1050"/>
    </row>
    <row r="948" spans="1:7">
      <c r="A948" s="1079"/>
      <c r="B948" s="1050"/>
      <c r="C948" s="1050"/>
      <c r="D948" s="1050"/>
      <c r="E948" s="1050"/>
      <c r="F948" s="1050"/>
      <c r="G948" s="1050"/>
    </row>
    <row r="949" spans="1:7">
      <c r="A949" s="1079"/>
      <c r="B949" s="1050"/>
      <c r="C949" s="1050"/>
      <c r="D949" s="1050"/>
      <c r="E949" s="1050"/>
      <c r="F949" s="1050"/>
      <c r="G949" s="1050"/>
    </row>
    <row r="950" spans="1:7">
      <c r="A950" s="1079"/>
      <c r="B950" s="1050"/>
      <c r="C950" s="1050"/>
      <c r="D950" s="1050"/>
      <c r="E950" s="1050"/>
      <c r="F950" s="1050"/>
      <c r="G950" s="1050"/>
    </row>
    <row r="951" spans="1:7">
      <c r="A951" s="1079"/>
      <c r="B951" s="1050"/>
      <c r="C951" s="1050"/>
      <c r="D951" s="1050"/>
      <c r="E951" s="1050"/>
      <c r="F951" s="1050"/>
      <c r="G951" s="1050"/>
    </row>
    <row r="952" spans="1:7">
      <c r="A952" s="1079"/>
      <c r="B952" s="1050"/>
      <c r="C952" s="1050"/>
      <c r="D952" s="1050"/>
      <c r="E952" s="1050"/>
      <c r="F952" s="1050"/>
      <c r="G952" s="1050"/>
    </row>
    <row r="953" spans="1:7">
      <c r="A953" s="1079"/>
      <c r="B953" s="1050"/>
      <c r="C953" s="1050"/>
      <c r="D953" s="1050"/>
      <c r="E953" s="1050"/>
      <c r="F953" s="1050"/>
      <c r="G953" s="1050"/>
    </row>
    <row r="954" spans="1:7">
      <c r="A954" s="1079"/>
      <c r="B954" s="1050"/>
      <c r="C954" s="1050"/>
      <c r="D954" s="1050"/>
      <c r="E954" s="1050"/>
      <c r="F954" s="1050"/>
      <c r="G954" s="1050"/>
    </row>
    <row r="955" spans="1:7">
      <c r="A955" s="1079"/>
      <c r="B955" s="1050"/>
      <c r="C955" s="1050"/>
      <c r="D955" s="1050"/>
      <c r="E955" s="1050"/>
      <c r="F955" s="1050"/>
      <c r="G955" s="1050"/>
    </row>
    <row r="956" spans="1:7">
      <c r="A956" s="1079"/>
      <c r="B956" s="1050"/>
      <c r="C956" s="1050"/>
      <c r="D956" s="1050"/>
      <c r="E956" s="1050"/>
      <c r="F956" s="1050"/>
      <c r="G956" s="1050"/>
    </row>
    <row r="957" spans="1:7">
      <c r="A957" s="1079"/>
      <c r="B957" s="1050"/>
      <c r="C957" s="1050"/>
      <c r="D957" s="1050"/>
      <c r="E957" s="1050"/>
      <c r="F957" s="1050"/>
      <c r="G957" s="1050"/>
    </row>
    <row r="958" spans="1:7">
      <c r="A958" s="1079"/>
      <c r="B958" s="1050"/>
      <c r="C958" s="1050"/>
      <c r="D958" s="1050"/>
      <c r="E958" s="1050"/>
      <c r="F958" s="1050"/>
      <c r="G958" s="1050"/>
    </row>
    <row r="959" spans="1:7">
      <c r="A959" s="1079"/>
      <c r="B959" s="1050"/>
      <c r="C959" s="1050"/>
      <c r="D959" s="1050"/>
      <c r="E959" s="1050"/>
      <c r="F959" s="1050"/>
      <c r="G959" s="1050"/>
    </row>
    <row r="960" spans="1:7">
      <c r="A960" s="1079"/>
      <c r="B960" s="1050"/>
      <c r="C960" s="1050"/>
      <c r="D960" s="1050"/>
      <c r="E960" s="1050"/>
      <c r="F960" s="1050"/>
      <c r="G960" s="1050"/>
    </row>
    <row r="961" spans="1:7">
      <c r="A961" s="1079"/>
      <c r="B961" s="1050"/>
      <c r="C961" s="1050"/>
      <c r="D961" s="1050"/>
      <c r="E961" s="1050"/>
      <c r="F961" s="1050"/>
      <c r="G961" s="1050"/>
    </row>
    <row r="962" spans="1:7">
      <c r="A962" s="1079"/>
      <c r="B962" s="1050"/>
      <c r="C962" s="1050"/>
      <c r="D962" s="1050"/>
      <c r="E962" s="1050"/>
      <c r="F962" s="1050"/>
      <c r="G962" s="1050"/>
    </row>
    <row r="963" spans="1:7">
      <c r="A963" s="1079"/>
      <c r="B963" s="1050"/>
      <c r="C963" s="1050"/>
      <c r="D963" s="1050"/>
      <c r="E963" s="1050"/>
      <c r="F963" s="1050"/>
      <c r="G963" s="1050"/>
    </row>
    <row r="964" spans="1:7">
      <c r="A964" s="1079"/>
      <c r="B964" s="1050"/>
      <c r="C964" s="1050"/>
      <c r="D964" s="1050"/>
      <c r="E964" s="1050"/>
      <c r="F964" s="1050"/>
      <c r="G964" s="1050"/>
    </row>
    <row r="965" spans="1:7">
      <c r="A965" s="1079"/>
      <c r="B965" s="1050"/>
      <c r="C965" s="1050"/>
      <c r="D965" s="1050"/>
      <c r="E965" s="1050"/>
      <c r="F965" s="1050"/>
      <c r="G965" s="1050"/>
    </row>
    <row r="966" spans="1:7">
      <c r="A966" s="1079"/>
      <c r="B966" s="1050"/>
      <c r="C966" s="1050"/>
      <c r="D966" s="1050"/>
      <c r="E966" s="1050"/>
      <c r="F966" s="1050"/>
      <c r="G966" s="1050"/>
    </row>
    <row r="967" spans="1:7">
      <c r="A967" s="1079"/>
      <c r="B967" s="1050"/>
      <c r="C967" s="1050"/>
      <c r="D967" s="1050"/>
      <c r="E967" s="1050"/>
      <c r="F967" s="1050"/>
      <c r="G967" s="1050"/>
    </row>
    <row r="968" spans="1:7">
      <c r="A968" s="1079"/>
      <c r="B968" s="1050"/>
      <c r="C968" s="1050"/>
      <c r="D968" s="1050"/>
      <c r="E968" s="1050"/>
      <c r="F968" s="1050"/>
      <c r="G968" s="1050"/>
    </row>
    <row r="969" spans="1:7">
      <c r="A969" s="1079"/>
      <c r="B969" s="1050"/>
      <c r="C969" s="1050"/>
      <c r="D969" s="1050"/>
      <c r="E969" s="1050"/>
      <c r="F969" s="1050"/>
      <c r="G969" s="1050"/>
    </row>
    <row r="970" spans="1:7">
      <c r="A970" s="1079"/>
      <c r="B970" s="1050"/>
      <c r="C970" s="1050"/>
      <c r="D970" s="1050"/>
      <c r="E970" s="1050"/>
      <c r="F970" s="1050"/>
      <c r="G970" s="1050"/>
    </row>
    <row r="971" spans="1:7">
      <c r="A971" s="1079"/>
      <c r="B971" s="1050"/>
      <c r="C971" s="1050"/>
      <c r="D971" s="1050"/>
      <c r="E971" s="1050"/>
      <c r="F971" s="1050"/>
      <c r="G971" s="1050"/>
    </row>
    <row r="972" spans="1:7">
      <c r="A972" s="1079"/>
      <c r="B972" s="1050"/>
      <c r="C972" s="1050"/>
      <c r="D972" s="1050"/>
      <c r="E972" s="1050"/>
      <c r="F972" s="1050"/>
      <c r="G972" s="1050"/>
    </row>
    <row r="973" spans="1:7">
      <c r="A973" s="1079"/>
      <c r="B973" s="1050"/>
      <c r="C973" s="1050"/>
      <c r="D973" s="1050"/>
      <c r="E973" s="1050"/>
      <c r="F973" s="1050"/>
      <c r="G973" s="1050"/>
    </row>
    <row r="974" spans="1:7">
      <c r="A974" s="1079"/>
      <c r="B974" s="1050"/>
      <c r="C974" s="1050"/>
      <c r="D974" s="1050"/>
      <c r="E974" s="1050"/>
      <c r="F974" s="1050"/>
      <c r="G974" s="1050"/>
    </row>
    <row r="975" spans="1:7">
      <c r="A975" s="1079"/>
      <c r="B975" s="1050"/>
      <c r="C975" s="1050"/>
      <c r="D975" s="1050"/>
      <c r="E975" s="1050"/>
      <c r="F975" s="1050"/>
      <c r="G975" s="1050"/>
    </row>
    <row r="976" spans="1:7">
      <c r="A976" s="1079"/>
      <c r="B976" s="1050"/>
      <c r="C976" s="1050"/>
      <c r="D976" s="1050"/>
      <c r="E976" s="1050"/>
      <c r="F976" s="1050"/>
      <c r="G976" s="1050"/>
    </row>
    <row r="977" spans="1:7">
      <c r="A977" s="1079"/>
      <c r="B977" s="1050"/>
      <c r="C977" s="1050"/>
      <c r="D977" s="1050"/>
      <c r="E977" s="1050"/>
      <c r="F977" s="1050"/>
      <c r="G977" s="1050"/>
    </row>
    <row r="978" spans="1:7">
      <c r="A978" s="1079"/>
      <c r="B978" s="1050"/>
      <c r="C978" s="1050"/>
      <c r="D978" s="1050"/>
      <c r="E978" s="1050"/>
      <c r="F978" s="1050"/>
      <c r="G978" s="1050"/>
    </row>
    <row r="979" spans="1:7">
      <c r="A979" s="1079"/>
      <c r="B979" s="1050"/>
      <c r="C979" s="1050"/>
      <c r="D979" s="1050"/>
      <c r="E979" s="1050"/>
      <c r="F979" s="1050"/>
      <c r="G979" s="1050"/>
    </row>
    <row r="980" spans="1:7">
      <c r="A980" s="1079"/>
      <c r="B980" s="1050"/>
      <c r="C980" s="1050"/>
      <c r="D980" s="1050"/>
      <c r="E980" s="1050"/>
      <c r="F980" s="1050"/>
      <c r="G980" s="1050"/>
    </row>
    <row r="981" spans="1:7">
      <c r="A981" s="1079"/>
      <c r="B981" s="1050"/>
      <c r="C981" s="1050"/>
      <c r="D981" s="1050"/>
      <c r="E981" s="1050"/>
      <c r="F981" s="1050"/>
      <c r="G981" s="1050"/>
    </row>
    <row r="982" spans="1:7">
      <c r="A982" s="1079"/>
      <c r="B982" s="1050"/>
      <c r="C982" s="1050"/>
      <c r="D982" s="1050"/>
      <c r="E982" s="1050"/>
      <c r="F982" s="1050"/>
      <c r="G982" s="1050"/>
    </row>
    <row r="983" spans="1:7">
      <c r="A983" s="1079"/>
      <c r="B983" s="1050"/>
      <c r="C983" s="1050"/>
      <c r="D983" s="1050"/>
      <c r="E983" s="1050"/>
      <c r="F983" s="1050"/>
      <c r="G983" s="1050"/>
    </row>
    <row r="984" spans="1:7">
      <c r="A984" s="1079"/>
      <c r="B984" s="1050"/>
      <c r="C984" s="1050"/>
      <c r="D984" s="1050"/>
      <c r="E984" s="1050"/>
      <c r="F984" s="1050"/>
      <c r="G984" s="1050"/>
    </row>
    <row r="985" spans="1:7">
      <c r="A985" s="1079"/>
      <c r="B985" s="1050"/>
      <c r="C985" s="1050"/>
      <c r="D985" s="1050"/>
      <c r="E985" s="1050"/>
      <c r="F985" s="1050"/>
      <c r="G985" s="1050"/>
    </row>
    <row r="986" spans="1:7">
      <c r="A986" s="1079"/>
      <c r="B986" s="1050"/>
      <c r="C986" s="1050"/>
      <c r="D986" s="1050"/>
      <c r="E986" s="1050"/>
      <c r="F986" s="1050"/>
      <c r="G986" s="1050"/>
    </row>
    <row r="987" spans="1:7">
      <c r="A987" s="1079"/>
      <c r="B987" s="1050"/>
      <c r="C987" s="1050"/>
      <c r="D987" s="1050"/>
      <c r="E987" s="1050"/>
      <c r="F987" s="1050"/>
      <c r="G987" s="1050"/>
    </row>
    <row r="988" spans="1:7">
      <c r="A988" s="1079"/>
      <c r="B988" s="1050"/>
      <c r="C988" s="1050"/>
      <c r="D988" s="1050"/>
      <c r="E988" s="1050"/>
      <c r="F988" s="1050"/>
      <c r="G988" s="1050"/>
    </row>
    <row r="989" spans="1:7">
      <c r="A989" s="1079"/>
      <c r="B989" s="1050"/>
      <c r="C989" s="1050"/>
      <c r="D989" s="1050"/>
      <c r="E989" s="1050"/>
      <c r="F989" s="1050"/>
      <c r="G989" s="1050"/>
    </row>
    <row r="990" spans="1:7">
      <c r="A990" s="1079"/>
      <c r="B990" s="1050"/>
      <c r="C990" s="1050"/>
      <c r="D990" s="1050"/>
      <c r="E990" s="1050"/>
      <c r="F990" s="1050"/>
      <c r="G990" s="1050"/>
    </row>
    <row r="991" spans="1:7">
      <c r="A991" s="1079"/>
      <c r="B991" s="1050"/>
      <c r="C991" s="1050"/>
      <c r="D991" s="1050"/>
      <c r="E991" s="1050"/>
      <c r="F991" s="1050"/>
      <c r="G991" s="1050"/>
    </row>
    <row r="992" spans="1:7">
      <c r="A992" s="1079"/>
      <c r="B992" s="1050"/>
      <c r="C992" s="1050"/>
      <c r="D992" s="1050"/>
      <c r="E992" s="1050"/>
      <c r="F992" s="1050"/>
      <c r="G992" s="1050"/>
    </row>
    <row r="993" spans="1:7">
      <c r="A993" s="1079"/>
      <c r="B993" s="1050"/>
      <c r="C993" s="1050"/>
      <c r="D993" s="1050"/>
      <c r="E993" s="1050"/>
      <c r="F993" s="1050"/>
      <c r="G993" s="1050"/>
    </row>
    <row r="994" spans="1:7">
      <c r="A994" s="1079"/>
      <c r="B994" s="1050"/>
      <c r="C994" s="1050"/>
      <c r="D994" s="1050"/>
      <c r="E994" s="1050"/>
      <c r="F994" s="1050"/>
      <c r="G994" s="1050"/>
    </row>
    <row r="995" spans="1:7">
      <c r="A995" s="1079"/>
      <c r="B995" s="1050"/>
      <c r="C995" s="1050"/>
      <c r="D995" s="1050"/>
      <c r="E995" s="1050"/>
      <c r="F995" s="1050"/>
      <c r="G995" s="1050"/>
    </row>
    <row r="996" spans="1:7">
      <c r="A996" s="1079"/>
      <c r="B996" s="1050"/>
      <c r="C996" s="1050"/>
      <c r="D996" s="1050"/>
      <c r="E996" s="1050"/>
      <c r="F996" s="1050"/>
      <c r="G996" s="1050"/>
    </row>
    <row r="997" spans="1:7">
      <c r="A997" s="1079"/>
      <c r="B997" s="1050"/>
      <c r="C997" s="1050"/>
      <c r="D997" s="1050"/>
      <c r="E997" s="1050"/>
      <c r="F997" s="1050"/>
      <c r="G997" s="1050"/>
    </row>
    <row r="998" spans="1:7">
      <c r="A998" s="1079"/>
      <c r="B998" s="1050"/>
      <c r="C998" s="1050"/>
      <c r="D998" s="1050"/>
      <c r="E998" s="1050"/>
      <c r="F998" s="1050"/>
      <c r="G998" s="1050"/>
    </row>
    <row r="999" spans="1:7">
      <c r="A999" s="1079"/>
      <c r="B999" s="1050"/>
      <c r="C999" s="1050"/>
      <c r="D999" s="1050"/>
      <c r="E999" s="1050"/>
      <c r="F999" s="1050"/>
      <c r="G999" s="1050"/>
    </row>
    <row r="1000" spans="1:7">
      <c r="A1000" s="1079"/>
      <c r="B1000" s="1050"/>
      <c r="C1000" s="1050"/>
      <c r="D1000" s="1050"/>
      <c r="E1000" s="1050"/>
      <c r="F1000" s="1050"/>
      <c r="G1000" s="1050"/>
    </row>
    <row r="1001" spans="1:7">
      <c r="A1001" s="1079"/>
      <c r="B1001" s="1050"/>
      <c r="C1001" s="1050"/>
      <c r="D1001" s="1050"/>
      <c r="E1001" s="1050"/>
      <c r="F1001" s="1050"/>
      <c r="G1001" s="1050"/>
    </row>
    <row r="1002" spans="1:7">
      <c r="A1002" s="1079"/>
      <c r="B1002" s="1050"/>
      <c r="C1002" s="1050"/>
      <c r="D1002" s="1050"/>
      <c r="E1002" s="1050"/>
      <c r="F1002" s="1050"/>
      <c r="G1002" s="1050"/>
    </row>
    <row r="1003" spans="1:7">
      <c r="A1003" s="1079"/>
      <c r="B1003" s="1050"/>
      <c r="C1003" s="1050"/>
      <c r="D1003" s="1050"/>
      <c r="E1003" s="1050"/>
      <c r="F1003" s="1050"/>
      <c r="G1003" s="1050"/>
    </row>
    <row r="1004" spans="1:7">
      <c r="A1004" s="1079"/>
      <c r="B1004" s="1050"/>
      <c r="C1004" s="1050"/>
      <c r="D1004" s="1050"/>
      <c r="E1004" s="1050"/>
      <c r="F1004" s="1050"/>
      <c r="G1004" s="1050"/>
    </row>
    <row r="1005" spans="1:7">
      <c r="A1005" s="1079"/>
      <c r="B1005" s="1050"/>
      <c r="C1005" s="1050"/>
      <c r="D1005" s="1050"/>
      <c r="E1005" s="1050"/>
      <c r="F1005" s="1050"/>
      <c r="G1005" s="1050"/>
    </row>
    <row r="1006" spans="1:7">
      <c r="A1006" s="1079"/>
      <c r="B1006" s="1050"/>
      <c r="C1006" s="1050"/>
      <c r="D1006" s="1050"/>
      <c r="E1006" s="1050"/>
      <c r="F1006" s="1050"/>
      <c r="G1006" s="1050"/>
    </row>
    <row r="1007" spans="1:7">
      <c r="A1007" s="1079"/>
      <c r="B1007" s="1050"/>
      <c r="C1007" s="1050"/>
      <c r="D1007" s="1050"/>
      <c r="E1007" s="1050"/>
      <c r="F1007" s="1050"/>
      <c r="G1007" s="1050"/>
    </row>
    <row r="1008" spans="1:7">
      <c r="A1008" s="1079"/>
      <c r="B1008" s="1050"/>
      <c r="C1008" s="1050"/>
      <c r="D1008" s="1050"/>
      <c r="E1008" s="1050"/>
      <c r="F1008" s="1050"/>
      <c r="G1008" s="1050"/>
    </row>
    <row r="1009" spans="1:7">
      <c r="A1009" s="1079"/>
      <c r="B1009" s="1050"/>
      <c r="C1009" s="1050"/>
      <c r="D1009" s="1050"/>
      <c r="E1009" s="1050"/>
      <c r="F1009" s="1050"/>
      <c r="G1009" s="1050"/>
    </row>
    <row r="1010" spans="1:7">
      <c r="A1010" s="1079"/>
      <c r="B1010" s="1050"/>
      <c r="C1010" s="1050"/>
      <c r="D1010" s="1050"/>
      <c r="E1010" s="1050"/>
      <c r="F1010" s="1050"/>
      <c r="G1010" s="1050"/>
    </row>
    <row r="1011" spans="1:7">
      <c r="A1011" s="1079"/>
      <c r="B1011" s="1050"/>
      <c r="C1011" s="1050"/>
      <c r="D1011" s="1050"/>
      <c r="E1011" s="1050"/>
      <c r="F1011" s="1050"/>
      <c r="G1011" s="1050"/>
    </row>
    <row r="1012" spans="1:7">
      <c r="A1012" s="1079"/>
      <c r="B1012" s="1050"/>
      <c r="C1012" s="1050"/>
      <c r="D1012" s="1050"/>
      <c r="E1012" s="1050"/>
      <c r="F1012" s="1050"/>
      <c r="G1012" s="1050"/>
    </row>
    <row r="1013" spans="1:7">
      <c r="A1013" s="1079"/>
      <c r="B1013" s="1050"/>
      <c r="C1013" s="1050"/>
      <c r="D1013" s="1050"/>
      <c r="E1013" s="1050"/>
      <c r="F1013" s="1050"/>
      <c r="G1013" s="1050"/>
    </row>
    <row r="1014" spans="1:7">
      <c r="A1014" s="1079"/>
      <c r="B1014" s="1050"/>
      <c r="C1014" s="1050"/>
      <c r="D1014" s="1050"/>
      <c r="E1014" s="1050"/>
      <c r="F1014" s="1050"/>
      <c r="G1014" s="1050"/>
    </row>
    <row r="1015" spans="1:7">
      <c r="A1015" s="1079"/>
      <c r="B1015" s="1050"/>
      <c r="C1015" s="1050"/>
      <c r="D1015" s="1050"/>
      <c r="E1015" s="1050"/>
      <c r="F1015" s="1050"/>
      <c r="G1015" s="1050"/>
    </row>
    <row r="1016" spans="1:7">
      <c r="A1016" s="1079"/>
      <c r="B1016" s="1050"/>
      <c r="C1016" s="1050"/>
      <c r="D1016" s="1050"/>
      <c r="E1016" s="1050"/>
      <c r="F1016" s="1050"/>
      <c r="G1016" s="1050"/>
    </row>
    <row r="1017" spans="1:7">
      <c r="A1017" s="1079"/>
      <c r="B1017" s="1050"/>
      <c r="C1017" s="1050"/>
      <c r="D1017" s="1050"/>
      <c r="E1017" s="1050"/>
      <c r="F1017" s="1050"/>
      <c r="G1017" s="1050"/>
    </row>
    <row r="1018" spans="1:7">
      <c r="A1018" s="1079"/>
      <c r="B1018" s="1050"/>
      <c r="C1018" s="1050"/>
      <c r="D1018" s="1050"/>
      <c r="E1018" s="1050"/>
      <c r="F1018" s="1050"/>
      <c r="G1018" s="1050"/>
    </row>
    <row r="1019" spans="1:7">
      <c r="A1019" s="1079"/>
      <c r="B1019" s="1050"/>
      <c r="C1019" s="1050"/>
      <c r="D1019" s="1050"/>
      <c r="E1019" s="1050"/>
      <c r="F1019" s="1050"/>
      <c r="G1019" s="1050"/>
    </row>
    <row r="1020" spans="1:7">
      <c r="A1020" s="1079"/>
      <c r="B1020" s="1050"/>
      <c r="C1020" s="1050"/>
      <c r="D1020" s="1050"/>
      <c r="E1020" s="1050"/>
      <c r="F1020" s="1050"/>
      <c r="G1020" s="1050"/>
    </row>
    <row r="1021" spans="1:7">
      <c r="A1021" s="1079"/>
      <c r="B1021" s="1050"/>
      <c r="C1021" s="1050"/>
      <c r="D1021" s="1050"/>
      <c r="E1021" s="1050"/>
      <c r="F1021" s="1050"/>
      <c r="G1021" s="1050"/>
    </row>
    <row r="1022" spans="1:7">
      <c r="A1022" s="1079"/>
      <c r="B1022" s="1050"/>
      <c r="C1022" s="1050"/>
      <c r="D1022" s="1050"/>
      <c r="E1022" s="1050"/>
      <c r="F1022" s="1050"/>
      <c r="G1022" s="1050"/>
    </row>
    <row r="1023" spans="1:7">
      <c r="A1023" s="1079"/>
      <c r="B1023" s="1050"/>
      <c r="C1023" s="1050"/>
      <c r="D1023" s="1050"/>
      <c r="E1023" s="1050"/>
      <c r="F1023" s="1050"/>
      <c r="G1023" s="1050"/>
    </row>
    <row r="1024" spans="1:7">
      <c r="A1024" s="1079"/>
      <c r="B1024" s="1050"/>
      <c r="C1024" s="1050"/>
      <c r="D1024" s="1050"/>
      <c r="E1024" s="1050"/>
      <c r="F1024" s="1050"/>
      <c r="G1024" s="1050"/>
    </row>
    <row r="1025" spans="1:7">
      <c r="A1025" s="1079"/>
      <c r="B1025" s="1050"/>
      <c r="C1025" s="1050"/>
      <c r="D1025" s="1050"/>
      <c r="E1025" s="1050"/>
      <c r="F1025" s="1050"/>
      <c r="G1025" s="1050"/>
    </row>
    <row r="1026" spans="1:7">
      <c r="A1026" s="1079"/>
      <c r="B1026" s="1050"/>
      <c r="C1026" s="1050"/>
      <c r="D1026" s="1050"/>
      <c r="E1026" s="1050"/>
      <c r="F1026" s="1050"/>
      <c r="G1026" s="1050"/>
    </row>
    <row r="1027" spans="1:7">
      <c r="A1027" s="1079"/>
      <c r="B1027" s="1050"/>
      <c r="C1027" s="1050"/>
      <c r="D1027" s="1050"/>
      <c r="E1027" s="1050"/>
      <c r="F1027" s="1050"/>
      <c r="G1027" s="1050"/>
    </row>
    <row r="1028" spans="1:7">
      <c r="A1028" s="1079"/>
      <c r="B1028" s="1050"/>
      <c r="C1028" s="1050"/>
      <c r="D1028" s="1050"/>
      <c r="E1028" s="1050"/>
      <c r="F1028" s="1050"/>
      <c r="G1028" s="1050"/>
    </row>
    <row r="1029" spans="1:7">
      <c r="A1029" s="1079"/>
      <c r="B1029" s="1050"/>
      <c r="C1029" s="1050"/>
      <c r="D1029" s="1050"/>
      <c r="E1029" s="1050"/>
      <c r="F1029" s="1050"/>
      <c r="G1029" s="1050"/>
    </row>
    <row r="1030" spans="1:7">
      <c r="A1030" s="1079"/>
      <c r="B1030" s="1050"/>
      <c r="C1030" s="1050"/>
      <c r="D1030" s="1050"/>
      <c r="E1030" s="1050"/>
      <c r="F1030" s="1050"/>
      <c r="G1030" s="1050"/>
    </row>
    <row r="1031" spans="1:7">
      <c r="A1031" s="1079"/>
      <c r="B1031" s="1050"/>
      <c r="C1031" s="1050"/>
      <c r="D1031" s="1050"/>
      <c r="E1031" s="1050"/>
      <c r="F1031" s="1050"/>
      <c r="G1031" s="1050"/>
    </row>
    <row r="1032" spans="1:7">
      <c r="A1032" s="1079"/>
      <c r="B1032" s="1050"/>
      <c r="C1032" s="1050"/>
      <c r="D1032" s="1050"/>
      <c r="E1032" s="1050"/>
      <c r="F1032" s="1050"/>
      <c r="G1032" s="1050"/>
    </row>
    <row r="1033" spans="1:7">
      <c r="A1033" s="1079"/>
      <c r="B1033" s="1050"/>
      <c r="C1033" s="1050"/>
      <c r="D1033" s="1050"/>
      <c r="E1033" s="1050"/>
      <c r="F1033" s="1050"/>
      <c r="G1033" s="1050"/>
    </row>
    <row r="1034" spans="1:7">
      <c r="A1034" s="1079"/>
      <c r="B1034" s="1050"/>
      <c r="C1034" s="1050"/>
      <c r="D1034" s="1050"/>
      <c r="E1034" s="1050"/>
      <c r="F1034" s="1050"/>
      <c r="G1034" s="1050"/>
    </row>
    <row r="1035" spans="1:7">
      <c r="A1035" s="1079"/>
      <c r="B1035" s="1050"/>
      <c r="C1035" s="1050"/>
      <c r="D1035" s="1050"/>
      <c r="E1035" s="1050"/>
      <c r="F1035" s="1050"/>
      <c r="G1035" s="1050"/>
    </row>
    <row r="1036" spans="1:7">
      <c r="A1036" s="1079"/>
      <c r="B1036" s="1050"/>
      <c r="C1036" s="1050"/>
      <c r="D1036" s="1050"/>
      <c r="E1036" s="1050"/>
      <c r="F1036" s="1050"/>
      <c r="G1036" s="1050"/>
    </row>
    <row r="1037" spans="1:7">
      <c r="A1037" s="1079"/>
      <c r="B1037" s="1050"/>
      <c r="C1037" s="1050"/>
      <c r="D1037" s="1050"/>
      <c r="E1037" s="1050"/>
      <c r="F1037" s="1050"/>
      <c r="G1037" s="1050"/>
    </row>
    <row r="1038" spans="1:7">
      <c r="A1038" s="1079"/>
      <c r="B1038" s="1050"/>
      <c r="C1038" s="1050"/>
      <c r="D1038" s="1050"/>
      <c r="E1038" s="1050"/>
      <c r="F1038" s="1050"/>
      <c r="G1038" s="1050"/>
    </row>
    <row r="1039" spans="1:7">
      <c r="A1039" s="1079"/>
      <c r="B1039" s="1050"/>
      <c r="C1039" s="1050"/>
      <c r="D1039" s="1050"/>
      <c r="E1039" s="1050"/>
      <c r="F1039" s="1050"/>
      <c r="G1039" s="1050"/>
    </row>
    <row r="1040" spans="1:7">
      <c r="A1040" s="1079"/>
      <c r="B1040" s="1050"/>
      <c r="C1040" s="1050"/>
      <c r="D1040" s="1050"/>
      <c r="E1040" s="1050"/>
      <c r="F1040" s="1050"/>
      <c r="G1040" s="1050"/>
    </row>
    <row r="1041" spans="1:7">
      <c r="A1041" s="1079"/>
      <c r="B1041" s="1050"/>
      <c r="C1041" s="1050"/>
      <c r="D1041" s="1050"/>
      <c r="E1041" s="1050"/>
      <c r="F1041" s="1050"/>
      <c r="G1041" s="1050"/>
    </row>
    <row r="1042" spans="1:7">
      <c r="A1042" s="1079"/>
      <c r="B1042" s="1050"/>
      <c r="C1042" s="1050"/>
      <c r="D1042" s="1050"/>
      <c r="E1042" s="1050"/>
      <c r="F1042" s="1050"/>
      <c r="G1042" s="1050"/>
    </row>
    <row r="1043" spans="1:7">
      <c r="A1043" s="1079"/>
      <c r="B1043" s="1050"/>
      <c r="C1043" s="1050"/>
      <c r="D1043" s="1050"/>
      <c r="E1043" s="1050"/>
      <c r="F1043" s="1050"/>
      <c r="G1043" s="1050"/>
    </row>
    <row r="1044" spans="1:7">
      <c r="A1044" s="1079"/>
      <c r="B1044" s="1050"/>
      <c r="C1044" s="1050"/>
      <c r="D1044" s="1050"/>
      <c r="E1044" s="1050"/>
      <c r="F1044" s="1050"/>
      <c r="G1044" s="1050"/>
    </row>
    <row r="1045" spans="1:7">
      <c r="A1045" s="1079"/>
      <c r="B1045" s="1050"/>
      <c r="C1045" s="1050"/>
      <c r="D1045" s="1050"/>
      <c r="E1045" s="1050"/>
      <c r="F1045" s="1050"/>
      <c r="G1045" s="1050"/>
    </row>
    <row r="1046" spans="1:7">
      <c r="A1046" s="1079"/>
      <c r="B1046" s="1050"/>
      <c r="C1046" s="1050"/>
      <c r="D1046" s="1050"/>
      <c r="E1046" s="1050"/>
      <c r="F1046" s="1050"/>
      <c r="G1046" s="1050"/>
    </row>
    <row r="1047" spans="1:7">
      <c r="A1047" s="1079"/>
      <c r="B1047" s="1050"/>
      <c r="C1047" s="1050"/>
      <c r="D1047" s="1050"/>
      <c r="E1047" s="1050"/>
      <c r="F1047" s="1050"/>
      <c r="G1047" s="1050"/>
    </row>
    <row r="1048" spans="1:7">
      <c r="A1048" s="1079"/>
      <c r="B1048" s="1050"/>
      <c r="C1048" s="1050"/>
      <c r="D1048" s="1050"/>
      <c r="E1048" s="1050"/>
      <c r="F1048" s="1050"/>
      <c r="G1048" s="1050"/>
    </row>
    <row r="1049" spans="1:7">
      <c r="A1049" s="1079"/>
      <c r="B1049" s="1050"/>
      <c r="C1049" s="1050"/>
      <c r="D1049" s="1050"/>
      <c r="E1049" s="1050"/>
      <c r="F1049" s="1050"/>
      <c r="G1049" s="1050"/>
    </row>
    <row r="1050" spans="1:7">
      <c r="A1050" s="1079"/>
      <c r="B1050" s="1050"/>
      <c r="C1050" s="1050"/>
      <c r="D1050" s="1050"/>
      <c r="E1050" s="1050"/>
      <c r="F1050" s="1050"/>
      <c r="G1050" s="1050"/>
    </row>
    <row r="1051" spans="1:7">
      <c r="A1051" s="1079"/>
      <c r="B1051" s="1050"/>
      <c r="C1051" s="1050"/>
      <c r="D1051" s="1050"/>
      <c r="E1051" s="1050"/>
      <c r="F1051" s="1050"/>
      <c r="G1051" s="1050"/>
    </row>
    <row r="1052" spans="1:7">
      <c r="A1052" s="1079"/>
      <c r="B1052" s="1050"/>
      <c r="C1052" s="1050"/>
      <c r="D1052" s="1050"/>
      <c r="E1052" s="1050"/>
      <c r="F1052" s="1050"/>
      <c r="G1052" s="1050"/>
    </row>
    <row r="1053" spans="1:7">
      <c r="A1053" s="1079"/>
      <c r="B1053" s="1050"/>
      <c r="C1053" s="1050"/>
      <c r="D1053" s="1050"/>
      <c r="E1053" s="1050"/>
      <c r="F1053" s="1050"/>
      <c r="G1053" s="1050"/>
    </row>
    <row r="1054" spans="1:7">
      <c r="A1054" s="1079"/>
      <c r="B1054" s="1050"/>
      <c r="C1054" s="1050"/>
      <c r="D1054" s="1050"/>
      <c r="E1054" s="1050"/>
      <c r="F1054" s="1050"/>
      <c r="G1054" s="1050"/>
    </row>
    <row r="1055" spans="1:7">
      <c r="A1055" s="1079"/>
      <c r="B1055" s="1050"/>
      <c r="C1055" s="1050"/>
      <c r="D1055" s="1050"/>
      <c r="E1055" s="1050"/>
      <c r="F1055" s="1050"/>
      <c r="G1055" s="1050"/>
    </row>
    <row r="1056" spans="1:7">
      <c r="A1056" s="1079"/>
      <c r="B1056" s="1050"/>
      <c r="C1056" s="1050"/>
      <c r="D1056" s="1050"/>
      <c r="E1056" s="1050"/>
      <c r="F1056" s="1050"/>
      <c r="G1056" s="1050"/>
    </row>
    <row r="1057" spans="1:7">
      <c r="A1057" s="1079"/>
      <c r="B1057" s="1050"/>
      <c r="C1057" s="1050"/>
      <c r="D1057" s="1050"/>
      <c r="E1057" s="1050"/>
      <c r="F1057" s="1050"/>
      <c r="G1057" s="1050"/>
    </row>
    <row r="1058" spans="1:7">
      <c r="A1058" s="1079"/>
      <c r="B1058" s="1050"/>
      <c r="C1058" s="1050"/>
      <c r="D1058" s="1050"/>
      <c r="E1058" s="1050"/>
      <c r="F1058" s="1050"/>
      <c r="G1058" s="1050"/>
    </row>
    <row r="1059" spans="1:7">
      <c r="A1059" s="1079"/>
      <c r="B1059" s="1050"/>
      <c r="C1059" s="1050"/>
      <c r="D1059" s="1050"/>
      <c r="E1059" s="1050"/>
      <c r="F1059" s="1050"/>
      <c r="G1059" s="1050"/>
    </row>
    <row r="1060" spans="1:7">
      <c r="A1060" s="1079"/>
      <c r="B1060" s="1050"/>
      <c r="C1060" s="1050"/>
      <c r="D1060" s="1050"/>
      <c r="E1060" s="1050"/>
      <c r="F1060" s="1050"/>
      <c r="G1060" s="1050"/>
    </row>
    <row r="1061" spans="1:7">
      <c r="A1061" s="1079"/>
      <c r="B1061" s="1050"/>
      <c r="C1061" s="1050"/>
      <c r="D1061" s="1050"/>
      <c r="E1061" s="1050"/>
      <c r="F1061" s="1050"/>
      <c r="G1061" s="1050"/>
    </row>
    <row r="1062" spans="1:7">
      <c r="A1062" s="1079"/>
      <c r="B1062" s="1050"/>
      <c r="C1062" s="1050"/>
      <c r="D1062" s="1050"/>
      <c r="E1062" s="1050"/>
      <c r="F1062" s="1050"/>
      <c r="G1062" s="1050"/>
    </row>
    <row r="1063" spans="1:7">
      <c r="A1063" s="1079"/>
      <c r="B1063" s="1050"/>
      <c r="C1063" s="1050"/>
      <c r="D1063" s="1050"/>
      <c r="E1063" s="1050"/>
      <c r="F1063" s="1050"/>
      <c r="G1063" s="1050"/>
    </row>
    <row r="1064" spans="1:7">
      <c r="A1064" s="1079"/>
      <c r="B1064" s="1050"/>
      <c r="C1064" s="1050"/>
      <c r="D1064" s="1050"/>
      <c r="E1064" s="1050"/>
      <c r="F1064" s="1050"/>
      <c r="G1064" s="1050"/>
    </row>
    <row r="1065" spans="1:7">
      <c r="A1065" s="1079"/>
      <c r="B1065" s="1050"/>
      <c r="C1065" s="1050"/>
      <c r="D1065" s="1050"/>
      <c r="E1065" s="1050"/>
      <c r="F1065" s="1050"/>
      <c r="G1065" s="1050"/>
    </row>
    <row r="1066" spans="1:7">
      <c r="A1066" s="1079"/>
      <c r="B1066" s="1050"/>
      <c r="C1066" s="1050"/>
      <c r="D1066" s="1050"/>
      <c r="E1066" s="1050"/>
      <c r="F1066" s="1050"/>
      <c r="G1066" s="1050"/>
    </row>
    <row r="1067" spans="1:7">
      <c r="A1067" s="1079"/>
      <c r="B1067" s="1050"/>
      <c r="C1067" s="1050"/>
      <c r="D1067" s="1050"/>
      <c r="E1067" s="1050"/>
      <c r="F1067" s="1050"/>
      <c r="G1067" s="1050"/>
    </row>
    <row r="1068" spans="1:7">
      <c r="A1068" s="1079"/>
      <c r="B1068" s="1050"/>
      <c r="C1068" s="1050"/>
      <c r="D1068" s="1050"/>
      <c r="E1068" s="1050"/>
      <c r="F1068" s="1050"/>
      <c r="G1068" s="1050"/>
    </row>
    <row r="1069" spans="1:7">
      <c r="A1069" s="1079"/>
      <c r="B1069" s="1050"/>
      <c r="C1069" s="1050"/>
      <c r="D1069" s="1050"/>
      <c r="E1069" s="1050"/>
      <c r="F1069" s="1050"/>
      <c r="G1069" s="1050"/>
    </row>
    <row r="1070" spans="1:7">
      <c r="A1070" s="1079"/>
      <c r="B1070" s="1050"/>
      <c r="C1070" s="1050"/>
      <c r="D1070" s="1050"/>
      <c r="E1070" s="1050"/>
      <c r="F1070" s="1050"/>
      <c r="G1070" s="1050"/>
    </row>
    <row r="1071" spans="1:7">
      <c r="A1071" s="1079"/>
      <c r="B1071" s="1050"/>
      <c r="C1071" s="1050"/>
      <c r="D1071" s="1050"/>
      <c r="E1071" s="1050"/>
      <c r="F1071" s="1050"/>
      <c r="G1071" s="1050"/>
    </row>
    <row r="1072" spans="1:7">
      <c r="A1072" s="1079"/>
      <c r="B1072" s="1050"/>
      <c r="C1072" s="1050"/>
      <c r="D1072" s="1050"/>
      <c r="E1072" s="1050"/>
      <c r="F1072" s="1050"/>
      <c r="G1072" s="1050"/>
    </row>
    <row r="1073" spans="1:7">
      <c r="A1073" s="1079"/>
      <c r="B1073" s="1050"/>
      <c r="C1073" s="1050"/>
      <c r="D1073" s="1050"/>
      <c r="E1073" s="1050"/>
      <c r="F1073" s="1050"/>
      <c r="G1073" s="1050"/>
    </row>
    <row r="1074" spans="1:7">
      <c r="A1074" s="1079"/>
      <c r="B1074" s="1050"/>
      <c r="C1074" s="1050"/>
      <c r="D1074" s="1050"/>
      <c r="E1074" s="1050"/>
      <c r="F1074" s="1050"/>
      <c r="G1074" s="1050"/>
    </row>
    <row r="1075" spans="1:7">
      <c r="A1075" s="1079"/>
      <c r="B1075" s="1050"/>
      <c r="C1075" s="1050"/>
      <c r="D1075" s="1050"/>
      <c r="E1075" s="1050"/>
      <c r="F1075" s="1050"/>
      <c r="G1075" s="1050"/>
    </row>
    <row r="1076" spans="1:7">
      <c r="A1076" s="1079"/>
      <c r="B1076" s="1050"/>
      <c r="C1076" s="1050"/>
      <c r="D1076" s="1050"/>
      <c r="E1076" s="1050"/>
      <c r="F1076" s="1050"/>
      <c r="G1076" s="1050"/>
    </row>
    <row r="1077" spans="1:7">
      <c r="A1077" s="1079"/>
      <c r="B1077" s="1050"/>
      <c r="C1077" s="1050"/>
      <c r="D1077" s="1050"/>
      <c r="E1077" s="1050"/>
      <c r="F1077" s="1050"/>
      <c r="G1077" s="1050"/>
    </row>
    <row r="1078" spans="1:7">
      <c r="A1078" s="1079"/>
      <c r="B1078" s="1050"/>
      <c r="C1078" s="1050"/>
      <c r="D1078" s="1050"/>
      <c r="E1078" s="1050"/>
      <c r="F1078" s="1050"/>
      <c r="G1078" s="1050"/>
    </row>
    <row r="1079" spans="1:7">
      <c r="A1079" s="1079"/>
      <c r="B1079" s="1050"/>
      <c r="C1079" s="1050"/>
      <c r="D1079" s="1050"/>
      <c r="E1079" s="1050"/>
      <c r="F1079" s="1050"/>
      <c r="G1079" s="1050"/>
    </row>
    <row r="1080" spans="1:7">
      <c r="A1080" s="1079"/>
      <c r="B1080" s="1050"/>
      <c r="C1080" s="1050"/>
      <c r="D1080" s="1050"/>
      <c r="E1080" s="1050"/>
      <c r="F1080" s="1050"/>
      <c r="G1080" s="1050"/>
    </row>
    <row r="1081" spans="1:7">
      <c r="A1081" s="1079"/>
      <c r="B1081" s="1050"/>
      <c r="C1081" s="1050"/>
      <c r="D1081" s="1050"/>
      <c r="E1081" s="1050"/>
      <c r="F1081" s="1050"/>
      <c r="G1081" s="1050"/>
    </row>
    <row r="1082" spans="1:7">
      <c r="A1082" s="1079"/>
      <c r="B1082" s="1050"/>
      <c r="C1082" s="1050"/>
      <c r="D1082" s="1050"/>
      <c r="E1082" s="1050"/>
      <c r="F1082" s="1050"/>
      <c r="G1082" s="1050"/>
    </row>
    <row r="1083" spans="1:7">
      <c r="A1083" s="1079"/>
      <c r="B1083" s="1050"/>
      <c r="C1083" s="1050"/>
      <c r="D1083" s="1050"/>
      <c r="E1083" s="1050"/>
      <c r="F1083" s="1050"/>
      <c r="G1083" s="1050"/>
    </row>
    <row r="1084" spans="1:7">
      <c r="A1084" s="1079"/>
      <c r="B1084" s="1050"/>
      <c r="C1084" s="1050"/>
      <c r="D1084" s="1050"/>
      <c r="E1084" s="1050"/>
      <c r="F1084" s="1050"/>
      <c r="G1084" s="1050"/>
    </row>
    <row r="1085" spans="1:7">
      <c r="A1085" s="1079"/>
      <c r="B1085" s="1050"/>
      <c r="C1085" s="1050"/>
      <c r="D1085" s="1050"/>
      <c r="E1085" s="1050"/>
      <c r="F1085" s="1050"/>
      <c r="G1085" s="1050"/>
    </row>
    <row r="1086" spans="1:7">
      <c r="A1086" s="1079"/>
      <c r="B1086" s="1050"/>
      <c r="C1086" s="1050"/>
      <c r="D1086" s="1050"/>
      <c r="E1086" s="1050"/>
      <c r="F1086" s="1050"/>
      <c r="G1086" s="1050"/>
    </row>
    <row r="1087" spans="1:7">
      <c r="A1087" s="1079"/>
      <c r="B1087" s="1050"/>
      <c r="C1087" s="1050"/>
      <c r="D1087" s="1050"/>
      <c r="E1087" s="1050"/>
      <c r="F1087" s="1050"/>
      <c r="G1087" s="1050"/>
    </row>
    <row r="1088" spans="1:7">
      <c r="A1088" s="1079"/>
      <c r="B1088" s="1050"/>
      <c r="C1088" s="1050"/>
      <c r="D1088" s="1050"/>
      <c r="E1088" s="1050"/>
      <c r="F1088" s="1050"/>
      <c r="G1088" s="1050"/>
    </row>
    <row r="1089" spans="1:7">
      <c r="A1089" s="1079"/>
      <c r="B1089" s="1050"/>
      <c r="C1089" s="1050"/>
      <c r="D1089" s="1050"/>
      <c r="E1089" s="1050"/>
      <c r="F1089" s="1050"/>
      <c r="G1089" s="1050"/>
    </row>
    <row r="1090" spans="1:7">
      <c r="A1090" s="1079"/>
      <c r="B1090" s="1050"/>
      <c r="C1090" s="1050"/>
      <c r="D1090" s="1050"/>
      <c r="E1090" s="1050"/>
      <c r="F1090" s="1050"/>
      <c r="G1090" s="1050"/>
    </row>
    <row r="1091" spans="1:7">
      <c r="A1091" s="1079"/>
      <c r="B1091" s="1050"/>
      <c r="C1091" s="1050"/>
      <c r="D1091" s="1050"/>
      <c r="E1091" s="1050"/>
      <c r="F1091" s="1050"/>
      <c r="G1091" s="1050"/>
    </row>
    <row r="1092" spans="1:7">
      <c r="A1092" s="1079"/>
      <c r="B1092" s="1050"/>
      <c r="C1092" s="1050"/>
      <c r="D1092" s="1050"/>
      <c r="E1092" s="1050"/>
      <c r="F1092" s="1050"/>
      <c r="G1092" s="1050"/>
    </row>
    <row r="1093" spans="1:7">
      <c r="A1093" s="1079"/>
      <c r="B1093" s="1050"/>
      <c r="C1093" s="1050"/>
      <c r="D1093" s="1050"/>
      <c r="E1093" s="1050"/>
      <c r="F1093" s="1050"/>
      <c r="G1093" s="1050"/>
    </row>
    <row r="1094" spans="1:7">
      <c r="A1094" s="1079"/>
      <c r="B1094" s="1050"/>
      <c r="C1094" s="1050"/>
      <c r="D1094" s="1050"/>
      <c r="E1094" s="1050"/>
      <c r="F1094" s="1050"/>
      <c r="G1094" s="1050"/>
    </row>
    <row r="1095" spans="1:7">
      <c r="A1095" s="1079"/>
      <c r="B1095" s="1050"/>
      <c r="C1095" s="1050"/>
      <c r="D1095" s="1050"/>
      <c r="E1095" s="1050"/>
      <c r="F1095" s="1050"/>
      <c r="G1095" s="1050"/>
    </row>
    <row r="1096" spans="1:7">
      <c r="A1096" s="1079"/>
      <c r="B1096" s="1050"/>
      <c r="C1096" s="1050"/>
      <c r="D1096" s="1050"/>
      <c r="E1096" s="1050"/>
      <c r="F1096" s="1050"/>
      <c r="G1096" s="1050"/>
    </row>
    <row r="1097" spans="1:7">
      <c r="A1097" s="1079"/>
      <c r="B1097" s="1050"/>
      <c r="C1097" s="1050"/>
      <c r="D1097" s="1050"/>
      <c r="E1097" s="1050"/>
      <c r="F1097" s="1050"/>
      <c r="G1097" s="1050"/>
    </row>
    <row r="1098" spans="1:7">
      <c r="A1098" s="1079"/>
      <c r="B1098" s="1050"/>
      <c r="C1098" s="1050"/>
      <c r="D1098" s="1050"/>
      <c r="E1098" s="1050"/>
      <c r="F1098" s="1050"/>
      <c r="G1098" s="1050"/>
    </row>
    <row r="1099" spans="1:7">
      <c r="A1099" s="1079"/>
      <c r="B1099" s="1050"/>
      <c r="C1099" s="1050"/>
      <c r="D1099" s="1050"/>
      <c r="E1099" s="1050"/>
      <c r="F1099" s="1050"/>
      <c r="G1099" s="1050"/>
    </row>
    <row r="1100" spans="1:7">
      <c r="A1100" s="1079"/>
      <c r="B1100" s="1050"/>
      <c r="C1100" s="1050"/>
      <c r="D1100" s="1050"/>
      <c r="E1100" s="1050"/>
      <c r="F1100" s="1050"/>
      <c r="G1100" s="1050"/>
    </row>
    <row r="1101" spans="1:7">
      <c r="A1101" s="1079"/>
      <c r="B1101" s="1050"/>
      <c r="C1101" s="1050"/>
      <c r="D1101" s="1050"/>
      <c r="E1101" s="1050"/>
      <c r="F1101" s="1050"/>
      <c r="G1101" s="1050"/>
    </row>
    <row r="1102" spans="1:7">
      <c r="A1102" s="1079"/>
      <c r="B1102" s="1050"/>
      <c r="C1102" s="1050"/>
      <c r="D1102" s="1050"/>
      <c r="E1102" s="1050"/>
      <c r="F1102" s="1050"/>
      <c r="G1102" s="1050"/>
    </row>
    <row r="1103" spans="1:7">
      <c r="A1103" s="1079"/>
      <c r="B1103" s="1050"/>
      <c r="C1103" s="1050"/>
      <c r="D1103" s="1050"/>
      <c r="E1103" s="1050"/>
      <c r="F1103" s="1050"/>
      <c r="G1103" s="1050"/>
    </row>
    <row r="1104" spans="1:7">
      <c r="A1104" s="1079"/>
      <c r="B1104" s="1050"/>
      <c r="C1104" s="1050"/>
      <c r="D1104" s="1050"/>
      <c r="E1104" s="1050"/>
      <c r="F1104" s="1050"/>
      <c r="G1104" s="1050"/>
    </row>
    <row r="1105" spans="1:7">
      <c r="A1105" s="1079"/>
      <c r="B1105" s="1050"/>
      <c r="C1105" s="1050"/>
      <c r="D1105" s="1050"/>
      <c r="E1105" s="1050"/>
      <c r="F1105" s="1050"/>
      <c r="G1105" s="1050"/>
    </row>
    <row r="1106" spans="1:7">
      <c r="A1106" s="1079"/>
      <c r="B1106" s="1050"/>
      <c r="C1106" s="1050"/>
      <c r="D1106" s="1050"/>
      <c r="E1106" s="1050"/>
      <c r="F1106" s="1050"/>
      <c r="G1106" s="1050"/>
    </row>
    <row r="1107" spans="1:7">
      <c r="A1107" s="1079"/>
      <c r="B1107" s="1050"/>
      <c r="C1107" s="1050"/>
      <c r="D1107" s="1050"/>
      <c r="E1107" s="1050"/>
      <c r="F1107" s="1050"/>
      <c r="G1107" s="1050"/>
    </row>
    <row r="1108" spans="1:7">
      <c r="A1108" s="1079"/>
      <c r="B1108" s="1050"/>
      <c r="C1108" s="1050"/>
      <c r="D1108" s="1050"/>
      <c r="E1108" s="1050"/>
      <c r="F1108" s="1050"/>
      <c r="G1108" s="1050"/>
    </row>
    <row r="1109" spans="1:7">
      <c r="A1109" s="1079"/>
      <c r="B1109" s="1050"/>
      <c r="C1109" s="1050"/>
      <c r="D1109" s="1050"/>
      <c r="E1109" s="1050"/>
      <c r="F1109" s="1050"/>
      <c r="G1109" s="1050"/>
    </row>
    <row r="1110" spans="1:7">
      <c r="A1110" s="1079"/>
      <c r="B1110" s="1050"/>
      <c r="C1110" s="1050"/>
      <c r="D1110" s="1050"/>
      <c r="E1110" s="1050"/>
      <c r="F1110" s="1050"/>
      <c r="G1110" s="1050"/>
    </row>
    <row r="1111" spans="1:7">
      <c r="A1111" s="1079"/>
      <c r="B1111" s="1050"/>
      <c r="C1111" s="1050"/>
      <c r="D1111" s="1050"/>
      <c r="E1111" s="1050"/>
      <c r="F1111" s="1050"/>
      <c r="G1111" s="1050"/>
    </row>
    <row r="1112" spans="1:7">
      <c r="A1112" s="1079"/>
      <c r="B1112" s="1050"/>
      <c r="C1112" s="1050"/>
      <c r="D1112" s="1050"/>
      <c r="E1112" s="1050"/>
      <c r="F1112" s="1050"/>
      <c r="G1112" s="1050"/>
    </row>
    <row r="1113" spans="1:7">
      <c r="A1113" s="1079"/>
      <c r="B1113" s="1050"/>
      <c r="C1113" s="1050"/>
      <c r="D1113" s="1050"/>
      <c r="E1113" s="1050"/>
      <c r="F1113" s="1050"/>
      <c r="G1113" s="1050"/>
    </row>
    <row r="1114" spans="1:7">
      <c r="A1114" s="1079"/>
      <c r="B1114" s="1050"/>
      <c r="C1114" s="1050"/>
      <c r="D1114" s="1050"/>
      <c r="E1114" s="1050"/>
      <c r="F1114" s="1050"/>
      <c r="G1114" s="1050"/>
    </row>
    <row r="1115" spans="1:7">
      <c r="A1115" s="1079"/>
      <c r="B1115" s="1050"/>
      <c r="C1115" s="1050"/>
      <c r="D1115" s="1050"/>
      <c r="E1115" s="1050"/>
      <c r="F1115" s="1050"/>
      <c r="G1115" s="1050"/>
    </row>
    <row r="1116" spans="1:7">
      <c r="A1116" s="1079"/>
      <c r="B1116" s="1050"/>
      <c r="C1116" s="1050"/>
      <c r="D1116" s="1050"/>
      <c r="E1116" s="1050"/>
      <c r="F1116" s="1050"/>
      <c r="G1116" s="1050"/>
    </row>
    <row r="1117" spans="1:7">
      <c r="A1117" s="1079"/>
      <c r="B1117" s="1050"/>
      <c r="C1117" s="1050"/>
      <c r="D1117" s="1050"/>
      <c r="E1117" s="1050"/>
      <c r="F1117" s="1050"/>
      <c r="G1117" s="1050"/>
    </row>
    <row r="1118" spans="1:7">
      <c r="A1118" s="1079"/>
      <c r="B1118" s="1050"/>
      <c r="C1118" s="1050"/>
      <c r="D1118" s="1050"/>
      <c r="E1118" s="1050"/>
      <c r="F1118" s="1050"/>
      <c r="G1118" s="1050"/>
    </row>
    <row r="1119" spans="1:7">
      <c r="A1119" s="1079"/>
      <c r="B1119" s="1050"/>
      <c r="C1119" s="1050"/>
      <c r="D1119" s="1050"/>
      <c r="E1119" s="1050"/>
      <c r="F1119" s="1050"/>
      <c r="G1119" s="1050"/>
    </row>
    <row r="1120" spans="1:7">
      <c r="A1120" s="1079"/>
      <c r="B1120" s="1050"/>
      <c r="C1120" s="1050"/>
      <c r="D1120" s="1050"/>
      <c r="E1120" s="1050"/>
      <c r="F1120" s="1050"/>
      <c r="G1120" s="1050"/>
    </row>
    <row r="1121" spans="1:7">
      <c r="A1121" s="1079"/>
      <c r="B1121" s="1050"/>
      <c r="C1121" s="1050"/>
      <c r="D1121" s="1050"/>
      <c r="E1121" s="1050"/>
      <c r="F1121" s="1050"/>
      <c r="G1121" s="1050"/>
    </row>
    <row r="1122" spans="1:7">
      <c r="A1122" s="1079"/>
      <c r="B1122" s="1050"/>
      <c r="C1122" s="1050"/>
      <c r="D1122" s="1050"/>
      <c r="E1122" s="1050"/>
      <c r="F1122" s="1050"/>
      <c r="G1122" s="1050"/>
    </row>
    <row r="1123" spans="1:7">
      <c r="A1123" s="1079"/>
      <c r="B1123" s="1050"/>
      <c r="C1123" s="1050"/>
      <c r="D1123" s="1050"/>
      <c r="E1123" s="1050"/>
      <c r="F1123" s="1050"/>
      <c r="G1123" s="1050"/>
    </row>
    <row r="1124" spans="1:7">
      <c r="A1124" s="1079"/>
      <c r="B1124" s="1050"/>
      <c r="C1124" s="1050"/>
      <c r="D1124" s="1050"/>
      <c r="E1124" s="1050"/>
      <c r="F1124" s="1050"/>
      <c r="G1124" s="1050"/>
    </row>
    <row r="1125" spans="1:7">
      <c r="A1125" s="1079"/>
      <c r="B1125" s="1050"/>
      <c r="C1125" s="1050"/>
      <c r="D1125" s="1050"/>
      <c r="E1125" s="1050"/>
      <c r="F1125" s="1050"/>
      <c r="G1125" s="1050"/>
    </row>
    <row r="1126" spans="1:7">
      <c r="A1126" s="1079"/>
      <c r="B1126" s="1050"/>
      <c r="C1126" s="1050"/>
      <c r="D1126" s="1050"/>
      <c r="E1126" s="1050"/>
      <c r="F1126" s="1050"/>
      <c r="G1126" s="1050"/>
    </row>
    <row r="1127" spans="1:7">
      <c r="A1127" s="1079"/>
      <c r="B1127" s="1050"/>
      <c r="C1127" s="1050"/>
      <c r="D1127" s="1050"/>
      <c r="E1127" s="1050"/>
      <c r="F1127" s="1050"/>
      <c r="G1127" s="1050"/>
    </row>
    <row r="1128" spans="1:7">
      <c r="A1128" s="1079"/>
      <c r="B1128" s="1050"/>
      <c r="C1128" s="1050"/>
      <c r="D1128" s="1050"/>
      <c r="E1128" s="1050"/>
      <c r="F1128" s="1050"/>
      <c r="G1128" s="1050"/>
    </row>
    <row r="1129" spans="1:7">
      <c r="A1129" s="1079"/>
      <c r="B1129" s="1050"/>
      <c r="C1129" s="1050"/>
      <c r="D1129" s="1050"/>
      <c r="E1129" s="1050"/>
      <c r="F1129" s="1050"/>
      <c r="G1129" s="1050"/>
    </row>
    <row r="1130" spans="1:7">
      <c r="A1130" s="1079"/>
      <c r="B1130" s="1050"/>
      <c r="C1130" s="1050"/>
      <c r="D1130" s="1050"/>
      <c r="E1130" s="1050"/>
      <c r="F1130" s="1050"/>
      <c r="G1130" s="1050"/>
    </row>
    <row r="1131" spans="1:7">
      <c r="A1131" s="1079"/>
      <c r="B1131" s="1050"/>
      <c r="C1131" s="1050"/>
      <c r="D1131" s="1050"/>
      <c r="E1131" s="1050"/>
      <c r="F1131" s="1050"/>
      <c r="G1131" s="1050"/>
    </row>
    <row r="1132" spans="1:7">
      <c r="A1132" s="1079"/>
      <c r="B1132" s="1050"/>
      <c r="C1132" s="1050"/>
      <c r="D1132" s="1050"/>
      <c r="E1132" s="1050"/>
      <c r="F1132" s="1050"/>
      <c r="G1132" s="1050"/>
    </row>
    <row r="1133" spans="1:7">
      <c r="A1133" s="1079"/>
      <c r="B1133" s="1050"/>
      <c r="C1133" s="1050"/>
      <c r="D1133" s="1050"/>
      <c r="E1133" s="1050"/>
      <c r="F1133" s="1050"/>
      <c r="G1133" s="1050"/>
    </row>
    <row r="1134" spans="1:7">
      <c r="A1134" s="1079"/>
      <c r="B1134" s="1050"/>
      <c r="C1134" s="1050"/>
      <c r="D1134" s="1050"/>
      <c r="E1134" s="1050"/>
      <c r="F1134" s="1050"/>
      <c r="G1134" s="1050"/>
    </row>
    <row r="1135" spans="1:7">
      <c r="A1135" s="1079"/>
      <c r="B1135" s="1050"/>
      <c r="C1135" s="1050"/>
      <c r="D1135" s="1050"/>
      <c r="E1135" s="1050"/>
      <c r="F1135" s="1050"/>
      <c r="G1135" s="1050"/>
    </row>
    <row r="1136" spans="1:7">
      <c r="A1136" s="1079"/>
      <c r="B1136" s="1050"/>
      <c r="C1136" s="1050"/>
      <c r="D1136" s="1050"/>
      <c r="E1136" s="1050"/>
      <c r="F1136" s="1050"/>
      <c r="G1136" s="1050"/>
    </row>
    <row r="1137" spans="1:7">
      <c r="A1137" s="1079"/>
      <c r="B1137" s="1050"/>
      <c r="C1137" s="1050"/>
      <c r="D1137" s="1050"/>
      <c r="E1137" s="1050"/>
      <c r="F1137" s="1050"/>
      <c r="G1137" s="1050"/>
    </row>
    <row r="1138" spans="1:7">
      <c r="A1138" s="1079"/>
      <c r="B1138" s="1050"/>
      <c r="C1138" s="1050"/>
      <c r="D1138" s="1050"/>
      <c r="E1138" s="1050"/>
      <c r="F1138" s="1050"/>
      <c r="G1138" s="1050"/>
    </row>
    <row r="1139" spans="1:7">
      <c r="A1139" s="1079"/>
      <c r="B1139" s="1050"/>
      <c r="C1139" s="1050"/>
      <c r="D1139" s="1050"/>
      <c r="E1139" s="1050"/>
      <c r="F1139" s="1050"/>
      <c r="G1139" s="1050"/>
    </row>
    <row r="1140" spans="1:7">
      <c r="A1140" s="1079"/>
      <c r="B1140" s="1050"/>
      <c r="C1140" s="1050"/>
      <c r="D1140" s="1050"/>
      <c r="E1140" s="1050"/>
      <c r="F1140" s="1050"/>
      <c r="G1140" s="1050"/>
    </row>
    <row r="1141" spans="1:7">
      <c r="A1141" s="1079"/>
      <c r="B1141" s="1050"/>
      <c r="C1141" s="1050"/>
      <c r="D1141" s="1050"/>
      <c r="E1141" s="1050"/>
      <c r="F1141" s="1050"/>
      <c r="G1141" s="1050"/>
    </row>
    <row r="1142" spans="1:7">
      <c r="A1142" s="1079"/>
      <c r="B1142" s="1050"/>
      <c r="C1142" s="1050"/>
      <c r="D1142" s="1050"/>
      <c r="E1142" s="1050"/>
      <c r="F1142" s="1050"/>
      <c r="G1142" s="1050"/>
    </row>
    <row r="1143" spans="1:7">
      <c r="A1143" s="1079"/>
      <c r="B1143" s="1050"/>
      <c r="C1143" s="1050"/>
      <c r="D1143" s="1050"/>
      <c r="E1143" s="1050"/>
      <c r="F1143" s="1050"/>
      <c r="G1143" s="1050"/>
    </row>
    <row r="1144" spans="1:7">
      <c r="A1144" s="1079"/>
      <c r="B1144" s="1050"/>
      <c r="C1144" s="1050"/>
      <c r="D1144" s="1050"/>
      <c r="E1144" s="1050"/>
      <c r="F1144" s="1050"/>
      <c r="G1144" s="1050"/>
    </row>
    <row r="1145" spans="1:7">
      <c r="A1145" s="1079"/>
      <c r="B1145" s="1050"/>
      <c r="C1145" s="1050"/>
      <c r="D1145" s="1050"/>
      <c r="E1145" s="1050"/>
      <c r="F1145" s="1050"/>
      <c r="G1145" s="1050"/>
    </row>
    <row r="1146" spans="1:7">
      <c r="A1146" s="1079"/>
      <c r="B1146" s="1050"/>
      <c r="C1146" s="1050"/>
      <c r="D1146" s="1050"/>
      <c r="E1146" s="1050"/>
      <c r="F1146" s="1050"/>
      <c r="G1146" s="1050"/>
    </row>
    <row r="1147" spans="1:7">
      <c r="A1147" s="1079"/>
      <c r="B1147" s="1050"/>
      <c r="C1147" s="1050"/>
      <c r="D1147" s="1050"/>
      <c r="E1147" s="1050"/>
      <c r="F1147" s="1050"/>
      <c r="G1147" s="1050"/>
    </row>
    <row r="1148" spans="1:7">
      <c r="A1148" s="1079"/>
      <c r="B1148" s="1050"/>
      <c r="C1148" s="1050"/>
      <c r="D1148" s="1050"/>
      <c r="E1148" s="1050"/>
      <c r="F1148" s="1050"/>
      <c r="G1148" s="1050"/>
    </row>
    <row r="1149" spans="1:7">
      <c r="A1149" s="1079"/>
      <c r="B1149" s="1050"/>
      <c r="C1149" s="1050"/>
      <c r="D1149" s="1050"/>
      <c r="E1149" s="1050"/>
      <c r="F1149" s="1050"/>
      <c r="G1149" s="1050"/>
    </row>
    <row r="1150" spans="1:7">
      <c r="A1150" s="1079"/>
      <c r="B1150" s="1050"/>
      <c r="C1150" s="1050"/>
      <c r="D1150" s="1050"/>
      <c r="E1150" s="1050"/>
      <c r="F1150" s="1050"/>
      <c r="G1150" s="1050"/>
    </row>
    <row r="1151" spans="1:7">
      <c r="A1151" s="1079"/>
      <c r="B1151" s="1050"/>
      <c r="C1151" s="1050"/>
      <c r="D1151" s="1050"/>
      <c r="E1151" s="1050"/>
      <c r="F1151" s="1050"/>
      <c r="G1151" s="1050"/>
    </row>
    <row r="1152" spans="1:7">
      <c r="A1152" s="1079"/>
      <c r="B1152" s="1050"/>
      <c r="C1152" s="1050"/>
      <c r="D1152" s="1050"/>
      <c r="E1152" s="1050"/>
      <c r="F1152" s="1050"/>
      <c r="G1152" s="1050"/>
    </row>
    <row r="1153" spans="1:7">
      <c r="A1153" s="1079"/>
      <c r="B1153" s="1050"/>
      <c r="C1153" s="1050"/>
      <c r="D1153" s="1050"/>
      <c r="E1153" s="1050"/>
      <c r="F1153" s="1050"/>
      <c r="G1153" s="1050"/>
    </row>
    <row r="1154" spans="1:7">
      <c r="A1154" s="1079"/>
      <c r="B1154" s="1050"/>
      <c r="C1154" s="1050"/>
      <c r="D1154" s="1050"/>
      <c r="E1154" s="1050"/>
      <c r="F1154" s="1050"/>
      <c r="G1154" s="1050"/>
    </row>
    <row r="1155" spans="1:7">
      <c r="A1155" s="1079"/>
      <c r="B1155" s="1050"/>
      <c r="C1155" s="1050"/>
      <c r="D1155" s="1050"/>
      <c r="E1155" s="1050"/>
      <c r="F1155" s="1050"/>
      <c r="G1155" s="1050"/>
    </row>
    <row r="1156" spans="1:7">
      <c r="A1156" s="1079"/>
      <c r="B1156" s="1050"/>
      <c r="C1156" s="1050"/>
      <c r="D1156" s="1050"/>
      <c r="E1156" s="1050"/>
      <c r="F1156" s="1050"/>
      <c r="G1156" s="1050"/>
    </row>
    <row r="1157" spans="1:7">
      <c r="A1157" s="1079"/>
      <c r="B1157" s="1050"/>
      <c r="C1157" s="1050"/>
      <c r="D1157" s="1050"/>
      <c r="E1157" s="1050"/>
      <c r="F1157" s="1050"/>
      <c r="G1157" s="1050"/>
    </row>
    <row r="1158" spans="1:7">
      <c r="A1158" s="1079"/>
      <c r="B1158" s="1050"/>
      <c r="C1158" s="1050"/>
      <c r="D1158" s="1050"/>
      <c r="E1158" s="1050"/>
      <c r="F1158" s="1050"/>
      <c r="G1158" s="1050"/>
    </row>
    <row r="1159" spans="1:7">
      <c r="A1159" s="1079"/>
      <c r="B1159" s="1050"/>
      <c r="C1159" s="1050"/>
      <c r="D1159" s="1050"/>
      <c r="E1159" s="1050"/>
      <c r="F1159" s="1050"/>
      <c r="G1159" s="1050"/>
    </row>
    <row r="1160" spans="1:7">
      <c r="A1160" s="1079"/>
      <c r="B1160" s="1050"/>
      <c r="C1160" s="1050"/>
      <c r="D1160" s="1050"/>
      <c r="E1160" s="1050"/>
      <c r="F1160" s="1050"/>
      <c r="G1160" s="1050"/>
    </row>
    <row r="1161" spans="1:7">
      <c r="A1161" s="1079"/>
      <c r="B1161" s="1050"/>
      <c r="C1161" s="1050"/>
      <c r="D1161" s="1050"/>
      <c r="E1161" s="1050"/>
      <c r="F1161" s="1050"/>
      <c r="G1161" s="1050"/>
    </row>
    <row r="1162" spans="1:7">
      <c r="A1162" s="1079"/>
      <c r="B1162" s="1050"/>
      <c r="C1162" s="1050"/>
      <c r="D1162" s="1050"/>
      <c r="E1162" s="1050"/>
      <c r="F1162" s="1050"/>
      <c r="G1162" s="1050"/>
    </row>
    <row r="1163" spans="1:7">
      <c r="A1163" s="1079"/>
      <c r="B1163" s="1050"/>
      <c r="C1163" s="1050"/>
      <c r="D1163" s="1050"/>
      <c r="E1163" s="1050"/>
      <c r="F1163" s="1050"/>
      <c r="G1163" s="1050"/>
    </row>
    <row r="1164" spans="1:7">
      <c r="A1164" s="1079"/>
      <c r="B1164" s="1050"/>
      <c r="C1164" s="1050"/>
      <c r="D1164" s="1050"/>
      <c r="E1164" s="1050"/>
      <c r="F1164" s="1050"/>
      <c r="G1164" s="1050"/>
    </row>
    <row r="1165" spans="1:7">
      <c r="A1165" s="1079"/>
      <c r="B1165" s="1050"/>
      <c r="C1165" s="1050"/>
      <c r="D1165" s="1050"/>
      <c r="E1165" s="1050"/>
      <c r="F1165" s="1050"/>
      <c r="G1165" s="1050"/>
    </row>
    <row r="1166" spans="1:7">
      <c r="A1166" s="1079"/>
      <c r="B1166" s="1050"/>
      <c r="C1166" s="1050"/>
      <c r="D1166" s="1050"/>
      <c r="E1166" s="1050"/>
      <c r="F1166" s="1050"/>
      <c r="G1166" s="1050"/>
    </row>
    <row r="1167" spans="1:7">
      <c r="A1167" s="1079"/>
      <c r="B1167" s="1050"/>
      <c r="C1167" s="1050"/>
      <c r="D1167" s="1050"/>
      <c r="E1167" s="1050"/>
      <c r="F1167" s="1050"/>
      <c r="G1167" s="1050"/>
    </row>
    <row r="1168" spans="1:7">
      <c r="A1168" s="1079"/>
      <c r="B1168" s="1050"/>
      <c r="C1168" s="1050"/>
      <c r="D1168" s="1050"/>
      <c r="E1168" s="1050"/>
      <c r="F1168" s="1050"/>
      <c r="G1168" s="1050"/>
    </row>
    <row r="1169" spans="1:7">
      <c r="A1169" s="1079"/>
      <c r="B1169" s="1050"/>
      <c r="C1169" s="1050"/>
      <c r="D1169" s="1050"/>
      <c r="E1169" s="1050"/>
      <c r="F1169" s="1050"/>
      <c r="G1169" s="1050"/>
    </row>
    <row r="1170" spans="1:7">
      <c r="A1170" s="1079"/>
      <c r="B1170" s="1050"/>
      <c r="C1170" s="1050"/>
      <c r="D1170" s="1050"/>
      <c r="E1170" s="1050"/>
      <c r="F1170" s="1050"/>
      <c r="G1170" s="1050"/>
    </row>
    <row r="1171" spans="1:7">
      <c r="A1171" s="1079"/>
      <c r="B1171" s="1050"/>
      <c r="C1171" s="1050"/>
      <c r="D1171" s="1050"/>
      <c r="E1171" s="1050"/>
      <c r="F1171" s="1050"/>
      <c r="G1171" s="1050"/>
    </row>
    <row r="1172" spans="1:7">
      <c r="A1172" s="1079"/>
      <c r="B1172" s="1050"/>
      <c r="C1172" s="1050"/>
      <c r="D1172" s="1050"/>
      <c r="E1172" s="1050"/>
      <c r="F1172" s="1050"/>
      <c r="G1172" s="1050"/>
    </row>
    <row r="1173" spans="1:7">
      <c r="A1173" s="1079"/>
      <c r="B1173" s="1050"/>
      <c r="C1173" s="1050"/>
      <c r="D1173" s="1050"/>
      <c r="E1173" s="1050"/>
      <c r="F1173" s="1050"/>
      <c r="G1173" s="1050"/>
    </row>
    <row r="1174" spans="1:7">
      <c r="A1174" s="1079"/>
      <c r="B1174" s="1050"/>
      <c r="C1174" s="1050"/>
      <c r="D1174" s="1050"/>
      <c r="E1174" s="1050"/>
      <c r="F1174" s="1050"/>
      <c r="G1174" s="1050"/>
    </row>
    <row r="1175" spans="1:7">
      <c r="A1175" s="1079"/>
      <c r="B1175" s="1050"/>
      <c r="C1175" s="1050"/>
      <c r="D1175" s="1050"/>
      <c r="E1175" s="1050"/>
      <c r="F1175" s="1050"/>
      <c r="G1175" s="1050"/>
    </row>
    <row r="1176" spans="1:7">
      <c r="A1176" s="1079"/>
      <c r="B1176" s="1050"/>
      <c r="C1176" s="1050"/>
      <c r="D1176" s="1050"/>
      <c r="E1176" s="1050"/>
      <c r="F1176" s="1050"/>
      <c r="G1176" s="1050"/>
    </row>
    <row r="1177" spans="1:7">
      <c r="A1177" s="1079"/>
      <c r="B1177" s="1050"/>
      <c r="C1177" s="1050"/>
      <c r="D1177" s="1050"/>
      <c r="E1177" s="1050"/>
      <c r="F1177" s="1050"/>
      <c r="G1177" s="1050"/>
    </row>
    <row r="1178" spans="1:7">
      <c r="A1178" s="1079"/>
      <c r="B1178" s="1050"/>
      <c r="C1178" s="1050"/>
      <c r="D1178" s="1050"/>
      <c r="E1178" s="1050"/>
      <c r="F1178" s="1050"/>
      <c r="G1178" s="1050"/>
    </row>
    <row r="1179" spans="1:7">
      <c r="A1179" s="1079"/>
      <c r="B1179" s="1050"/>
      <c r="C1179" s="1050"/>
      <c r="D1179" s="1050"/>
      <c r="E1179" s="1050"/>
      <c r="F1179" s="1050"/>
      <c r="G1179" s="1050"/>
    </row>
    <row r="1180" spans="1:7">
      <c r="A1180" s="1079"/>
      <c r="B1180" s="1050"/>
      <c r="C1180" s="1050"/>
      <c r="D1180" s="1050"/>
      <c r="E1180" s="1050"/>
      <c r="F1180" s="1050"/>
      <c r="G1180" s="1050"/>
    </row>
    <row r="1181" spans="1:7">
      <c r="A1181" s="1079"/>
      <c r="B1181" s="1050"/>
      <c r="C1181" s="1050"/>
      <c r="D1181" s="1050"/>
      <c r="E1181" s="1050"/>
      <c r="F1181" s="1050"/>
      <c r="G1181" s="1050"/>
    </row>
    <row r="1182" spans="1:7">
      <c r="A1182" s="1079"/>
      <c r="B1182" s="1050"/>
      <c r="C1182" s="1050"/>
      <c r="D1182" s="1050"/>
      <c r="E1182" s="1050"/>
      <c r="F1182" s="1050"/>
      <c r="G1182" s="1050"/>
    </row>
    <row r="1183" spans="1:7">
      <c r="A1183" s="1079"/>
      <c r="B1183" s="1050"/>
      <c r="C1183" s="1050"/>
      <c r="D1183" s="1050"/>
      <c r="E1183" s="1050"/>
      <c r="F1183" s="1050"/>
      <c r="G1183" s="1050"/>
    </row>
    <row r="1184" spans="1:7">
      <c r="A1184" s="1079"/>
      <c r="B1184" s="1050"/>
      <c r="C1184" s="1050"/>
      <c r="D1184" s="1050"/>
      <c r="E1184" s="1050"/>
      <c r="F1184" s="1050"/>
      <c r="G1184" s="1050"/>
    </row>
    <row r="1185" spans="1:7">
      <c r="A1185" s="1079"/>
      <c r="B1185" s="1050"/>
      <c r="C1185" s="1050"/>
      <c r="D1185" s="1050"/>
      <c r="E1185" s="1050"/>
      <c r="F1185" s="1050"/>
      <c r="G1185" s="1050"/>
    </row>
    <row r="1186" spans="1:7">
      <c r="A1186" s="1079"/>
      <c r="B1186" s="1050"/>
      <c r="C1186" s="1050"/>
      <c r="D1186" s="1050"/>
      <c r="E1186" s="1050"/>
      <c r="F1186" s="1050"/>
      <c r="G1186" s="1050"/>
    </row>
    <row r="1187" spans="1:7">
      <c r="A1187" s="1079"/>
      <c r="B1187" s="1050"/>
      <c r="C1187" s="1050"/>
      <c r="D1187" s="1050"/>
      <c r="E1187" s="1050"/>
      <c r="F1187" s="1050"/>
      <c r="G1187" s="1050"/>
    </row>
    <row r="1188" spans="1:7">
      <c r="A1188" s="1079"/>
      <c r="B1188" s="1050"/>
      <c r="C1188" s="1050"/>
      <c r="D1188" s="1050"/>
      <c r="E1188" s="1050"/>
      <c r="F1188" s="1050"/>
      <c r="G1188" s="1050"/>
    </row>
    <row r="1189" spans="1:7">
      <c r="A1189" s="1079"/>
      <c r="B1189" s="1050"/>
      <c r="C1189" s="1050"/>
      <c r="D1189" s="1050"/>
      <c r="E1189" s="1050"/>
      <c r="F1189" s="1050"/>
      <c r="G1189" s="1050"/>
    </row>
    <row r="1190" spans="1:7">
      <c r="A1190" s="1079"/>
      <c r="B1190" s="1050"/>
      <c r="C1190" s="1050"/>
      <c r="D1190" s="1050"/>
      <c r="E1190" s="1050"/>
      <c r="F1190" s="1050"/>
      <c r="G1190" s="1050"/>
    </row>
    <row r="1191" spans="1:7">
      <c r="A1191" s="1079"/>
      <c r="B1191" s="1050"/>
      <c r="C1191" s="1050"/>
      <c r="D1191" s="1050"/>
      <c r="E1191" s="1050"/>
      <c r="F1191" s="1050"/>
      <c r="G1191" s="1050"/>
    </row>
    <row r="1192" spans="1:7">
      <c r="A1192" s="1079"/>
      <c r="B1192" s="1050"/>
      <c r="C1192" s="1050"/>
      <c r="D1192" s="1050"/>
      <c r="E1192" s="1050"/>
      <c r="F1192" s="1050"/>
      <c r="G1192" s="1050"/>
    </row>
    <row r="1193" spans="1:7">
      <c r="A1193" s="1079"/>
      <c r="B1193" s="1050"/>
      <c r="C1193" s="1050"/>
      <c r="D1193" s="1050"/>
      <c r="E1193" s="1050"/>
      <c r="F1193" s="1050"/>
      <c r="G1193" s="1050"/>
    </row>
    <row r="1194" spans="1:7">
      <c r="A1194" s="1079"/>
      <c r="B1194" s="1050"/>
      <c r="C1194" s="1050"/>
      <c r="D1194" s="1050"/>
      <c r="E1194" s="1050"/>
      <c r="F1194" s="1050"/>
      <c r="G1194" s="1050"/>
    </row>
    <row r="1195" spans="1:7">
      <c r="A1195" s="1079"/>
      <c r="B1195" s="1050"/>
      <c r="C1195" s="1050"/>
      <c r="D1195" s="1050"/>
      <c r="E1195" s="1050"/>
      <c r="F1195" s="1050"/>
      <c r="G1195" s="1050"/>
    </row>
    <row r="1196" spans="1:7">
      <c r="A1196" s="1079"/>
      <c r="B1196" s="1050"/>
      <c r="C1196" s="1050"/>
      <c r="D1196" s="1050"/>
      <c r="E1196" s="1050"/>
      <c r="F1196" s="1050"/>
      <c r="G1196" s="1050"/>
    </row>
    <row r="1197" spans="1:7">
      <c r="A1197" s="1079"/>
      <c r="B1197" s="1050"/>
      <c r="C1197" s="1050"/>
      <c r="D1197" s="1050"/>
      <c r="E1197" s="1050"/>
      <c r="F1197" s="1050"/>
      <c r="G1197" s="1050"/>
    </row>
    <row r="1198" spans="1:7">
      <c r="A1198" s="1079"/>
      <c r="B1198" s="1050"/>
      <c r="C1198" s="1050"/>
      <c r="D1198" s="1050"/>
      <c r="E1198" s="1050"/>
      <c r="F1198" s="1050"/>
      <c r="G1198" s="1050"/>
    </row>
    <row r="1199" spans="1:7">
      <c r="A1199" s="1079"/>
      <c r="B1199" s="1050"/>
      <c r="C1199" s="1050"/>
      <c r="D1199" s="1050"/>
      <c r="E1199" s="1050"/>
      <c r="F1199" s="1050"/>
      <c r="G1199" s="1050"/>
    </row>
    <row r="1200" spans="1:7">
      <c r="A1200" s="1079"/>
      <c r="B1200" s="1050"/>
      <c r="C1200" s="1050"/>
      <c r="D1200" s="1050"/>
      <c r="E1200" s="1050"/>
      <c r="F1200" s="1050"/>
      <c r="G1200" s="1050"/>
    </row>
    <row r="1201" spans="1:7">
      <c r="A1201" s="1079"/>
      <c r="B1201" s="1050"/>
      <c r="C1201" s="1050"/>
      <c r="D1201" s="1050"/>
      <c r="E1201" s="1050"/>
      <c r="F1201" s="1050"/>
      <c r="G1201" s="1050"/>
    </row>
    <row r="1202" spans="1:7">
      <c r="A1202" s="1079"/>
      <c r="B1202" s="1050"/>
      <c r="C1202" s="1050"/>
      <c r="D1202" s="1050"/>
      <c r="E1202" s="1050"/>
      <c r="F1202" s="1050"/>
      <c r="G1202" s="1050"/>
    </row>
    <row r="1203" spans="1:7">
      <c r="A1203" s="1079"/>
      <c r="B1203" s="1050"/>
      <c r="C1203" s="1050"/>
      <c r="D1203" s="1050"/>
      <c r="E1203" s="1050"/>
      <c r="F1203" s="1050"/>
      <c r="G1203" s="1050"/>
    </row>
    <row r="1204" spans="1:7">
      <c r="A1204" s="1079"/>
      <c r="B1204" s="1050"/>
      <c r="C1204" s="1050"/>
      <c r="D1204" s="1050"/>
      <c r="E1204" s="1050"/>
      <c r="F1204" s="1050"/>
      <c r="G1204" s="1050"/>
    </row>
    <row r="1205" spans="1:7">
      <c r="A1205" s="1079"/>
      <c r="B1205" s="1050"/>
      <c r="C1205" s="1050"/>
      <c r="D1205" s="1050"/>
      <c r="E1205" s="1050"/>
      <c r="F1205" s="1050"/>
      <c r="G1205" s="1050"/>
    </row>
    <row r="1206" spans="1:7">
      <c r="A1206" s="1079"/>
      <c r="B1206" s="1050"/>
      <c r="C1206" s="1050"/>
      <c r="D1206" s="1050"/>
      <c r="E1206" s="1050"/>
      <c r="F1206" s="1050"/>
      <c r="G1206" s="1050"/>
    </row>
    <row r="1207" spans="1:7">
      <c r="A1207" s="1079"/>
      <c r="B1207" s="1050"/>
      <c r="C1207" s="1050"/>
      <c r="D1207" s="1050"/>
      <c r="E1207" s="1050"/>
      <c r="F1207" s="1050"/>
      <c r="G1207" s="1050"/>
    </row>
    <row r="1208" spans="1:7">
      <c r="A1208" s="1079"/>
      <c r="B1208" s="1050"/>
      <c r="C1208" s="1050"/>
      <c r="D1208" s="1050"/>
      <c r="E1208" s="1050"/>
      <c r="F1208" s="1050"/>
      <c r="G1208" s="1050"/>
    </row>
    <row r="1209" spans="1:7">
      <c r="A1209" s="1079"/>
      <c r="B1209" s="1050"/>
      <c r="C1209" s="1050"/>
      <c r="D1209" s="1050"/>
      <c r="E1209" s="1050"/>
      <c r="F1209" s="1050"/>
      <c r="G1209" s="1050"/>
    </row>
    <row r="1210" spans="1:7">
      <c r="A1210" s="1079"/>
      <c r="B1210" s="1050"/>
      <c r="C1210" s="1050"/>
      <c r="D1210" s="1050"/>
      <c r="E1210" s="1050"/>
      <c r="F1210" s="1050"/>
      <c r="G1210" s="1050"/>
    </row>
    <row r="1211" spans="1:7">
      <c r="A1211" s="1079"/>
      <c r="B1211" s="1050"/>
      <c r="C1211" s="1050"/>
      <c r="D1211" s="1050"/>
      <c r="E1211" s="1050"/>
      <c r="F1211" s="1050"/>
      <c r="G1211" s="1050"/>
    </row>
    <row r="1212" spans="1:7">
      <c r="A1212" s="1079"/>
      <c r="B1212" s="1050"/>
      <c r="C1212" s="1050"/>
      <c r="D1212" s="1050"/>
      <c r="E1212" s="1050"/>
      <c r="F1212" s="1050"/>
      <c r="G1212" s="1050"/>
    </row>
    <row r="1213" spans="1:7">
      <c r="A1213" s="1079"/>
      <c r="B1213" s="1050"/>
      <c r="C1213" s="1050"/>
      <c r="D1213" s="1050"/>
      <c r="E1213" s="1050"/>
      <c r="F1213" s="1050"/>
      <c r="G1213" s="1050"/>
    </row>
    <row r="1214" spans="1:7">
      <c r="A1214" s="1079"/>
      <c r="B1214" s="1050"/>
      <c r="C1214" s="1050"/>
      <c r="D1214" s="1050"/>
      <c r="E1214" s="1050"/>
      <c r="F1214" s="1050"/>
      <c r="G1214" s="1050"/>
    </row>
    <row r="1215" spans="1:7">
      <c r="A1215" s="1079"/>
      <c r="B1215" s="1050"/>
      <c r="C1215" s="1050"/>
      <c r="D1215" s="1050"/>
      <c r="E1215" s="1050"/>
      <c r="F1215" s="1050"/>
      <c r="G1215" s="1050"/>
    </row>
    <row r="1216" spans="1:7">
      <c r="A1216" s="1079"/>
      <c r="B1216" s="1050"/>
      <c r="C1216" s="1050"/>
      <c r="D1216" s="1050"/>
      <c r="E1216" s="1050"/>
      <c r="F1216" s="1050"/>
      <c r="G1216" s="1050"/>
    </row>
    <row r="1217" spans="1:7">
      <c r="A1217" s="1079"/>
      <c r="B1217" s="1050"/>
      <c r="C1217" s="1050"/>
      <c r="D1217" s="1050"/>
      <c r="E1217" s="1050"/>
      <c r="F1217" s="1050"/>
      <c r="G1217" s="1050"/>
    </row>
    <row r="1218" spans="1:7">
      <c r="A1218" s="1079"/>
      <c r="B1218" s="1050"/>
      <c r="C1218" s="1050"/>
      <c r="D1218" s="1050"/>
      <c r="E1218" s="1050"/>
      <c r="F1218" s="1050"/>
      <c r="G1218" s="1050"/>
    </row>
    <row r="1219" spans="1:7">
      <c r="A1219" s="1079"/>
      <c r="B1219" s="1050"/>
      <c r="C1219" s="1050"/>
      <c r="D1219" s="1050"/>
      <c r="E1219" s="1050"/>
      <c r="F1219" s="1050"/>
      <c r="G1219" s="1050"/>
    </row>
    <row r="1220" spans="1:7">
      <c r="A1220" s="1079"/>
      <c r="B1220" s="1050"/>
      <c r="C1220" s="1050"/>
      <c r="D1220" s="1050"/>
      <c r="E1220" s="1050"/>
      <c r="F1220" s="1050"/>
      <c r="G1220" s="1050"/>
    </row>
    <row r="1221" spans="1:7">
      <c r="A1221" s="1079"/>
      <c r="B1221" s="1050"/>
      <c r="C1221" s="1050"/>
      <c r="D1221" s="1050"/>
      <c r="E1221" s="1050"/>
      <c r="F1221" s="1050"/>
      <c r="G1221" s="1050"/>
    </row>
    <row r="1222" spans="1:7">
      <c r="A1222" s="1079"/>
      <c r="B1222" s="1050"/>
      <c r="C1222" s="1050"/>
      <c r="D1222" s="1050"/>
      <c r="E1222" s="1050"/>
      <c r="F1222" s="1050"/>
      <c r="G1222" s="1050"/>
    </row>
    <row r="1223" spans="1:7">
      <c r="A1223" s="1079"/>
      <c r="B1223" s="1050"/>
      <c r="C1223" s="1050"/>
      <c r="D1223" s="1050"/>
      <c r="E1223" s="1050"/>
      <c r="F1223" s="1050"/>
      <c r="G1223" s="1050"/>
    </row>
    <row r="1224" spans="1:7">
      <c r="A1224" s="1079"/>
      <c r="B1224" s="1050"/>
      <c r="C1224" s="1050"/>
      <c r="D1224" s="1050"/>
      <c r="E1224" s="1050"/>
      <c r="F1224" s="1050"/>
      <c r="G1224" s="1050"/>
    </row>
    <row r="1225" spans="1:7">
      <c r="A1225" s="1079"/>
      <c r="B1225" s="1050"/>
      <c r="C1225" s="1050"/>
      <c r="D1225" s="1050"/>
      <c r="E1225" s="1050"/>
      <c r="F1225" s="1050"/>
      <c r="G1225" s="1050"/>
    </row>
    <row r="1226" spans="1:7">
      <c r="A1226" s="1079"/>
      <c r="B1226" s="1050"/>
      <c r="C1226" s="1050"/>
      <c r="D1226" s="1050"/>
      <c r="E1226" s="1050"/>
      <c r="F1226" s="1050"/>
      <c r="G1226" s="1050"/>
    </row>
    <row r="1227" spans="1:7">
      <c r="A1227" s="1079"/>
      <c r="B1227" s="1050"/>
      <c r="C1227" s="1050"/>
      <c r="D1227" s="1050"/>
      <c r="E1227" s="1050"/>
      <c r="F1227" s="1050"/>
      <c r="G1227" s="1050"/>
    </row>
    <row r="1228" spans="1:7">
      <c r="A1228" s="1079"/>
      <c r="B1228" s="1050"/>
      <c r="C1228" s="1050"/>
      <c r="D1228" s="1050"/>
      <c r="E1228" s="1050"/>
      <c r="F1228" s="1050"/>
      <c r="G1228" s="1050"/>
    </row>
    <row r="1229" spans="1:7">
      <c r="A1229" s="1079"/>
      <c r="B1229" s="1050"/>
      <c r="C1229" s="1050"/>
      <c r="D1229" s="1050"/>
      <c r="E1229" s="1050"/>
      <c r="F1229" s="1050"/>
      <c r="G1229" s="1050"/>
    </row>
    <row r="1230" spans="1:7">
      <c r="A1230" s="1079"/>
      <c r="B1230" s="1050"/>
      <c r="C1230" s="1050"/>
      <c r="D1230" s="1050"/>
      <c r="E1230" s="1050"/>
      <c r="F1230" s="1050"/>
      <c r="G1230" s="1050"/>
    </row>
    <row r="1231" spans="1:7">
      <c r="A1231" s="1079"/>
      <c r="B1231" s="1050"/>
      <c r="C1231" s="1050"/>
      <c r="D1231" s="1050"/>
      <c r="E1231" s="1050"/>
      <c r="F1231" s="1050"/>
      <c r="G1231" s="1050"/>
    </row>
    <row r="1232" spans="1:7">
      <c r="A1232" s="1079"/>
      <c r="B1232" s="1050"/>
      <c r="C1232" s="1050"/>
      <c r="D1232" s="1050"/>
      <c r="E1232" s="1050"/>
      <c r="F1232" s="1050"/>
      <c r="G1232" s="1050"/>
    </row>
    <row r="1233" spans="1:7">
      <c r="A1233" s="1079"/>
      <c r="B1233" s="1050"/>
      <c r="C1233" s="1050"/>
      <c r="D1233" s="1050"/>
      <c r="E1233" s="1050"/>
      <c r="F1233" s="1050"/>
      <c r="G1233" s="1050"/>
    </row>
    <row r="1234" spans="1:7">
      <c r="A1234" s="1079"/>
      <c r="B1234" s="1050"/>
      <c r="C1234" s="1050"/>
      <c r="D1234" s="1050"/>
      <c r="E1234" s="1050"/>
      <c r="F1234" s="1050"/>
      <c r="G1234" s="1050"/>
    </row>
    <row r="1235" spans="1:7">
      <c r="A1235" s="1079"/>
      <c r="B1235" s="1050"/>
      <c r="C1235" s="1050"/>
      <c r="D1235" s="1050"/>
      <c r="E1235" s="1050"/>
      <c r="F1235" s="1050"/>
      <c r="G1235" s="1050"/>
    </row>
    <row r="1236" spans="1:7">
      <c r="A1236" s="1079"/>
      <c r="B1236" s="1050"/>
      <c r="C1236" s="1050"/>
      <c r="D1236" s="1050"/>
      <c r="E1236" s="1050"/>
      <c r="F1236" s="1050"/>
      <c r="G1236" s="1050"/>
    </row>
    <row r="1237" spans="1:7">
      <c r="A1237" s="1079"/>
      <c r="B1237" s="1050"/>
      <c r="C1237" s="1050"/>
      <c r="D1237" s="1050"/>
      <c r="E1237" s="1050"/>
      <c r="F1237" s="1050"/>
      <c r="G1237" s="1050"/>
    </row>
    <row r="1238" spans="1:7">
      <c r="A1238" s="1079"/>
      <c r="B1238" s="1050"/>
      <c r="C1238" s="1050"/>
      <c r="D1238" s="1050"/>
      <c r="E1238" s="1050"/>
      <c r="F1238" s="1050"/>
      <c r="G1238" s="1050"/>
    </row>
    <row r="1239" spans="1:7">
      <c r="A1239" s="1079"/>
      <c r="B1239" s="1050"/>
      <c r="C1239" s="1050"/>
      <c r="D1239" s="1050"/>
      <c r="E1239" s="1050"/>
      <c r="F1239" s="1050"/>
      <c r="G1239" s="1050"/>
    </row>
    <row r="1240" spans="1:7">
      <c r="A1240" s="1079"/>
      <c r="B1240" s="1050"/>
      <c r="C1240" s="1050"/>
      <c r="D1240" s="1050"/>
      <c r="E1240" s="1050"/>
      <c r="F1240" s="1050"/>
      <c r="G1240" s="1050"/>
    </row>
    <row r="1241" spans="1:7">
      <c r="A1241" s="1079"/>
      <c r="B1241" s="1050"/>
      <c r="C1241" s="1050"/>
      <c r="D1241" s="1050"/>
      <c r="E1241" s="1050"/>
      <c r="F1241" s="1050"/>
      <c r="G1241" s="1050"/>
    </row>
    <row r="1242" spans="1:7">
      <c r="A1242" s="1079"/>
      <c r="B1242" s="1050"/>
      <c r="C1242" s="1050"/>
      <c r="D1242" s="1050"/>
      <c r="E1242" s="1050"/>
      <c r="F1242" s="1050"/>
      <c r="G1242" s="1050"/>
    </row>
    <row r="1243" spans="1:7">
      <c r="A1243" s="1079"/>
      <c r="B1243" s="1050"/>
      <c r="C1243" s="1050"/>
      <c r="D1243" s="1050"/>
      <c r="E1243" s="1050"/>
      <c r="F1243" s="1050"/>
      <c r="G1243" s="1050"/>
    </row>
    <row r="1244" spans="1:7">
      <c r="A1244" s="1079"/>
      <c r="B1244" s="1050"/>
      <c r="C1244" s="1050"/>
      <c r="D1244" s="1050"/>
      <c r="E1244" s="1050"/>
      <c r="F1244" s="1050"/>
      <c r="G1244" s="1050"/>
    </row>
    <row r="1245" spans="1:7">
      <c r="A1245" s="1079"/>
      <c r="B1245" s="1050"/>
      <c r="C1245" s="1050"/>
      <c r="D1245" s="1050"/>
      <c r="E1245" s="1050"/>
      <c r="F1245" s="1050"/>
      <c r="G1245" s="1050"/>
    </row>
    <row r="1246" spans="1:7">
      <c r="A1246" s="1079"/>
      <c r="B1246" s="1050"/>
      <c r="C1246" s="1050"/>
      <c r="D1246" s="1050"/>
      <c r="E1246" s="1050"/>
      <c r="F1246" s="1050"/>
      <c r="G1246" s="1050"/>
    </row>
    <row r="1247" spans="1:7">
      <c r="A1247" s="1079"/>
      <c r="B1247" s="1050"/>
      <c r="C1247" s="1050"/>
      <c r="D1247" s="1050"/>
      <c r="E1247" s="1050"/>
      <c r="F1247" s="1050"/>
      <c r="G1247" s="1050"/>
    </row>
    <row r="1248" spans="1:7">
      <c r="A1248" s="1079"/>
      <c r="B1248" s="1050"/>
      <c r="C1248" s="1050"/>
      <c r="D1248" s="1050"/>
      <c r="E1248" s="1050"/>
      <c r="F1248" s="1050"/>
      <c r="G1248" s="1050"/>
    </row>
    <row r="1249" spans="1:7">
      <c r="A1249" s="1079"/>
      <c r="B1249" s="1050"/>
      <c r="C1249" s="1050"/>
      <c r="D1249" s="1050"/>
      <c r="E1249" s="1050"/>
      <c r="F1249" s="1050"/>
      <c r="G1249" s="1050"/>
    </row>
    <row r="1250" spans="1:7">
      <c r="A1250" s="1079"/>
      <c r="B1250" s="1050"/>
      <c r="C1250" s="1050"/>
      <c r="D1250" s="1050"/>
      <c r="E1250" s="1050"/>
      <c r="F1250" s="1050"/>
      <c r="G1250" s="1050"/>
    </row>
    <row r="1251" spans="1:7">
      <c r="A1251" s="1079"/>
      <c r="B1251" s="1050"/>
      <c r="C1251" s="1050"/>
      <c r="D1251" s="1050"/>
      <c r="E1251" s="1050"/>
      <c r="F1251" s="1050"/>
      <c r="G1251" s="1050"/>
    </row>
    <row r="1252" spans="1:7">
      <c r="A1252" s="1079"/>
      <c r="B1252" s="1050"/>
      <c r="C1252" s="1050"/>
      <c r="D1252" s="1050"/>
      <c r="E1252" s="1050"/>
      <c r="F1252" s="1050"/>
      <c r="G1252" s="1050"/>
    </row>
    <row r="1253" spans="1:7">
      <c r="A1253" s="1079"/>
      <c r="B1253" s="1050"/>
      <c r="C1253" s="1050"/>
      <c r="D1253" s="1050"/>
      <c r="E1253" s="1050"/>
      <c r="F1253" s="1050"/>
      <c r="G1253" s="1050"/>
    </row>
    <row r="1254" spans="1:7">
      <c r="A1254" s="1079"/>
      <c r="B1254" s="1050"/>
      <c r="C1254" s="1050"/>
      <c r="D1254" s="1050"/>
      <c r="E1254" s="1050"/>
      <c r="F1254" s="1050"/>
      <c r="G1254" s="1050"/>
    </row>
    <row r="1255" spans="1:7">
      <c r="A1255" s="1079"/>
      <c r="B1255" s="1050"/>
      <c r="C1255" s="1050"/>
      <c r="D1255" s="1050"/>
      <c r="E1255" s="1050"/>
      <c r="F1255" s="1050"/>
      <c r="G1255" s="1050"/>
    </row>
    <row r="1256" spans="1:7">
      <c r="A1256" s="1079"/>
      <c r="B1256" s="1050"/>
      <c r="C1256" s="1050"/>
      <c r="D1256" s="1050"/>
      <c r="E1256" s="1050"/>
      <c r="F1256" s="1050"/>
      <c r="G1256" s="1050"/>
    </row>
    <row r="1257" spans="1:7">
      <c r="A1257" s="1079"/>
      <c r="B1257" s="1050"/>
      <c r="C1257" s="1050"/>
      <c r="D1257" s="1050"/>
      <c r="E1257" s="1050"/>
      <c r="F1257" s="1050"/>
      <c r="G1257" s="1050"/>
    </row>
    <row r="1258" spans="1:7">
      <c r="A1258" s="1079"/>
      <c r="B1258" s="1050"/>
      <c r="C1258" s="1050"/>
      <c r="D1258" s="1050"/>
      <c r="E1258" s="1050"/>
      <c r="F1258" s="1050"/>
      <c r="G1258" s="1050"/>
    </row>
    <row r="1259" spans="1:7">
      <c r="A1259" s="1079"/>
      <c r="B1259" s="1050"/>
      <c r="C1259" s="1050"/>
      <c r="D1259" s="1050"/>
      <c r="E1259" s="1050"/>
      <c r="F1259" s="1050"/>
      <c r="G1259" s="1050"/>
    </row>
    <row r="1260" spans="1:7">
      <c r="A1260" s="1079"/>
      <c r="B1260" s="1050"/>
      <c r="C1260" s="1050"/>
      <c r="D1260" s="1050"/>
      <c r="E1260" s="1050"/>
      <c r="F1260" s="1050"/>
      <c r="G1260" s="1050"/>
    </row>
    <row r="1261" spans="1:7">
      <c r="A1261" s="1079"/>
      <c r="B1261" s="1050"/>
      <c r="C1261" s="1050"/>
      <c r="D1261" s="1050"/>
      <c r="E1261" s="1050"/>
      <c r="F1261" s="1050"/>
      <c r="G1261" s="1050"/>
    </row>
    <row r="1262" spans="1:7">
      <c r="A1262" s="1079"/>
      <c r="B1262" s="1050"/>
      <c r="C1262" s="1050"/>
      <c r="D1262" s="1050"/>
      <c r="E1262" s="1050"/>
      <c r="F1262" s="1050"/>
      <c r="G1262" s="1050"/>
    </row>
    <row r="1263" spans="1:7">
      <c r="A1263" s="1079"/>
      <c r="B1263" s="1050"/>
      <c r="C1263" s="1050"/>
      <c r="D1263" s="1050"/>
      <c r="E1263" s="1050"/>
      <c r="F1263" s="1050"/>
      <c r="G1263" s="1050"/>
    </row>
    <row r="1264" spans="1:7">
      <c r="A1264" s="1079"/>
      <c r="B1264" s="1050"/>
      <c r="C1264" s="1050"/>
      <c r="D1264" s="1050"/>
      <c r="E1264" s="1050"/>
      <c r="F1264" s="1050"/>
      <c r="G1264" s="1050"/>
    </row>
    <row r="1265" spans="1:7">
      <c r="A1265" s="1079"/>
      <c r="B1265" s="1050"/>
      <c r="C1265" s="1050"/>
      <c r="D1265" s="1050"/>
      <c r="E1265" s="1050"/>
      <c r="F1265" s="1050"/>
      <c r="G1265" s="1050"/>
    </row>
    <row r="1266" spans="1:7">
      <c r="A1266" s="1079"/>
      <c r="B1266" s="1050"/>
      <c r="C1266" s="1050"/>
      <c r="D1266" s="1050"/>
      <c r="E1266" s="1050"/>
      <c r="F1266" s="1050"/>
      <c r="G1266" s="1050"/>
    </row>
    <row r="1267" spans="1:7">
      <c r="A1267" s="1079"/>
      <c r="B1267" s="1050"/>
      <c r="C1267" s="1050"/>
      <c r="D1267" s="1050"/>
      <c r="E1267" s="1050"/>
      <c r="F1267" s="1050"/>
      <c r="G1267" s="1050"/>
    </row>
    <row r="1268" spans="1:7">
      <c r="A1268" s="1079"/>
      <c r="B1268" s="1050"/>
      <c r="C1268" s="1050"/>
      <c r="D1268" s="1050"/>
      <c r="E1268" s="1050"/>
      <c r="F1268" s="1050"/>
      <c r="G1268" s="1050"/>
    </row>
    <row r="1269" spans="1:7">
      <c r="A1269" s="1079"/>
      <c r="B1269" s="1050"/>
      <c r="C1269" s="1050"/>
      <c r="D1269" s="1050"/>
      <c r="E1269" s="1050"/>
      <c r="F1269" s="1050"/>
      <c r="G1269" s="1050"/>
    </row>
    <row r="1270" spans="1:7">
      <c r="A1270" s="1079"/>
      <c r="B1270" s="1050"/>
      <c r="C1270" s="1050"/>
      <c r="D1270" s="1050"/>
      <c r="E1270" s="1050"/>
      <c r="F1270" s="1050"/>
      <c r="G1270" s="1050"/>
    </row>
    <row r="1271" spans="1:7">
      <c r="A1271" s="1079"/>
      <c r="B1271" s="1050"/>
      <c r="C1271" s="1050"/>
      <c r="D1271" s="1050"/>
      <c r="E1271" s="1050"/>
      <c r="F1271" s="1050"/>
      <c r="G1271" s="1050"/>
    </row>
    <row r="1272" spans="1:7">
      <c r="A1272" s="1079"/>
      <c r="B1272" s="1050"/>
      <c r="C1272" s="1050"/>
      <c r="D1272" s="1050"/>
      <c r="E1272" s="1050"/>
      <c r="F1272" s="1050"/>
      <c r="G1272" s="1050"/>
    </row>
    <row r="1273" spans="1:7">
      <c r="A1273" s="1079"/>
      <c r="B1273" s="1050"/>
      <c r="C1273" s="1050"/>
      <c r="D1273" s="1050"/>
      <c r="E1273" s="1050"/>
      <c r="F1273" s="1050"/>
      <c r="G1273" s="1050"/>
    </row>
    <row r="1274" spans="1:7">
      <c r="A1274" s="1079"/>
      <c r="B1274" s="1050"/>
      <c r="C1274" s="1050"/>
      <c r="D1274" s="1050"/>
      <c r="E1274" s="1050"/>
      <c r="F1274" s="1050"/>
      <c r="G1274" s="1050"/>
    </row>
    <row r="1275" spans="1:7">
      <c r="A1275" s="1079"/>
      <c r="B1275" s="1050"/>
      <c r="C1275" s="1050"/>
      <c r="D1275" s="1050"/>
      <c r="E1275" s="1050"/>
      <c r="F1275" s="1050"/>
      <c r="G1275" s="1050"/>
    </row>
    <row r="1276" spans="1:7">
      <c r="A1276" s="1079"/>
      <c r="B1276" s="1050"/>
      <c r="C1276" s="1050"/>
      <c r="D1276" s="1050"/>
      <c r="E1276" s="1050"/>
      <c r="F1276" s="1050"/>
      <c r="G1276" s="1050"/>
    </row>
    <row r="1277" spans="1:7">
      <c r="A1277" s="1079"/>
      <c r="B1277" s="1050"/>
      <c r="C1277" s="1050"/>
      <c r="D1277" s="1050"/>
      <c r="E1277" s="1050"/>
      <c r="F1277" s="1050"/>
      <c r="G1277" s="1050"/>
    </row>
    <row r="1278" spans="1:7">
      <c r="A1278" s="1079"/>
      <c r="B1278" s="1050"/>
      <c r="C1278" s="1050"/>
      <c r="D1278" s="1050"/>
      <c r="E1278" s="1050"/>
      <c r="F1278" s="1050"/>
      <c r="G1278" s="1050"/>
    </row>
    <row r="1279" spans="1:7">
      <c r="A1279" s="1079"/>
      <c r="B1279" s="1050"/>
      <c r="C1279" s="1050"/>
      <c r="D1279" s="1050"/>
      <c r="E1279" s="1050"/>
      <c r="F1279" s="1050"/>
      <c r="G1279" s="1050"/>
    </row>
    <row r="1280" spans="1:7">
      <c r="A1280" s="1079"/>
      <c r="B1280" s="1050"/>
      <c r="C1280" s="1050"/>
      <c r="D1280" s="1050"/>
      <c r="E1280" s="1050"/>
      <c r="F1280" s="1050"/>
      <c r="G1280" s="1050"/>
    </row>
    <row r="1281" spans="1:7">
      <c r="A1281" s="1079"/>
      <c r="B1281" s="1050"/>
      <c r="C1281" s="1050"/>
      <c r="D1281" s="1050"/>
      <c r="E1281" s="1050"/>
      <c r="F1281" s="1050"/>
      <c r="G1281" s="1050"/>
    </row>
    <row r="1282" spans="1:7">
      <c r="A1282" s="1079"/>
      <c r="B1282" s="1050"/>
      <c r="C1282" s="1050"/>
      <c r="D1282" s="1050"/>
      <c r="E1282" s="1050"/>
      <c r="F1282" s="1050"/>
      <c r="G1282" s="1050"/>
    </row>
    <row r="1283" spans="1:7">
      <c r="A1283" s="1079"/>
      <c r="B1283" s="1050"/>
      <c r="C1283" s="1050"/>
      <c r="D1283" s="1050"/>
      <c r="E1283" s="1050"/>
      <c r="F1283" s="1050"/>
      <c r="G1283" s="1050"/>
    </row>
    <row r="1284" spans="1:7">
      <c r="A1284" s="1079"/>
      <c r="B1284" s="1050"/>
      <c r="C1284" s="1050"/>
      <c r="D1284" s="1050"/>
      <c r="E1284" s="1050"/>
      <c r="F1284" s="1050"/>
      <c r="G1284" s="1050"/>
    </row>
    <row r="1285" spans="1:7">
      <c r="A1285" s="1079"/>
      <c r="B1285" s="1050"/>
      <c r="C1285" s="1050"/>
      <c r="D1285" s="1050"/>
      <c r="E1285" s="1050"/>
      <c r="F1285" s="1050"/>
      <c r="G1285" s="1050"/>
    </row>
    <row r="1286" spans="1:7">
      <c r="A1286" s="1079"/>
      <c r="B1286" s="1050"/>
      <c r="C1286" s="1050"/>
      <c r="D1286" s="1050"/>
      <c r="E1286" s="1050"/>
      <c r="F1286" s="1050"/>
      <c r="G1286" s="1050"/>
    </row>
    <row r="1287" spans="1:7">
      <c r="A1287" s="1079"/>
      <c r="B1287" s="1050"/>
      <c r="C1287" s="1050"/>
      <c r="D1287" s="1050"/>
      <c r="E1287" s="1050"/>
      <c r="F1287" s="1050"/>
      <c r="G1287" s="1050"/>
    </row>
    <row r="1288" spans="1:7">
      <c r="A1288" s="1079"/>
      <c r="B1288" s="1050"/>
      <c r="C1288" s="1050"/>
      <c r="D1288" s="1050"/>
      <c r="E1288" s="1050"/>
      <c r="F1288" s="1050"/>
      <c r="G1288" s="1050"/>
    </row>
    <row r="1289" spans="1:7">
      <c r="A1289" s="1079"/>
      <c r="B1289" s="1050"/>
      <c r="C1289" s="1050"/>
      <c r="D1289" s="1050"/>
      <c r="E1289" s="1050"/>
      <c r="F1289" s="1050"/>
      <c r="G1289" s="1050"/>
    </row>
    <row r="1290" spans="1:7">
      <c r="A1290" s="1079"/>
      <c r="B1290" s="1050"/>
      <c r="C1290" s="1050"/>
      <c r="D1290" s="1050"/>
      <c r="E1290" s="1050"/>
      <c r="F1290" s="1050"/>
      <c r="G1290" s="1050"/>
    </row>
    <row r="1291" spans="1:7">
      <c r="A1291" s="1079"/>
      <c r="B1291" s="1050"/>
      <c r="C1291" s="1050"/>
      <c r="D1291" s="1050"/>
      <c r="E1291" s="1050"/>
      <c r="F1291" s="1050"/>
      <c r="G1291" s="1050"/>
    </row>
    <row r="1292" spans="1:7">
      <c r="A1292" s="1079"/>
      <c r="B1292" s="1050"/>
      <c r="C1292" s="1050"/>
      <c r="D1292" s="1050"/>
      <c r="E1292" s="1050"/>
      <c r="F1292" s="1050"/>
      <c r="G1292" s="1050"/>
    </row>
    <row r="1293" spans="1:7">
      <c r="A1293" s="1079"/>
      <c r="B1293" s="1050"/>
      <c r="C1293" s="1050"/>
      <c r="D1293" s="1050"/>
      <c r="E1293" s="1050"/>
      <c r="F1293" s="1050"/>
      <c r="G1293" s="1050"/>
    </row>
    <row r="1294" spans="1:7">
      <c r="A1294" s="1079"/>
      <c r="B1294" s="1050"/>
      <c r="C1294" s="1050"/>
      <c r="D1294" s="1050"/>
      <c r="E1294" s="1050"/>
      <c r="F1294" s="1050"/>
      <c r="G1294" s="1050"/>
    </row>
    <row r="1295" spans="1:7">
      <c r="A1295" s="1079"/>
      <c r="B1295" s="1050"/>
      <c r="C1295" s="1050"/>
      <c r="D1295" s="1050"/>
      <c r="E1295" s="1050"/>
      <c r="F1295" s="1050"/>
      <c r="G1295" s="1050"/>
    </row>
    <row r="1296" spans="1:7">
      <c r="A1296" s="1079"/>
      <c r="B1296" s="1050"/>
      <c r="C1296" s="1050"/>
      <c r="D1296" s="1050"/>
      <c r="E1296" s="1050"/>
      <c r="F1296" s="1050"/>
      <c r="G1296" s="1050"/>
    </row>
    <row r="1297" spans="1:7">
      <c r="A1297" s="1079"/>
      <c r="B1297" s="1050"/>
      <c r="C1297" s="1050"/>
      <c r="D1297" s="1050"/>
      <c r="E1297" s="1050"/>
      <c r="F1297" s="1050"/>
      <c r="G1297" s="1050"/>
    </row>
    <row r="1298" spans="1:7">
      <c r="A1298" s="1079"/>
      <c r="B1298" s="1050"/>
      <c r="C1298" s="1050"/>
      <c r="D1298" s="1050"/>
      <c r="E1298" s="1050"/>
      <c r="F1298" s="1050"/>
      <c r="G1298" s="1050"/>
    </row>
    <row r="1299" spans="1:7">
      <c r="A1299" s="1079"/>
      <c r="B1299" s="1050"/>
      <c r="C1299" s="1050"/>
      <c r="D1299" s="1050"/>
      <c r="E1299" s="1050"/>
      <c r="F1299" s="1050"/>
      <c r="G1299" s="1050"/>
    </row>
    <row r="1300" spans="1:7">
      <c r="A1300" s="1079"/>
      <c r="B1300" s="1050"/>
      <c r="C1300" s="1050"/>
      <c r="D1300" s="1050"/>
      <c r="E1300" s="1050"/>
      <c r="F1300" s="1050"/>
      <c r="G1300" s="1050"/>
    </row>
    <row r="1301" spans="1:7">
      <c r="A1301" s="1079"/>
      <c r="B1301" s="1050"/>
      <c r="C1301" s="1050"/>
      <c r="D1301" s="1050"/>
      <c r="E1301" s="1050"/>
      <c r="F1301" s="1050"/>
      <c r="G1301" s="1050"/>
    </row>
    <row r="1302" spans="1:7">
      <c r="A1302" s="1079"/>
      <c r="B1302" s="1050"/>
      <c r="C1302" s="1050"/>
      <c r="D1302" s="1050"/>
      <c r="E1302" s="1050"/>
      <c r="F1302" s="1050"/>
      <c r="G1302" s="1050"/>
    </row>
    <row r="1303" spans="1:7">
      <c r="A1303" s="1079"/>
      <c r="B1303" s="1050"/>
      <c r="C1303" s="1050"/>
      <c r="D1303" s="1050"/>
      <c r="E1303" s="1050"/>
      <c r="F1303" s="1050"/>
      <c r="G1303" s="1050"/>
    </row>
    <row r="1304" spans="1:7">
      <c r="A1304" s="1079"/>
      <c r="B1304" s="1050"/>
      <c r="C1304" s="1050"/>
      <c r="D1304" s="1050"/>
      <c r="E1304" s="1050"/>
      <c r="F1304" s="1050"/>
      <c r="G1304" s="1050"/>
    </row>
    <row r="1305" spans="1:7">
      <c r="A1305" s="1079"/>
      <c r="B1305" s="1050"/>
      <c r="C1305" s="1050"/>
      <c r="D1305" s="1050"/>
      <c r="E1305" s="1050"/>
      <c r="F1305" s="1050"/>
      <c r="G1305" s="1050"/>
    </row>
    <row r="1306" spans="1:7">
      <c r="A1306" s="1079"/>
      <c r="B1306" s="1050"/>
      <c r="C1306" s="1050"/>
      <c r="D1306" s="1050"/>
      <c r="E1306" s="1050"/>
      <c r="F1306" s="1050"/>
      <c r="G1306" s="1050"/>
    </row>
    <row r="1307" spans="1:7">
      <c r="A1307" s="1079"/>
      <c r="B1307" s="1050"/>
      <c r="C1307" s="1050"/>
      <c r="D1307" s="1050"/>
      <c r="E1307" s="1050"/>
      <c r="F1307" s="1050"/>
      <c r="G1307" s="1050"/>
    </row>
    <row r="1308" spans="1:7">
      <c r="A1308" s="1079"/>
      <c r="B1308" s="1050"/>
      <c r="C1308" s="1050"/>
      <c r="D1308" s="1050"/>
      <c r="E1308" s="1050"/>
      <c r="F1308" s="1050"/>
      <c r="G1308" s="1050"/>
    </row>
    <row r="1309" spans="1:7">
      <c r="A1309" s="1079"/>
      <c r="B1309" s="1050"/>
      <c r="C1309" s="1050"/>
      <c r="D1309" s="1050"/>
      <c r="E1309" s="1050"/>
      <c r="F1309" s="1050"/>
      <c r="G1309" s="1050"/>
    </row>
    <row r="1310" spans="1:7">
      <c r="A1310" s="1079"/>
      <c r="B1310" s="1050"/>
      <c r="C1310" s="1050"/>
      <c r="D1310" s="1050"/>
      <c r="E1310" s="1050"/>
      <c r="F1310" s="1050"/>
      <c r="G1310" s="1050"/>
    </row>
    <row r="1311" spans="1:7">
      <c r="A1311" s="1079"/>
      <c r="B1311" s="1050"/>
      <c r="C1311" s="1050"/>
      <c r="D1311" s="1050"/>
      <c r="E1311" s="1050"/>
      <c r="F1311" s="1050"/>
      <c r="G1311" s="1050"/>
    </row>
    <row r="1312" spans="1:7">
      <c r="A1312" s="1079"/>
      <c r="B1312" s="1050"/>
      <c r="C1312" s="1050"/>
      <c r="D1312" s="1050"/>
      <c r="E1312" s="1050"/>
      <c r="F1312" s="1050"/>
      <c r="G1312" s="1050"/>
    </row>
    <row r="1313" spans="1:7">
      <c r="A1313" s="1079"/>
      <c r="B1313" s="1050"/>
      <c r="C1313" s="1050"/>
      <c r="D1313" s="1050"/>
      <c r="E1313" s="1050"/>
      <c r="F1313" s="1050"/>
      <c r="G1313" s="1050"/>
    </row>
    <row r="1314" spans="1:7">
      <c r="A1314" s="1079"/>
      <c r="B1314" s="1050"/>
      <c r="C1314" s="1050"/>
      <c r="D1314" s="1050"/>
      <c r="E1314" s="1050"/>
      <c r="F1314" s="1050"/>
      <c r="G1314" s="1050"/>
    </row>
    <row r="1315" spans="1:7">
      <c r="A1315" s="1079"/>
      <c r="B1315" s="1050"/>
      <c r="C1315" s="1050"/>
      <c r="D1315" s="1050"/>
      <c r="E1315" s="1050"/>
      <c r="F1315" s="1050"/>
      <c r="G1315" s="1050"/>
    </row>
    <row r="1316" spans="1:7">
      <c r="A1316" s="1079"/>
      <c r="B1316" s="1050"/>
      <c r="C1316" s="1050"/>
      <c r="D1316" s="1050"/>
      <c r="E1316" s="1050"/>
      <c r="F1316" s="1050"/>
      <c r="G1316" s="1050"/>
    </row>
    <row r="1317" spans="1:7">
      <c r="A1317" s="1079"/>
      <c r="B1317" s="1050"/>
      <c r="C1317" s="1050"/>
      <c r="D1317" s="1050"/>
      <c r="E1317" s="1050"/>
      <c r="F1317" s="1050"/>
      <c r="G1317" s="1050"/>
    </row>
    <row r="1318" spans="1:7">
      <c r="A1318" s="1079"/>
      <c r="B1318" s="1050"/>
      <c r="C1318" s="1050"/>
      <c r="D1318" s="1050"/>
      <c r="E1318" s="1050"/>
      <c r="F1318" s="1050"/>
      <c r="G1318" s="1050"/>
    </row>
    <row r="1319" spans="1:7">
      <c r="A1319" s="1079"/>
      <c r="B1319" s="1050"/>
      <c r="C1319" s="1050"/>
      <c r="D1319" s="1050"/>
      <c r="E1319" s="1050"/>
      <c r="F1319" s="1050"/>
      <c r="G1319" s="1050"/>
    </row>
    <row r="1320" spans="1:7">
      <c r="A1320" s="1079"/>
      <c r="B1320" s="1050"/>
      <c r="C1320" s="1050"/>
      <c r="D1320" s="1050"/>
      <c r="E1320" s="1050"/>
      <c r="F1320" s="1050"/>
      <c r="G1320" s="1050"/>
    </row>
    <row r="1321" spans="1:7">
      <c r="A1321" s="1079"/>
      <c r="B1321" s="1050"/>
      <c r="C1321" s="1050"/>
      <c r="D1321" s="1050"/>
      <c r="E1321" s="1050"/>
      <c r="F1321" s="1050"/>
      <c r="G1321" s="1050"/>
    </row>
    <row r="1322" spans="1:7">
      <c r="A1322" s="1079"/>
      <c r="B1322" s="1050"/>
      <c r="C1322" s="1050"/>
      <c r="D1322" s="1050"/>
      <c r="E1322" s="1050"/>
      <c r="F1322" s="1050"/>
      <c r="G1322" s="1050"/>
    </row>
    <row r="1323" spans="1:7">
      <c r="A1323" s="1079"/>
      <c r="B1323" s="1050"/>
      <c r="C1323" s="1050"/>
      <c r="D1323" s="1050"/>
      <c r="E1323" s="1050"/>
      <c r="F1323" s="1050"/>
      <c r="G1323" s="1050"/>
    </row>
    <row r="1324" spans="1:7">
      <c r="A1324" s="1079"/>
      <c r="B1324" s="1050"/>
      <c r="C1324" s="1050"/>
      <c r="D1324" s="1050"/>
      <c r="E1324" s="1050"/>
      <c r="F1324" s="1050"/>
      <c r="G1324" s="1050"/>
    </row>
    <row r="1325" spans="1:7">
      <c r="A1325" s="1079"/>
      <c r="B1325" s="1050"/>
      <c r="C1325" s="1050"/>
      <c r="D1325" s="1050"/>
      <c r="E1325" s="1050"/>
      <c r="F1325" s="1050"/>
      <c r="G1325" s="1050"/>
    </row>
    <row r="1326" spans="1:7">
      <c r="A1326" s="1079"/>
      <c r="B1326" s="1050"/>
      <c r="C1326" s="1050"/>
      <c r="D1326" s="1050"/>
      <c r="E1326" s="1050"/>
      <c r="F1326" s="1050"/>
      <c r="G1326" s="1050"/>
    </row>
    <row r="1327" spans="1:7">
      <c r="A1327" s="1079"/>
      <c r="B1327" s="1050"/>
      <c r="C1327" s="1050"/>
      <c r="D1327" s="1050"/>
      <c r="E1327" s="1050"/>
      <c r="F1327" s="1050"/>
      <c r="G1327" s="1050"/>
    </row>
    <row r="1328" spans="1:7">
      <c r="A1328" s="1079"/>
      <c r="B1328" s="1050"/>
      <c r="C1328" s="1050"/>
      <c r="D1328" s="1050"/>
      <c r="E1328" s="1050"/>
      <c r="F1328" s="1050"/>
      <c r="G1328" s="1050"/>
    </row>
    <row r="1329" spans="1:7">
      <c r="A1329" s="1079"/>
      <c r="B1329" s="1050"/>
      <c r="C1329" s="1050"/>
      <c r="D1329" s="1050"/>
      <c r="E1329" s="1050"/>
      <c r="F1329" s="1050"/>
      <c r="G1329" s="1050"/>
    </row>
    <row r="1330" spans="1:7">
      <c r="A1330" s="1079"/>
      <c r="B1330" s="1050"/>
      <c r="C1330" s="1050"/>
      <c r="D1330" s="1050"/>
      <c r="E1330" s="1050"/>
      <c r="F1330" s="1050"/>
      <c r="G1330" s="1050"/>
    </row>
    <row r="1331" spans="1:7">
      <c r="A1331" s="1079"/>
      <c r="B1331" s="1050"/>
      <c r="C1331" s="1050"/>
      <c r="D1331" s="1050"/>
      <c r="E1331" s="1050"/>
      <c r="F1331" s="1050"/>
      <c r="G1331" s="1050"/>
    </row>
    <row r="1332" spans="1:7">
      <c r="A1332" s="1079"/>
      <c r="B1332" s="1050"/>
      <c r="C1332" s="1050"/>
      <c r="D1332" s="1050"/>
      <c r="E1332" s="1050"/>
      <c r="F1332" s="1050"/>
      <c r="G1332" s="1050"/>
    </row>
    <row r="1333" spans="1:7">
      <c r="A1333" s="1079"/>
      <c r="B1333" s="1050"/>
      <c r="C1333" s="1050"/>
      <c r="D1333" s="1050"/>
      <c r="E1333" s="1050"/>
      <c r="F1333" s="1050"/>
      <c r="G1333" s="1050"/>
    </row>
    <row r="1334" spans="1:7">
      <c r="A1334" s="1079"/>
      <c r="B1334" s="1050"/>
      <c r="C1334" s="1050"/>
      <c r="D1334" s="1050"/>
      <c r="E1334" s="1050"/>
      <c r="F1334" s="1050"/>
      <c r="G1334" s="1050"/>
    </row>
    <row r="1335" spans="1:7">
      <c r="A1335" s="1079"/>
      <c r="B1335" s="1050"/>
      <c r="C1335" s="1050"/>
      <c r="D1335" s="1050"/>
      <c r="E1335" s="1050"/>
      <c r="F1335" s="1050"/>
      <c r="G1335" s="1050"/>
    </row>
    <row r="1336" spans="1:7">
      <c r="A1336" s="1079"/>
      <c r="B1336" s="1050"/>
      <c r="C1336" s="1050"/>
      <c r="D1336" s="1050"/>
      <c r="E1336" s="1050"/>
      <c r="F1336" s="1050"/>
      <c r="G1336" s="1050"/>
    </row>
    <row r="1337" spans="1:7">
      <c r="A1337" s="1079"/>
      <c r="B1337" s="1050"/>
      <c r="C1337" s="1050"/>
      <c r="D1337" s="1050"/>
      <c r="E1337" s="1050"/>
      <c r="F1337" s="1050"/>
      <c r="G1337" s="1050"/>
    </row>
    <row r="1338" spans="1:7">
      <c r="A1338" s="1079"/>
      <c r="B1338" s="1050"/>
      <c r="C1338" s="1050"/>
      <c r="D1338" s="1050"/>
      <c r="E1338" s="1050"/>
      <c r="F1338" s="1050"/>
      <c r="G1338" s="1050"/>
    </row>
    <row r="1339" spans="1:7">
      <c r="A1339" s="1079"/>
      <c r="B1339" s="1050"/>
      <c r="C1339" s="1050"/>
      <c r="D1339" s="1050"/>
      <c r="E1339" s="1050"/>
      <c r="F1339" s="1050"/>
      <c r="G1339" s="1050"/>
    </row>
    <row r="1340" spans="1:7">
      <c r="A1340" s="1079"/>
      <c r="B1340" s="1050"/>
      <c r="C1340" s="1050"/>
      <c r="D1340" s="1050"/>
      <c r="E1340" s="1050"/>
      <c r="F1340" s="1050"/>
      <c r="G1340" s="1050"/>
    </row>
    <row r="1341" spans="1:7">
      <c r="A1341" s="1079"/>
      <c r="B1341" s="1050"/>
      <c r="C1341" s="1050"/>
      <c r="D1341" s="1050"/>
      <c r="E1341" s="1050"/>
      <c r="F1341" s="1050"/>
      <c r="G1341" s="1050"/>
    </row>
    <row r="1342" spans="1:7">
      <c r="A1342" s="1079"/>
      <c r="B1342" s="1050"/>
      <c r="C1342" s="1050"/>
      <c r="D1342" s="1050"/>
      <c r="E1342" s="1050"/>
      <c r="F1342" s="1050"/>
      <c r="G1342" s="1050"/>
    </row>
    <row r="1343" spans="1:7">
      <c r="A1343" s="1079"/>
      <c r="B1343" s="1050"/>
      <c r="C1343" s="1050"/>
      <c r="D1343" s="1050"/>
      <c r="E1343" s="1050"/>
      <c r="F1343" s="1050"/>
      <c r="G1343" s="1050"/>
    </row>
    <row r="1344" spans="1:7">
      <c r="A1344" s="1079"/>
      <c r="B1344" s="1050"/>
      <c r="C1344" s="1050"/>
      <c r="D1344" s="1050"/>
      <c r="E1344" s="1050"/>
      <c r="F1344" s="1050"/>
      <c r="G1344" s="1050"/>
    </row>
    <row r="1345" spans="1:7">
      <c r="A1345" s="1079"/>
      <c r="B1345" s="1050"/>
      <c r="C1345" s="1050"/>
      <c r="D1345" s="1050"/>
      <c r="E1345" s="1050"/>
      <c r="F1345" s="1050"/>
      <c r="G1345" s="1050"/>
    </row>
    <row r="1346" spans="1:7">
      <c r="A1346" s="1079"/>
      <c r="B1346" s="1050"/>
      <c r="C1346" s="1050"/>
      <c r="D1346" s="1050"/>
      <c r="E1346" s="1050"/>
      <c r="F1346" s="1050"/>
      <c r="G1346" s="1050"/>
    </row>
    <row r="1347" spans="1:7">
      <c r="A1347" s="1079"/>
      <c r="B1347" s="1050"/>
      <c r="C1347" s="1050"/>
      <c r="D1347" s="1050"/>
      <c r="E1347" s="1050"/>
      <c r="F1347" s="1050"/>
      <c r="G1347" s="1050"/>
    </row>
    <row r="1348" spans="1:7">
      <c r="A1348" s="1079"/>
      <c r="B1348" s="1050"/>
      <c r="C1348" s="1050"/>
      <c r="D1348" s="1050"/>
      <c r="E1348" s="1050"/>
      <c r="F1348" s="1050"/>
      <c r="G1348" s="1050"/>
    </row>
    <row r="1349" spans="1:7">
      <c r="A1349" s="1079"/>
      <c r="B1349" s="1050"/>
      <c r="C1349" s="1050"/>
      <c r="D1349" s="1050"/>
      <c r="E1349" s="1050"/>
      <c r="F1349" s="1050"/>
      <c r="G1349" s="1050"/>
    </row>
    <row r="1350" spans="1:7">
      <c r="A1350" s="1079"/>
      <c r="B1350" s="1050"/>
      <c r="C1350" s="1050"/>
      <c r="D1350" s="1050"/>
      <c r="E1350" s="1050"/>
      <c r="F1350" s="1050"/>
      <c r="G1350" s="1050"/>
    </row>
    <row r="1351" spans="1:7">
      <c r="A1351" s="1079"/>
      <c r="B1351" s="1050"/>
      <c r="C1351" s="1050"/>
      <c r="D1351" s="1050"/>
      <c r="E1351" s="1050"/>
      <c r="F1351" s="1050"/>
      <c r="G1351" s="1050"/>
    </row>
    <row r="1352" spans="1:7">
      <c r="A1352" s="1079"/>
      <c r="B1352" s="1050"/>
      <c r="C1352" s="1050"/>
      <c r="D1352" s="1050"/>
      <c r="E1352" s="1050"/>
      <c r="F1352" s="1050"/>
      <c r="G1352" s="1050"/>
    </row>
    <row r="1353" spans="1:7">
      <c r="A1353" s="1079"/>
      <c r="B1353" s="1050"/>
      <c r="C1353" s="1050"/>
      <c r="D1353" s="1050"/>
      <c r="E1353" s="1050"/>
      <c r="F1353" s="1050"/>
      <c r="G1353" s="1050"/>
    </row>
    <row r="1354" spans="1:7">
      <c r="A1354" s="1079"/>
      <c r="B1354" s="1050"/>
      <c r="C1354" s="1050"/>
      <c r="D1354" s="1050"/>
      <c r="E1354" s="1050"/>
      <c r="F1354" s="1050"/>
      <c r="G1354" s="1050"/>
    </row>
    <row r="1355" spans="1:7">
      <c r="A1355" s="1079"/>
      <c r="B1355" s="1050"/>
      <c r="C1355" s="1050"/>
      <c r="D1355" s="1050"/>
      <c r="E1355" s="1050"/>
      <c r="F1355" s="1050"/>
      <c r="G1355" s="1050"/>
    </row>
    <row r="1356" spans="1:7">
      <c r="A1356" s="1079"/>
      <c r="B1356" s="1050"/>
      <c r="C1356" s="1050"/>
      <c r="D1356" s="1050"/>
      <c r="E1356" s="1050"/>
      <c r="F1356" s="1050"/>
      <c r="G1356" s="1050"/>
    </row>
    <row r="1357" spans="1:7">
      <c r="A1357" s="1079"/>
      <c r="B1357" s="1050"/>
      <c r="C1357" s="1050"/>
      <c r="D1357" s="1050"/>
      <c r="E1357" s="1050"/>
      <c r="F1357" s="1050"/>
      <c r="G1357" s="1050"/>
    </row>
    <row r="1358" spans="1:7">
      <c r="A1358" s="1079"/>
      <c r="B1358" s="1050"/>
      <c r="C1358" s="1050"/>
      <c r="D1358" s="1050"/>
      <c r="E1358" s="1050"/>
      <c r="F1358" s="1050"/>
      <c r="G1358" s="1050"/>
    </row>
    <row r="1359" spans="1:7">
      <c r="A1359" s="1079"/>
      <c r="B1359" s="1050"/>
      <c r="C1359" s="1050"/>
      <c r="D1359" s="1050"/>
      <c r="E1359" s="1050"/>
      <c r="F1359" s="1050"/>
      <c r="G1359" s="1050"/>
    </row>
    <row r="1360" spans="1:7">
      <c r="A1360" s="1079"/>
      <c r="B1360" s="1050"/>
      <c r="C1360" s="1050"/>
      <c r="D1360" s="1050"/>
      <c r="E1360" s="1050"/>
      <c r="F1360" s="1050"/>
      <c r="G1360" s="1050"/>
    </row>
    <row r="1361" spans="1:7">
      <c r="A1361" s="1079"/>
      <c r="B1361" s="1050"/>
      <c r="C1361" s="1050"/>
      <c r="D1361" s="1050"/>
      <c r="E1361" s="1050"/>
      <c r="F1361" s="1050"/>
      <c r="G1361" s="1050"/>
    </row>
    <row r="1362" spans="1:7">
      <c r="A1362" s="1079"/>
      <c r="B1362" s="1050"/>
      <c r="C1362" s="1050"/>
      <c r="D1362" s="1050"/>
      <c r="E1362" s="1050"/>
      <c r="F1362" s="1050"/>
      <c r="G1362" s="1050"/>
    </row>
    <row r="1363" spans="1:7">
      <c r="A1363" s="1079"/>
      <c r="B1363" s="1050"/>
      <c r="C1363" s="1050"/>
      <c r="D1363" s="1050"/>
      <c r="E1363" s="1050"/>
      <c r="F1363" s="1050"/>
      <c r="G1363" s="1050"/>
    </row>
    <row r="1364" spans="1:7">
      <c r="A1364" s="1079"/>
      <c r="B1364" s="1050"/>
      <c r="C1364" s="1050"/>
      <c r="D1364" s="1050"/>
      <c r="E1364" s="1050"/>
      <c r="F1364" s="1050"/>
      <c r="G1364" s="1050"/>
    </row>
    <row r="1365" spans="1:7">
      <c r="A1365" s="1079"/>
      <c r="B1365" s="1050"/>
      <c r="C1365" s="1050"/>
      <c r="D1365" s="1050"/>
      <c r="E1365" s="1050"/>
      <c r="F1365" s="1050"/>
      <c r="G1365" s="1050"/>
    </row>
    <row r="1366" spans="1:7">
      <c r="A1366" s="1079"/>
      <c r="B1366" s="1050"/>
      <c r="C1366" s="1050"/>
      <c r="D1366" s="1050"/>
      <c r="E1366" s="1050"/>
      <c r="F1366" s="1050"/>
      <c r="G1366" s="1050"/>
    </row>
    <row r="1367" spans="1:7">
      <c r="A1367" s="1079"/>
      <c r="B1367" s="1050"/>
      <c r="C1367" s="1050"/>
      <c r="D1367" s="1050"/>
      <c r="E1367" s="1050"/>
      <c r="F1367" s="1050"/>
      <c r="G1367" s="1050"/>
    </row>
    <row r="1368" spans="1:7">
      <c r="A1368" s="1079"/>
      <c r="B1368" s="1050"/>
      <c r="C1368" s="1050"/>
      <c r="D1368" s="1050"/>
      <c r="E1368" s="1050"/>
      <c r="F1368" s="1050"/>
      <c r="G1368" s="1050"/>
    </row>
    <row r="1369" spans="1:7">
      <c r="A1369" s="1079"/>
      <c r="B1369" s="1050"/>
      <c r="C1369" s="1050"/>
      <c r="D1369" s="1050"/>
      <c r="E1369" s="1050"/>
      <c r="F1369" s="1050"/>
      <c r="G1369" s="1050"/>
    </row>
    <row r="1370" spans="1:7">
      <c r="A1370" s="1079"/>
      <c r="B1370" s="1050"/>
      <c r="C1370" s="1050"/>
      <c r="D1370" s="1050"/>
      <c r="E1370" s="1050"/>
      <c r="F1370" s="1050"/>
      <c r="G1370" s="1050"/>
    </row>
    <row r="1371" spans="1:7">
      <c r="A1371" s="1079"/>
      <c r="B1371" s="1050"/>
      <c r="C1371" s="1050"/>
      <c r="D1371" s="1050"/>
      <c r="E1371" s="1050"/>
      <c r="F1371" s="1050"/>
      <c r="G1371" s="1050"/>
    </row>
    <row r="1372" spans="1:7">
      <c r="A1372" s="1079"/>
      <c r="B1372" s="1050"/>
      <c r="C1372" s="1050"/>
      <c r="D1372" s="1050"/>
      <c r="E1372" s="1050"/>
      <c r="F1372" s="1050"/>
      <c r="G1372" s="1050"/>
    </row>
    <row r="1373" spans="1:7">
      <c r="A1373" s="1079"/>
      <c r="B1373" s="1050"/>
      <c r="C1373" s="1050"/>
      <c r="D1373" s="1050"/>
      <c r="E1373" s="1050"/>
      <c r="F1373" s="1050"/>
      <c r="G1373" s="1050"/>
    </row>
    <row r="1374" spans="1:7">
      <c r="A1374" s="1079"/>
      <c r="B1374" s="1050"/>
      <c r="C1374" s="1050"/>
      <c r="D1374" s="1050"/>
      <c r="E1374" s="1050"/>
      <c r="F1374" s="1050"/>
      <c r="G1374" s="1050"/>
    </row>
    <row r="1375" spans="1:7">
      <c r="A1375" s="1079"/>
      <c r="B1375" s="1050"/>
      <c r="C1375" s="1050"/>
      <c r="D1375" s="1050"/>
      <c r="E1375" s="1050"/>
      <c r="F1375" s="1050"/>
      <c r="G1375" s="1050"/>
    </row>
    <row r="1376" spans="1:7">
      <c r="A1376" s="1079"/>
      <c r="B1376" s="1050"/>
      <c r="C1376" s="1050"/>
      <c r="D1376" s="1050"/>
      <c r="E1376" s="1050"/>
      <c r="F1376" s="1050"/>
      <c r="G1376" s="1050"/>
    </row>
    <row r="1377" spans="1:7">
      <c r="A1377" s="1079"/>
      <c r="B1377" s="1050"/>
      <c r="C1377" s="1050"/>
      <c r="D1377" s="1050"/>
      <c r="E1377" s="1050"/>
      <c r="F1377" s="1050"/>
      <c r="G1377" s="1050"/>
    </row>
    <row r="1378" spans="1:7">
      <c r="A1378" s="1079"/>
      <c r="B1378" s="1050"/>
      <c r="C1378" s="1050"/>
      <c r="D1378" s="1050"/>
      <c r="E1378" s="1050"/>
      <c r="F1378" s="1050"/>
      <c r="G1378" s="1050"/>
    </row>
    <row r="1379" spans="1:7">
      <c r="A1379" s="1079"/>
      <c r="B1379" s="1050"/>
      <c r="C1379" s="1050"/>
      <c r="D1379" s="1050"/>
      <c r="E1379" s="1050"/>
      <c r="F1379" s="1050"/>
      <c r="G1379" s="1050"/>
    </row>
    <row r="1380" spans="1:7">
      <c r="A1380" s="1079"/>
      <c r="B1380" s="1050"/>
      <c r="C1380" s="1050"/>
      <c r="D1380" s="1050"/>
      <c r="E1380" s="1050"/>
      <c r="F1380" s="1050"/>
      <c r="G1380" s="1050"/>
    </row>
    <row r="1381" spans="1:7">
      <c r="A1381" s="1079"/>
      <c r="B1381" s="1050"/>
      <c r="C1381" s="1050"/>
      <c r="D1381" s="1050"/>
      <c r="E1381" s="1050"/>
      <c r="F1381" s="1050"/>
      <c r="G1381" s="1050"/>
    </row>
    <row r="1382" spans="1:7">
      <c r="A1382" s="1079"/>
      <c r="B1382" s="1050"/>
      <c r="C1382" s="1050"/>
      <c r="D1382" s="1050"/>
      <c r="E1382" s="1050"/>
      <c r="F1382" s="1050"/>
      <c r="G1382" s="1050"/>
    </row>
    <row r="1383" spans="1:7">
      <c r="A1383" s="1079"/>
      <c r="B1383" s="1050"/>
      <c r="C1383" s="1050"/>
      <c r="D1383" s="1050"/>
      <c r="E1383" s="1050"/>
      <c r="F1383" s="1050"/>
      <c r="G1383" s="1050"/>
    </row>
    <row r="1384" spans="1:7">
      <c r="A1384" s="1079"/>
      <c r="B1384" s="1050"/>
      <c r="C1384" s="1050"/>
      <c r="D1384" s="1050"/>
      <c r="E1384" s="1050"/>
      <c r="F1384" s="1050"/>
      <c r="G1384" s="1050"/>
    </row>
    <row r="1385" spans="1:7">
      <c r="A1385" s="1079"/>
      <c r="B1385" s="1050"/>
      <c r="C1385" s="1050"/>
      <c r="D1385" s="1050"/>
      <c r="E1385" s="1050"/>
      <c r="F1385" s="1050"/>
      <c r="G1385" s="1050"/>
    </row>
    <row r="1386" spans="1:7">
      <c r="A1386" s="1079"/>
      <c r="B1386" s="1050"/>
      <c r="C1386" s="1050"/>
      <c r="D1386" s="1050"/>
      <c r="E1386" s="1050"/>
      <c r="F1386" s="1050"/>
      <c r="G1386" s="1050"/>
    </row>
    <row r="1387" spans="1:7">
      <c r="A1387" s="1079"/>
      <c r="B1387" s="1050"/>
      <c r="C1387" s="1050"/>
      <c r="D1387" s="1050"/>
      <c r="E1387" s="1050"/>
      <c r="F1387" s="1050"/>
      <c r="G1387" s="1050"/>
    </row>
    <row r="1388" spans="1:7">
      <c r="A1388" s="1079"/>
      <c r="B1388" s="1050"/>
      <c r="C1388" s="1050"/>
      <c r="D1388" s="1050"/>
      <c r="E1388" s="1050"/>
      <c r="F1388" s="1050"/>
      <c r="G1388" s="1050"/>
    </row>
    <row r="1389" spans="1:7">
      <c r="A1389" s="1079"/>
      <c r="B1389" s="1050"/>
      <c r="C1389" s="1050"/>
      <c r="D1389" s="1050"/>
      <c r="E1389" s="1050"/>
      <c r="F1389" s="1050"/>
      <c r="G1389" s="1050"/>
    </row>
    <row r="1390" spans="1:7">
      <c r="A1390" s="1079"/>
      <c r="B1390" s="1050"/>
      <c r="C1390" s="1050"/>
      <c r="D1390" s="1050"/>
      <c r="E1390" s="1050"/>
      <c r="F1390" s="1050"/>
      <c r="G1390" s="1050"/>
    </row>
    <row r="1391" spans="1:7">
      <c r="A1391" s="1079"/>
      <c r="B1391" s="1050"/>
      <c r="C1391" s="1050"/>
      <c r="D1391" s="1050"/>
      <c r="E1391" s="1050"/>
      <c r="F1391" s="1050"/>
      <c r="G1391" s="1050"/>
    </row>
    <row r="1392" spans="1:7">
      <c r="A1392" s="1079"/>
      <c r="B1392" s="1050"/>
      <c r="C1392" s="1050"/>
      <c r="D1392" s="1050"/>
      <c r="E1392" s="1050"/>
      <c r="F1392" s="1050"/>
      <c r="G1392" s="1050"/>
    </row>
    <row r="1393" spans="1:7">
      <c r="A1393" s="1079"/>
      <c r="B1393" s="1050"/>
      <c r="C1393" s="1050"/>
      <c r="D1393" s="1050"/>
      <c r="E1393" s="1050"/>
      <c r="F1393" s="1050"/>
      <c r="G1393" s="1050"/>
    </row>
    <row r="1394" spans="1:7">
      <c r="A1394" s="1079"/>
      <c r="B1394" s="1050"/>
      <c r="C1394" s="1050"/>
      <c r="D1394" s="1050"/>
      <c r="E1394" s="1050"/>
      <c r="F1394" s="1050"/>
      <c r="G1394" s="1050"/>
    </row>
    <row r="1395" spans="1:7">
      <c r="A1395" s="1079"/>
      <c r="B1395" s="1050"/>
      <c r="C1395" s="1050"/>
      <c r="D1395" s="1050"/>
      <c r="E1395" s="1050"/>
      <c r="F1395" s="1050"/>
      <c r="G1395" s="1050"/>
    </row>
    <row r="1396" spans="1:7">
      <c r="A1396" s="1079"/>
      <c r="B1396" s="1050"/>
      <c r="C1396" s="1050"/>
      <c r="D1396" s="1050"/>
      <c r="E1396" s="1050"/>
      <c r="F1396" s="1050"/>
      <c r="G1396" s="1050"/>
    </row>
    <row r="1397" spans="1:7">
      <c r="A1397" s="1079"/>
      <c r="B1397" s="1050"/>
      <c r="C1397" s="1050"/>
      <c r="D1397" s="1050"/>
      <c r="E1397" s="1050"/>
      <c r="F1397" s="1050"/>
      <c r="G1397" s="1050"/>
    </row>
    <row r="1398" spans="1:7">
      <c r="A1398" s="1079"/>
      <c r="B1398" s="1050"/>
      <c r="C1398" s="1050"/>
      <c r="D1398" s="1050"/>
      <c r="E1398" s="1050"/>
      <c r="F1398" s="1050"/>
      <c r="G1398" s="1050"/>
    </row>
    <row r="1399" spans="1:7">
      <c r="A1399" s="1079"/>
      <c r="B1399" s="1050"/>
      <c r="C1399" s="1050"/>
      <c r="D1399" s="1050"/>
      <c r="E1399" s="1050"/>
      <c r="F1399" s="1050"/>
      <c r="G1399" s="1050"/>
    </row>
    <row r="1400" spans="1:7">
      <c r="A1400" s="1079"/>
      <c r="B1400" s="1050"/>
      <c r="C1400" s="1050"/>
      <c r="D1400" s="1050"/>
      <c r="E1400" s="1050"/>
      <c r="F1400" s="1050"/>
      <c r="G1400" s="1050"/>
    </row>
    <row r="1401" spans="1:7">
      <c r="A1401" s="1079"/>
      <c r="B1401" s="1050"/>
      <c r="C1401" s="1050"/>
      <c r="D1401" s="1050"/>
      <c r="E1401" s="1050"/>
      <c r="F1401" s="1050"/>
      <c r="G1401" s="1050"/>
    </row>
    <row r="1402" spans="1:7">
      <c r="A1402" s="1079"/>
      <c r="B1402" s="1050"/>
      <c r="C1402" s="1050"/>
      <c r="D1402" s="1050"/>
      <c r="E1402" s="1050"/>
      <c r="F1402" s="1050"/>
      <c r="G1402" s="1050"/>
    </row>
    <row r="1403" spans="1:7">
      <c r="A1403" s="1079"/>
      <c r="B1403" s="1050"/>
      <c r="C1403" s="1050"/>
      <c r="D1403" s="1050"/>
      <c r="E1403" s="1050"/>
      <c r="F1403" s="1050"/>
      <c r="G1403" s="1050"/>
    </row>
    <row r="1404" spans="1:7">
      <c r="A1404" s="1079"/>
      <c r="B1404" s="1050"/>
      <c r="C1404" s="1050"/>
      <c r="D1404" s="1050"/>
      <c r="E1404" s="1050"/>
      <c r="F1404" s="1050"/>
      <c r="G1404" s="1050"/>
    </row>
    <row r="1405" spans="1:7">
      <c r="A1405" s="1079"/>
      <c r="B1405" s="1050"/>
      <c r="C1405" s="1050"/>
      <c r="D1405" s="1050"/>
      <c r="E1405" s="1050"/>
      <c r="F1405" s="1050"/>
      <c r="G1405" s="1050"/>
    </row>
    <row r="1406" spans="1:7">
      <c r="A1406" s="1079"/>
      <c r="B1406" s="1050"/>
      <c r="C1406" s="1050"/>
      <c r="D1406" s="1050"/>
      <c r="E1406" s="1050"/>
      <c r="F1406" s="1050"/>
      <c r="G1406" s="1050"/>
    </row>
    <row r="1407" spans="1:7">
      <c r="A1407" s="1079"/>
      <c r="B1407" s="1050"/>
      <c r="C1407" s="1050"/>
      <c r="D1407" s="1050"/>
      <c r="E1407" s="1050"/>
      <c r="F1407" s="1050"/>
      <c r="G1407" s="1050"/>
    </row>
    <row r="1408" spans="1:7">
      <c r="A1408" s="1079"/>
      <c r="B1408" s="1050"/>
      <c r="C1408" s="1050"/>
      <c r="D1408" s="1050"/>
      <c r="E1408" s="1050"/>
      <c r="F1408" s="1050"/>
      <c r="G1408" s="1050"/>
    </row>
    <row r="1409" spans="1:7">
      <c r="A1409" s="1079"/>
      <c r="B1409" s="1050"/>
      <c r="C1409" s="1050"/>
      <c r="D1409" s="1050"/>
      <c r="E1409" s="1050"/>
      <c r="F1409" s="1050"/>
      <c r="G1409" s="1050"/>
    </row>
    <row r="1410" spans="1:7">
      <c r="A1410" s="1079"/>
      <c r="B1410" s="1050"/>
      <c r="C1410" s="1050"/>
      <c r="D1410" s="1050"/>
      <c r="E1410" s="1050"/>
      <c r="F1410" s="1050"/>
      <c r="G1410" s="1050"/>
    </row>
    <row r="1411" spans="1:7">
      <c r="A1411" s="1079"/>
      <c r="B1411" s="1050"/>
      <c r="C1411" s="1050"/>
      <c r="D1411" s="1050"/>
      <c r="E1411" s="1050"/>
      <c r="F1411" s="1050"/>
      <c r="G1411" s="1050"/>
    </row>
    <row r="1412" spans="1:7">
      <c r="A1412" s="1079"/>
      <c r="B1412" s="1050"/>
      <c r="C1412" s="1050"/>
      <c r="D1412" s="1050"/>
      <c r="E1412" s="1050"/>
      <c r="F1412" s="1050"/>
      <c r="G1412" s="1050"/>
    </row>
    <row r="1413" spans="1:7">
      <c r="A1413" s="1079"/>
      <c r="B1413" s="1050"/>
      <c r="C1413" s="1050"/>
      <c r="D1413" s="1050"/>
      <c r="E1413" s="1050"/>
      <c r="F1413" s="1050"/>
      <c r="G1413" s="1050"/>
    </row>
    <row r="1414" spans="1:7">
      <c r="A1414" s="1079"/>
      <c r="B1414" s="1050"/>
      <c r="C1414" s="1050"/>
      <c r="D1414" s="1050"/>
      <c r="E1414" s="1050"/>
      <c r="F1414" s="1050"/>
      <c r="G1414" s="1050"/>
    </row>
    <row r="1415" spans="1:7">
      <c r="A1415" s="1079"/>
      <c r="B1415" s="1050"/>
      <c r="C1415" s="1050"/>
      <c r="D1415" s="1050"/>
      <c r="E1415" s="1050"/>
      <c r="F1415" s="1050"/>
      <c r="G1415" s="1050"/>
    </row>
    <row r="1416" spans="1:7">
      <c r="A1416" s="1079"/>
      <c r="B1416" s="1050"/>
      <c r="C1416" s="1050"/>
      <c r="D1416" s="1050"/>
      <c r="E1416" s="1050"/>
      <c r="F1416" s="1050"/>
      <c r="G1416" s="1050"/>
    </row>
    <row r="1417" spans="1:7">
      <c r="A1417" s="1079"/>
      <c r="B1417" s="1050"/>
      <c r="C1417" s="1050"/>
      <c r="D1417" s="1050"/>
      <c r="E1417" s="1050"/>
      <c r="F1417" s="1050"/>
      <c r="G1417" s="1050"/>
    </row>
    <row r="1418" spans="1:7">
      <c r="A1418" s="1079"/>
      <c r="B1418" s="1050"/>
      <c r="C1418" s="1050"/>
      <c r="D1418" s="1050"/>
      <c r="E1418" s="1050"/>
      <c r="F1418" s="1050"/>
      <c r="G1418" s="1050"/>
    </row>
    <row r="1419" spans="1:7">
      <c r="A1419" s="1079"/>
      <c r="B1419" s="1050"/>
      <c r="C1419" s="1050"/>
      <c r="D1419" s="1050"/>
      <c r="E1419" s="1050"/>
      <c r="F1419" s="1050"/>
      <c r="G1419" s="1050"/>
    </row>
    <row r="1420" spans="1:7">
      <c r="A1420" s="1079"/>
      <c r="B1420" s="1050"/>
      <c r="C1420" s="1050"/>
      <c r="D1420" s="1050"/>
      <c r="E1420" s="1050"/>
      <c r="F1420" s="1050"/>
      <c r="G1420" s="1050"/>
    </row>
    <row r="1421" spans="1:7">
      <c r="A1421" s="1079"/>
      <c r="B1421" s="1050"/>
      <c r="C1421" s="1050"/>
      <c r="D1421" s="1050"/>
      <c r="E1421" s="1050"/>
      <c r="F1421" s="1050"/>
      <c r="G1421" s="1050"/>
    </row>
    <row r="1422" spans="1:7">
      <c r="A1422" s="1079"/>
      <c r="B1422" s="1050"/>
      <c r="C1422" s="1050"/>
      <c r="D1422" s="1050"/>
      <c r="E1422" s="1050"/>
      <c r="F1422" s="1050"/>
      <c r="G1422" s="1050"/>
    </row>
    <row r="1423" spans="1:7">
      <c r="A1423" s="1079"/>
      <c r="B1423" s="1050"/>
      <c r="C1423" s="1050"/>
      <c r="D1423" s="1050"/>
      <c r="E1423" s="1050"/>
      <c r="F1423" s="1050"/>
      <c r="G1423" s="1050"/>
    </row>
    <row r="1424" spans="1:7">
      <c r="A1424" s="1079"/>
      <c r="B1424" s="1050"/>
      <c r="C1424" s="1050"/>
      <c r="D1424" s="1050"/>
      <c r="E1424" s="1050"/>
      <c r="F1424" s="1050"/>
      <c r="G1424" s="1050"/>
    </row>
    <row r="1425" spans="1:7">
      <c r="A1425" s="1079"/>
      <c r="B1425" s="1050"/>
      <c r="C1425" s="1050"/>
      <c r="D1425" s="1050"/>
      <c r="E1425" s="1050"/>
      <c r="F1425" s="1050"/>
      <c r="G1425" s="1050"/>
    </row>
    <row r="1426" spans="1:7">
      <c r="A1426" s="1079"/>
      <c r="B1426" s="1050"/>
      <c r="C1426" s="1050"/>
      <c r="D1426" s="1050"/>
      <c r="E1426" s="1050"/>
      <c r="F1426" s="1050"/>
      <c r="G1426" s="1050"/>
    </row>
    <row r="1427" spans="1:7">
      <c r="A1427" s="1079"/>
      <c r="B1427" s="1050"/>
      <c r="C1427" s="1050"/>
      <c r="D1427" s="1050"/>
      <c r="E1427" s="1050"/>
      <c r="F1427" s="1050"/>
      <c r="G1427" s="1050"/>
    </row>
    <row r="1428" spans="1:7">
      <c r="A1428" s="1079"/>
      <c r="B1428" s="1050"/>
      <c r="C1428" s="1050"/>
      <c r="D1428" s="1050"/>
      <c r="E1428" s="1050"/>
      <c r="F1428" s="1050"/>
      <c r="G1428" s="1050"/>
    </row>
    <row r="1429" spans="1:7">
      <c r="A1429" s="1079"/>
      <c r="B1429" s="1050"/>
      <c r="C1429" s="1050"/>
      <c r="D1429" s="1050"/>
      <c r="E1429" s="1050"/>
      <c r="F1429" s="1050"/>
      <c r="G1429" s="1050"/>
    </row>
    <row r="1430" spans="1:7">
      <c r="A1430" s="1079"/>
      <c r="B1430" s="1050"/>
      <c r="C1430" s="1050"/>
      <c r="D1430" s="1050"/>
      <c r="E1430" s="1050"/>
      <c r="F1430" s="1050"/>
      <c r="G1430" s="1050"/>
    </row>
    <row r="1431" spans="1:7">
      <c r="A1431" s="1079"/>
      <c r="B1431" s="1050"/>
      <c r="C1431" s="1050"/>
      <c r="D1431" s="1050"/>
      <c r="E1431" s="1050"/>
      <c r="F1431" s="1050"/>
      <c r="G1431" s="1050"/>
    </row>
    <row r="1432" spans="1:7">
      <c r="A1432" s="1079"/>
      <c r="B1432" s="1050"/>
      <c r="C1432" s="1050"/>
      <c r="D1432" s="1050"/>
      <c r="E1432" s="1050"/>
      <c r="F1432" s="1050"/>
      <c r="G1432" s="1050"/>
    </row>
    <row r="1433" spans="1:7">
      <c r="A1433" s="1079"/>
      <c r="B1433" s="1050"/>
      <c r="C1433" s="1050"/>
      <c r="D1433" s="1050"/>
      <c r="E1433" s="1050"/>
      <c r="F1433" s="1050"/>
      <c r="G1433" s="1050"/>
    </row>
    <row r="1434" spans="1:7">
      <c r="A1434" s="1079"/>
      <c r="B1434" s="1050"/>
      <c r="C1434" s="1050"/>
      <c r="D1434" s="1050"/>
      <c r="E1434" s="1050"/>
      <c r="F1434" s="1050"/>
      <c r="G1434" s="1050"/>
    </row>
    <row r="1435" spans="1:7">
      <c r="A1435" s="1079"/>
      <c r="B1435" s="1050"/>
      <c r="C1435" s="1050"/>
      <c r="D1435" s="1050"/>
      <c r="E1435" s="1050"/>
      <c r="F1435" s="1050"/>
      <c r="G1435" s="1050"/>
    </row>
    <row r="1436" spans="1:7">
      <c r="A1436" s="1079"/>
      <c r="B1436" s="1050"/>
      <c r="C1436" s="1050"/>
      <c r="D1436" s="1050"/>
      <c r="E1436" s="1050"/>
      <c r="F1436" s="1050"/>
      <c r="G1436" s="1050"/>
    </row>
    <row r="1437" spans="1:7">
      <c r="A1437" s="1079"/>
      <c r="B1437" s="1050"/>
      <c r="C1437" s="1050"/>
      <c r="D1437" s="1050"/>
      <c r="E1437" s="1050"/>
      <c r="F1437" s="1050"/>
      <c r="G1437" s="1050"/>
    </row>
    <row r="1438" spans="1:7">
      <c r="A1438" s="1079"/>
      <c r="B1438" s="1050"/>
      <c r="C1438" s="1050"/>
      <c r="D1438" s="1050"/>
      <c r="E1438" s="1050"/>
      <c r="F1438" s="1050"/>
      <c r="G1438" s="1050"/>
    </row>
    <row r="1439" spans="1:7">
      <c r="A1439" s="1079"/>
      <c r="B1439" s="1050"/>
      <c r="C1439" s="1050"/>
      <c r="D1439" s="1050"/>
      <c r="E1439" s="1050"/>
      <c r="F1439" s="1050"/>
      <c r="G1439" s="1050"/>
    </row>
    <row r="1440" spans="1:7">
      <c r="A1440" s="1079"/>
      <c r="B1440" s="1050"/>
      <c r="C1440" s="1050"/>
      <c r="D1440" s="1050"/>
      <c r="E1440" s="1050"/>
      <c r="F1440" s="1050"/>
      <c r="G1440" s="1050"/>
    </row>
    <row r="1441" spans="1:7">
      <c r="A1441" s="1079"/>
      <c r="B1441" s="1050"/>
      <c r="C1441" s="1050"/>
      <c r="D1441" s="1050"/>
      <c r="E1441" s="1050"/>
      <c r="F1441" s="1050"/>
      <c r="G1441" s="1050"/>
    </row>
    <row r="1442" spans="1:7">
      <c r="A1442" s="1079"/>
      <c r="B1442" s="1050"/>
      <c r="C1442" s="1050"/>
      <c r="D1442" s="1050"/>
      <c r="E1442" s="1050"/>
      <c r="F1442" s="1050"/>
      <c r="G1442" s="1050"/>
    </row>
    <row r="1443" spans="1:7">
      <c r="A1443" s="1079"/>
      <c r="B1443" s="1050"/>
      <c r="C1443" s="1050"/>
      <c r="D1443" s="1050"/>
      <c r="E1443" s="1050"/>
      <c r="F1443" s="1050"/>
      <c r="G1443" s="1050"/>
    </row>
    <row r="1444" spans="1:7">
      <c r="A1444" s="1079"/>
      <c r="B1444" s="1050"/>
      <c r="C1444" s="1050"/>
      <c r="D1444" s="1050"/>
      <c r="E1444" s="1050"/>
      <c r="F1444" s="1050"/>
      <c r="G1444" s="1050"/>
    </row>
    <row r="1445" spans="1:7">
      <c r="A1445" s="1079"/>
      <c r="B1445" s="1050"/>
      <c r="C1445" s="1050"/>
      <c r="D1445" s="1050"/>
      <c r="E1445" s="1050"/>
      <c r="F1445" s="1050"/>
      <c r="G1445" s="1050"/>
    </row>
    <row r="1446" spans="1:7">
      <c r="A1446" s="1079"/>
      <c r="B1446" s="1050"/>
      <c r="C1446" s="1050"/>
      <c r="D1446" s="1050"/>
      <c r="E1446" s="1050"/>
      <c r="F1446" s="1050"/>
      <c r="G1446" s="1050"/>
    </row>
    <row r="1447" spans="1:7">
      <c r="A1447" s="1079"/>
      <c r="B1447" s="1050"/>
      <c r="C1447" s="1050"/>
      <c r="D1447" s="1050"/>
      <c r="E1447" s="1050"/>
      <c r="F1447" s="1050"/>
      <c r="G1447" s="1050"/>
    </row>
    <row r="1448" spans="1:7">
      <c r="A1448" s="1079"/>
      <c r="B1448" s="1050"/>
      <c r="C1448" s="1050"/>
      <c r="D1448" s="1050"/>
      <c r="E1448" s="1050"/>
      <c r="F1448" s="1050"/>
      <c r="G1448" s="1050"/>
    </row>
    <row r="1449" spans="1:7">
      <c r="A1449" s="1079"/>
      <c r="B1449" s="1050"/>
      <c r="C1449" s="1050"/>
      <c r="D1449" s="1050"/>
      <c r="E1449" s="1050"/>
      <c r="F1449" s="1050"/>
      <c r="G1449" s="1050"/>
    </row>
    <row r="1450" spans="1:7">
      <c r="A1450" s="1079"/>
      <c r="B1450" s="1050"/>
      <c r="C1450" s="1050"/>
      <c r="D1450" s="1050"/>
      <c r="E1450" s="1050"/>
      <c r="F1450" s="1050"/>
      <c r="G1450" s="1050"/>
    </row>
    <row r="1451" spans="1:7">
      <c r="A1451" s="1079"/>
      <c r="B1451" s="1050"/>
      <c r="C1451" s="1050"/>
      <c r="D1451" s="1050"/>
      <c r="E1451" s="1050"/>
      <c r="F1451" s="1050"/>
      <c r="G1451" s="1050"/>
    </row>
    <row r="1452" spans="1:7">
      <c r="A1452" s="1079"/>
      <c r="B1452" s="1050"/>
      <c r="C1452" s="1050"/>
      <c r="D1452" s="1050"/>
      <c r="E1452" s="1050"/>
      <c r="F1452" s="1050"/>
      <c r="G1452" s="1050"/>
    </row>
    <row r="1453" spans="1:7">
      <c r="A1453" s="1079"/>
      <c r="B1453" s="1050"/>
      <c r="C1453" s="1050"/>
      <c r="D1453" s="1050"/>
      <c r="E1453" s="1050"/>
      <c r="F1453" s="1050"/>
      <c r="G1453" s="1050"/>
    </row>
    <row r="1454" spans="1:7">
      <c r="A1454" s="1079"/>
      <c r="B1454" s="1050"/>
      <c r="C1454" s="1050"/>
      <c r="D1454" s="1050"/>
      <c r="E1454" s="1050"/>
      <c r="F1454" s="1050"/>
      <c r="G1454" s="1050"/>
    </row>
    <row r="1455" spans="1:7">
      <c r="A1455" s="1079"/>
      <c r="B1455" s="1050"/>
      <c r="C1455" s="1050"/>
      <c r="D1455" s="1050"/>
      <c r="E1455" s="1050"/>
      <c r="F1455" s="1050"/>
      <c r="G1455" s="1050"/>
    </row>
    <row r="1456" spans="1:7">
      <c r="A1456" s="1079"/>
      <c r="B1456" s="1050"/>
      <c r="C1456" s="1050"/>
      <c r="D1456" s="1050"/>
      <c r="E1456" s="1050"/>
      <c r="F1456" s="1050"/>
      <c r="G1456" s="1050"/>
    </row>
    <row r="1457" spans="1:7">
      <c r="A1457" s="1079"/>
      <c r="B1457" s="1050"/>
      <c r="C1457" s="1050"/>
      <c r="D1457" s="1050"/>
      <c r="E1457" s="1050"/>
      <c r="F1457" s="1050"/>
      <c r="G1457" s="1050"/>
    </row>
    <row r="1458" spans="1:7">
      <c r="A1458" s="1079"/>
      <c r="B1458" s="1050"/>
      <c r="C1458" s="1050"/>
      <c r="D1458" s="1050"/>
      <c r="E1458" s="1050"/>
      <c r="F1458" s="1050"/>
      <c r="G1458" s="1050"/>
    </row>
    <row r="1459" spans="1:7">
      <c r="A1459" s="1079"/>
      <c r="B1459" s="1050"/>
      <c r="C1459" s="1050"/>
      <c r="D1459" s="1050"/>
      <c r="E1459" s="1050"/>
      <c r="F1459" s="1050"/>
      <c r="G1459" s="1050"/>
    </row>
    <row r="1460" spans="1:7">
      <c r="A1460" s="1079"/>
      <c r="B1460" s="1050"/>
      <c r="C1460" s="1050"/>
      <c r="D1460" s="1050"/>
      <c r="E1460" s="1050"/>
      <c r="F1460" s="1050"/>
      <c r="G1460" s="1050"/>
    </row>
    <row r="1461" spans="1:7">
      <c r="A1461" s="1079"/>
      <c r="B1461" s="1050"/>
      <c r="C1461" s="1050"/>
      <c r="D1461" s="1050"/>
      <c r="E1461" s="1050"/>
      <c r="F1461" s="1050"/>
      <c r="G1461" s="1050"/>
    </row>
    <row r="1462" spans="1:7">
      <c r="A1462" s="1079"/>
      <c r="B1462" s="1050"/>
      <c r="C1462" s="1050"/>
      <c r="D1462" s="1050"/>
      <c r="E1462" s="1050"/>
      <c r="F1462" s="1050"/>
      <c r="G1462" s="1050"/>
    </row>
    <row r="1463" spans="1:7">
      <c r="A1463" s="1079"/>
      <c r="B1463" s="1050"/>
      <c r="C1463" s="1050"/>
      <c r="D1463" s="1050"/>
      <c r="E1463" s="1050"/>
      <c r="F1463" s="1050"/>
      <c r="G1463" s="1050"/>
    </row>
    <row r="1464" spans="1:7">
      <c r="A1464" s="1079"/>
      <c r="B1464" s="1050"/>
      <c r="C1464" s="1050"/>
      <c r="D1464" s="1050"/>
      <c r="E1464" s="1050"/>
      <c r="F1464" s="1050"/>
      <c r="G1464" s="1050"/>
    </row>
    <row r="1465" spans="1:7">
      <c r="A1465" s="1079"/>
      <c r="B1465" s="1050"/>
      <c r="C1465" s="1050"/>
      <c r="D1465" s="1050"/>
      <c r="E1465" s="1050"/>
      <c r="F1465" s="1050"/>
      <c r="G1465" s="1050"/>
    </row>
    <row r="1466" spans="1:7">
      <c r="A1466" s="1079"/>
      <c r="B1466" s="1050"/>
      <c r="C1466" s="1050"/>
      <c r="D1466" s="1050"/>
      <c r="E1466" s="1050"/>
      <c r="F1466" s="1050"/>
      <c r="G1466" s="1050"/>
    </row>
    <row r="1467" spans="1:7">
      <c r="A1467" s="1079"/>
      <c r="B1467" s="1050"/>
      <c r="C1467" s="1050"/>
      <c r="D1467" s="1050"/>
      <c r="E1467" s="1050"/>
      <c r="F1467" s="1050"/>
      <c r="G1467" s="1050"/>
    </row>
    <row r="1468" spans="1:7">
      <c r="A1468" s="1079"/>
      <c r="B1468" s="1050"/>
      <c r="C1468" s="1050"/>
      <c r="D1468" s="1050"/>
      <c r="E1468" s="1050"/>
      <c r="F1468" s="1050"/>
      <c r="G1468" s="1050"/>
    </row>
    <row r="1469" spans="1:7">
      <c r="A1469" s="1079"/>
      <c r="B1469" s="1050"/>
      <c r="C1469" s="1050"/>
      <c r="D1469" s="1050"/>
      <c r="E1469" s="1050"/>
      <c r="F1469" s="1050"/>
      <c r="G1469" s="1050"/>
    </row>
    <row r="1470" spans="1:7">
      <c r="A1470" s="1079"/>
      <c r="B1470" s="1050"/>
      <c r="C1470" s="1050"/>
      <c r="D1470" s="1050"/>
      <c r="E1470" s="1050"/>
      <c r="F1470" s="1050"/>
      <c r="G1470" s="1050"/>
    </row>
    <row r="1471" spans="1:7">
      <c r="A1471" s="1079"/>
      <c r="B1471" s="1050"/>
      <c r="C1471" s="1050"/>
      <c r="D1471" s="1050"/>
      <c r="E1471" s="1050"/>
      <c r="F1471" s="1050"/>
      <c r="G1471" s="1050"/>
    </row>
    <row r="1472" spans="1:7">
      <c r="A1472" s="1079"/>
      <c r="B1472" s="1050"/>
      <c r="C1472" s="1050"/>
      <c r="D1472" s="1050"/>
      <c r="E1472" s="1050"/>
      <c r="F1472" s="1050"/>
      <c r="G1472" s="1050"/>
    </row>
    <row r="1473" spans="1:7">
      <c r="A1473" s="1079"/>
      <c r="B1473" s="1050"/>
      <c r="C1473" s="1050"/>
      <c r="D1473" s="1050"/>
      <c r="E1473" s="1050"/>
      <c r="F1473" s="1050"/>
      <c r="G1473" s="1050"/>
    </row>
    <row r="1474" spans="1:7">
      <c r="A1474" s="1079"/>
      <c r="B1474" s="1050"/>
      <c r="C1474" s="1050"/>
      <c r="D1474" s="1050"/>
      <c r="E1474" s="1050"/>
      <c r="F1474" s="1050"/>
      <c r="G1474" s="1050"/>
    </row>
    <row r="1475" spans="1:7">
      <c r="A1475" s="1079"/>
      <c r="B1475" s="1050"/>
      <c r="C1475" s="1050"/>
      <c r="D1475" s="1050"/>
      <c r="E1475" s="1050"/>
      <c r="F1475" s="1050"/>
      <c r="G1475" s="1050"/>
    </row>
    <row r="1476" spans="1:7">
      <c r="A1476" s="1079"/>
      <c r="B1476" s="1050"/>
      <c r="C1476" s="1050"/>
      <c r="D1476" s="1050"/>
      <c r="E1476" s="1050"/>
      <c r="F1476" s="1050"/>
      <c r="G1476" s="1050"/>
    </row>
    <row r="1477" spans="1:7">
      <c r="A1477" s="1079"/>
      <c r="B1477" s="1050"/>
      <c r="C1477" s="1050"/>
      <c r="D1477" s="1050"/>
      <c r="E1477" s="1050"/>
      <c r="F1477" s="1050"/>
      <c r="G1477" s="1050"/>
    </row>
    <row r="1478" spans="1:7">
      <c r="A1478" s="1079"/>
      <c r="B1478" s="1050"/>
      <c r="C1478" s="1050"/>
      <c r="D1478" s="1050"/>
      <c r="E1478" s="1050"/>
      <c r="F1478" s="1050"/>
      <c r="G1478" s="1050"/>
    </row>
    <row r="1479" spans="1:7">
      <c r="A1479" s="1079"/>
      <c r="B1479" s="1050"/>
      <c r="C1479" s="1050"/>
      <c r="D1479" s="1050"/>
      <c r="E1479" s="1050"/>
      <c r="F1479" s="1050"/>
      <c r="G1479" s="1050"/>
    </row>
    <row r="1480" spans="1:7">
      <c r="A1480" s="1079"/>
      <c r="B1480" s="1050"/>
      <c r="C1480" s="1050"/>
      <c r="D1480" s="1050"/>
      <c r="E1480" s="1050"/>
      <c r="F1480" s="1050"/>
      <c r="G1480" s="1050"/>
    </row>
    <row r="1481" spans="1:7">
      <c r="A1481" s="1079"/>
      <c r="B1481" s="1050"/>
      <c r="C1481" s="1050"/>
      <c r="D1481" s="1050"/>
      <c r="E1481" s="1050"/>
      <c r="F1481" s="1050"/>
      <c r="G1481" s="1050"/>
    </row>
    <row r="1482" spans="1:7">
      <c r="A1482" s="1079"/>
      <c r="B1482" s="1050"/>
      <c r="C1482" s="1050"/>
      <c r="D1482" s="1050"/>
      <c r="E1482" s="1050"/>
      <c r="F1482" s="1050"/>
      <c r="G1482" s="1050"/>
    </row>
    <row r="1483" spans="1:7">
      <c r="A1483" s="1079"/>
      <c r="B1483" s="1050"/>
      <c r="C1483" s="1050"/>
      <c r="D1483" s="1050"/>
      <c r="E1483" s="1050"/>
      <c r="F1483" s="1050"/>
      <c r="G1483" s="1050"/>
    </row>
    <row r="1484" spans="1:7">
      <c r="A1484" s="1079"/>
      <c r="B1484" s="1050"/>
      <c r="C1484" s="1050"/>
      <c r="D1484" s="1050"/>
      <c r="E1484" s="1050"/>
      <c r="F1484" s="1050"/>
      <c r="G1484" s="1050"/>
    </row>
    <row r="1485" spans="1:7">
      <c r="A1485" s="1079"/>
      <c r="B1485" s="1050"/>
      <c r="C1485" s="1050"/>
      <c r="D1485" s="1050"/>
      <c r="E1485" s="1050"/>
      <c r="F1485" s="1050"/>
      <c r="G1485" s="1050"/>
    </row>
    <row r="1486" spans="1:7">
      <c r="A1486" s="1079"/>
      <c r="B1486" s="1050"/>
      <c r="C1486" s="1050"/>
      <c r="D1486" s="1050"/>
      <c r="E1486" s="1050"/>
      <c r="F1486" s="1050"/>
      <c r="G1486" s="1050"/>
    </row>
    <row r="1487" spans="1:7">
      <c r="A1487" s="1079"/>
      <c r="B1487" s="1050"/>
      <c r="C1487" s="1050"/>
      <c r="D1487" s="1050"/>
      <c r="E1487" s="1050"/>
      <c r="F1487" s="1050"/>
      <c r="G1487" s="1050"/>
    </row>
    <row r="1488" spans="1:7">
      <c r="A1488" s="1079"/>
      <c r="B1488" s="1050"/>
      <c r="C1488" s="1050"/>
      <c r="D1488" s="1050"/>
      <c r="E1488" s="1050"/>
      <c r="F1488" s="1050"/>
      <c r="G1488" s="1050"/>
    </row>
    <row r="1489" spans="1:7">
      <c r="A1489" s="1079"/>
      <c r="B1489" s="1050"/>
      <c r="C1489" s="1050"/>
      <c r="D1489" s="1050"/>
      <c r="E1489" s="1050"/>
      <c r="F1489" s="1050"/>
      <c r="G1489" s="1050"/>
    </row>
    <row r="1490" spans="1:7">
      <c r="A1490" s="1079"/>
      <c r="B1490" s="1050"/>
      <c r="C1490" s="1050"/>
      <c r="D1490" s="1050"/>
      <c r="E1490" s="1050"/>
      <c r="F1490" s="1050"/>
      <c r="G1490" s="1050"/>
    </row>
    <row r="1491" spans="1:7">
      <c r="A1491" s="1079"/>
      <c r="B1491" s="1050"/>
      <c r="C1491" s="1050"/>
      <c r="D1491" s="1050"/>
      <c r="E1491" s="1050"/>
      <c r="F1491" s="1050"/>
      <c r="G1491" s="1050"/>
    </row>
    <row r="1492" spans="1:7">
      <c r="A1492" s="1079"/>
      <c r="B1492" s="1050"/>
      <c r="C1492" s="1050"/>
      <c r="D1492" s="1050"/>
      <c r="E1492" s="1050"/>
      <c r="F1492" s="1050"/>
      <c r="G1492" s="1050"/>
    </row>
    <row r="1493" spans="1:7">
      <c r="A1493" s="1079"/>
      <c r="B1493" s="1050"/>
      <c r="C1493" s="1050"/>
      <c r="D1493" s="1050"/>
      <c r="E1493" s="1050"/>
      <c r="F1493" s="1050"/>
      <c r="G1493" s="1050"/>
    </row>
    <row r="1494" spans="1:7">
      <c r="A1494" s="1079"/>
      <c r="B1494" s="1050"/>
      <c r="C1494" s="1050"/>
      <c r="D1494" s="1050"/>
      <c r="E1494" s="1050"/>
      <c r="F1494" s="1050"/>
      <c r="G1494" s="1050"/>
    </row>
    <row r="1495" spans="1:7">
      <c r="A1495" s="1079"/>
      <c r="B1495" s="1050"/>
      <c r="C1495" s="1050"/>
      <c r="D1495" s="1050"/>
      <c r="E1495" s="1050"/>
      <c r="F1495" s="1050"/>
      <c r="G1495" s="1050"/>
    </row>
    <row r="1496" spans="1:7">
      <c r="A1496" s="1079"/>
      <c r="B1496" s="1050"/>
      <c r="C1496" s="1050"/>
      <c r="D1496" s="1050"/>
      <c r="E1496" s="1050"/>
      <c r="F1496" s="1050"/>
      <c r="G1496" s="1050"/>
    </row>
    <row r="1497" spans="1:7">
      <c r="A1497" s="1079"/>
      <c r="B1497" s="1050"/>
      <c r="C1497" s="1050"/>
      <c r="D1497" s="1050"/>
      <c r="E1497" s="1050"/>
      <c r="F1497" s="1050"/>
      <c r="G1497" s="1050"/>
    </row>
    <row r="1498" spans="1:7">
      <c r="A1498" s="1079"/>
      <c r="B1498" s="1050"/>
      <c r="C1498" s="1050"/>
      <c r="D1498" s="1050"/>
      <c r="E1498" s="1050"/>
      <c r="F1498" s="1050"/>
      <c r="G1498" s="1050"/>
    </row>
    <row r="1499" spans="1:7">
      <c r="A1499" s="1079"/>
      <c r="B1499" s="1050"/>
      <c r="C1499" s="1050"/>
      <c r="D1499" s="1050"/>
      <c r="E1499" s="1050"/>
      <c r="F1499" s="1050"/>
      <c r="G1499" s="1050"/>
    </row>
    <row r="1500" spans="1:7">
      <c r="A1500" s="1079"/>
      <c r="B1500" s="1050"/>
      <c r="C1500" s="1050"/>
      <c r="D1500" s="1050"/>
      <c r="E1500" s="1050"/>
      <c r="F1500" s="1050"/>
      <c r="G1500" s="1050"/>
    </row>
    <row r="1501" spans="1:7">
      <c r="A1501" s="1079"/>
      <c r="B1501" s="1050"/>
      <c r="C1501" s="1050"/>
      <c r="D1501" s="1050"/>
      <c r="E1501" s="1050"/>
      <c r="F1501" s="1050"/>
      <c r="G1501" s="1050"/>
    </row>
    <row r="1502" spans="1:7">
      <c r="A1502" s="1079"/>
      <c r="B1502" s="1050"/>
      <c r="C1502" s="1050"/>
      <c r="D1502" s="1050"/>
      <c r="E1502" s="1050"/>
      <c r="F1502" s="1050"/>
      <c r="G1502" s="1050"/>
    </row>
    <row r="1503" spans="1:7">
      <c r="A1503" s="1079"/>
      <c r="B1503" s="1050"/>
      <c r="C1503" s="1050"/>
      <c r="D1503" s="1050"/>
      <c r="E1503" s="1050"/>
      <c r="F1503" s="1050"/>
      <c r="G1503" s="1050"/>
    </row>
    <row r="1504" spans="1:7">
      <c r="A1504" s="1079"/>
      <c r="B1504" s="1050"/>
      <c r="C1504" s="1050"/>
      <c r="D1504" s="1050"/>
      <c r="E1504" s="1050"/>
      <c r="F1504" s="1050"/>
      <c r="G1504" s="1050"/>
    </row>
    <row r="1505" spans="1:7">
      <c r="A1505" s="1079"/>
      <c r="B1505" s="1050"/>
      <c r="C1505" s="1050"/>
      <c r="D1505" s="1050"/>
      <c r="E1505" s="1050"/>
      <c r="F1505" s="1050"/>
      <c r="G1505" s="1050"/>
    </row>
    <row r="1506" spans="1:7">
      <c r="A1506" s="1079"/>
      <c r="B1506" s="1050"/>
      <c r="C1506" s="1050"/>
      <c r="D1506" s="1050"/>
      <c r="E1506" s="1050"/>
      <c r="F1506" s="1050"/>
      <c r="G1506" s="1050"/>
    </row>
    <row r="1507" spans="1:7">
      <c r="A1507" s="1079"/>
      <c r="B1507" s="1050"/>
      <c r="C1507" s="1050"/>
      <c r="D1507" s="1050"/>
      <c r="E1507" s="1050"/>
      <c r="F1507" s="1050"/>
      <c r="G1507" s="1050"/>
    </row>
    <row r="1508" spans="1:7">
      <c r="A1508" s="1079"/>
      <c r="B1508" s="1050"/>
      <c r="C1508" s="1050"/>
      <c r="D1508" s="1050"/>
      <c r="E1508" s="1050"/>
      <c r="F1508" s="1050"/>
      <c r="G1508" s="1050"/>
    </row>
    <row r="1509" spans="1:7">
      <c r="A1509" s="1079"/>
      <c r="B1509" s="1050"/>
      <c r="C1509" s="1050"/>
      <c r="D1509" s="1050"/>
      <c r="E1509" s="1050"/>
      <c r="F1509" s="1050"/>
      <c r="G1509" s="1050"/>
    </row>
    <row r="1510" spans="1:7">
      <c r="A1510" s="1079"/>
      <c r="B1510" s="1050"/>
      <c r="C1510" s="1050"/>
      <c r="D1510" s="1050"/>
      <c r="E1510" s="1050"/>
      <c r="F1510" s="1050"/>
      <c r="G1510" s="1050"/>
    </row>
    <row r="1511" spans="1:7">
      <c r="A1511" s="1079"/>
      <c r="B1511" s="1050"/>
      <c r="C1511" s="1050"/>
      <c r="D1511" s="1050"/>
      <c r="E1511" s="1050"/>
      <c r="F1511" s="1050"/>
      <c r="G1511" s="1050"/>
    </row>
    <row r="1512" spans="1:7">
      <c r="A1512" s="1079"/>
      <c r="B1512" s="1050"/>
      <c r="C1512" s="1050"/>
      <c r="D1512" s="1050"/>
      <c r="E1512" s="1050"/>
      <c r="F1512" s="1050"/>
      <c r="G1512" s="1050"/>
    </row>
    <row r="1513" spans="1:7">
      <c r="A1513" s="1079"/>
      <c r="B1513" s="1050"/>
      <c r="C1513" s="1050"/>
      <c r="D1513" s="1050"/>
      <c r="E1513" s="1050"/>
      <c r="F1513" s="1050"/>
      <c r="G1513" s="1050"/>
    </row>
    <row r="1514" spans="1:7">
      <c r="A1514" s="1079"/>
      <c r="B1514" s="1050"/>
      <c r="C1514" s="1050"/>
      <c r="D1514" s="1050"/>
      <c r="E1514" s="1050"/>
      <c r="F1514" s="1050"/>
      <c r="G1514" s="1050"/>
    </row>
    <row r="1515" spans="1:7">
      <c r="A1515" s="1079"/>
      <c r="B1515" s="1050"/>
      <c r="C1515" s="1050"/>
      <c r="D1515" s="1050"/>
      <c r="E1515" s="1050"/>
      <c r="F1515" s="1050"/>
      <c r="G1515" s="1050"/>
    </row>
    <row r="1516" spans="1:7">
      <c r="A1516" s="1079"/>
      <c r="B1516" s="1050"/>
      <c r="C1516" s="1050"/>
      <c r="D1516" s="1050"/>
      <c r="E1516" s="1050"/>
      <c r="F1516" s="1050"/>
      <c r="G1516" s="1050"/>
    </row>
    <row r="1517" spans="1:7">
      <c r="A1517" s="1079"/>
      <c r="B1517" s="1050"/>
      <c r="C1517" s="1050"/>
      <c r="D1517" s="1050"/>
      <c r="E1517" s="1050"/>
      <c r="F1517" s="1050"/>
      <c r="G1517" s="1050"/>
    </row>
    <row r="1518" spans="1:7">
      <c r="A1518" s="1079"/>
      <c r="B1518" s="1050"/>
      <c r="C1518" s="1050"/>
      <c r="D1518" s="1050"/>
      <c r="E1518" s="1050"/>
      <c r="F1518" s="1050"/>
      <c r="G1518" s="1050"/>
    </row>
    <row r="1519" spans="1:7">
      <c r="A1519" s="1079"/>
      <c r="B1519" s="1050"/>
      <c r="C1519" s="1050"/>
      <c r="D1519" s="1050"/>
      <c r="E1519" s="1050"/>
      <c r="F1519" s="1050"/>
      <c r="G1519" s="1050"/>
    </row>
    <row r="1520" spans="1:7">
      <c r="A1520" s="1079"/>
      <c r="B1520" s="1050"/>
      <c r="C1520" s="1050"/>
      <c r="D1520" s="1050"/>
      <c r="E1520" s="1050"/>
      <c r="F1520" s="1050"/>
      <c r="G1520" s="1050"/>
    </row>
    <row r="1521" spans="1:7">
      <c r="A1521" s="1079"/>
      <c r="B1521" s="1050"/>
      <c r="C1521" s="1050"/>
      <c r="D1521" s="1050"/>
      <c r="E1521" s="1050"/>
      <c r="F1521" s="1050"/>
      <c r="G1521" s="1050"/>
    </row>
    <row r="1522" spans="1:7">
      <c r="A1522" s="1079"/>
      <c r="B1522" s="1050"/>
      <c r="C1522" s="1050"/>
      <c r="D1522" s="1050"/>
      <c r="E1522" s="1050"/>
      <c r="F1522" s="1050"/>
      <c r="G1522" s="1050"/>
    </row>
    <row r="1523" spans="1:7">
      <c r="A1523" s="1079"/>
      <c r="B1523" s="1050"/>
      <c r="C1523" s="1050"/>
      <c r="D1523" s="1050"/>
      <c r="E1523" s="1050"/>
      <c r="F1523" s="1050"/>
      <c r="G1523" s="1050"/>
    </row>
    <row r="1524" spans="1:7">
      <c r="A1524" s="1079"/>
      <c r="B1524" s="1050"/>
      <c r="C1524" s="1050"/>
      <c r="D1524" s="1050"/>
      <c r="E1524" s="1050"/>
      <c r="F1524" s="1050"/>
      <c r="G1524" s="1050"/>
    </row>
    <row r="1525" spans="1:7">
      <c r="A1525" s="1079"/>
      <c r="B1525" s="1050"/>
      <c r="C1525" s="1050"/>
      <c r="D1525" s="1050"/>
      <c r="E1525" s="1050"/>
      <c r="F1525" s="1050"/>
      <c r="G1525" s="1050"/>
    </row>
    <row r="1526" spans="1:7">
      <c r="A1526" s="1079"/>
      <c r="B1526" s="1050"/>
      <c r="C1526" s="1050"/>
      <c r="D1526" s="1050"/>
      <c r="E1526" s="1050"/>
      <c r="F1526" s="1050"/>
      <c r="G1526" s="1050"/>
    </row>
    <row r="1527" spans="1:7">
      <c r="A1527" s="1079"/>
      <c r="B1527" s="1050"/>
      <c r="C1527" s="1050"/>
      <c r="D1527" s="1050"/>
      <c r="E1527" s="1050"/>
      <c r="F1527" s="1050"/>
      <c r="G1527" s="1050"/>
    </row>
    <row r="1528" spans="1:7">
      <c r="A1528" s="1079"/>
      <c r="B1528" s="1050"/>
      <c r="C1528" s="1050"/>
      <c r="D1528" s="1050"/>
      <c r="E1528" s="1050"/>
      <c r="F1528" s="1050"/>
      <c r="G1528" s="1050"/>
    </row>
    <row r="1529" spans="1:7">
      <c r="A1529" s="1079"/>
      <c r="B1529" s="1050"/>
      <c r="C1529" s="1050"/>
      <c r="D1529" s="1050"/>
      <c r="E1529" s="1050"/>
      <c r="F1529" s="1050"/>
      <c r="G1529" s="1050"/>
    </row>
    <row r="1530" spans="1:7">
      <c r="A1530" s="1079"/>
      <c r="B1530" s="1050"/>
      <c r="C1530" s="1050"/>
      <c r="D1530" s="1050"/>
      <c r="E1530" s="1050"/>
      <c r="F1530" s="1050"/>
      <c r="G1530" s="1050"/>
    </row>
    <row r="1531" spans="1:7">
      <c r="A1531" s="1079"/>
      <c r="B1531" s="1050"/>
      <c r="C1531" s="1050"/>
      <c r="D1531" s="1050"/>
      <c r="E1531" s="1050"/>
      <c r="F1531" s="1050"/>
      <c r="G1531" s="1050"/>
    </row>
    <row r="1532" spans="1:7">
      <c r="A1532" s="1079"/>
      <c r="B1532" s="1050"/>
      <c r="C1532" s="1050"/>
      <c r="D1532" s="1050"/>
      <c r="E1532" s="1050"/>
      <c r="F1532" s="1050"/>
      <c r="G1532" s="1050"/>
    </row>
    <row r="1533" spans="1:7">
      <c r="A1533" s="1079"/>
      <c r="B1533" s="1050"/>
      <c r="C1533" s="1050"/>
      <c r="D1533" s="1050"/>
      <c r="E1533" s="1050"/>
      <c r="F1533" s="1050"/>
      <c r="G1533" s="1050"/>
    </row>
    <row r="1534" spans="1:7">
      <c r="A1534" s="1079"/>
      <c r="B1534" s="1050"/>
      <c r="C1534" s="1050"/>
      <c r="D1534" s="1050"/>
      <c r="E1534" s="1050"/>
      <c r="F1534" s="1050"/>
      <c r="G1534" s="1050"/>
    </row>
    <row r="1535" spans="1:7">
      <c r="A1535" s="1079"/>
      <c r="B1535" s="1050"/>
      <c r="C1535" s="1050"/>
      <c r="D1535" s="1050"/>
      <c r="E1535" s="1050"/>
      <c r="F1535" s="1050"/>
      <c r="G1535" s="1050"/>
    </row>
    <row r="1536" spans="1:7">
      <c r="A1536" s="1079"/>
      <c r="B1536" s="1050"/>
      <c r="C1536" s="1050"/>
      <c r="D1536" s="1050"/>
      <c r="E1536" s="1050"/>
      <c r="F1536" s="1050"/>
      <c r="G1536" s="1050"/>
    </row>
    <row r="1537" spans="1:7">
      <c r="A1537" s="1079"/>
      <c r="B1537" s="1050"/>
      <c r="C1537" s="1050"/>
      <c r="D1537" s="1050"/>
      <c r="E1537" s="1050"/>
      <c r="F1537" s="1050"/>
      <c r="G1537" s="1050"/>
    </row>
    <row r="1538" spans="1:7">
      <c r="A1538" s="1079"/>
      <c r="B1538" s="1050"/>
      <c r="C1538" s="1050"/>
      <c r="D1538" s="1050"/>
      <c r="E1538" s="1050"/>
      <c r="F1538" s="1050"/>
      <c r="G1538" s="1050"/>
    </row>
    <row r="1539" spans="1:7">
      <c r="A1539" s="1079"/>
      <c r="B1539" s="1050"/>
      <c r="C1539" s="1050"/>
      <c r="D1539" s="1050"/>
      <c r="E1539" s="1050"/>
      <c r="F1539" s="1050"/>
      <c r="G1539" s="1050"/>
    </row>
    <row r="1540" spans="1:7">
      <c r="A1540" s="1079"/>
      <c r="B1540" s="1050"/>
      <c r="C1540" s="1050"/>
      <c r="D1540" s="1050"/>
      <c r="E1540" s="1050"/>
      <c r="F1540" s="1050"/>
      <c r="G1540" s="1050"/>
    </row>
    <row r="1541" spans="1:7">
      <c r="A1541" s="1079"/>
      <c r="B1541" s="1050"/>
      <c r="C1541" s="1050"/>
      <c r="D1541" s="1050"/>
      <c r="E1541" s="1050"/>
      <c r="F1541" s="1050"/>
      <c r="G1541" s="1050"/>
    </row>
    <row r="1542" spans="1:7">
      <c r="A1542" s="1079"/>
      <c r="B1542" s="1050"/>
      <c r="C1542" s="1050"/>
      <c r="D1542" s="1050"/>
      <c r="E1542" s="1050"/>
      <c r="F1542" s="1050"/>
      <c r="G1542" s="1050"/>
    </row>
    <row r="1543" spans="1:7">
      <c r="A1543" s="1079"/>
      <c r="B1543" s="1050"/>
      <c r="C1543" s="1050"/>
      <c r="D1543" s="1050"/>
      <c r="E1543" s="1050"/>
      <c r="F1543" s="1050"/>
      <c r="G1543" s="1050"/>
    </row>
    <row r="1544" spans="1:7">
      <c r="A1544" s="1079"/>
      <c r="B1544" s="1050"/>
      <c r="C1544" s="1050"/>
      <c r="D1544" s="1050"/>
      <c r="E1544" s="1050"/>
      <c r="F1544" s="1050"/>
      <c r="G1544" s="1050"/>
    </row>
    <row r="1545" spans="1:7">
      <c r="A1545" s="1079"/>
      <c r="B1545" s="1050"/>
      <c r="C1545" s="1050"/>
      <c r="D1545" s="1050"/>
      <c r="E1545" s="1050"/>
      <c r="F1545" s="1050"/>
      <c r="G1545" s="1050"/>
    </row>
    <row r="1546" spans="1:7">
      <c r="A1546" s="1079"/>
      <c r="B1546" s="1050"/>
      <c r="C1546" s="1050"/>
      <c r="D1546" s="1050"/>
      <c r="E1546" s="1050"/>
      <c r="F1546" s="1050"/>
      <c r="G1546" s="1050"/>
    </row>
    <row r="1547" spans="1:7">
      <c r="A1547" s="1079"/>
      <c r="B1547" s="1050"/>
      <c r="C1547" s="1050"/>
      <c r="D1547" s="1050"/>
      <c r="E1547" s="1050"/>
      <c r="F1547" s="1050"/>
      <c r="G1547" s="1050"/>
    </row>
    <row r="1548" spans="1:7">
      <c r="A1548" s="1079"/>
      <c r="B1548" s="1050"/>
      <c r="C1548" s="1050"/>
      <c r="D1548" s="1050"/>
      <c r="E1548" s="1050"/>
      <c r="F1548" s="1050"/>
      <c r="G1548" s="1050"/>
    </row>
    <row r="1549" spans="1:7">
      <c r="A1549" s="1079"/>
      <c r="B1549" s="1050"/>
      <c r="C1549" s="1050"/>
      <c r="D1549" s="1050"/>
      <c r="E1549" s="1050"/>
      <c r="F1549" s="1050"/>
      <c r="G1549" s="1050"/>
    </row>
    <row r="1550" spans="1:7">
      <c r="A1550" s="1079"/>
      <c r="B1550" s="1050"/>
      <c r="C1550" s="1050"/>
      <c r="D1550" s="1050"/>
      <c r="E1550" s="1050"/>
      <c r="F1550" s="1050"/>
      <c r="G1550" s="1050"/>
    </row>
    <row r="1551" spans="1:7">
      <c r="A1551" s="1079"/>
      <c r="B1551" s="1050"/>
      <c r="C1551" s="1050"/>
      <c r="D1551" s="1050"/>
      <c r="E1551" s="1050"/>
      <c r="F1551" s="1050"/>
      <c r="G1551" s="1050"/>
    </row>
    <row r="1552" spans="1:7">
      <c r="A1552" s="1079"/>
      <c r="B1552" s="1050"/>
      <c r="C1552" s="1050"/>
      <c r="D1552" s="1050"/>
      <c r="E1552" s="1050"/>
      <c r="F1552" s="1050"/>
      <c r="G1552" s="1050"/>
    </row>
    <row r="1553" spans="1:7">
      <c r="A1553" s="1079"/>
      <c r="B1553" s="1050"/>
      <c r="C1553" s="1050"/>
      <c r="D1553" s="1050"/>
      <c r="E1553" s="1050"/>
      <c r="F1553" s="1050"/>
      <c r="G1553" s="1050"/>
    </row>
    <row r="1554" spans="1:7">
      <c r="A1554" s="1079"/>
      <c r="B1554" s="1050"/>
      <c r="C1554" s="1050"/>
      <c r="D1554" s="1050"/>
      <c r="E1554" s="1050"/>
      <c r="F1554" s="1050"/>
      <c r="G1554" s="1050"/>
    </row>
    <row r="1555" spans="1:7">
      <c r="A1555" s="1079"/>
      <c r="B1555" s="1050"/>
      <c r="C1555" s="1050"/>
      <c r="D1555" s="1050"/>
      <c r="E1555" s="1050"/>
      <c r="F1555" s="1050"/>
      <c r="G1555" s="1050"/>
    </row>
    <row r="1556" spans="1:7">
      <c r="A1556" s="1079"/>
      <c r="B1556" s="1050"/>
      <c r="C1556" s="1050"/>
      <c r="D1556" s="1050"/>
      <c r="E1556" s="1050"/>
      <c r="F1556" s="1050"/>
      <c r="G1556" s="1050"/>
    </row>
    <row r="1557" spans="1:7">
      <c r="A1557" s="1079"/>
      <c r="B1557" s="1050"/>
      <c r="C1557" s="1050"/>
      <c r="D1557" s="1050"/>
      <c r="E1557" s="1050"/>
      <c r="F1557" s="1050"/>
      <c r="G1557" s="1050"/>
    </row>
    <row r="1558" spans="1:7">
      <c r="A1558" s="1079"/>
      <c r="B1558" s="1050"/>
      <c r="C1558" s="1050"/>
      <c r="D1558" s="1050"/>
      <c r="E1558" s="1050"/>
      <c r="F1558" s="1050"/>
      <c r="G1558" s="1050"/>
    </row>
    <row r="1559" spans="1:7">
      <c r="A1559" s="1079"/>
      <c r="B1559" s="1050"/>
      <c r="C1559" s="1050"/>
      <c r="D1559" s="1050"/>
      <c r="E1559" s="1050"/>
      <c r="F1559" s="1050"/>
      <c r="G1559" s="1050"/>
    </row>
    <row r="1560" spans="1:7">
      <c r="A1560" s="1079"/>
      <c r="B1560" s="1050"/>
      <c r="C1560" s="1050"/>
      <c r="D1560" s="1050"/>
      <c r="E1560" s="1050"/>
      <c r="F1560" s="1050"/>
      <c r="G1560" s="1050"/>
    </row>
    <row r="1561" spans="1:7">
      <c r="A1561" s="1079"/>
      <c r="B1561" s="1050"/>
      <c r="C1561" s="1050"/>
      <c r="D1561" s="1050"/>
      <c r="E1561" s="1050"/>
      <c r="F1561" s="1050"/>
      <c r="G1561" s="1050"/>
    </row>
    <row r="1562" spans="1:7">
      <c r="A1562" s="1079"/>
      <c r="B1562" s="1050"/>
      <c r="C1562" s="1050"/>
      <c r="D1562" s="1050"/>
      <c r="E1562" s="1050"/>
      <c r="F1562" s="1050"/>
      <c r="G1562" s="1050"/>
    </row>
    <row r="1563" spans="1:7">
      <c r="A1563" s="1079"/>
      <c r="B1563" s="1050"/>
      <c r="C1563" s="1050"/>
      <c r="D1563" s="1050"/>
      <c r="E1563" s="1050"/>
      <c r="F1563" s="1050"/>
      <c r="G1563" s="1050"/>
    </row>
    <row r="1564" spans="1:7">
      <c r="A1564" s="1079"/>
      <c r="B1564" s="1050"/>
      <c r="C1564" s="1050"/>
      <c r="D1564" s="1050"/>
      <c r="E1564" s="1050"/>
      <c r="F1564" s="1050"/>
      <c r="G1564" s="1050"/>
    </row>
    <row r="1565" spans="1:7">
      <c r="A1565" s="1079"/>
      <c r="B1565" s="1050"/>
      <c r="C1565" s="1050"/>
      <c r="D1565" s="1050"/>
      <c r="E1565" s="1050"/>
      <c r="F1565" s="1050"/>
      <c r="G1565" s="1050"/>
    </row>
    <row r="1566" spans="1:7">
      <c r="A1566" s="1079"/>
      <c r="B1566" s="1050"/>
      <c r="C1566" s="1050"/>
      <c r="D1566" s="1050"/>
      <c r="E1566" s="1050"/>
      <c r="F1566" s="1050"/>
      <c r="G1566" s="1050"/>
    </row>
    <row r="1567" spans="1:7">
      <c r="A1567" s="1079"/>
      <c r="B1567" s="1050"/>
      <c r="C1567" s="1050"/>
      <c r="D1567" s="1050"/>
      <c r="E1567" s="1050"/>
      <c r="F1567" s="1050"/>
      <c r="G1567" s="1050"/>
    </row>
    <row r="1568" spans="1:7">
      <c r="A1568" s="1079"/>
      <c r="B1568" s="1050"/>
      <c r="C1568" s="1050"/>
      <c r="D1568" s="1050"/>
      <c r="E1568" s="1050"/>
      <c r="F1568" s="1050"/>
      <c r="G1568" s="1050"/>
    </row>
    <row r="1569" spans="1:7">
      <c r="A1569" s="1079"/>
      <c r="B1569" s="1050"/>
      <c r="C1569" s="1050"/>
      <c r="D1569" s="1050"/>
      <c r="E1569" s="1050"/>
      <c r="F1569" s="1050"/>
      <c r="G1569" s="1050"/>
    </row>
    <row r="1570" spans="1:7">
      <c r="A1570" s="1079"/>
      <c r="B1570" s="1050"/>
      <c r="C1570" s="1050"/>
      <c r="D1570" s="1050"/>
      <c r="E1570" s="1050"/>
      <c r="F1570" s="1050"/>
      <c r="G1570" s="1050"/>
    </row>
    <row r="1571" spans="1:7">
      <c r="A1571" s="1079"/>
      <c r="B1571" s="1050"/>
      <c r="C1571" s="1050"/>
      <c r="D1571" s="1050"/>
      <c r="E1571" s="1050"/>
      <c r="F1571" s="1050"/>
      <c r="G1571" s="1050"/>
    </row>
    <row r="1572" spans="1:7">
      <c r="A1572" s="1079"/>
      <c r="B1572" s="1050"/>
      <c r="C1572" s="1050"/>
      <c r="D1572" s="1050"/>
      <c r="E1572" s="1050"/>
      <c r="F1572" s="1050"/>
      <c r="G1572" s="1050"/>
    </row>
    <row r="1573" spans="1:7">
      <c r="A1573" s="1079"/>
      <c r="B1573" s="1050"/>
      <c r="C1573" s="1050"/>
      <c r="D1573" s="1050"/>
      <c r="E1573" s="1050"/>
      <c r="F1573" s="1050"/>
      <c r="G1573" s="1050"/>
    </row>
    <row r="1574" spans="1:7">
      <c r="A1574" s="1079"/>
      <c r="B1574" s="1050"/>
      <c r="C1574" s="1050"/>
      <c r="D1574" s="1050"/>
      <c r="E1574" s="1050"/>
      <c r="F1574" s="1050"/>
      <c r="G1574" s="1050"/>
    </row>
    <row r="1575" spans="1:7">
      <c r="A1575" s="1079"/>
      <c r="B1575" s="1050"/>
      <c r="C1575" s="1050"/>
      <c r="D1575" s="1050"/>
      <c r="E1575" s="1050"/>
      <c r="F1575" s="1050"/>
      <c r="G1575" s="1050"/>
    </row>
    <row r="1576" spans="1:7">
      <c r="A1576" s="1079"/>
      <c r="B1576" s="1050"/>
      <c r="C1576" s="1050"/>
      <c r="D1576" s="1050"/>
      <c r="E1576" s="1050"/>
      <c r="F1576" s="1050"/>
      <c r="G1576" s="1050"/>
    </row>
    <row r="1577" spans="1:7">
      <c r="A1577" s="1079"/>
      <c r="B1577" s="1050"/>
      <c r="C1577" s="1050"/>
      <c r="D1577" s="1050"/>
      <c r="E1577" s="1050"/>
      <c r="F1577" s="1050"/>
      <c r="G1577" s="1050"/>
    </row>
    <row r="1578" spans="1:7">
      <c r="A1578" s="1079"/>
      <c r="B1578" s="1050"/>
      <c r="C1578" s="1050"/>
      <c r="D1578" s="1050"/>
      <c r="E1578" s="1050"/>
      <c r="F1578" s="1050"/>
      <c r="G1578" s="1050"/>
    </row>
    <row r="1579" spans="1:7">
      <c r="A1579" s="1079"/>
      <c r="B1579" s="1050"/>
      <c r="C1579" s="1050"/>
      <c r="D1579" s="1050"/>
      <c r="E1579" s="1050"/>
      <c r="F1579" s="1050"/>
      <c r="G1579" s="1050"/>
    </row>
    <row r="1580" spans="1:7">
      <c r="A1580" s="1079"/>
      <c r="B1580" s="1050"/>
      <c r="C1580" s="1050"/>
      <c r="D1580" s="1050"/>
      <c r="E1580" s="1050"/>
      <c r="F1580" s="1050"/>
      <c r="G1580" s="1050"/>
    </row>
    <row r="1581" spans="1:7">
      <c r="A1581" s="1079"/>
      <c r="B1581" s="1050"/>
      <c r="C1581" s="1050"/>
      <c r="D1581" s="1050"/>
      <c r="E1581" s="1050"/>
      <c r="F1581" s="1050"/>
      <c r="G1581" s="1050"/>
    </row>
    <row r="1582" spans="1:7">
      <c r="A1582" s="1079"/>
      <c r="B1582" s="1050"/>
      <c r="C1582" s="1050"/>
      <c r="D1582" s="1050"/>
      <c r="E1582" s="1050"/>
      <c r="F1582" s="1050"/>
      <c r="G1582" s="1050"/>
    </row>
    <row r="1583" spans="1:7">
      <c r="A1583" s="1079"/>
      <c r="B1583" s="1050"/>
      <c r="C1583" s="1050"/>
      <c r="D1583" s="1050"/>
      <c r="E1583" s="1050"/>
      <c r="F1583" s="1050"/>
      <c r="G1583" s="1050"/>
    </row>
    <row r="1584" spans="1:7">
      <c r="A1584" s="1079"/>
      <c r="B1584" s="1050"/>
      <c r="C1584" s="1050"/>
      <c r="D1584" s="1050"/>
      <c r="E1584" s="1050"/>
      <c r="F1584" s="1050"/>
      <c r="G1584" s="1050"/>
    </row>
    <row r="1585" spans="1:7">
      <c r="A1585" s="1079"/>
      <c r="B1585" s="1050"/>
      <c r="C1585" s="1050"/>
      <c r="D1585" s="1050"/>
      <c r="E1585" s="1050"/>
      <c r="F1585" s="1050"/>
      <c r="G1585" s="1050"/>
    </row>
    <row r="1586" spans="1:7">
      <c r="A1586" s="1079"/>
      <c r="B1586" s="1050"/>
      <c r="C1586" s="1050"/>
      <c r="D1586" s="1050"/>
      <c r="E1586" s="1050"/>
      <c r="F1586" s="1050"/>
      <c r="G1586" s="1050"/>
    </row>
    <row r="1587" spans="1:7">
      <c r="A1587" s="1079"/>
      <c r="B1587" s="1050"/>
      <c r="C1587" s="1050"/>
      <c r="D1587" s="1050"/>
      <c r="E1587" s="1050"/>
      <c r="F1587" s="1050"/>
      <c r="G1587" s="1050"/>
    </row>
    <row r="1588" spans="1:7">
      <c r="A1588" s="1079"/>
      <c r="B1588" s="1050"/>
      <c r="C1588" s="1050"/>
      <c r="D1588" s="1050"/>
      <c r="E1588" s="1050"/>
      <c r="F1588" s="1050"/>
      <c r="G1588" s="1050"/>
    </row>
    <row r="1589" spans="1:7">
      <c r="A1589" s="1079"/>
      <c r="B1589" s="1050"/>
      <c r="C1589" s="1050"/>
      <c r="D1589" s="1050"/>
      <c r="E1589" s="1050"/>
      <c r="F1589" s="1050"/>
      <c r="G1589" s="1050"/>
    </row>
    <row r="1590" spans="1:7">
      <c r="A1590" s="1079"/>
      <c r="B1590" s="1050"/>
      <c r="C1590" s="1050"/>
      <c r="D1590" s="1050"/>
      <c r="E1590" s="1050"/>
      <c r="F1590" s="1050"/>
      <c r="G1590" s="1050"/>
    </row>
    <row r="1591" spans="1:7">
      <c r="A1591" s="1079"/>
      <c r="B1591" s="1050"/>
      <c r="C1591" s="1050"/>
      <c r="D1591" s="1050"/>
      <c r="E1591" s="1050"/>
      <c r="F1591" s="1050"/>
      <c r="G1591" s="1050"/>
    </row>
    <row r="1592" spans="1:7">
      <c r="A1592" s="1079"/>
      <c r="B1592" s="1050"/>
      <c r="C1592" s="1050"/>
      <c r="D1592" s="1050"/>
      <c r="E1592" s="1050"/>
      <c r="F1592" s="1050"/>
      <c r="G1592" s="1050"/>
    </row>
    <row r="1593" spans="1:7">
      <c r="A1593" s="1079"/>
      <c r="B1593" s="1050"/>
      <c r="C1593" s="1050"/>
      <c r="D1593" s="1050"/>
      <c r="E1593" s="1050"/>
      <c r="F1593" s="1050"/>
      <c r="G1593" s="1050"/>
    </row>
    <row r="1594" spans="1:7">
      <c r="A1594" s="1079"/>
      <c r="B1594" s="1050"/>
      <c r="C1594" s="1050"/>
      <c r="D1594" s="1050"/>
      <c r="E1594" s="1050"/>
      <c r="F1594" s="1050"/>
      <c r="G1594" s="1050"/>
    </row>
    <row r="1595" spans="1:7">
      <c r="A1595" s="1079"/>
      <c r="B1595" s="1050"/>
      <c r="C1595" s="1050"/>
      <c r="D1595" s="1050"/>
      <c r="E1595" s="1050"/>
      <c r="F1595" s="1050"/>
      <c r="G1595" s="1050"/>
    </row>
    <row r="1596" spans="1:7">
      <c r="A1596" s="1079"/>
      <c r="B1596" s="1050"/>
      <c r="C1596" s="1050"/>
      <c r="D1596" s="1050"/>
      <c r="E1596" s="1050"/>
      <c r="F1596" s="1050"/>
      <c r="G1596" s="1050"/>
    </row>
    <row r="1597" spans="1:7">
      <c r="A1597" s="1079"/>
      <c r="B1597" s="1050"/>
      <c r="C1597" s="1050"/>
      <c r="D1597" s="1050"/>
      <c r="E1597" s="1050"/>
      <c r="F1597" s="1050"/>
      <c r="G1597" s="1050"/>
    </row>
    <row r="1598" spans="1:7">
      <c r="A1598" s="1079"/>
      <c r="B1598" s="1050"/>
      <c r="C1598" s="1050"/>
      <c r="D1598" s="1050"/>
      <c r="E1598" s="1050"/>
      <c r="F1598" s="1050"/>
      <c r="G1598" s="1050"/>
    </row>
    <row r="1599" spans="1:7">
      <c r="A1599" s="1079"/>
      <c r="B1599" s="1050"/>
      <c r="C1599" s="1050"/>
      <c r="D1599" s="1050"/>
      <c r="E1599" s="1050"/>
      <c r="F1599" s="1050"/>
      <c r="G1599" s="1050"/>
    </row>
    <row r="1600" spans="1:7">
      <c r="A1600" s="1079"/>
      <c r="B1600" s="1050"/>
      <c r="C1600" s="1050"/>
      <c r="D1600" s="1050"/>
      <c r="E1600" s="1050"/>
      <c r="F1600" s="1050"/>
      <c r="G1600" s="1050"/>
    </row>
    <row r="1601" spans="1:7">
      <c r="A1601" s="1079"/>
      <c r="B1601" s="1050"/>
      <c r="C1601" s="1050"/>
      <c r="D1601" s="1050"/>
      <c r="E1601" s="1050"/>
      <c r="F1601" s="1050"/>
      <c r="G1601" s="1050"/>
    </row>
    <row r="1602" spans="1:7">
      <c r="A1602" s="1079"/>
      <c r="B1602" s="1050"/>
      <c r="C1602" s="1050"/>
      <c r="D1602" s="1050"/>
      <c r="E1602" s="1050"/>
      <c r="F1602" s="1050"/>
      <c r="G1602" s="1050"/>
    </row>
    <row r="1603" spans="1:7">
      <c r="A1603" s="1079"/>
      <c r="B1603" s="1050"/>
      <c r="C1603" s="1050"/>
      <c r="D1603" s="1050"/>
      <c r="E1603" s="1050"/>
      <c r="F1603" s="1050"/>
      <c r="G1603" s="1050"/>
    </row>
    <row r="1604" spans="1:7">
      <c r="A1604" s="1079"/>
      <c r="B1604" s="1050"/>
      <c r="C1604" s="1050"/>
      <c r="D1604" s="1050"/>
      <c r="E1604" s="1050"/>
      <c r="F1604" s="1050"/>
      <c r="G1604" s="1050"/>
    </row>
    <row r="1605" spans="1:7">
      <c r="A1605" s="1079"/>
      <c r="B1605" s="1050"/>
      <c r="C1605" s="1050"/>
      <c r="D1605" s="1050"/>
      <c r="E1605" s="1050"/>
      <c r="F1605" s="1050"/>
      <c r="G1605" s="1050"/>
    </row>
    <row r="1606" spans="1:7">
      <c r="A1606" s="1079"/>
      <c r="B1606" s="1050"/>
      <c r="C1606" s="1050"/>
      <c r="D1606" s="1050"/>
      <c r="E1606" s="1050"/>
      <c r="F1606" s="1050"/>
      <c r="G1606" s="1050"/>
    </row>
    <row r="1607" spans="1:7">
      <c r="A1607" s="1079"/>
      <c r="B1607" s="1050"/>
      <c r="C1607" s="1050"/>
      <c r="D1607" s="1050"/>
      <c r="E1607" s="1050"/>
      <c r="F1607" s="1050"/>
      <c r="G1607" s="1050"/>
    </row>
    <row r="1608" spans="1:7">
      <c r="A1608" s="1079"/>
      <c r="B1608" s="1050"/>
      <c r="C1608" s="1050"/>
      <c r="D1608" s="1050"/>
      <c r="E1608" s="1050"/>
      <c r="F1608" s="1050"/>
      <c r="G1608" s="1050"/>
    </row>
    <row r="1609" spans="1:7">
      <c r="A1609" s="1079"/>
      <c r="B1609" s="1050"/>
      <c r="C1609" s="1050"/>
      <c r="D1609" s="1050"/>
      <c r="E1609" s="1050"/>
      <c r="F1609" s="1050"/>
      <c r="G1609" s="1050"/>
    </row>
    <row r="1610" spans="1:7">
      <c r="A1610" s="1079"/>
      <c r="B1610" s="1050"/>
      <c r="C1610" s="1050"/>
      <c r="D1610" s="1050"/>
      <c r="E1610" s="1050"/>
      <c r="F1610" s="1050"/>
      <c r="G1610" s="1050"/>
    </row>
    <row r="1611" spans="1:7">
      <c r="A1611" s="1079"/>
      <c r="B1611" s="1050"/>
      <c r="C1611" s="1050"/>
      <c r="D1611" s="1050"/>
      <c r="E1611" s="1050"/>
      <c r="F1611" s="1050"/>
      <c r="G1611" s="1050"/>
    </row>
    <row r="1612" spans="1:7">
      <c r="A1612" s="1079"/>
      <c r="B1612" s="1050"/>
      <c r="C1612" s="1050"/>
      <c r="D1612" s="1050"/>
      <c r="E1612" s="1050"/>
      <c r="F1612" s="1050"/>
      <c r="G1612" s="1050"/>
    </row>
    <row r="1613" spans="1:7">
      <c r="A1613" s="1079"/>
      <c r="B1613" s="1050"/>
      <c r="C1613" s="1050"/>
      <c r="D1613" s="1050"/>
      <c r="E1613" s="1050"/>
      <c r="F1613" s="1050"/>
      <c r="G1613" s="1050"/>
    </row>
    <row r="1614" spans="1:7">
      <c r="A1614" s="1079"/>
      <c r="B1614" s="1050"/>
      <c r="C1614" s="1050"/>
      <c r="D1614" s="1050"/>
      <c r="E1614" s="1050"/>
      <c r="F1614" s="1050"/>
      <c r="G1614" s="1050"/>
    </row>
    <row r="1615" spans="1:7">
      <c r="A1615" s="1079"/>
      <c r="B1615" s="1050"/>
      <c r="C1615" s="1050"/>
      <c r="D1615" s="1050"/>
      <c r="E1615" s="1050"/>
      <c r="F1615" s="1050"/>
      <c r="G1615" s="1050"/>
    </row>
    <row r="1616" spans="1:7">
      <c r="A1616" s="1079"/>
      <c r="B1616" s="1050"/>
      <c r="C1616" s="1050"/>
      <c r="D1616" s="1050"/>
      <c r="E1616" s="1050"/>
      <c r="F1616" s="1050"/>
      <c r="G1616" s="1050"/>
    </row>
    <row r="1617" spans="1:7">
      <c r="A1617" s="1079"/>
      <c r="B1617" s="1050"/>
      <c r="C1617" s="1050"/>
      <c r="D1617" s="1050"/>
      <c r="E1617" s="1050"/>
      <c r="F1617" s="1050"/>
      <c r="G1617" s="1050"/>
    </row>
    <row r="1618" spans="1:7">
      <c r="A1618" s="1079"/>
      <c r="B1618" s="1050"/>
      <c r="C1618" s="1050"/>
      <c r="D1618" s="1050"/>
      <c r="E1618" s="1050"/>
      <c r="F1618" s="1050"/>
      <c r="G1618" s="1050"/>
    </row>
    <row r="1619" spans="1:7">
      <c r="A1619" s="1079"/>
      <c r="B1619" s="1050"/>
      <c r="C1619" s="1050"/>
      <c r="D1619" s="1050"/>
      <c r="E1619" s="1050"/>
      <c r="F1619" s="1050"/>
      <c r="G1619" s="1050"/>
    </row>
    <row r="1620" spans="1:7">
      <c r="A1620" s="1079"/>
      <c r="B1620" s="1050"/>
      <c r="C1620" s="1050"/>
      <c r="D1620" s="1050"/>
      <c r="E1620" s="1050"/>
      <c r="F1620" s="1050"/>
      <c r="G1620" s="1050"/>
    </row>
    <row r="1621" spans="1:7">
      <c r="A1621" s="1079"/>
      <c r="B1621" s="1050"/>
      <c r="C1621" s="1050"/>
      <c r="D1621" s="1050"/>
      <c r="E1621" s="1050"/>
      <c r="F1621" s="1050"/>
      <c r="G1621" s="1050"/>
    </row>
    <row r="1622" spans="1:7">
      <c r="A1622" s="1079"/>
      <c r="B1622" s="1050"/>
      <c r="C1622" s="1050"/>
      <c r="D1622" s="1050"/>
      <c r="E1622" s="1050"/>
      <c r="F1622" s="1050"/>
      <c r="G1622" s="1050"/>
    </row>
    <row r="1623" spans="1:7">
      <c r="A1623" s="1079"/>
      <c r="B1623" s="1050"/>
      <c r="C1623" s="1050"/>
      <c r="D1623" s="1050"/>
      <c r="E1623" s="1050"/>
      <c r="F1623" s="1050"/>
      <c r="G1623" s="1050"/>
    </row>
    <row r="1624" spans="1:7">
      <c r="A1624" s="1079"/>
      <c r="B1624" s="1050"/>
      <c r="C1624" s="1050"/>
      <c r="D1624" s="1050"/>
      <c r="E1624" s="1050"/>
      <c r="F1624" s="1050"/>
      <c r="G1624" s="1050"/>
    </row>
    <row r="1625" spans="1:7">
      <c r="A1625" s="1079"/>
      <c r="B1625" s="1050"/>
      <c r="C1625" s="1050"/>
      <c r="D1625" s="1050"/>
      <c r="E1625" s="1050"/>
      <c r="F1625" s="1050"/>
      <c r="G1625" s="1050"/>
    </row>
    <row r="1626" spans="1:7">
      <c r="A1626" s="1079"/>
      <c r="B1626" s="1050"/>
      <c r="C1626" s="1050"/>
      <c r="D1626" s="1050"/>
      <c r="E1626" s="1050"/>
      <c r="F1626" s="1050"/>
      <c r="G1626" s="1050"/>
    </row>
    <row r="1627" spans="1:7">
      <c r="A1627" s="1079"/>
      <c r="B1627" s="1050"/>
      <c r="C1627" s="1050"/>
      <c r="D1627" s="1050"/>
      <c r="E1627" s="1050"/>
      <c r="F1627" s="1050"/>
      <c r="G1627" s="1050"/>
    </row>
    <row r="1628" spans="1:7">
      <c r="A1628" s="1079"/>
      <c r="B1628" s="1050"/>
      <c r="C1628" s="1050"/>
      <c r="D1628" s="1050"/>
      <c r="E1628" s="1050"/>
      <c r="F1628" s="1050"/>
      <c r="G1628" s="1050"/>
    </row>
    <row r="1629" spans="1:7">
      <c r="A1629" s="1079"/>
      <c r="B1629" s="1050"/>
      <c r="C1629" s="1050"/>
      <c r="D1629" s="1050"/>
      <c r="E1629" s="1050"/>
      <c r="F1629" s="1050"/>
      <c r="G1629" s="1050"/>
    </row>
    <row r="1630" spans="1:7">
      <c r="A1630" s="1079"/>
      <c r="B1630" s="1050"/>
      <c r="C1630" s="1050"/>
      <c r="D1630" s="1050"/>
      <c r="E1630" s="1050"/>
      <c r="F1630" s="1050"/>
      <c r="G1630" s="1050"/>
    </row>
    <row r="1631" spans="1:7">
      <c r="A1631" s="1079"/>
      <c r="B1631" s="1050"/>
      <c r="C1631" s="1050"/>
      <c r="D1631" s="1050"/>
      <c r="E1631" s="1050"/>
      <c r="F1631" s="1050"/>
      <c r="G1631" s="1050"/>
    </row>
    <row r="1632" spans="1:7">
      <c r="A1632" s="1079"/>
      <c r="B1632" s="1050"/>
      <c r="C1632" s="1050"/>
      <c r="D1632" s="1050"/>
      <c r="E1632" s="1050"/>
      <c r="F1632" s="1050"/>
      <c r="G1632" s="1050"/>
    </row>
    <row r="1633" spans="1:7">
      <c r="A1633" s="1079"/>
      <c r="B1633" s="1050"/>
      <c r="C1633" s="1050"/>
      <c r="D1633" s="1050"/>
      <c r="E1633" s="1050"/>
      <c r="F1633" s="1050"/>
      <c r="G1633" s="1050"/>
    </row>
    <row r="1634" spans="1:7">
      <c r="A1634" s="1079"/>
      <c r="B1634" s="1050"/>
      <c r="C1634" s="1050"/>
      <c r="D1634" s="1050"/>
      <c r="E1634" s="1050"/>
      <c r="F1634" s="1050"/>
      <c r="G1634" s="1050"/>
    </row>
    <row r="1635" spans="1:7">
      <c r="A1635" s="1079"/>
      <c r="B1635" s="1050"/>
      <c r="C1635" s="1050"/>
      <c r="D1635" s="1050"/>
      <c r="E1635" s="1050"/>
      <c r="F1635" s="1050"/>
      <c r="G1635" s="1050"/>
    </row>
    <row r="1636" spans="1:7">
      <c r="A1636" s="1079"/>
      <c r="B1636" s="1050"/>
      <c r="C1636" s="1050"/>
      <c r="D1636" s="1050"/>
      <c r="E1636" s="1050"/>
      <c r="F1636" s="1050"/>
      <c r="G1636" s="1050"/>
    </row>
    <row r="1637" spans="1:7">
      <c r="A1637" s="1079"/>
      <c r="B1637" s="1050"/>
      <c r="C1637" s="1050"/>
      <c r="D1637" s="1050"/>
      <c r="E1637" s="1050"/>
      <c r="F1637" s="1050"/>
      <c r="G1637" s="1050"/>
    </row>
    <row r="1638" spans="1:7">
      <c r="A1638" s="1079"/>
      <c r="B1638" s="1050"/>
      <c r="C1638" s="1050"/>
      <c r="D1638" s="1050"/>
      <c r="E1638" s="1050"/>
      <c r="F1638" s="1050"/>
      <c r="G1638" s="1050"/>
    </row>
    <row r="1639" spans="1:7">
      <c r="A1639" s="1079"/>
      <c r="B1639" s="1050"/>
      <c r="C1639" s="1050"/>
      <c r="D1639" s="1050"/>
      <c r="E1639" s="1050"/>
      <c r="F1639" s="1050"/>
      <c r="G1639" s="1050"/>
    </row>
    <row r="1640" spans="1:7">
      <c r="A1640" s="1079"/>
      <c r="B1640" s="1050"/>
      <c r="C1640" s="1050"/>
      <c r="D1640" s="1050"/>
      <c r="E1640" s="1050"/>
      <c r="F1640" s="1050"/>
      <c r="G1640" s="1050"/>
    </row>
    <row r="1641" spans="1:7">
      <c r="A1641" s="1079"/>
      <c r="B1641" s="1050"/>
      <c r="C1641" s="1050"/>
      <c r="D1641" s="1050"/>
      <c r="E1641" s="1050"/>
      <c r="F1641" s="1050"/>
      <c r="G1641" s="1050"/>
    </row>
    <row r="1642" spans="1:7">
      <c r="A1642" s="1079"/>
      <c r="B1642" s="1050"/>
      <c r="C1642" s="1050"/>
      <c r="D1642" s="1050"/>
      <c r="E1642" s="1050"/>
      <c r="F1642" s="1050"/>
      <c r="G1642" s="1050"/>
    </row>
    <row r="1643" spans="1:7">
      <c r="A1643" s="1079"/>
      <c r="B1643" s="1050"/>
      <c r="C1643" s="1050"/>
      <c r="D1643" s="1050"/>
      <c r="E1643" s="1050"/>
      <c r="F1643" s="1050"/>
      <c r="G1643" s="1050"/>
    </row>
    <row r="1644" spans="1:7">
      <c r="A1644" s="1079"/>
      <c r="B1644" s="1050"/>
      <c r="C1644" s="1050"/>
      <c r="D1644" s="1050"/>
      <c r="E1644" s="1050"/>
      <c r="F1644" s="1050"/>
      <c r="G1644" s="1050"/>
    </row>
    <row r="1645" spans="1:7">
      <c r="A1645" s="1079"/>
      <c r="B1645" s="1050"/>
      <c r="C1645" s="1050"/>
      <c r="D1645" s="1050"/>
      <c r="E1645" s="1050"/>
      <c r="F1645" s="1050"/>
      <c r="G1645" s="1050"/>
    </row>
    <row r="1646" spans="1:7">
      <c r="A1646" s="1079"/>
      <c r="B1646" s="1050"/>
      <c r="C1646" s="1050"/>
      <c r="D1646" s="1050"/>
      <c r="E1646" s="1050"/>
      <c r="F1646" s="1050"/>
      <c r="G1646" s="1050"/>
    </row>
    <row r="1647" spans="1:7">
      <c r="A1647" s="1079"/>
      <c r="B1647" s="1050"/>
      <c r="C1647" s="1050"/>
      <c r="D1647" s="1050"/>
      <c r="E1647" s="1050"/>
      <c r="F1647" s="1050"/>
      <c r="G1647" s="1050"/>
    </row>
    <row r="1648" spans="1:7">
      <c r="A1648" s="1079"/>
      <c r="B1648" s="1050"/>
      <c r="C1648" s="1050"/>
      <c r="D1648" s="1050"/>
      <c r="E1648" s="1050"/>
      <c r="F1648" s="1050"/>
      <c r="G1648" s="1050"/>
    </row>
    <row r="1649" spans="1:7">
      <c r="A1649" s="1079"/>
      <c r="B1649" s="1050"/>
      <c r="C1649" s="1050"/>
      <c r="D1649" s="1050"/>
      <c r="E1649" s="1050"/>
      <c r="F1649" s="1050"/>
      <c r="G1649" s="1050"/>
    </row>
    <row r="1650" spans="1:7">
      <c r="A1650" s="1079"/>
      <c r="B1650" s="1050"/>
      <c r="C1650" s="1050"/>
      <c r="D1650" s="1050"/>
      <c r="E1650" s="1050"/>
      <c r="F1650" s="1050"/>
      <c r="G1650" s="1050"/>
    </row>
    <row r="1651" spans="1:7">
      <c r="A1651" s="1079"/>
      <c r="B1651" s="1050"/>
      <c r="C1651" s="1050"/>
      <c r="D1651" s="1050"/>
      <c r="E1651" s="1050"/>
      <c r="F1651" s="1050"/>
      <c r="G1651" s="1050"/>
    </row>
    <row r="1652" spans="1:7">
      <c r="A1652" s="1079"/>
      <c r="B1652" s="1050"/>
      <c r="C1652" s="1050"/>
      <c r="D1652" s="1050"/>
      <c r="E1652" s="1050"/>
      <c r="F1652" s="1050"/>
      <c r="G1652" s="1050"/>
    </row>
    <row r="1653" spans="1:7">
      <c r="A1653" s="1079"/>
      <c r="B1653" s="1050"/>
      <c r="C1653" s="1050"/>
      <c r="D1653" s="1050"/>
      <c r="E1653" s="1050"/>
      <c r="F1653" s="1050"/>
      <c r="G1653" s="1050"/>
    </row>
    <row r="1654" spans="1:7">
      <c r="A1654" s="1079"/>
      <c r="B1654" s="1050"/>
      <c r="C1654" s="1050"/>
      <c r="D1654" s="1050"/>
      <c r="E1654" s="1050"/>
      <c r="F1654" s="1050"/>
      <c r="G1654" s="1050"/>
    </row>
    <row r="1655" spans="1:7">
      <c r="A1655" s="1079"/>
      <c r="B1655" s="1050"/>
      <c r="C1655" s="1050"/>
      <c r="D1655" s="1050"/>
      <c r="E1655" s="1050"/>
      <c r="F1655" s="1050"/>
      <c r="G1655" s="1050"/>
    </row>
    <row r="1656" spans="1:7">
      <c r="A1656" s="1079"/>
      <c r="B1656" s="1050"/>
      <c r="C1656" s="1050"/>
      <c r="D1656" s="1050"/>
      <c r="E1656" s="1050"/>
      <c r="F1656" s="1050"/>
      <c r="G1656" s="1050"/>
    </row>
    <row r="1657" spans="1:7">
      <c r="A1657" s="1079"/>
      <c r="B1657" s="1050"/>
      <c r="C1657" s="1050"/>
      <c r="D1657" s="1050"/>
      <c r="E1657" s="1050"/>
      <c r="F1657" s="1050"/>
      <c r="G1657" s="1050"/>
    </row>
    <row r="1658" spans="1:7">
      <c r="A1658" s="1079"/>
      <c r="B1658" s="1050"/>
      <c r="C1658" s="1050"/>
      <c r="D1658" s="1050"/>
      <c r="E1658" s="1050"/>
      <c r="F1658" s="1050"/>
      <c r="G1658" s="1050"/>
    </row>
    <row r="1659" spans="1:7">
      <c r="A1659" s="1079"/>
      <c r="B1659" s="1050"/>
      <c r="C1659" s="1050"/>
      <c r="D1659" s="1050"/>
      <c r="E1659" s="1050"/>
      <c r="F1659" s="1050"/>
      <c r="G1659" s="1050"/>
    </row>
    <row r="1660" spans="1:7">
      <c r="A1660" s="1079"/>
      <c r="B1660" s="1050"/>
      <c r="C1660" s="1050"/>
      <c r="D1660" s="1050"/>
      <c r="E1660" s="1050"/>
      <c r="F1660" s="1050"/>
      <c r="G1660" s="1050"/>
    </row>
    <row r="1661" spans="1:7">
      <c r="A1661" s="1079"/>
      <c r="B1661" s="1050"/>
      <c r="C1661" s="1050"/>
      <c r="D1661" s="1050"/>
      <c r="E1661" s="1050"/>
      <c r="F1661" s="1050"/>
      <c r="G1661" s="1050"/>
    </row>
    <row r="1662" spans="1:7">
      <c r="A1662" s="1079"/>
      <c r="B1662" s="1050"/>
      <c r="C1662" s="1050"/>
      <c r="D1662" s="1050"/>
      <c r="E1662" s="1050"/>
      <c r="F1662" s="1050"/>
      <c r="G1662" s="1050"/>
    </row>
    <row r="1663" spans="1:7">
      <c r="A1663" s="1079"/>
      <c r="B1663" s="1050"/>
      <c r="C1663" s="1050"/>
      <c r="D1663" s="1050"/>
      <c r="E1663" s="1050"/>
      <c r="F1663" s="1050"/>
      <c r="G1663" s="1050"/>
    </row>
    <row r="1664" spans="1:7">
      <c r="A1664" s="1079"/>
      <c r="B1664" s="1050"/>
      <c r="C1664" s="1050"/>
      <c r="D1664" s="1050"/>
      <c r="E1664" s="1050"/>
      <c r="F1664" s="1050"/>
      <c r="G1664" s="1050"/>
    </row>
    <row r="1665" spans="1:7">
      <c r="A1665" s="1079"/>
      <c r="B1665" s="1050"/>
      <c r="C1665" s="1050"/>
      <c r="D1665" s="1050"/>
      <c r="E1665" s="1050"/>
      <c r="F1665" s="1050"/>
      <c r="G1665" s="1050"/>
    </row>
    <row r="1666" spans="1:7">
      <c r="A1666" s="1079"/>
      <c r="B1666" s="1050"/>
      <c r="C1666" s="1050"/>
      <c r="D1666" s="1050"/>
      <c r="E1666" s="1050"/>
      <c r="F1666" s="1050"/>
      <c r="G1666" s="1050"/>
    </row>
    <row r="1667" spans="1:7">
      <c r="A1667" s="1079"/>
      <c r="B1667" s="1050"/>
      <c r="C1667" s="1050"/>
      <c r="D1667" s="1050"/>
      <c r="E1667" s="1050"/>
      <c r="F1667" s="1050"/>
      <c r="G1667" s="1050"/>
    </row>
    <row r="1668" spans="1:7">
      <c r="A1668" s="1079"/>
      <c r="B1668" s="1050"/>
      <c r="C1668" s="1050"/>
      <c r="D1668" s="1050"/>
      <c r="E1668" s="1050"/>
      <c r="F1668" s="1050"/>
      <c r="G1668" s="1050"/>
    </row>
    <row r="1669" spans="1:7">
      <c r="A1669" s="1079"/>
      <c r="B1669" s="1050"/>
      <c r="C1669" s="1050"/>
      <c r="D1669" s="1050"/>
      <c r="E1669" s="1050"/>
      <c r="F1669" s="1050"/>
      <c r="G1669" s="1050"/>
    </row>
    <row r="1670" spans="1:7">
      <c r="A1670" s="1079"/>
      <c r="B1670" s="1050"/>
      <c r="C1670" s="1050"/>
      <c r="D1670" s="1050"/>
      <c r="E1670" s="1050"/>
      <c r="F1670" s="1050"/>
      <c r="G1670" s="1050"/>
    </row>
    <row r="1671" spans="1:7">
      <c r="A1671" s="1079"/>
      <c r="B1671" s="1050"/>
      <c r="C1671" s="1050"/>
      <c r="D1671" s="1050"/>
      <c r="E1671" s="1050"/>
      <c r="F1671" s="1050"/>
      <c r="G1671" s="1050"/>
    </row>
    <row r="1672" spans="1:7">
      <c r="A1672" s="1079"/>
      <c r="B1672" s="1050"/>
      <c r="C1672" s="1050"/>
      <c r="D1672" s="1050"/>
      <c r="E1672" s="1050"/>
      <c r="F1672" s="1050"/>
      <c r="G1672" s="1050"/>
    </row>
    <row r="1673" spans="1:7">
      <c r="A1673" s="1079"/>
      <c r="B1673" s="1050"/>
      <c r="C1673" s="1050"/>
      <c r="D1673" s="1050"/>
      <c r="E1673" s="1050"/>
      <c r="F1673" s="1050"/>
      <c r="G1673" s="1050"/>
    </row>
    <row r="1674" spans="1:7">
      <c r="A1674" s="1079"/>
      <c r="B1674" s="1050"/>
      <c r="C1674" s="1050"/>
      <c r="D1674" s="1050"/>
      <c r="E1674" s="1050"/>
      <c r="F1674" s="1050"/>
      <c r="G1674" s="1050"/>
    </row>
    <row r="1675" spans="1:7">
      <c r="A1675" s="1079"/>
      <c r="B1675" s="1050"/>
      <c r="C1675" s="1050"/>
      <c r="D1675" s="1050"/>
      <c r="E1675" s="1050"/>
      <c r="F1675" s="1050"/>
      <c r="G1675" s="1050"/>
    </row>
    <row r="1676" spans="1:7">
      <c r="A1676" s="1079"/>
      <c r="B1676" s="1050"/>
      <c r="C1676" s="1050"/>
      <c r="D1676" s="1050"/>
      <c r="E1676" s="1050"/>
      <c r="F1676" s="1050"/>
      <c r="G1676" s="1050"/>
    </row>
    <row r="1677" spans="1:7">
      <c r="A1677" s="1079"/>
      <c r="B1677" s="1050"/>
      <c r="C1677" s="1050"/>
      <c r="D1677" s="1050"/>
      <c r="E1677" s="1050"/>
      <c r="F1677" s="1050"/>
      <c r="G1677" s="1050"/>
    </row>
    <row r="1678" spans="1:7">
      <c r="A1678" s="1079"/>
      <c r="B1678" s="1050"/>
      <c r="C1678" s="1050"/>
      <c r="D1678" s="1050"/>
      <c r="E1678" s="1050"/>
      <c r="F1678" s="1050"/>
      <c r="G1678" s="1050"/>
    </row>
    <row r="1679" spans="1:7">
      <c r="A1679" s="1079"/>
      <c r="B1679" s="1050"/>
      <c r="C1679" s="1050"/>
      <c r="D1679" s="1050"/>
      <c r="E1679" s="1050"/>
      <c r="F1679" s="1050"/>
      <c r="G1679" s="1050"/>
    </row>
    <row r="1680" spans="1:7">
      <c r="A1680" s="1079"/>
      <c r="B1680" s="1050"/>
      <c r="C1680" s="1050"/>
      <c r="D1680" s="1050"/>
      <c r="E1680" s="1050"/>
      <c r="F1680" s="1050"/>
      <c r="G1680" s="1050"/>
    </row>
    <row r="1681" spans="1:7">
      <c r="A1681" s="1079"/>
      <c r="B1681" s="1050"/>
      <c r="C1681" s="1050"/>
      <c r="D1681" s="1050"/>
      <c r="E1681" s="1050"/>
      <c r="F1681" s="1050"/>
      <c r="G1681" s="1050"/>
    </row>
    <row r="1682" spans="1:7">
      <c r="A1682" s="1079"/>
      <c r="B1682" s="1050"/>
      <c r="C1682" s="1050"/>
      <c r="D1682" s="1050"/>
      <c r="E1682" s="1050"/>
      <c r="F1682" s="1050"/>
      <c r="G1682" s="1050"/>
    </row>
    <row r="1683" spans="1:7">
      <c r="A1683" s="1079"/>
      <c r="B1683" s="1050"/>
      <c r="C1683" s="1050"/>
      <c r="D1683" s="1050"/>
      <c r="E1683" s="1050"/>
      <c r="F1683" s="1050"/>
      <c r="G1683" s="1050"/>
    </row>
    <row r="1684" spans="1:7">
      <c r="A1684" s="1079"/>
      <c r="B1684" s="1050"/>
      <c r="C1684" s="1050"/>
      <c r="D1684" s="1050"/>
      <c r="E1684" s="1050"/>
      <c r="F1684" s="1050"/>
      <c r="G1684" s="1050"/>
    </row>
    <row r="1685" spans="1:7">
      <c r="A1685" s="1079"/>
      <c r="B1685" s="1050"/>
      <c r="C1685" s="1050"/>
      <c r="D1685" s="1050"/>
      <c r="E1685" s="1050"/>
      <c r="F1685" s="1050"/>
      <c r="G1685" s="1050"/>
    </row>
    <row r="1686" spans="1:7">
      <c r="A1686" s="1079"/>
      <c r="B1686" s="1050"/>
      <c r="C1686" s="1050"/>
      <c r="D1686" s="1050"/>
      <c r="E1686" s="1050"/>
      <c r="F1686" s="1050"/>
      <c r="G1686" s="1050"/>
    </row>
    <row r="1687" spans="1:7">
      <c r="A1687" s="1079"/>
      <c r="B1687" s="1050"/>
      <c r="C1687" s="1050"/>
      <c r="D1687" s="1050"/>
      <c r="E1687" s="1050"/>
      <c r="F1687" s="1050"/>
      <c r="G1687" s="1050"/>
    </row>
    <row r="1688" spans="1:7">
      <c r="A1688" s="1079"/>
      <c r="B1688" s="1050"/>
      <c r="C1688" s="1050"/>
      <c r="D1688" s="1050"/>
      <c r="E1688" s="1050"/>
      <c r="F1688" s="1050"/>
      <c r="G1688" s="1050"/>
    </row>
    <row r="1689" spans="1:7">
      <c r="A1689" s="1079"/>
      <c r="B1689" s="1050"/>
      <c r="C1689" s="1050"/>
      <c r="D1689" s="1050"/>
      <c r="E1689" s="1050"/>
      <c r="F1689" s="1050"/>
      <c r="G1689" s="1050"/>
    </row>
    <row r="1690" spans="1:7">
      <c r="A1690" s="1079"/>
      <c r="B1690" s="1050"/>
      <c r="C1690" s="1050"/>
      <c r="D1690" s="1050"/>
      <c r="E1690" s="1050"/>
      <c r="F1690" s="1050"/>
      <c r="G1690" s="1050"/>
    </row>
    <row r="1691" spans="1:7">
      <c r="A1691" s="1079"/>
      <c r="B1691" s="1050"/>
      <c r="C1691" s="1050"/>
      <c r="D1691" s="1050"/>
      <c r="E1691" s="1050"/>
      <c r="F1691" s="1050"/>
      <c r="G1691" s="1050"/>
    </row>
    <row r="1692" spans="1:7">
      <c r="A1692" s="1079"/>
      <c r="B1692" s="1050"/>
      <c r="C1692" s="1050"/>
      <c r="D1692" s="1050"/>
      <c r="E1692" s="1050"/>
      <c r="F1692" s="1050"/>
      <c r="G1692" s="1050"/>
    </row>
    <row r="1693" spans="1:7">
      <c r="A1693" s="1079"/>
      <c r="B1693" s="1050"/>
      <c r="C1693" s="1050"/>
      <c r="D1693" s="1050"/>
      <c r="E1693" s="1050"/>
      <c r="F1693" s="1050"/>
      <c r="G1693" s="1050"/>
    </row>
    <row r="1694" spans="1:7">
      <c r="A1694" s="1079"/>
      <c r="B1694" s="1050"/>
      <c r="C1694" s="1050"/>
      <c r="D1694" s="1050"/>
      <c r="E1694" s="1050"/>
      <c r="F1694" s="1050"/>
      <c r="G1694" s="1050"/>
    </row>
    <row r="1695" spans="1:7">
      <c r="A1695" s="1079"/>
      <c r="B1695" s="1050"/>
      <c r="C1695" s="1050"/>
      <c r="D1695" s="1050"/>
      <c r="E1695" s="1050"/>
      <c r="F1695" s="1050"/>
      <c r="G1695" s="1050"/>
    </row>
    <row r="1696" spans="1:7">
      <c r="A1696" s="1079"/>
      <c r="B1696" s="1050"/>
      <c r="C1696" s="1050"/>
      <c r="D1696" s="1050"/>
      <c r="E1696" s="1050"/>
      <c r="F1696" s="1050"/>
      <c r="G1696" s="1050"/>
    </row>
    <row r="1697" spans="1:7">
      <c r="A1697" s="1079"/>
      <c r="B1697" s="1050"/>
      <c r="C1697" s="1050"/>
      <c r="D1697" s="1050"/>
      <c r="E1697" s="1050"/>
      <c r="F1697" s="1050"/>
      <c r="G1697" s="1050"/>
    </row>
    <row r="1698" spans="1:7">
      <c r="A1698" s="1079"/>
      <c r="B1698" s="1050"/>
      <c r="C1698" s="1050"/>
      <c r="D1698" s="1050"/>
      <c r="E1698" s="1050"/>
      <c r="F1698" s="1050"/>
      <c r="G1698" s="1050"/>
    </row>
    <row r="1699" spans="1:7">
      <c r="A1699" s="1079"/>
      <c r="B1699" s="1050"/>
      <c r="C1699" s="1050"/>
      <c r="D1699" s="1050"/>
      <c r="E1699" s="1050"/>
      <c r="F1699" s="1050"/>
      <c r="G1699" s="1050"/>
    </row>
    <row r="1700" spans="1:7">
      <c r="A1700" s="1079"/>
      <c r="B1700" s="1050"/>
      <c r="C1700" s="1050"/>
      <c r="D1700" s="1050"/>
      <c r="E1700" s="1050"/>
      <c r="F1700" s="1050"/>
      <c r="G1700" s="1050"/>
    </row>
    <row r="1701" spans="1:7">
      <c r="A1701" s="1079"/>
      <c r="B1701" s="1050"/>
      <c r="C1701" s="1050"/>
      <c r="D1701" s="1050"/>
      <c r="E1701" s="1050"/>
      <c r="F1701" s="1050"/>
      <c r="G1701" s="1050"/>
    </row>
    <row r="1702" spans="1:7">
      <c r="A1702" s="1079"/>
      <c r="B1702" s="1050"/>
      <c r="C1702" s="1050"/>
      <c r="D1702" s="1050"/>
      <c r="E1702" s="1050"/>
      <c r="F1702" s="1050"/>
      <c r="G1702" s="1050"/>
    </row>
    <row r="1703" spans="1:7">
      <c r="A1703" s="1079"/>
      <c r="B1703" s="1050"/>
      <c r="C1703" s="1050"/>
      <c r="D1703" s="1050"/>
      <c r="E1703" s="1050"/>
      <c r="F1703" s="1050"/>
      <c r="G1703" s="1050"/>
    </row>
    <row r="1704" spans="1:7">
      <c r="A1704" s="1079"/>
      <c r="B1704" s="1050"/>
      <c r="C1704" s="1050"/>
      <c r="D1704" s="1050"/>
      <c r="E1704" s="1050"/>
      <c r="F1704" s="1050"/>
      <c r="G1704" s="1050"/>
    </row>
    <row r="1705" spans="1:7">
      <c r="A1705" s="1079"/>
      <c r="B1705" s="1050"/>
      <c r="C1705" s="1050"/>
      <c r="D1705" s="1050"/>
      <c r="E1705" s="1050"/>
      <c r="F1705" s="1050"/>
      <c r="G1705" s="1050"/>
    </row>
    <row r="1706" spans="1:7">
      <c r="A1706" s="1079"/>
      <c r="B1706" s="1050"/>
      <c r="C1706" s="1050"/>
      <c r="D1706" s="1050"/>
      <c r="E1706" s="1050"/>
      <c r="F1706" s="1050"/>
      <c r="G1706" s="1050"/>
    </row>
    <row r="1707" spans="1:7">
      <c r="A1707" s="1079"/>
      <c r="B1707" s="1050"/>
      <c r="C1707" s="1050"/>
      <c r="D1707" s="1050"/>
      <c r="E1707" s="1050"/>
      <c r="F1707" s="1050"/>
      <c r="G1707" s="1050"/>
    </row>
    <row r="1708" spans="1:7">
      <c r="A1708" s="1079"/>
      <c r="B1708" s="1050"/>
      <c r="C1708" s="1050"/>
      <c r="D1708" s="1050"/>
      <c r="E1708" s="1050"/>
      <c r="F1708" s="1050"/>
      <c r="G1708" s="1050"/>
    </row>
    <row r="1709" spans="1:7">
      <c r="A1709" s="1079"/>
      <c r="B1709" s="1050"/>
      <c r="C1709" s="1050"/>
      <c r="D1709" s="1050"/>
      <c r="E1709" s="1050"/>
      <c r="F1709" s="1050"/>
      <c r="G1709" s="1050"/>
    </row>
    <row r="1710" spans="1:7">
      <c r="A1710" s="1079"/>
      <c r="B1710" s="1050"/>
      <c r="C1710" s="1050"/>
      <c r="D1710" s="1050"/>
      <c r="E1710" s="1050"/>
      <c r="F1710" s="1050"/>
      <c r="G1710" s="1050"/>
    </row>
    <row r="1711" spans="1:7">
      <c r="A1711" s="1079"/>
      <c r="B1711" s="1050"/>
      <c r="C1711" s="1050"/>
      <c r="D1711" s="1050"/>
      <c r="E1711" s="1050"/>
      <c r="F1711" s="1050"/>
      <c r="G1711" s="1050"/>
    </row>
    <row r="1712" spans="1:7">
      <c r="A1712" s="1079"/>
      <c r="B1712" s="1050"/>
      <c r="C1712" s="1050"/>
      <c r="D1712" s="1050"/>
      <c r="E1712" s="1050"/>
      <c r="F1712" s="1050"/>
      <c r="G1712" s="1050"/>
    </row>
    <row r="1713" spans="1:7">
      <c r="A1713" s="1079"/>
      <c r="B1713" s="1050"/>
      <c r="C1713" s="1050"/>
      <c r="D1713" s="1050"/>
      <c r="E1713" s="1050"/>
      <c r="F1713" s="1050"/>
      <c r="G1713" s="1050"/>
    </row>
    <row r="1714" spans="1:7">
      <c r="A1714" s="1079"/>
      <c r="B1714" s="1050"/>
      <c r="C1714" s="1050"/>
      <c r="D1714" s="1050"/>
      <c r="E1714" s="1050"/>
      <c r="F1714" s="1050"/>
      <c r="G1714" s="1050"/>
    </row>
    <row r="1715" spans="1:7">
      <c r="A1715" s="1079"/>
      <c r="B1715" s="1050"/>
      <c r="C1715" s="1050"/>
      <c r="D1715" s="1050"/>
      <c r="E1715" s="1050"/>
      <c r="F1715" s="1050"/>
      <c r="G1715" s="1050"/>
    </row>
    <row r="1716" spans="1:7">
      <c r="A1716" s="1079"/>
      <c r="B1716" s="1050"/>
      <c r="C1716" s="1050"/>
      <c r="D1716" s="1050"/>
      <c r="E1716" s="1050"/>
      <c r="F1716" s="1050"/>
      <c r="G1716" s="1050"/>
    </row>
    <row r="1717" spans="1:7">
      <c r="A1717" s="1079"/>
      <c r="B1717" s="1050"/>
      <c r="C1717" s="1050"/>
      <c r="D1717" s="1050"/>
      <c r="E1717" s="1050"/>
      <c r="F1717" s="1050"/>
      <c r="G1717" s="1050"/>
    </row>
    <row r="1718" spans="1:7">
      <c r="A1718" s="1079"/>
      <c r="B1718" s="1050"/>
      <c r="C1718" s="1050"/>
      <c r="D1718" s="1050"/>
      <c r="E1718" s="1050"/>
      <c r="F1718" s="1050"/>
      <c r="G1718" s="1050"/>
    </row>
    <row r="1719" spans="1:7">
      <c r="A1719" s="1079"/>
      <c r="B1719" s="1050"/>
      <c r="C1719" s="1050"/>
      <c r="D1719" s="1050"/>
      <c r="E1719" s="1050"/>
      <c r="F1719" s="1050"/>
      <c r="G1719" s="1050"/>
    </row>
    <row r="1720" spans="1:7">
      <c r="A1720" s="1079"/>
      <c r="B1720" s="1050"/>
      <c r="C1720" s="1050"/>
      <c r="D1720" s="1050"/>
      <c r="E1720" s="1050"/>
      <c r="F1720" s="1050"/>
      <c r="G1720" s="1050"/>
    </row>
    <row r="1721" spans="1:7">
      <c r="A1721" s="1079"/>
      <c r="B1721" s="1050"/>
      <c r="C1721" s="1050"/>
      <c r="D1721" s="1050"/>
      <c r="E1721" s="1050"/>
      <c r="F1721" s="1050"/>
      <c r="G1721" s="1050"/>
    </row>
    <row r="1722" spans="1:7">
      <c r="A1722" s="1079"/>
      <c r="B1722" s="1050"/>
      <c r="C1722" s="1050"/>
      <c r="D1722" s="1050"/>
      <c r="E1722" s="1050"/>
      <c r="F1722" s="1050"/>
      <c r="G1722" s="1050"/>
    </row>
    <row r="1723" spans="1:7">
      <c r="A1723" s="1079"/>
      <c r="B1723" s="1050"/>
      <c r="C1723" s="1050"/>
      <c r="D1723" s="1050"/>
      <c r="E1723" s="1050"/>
      <c r="F1723" s="1050"/>
      <c r="G1723" s="1050"/>
    </row>
    <row r="1724" spans="1:7">
      <c r="A1724" s="1079"/>
      <c r="B1724" s="1050"/>
      <c r="C1724" s="1050"/>
      <c r="D1724" s="1050"/>
      <c r="E1724" s="1050"/>
      <c r="F1724" s="1050"/>
      <c r="G1724" s="1050"/>
    </row>
    <row r="1725" spans="1:7">
      <c r="A1725" s="1079"/>
      <c r="B1725" s="1050"/>
      <c r="C1725" s="1050"/>
      <c r="D1725" s="1050"/>
      <c r="E1725" s="1050"/>
      <c r="F1725" s="1050"/>
      <c r="G1725" s="1050"/>
    </row>
    <row r="1726" spans="1:7">
      <c r="A1726" s="1079"/>
      <c r="B1726" s="1050"/>
      <c r="C1726" s="1050"/>
      <c r="D1726" s="1050"/>
      <c r="E1726" s="1050"/>
      <c r="F1726" s="1050"/>
      <c r="G1726" s="1050"/>
    </row>
    <row r="1727" spans="1:7">
      <c r="A1727" s="1079"/>
      <c r="B1727" s="1050"/>
      <c r="C1727" s="1050"/>
      <c r="D1727" s="1050"/>
      <c r="E1727" s="1050"/>
      <c r="F1727" s="1050"/>
      <c r="G1727" s="1050"/>
    </row>
    <row r="1728" spans="1:7">
      <c r="A1728" s="1079"/>
      <c r="B1728" s="1050"/>
      <c r="C1728" s="1050"/>
      <c r="D1728" s="1050"/>
      <c r="E1728" s="1050"/>
      <c r="F1728" s="1050"/>
      <c r="G1728" s="1050"/>
    </row>
    <row r="1729" spans="1:7">
      <c r="A1729" s="1079"/>
      <c r="B1729" s="1050"/>
      <c r="C1729" s="1050"/>
      <c r="D1729" s="1050"/>
      <c r="E1729" s="1050"/>
      <c r="F1729" s="1050"/>
      <c r="G1729" s="1050"/>
    </row>
    <row r="1730" spans="1:7">
      <c r="A1730" s="1079"/>
      <c r="B1730" s="1050"/>
      <c r="C1730" s="1050"/>
      <c r="D1730" s="1050"/>
      <c r="E1730" s="1050"/>
      <c r="F1730" s="1050"/>
      <c r="G1730" s="1050"/>
    </row>
    <row r="1731" spans="1:7">
      <c r="A1731" s="1079"/>
      <c r="B1731" s="1050"/>
      <c r="C1731" s="1050"/>
      <c r="D1731" s="1050"/>
      <c r="E1731" s="1050"/>
      <c r="F1731" s="1050"/>
      <c r="G1731" s="1050"/>
    </row>
    <row r="1732" spans="1:7">
      <c r="A1732" s="1079"/>
      <c r="B1732" s="1050"/>
      <c r="C1732" s="1050"/>
      <c r="D1732" s="1050"/>
      <c r="E1732" s="1050"/>
      <c r="F1732" s="1050"/>
      <c r="G1732" s="1050"/>
    </row>
    <row r="1733" spans="1:7">
      <c r="A1733" s="1079"/>
      <c r="B1733" s="1050"/>
      <c r="C1733" s="1050"/>
      <c r="D1733" s="1050"/>
      <c r="E1733" s="1050"/>
      <c r="F1733" s="1050"/>
      <c r="G1733" s="1050"/>
    </row>
    <row r="1734" spans="1:7">
      <c r="A1734" s="1079"/>
      <c r="B1734" s="1050"/>
      <c r="C1734" s="1050"/>
      <c r="D1734" s="1050"/>
      <c r="E1734" s="1050"/>
      <c r="F1734" s="1050"/>
      <c r="G1734" s="1050"/>
    </row>
    <row r="1735" spans="1:7">
      <c r="A1735" s="1079"/>
      <c r="B1735" s="1050"/>
      <c r="C1735" s="1050"/>
      <c r="D1735" s="1050"/>
      <c r="E1735" s="1050"/>
      <c r="F1735" s="1050"/>
      <c r="G1735" s="1050"/>
    </row>
    <row r="1736" spans="1:7">
      <c r="A1736" s="1079"/>
      <c r="B1736" s="1050"/>
      <c r="C1736" s="1050"/>
      <c r="D1736" s="1050"/>
      <c r="E1736" s="1050"/>
      <c r="F1736" s="1050"/>
      <c r="G1736" s="1050"/>
    </row>
    <row r="1737" spans="1:7">
      <c r="A1737" s="1079"/>
      <c r="B1737" s="1050"/>
      <c r="C1737" s="1050"/>
      <c r="D1737" s="1050"/>
      <c r="E1737" s="1050"/>
      <c r="F1737" s="1050"/>
      <c r="G1737" s="1050"/>
    </row>
    <row r="1738" spans="1:7">
      <c r="A1738" s="1079"/>
      <c r="B1738" s="1050"/>
      <c r="C1738" s="1050"/>
      <c r="D1738" s="1050"/>
      <c r="E1738" s="1050"/>
      <c r="F1738" s="1050"/>
      <c r="G1738" s="1050"/>
    </row>
    <row r="1739" spans="1:7">
      <c r="A1739" s="1079"/>
      <c r="B1739" s="1050"/>
      <c r="C1739" s="1050"/>
      <c r="D1739" s="1050"/>
      <c r="E1739" s="1050"/>
      <c r="F1739" s="1050"/>
      <c r="G1739" s="1050"/>
    </row>
    <row r="1740" spans="1:7">
      <c r="A1740" s="1079"/>
      <c r="B1740" s="1050"/>
      <c r="C1740" s="1050"/>
      <c r="D1740" s="1050"/>
      <c r="E1740" s="1050"/>
      <c r="F1740" s="1050"/>
      <c r="G1740" s="1050"/>
    </row>
    <row r="1741" spans="1:7">
      <c r="A1741" s="1079"/>
      <c r="B1741" s="1050"/>
      <c r="C1741" s="1050"/>
      <c r="D1741" s="1050"/>
      <c r="E1741" s="1050"/>
      <c r="F1741" s="1050"/>
      <c r="G1741" s="1050"/>
    </row>
    <row r="1742" spans="1:7">
      <c r="A1742" s="1079"/>
      <c r="B1742" s="1050"/>
      <c r="C1742" s="1050"/>
      <c r="D1742" s="1050"/>
      <c r="E1742" s="1050"/>
      <c r="F1742" s="1050"/>
      <c r="G1742" s="1050"/>
    </row>
    <row r="1743" spans="1:7">
      <c r="A1743" s="1079"/>
      <c r="B1743" s="1050"/>
      <c r="C1743" s="1050"/>
      <c r="D1743" s="1050"/>
      <c r="E1743" s="1050"/>
      <c r="F1743" s="1050"/>
      <c r="G1743" s="1050"/>
    </row>
    <row r="1744" spans="1:7">
      <c r="A1744" s="1079"/>
      <c r="B1744" s="1050"/>
      <c r="C1744" s="1050"/>
      <c r="D1744" s="1050"/>
      <c r="E1744" s="1050"/>
      <c r="F1744" s="1050"/>
      <c r="G1744" s="1050"/>
    </row>
    <row r="1745" spans="1:7">
      <c r="A1745" s="1079"/>
      <c r="B1745" s="1050"/>
      <c r="C1745" s="1050"/>
      <c r="D1745" s="1050"/>
      <c r="E1745" s="1050"/>
      <c r="F1745" s="1050"/>
      <c r="G1745" s="1050"/>
    </row>
    <row r="1746" spans="1:7">
      <c r="A1746" s="1079"/>
      <c r="B1746" s="1050"/>
      <c r="C1746" s="1050"/>
      <c r="D1746" s="1050"/>
      <c r="E1746" s="1050"/>
      <c r="F1746" s="1050"/>
      <c r="G1746" s="1050"/>
    </row>
    <row r="1747" spans="1:7">
      <c r="A1747" s="1079"/>
      <c r="B1747" s="1050"/>
      <c r="C1747" s="1050"/>
      <c r="D1747" s="1050"/>
      <c r="E1747" s="1050"/>
      <c r="F1747" s="1050"/>
      <c r="G1747" s="1050"/>
    </row>
    <row r="1748" spans="1:7">
      <c r="A1748" s="1079"/>
      <c r="B1748" s="1050"/>
      <c r="C1748" s="1050"/>
      <c r="D1748" s="1050"/>
      <c r="E1748" s="1050"/>
      <c r="F1748" s="1050"/>
      <c r="G1748" s="1050"/>
    </row>
    <row r="1749" spans="1:7">
      <c r="A1749" s="1079"/>
      <c r="B1749" s="1050"/>
      <c r="C1749" s="1050"/>
      <c r="D1749" s="1050"/>
      <c r="E1749" s="1050"/>
      <c r="F1749" s="1050"/>
      <c r="G1749" s="1050"/>
    </row>
    <row r="1750" spans="1:7">
      <c r="A1750" s="1079"/>
      <c r="B1750" s="1050"/>
      <c r="C1750" s="1050"/>
      <c r="D1750" s="1050"/>
      <c r="E1750" s="1050"/>
      <c r="F1750" s="1050"/>
      <c r="G1750" s="1050"/>
    </row>
    <row r="1751" spans="1:7">
      <c r="A1751" s="1079"/>
      <c r="B1751" s="1050"/>
      <c r="C1751" s="1050"/>
      <c r="D1751" s="1050"/>
      <c r="E1751" s="1050"/>
      <c r="F1751" s="1050"/>
      <c r="G1751" s="1050"/>
    </row>
    <row r="1752" spans="1:7">
      <c r="A1752" s="1079"/>
      <c r="B1752" s="1050"/>
      <c r="C1752" s="1050"/>
      <c r="D1752" s="1050"/>
      <c r="E1752" s="1050"/>
      <c r="F1752" s="1050"/>
      <c r="G1752" s="1050"/>
    </row>
    <row r="1753" spans="1:7">
      <c r="A1753" s="1079"/>
      <c r="B1753" s="1050"/>
      <c r="C1753" s="1050"/>
      <c r="D1753" s="1050"/>
      <c r="E1753" s="1050"/>
      <c r="F1753" s="1050"/>
      <c r="G1753" s="1050"/>
    </row>
    <row r="1754" spans="1:7">
      <c r="A1754" s="1079"/>
      <c r="B1754" s="1050"/>
      <c r="C1754" s="1050"/>
      <c r="D1754" s="1050"/>
      <c r="E1754" s="1050"/>
      <c r="F1754" s="1050"/>
      <c r="G1754" s="1050"/>
    </row>
    <row r="1755" spans="1:7">
      <c r="A1755" s="1079"/>
      <c r="B1755" s="1050"/>
      <c r="C1755" s="1050"/>
      <c r="D1755" s="1050"/>
      <c r="E1755" s="1050"/>
      <c r="F1755" s="1050"/>
      <c r="G1755" s="1050"/>
    </row>
    <row r="1756" spans="1:7">
      <c r="A1756" s="1079"/>
      <c r="B1756" s="1050"/>
      <c r="C1756" s="1050"/>
      <c r="D1756" s="1050"/>
      <c r="E1756" s="1050"/>
      <c r="F1756" s="1050"/>
      <c r="G1756" s="1050"/>
    </row>
    <row r="1757" spans="1:7">
      <c r="A1757" s="1079"/>
      <c r="B1757" s="1050"/>
      <c r="C1757" s="1050"/>
      <c r="D1757" s="1050"/>
      <c r="E1757" s="1050"/>
      <c r="F1757" s="1050"/>
      <c r="G1757" s="1050"/>
    </row>
    <row r="1758" spans="1:7">
      <c r="A1758" s="1079"/>
      <c r="B1758" s="1050"/>
      <c r="C1758" s="1050"/>
      <c r="D1758" s="1050"/>
      <c r="E1758" s="1050"/>
      <c r="F1758" s="1050"/>
      <c r="G1758" s="1050"/>
    </row>
    <row r="1759" spans="1:7">
      <c r="A1759" s="1079"/>
      <c r="B1759" s="1050"/>
      <c r="C1759" s="1050"/>
      <c r="D1759" s="1050"/>
      <c r="E1759" s="1050"/>
      <c r="F1759" s="1050"/>
      <c r="G1759" s="1050"/>
    </row>
    <row r="1760" spans="1:7">
      <c r="A1760" s="1079"/>
      <c r="B1760" s="1050"/>
      <c r="C1760" s="1050"/>
      <c r="D1760" s="1050"/>
      <c r="E1760" s="1050"/>
      <c r="F1760" s="1050"/>
      <c r="G1760" s="1050"/>
    </row>
    <row r="1761" spans="1:7">
      <c r="A1761" s="1079"/>
      <c r="B1761" s="1050"/>
      <c r="C1761" s="1050"/>
      <c r="D1761" s="1050"/>
      <c r="E1761" s="1050"/>
      <c r="F1761" s="1050"/>
      <c r="G1761" s="1050"/>
    </row>
    <row r="1762" spans="1:7">
      <c r="A1762" s="1079"/>
      <c r="B1762" s="1050"/>
      <c r="C1762" s="1050"/>
      <c r="D1762" s="1050"/>
      <c r="E1762" s="1050"/>
      <c r="F1762" s="1050"/>
      <c r="G1762" s="1050"/>
    </row>
    <row r="1763" spans="1:7">
      <c r="A1763" s="1079"/>
      <c r="B1763" s="1050"/>
      <c r="C1763" s="1050"/>
      <c r="D1763" s="1050"/>
      <c r="E1763" s="1050"/>
      <c r="F1763" s="1050"/>
      <c r="G1763" s="1050"/>
    </row>
    <row r="1764" spans="1:7">
      <c r="A1764" s="1079"/>
      <c r="B1764" s="1050"/>
      <c r="C1764" s="1050"/>
      <c r="D1764" s="1050"/>
      <c r="E1764" s="1050"/>
      <c r="F1764" s="1050"/>
      <c r="G1764" s="1050"/>
    </row>
    <row r="1765" spans="1:7">
      <c r="A1765" s="1079"/>
      <c r="B1765" s="1050"/>
      <c r="C1765" s="1050"/>
      <c r="D1765" s="1050"/>
      <c r="E1765" s="1050"/>
      <c r="F1765" s="1050"/>
      <c r="G1765" s="1050"/>
    </row>
    <row r="1766" spans="1:7">
      <c r="A1766" s="1079"/>
      <c r="B1766" s="1050"/>
      <c r="C1766" s="1050"/>
      <c r="D1766" s="1050"/>
      <c r="E1766" s="1050"/>
      <c r="F1766" s="1050"/>
      <c r="G1766" s="1050"/>
    </row>
    <row r="1767" spans="1:7">
      <c r="A1767" s="1079"/>
      <c r="B1767" s="1050"/>
      <c r="C1767" s="1050"/>
      <c r="D1767" s="1050"/>
      <c r="E1767" s="1050"/>
      <c r="F1767" s="1050"/>
      <c r="G1767" s="1050"/>
    </row>
    <row r="1768" spans="1:7">
      <c r="A1768" s="1079"/>
      <c r="B1768" s="1050"/>
      <c r="C1768" s="1050"/>
      <c r="D1768" s="1050"/>
      <c r="E1768" s="1050"/>
      <c r="F1768" s="1050"/>
      <c r="G1768" s="1050"/>
    </row>
    <row r="1769" spans="1:7">
      <c r="A1769" s="1079"/>
      <c r="B1769" s="1050"/>
      <c r="C1769" s="1050"/>
      <c r="D1769" s="1050"/>
      <c r="E1769" s="1050"/>
      <c r="F1769" s="1050"/>
      <c r="G1769" s="1050"/>
    </row>
    <row r="1770" spans="1:7">
      <c r="A1770" s="1079"/>
      <c r="B1770" s="1050"/>
      <c r="C1770" s="1050"/>
      <c r="D1770" s="1050"/>
      <c r="E1770" s="1050"/>
      <c r="F1770" s="1050"/>
      <c r="G1770" s="1050"/>
    </row>
    <row r="1771" spans="1:7">
      <c r="A1771" s="1079"/>
      <c r="B1771" s="1050"/>
      <c r="C1771" s="1050"/>
      <c r="D1771" s="1050"/>
      <c r="E1771" s="1050"/>
      <c r="F1771" s="1050"/>
      <c r="G1771" s="1050"/>
    </row>
    <row r="1772" spans="1:7">
      <c r="A1772" s="1079"/>
      <c r="B1772" s="1050"/>
      <c r="C1772" s="1050"/>
      <c r="D1772" s="1050"/>
      <c r="E1772" s="1050"/>
      <c r="F1772" s="1050"/>
      <c r="G1772" s="1050"/>
    </row>
    <row r="1773" spans="1:7">
      <c r="A1773" s="1079"/>
      <c r="B1773" s="1050"/>
      <c r="C1773" s="1050"/>
      <c r="D1773" s="1050"/>
      <c r="E1773" s="1050"/>
      <c r="F1773" s="1050"/>
      <c r="G1773" s="1050"/>
    </row>
    <row r="1774" spans="1:7">
      <c r="A1774" s="1079"/>
      <c r="B1774" s="1050"/>
      <c r="C1774" s="1050"/>
      <c r="D1774" s="1050"/>
      <c r="E1774" s="1050"/>
      <c r="F1774" s="1050"/>
      <c r="G1774" s="1050"/>
    </row>
    <row r="1775" spans="1:7">
      <c r="A1775" s="1079"/>
      <c r="B1775" s="1050"/>
      <c r="C1775" s="1050"/>
      <c r="D1775" s="1050"/>
      <c r="E1775" s="1050"/>
      <c r="F1775" s="1050"/>
      <c r="G1775" s="1050"/>
    </row>
    <row r="1776" spans="1:7">
      <c r="A1776" s="1079"/>
      <c r="B1776" s="1050"/>
      <c r="C1776" s="1050"/>
      <c r="D1776" s="1050"/>
      <c r="E1776" s="1050"/>
      <c r="F1776" s="1050"/>
      <c r="G1776" s="1050"/>
    </row>
    <row r="1777" spans="1:7">
      <c r="A1777" s="1079"/>
      <c r="B1777" s="1050"/>
      <c r="C1777" s="1050"/>
      <c r="D1777" s="1050"/>
      <c r="E1777" s="1050"/>
      <c r="F1777" s="1050"/>
      <c r="G1777" s="1050"/>
    </row>
    <row r="1778" spans="1:7">
      <c r="A1778" s="1079"/>
      <c r="B1778" s="1050"/>
      <c r="C1778" s="1050"/>
      <c r="D1778" s="1050"/>
      <c r="E1778" s="1050"/>
      <c r="F1778" s="1050"/>
      <c r="G1778" s="1050"/>
    </row>
    <row r="1779" spans="1:7">
      <c r="A1779" s="1079"/>
      <c r="B1779" s="1050"/>
      <c r="C1779" s="1050"/>
      <c r="D1779" s="1050"/>
      <c r="E1779" s="1050"/>
      <c r="F1779" s="1050"/>
      <c r="G1779" s="1050"/>
    </row>
    <row r="1780" spans="1:7">
      <c r="A1780" s="1079"/>
      <c r="B1780" s="1050"/>
      <c r="C1780" s="1050"/>
      <c r="D1780" s="1050"/>
      <c r="E1780" s="1050"/>
      <c r="F1780" s="1050"/>
      <c r="G1780" s="1050"/>
    </row>
    <row r="1781" spans="1:7">
      <c r="A1781" s="1079"/>
      <c r="B1781" s="1050"/>
      <c r="C1781" s="1050"/>
      <c r="D1781" s="1050"/>
      <c r="E1781" s="1050"/>
      <c r="F1781" s="1050"/>
      <c r="G1781" s="1050"/>
    </row>
    <row r="1782" spans="1:7">
      <c r="A1782" s="1079"/>
      <c r="B1782" s="1050"/>
      <c r="C1782" s="1050"/>
      <c r="D1782" s="1050"/>
      <c r="E1782" s="1050"/>
      <c r="F1782" s="1050"/>
      <c r="G1782" s="1050"/>
    </row>
    <row r="1783" spans="1:7">
      <c r="A1783" s="1079"/>
      <c r="B1783" s="1050"/>
      <c r="C1783" s="1050"/>
      <c r="D1783" s="1050"/>
      <c r="E1783" s="1050"/>
      <c r="F1783" s="1050"/>
      <c r="G1783" s="1050"/>
    </row>
    <row r="1784" spans="1:7">
      <c r="A1784" s="1079"/>
      <c r="B1784" s="1050"/>
      <c r="C1784" s="1050"/>
      <c r="D1784" s="1050"/>
      <c r="E1784" s="1050"/>
      <c r="F1784" s="1050"/>
      <c r="G1784" s="1050"/>
    </row>
    <row r="1785" spans="1:7">
      <c r="A1785" s="1079"/>
      <c r="B1785" s="1050"/>
      <c r="C1785" s="1050"/>
      <c r="D1785" s="1050"/>
      <c r="E1785" s="1050"/>
      <c r="F1785" s="1050"/>
      <c r="G1785" s="1050"/>
    </row>
    <row r="1786" spans="1:7">
      <c r="A1786" s="1079"/>
      <c r="B1786" s="1050"/>
      <c r="C1786" s="1050"/>
      <c r="D1786" s="1050"/>
      <c r="E1786" s="1050"/>
      <c r="F1786" s="1050"/>
      <c r="G1786" s="1050"/>
    </row>
    <row r="1787" spans="1:7">
      <c r="A1787" s="1079"/>
      <c r="B1787" s="1050"/>
      <c r="C1787" s="1050"/>
      <c r="D1787" s="1050"/>
      <c r="E1787" s="1050"/>
      <c r="F1787" s="1050"/>
      <c r="G1787" s="1050"/>
    </row>
    <row r="1788" spans="1:7">
      <c r="A1788" s="1079"/>
      <c r="B1788" s="1050"/>
      <c r="C1788" s="1050"/>
      <c r="D1788" s="1050"/>
      <c r="E1788" s="1050"/>
      <c r="F1788" s="1050"/>
      <c r="G1788" s="1050"/>
    </row>
    <row r="1789" spans="1:7">
      <c r="A1789" s="1079"/>
      <c r="B1789" s="1050"/>
      <c r="C1789" s="1050"/>
      <c r="D1789" s="1050"/>
      <c r="E1789" s="1050"/>
      <c r="F1789" s="1050"/>
      <c r="G1789" s="1050"/>
    </row>
    <row r="1790" spans="1:7">
      <c r="A1790" s="1079"/>
      <c r="B1790" s="1050"/>
      <c r="C1790" s="1050"/>
      <c r="D1790" s="1050"/>
      <c r="E1790" s="1050"/>
      <c r="F1790" s="1050"/>
      <c r="G1790" s="1050"/>
    </row>
    <row r="1791" spans="1:7">
      <c r="A1791" s="1079"/>
      <c r="B1791" s="1050"/>
      <c r="C1791" s="1050"/>
      <c r="D1791" s="1050"/>
      <c r="E1791" s="1050"/>
      <c r="F1791" s="1050"/>
      <c r="G1791" s="1050"/>
    </row>
    <row r="1792" spans="1:7">
      <c r="A1792" s="1079"/>
      <c r="B1792" s="1050"/>
      <c r="C1792" s="1050"/>
      <c r="D1792" s="1050"/>
      <c r="E1792" s="1050"/>
      <c r="F1792" s="1050"/>
      <c r="G1792" s="1050"/>
    </row>
    <row r="1793" spans="1:7">
      <c r="A1793" s="1079"/>
      <c r="B1793" s="1050"/>
      <c r="C1793" s="1050"/>
      <c r="D1793" s="1050"/>
      <c r="E1793" s="1050"/>
      <c r="F1793" s="1050"/>
      <c r="G1793" s="1050"/>
    </row>
    <row r="1794" spans="1:7">
      <c r="A1794" s="1079"/>
      <c r="B1794" s="1050"/>
      <c r="C1794" s="1050"/>
      <c r="D1794" s="1050"/>
      <c r="E1794" s="1050"/>
      <c r="F1794" s="1050"/>
      <c r="G1794" s="1050"/>
    </row>
    <row r="1795" spans="1:7">
      <c r="A1795" s="1079"/>
      <c r="B1795" s="1050"/>
      <c r="C1795" s="1050"/>
      <c r="D1795" s="1050"/>
      <c r="E1795" s="1050"/>
      <c r="F1795" s="1050"/>
      <c r="G1795" s="1050"/>
    </row>
    <row r="1796" spans="1:7">
      <c r="A1796" s="1079"/>
      <c r="B1796" s="1050"/>
      <c r="C1796" s="1050"/>
      <c r="D1796" s="1050"/>
      <c r="E1796" s="1050"/>
      <c r="F1796" s="1050"/>
      <c r="G1796" s="1050"/>
    </row>
    <row r="1797" spans="1:7">
      <c r="A1797" s="1079"/>
      <c r="B1797" s="1050"/>
      <c r="C1797" s="1050"/>
      <c r="D1797" s="1050"/>
      <c r="E1797" s="1050"/>
      <c r="F1797" s="1050"/>
      <c r="G1797" s="1050"/>
    </row>
    <row r="1798" spans="1:7">
      <c r="A1798" s="1079"/>
      <c r="B1798" s="1050"/>
      <c r="C1798" s="1050"/>
      <c r="D1798" s="1050"/>
      <c r="E1798" s="1050"/>
      <c r="F1798" s="1050"/>
      <c r="G1798" s="1050"/>
    </row>
    <row r="1799" spans="1:7">
      <c r="A1799" s="1079"/>
      <c r="B1799" s="1050"/>
      <c r="C1799" s="1050"/>
      <c r="D1799" s="1050"/>
      <c r="E1799" s="1050"/>
      <c r="F1799" s="1050"/>
      <c r="G1799" s="1050"/>
    </row>
    <row r="1800" spans="1:7">
      <c r="A1800" s="1079"/>
      <c r="B1800" s="1050"/>
      <c r="C1800" s="1050"/>
      <c r="D1800" s="1050"/>
      <c r="E1800" s="1050"/>
      <c r="F1800" s="1050"/>
      <c r="G1800" s="1050"/>
    </row>
    <row r="1801" spans="1:7">
      <c r="A1801" s="1079"/>
      <c r="B1801" s="1050"/>
      <c r="C1801" s="1050"/>
      <c r="D1801" s="1050"/>
      <c r="E1801" s="1050"/>
      <c r="F1801" s="1050"/>
      <c r="G1801" s="1050"/>
    </row>
    <row r="1802" spans="1:7">
      <c r="A1802" s="1079"/>
      <c r="B1802" s="1050"/>
      <c r="C1802" s="1050"/>
      <c r="D1802" s="1050"/>
      <c r="E1802" s="1050"/>
      <c r="F1802" s="1050"/>
      <c r="G1802" s="1050"/>
    </row>
    <row r="1803" spans="1:7">
      <c r="A1803" s="1079"/>
      <c r="B1803" s="1050"/>
      <c r="C1803" s="1050"/>
      <c r="D1803" s="1050"/>
      <c r="E1803" s="1050"/>
      <c r="F1803" s="1050"/>
      <c r="G1803" s="1050"/>
    </row>
    <row r="1804" spans="1:7">
      <c r="A1804" s="1079"/>
      <c r="B1804" s="1050"/>
      <c r="C1804" s="1050"/>
      <c r="D1804" s="1050"/>
      <c r="E1804" s="1050"/>
      <c r="F1804" s="1050"/>
      <c r="G1804" s="1050"/>
    </row>
    <row r="1805" spans="1:7">
      <c r="A1805" s="1079"/>
      <c r="B1805" s="1050"/>
      <c r="C1805" s="1050"/>
      <c r="D1805" s="1050"/>
      <c r="E1805" s="1050"/>
      <c r="F1805" s="1050"/>
      <c r="G1805" s="1050"/>
    </row>
    <row r="1806" spans="1:7">
      <c r="A1806" s="1079"/>
      <c r="B1806" s="1050"/>
      <c r="C1806" s="1050"/>
      <c r="D1806" s="1050"/>
      <c r="E1806" s="1050"/>
      <c r="F1806" s="1050"/>
      <c r="G1806" s="1050"/>
    </row>
    <row r="1807" spans="1:7">
      <c r="A1807" s="1079"/>
      <c r="B1807" s="1050"/>
      <c r="C1807" s="1050"/>
      <c r="D1807" s="1050"/>
      <c r="E1807" s="1050"/>
      <c r="F1807" s="1050"/>
      <c r="G1807" s="1050"/>
    </row>
    <row r="1808" spans="1:7">
      <c r="A1808" s="1079"/>
      <c r="B1808" s="1050"/>
      <c r="C1808" s="1050"/>
      <c r="D1808" s="1050"/>
      <c r="E1808" s="1050"/>
      <c r="F1808" s="1050"/>
      <c r="G1808" s="1050"/>
    </row>
    <row r="1809" spans="1:7">
      <c r="A1809" s="1079"/>
      <c r="B1809" s="1050"/>
      <c r="C1809" s="1050"/>
      <c r="D1809" s="1050"/>
      <c r="E1809" s="1050"/>
      <c r="F1809" s="1050"/>
      <c r="G1809" s="1050"/>
    </row>
    <row r="1810" spans="1:7">
      <c r="A1810" s="1079"/>
      <c r="B1810" s="1050"/>
      <c r="C1810" s="1050"/>
      <c r="D1810" s="1050"/>
      <c r="E1810" s="1050"/>
      <c r="F1810" s="1050"/>
      <c r="G1810" s="1050"/>
    </row>
    <row r="1811" spans="1:7">
      <c r="A1811" s="1079"/>
      <c r="B1811" s="1050"/>
      <c r="C1811" s="1050"/>
      <c r="D1811" s="1050"/>
      <c r="E1811" s="1050"/>
      <c r="F1811" s="1050"/>
      <c r="G1811" s="1050"/>
    </row>
    <row r="1812" spans="1:7">
      <c r="A1812" s="1079"/>
      <c r="B1812" s="1050"/>
      <c r="C1812" s="1050"/>
      <c r="D1812" s="1050"/>
      <c r="E1812" s="1050"/>
      <c r="F1812" s="1050"/>
      <c r="G1812" s="1050"/>
    </row>
    <row r="1813" spans="1:7">
      <c r="A1813" s="1079"/>
      <c r="B1813" s="1050"/>
      <c r="C1813" s="1050"/>
      <c r="D1813" s="1050"/>
      <c r="E1813" s="1050"/>
      <c r="F1813" s="1050"/>
      <c r="G1813" s="1050"/>
    </row>
    <row r="1814" spans="1:7">
      <c r="A1814" s="1079"/>
      <c r="B1814" s="1050"/>
      <c r="C1814" s="1050"/>
      <c r="D1814" s="1050"/>
      <c r="E1814" s="1050"/>
      <c r="F1814" s="1050"/>
      <c r="G1814" s="1050"/>
    </row>
    <row r="1815" spans="1:7">
      <c r="A1815" s="1079"/>
      <c r="B1815" s="1050"/>
      <c r="C1815" s="1050"/>
      <c r="D1815" s="1050"/>
      <c r="E1815" s="1050"/>
      <c r="F1815" s="1050"/>
      <c r="G1815" s="1050"/>
    </row>
    <row r="1816" spans="1:7">
      <c r="A1816" s="1079"/>
      <c r="B1816" s="1050"/>
      <c r="C1816" s="1050"/>
      <c r="D1816" s="1050"/>
      <c r="E1816" s="1050"/>
      <c r="F1816" s="1050"/>
      <c r="G1816" s="1050"/>
    </row>
    <row r="1817" spans="1:7">
      <c r="A1817" s="1079"/>
      <c r="B1817" s="1050"/>
      <c r="C1817" s="1050"/>
      <c r="D1817" s="1050"/>
      <c r="E1817" s="1050"/>
      <c r="F1817" s="1050"/>
      <c r="G1817" s="1050"/>
    </row>
    <row r="1818" spans="1:7">
      <c r="A1818" s="1079"/>
      <c r="B1818" s="1050"/>
      <c r="C1818" s="1050"/>
      <c r="D1818" s="1050"/>
      <c r="E1818" s="1050"/>
      <c r="F1818" s="1050"/>
      <c r="G1818" s="1050"/>
    </row>
    <row r="1819" spans="1:7">
      <c r="A1819" s="1079"/>
      <c r="B1819" s="1050"/>
      <c r="C1819" s="1050"/>
      <c r="D1819" s="1050"/>
      <c r="E1819" s="1050"/>
      <c r="F1819" s="1050"/>
      <c r="G1819" s="1050"/>
    </row>
    <row r="1820" spans="1:7">
      <c r="A1820" s="1079"/>
      <c r="B1820" s="1050"/>
      <c r="C1820" s="1050"/>
      <c r="D1820" s="1050"/>
      <c r="E1820" s="1050"/>
      <c r="F1820" s="1050"/>
      <c r="G1820" s="1050"/>
    </row>
    <row r="1821" spans="1:7">
      <c r="A1821" s="1079"/>
      <c r="B1821" s="1050"/>
      <c r="C1821" s="1050"/>
      <c r="D1821" s="1050"/>
      <c r="E1821" s="1050"/>
      <c r="F1821" s="1050"/>
      <c r="G1821" s="1050"/>
    </row>
    <row r="1822" spans="1:7">
      <c r="A1822" s="1079"/>
      <c r="B1822" s="1050"/>
      <c r="C1822" s="1050"/>
      <c r="D1822" s="1050"/>
      <c r="E1822" s="1050"/>
      <c r="F1822" s="1050"/>
      <c r="G1822" s="1050"/>
    </row>
    <row r="1823" spans="1:7">
      <c r="A1823" s="1079"/>
      <c r="B1823" s="1050"/>
      <c r="C1823" s="1050"/>
      <c r="D1823" s="1050"/>
      <c r="E1823" s="1050"/>
      <c r="F1823" s="1050"/>
      <c r="G1823" s="1050"/>
    </row>
    <row r="1824" spans="1:7">
      <c r="A1824" s="1079"/>
      <c r="B1824" s="1050"/>
      <c r="C1824" s="1050"/>
      <c r="D1824" s="1050"/>
      <c r="E1824" s="1050"/>
      <c r="F1824" s="1050"/>
      <c r="G1824" s="1050"/>
    </row>
    <row r="1825" spans="1:7">
      <c r="A1825" s="1079"/>
      <c r="B1825" s="1050"/>
      <c r="C1825" s="1050"/>
      <c r="D1825" s="1050"/>
      <c r="E1825" s="1050"/>
      <c r="F1825" s="1050"/>
      <c r="G1825" s="1050"/>
    </row>
    <row r="1826" spans="1:7">
      <c r="A1826" s="1079"/>
      <c r="B1826" s="1050"/>
      <c r="C1826" s="1050"/>
      <c r="D1826" s="1050"/>
      <c r="E1826" s="1050"/>
      <c r="F1826" s="1050"/>
      <c r="G1826" s="1050"/>
    </row>
    <row r="1827" spans="1:7">
      <c r="A1827" s="1079"/>
      <c r="B1827" s="1050"/>
      <c r="C1827" s="1050"/>
      <c r="D1827" s="1050"/>
      <c r="E1827" s="1050"/>
      <c r="F1827" s="1050"/>
      <c r="G1827" s="1050"/>
    </row>
    <row r="1828" spans="1:7">
      <c r="A1828" s="1079"/>
      <c r="B1828" s="1050"/>
      <c r="C1828" s="1050"/>
      <c r="D1828" s="1050"/>
      <c r="E1828" s="1050"/>
      <c r="F1828" s="1050"/>
      <c r="G1828" s="1050"/>
    </row>
    <row r="1829" spans="1:7">
      <c r="A1829" s="1079"/>
      <c r="B1829" s="1050"/>
      <c r="C1829" s="1050"/>
      <c r="D1829" s="1050"/>
      <c r="E1829" s="1050"/>
      <c r="F1829" s="1050"/>
      <c r="G1829" s="1050"/>
    </row>
    <row r="1830" spans="1:7">
      <c r="A1830" s="1079"/>
      <c r="B1830" s="1050"/>
      <c r="C1830" s="1050"/>
      <c r="D1830" s="1050"/>
      <c r="E1830" s="1050"/>
      <c r="F1830" s="1050"/>
      <c r="G1830" s="1050"/>
    </row>
    <row r="1831" spans="1:7">
      <c r="A1831" s="1079"/>
      <c r="B1831" s="1050"/>
      <c r="C1831" s="1050"/>
      <c r="D1831" s="1050"/>
      <c r="E1831" s="1050"/>
      <c r="F1831" s="1050"/>
      <c r="G1831" s="1050"/>
    </row>
    <row r="1832" spans="1:7">
      <c r="A1832" s="1079"/>
      <c r="B1832" s="1050"/>
      <c r="C1832" s="1050"/>
      <c r="D1832" s="1050"/>
      <c r="E1832" s="1050"/>
      <c r="F1832" s="1050"/>
      <c r="G1832" s="1050"/>
    </row>
    <row r="1833" spans="1:7">
      <c r="A1833" s="1079"/>
      <c r="B1833" s="1050"/>
      <c r="C1833" s="1050"/>
      <c r="D1833" s="1050"/>
      <c r="E1833" s="1050"/>
      <c r="F1833" s="1050"/>
      <c r="G1833" s="1050"/>
    </row>
    <row r="1834" spans="1:7">
      <c r="A1834" s="1079"/>
      <c r="B1834" s="1050"/>
      <c r="C1834" s="1050"/>
      <c r="D1834" s="1050"/>
      <c r="E1834" s="1050"/>
      <c r="F1834" s="1050"/>
      <c r="G1834" s="1050"/>
    </row>
    <row r="1835" spans="1:7">
      <c r="A1835" s="1079"/>
      <c r="B1835" s="1050"/>
      <c r="C1835" s="1050"/>
      <c r="D1835" s="1050"/>
      <c r="E1835" s="1050"/>
      <c r="F1835" s="1050"/>
      <c r="G1835" s="1050"/>
    </row>
    <row r="1836" spans="1:7">
      <c r="A1836" s="1079"/>
      <c r="B1836" s="1050"/>
      <c r="C1836" s="1050"/>
      <c r="D1836" s="1050"/>
      <c r="E1836" s="1050"/>
      <c r="F1836" s="1050"/>
      <c r="G1836" s="1050"/>
    </row>
    <row r="1837" spans="1:7">
      <c r="A1837" s="1079"/>
      <c r="B1837" s="1050"/>
      <c r="C1837" s="1050"/>
      <c r="D1837" s="1050"/>
      <c r="E1837" s="1050"/>
      <c r="F1837" s="1050"/>
      <c r="G1837" s="1050"/>
    </row>
    <row r="1838" spans="1:7">
      <c r="A1838" s="1079"/>
      <c r="B1838" s="1050"/>
      <c r="C1838" s="1050"/>
      <c r="D1838" s="1050"/>
      <c r="E1838" s="1050"/>
      <c r="F1838" s="1050"/>
      <c r="G1838" s="1050"/>
    </row>
    <row r="1839" spans="1:7">
      <c r="A1839" s="1079"/>
      <c r="B1839" s="1050"/>
      <c r="C1839" s="1050"/>
      <c r="D1839" s="1050"/>
      <c r="E1839" s="1050"/>
      <c r="F1839" s="1050"/>
      <c r="G1839" s="1050"/>
    </row>
    <row r="1840" spans="1:7">
      <c r="A1840" s="1079"/>
      <c r="B1840" s="1050"/>
      <c r="C1840" s="1050"/>
      <c r="D1840" s="1050"/>
      <c r="E1840" s="1050"/>
      <c r="F1840" s="1050"/>
      <c r="G1840" s="1050"/>
    </row>
    <row r="1841" spans="1:7">
      <c r="A1841" s="1079"/>
      <c r="B1841" s="1050"/>
      <c r="C1841" s="1050"/>
      <c r="D1841" s="1050"/>
      <c r="E1841" s="1050"/>
      <c r="F1841" s="1050"/>
      <c r="G1841" s="1050"/>
    </row>
    <row r="1842" spans="1:7">
      <c r="A1842" s="1079"/>
      <c r="B1842" s="1050"/>
      <c r="C1842" s="1050"/>
      <c r="D1842" s="1050"/>
      <c r="E1842" s="1050"/>
      <c r="F1842" s="1050"/>
      <c r="G1842" s="1050"/>
    </row>
    <row r="1843" spans="1:7">
      <c r="A1843" s="1079"/>
      <c r="B1843" s="1050"/>
      <c r="C1843" s="1050"/>
      <c r="D1843" s="1050"/>
      <c r="E1843" s="1050"/>
      <c r="F1843" s="1050"/>
      <c r="G1843" s="1050"/>
    </row>
    <row r="1844" spans="1:7">
      <c r="A1844" s="1079"/>
      <c r="B1844" s="1050"/>
      <c r="C1844" s="1050"/>
      <c r="D1844" s="1050"/>
      <c r="E1844" s="1050"/>
      <c r="F1844" s="1050"/>
      <c r="G1844" s="1050"/>
    </row>
    <row r="1845" spans="1:7">
      <c r="A1845" s="1079"/>
      <c r="B1845" s="1050"/>
      <c r="C1845" s="1050"/>
      <c r="D1845" s="1050"/>
      <c r="E1845" s="1050"/>
      <c r="F1845" s="1050"/>
      <c r="G1845" s="1050"/>
    </row>
    <row r="1846" spans="1:7">
      <c r="A1846" s="1079"/>
      <c r="B1846" s="1050"/>
      <c r="C1846" s="1050"/>
      <c r="D1846" s="1050"/>
      <c r="E1846" s="1050"/>
      <c r="F1846" s="1050"/>
      <c r="G1846" s="1050"/>
    </row>
    <row r="1847" spans="1:7">
      <c r="A1847" s="1079"/>
      <c r="B1847" s="1050"/>
      <c r="C1847" s="1050"/>
      <c r="D1847" s="1050"/>
      <c r="E1847" s="1050"/>
      <c r="F1847" s="1050"/>
      <c r="G1847" s="1050"/>
    </row>
    <row r="1848" spans="1:7">
      <c r="A1848" s="1079"/>
      <c r="B1848" s="1050"/>
      <c r="C1848" s="1050"/>
      <c r="D1848" s="1050"/>
      <c r="E1848" s="1050"/>
      <c r="F1848" s="1050"/>
      <c r="G1848" s="1050"/>
    </row>
    <row r="1849" spans="1:7">
      <c r="A1849" s="1079"/>
      <c r="B1849" s="1050"/>
      <c r="C1849" s="1050"/>
      <c r="D1849" s="1050"/>
      <c r="E1849" s="1050"/>
      <c r="F1849" s="1050"/>
      <c r="G1849" s="1050"/>
    </row>
    <row r="1850" spans="1:7">
      <c r="A1850" s="1079"/>
      <c r="B1850" s="1050"/>
      <c r="C1850" s="1050"/>
      <c r="D1850" s="1050"/>
      <c r="E1850" s="1050"/>
      <c r="F1850" s="1050"/>
      <c r="G1850" s="1050"/>
    </row>
    <row r="1851" spans="1:7">
      <c r="A1851" s="1079"/>
      <c r="B1851" s="1050"/>
      <c r="C1851" s="1050"/>
      <c r="D1851" s="1050"/>
      <c r="E1851" s="1050"/>
      <c r="F1851" s="1050"/>
      <c r="G1851" s="1050"/>
    </row>
    <row r="1852" spans="1:7">
      <c r="A1852" s="1079"/>
      <c r="B1852" s="1050"/>
      <c r="C1852" s="1050"/>
      <c r="D1852" s="1050"/>
      <c r="E1852" s="1050"/>
      <c r="F1852" s="1050"/>
      <c r="G1852" s="1050"/>
    </row>
    <row r="1853" spans="1:7">
      <c r="A1853" s="1079"/>
      <c r="B1853" s="1050"/>
      <c r="C1853" s="1050"/>
      <c r="D1853" s="1050"/>
      <c r="E1853" s="1050"/>
      <c r="F1853" s="1050"/>
      <c r="G1853" s="1050"/>
    </row>
    <row r="1854" spans="1:7">
      <c r="A1854" s="1079"/>
      <c r="B1854" s="1050"/>
      <c r="C1854" s="1050"/>
      <c r="D1854" s="1050"/>
      <c r="E1854" s="1050"/>
      <c r="F1854" s="1050"/>
      <c r="G1854" s="1050"/>
    </row>
    <row r="1855" spans="1:7">
      <c r="A1855" s="1079"/>
      <c r="B1855" s="1050"/>
      <c r="C1855" s="1050"/>
      <c r="D1855" s="1050"/>
      <c r="E1855" s="1050"/>
      <c r="F1855" s="1050"/>
      <c r="G1855" s="1050"/>
    </row>
    <row r="1856" spans="1:7">
      <c r="A1856" s="1079"/>
      <c r="B1856" s="1050"/>
      <c r="C1856" s="1050"/>
      <c r="D1856" s="1050"/>
      <c r="E1856" s="1050"/>
      <c r="F1856" s="1050"/>
      <c r="G1856" s="1050"/>
    </row>
    <row r="1857" spans="1:7">
      <c r="A1857" s="1079"/>
      <c r="B1857" s="1050"/>
      <c r="C1857" s="1050"/>
      <c r="D1857" s="1050"/>
      <c r="E1857" s="1050"/>
      <c r="F1857" s="1050"/>
      <c r="G1857" s="1050"/>
    </row>
    <row r="1858" spans="1:7">
      <c r="A1858" s="1079"/>
      <c r="B1858" s="1050"/>
      <c r="C1858" s="1050"/>
      <c r="D1858" s="1050"/>
      <c r="E1858" s="1050"/>
      <c r="F1858" s="1050"/>
      <c r="G1858" s="1050"/>
    </row>
    <row r="1859" spans="1:7">
      <c r="A1859" s="1079"/>
      <c r="B1859" s="1050"/>
      <c r="C1859" s="1050"/>
      <c r="D1859" s="1050"/>
      <c r="E1859" s="1050"/>
      <c r="F1859" s="1050"/>
      <c r="G1859" s="1050"/>
    </row>
    <row r="1860" spans="1:7">
      <c r="A1860" s="1079"/>
      <c r="B1860" s="1050"/>
      <c r="C1860" s="1050"/>
      <c r="D1860" s="1050"/>
      <c r="E1860" s="1050"/>
      <c r="F1860" s="1050"/>
      <c r="G1860" s="1050"/>
    </row>
    <row r="1861" spans="1:7">
      <c r="A1861" s="1079"/>
      <c r="B1861" s="1050"/>
      <c r="C1861" s="1050"/>
      <c r="D1861" s="1050"/>
      <c r="E1861" s="1050"/>
      <c r="F1861" s="1050"/>
      <c r="G1861" s="1050"/>
    </row>
    <row r="1862" spans="1:7">
      <c r="A1862" s="1079"/>
      <c r="B1862" s="1050"/>
      <c r="C1862" s="1050"/>
      <c r="D1862" s="1050"/>
      <c r="E1862" s="1050"/>
      <c r="F1862" s="1050"/>
      <c r="G1862" s="1050"/>
    </row>
    <row r="1863" spans="1:7">
      <c r="A1863" s="1079"/>
      <c r="B1863" s="1050"/>
      <c r="C1863" s="1050"/>
      <c r="D1863" s="1050"/>
      <c r="E1863" s="1050"/>
      <c r="F1863" s="1050"/>
      <c r="G1863" s="1050"/>
    </row>
    <row r="1864" spans="1:7">
      <c r="A1864" s="1079"/>
      <c r="B1864" s="1050"/>
      <c r="C1864" s="1050"/>
      <c r="D1864" s="1050"/>
      <c r="E1864" s="1050"/>
      <c r="F1864" s="1050"/>
      <c r="G1864" s="1050"/>
    </row>
    <row r="1865" spans="1:7">
      <c r="A1865" s="1079"/>
      <c r="B1865" s="1050"/>
      <c r="C1865" s="1050"/>
      <c r="D1865" s="1050"/>
      <c r="E1865" s="1050"/>
      <c r="F1865" s="1050"/>
      <c r="G1865" s="1050"/>
    </row>
    <row r="1866" spans="1:7">
      <c r="A1866" s="1079"/>
      <c r="B1866" s="1050"/>
      <c r="C1866" s="1050"/>
      <c r="D1866" s="1050"/>
      <c r="E1866" s="1050"/>
      <c r="F1866" s="1050"/>
      <c r="G1866" s="1050"/>
    </row>
    <row r="1867" spans="1:7">
      <c r="A1867" s="1079"/>
      <c r="B1867" s="1050"/>
      <c r="C1867" s="1050"/>
      <c r="D1867" s="1050"/>
      <c r="E1867" s="1050"/>
      <c r="F1867" s="1050"/>
      <c r="G1867" s="1050"/>
    </row>
    <row r="1868" spans="1:7">
      <c r="A1868" s="1079"/>
      <c r="B1868" s="1050"/>
      <c r="C1868" s="1050"/>
      <c r="D1868" s="1050"/>
      <c r="E1868" s="1050"/>
      <c r="F1868" s="1050"/>
      <c r="G1868" s="1050"/>
    </row>
    <row r="1869" spans="1:7">
      <c r="A1869" s="1079"/>
      <c r="B1869" s="1050"/>
      <c r="C1869" s="1050"/>
      <c r="D1869" s="1050"/>
      <c r="E1869" s="1050"/>
      <c r="F1869" s="1050"/>
      <c r="G1869" s="1050"/>
    </row>
    <row r="1870" spans="1:7">
      <c r="A1870" s="1079"/>
      <c r="B1870" s="1050"/>
      <c r="C1870" s="1050"/>
      <c r="D1870" s="1050"/>
      <c r="E1870" s="1050"/>
      <c r="F1870" s="1050"/>
      <c r="G1870" s="1050"/>
    </row>
    <row r="1871" spans="1:7">
      <c r="A1871" s="1079"/>
      <c r="B1871" s="1050"/>
      <c r="C1871" s="1050"/>
      <c r="D1871" s="1050"/>
      <c r="E1871" s="1050"/>
      <c r="F1871" s="1050"/>
      <c r="G1871" s="1050"/>
    </row>
    <row r="1872" spans="1:7">
      <c r="A1872" s="1079"/>
      <c r="B1872" s="1050"/>
      <c r="C1872" s="1050"/>
      <c r="D1872" s="1050"/>
      <c r="E1872" s="1050"/>
      <c r="F1872" s="1050"/>
      <c r="G1872" s="1050"/>
    </row>
    <row r="1873" spans="1:7">
      <c r="A1873" s="1079"/>
      <c r="B1873" s="1050"/>
      <c r="C1873" s="1050"/>
      <c r="D1873" s="1050"/>
      <c r="E1873" s="1050"/>
      <c r="F1873" s="1050"/>
      <c r="G1873" s="1050"/>
    </row>
    <row r="1874" spans="1:7">
      <c r="A1874" s="1079"/>
      <c r="B1874" s="1050"/>
      <c r="C1874" s="1050"/>
      <c r="D1874" s="1050"/>
      <c r="E1874" s="1050"/>
      <c r="F1874" s="1050"/>
      <c r="G1874" s="1050"/>
    </row>
    <row r="1875" spans="1:7">
      <c r="A1875" s="1079"/>
      <c r="B1875" s="1050"/>
      <c r="C1875" s="1050"/>
      <c r="D1875" s="1050"/>
      <c r="E1875" s="1050"/>
      <c r="F1875" s="1050"/>
      <c r="G1875" s="1050"/>
    </row>
    <row r="1876" spans="1:7">
      <c r="A1876" s="1079"/>
      <c r="B1876" s="1050"/>
      <c r="C1876" s="1050"/>
      <c r="D1876" s="1050"/>
      <c r="E1876" s="1050"/>
      <c r="F1876" s="1050"/>
      <c r="G1876" s="1050"/>
    </row>
    <row r="1877" spans="1:7">
      <c r="A1877" s="1079"/>
      <c r="B1877" s="1050"/>
      <c r="C1877" s="1050"/>
      <c r="D1877" s="1050"/>
      <c r="E1877" s="1050"/>
      <c r="F1877" s="1050"/>
      <c r="G1877" s="1050"/>
    </row>
    <row r="1878" spans="1:7">
      <c r="A1878" s="1079"/>
      <c r="B1878" s="1050"/>
      <c r="C1878" s="1050"/>
      <c r="D1878" s="1050"/>
      <c r="E1878" s="1050"/>
      <c r="F1878" s="1050"/>
      <c r="G1878" s="1050"/>
    </row>
    <row r="1879" spans="1:7">
      <c r="A1879" s="1079"/>
      <c r="B1879" s="1050"/>
      <c r="C1879" s="1050"/>
      <c r="D1879" s="1050"/>
      <c r="E1879" s="1050"/>
      <c r="F1879" s="1050"/>
      <c r="G1879" s="1050"/>
    </row>
    <row r="1880" spans="1:7">
      <c r="A1880" s="1079"/>
      <c r="B1880" s="1050"/>
      <c r="C1880" s="1050"/>
      <c r="D1880" s="1050"/>
      <c r="E1880" s="1050"/>
      <c r="F1880" s="1050"/>
      <c r="G1880" s="1050"/>
    </row>
    <row r="1881" spans="1:7">
      <c r="A1881" s="1079"/>
      <c r="B1881" s="1050"/>
      <c r="C1881" s="1050"/>
      <c r="D1881" s="1050"/>
      <c r="E1881" s="1050"/>
      <c r="F1881" s="1050"/>
      <c r="G1881" s="1050"/>
    </row>
    <row r="1882" spans="1:7">
      <c r="A1882" s="1079"/>
      <c r="B1882" s="1050"/>
      <c r="C1882" s="1050"/>
      <c r="D1882" s="1050"/>
      <c r="E1882" s="1050"/>
      <c r="F1882" s="1050"/>
      <c r="G1882" s="1050"/>
    </row>
    <row r="1883" spans="1:7">
      <c r="A1883" s="1079"/>
      <c r="B1883" s="1050"/>
      <c r="C1883" s="1050"/>
      <c r="D1883" s="1050"/>
      <c r="E1883" s="1050"/>
      <c r="F1883" s="1050"/>
      <c r="G1883" s="1050"/>
    </row>
    <row r="1884" spans="1:7">
      <c r="A1884" s="1079"/>
      <c r="B1884" s="1050"/>
      <c r="C1884" s="1050"/>
      <c r="D1884" s="1050"/>
      <c r="E1884" s="1050"/>
      <c r="F1884" s="1050"/>
      <c r="G1884" s="1050"/>
    </row>
    <row r="1885" spans="1:7">
      <c r="A1885" s="1079"/>
      <c r="B1885" s="1050"/>
      <c r="C1885" s="1050"/>
      <c r="D1885" s="1050"/>
      <c r="E1885" s="1050"/>
      <c r="F1885" s="1050"/>
      <c r="G1885" s="1050"/>
    </row>
    <row r="1886" spans="1:7">
      <c r="A1886" s="1079"/>
      <c r="B1886" s="1050"/>
      <c r="C1886" s="1050"/>
      <c r="D1886" s="1050"/>
      <c r="E1886" s="1050"/>
      <c r="F1886" s="1050"/>
      <c r="G1886" s="1050"/>
    </row>
    <row r="1887" spans="1:7">
      <c r="A1887" s="1079"/>
      <c r="B1887" s="1050"/>
      <c r="C1887" s="1050"/>
      <c r="D1887" s="1050"/>
      <c r="E1887" s="1050"/>
      <c r="F1887" s="1050"/>
      <c r="G1887" s="1050"/>
    </row>
    <row r="1888" spans="1:7">
      <c r="A1888" s="1079"/>
      <c r="B1888" s="1050"/>
      <c r="C1888" s="1050"/>
      <c r="D1888" s="1050"/>
      <c r="E1888" s="1050"/>
      <c r="F1888" s="1050"/>
      <c r="G1888" s="1050"/>
    </row>
    <row r="1889" spans="1:7">
      <c r="A1889" s="1079"/>
      <c r="B1889" s="1050"/>
      <c r="C1889" s="1050"/>
      <c r="D1889" s="1050"/>
      <c r="E1889" s="1050"/>
      <c r="F1889" s="1050"/>
      <c r="G1889" s="1050"/>
    </row>
    <row r="1890" spans="1:7">
      <c r="A1890" s="1079"/>
      <c r="B1890" s="1050"/>
      <c r="C1890" s="1050"/>
      <c r="D1890" s="1050"/>
      <c r="E1890" s="1050"/>
      <c r="F1890" s="1050"/>
      <c r="G1890" s="1050"/>
    </row>
    <row r="1891" spans="1:7">
      <c r="A1891" s="1079"/>
      <c r="B1891" s="1050"/>
      <c r="C1891" s="1050"/>
      <c r="D1891" s="1050"/>
      <c r="E1891" s="1050"/>
      <c r="F1891" s="1050"/>
      <c r="G1891" s="1050"/>
    </row>
    <row r="1892" spans="1:7">
      <c r="A1892" s="1079"/>
      <c r="B1892" s="1050"/>
      <c r="C1892" s="1050"/>
      <c r="D1892" s="1050"/>
      <c r="E1892" s="1050"/>
      <c r="F1892" s="1050"/>
      <c r="G1892" s="1050"/>
    </row>
    <row r="1893" spans="1:7">
      <c r="A1893" s="1079"/>
      <c r="B1893" s="1050"/>
      <c r="C1893" s="1050"/>
      <c r="D1893" s="1050"/>
      <c r="E1893" s="1050"/>
      <c r="F1893" s="1050"/>
      <c r="G1893" s="1050"/>
    </row>
    <row r="1894" spans="1:7">
      <c r="A1894" s="1079"/>
      <c r="B1894" s="1050"/>
      <c r="C1894" s="1050"/>
      <c r="D1894" s="1050"/>
      <c r="E1894" s="1050"/>
      <c r="F1894" s="1050"/>
      <c r="G1894" s="1050"/>
    </row>
    <row r="1895" spans="1:7">
      <c r="A1895" s="1079"/>
      <c r="B1895" s="1050"/>
      <c r="C1895" s="1050"/>
      <c r="D1895" s="1050"/>
      <c r="E1895" s="1050"/>
      <c r="F1895" s="1050"/>
      <c r="G1895" s="1050"/>
    </row>
    <row r="1896" spans="1:7">
      <c r="A1896" s="1079"/>
      <c r="B1896" s="1050"/>
      <c r="C1896" s="1050"/>
      <c r="D1896" s="1050"/>
      <c r="E1896" s="1050"/>
      <c r="F1896" s="1050"/>
      <c r="G1896" s="1050"/>
    </row>
    <row r="1897" spans="1:7">
      <c r="A1897" s="1079"/>
      <c r="B1897" s="1050"/>
      <c r="C1897" s="1050"/>
      <c r="D1897" s="1050"/>
      <c r="E1897" s="1050"/>
      <c r="F1897" s="1050"/>
      <c r="G1897" s="1050"/>
    </row>
    <row r="1898" spans="1:7">
      <c r="A1898" s="1079"/>
      <c r="B1898" s="1050"/>
      <c r="C1898" s="1050"/>
      <c r="D1898" s="1050"/>
      <c r="E1898" s="1050"/>
      <c r="F1898" s="1050"/>
      <c r="G1898" s="1050"/>
    </row>
    <row r="1899" spans="1:7">
      <c r="A1899" s="1079"/>
      <c r="B1899" s="1050"/>
      <c r="C1899" s="1050"/>
      <c r="D1899" s="1050"/>
      <c r="E1899" s="1050"/>
      <c r="F1899" s="1050"/>
      <c r="G1899" s="1050"/>
    </row>
    <row r="1900" spans="1:7">
      <c r="A1900" s="1079"/>
      <c r="B1900" s="1050"/>
      <c r="C1900" s="1050"/>
      <c r="D1900" s="1050"/>
      <c r="E1900" s="1050"/>
      <c r="F1900" s="1050"/>
      <c r="G1900" s="1050"/>
    </row>
    <row r="1901" spans="1:7">
      <c r="A1901" s="1079"/>
      <c r="B1901" s="1050"/>
      <c r="C1901" s="1050"/>
      <c r="D1901" s="1050"/>
      <c r="E1901" s="1050"/>
      <c r="F1901" s="1050"/>
      <c r="G1901" s="1050"/>
    </row>
    <row r="1902" spans="1:7">
      <c r="A1902" s="1079"/>
      <c r="B1902" s="1050"/>
      <c r="C1902" s="1050"/>
      <c r="D1902" s="1050"/>
      <c r="E1902" s="1050"/>
      <c r="F1902" s="1050"/>
      <c r="G1902" s="1050"/>
    </row>
    <row r="1903" spans="1:7">
      <c r="A1903" s="1079"/>
      <c r="B1903" s="1050"/>
      <c r="C1903" s="1050"/>
      <c r="D1903" s="1050"/>
      <c r="E1903" s="1050"/>
      <c r="F1903" s="1050"/>
      <c r="G1903" s="1050"/>
    </row>
    <row r="1904" spans="1:7">
      <c r="A1904" s="1079"/>
      <c r="B1904" s="1050"/>
      <c r="C1904" s="1050"/>
      <c r="D1904" s="1050"/>
      <c r="E1904" s="1050"/>
      <c r="F1904" s="1050"/>
      <c r="G1904" s="1050"/>
    </row>
    <row r="1905" spans="1:7">
      <c r="A1905" s="1079"/>
      <c r="B1905" s="1050"/>
      <c r="C1905" s="1050"/>
      <c r="D1905" s="1050"/>
      <c r="E1905" s="1050"/>
      <c r="F1905" s="1050"/>
      <c r="G1905" s="1050"/>
    </row>
    <row r="1906" spans="1:7">
      <c r="A1906" s="1079"/>
      <c r="B1906" s="1050"/>
      <c r="C1906" s="1050"/>
      <c r="D1906" s="1050"/>
      <c r="E1906" s="1050"/>
      <c r="F1906" s="1050"/>
      <c r="G1906" s="1050"/>
    </row>
    <row r="1907" spans="1:7">
      <c r="A1907" s="1079"/>
      <c r="B1907" s="1050"/>
      <c r="C1907" s="1050"/>
      <c r="D1907" s="1050"/>
      <c r="E1907" s="1050"/>
      <c r="F1907" s="1050"/>
      <c r="G1907" s="1050"/>
    </row>
    <row r="1908" spans="1:7">
      <c r="A1908" s="1079"/>
      <c r="B1908" s="1050"/>
      <c r="C1908" s="1050"/>
      <c r="D1908" s="1050"/>
      <c r="E1908" s="1050"/>
      <c r="F1908" s="1050"/>
      <c r="G1908" s="1050"/>
    </row>
    <row r="1909" spans="1:7">
      <c r="A1909" s="1079"/>
      <c r="B1909" s="1050"/>
      <c r="C1909" s="1050"/>
      <c r="D1909" s="1050"/>
      <c r="E1909" s="1050"/>
      <c r="F1909" s="1050"/>
      <c r="G1909" s="1050"/>
    </row>
    <row r="1910" spans="1:7">
      <c r="A1910" s="1079"/>
      <c r="B1910" s="1050"/>
      <c r="C1910" s="1050"/>
      <c r="D1910" s="1050"/>
      <c r="E1910" s="1050"/>
      <c r="F1910" s="1050"/>
      <c r="G1910" s="1050"/>
    </row>
    <row r="1911" spans="1:7">
      <c r="A1911" s="1079"/>
      <c r="B1911" s="1050"/>
      <c r="C1911" s="1050"/>
      <c r="D1911" s="1050"/>
      <c r="E1911" s="1050"/>
      <c r="F1911" s="1050"/>
      <c r="G1911" s="1050"/>
    </row>
    <row r="1912" spans="1:7">
      <c r="A1912" s="1079"/>
      <c r="B1912" s="1050"/>
      <c r="C1912" s="1050"/>
      <c r="D1912" s="1050"/>
      <c r="E1912" s="1050"/>
      <c r="F1912" s="1050"/>
      <c r="G1912" s="1050"/>
    </row>
    <row r="1913" spans="1:7">
      <c r="A1913" s="1079"/>
      <c r="B1913" s="1050"/>
      <c r="C1913" s="1050"/>
      <c r="D1913" s="1050"/>
      <c r="E1913" s="1050"/>
      <c r="F1913" s="1050"/>
      <c r="G1913" s="1050"/>
    </row>
    <row r="1914" spans="1:7">
      <c r="A1914" s="1079"/>
      <c r="B1914" s="1050"/>
      <c r="C1914" s="1050"/>
      <c r="D1914" s="1050"/>
      <c r="E1914" s="1050"/>
      <c r="F1914" s="1050"/>
      <c r="G1914" s="1050"/>
    </row>
    <row r="1915" spans="1:7">
      <c r="A1915" s="1079"/>
      <c r="B1915" s="1050"/>
      <c r="C1915" s="1050"/>
      <c r="D1915" s="1050"/>
      <c r="E1915" s="1050"/>
      <c r="F1915" s="1050"/>
      <c r="G1915" s="1050"/>
    </row>
    <row r="1916" spans="1:7">
      <c r="A1916" s="1079"/>
      <c r="B1916" s="1050"/>
      <c r="C1916" s="1050"/>
      <c r="D1916" s="1050"/>
      <c r="E1916" s="1050"/>
      <c r="F1916" s="1050"/>
      <c r="G1916" s="1050"/>
    </row>
    <row r="1917" spans="1:7">
      <c r="A1917" s="1079"/>
      <c r="B1917" s="1050"/>
      <c r="C1917" s="1050"/>
      <c r="D1917" s="1050"/>
      <c r="E1917" s="1050"/>
      <c r="F1917" s="1050"/>
      <c r="G1917" s="1050"/>
    </row>
    <row r="1918" spans="1:7">
      <c r="A1918" s="1079"/>
      <c r="B1918" s="1050"/>
      <c r="C1918" s="1050"/>
      <c r="D1918" s="1050"/>
      <c r="E1918" s="1050"/>
      <c r="F1918" s="1050"/>
      <c r="G1918" s="1050"/>
    </row>
    <row r="1919" spans="1:7">
      <c r="A1919" s="1079"/>
      <c r="B1919" s="1050"/>
      <c r="C1919" s="1050"/>
      <c r="D1919" s="1050"/>
      <c r="E1919" s="1050"/>
      <c r="F1919" s="1050"/>
      <c r="G1919" s="1050"/>
    </row>
    <row r="1920" spans="1:7">
      <c r="A1920" s="1079"/>
      <c r="B1920" s="1050"/>
      <c r="C1920" s="1050"/>
      <c r="D1920" s="1050"/>
      <c r="E1920" s="1050"/>
      <c r="F1920" s="1050"/>
      <c r="G1920" s="1050"/>
    </row>
    <row r="1921" spans="1:7">
      <c r="A1921" s="1079"/>
      <c r="B1921" s="1050"/>
      <c r="C1921" s="1050"/>
      <c r="D1921" s="1050"/>
      <c r="E1921" s="1050"/>
      <c r="F1921" s="1050"/>
      <c r="G1921" s="1050"/>
    </row>
    <row r="1922" spans="1:7">
      <c r="A1922" s="1079"/>
      <c r="B1922" s="1050"/>
      <c r="C1922" s="1050"/>
      <c r="D1922" s="1050"/>
      <c r="E1922" s="1050"/>
      <c r="F1922" s="1050"/>
      <c r="G1922" s="1050"/>
    </row>
    <row r="1923" spans="1:7">
      <c r="A1923" s="1079"/>
      <c r="B1923" s="1050"/>
      <c r="C1923" s="1050"/>
      <c r="D1923" s="1050"/>
      <c r="E1923" s="1050"/>
      <c r="F1923" s="1050"/>
      <c r="G1923" s="1050"/>
    </row>
    <row r="1924" spans="1:7">
      <c r="A1924" s="1079"/>
      <c r="B1924" s="1050"/>
      <c r="C1924" s="1050"/>
      <c r="D1924" s="1050"/>
      <c r="E1924" s="1050"/>
      <c r="F1924" s="1050"/>
      <c r="G1924" s="1050"/>
    </row>
    <row r="1925" spans="1:7">
      <c r="A1925" s="1079"/>
      <c r="B1925" s="1050"/>
      <c r="C1925" s="1050"/>
      <c r="D1925" s="1050"/>
      <c r="E1925" s="1050"/>
      <c r="F1925" s="1050"/>
      <c r="G1925" s="1050"/>
    </row>
    <row r="1926" spans="1:7">
      <c r="A1926" s="1079"/>
      <c r="B1926" s="1050"/>
      <c r="C1926" s="1050"/>
      <c r="D1926" s="1050"/>
      <c r="E1926" s="1050"/>
      <c r="F1926" s="1050"/>
      <c r="G1926" s="1050"/>
    </row>
    <row r="1927" spans="1:7">
      <c r="A1927" s="1079"/>
      <c r="B1927" s="1050"/>
      <c r="C1927" s="1050"/>
      <c r="D1927" s="1050"/>
      <c r="E1927" s="1050"/>
      <c r="F1927" s="1050"/>
      <c r="G1927" s="1050"/>
    </row>
    <row r="1928" spans="1:7">
      <c r="A1928" s="1079"/>
      <c r="B1928" s="1050"/>
      <c r="C1928" s="1050"/>
      <c r="D1928" s="1050"/>
      <c r="E1928" s="1050"/>
      <c r="F1928" s="1050"/>
      <c r="G1928" s="1050"/>
    </row>
    <row r="1929" spans="1:7">
      <c r="A1929" s="1079"/>
      <c r="B1929" s="1050"/>
      <c r="C1929" s="1050"/>
      <c r="D1929" s="1050"/>
      <c r="E1929" s="1050"/>
      <c r="F1929" s="1050"/>
      <c r="G1929" s="1050"/>
    </row>
    <row r="1930" spans="1:7">
      <c r="A1930" s="1079"/>
      <c r="B1930" s="1050"/>
      <c r="C1930" s="1050"/>
      <c r="D1930" s="1050"/>
      <c r="E1930" s="1050"/>
      <c r="F1930" s="1050"/>
      <c r="G1930" s="1050"/>
    </row>
    <row r="1931" spans="1:7">
      <c r="A1931" s="1079"/>
      <c r="B1931" s="1050"/>
      <c r="C1931" s="1050"/>
      <c r="D1931" s="1050"/>
      <c r="E1931" s="1050"/>
      <c r="F1931" s="1050"/>
      <c r="G1931" s="1050"/>
    </row>
    <row r="1932" spans="1:7">
      <c r="A1932" s="1079"/>
      <c r="B1932" s="1050"/>
      <c r="C1932" s="1050"/>
      <c r="D1932" s="1050"/>
      <c r="E1932" s="1050"/>
      <c r="F1932" s="1050"/>
      <c r="G1932" s="1050"/>
    </row>
    <row r="1933" spans="1:7">
      <c r="A1933" s="1079"/>
      <c r="B1933" s="1050"/>
      <c r="C1933" s="1050"/>
      <c r="D1933" s="1050"/>
      <c r="E1933" s="1050"/>
      <c r="F1933" s="1050"/>
      <c r="G1933" s="1050"/>
    </row>
    <row r="1934" spans="1:7">
      <c r="A1934" s="1079"/>
      <c r="B1934" s="1050"/>
      <c r="C1934" s="1050"/>
      <c r="D1934" s="1050"/>
      <c r="E1934" s="1050"/>
      <c r="F1934" s="1050"/>
      <c r="G1934" s="1050"/>
    </row>
    <row r="1935" spans="1:7">
      <c r="A1935" s="1079"/>
      <c r="B1935" s="1050"/>
      <c r="C1935" s="1050"/>
      <c r="D1935" s="1050"/>
      <c r="E1935" s="1050"/>
      <c r="F1935" s="1050"/>
      <c r="G1935" s="1050"/>
    </row>
    <row r="1936" spans="1:7">
      <c r="A1936" s="1079"/>
      <c r="B1936" s="1050"/>
      <c r="C1936" s="1050"/>
      <c r="D1936" s="1050"/>
      <c r="E1936" s="1050"/>
      <c r="F1936" s="1050"/>
      <c r="G1936" s="1050"/>
    </row>
    <row r="1937" spans="1:7">
      <c r="A1937" s="1079"/>
      <c r="B1937" s="1050"/>
      <c r="C1937" s="1050"/>
      <c r="D1937" s="1050"/>
      <c r="E1937" s="1050"/>
      <c r="F1937" s="1050"/>
      <c r="G1937" s="1050"/>
    </row>
    <row r="1938" spans="1:7">
      <c r="A1938" s="1079"/>
      <c r="B1938" s="1050"/>
      <c r="C1938" s="1050"/>
      <c r="D1938" s="1050"/>
      <c r="E1938" s="1050"/>
      <c r="F1938" s="1050"/>
      <c r="G1938" s="1050"/>
    </row>
    <row r="1939" spans="1:7">
      <c r="A1939" s="1079"/>
      <c r="B1939" s="1050"/>
      <c r="C1939" s="1050"/>
      <c r="D1939" s="1050"/>
      <c r="E1939" s="1050"/>
      <c r="F1939" s="1050"/>
      <c r="G1939" s="1050"/>
    </row>
    <row r="1940" spans="1:7">
      <c r="A1940" s="1079"/>
      <c r="B1940" s="1050"/>
      <c r="C1940" s="1050"/>
      <c r="D1940" s="1050"/>
      <c r="E1940" s="1050"/>
      <c r="F1940" s="1050"/>
      <c r="G1940" s="1050"/>
    </row>
    <row r="1941" spans="1:7">
      <c r="A1941" s="1079"/>
      <c r="B1941" s="1050"/>
      <c r="C1941" s="1050"/>
      <c r="D1941" s="1050"/>
      <c r="E1941" s="1050"/>
      <c r="F1941" s="1050"/>
      <c r="G1941" s="1050"/>
    </row>
    <row r="1942" spans="1:7">
      <c r="A1942" s="1079"/>
      <c r="B1942" s="1050"/>
      <c r="C1942" s="1050"/>
      <c r="D1942" s="1050"/>
      <c r="E1942" s="1050"/>
      <c r="F1942" s="1050"/>
      <c r="G1942" s="1050"/>
    </row>
    <row r="1943" spans="1:7">
      <c r="A1943" s="1079"/>
      <c r="B1943" s="1050"/>
      <c r="C1943" s="1050"/>
      <c r="D1943" s="1050"/>
      <c r="E1943" s="1050"/>
      <c r="F1943" s="1050"/>
      <c r="G1943" s="1050"/>
    </row>
    <row r="1944" spans="1:7">
      <c r="A1944" s="1079"/>
      <c r="B1944" s="1050"/>
      <c r="C1944" s="1050"/>
      <c r="D1944" s="1050"/>
      <c r="E1944" s="1050"/>
      <c r="F1944" s="1050"/>
      <c r="G1944" s="1050"/>
    </row>
    <row r="1945" spans="1:7">
      <c r="A1945" s="1079"/>
      <c r="B1945" s="1050"/>
      <c r="C1945" s="1050"/>
      <c r="D1945" s="1050"/>
      <c r="E1945" s="1050"/>
      <c r="F1945" s="1050"/>
      <c r="G1945" s="1050"/>
    </row>
    <row r="1946" spans="1:7">
      <c r="A1946" s="1079"/>
      <c r="B1946" s="1050"/>
      <c r="C1946" s="1050"/>
      <c r="D1946" s="1050"/>
      <c r="E1946" s="1050"/>
      <c r="F1946" s="1050"/>
      <c r="G1946" s="1050"/>
    </row>
    <row r="1947" spans="1:7">
      <c r="A1947" s="1079"/>
      <c r="B1947" s="1050"/>
      <c r="C1947" s="1050"/>
      <c r="D1947" s="1050"/>
      <c r="E1947" s="1050"/>
      <c r="F1947" s="1050"/>
      <c r="G1947" s="1050"/>
    </row>
    <row r="1948" spans="1:7">
      <c r="A1948" s="1079"/>
      <c r="B1948" s="1050"/>
      <c r="C1948" s="1050"/>
      <c r="D1948" s="1050"/>
      <c r="E1948" s="1050"/>
      <c r="F1948" s="1050"/>
      <c r="G1948" s="1050"/>
    </row>
    <row r="1949" spans="1:7">
      <c r="A1949" s="1079"/>
      <c r="B1949" s="1050"/>
      <c r="C1949" s="1050"/>
      <c r="D1949" s="1050"/>
      <c r="E1949" s="1050"/>
      <c r="F1949" s="1050"/>
      <c r="G1949" s="1050"/>
    </row>
    <row r="1950" spans="1:7">
      <c r="A1950" s="1079"/>
      <c r="B1950" s="1050"/>
      <c r="C1950" s="1050"/>
      <c r="D1950" s="1050"/>
      <c r="E1950" s="1050"/>
      <c r="F1950" s="1050"/>
      <c r="G1950" s="1050"/>
    </row>
    <row r="1951" spans="1:7">
      <c r="A1951" s="1079"/>
      <c r="B1951" s="1050"/>
      <c r="C1951" s="1050"/>
      <c r="D1951" s="1050"/>
      <c r="E1951" s="1050"/>
      <c r="F1951" s="1050"/>
      <c r="G1951" s="1050"/>
    </row>
    <row r="1952" spans="1:7">
      <c r="A1952" s="1079"/>
      <c r="B1952" s="1050"/>
      <c r="C1952" s="1050"/>
      <c r="D1952" s="1050"/>
      <c r="E1952" s="1050"/>
      <c r="F1952" s="1050"/>
      <c r="G1952" s="1050"/>
    </row>
    <row r="1953" spans="1:7">
      <c r="A1953" s="1079"/>
      <c r="B1953" s="1050"/>
      <c r="C1953" s="1050"/>
      <c r="D1953" s="1050"/>
      <c r="E1953" s="1050"/>
      <c r="F1953" s="1050"/>
      <c r="G1953" s="1050"/>
    </row>
    <row r="1954" spans="1:7">
      <c r="A1954" s="1079"/>
      <c r="B1954" s="1050"/>
      <c r="C1954" s="1050"/>
      <c r="D1954" s="1050"/>
      <c r="E1954" s="1050"/>
      <c r="F1954" s="1050"/>
      <c r="G1954" s="1050"/>
    </row>
    <row r="1955" spans="1:7">
      <c r="A1955" s="1079"/>
      <c r="B1955" s="1050"/>
      <c r="C1955" s="1050"/>
      <c r="D1955" s="1050"/>
      <c r="E1955" s="1050"/>
      <c r="F1955" s="1050"/>
      <c r="G1955" s="1050"/>
    </row>
    <row r="1956" spans="1:7">
      <c r="A1956" s="1079"/>
      <c r="B1956" s="1050"/>
      <c r="C1956" s="1050"/>
      <c r="D1956" s="1050"/>
      <c r="E1956" s="1050"/>
      <c r="F1956" s="1050"/>
      <c r="G1956" s="1050"/>
    </row>
    <row r="1957" spans="1:7">
      <c r="A1957" s="1079"/>
      <c r="B1957" s="1050"/>
      <c r="C1957" s="1050"/>
      <c r="D1957" s="1050"/>
      <c r="E1957" s="1050"/>
      <c r="F1957" s="1050"/>
      <c r="G1957" s="1050"/>
    </row>
    <row r="1958" spans="1:7">
      <c r="A1958" s="1079"/>
      <c r="B1958" s="1050"/>
      <c r="C1958" s="1050"/>
      <c r="D1958" s="1050"/>
      <c r="E1958" s="1050"/>
      <c r="F1958" s="1050"/>
      <c r="G1958" s="1050"/>
    </row>
    <row r="1959" spans="1:7">
      <c r="A1959" s="1079"/>
      <c r="B1959" s="1050"/>
      <c r="C1959" s="1050"/>
      <c r="D1959" s="1050"/>
      <c r="E1959" s="1050"/>
      <c r="F1959" s="1050"/>
      <c r="G1959" s="1050"/>
    </row>
    <row r="1960" spans="1:7">
      <c r="A1960" s="1079"/>
      <c r="B1960" s="1050"/>
      <c r="C1960" s="1050"/>
      <c r="D1960" s="1050"/>
      <c r="E1960" s="1050"/>
      <c r="F1960" s="1050"/>
      <c r="G1960" s="1050"/>
    </row>
    <row r="1961" spans="1:7">
      <c r="A1961" s="1079"/>
      <c r="B1961" s="1050"/>
      <c r="C1961" s="1050"/>
      <c r="D1961" s="1050"/>
      <c r="E1961" s="1050"/>
      <c r="F1961" s="1050"/>
      <c r="G1961" s="1050"/>
    </row>
    <row r="1962" spans="1:7">
      <c r="A1962" s="1079"/>
      <c r="B1962" s="1050"/>
      <c r="C1962" s="1050"/>
      <c r="D1962" s="1050"/>
      <c r="E1962" s="1050"/>
      <c r="F1962" s="1050"/>
      <c r="G1962" s="1050"/>
    </row>
    <row r="1963" spans="1:7">
      <c r="A1963" s="1079"/>
      <c r="B1963" s="1050"/>
      <c r="C1963" s="1050"/>
      <c r="D1963" s="1050"/>
      <c r="E1963" s="1050"/>
      <c r="F1963" s="1050"/>
      <c r="G1963" s="1050"/>
    </row>
    <row r="1964" spans="1:7">
      <c r="A1964" s="1079"/>
      <c r="B1964" s="1050"/>
      <c r="C1964" s="1050"/>
      <c r="D1964" s="1050"/>
      <c r="E1964" s="1050"/>
      <c r="F1964" s="1050"/>
      <c r="G1964" s="1050"/>
    </row>
    <row r="1965" spans="1:7">
      <c r="A1965" s="1079"/>
      <c r="B1965" s="1050"/>
      <c r="C1965" s="1050"/>
      <c r="D1965" s="1050"/>
      <c r="E1965" s="1050"/>
      <c r="F1965" s="1050"/>
      <c r="G1965" s="1050"/>
    </row>
    <row r="1966" spans="1:7">
      <c r="A1966" s="1079"/>
      <c r="B1966" s="1050"/>
      <c r="C1966" s="1050"/>
      <c r="D1966" s="1050"/>
      <c r="E1966" s="1050"/>
      <c r="F1966" s="1050"/>
      <c r="G1966" s="1050"/>
    </row>
    <row r="1967" spans="1:7">
      <c r="A1967" s="1079"/>
      <c r="B1967" s="1050"/>
      <c r="C1967" s="1050"/>
      <c r="D1967" s="1050"/>
      <c r="E1967" s="1050"/>
      <c r="F1967" s="1050"/>
      <c r="G1967" s="1050"/>
    </row>
    <row r="1968" spans="1:7">
      <c r="A1968" s="1079"/>
      <c r="B1968" s="1050"/>
      <c r="C1968" s="1050"/>
      <c r="D1968" s="1050"/>
      <c r="E1968" s="1050"/>
      <c r="F1968" s="1050"/>
      <c r="G1968" s="1050"/>
    </row>
    <row r="1969" spans="1:7">
      <c r="A1969" s="1079"/>
      <c r="B1969" s="1050"/>
      <c r="C1969" s="1050"/>
      <c r="D1969" s="1050"/>
      <c r="E1969" s="1050"/>
      <c r="F1969" s="1050"/>
      <c r="G1969" s="1050"/>
    </row>
    <row r="1970" spans="1:7">
      <c r="A1970" s="1079"/>
      <c r="B1970" s="1050"/>
      <c r="C1970" s="1050"/>
      <c r="D1970" s="1050"/>
      <c r="E1970" s="1050"/>
      <c r="F1970" s="1050"/>
      <c r="G1970" s="1050"/>
    </row>
    <row r="1971" spans="1:7">
      <c r="A1971" s="1079"/>
      <c r="B1971" s="1050"/>
      <c r="C1971" s="1050"/>
      <c r="D1971" s="1050"/>
      <c r="E1971" s="1050"/>
      <c r="F1971" s="1050"/>
      <c r="G1971" s="1050"/>
    </row>
    <row r="1972" spans="1:7">
      <c r="A1972" s="1079"/>
      <c r="B1972" s="1050"/>
      <c r="C1972" s="1050"/>
      <c r="D1972" s="1050"/>
      <c r="E1972" s="1050"/>
      <c r="F1972" s="1050"/>
      <c r="G1972" s="1050"/>
    </row>
    <row r="1973" spans="1:7">
      <c r="A1973" s="1079"/>
      <c r="B1973" s="1050"/>
      <c r="C1973" s="1050"/>
      <c r="D1973" s="1050"/>
      <c r="E1973" s="1050"/>
      <c r="F1973" s="1050"/>
      <c r="G1973" s="1050"/>
    </row>
    <row r="1974" spans="1:7">
      <c r="A1974" s="1079"/>
      <c r="B1974" s="1050"/>
      <c r="C1974" s="1050"/>
      <c r="D1974" s="1050"/>
      <c r="E1974" s="1050"/>
      <c r="F1974" s="1050"/>
      <c r="G1974" s="1050"/>
    </row>
    <row r="1975" spans="1:7">
      <c r="A1975" s="1079"/>
      <c r="B1975" s="1050"/>
      <c r="C1975" s="1050"/>
      <c r="D1975" s="1050"/>
      <c r="E1975" s="1050"/>
      <c r="F1975" s="1050"/>
      <c r="G1975" s="1050"/>
    </row>
    <row r="1976" spans="1:7">
      <c r="A1976" s="1079"/>
      <c r="B1976" s="1050"/>
      <c r="C1976" s="1050"/>
      <c r="D1976" s="1050"/>
      <c r="E1976" s="1050"/>
      <c r="F1976" s="1050"/>
      <c r="G1976" s="1050"/>
    </row>
    <row r="1977" spans="1:7">
      <c r="A1977" s="1079"/>
      <c r="B1977" s="1050"/>
      <c r="C1977" s="1050"/>
      <c r="D1977" s="1050"/>
      <c r="E1977" s="1050"/>
      <c r="F1977" s="1050"/>
      <c r="G1977" s="1050"/>
    </row>
    <row r="1978" spans="1:7">
      <c r="A1978" s="1079"/>
      <c r="B1978" s="1050"/>
      <c r="C1978" s="1050"/>
      <c r="D1978" s="1050"/>
      <c r="E1978" s="1050"/>
      <c r="F1978" s="1050"/>
      <c r="G1978" s="1050"/>
    </row>
    <row r="1979" spans="1:7">
      <c r="A1979" s="1079"/>
      <c r="B1979" s="1050"/>
      <c r="C1979" s="1050"/>
      <c r="D1979" s="1050"/>
      <c r="E1979" s="1050"/>
      <c r="F1979" s="1050"/>
      <c r="G1979" s="1050"/>
    </row>
    <row r="1980" spans="1:7">
      <c r="A1980" s="1079"/>
      <c r="B1980" s="1050"/>
      <c r="C1980" s="1050"/>
      <c r="D1980" s="1050"/>
      <c r="E1980" s="1050"/>
      <c r="F1980" s="1050"/>
      <c r="G1980" s="1050"/>
    </row>
    <row r="1981" spans="1:7">
      <c r="A1981" s="1079"/>
      <c r="B1981" s="1050"/>
      <c r="C1981" s="1050"/>
      <c r="D1981" s="1050"/>
      <c r="E1981" s="1050"/>
      <c r="F1981" s="1050"/>
      <c r="G1981" s="1050"/>
    </row>
    <row r="1982" spans="1:7">
      <c r="A1982" s="1079"/>
      <c r="B1982" s="1050"/>
      <c r="C1982" s="1050"/>
      <c r="D1982" s="1050"/>
      <c r="E1982" s="1050"/>
      <c r="F1982" s="1050"/>
      <c r="G1982" s="1050"/>
    </row>
    <row r="1983" spans="1:7">
      <c r="A1983" s="1079"/>
      <c r="B1983" s="1050"/>
      <c r="C1983" s="1050"/>
      <c r="D1983" s="1050"/>
      <c r="E1983" s="1050"/>
      <c r="F1983" s="1050"/>
      <c r="G1983" s="1050"/>
    </row>
    <row r="1984" spans="1:7">
      <c r="A1984" s="1079"/>
      <c r="B1984" s="1050"/>
      <c r="C1984" s="1050"/>
      <c r="D1984" s="1050"/>
      <c r="E1984" s="1050"/>
      <c r="F1984" s="1050"/>
      <c r="G1984" s="1050"/>
    </row>
    <row r="1985" spans="1:7">
      <c r="A1985" s="1079"/>
      <c r="B1985" s="1050"/>
      <c r="C1985" s="1050"/>
      <c r="D1985" s="1050"/>
      <c r="E1985" s="1050"/>
      <c r="F1985" s="1050"/>
      <c r="G1985" s="1050"/>
    </row>
    <row r="1986" spans="1:7">
      <c r="A1986" s="1079"/>
      <c r="B1986" s="1050"/>
      <c r="C1986" s="1050"/>
      <c r="D1986" s="1050"/>
      <c r="E1986" s="1050"/>
      <c r="F1986" s="1050"/>
      <c r="G1986" s="1050"/>
    </row>
    <row r="1987" spans="1:7">
      <c r="A1987" s="1079"/>
      <c r="B1987" s="1050"/>
      <c r="C1987" s="1050"/>
      <c r="D1987" s="1050"/>
      <c r="E1987" s="1050"/>
      <c r="F1987" s="1050"/>
      <c r="G1987" s="1050"/>
    </row>
    <row r="1988" spans="1:7">
      <c r="A1988" s="1079"/>
      <c r="B1988" s="1050"/>
      <c r="C1988" s="1050"/>
      <c r="D1988" s="1050"/>
      <c r="E1988" s="1050"/>
      <c r="F1988" s="1050"/>
      <c r="G1988" s="1050"/>
    </row>
    <row r="1989" spans="1:7">
      <c r="A1989" s="1079"/>
      <c r="B1989" s="1050"/>
      <c r="C1989" s="1050"/>
      <c r="D1989" s="1050"/>
      <c r="E1989" s="1050"/>
      <c r="F1989" s="1050"/>
      <c r="G1989" s="1050"/>
    </row>
    <row r="1990" spans="1:7">
      <c r="A1990" s="1079"/>
      <c r="B1990" s="1050"/>
      <c r="C1990" s="1050"/>
      <c r="D1990" s="1050"/>
      <c r="E1990" s="1050"/>
      <c r="F1990" s="1050"/>
      <c r="G1990" s="1050"/>
    </row>
    <row r="1991" spans="1:7">
      <c r="A1991" s="1079"/>
      <c r="B1991" s="1050"/>
      <c r="C1991" s="1050"/>
      <c r="D1991" s="1050"/>
      <c r="E1991" s="1050"/>
      <c r="F1991" s="1050"/>
      <c r="G1991" s="1050"/>
    </row>
    <row r="1992" spans="1:7">
      <c r="A1992" s="1079"/>
      <c r="B1992" s="1050"/>
      <c r="C1992" s="1050"/>
      <c r="D1992" s="1050"/>
      <c r="E1992" s="1050"/>
      <c r="F1992" s="1050"/>
      <c r="G1992" s="1050"/>
    </row>
    <row r="1993" spans="1:7">
      <c r="A1993" s="1079"/>
      <c r="B1993" s="1050"/>
      <c r="C1993" s="1050"/>
      <c r="D1993" s="1050"/>
      <c r="E1993" s="1050"/>
      <c r="F1993" s="1050"/>
      <c r="G1993" s="1050"/>
    </row>
    <row r="1994" spans="1:7">
      <c r="A1994" s="1079"/>
      <c r="B1994" s="1050"/>
      <c r="C1994" s="1050"/>
      <c r="D1994" s="1050"/>
      <c r="E1994" s="1050"/>
      <c r="F1994" s="1050"/>
      <c r="G1994" s="1050"/>
    </row>
    <row r="1995" spans="1:7">
      <c r="A1995" s="1079"/>
      <c r="B1995" s="1050"/>
      <c r="C1995" s="1050"/>
      <c r="D1995" s="1050"/>
      <c r="E1995" s="1050"/>
      <c r="F1995" s="1050"/>
      <c r="G1995" s="1050"/>
    </row>
    <row r="1996" spans="1:7">
      <c r="A1996" s="1079"/>
      <c r="B1996" s="1050"/>
      <c r="C1996" s="1050"/>
      <c r="D1996" s="1050"/>
      <c r="E1996" s="1050"/>
      <c r="F1996" s="1050"/>
      <c r="G1996" s="1050"/>
    </row>
    <row r="1997" spans="1:7">
      <c r="A1997" s="1079"/>
      <c r="B1997" s="1050"/>
      <c r="C1997" s="1050"/>
      <c r="D1997" s="1050"/>
      <c r="E1997" s="1050"/>
      <c r="F1997" s="1050"/>
      <c r="G1997" s="1050"/>
    </row>
    <row r="1998" spans="1:7">
      <c r="A1998" s="1079"/>
      <c r="B1998" s="1050"/>
      <c r="C1998" s="1050"/>
      <c r="D1998" s="1050"/>
      <c r="E1998" s="1050"/>
      <c r="F1998" s="1050"/>
      <c r="G1998" s="1050"/>
    </row>
    <row r="1999" spans="1:7">
      <c r="A1999" s="1079"/>
      <c r="B1999" s="1050"/>
      <c r="C1999" s="1050"/>
      <c r="D1999" s="1050"/>
      <c r="E1999" s="1050"/>
      <c r="F1999" s="1050"/>
      <c r="G1999" s="1050"/>
    </row>
    <row r="2000" spans="1:7">
      <c r="A2000" s="1079"/>
      <c r="B2000" s="1050"/>
      <c r="C2000" s="1050"/>
      <c r="D2000" s="1050"/>
      <c r="E2000" s="1050"/>
      <c r="F2000" s="1050"/>
      <c r="G2000" s="1050"/>
    </row>
    <row r="2001" spans="1:7">
      <c r="A2001" s="1079"/>
      <c r="B2001" s="1050"/>
      <c r="C2001" s="1050"/>
      <c r="D2001" s="1050"/>
      <c r="E2001" s="1050"/>
      <c r="F2001" s="1050"/>
      <c r="G2001" s="1050"/>
    </row>
    <row r="2002" spans="1:7">
      <c r="A2002" s="1079"/>
      <c r="B2002" s="1050"/>
      <c r="C2002" s="1050"/>
      <c r="D2002" s="1050"/>
      <c r="E2002" s="1050"/>
      <c r="F2002" s="1050"/>
      <c r="G2002" s="1050"/>
    </row>
    <row r="2003" spans="1:7">
      <c r="A2003" s="1079"/>
      <c r="B2003" s="1050"/>
      <c r="C2003" s="1050"/>
      <c r="D2003" s="1050"/>
      <c r="E2003" s="1050"/>
      <c r="F2003" s="1050"/>
      <c r="G2003" s="1050"/>
    </row>
    <row r="2004" spans="1:7">
      <c r="A2004" s="1079"/>
      <c r="B2004" s="1050"/>
      <c r="C2004" s="1050"/>
      <c r="D2004" s="1050"/>
      <c r="E2004" s="1050"/>
      <c r="F2004" s="1050"/>
      <c r="G2004" s="1050"/>
    </row>
    <row r="2005" spans="1:7">
      <c r="A2005" s="1079"/>
      <c r="B2005" s="1050"/>
      <c r="C2005" s="1050"/>
      <c r="D2005" s="1050"/>
      <c r="E2005" s="1050"/>
      <c r="F2005" s="1050"/>
      <c r="G2005" s="1050"/>
    </row>
    <row r="2006" spans="1:7">
      <c r="A2006" s="1079"/>
      <c r="B2006" s="1050"/>
      <c r="C2006" s="1050"/>
      <c r="D2006" s="1050"/>
      <c r="E2006" s="1050"/>
      <c r="F2006" s="1050"/>
      <c r="G2006" s="1050"/>
    </row>
    <row r="2007" spans="1:7">
      <c r="A2007" s="1079"/>
      <c r="B2007" s="1050"/>
      <c r="C2007" s="1050"/>
      <c r="D2007" s="1050"/>
      <c r="E2007" s="1050"/>
      <c r="F2007" s="1050"/>
      <c r="G2007" s="1050"/>
    </row>
    <row r="2008" spans="1:7">
      <c r="A2008" s="1079"/>
      <c r="B2008" s="1050"/>
      <c r="C2008" s="1050"/>
      <c r="D2008" s="1050"/>
      <c r="E2008" s="1050"/>
      <c r="F2008" s="1050"/>
      <c r="G2008" s="1050"/>
    </row>
    <row r="2009" spans="1:7">
      <c r="A2009" s="1079"/>
      <c r="B2009" s="1050"/>
      <c r="C2009" s="1050"/>
      <c r="D2009" s="1050"/>
      <c r="E2009" s="1050"/>
      <c r="F2009" s="1050"/>
      <c r="G2009" s="1050"/>
    </row>
    <row r="2010" spans="1:7">
      <c r="A2010" s="1079"/>
      <c r="B2010" s="1050"/>
      <c r="C2010" s="1050"/>
      <c r="D2010" s="1050"/>
      <c r="E2010" s="1050"/>
      <c r="F2010" s="1050"/>
      <c r="G2010" s="1050"/>
    </row>
    <row r="2011" spans="1:7">
      <c r="A2011" s="1079"/>
      <c r="B2011" s="1050"/>
      <c r="C2011" s="1050"/>
      <c r="D2011" s="1050"/>
      <c r="E2011" s="1050"/>
      <c r="F2011" s="1050"/>
      <c r="G2011" s="1050"/>
    </row>
    <row r="2012" spans="1:7">
      <c r="A2012" s="1079"/>
      <c r="B2012" s="1050"/>
      <c r="C2012" s="1050"/>
      <c r="D2012" s="1050"/>
      <c r="E2012" s="1050"/>
      <c r="F2012" s="1050"/>
      <c r="G2012" s="1050"/>
    </row>
    <row r="2013" spans="1:7">
      <c r="A2013" s="1079"/>
      <c r="B2013" s="1050"/>
      <c r="C2013" s="1050"/>
      <c r="D2013" s="1050"/>
      <c r="E2013" s="1050"/>
      <c r="F2013" s="1050"/>
      <c r="G2013" s="1050"/>
    </row>
    <row r="2014" spans="1:7">
      <c r="A2014" s="1079"/>
      <c r="B2014" s="1050"/>
      <c r="C2014" s="1050"/>
      <c r="D2014" s="1050"/>
      <c r="E2014" s="1050"/>
      <c r="F2014" s="1050"/>
      <c r="G2014" s="1050"/>
    </row>
    <row r="2015" spans="1:7">
      <c r="A2015" s="1079"/>
      <c r="B2015" s="1050"/>
      <c r="C2015" s="1050"/>
      <c r="D2015" s="1050"/>
      <c r="E2015" s="1050"/>
      <c r="F2015" s="1050"/>
      <c r="G2015" s="1050"/>
    </row>
    <row r="2016" spans="1:7">
      <c r="A2016" s="1079"/>
      <c r="B2016" s="1050"/>
      <c r="C2016" s="1050"/>
      <c r="D2016" s="1050"/>
      <c r="E2016" s="1050"/>
      <c r="F2016" s="1050"/>
      <c r="G2016" s="1050"/>
    </row>
    <row r="2017" spans="1:7">
      <c r="A2017" s="1079"/>
      <c r="B2017" s="1050"/>
      <c r="C2017" s="1050"/>
      <c r="D2017" s="1050"/>
      <c r="E2017" s="1050"/>
      <c r="F2017" s="1050"/>
      <c r="G2017" s="1050"/>
    </row>
    <row r="2018" spans="1:7">
      <c r="A2018" s="1079"/>
      <c r="B2018" s="1050"/>
      <c r="C2018" s="1050"/>
      <c r="D2018" s="1050"/>
      <c r="E2018" s="1050"/>
      <c r="F2018" s="1050"/>
      <c r="G2018" s="1050"/>
    </row>
    <row r="2019" spans="1:7">
      <c r="A2019" s="1079"/>
      <c r="B2019" s="1050"/>
      <c r="C2019" s="1050"/>
      <c r="D2019" s="1050"/>
      <c r="E2019" s="1050"/>
      <c r="F2019" s="1050"/>
      <c r="G2019" s="1050"/>
    </row>
    <row r="2020" spans="1:7">
      <c r="A2020" s="1079"/>
      <c r="B2020" s="1050"/>
      <c r="C2020" s="1050"/>
      <c r="D2020" s="1050"/>
      <c r="E2020" s="1050"/>
      <c r="F2020" s="1050"/>
      <c r="G2020" s="1050"/>
    </row>
    <row r="2021" spans="1:7">
      <c r="A2021" s="1079"/>
      <c r="B2021" s="1050"/>
      <c r="C2021" s="1050"/>
      <c r="D2021" s="1050"/>
      <c r="E2021" s="1050"/>
      <c r="F2021" s="1050"/>
      <c r="G2021" s="1050"/>
    </row>
    <row r="2022" spans="1:7">
      <c r="A2022" s="1079"/>
      <c r="B2022" s="1050"/>
      <c r="C2022" s="1050"/>
      <c r="D2022" s="1050"/>
      <c r="E2022" s="1050"/>
      <c r="F2022" s="1050"/>
      <c r="G2022" s="1050"/>
    </row>
    <row r="2023" spans="1:7">
      <c r="A2023" s="1079"/>
      <c r="B2023" s="1050"/>
      <c r="C2023" s="1050"/>
      <c r="D2023" s="1050"/>
      <c r="E2023" s="1050"/>
      <c r="F2023" s="1050"/>
      <c r="G2023" s="1050"/>
    </row>
    <row r="2024" spans="1:7">
      <c r="A2024" s="1079"/>
      <c r="B2024" s="1050"/>
      <c r="C2024" s="1050"/>
      <c r="D2024" s="1050"/>
      <c r="E2024" s="1050"/>
      <c r="F2024" s="1050"/>
      <c r="G2024" s="1050"/>
    </row>
    <row r="2025" spans="1:7">
      <c r="A2025" s="1079"/>
      <c r="B2025" s="1050"/>
      <c r="C2025" s="1050"/>
      <c r="D2025" s="1050"/>
      <c r="E2025" s="1050"/>
      <c r="F2025" s="1050"/>
      <c r="G2025" s="1050"/>
    </row>
    <row r="2026" spans="1:7">
      <c r="A2026" s="1079"/>
      <c r="B2026" s="1050"/>
      <c r="C2026" s="1050"/>
      <c r="D2026" s="1050"/>
      <c r="E2026" s="1050"/>
      <c r="F2026" s="1050"/>
      <c r="G2026" s="1050"/>
    </row>
    <row r="2027" spans="1:7">
      <c r="A2027" s="1079"/>
      <c r="B2027" s="1050"/>
      <c r="C2027" s="1050"/>
      <c r="D2027" s="1050"/>
      <c r="E2027" s="1050"/>
      <c r="F2027" s="1050"/>
      <c r="G2027" s="1050"/>
    </row>
    <row r="2028" spans="1:7">
      <c r="A2028" s="1079"/>
      <c r="B2028" s="1050"/>
      <c r="C2028" s="1050"/>
      <c r="D2028" s="1050"/>
      <c r="E2028" s="1050"/>
      <c r="F2028" s="1050"/>
      <c r="G2028" s="1050"/>
    </row>
    <row r="2029" spans="1:7">
      <c r="A2029" s="1079"/>
      <c r="B2029" s="1050"/>
      <c r="C2029" s="1050"/>
      <c r="D2029" s="1050"/>
      <c r="E2029" s="1050"/>
      <c r="F2029" s="1050"/>
      <c r="G2029" s="1050"/>
    </row>
    <row r="2030" spans="1:7">
      <c r="A2030" s="1079"/>
      <c r="B2030" s="1050"/>
      <c r="C2030" s="1050"/>
      <c r="D2030" s="1050"/>
      <c r="E2030" s="1050"/>
      <c r="F2030" s="1050"/>
      <c r="G2030" s="1050"/>
    </row>
    <row r="2031" spans="1:7">
      <c r="A2031" s="1079"/>
      <c r="B2031" s="1050"/>
      <c r="C2031" s="1050"/>
      <c r="D2031" s="1050"/>
      <c r="E2031" s="1050"/>
      <c r="F2031" s="1050"/>
      <c r="G2031" s="1050"/>
    </row>
    <row r="2032" spans="1:7">
      <c r="A2032" s="1079"/>
      <c r="B2032" s="1050"/>
      <c r="C2032" s="1050"/>
      <c r="D2032" s="1050"/>
      <c r="E2032" s="1050"/>
      <c r="F2032" s="1050"/>
      <c r="G2032" s="1050"/>
    </row>
    <row r="2033" spans="1:7">
      <c r="A2033" s="1079"/>
      <c r="B2033" s="1050"/>
      <c r="C2033" s="1050"/>
      <c r="D2033" s="1050"/>
      <c r="E2033" s="1050"/>
      <c r="F2033" s="1050"/>
      <c r="G2033" s="1050"/>
    </row>
    <row r="2034" spans="1:7">
      <c r="A2034" s="1079"/>
      <c r="B2034" s="1050"/>
      <c r="C2034" s="1050"/>
      <c r="D2034" s="1050"/>
      <c r="E2034" s="1050"/>
      <c r="F2034" s="1050"/>
      <c r="G2034" s="1050"/>
    </row>
    <row r="2035" spans="1:7">
      <c r="A2035" s="1079"/>
      <c r="B2035" s="1050"/>
      <c r="C2035" s="1050"/>
      <c r="D2035" s="1050"/>
      <c r="E2035" s="1050"/>
      <c r="F2035" s="1050"/>
      <c r="G2035" s="1050"/>
    </row>
    <row r="2036" spans="1:7">
      <c r="A2036" s="1079"/>
      <c r="B2036" s="1050"/>
      <c r="C2036" s="1050"/>
      <c r="D2036" s="1050"/>
      <c r="E2036" s="1050"/>
      <c r="F2036" s="1050"/>
      <c r="G2036" s="1050"/>
    </row>
    <row r="2037" spans="1:7">
      <c r="A2037" s="1079"/>
      <c r="B2037" s="1050"/>
      <c r="C2037" s="1050"/>
      <c r="D2037" s="1050"/>
      <c r="E2037" s="1050"/>
      <c r="F2037" s="1050"/>
      <c r="G2037" s="1050"/>
    </row>
    <row r="2038" spans="1:7">
      <c r="A2038" s="1079"/>
      <c r="B2038" s="1050"/>
      <c r="C2038" s="1050"/>
      <c r="D2038" s="1050"/>
      <c r="E2038" s="1050"/>
      <c r="F2038" s="1050"/>
      <c r="G2038" s="1050"/>
    </row>
    <row r="2039" spans="1:7">
      <c r="A2039" s="1079"/>
      <c r="B2039" s="1050"/>
      <c r="C2039" s="1050"/>
      <c r="D2039" s="1050"/>
      <c r="E2039" s="1050"/>
      <c r="F2039" s="1050"/>
      <c r="G2039" s="1050"/>
    </row>
    <row r="2040" spans="1:7">
      <c r="A2040" s="1079"/>
      <c r="B2040" s="1050"/>
      <c r="C2040" s="1050"/>
      <c r="D2040" s="1050"/>
      <c r="E2040" s="1050"/>
      <c r="F2040" s="1050"/>
      <c r="G2040" s="1050"/>
    </row>
    <row r="2041" spans="1:7">
      <c r="A2041" s="1079"/>
      <c r="B2041" s="1050"/>
      <c r="C2041" s="1050"/>
      <c r="D2041" s="1050"/>
      <c r="E2041" s="1050"/>
      <c r="F2041" s="1050"/>
      <c r="G2041" s="1050"/>
    </row>
    <row r="2042" spans="1:7">
      <c r="A2042" s="1079"/>
      <c r="B2042" s="1050"/>
      <c r="C2042" s="1050"/>
      <c r="D2042" s="1050"/>
      <c r="E2042" s="1050"/>
      <c r="F2042" s="1050"/>
      <c r="G2042" s="1050"/>
    </row>
    <row r="2043" spans="1:7">
      <c r="A2043" s="1079"/>
      <c r="B2043" s="1050"/>
      <c r="C2043" s="1050"/>
      <c r="D2043" s="1050"/>
      <c r="E2043" s="1050"/>
      <c r="F2043" s="1050"/>
      <c r="G2043" s="1050"/>
    </row>
    <row r="2044" spans="1:7">
      <c r="A2044" s="1079"/>
      <c r="B2044" s="1050"/>
      <c r="C2044" s="1050"/>
      <c r="D2044" s="1050"/>
      <c r="E2044" s="1050"/>
      <c r="F2044" s="1050"/>
      <c r="G2044" s="1050"/>
    </row>
    <row r="2045" spans="1:7">
      <c r="A2045" s="1079"/>
      <c r="B2045" s="1050"/>
      <c r="C2045" s="1050"/>
      <c r="D2045" s="1050"/>
      <c r="E2045" s="1050"/>
      <c r="F2045" s="1050"/>
      <c r="G2045" s="1050"/>
    </row>
    <row r="2046" spans="1:7">
      <c r="A2046" s="1079"/>
      <c r="B2046" s="1050"/>
      <c r="C2046" s="1050"/>
      <c r="D2046" s="1050"/>
      <c r="E2046" s="1050"/>
      <c r="F2046" s="1050"/>
      <c r="G2046" s="1050"/>
    </row>
    <row r="2047" spans="1:7">
      <c r="A2047" s="1079"/>
      <c r="B2047" s="1050"/>
      <c r="C2047" s="1050"/>
      <c r="D2047" s="1050"/>
      <c r="E2047" s="1050"/>
      <c r="F2047" s="1050"/>
      <c r="G2047" s="1050"/>
    </row>
    <row r="2048" spans="1:7">
      <c r="A2048" s="1079"/>
      <c r="B2048" s="1050"/>
      <c r="C2048" s="1050"/>
      <c r="D2048" s="1050"/>
      <c r="E2048" s="1050"/>
      <c r="F2048" s="1050"/>
      <c r="G2048" s="1050"/>
    </row>
    <row r="2049" spans="1:7">
      <c r="A2049" s="1079"/>
      <c r="B2049" s="1050"/>
      <c r="C2049" s="1050"/>
      <c r="D2049" s="1050"/>
      <c r="E2049" s="1050"/>
      <c r="F2049" s="1050"/>
      <c r="G2049" s="1050"/>
    </row>
    <row r="2050" spans="1:7">
      <c r="A2050" s="1079"/>
      <c r="B2050" s="1050"/>
      <c r="C2050" s="1050"/>
      <c r="D2050" s="1050"/>
      <c r="E2050" s="1050"/>
      <c r="F2050" s="1050"/>
      <c r="G2050" s="1050"/>
    </row>
    <row r="2051" spans="1:7">
      <c r="A2051" s="1079"/>
      <c r="B2051" s="1050"/>
      <c r="C2051" s="1050"/>
      <c r="D2051" s="1050"/>
      <c r="E2051" s="1050"/>
      <c r="F2051" s="1050"/>
      <c r="G2051" s="1050"/>
    </row>
    <row r="2052" spans="1:7">
      <c r="A2052" s="1079"/>
      <c r="B2052" s="1050"/>
      <c r="C2052" s="1050"/>
      <c r="D2052" s="1050"/>
      <c r="E2052" s="1050"/>
      <c r="F2052" s="1050"/>
      <c r="G2052" s="1050"/>
    </row>
    <row r="2053" spans="1:7">
      <c r="A2053" s="1079"/>
      <c r="B2053" s="1050"/>
      <c r="C2053" s="1050"/>
      <c r="D2053" s="1050"/>
      <c r="E2053" s="1050"/>
      <c r="F2053" s="1050"/>
      <c r="G2053" s="1050"/>
    </row>
    <row r="2054" spans="1:7">
      <c r="A2054" s="1079"/>
      <c r="B2054" s="1050"/>
      <c r="C2054" s="1050"/>
      <c r="D2054" s="1050"/>
      <c r="E2054" s="1050"/>
      <c r="F2054" s="1050"/>
      <c r="G2054" s="1050"/>
    </row>
    <row r="2055" spans="1:7">
      <c r="A2055" s="1079"/>
      <c r="B2055" s="1050"/>
      <c r="C2055" s="1050"/>
      <c r="D2055" s="1050"/>
      <c r="E2055" s="1050"/>
      <c r="F2055" s="1050"/>
      <c r="G2055" s="1050"/>
    </row>
    <row r="2056" spans="1:7">
      <c r="A2056" s="1079"/>
      <c r="B2056" s="1050"/>
      <c r="C2056" s="1050"/>
      <c r="D2056" s="1050"/>
      <c r="E2056" s="1050"/>
      <c r="F2056" s="1050"/>
      <c r="G2056" s="1050"/>
    </row>
    <row r="2057" spans="1:7">
      <c r="A2057" s="1079"/>
      <c r="B2057" s="1050"/>
      <c r="C2057" s="1050"/>
      <c r="D2057" s="1050"/>
      <c r="E2057" s="1050"/>
      <c r="F2057" s="1050"/>
      <c r="G2057" s="1050"/>
    </row>
    <row r="2058" spans="1:7">
      <c r="A2058" s="1079"/>
      <c r="B2058" s="1050"/>
      <c r="C2058" s="1050"/>
      <c r="D2058" s="1050"/>
      <c r="E2058" s="1050"/>
      <c r="F2058" s="1050"/>
      <c r="G2058" s="1050"/>
    </row>
    <row r="2059" spans="1:7">
      <c r="A2059" s="1079"/>
      <c r="B2059" s="1050"/>
      <c r="C2059" s="1050"/>
      <c r="D2059" s="1050"/>
      <c r="E2059" s="1050"/>
      <c r="F2059" s="1050"/>
      <c r="G2059" s="1050"/>
    </row>
    <row r="2060" spans="1:7">
      <c r="A2060" s="1079"/>
      <c r="B2060" s="1050"/>
      <c r="C2060" s="1050"/>
      <c r="D2060" s="1050"/>
      <c r="E2060" s="1050"/>
      <c r="F2060" s="1050"/>
      <c r="G2060" s="1050"/>
    </row>
    <row r="2061" spans="1:7">
      <c r="A2061" s="1079"/>
      <c r="B2061" s="1050"/>
      <c r="C2061" s="1050"/>
      <c r="D2061" s="1050"/>
      <c r="E2061" s="1050"/>
      <c r="F2061" s="1050"/>
      <c r="G2061" s="1050"/>
    </row>
    <row r="2062" spans="1:7">
      <c r="A2062" s="1079"/>
      <c r="B2062" s="1050"/>
      <c r="C2062" s="1050"/>
      <c r="D2062" s="1050"/>
      <c r="E2062" s="1050"/>
      <c r="F2062" s="1050"/>
      <c r="G2062" s="1050"/>
    </row>
    <row r="2063" spans="1:7">
      <c r="A2063" s="1079"/>
      <c r="B2063" s="1050"/>
      <c r="C2063" s="1050"/>
      <c r="D2063" s="1050"/>
      <c r="E2063" s="1050"/>
      <c r="F2063" s="1050"/>
      <c r="G2063" s="1050"/>
    </row>
    <row r="2064" spans="1:7">
      <c r="A2064" s="1079"/>
      <c r="B2064" s="1050"/>
      <c r="C2064" s="1050"/>
      <c r="D2064" s="1050"/>
      <c r="E2064" s="1050"/>
      <c r="F2064" s="1050"/>
      <c r="G2064" s="1050"/>
    </row>
    <row r="2065" spans="1:7">
      <c r="A2065" s="1079"/>
      <c r="B2065" s="1050"/>
      <c r="C2065" s="1050"/>
      <c r="D2065" s="1050"/>
      <c r="E2065" s="1050"/>
      <c r="F2065" s="1050"/>
      <c r="G2065" s="1050"/>
    </row>
    <row r="2066" spans="1:7">
      <c r="A2066" s="1079"/>
      <c r="B2066" s="1050"/>
      <c r="C2066" s="1050"/>
      <c r="D2066" s="1050"/>
      <c r="E2066" s="1050"/>
      <c r="F2066" s="1050"/>
      <c r="G2066" s="1050"/>
    </row>
    <row r="2067" spans="1:7">
      <c r="A2067" s="1079"/>
      <c r="B2067" s="1050"/>
      <c r="C2067" s="1050"/>
      <c r="D2067" s="1050"/>
      <c r="E2067" s="1050"/>
      <c r="F2067" s="1050"/>
      <c r="G2067" s="1050"/>
    </row>
    <row r="2068" spans="1:7">
      <c r="A2068" s="1079"/>
      <c r="B2068" s="1050"/>
      <c r="C2068" s="1050"/>
      <c r="D2068" s="1050"/>
      <c r="E2068" s="1050"/>
      <c r="F2068" s="1050"/>
      <c r="G2068" s="1050"/>
    </row>
    <row r="2069" spans="1:7">
      <c r="A2069" s="1079"/>
      <c r="B2069" s="1050"/>
      <c r="C2069" s="1050"/>
      <c r="D2069" s="1050"/>
      <c r="E2069" s="1050"/>
      <c r="F2069" s="1050"/>
      <c r="G2069" s="1050"/>
    </row>
    <row r="2070" spans="1:7">
      <c r="A2070" s="1079"/>
      <c r="B2070" s="1050"/>
      <c r="C2070" s="1050"/>
      <c r="D2070" s="1050"/>
      <c r="E2070" s="1050"/>
      <c r="F2070" s="1050"/>
      <c r="G2070" s="1050"/>
    </row>
    <row r="2071" spans="1:7">
      <c r="A2071" s="1079"/>
      <c r="B2071" s="1050"/>
      <c r="C2071" s="1050"/>
      <c r="D2071" s="1050"/>
      <c r="E2071" s="1050"/>
      <c r="F2071" s="1050"/>
      <c r="G2071" s="1050"/>
    </row>
    <row r="2072" spans="1:7">
      <c r="A2072" s="1079"/>
      <c r="B2072" s="1050"/>
      <c r="C2072" s="1050"/>
      <c r="D2072" s="1050"/>
      <c r="E2072" s="1050"/>
      <c r="F2072" s="1050"/>
      <c r="G2072" s="1050"/>
    </row>
    <row r="2073" spans="1:7">
      <c r="A2073" s="1079"/>
      <c r="B2073" s="1050"/>
      <c r="C2073" s="1050"/>
      <c r="D2073" s="1050"/>
      <c r="E2073" s="1050"/>
      <c r="F2073" s="1050"/>
      <c r="G2073" s="1050"/>
    </row>
    <row r="2074" spans="1:7">
      <c r="A2074" s="1079"/>
      <c r="B2074" s="1050"/>
      <c r="C2074" s="1050"/>
      <c r="D2074" s="1050"/>
      <c r="E2074" s="1050"/>
      <c r="F2074" s="1050"/>
      <c r="G2074" s="1050"/>
    </row>
    <row r="2075" spans="1:7">
      <c r="A2075" s="1079"/>
      <c r="B2075" s="1050"/>
      <c r="C2075" s="1050"/>
      <c r="D2075" s="1050"/>
      <c r="E2075" s="1050"/>
      <c r="F2075" s="1050"/>
      <c r="G2075" s="1050"/>
    </row>
    <row r="2076" spans="1:7">
      <c r="A2076" s="1079"/>
      <c r="B2076" s="1050"/>
      <c r="C2076" s="1050"/>
      <c r="D2076" s="1050"/>
      <c r="E2076" s="1050"/>
      <c r="F2076" s="1050"/>
      <c r="G2076" s="1050"/>
    </row>
    <row r="2077" spans="1:7">
      <c r="A2077" s="1079"/>
      <c r="B2077" s="1050"/>
      <c r="C2077" s="1050"/>
      <c r="D2077" s="1050"/>
      <c r="E2077" s="1050"/>
      <c r="F2077" s="1050"/>
      <c r="G2077" s="1050"/>
    </row>
    <row r="2078" spans="1:7">
      <c r="A2078" s="1079"/>
      <c r="B2078" s="1050"/>
      <c r="C2078" s="1050"/>
      <c r="D2078" s="1050"/>
      <c r="E2078" s="1050"/>
      <c r="F2078" s="1050"/>
      <c r="G2078" s="1050"/>
    </row>
    <row r="2079" spans="1:7">
      <c r="A2079" s="1079"/>
      <c r="B2079" s="1050"/>
      <c r="C2079" s="1050"/>
      <c r="D2079" s="1050"/>
      <c r="E2079" s="1050"/>
      <c r="F2079" s="1050"/>
      <c r="G2079" s="1050"/>
    </row>
    <row r="2080" spans="1:7">
      <c r="A2080" s="1079"/>
      <c r="B2080" s="1050"/>
      <c r="C2080" s="1050"/>
      <c r="D2080" s="1050"/>
      <c r="E2080" s="1050"/>
      <c r="F2080" s="1050"/>
      <c r="G2080" s="1050"/>
    </row>
    <row r="2081" spans="1:7">
      <c r="A2081" s="1079"/>
      <c r="B2081" s="1050"/>
      <c r="C2081" s="1050"/>
      <c r="D2081" s="1050"/>
      <c r="E2081" s="1050"/>
      <c r="F2081" s="1050"/>
      <c r="G2081" s="1050"/>
    </row>
    <row r="2082" spans="1:7">
      <c r="A2082" s="1079"/>
      <c r="B2082" s="1050"/>
      <c r="C2082" s="1050"/>
      <c r="D2082" s="1050"/>
      <c r="E2082" s="1050"/>
      <c r="F2082" s="1050"/>
      <c r="G2082" s="1050"/>
    </row>
    <row r="2083" spans="1:7">
      <c r="A2083" s="1079"/>
      <c r="B2083" s="1050"/>
      <c r="C2083" s="1050"/>
      <c r="D2083" s="1050"/>
      <c r="E2083" s="1050"/>
      <c r="F2083" s="1050"/>
      <c r="G2083" s="1050"/>
    </row>
    <row r="2084" spans="1:7">
      <c r="A2084" s="1079"/>
      <c r="B2084" s="1050"/>
      <c r="C2084" s="1050"/>
      <c r="D2084" s="1050"/>
      <c r="E2084" s="1050"/>
      <c r="F2084" s="1050"/>
      <c r="G2084" s="1050"/>
    </row>
    <row r="2085" spans="1:7">
      <c r="A2085" s="1079"/>
      <c r="B2085" s="1050"/>
      <c r="C2085" s="1050"/>
      <c r="D2085" s="1050"/>
      <c r="E2085" s="1050"/>
      <c r="F2085" s="1050"/>
      <c r="G2085" s="1050"/>
    </row>
    <row r="2086" spans="1:7">
      <c r="A2086" s="1079"/>
      <c r="B2086" s="1050"/>
      <c r="C2086" s="1050"/>
      <c r="D2086" s="1050"/>
      <c r="E2086" s="1050"/>
      <c r="F2086" s="1050"/>
      <c r="G2086" s="1050"/>
    </row>
    <row r="2087" spans="1:7">
      <c r="A2087" s="1079"/>
      <c r="B2087" s="1050"/>
      <c r="C2087" s="1050"/>
      <c r="D2087" s="1050"/>
      <c r="E2087" s="1050"/>
      <c r="F2087" s="1050"/>
      <c r="G2087" s="1050"/>
    </row>
    <row r="2088" spans="1:7">
      <c r="A2088" s="1079"/>
      <c r="B2088" s="1050"/>
      <c r="C2088" s="1050"/>
      <c r="D2088" s="1050"/>
      <c r="E2088" s="1050"/>
      <c r="F2088" s="1050"/>
      <c r="G2088" s="1050"/>
    </row>
    <row r="2089" spans="1:7">
      <c r="A2089" s="1079"/>
      <c r="B2089" s="1050"/>
      <c r="C2089" s="1050"/>
      <c r="D2089" s="1050"/>
      <c r="E2089" s="1050"/>
      <c r="F2089" s="1050"/>
      <c r="G2089" s="1050"/>
    </row>
    <row r="2090" spans="1:7">
      <c r="A2090" s="1079"/>
      <c r="B2090" s="1050"/>
      <c r="C2090" s="1050"/>
      <c r="D2090" s="1050"/>
      <c r="E2090" s="1050"/>
      <c r="F2090" s="1050"/>
      <c r="G2090" s="1050"/>
    </row>
    <row r="2091" spans="1:7">
      <c r="A2091" s="1079"/>
      <c r="B2091" s="1050"/>
      <c r="C2091" s="1050"/>
      <c r="D2091" s="1050"/>
      <c r="E2091" s="1050"/>
      <c r="F2091" s="1050"/>
      <c r="G2091" s="1050"/>
    </row>
    <row r="2092" spans="1:7">
      <c r="A2092" s="1079"/>
      <c r="B2092" s="1050"/>
      <c r="C2092" s="1050"/>
      <c r="D2092" s="1050"/>
      <c r="E2092" s="1050"/>
      <c r="F2092" s="1050"/>
      <c r="G2092" s="1050"/>
    </row>
    <row r="2093" spans="1:7">
      <c r="A2093" s="1079"/>
      <c r="B2093" s="1050"/>
      <c r="C2093" s="1050"/>
      <c r="D2093" s="1050"/>
      <c r="E2093" s="1050"/>
      <c r="F2093" s="1050"/>
      <c r="G2093" s="1050"/>
    </row>
    <row r="2094" spans="1:7">
      <c r="A2094" s="1079"/>
      <c r="B2094" s="1050"/>
      <c r="C2094" s="1050"/>
      <c r="D2094" s="1050"/>
      <c r="E2094" s="1050"/>
      <c r="F2094" s="1050"/>
      <c r="G2094" s="1050"/>
    </row>
    <row r="2095" spans="1:7">
      <c r="A2095" s="1079"/>
      <c r="B2095" s="1050"/>
      <c r="C2095" s="1050"/>
      <c r="D2095" s="1050"/>
      <c r="E2095" s="1050"/>
      <c r="F2095" s="1050"/>
      <c r="G2095" s="1050"/>
    </row>
    <row r="2096" spans="1:7">
      <c r="A2096" s="1079"/>
      <c r="B2096" s="1050"/>
      <c r="C2096" s="1050"/>
      <c r="D2096" s="1050"/>
      <c r="E2096" s="1050"/>
      <c r="F2096" s="1050"/>
      <c r="G2096" s="1050"/>
    </row>
    <row r="2097" spans="1:7">
      <c r="A2097" s="1079"/>
      <c r="B2097" s="1050"/>
      <c r="C2097" s="1050"/>
      <c r="D2097" s="1050"/>
      <c r="E2097" s="1050"/>
      <c r="F2097" s="1050"/>
      <c r="G2097" s="1050"/>
    </row>
    <row r="2098" spans="1:7">
      <c r="A2098" s="1079"/>
      <c r="B2098" s="1050"/>
      <c r="C2098" s="1050"/>
      <c r="D2098" s="1050"/>
      <c r="E2098" s="1050"/>
      <c r="F2098" s="1050"/>
      <c r="G2098" s="1050"/>
    </row>
    <row r="2099" spans="1:7">
      <c r="A2099" s="1079"/>
      <c r="B2099" s="1050"/>
      <c r="C2099" s="1050"/>
      <c r="D2099" s="1050"/>
      <c r="E2099" s="1050"/>
      <c r="F2099" s="1050"/>
      <c r="G2099" s="1050"/>
    </row>
    <row r="2100" spans="1:7">
      <c r="A2100" s="1079"/>
      <c r="B2100" s="1050"/>
      <c r="C2100" s="1050"/>
      <c r="D2100" s="1050"/>
      <c r="E2100" s="1050"/>
      <c r="F2100" s="1050"/>
      <c r="G2100" s="1050"/>
    </row>
    <row r="2101" spans="1:7">
      <c r="A2101" s="1079"/>
      <c r="B2101" s="1050"/>
      <c r="C2101" s="1050"/>
      <c r="D2101" s="1050"/>
      <c r="E2101" s="1050"/>
      <c r="F2101" s="1050"/>
      <c r="G2101" s="1050"/>
    </row>
    <row r="2102" spans="1:7">
      <c r="A2102" s="1079"/>
      <c r="B2102" s="1050"/>
      <c r="C2102" s="1050"/>
      <c r="D2102" s="1050"/>
      <c r="E2102" s="1050"/>
      <c r="F2102" s="1050"/>
      <c r="G2102" s="1050"/>
    </row>
    <row r="2103" spans="1:7">
      <c r="A2103" s="1079"/>
      <c r="B2103" s="1050"/>
      <c r="C2103" s="1050"/>
      <c r="D2103" s="1050"/>
      <c r="E2103" s="1050"/>
      <c r="F2103" s="1050"/>
      <c r="G2103" s="1050"/>
    </row>
    <row r="2104" spans="1:7">
      <c r="A2104" s="1079"/>
      <c r="B2104" s="1050"/>
      <c r="C2104" s="1050"/>
      <c r="D2104" s="1050"/>
      <c r="E2104" s="1050"/>
      <c r="F2104" s="1050"/>
      <c r="G2104" s="1050"/>
    </row>
    <row r="2105" spans="1:7">
      <c r="A2105" s="1079"/>
      <c r="B2105" s="1050"/>
      <c r="C2105" s="1050"/>
      <c r="D2105" s="1050"/>
      <c r="E2105" s="1050"/>
      <c r="F2105" s="1050"/>
      <c r="G2105" s="1050"/>
    </row>
    <row r="2106" spans="1:7">
      <c r="A2106" s="1079"/>
      <c r="B2106" s="1050"/>
      <c r="C2106" s="1050"/>
      <c r="D2106" s="1050"/>
      <c r="E2106" s="1050"/>
      <c r="F2106" s="1050"/>
      <c r="G2106" s="1050"/>
    </row>
    <row r="2107" spans="1:7">
      <c r="A2107" s="1079"/>
      <c r="B2107" s="1050"/>
      <c r="C2107" s="1050"/>
      <c r="D2107" s="1050"/>
      <c r="E2107" s="1050"/>
      <c r="F2107" s="1050"/>
      <c r="G2107" s="1050"/>
    </row>
    <row r="2108" spans="1:7">
      <c r="A2108" s="1079"/>
      <c r="B2108" s="1050"/>
      <c r="C2108" s="1050"/>
      <c r="D2108" s="1050"/>
      <c r="E2108" s="1050"/>
      <c r="F2108" s="1050"/>
      <c r="G2108" s="1050"/>
    </row>
    <row r="2109" spans="1:7">
      <c r="A2109" s="1079"/>
      <c r="B2109" s="1050"/>
      <c r="C2109" s="1050"/>
      <c r="D2109" s="1050"/>
      <c r="E2109" s="1050"/>
      <c r="F2109" s="1050"/>
      <c r="G2109" s="1050"/>
    </row>
    <row r="2110" spans="1:7">
      <c r="A2110" s="1079"/>
      <c r="B2110" s="1050"/>
      <c r="C2110" s="1050"/>
      <c r="D2110" s="1050"/>
      <c r="E2110" s="1050"/>
      <c r="F2110" s="1050"/>
      <c r="G2110" s="1050"/>
    </row>
    <row r="2111" spans="1:7">
      <c r="A2111" s="1079"/>
      <c r="B2111" s="1050"/>
      <c r="C2111" s="1050"/>
      <c r="D2111" s="1050"/>
      <c r="E2111" s="1050"/>
      <c r="F2111" s="1050"/>
      <c r="G2111" s="1050"/>
    </row>
    <row r="2112" spans="1:7">
      <c r="A2112" s="1079"/>
      <c r="B2112" s="1050"/>
      <c r="C2112" s="1050"/>
      <c r="D2112" s="1050"/>
      <c r="E2112" s="1050"/>
      <c r="F2112" s="1050"/>
      <c r="G2112" s="1050"/>
    </row>
    <row r="2113" spans="1:7">
      <c r="A2113" s="1079"/>
      <c r="B2113" s="1050"/>
      <c r="C2113" s="1050"/>
      <c r="D2113" s="1050"/>
      <c r="E2113" s="1050"/>
      <c r="F2113" s="1050"/>
      <c r="G2113" s="1050"/>
    </row>
    <row r="2114" spans="1:7">
      <c r="A2114" s="1079"/>
      <c r="B2114" s="1050"/>
      <c r="C2114" s="1050"/>
      <c r="D2114" s="1050"/>
      <c r="E2114" s="1050"/>
      <c r="F2114" s="1050"/>
      <c r="G2114" s="1050"/>
    </row>
    <row r="2115" spans="1:7">
      <c r="A2115" s="1079"/>
      <c r="B2115" s="1050"/>
      <c r="C2115" s="1050"/>
      <c r="D2115" s="1050"/>
      <c r="E2115" s="1050"/>
      <c r="F2115" s="1050"/>
      <c r="G2115" s="1050"/>
    </row>
    <row r="2116" spans="1:7">
      <c r="A2116" s="1079"/>
      <c r="B2116" s="1050"/>
      <c r="C2116" s="1050"/>
      <c r="D2116" s="1050"/>
      <c r="E2116" s="1050"/>
      <c r="F2116" s="1050"/>
      <c r="G2116" s="1050"/>
    </row>
    <row r="2117" spans="1:7">
      <c r="A2117" s="1079"/>
      <c r="B2117" s="1050"/>
      <c r="C2117" s="1050"/>
      <c r="D2117" s="1050"/>
      <c r="E2117" s="1050"/>
      <c r="F2117" s="1050"/>
      <c r="G2117" s="1050"/>
    </row>
    <row r="2118" spans="1:7">
      <c r="A2118" s="1079"/>
      <c r="B2118" s="1050"/>
      <c r="C2118" s="1050"/>
      <c r="D2118" s="1050"/>
      <c r="E2118" s="1050"/>
      <c r="F2118" s="1050"/>
      <c r="G2118" s="1050"/>
    </row>
    <row r="2119" spans="1:7">
      <c r="A2119" s="1079"/>
      <c r="B2119" s="1050"/>
      <c r="C2119" s="1050"/>
      <c r="D2119" s="1050"/>
      <c r="E2119" s="1050"/>
      <c r="F2119" s="1050"/>
      <c r="G2119" s="1050"/>
    </row>
    <row r="2120" spans="1:7">
      <c r="A2120" s="1079"/>
      <c r="B2120" s="1050"/>
      <c r="C2120" s="1050"/>
      <c r="D2120" s="1050"/>
      <c r="E2120" s="1050"/>
      <c r="F2120" s="1050"/>
      <c r="G2120" s="1050"/>
    </row>
    <row r="2121" spans="1:7">
      <c r="A2121" s="1079"/>
      <c r="B2121" s="1050"/>
      <c r="C2121" s="1050"/>
      <c r="D2121" s="1050"/>
      <c r="E2121" s="1050"/>
      <c r="F2121" s="1050"/>
      <c r="G2121" s="1050"/>
    </row>
    <row r="2122" spans="1:7">
      <c r="A2122" s="1079"/>
      <c r="B2122" s="1050"/>
      <c r="C2122" s="1050"/>
      <c r="D2122" s="1050"/>
      <c r="E2122" s="1050"/>
      <c r="F2122" s="1050"/>
      <c r="G2122" s="1050"/>
    </row>
    <row r="2123" spans="1:7">
      <c r="A2123" s="1079"/>
      <c r="B2123" s="1050"/>
      <c r="C2123" s="1050"/>
      <c r="D2123" s="1050"/>
      <c r="E2123" s="1050"/>
      <c r="F2123" s="1050"/>
      <c r="G2123" s="1050"/>
    </row>
    <row r="2124" spans="1:7">
      <c r="A2124" s="1079"/>
      <c r="B2124" s="1050"/>
      <c r="C2124" s="1050"/>
      <c r="D2124" s="1050"/>
      <c r="E2124" s="1050"/>
      <c r="F2124" s="1050"/>
      <c r="G2124" s="1050"/>
    </row>
    <row r="2125" spans="1:7">
      <c r="A2125" s="1079"/>
      <c r="B2125" s="1050"/>
      <c r="C2125" s="1050"/>
      <c r="D2125" s="1050"/>
      <c r="E2125" s="1050"/>
      <c r="F2125" s="1050"/>
      <c r="G2125" s="1050"/>
    </row>
    <row r="2126" spans="1:7">
      <c r="A2126" s="1079"/>
      <c r="B2126" s="1050"/>
      <c r="C2126" s="1050"/>
      <c r="D2126" s="1050"/>
      <c r="E2126" s="1050"/>
      <c r="F2126" s="1050"/>
      <c r="G2126" s="1050"/>
    </row>
    <row r="2127" spans="1:7">
      <c r="A2127" s="1079"/>
      <c r="B2127" s="1050"/>
      <c r="C2127" s="1050"/>
      <c r="D2127" s="1050"/>
      <c r="E2127" s="1050"/>
      <c r="F2127" s="1050"/>
      <c r="G2127" s="1050"/>
    </row>
    <row r="2128" spans="1:7">
      <c r="A2128" s="1079"/>
      <c r="B2128" s="1050"/>
      <c r="C2128" s="1050"/>
      <c r="D2128" s="1050"/>
      <c r="E2128" s="1050"/>
      <c r="F2128" s="1050"/>
      <c r="G2128" s="1050"/>
    </row>
    <row r="2129" spans="1:7">
      <c r="A2129" s="1079"/>
      <c r="B2129" s="1050"/>
      <c r="C2129" s="1050"/>
      <c r="D2129" s="1050"/>
      <c r="E2129" s="1050"/>
      <c r="F2129" s="1050"/>
      <c r="G2129" s="1050"/>
    </row>
    <row r="2130" spans="1:7">
      <c r="A2130" s="1079"/>
      <c r="B2130" s="1050"/>
      <c r="C2130" s="1050"/>
      <c r="D2130" s="1050"/>
      <c r="E2130" s="1050"/>
      <c r="F2130" s="1050"/>
      <c r="G2130" s="1050"/>
    </row>
    <row r="2131" spans="1:7">
      <c r="A2131" s="1079"/>
      <c r="B2131" s="1050"/>
      <c r="C2131" s="1050"/>
      <c r="D2131" s="1050"/>
      <c r="E2131" s="1050"/>
      <c r="F2131" s="1050"/>
      <c r="G2131" s="1050"/>
    </row>
    <row r="2132" spans="1:7">
      <c r="A2132" s="1079"/>
      <c r="B2132" s="1050"/>
      <c r="C2132" s="1050"/>
      <c r="D2132" s="1050"/>
      <c r="E2132" s="1050"/>
      <c r="F2132" s="1050"/>
      <c r="G2132" s="1050"/>
    </row>
    <row r="2133" spans="1:7">
      <c r="A2133" s="1079"/>
      <c r="B2133" s="1050"/>
      <c r="C2133" s="1050"/>
      <c r="D2133" s="1050"/>
      <c r="E2133" s="1050"/>
      <c r="F2133" s="1050"/>
      <c r="G2133" s="1050"/>
    </row>
    <row r="2134" spans="1:7">
      <c r="A2134" s="1079"/>
      <c r="B2134" s="1050"/>
      <c r="C2134" s="1050"/>
      <c r="D2134" s="1050"/>
      <c r="E2134" s="1050"/>
      <c r="F2134" s="1050"/>
      <c r="G2134" s="1050"/>
    </row>
    <row r="2135" spans="1:7">
      <c r="A2135" s="1079"/>
      <c r="B2135" s="1050"/>
      <c r="C2135" s="1050"/>
      <c r="D2135" s="1050"/>
      <c r="E2135" s="1050"/>
      <c r="F2135" s="1050"/>
      <c r="G2135" s="1050"/>
    </row>
    <row r="2136" spans="1:7">
      <c r="A2136" s="1079"/>
      <c r="B2136" s="1050"/>
      <c r="C2136" s="1050"/>
      <c r="D2136" s="1050"/>
      <c r="E2136" s="1050"/>
      <c r="F2136" s="1050"/>
      <c r="G2136" s="1050"/>
    </row>
    <row r="2137" spans="1:7">
      <c r="A2137" s="1079"/>
      <c r="B2137" s="1050"/>
      <c r="C2137" s="1050"/>
      <c r="D2137" s="1050"/>
      <c r="E2137" s="1050"/>
      <c r="F2137" s="1050"/>
      <c r="G2137" s="1050"/>
    </row>
    <row r="2138" spans="1:7">
      <c r="A2138" s="1079"/>
      <c r="B2138" s="1050"/>
      <c r="C2138" s="1050"/>
      <c r="D2138" s="1050"/>
      <c r="E2138" s="1050"/>
      <c r="F2138" s="1050"/>
      <c r="G2138" s="1050"/>
    </row>
    <row r="2139" spans="1:7">
      <c r="A2139" s="1079"/>
      <c r="B2139" s="1050"/>
      <c r="C2139" s="1050"/>
      <c r="D2139" s="1050"/>
      <c r="E2139" s="1050"/>
      <c r="F2139" s="1050"/>
      <c r="G2139" s="1050"/>
    </row>
    <row r="2140" spans="1:7">
      <c r="A2140" s="1079"/>
      <c r="B2140" s="1050"/>
      <c r="C2140" s="1050"/>
      <c r="D2140" s="1050"/>
      <c r="E2140" s="1050"/>
      <c r="F2140" s="1050"/>
      <c r="G2140" s="1050"/>
    </row>
    <row r="2141" spans="1:7">
      <c r="A2141" s="1079"/>
      <c r="B2141" s="1050"/>
      <c r="C2141" s="1050"/>
      <c r="D2141" s="1050"/>
      <c r="E2141" s="1050"/>
      <c r="F2141" s="1050"/>
      <c r="G2141" s="1050"/>
    </row>
    <row r="2142" spans="1:7">
      <c r="A2142" s="1079"/>
      <c r="B2142" s="1050"/>
      <c r="C2142" s="1050"/>
      <c r="D2142" s="1050"/>
      <c r="E2142" s="1050"/>
      <c r="F2142" s="1050"/>
      <c r="G2142" s="1050"/>
    </row>
    <row r="2143" spans="1:7">
      <c r="A2143" s="1079"/>
      <c r="B2143" s="1050"/>
      <c r="C2143" s="1050"/>
      <c r="D2143" s="1050"/>
      <c r="E2143" s="1050"/>
      <c r="F2143" s="1050"/>
      <c r="G2143" s="1050"/>
    </row>
    <row r="2144" spans="1:7">
      <c r="A2144" s="1079"/>
      <c r="B2144" s="1050"/>
      <c r="C2144" s="1050"/>
      <c r="D2144" s="1050"/>
      <c r="E2144" s="1050"/>
      <c r="F2144" s="1050"/>
      <c r="G2144" s="1050"/>
    </row>
    <row r="2145" spans="1:7">
      <c r="A2145" s="1079"/>
      <c r="B2145" s="1050"/>
      <c r="C2145" s="1050"/>
      <c r="D2145" s="1050"/>
      <c r="E2145" s="1050"/>
      <c r="F2145" s="1050"/>
      <c r="G2145" s="1050"/>
    </row>
    <row r="2146" spans="1:7">
      <c r="A2146" s="1079"/>
      <c r="B2146" s="1050"/>
      <c r="C2146" s="1050"/>
      <c r="D2146" s="1050"/>
      <c r="E2146" s="1050"/>
      <c r="F2146" s="1050"/>
      <c r="G2146" s="1050"/>
    </row>
    <row r="2147" spans="1:7">
      <c r="A2147" s="1079"/>
      <c r="B2147" s="1050"/>
      <c r="C2147" s="1050"/>
      <c r="D2147" s="1050"/>
      <c r="E2147" s="1050"/>
      <c r="F2147" s="1050"/>
      <c r="G2147" s="1050"/>
    </row>
    <row r="2148" spans="1:7">
      <c r="A2148" s="1079"/>
      <c r="B2148" s="1050"/>
      <c r="C2148" s="1050"/>
      <c r="D2148" s="1050"/>
      <c r="E2148" s="1050"/>
      <c r="F2148" s="1050"/>
      <c r="G2148" s="1050"/>
    </row>
    <row r="2149" spans="1:7">
      <c r="A2149" s="1079"/>
      <c r="B2149" s="1050"/>
      <c r="C2149" s="1050"/>
      <c r="D2149" s="1050"/>
      <c r="E2149" s="1050"/>
      <c r="F2149" s="1050"/>
      <c r="G2149" s="1050"/>
    </row>
    <row r="2150" spans="1:7">
      <c r="A2150" s="1079"/>
      <c r="B2150" s="1050"/>
      <c r="C2150" s="1050"/>
      <c r="D2150" s="1050"/>
      <c r="E2150" s="1050"/>
      <c r="F2150" s="1050"/>
      <c r="G2150" s="1050"/>
    </row>
    <row r="2151" spans="1:7">
      <c r="A2151" s="1079"/>
      <c r="B2151" s="1050"/>
      <c r="C2151" s="1050"/>
      <c r="D2151" s="1050"/>
      <c r="E2151" s="1050"/>
      <c r="F2151" s="1050"/>
      <c r="G2151" s="1050"/>
    </row>
    <row r="2152" spans="1:7">
      <c r="A2152" s="1079"/>
      <c r="B2152" s="1050"/>
      <c r="C2152" s="1050"/>
      <c r="D2152" s="1050"/>
      <c r="E2152" s="1050"/>
      <c r="F2152" s="1050"/>
      <c r="G2152" s="1050"/>
    </row>
    <row r="2153" spans="1:7">
      <c r="A2153" s="1079"/>
      <c r="B2153" s="1050"/>
      <c r="C2153" s="1050"/>
      <c r="D2153" s="1050"/>
      <c r="E2153" s="1050"/>
      <c r="F2153" s="1050"/>
      <c r="G2153" s="1050"/>
    </row>
    <row r="2154" spans="1:7">
      <c r="A2154" s="1079"/>
      <c r="B2154" s="1050"/>
      <c r="C2154" s="1050"/>
      <c r="D2154" s="1050"/>
      <c r="E2154" s="1050"/>
      <c r="F2154" s="1050"/>
      <c r="G2154" s="1050"/>
    </row>
    <row r="2155" spans="1:7">
      <c r="A2155" s="1079"/>
      <c r="B2155" s="1050"/>
      <c r="C2155" s="1050"/>
      <c r="D2155" s="1050"/>
      <c r="E2155" s="1050"/>
      <c r="F2155" s="1050"/>
      <c r="G2155" s="1050"/>
    </row>
    <row r="2156" spans="1:7">
      <c r="A2156" s="1079"/>
      <c r="B2156" s="1050"/>
      <c r="C2156" s="1050"/>
      <c r="D2156" s="1050"/>
      <c r="E2156" s="1050"/>
      <c r="F2156" s="1050"/>
      <c r="G2156" s="1050"/>
    </row>
    <row r="2157" spans="1:7">
      <c r="A2157" s="1079"/>
      <c r="B2157" s="1050"/>
      <c r="C2157" s="1050"/>
      <c r="D2157" s="1050"/>
      <c r="E2157" s="1050"/>
      <c r="F2157" s="1050"/>
      <c r="G2157" s="1050"/>
    </row>
    <row r="2158" spans="1:7">
      <c r="A2158" s="1079"/>
      <c r="B2158" s="1050"/>
      <c r="C2158" s="1050"/>
      <c r="D2158" s="1050"/>
      <c r="E2158" s="1050"/>
      <c r="F2158" s="1050"/>
      <c r="G2158" s="1050"/>
    </row>
    <row r="2159" spans="1:7">
      <c r="A2159" s="1079"/>
      <c r="B2159" s="1050"/>
      <c r="C2159" s="1050"/>
      <c r="D2159" s="1050"/>
      <c r="E2159" s="1050"/>
      <c r="F2159" s="1050"/>
      <c r="G2159" s="1050"/>
    </row>
    <row r="2160" spans="1:7">
      <c r="A2160" s="1079"/>
      <c r="B2160" s="1050"/>
      <c r="C2160" s="1050"/>
      <c r="D2160" s="1050"/>
      <c r="E2160" s="1050"/>
      <c r="F2160" s="1050"/>
      <c r="G2160" s="1050"/>
    </row>
    <row r="2161" spans="1:7">
      <c r="A2161" s="1079"/>
      <c r="B2161" s="1050"/>
      <c r="C2161" s="1050"/>
      <c r="D2161" s="1050"/>
      <c r="E2161" s="1050"/>
      <c r="F2161" s="1050"/>
      <c r="G2161" s="1050"/>
    </row>
    <row r="2162" spans="1:7">
      <c r="A2162" s="1079"/>
      <c r="B2162" s="1050"/>
      <c r="C2162" s="1050"/>
      <c r="D2162" s="1050"/>
      <c r="E2162" s="1050"/>
      <c r="F2162" s="1050"/>
      <c r="G2162" s="1050"/>
    </row>
    <row r="2163" spans="1:7">
      <c r="A2163" s="1079"/>
      <c r="B2163" s="1050"/>
      <c r="C2163" s="1050"/>
      <c r="D2163" s="1050"/>
      <c r="E2163" s="1050"/>
      <c r="F2163" s="1050"/>
      <c r="G2163" s="1050"/>
    </row>
    <row r="2164" spans="1:7">
      <c r="A2164" s="1079"/>
      <c r="B2164" s="1050"/>
      <c r="C2164" s="1050"/>
      <c r="D2164" s="1050"/>
      <c r="E2164" s="1050"/>
      <c r="F2164" s="1050"/>
      <c r="G2164" s="1050"/>
    </row>
    <row r="2165" spans="1:7">
      <c r="A2165" s="1079"/>
      <c r="B2165" s="1050"/>
      <c r="C2165" s="1050"/>
      <c r="D2165" s="1050"/>
      <c r="E2165" s="1050"/>
      <c r="F2165" s="1050"/>
      <c r="G2165" s="1050"/>
    </row>
    <row r="2166" spans="1:7">
      <c r="A2166" s="1079"/>
      <c r="B2166" s="1050"/>
      <c r="C2166" s="1050"/>
      <c r="D2166" s="1050"/>
      <c r="E2166" s="1050"/>
      <c r="F2166" s="1050"/>
      <c r="G2166" s="1050"/>
    </row>
    <row r="2167" spans="1:7">
      <c r="A2167" s="1079"/>
      <c r="B2167" s="1050"/>
      <c r="C2167" s="1050"/>
      <c r="D2167" s="1050"/>
      <c r="E2167" s="1050"/>
      <c r="F2167" s="1050"/>
      <c r="G2167" s="1050"/>
    </row>
    <row r="2168" spans="1:7">
      <c r="A2168" s="1079"/>
      <c r="B2168" s="1050"/>
      <c r="C2168" s="1050"/>
      <c r="D2168" s="1050"/>
      <c r="E2168" s="1050"/>
      <c r="F2168" s="1050"/>
      <c r="G2168" s="1050"/>
    </row>
    <row r="2169" spans="1:7">
      <c r="A2169" s="1079"/>
      <c r="B2169" s="1050"/>
      <c r="C2169" s="1050"/>
      <c r="D2169" s="1050"/>
      <c r="E2169" s="1050"/>
      <c r="F2169" s="1050"/>
      <c r="G2169" s="1050"/>
    </row>
    <row r="2170" spans="1:7">
      <c r="A2170" s="1079"/>
      <c r="B2170" s="1050"/>
      <c r="C2170" s="1050"/>
      <c r="D2170" s="1050"/>
      <c r="E2170" s="1050"/>
      <c r="F2170" s="1050"/>
      <c r="G2170" s="1050"/>
    </row>
    <row r="2171" spans="1:7">
      <c r="A2171" s="1079"/>
      <c r="B2171" s="1050"/>
      <c r="C2171" s="1050"/>
      <c r="D2171" s="1050"/>
      <c r="E2171" s="1050"/>
      <c r="F2171" s="1050"/>
      <c r="G2171" s="1050"/>
    </row>
    <row r="2172" spans="1:7">
      <c r="A2172" s="1079"/>
      <c r="B2172" s="1050"/>
      <c r="C2172" s="1050"/>
      <c r="D2172" s="1050"/>
      <c r="E2172" s="1050"/>
      <c r="F2172" s="1050"/>
      <c r="G2172" s="1050"/>
    </row>
    <row r="2173" spans="1:7">
      <c r="A2173" s="1079"/>
      <c r="B2173" s="1050"/>
      <c r="C2173" s="1050"/>
      <c r="D2173" s="1050"/>
      <c r="E2173" s="1050"/>
      <c r="F2173" s="1050"/>
      <c r="G2173" s="1050"/>
    </row>
    <row r="2174" spans="1:7">
      <c r="A2174" s="1079"/>
      <c r="B2174" s="1050"/>
      <c r="C2174" s="1050"/>
      <c r="D2174" s="1050"/>
      <c r="E2174" s="1050"/>
      <c r="F2174" s="1050"/>
      <c r="G2174" s="1050"/>
    </row>
    <row r="2175" spans="1:7">
      <c r="A2175" s="1079"/>
      <c r="B2175" s="1050"/>
      <c r="C2175" s="1050"/>
      <c r="D2175" s="1050"/>
      <c r="E2175" s="1050"/>
      <c r="F2175" s="1050"/>
      <c r="G2175" s="1050"/>
    </row>
    <row r="2176" spans="1:7">
      <c r="A2176" s="1079"/>
      <c r="B2176" s="1050"/>
      <c r="C2176" s="1050"/>
      <c r="D2176" s="1050"/>
      <c r="E2176" s="1050"/>
      <c r="F2176" s="1050"/>
      <c r="G2176" s="1050"/>
    </row>
    <row r="2177" spans="1:7">
      <c r="A2177" s="1079"/>
      <c r="B2177" s="1050"/>
      <c r="C2177" s="1050"/>
      <c r="D2177" s="1050"/>
      <c r="E2177" s="1050"/>
      <c r="F2177" s="1050"/>
      <c r="G2177" s="1050"/>
    </row>
    <row r="2178" spans="1:7">
      <c r="A2178" s="1079"/>
      <c r="B2178" s="1050"/>
      <c r="C2178" s="1050"/>
      <c r="D2178" s="1050"/>
      <c r="E2178" s="1050"/>
      <c r="F2178" s="1050"/>
      <c r="G2178" s="1050"/>
    </row>
    <row r="2179" spans="1:7">
      <c r="A2179" s="1079"/>
      <c r="B2179" s="1050"/>
      <c r="C2179" s="1050"/>
      <c r="D2179" s="1050"/>
      <c r="E2179" s="1050"/>
      <c r="F2179" s="1050"/>
      <c r="G2179" s="1050"/>
    </row>
    <row r="2180" spans="1:7">
      <c r="A2180" s="1079"/>
      <c r="B2180" s="1050"/>
      <c r="C2180" s="1050"/>
      <c r="D2180" s="1050"/>
      <c r="E2180" s="1050"/>
      <c r="F2180" s="1050"/>
      <c r="G2180" s="1050"/>
    </row>
    <row r="2181" spans="1:7">
      <c r="A2181" s="1079"/>
      <c r="B2181" s="1050"/>
      <c r="C2181" s="1050"/>
      <c r="D2181" s="1050"/>
      <c r="E2181" s="1050"/>
      <c r="F2181" s="1050"/>
      <c r="G2181" s="1050"/>
    </row>
    <row r="2182" spans="1:7">
      <c r="A2182" s="1079"/>
      <c r="B2182" s="1050"/>
      <c r="C2182" s="1050"/>
      <c r="D2182" s="1050"/>
      <c r="E2182" s="1050"/>
      <c r="F2182" s="1050"/>
      <c r="G2182" s="1050"/>
    </row>
    <row r="2183" spans="1:7">
      <c r="A2183" s="1079"/>
      <c r="B2183" s="1050"/>
      <c r="C2183" s="1050"/>
      <c r="D2183" s="1050"/>
      <c r="E2183" s="1050"/>
      <c r="F2183" s="1050"/>
      <c r="G2183" s="1050"/>
    </row>
    <row r="2184" spans="1:7">
      <c r="A2184" s="1079"/>
      <c r="B2184" s="1050"/>
      <c r="C2184" s="1050"/>
      <c r="D2184" s="1050"/>
      <c r="E2184" s="1050"/>
      <c r="F2184" s="1050"/>
      <c r="G2184" s="1050"/>
    </row>
    <row r="2185" spans="1:7">
      <c r="A2185" s="1079"/>
      <c r="B2185" s="1050"/>
      <c r="C2185" s="1050"/>
      <c r="D2185" s="1050"/>
      <c r="E2185" s="1050"/>
      <c r="F2185" s="1050"/>
      <c r="G2185" s="1050"/>
    </row>
    <row r="2186" spans="1:7">
      <c r="A2186" s="1079"/>
      <c r="B2186" s="1050"/>
      <c r="C2186" s="1050"/>
      <c r="D2186" s="1050"/>
      <c r="E2186" s="1050"/>
      <c r="F2186" s="1050"/>
      <c r="G2186" s="1050"/>
    </row>
    <row r="2187" spans="1:7">
      <c r="A2187" s="1079"/>
      <c r="B2187" s="1050"/>
      <c r="C2187" s="1050"/>
      <c r="D2187" s="1050"/>
      <c r="E2187" s="1050"/>
      <c r="F2187" s="1050"/>
      <c r="G2187" s="1050"/>
    </row>
    <row r="2188" spans="1:7">
      <c r="A2188" s="1079"/>
      <c r="B2188" s="1050"/>
      <c r="C2188" s="1050"/>
      <c r="D2188" s="1050"/>
      <c r="E2188" s="1050"/>
      <c r="F2188" s="1050"/>
      <c r="G2188" s="1050"/>
    </row>
    <row r="2189" spans="1:7">
      <c r="A2189" s="1079"/>
      <c r="B2189" s="1050"/>
      <c r="C2189" s="1050"/>
      <c r="D2189" s="1050"/>
      <c r="E2189" s="1050"/>
      <c r="F2189" s="1050"/>
      <c r="G2189" s="1050"/>
    </row>
    <row r="2190" spans="1:7">
      <c r="A2190" s="1079"/>
      <c r="B2190" s="1050"/>
      <c r="C2190" s="1050"/>
      <c r="D2190" s="1050"/>
      <c r="E2190" s="1050"/>
      <c r="F2190" s="1050"/>
      <c r="G2190" s="1050"/>
    </row>
    <row r="2191" spans="1:7">
      <c r="A2191" s="1079"/>
      <c r="B2191" s="1050"/>
      <c r="C2191" s="1050"/>
      <c r="D2191" s="1050"/>
      <c r="E2191" s="1050"/>
      <c r="F2191" s="1050"/>
      <c r="G2191" s="1050"/>
    </row>
    <row r="2192" spans="1:7">
      <c r="A2192" s="1079"/>
      <c r="B2192" s="1050"/>
      <c r="C2192" s="1050"/>
      <c r="D2192" s="1050"/>
      <c r="E2192" s="1050"/>
      <c r="F2192" s="1050"/>
      <c r="G2192" s="1050"/>
    </row>
    <row r="2193" spans="1:7">
      <c r="A2193" s="1079"/>
      <c r="B2193" s="1050"/>
      <c r="C2193" s="1050"/>
      <c r="D2193" s="1050"/>
      <c r="E2193" s="1050"/>
      <c r="F2193" s="1050"/>
      <c r="G2193" s="1050"/>
    </row>
    <row r="2194" spans="1:7">
      <c r="A2194" s="1079"/>
      <c r="B2194" s="1050"/>
      <c r="C2194" s="1050"/>
      <c r="D2194" s="1050"/>
      <c r="E2194" s="1050"/>
      <c r="F2194" s="1050"/>
      <c r="G2194" s="1050"/>
    </row>
    <row r="2195" spans="1:7">
      <c r="A2195" s="1079"/>
      <c r="B2195" s="1050"/>
      <c r="C2195" s="1050"/>
      <c r="D2195" s="1050"/>
      <c r="E2195" s="1050"/>
      <c r="F2195" s="1050"/>
      <c r="G2195" s="1050"/>
    </row>
    <row r="2196" spans="1:7">
      <c r="A2196" s="1079"/>
      <c r="B2196" s="1050"/>
      <c r="C2196" s="1050"/>
      <c r="D2196" s="1050"/>
      <c r="E2196" s="1050"/>
      <c r="F2196" s="1050"/>
      <c r="G2196" s="1050"/>
    </row>
    <row r="2197" spans="1:7">
      <c r="A2197" s="1079"/>
      <c r="B2197" s="1050"/>
      <c r="C2197" s="1050"/>
      <c r="D2197" s="1050"/>
      <c r="E2197" s="1050"/>
      <c r="F2197" s="1050"/>
      <c r="G2197" s="1050"/>
    </row>
    <row r="2198" spans="1:7">
      <c r="A2198" s="1079"/>
      <c r="B2198" s="1050"/>
      <c r="C2198" s="1050"/>
      <c r="D2198" s="1050"/>
      <c r="E2198" s="1050"/>
      <c r="F2198" s="1050"/>
      <c r="G2198" s="1050"/>
    </row>
    <row r="2199" spans="1:7">
      <c r="A2199" s="1079"/>
      <c r="B2199" s="1050"/>
      <c r="C2199" s="1050"/>
      <c r="D2199" s="1050"/>
      <c r="E2199" s="1050"/>
      <c r="F2199" s="1050"/>
      <c r="G2199" s="1050"/>
    </row>
    <row r="2200" spans="1:7">
      <c r="A2200" s="1079"/>
      <c r="B2200" s="1050"/>
      <c r="C2200" s="1050"/>
      <c r="D2200" s="1050"/>
      <c r="E2200" s="1050"/>
      <c r="F2200" s="1050"/>
      <c r="G2200" s="1050"/>
    </row>
    <row r="2201" spans="1:7">
      <c r="A2201" s="1079"/>
      <c r="B2201" s="1050"/>
      <c r="C2201" s="1050"/>
      <c r="D2201" s="1050"/>
      <c r="E2201" s="1050"/>
      <c r="F2201" s="1050"/>
      <c r="G2201" s="1050"/>
    </row>
    <row r="2202" spans="1:7">
      <c r="A2202" s="1079"/>
      <c r="B2202" s="1050"/>
      <c r="C2202" s="1050"/>
      <c r="D2202" s="1050"/>
      <c r="E2202" s="1050"/>
      <c r="F2202" s="1050"/>
      <c r="G2202" s="1050"/>
    </row>
    <row r="2203" spans="1:7">
      <c r="A2203" s="1079"/>
      <c r="B2203" s="1050"/>
      <c r="C2203" s="1050"/>
      <c r="D2203" s="1050"/>
      <c r="E2203" s="1050"/>
      <c r="F2203" s="1050"/>
      <c r="G2203" s="1050"/>
    </row>
    <row r="2204" spans="1:7">
      <c r="A2204" s="1079"/>
      <c r="B2204" s="1050"/>
      <c r="C2204" s="1050"/>
      <c r="D2204" s="1050"/>
      <c r="E2204" s="1050"/>
      <c r="F2204" s="1050"/>
      <c r="G2204" s="1050"/>
    </row>
    <row r="2205" spans="1:7">
      <c r="A2205" s="1079"/>
      <c r="B2205" s="1050"/>
      <c r="C2205" s="1050"/>
      <c r="D2205" s="1050"/>
      <c r="E2205" s="1050"/>
      <c r="F2205" s="1050"/>
      <c r="G2205" s="1050"/>
    </row>
    <row r="2206" spans="1:7">
      <c r="A2206" s="1079"/>
      <c r="B2206" s="1050"/>
      <c r="C2206" s="1050"/>
      <c r="D2206" s="1050"/>
      <c r="E2206" s="1050"/>
      <c r="F2206" s="1050"/>
      <c r="G2206" s="1050"/>
    </row>
    <row r="2207" spans="1:7">
      <c r="A2207" s="1079"/>
      <c r="B2207" s="1050"/>
      <c r="C2207" s="1050"/>
      <c r="D2207" s="1050"/>
      <c r="E2207" s="1050"/>
      <c r="F2207" s="1050"/>
      <c r="G2207" s="1050"/>
    </row>
    <row r="2208" spans="1:7">
      <c r="A2208" s="1079"/>
      <c r="B2208" s="1050"/>
      <c r="C2208" s="1050"/>
      <c r="D2208" s="1050"/>
      <c r="E2208" s="1050"/>
      <c r="F2208" s="1050"/>
      <c r="G2208" s="1050"/>
    </row>
    <row r="2209" spans="1:7">
      <c r="A2209" s="1079"/>
      <c r="B2209" s="1050"/>
      <c r="C2209" s="1050"/>
      <c r="D2209" s="1050"/>
      <c r="E2209" s="1050"/>
      <c r="F2209" s="1050"/>
      <c r="G2209" s="1050"/>
    </row>
    <row r="2210" spans="1:7">
      <c r="A2210" s="1079"/>
      <c r="B2210" s="1050"/>
      <c r="C2210" s="1050"/>
      <c r="D2210" s="1050"/>
      <c r="E2210" s="1050"/>
      <c r="F2210" s="1050"/>
      <c r="G2210" s="1050"/>
    </row>
    <row r="2211" spans="1:7">
      <c r="A2211" s="1079"/>
      <c r="B2211" s="1050"/>
      <c r="C2211" s="1050"/>
      <c r="D2211" s="1050"/>
      <c r="E2211" s="1050"/>
      <c r="F2211" s="1050"/>
      <c r="G2211" s="1050"/>
    </row>
    <row r="2212" spans="1:7">
      <c r="A2212" s="1079"/>
      <c r="B2212" s="1050"/>
      <c r="C2212" s="1050"/>
      <c r="D2212" s="1050"/>
      <c r="E2212" s="1050"/>
      <c r="F2212" s="1050"/>
      <c r="G2212" s="1050"/>
    </row>
    <row r="2213" spans="1:7">
      <c r="A2213" s="1079"/>
      <c r="B2213" s="1050"/>
      <c r="C2213" s="1050"/>
      <c r="D2213" s="1050"/>
      <c r="E2213" s="1050"/>
      <c r="F2213" s="1050"/>
      <c r="G2213" s="1050"/>
    </row>
    <row r="2214" spans="1:7">
      <c r="A2214" s="1079"/>
      <c r="B2214" s="1050"/>
      <c r="C2214" s="1050"/>
      <c r="D2214" s="1050"/>
      <c r="E2214" s="1050"/>
      <c r="F2214" s="1050"/>
      <c r="G2214" s="1050"/>
    </row>
    <row r="2215" spans="1:7">
      <c r="A2215" s="1079"/>
      <c r="B2215" s="1050"/>
      <c r="C2215" s="1050"/>
      <c r="D2215" s="1050"/>
      <c r="E2215" s="1050"/>
      <c r="F2215" s="1050"/>
      <c r="G2215" s="1050"/>
    </row>
    <row r="2216" spans="1:7">
      <c r="A2216" s="1079"/>
      <c r="B2216" s="1050"/>
      <c r="C2216" s="1050"/>
      <c r="D2216" s="1050"/>
      <c r="E2216" s="1050"/>
      <c r="F2216" s="1050"/>
      <c r="G2216" s="1050"/>
    </row>
    <row r="2217" spans="1:7">
      <c r="A2217" s="1079"/>
      <c r="B2217" s="1050"/>
      <c r="C2217" s="1050"/>
      <c r="D2217" s="1050"/>
      <c r="E2217" s="1050"/>
      <c r="F2217" s="1050"/>
      <c r="G2217" s="1050"/>
    </row>
    <row r="2218" spans="1:7">
      <c r="A2218" s="1079"/>
      <c r="B2218" s="1050"/>
      <c r="C2218" s="1050"/>
      <c r="D2218" s="1050"/>
      <c r="E2218" s="1050"/>
      <c r="F2218" s="1050"/>
      <c r="G2218" s="1050"/>
    </row>
    <row r="2219" spans="1:7">
      <c r="A2219" s="1079"/>
      <c r="B2219" s="1050"/>
      <c r="C2219" s="1050"/>
      <c r="D2219" s="1050"/>
      <c r="E2219" s="1050"/>
      <c r="F2219" s="1050"/>
      <c r="G2219" s="1050"/>
    </row>
    <row r="2220" spans="1:7">
      <c r="A2220" s="1079"/>
      <c r="B2220" s="1050"/>
      <c r="C2220" s="1050"/>
      <c r="D2220" s="1050"/>
      <c r="E2220" s="1050"/>
      <c r="F2220" s="1050"/>
      <c r="G2220" s="1050"/>
    </row>
    <row r="2221" spans="1:7">
      <c r="A2221" s="1079"/>
      <c r="B2221" s="1050"/>
      <c r="C2221" s="1050"/>
      <c r="D2221" s="1050"/>
      <c r="E2221" s="1050"/>
      <c r="F2221" s="1050"/>
      <c r="G2221" s="1050"/>
    </row>
    <row r="2222" spans="1:7">
      <c r="A2222" s="1079"/>
      <c r="B2222" s="1050"/>
      <c r="C2222" s="1050"/>
      <c r="D2222" s="1050"/>
      <c r="E2222" s="1050"/>
      <c r="F2222" s="1050"/>
      <c r="G2222" s="1050"/>
    </row>
    <row r="2223" spans="1:7">
      <c r="A2223" s="1079"/>
      <c r="B2223" s="1050"/>
      <c r="C2223" s="1050"/>
      <c r="D2223" s="1050"/>
      <c r="E2223" s="1050"/>
      <c r="F2223" s="1050"/>
      <c r="G2223" s="1050"/>
    </row>
    <row r="2224" spans="1:7">
      <c r="A2224" s="1079"/>
      <c r="B2224" s="1050"/>
      <c r="C2224" s="1050"/>
      <c r="D2224" s="1050"/>
      <c r="E2224" s="1050"/>
      <c r="F2224" s="1050"/>
      <c r="G2224" s="1050"/>
    </row>
    <row r="2225" spans="1:7">
      <c r="A2225" s="1079"/>
      <c r="B2225" s="1050"/>
      <c r="C2225" s="1050"/>
      <c r="D2225" s="1050"/>
      <c r="E2225" s="1050"/>
      <c r="F2225" s="1050"/>
      <c r="G2225" s="1050"/>
    </row>
    <row r="2226" spans="1:7">
      <c r="A2226" s="1079"/>
      <c r="B2226" s="1050"/>
      <c r="C2226" s="1050"/>
      <c r="D2226" s="1050"/>
      <c r="E2226" s="1050"/>
      <c r="F2226" s="1050"/>
      <c r="G2226" s="1050"/>
    </row>
    <row r="2227" spans="1:7">
      <c r="A2227" s="1079"/>
      <c r="B2227" s="1050"/>
      <c r="C2227" s="1050"/>
      <c r="D2227" s="1050"/>
      <c r="E2227" s="1050"/>
      <c r="F2227" s="1050"/>
      <c r="G2227" s="1050"/>
    </row>
    <row r="2228" spans="1:7">
      <c r="A2228" s="1079"/>
      <c r="B2228" s="1050"/>
      <c r="C2228" s="1050"/>
      <c r="D2228" s="1050"/>
      <c r="E2228" s="1050"/>
      <c r="F2228" s="1050"/>
      <c r="G2228" s="1050"/>
    </row>
    <row r="2229" spans="1:7">
      <c r="A2229" s="1079"/>
      <c r="B2229" s="1050"/>
      <c r="C2229" s="1050"/>
      <c r="D2229" s="1050"/>
      <c r="E2229" s="1050"/>
      <c r="F2229" s="1050"/>
      <c r="G2229" s="1050"/>
    </row>
    <row r="2230" spans="1:7">
      <c r="A2230" s="1079"/>
      <c r="B2230" s="1050"/>
      <c r="C2230" s="1050"/>
      <c r="D2230" s="1050"/>
      <c r="E2230" s="1050"/>
      <c r="F2230" s="1050"/>
      <c r="G2230" s="1050"/>
    </row>
    <row r="2231" spans="1:7">
      <c r="A2231" s="1079"/>
      <c r="B2231" s="1050"/>
      <c r="C2231" s="1050"/>
      <c r="D2231" s="1050"/>
      <c r="E2231" s="1050"/>
      <c r="F2231" s="1050"/>
      <c r="G2231" s="1050"/>
    </row>
    <row r="2232" spans="1:7">
      <c r="A2232" s="1079"/>
      <c r="B2232" s="1050"/>
      <c r="C2232" s="1050"/>
      <c r="D2232" s="1050"/>
      <c r="E2232" s="1050"/>
      <c r="F2232" s="1050"/>
      <c r="G2232" s="1050"/>
    </row>
    <row r="2233" spans="1:7">
      <c r="A2233" s="1079"/>
      <c r="B2233" s="1050"/>
      <c r="C2233" s="1050"/>
      <c r="D2233" s="1050"/>
      <c r="E2233" s="1050"/>
      <c r="F2233" s="1050"/>
      <c r="G2233" s="1050"/>
    </row>
    <row r="2234" spans="1:7">
      <c r="A2234" s="1079"/>
      <c r="B2234" s="1050"/>
      <c r="C2234" s="1050"/>
      <c r="D2234" s="1050"/>
      <c r="E2234" s="1050"/>
      <c r="F2234" s="1050"/>
      <c r="G2234" s="1050"/>
    </row>
    <row r="2235" spans="1:7">
      <c r="A2235" s="1079"/>
      <c r="B2235" s="1050"/>
      <c r="C2235" s="1050"/>
      <c r="D2235" s="1050"/>
      <c r="E2235" s="1050"/>
      <c r="F2235" s="1050"/>
      <c r="G2235" s="1050"/>
    </row>
    <row r="2236" spans="1:7">
      <c r="A2236" s="1079"/>
      <c r="B2236" s="1050"/>
      <c r="C2236" s="1050"/>
      <c r="D2236" s="1050"/>
      <c r="E2236" s="1050"/>
      <c r="F2236" s="1050"/>
      <c r="G2236" s="1050"/>
    </row>
    <row r="2237" spans="1:7">
      <c r="A2237" s="1079"/>
      <c r="B2237" s="1050"/>
      <c r="C2237" s="1050"/>
      <c r="D2237" s="1050"/>
      <c r="E2237" s="1050"/>
      <c r="F2237" s="1050"/>
      <c r="G2237" s="1050"/>
    </row>
    <row r="2238" spans="1:7">
      <c r="A2238" s="1079"/>
      <c r="B2238" s="1050"/>
      <c r="C2238" s="1050"/>
      <c r="D2238" s="1050"/>
      <c r="E2238" s="1050"/>
      <c r="F2238" s="1050"/>
      <c r="G2238" s="1050"/>
    </row>
    <row r="2239" spans="1:7">
      <c r="A2239" s="1079"/>
      <c r="B2239" s="1050"/>
      <c r="C2239" s="1050"/>
      <c r="D2239" s="1050"/>
      <c r="E2239" s="1050"/>
      <c r="F2239" s="1050"/>
      <c r="G2239" s="1050"/>
    </row>
    <row r="2240" spans="1:7">
      <c r="A2240" s="1079"/>
      <c r="B2240" s="1050"/>
      <c r="C2240" s="1050"/>
      <c r="D2240" s="1050"/>
      <c r="E2240" s="1050"/>
      <c r="F2240" s="1050"/>
      <c r="G2240" s="1050"/>
    </row>
    <row r="2241" spans="1:7">
      <c r="A2241" s="1079"/>
      <c r="B2241" s="1050"/>
      <c r="C2241" s="1050"/>
      <c r="D2241" s="1050"/>
      <c r="E2241" s="1050"/>
      <c r="F2241" s="1050"/>
      <c r="G2241" s="1050"/>
    </row>
    <row r="2242" spans="1:7">
      <c r="A2242" s="1079"/>
      <c r="B2242" s="1050"/>
      <c r="C2242" s="1050"/>
      <c r="D2242" s="1050"/>
      <c r="E2242" s="1050"/>
      <c r="F2242" s="1050"/>
      <c r="G2242" s="1050"/>
    </row>
    <row r="2243" spans="1:7">
      <c r="A2243" s="1079"/>
      <c r="B2243" s="1050"/>
      <c r="C2243" s="1050"/>
      <c r="D2243" s="1050"/>
      <c r="E2243" s="1050"/>
      <c r="F2243" s="1050"/>
      <c r="G2243" s="1050"/>
    </row>
    <row r="2244" spans="1:7">
      <c r="A2244" s="1079"/>
      <c r="B2244" s="1050"/>
      <c r="C2244" s="1050"/>
      <c r="D2244" s="1050"/>
      <c r="E2244" s="1050"/>
      <c r="F2244" s="1050"/>
      <c r="G2244" s="1050"/>
    </row>
    <row r="2245" spans="1:7">
      <c r="A2245" s="1079"/>
      <c r="B2245" s="1050"/>
      <c r="C2245" s="1050"/>
      <c r="D2245" s="1050"/>
      <c r="E2245" s="1050"/>
      <c r="F2245" s="1050"/>
      <c r="G2245" s="1050"/>
    </row>
    <row r="2246" spans="1:7">
      <c r="A2246" s="1079"/>
      <c r="B2246" s="1050"/>
      <c r="C2246" s="1050"/>
      <c r="D2246" s="1050"/>
      <c r="E2246" s="1050"/>
      <c r="F2246" s="1050"/>
      <c r="G2246" s="1050"/>
    </row>
    <row r="2247" spans="1:7">
      <c r="A2247" s="1079"/>
      <c r="B2247" s="1050"/>
      <c r="C2247" s="1050"/>
      <c r="D2247" s="1050"/>
      <c r="E2247" s="1050"/>
      <c r="F2247" s="1050"/>
      <c r="G2247" s="1050"/>
    </row>
    <row r="2248" spans="1:7">
      <c r="A2248" s="1079"/>
      <c r="B2248" s="1050"/>
      <c r="C2248" s="1050"/>
      <c r="D2248" s="1050"/>
      <c r="E2248" s="1050"/>
      <c r="F2248" s="1050"/>
      <c r="G2248" s="1050"/>
    </row>
    <row r="2249" spans="1:7">
      <c r="A2249" s="1079"/>
      <c r="B2249" s="1050"/>
      <c r="C2249" s="1050"/>
      <c r="D2249" s="1050"/>
      <c r="E2249" s="1050"/>
      <c r="F2249" s="1050"/>
      <c r="G2249" s="1050"/>
    </row>
    <row r="2250" spans="1:7">
      <c r="A2250" s="1079"/>
      <c r="B2250" s="1050"/>
      <c r="C2250" s="1050"/>
      <c r="D2250" s="1050"/>
      <c r="E2250" s="1050"/>
      <c r="F2250" s="1050"/>
      <c r="G2250" s="1050"/>
    </row>
    <row r="2251" spans="1:7">
      <c r="A2251" s="1079"/>
      <c r="B2251" s="1050"/>
      <c r="C2251" s="1050"/>
      <c r="D2251" s="1050"/>
      <c r="E2251" s="1050"/>
      <c r="F2251" s="1050"/>
      <c r="G2251" s="1050"/>
    </row>
    <row r="2252" spans="1:7">
      <c r="A2252" s="1079"/>
      <c r="B2252" s="1050"/>
      <c r="C2252" s="1050"/>
      <c r="D2252" s="1050"/>
      <c r="E2252" s="1050"/>
      <c r="F2252" s="1050"/>
      <c r="G2252" s="1050"/>
    </row>
    <row r="2253" spans="1:7">
      <c r="A2253" s="1079"/>
      <c r="B2253" s="1050"/>
      <c r="C2253" s="1050"/>
      <c r="D2253" s="1050"/>
      <c r="E2253" s="1050"/>
      <c r="F2253" s="1050"/>
      <c r="G2253" s="1050"/>
    </row>
    <row r="2254" spans="1:7">
      <c r="A2254" s="1079"/>
      <c r="B2254" s="1050"/>
      <c r="C2254" s="1050"/>
      <c r="D2254" s="1050"/>
      <c r="E2254" s="1050"/>
      <c r="F2254" s="1050"/>
      <c r="G2254" s="1050"/>
    </row>
    <row r="2255" spans="1:7">
      <c r="A2255" s="1079"/>
      <c r="B2255" s="1050"/>
      <c r="C2255" s="1050"/>
      <c r="D2255" s="1050"/>
      <c r="E2255" s="1050"/>
      <c r="F2255" s="1050"/>
      <c r="G2255" s="1050"/>
    </row>
    <row r="2256" spans="1:7">
      <c r="A2256" s="1079"/>
      <c r="B2256" s="1050"/>
      <c r="C2256" s="1050"/>
      <c r="D2256" s="1050"/>
      <c r="E2256" s="1050"/>
      <c r="F2256" s="1050"/>
      <c r="G2256" s="1050"/>
    </row>
    <row r="2257" spans="1:7">
      <c r="A2257" s="1079"/>
      <c r="B2257" s="1050"/>
      <c r="C2257" s="1050"/>
      <c r="D2257" s="1050"/>
      <c r="E2257" s="1050"/>
      <c r="F2257" s="1050"/>
      <c r="G2257" s="1050"/>
    </row>
    <row r="2258" spans="1:7">
      <c r="A2258" s="1079"/>
      <c r="B2258" s="1050"/>
      <c r="C2258" s="1050"/>
      <c r="D2258" s="1050"/>
      <c r="E2258" s="1050"/>
      <c r="F2258" s="1050"/>
      <c r="G2258" s="1050"/>
    </row>
    <row r="2259" spans="1:7">
      <c r="A2259" s="1079"/>
      <c r="B2259" s="1050"/>
      <c r="C2259" s="1050"/>
      <c r="D2259" s="1050"/>
      <c r="E2259" s="1050"/>
      <c r="F2259" s="1050"/>
      <c r="G2259" s="1050"/>
    </row>
    <row r="2260" spans="1:7">
      <c r="A2260" s="1079"/>
      <c r="B2260" s="1050"/>
      <c r="C2260" s="1050"/>
      <c r="D2260" s="1050"/>
      <c r="E2260" s="1050"/>
      <c r="F2260" s="1050"/>
      <c r="G2260" s="1050"/>
    </row>
    <row r="2261" spans="1:7">
      <c r="A2261" s="1079"/>
      <c r="B2261" s="1050"/>
      <c r="C2261" s="1050"/>
      <c r="D2261" s="1050"/>
      <c r="E2261" s="1050"/>
      <c r="F2261" s="1050"/>
      <c r="G2261" s="1050"/>
    </row>
    <row r="2262" spans="1:7">
      <c r="A2262" s="1079"/>
      <c r="B2262" s="1050"/>
      <c r="C2262" s="1050"/>
      <c r="D2262" s="1050"/>
      <c r="E2262" s="1050"/>
      <c r="F2262" s="1050"/>
      <c r="G2262" s="1050"/>
    </row>
    <row r="2263" spans="1:7">
      <c r="A2263" s="1079"/>
      <c r="B2263" s="1050"/>
      <c r="C2263" s="1050"/>
      <c r="D2263" s="1050"/>
      <c r="E2263" s="1050"/>
      <c r="F2263" s="1050"/>
      <c r="G2263" s="1050"/>
    </row>
    <row r="2264" spans="1:7">
      <c r="A2264" s="1079"/>
      <c r="B2264" s="1050"/>
      <c r="C2264" s="1050"/>
      <c r="D2264" s="1050"/>
      <c r="E2264" s="1050"/>
      <c r="F2264" s="1050"/>
      <c r="G2264" s="1050"/>
    </row>
    <row r="2265" spans="1:7">
      <c r="A2265" s="1079"/>
      <c r="B2265" s="1050"/>
      <c r="C2265" s="1050"/>
      <c r="D2265" s="1050"/>
      <c r="E2265" s="1050"/>
      <c r="F2265" s="1050"/>
      <c r="G2265" s="1050"/>
    </row>
    <row r="2266" spans="1:7">
      <c r="A2266" s="1079"/>
      <c r="B2266" s="1050"/>
      <c r="C2266" s="1050"/>
      <c r="D2266" s="1050"/>
      <c r="E2266" s="1050"/>
      <c r="F2266" s="1050"/>
      <c r="G2266" s="1050"/>
    </row>
    <row r="2267" spans="1:7">
      <c r="A2267" s="1079"/>
      <c r="B2267" s="1050"/>
      <c r="C2267" s="1050"/>
      <c r="D2267" s="1050"/>
      <c r="E2267" s="1050"/>
      <c r="F2267" s="1050"/>
      <c r="G2267" s="1050"/>
    </row>
    <row r="2268" spans="1:7">
      <c r="A2268" s="1079"/>
      <c r="B2268" s="1050"/>
      <c r="C2268" s="1050"/>
      <c r="D2268" s="1050"/>
      <c r="E2268" s="1050"/>
      <c r="F2268" s="1050"/>
      <c r="G2268" s="1050"/>
    </row>
    <row r="2269" spans="1:7">
      <c r="A2269" s="1079"/>
      <c r="B2269" s="1050"/>
      <c r="C2269" s="1050"/>
      <c r="D2269" s="1050"/>
      <c r="E2269" s="1050"/>
      <c r="F2269" s="1050"/>
      <c r="G2269" s="1050"/>
    </row>
    <row r="2270" spans="1:7">
      <c r="A2270" s="1079"/>
      <c r="B2270" s="1050"/>
      <c r="C2270" s="1050"/>
      <c r="D2270" s="1050"/>
      <c r="E2270" s="1050"/>
      <c r="F2270" s="1050"/>
      <c r="G2270" s="1050"/>
    </row>
    <row r="2271" spans="1:7">
      <c r="A2271" s="1079"/>
      <c r="B2271" s="1050"/>
      <c r="C2271" s="1050"/>
      <c r="D2271" s="1050"/>
      <c r="E2271" s="1050"/>
      <c r="F2271" s="1050"/>
      <c r="G2271" s="1050"/>
    </row>
    <row r="2272" spans="1:7">
      <c r="A2272" s="1079"/>
      <c r="B2272" s="1050"/>
      <c r="C2272" s="1050"/>
      <c r="D2272" s="1050"/>
      <c r="E2272" s="1050"/>
      <c r="F2272" s="1050"/>
      <c r="G2272" s="1050"/>
    </row>
    <row r="2273" spans="1:7">
      <c r="A2273" s="1079"/>
      <c r="B2273" s="1050"/>
      <c r="C2273" s="1050"/>
      <c r="D2273" s="1050"/>
      <c r="E2273" s="1050"/>
      <c r="F2273" s="1050"/>
      <c r="G2273" s="1050"/>
    </row>
    <row r="2274" spans="1:7">
      <c r="A2274" s="1079"/>
      <c r="B2274" s="1050"/>
      <c r="C2274" s="1050"/>
      <c r="D2274" s="1050"/>
      <c r="E2274" s="1050"/>
      <c r="F2274" s="1050"/>
      <c r="G2274" s="1050"/>
    </row>
    <row r="2275" spans="1:7">
      <c r="A2275" s="1079"/>
      <c r="B2275" s="1050"/>
      <c r="C2275" s="1050"/>
      <c r="D2275" s="1050"/>
      <c r="E2275" s="1050"/>
      <c r="F2275" s="1050"/>
      <c r="G2275" s="1050"/>
    </row>
    <row r="2276" spans="1:7">
      <c r="A2276" s="1079"/>
      <c r="B2276" s="1050"/>
      <c r="C2276" s="1050"/>
      <c r="D2276" s="1050"/>
      <c r="E2276" s="1050"/>
      <c r="F2276" s="1050"/>
      <c r="G2276" s="1050"/>
    </row>
    <row r="2277" spans="1:7">
      <c r="A2277" s="1079"/>
      <c r="B2277" s="1050"/>
      <c r="C2277" s="1050"/>
      <c r="D2277" s="1050"/>
      <c r="E2277" s="1050"/>
      <c r="F2277" s="1050"/>
      <c r="G2277" s="1050"/>
    </row>
    <row r="2278" spans="1:7">
      <c r="A2278" s="1079"/>
      <c r="B2278" s="1050"/>
      <c r="C2278" s="1050"/>
      <c r="D2278" s="1050"/>
      <c r="E2278" s="1050"/>
      <c r="F2278" s="1050"/>
      <c r="G2278" s="1050"/>
    </row>
    <row r="2279" spans="1:7">
      <c r="A2279" s="1079"/>
      <c r="B2279" s="1050"/>
      <c r="C2279" s="1050"/>
      <c r="D2279" s="1050"/>
      <c r="E2279" s="1050"/>
      <c r="F2279" s="1050"/>
      <c r="G2279" s="1050"/>
    </row>
    <row r="2280" spans="1:7">
      <c r="A2280" s="1079"/>
      <c r="B2280" s="1050"/>
      <c r="C2280" s="1050"/>
      <c r="D2280" s="1050"/>
      <c r="E2280" s="1050"/>
      <c r="F2280" s="1050"/>
      <c r="G2280" s="1050"/>
    </row>
    <row r="2281" spans="1:7">
      <c r="A2281" s="1079"/>
      <c r="B2281" s="1050"/>
      <c r="C2281" s="1050"/>
      <c r="D2281" s="1050"/>
      <c r="E2281" s="1050"/>
      <c r="F2281" s="1050"/>
      <c r="G2281" s="1050"/>
    </row>
    <row r="2282" spans="1:7">
      <c r="A2282" s="1079"/>
      <c r="B2282" s="1050"/>
      <c r="C2282" s="1050"/>
      <c r="D2282" s="1050"/>
      <c r="E2282" s="1050"/>
      <c r="F2282" s="1050"/>
      <c r="G2282" s="1050"/>
    </row>
    <row r="2283" spans="1:7">
      <c r="A2283" s="1079"/>
      <c r="B2283" s="1050"/>
      <c r="C2283" s="1050"/>
      <c r="D2283" s="1050"/>
      <c r="E2283" s="1050"/>
      <c r="F2283" s="1050"/>
      <c r="G2283" s="1050"/>
    </row>
    <row r="2284" spans="1:7">
      <c r="A2284" s="1079"/>
      <c r="B2284" s="1050"/>
      <c r="C2284" s="1050"/>
      <c r="D2284" s="1050"/>
      <c r="E2284" s="1050"/>
      <c r="F2284" s="1050"/>
      <c r="G2284" s="1050"/>
    </row>
    <row r="2285" spans="1:7">
      <c r="A2285" s="1079"/>
      <c r="B2285" s="1050"/>
      <c r="C2285" s="1050"/>
      <c r="D2285" s="1050"/>
      <c r="E2285" s="1050"/>
      <c r="F2285" s="1050"/>
      <c r="G2285" s="1050"/>
    </row>
    <row r="2286" spans="1:7">
      <c r="A2286" s="1079"/>
      <c r="B2286" s="1050"/>
      <c r="C2286" s="1050"/>
      <c r="D2286" s="1050"/>
      <c r="E2286" s="1050"/>
      <c r="F2286" s="1050"/>
      <c r="G2286" s="1050"/>
    </row>
    <row r="2287" spans="1:7">
      <c r="A2287" s="1079"/>
      <c r="B2287" s="1050"/>
      <c r="C2287" s="1050"/>
      <c r="D2287" s="1050"/>
      <c r="E2287" s="1050"/>
      <c r="F2287" s="1050"/>
      <c r="G2287" s="1050"/>
    </row>
    <row r="2288" spans="1:7">
      <c r="A2288" s="1079"/>
      <c r="B2288" s="1050"/>
      <c r="C2288" s="1050"/>
      <c r="D2288" s="1050"/>
      <c r="E2288" s="1050"/>
      <c r="F2288" s="1050"/>
      <c r="G2288" s="1050"/>
    </row>
    <row r="2289" spans="1:7">
      <c r="A2289" s="1079"/>
      <c r="B2289" s="1050"/>
      <c r="C2289" s="1050"/>
      <c r="D2289" s="1050"/>
      <c r="E2289" s="1050"/>
      <c r="F2289" s="1050"/>
      <c r="G2289" s="1050"/>
    </row>
    <row r="2290" spans="1:7">
      <c r="A2290" s="1079"/>
      <c r="B2290" s="1050"/>
      <c r="C2290" s="1050"/>
      <c r="D2290" s="1050"/>
      <c r="E2290" s="1050"/>
      <c r="F2290" s="1050"/>
      <c r="G2290" s="1050"/>
    </row>
    <row r="2291" spans="1:7">
      <c r="A2291" s="1079"/>
      <c r="B2291" s="1050"/>
      <c r="C2291" s="1050"/>
      <c r="D2291" s="1050"/>
      <c r="E2291" s="1050"/>
      <c r="F2291" s="1050"/>
      <c r="G2291" s="1050"/>
    </row>
    <row r="2292" spans="1:7">
      <c r="A2292" s="1079"/>
      <c r="B2292" s="1050"/>
      <c r="C2292" s="1050"/>
      <c r="D2292" s="1050"/>
      <c r="E2292" s="1050"/>
      <c r="F2292" s="1050"/>
      <c r="G2292" s="1050"/>
    </row>
    <row r="2293" spans="1:7">
      <c r="A2293" s="1079"/>
      <c r="B2293" s="1050"/>
      <c r="C2293" s="1050"/>
      <c r="D2293" s="1050"/>
      <c r="E2293" s="1050"/>
      <c r="F2293" s="1050"/>
      <c r="G2293" s="1050"/>
    </row>
    <row r="2294" spans="1:7">
      <c r="A2294" s="1079"/>
      <c r="B2294" s="1050"/>
      <c r="C2294" s="1050"/>
      <c r="D2294" s="1050"/>
      <c r="E2294" s="1050"/>
      <c r="F2294" s="1050"/>
      <c r="G2294" s="1050"/>
    </row>
    <row r="2295" spans="1:7">
      <c r="A2295" s="1079"/>
      <c r="B2295" s="1050"/>
      <c r="C2295" s="1050"/>
      <c r="D2295" s="1050"/>
      <c r="E2295" s="1050"/>
      <c r="F2295" s="1050"/>
      <c r="G2295" s="1050"/>
    </row>
    <row r="2296" spans="1:7">
      <c r="A2296" s="1079"/>
      <c r="B2296" s="1050"/>
      <c r="C2296" s="1050"/>
      <c r="D2296" s="1050"/>
      <c r="E2296" s="1050"/>
      <c r="F2296" s="1050"/>
      <c r="G2296" s="1050"/>
    </row>
    <row r="2297" spans="1:7">
      <c r="A2297" s="1079"/>
      <c r="B2297" s="1050"/>
      <c r="C2297" s="1050"/>
      <c r="D2297" s="1050"/>
      <c r="E2297" s="1050"/>
      <c r="F2297" s="1050"/>
      <c r="G2297" s="1050"/>
    </row>
    <row r="2298" spans="1:7">
      <c r="A2298" s="1079"/>
      <c r="B2298" s="1050"/>
      <c r="C2298" s="1050"/>
      <c r="D2298" s="1050"/>
      <c r="E2298" s="1050"/>
      <c r="F2298" s="1050"/>
      <c r="G2298" s="1050"/>
    </row>
    <row r="2299" spans="1:7">
      <c r="A2299" s="1079"/>
      <c r="B2299" s="1050"/>
      <c r="C2299" s="1050"/>
      <c r="D2299" s="1050"/>
      <c r="E2299" s="1050"/>
      <c r="F2299" s="1050"/>
      <c r="G2299" s="1050"/>
    </row>
    <row r="2300" spans="1:7">
      <c r="A2300" s="1079"/>
      <c r="B2300" s="1050"/>
      <c r="C2300" s="1050"/>
      <c r="D2300" s="1050"/>
      <c r="E2300" s="1050"/>
      <c r="F2300" s="1050"/>
      <c r="G2300" s="1050"/>
    </row>
    <row r="2301" spans="1:7">
      <c r="A2301" s="1079"/>
      <c r="B2301" s="1050"/>
      <c r="C2301" s="1050"/>
      <c r="D2301" s="1050"/>
      <c r="E2301" s="1050"/>
      <c r="F2301" s="1050"/>
      <c r="G2301" s="1050"/>
    </row>
    <row r="2302" spans="1:7">
      <c r="A2302" s="1079"/>
      <c r="B2302" s="1050"/>
      <c r="C2302" s="1050"/>
      <c r="D2302" s="1050"/>
      <c r="E2302" s="1050"/>
      <c r="F2302" s="1050"/>
      <c r="G2302" s="1050"/>
    </row>
    <row r="2303" spans="1:7">
      <c r="A2303" s="1079"/>
      <c r="B2303" s="1050"/>
      <c r="C2303" s="1050"/>
      <c r="D2303" s="1050"/>
      <c r="E2303" s="1050"/>
      <c r="F2303" s="1050"/>
      <c r="G2303" s="1050"/>
    </row>
    <row r="2304" spans="1:7">
      <c r="A2304" s="1079"/>
      <c r="B2304" s="1050"/>
      <c r="C2304" s="1050"/>
      <c r="D2304" s="1050"/>
      <c r="E2304" s="1050"/>
      <c r="F2304" s="1050"/>
      <c r="G2304" s="1050"/>
    </row>
    <row r="2305" spans="1:7">
      <c r="A2305" s="1079"/>
      <c r="B2305" s="1050"/>
      <c r="C2305" s="1050"/>
      <c r="D2305" s="1050"/>
      <c r="E2305" s="1050"/>
      <c r="F2305" s="1050"/>
      <c r="G2305" s="1050"/>
    </row>
    <row r="2306" spans="1:7">
      <c r="A2306" s="1079"/>
      <c r="B2306" s="1050"/>
      <c r="C2306" s="1050"/>
      <c r="D2306" s="1050"/>
      <c r="E2306" s="1050"/>
      <c r="F2306" s="1050"/>
      <c r="G2306" s="1050"/>
    </row>
    <row r="2307" spans="1:7">
      <c r="A2307" s="1079"/>
      <c r="B2307" s="1050"/>
      <c r="C2307" s="1050"/>
      <c r="D2307" s="1050"/>
      <c r="E2307" s="1050"/>
      <c r="F2307" s="1050"/>
      <c r="G2307" s="1050"/>
    </row>
    <row r="2308" spans="1:7">
      <c r="A2308" s="1079"/>
      <c r="B2308" s="1050"/>
      <c r="C2308" s="1050"/>
      <c r="D2308" s="1050"/>
      <c r="E2308" s="1050"/>
      <c r="F2308" s="1050"/>
      <c r="G2308" s="1050"/>
    </row>
    <row r="2309" spans="1:7">
      <c r="A2309" s="1079"/>
      <c r="B2309" s="1050"/>
      <c r="C2309" s="1050"/>
      <c r="D2309" s="1050"/>
      <c r="E2309" s="1050"/>
      <c r="F2309" s="1050"/>
      <c r="G2309" s="1050"/>
    </row>
    <row r="2310" spans="1:7">
      <c r="A2310" s="1079"/>
      <c r="B2310" s="1050"/>
      <c r="C2310" s="1050"/>
      <c r="D2310" s="1050"/>
      <c r="E2310" s="1050"/>
      <c r="F2310" s="1050"/>
      <c r="G2310" s="1050"/>
    </row>
    <row r="2311" spans="1:7">
      <c r="A2311" s="1079"/>
      <c r="B2311" s="1050"/>
      <c r="C2311" s="1050"/>
      <c r="D2311" s="1050"/>
      <c r="E2311" s="1050"/>
      <c r="F2311" s="1050"/>
      <c r="G2311" s="1050"/>
    </row>
    <row r="2312" spans="1:7">
      <c r="A2312" s="1079"/>
      <c r="B2312" s="1050"/>
      <c r="C2312" s="1050"/>
      <c r="D2312" s="1050"/>
      <c r="E2312" s="1050"/>
      <c r="F2312" s="1050"/>
      <c r="G2312" s="1050"/>
    </row>
    <row r="2313" spans="1:7">
      <c r="A2313" s="1079"/>
      <c r="B2313" s="1050"/>
      <c r="C2313" s="1050"/>
      <c r="D2313" s="1050"/>
      <c r="E2313" s="1050"/>
      <c r="F2313" s="1050"/>
      <c r="G2313" s="1050"/>
    </row>
    <row r="2314" spans="1:7">
      <c r="A2314" s="1079"/>
      <c r="B2314" s="1050"/>
      <c r="C2314" s="1050"/>
      <c r="D2314" s="1050"/>
      <c r="E2314" s="1050"/>
      <c r="F2314" s="1050"/>
      <c r="G2314" s="1050"/>
    </row>
    <row r="2315" spans="1:7">
      <c r="A2315" s="1079"/>
      <c r="B2315" s="1050"/>
      <c r="C2315" s="1050"/>
      <c r="D2315" s="1050"/>
      <c r="E2315" s="1050"/>
      <c r="F2315" s="1050"/>
      <c r="G2315" s="1050"/>
    </row>
    <row r="2316" spans="1:7">
      <c r="A2316" s="1079"/>
      <c r="B2316" s="1050"/>
      <c r="C2316" s="1050"/>
      <c r="D2316" s="1050"/>
      <c r="E2316" s="1050"/>
      <c r="F2316" s="1050"/>
      <c r="G2316" s="1050"/>
    </row>
    <row r="2317" spans="1:7">
      <c r="A2317" s="1079"/>
      <c r="B2317" s="1050"/>
      <c r="C2317" s="1050"/>
      <c r="D2317" s="1050"/>
      <c r="E2317" s="1050"/>
      <c r="F2317" s="1050"/>
      <c r="G2317" s="1050"/>
    </row>
    <row r="2318" spans="1:7">
      <c r="A2318" s="1079"/>
      <c r="B2318" s="1050"/>
      <c r="C2318" s="1050"/>
      <c r="D2318" s="1050"/>
      <c r="E2318" s="1050"/>
      <c r="F2318" s="1050"/>
      <c r="G2318" s="1050"/>
    </row>
    <row r="2319" spans="1:7">
      <c r="A2319" s="1079"/>
      <c r="B2319" s="1050"/>
      <c r="C2319" s="1050"/>
      <c r="D2319" s="1050"/>
      <c r="E2319" s="1050"/>
      <c r="F2319" s="1050"/>
      <c r="G2319" s="1050"/>
    </row>
    <row r="2320" spans="1:7">
      <c r="A2320" s="1079"/>
      <c r="B2320" s="1050"/>
      <c r="C2320" s="1050"/>
      <c r="D2320" s="1050"/>
      <c r="E2320" s="1050"/>
      <c r="F2320" s="1050"/>
      <c r="G2320" s="1050"/>
    </row>
    <row r="2321" spans="1:7">
      <c r="A2321" s="1079"/>
      <c r="B2321" s="1050"/>
      <c r="C2321" s="1050"/>
      <c r="D2321" s="1050"/>
      <c r="E2321" s="1050"/>
      <c r="F2321" s="1050"/>
      <c r="G2321" s="1050"/>
    </row>
    <row r="2322" spans="1:7">
      <c r="A2322" s="1079"/>
      <c r="B2322" s="1050"/>
      <c r="C2322" s="1050"/>
      <c r="D2322" s="1050"/>
      <c r="E2322" s="1050"/>
      <c r="F2322" s="1050"/>
      <c r="G2322" s="1050"/>
    </row>
    <row r="2323" spans="1:7">
      <c r="A2323" s="1079"/>
      <c r="B2323" s="1050"/>
      <c r="C2323" s="1050"/>
      <c r="D2323" s="1050"/>
      <c r="E2323" s="1050"/>
      <c r="F2323" s="1050"/>
      <c r="G2323" s="1050"/>
    </row>
    <row r="2324" spans="1:7">
      <c r="A2324" s="1079"/>
      <c r="B2324" s="1050"/>
      <c r="C2324" s="1050"/>
      <c r="D2324" s="1050"/>
      <c r="E2324" s="1050"/>
      <c r="F2324" s="1050"/>
      <c r="G2324" s="1050"/>
    </row>
    <row r="2325" spans="1:7">
      <c r="A2325" s="1079"/>
      <c r="B2325" s="1050"/>
      <c r="C2325" s="1050"/>
      <c r="D2325" s="1050"/>
      <c r="E2325" s="1050"/>
      <c r="F2325" s="1050"/>
      <c r="G2325" s="1050"/>
    </row>
    <row r="2326" spans="1:7">
      <c r="A2326" s="1079"/>
      <c r="B2326" s="1050"/>
      <c r="C2326" s="1050"/>
      <c r="D2326" s="1050"/>
      <c r="E2326" s="1050"/>
      <c r="F2326" s="1050"/>
      <c r="G2326" s="1050"/>
    </row>
    <row r="2327" spans="1:7">
      <c r="A2327" s="1079"/>
      <c r="B2327" s="1050"/>
      <c r="C2327" s="1050"/>
      <c r="D2327" s="1050"/>
      <c r="E2327" s="1050"/>
      <c r="F2327" s="1050"/>
      <c r="G2327" s="1050"/>
    </row>
    <row r="2328" spans="1:7">
      <c r="A2328" s="1079"/>
      <c r="B2328" s="1050"/>
      <c r="C2328" s="1050"/>
      <c r="D2328" s="1050"/>
      <c r="E2328" s="1050"/>
      <c r="F2328" s="1050"/>
      <c r="G2328" s="1050"/>
    </row>
    <row r="2329" spans="1:7">
      <c r="A2329" s="1079"/>
      <c r="B2329" s="1050"/>
      <c r="C2329" s="1050"/>
      <c r="D2329" s="1050"/>
      <c r="E2329" s="1050"/>
      <c r="F2329" s="1050"/>
      <c r="G2329" s="1050"/>
    </row>
    <row r="2330" spans="1:7">
      <c r="A2330" s="1079"/>
      <c r="B2330" s="1050"/>
      <c r="C2330" s="1050"/>
      <c r="D2330" s="1050"/>
      <c r="E2330" s="1050"/>
      <c r="F2330" s="1050"/>
      <c r="G2330" s="1050"/>
    </row>
    <row r="2331" spans="1:7">
      <c r="A2331" s="1079"/>
      <c r="B2331" s="1050"/>
      <c r="C2331" s="1050"/>
      <c r="D2331" s="1050"/>
      <c r="E2331" s="1050"/>
      <c r="F2331" s="1050"/>
      <c r="G2331" s="1050"/>
    </row>
    <row r="2332" spans="1:7">
      <c r="A2332" s="1079"/>
      <c r="B2332" s="1050"/>
      <c r="C2332" s="1050"/>
      <c r="D2332" s="1050"/>
      <c r="E2332" s="1050"/>
      <c r="F2332" s="1050"/>
      <c r="G2332" s="1050"/>
    </row>
    <row r="2333" spans="1:7">
      <c r="A2333" s="1079"/>
      <c r="B2333" s="1050"/>
      <c r="C2333" s="1050"/>
      <c r="D2333" s="1050"/>
      <c r="E2333" s="1050"/>
      <c r="F2333" s="1050"/>
      <c r="G2333" s="1050"/>
    </row>
    <row r="2334" spans="1:7">
      <c r="A2334" s="1079"/>
      <c r="B2334" s="1050"/>
      <c r="C2334" s="1050"/>
      <c r="D2334" s="1050"/>
      <c r="E2334" s="1050"/>
      <c r="F2334" s="1050"/>
      <c r="G2334" s="1050"/>
    </row>
    <row r="2335" spans="1:7">
      <c r="A2335" s="1079"/>
      <c r="B2335" s="1050"/>
      <c r="C2335" s="1050"/>
      <c r="D2335" s="1050"/>
      <c r="E2335" s="1050"/>
      <c r="F2335" s="1050"/>
      <c r="G2335" s="1050"/>
    </row>
    <row r="2336" spans="1:7">
      <c r="A2336" s="1079"/>
      <c r="B2336" s="1050"/>
      <c r="C2336" s="1050"/>
      <c r="D2336" s="1050"/>
      <c r="E2336" s="1050"/>
      <c r="F2336" s="1050"/>
      <c r="G2336" s="1050"/>
    </row>
    <row r="2337" spans="1:7">
      <c r="A2337" s="1079"/>
      <c r="B2337" s="1050"/>
      <c r="C2337" s="1050"/>
      <c r="D2337" s="1050"/>
      <c r="E2337" s="1050"/>
      <c r="F2337" s="1050"/>
      <c r="G2337" s="1050"/>
    </row>
    <row r="2338" spans="1:7">
      <c r="A2338" s="1079"/>
      <c r="B2338" s="1050"/>
      <c r="C2338" s="1050"/>
      <c r="D2338" s="1050"/>
      <c r="E2338" s="1050"/>
      <c r="F2338" s="1050"/>
      <c r="G2338" s="1050"/>
    </row>
    <row r="2339" spans="1:7">
      <c r="A2339" s="1079"/>
      <c r="B2339" s="1050"/>
      <c r="C2339" s="1050"/>
      <c r="D2339" s="1050"/>
      <c r="E2339" s="1050"/>
      <c r="F2339" s="1050"/>
      <c r="G2339" s="1050"/>
    </row>
    <row r="2340" spans="1:7">
      <c r="A2340" s="1079"/>
      <c r="B2340" s="1050"/>
      <c r="C2340" s="1050"/>
      <c r="D2340" s="1050"/>
      <c r="E2340" s="1050"/>
      <c r="F2340" s="1050"/>
      <c r="G2340" s="1050"/>
    </row>
    <row r="2341" spans="1:7">
      <c r="A2341" s="1079"/>
      <c r="B2341" s="1050"/>
      <c r="C2341" s="1050"/>
      <c r="D2341" s="1050"/>
      <c r="E2341" s="1050"/>
      <c r="F2341" s="1050"/>
      <c r="G2341" s="1050"/>
    </row>
    <row r="2342" spans="1:7">
      <c r="A2342" s="1079"/>
      <c r="B2342" s="1050"/>
      <c r="C2342" s="1050"/>
      <c r="D2342" s="1050"/>
      <c r="E2342" s="1050"/>
      <c r="F2342" s="1050"/>
      <c r="G2342" s="1050"/>
    </row>
    <row r="2343" spans="1:7">
      <c r="A2343" s="1079"/>
      <c r="B2343" s="1050"/>
      <c r="C2343" s="1050"/>
      <c r="D2343" s="1050"/>
      <c r="E2343" s="1050"/>
      <c r="F2343" s="1050"/>
      <c r="G2343" s="1050"/>
    </row>
    <row r="2344" spans="1:7">
      <c r="A2344" s="1079"/>
      <c r="B2344" s="1050"/>
      <c r="C2344" s="1050"/>
      <c r="D2344" s="1050"/>
      <c r="E2344" s="1050"/>
      <c r="F2344" s="1050"/>
      <c r="G2344" s="1050"/>
    </row>
    <row r="2345" spans="1:7">
      <c r="A2345" s="1079"/>
      <c r="B2345" s="1050"/>
      <c r="C2345" s="1050"/>
      <c r="D2345" s="1050"/>
      <c r="E2345" s="1050"/>
      <c r="F2345" s="1050"/>
      <c r="G2345" s="1050"/>
    </row>
    <row r="2346" spans="1:7">
      <c r="A2346" s="1079"/>
      <c r="B2346" s="1050"/>
      <c r="C2346" s="1050"/>
      <c r="D2346" s="1050"/>
      <c r="E2346" s="1050"/>
      <c r="F2346" s="1050"/>
      <c r="G2346" s="1050"/>
    </row>
    <row r="2347" spans="1:7">
      <c r="A2347" s="1079"/>
      <c r="B2347" s="1050"/>
      <c r="C2347" s="1050"/>
      <c r="D2347" s="1050"/>
      <c r="E2347" s="1050"/>
      <c r="F2347" s="1050"/>
      <c r="G2347" s="1050"/>
    </row>
    <row r="2348" spans="1:7">
      <c r="A2348" s="1079"/>
      <c r="B2348" s="1050"/>
      <c r="C2348" s="1050"/>
      <c r="D2348" s="1050"/>
      <c r="E2348" s="1050"/>
      <c r="F2348" s="1050"/>
      <c r="G2348" s="1050"/>
    </row>
    <row r="2349" spans="1:7">
      <c r="A2349" s="1079"/>
      <c r="B2349" s="1050"/>
      <c r="C2349" s="1050"/>
      <c r="D2349" s="1050"/>
      <c r="E2349" s="1050"/>
      <c r="F2349" s="1050"/>
      <c r="G2349" s="1050"/>
    </row>
    <row r="2350" spans="1:7">
      <c r="A2350" s="1079"/>
      <c r="B2350" s="1050"/>
      <c r="C2350" s="1050"/>
      <c r="D2350" s="1050"/>
      <c r="E2350" s="1050"/>
      <c r="F2350" s="1050"/>
      <c r="G2350" s="1050"/>
    </row>
    <row r="2351" spans="1:7">
      <c r="A2351" s="1079"/>
      <c r="B2351" s="1050"/>
      <c r="C2351" s="1050"/>
      <c r="D2351" s="1050"/>
      <c r="E2351" s="1050"/>
      <c r="F2351" s="1050"/>
      <c r="G2351" s="1050"/>
    </row>
    <row r="2352" spans="1:7">
      <c r="A2352" s="1079"/>
      <c r="B2352" s="1050"/>
      <c r="C2352" s="1050"/>
      <c r="D2352" s="1050"/>
      <c r="E2352" s="1050"/>
      <c r="F2352" s="1050"/>
      <c r="G2352" s="1050"/>
    </row>
    <row r="2353" spans="1:7">
      <c r="A2353" s="1079"/>
      <c r="B2353" s="1050"/>
      <c r="C2353" s="1050"/>
      <c r="D2353" s="1050"/>
      <c r="E2353" s="1050"/>
      <c r="F2353" s="1050"/>
      <c r="G2353" s="1050"/>
    </row>
    <row r="2354" spans="1:7">
      <c r="A2354" s="1079"/>
      <c r="B2354" s="1050"/>
      <c r="C2354" s="1050"/>
      <c r="D2354" s="1050"/>
      <c r="E2354" s="1050"/>
      <c r="F2354" s="1050"/>
      <c r="G2354" s="1050"/>
    </row>
    <row r="2355" spans="1:7">
      <c r="A2355" s="1079"/>
      <c r="B2355" s="1050"/>
      <c r="C2355" s="1050"/>
      <c r="D2355" s="1050"/>
      <c r="E2355" s="1050"/>
      <c r="F2355" s="1050"/>
      <c r="G2355" s="1050"/>
    </row>
    <row r="2356" spans="1:7">
      <c r="A2356" s="1079"/>
      <c r="B2356" s="1050"/>
      <c r="C2356" s="1050"/>
      <c r="D2356" s="1050"/>
      <c r="E2356" s="1050"/>
      <c r="F2356" s="1050"/>
      <c r="G2356" s="1050"/>
    </row>
    <row r="2357" spans="1:7">
      <c r="A2357" s="1079"/>
      <c r="B2357" s="1050"/>
      <c r="C2357" s="1050"/>
      <c r="D2357" s="1050"/>
      <c r="E2357" s="1050"/>
      <c r="F2357" s="1050"/>
      <c r="G2357" s="1050"/>
    </row>
    <row r="2358" spans="1:7">
      <c r="A2358" s="1079"/>
      <c r="B2358" s="1050"/>
      <c r="C2358" s="1050"/>
      <c r="D2358" s="1050"/>
      <c r="E2358" s="1050"/>
      <c r="F2358" s="1050"/>
      <c r="G2358" s="1050"/>
    </row>
    <row r="2359" spans="1:7">
      <c r="A2359" s="1079"/>
      <c r="B2359" s="1050"/>
      <c r="C2359" s="1050"/>
      <c r="D2359" s="1050"/>
      <c r="E2359" s="1050"/>
      <c r="F2359" s="1050"/>
      <c r="G2359" s="1050"/>
    </row>
    <row r="2360" spans="1:7">
      <c r="A2360" s="1079"/>
      <c r="B2360" s="1050"/>
      <c r="C2360" s="1050"/>
      <c r="D2360" s="1050"/>
      <c r="E2360" s="1050"/>
      <c r="F2360" s="1050"/>
      <c r="G2360" s="1050"/>
    </row>
    <row r="2361" spans="1:7">
      <c r="A2361" s="1079"/>
      <c r="B2361" s="1050"/>
      <c r="C2361" s="1050"/>
      <c r="D2361" s="1050"/>
      <c r="E2361" s="1050"/>
      <c r="F2361" s="1050"/>
      <c r="G2361" s="1050"/>
    </row>
    <row r="2362" spans="1:7">
      <c r="A2362" s="1079"/>
      <c r="B2362" s="1050"/>
      <c r="C2362" s="1050"/>
      <c r="D2362" s="1050"/>
      <c r="E2362" s="1050"/>
      <c r="F2362" s="1050"/>
      <c r="G2362" s="1050"/>
    </row>
    <row r="2363" spans="1:7">
      <c r="A2363" s="1079"/>
      <c r="B2363" s="1050"/>
      <c r="C2363" s="1050"/>
      <c r="D2363" s="1050"/>
      <c r="E2363" s="1050"/>
      <c r="F2363" s="1050"/>
      <c r="G2363" s="1050"/>
    </row>
    <row r="2364" spans="1:7">
      <c r="A2364" s="1079"/>
      <c r="B2364" s="1050"/>
      <c r="C2364" s="1050"/>
      <c r="D2364" s="1050"/>
      <c r="E2364" s="1050"/>
      <c r="F2364" s="1050"/>
      <c r="G2364" s="1050"/>
    </row>
    <row r="2365" spans="1:7">
      <c r="A2365" s="1079"/>
      <c r="B2365" s="1050"/>
      <c r="C2365" s="1050"/>
      <c r="D2365" s="1050"/>
      <c r="E2365" s="1050"/>
      <c r="F2365" s="1050"/>
      <c r="G2365" s="1050"/>
    </row>
    <row r="2366" spans="1:7">
      <c r="A2366" s="1079"/>
      <c r="B2366" s="1050"/>
      <c r="C2366" s="1050"/>
      <c r="D2366" s="1050"/>
      <c r="E2366" s="1050"/>
      <c r="F2366" s="1050"/>
      <c r="G2366" s="1050"/>
    </row>
    <row r="2367" spans="1:7">
      <c r="A2367" s="1079"/>
      <c r="B2367" s="1050"/>
      <c r="C2367" s="1050"/>
      <c r="D2367" s="1050"/>
      <c r="E2367" s="1050"/>
      <c r="F2367" s="1050"/>
      <c r="G2367" s="1050"/>
    </row>
    <row r="2368" spans="1:7">
      <c r="A2368" s="1079"/>
      <c r="B2368" s="1050"/>
      <c r="C2368" s="1050"/>
      <c r="D2368" s="1050"/>
      <c r="E2368" s="1050"/>
      <c r="F2368" s="1050"/>
      <c r="G2368" s="1050"/>
    </row>
    <row r="2369" spans="1:7">
      <c r="A2369" s="1079"/>
      <c r="B2369" s="1050"/>
      <c r="C2369" s="1050"/>
      <c r="D2369" s="1050"/>
      <c r="E2369" s="1050"/>
      <c r="F2369" s="1050"/>
      <c r="G2369" s="1050"/>
    </row>
    <row r="2370" spans="1:7">
      <c r="A2370" s="1079"/>
      <c r="B2370" s="1050"/>
      <c r="C2370" s="1050"/>
      <c r="D2370" s="1050"/>
      <c r="E2370" s="1050"/>
      <c r="F2370" s="1050"/>
      <c r="G2370" s="1050"/>
    </row>
    <row r="2371" spans="1:7">
      <c r="A2371" s="1079"/>
      <c r="B2371" s="1050"/>
      <c r="C2371" s="1050"/>
      <c r="D2371" s="1050"/>
      <c r="E2371" s="1050"/>
      <c r="F2371" s="1050"/>
      <c r="G2371" s="1050"/>
    </row>
    <row r="2372" spans="1:7">
      <c r="A2372" s="1079"/>
      <c r="B2372" s="1050"/>
      <c r="C2372" s="1050"/>
      <c r="D2372" s="1050"/>
      <c r="E2372" s="1050"/>
      <c r="F2372" s="1050"/>
      <c r="G2372" s="1050"/>
    </row>
    <row r="2373" spans="1:7">
      <c r="A2373" s="1079"/>
      <c r="B2373" s="1050"/>
      <c r="C2373" s="1050"/>
      <c r="D2373" s="1050"/>
      <c r="E2373" s="1050"/>
      <c r="F2373" s="1050"/>
      <c r="G2373" s="1050"/>
    </row>
    <row r="2374" spans="1:7">
      <c r="A2374" s="1079"/>
      <c r="B2374" s="1050"/>
      <c r="C2374" s="1050"/>
      <c r="D2374" s="1050"/>
      <c r="E2374" s="1050"/>
      <c r="F2374" s="1050"/>
      <c r="G2374" s="1050"/>
    </row>
    <row r="2375" spans="1:7">
      <c r="A2375" s="1079"/>
      <c r="B2375" s="1050"/>
      <c r="C2375" s="1050"/>
      <c r="D2375" s="1050"/>
      <c r="E2375" s="1050"/>
      <c r="F2375" s="1050"/>
      <c r="G2375" s="1050"/>
    </row>
    <row r="2376" spans="1:7">
      <c r="A2376" s="1079"/>
      <c r="B2376" s="1050"/>
      <c r="C2376" s="1050"/>
      <c r="D2376" s="1050"/>
      <c r="E2376" s="1050"/>
      <c r="F2376" s="1050"/>
      <c r="G2376" s="1050"/>
    </row>
    <row r="2377" spans="1:7">
      <c r="A2377" s="1079"/>
      <c r="B2377" s="1050"/>
      <c r="C2377" s="1050"/>
      <c r="D2377" s="1050"/>
      <c r="E2377" s="1050"/>
      <c r="F2377" s="1050"/>
      <c r="G2377" s="1050"/>
    </row>
    <row r="2378" spans="1:7">
      <c r="A2378" s="1079"/>
      <c r="B2378" s="1050"/>
      <c r="C2378" s="1050"/>
      <c r="D2378" s="1050"/>
      <c r="E2378" s="1050"/>
      <c r="F2378" s="1050"/>
      <c r="G2378" s="1050"/>
    </row>
    <row r="2379" spans="1:7">
      <c r="A2379" s="1079"/>
      <c r="B2379" s="1050"/>
      <c r="C2379" s="1050"/>
      <c r="D2379" s="1050"/>
      <c r="E2379" s="1050"/>
      <c r="F2379" s="1050"/>
      <c r="G2379" s="1050"/>
    </row>
    <row r="2380" spans="1:7">
      <c r="A2380" s="1079"/>
      <c r="B2380" s="1050"/>
      <c r="C2380" s="1050"/>
      <c r="D2380" s="1050"/>
      <c r="E2380" s="1050"/>
      <c r="F2380" s="1050"/>
      <c r="G2380" s="1050"/>
    </row>
    <row r="2381" spans="1:7">
      <c r="A2381" s="1079"/>
      <c r="B2381" s="1050"/>
      <c r="C2381" s="1050"/>
      <c r="D2381" s="1050"/>
      <c r="E2381" s="1050"/>
      <c r="F2381" s="1050"/>
      <c r="G2381" s="1050"/>
    </row>
    <row r="2382" spans="1:7">
      <c r="A2382" s="1079"/>
      <c r="B2382" s="1050"/>
      <c r="C2382" s="1050"/>
      <c r="D2382" s="1050"/>
      <c r="E2382" s="1050"/>
      <c r="F2382" s="1050"/>
      <c r="G2382" s="1050"/>
    </row>
    <row r="2383" spans="1:7">
      <c r="A2383" s="1079"/>
      <c r="B2383" s="1050"/>
      <c r="C2383" s="1050"/>
      <c r="D2383" s="1050"/>
      <c r="E2383" s="1050"/>
      <c r="F2383" s="1050"/>
      <c r="G2383" s="1050"/>
    </row>
    <row r="2384" spans="1:7">
      <c r="A2384" s="1079"/>
      <c r="B2384" s="1050"/>
      <c r="C2384" s="1050"/>
      <c r="D2384" s="1050"/>
      <c r="E2384" s="1050"/>
      <c r="F2384" s="1050"/>
      <c r="G2384" s="1050"/>
    </row>
    <row r="2385" spans="1:7">
      <c r="A2385" s="1079"/>
      <c r="B2385" s="1050"/>
      <c r="C2385" s="1050"/>
      <c r="D2385" s="1050"/>
      <c r="E2385" s="1050"/>
      <c r="F2385" s="1050"/>
      <c r="G2385" s="1050"/>
    </row>
    <row r="2386" spans="1:7">
      <c r="A2386" s="1079"/>
      <c r="B2386" s="1050"/>
      <c r="C2386" s="1050"/>
      <c r="D2386" s="1050"/>
      <c r="E2386" s="1050"/>
      <c r="F2386" s="1050"/>
      <c r="G2386" s="1050"/>
    </row>
    <row r="2387" spans="1:7">
      <c r="A2387" s="1079"/>
      <c r="B2387" s="1050"/>
      <c r="C2387" s="1050"/>
      <c r="D2387" s="1050"/>
      <c r="E2387" s="1050"/>
      <c r="F2387" s="1050"/>
      <c r="G2387" s="1050"/>
    </row>
    <row r="2388" spans="1:7">
      <c r="A2388" s="1079"/>
      <c r="B2388" s="1050"/>
      <c r="C2388" s="1050"/>
      <c r="D2388" s="1050"/>
      <c r="E2388" s="1050"/>
      <c r="F2388" s="1050"/>
      <c r="G2388" s="1050"/>
    </row>
    <row r="2389" spans="1:7">
      <c r="A2389" s="1079"/>
      <c r="B2389" s="1050"/>
      <c r="C2389" s="1050"/>
      <c r="D2389" s="1050"/>
      <c r="E2389" s="1050"/>
      <c r="F2389" s="1050"/>
      <c r="G2389" s="1050"/>
    </row>
    <row r="2390" spans="1:7">
      <c r="A2390" s="1079"/>
      <c r="B2390" s="1050"/>
      <c r="C2390" s="1050"/>
      <c r="D2390" s="1050"/>
      <c r="E2390" s="1050"/>
      <c r="F2390" s="1050"/>
      <c r="G2390" s="1050"/>
    </row>
    <row r="2391" spans="1:7">
      <c r="A2391" s="1079"/>
      <c r="B2391" s="1050"/>
      <c r="C2391" s="1050"/>
      <c r="D2391" s="1050"/>
      <c r="E2391" s="1050"/>
      <c r="F2391" s="1050"/>
      <c r="G2391" s="1050"/>
    </row>
    <row r="2392" spans="1:7">
      <c r="A2392" s="1079"/>
      <c r="B2392" s="1050"/>
      <c r="C2392" s="1050"/>
      <c r="D2392" s="1050"/>
      <c r="E2392" s="1050"/>
      <c r="F2392" s="1050"/>
      <c r="G2392" s="1050"/>
    </row>
    <row r="2393" spans="1:7">
      <c r="A2393" s="1079"/>
      <c r="B2393" s="1050"/>
      <c r="C2393" s="1050"/>
      <c r="D2393" s="1050"/>
      <c r="E2393" s="1050"/>
      <c r="F2393" s="1050"/>
      <c r="G2393" s="1050"/>
    </row>
    <row r="2394" spans="1:7">
      <c r="A2394" s="1079"/>
      <c r="B2394" s="1050"/>
      <c r="C2394" s="1050"/>
      <c r="D2394" s="1050"/>
      <c r="E2394" s="1050"/>
      <c r="F2394" s="1050"/>
      <c r="G2394" s="1050"/>
    </row>
    <row r="2395" spans="1:7">
      <c r="A2395" s="1079"/>
      <c r="B2395" s="1050"/>
      <c r="C2395" s="1050"/>
      <c r="D2395" s="1050"/>
      <c r="E2395" s="1050"/>
      <c r="F2395" s="1050"/>
      <c r="G2395" s="1050"/>
    </row>
    <row r="2396" spans="1:7">
      <c r="A2396" s="1079"/>
      <c r="B2396" s="1050"/>
      <c r="C2396" s="1050"/>
      <c r="D2396" s="1050"/>
      <c r="E2396" s="1050"/>
      <c r="F2396" s="1050"/>
      <c r="G2396" s="1050"/>
    </row>
    <row r="2397" spans="1:7">
      <c r="A2397" s="1079"/>
      <c r="B2397" s="1050"/>
      <c r="C2397" s="1050"/>
      <c r="D2397" s="1050"/>
      <c r="E2397" s="1050"/>
      <c r="F2397" s="1050"/>
      <c r="G2397" s="1050"/>
    </row>
    <row r="2398" spans="1:7">
      <c r="A2398" s="1079"/>
      <c r="B2398" s="1050"/>
      <c r="C2398" s="1050"/>
      <c r="D2398" s="1050"/>
      <c r="E2398" s="1050"/>
      <c r="F2398" s="1050"/>
      <c r="G2398" s="1050"/>
    </row>
    <row r="2399" spans="1:7">
      <c r="A2399" s="1079"/>
      <c r="B2399" s="1050"/>
      <c r="C2399" s="1050"/>
      <c r="D2399" s="1050"/>
      <c r="E2399" s="1050"/>
      <c r="F2399" s="1050"/>
      <c r="G2399" s="1050"/>
    </row>
    <row r="2400" spans="1:7">
      <c r="A2400" s="1079"/>
      <c r="B2400" s="1050"/>
      <c r="C2400" s="1050"/>
      <c r="D2400" s="1050"/>
      <c r="E2400" s="1050"/>
      <c r="F2400" s="1050"/>
      <c r="G2400" s="1050"/>
    </row>
    <row r="2401" spans="1:7">
      <c r="A2401" s="1079"/>
      <c r="B2401" s="1050"/>
      <c r="C2401" s="1050"/>
      <c r="D2401" s="1050"/>
      <c r="E2401" s="1050"/>
      <c r="F2401" s="1050"/>
      <c r="G2401" s="1050"/>
    </row>
    <row r="2402" spans="1:7">
      <c r="A2402" s="1079"/>
      <c r="B2402" s="1050"/>
      <c r="C2402" s="1050"/>
      <c r="D2402" s="1050"/>
      <c r="E2402" s="1050"/>
      <c r="F2402" s="1050"/>
      <c r="G2402" s="1050"/>
    </row>
    <row r="2403" spans="1:7">
      <c r="A2403" s="1079"/>
      <c r="B2403" s="1050"/>
      <c r="C2403" s="1050"/>
      <c r="D2403" s="1050"/>
      <c r="E2403" s="1050"/>
      <c r="F2403" s="1050"/>
      <c r="G2403" s="1050"/>
    </row>
    <row r="2404" spans="1:7">
      <c r="A2404" s="1079"/>
      <c r="B2404" s="1050"/>
      <c r="C2404" s="1050"/>
      <c r="D2404" s="1050"/>
      <c r="E2404" s="1050"/>
      <c r="F2404" s="1050"/>
      <c r="G2404" s="1050"/>
    </row>
    <row r="2405" spans="1:7">
      <c r="A2405" s="1079"/>
      <c r="B2405" s="1050"/>
      <c r="C2405" s="1050"/>
      <c r="D2405" s="1050"/>
      <c r="E2405" s="1050"/>
      <c r="F2405" s="1050"/>
      <c r="G2405" s="1050"/>
    </row>
    <row r="2406" spans="1:7">
      <c r="A2406" s="1079"/>
      <c r="B2406" s="1050"/>
      <c r="C2406" s="1050"/>
      <c r="D2406" s="1050"/>
      <c r="E2406" s="1050"/>
      <c r="F2406" s="1050"/>
      <c r="G2406" s="1050"/>
    </row>
    <row r="2407" spans="1:7">
      <c r="A2407" s="1079"/>
      <c r="B2407" s="1050"/>
      <c r="C2407" s="1050"/>
      <c r="D2407" s="1050"/>
      <c r="E2407" s="1050"/>
      <c r="F2407" s="1050"/>
      <c r="G2407" s="1050"/>
    </row>
    <row r="2408" spans="1:7">
      <c r="A2408" s="1079"/>
      <c r="B2408" s="1050"/>
      <c r="C2408" s="1050"/>
      <c r="D2408" s="1050"/>
      <c r="E2408" s="1050"/>
      <c r="F2408" s="1050"/>
      <c r="G2408" s="1050"/>
    </row>
    <row r="2409" spans="1:7">
      <c r="A2409" s="1079"/>
      <c r="B2409" s="1050"/>
      <c r="C2409" s="1050"/>
      <c r="D2409" s="1050"/>
      <c r="E2409" s="1050"/>
      <c r="F2409" s="1050"/>
      <c r="G2409" s="1050"/>
    </row>
    <row r="2410" spans="1:7">
      <c r="A2410" s="1079"/>
      <c r="B2410" s="1050"/>
      <c r="C2410" s="1050"/>
      <c r="D2410" s="1050"/>
      <c r="E2410" s="1050"/>
      <c r="F2410" s="1050"/>
      <c r="G2410" s="1050"/>
    </row>
    <row r="2411" spans="1:7">
      <c r="A2411" s="1079"/>
      <c r="B2411" s="1050"/>
      <c r="C2411" s="1050"/>
      <c r="D2411" s="1050"/>
      <c r="E2411" s="1050"/>
      <c r="F2411" s="1050"/>
      <c r="G2411" s="1050"/>
    </row>
    <row r="2412" spans="1:7">
      <c r="A2412" s="1079"/>
      <c r="B2412" s="1050"/>
      <c r="C2412" s="1050"/>
      <c r="D2412" s="1050"/>
      <c r="E2412" s="1050"/>
      <c r="F2412" s="1050"/>
      <c r="G2412" s="1050"/>
    </row>
    <row r="2413" spans="1:7">
      <c r="A2413" s="1079"/>
      <c r="B2413" s="1050"/>
      <c r="C2413" s="1050"/>
      <c r="D2413" s="1050"/>
      <c r="E2413" s="1050"/>
      <c r="F2413" s="1050"/>
      <c r="G2413" s="1050"/>
    </row>
    <row r="2414" spans="1:7">
      <c r="A2414" s="1079"/>
      <c r="B2414" s="1050"/>
      <c r="C2414" s="1050"/>
      <c r="D2414" s="1050"/>
      <c r="E2414" s="1050"/>
      <c r="F2414" s="1050"/>
      <c r="G2414" s="1050"/>
    </row>
    <row r="2415" spans="1:7">
      <c r="A2415" s="1079"/>
      <c r="B2415" s="1050"/>
      <c r="C2415" s="1050"/>
      <c r="D2415" s="1050"/>
      <c r="E2415" s="1050"/>
      <c r="F2415" s="1050"/>
      <c r="G2415" s="1050"/>
    </row>
    <row r="2416" spans="1:7">
      <c r="A2416" s="1079"/>
      <c r="B2416" s="1050"/>
      <c r="C2416" s="1050"/>
      <c r="D2416" s="1050"/>
      <c r="E2416" s="1050"/>
      <c r="F2416" s="1050"/>
      <c r="G2416" s="1050"/>
    </row>
    <row r="2417" spans="1:7">
      <c r="A2417" s="1079"/>
      <c r="B2417" s="1050"/>
      <c r="C2417" s="1050"/>
      <c r="D2417" s="1050"/>
      <c r="E2417" s="1050"/>
      <c r="F2417" s="1050"/>
      <c r="G2417" s="1050"/>
    </row>
    <row r="2418" spans="1:7">
      <c r="A2418" s="1079"/>
      <c r="B2418" s="1050"/>
      <c r="C2418" s="1050"/>
      <c r="D2418" s="1050"/>
      <c r="E2418" s="1050"/>
      <c r="F2418" s="1050"/>
      <c r="G2418" s="1050"/>
    </row>
    <row r="2419" spans="1:7">
      <c r="A2419" s="1079"/>
      <c r="B2419" s="1050"/>
      <c r="C2419" s="1050"/>
      <c r="D2419" s="1050"/>
      <c r="E2419" s="1050"/>
      <c r="F2419" s="1050"/>
      <c r="G2419" s="1050"/>
    </row>
    <row r="2420" spans="1:7">
      <c r="A2420" s="1079"/>
      <c r="B2420" s="1050"/>
      <c r="C2420" s="1050"/>
      <c r="D2420" s="1050"/>
      <c r="E2420" s="1050"/>
      <c r="F2420" s="1050"/>
      <c r="G2420" s="1050"/>
    </row>
    <row r="2421" spans="1:7">
      <c r="A2421" s="1079"/>
      <c r="B2421" s="1050"/>
      <c r="C2421" s="1050"/>
      <c r="D2421" s="1050"/>
      <c r="E2421" s="1050"/>
      <c r="F2421" s="1050"/>
      <c r="G2421" s="1050"/>
    </row>
    <row r="2422" spans="1:7">
      <c r="A2422" s="1079"/>
      <c r="B2422" s="1050"/>
      <c r="C2422" s="1050"/>
      <c r="D2422" s="1050"/>
      <c r="E2422" s="1050"/>
      <c r="F2422" s="1050"/>
      <c r="G2422" s="1050"/>
    </row>
    <row r="2423" spans="1:7">
      <c r="A2423" s="1079"/>
      <c r="B2423" s="1050"/>
      <c r="C2423" s="1050"/>
      <c r="D2423" s="1050"/>
      <c r="E2423" s="1050"/>
      <c r="F2423" s="1050"/>
      <c r="G2423" s="1050"/>
    </row>
    <row r="2424" spans="1:7">
      <c r="A2424" s="1079"/>
      <c r="B2424" s="1050"/>
      <c r="C2424" s="1050"/>
      <c r="D2424" s="1050"/>
      <c r="E2424" s="1050"/>
      <c r="F2424" s="1050"/>
      <c r="G2424" s="1050"/>
    </row>
    <row r="2425" spans="1:7">
      <c r="A2425" s="1079"/>
      <c r="B2425" s="1050"/>
      <c r="C2425" s="1050"/>
      <c r="D2425" s="1050"/>
      <c r="E2425" s="1050"/>
      <c r="F2425" s="1050"/>
      <c r="G2425" s="1050"/>
    </row>
    <row r="2426" spans="1:7">
      <c r="A2426" s="1079"/>
      <c r="B2426" s="1050"/>
      <c r="C2426" s="1050"/>
      <c r="D2426" s="1050"/>
      <c r="E2426" s="1050"/>
      <c r="F2426" s="1050"/>
      <c r="G2426" s="1050"/>
    </row>
    <row r="2427" spans="1:7">
      <c r="A2427" s="1079"/>
      <c r="B2427" s="1050"/>
      <c r="C2427" s="1050"/>
      <c r="D2427" s="1050"/>
      <c r="E2427" s="1050"/>
      <c r="F2427" s="1050"/>
      <c r="G2427" s="1050"/>
    </row>
    <row r="2428" spans="1:7">
      <c r="A2428" s="1079"/>
      <c r="B2428" s="1050"/>
      <c r="C2428" s="1050"/>
      <c r="D2428" s="1050"/>
      <c r="E2428" s="1050"/>
      <c r="F2428" s="1050"/>
      <c r="G2428" s="1050"/>
    </row>
    <row r="2429" spans="1:7">
      <c r="A2429" s="1079"/>
      <c r="B2429" s="1050"/>
      <c r="C2429" s="1050"/>
      <c r="D2429" s="1050"/>
      <c r="E2429" s="1050"/>
      <c r="F2429" s="1050"/>
      <c r="G2429" s="1050"/>
    </row>
    <row r="2430" spans="1:7">
      <c r="A2430" s="1079"/>
      <c r="B2430" s="1050"/>
      <c r="C2430" s="1050"/>
      <c r="D2430" s="1050"/>
      <c r="E2430" s="1050"/>
      <c r="F2430" s="1050"/>
      <c r="G2430" s="1050"/>
    </row>
    <row r="2431" spans="1:7">
      <c r="A2431" s="1079"/>
      <c r="B2431" s="1050"/>
      <c r="C2431" s="1050"/>
      <c r="D2431" s="1050"/>
      <c r="E2431" s="1050"/>
      <c r="F2431" s="1050"/>
      <c r="G2431" s="1050"/>
    </row>
    <row r="2432" spans="1:7">
      <c r="A2432" s="1079"/>
      <c r="B2432" s="1050"/>
      <c r="C2432" s="1050"/>
      <c r="D2432" s="1050"/>
      <c r="E2432" s="1050"/>
      <c r="F2432" s="1050"/>
      <c r="G2432" s="1050"/>
    </row>
    <row r="2433" spans="1:7">
      <c r="A2433" s="1079"/>
      <c r="B2433" s="1050"/>
      <c r="C2433" s="1050"/>
      <c r="D2433" s="1050"/>
      <c r="E2433" s="1050"/>
      <c r="F2433" s="1050"/>
      <c r="G2433" s="1050"/>
    </row>
    <row r="2434" spans="1:7">
      <c r="A2434" s="1079"/>
      <c r="B2434" s="1050"/>
      <c r="C2434" s="1050"/>
      <c r="D2434" s="1050"/>
      <c r="E2434" s="1050"/>
      <c r="F2434" s="1050"/>
      <c r="G2434" s="1050"/>
    </row>
    <row r="2435" spans="1:7">
      <c r="A2435" s="1079"/>
      <c r="B2435" s="1050"/>
      <c r="C2435" s="1050"/>
      <c r="D2435" s="1050"/>
      <c r="E2435" s="1050"/>
      <c r="F2435" s="1050"/>
      <c r="G2435" s="1050"/>
    </row>
    <row r="2436" spans="1:7">
      <c r="A2436" s="1079"/>
      <c r="B2436" s="1050"/>
      <c r="C2436" s="1050"/>
      <c r="D2436" s="1050"/>
      <c r="E2436" s="1050"/>
      <c r="F2436" s="1050"/>
      <c r="G2436" s="1050"/>
    </row>
    <row r="2437" spans="1:7">
      <c r="A2437" s="1079"/>
      <c r="B2437" s="1050"/>
      <c r="C2437" s="1050"/>
      <c r="D2437" s="1050"/>
      <c r="E2437" s="1050"/>
      <c r="F2437" s="1050"/>
      <c r="G2437" s="1050"/>
    </row>
    <row r="2438" spans="1:7">
      <c r="A2438" s="1079"/>
      <c r="B2438" s="1050"/>
      <c r="C2438" s="1050"/>
      <c r="D2438" s="1050"/>
      <c r="E2438" s="1050"/>
      <c r="F2438" s="1050"/>
      <c r="G2438" s="1050"/>
    </row>
    <row r="2439" spans="1:7">
      <c r="A2439" s="1079"/>
      <c r="B2439" s="1050"/>
      <c r="C2439" s="1050"/>
      <c r="D2439" s="1050"/>
      <c r="E2439" s="1050"/>
      <c r="F2439" s="1050"/>
      <c r="G2439" s="1050"/>
    </row>
    <row r="2440" spans="1:7">
      <c r="A2440" s="1079"/>
      <c r="B2440" s="1050"/>
      <c r="C2440" s="1050"/>
      <c r="D2440" s="1050"/>
      <c r="E2440" s="1050"/>
      <c r="F2440" s="1050"/>
      <c r="G2440" s="1050"/>
    </row>
    <row r="2441" spans="1:7">
      <c r="A2441" s="1079"/>
      <c r="B2441" s="1050"/>
      <c r="C2441" s="1050"/>
      <c r="D2441" s="1050"/>
      <c r="E2441" s="1050"/>
      <c r="F2441" s="1050"/>
      <c r="G2441" s="1050"/>
    </row>
    <row r="2442" spans="1:7">
      <c r="A2442" s="1079"/>
      <c r="B2442" s="1050"/>
      <c r="C2442" s="1050"/>
      <c r="D2442" s="1050"/>
      <c r="E2442" s="1050"/>
      <c r="F2442" s="1050"/>
      <c r="G2442" s="1050"/>
    </row>
    <row r="2443" spans="1:7">
      <c r="A2443" s="1079"/>
      <c r="B2443" s="1050"/>
      <c r="C2443" s="1050"/>
      <c r="D2443" s="1050"/>
      <c r="E2443" s="1050"/>
      <c r="F2443" s="1050"/>
      <c r="G2443" s="1050"/>
    </row>
    <row r="2444" spans="1:7">
      <c r="A2444" s="1079"/>
      <c r="B2444" s="1050"/>
      <c r="C2444" s="1050"/>
      <c r="D2444" s="1050"/>
      <c r="E2444" s="1050"/>
      <c r="F2444" s="1050"/>
      <c r="G2444" s="1050"/>
    </row>
    <row r="2445" spans="1:7">
      <c r="A2445" s="1079"/>
      <c r="B2445" s="1050"/>
      <c r="C2445" s="1050"/>
      <c r="D2445" s="1050"/>
      <c r="E2445" s="1050"/>
      <c r="F2445" s="1050"/>
      <c r="G2445" s="1050"/>
    </row>
    <row r="2446" spans="1:7">
      <c r="A2446" s="1079"/>
      <c r="B2446" s="1050"/>
      <c r="C2446" s="1050"/>
      <c r="D2446" s="1050"/>
      <c r="E2446" s="1050"/>
      <c r="F2446" s="1050"/>
      <c r="G2446" s="1050"/>
    </row>
    <row r="2447" spans="1:7">
      <c r="A2447" s="1079"/>
      <c r="B2447" s="1050"/>
      <c r="C2447" s="1050"/>
      <c r="D2447" s="1050"/>
      <c r="E2447" s="1050"/>
      <c r="F2447" s="1050"/>
      <c r="G2447" s="1050"/>
    </row>
    <row r="2448" spans="1:7">
      <c r="A2448" s="1079"/>
      <c r="B2448" s="1050"/>
      <c r="C2448" s="1050"/>
      <c r="D2448" s="1050"/>
      <c r="E2448" s="1050"/>
      <c r="F2448" s="1050"/>
      <c r="G2448" s="1050"/>
    </row>
    <row r="2449" spans="1:7">
      <c r="A2449" s="1079"/>
      <c r="B2449" s="1050"/>
      <c r="C2449" s="1050"/>
      <c r="D2449" s="1050"/>
      <c r="E2449" s="1050"/>
      <c r="F2449" s="1050"/>
      <c r="G2449" s="1050"/>
    </row>
    <row r="2450" spans="1:7">
      <c r="A2450" s="1079"/>
      <c r="B2450" s="1050"/>
      <c r="C2450" s="1050"/>
      <c r="D2450" s="1050"/>
      <c r="E2450" s="1050"/>
      <c r="F2450" s="1050"/>
      <c r="G2450" s="1050"/>
    </row>
    <row r="2451" spans="1:7">
      <c r="A2451" s="1079"/>
      <c r="B2451" s="1050"/>
      <c r="C2451" s="1050"/>
      <c r="D2451" s="1050"/>
      <c r="E2451" s="1050"/>
      <c r="F2451" s="1050"/>
      <c r="G2451" s="1050"/>
    </row>
    <row r="2452" spans="1:7">
      <c r="A2452" s="1079"/>
      <c r="B2452" s="1050"/>
      <c r="C2452" s="1050"/>
      <c r="D2452" s="1050"/>
      <c r="E2452" s="1050"/>
      <c r="F2452" s="1050"/>
      <c r="G2452" s="1050"/>
    </row>
    <row r="2453" spans="1:7">
      <c r="A2453" s="1079"/>
      <c r="B2453" s="1050"/>
      <c r="C2453" s="1050"/>
      <c r="D2453" s="1050"/>
      <c r="E2453" s="1050"/>
      <c r="F2453" s="1050"/>
      <c r="G2453" s="1050"/>
    </row>
    <row r="2454" spans="1:7">
      <c r="A2454" s="1079"/>
      <c r="B2454" s="1050"/>
      <c r="C2454" s="1050"/>
      <c r="D2454" s="1050"/>
      <c r="E2454" s="1050"/>
      <c r="F2454" s="1050"/>
      <c r="G2454" s="1050"/>
    </row>
    <row r="2455" spans="1:7">
      <c r="A2455" s="1079"/>
      <c r="B2455" s="1050"/>
      <c r="C2455" s="1050"/>
      <c r="D2455" s="1050"/>
      <c r="E2455" s="1050"/>
      <c r="F2455" s="1050"/>
      <c r="G2455" s="1050"/>
    </row>
    <row r="2456" spans="1:7">
      <c r="A2456" s="1079"/>
      <c r="B2456" s="1050"/>
      <c r="C2456" s="1050"/>
      <c r="D2456" s="1050"/>
      <c r="E2456" s="1050"/>
      <c r="F2456" s="1050"/>
      <c r="G2456" s="1050"/>
    </row>
    <row r="2457" spans="1:7">
      <c r="A2457" s="1079"/>
      <c r="B2457" s="1050"/>
      <c r="C2457" s="1050"/>
      <c r="D2457" s="1050"/>
      <c r="E2457" s="1050"/>
      <c r="F2457" s="1050"/>
      <c r="G2457" s="1050"/>
    </row>
    <row r="2458" spans="1:7">
      <c r="A2458" s="1079"/>
      <c r="B2458" s="1050"/>
      <c r="C2458" s="1050"/>
      <c r="D2458" s="1050"/>
      <c r="E2458" s="1050"/>
      <c r="F2458" s="1050"/>
      <c r="G2458" s="1050"/>
    </row>
    <row r="2459" spans="1:7">
      <c r="A2459" s="1079"/>
      <c r="B2459" s="1050"/>
      <c r="C2459" s="1050"/>
      <c r="D2459" s="1050"/>
      <c r="E2459" s="1050"/>
      <c r="F2459" s="1050"/>
      <c r="G2459" s="1050"/>
    </row>
    <row r="2460" spans="1:7">
      <c r="A2460" s="1079"/>
      <c r="B2460" s="1050"/>
      <c r="C2460" s="1050"/>
      <c r="D2460" s="1050"/>
      <c r="E2460" s="1050"/>
      <c r="F2460" s="1050"/>
      <c r="G2460" s="1050"/>
    </row>
    <row r="2461" spans="1:7">
      <c r="A2461" s="1079"/>
      <c r="B2461" s="1050"/>
      <c r="C2461" s="1050"/>
      <c r="D2461" s="1050"/>
      <c r="E2461" s="1050"/>
      <c r="F2461" s="1050"/>
      <c r="G2461" s="1050"/>
    </row>
    <row r="2462" spans="1:7">
      <c r="A2462" s="1079"/>
      <c r="B2462" s="1050"/>
      <c r="C2462" s="1050"/>
      <c r="D2462" s="1050"/>
      <c r="E2462" s="1050"/>
      <c r="F2462" s="1050"/>
      <c r="G2462" s="1050"/>
    </row>
    <row r="2463" spans="1:7">
      <c r="A2463" s="1079"/>
      <c r="B2463" s="1050"/>
      <c r="C2463" s="1050"/>
      <c r="D2463" s="1050"/>
      <c r="E2463" s="1050"/>
      <c r="F2463" s="1050"/>
      <c r="G2463" s="1050"/>
    </row>
    <row r="2464" spans="1:7">
      <c r="A2464" s="1079"/>
      <c r="B2464" s="1050"/>
      <c r="C2464" s="1050"/>
      <c r="D2464" s="1050"/>
      <c r="E2464" s="1050"/>
      <c r="F2464" s="1050"/>
      <c r="G2464" s="1050"/>
    </row>
    <row r="2465" spans="1:7">
      <c r="A2465" s="1079"/>
      <c r="B2465" s="1050"/>
      <c r="C2465" s="1050"/>
      <c r="D2465" s="1050"/>
      <c r="E2465" s="1050"/>
      <c r="F2465" s="1050"/>
      <c r="G2465" s="1050"/>
    </row>
    <row r="2466" spans="1:7">
      <c r="A2466" s="1079"/>
      <c r="B2466" s="1050"/>
      <c r="C2466" s="1050"/>
      <c r="D2466" s="1050"/>
      <c r="E2466" s="1050"/>
      <c r="F2466" s="1050"/>
      <c r="G2466" s="1050"/>
    </row>
    <row r="2467" spans="1:7">
      <c r="A2467" s="1079"/>
      <c r="B2467" s="1050"/>
      <c r="C2467" s="1050"/>
      <c r="D2467" s="1050"/>
      <c r="E2467" s="1050"/>
      <c r="F2467" s="1050"/>
      <c r="G2467" s="1050"/>
    </row>
    <row r="2468" spans="1:7">
      <c r="A2468" s="1079"/>
      <c r="B2468" s="1050"/>
      <c r="C2468" s="1050"/>
      <c r="D2468" s="1050"/>
      <c r="E2468" s="1050"/>
      <c r="F2468" s="1050"/>
      <c r="G2468" s="1050"/>
    </row>
    <row r="2469" spans="1:7">
      <c r="A2469" s="1079"/>
      <c r="B2469" s="1050"/>
      <c r="C2469" s="1050"/>
      <c r="D2469" s="1050"/>
      <c r="E2469" s="1050"/>
      <c r="F2469" s="1050"/>
      <c r="G2469" s="1050"/>
    </row>
    <row r="2470" spans="1:7">
      <c r="A2470" s="1079"/>
      <c r="B2470" s="1050"/>
      <c r="C2470" s="1050"/>
      <c r="D2470" s="1050"/>
      <c r="E2470" s="1050"/>
      <c r="F2470" s="1050"/>
      <c r="G2470" s="1050"/>
    </row>
    <row r="2471" spans="1:7">
      <c r="A2471" s="1079"/>
      <c r="B2471" s="1050"/>
      <c r="C2471" s="1050"/>
      <c r="D2471" s="1050"/>
      <c r="E2471" s="1050"/>
      <c r="F2471" s="1050"/>
      <c r="G2471" s="1050"/>
    </row>
    <row r="2472" spans="1:7">
      <c r="A2472" s="1079"/>
      <c r="B2472" s="1050"/>
      <c r="C2472" s="1050"/>
      <c r="D2472" s="1050"/>
      <c r="E2472" s="1050"/>
      <c r="F2472" s="1050"/>
      <c r="G2472" s="1050"/>
    </row>
    <row r="2473" spans="1:7">
      <c r="A2473" s="1079"/>
      <c r="B2473" s="1050"/>
      <c r="C2473" s="1050"/>
      <c r="D2473" s="1050"/>
      <c r="E2473" s="1050"/>
      <c r="F2473" s="1050"/>
      <c r="G2473" s="1050"/>
    </row>
    <row r="2474" spans="1:7">
      <c r="A2474" s="1079"/>
      <c r="B2474" s="1050"/>
      <c r="C2474" s="1050"/>
      <c r="D2474" s="1050"/>
      <c r="E2474" s="1050"/>
      <c r="F2474" s="1050"/>
      <c r="G2474" s="1050"/>
    </row>
    <row r="2475" spans="1:7">
      <c r="A2475" s="1079"/>
      <c r="B2475" s="1050"/>
      <c r="C2475" s="1050"/>
      <c r="D2475" s="1050"/>
      <c r="E2475" s="1050"/>
      <c r="F2475" s="1050"/>
      <c r="G2475" s="1050"/>
    </row>
    <row r="2476" spans="1:7">
      <c r="A2476" s="1079"/>
      <c r="B2476" s="1050"/>
      <c r="C2476" s="1050"/>
      <c r="D2476" s="1050"/>
      <c r="E2476" s="1050"/>
      <c r="F2476" s="1050"/>
      <c r="G2476" s="1050"/>
    </row>
    <row r="2477" spans="1:7">
      <c r="A2477" s="1079"/>
      <c r="B2477" s="1050"/>
      <c r="C2477" s="1050"/>
      <c r="D2477" s="1050"/>
      <c r="E2477" s="1050"/>
      <c r="F2477" s="1050"/>
      <c r="G2477" s="1050"/>
    </row>
    <row r="2478" spans="1:7">
      <c r="A2478" s="1079"/>
      <c r="B2478" s="1050"/>
      <c r="C2478" s="1050"/>
      <c r="D2478" s="1050"/>
      <c r="E2478" s="1050"/>
      <c r="F2478" s="1050"/>
      <c r="G2478" s="1050"/>
    </row>
    <row r="2479" spans="1:7">
      <c r="A2479" s="1079"/>
      <c r="B2479" s="1050"/>
      <c r="C2479" s="1050"/>
      <c r="D2479" s="1050"/>
      <c r="E2479" s="1050"/>
      <c r="F2479" s="1050"/>
      <c r="G2479" s="1050"/>
    </row>
    <row r="2480" spans="1:7">
      <c r="A2480" s="1079"/>
      <c r="B2480" s="1050"/>
      <c r="C2480" s="1050"/>
      <c r="D2480" s="1050"/>
      <c r="E2480" s="1050"/>
      <c r="F2480" s="1050"/>
      <c r="G2480" s="1050"/>
    </row>
    <row r="2481" spans="1:7">
      <c r="A2481" s="1079"/>
      <c r="B2481" s="1050"/>
      <c r="C2481" s="1050"/>
      <c r="D2481" s="1050"/>
      <c r="E2481" s="1050"/>
      <c r="F2481" s="1050"/>
      <c r="G2481" s="1050"/>
    </row>
    <row r="2482" spans="1:7">
      <c r="A2482" s="1079"/>
      <c r="B2482" s="1050"/>
      <c r="C2482" s="1050"/>
      <c r="D2482" s="1050"/>
      <c r="E2482" s="1050"/>
      <c r="F2482" s="1050"/>
      <c r="G2482" s="1050"/>
    </row>
    <row r="2483" spans="1:7">
      <c r="A2483" s="1079"/>
      <c r="B2483" s="1050"/>
      <c r="C2483" s="1050"/>
      <c r="D2483" s="1050"/>
      <c r="E2483" s="1050"/>
      <c r="F2483" s="1050"/>
      <c r="G2483" s="1050"/>
    </row>
    <row r="2484" spans="1:7">
      <c r="A2484" s="1079"/>
      <c r="B2484" s="1050"/>
      <c r="C2484" s="1050"/>
      <c r="D2484" s="1050"/>
      <c r="E2484" s="1050"/>
      <c r="F2484" s="1050"/>
      <c r="G2484" s="1050"/>
    </row>
    <row r="2485" spans="1:7">
      <c r="A2485" s="1079"/>
      <c r="B2485" s="1050"/>
      <c r="C2485" s="1050"/>
      <c r="D2485" s="1050"/>
      <c r="E2485" s="1050"/>
      <c r="F2485" s="1050"/>
      <c r="G2485" s="1050"/>
    </row>
    <row r="2486" spans="1:7">
      <c r="A2486" s="1079"/>
      <c r="B2486" s="1050"/>
      <c r="C2486" s="1050"/>
      <c r="D2486" s="1050"/>
      <c r="E2486" s="1050"/>
      <c r="F2486" s="1050"/>
      <c r="G2486" s="1050"/>
    </row>
    <row r="2487" spans="1:7">
      <c r="A2487" s="1079"/>
      <c r="B2487" s="1050"/>
      <c r="C2487" s="1050"/>
      <c r="D2487" s="1050"/>
      <c r="E2487" s="1050"/>
      <c r="F2487" s="1050"/>
      <c r="G2487" s="1050"/>
    </row>
    <row r="2488" spans="1:7">
      <c r="A2488" s="1079"/>
      <c r="B2488" s="1050"/>
      <c r="C2488" s="1050"/>
      <c r="D2488" s="1050"/>
      <c r="E2488" s="1050"/>
      <c r="F2488" s="1050"/>
      <c r="G2488" s="1050"/>
    </row>
    <row r="2489" spans="1:7">
      <c r="A2489" s="1079"/>
      <c r="B2489" s="1050"/>
      <c r="C2489" s="1050"/>
      <c r="D2489" s="1050"/>
      <c r="E2489" s="1050"/>
      <c r="F2489" s="1050"/>
      <c r="G2489" s="1050"/>
    </row>
    <row r="2490" spans="1:7">
      <c r="A2490" s="1079"/>
      <c r="B2490" s="1050"/>
      <c r="C2490" s="1050"/>
      <c r="D2490" s="1050"/>
      <c r="E2490" s="1050"/>
      <c r="F2490" s="1050"/>
      <c r="G2490" s="1050"/>
    </row>
    <row r="2491" spans="1:7">
      <c r="A2491" s="1079"/>
      <c r="B2491" s="1050"/>
      <c r="C2491" s="1050"/>
      <c r="D2491" s="1050"/>
      <c r="E2491" s="1050"/>
      <c r="F2491" s="1050"/>
      <c r="G2491" s="1050"/>
    </row>
    <row r="2492" spans="1:7">
      <c r="A2492" s="1079"/>
      <c r="B2492" s="1050"/>
      <c r="C2492" s="1050"/>
      <c r="D2492" s="1050"/>
      <c r="E2492" s="1050"/>
      <c r="F2492" s="1050"/>
      <c r="G2492" s="1050"/>
    </row>
    <row r="2493" spans="1:7">
      <c r="A2493" s="1079"/>
      <c r="B2493" s="1050"/>
      <c r="C2493" s="1050"/>
      <c r="D2493" s="1050"/>
      <c r="E2493" s="1050"/>
      <c r="F2493" s="1050"/>
      <c r="G2493" s="1050"/>
    </row>
    <row r="2494" spans="1:7">
      <c r="A2494" s="1079"/>
      <c r="B2494" s="1050"/>
      <c r="C2494" s="1050"/>
      <c r="D2494" s="1050"/>
      <c r="E2494" s="1050"/>
      <c r="F2494" s="1050"/>
      <c r="G2494" s="1050"/>
    </row>
    <row r="2495" spans="1:7">
      <c r="A2495" s="1079"/>
      <c r="B2495" s="1050"/>
      <c r="C2495" s="1050"/>
      <c r="D2495" s="1050"/>
      <c r="E2495" s="1050"/>
      <c r="F2495" s="1050"/>
      <c r="G2495" s="1050"/>
    </row>
    <row r="2496" spans="1:7">
      <c r="A2496" s="1079"/>
      <c r="B2496" s="1050"/>
      <c r="C2496" s="1050"/>
      <c r="D2496" s="1050"/>
      <c r="E2496" s="1050"/>
      <c r="F2496" s="1050"/>
      <c r="G2496" s="1050"/>
    </row>
    <row r="2497" spans="1:7">
      <c r="A2497" s="1079"/>
      <c r="B2497" s="1050"/>
      <c r="C2497" s="1050"/>
      <c r="D2497" s="1050"/>
      <c r="E2497" s="1050"/>
      <c r="F2497" s="1050"/>
      <c r="G2497" s="1050"/>
    </row>
    <row r="2498" spans="1:7">
      <c r="A2498" s="1079"/>
      <c r="B2498" s="1050"/>
      <c r="C2498" s="1050"/>
      <c r="D2498" s="1050"/>
      <c r="E2498" s="1050"/>
      <c r="F2498" s="1050"/>
      <c r="G2498" s="1050"/>
    </row>
    <row r="2499" spans="1:7">
      <c r="A2499" s="1079"/>
      <c r="B2499" s="1050"/>
      <c r="C2499" s="1050"/>
      <c r="D2499" s="1050"/>
      <c r="E2499" s="1050"/>
      <c r="F2499" s="1050"/>
      <c r="G2499" s="1050"/>
    </row>
    <row r="2500" spans="1:7">
      <c r="A2500" s="1079"/>
      <c r="B2500" s="1050"/>
      <c r="C2500" s="1050"/>
      <c r="D2500" s="1050"/>
      <c r="E2500" s="1050"/>
      <c r="F2500" s="1050"/>
      <c r="G2500" s="1050"/>
    </row>
    <row r="2501" spans="1:7">
      <c r="A2501" s="1079"/>
      <c r="B2501" s="1050"/>
      <c r="C2501" s="1050"/>
      <c r="D2501" s="1050"/>
      <c r="E2501" s="1050"/>
      <c r="F2501" s="1050"/>
      <c r="G2501" s="1050"/>
    </row>
    <row r="2502" spans="1:7">
      <c r="A2502" s="1079"/>
      <c r="B2502" s="1050"/>
      <c r="C2502" s="1050"/>
      <c r="D2502" s="1050"/>
      <c r="E2502" s="1050"/>
      <c r="F2502" s="1050"/>
      <c r="G2502" s="1050"/>
    </row>
    <row r="2503" spans="1:7">
      <c r="A2503" s="1079"/>
      <c r="B2503" s="1050"/>
      <c r="C2503" s="1050"/>
      <c r="D2503" s="1050"/>
      <c r="E2503" s="1050"/>
      <c r="F2503" s="1050"/>
      <c r="G2503" s="1050"/>
    </row>
    <row r="2504" spans="1:7">
      <c r="A2504" s="1079"/>
      <c r="B2504" s="1050"/>
      <c r="C2504" s="1050"/>
      <c r="D2504" s="1050"/>
      <c r="E2504" s="1050"/>
      <c r="F2504" s="1050"/>
      <c r="G2504" s="1050"/>
    </row>
    <row r="2505" spans="1:7">
      <c r="A2505" s="1079"/>
      <c r="B2505" s="1050"/>
      <c r="C2505" s="1050"/>
      <c r="D2505" s="1050"/>
      <c r="E2505" s="1050"/>
      <c r="F2505" s="1050"/>
      <c r="G2505" s="1050"/>
    </row>
    <row r="2506" spans="1:7">
      <c r="A2506" s="1079"/>
      <c r="B2506" s="1050"/>
      <c r="C2506" s="1050"/>
      <c r="D2506" s="1050"/>
      <c r="E2506" s="1050"/>
      <c r="F2506" s="1050"/>
      <c r="G2506" s="1050"/>
    </row>
    <row r="2507" spans="1:7">
      <c r="A2507" s="1079"/>
      <c r="B2507" s="1050"/>
      <c r="C2507" s="1050"/>
      <c r="D2507" s="1050"/>
      <c r="E2507" s="1050"/>
      <c r="F2507" s="1050"/>
      <c r="G2507" s="1050"/>
    </row>
    <row r="2508" spans="1:7">
      <c r="A2508" s="1079"/>
      <c r="B2508" s="1050"/>
      <c r="C2508" s="1050"/>
      <c r="D2508" s="1050"/>
      <c r="E2508" s="1050"/>
      <c r="F2508" s="1050"/>
      <c r="G2508" s="1050"/>
    </row>
    <row r="2509" spans="1:7">
      <c r="A2509" s="1079"/>
      <c r="B2509" s="1050"/>
      <c r="C2509" s="1050"/>
      <c r="D2509" s="1050"/>
      <c r="E2509" s="1050"/>
      <c r="F2509" s="1050"/>
      <c r="G2509" s="1050"/>
    </row>
    <row r="2510" spans="1:7">
      <c r="A2510" s="1079"/>
      <c r="B2510" s="1050"/>
      <c r="C2510" s="1050"/>
      <c r="D2510" s="1050"/>
      <c r="E2510" s="1050"/>
      <c r="F2510" s="1050"/>
      <c r="G2510" s="1050"/>
    </row>
    <row r="2511" spans="1:7">
      <c r="A2511" s="1079"/>
      <c r="B2511" s="1050"/>
      <c r="C2511" s="1050"/>
      <c r="D2511" s="1050"/>
      <c r="E2511" s="1050"/>
      <c r="F2511" s="1050"/>
      <c r="G2511" s="1050"/>
    </row>
    <row r="2512" spans="1:7">
      <c r="A2512" s="1079"/>
      <c r="B2512" s="1050"/>
      <c r="C2512" s="1050"/>
      <c r="D2512" s="1050"/>
      <c r="E2512" s="1050"/>
      <c r="F2512" s="1050"/>
      <c r="G2512" s="1050"/>
    </row>
    <row r="2513" spans="1:7">
      <c r="A2513" s="1079"/>
      <c r="B2513" s="1050"/>
      <c r="C2513" s="1050"/>
      <c r="D2513" s="1050"/>
      <c r="E2513" s="1050"/>
      <c r="F2513" s="1050"/>
      <c r="G2513" s="1050"/>
    </row>
    <row r="2514" spans="1:7">
      <c r="A2514" s="1079"/>
      <c r="B2514" s="1050"/>
      <c r="C2514" s="1050"/>
      <c r="D2514" s="1050"/>
      <c r="E2514" s="1050"/>
      <c r="F2514" s="1050"/>
      <c r="G2514" s="1050"/>
    </row>
    <row r="2515" spans="1:7">
      <c r="A2515" s="1079"/>
      <c r="B2515" s="1050"/>
      <c r="C2515" s="1050"/>
      <c r="D2515" s="1050"/>
      <c r="E2515" s="1050"/>
      <c r="F2515" s="1050"/>
      <c r="G2515" s="1050"/>
    </row>
    <row r="2516" spans="1:7">
      <c r="A2516" s="1079"/>
      <c r="B2516" s="1050"/>
      <c r="C2516" s="1050"/>
      <c r="D2516" s="1050"/>
      <c r="E2516" s="1050"/>
      <c r="F2516" s="1050"/>
      <c r="G2516" s="1050"/>
    </row>
    <row r="2517" spans="1:7">
      <c r="A2517" s="1079"/>
      <c r="B2517" s="1050"/>
      <c r="C2517" s="1050"/>
      <c r="D2517" s="1050"/>
      <c r="E2517" s="1050"/>
      <c r="F2517" s="1050"/>
      <c r="G2517" s="1050"/>
    </row>
    <row r="2518" spans="1:7">
      <c r="A2518" s="1079"/>
      <c r="B2518" s="1050"/>
      <c r="C2518" s="1050"/>
      <c r="D2518" s="1050"/>
      <c r="E2518" s="1050"/>
      <c r="F2518" s="1050"/>
      <c r="G2518" s="1050"/>
    </row>
    <row r="2519" spans="1:7">
      <c r="A2519" s="1079"/>
      <c r="B2519" s="1050"/>
      <c r="C2519" s="1050"/>
      <c r="D2519" s="1050"/>
      <c r="E2519" s="1050"/>
      <c r="F2519" s="1050"/>
      <c r="G2519" s="1050"/>
    </row>
    <row r="2520" spans="1:7">
      <c r="A2520" s="1079"/>
      <c r="B2520" s="1050"/>
      <c r="C2520" s="1050"/>
      <c r="D2520" s="1050"/>
      <c r="E2520" s="1050"/>
      <c r="F2520" s="1050"/>
      <c r="G2520" s="1050"/>
    </row>
    <row r="2521" spans="1:7">
      <c r="A2521" s="1079"/>
      <c r="B2521" s="1050"/>
      <c r="C2521" s="1050"/>
      <c r="D2521" s="1050"/>
      <c r="E2521" s="1050"/>
      <c r="F2521" s="1050"/>
      <c r="G2521" s="1050"/>
    </row>
    <row r="2522" spans="1:7">
      <c r="A2522" s="1079"/>
      <c r="B2522" s="1050"/>
      <c r="C2522" s="1050"/>
      <c r="D2522" s="1050"/>
      <c r="E2522" s="1050"/>
      <c r="F2522" s="1050"/>
      <c r="G2522" s="1050"/>
    </row>
    <row r="2523" spans="1:7">
      <c r="A2523" s="1079"/>
      <c r="B2523" s="1050"/>
      <c r="C2523" s="1050"/>
      <c r="D2523" s="1050"/>
      <c r="E2523" s="1050"/>
      <c r="F2523" s="1050"/>
      <c r="G2523" s="1050"/>
    </row>
    <row r="2524" spans="1:7">
      <c r="A2524" s="1079"/>
      <c r="B2524" s="1050"/>
      <c r="C2524" s="1050"/>
      <c r="D2524" s="1050"/>
      <c r="E2524" s="1050"/>
      <c r="F2524" s="1050"/>
      <c r="G2524" s="1050"/>
    </row>
    <row r="2525" spans="1:7">
      <c r="A2525" s="1079"/>
      <c r="B2525" s="1050"/>
      <c r="C2525" s="1050"/>
      <c r="D2525" s="1050"/>
      <c r="E2525" s="1050"/>
      <c r="F2525" s="1050"/>
      <c r="G2525" s="1050"/>
    </row>
    <row r="2526" spans="1:7">
      <c r="A2526" s="1079"/>
      <c r="B2526" s="1050"/>
      <c r="C2526" s="1050"/>
      <c r="D2526" s="1050"/>
      <c r="E2526" s="1050"/>
      <c r="F2526" s="1050"/>
      <c r="G2526" s="1050"/>
    </row>
    <row r="2527" spans="1:7">
      <c r="A2527" s="1079"/>
      <c r="B2527" s="1050"/>
      <c r="C2527" s="1050"/>
      <c r="D2527" s="1050"/>
      <c r="E2527" s="1050"/>
      <c r="F2527" s="1050"/>
      <c r="G2527" s="1050"/>
    </row>
    <row r="2528" spans="1:7">
      <c r="A2528" s="1079"/>
      <c r="B2528" s="1050"/>
      <c r="C2528" s="1050"/>
      <c r="D2528" s="1050"/>
      <c r="E2528" s="1050"/>
      <c r="F2528" s="1050"/>
      <c r="G2528" s="1050"/>
    </row>
    <row r="2529" spans="1:7">
      <c r="A2529" s="1079"/>
      <c r="B2529" s="1050"/>
      <c r="C2529" s="1050"/>
      <c r="D2529" s="1050"/>
      <c r="E2529" s="1050"/>
      <c r="F2529" s="1050"/>
      <c r="G2529" s="1050"/>
    </row>
    <row r="2530" spans="1:7">
      <c r="A2530" s="1079"/>
      <c r="B2530" s="1050"/>
      <c r="C2530" s="1050"/>
      <c r="D2530" s="1050"/>
      <c r="E2530" s="1050"/>
      <c r="F2530" s="1050"/>
      <c r="G2530" s="1050"/>
    </row>
    <row r="2531" spans="1:7">
      <c r="A2531" s="1079"/>
      <c r="B2531" s="1050"/>
      <c r="C2531" s="1050"/>
      <c r="D2531" s="1050"/>
      <c r="E2531" s="1050"/>
      <c r="F2531" s="1050"/>
      <c r="G2531" s="1050"/>
    </row>
    <row r="2532" spans="1:7">
      <c r="A2532" s="1079"/>
      <c r="B2532" s="1050"/>
      <c r="C2532" s="1050"/>
      <c r="D2532" s="1050"/>
      <c r="E2532" s="1050"/>
      <c r="F2532" s="1050"/>
      <c r="G2532" s="1050"/>
    </row>
    <row r="2533" spans="1:7">
      <c r="A2533" s="1079"/>
      <c r="B2533" s="1050"/>
      <c r="C2533" s="1050"/>
      <c r="D2533" s="1050"/>
      <c r="E2533" s="1050"/>
      <c r="F2533" s="1050"/>
      <c r="G2533" s="1050"/>
    </row>
    <row r="2534" spans="1:7">
      <c r="A2534" s="1079"/>
      <c r="B2534" s="1050"/>
      <c r="C2534" s="1050"/>
      <c r="D2534" s="1050"/>
      <c r="E2534" s="1050"/>
      <c r="F2534" s="1050"/>
      <c r="G2534" s="1050"/>
    </row>
    <row r="2535" spans="1:7">
      <c r="A2535" s="1079"/>
      <c r="B2535" s="1050"/>
      <c r="C2535" s="1050"/>
      <c r="D2535" s="1050"/>
      <c r="E2535" s="1050"/>
      <c r="F2535" s="1050"/>
      <c r="G2535" s="1050"/>
    </row>
    <row r="2536" spans="1:7">
      <c r="A2536" s="1079"/>
      <c r="B2536" s="1050"/>
      <c r="C2536" s="1050"/>
      <c r="D2536" s="1050"/>
      <c r="E2536" s="1050"/>
      <c r="F2536" s="1050"/>
      <c r="G2536" s="1050"/>
    </row>
    <row r="2537" spans="1:7">
      <c r="A2537" s="1079"/>
      <c r="B2537" s="1050"/>
      <c r="C2537" s="1050"/>
      <c r="D2537" s="1050"/>
      <c r="E2537" s="1050"/>
      <c r="F2537" s="1050"/>
      <c r="G2537" s="1050"/>
    </row>
    <row r="2538" spans="1:7">
      <c r="A2538" s="1079"/>
      <c r="B2538" s="1050"/>
      <c r="C2538" s="1050"/>
      <c r="D2538" s="1050"/>
      <c r="E2538" s="1050"/>
      <c r="F2538" s="1050"/>
      <c r="G2538" s="1050"/>
    </row>
    <row r="2539" spans="1:7">
      <c r="A2539" s="1079"/>
      <c r="B2539" s="1050"/>
      <c r="C2539" s="1050"/>
      <c r="D2539" s="1050"/>
      <c r="E2539" s="1050"/>
      <c r="F2539" s="1050"/>
      <c r="G2539" s="1050"/>
    </row>
    <row r="2540" spans="1:7">
      <c r="A2540" s="1079"/>
      <c r="B2540" s="1050"/>
      <c r="C2540" s="1050"/>
      <c r="D2540" s="1050"/>
      <c r="E2540" s="1050"/>
      <c r="F2540" s="1050"/>
      <c r="G2540" s="1050"/>
    </row>
    <row r="2541" spans="1:7">
      <c r="A2541" s="1079"/>
      <c r="B2541" s="1050"/>
      <c r="C2541" s="1050"/>
      <c r="D2541" s="1050"/>
      <c r="E2541" s="1050"/>
      <c r="F2541" s="1050"/>
      <c r="G2541" s="1050"/>
    </row>
    <row r="2542" spans="1:7">
      <c r="A2542" s="1079"/>
      <c r="B2542" s="1050"/>
      <c r="C2542" s="1050"/>
      <c r="D2542" s="1050"/>
      <c r="E2542" s="1050"/>
      <c r="F2542" s="1050"/>
      <c r="G2542" s="1050"/>
    </row>
    <row r="2543" spans="1:7">
      <c r="A2543" s="1079"/>
      <c r="B2543" s="1050"/>
      <c r="C2543" s="1050"/>
      <c r="D2543" s="1050"/>
      <c r="E2543" s="1050"/>
      <c r="F2543" s="1050"/>
      <c r="G2543" s="1050"/>
    </row>
    <row r="2544" spans="1:7">
      <c r="A2544" s="1079"/>
      <c r="B2544" s="1050"/>
      <c r="C2544" s="1050"/>
      <c r="D2544" s="1050"/>
      <c r="E2544" s="1050"/>
      <c r="F2544" s="1050"/>
      <c r="G2544" s="1050"/>
    </row>
    <row r="2545" spans="1:7">
      <c r="A2545" s="1079"/>
      <c r="B2545" s="1050"/>
      <c r="C2545" s="1050"/>
      <c r="D2545" s="1050"/>
      <c r="E2545" s="1050"/>
      <c r="F2545" s="1050"/>
      <c r="G2545" s="1050"/>
    </row>
    <row r="2546" spans="1:7">
      <c r="A2546" s="1079"/>
      <c r="B2546" s="1050"/>
      <c r="C2546" s="1050"/>
      <c r="D2546" s="1050"/>
      <c r="E2546" s="1050"/>
      <c r="F2546" s="1050"/>
      <c r="G2546" s="1050"/>
    </row>
    <row r="2547" spans="1:7">
      <c r="A2547" s="1079"/>
      <c r="B2547" s="1050"/>
      <c r="C2547" s="1050"/>
      <c r="D2547" s="1050"/>
      <c r="E2547" s="1050"/>
      <c r="F2547" s="1050"/>
      <c r="G2547" s="1050"/>
    </row>
    <row r="2548" spans="1:7">
      <c r="A2548" s="1079"/>
      <c r="B2548" s="1050"/>
      <c r="C2548" s="1050"/>
      <c r="D2548" s="1050"/>
      <c r="E2548" s="1050"/>
      <c r="F2548" s="1050"/>
      <c r="G2548" s="1050"/>
    </row>
    <row r="2549" spans="1:7">
      <c r="A2549" s="1079"/>
      <c r="B2549" s="1050"/>
      <c r="C2549" s="1050"/>
      <c r="D2549" s="1050"/>
      <c r="E2549" s="1050"/>
      <c r="F2549" s="1050"/>
      <c r="G2549" s="1050"/>
    </row>
    <row r="2550" spans="1:7">
      <c r="A2550" s="1079"/>
      <c r="B2550" s="1050"/>
      <c r="C2550" s="1050"/>
      <c r="D2550" s="1050"/>
      <c r="E2550" s="1050"/>
      <c r="F2550" s="1050"/>
      <c r="G2550" s="1050"/>
    </row>
    <row r="2551" spans="1:7">
      <c r="A2551" s="1079"/>
      <c r="B2551" s="1050"/>
      <c r="C2551" s="1050"/>
      <c r="D2551" s="1050"/>
      <c r="E2551" s="1050"/>
      <c r="F2551" s="1050"/>
      <c r="G2551" s="1050"/>
    </row>
    <row r="2552" spans="1:7">
      <c r="A2552" s="1079"/>
      <c r="B2552" s="1050"/>
      <c r="C2552" s="1050"/>
      <c r="D2552" s="1050"/>
      <c r="E2552" s="1050"/>
      <c r="F2552" s="1050"/>
      <c r="G2552" s="1050"/>
    </row>
    <row r="2553" spans="1:7">
      <c r="A2553" s="1079"/>
      <c r="B2553" s="1050"/>
      <c r="C2553" s="1050"/>
      <c r="D2553" s="1050"/>
      <c r="E2553" s="1050"/>
      <c r="F2553" s="1050"/>
      <c r="G2553" s="1050"/>
    </row>
    <row r="2554" spans="1:7">
      <c r="A2554" s="1079"/>
      <c r="B2554" s="1050"/>
      <c r="C2554" s="1050"/>
      <c r="D2554" s="1050"/>
      <c r="E2554" s="1050"/>
      <c r="F2554" s="1050"/>
      <c r="G2554" s="1050"/>
    </row>
    <row r="2555" spans="1:7">
      <c r="A2555" s="1079"/>
      <c r="B2555" s="1050"/>
      <c r="C2555" s="1050"/>
      <c r="D2555" s="1050"/>
      <c r="E2555" s="1050"/>
      <c r="F2555" s="1050"/>
      <c r="G2555" s="1050"/>
    </row>
    <row r="2556" spans="1:7">
      <c r="A2556" s="1079"/>
      <c r="B2556" s="1050"/>
      <c r="C2556" s="1050"/>
      <c r="D2556" s="1050"/>
      <c r="E2556" s="1050"/>
      <c r="F2556" s="1050"/>
      <c r="G2556" s="1050"/>
    </row>
    <row r="2557" spans="1:7">
      <c r="A2557" s="1079"/>
      <c r="B2557" s="1050"/>
      <c r="C2557" s="1050"/>
      <c r="D2557" s="1050"/>
      <c r="E2557" s="1050"/>
      <c r="F2557" s="1050"/>
      <c r="G2557" s="1050"/>
    </row>
    <row r="2558" spans="1:7">
      <c r="A2558" s="1079"/>
      <c r="B2558" s="1050"/>
      <c r="C2558" s="1050"/>
      <c r="D2558" s="1050"/>
      <c r="E2558" s="1050"/>
      <c r="F2558" s="1050"/>
      <c r="G2558" s="1050"/>
    </row>
    <row r="2559" spans="1:7">
      <c r="A2559" s="1079"/>
      <c r="B2559" s="1050"/>
      <c r="C2559" s="1050"/>
      <c r="D2559" s="1050"/>
      <c r="E2559" s="1050"/>
      <c r="F2559" s="1050"/>
      <c r="G2559" s="1050"/>
    </row>
    <row r="2560" spans="1:7">
      <c r="A2560" s="1079"/>
      <c r="B2560" s="1050"/>
      <c r="C2560" s="1050"/>
      <c r="D2560" s="1050"/>
      <c r="E2560" s="1050"/>
      <c r="F2560" s="1050"/>
      <c r="G2560" s="1050"/>
    </row>
    <row r="2561" spans="1:7">
      <c r="A2561" s="1079"/>
      <c r="B2561" s="1050"/>
      <c r="C2561" s="1050"/>
      <c r="D2561" s="1050"/>
      <c r="E2561" s="1050"/>
      <c r="F2561" s="1050"/>
      <c r="G2561" s="1050"/>
    </row>
    <row r="2562" spans="1:7">
      <c r="A2562" s="1079"/>
      <c r="B2562" s="1050"/>
      <c r="C2562" s="1050"/>
      <c r="D2562" s="1050"/>
      <c r="E2562" s="1050"/>
      <c r="F2562" s="1050"/>
      <c r="G2562" s="1050"/>
    </row>
    <row r="2563" spans="1:7">
      <c r="A2563" s="1079"/>
      <c r="B2563" s="1050"/>
      <c r="C2563" s="1050"/>
      <c r="D2563" s="1050"/>
      <c r="E2563" s="1050"/>
      <c r="F2563" s="1050"/>
      <c r="G2563" s="1050"/>
    </row>
    <row r="2564" spans="1:7">
      <c r="A2564" s="1079"/>
      <c r="B2564" s="1050"/>
      <c r="C2564" s="1050"/>
      <c r="D2564" s="1050"/>
      <c r="E2564" s="1050"/>
      <c r="F2564" s="1050"/>
      <c r="G2564" s="1050"/>
    </row>
    <row r="2565" spans="1:7">
      <c r="A2565" s="1079"/>
      <c r="B2565" s="1050"/>
      <c r="C2565" s="1050"/>
      <c r="D2565" s="1050"/>
      <c r="E2565" s="1050"/>
      <c r="F2565" s="1050"/>
      <c r="G2565" s="1050"/>
    </row>
    <row r="2566" spans="1:7">
      <c r="A2566" s="1079"/>
      <c r="B2566" s="1050"/>
      <c r="C2566" s="1050"/>
      <c r="D2566" s="1050"/>
      <c r="E2566" s="1050"/>
      <c r="F2566" s="1050"/>
      <c r="G2566" s="1050"/>
    </row>
    <row r="2567" spans="1:7">
      <c r="A2567" s="1079"/>
      <c r="B2567" s="1050"/>
      <c r="C2567" s="1050"/>
      <c r="D2567" s="1050"/>
      <c r="E2567" s="1050"/>
      <c r="F2567" s="1050"/>
      <c r="G2567" s="1050"/>
    </row>
    <row r="2568" spans="1:7">
      <c r="A2568" s="1079"/>
      <c r="B2568" s="1050"/>
      <c r="C2568" s="1050"/>
      <c r="D2568" s="1050"/>
      <c r="E2568" s="1050"/>
      <c r="F2568" s="1050"/>
      <c r="G2568" s="1050"/>
    </row>
    <row r="2569" spans="1:7">
      <c r="A2569" s="1079"/>
      <c r="B2569" s="1050"/>
      <c r="C2569" s="1050"/>
      <c r="D2569" s="1050"/>
      <c r="E2569" s="1050"/>
      <c r="F2569" s="1050"/>
      <c r="G2569" s="1050"/>
    </row>
    <row r="2570" spans="1:7">
      <c r="A2570" s="1079"/>
      <c r="B2570" s="1050"/>
      <c r="C2570" s="1050"/>
      <c r="D2570" s="1050"/>
      <c r="E2570" s="1050"/>
      <c r="F2570" s="1050"/>
      <c r="G2570" s="1050"/>
    </row>
    <row r="2571" spans="1:7">
      <c r="A2571" s="1079"/>
      <c r="B2571" s="1050"/>
      <c r="C2571" s="1050"/>
      <c r="D2571" s="1050"/>
      <c r="E2571" s="1050"/>
      <c r="F2571" s="1050"/>
      <c r="G2571" s="1050"/>
    </row>
    <row r="2572" spans="1:7">
      <c r="A2572" s="1079"/>
      <c r="B2572" s="1050"/>
      <c r="C2572" s="1050"/>
      <c r="D2572" s="1050"/>
      <c r="E2572" s="1050"/>
      <c r="F2572" s="1050"/>
      <c r="G2572" s="1050"/>
    </row>
    <row r="2573" spans="1:7">
      <c r="A2573" s="1079"/>
      <c r="B2573" s="1050"/>
      <c r="C2573" s="1050"/>
      <c r="D2573" s="1050"/>
      <c r="E2573" s="1050"/>
      <c r="F2573" s="1050"/>
      <c r="G2573" s="1050"/>
    </row>
    <row r="2574" spans="1:7">
      <c r="A2574" s="1079"/>
      <c r="B2574" s="1050"/>
      <c r="C2574" s="1050"/>
      <c r="D2574" s="1050"/>
      <c r="E2574" s="1050"/>
      <c r="F2574" s="1050"/>
      <c r="G2574" s="1050"/>
    </row>
    <row r="2575" spans="1:7">
      <c r="A2575" s="1079"/>
      <c r="B2575" s="1050"/>
      <c r="C2575" s="1050"/>
      <c r="D2575" s="1050"/>
      <c r="E2575" s="1050"/>
      <c r="F2575" s="1050"/>
      <c r="G2575" s="1050"/>
    </row>
    <row r="2576" spans="1:7">
      <c r="A2576" s="1079"/>
      <c r="B2576" s="1050"/>
      <c r="C2576" s="1050"/>
      <c r="D2576" s="1050"/>
      <c r="E2576" s="1050"/>
      <c r="F2576" s="1050"/>
      <c r="G2576" s="1050"/>
    </row>
    <row r="2577" spans="1:7">
      <c r="A2577" s="1079"/>
      <c r="B2577" s="1050"/>
      <c r="C2577" s="1050"/>
      <c r="D2577" s="1050"/>
      <c r="E2577" s="1050"/>
      <c r="F2577" s="1050"/>
      <c r="G2577" s="1050"/>
    </row>
    <row r="2578" spans="1:7">
      <c r="A2578" s="1079"/>
      <c r="B2578" s="1050"/>
      <c r="C2578" s="1050"/>
      <c r="D2578" s="1050"/>
      <c r="E2578" s="1050"/>
      <c r="F2578" s="1050"/>
      <c r="G2578" s="1050"/>
    </row>
    <row r="2579" spans="1:7">
      <c r="A2579" s="1079"/>
      <c r="B2579" s="1050"/>
      <c r="C2579" s="1050"/>
      <c r="D2579" s="1050"/>
      <c r="E2579" s="1050"/>
      <c r="F2579" s="1050"/>
      <c r="G2579" s="1050"/>
    </row>
    <row r="2580" spans="1:7">
      <c r="A2580" s="1079"/>
      <c r="B2580" s="1050"/>
      <c r="C2580" s="1050"/>
      <c r="D2580" s="1050"/>
      <c r="E2580" s="1050"/>
      <c r="F2580" s="1050"/>
      <c r="G2580" s="1050"/>
    </row>
    <row r="2581" spans="1:7">
      <c r="A2581" s="1079"/>
      <c r="B2581" s="1050"/>
      <c r="C2581" s="1050"/>
      <c r="D2581" s="1050"/>
      <c r="E2581" s="1050"/>
      <c r="F2581" s="1050"/>
      <c r="G2581" s="1050"/>
    </row>
    <row r="2582" spans="1:7">
      <c r="A2582" s="1079"/>
      <c r="B2582" s="1050"/>
      <c r="C2582" s="1050"/>
      <c r="D2582" s="1050"/>
      <c r="E2582" s="1050"/>
      <c r="F2582" s="1050"/>
      <c r="G2582" s="1050"/>
    </row>
    <row r="2583" spans="1:7">
      <c r="A2583" s="1079"/>
      <c r="B2583" s="1050"/>
      <c r="C2583" s="1050"/>
      <c r="D2583" s="1050"/>
      <c r="E2583" s="1050"/>
      <c r="F2583" s="1050"/>
      <c r="G2583" s="1050"/>
    </row>
    <row r="2584" spans="1:7">
      <c r="A2584" s="1079"/>
      <c r="B2584" s="1050"/>
      <c r="C2584" s="1050"/>
      <c r="D2584" s="1050"/>
      <c r="E2584" s="1050"/>
      <c r="F2584" s="1050"/>
      <c r="G2584" s="1050"/>
    </row>
    <row r="2585" spans="1:7">
      <c r="A2585" s="1079"/>
      <c r="B2585" s="1050"/>
      <c r="C2585" s="1050"/>
      <c r="D2585" s="1050"/>
      <c r="E2585" s="1050"/>
      <c r="F2585" s="1050"/>
      <c r="G2585" s="1050"/>
    </row>
    <row r="2586" spans="1:7">
      <c r="A2586" s="1079"/>
      <c r="B2586" s="1050"/>
      <c r="C2586" s="1050"/>
      <c r="D2586" s="1050"/>
      <c r="E2586" s="1050"/>
      <c r="F2586" s="1050"/>
      <c r="G2586" s="1050"/>
    </row>
    <row r="2587" spans="1:7">
      <c r="A2587" s="1079"/>
      <c r="B2587" s="1050"/>
      <c r="C2587" s="1050"/>
      <c r="D2587" s="1050"/>
      <c r="E2587" s="1050"/>
      <c r="F2587" s="1050"/>
      <c r="G2587" s="1050"/>
    </row>
    <row r="2588" spans="1:7">
      <c r="A2588" s="1079"/>
      <c r="B2588" s="1050"/>
      <c r="C2588" s="1050"/>
      <c r="D2588" s="1050"/>
      <c r="E2588" s="1050"/>
      <c r="F2588" s="1050"/>
      <c r="G2588" s="1050"/>
    </row>
    <row r="2589" spans="1:7">
      <c r="A2589" s="1079"/>
      <c r="B2589" s="1050"/>
      <c r="C2589" s="1050"/>
      <c r="D2589" s="1050"/>
      <c r="E2589" s="1050"/>
      <c r="F2589" s="1050"/>
      <c r="G2589" s="1050"/>
    </row>
    <row r="2590" spans="1:7">
      <c r="A2590" s="1079"/>
      <c r="B2590" s="1050"/>
      <c r="C2590" s="1050"/>
      <c r="D2590" s="1050"/>
      <c r="E2590" s="1050"/>
      <c r="F2590" s="1050"/>
      <c r="G2590" s="1050"/>
    </row>
    <row r="2591" spans="1:7">
      <c r="A2591" s="1079"/>
      <c r="B2591" s="1050"/>
      <c r="C2591" s="1050"/>
      <c r="D2591" s="1050"/>
      <c r="E2591" s="1050"/>
      <c r="F2591" s="1050"/>
      <c r="G2591" s="1050"/>
    </row>
    <row r="2592" spans="1:7">
      <c r="A2592" s="1079"/>
      <c r="B2592" s="1050"/>
      <c r="C2592" s="1050"/>
      <c r="D2592" s="1050"/>
      <c r="E2592" s="1050"/>
      <c r="F2592" s="1050"/>
      <c r="G2592" s="1050"/>
    </row>
    <row r="2593" spans="1:7">
      <c r="A2593" s="1079"/>
      <c r="B2593" s="1050"/>
      <c r="C2593" s="1050"/>
      <c r="D2593" s="1050"/>
      <c r="E2593" s="1050"/>
      <c r="F2593" s="1050"/>
      <c r="G2593" s="1050"/>
    </row>
    <row r="2594" spans="1:7">
      <c r="A2594" s="1079"/>
      <c r="B2594" s="1050"/>
      <c r="C2594" s="1050"/>
      <c r="D2594" s="1050"/>
      <c r="E2594" s="1050"/>
      <c r="F2594" s="1050"/>
      <c r="G2594" s="1050"/>
    </row>
    <row r="2595" spans="1:7">
      <c r="A2595" s="1079"/>
      <c r="B2595" s="1050"/>
      <c r="C2595" s="1050"/>
      <c r="D2595" s="1050"/>
      <c r="E2595" s="1050"/>
      <c r="F2595" s="1050"/>
      <c r="G2595" s="1050"/>
    </row>
    <row r="2596" spans="1:7">
      <c r="A2596" s="1079"/>
      <c r="B2596" s="1050"/>
      <c r="C2596" s="1050"/>
      <c r="D2596" s="1050"/>
      <c r="E2596" s="1050"/>
      <c r="F2596" s="1050"/>
      <c r="G2596" s="1050"/>
    </row>
    <row r="2597" spans="1:7">
      <c r="A2597" s="1079"/>
      <c r="B2597" s="1050"/>
      <c r="C2597" s="1050"/>
      <c r="D2597" s="1050"/>
      <c r="E2597" s="1050"/>
      <c r="F2597" s="1050"/>
      <c r="G2597" s="1050"/>
    </row>
    <row r="2598" spans="1:7">
      <c r="A2598" s="1079"/>
      <c r="B2598" s="1050"/>
      <c r="C2598" s="1050"/>
      <c r="D2598" s="1050"/>
      <c r="E2598" s="1050"/>
      <c r="F2598" s="1050"/>
      <c r="G2598" s="1050"/>
    </row>
    <row r="2599" spans="1:7">
      <c r="A2599" s="1079"/>
      <c r="B2599" s="1050"/>
      <c r="C2599" s="1050"/>
      <c r="D2599" s="1050"/>
      <c r="E2599" s="1050"/>
      <c r="F2599" s="1050"/>
      <c r="G2599" s="1050"/>
    </row>
    <row r="2600" spans="1:7">
      <c r="A2600" s="1079"/>
      <c r="B2600" s="1050"/>
      <c r="C2600" s="1050"/>
      <c r="D2600" s="1050"/>
      <c r="E2600" s="1050"/>
      <c r="F2600" s="1050"/>
      <c r="G2600" s="1050"/>
    </row>
    <row r="2601" spans="1:7">
      <c r="A2601" s="1079"/>
      <c r="B2601" s="1050"/>
      <c r="C2601" s="1050"/>
      <c r="D2601" s="1050"/>
      <c r="E2601" s="1050"/>
      <c r="F2601" s="1050"/>
      <c r="G2601" s="1050"/>
    </row>
    <row r="2602" spans="1:7">
      <c r="A2602" s="1079"/>
      <c r="B2602" s="1050"/>
      <c r="C2602" s="1050"/>
      <c r="D2602" s="1050"/>
      <c r="E2602" s="1050"/>
      <c r="F2602" s="1050"/>
      <c r="G2602" s="1050"/>
    </row>
    <row r="2603" spans="1:7">
      <c r="A2603" s="1079"/>
      <c r="B2603" s="1050"/>
      <c r="C2603" s="1050"/>
      <c r="D2603" s="1050"/>
      <c r="E2603" s="1050"/>
      <c r="F2603" s="1050"/>
      <c r="G2603" s="1050"/>
    </row>
    <row r="2604" spans="1:7">
      <c r="A2604" s="1079"/>
      <c r="B2604" s="1050"/>
      <c r="C2604" s="1050"/>
      <c r="D2604" s="1050"/>
      <c r="E2604" s="1050"/>
      <c r="F2604" s="1050"/>
      <c r="G2604" s="1050"/>
    </row>
    <row r="2605" spans="1:7">
      <c r="A2605" s="1079"/>
      <c r="B2605" s="1050"/>
      <c r="C2605" s="1050"/>
      <c r="D2605" s="1050"/>
      <c r="E2605" s="1050"/>
      <c r="F2605" s="1050"/>
      <c r="G2605" s="1050"/>
    </row>
    <row r="2606" spans="1:7">
      <c r="A2606" s="1079"/>
      <c r="B2606" s="1050"/>
      <c r="C2606" s="1050"/>
      <c r="D2606" s="1050"/>
      <c r="E2606" s="1050"/>
      <c r="F2606" s="1050"/>
      <c r="G2606" s="1050"/>
    </row>
    <row r="2607" spans="1:7">
      <c r="A2607" s="1079"/>
      <c r="B2607" s="1050"/>
      <c r="C2607" s="1050"/>
      <c r="D2607" s="1050"/>
      <c r="E2607" s="1050"/>
      <c r="F2607" s="1050"/>
      <c r="G2607" s="1050"/>
    </row>
    <row r="2608" spans="1:7">
      <c r="A2608" s="1079"/>
      <c r="B2608" s="1050"/>
      <c r="C2608" s="1050"/>
      <c r="D2608" s="1050"/>
      <c r="E2608" s="1050"/>
      <c r="F2608" s="1050"/>
      <c r="G2608" s="1050"/>
    </row>
    <row r="2609" spans="1:7">
      <c r="A2609" s="1079"/>
      <c r="B2609" s="1050"/>
      <c r="C2609" s="1050"/>
      <c r="D2609" s="1050"/>
      <c r="E2609" s="1050"/>
      <c r="F2609" s="1050"/>
      <c r="G2609" s="1050"/>
    </row>
    <row r="2610" spans="1:7">
      <c r="A2610" s="1079"/>
      <c r="B2610" s="1050"/>
      <c r="C2610" s="1050"/>
      <c r="D2610" s="1050"/>
      <c r="E2610" s="1050"/>
      <c r="F2610" s="1050"/>
      <c r="G2610" s="1050"/>
    </row>
    <row r="2611" spans="1:7">
      <c r="A2611" s="1079"/>
      <c r="B2611" s="1050"/>
      <c r="C2611" s="1050"/>
      <c r="D2611" s="1050"/>
      <c r="E2611" s="1050"/>
      <c r="F2611" s="1050"/>
      <c r="G2611" s="1050"/>
    </row>
    <row r="2612" spans="1:7">
      <c r="A2612" s="1079"/>
      <c r="B2612" s="1050"/>
      <c r="C2612" s="1050"/>
      <c r="D2612" s="1050"/>
      <c r="E2612" s="1050"/>
      <c r="F2612" s="1050"/>
      <c r="G2612" s="1050"/>
    </row>
    <row r="2613" spans="1:7">
      <c r="A2613" s="1079"/>
      <c r="B2613" s="1050"/>
      <c r="C2613" s="1050"/>
      <c r="D2613" s="1050"/>
      <c r="E2613" s="1050"/>
      <c r="F2613" s="1050"/>
      <c r="G2613" s="1050"/>
    </row>
    <row r="2614" spans="1:7">
      <c r="A2614" s="1079"/>
      <c r="B2614" s="1050"/>
      <c r="C2614" s="1050"/>
      <c r="D2614" s="1050"/>
      <c r="E2614" s="1050"/>
      <c r="F2614" s="1050"/>
      <c r="G2614" s="1050"/>
    </row>
    <row r="2615" spans="1:7">
      <c r="A2615" s="1079"/>
      <c r="B2615" s="1050"/>
      <c r="C2615" s="1050"/>
      <c r="D2615" s="1050"/>
      <c r="E2615" s="1050"/>
      <c r="F2615" s="1050"/>
      <c r="G2615" s="1050"/>
    </row>
    <row r="2616" spans="1:7">
      <c r="A2616" s="1079"/>
      <c r="B2616" s="1050"/>
      <c r="C2616" s="1050"/>
      <c r="D2616" s="1050"/>
      <c r="E2616" s="1050"/>
      <c r="F2616" s="1050"/>
      <c r="G2616" s="1050"/>
    </row>
    <row r="2617" spans="1:7">
      <c r="A2617" s="1079"/>
      <c r="B2617" s="1050"/>
      <c r="C2617" s="1050"/>
      <c r="D2617" s="1050"/>
      <c r="E2617" s="1050"/>
      <c r="F2617" s="1050"/>
      <c r="G2617" s="1050"/>
    </row>
    <row r="2618" spans="1:7">
      <c r="A2618" s="1079"/>
      <c r="B2618" s="1050"/>
      <c r="C2618" s="1050"/>
      <c r="D2618" s="1050"/>
      <c r="E2618" s="1050"/>
      <c r="F2618" s="1050"/>
      <c r="G2618" s="1050"/>
    </row>
    <row r="2619" spans="1:7">
      <c r="A2619" s="1079"/>
      <c r="B2619" s="1050"/>
      <c r="C2619" s="1050"/>
      <c r="D2619" s="1050"/>
      <c r="E2619" s="1050"/>
      <c r="F2619" s="1050"/>
      <c r="G2619" s="1050"/>
    </row>
    <row r="2620" spans="1:7">
      <c r="A2620" s="1079"/>
      <c r="B2620" s="1050"/>
      <c r="C2620" s="1050"/>
      <c r="D2620" s="1050"/>
      <c r="E2620" s="1050"/>
      <c r="F2620" s="1050"/>
      <c r="G2620" s="1050"/>
    </row>
    <row r="2621" spans="1:7">
      <c r="A2621" s="1079"/>
      <c r="B2621" s="1050"/>
      <c r="C2621" s="1050"/>
      <c r="D2621" s="1050"/>
      <c r="E2621" s="1050"/>
      <c r="F2621" s="1050"/>
      <c r="G2621" s="1050"/>
    </row>
    <row r="2622" spans="1:7">
      <c r="A2622" s="1079"/>
      <c r="B2622" s="1050"/>
      <c r="C2622" s="1050"/>
      <c r="D2622" s="1050"/>
      <c r="E2622" s="1050"/>
      <c r="F2622" s="1050"/>
      <c r="G2622" s="1050"/>
    </row>
    <row r="2623" spans="1:7">
      <c r="A2623" s="1079"/>
      <c r="B2623" s="1050"/>
      <c r="C2623" s="1050"/>
      <c r="D2623" s="1050"/>
      <c r="E2623" s="1050"/>
      <c r="F2623" s="1050"/>
      <c r="G2623" s="1050"/>
    </row>
    <row r="2624" spans="1:7">
      <c r="A2624" s="1079"/>
      <c r="B2624" s="1050"/>
      <c r="C2624" s="1050"/>
      <c r="D2624" s="1050"/>
      <c r="E2624" s="1050"/>
      <c r="F2624" s="1050"/>
      <c r="G2624" s="1050"/>
    </row>
    <row r="2625" spans="1:7">
      <c r="A2625" s="1079"/>
      <c r="B2625" s="1050"/>
      <c r="C2625" s="1050"/>
      <c r="D2625" s="1050"/>
      <c r="E2625" s="1050"/>
      <c r="F2625" s="1050"/>
      <c r="G2625" s="1050"/>
    </row>
    <row r="2626" spans="1:7">
      <c r="A2626" s="1079"/>
      <c r="B2626" s="1050"/>
      <c r="C2626" s="1050"/>
      <c r="D2626" s="1050"/>
      <c r="E2626" s="1050"/>
      <c r="F2626" s="1050"/>
      <c r="G2626" s="1050"/>
    </row>
    <row r="2627" spans="1:7">
      <c r="A2627" s="1079"/>
      <c r="B2627" s="1050"/>
      <c r="C2627" s="1050"/>
      <c r="D2627" s="1050"/>
      <c r="E2627" s="1050"/>
      <c r="F2627" s="1050"/>
      <c r="G2627" s="1050"/>
    </row>
    <row r="2628" spans="1:7">
      <c r="A2628" s="1079"/>
      <c r="B2628" s="1050"/>
      <c r="C2628" s="1050"/>
      <c r="D2628" s="1050"/>
      <c r="E2628" s="1050"/>
      <c r="F2628" s="1050"/>
      <c r="G2628" s="1050"/>
    </row>
    <row r="2629" spans="1:7">
      <c r="A2629" s="1079"/>
      <c r="B2629" s="1050"/>
      <c r="C2629" s="1050"/>
      <c r="D2629" s="1050"/>
      <c r="E2629" s="1050"/>
      <c r="F2629" s="1050"/>
      <c r="G2629" s="1050"/>
    </row>
    <row r="2630" spans="1:7">
      <c r="A2630" s="1079"/>
      <c r="B2630" s="1050"/>
      <c r="C2630" s="1050"/>
      <c r="D2630" s="1050"/>
      <c r="E2630" s="1050"/>
      <c r="F2630" s="1050"/>
      <c r="G2630" s="1050"/>
    </row>
    <row r="2631" spans="1:7">
      <c r="A2631" s="1079"/>
      <c r="B2631" s="1050"/>
      <c r="C2631" s="1050"/>
      <c r="D2631" s="1050"/>
      <c r="E2631" s="1050"/>
      <c r="F2631" s="1050"/>
      <c r="G2631" s="1050"/>
    </row>
    <row r="2632" spans="1:7">
      <c r="A2632" s="1079"/>
      <c r="B2632" s="1050"/>
      <c r="C2632" s="1050"/>
      <c r="D2632" s="1050"/>
      <c r="E2632" s="1050"/>
      <c r="F2632" s="1050"/>
      <c r="G2632" s="1050"/>
    </row>
    <row r="2633" spans="1:7">
      <c r="A2633" s="1079"/>
      <c r="B2633" s="1050"/>
      <c r="C2633" s="1050"/>
      <c r="D2633" s="1050"/>
      <c r="E2633" s="1050"/>
      <c r="F2633" s="1050"/>
      <c r="G2633" s="1050"/>
    </row>
    <row r="2634" spans="1:7">
      <c r="A2634" s="1079"/>
      <c r="B2634" s="1050"/>
      <c r="C2634" s="1050"/>
      <c r="D2634" s="1050"/>
      <c r="E2634" s="1050"/>
      <c r="F2634" s="1050"/>
      <c r="G2634" s="1050"/>
    </row>
    <row r="2635" spans="1:7">
      <c r="A2635" s="1079"/>
      <c r="B2635" s="1050"/>
      <c r="C2635" s="1050"/>
      <c r="D2635" s="1050"/>
      <c r="E2635" s="1050"/>
      <c r="F2635" s="1050"/>
      <c r="G2635" s="1050"/>
    </row>
    <row r="2636" spans="1:7">
      <c r="A2636" s="1079"/>
      <c r="B2636" s="1050"/>
      <c r="C2636" s="1050"/>
      <c r="D2636" s="1050"/>
      <c r="E2636" s="1050"/>
      <c r="F2636" s="1050"/>
      <c r="G2636" s="1050"/>
    </row>
    <row r="2637" spans="1:7">
      <c r="A2637" s="1079"/>
      <c r="B2637" s="1050"/>
      <c r="C2637" s="1050"/>
      <c r="D2637" s="1050"/>
      <c r="E2637" s="1050"/>
      <c r="F2637" s="1050"/>
      <c r="G2637" s="1050"/>
    </row>
    <row r="2638" spans="1:7">
      <c r="A2638" s="1079"/>
      <c r="B2638" s="1050"/>
      <c r="C2638" s="1050"/>
      <c r="D2638" s="1050"/>
      <c r="E2638" s="1050"/>
      <c r="F2638" s="1050"/>
      <c r="G2638" s="1050"/>
    </row>
    <row r="2639" spans="1:7">
      <c r="A2639" s="1079"/>
      <c r="B2639" s="1050"/>
      <c r="C2639" s="1050"/>
      <c r="D2639" s="1050"/>
      <c r="E2639" s="1050"/>
      <c r="F2639" s="1050"/>
      <c r="G2639" s="1050"/>
    </row>
    <row r="2640" spans="1:7">
      <c r="A2640" s="1079"/>
      <c r="B2640" s="1050"/>
      <c r="C2640" s="1050"/>
      <c r="D2640" s="1050"/>
      <c r="E2640" s="1050"/>
      <c r="F2640" s="1050"/>
      <c r="G2640" s="1050"/>
    </row>
    <row r="2641" spans="1:7">
      <c r="A2641" s="1079"/>
      <c r="B2641" s="1050"/>
      <c r="C2641" s="1050"/>
      <c r="D2641" s="1050"/>
      <c r="E2641" s="1050"/>
      <c r="F2641" s="1050"/>
      <c r="G2641" s="1050"/>
    </row>
    <row r="2642" spans="1:7">
      <c r="A2642" s="1079"/>
      <c r="B2642" s="1050"/>
      <c r="C2642" s="1050"/>
      <c r="D2642" s="1050"/>
      <c r="E2642" s="1050"/>
      <c r="F2642" s="1050"/>
      <c r="G2642" s="1050"/>
    </row>
    <row r="2643" spans="1:7">
      <c r="A2643" s="1079"/>
      <c r="B2643" s="1050"/>
      <c r="C2643" s="1050"/>
      <c r="D2643" s="1050"/>
      <c r="E2643" s="1050"/>
      <c r="F2643" s="1050"/>
      <c r="G2643" s="1050"/>
    </row>
    <row r="2644" spans="1:7">
      <c r="A2644" s="1079"/>
      <c r="B2644" s="1050"/>
      <c r="C2644" s="1050"/>
      <c r="D2644" s="1050"/>
      <c r="E2644" s="1050"/>
      <c r="F2644" s="1050"/>
      <c r="G2644" s="1050"/>
    </row>
    <row r="2645" spans="1:7">
      <c r="A2645" s="1079"/>
      <c r="B2645" s="1050"/>
      <c r="C2645" s="1050"/>
      <c r="D2645" s="1050"/>
      <c r="E2645" s="1050"/>
      <c r="F2645" s="1050"/>
      <c r="G2645" s="1050"/>
    </row>
    <row r="2646" spans="1:7">
      <c r="A2646" s="1079"/>
      <c r="B2646" s="1050"/>
      <c r="C2646" s="1050"/>
      <c r="D2646" s="1050"/>
      <c r="E2646" s="1050"/>
      <c r="F2646" s="1050"/>
      <c r="G2646" s="1050"/>
    </row>
    <row r="2647" spans="1:7">
      <c r="A2647" s="1079"/>
      <c r="B2647" s="1050"/>
      <c r="C2647" s="1050"/>
      <c r="D2647" s="1050"/>
      <c r="E2647" s="1050"/>
      <c r="F2647" s="1050"/>
      <c r="G2647" s="1050"/>
    </row>
    <row r="2648" spans="1:7">
      <c r="A2648" s="1079"/>
      <c r="B2648" s="1050"/>
      <c r="C2648" s="1050"/>
      <c r="D2648" s="1050"/>
      <c r="E2648" s="1050"/>
      <c r="F2648" s="1050"/>
      <c r="G2648" s="1050"/>
    </row>
    <row r="2649" spans="1:7">
      <c r="A2649" s="1079"/>
      <c r="B2649" s="1050"/>
      <c r="C2649" s="1050"/>
      <c r="D2649" s="1050"/>
      <c r="E2649" s="1050"/>
      <c r="F2649" s="1050"/>
      <c r="G2649" s="1050"/>
    </row>
    <row r="2650" spans="1:7">
      <c r="A2650" s="1079"/>
      <c r="B2650" s="1050"/>
      <c r="C2650" s="1050"/>
      <c r="D2650" s="1050"/>
      <c r="E2650" s="1050"/>
      <c r="F2650" s="1050"/>
      <c r="G2650" s="1050"/>
    </row>
    <row r="2651" spans="1:7">
      <c r="A2651" s="1079"/>
      <c r="B2651" s="1050"/>
      <c r="C2651" s="1050"/>
      <c r="D2651" s="1050"/>
      <c r="E2651" s="1050"/>
      <c r="F2651" s="1050"/>
      <c r="G2651" s="1050"/>
    </row>
    <row r="2652" spans="1:7">
      <c r="A2652" s="1079"/>
      <c r="B2652" s="1050"/>
      <c r="C2652" s="1050"/>
      <c r="D2652" s="1050"/>
      <c r="E2652" s="1050"/>
      <c r="F2652" s="1050"/>
      <c r="G2652" s="1050"/>
    </row>
    <row r="2653" spans="1:7">
      <c r="A2653" s="1079"/>
      <c r="B2653" s="1050"/>
      <c r="C2653" s="1050"/>
      <c r="D2653" s="1050"/>
      <c r="E2653" s="1050"/>
      <c r="F2653" s="1050"/>
      <c r="G2653" s="1050"/>
    </row>
    <row r="2654" spans="1:7">
      <c r="A2654" s="1079"/>
      <c r="B2654" s="1050"/>
      <c r="C2654" s="1050"/>
      <c r="D2654" s="1050"/>
      <c r="E2654" s="1050"/>
      <c r="F2654" s="1050"/>
      <c r="G2654" s="1050"/>
    </row>
    <row r="2655" spans="1:7">
      <c r="A2655" s="1079"/>
      <c r="B2655" s="1050"/>
      <c r="C2655" s="1050"/>
      <c r="D2655" s="1050"/>
      <c r="E2655" s="1050"/>
      <c r="F2655" s="1050"/>
      <c r="G2655" s="1050"/>
    </row>
    <row r="2656" spans="1:7">
      <c r="A2656" s="1079"/>
      <c r="B2656" s="1050"/>
      <c r="C2656" s="1050"/>
      <c r="D2656" s="1050"/>
      <c r="E2656" s="1050"/>
      <c r="F2656" s="1050"/>
      <c r="G2656" s="1050"/>
    </row>
    <row r="2657" spans="1:7">
      <c r="A2657" s="1079"/>
      <c r="B2657" s="1050"/>
      <c r="C2657" s="1050"/>
      <c r="D2657" s="1050"/>
      <c r="E2657" s="1050"/>
      <c r="F2657" s="1050"/>
      <c r="G2657" s="1050"/>
    </row>
    <row r="2658" spans="1:7">
      <c r="A2658" s="1079"/>
      <c r="B2658" s="1050"/>
      <c r="C2658" s="1050"/>
      <c r="D2658" s="1050"/>
      <c r="E2658" s="1050"/>
      <c r="F2658" s="1050"/>
      <c r="G2658" s="1050"/>
    </row>
    <row r="2659" spans="1:7">
      <c r="A2659" s="1079"/>
      <c r="B2659" s="1050"/>
      <c r="C2659" s="1050"/>
      <c r="D2659" s="1050"/>
      <c r="E2659" s="1050"/>
      <c r="F2659" s="1050"/>
      <c r="G2659" s="1050"/>
    </row>
    <row r="2660" spans="1:7">
      <c r="A2660" s="1079"/>
      <c r="B2660" s="1050"/>
      <c r="C2660" s="1050"/>
      <c r="D2660" s="1050"/>
      <c r="E2660" s="1050"/>
      <c r="F2660" s="1050"/>
      <c r="G2660" s="1050"/>
    </row>
    <row r="2661" spans="1:7">
      <c r="A2661" s="1079"/>
      <c r="B2661" s="1050"/>
      <c r="C2661" s="1050"/>
      <c r="D2661" s="1050"/>
      <c r="E2661" s="1050"/>
      <c r="F2661" s="1050"/>
      <c r="G2661" s="1050"/>
    </row>
    <row r="2662" spans="1:7">
      <c r="A2662" s="1079"/>
      <c r="B2662" s="1050"/>
      <c r="C2662" s="1050"/>
      <c r="D2662" s="1050"/>
      <c r="E2662" s="1050"/>
      <c r="F2662" s="1050"/>
      <c r="G2662" s="1050"/>
    </row>
    <row r="2663" spans="1:7">
      <c r="A2663" s="1079"/>
      <c r="B2663" s="1050"/>
      <c r="C2663" s="1050"/>
      <c r="D2663" s="1050"/>
      <c r="E2663" s="1050"/>
      <c r="F2663" s="1050"/>
      <c r="G2663" s="1050"/>
    </row>
    <row r="2664" spans="1:7">
      <c r="A2664" s="1079"/>
      <c r="B2664" s="1050"/>
      <c r="C2664" s="1050"/>
      <c r="D2664" s="1050"/>
      <c r="E2664" s="1050"/>
      <c r="F2664" s="1050"/>
      <c r="G2664" s="1050"/>
    </row>
    <row r="2665" spans="1:7">
      <c r="A2665" s="1079"/>
      <c r="B2665" s="1050"/>
      <c r="C2665" s="1050"/>
      <c r="D2665" s="1050"/>
      <c r="E2665" s="1050"/>
      <c r="F2665" s="1050"/>
      <c r="G2665" s="1050"/>
    </row>
    <row r="2666" spans="1:7">
      <c r="A2666" s="1079"/>
      <c r="B2666" s="1050"/>
      <c r="C2666" s="1050"/>
      <c r="D2666" s="1050"/>
      <c r="E2666" s="1050"/>
      <c r="F2666" s="1050"/>
      <c r="G2666" s="1050"/>
    </row>
    <row r="2667" spans="1:7">
      <c r="A2667" s="1079"/>
      <c r="B2667" s="1050"/>
      <c r="C2667" s="1050"/>
      <c r="D2667" s="1050"/>
      <c r="E2667" s="1050"/>
      <c r="F2667" s="1050"/>
      <c r="G2667" s="1050"/>
    </row>
    <row r="2668" spans="1:7">
      <c r="A2668" s="1079"/>
      <c r="B2668" s="1050"/>
      <c r="C2668" s="1050"/>
      <c r="D2668" s="1050"/>
      <c r="E2668" s="1050"/>
      <c r="F2668" s="1050"/>
      <c r="G2668" s="1050"/>
    </row>
    <row r="2669" spans="1:7">
      <c r="A2669" s="1079"/>
      <c r="B2669" s="1050"/>
      <c r="C2669" s="1050"/>
      <c r="D2669" s="1050"/>
      <c r="E2669" s="1050"/>
      <c r="F2669" s="1050"/>
      <c r="G2669" s="1050"/>
    </row>
    <row r="2670" spans="1:7">
      <c r="A2670" s="1079"/>
      <c r="B2670" s="1050"/>
      <c r="C2670" s="1050"/>
      <c r="D2670" s="1050"/>
      <c r="E2670" s="1050"/>
      <c r="F2670" s="1050"/>
      <c r="G2670" s="1050"/>
    </row>
    <row r="2671" spans="1:7">
      <c r="A2671" s="1079"/>
      <c r="B2671" s="1050"/>
      <c r="C2671" s="1050"/>
      <c r="D2671" s="1050"/>
      <c r="E2671" s="1050"/>
      <c r="F2671" s="1050"/>
      <c r="G2671" s="1050"/>
    </row>
    <row r="2672" spans="1:7">
      <c r="A2672" s="1079"/>
      <c r="B2672" s="1050"/>
      <c r="C2672" s="1050"/>
      <c r="D2672" s="1050"/>
      <c r="E2672" s="1050"/>
      <c r="F2672" s="1050"/>
      <c r="G2672" s="1050"/>
    </row>
    <row r="2673" spans="1:7">
      <c r="A2673" s="1079"/>
      <c r="B2673" s="1050"/>
      <c r="C2673" s="1050"/>
      <c r="D2673" s="1050"/>
      <c r="E2673" s="1050"/>
      <c r="F2673" s="1050"/>
      <c r="G2673" s="1050"/>
    </row>
    <row r="2674" spans="1:7">
      <c r="A2674" s="1079"/>
      <c r="B2674" s="1050"/>
      <c r="C2674" s="1050"/>
      <c r="D2674" s="1050"/>
      <c r="E2674" s="1050"/>
      <c r="F2674" s="1050"/>
      <c r="G2674" s="1050"/>
    </row>
    <row r="2675" spans="1:7">
      <c r="A2675" s="1079"/>
      <c r="B2675" s="1050"/>
      <c r="C2675" s="1050"/>
      <c r="D2675" s="1050"/>
      <c r="E2675" s="1050"/>
      <c r="F2675" s="1050"/>
      <c r="G2675" s="1050"/>
    </row>
    <row r="2676" spans="1:7">
      <c r="A2676" s="1079"/>
      <c r="B2676" s="1050"/>
      <c r="C2676" s="1050"/>
      <c r="D2676" s="1050"/>
      <c r="E2676" s="1050"/>
      <c r="F2676" s="1050"/>
      <c r="G2676" s="1050"/>
    </row>
    <row r="2677" spans="1:7">
      <c r="A2677" s="1079"/>
      <c r="B2677" s="1050"/>
      <c r="C2677" s="1050"/>
      <c r="D2677" s="1050"/>
      <c r="E2677" s="1050"/>
      <c r="F2677" s="1050"/>
      <c r="G2677" s="1050"/>
    </row>
    <row r="2678" spans="1:7">
      <c r="A2678" s="1079"/>
      <c r="B2678" s="1050"/>
      <c r="C2678" s="1050"/>
      <c r="D2678" s="1050"/>
      <c r="E2678" s="1050"/>
      <c r="F2678" s="1050"/>
      <c r="G2678" s="1050"/>
    </row>
    <row r="2679" spans="1:7">
      <c r="A2679" s="1079"/>
      <c r="B2679" s="1050"/>
      <c r="C2679" s="1050"/>
      <c r="D2679" s="1050"/>
      <c r="E2679" s="1050"/>
      <c r="F2679" s="1050"/>
      <c r="G2679" s="1050"/>
    </row>
    <row r="2680" spans="1:7">
      <c r="A2680" s="1079"/>
      <c r="B2680" s="1050"/>
      <c r="C2680" s="1050"/>
      <c r="D2680" s="1050"/>
      <c r="E2680" s="1050"/>
      <c r="F2680" s="1050"/>
      <c r="G2680" s="1050"/>
    </row>
    <row r="2681" spans="1:7">
      <c r="A2681" s="1079"/>
      <c r="B2681" s="1050"/>
      <c r="C2681" s="1050"/>
      <c r="D2681" s="1050"/>
      <c r="E2681" s="1050"/>
      <c r="F2681" s="1050"/>
      <c r="G2681" s="1050"/>
    </row>
    <row r="2682" spans="1:7">
      <c r="A2682" s="1079"/>
      <c r="B2682" s="1050"/>
      <c r="C2682" s="1050"/>
      <c r="D2682" s="1050"/>
      <c r="E2682" s="1050"/>
      <c r="F2682" s="1050"/>
      <c r="G2682" s="1050"/>
    </row>
    <row r="2683" spans="1:7">
      <c r="A2683" s="1079"/>
      <c r="B2683" s="1050"/>
      <c r="C2683" s="1050"/>
      <c r="D2683" s="1050"/>
      <c r="E2683" s="1050"/>
      <c r="F2683" s="1050"/>
      <c r="G2683" s="1050"/>
    </row>
    <row r="2684" spans="1:7">
      <c r="A2684" s="1079"/>
      <c r="B2684" s="1050"/>
      <c r="C2684" s="1050"/>
      <c r="D2684" s="1050"/>
      <c r="E2684" s="1050"/>
      <c r="F2684" s="1050"/>
      <c r="G2684" s="1050"/>
    </row>
    <row r="2685" spans="1:7">
      <c r="A2685" s="1079"/>
      <c r="B2685" s="1050"/>
      <c r="C2685" s="1050"/>
      <c r="D2685" s="1050"/>
      <c r="E2685" s="1050"/>
      <c r="F2685" s="1050"/>
      <c r="G2685" s="1050"/>
    </row>
    <row r="2686" spans="1:7">
      <c r="A2686" s="1079"/>
      <c r="B2686" s="1050"/>
      <c r="C2686" s="1050"/>
      <c r="D2686" s="1050"/>
      <c r="E2686" s="1050"/>
      <c r="F2686" s="1050"/>
      <c r="G2686" s="1050"/>
    </row>
    <row r="2687" spans="1:7">
      <c r="A2687" s="1079"/>
      <c r="B2687" s="1050"/>
      <c r="C2687" s="1050"/>
      <c r="D2687" s="1050"/>
      <c r="E2687" s="1050"/>
      <c r="F2687" s="1050"/>
      <c r="G2687" s="1050"/>
    </row>
    <row r="2688" spans="1:7">
      <c r="A2688" s="1079"/>
      <c r="B2688" s="1050"/>
      <c r="C2688" s="1050"/>
      <c r="D2688" s="1050"/>
      <c r="E2688" s="1050"/>
      <c r="F2688" s="1050"/>
      <c r="G2688" s="1050"/>
    </row>
    <row r="2689" spans="1:7">
      <c r="A2689" s="1079"/>
      <c r="B2689" s="1050"/>
      <c r="C2689" s="1050"/>
      <c r="D2689" s="1050"/>
      <c r="E2689" s="1050"/>
      <c r="F2689" s="1050"/>
      <c r="G2689" s="1050"/>
    </row>
    <row r="2690" spans="1:7">
      <c r="A2690" s="1079"/>
      <c r="B2690" s="1050"/>
      <c r="C2690" s="1050"/>
      <c r="D2690" s="1050"/>
      <c r="E2690" s="1050"/>
      <c r="F2690" s="1050"/>
      <c r="G2690" s="1050"/>
    </row>
    <row r="2691" spans="1:7">
      <c r="A2691" s="1079"/>
      <c r="B2691" s="1050"/>
      <c r="C2691" s="1050"/>
      <c r="D2691" s="1050"/>
      <c r="E2691" s="1050"/>
      <c r="F2691" s="1050"/>
      <c r="G2691" s="1050"/>
    </row>
    <row r="2692" spans="1:7">
      <c r="A2692" s="1079"/>
      <c r="B2692" s="1050"/>
      <c r="C2692" s="1050"/>
      <c r="D2692" s="1050"/>
      <c r="E2692" s="1050"/>
      <c r="F2692" s="1050"/>
      <c r="G2692" s="1050"/>
    </row>
    <row r="2693" spans="1:7">
      <c r="A2693" s="1079"/>
      <c r="B2693" s="1050"/>
      <c r="C2693" s="1050"/>
      <c r="D2693" s="1050"/>
      <c r="E2693" s="1050"/>
      <c r="F2693" s="1050"/>
      <c r="G2693" s="1050"/>
    </row>
    <row r="2694" spans="1:7">
      <c r="A2694" s="1079"/>
      <c r="B2694" s="1050"/>
      <c r="C2694" s="1050"/>
      <c r="D2694" s="1050"/>
      <c r="E2694" s="1050"/>
      <c r="F2694" s="1050"/>
      <c r="G2694" s="1050"/>
    </row>
    <row r="2695" spans="1:7">
      <c r="A2695" s="1079"/>
      <c r="B2695" s="1050"/>
      <c r="C2695" s="1050"/>
      <c r="D2695" s="1050"/>
      <c r="E2695" s="1050"/>
      <c r="F2695" s="1050"/>
      <c r="G2695" s="1050"/>
    </row>
    <row r="2696" spans="1:7">
      <c r="A2696" s="1079"/>
      <c r="B2696" s="1050"/>
      <c r="C2696" s="1050"/>
      <c r="D2696" s="1050"/>
      <c r="E2696" s="1050"/>
      <c r="F2696" s="1050"/>
      <c r="G2696" s="1050"/>
    </row>
    <row r="2697" spans="1:7">
      <c r="A2697" s="1079"/>
      <c r="B2697" s="1050"/>
      <c r="C2697" s="1050"/>
      <c r="D2697" s="1050"/>
      <c r="E2697" s="1050"/>
      <c r="F2697" s="1050"/>
      <c r="G2697" s="1050"/>
    </row>
    <row r="2698" spans="1:7">
      <c r="A2698" s="1079"/>
      <c r="B2698" s="1050"/>
      <c r="C2698" s="1050"/>
      <c r="D2698" s="1050"/>
      <c r="E2698" s="1050"/>
      <c r="F2698" s="1050"/>
      <c r="G2698" s="1050"/>
    </row>
    <row r="2699" spans="1:7">
      <c r="A2699" s="1079"/>
      <c r="B2699" s="1050"/>
      <c r="C2699" s="1050"/>
      <c r="D2699" s="1050"/>
      <c r="E2699" s="1050"/>
      <c r="F2699" s="1050"/>
      <c r="G2699" s="1050"/>
    </row>
    <row r="2700" spans="1:7">
      <c r="A2700" s="1079"/>
      <c r="B2700" s="1050"/>
      <c r="C2700" s="1050"/>
      <c r="D2700" s="1050"/>
      <c r="E2700" s="1050"/>
      <c r="F2700" s="1050"/>
      <c r="G2700" s="1050"/>
    </row>
    <row r="2701" spans="1:7">
      <c r="A2701" s="1079"/>
      <c r="B2701" s="1050"/>
      <c r="C2701" s="1050"/>
      <c r="D2701" s="1050"/>
      <c r="E2701" s="1050"/>
      <c r="F2701" s="1050"/>
      <c r="G2701" s="1050"/>
    </row>
    <row r="2702" spans="1:7">
      <c r="A2702" s="1079"/>
      <c r="B2702" s="1050"/>
      <c r="C2702" s="1050"/>
      <c r="D2702" s="1050"/>
      <c r="E2702" s="1050"/>
      <c r="F2702" s="1050"/>
      <c r="G2702" s="1050"/>
    </row>
    <row r="2703" spans="1:7">
      <c r="A2703" s="1079"/>
      <c r="B2703" s="1050"/>
      <c r="C2703" s="1050"/>
      <c r="D2703" s="1050"/>
      <c r="E2703" s="1050"/>
      <c r="F2703" s="1050"/>
      <c r="G2703" s="1050"/>
    </row>
    <row r="2704" spans="1:7">
      <c r="A2704" s="1079"/>
      <c r="B2704" s="1050"/>
      <c r="C2704" s="1050"/>
      <c r="D2704" s="1050"/>
      <c r="E2704" s="1050"/>
      <c r="F2704" s="1050"/>
      <c r="G2704" s="1050"/>
    </row>
    <row r="2705" spans="1:7">
      <c r="A2705" s="1079"/>
      <c r="B2705" s="1050"/>
      <c r="C2705" s="1050"/>
      <c r="D2705" s="1050"/>
      <c r="E2705" s="1050"/>
      <c r="F2705" s="1050"/>
      <c r="G2705" s="1050"/>
    </row>
    <row r="2706" spans="1:7">
      <c r="A2706" s="1079"/>
      <c r="B2706" s="1050"/>
      <c r="C2706" s="1050"/>
      <c r="D2706" s="1050"/>
      <c r="E2706" s="1050"/>
      <c r="F2706" s="1050"/>
      <c r="G2706" s="1050"/>
    </row>
    <row r="2707" spans="1:7">
      <c r="A2707" s="1079"/>
      <c r="B2707" s="1050"/>
      <c r="C2707" s="1050"/>
      <c r="D2707" s="1050"/>
      <c r="E2707" s="1050"/>
      <c r="F2707" s="1050"/>
      <c r="G2707" s="1050"/>
    </row>
    <row r="2708" spans="1:7">
      <c r="A2708" s="1079"/>
      <c r="B2708" s="1050"/>
      <c r="C2708" s="1050"/>
      <c r="D2708" s="1050"/>
      <c r="E2708" s="1050"/>
      <c r="F2708" s="1050"/>
      <c r="G2708" s="1050"/>
    </row>
    <row r="2709" spans="1:7">
      <c r="A2709" s="1079"/>
      <c r="B2709" s="1050"/>
      <c r="C2709" s="1050"/>
      <c r="D2709" s="1050"/>
      <c r="E2709" s="1050"/>
      <c r="F2709" s="1050"/>
      <c r="G2709" s="1050"/>
    </row>
    <row r="2710" spans="1:7">
      <c r="A2710" s="1079"/>
      <c r="B2710" s="1050"/>
      <c r="C2710" s="1050"/>
      <c r="D2710" s="1050"/>
      <c r="E2710" s="1050"/>
      <c r="F2710" s="1050"/>
      <c r="G2710" s="1050"/>
    </row>
    <row r="2711" spans="1:7">
      <c r="A2711" s="1079"/>
      <c r="B2711" s="1050"/>
      <c r="C2711" s="1050"/>
      <c r="D2711" s="1050"/>
      <c r="E2711" s="1050"/>
      <c r="F2711" s="1050"/>
      <c r="G2711" s="1050"/>
    </row>
    <row r="2712" spans="1:7">
      <c r="A2712" s="1079"/>
      <c r="B2712" s="1050"/>
      <c r="C2712" s="1050"/>
      <c r="D2712" s="1050"/>
      <c r="E2712" s="1050"/>
      <c r="F2712" s="1050"/>
      <c r="G2712" s="1050"/>
    </row>
    <row r="2713" spans="1:7">
      <c r="A2713" s="1079"/>
      <c r="B2713" s="1050"/>
      <c r="C2713" s="1050"/>
      <c r="D2713" s="1050"/>
      <c r="E2713" s="1050"/>
      <c r="F2713" s="1050"/>
      <c r="G2713" s="1050"/>
    </row>
    <row r="2714" spans="1:7">
      <c r="A2714" s="1079"/>
      <c r="B2714" s="1050"/>
      <c r="C2714" s="1050"/>
      <c r="D2714" s="1050"/>
      <c r="E2714" s="1050"/>
      <c r="F2714" s="1050"/>
      <c r="G2714" s="1050"/>
    </row>
    <row r="2715" spans="1:7">
      <c r="A2715" s="1079"/>
      <c r="B2715" s="1050"/>
      <c r="C2715" s="1050"/>
      <c r="D2715" s="1050"/>
      <c r="E2715" s="1050"/>
      <c r="F2715" s="1050"/>
      <c r="G2715" s="1050"/>
    </row>
    <row r="2716" spans="1:7">
      <c r="A2716" s="1079"/>
      <c r="B2716" s="1050"/>
      <c r="C2716" s="1050"/>
      <c r="D2716" s="1050"/>
      <c r="E2716" s="1050"/>
      <c r="F2716" s="1050"/>
      <c r="G2716" s="1050"/>
    </row>
    <row r="2717" spans="1:7">
      <c r="A2717" s="1079"/>
      <c r="B2717" s="1050"/>
      <c r="C2717" s="1050"/>
      <c r="D2717" s="1050"/>
      <c r="E2717" s="1050"/>
      <c r="F2717" s="1050"/>
      <c r="G2717" s="1050"/>
    </row>
    <row r="2718" spans="1:7">
      <c r="A2718" s="1079"/>
      <c r="B2718" s="1050"/>
      <c r="C2718" s="1050"/>
      <c r="D2718" s="1050"/>
      <c r="E2718" s="1050"/>
      <c r="F2718" s="1050"/>
      <c r="G2718" s="1050"/>
    </row>
    <row r="2719" spans="1:7">
      <c r="A2719" s="1079"/>
      <c r="B2719" s="1050"/>
      <c r="C2719" s="1050"/>
      <c r="D2719" s="1050"/>
      <c r="E2719" s="1050"/>
      <c r="F2719" s="1050"/>
      <c r="G2719" s="1050"/>
    </row>
    <row r="2720" spans="1:7">
      <c r="A2720" s="1079"/>
      <c r="B2720" s="1050"/>
      <c r="C2720" s="1050"/>
      <c r="D2720" s="1050"/>
      <c r="E2720" s="1050"/>
      <c r="F2720" s="1050"/>
      <c r="G2720" s="1050"/>
    </row>
    <row r="2721" spans="1:7">
      <c r="A2721" s="1079"/>
      <c r="B2721" s="1050"/>
      <c r="C2721" s="1050"/>
      <c r="D2721" s="1050"/>
      <c r="E2721" s="1050"/>
      <c r="F2721" s="1050"/>
      <c r="G2721" s="1050"/>
    </row>
    <row r="2722" spans="1:7">
      <c r="A2722" s="1079"/>
      <c r="B2722" s="1050"/>
      <c r="C2722" s="1050"/>
      <c r="D2722" s="1050"/>
      <c r="E2722" s="1050"/>
      <c r="F2722" s="1050"/>
      <c r="G2722" s="1050"/>
    </row>
    <row r="2723" spans="1:7">
      <c r="A2723" s="1079"/>
      <c r="B2723" s="1050"/>
      <c r="C2723" s="1050"/>
      <c r="D2723" s="1050"/>
      <c r="E2723" s="1050"/>
      <c r="F2723" s="1050"/>
      <c r="G2723" s="1050"/>
    </row>
    <row r="2724" spans="1:7">
      <c r="A2724" s="1079"/>
      <c r="B2724" s="1050"/>
      <c r="C2724" s="1050"/>
      <c r="D2724" s="1050"/>
      <c r="E2724" s="1050"/>
      <c r="F2724" s="1050"/>
      <c r="G2724" s="1050"/>
    </row>
    <row r="2725" spans="1:7">
      <c r="A2725" s="1079"/>
      <c r="B2725" s="1050"/>
      <c r="C2725" s="1050"/>
      <c r="D2725" s="1050"/>
      <c r="E2725" s="1050"/>
      <c r="F2725" s="1050"/>
      <c r="G2725" s="1050"/>
    </row>
    <row r="2726" spans="1:7">
      <c r="A2726" s="1079"/>
      <c r="B2726" s="1050"/>
      <c r="C2726" s="1050"/>
      <c r="D2726" s="1050"/>
      <c r="E2726" s="1050"/>
      <c r="F2726" s="1050"/>
      <c r="G2726" s="1050"/>
    </row>
    <row r="2727" spans="1:7">
      <c r="A2727" s="1079"/>
      <c r="B2727" s="1050"/>
      <c r="C2727" s="1050"/>
      <c r="D2727" s="1050"/>
      <c r="E2727" s="1050"/>
      <c r="F2727" s="1050"/>
      <c r="G2727" s="1050"/>
    </row>
    <row r="2728" spans="1:7">
      <c r="A2728" s="1079"/>
      <c r="B2728" s="1050"/>
      <c r="C2728" s="1050"/>
      <c r="D2728" s="1050"/>
      <c r="E2728" s="1050"/>
      <c r="F2728" s="1050"/>
      <c r="G2728" s="1050"/>
    </row>
    <row r="2729" spans="1:7">
      <c r="A2729" s="1079"/>
      <c r="B2729" s="1050"/>
      <c r="C2729" s="1050"/>
      <c r="D2729" s="1050"/>
      <c r="E2729" s="1050"/>
      <c r="F2729" s="1050"/>
      <c r="G2729" s="1050"/>
    </row>
    <row r="2730" spans="1:7">
      <c r="A2730" s="1079"/>
      <c r="B2730" s="1050"/>
      <c r="C2730" s="1050"/>
      <c r="D2730" s="1050"/>
      <c r="E2730" s="1050"/>
      <c r="F2730" s="1050"/>
      <c r="G2730" s="1050"/>
    </row>
    <row r="2731" spans="1:7">
      <c r="A2731" s="1079"/>
      <c r="B2731" s="1050"/>
      <c r="C2731" s="1050"/>
      <c r="D2731" s="1050"/>
      <c r="E2731" s="1050"/>
      <c r="F2731" s="1050"/>
      <c r="G2731" s="1050"/>
    </row>
    <row r="2732" spans="1:7">
      <c r="A2732" s="1079"/>
      <c r="B2732" s="1050"/>
      <c r="C2732" s="1050"/>
      <c r="D2732" s="1050"/>
      <c r="E2732" s="1050"/>
      <c r="F2732" s="1050"/>
      <c r="G2732" s="1050"/>
    </row>
    <row r="2733" spans="1:7">
      <c r="A2733" s="1079"/>
      <c r="B2733" s="1050"/>
      <c r="C2733" s="1050"/>
      <c r="D2733" s="1050"/>
      <c r="E2733" s="1050"/>
      <c r="F2733" s="1050"/>
      <c r="G2733" s="1050"/>
    </row>
    <row r="2734" spans="1:7">
      <c r="A2734" s="1079"/>
      <c r="B2734" s="1050"/>
      <c r="C2734" s="1050"/>
      <c r="D2734" s="1050"/>
      <c r="E2734" s="1050"/>
      <c r="F2734" s="1050"/>
      <c r="G2734" s="1050"/>
    </row>
    <row r="2735" spans="1:7">
      <c r="A2735" s="1079"/>
      <c r="B2735" s="1050"/>
      <c r="C2735" s="1050"/>
      <c r="D2735" s="1050"/>
      <c r="E2735" s="1050"/>
      <c r="F2735" s="1050"/>
      <c r="G2735" s="1050"/>
    </row>
    <row r="2736" spans="1:7">
      <c r="A2736" s="1079"/>
      <c r="B2736" s="1050"/>
      <c r="C2736" s="1050"/>
      <c r="D2736" s="1050"/>
      <c r="E2736" s="1050"/>
      <c r="F2736" s="1050"/>
      <c r="G2736" s="1050"/>
    </row>
    <row r="2737" spans="1:7">
      <c r="A2737" s="1079"/>
      <c r="B2737" s="1050"/>
      <c r="C2737" s="1050"/>
      <c r="D2737" s="1050"/>
      <c r="E2737" s="1050"/>
      <c r="F2737" s="1050"/>
      <c r="G2737" s="1050"/>
    </row>
    <row r="2738" spans="1:7">
      <c r="A2738" s="1079"/>
      <c r="B2738" s="1050"/>
      <c r="C2738" s="1050"/>
      <c r="D2738" s="1050"/>
      <c r="E2738" s="1050"/>
      <c r="F2738" s="1050"/>
      <c r="G2738" s="1050"/>
    </row>
    <row r="2739" spans="1:7">
      <c r="A2739" s="1079"/>
      <c r="B2739" s="1050"/>
      <c r="C2739" s="1050"/>
      <c r="D2739" s="1050"/>
      <c r="E2739" s="1050"/>
      <c r="F2739" s="1050"/>
      <c r="G2739" s="1050"/>
    </row>
    <row r="2740" spans="1:7">
      <c r="A2740" s="1079"/>
      <c r="B2740" s="1050"/>
      <c r="C2740" s="1050"/>
      <c r="D2740" s="1050"/>
      <c r="E2740" s="1050"/>
      <c r="F2740" s="1050"/>
      <c r="G2740" s="1050"/>
    </row>
    <row r="2741" spans="1:7">
      <c r="A2741" s="1079"/>
      <c r="B2741" s="1050"/>
      <c r="C2741" s="1050"/>
      <c r="D2741" s="1050"/>
      <c r="E2741" s="1050"/>
      <c r="F2741" s="1050"/>
      <c r="G2741" s="1050"/>
    </row>
    <row r="2742" spans="1:7">
      <c r="A2742" s="1079"/>
      <c r="B2742" s="1050"/>
      <c r="C2742" s="1050"/>
      <c r="D2742" s="1050"/>
      <c r="E2742" s="1050"/>
      <c r="F2742" s="1050"/>
      <c r="G2742" s="1050"/>
    </row>
    <row r="2743" spans="1:7">
      <c r="A2743" s="1079"/>
      <c r="B2743" s="1050"/>
      <c r="C2743" s="1050"/>
      <c r="D2743" s="1050"/>
      <c r="E2743" s="1050"/>
      <c r="F2743" s="1050"/>
      <c r="G2743" s="1050"/>
    </row>
    <row r="2744" spans="1:7">
      <c r="A2744" s="1079"/>
      <c r="B2744" s="1050"/>
      <c r="C2744" s="1050"/>
      <c r="D2744" s="1050"/>
      <c r="E2744" s="1050"/>
      <c r="F2744" s="1050"/>
      <c r="G2744" s="1050"/>
    </row>
    <row r="2745" spans="1:7">
      <c r="A2745" s="1079"/>
      <c r="B2745" s="1050"/>
      <c r="C2745" s="1050"/>
      <c r="D2745" s="1050"/>
      <c r="E2745" s="1050"/>
      <c r="F2745" s="1050"/>
      <c r="G2745" s="1050"/>
    </row>
    <row r="2746" spans="1:7">
      <c r="A2746" s="1079"/>
      <c r="B2746" s="1050"/>
      <c r="C2746" s="1050"/>
      <c r="D2746" s="1050"/>
      <c r="E2746" s="1050"/>
      <c r="F2746" s="1050"/>
      <c r="G2746" s="1050"/>
    </row>
    <row r="2747" spans="1:7">
      <c r="A2747" s="1079"/>
      <c r="B2747" s="1050"/>
      <c r="C2747" s="1050"/>
      <c r="D2747" s="1050"/>
      <c r="E2747" s="1050"/>
      <c r="F2747" s="1050"/>
      <c r="G2747" s="1050"/>
    </row>
    <row r="2748" spans="1:7">
      <c r="A2748" s="1079"/>
      <c r="B2748" s="1050"/>
      <c r="C2748" s="1050"/>
      <c r="D2748" s="1050"/>
      <c r="E2748" s="1050"/>
      <c r="F2748" s="1050"/>
      <c r="G2748" s="1050"/>
    </row>
    <row r="2749" spans="1:7">
      <c r="A2749" s="1079"/>
      <c r="B2749" s="1050"/>
      <c r="C2749" s="1050"/>
      <c r="D2749" s="1050"/>
      <c r="E2749" s="1050"/>
      <c r="F2749" s="1050"/>
      <c r="G2749" s="1050"/>
    </row>
    <row r="2750" spans="1:7">
      <c r="A2750" s="1079"/>
      <c r="B2750" s="1050"/>
      <c r="C2750" s="1050"/>
      <c r="D2750" s="1050"/>
      <c r="E2750" s="1050"/>
      <c r="F2750" s="1050"/>
      <c r="G2750" s="1050"/>
    </row>
    <row r="2751" spans="1:7">
      <c r="A2751" s="1079"/>
      <c r="B2751" s="1050"/>
      <c r="C2751" s="1050"/>
      <c r="D2751" s="1050"/>
      <c r="E2751" s="1050"/>
      <c r="F2751" s="1050"/>
      <c r="G2751" s="1050"/>
    </row>
    <row r="2752" spans="1:7">
      <c r="A2752" s="1079"/>
      <c r="B2752" s="1050"/>
      <c r="C2752" s="1050"/>
      <c r="D2752" s="1050"/>
      <c r="E2752" s="1050"/>
      <c r="F2752" s="1050"/>
      <c r="G2752" s="1050"/>
    </row>
    <row r="2753" spans="1:7">
      <c r="A2753" s="1079"/>
      <c r="B2753" s="1050"/>
      <c r="C2753" s="1050"/>
      <c r="D2753" s="1050"/>
      <c r="E2753" s="1050"/>
      <c r="F2753" s="1050"/>
      <c r="G2753" s="1050"/>
    </row>
    <row r="2754" spans="1:7">
      <c r="A2754" s="1079"/>
      <c r="B2754" s="1050"/>
      <c r="C2754" s="1050"/>
      <c r="D2754" s="1050"/>
      <c r="E2754" s="1050"/>
      <c r="F2754" s="1050"/>
      <c r="G2754" s="1050"/>
    </row>
    <row r="2755" spans="1:7">
      <c r="A2755" s="1079"/>
      <c r="B2755" s="1050"/>
      <c r="C2755" s="1050"/>
      <c r="D2755" s="1050"/>
      <c r="E2755" s="1050"/>
      <c r="F2755" s="1050"/>
      <c r="G2755" s="1050"/>
    </row>
    <row r="2756" spans="1:7">
      <c r="A2756" s="1079"/>
      <c r="B2756" s="1050"/>
      <c r="C2756" s="1050"/>
      <c r="D2756" s="1050"/>
      <c r="E2756" s="1050"/>
      <c r="F2756" s="1050"/>
      <c r="G2756" s="1050"/>
    </row>
    <row r="2757" spans="1:7">
      <c r="A2757" s="1079"/>
      <c r="B2757" s="1050"/>
      <c r="C2757" s="1050"/>
      <c r="D2757" s="1050"/>
      <c r="E2757" s="1050"/>
      <c r="F2757" s="1050"/>
      <c r="G2757" s="1050"/>
    </row>
    <row r="2758" spans="1:7">
      <c r="A2758" s="1079"/>
      <c r="B2758" s="1050"/>
      <c r="C2758" s="1050"/>
      <c r="D2758" s="1050"/>
      <c r="E2758" s="1050"/>
      <c r="F2758" s="1050"/>
      <c r="G2758" s="1050"/>
    </row>
    <row r="2759" spans="1:7">
      <c r="A2759" s="1079"/>
      <c r="B2759" s="1050"/>
      <c r="C2759" s="1050"/>
      <c r="D2759" s="1050"/>
      <c r="E2759" s="1050"/>
      <c r="F2759" s="1050"/>
      <c r="G2759" s="1050"/>
    </row>
    <row r="2760" spans="1:7">
      <c r="A2760" s="1079"/>
      <c r="B2760" s="1050"/>
      <c r="C2760" s="1050"/>
      <c r="D2760" s="1050"/>
      <c r="E2760" s="1050"/>
      <c r="F2760" s="1050"/>
      <c r="G2760" s="1050"/>
    </row>
    <row r="2761" spans="1:7">
      <c r="A2761" s="1079"/>
      <c r="B2761" s="1050"/>
      <c r="C2761" s="1050"/>
      <c r="D2761" s="1050"/>
      <c r="E2761" s="1050"/>
      <c r="F2761" s="1050"/>
      <c r="G2761" s="1050"/>
    </row>
    <row r="2762" spans="1:7">
      <c r="A2762" s="1079"/>
      <c r="B2762" s="1050"/>
      <c r="C2762" s="1050"/>
      <c r="D2762" s="1050"/>
      <c r="E2762" s="1050"/>
      <c r="F2762" s="1050"/>
      <c r="G2762" s="1050"/>
    </row>
    <row r="2763" spans="1:7">
      <c r="A2763" s="1079"/>
      <c r="B2763" s="1050"/>
      <c r="C2763" s="1050"/>
      <c r="D2763" s="1050"/>
      <c r="E2763" s="1050"/>
      <c r="F2763" s="1050"/>
      <c r="G2763" s="1050"/>
    </row>
    <row r="2764" spans="1:7">
      <c r="A2764" s="1079"/>
      <c r="B2764" s="1050"/>
      <c r="C2764" s="1050"/>
      <c r="D2764" s="1050"/>
      <c r="E2764" s="1050"/>
      <c r="F2764" s="1050"/>
      <c r="G2764" s="1050"/>
    </row>
    <row r="2765" spans="1:7">
      <c r="A2765" s="1079"/>
      <c r="B2765" s="1050"/>
      <c r="C2765" s="1050"/>
      <c r="D2765" s="1050"/>
      <c r="E2765" s="1050"/>
      <c r="F2765" s="1050"/>
      <c r="G2765" s="1050"/>
    </row>
    <row r="2766" spans="1:7">
      <c r="A2766" s="1079"/>
      <c r="B2766" s="1050"/>
      <c r="C2766" s="1050"/>
      <c r="D2766" s="1050"/>
      <c r="E2766" s="1050"/>
      <c r="F2766" s="1050"/>
      <c r="G2766" s="1050"/>
    </row>
    <row r="2767" spans="1:7">
      <c r="A2767" s="1079"/>
      <c r="B2767" s="1050"/>
      <c r="C2767" s="1050"/>
      <c r="D2767" s="1050"/>
      <c r="E2767" s="1050"/>
      <c r="F2767" s="1050"/>
      <c r="G2767" s="1050"/>
    </row>
    <row r="2768" spans="1:7">
      <c r="A2768" s="1079"/>
      <c r="B2768" s="1050"/>
      <c r="C2768" s="1050"/>
      <c r="D2768" s="1050"/>
      <c r="E2768" s="1050"/>
      <c r="F2768" s="1050"/>
      <c r="G2768" s="1050"/>
    </row>
    <row r="2769" spans="1:7">
      <c r="A2769" s="1079"/>
      <c r="B2769" s="1050"/>
      <c r="C2769" s="1050"/>
      <c r="D2769" s="1050"/>
      <c r="E2769" s="1050"/>
      <c r="F2769" s="1050"/>
      <c r="G2769" s="1050"/>
    </row>
    <row r="2770" spans="1:7">
      <c r="A2770" s="1079"/>
      <c r="B2770" s="1050"/>
      <c r="C2770" s="1050"/>
      <c r="D2770" s="1050"/>
      <c r="E2770" s="1050"/>
      <c r="F2770" s="1050"/>
      <c r="G2770" s="1050"/>
    </row>
    <row r="2771" spans="1:7">
      <c r="A2771" s="1079"/>
      <c r="B2771" s="1050"/>
      <c r="C2771" s="1050"/>
      <c r="D2771" s="1050"/>
      <c r="E2771" s="1050"/>
      <c r="F2771" s="1050"/>
      <c r="G2771" s="1050"/>
    </row>
    <row r="2772" spans="1:7">
      <c r="A2772" s="1079"/>
      <c r="B2772" s="1050"/>
      <c r="C2772" s="1050"/>
      <c r="D2772" s="1050"/>
      <c r="E2772" s="1050"/>
      <c r="F2772" s="1050"/>
      <c r="G2772" s="1050"/>
    </row>
    <row r="2773" spans="1:7">
      <c r="A2773" s="1079"/>
      <c r="B2773" s="1050"/>
      <c r="C2773" s="1050"/>
      <c r="D2773" s="1050"/>
      <c r="E2773" s="1050"/>
      <c r="F2773" s="1050"/>
      <c r="G2773" s="1050"/>
    </row>
    <row r="2774" spans="1:7">
      <c r="A2774" s="1079"/>
      <c r="B2774" s="1050"/>
      <c r="C2774" s="1050"/>
      <c r="D2774" s="1050"/>
      <c r="E2774" s="1050"/>
      <c r="F2774" s="1050"/>
      <c r="G2774" s="1050"/>
    </row>
    <row r="2775" spans="1:7">
      <c r="A2775" s="1079"/>
      <c r="B2775" s="1050"/>
      <c r="C2775" s="1050"/>
      <c r="D2775" s="1050"/>
      <c r="E2775" s="1050"/>
      <c r="F2775" s="1050"/>
      <c r="G2775" s="1050"/>
    </row>
    <row r="2776" spans="1:7">
      <c r="A2776" s="1079"/>
      <c r="B2776" s="1050"/>
      <c r="C2776" s="1050"/>
      <c r="D2776" s="1050"/>
      <c r="E2776" s="1050"/>
      <c r="F2776" s="1050"/>
      <c r="G2776" s="1050"/>
    </row>
    <row r="2777" spans="1:7">
      <c r="A2777" s="1079"/>
      <c r="B2777" s="1050"/>
      <c r="C2777" s="1050"/>
      <c r="D2777" s="1050"/>
      <c r="E2777" s="1050"/>
      <c r="F2777" s="1050"/>
      <c r="G2777" s="1050"/>
    </row>
    <row r="2778" spans="1:7">
      <c r="A2778" s="1079"/>
      <c r="B2778" s="1050"/>
      <c r="C2778" s="1050"/>
      <c r="D2778" s="1050"/>
      <c r="E2778" s="1050"/>
      <c r="F2778" s="1050"/>
      <c r="G2778" s="1050"/>
    </row>
    <row r="2779" spans="1:7">
      <c r="A2779" s="1079"/>
      <c r="B2779" s="1050"/>
      <c r="C2779" s="1050"/>
      <c r="D2779" s="1050"/>
      <c r="E2779" s="1050"/>
      <c r="F2779" s="1050"/>
      <c r="G2779" s="1050"/>
    </row>
    <row r="2780" spans="1:7">
      <c r="A2780" s="1079"/>
      <c r="B2780" s="1050"/>
      <c r="C2780" s="1050"/>
      <c r="D2780" s="1050"/>
      <c r="E2780" s="1050"/>
      <c r="F2780" s="1050"/>
      <c r="G2780" s="1050"/>
    </row>
    <row r="2781" spans="1:7">
      <c r="A2781" s="1079"/>
      <c r="B2781" s="1050"/>
      <c r="C2781" s="1050"/>
      <c r="D2781" s="1050"/>
      <c r="E2781" s="1050"/>
      <c r="F2781" s="1050"/>
      <c r="G2781" s="1050"/>
    </row>
    <row r="2782" spans="1:7">
      <c r="A2782" s="1079"/>
      <c r="B2782" s="1050"/>
      <c r="C2782" s="1050"/>
      <c r="D2782" s="1050"/>
      <c r="E2782" s="1050"/>
      <c r="F2782" s="1050"/>
      <c r="G2782" s="1050"/>
    </row>
    <row r="2783" spans="1:7">
      <c r="A2783" s="1079"/>
      <c r="B2783" s="1050"/>
      <c r="C2783" s="1050"/>
      <c r="D2783" s="1050"/>
      <c r="E2783" s="1050"/>
      <c r="F2783" s="1050"/>
      <c r="G2783" s="1050"/>
    </row>
    <row r="2784" spans="1:7">
      <c r="A2784" s="1079"/>
      <c r="B2784" s="1050"/>
      <c r="C2784" s="1050"/>
      <c r="D2784" s="1050"/>
      <c r="E2784" s="1050"/>
      <c r="F2784" s="1050"/>
      <c r="G2784" s="1050"/>
    </row>
    <row r="2785" spans="1:7">
      <c r="A2785" s="1079"/>
      <c r="B2785" s="1050"/>
      <c r="C2785" s="1050"/>
      <c r="D2785" s="1050"/>
      <c r="E2785" s="1050"/>
      <c r="F2785" s="1050"/>
      <c r="G2785" s="1050"/>
    </row>
    <row r="2786" spans="1:7">
      <c r="A2786" s="1079"/>
      <c r="B2786" s="1050"/>
      <c r="C2786" s="1050"/>
      <c r="D2786" s="1050"/>
      <c r="E2786" s="1050"/>
      <c r="F2786" s="1050"/>
      <c r="G2786" s="1050"/>
    </row>
    <row r="2787" spans="1:7">
      <c r="A2787" s="1079"/>
      <c r="B2787" s="1050"/>
      <c r="C2787" s="1050"/>
      <c r="D2787" s="1050"/>
      <c r="E2787" s="1050"/>
      <c r="F2787" s="1050"/>
      <c r="G2787" s="1050"/>
    </row>
    <row r="2788" spans="1:7">
      <c r="A2788" s="1079"/>
      <c r="B2788" s="1050"/>
      <c r="C2788" s="1050"/>
      <c r="D2788" s="1050"/>
      <c r="E2788" s="1050"/>
      <c r="F2788" s="1050"/>
      <c r="G2788" s="1050"/>
    </row>
    <row r="2789" spans="1:7">
      <c r="A2789" s="1079"/>
      <c r="B2789" s="1050"/>
      <c r="C2789" s="1050"/>
      <c r="D2789" s="1050"/>
      <c r="E2789" s="1050"/>
      <c r="F2789" s="1050"/>
      <c r="G2789" s="1050"/>
    </row>
    <row r="2790" spans="1:7">
      <c r="A2790" s="1079"/>
      <c r="B2790" s="1050"/>
      <c r="C2790" s="1050"/>
      <c r="D2790" s="1050"/>
      <c r="E2790" s="1050"/>
      <c r="F2790" s="1050"/>
      <c r="G2790" s="1050"/>
    </row>
    <row r="2791" spans="1:7">
      <c r="A2791" s="1079"/>
      <c r="B2791" s="1050"/>
      <c r="C2791" s="1050"/>
      <c r="D2791" s="1050"/>
      <c r="E2791" s="1050"/>
      <c r="F2791" s="1050"/>
      <c r="G2791" s="1050"/>
    </row>
    <row r="2792" spans="1:7">
      <c r="A2792" s="1079"/>
      <c r="B2792" s="1050"/>
      <c r="C2792" s="1050"/>
      <c r="D2792" s="1050"/>
      <c r="E2792" s="1050"/>
      <c r="F2792" s="1050"/>
      <c r="G2792" s="1050"/>
    </row>
    <row r="2793" spans="1:7">
      <c r="A2793" s="1079"/>
      <c r="B2793" s="1050"/>
      <c r="C2793" s="1050"/>
      <c r="D2793" s="1050"/>
      <c r="E2793" s="1050"/>
      <c r="F2793" s="1050"/>
      <c r="G2793" s="1050"/>
    </row>
    <row r="2794" spans="1:7">
      <c r="A2794" s="1079"/>
      <c r="B2794" s="1050"/>
      <c r="C2794" s="1050"/>
      <c r="D2794" s="1050"/>
      <c r="E2794" s="1050"/>
      <c r="F2794" s="1050"/>
      <c r="G2794" s="1050"/>
    </row>
    <row r="2795" spans="1:7">
      <c r="A2795" s="1079"/>
      <c r="B2795" s="1050"/>
      <c r="C2795" s="1050"/>
      <c r="D2795" s="1050"/>
      <c r="E2795" s="1050"/>
      <c r="F2795" s="1050"/>
      <c r="G2795" s="1050"/>
    </row>
    <row r="2796" spans="1:7">
      <c r="A2796" s="1079"/>
      <c r="B2796" s="1050"/>
      <c r="C2796" s="1050"/>
      <c r="D2796" s="1050"/>
      <c r="E2796" s="1050"/>
      <c r="F2796" s="1050"/>
      <c r="G2796" s="1050"/>
    </row>
    <row r="2797" spans="1:7">
      <c r="A2797" s="1079"/>
      <c r="B2797" s="1050"/>
      <c r="C2797" s="1050"/>
      <c r="D2797" s="1050"/>
      <c r="E2797" s="1050"/>
      <c r="F2797" s="1050"/>
      <c r="G2797" s="1050"/>
    </row>
    <row r="2798" spans="1:7">
      <c r="A2798" s="1079"/>
      <c r="B2798" s="1050"/>
      <c r="C2798" s="1050"/>
      <c r="D2798" s="1050"/>
      <c r="E2798" s="1050"/>
      <c r="F2798" s="1050"/>
      <c r="G2798" s="1050"/>
    </row>
    <row r="2799" spans="1:7">
      <c r="A2799" s="1079"/>
      <c r="B2799" s="1050"/>
      <c r="C2799" s="1050"/>
      <c r="D2799" s="1050"/>
      <c r="E2799" s="1050"/>
      <c r="F2799" s="1050"/>
      <c r="G2799" s="1050"/>
    </row>
    <row r="2800" spans="1:7">
      <c r="A2800" s="1079"/>
      <c r="B2800" s="1050"/>
      <c r="C2800" s="1050"/>
      <c r="D2800" s="1050"/>
      <c r="E2800" s="1050"/>
      <c r="F2800" s="1050"/>
      <c r="G2800" s="1050"/>
    </row>
    <row r="2801" spans="1:7">
      <c r="A2801" s="1079"/>
      <c r="B2801" s="1050"/>
      <c r="C2801" s="1050"/>
      <c r="D2801" s="1050"/>
      <c r="E2801" s="1050"/>
      <c r="F2801" s="1050"/>
      <c r="G2801" s="1050"/>
    </row>
    <row r="2802" spans="1:7">
      <c r="A2802" s="1079"/>
      <c r="B2802" s="1050"/>
      <c r="C2802" s="1050"/>
      <c r="D2802" s="1050"/>
      <c r="E2802" s="1050"/>
      <c r="F2802" s="1050"/>
      <c r="G2802" s="1050"/>
    </row>
    <row r="2803" spans="1:7">
      <c r="A2803" s="1079"/>
      <c r="B2803" s="1050"/>
      <c r="C2803" s="1050"/>
      <c r="D2803" s="1050"/>
      <c r="E2803" s="1050"/>
      <c r="F2803" s="1050"/>
      <c r="G2803" s="1050"/>
    </row>
    <row r="2804" spans="1:7">
      <c r="A2804" s="1079"/>
      <c r="B2804" s="1050"/>
      <c r="C2804" s="1050"/>
      <c r="D2804" s="1050"/>
      <c r="E2804" s="1050"/>
      <c r="F2804" s="1050"/>
      <c r="G2804" s="1050"/>
    </row>
    <row r="2805" spans="1:7">
      <c r="A2805" s="1079"/>
      <c r="B2805" s="1050"/>
      <c r="C2805" s="1050"/>
      <c r="D2805" s="1050"/>
      <c r="E2805" s="1050"/>
      <c r="F2805" s="1050"/>
      <c r="G2805" s="1050"/>
    </row>
    <row r="2806" spans="1:7">
      <c r="A2806" s="1079"/>
      <c r="B2806" s="1050"/>
      <c r="C2806" s="1050"/>
      <c r="D2806" s="1050"/>
      <c r="E2806" s="1050"/>
      <c r="F2806" s="1050"/>
      <c r="G2806" s="1050"/>
    </row>
    <row r="2807" spans="1:7">
      <c r="A2807" s="1079"/>
      <c r="B2807" s="1050"/>
      <c r="C2807" s="1050"/>
      <c r="D2807" s="1050"/>
      <c r="E2807" s="1050"/>
      <c r="F2807" s="1050"/>
      <c r="G2807" s="1050"/>
    </row>
    <row r="2808" spans="1:7">
      <c r="A2808" s="1079"/>
      <c r="B2808" s="1050"/>
      <c r="C2808" s="1050"/>
      <c r="D2808" s="1050"/>
      <c r="E2808" s="1050"/>
      <c r="F2808" s="1050"/>
      <c r="G2808" s="1050"/>
    </row>
    <row r="2809" spans="1:7">
      <c r="A2809" s="1079"/>
      <c r="B2809" s="1050"/>
      <c r="C2809" s="1050"/>
      <c r="D2809" s="1050"/>
      <c r="E2809" s="1050"/>
      <c r="F2809" s="1050"/>
      <c r="G2809" s="1050"/>
    </row>
    <row r="2810" spans="1:7">
      <c r="A2810" s="1079"/>
      <c r="B2810" s="1050"/>
      <c r="C2810" s="1050"/>
      <c r="D2810" s="1050"/>
      <c r="E2810" s="1050"/>
      <c r="F2810" s="1050"/>
      <c r="G2810" s="1050"/>
    </row>
    <row r="2811" spans="1:7">
      <c r="A2811" s="1079"/>
      <c r="B2811" s="1050"/>
      <c r="C2811" s="1050"/>
      <c r="D2811" s="1050"/>
      <c r="E2811" s="1050"/>
      <c r="F2811" s="1050"/>
      <c r="G2811" s="1050"/>
    </row>
    <row r="2812" spans="1:7">
      <c r="A2812" s="1079"/>
      <c r="B2812" s="1050"/>
      <c r="C2812" s="1050"/>
      <c r="D2812" s="1050"/>
      <c r="E2812" s="1050"/>
      <c r="F2812" s="1050"/>
      <c r="G2812" s="1050"/>
    </row>
    <row r="2813" spans="1:7">
      <c r="A2813" s="1079"/>
      <c r="B2813" s="1050"/>
      <c r="C2813" s="1050"/>
      <c r="D2813" s="1050"/>
      <c r="E2813" s="1050"/>
      <c r="F2813" s="1050"/>
      <c r="G2813" s="1050"/>
    </row>
    <row r="2814" spans="1:7">
      <c r="A2814" s="1079"/>
      <c r="B2814" s="1050"/>
      <c r="C2814" s="1050"/>
      <c r="D2814" s="1050"/>
      <c r="E2814" s="1050"/>
      <c r="F2814" s="1050"/>
      <c r="G2814" s="1050"/>
    </row>
    <row r="2815" spans="1:7">
      <c r="A2815" s="1079"/>
      <c r="B2815" s="1050"/>
      <c r="C2815" s="1050"/>
      <c r="D2815" s="1050"/>
      <c r="E2815" s="1050"/>
      <c r="F2815" s="1050"/>
      <c r="G2815" s="1050"/>
    </row>
    <row r="2816" spans="1:7">
      <c r="A2816" s="1079"/>
      <c r="B2816" s="1050"/>
      <c r="C2816" s="1050"/>
      <c r="D2816" s="1050"/>
      <c r="E2816" s="1050"/>
      <c r="F2816" s="1050"/>
      <c r="G2816" s="1050"/>
    </row>
    <row r="2817" spans="1:7">
      <c r="A2817" s="1079"/>
      <c r="B2817" s="1050"/>
      <c r="C2817" s="1050"/>
      <c r="D2817" s="1050"/>
      <c r="E2817" s="1050"/>
      <c r="F2817" s="1050"/>
      <c r="G2817" s="1050"/>
    </row>
    <row r="2818" spans="1:7">
      <c r="A2818" s="1079"/>
      <c r="B2818" s="1050"/>
      <c r="C2818" s="1050"/>
      <c r="D2818" s="1050"/>
      <c r="E2818" s="1050"/>
      <c r="F2818" s="1050"/>
      <c r="G2818" s="1050"/>
    </row>
    <row r="2819" spans="1:7">
      <c r="A2819" s="1079"/>
      <c r="B2819" s="1050"/>
      <c r="C2819" s="1050"/>
      <c r="D2819" s="1050"/>
      <c r="E2819" s="1050"/>
      <c r="F2819" s="1050"/>
      <c r="G2819" s="1050"/>
    </row>
    <row r="2820" spans="1:7">
      <c r="A2820" s="1079"/>
      <c r="B2820" s="1050"/>
      <c r="C2820" s="1050"/>
      <c r="D2820" s="1050"/>
      <c r="E2820" s="1050"/>
      <c r="F2820" s="1050"/>
      <c r="G2820" s="1050"/>
    </row>
    <row r="2821" spans="1:7">
      <c r="A2821" s="1079"/>
      <c r="B2821" s="1050"/>
      <c r="C2821" s="1050"/>
      <c r="D2821" s="1050"/>
      <c r="E2821" s="1050"/>
      <c r="F2821" s="1050"/>
      <c r="G2821" s="1050"/>
    </row>
    <row r="2822" spans="1:7">
      <c r="A2822" s="1079"/>
      <c r="B2822" s="1050"/>
      <c r="C2822" s="1050"/>
      <c r="D2822" s="1050"/>
      <c r="E2822" s="1050"/>
      <c r="F2822" s="1050"/>
      <c r="G2822" s="1050"/>
    </row>
    <row r="2823" spans="1:7">
      <c r="A2823" s="1079"/>
      <c r="B2823" s="1050"/>
      <c r="C2823" s="1050"/>
      <c r="D2823" s="1050"/>
      <c r="E2823" s="1050"/>
      <c r="F2823" s="1050"/>
      <c r="G2823" s="1050"/>
    </row>
    <row r="2824" spans="1:7">
      <c r="A2824" s="1079"/>
      <c r="B2824" s="1050"/>
      <c r="C2824" s="1050"/>
      <c r="D2824" s="1050"/>
      <c r="E2824" s="1050"/>
      <c r="F2824" s="1050"/>
      <c r="G2824" s="1050"/>
    </row>
    <row r="2825" spans="1:7">
      <c r="A2825" s="1079"/>
      <c r="B2825" s="1050"/>
      <c r="C2825" s="1050"/>
      <c r="D2825" s="1050"/>
      <c r="E2825" s="1050"/>
      <c r="F2825" s="1050"/>
      <c r="G2825" s="1050"/>
    </row>
    <row r="2826" spans="1:7">
      <c r="A2826" s="1079"/>
      <c r="B2826" s="1050"/>
      <c r="C2826" s="1050"/>
      <c r="D2826" s="1050"/>
      <c r="E2826" s="1050"/>
      <c r="F2826" s="1050"/>
      <c r="G2826" s="1050"/>
    </row>
    <row r="2827" spans="1:7">
      <c r="A2827" s="1079"/>
      <c r="B2827" s="1050"/>
      <c r="C2827" s="1050"/>
      <c r="D2827" s="1050"/>
      <c r="E2827" s="1050"/>
      <c r="F2827" s="1050"/>
      <c r="G2827" s="1050"/>
    </row>
    <row r="2828" spans="1:7">
      <c r="A2828" s="1079"/>
      <c r="B2828" s="1050"/>
      <c r="C2828" s="1050"/>
      <c r="D2828" s="1050"/>
      <c r="E2828" s="1050"/>
      <c r="F2828" s="1050"/>
      <c r="G2828" s="1050"/>
    </row>
    <row r="2829" spans="1:7">
      <c r="A2829" s="1079"/>
      <c r="B2829" s="1050"/>
      <c r="C2829" s="1050"/>
      <c r="D2829" s="1050"/>
      <c r="E2829" s="1050"/>
      <c r="F2829" s="1050"/>
      <c r="G2829" s="1050"/>
    </row>
    <row r="2830" spans="1:7">
      <c r="A2830" s="1079"/>
      <c r="B2830" s="1050"/>
      <c r="C2830" s="1050"/>
      <c r="D2830" s="1050"/>
      <c r="E2830" s="1050"/>
      <c r="F2830" s="1050"/>
      <c r="G2830" s="1050"/>
    </row>
    <row r="2831" spans="1:7">
      <c r="A2831" s="1079"/>
      <c r="B2831" s="1050"/>
      <c r="C2831" s="1050"/>
      <c r="D2831" s="1050"/>
      <c r="E2831" s="1050"/>
      <c r="F2831" s="1050"/>
      <c r="G2831" s="1050"/>
    </row>
    <row r="2832" spans="1:7">
      <c r="A2832" s="1079"/>
      <c r="B2832" s="1050"/>
      <c r="C2832" s="1050"/>
      <c r="D2832" s="1050"/>
      <c r="E2832" s="1050"/>
      <c r="F2832" s="1050"/>
      <c r="G2832" s="1050"/>
    </row>
    <row r="2833" spans="1:7">
      <c r="A2833" s="1079"/>
      <c r="B2833" s="1050"/>
      <c r="C2833" s="1050"/>
      <c r="D2833" s="1050"/>
      <c r="E2833" s="1050"/>
      <c r="F2833" s="1050"/>
      <c r="G2833" s="1050"/>
    </row>
    <row r="2834" spans="1:7">
      <c r="A2834" s="1079"/>
      <c r="B2834" s="1050"/>
      <c r="C2834" s="1050"/>
      <c r="D2834" s="1050"/>
      <c r="E2834" s="1050"/>
      <c r="F2834" s="1050"/>
      <c r="G2834" s="1050"/>
    </row>
    <row r="2835" spans="1:7">
      <c r="A2835" s="1079"/>
      <c r="B2835" s="1050"/>
      <c r="C2835" s="1050"/>
      <c r="D2835" s="1050"/>
      <c r="E2835" s="1050"/>
      <c r="F2835" s="1050"/>
      <c r="G2835" s="1050"/>
    </row>
    <row r="2836" spans="1:7">
      <c r="A2836" s="1079"/>
      <c r="B2836" s="1050"/>
      <c r="C2836" s="1050"/>
      <c r="D2836" s="1050"/>
      <c r="E2836" s="1050"/>
      <c r="F2836" s="1050"/>
      <c r="G2836" s="1050"/>
    </row>
    <row r="2837" spans="1:7">
      <c r="A2837" s="1079"/>
      <c r="B2837" s="1050"/>
      <c r="C2837" s="1050"/>
      <c r="D2837" s="1050"/>
      <c r="E2837" s="1050"/>
      <c r="F2837" s="1050"/>
      <c r="G2837" s="1050"/>
    </row>
    <row r="2838" spans="1:7">
      <c r="A2838" s="1079"/>
      <c r="B2838" s="1050"/>
      <c r="C2838" s="1050"/>
      <c r="D2838" s="1050"/>
      <c r="E2838" s="1050"/>
      <c r="F2838" s="1050"/>
      <c r="G2838" s="1050"/>
    </row>
    <row r="2839" spans="1:7">
      <c r="A2839" s="1079"/>
      <c r="B2839" s="1050"/>
      <c r="C2839" s="1050"/>
      <c r="D2839" s="1050"/>
      <c r="E2839" s="1050"/>
      <c r="F2839" s="1050"/>
      <c r="G2839" s="1050"/>
    </row>
    <row r="2840" spans="1:7">
      <c r="A2840" s="1079"/>
      <c r="B2840" s="1050"/>
      <c r="C2840" s="1050"/>
      <c r="D2840" s="1050"/>
      <c r="E2840" s="1050"/>
      <c r="F2840" s="1050"/>
      <c r="G2840" s="1050"/>
    </row>
    <row r="2841" spans="1:7">
      <c r="A2841" s="1079"/>
      <c r="B2841" s="1050"/>
      <c r="C2841" s="1050"/>
      <c r="D2841" s="1050"/>
      <c r="E2841" s="1050"/>
      <c r="F2841" s="1050"/>
      <c r="G2841" s="1050"/>
    </row>
    <row r="2842" spans="1:7">
      <c r="A2842" s="1079"/>
      <c r="B2842" s="1050"/>
      <c r="C2842" s="1050"/>
      <c r="D2842" s="1050"/>
      <c r="E2842" s="1050"/>
      <c r="F2842" s="1050"/>
      <c r="G2842" s="1050"/>
    </row>
    <row r="2843" spans="1:7">
      <c r="A2843" s="1079"/>
      <c r="B2843" s="1050"/>
      <c r="C2843" s="1050"/>
      <c r="D2843" s="1050"/>
      <c r="E2843" s="1050"/>
      <c r="F2843" s="1050"/>
      <c r="G2843" s="1050"/>
    </row>
    <row r="2844" spans="1:7">
      <c r="A2844" s="1079"/>
      <c r="B2844" s="1050"/>
      <c r="C2844" s="1050"/>
      <c r="D2844" s="1050"/>
      <c r="E2844" s="1050"/>
      <c r="F2844" s="1050"/>
      <c r="G2844" s="1050"/>
    </row>
    <row r="2845" spans="1:7">
      <c r="A2845" s="1079"/>
      <c r="B2845" s="1050"/>
      <c r="C2845" s="1050"/>
      <c r="D2845" s="1050"/>
      <c r="E2845" s="1050"/>
      <c r="F2845" s="1050"/>
      <c r="G2845" s="1050"/>
    </row>
    <row r="2846" spans="1:7">
      <c r="A2846" s="1079"/>
      <c r="B2846" s="1050"/>
      <c r="C2846" s="1050"/>
      <c r="D2846" s="1050"/>
      <c r="E2846" s="1050"/>
      <c r="F2846" s="1050"/>
      <c r="G2846" s="1050"/>
    </row>
    <row r="2847" spans="1:7">
      <c r="A2847" s="1079"/>
      <c r="B2847" s="1050"/>
      <c r="C2847" s="1050"/>
      <c r="D2847" s="1050"/>
      <c r="E2847" s="1050"/>
      <c r="F2847" s="1050"/>
      <c r="G2847" s="1050"/>
    </row>
    <row r="2848" spans="1:7">
      <c r="A2848" s="1079"/>
      <c r="B2848" s="1050"/>
      <c r="C2848" s="1050"/>
      <c r="D2848" s="1050"/>
      <c r="E2848" s="1050"/>
      <c r="F2848" s="1050"/>
      <c r="G2848" s="1050"/>
    </row>
    <row r="2849" spans="1:7">
      <c r="A2849" s="1079"/>
      <c r="B2849" s="1050"/>
      <c r="C2849" s="1050"/>
      <c r="D2849" s="1050"/>
      <c r="E2849" s="1050"/>
      <c r="F2849" s="1050"/>
      <c r="G2849" s="1050"/>
    </row>
    <row r="2850" spans="1:7">
      <c r="A2850" s="1079"/>
      <c r="B2850" s="1050"/>
      <c r="C2850" s="1050"/>
      <c r="D2850" s="1050"/>
      <c r="E2850" s="1050"/>
      <c r="F2850" s="1050"/>
      <c r="G2850" s="1050"/>
    </row>
    <row r="2851" spans="1:7">
      <c r="A2851" s="1079"/>
      <c r="B2851" s="1050"/>
      <c r="C2851" s="1050"/>
      <c r="D2851" s="1050"/>
      <c r="E2851" s="1050"/>
      <c r="F2851" s="1050"/>
      <c r="G2851" s="1050"/>
    </row>
    <row r="2852" spans="1:7">
      <c r="A2852" s="1079"/>
      <c r="B2852" s="1050"/>
      <c r="C2852" s="1050"/>
      <c r="D2852" s="1050"/>
      <c r="E2852" s="1050"/>
      <c r="F2852" s="1050"/>
      <c r="G2852" s="1050"/>
    </row>
    <row r="2853" spans="1:7">
      <c r="A2853" s="1079"/>
      <c r="B2853" s="1050"/>
      <c r="C2853" s="1050"/>
      <c r="D2853" s="1050"/>
      <c r="E2853" s="1050"/>
      <c r="F2853" s="1050"/>
      <c r="G2853" s="1050"/>
    </row>
    <row r="2854" spans="1:7">
      <c r="A2854" s="1079"/>
      <c r="B2854" s="1050"/>
      <c r="C2854" s="1050"/>
      <c r="D2854" s="1050"/>
      <c r="E2854" s="1050"/>
      <c r="F2854" s="1050"/>
      <c r="G2854" s="1050"/>
    </row>
    <row r="2855" spans="1:7">
      <c r="A2855" s="1079"/>
      <c r="B2855" s="1050"/>
      <c r="C2855" s="1050"/>
      <c r="D2855" s="1050"/>
      <c r="E2855" s="1050"/>
      <c r="F2855" s="1050"/>
      <c r="G2855" s="1050"/>
    </row>
    <row r="2856" spans="1:7">
      <c r="A2856" s="1079"/>
      <c r="B2856" s="1050"/>
      <c r="C2856" s="1050"/>
      <c r="D2856" s="1050"/>
      <c r="E2856" s="1050"/>
      <c r="F2856" s="1050"/>
      <c r="G2856" s="1050"/>
    </row>
    <row r="2857" spans="1:7">
      <c r="A2857" s="1079"/>
      <c r="B2857" s="1050"/>
      <c r="C2857" s="1050"/>
      <c r="D2857" s="1050"/>
      <c r="E2857" s="1050"/>
      <c r="F2857" s="1050"/>
      <c r="G2857" s="1050"/>
    </row>
    <row r="2858" spans="1:7">
      <c r="A2858" s="1079"/>
      <c r="B2858" s="1050"/>
      <c r="C2858" s="1050"/>
      <c r="D2858" s="1050"/>
      <c r="E2858" s="1050"/>
      <c r="F2858" s="1050"/>
      <c r="G2858" s="1050"/>
    </row>
    <row r="2859" spans="1:7">
      <c r="A2859" s="1079"/>
      <c r="B2859" s="1050"/>
      <c r="C2859" s="1050"/>
      <c r="D2859" s="1050"/>
      <c r="E2859" s="1050"/>
      <c r="F2859" s="1050"/>
      <c r="G2859" s="1050"/>
    </row>
    <row r="2860" spans="1:7">
      <c r="A2860" s="1079"/>
      <c r="B2860" s="1050"/>
      <c r="C2860" s="1050"/>
      <c r="D2860" s="1050"/>
      <c r="E2860" s="1050"/>
      <c r="F2860" s="1050"/>
      <c r="G2860" s="1050"/>
    </row>
    <row r="2861" spans="1:7">
      <c r="A2861" s="1079"/>
      <c r="B2861" s="1050"/>
      <c r="C2861" s="1050"/>
      <c r="D2861" s="1050"/>
      <c r="E2861" s="1050"/>
      <c r="F2861" s="1050"/>
      <c r="G2861" s="1050"/>
    </row>
    <row r="2862" spans="1:7">
      <c r="A2862" s="1079"/>
      <c r="B2862" s="1050"/>
      <c r="C2862" s="1050"/>
      <c r="D2862" s="1050"/>
      <c r="E2862" s="1050"/>
      <c r="F2862" s="1050"/>
      <c r="G2862" s="1050"/>
    </row>
    <row r="2863" spans="1:7">
      <c r="A2863" s="1079"/>
      <c r="B2863" s="1050"/>
      <c r="C2863" s="1050"/>
      <c r="D2863" s="1050"/>
      <c r="E2863" s="1050"/>
      <c r="F2863" s="1050"/>
      <c r="G2863" s="1050"/>
    </row>
    <row r="2864" spans="1:7">
      <c r="A2864" s="1079"/>
      <c r="B2864" s="1050"/>
      <c r="C2864" s="1050"/>
      <c r="D2864" s="1050"/>
      <c r="E2864" s="1050"/>
      <c r="F2864" s="1050"/>
      <c r="G2864" s="1050"/>
    </row>
    <row r="2865" spans="1:7">
      <c r="A2865" s="1079"/>
      <c r="B2865" s="1050"/>
      <c r="C2865" s="1050"/>
      <c r="D2865" s="1050"/>
      <c r="E2865" s="1050"/>
      <c r="F2865" s="1050"/>
      <c r="G2865" s="1050"/>
    </row>
    <row r="2866" spans="1:7">
      <c r="A2866" s="1079"/>
      <c r="B2866" s="1050"/>
      <c r="C2866" s="1050"/>
      <c r="D2866" s="1050"/>
      <c r="E2866" s="1050"/>
      <c r="F2866" s="1050"/>
      <c r="G2866" s="1050"/>
    </row>
    <row r="2867" spans="1:7">
      <c r="A2867" s="1079"/>
      <c r="B2867" s="1050"/>
      <c r="C2867" s="1050"/>
      <c r="D2867" s="1050"/>
      <c r="E2867" s="1050"/>
      <c r="F2867" s="1050"/>
      <c r="G2867" s="1050"/>
    </row>
    <row r="2868" spans="1:7">
      <c r="A2868" s="1079"/>
      <c r="B2868" s="1050"/>
      <c r="C2868" s="1050"/>
      <c r="D2868" s="1050"/>
      <c r="E2868" s="1050"/>
      <c r="F2868" s="1050"/>
      <c r="G2868" s="1050"/>
    </row>
    <row r="2869" spans="1:7">
      <c r="A2869" s="1079"/>
      <c r="B2869" s="1050"/>
      <c r="C2869" s="1050"/>
      <c r="D2869" s="1050"/>
      <c r="E2869" s="1050"/>
      <c r="F2869" s="1050"/>
      <c r="G2869" s="1050"/>
    </row>
    <row r="2870" spans="1:7">
      <c r="A2870" s="1079"/>
      <c r="B2870" s="1050"/>
      <c r="C2870" s="1050"/>
      <c r="D2870" s="1050"/>
      <c r="E2870" s="1050"/>
      <c r="F2870" s="1050"/>
      <c r="G2870" s="1050"/>
    </row>
    <row r="2871" spans="1:7">
      <c r="A2871" s="1079"/>
      <c r="B2871" s="1050"/>
      <c r="C2871" s="1050"/>
      <c r="D2871" s="1050"/>
      <c r="E2871" s="1050"/>
      <c r="F2871" s="1050"/>
      <c r="G2871" s="1050"/>
    </row>
    <row r="2872" spans="1:7">
      <c r="A2872" s="1079"/>
      <c r="B2872" s="1050"/>
      <c r="C2872" s="1050"/>
      <c r="D2872" s="1050"/>
      <c r="E2872" s="1050"/>
      <c r="F2872" s="1050"/>
      <c r="G2872" s="1050"/>
    </row>
    <row r="2873" spans="1:7">
      <c r="A2873" s="1079"/>
      <c r="B2873" s="1050"/>
      <c r="C2873" s="1050"/>
      <c r="D2873" s="1050"/>
      <c r="E2873" s="1050"/>
      <c r="F2873" s="1050"/>
      <c r="G2873" s="1050"/>
    </row>
    <row r="2874" spans="1:7">
      <c r="A2874" s="1079"/>
      <c r="B2874" s="1050"/>
      <c r="C2874" s="1050"/>
      <c r="D2874" s="1050"/>
      <c r="E2874" s="1050"/>
      <c r="F2874" s="1050"/>
      <c r="G2874" s="1050"/>
    </row>
    <row r="2875" spans="1:7">
      <c r="A2875" s="1079"/>
      <c r="B2875" s="1050"/>
      <c r="C2875" s="1050"/>
      <c r="D2875" s="1050"/>
      <c r="E2875" s="1050"/>
      <c r="F2875" s="1050"/>
      <c r="G2875" s="1050"/>
    </row>
    <row r="2876" spans="1:7">
      <c r="A2876" s="1079"/>
      <c r="B2876" s="1050"/>
      <c r="C2876" s="1050"/>
      <c r="D2876" s="1050"/>
      <c r="E2876" s="1050"/>
      <c r="F2876" s="1050"/>
      <c r="G2876" s="1050"/>
    </row>
    <row r="2877" spans="1:7">
      <c r="A2877" s="1079"/>
      <c r="B2877" s="1050"/>
      <c r="C2877" s="1050"/>
      <c r="D2877" s="1050"/>
      <c r="E2877" s="1050"/>
      <c r="F2877" s="1050"/>
      <c r="G2877" s="1050"/>
    </row>
    <row r="2878" spans="1:7">
      <c r="A2878" s="1079"/>
      <c r="B2878" s="1050"/>
      <c r="C2878" s="1050"/>
      <c r="D2878" s="1050"/>
      <c r="E2878" s="1050"/>
      <c r="F2878" s="1050"/>
      <c r="G2878" s="1050"/>
    </row>
    <row r="2879" spans="1:7">
      <c r="A2879" s="1079"/>
      <c r="B2879" s="1050"/>
      <c r="C2879" s="1050"/>
      <c r="D2879" s="1050"/>
      <c r="E2879" s="1050"/>
      <c r="F2879" s="1050"/>
      <c r="G2879" s="1050"/>
    </row>
    <row r="2880" spans="1:7">
      <c r="A2880" s="1079"/>
      <c r="B2880" s="1050"/>
      <c r="C2880" s="1050"/>
      <c r="D2880" s="1050"/>
      <c r="E2880" s="1050"/>
      <c r="F2880" s="1050"/>
      <c r="G2880" s="1050"/>
    </row>
    <row r="2881" spans="1:7">
      <c r="A2881" s="1079"/>
      <c r="B2881" s="1050"/>
      <c r="C2881" s="1050"/>
      <c r="D2881" s="1050"/>
      <c r="E2881" s="1050"/>
      <c r="F2881" s="1050"/>
      <c r="G2881" s="1050"/>
    </row>
    <row r="2882" spans="1:7">
      <c r="A2882" s="1079"/>
      <c r="B2882" s="1050"/>
      <c r="C2882" s="1050"/>
      <c r="D2882" s="1050"/>
      <c r="E2882" s="1050"/>
      <c r="F2882" s="1050"/>
      <c r="G2882" s="1050"/>
    </row>
    <row r="2883" spans="1:7">
      <c r="A2883" s="1079"/>
      <c r="B2883" s="1050"/>
      <c r="C2883" s="1050"/>
      <c r="D2883" s="1050"/>
      <c r="E2883" s="1050"/>
      <c r="F2883" s="1050"/>
      <c r="G2883" s="1050"/>
    </row>
    <row r="2884" spans="1:7">
      <c r="A2884" s="1079"/>
      <c r="B2884" s="1050"/>
      <c r="C2884" s="1050"/>
      <c r="D2884" s="1050"/>
      <c r="E2884" s="1050"/>
      <c r="F2884" s="1050"/>
      <c r="G2884" s="1050"/>
    </row>
    <row r="2885" spans="1:7">
      <c r="A2885" s="1079"/>
      <c r="B2885" s="1050"/>
      <c r="C2885" s="1050"/>
      <c r="D2885" s="1050"/>
      <c r="E2885" s="1050"/>
      <c r="F2885" s="1050"/>
      <c r="G2885" s="1050"/>
    </row>
    <row r="2886" spans="1:7">
      <c r="A2886" s="1079"/>
      <c r="B2886" s="1050"/>
      <c r="C2886" s="1050"/>
      <c r="D2886" s="1050"/>
      <c r="E2886" s="1050"/>
      <c r="F2886" s="1050"/>
      <c r="G2886" s="1050"/>
    </row>
    <row r="2887" spans="1:7">
      <c r="A2887" s="1079"/>
      <c r="B2887" s="1050"/>
      <c r="C2887" s="1050"/>
      <c r="D2887" s="1050"/>
      <c r="E2887" s="1050"/>
      <c r="F2887" s="1050"/>
      <c r="G2887" s="1050"/>
    </row>
    <row r="2888" spans="1:7">
      <c r="A2888" s="1079"/>
      <c r="B2888" s="1050"/>
      <c r="C2888" s="1050"/>
      <c r="D2888" s="1050"/>
      <c r="E2888" s="1050"/>
      <c r="F2888" s="1050"/>
      <c r="G2888" s="1050"/>
    </row>
    <row r="2889" spans="1:7">
      <c r="A2889" s="1079"/>
      <c r="B2889" s="1050"/>
      <c r="C2889" s="1050"/>
      <c r="D2889" s="1050"/>
      <c r="E2889" s="1050"/>
      <c r="F2889" s="1050"/>
      <c r="G2889" s="1050"/>
    </row>
    <row r="2890" spans="1:7">
      <c r="A2890" s="1079"/>
      <c r="B2890" s="1050"/>
      <c r="C2890" s="1050"/>
      <c r="D2890" s="1050"/>
      <c r="E2890" s="1050"/>
      <c r="F2890" s="1050"/>
      <c r="G2890" s="1050"/>
    </row>
    <row r="2891" spans="1:7">
      <c r="A2891" s="1079"/>
      <c r="B2891" s="1050"/>
      <c r="C2891" s="1050"/>
      <c r="D2891" s="1050"/>
      <c r="E2891" s="1050"/>
      <c r="F2891" s="1050"/>
      <c r="G2891" s="1050"/>
    </row>
    <row r="2892" spans="1:7">
      <c r="A2892" s="1079"/>
      <c r="B2892" s="1050"/>
      <c r="C2892" s="1050"/>
      <c r="D2892" s="1050"/>
      <c r="E2892" s="1050"/>
      <c r="F2892" s="1050"/>
      <c r="G2892" s="1050"/>
    </row>
    <row r="2893" spans="1:7">
      <c r="A2893" s="1079"/>
      <c r="B2893" s="1050"/>
      <c r="C2893" s="1050"/>
      <c r="D2893" s="1050"/>
      <c r="E2893" s="1050"/>
      <c r="F2893" s="1050"/>
      <c r="G2893" s="1050"/>
    </row>
    <row r="2894" spans="1:7">
      <c r="A2894" s="1079"/>
      <c r="B2894" s="1050"/>
      <c r="C2894" s="1050"/>
      <c r="D2894" s="1050"/>
      <c r="E2894" s="1050"/>
      <c r="F2894" s="1050"/>
      <c r="G2894" s="1050"/>
    </row>
    <row r="2895" spans="1:7">
      <c r="A2895" s="1079"/>
      <c r="B2895" s="1050"/>
      <c r="C2895" s="1050"/>
      <c r="D2895" s="1050"/>
      <c r="E2895" s="1050"/>
      <c r="F2895" s="1050"/>
      <c r="G2895" s="1050"/>
    </row>
    <row r="2896" spans="1:7">
      <c r="A2896" s="1079"/>
      <c r="B2896" s="1050"/>
      <c r="C2896" s="1050"/>
      <c r="D2896" s="1050"/>
      <c r="E2896" s="1050"/>
      <c r="F2896" s="1050"/>
      <c r="G2896" s="1050"/>
    </row>
    <row r="2897" spans="1:7">
      <c r="A2897" s="1079"/>
      <c r="B2897" s="1050"/>
      <c r="C2897" s="1050"/>
      <c r="D2897" s="1050"/>
      <c r="E2897" s="1050"/>
      <c r="F2897" s="1050"/>
      <c r="G2897" s="1050"/>
    </row>
    <row r="2898" spans="1:7">
      <c r="A2898" s="1079"/>
      <c r="B2898" s="1050"/>
      <c r="C2898" s="1050"/>
      <c r="D2898" s="1050"/>
      <c r="E2898" s="1050"/>
      <c r="F2898" s="1050"/>
      <c r="G2898" s="1050"/>
    </row>
    <row r="2899" spans="1:7">
      <c r="A2899" s="1079"/>
      <c r="B2899" s="1050"/>
      <c r="C2899" s="1050"/>
      <c r="D2899" s="1050"/>
      <c r="E2899" s="1050"/>
      <c r="F2899" s="1050"/>
      <c r="G2899" s="1050"/>
    </row>
    <row r="2900" spans="1:7">
      <c r="A2900" s="1079"/>
      <c r="B2900" s="1050"/>
      <c r="C2900" s="1050"/>
      <c r="D2900" s="1050"/>
      <c r="E2900" s="1050"/>
      <c r="F2900" s="1050"/>
      <c r="G2900" s="1050"/>
    </row>
    <row r="2901" spans="1:7">
      <c r="A2901" s="1079"/>
      <c r="B2901" s="1050"/>
      <c r="C2901" s="1050"/>
      <c r="D2901" s="1050"/>
      <c r="E2901" s="1050"/>
      <c r="F2901" s="1050"/>
      <c r="G2901" s="1050"/>
    </row>
    <row r="2902" spans="1:7">
      <c r="A2902" s="1079"/>
      <c r="B2902" s="1050"/>
      <c r="C2902" s="1050"/>
      <c r="D2902" s="1050"/>
      <c r="E2902" s="1050"/>
      <c r="F2902" s="1050"/>
      <c r="G2902" s="1050"/>
    </row>
    <row r="2903" spans="1:7">
      <c r="A2903" s="1079"/>
      <c r="B2903" s="1050"/>
      <c r="C2903" s="1050"/>
      <c r="D2903" s="1050"/>
      <c r="E2903" s="1050"/>
      <c r="F2903" s="1050"/>
      <c r="G2903" s="1050"/>
    </row>
    <row r="2904" spans="1:7">
      <c r="A2904" s="1079"/>
      <c r="B2904" s="1050"/>
      <c r="C2904" s="1050"/>
      <c r="D2904" s="1050"/>
      <c r="E2904" s="1050"/>
      <c r="F2904" s="1050"/>
      <c r="G2904" s="1050"/>
    </row>
    <row r="2905" spans="1:7">
      <c r="A2905" s="1079"/>
      <c r="B2905" s="1050"/>
      <c r="C2905" s="1050"/>
      <c r="D2905" s="1050"/>
      <c r="E2905" s="1050"/>
      <c r="F2905" s="1050"/>
      <c r="G2905" s="1050"/>
    </row>
    <row r="2906" spans="1:7">
      <c r="A2906" s="1079"/>
      <c r="B2906" s="1050"/>
      <c r="C2906" s="1050"/>
      <c r="D2906" s="1050"/>
      <c r="E2906" s="1050"/>
      <c r="F2906" s="1050"/>
      <c r="G2906" s="1050"/>
    </row>
    <row r="2907" spans="1:7">
      <c r="A2907" s="1079"/>
      <c r="B2907" s="1050"/>
      <c r="C2907" s="1050"/>
      <c r="D2907" s="1050"/>
      <c r="E2907" s="1050"/>
      <c r="F2907" s="1050"/>
      <c r="G2907" s="1050"/>
    </row>
    <row r="2908" spans="1:7">
      <c r="A2908" s="1079"/>
      <c r="B2908" s="1050"/>
      <c r="C2908" s="1050"/>
      <c r="D2908" s="1050"/>
      <c r="E2908" s="1050"/>
      <c r="F2908" s="1050"/>
      <c r="G2908" s="1050"/>
    </row>
    <row r="2909" spans="1:7">
      <c r="A2909" s="1079"/>
      <c r="B2909" s="1050"/>
      <c r="C2909" s="1050"/>
      <c r="D2909" s="1050"/>
      <c r="E2909" s="1050"/>
      <c r="F2909" s="1050"/>
      <c r="G2909" s="1050"/>
    </row>
    <row r="2910" spans="1:7">
      <c r="A2910" s="1079"/>
      <c r="B2910" s="1050"/>
      <c r="C2910" s="1050"/>
      <c r="D2910" s="1050"/>
      <c r="E2910" s="1050"/>
      <c r="F2910" s="1050"/>
      <c r="G2910" s="1050"/>
    </row>
    <row r="2911" spans="1:7">
      <c r="A2911" s="1079"/>
      <c r="B2911" s="1050"/>
      <c r="C2911" s="1050"/>
      <c r="D2911" s="1050"/>
      <c r="E2911" s="1050"/>
      <c r="F2911" s="1050"/>
      <c r="G2911" s="1050"/>
    </row>
    <row r="2912" spans="1:7">
      <c r="A2912" s="1079"/>
      <c r="B2912" s="1050"/>
      <c r="C2912" s="1050"/>
      <c r="D2912" s="1050"/>
      <c r="E2912" s="1050"/>
      <c r="F2912" s="1050"/>
      <c r="G2912" s="1050"/>
    </row>
    <row r="2913" spans="1:7">
      <c r="A2913" s="1079"/>
      <c r="B2913" s="1050"/>
      <c r="C2913" s="1050"/>
      <c r="D2913" s="1050"/>
      <c r="E2913" s="1050"/>
      <c r="F2913" s="1050"/>
      <c r="G2913" s="1050"/>
    </row>
    <row r="2914" spans="1:7">
      <c r="A2914" s="1079"/>
      <c r="B2914" s="1050"/>
      <c r="C2914" s="1050"/>
      <c r="D2914" s="1050"/>
      <c r="E2914" s="1050"/>
      <c r="F2914" s="1050"/>
      <c r="G2914" s="1050"/>
    </row>
    <row r="2915" spans="1:7">
      <c r="A2915" s="1079"/>
      <c r="B2915" s="1050"/>
      <c r="C2915" s="1050"/>
      <c r="D2915" s="1050"/>
      <c r="E2915" s="1050"/>
      <c r="F2915" s="1050"/>
      <c r="G2915" s="1050"/>
    </row>
    <row r="2916" spans="1:7">
      <c r="A2916" s="1079"/>
      <c r="B2916" s="1050"/>
      <c r="C2916" s="1050"/>
      <c r="D2916" s="1050"/>
      <c r="E2916" s="1050"/>
      <c r="F2916" s="1050"/>
      <c r="G2916" s="1050"/>
    </row>
    <row r="2917" spans="1:7">
      <c r="A2917" s="1079"/>
      <c r="B2917" s="1050"/>
      <c r="C2917" s="1050"/>
      <c r="D2917" s="1050"/>
      <c r="E2917" s="1050"/>
      <c r="F2917" s="1050"/>
      <c r="G2917" s="1050"/>
    </row>
    <row r="2918" spans="1:7">
      <c r="A2918" s="1079"/>
      <c r="B2918" s="1050"/>
      <c r="C2918" s="1050"/>
      <c r="D2918" s="1050"/>
      <c r="E2918" s="1050"/>
      <c r="F2918" s="1050"/>
      <c r="G2918" s="1050"/>
    </row>
    <row r="2919" spans="1:7">
      <c r="A2919" s="1079"/>
      <c r="B2919" s="1050"/>
      <c r="C2919" s="1050"/>
      <c r="D2919" s="1050"/>
      <c r="E2919" s="1050"/>
      <c r="F2919" s="1050"/>
      <c r="G2919" s="1050"/>
    </row>
    <row r="2920" spans="1:7">
      <c r="A2920" s="1079"/>
      <c r="B2920" s="1050"/>
      <c r="C2920" s="1050"/>
      <c r="D2920" s="1050"/>
      <c r="E2920" s="1050"/>
      <c r="F2920" s="1050"/>
      <c r="G2920" s="1050"/>
    </row>
    <row r="2921" spans="1:7">
      <c r="A2921" s="1079"/>
      <c r="B2921" s="1050"/>
      <c r="C2921" s="1050"/>
      <c r="D2921" s="1050"/>
      <c r="E2921" s="1050"/>
      <c r="F2921" s="1050"/>
      <c r="G2921" s="1050"/>
    </row>
    <row r="2922" spans="1:7">
      <c r="A2922" s="1079"/>
      <c r="B2922" s="1050"/>
      <c r="C2922" s="1050"/>
      <c r="D2922" s="1050"/>
      <c r="E2922" s="1050"/>
      <c r="F2922" s="1050"/>
      <c r="G2922" s="1050"/>
    </row>
    <row r="2923" spans="1:7">
      <c r="A2923" s="1079"/>
      <c r="B2923" s="1050"/>
      <c r="C2923" s="1050"/>
      <c r="D2923" s="1050"/>
      <c r="E2923" s="1050"/>
      <c r="F2923" s="1050"/>
      <c r="G2923" s="1050"/>
    </row>
    <row r="2924" spans="1:7">
      <c r="A2924" s="1079"/>
      <c r="B2924" s="1050"/>
      <c r="C2924" s="1050"/>
      <c r="D2924" s="1050"/>
      <c r="E2924" s="1050"/>
      <c r="F2924" s="1050"/>
      <c r="G2924" s="1050"/>
    </row>
    <row r="2925" spans="1:7">
      <c r="A2925" s="1079"/>
      <c r="B2925" s="1050"/>
      <c r="C2925" s="1050"/>
      <c r="D2925" s="1050"/>
      <c r="E2925" s="1050"/>
      <c r="F2925" s="1050"/>
      <c r="G2925" s="1050"/>
    </row>
    <row r="2926" spans="1:7">
      <c r="A2926" s="1079"/>
      <c r="B2926" s="1050"/>
      <c r="C2926" s="1050"/>
      <c r="D2926" s="1050"/>
      <c r="E2926" s="1050"/>
      <c r="F2926" s="1050"/>
      <c r="G2926" s="1050"/>
    </row>
    <row r="2927" spans="1:7">
      <c r="A2927" s="1079"/>
      <c r="B2927" s="1050"/>
      <c r="C2927" s="1050"/>
      <c r="D2927" s="1050"/>
      <c r="E2927" s="1050"/>
      <c r="F2927" s="1050"/>
      <c r="G2927" s="1050"/>
    </row>
    <row r="2928" spans="1:7">
      <c r="A2928" s="1079"/>
      <c r="B2928" s="1050"/>
      <c r="C2928" s="1050"/>
      <c r="D2928" s="1050"/>
      <c r="E2928" s="1050"/>
      <c r="F2928" s="1050"/>
      <c r="G2928" s="1050"/>
    </row>
    <row r="2929" spans="1:7">
      <c r="A2929" s="1079"/>
      <c r="B2929" s="1050"/>
      <c r="C2929" s="1050"/>
      <c r="D2929" s="1050"/>
      <c r="E2929" s="1050"/>
      <c r="F2929" s="1050"/>
      <c r="G2929" s="1050"/>
    </row>
    <row r="2930" spans="1:7">
      <c r="A2930" s="1079"/>
      <c r="B2930" s="1050"/>
      <c r="C2930" s="1050"/>
      <c r="D2930" s="1050"/>
      <c r="E2930" s="1050"/>
      <c r="F2930" s="1050"/>
      <c r="G2930" s="1050"/>
    </row>
    <row r="2931" spans="1:7">
      <c r="A2931" s="1079"/>
      <c r="B2931" s="1050"/>
      <c r="C2931" s="1050"/>
      <c r="D2931" s="1050"/>
      <c r="E2931" s="1050"/>
      <c r="F2931" s="1050"/>
      <c r="G2931" s="1050"/>
    </row>
    <row r="2932" spans="1:7">
      <c r="A2932" s="1079"/>
      <c r="B2932" s="1050"/>
      <c r="C2932" s="1050"/>
      <c r="D2932" s="1050"/>
      <c r="E2932" s="1050"/>
      <c r="F2932" s="1050"/>
      <c r="G2932" s="1050"/>
    </row>
    <row r="2933" spans="1:7">
      <c r="A2933" s="1079"/>
      <c r="B2933" s="1050"/>
      <c r="C2933" s="1050"/>
      <c r="D2933" s="1050"/>
      <c r="E2933" s="1050"/>
      <c r="F2933" s="1050"/>
      <c r="G2933" s="1050"/>
    </row>
    <row r="2934" spans="1:7">
      <c r="A2934" s="1079"/>
      <c r="B2934" s="1050"/>
      <c r="C2934" s="1050"/>
      <c r="D2934" s="1050"/>
      <c r="E2934" s="1050"/>
      <c r="F2934" s="1050"/>
      <c r="G2934" s="1050"/>
    </row>
    <row r="2935" spans="1:7">
      <c r="A2935" s="1079"/>
      <c r="B2935" s="1050"/>
      <c r="C2935" s="1050"/>
      <c r="D2935" s="1050"/>
      <c r="E2935" s="1050"/>
      <c r="F2935" s="1050"/>
      <c r="G2935" s="1050"/>
    </row>
    <row r="2936" spans="1:7">
      <c r="A2936" s="1079"/>
      <c r="B2936" s="1050"/>
      <c r="C2936" s="1050"/>
      <c r="D2936" s="1050"/>
      <c r="E2936" s="1050"/>
      <c r="F2936" s="1050"/>
      <c r="G2936" s="1050"/>
    </row>
    <row r="2937" spans="1:7">
      <c r="A2937" s="1079"/>
      <c r="B2937" s="1050"/>
      <c r="C2937" s="1050"/>
      <c r="D2937" s="1050"/>
      <c r="E2937" s="1050"/>
      <c r="F2937" s="1050"/>
      <c r="G2937" s="1050"/>
    </row>
    <row r="2938" spans="1:7">
      <c r="A2938" s="1079"/>
      <c r="B2938" s="1050"/>
      <c r="C2938" s="1050"/>
      <c r="D2938" s="1050"/>
      <c r="E2938" s="1050"/>
      <c r="F2938" s="1050"/>
      <c r="G2938" s="1050"/>
    </row>
    <row r="2939" spans="1:7">
      <c r="A2939" s="1079"/>
      <c r="B2939" s="1050"/>
      <c r="C2939" s="1050"/>
      <c r="D2939" s="1050"/>
      <c r="E2939" s="1050"/>
      <c r="F2939" s="1050"/>
      <c r="G2939" s="1050"/>
    </row>
    <row r="2940" spans="1:7">
      <c r="A2940" s="1079"/>
      <c r="B2940" s="1050"/>
      <c r="C2940" s="1050"/>
      <c r="D2940" s="1050"/>
      <c r="E2940" s="1050"/>
      <c r="F2940" s="1050"/>
      <c r="G2940" s="1050"/>
    </row>
    <row r="2941" spans="1:7">
      <c r="A2941" s="1079"/>
      <c r="B2941" s="1050"/>
      <c r="C2941" s="1050"/>
      <c r="D2941" s="1050"/>
      <c r="E2941" s="1050"/>
      <c r="F2941" s="1050"/>
      <c r="G2941" s="1050"/>
    </row>
    <row r="2942" spans="1:7">
      <c r="A2942" s="1079"/>
      <c r="B2942" s="1050"/>
      <c r="C2942" s="1050"/>
      <c r="D2942" s="1050"/>
      <c r="E2942" s="1050"/>
      <c r="F2942" s="1050"/>
      <c r="G2942" s="1050"/>
    </row>
    <row r="2943" spans="1:7">
      <c r="A2943" s="1079"/>
      <c r="B2943" s="1050"/>
      <c r="C2943" s="1050"/>
      <c r="D2943" s="1050"/>
      <c r="E2943" s="1050"/>
      <c r="F2943" s="1050"/>
      <c r="G2943" s="1050"/>
    </row>
    <row r="2944" spans="1:7">
      <c r="A2944" s="1079"/>
      <c r="B2944" s="1050"/>
      <c r="C2944" s="1050"/>
      <c r="D2944" s="1050"/>
      <c r="E2944" s="1050"/>
      <c r="F2944" s="1050"/>
      <c r="G2944" s="1050"/>
    </row>
    <row r="2945" spans="1:7">
      <c r="A2945" s="1079"/>
      <c r="B2945" s="1050"/>
      <c r="C2945" s="1050"/>
      <c r="D2945" s="1050"/>
      <c r="E2945" s="1050"/>
      <c r="F2945" s="1050"/>
      <c r="G2945" s="1050"/>
    </row>
    <row r="2946" spans="1:7">
      <c r="A2946" s="1079"/>
      <c r="B2946" s="1050"/>
      <c r="C2946" s="1050"/>
      <c r="D2946" s="1050"/>
      <c r="E2946" s="1050"/>
      <c r="F2946" s="1050"/>
      <c r="G2946" s="1050"/>
    </row>
    <row r="2947" spans="1:7">
      <c r="A2947" s="1079"/>
      <c r="B2947" s="1050"/>
      <c r="C2947" s="1050"/>
      <c r="D2947" s="1050"/>
      <c r="E2947" s="1050"/>
      <c r="F2947" s="1050"/>
      <c r="G2947" s="1050"/>
    </row>
    <row r="2948" spans="1:7">
      <c r="A2948" s="1079"/>
      <c r="B2948" s="1050"/>
      <c r="C2948" s="1050"/>
      <c r="D2948" s="1050"/>
      <c r="E2948" s="1050"/>
      <c r="F2948" s="1050"/>
      <c r="G2948" s="1050"/>
    </row>
    <row r="2949" spans="1:7">
      <c r="A2949" s="1079"/>
      <c r="B2949" s="1050"/>
      <c r="C2949" s="1050"/>
      <c r="D2949" s="1050"/>
      <c r="E2949" s="1050"/>
      <c r="F2949" s="1050"/>
      <c r="G2949" s="1050"/>
    </row>
    <row r="2950" spans="1:7">
      <c r="A2950" s="1079"/>
      <c r="B2950" s="1050"/>
      <c r="C2950" s="1050"/>
      <c r="D2950" s="1050"/>
      <c r="E2950" s="1050"/>
      <c r="F2950" s="1050"/>
      <c r="G2950" s="1050"/>
    </row>
    <row r="2951" spans="1:7">
      <c r="A2951" s="1079"/>
      <c r="B2951" s="1050"/>
      <c r="C2951" s="1050"/>
      <c r="D2951" s="1050"/>
      <c r="E2951" s="1050"/>
      <c r="F2951" s="1050"/>
      <c r="G2951" s="1050"/>
    </row>
    <row r="2952" spans="1:7">
      <c r="A2952" s="1079"/>
      <c r="B2952" s="1050"/>
      <c r="C2952" s="1050"/>
      <c r="D2952" s="1050"/>
      <c r="E2952" s="1050"/>
      <c r="F2952" s="1050"/>
      <c r="G2952" s="1050"/>
    </row>
    <row r="2953" spans="1:7">
      <c r="A2953" s="1079"/>
      <c r="B2953" s="1050"/>
      <c r="C2953" s="1050"/>
      <c r="D2953" s="1050"/>
      <c r="E2953" s="1050"/>
      <c r="F2953" s="1050"/>
      <c r="G2953" s="1050"/>
    </row>
    <row r="2954" spans="1:7">
      <c r="A2954" s="1079"/>
      <c r="B2954" s="1050"/>
      <c r="C2954" s="1050"/>
      <c r="D2954" s="1050"/>
      <c r="E2954" s="1050"/>
      <c r="F2954" s="1050"/>
      <c r="G2954" s="1050"/>
    </row>
    <row r="2955" spans="1:7">
      <c r="A2955" s="1079"/>
      <c r="B2955" s="1050"/>
      <c r="C2955" s="1050"/>
      <c r="D2955" s="1050"/>
      <c r="E2955" s="1050"/>
      <c r="F2955" s="1050"/>
      <c r="G2955" s="1050"/>
    </row>
    <row r="2956" spans="1:7">
      <c r="A2956" s="1079"/>
      <c r="B2956" s="1050"/>
      <c r="C2956" s="1050"/>
      <c r="D2956" s="1050"/>
      <c r="E2956" s="1050"/>
      <c r="F2956" s="1050"/>
      <c r="G2956" s="1050"/>
    </row>
    <row r="2957" spans="1:7">
      <c r="A2957" s="1079"/>
      <c r="B2957" s="1050"/>
      <c r="C2957" s="1050"/>
      <c r="D2957" s="1050"/>
      <c r="E2957" s="1050"/>
      <c r="F2957" s="1050"/>
      <c r="G2957" s="1050"/>
    </row>
    <row r="2958" spans="1:7">
      <c r="A2958" s="1079"/>
      <c r="B2958" s="1050"/>
      <c r="C2958" s="1050"/>
      <c r="D2958" s="1050"/>
      <c r="E2958" s="1050"/>
      <c r="F2958" s="1050"/>
      <c r="G2958" s="1050"/>
    </row>
    <row r="2959" spans="1:7">
      <c r="A2959" s="1079"/>
      <c r="B2959" s="1050"/>
      <c r="C2959" s="1050"/>
      <c r="D2959" s="1050"/>
      <c r="E2959" s="1050"/>
      <c r="F2959" s="1050"/>
      <c r="G2959" s="1050"/>
    </row>
    <row r="2960" spans="1:7">
      <c r="A2960" s="1079"/>
      <c r="B2960" s="1050"/>
      <c r="C2960" s="1050"/>
      <c r="D2960" s="1050"/>
      <c r="E2960" s="1050"/>
      <c r="F2960" s="1050"/>
      <c r="G2960" s="1050"/>
    </row>
    <row r="2961" spans="1:7">
      <c r="A2961" s="1079"/>
      <c r="B2961" s="1050"/>
      <c r="C2961" s="1050"/>
      <c r="D2961" s="1050"/>
      <c r="E2961" s="1050"/>
      <c r="F2961" s="1050"/>
      <c r="G2961" s="1050"/>
    </row>
    <row r="2962" spans="1:7">
      <c r="A2962" s="1079"/>
      <c r="B2962" s="1050"/>
      <c r="C2962" s="1050"/>
      <c r="D2962" s="1050"/>
      <c r="E2962" s="1050"/>
      <c r="F2962" s="1050"/>
      <c r="G2962" s="1050"/>
    </row>
    <row r="2963" spans="1:7">
      <c r="A2963" s="1079"/>
      <c r="B2963" s="1050"/>
      <c r="C2963" s="1050"/>
      <c r="D2963" s="1050"/>
      <c r="E2963" s="1050"/>
      <c r="F2963" s="1050"/>
      <c r="G2963" s="1050"/>
    </row>
    <row r="2964" spans="1:7">
      <c r="A2964" s="1079"/>
      <c r="B2964" s="1050"/>
      <c r="C2964" s="1050"/>
      <c r="D2964" s="1050"/>
      <c r="E2964" s="1050"/>
      <c r="F2964" s="1050"/>
      <c r="G2964" s="1050"/>
    </row>
    <row r="2965" spans="1:7">
      <c r="A2965" s="1079"/>
      <c r="B2965" s="1050"/>
      <c r="C2965" s="1050"/>
      <c r="D2965" s="1050"/>
      <c r="E2965" s="1050"/>
      <c r="F2965" s="1050"/>
      <c r="G2965" s="1050"/>
    </row>
    <row r="2966" spans="1:7">
      <c r="A2966" s="1079"/>
      <c r="B2966" s="1050"/>
      <c r="C2966" s="1050"/>
      <c r="D2966" s="1050"/>
      <c r="E2966" s="1050"/>
      <c r="F2966" s="1050"/>
      <c r="G2966" s="1050"/>
    </row>
    <row r="2967" spans="1:7">
      <c r="A2967" s="1079"/>
      <c r="B2967" s="1050"/>
      <c r="C2967" s="1050"/>
      <c r="D2967" s="1050"/>
      <c r="E2967" s="1050"/>
      <c r="F2967" s="1050"/>
      <c r="G2967" s="1050"/>
    </row>
    <row r="2968" spans="1:7">
      <c r="A2968" s="1079"/>
      <c r="B2968" s="1050"/>
      <c r="C2968" s="1050"/>
      <c r="D2968" s="1050"/>
      <c r="E2968" s="1050"/>
      <c r="F2968" s="1050"/>
      <c r="G2968" s="1050"/>
    </row>
    <row r="2969" spans="1:7">
      <c r="A2969" s="1079"/>
      <c r="B2969" s="1050"/>
      <c r="C2969" s="1050"/>
      <c r="D2969" s="1050"/>
      <c r="E2969" s="1050"/>
      <c r="F2969" s="1050"/>
      <c r="G2969" s="1050"/>
    </row>
    <row r="2970" spans="1:7">
      <c r="A2970" s="1079"/>
      <c r="B2970" s="1050"/>
      <c r="C2970" s="1050"/>
      <c r="D2970" s="1050"/>
      <c r="E2970" s="1050"/>
      <c r="F2970" s="1050"/>
      <c r="G2970" s="1050"/>
    </row>
    <row r="2971" spans="1:7">
      <c r="A2971" s="1079"/>
      <c r="B2971" s="1050"/>
      <c r="C2971" s="1050"/>
      <c r="D2971" s="1050"/>
      <c r="E2971" s="1050"/>
      <c r="F2971" s="1050"/>
      <c r="G2971" s="1050"/>
    </row>
    <row r="2972" spans="1:7">
      <c r="A2972" s="1079"/>
      <c r="B2972" s="1050"/>
      <c r="C2972" s="1050"/>
      <c r="D2972" s="1050"/>
      <c r="E2972" s="1050"/>
      <c r="F2972" s="1050"/>
      <c r="G2972" s="1050"/>
    </row>
    <row r="2973" spans="1:7">
      <c r="A2973" s="1079"/>
      <c r="B2973" s="1050"/>
      <c r="C2973" s="1050"/>
      <c r="D2973" s="1050"/>
      <c r="E2973" s="1050"/>
      <c r="F2973" s="1050"/>
      <c r="G2973" s="1050"/>
    </row>
    <row r="2974" spans="1:7">
      <c r="A2974" s="1079"/>
      <c r="B2974" s="1050"/>
      <c r="C2974" s="1050"/>
      <c r="D2974" s="1050"/>
      <c r="E2974" s="1050"/>
      <c r="F2974" s="1050"/>
      <c r="G2974" s="1050"/>
    </row>
    <row r="2975" spans="1:7">
      <c r="A2975" s="1079"/>
      <c r="B2975" s="1050"/>
      <c r="C2975" s="1050"/>
      <c r="D2975" s="1050"/>
      <c r="E2975" s="1050"/>
      <c r="F2975" s="1050"/>
      <c r="G2975" s="1050"/>
    </row>
    <row r="2976" spans="1:7">
      <c r="A2976" s="1079"/>
      <c r="B2976" s="1050"/>
      <c r="C2976" s="1050"/>
      <c r="D2976" s="1050"/>
      <c r="E2976" s="1050"/>
      <c r="F2976" s="1050"/>
      <c r="G2976" s="1050"/>
    </row>
    <row r="2977" spans="1:7">
      <c r="A2977" s="1079"/>
      <c r="B2977" s="1050"/>
      <c r="C2977" s="1050"/>
      <c r="D2977" s="1050"/>
      <c r="E2977" s="1050"/>
      <c r="F2977" s="1050"/>
      <c r="G2977" s="1050"/>
    </row>
    <row r="2978" spans="1:7">
      <c r="A2978" s="1079"/>
      <c r="B2978" s="1050"/>
      <c r="C2978" s="1050"/>
      <c r="D2978" s="1050"/>
      <c r="E2978" s="1050"/>
      <c r="F2978" s="1050"/>
      <c r="G2978" s="1050"/>
    </row>
    <row r="2979" spans="1:7">
      <c r="A2979" s="1079"/>
      <c r="B2979" s="1050"/>
      <c r="C2979" s="1050"/>
      <c r="D2979" s="1050"/>
      <c r="E2979" s="1050"/>
      <c r="F2979" s="1050"/>
      <c r="G2979" s="1050"/>
    </row>
    <row r="2980" spans="1:7">
      <c r="A2980" s="1079"/>
      <c r="B2980" s="1050"/>
      <c r="C2980" s="1050"/>
      <c r="D2980" s="1050"/>
      <c r="E2980" s="1050"/>
      <c r="F2980" s="1050"/>
      <c r="G2980" s="1050"/>
    </row>
    <row r="2981" spans="1:7">
      <c r="A2981" s="1079"/>
      <c r="B2981" s="1050"/>
      <c r="C2981" s="1050"/>
      <c r="D2981" s="1050"/>
      <c r="E2981" s="1050"/>
      <c r="F2981" s="1050"/>
      <c r="G2981" s="1050"/>
    </row>
    <row r="2982" spans="1:7">
      <c r="A2982" s="1079"/>
      <c r="B2982" s="1050"/>
      <c r="C2982" s="1050"/>
      <c r="D2982" s="1050"/>
      <c r="E2982" s="1050"/>
      <c r="F2982" s="1050"/>
      <c r="G2982" s="1050"/>
    </row>
    <row r="2983" spans="1:7">
      <c r="A2983" s="1079"/>
      <c r="B2983" s="1050"/>
      <c r="C2983" s="1050"/>
      <c r="D2983" s="1050"/>
      <c r="E2983" s="1050"/>
      <c r="F2983" s="1050"/>
      <c r="G2983" s="1050"/>
    </row>
    <row r="2984" spans="1:7">
      <c r="A2984" s="1079"/>
      <c r="B2984" s="1050"/>
      <c r="C2984" s="1050"/>
      <c r="D2984" s="1050"/>
      <c r="E2984" s="1050"/>
      <c r="F2984" s="1050"/>
      <c r="G2984" s="1050"/>
    </row>
    <row r="2985" spans="1:7">
      <c r="A2985" s="1079"/>
      <c r="B2985" s="1050"/>
      <c r="C2985" s="1050"/>
      <c r="D2985" s="1050"/>
      <c r="E2985" s="1050"/>
      <c r="F2985" s="1050"/>
      <c r="G2985" s="1050"/>
    </row>
    <row r="2986" spans="1:7">
      <c r="A2986" s="1079"/>
      <c r="B2986" s="1050"/>
      <c r="C2986" s="1050"/>
      <c r="D2986" s="1050"/>
      <c r="E2986" s="1050"/>
      <c r="F2986" s="1050"/>
      <c r="G2986" s="1050"/>
    </row>
    <row r="2987" spans="1:7">
      <c r="A2987" s="1079"/>
      <c r="B2987" s="1050"/>
      <c r="C2987" s="1050"/>
      <c r="D2987" s="1050"/>
      <c r="E2987" s="1050"/>
      <c r="F2987" s="1050"/>
      <c r="G2987" s="1050"/>
    </row>
    <row r="2988" spans="1:7">
      <c r="A2988" s="1079"/>
      <c r="B2988" s="1050"/>
      <c r="C2988" s="1050"/>
      <c r="D2988" s="1050"/>
      <c r="E2988" s="1050"/>
      <c r="F2988" s="1050"/>
      <c r="G2988" s="1050"/>
    </row>
    <row r="2989" spans="1:7">
      <c r="A2989" s="1079"/>
      <c r="B2989" s="1050"/>
      <c r="C2989" s="1050"/>
      <c r="D2989" s="1050"/>
      <c r="E2989" s="1050"/>
      <c r="F2989" s="1050"/>
      <c r="G2989" s="1050"/>
    </row>
    <row r="2990" spans="1:7">
      <c r="A2990" s="1079"/>
      <c r="B2990" s="1050"/>
      <c r="C2990" s="1050"/>
      <c r="D2990" s="1050"/>
      <c r="E2990" s="1050"/>
      <c r="F2990" s="1050"/>
      <c r="G2990" s="1050"/>
    </row>
    <row r="2991" spans="1:7">
      <c r="A2991" s="1079"/>
      <c r="B2991" s="1050"/>
      <c r="C2991" s="1050"/>
      <c r="D2991" s="1050"/>
      <c r="E2991" s="1050"/>
      <c r="F2991" s="1050"/>
      <c r="G2991" s="1050"/>
    </row>
    <row r="2992" spans="1:7">
      <c r="A2992" s="1079"/>
      <c r="B2992" s="1050"/>
      <c r="C2992" s="1050"/>
      <c r="D2992" s="1050"/>
      <c r="E2992" s="1050"/>
      <c r="F2992" s="1050"/>
      <c r="G2992" s="1050"/>
    </row>
    <row r="2993" spans="1:7">
      <c r="A2993" s="1079"/>
      <c r="B2993" s="1050"/>
      <c r="C2993" s="1050"/>
      <c r="D2993" s="1050"/>
      <c r="E2993" s="1050"/>
      <c r="F2993" s="1050"/>
      <c r="G2993" s="1050"/>
    </row>
    <row r="2994" spans="1:7">
      <c r="A2994" s="1079"/>
      <c r="B2994" s="1050"/>
      <c r="C2994" s="1050"/>
      <c r="D2994" s="1050"/>
      <c r="E2994" s="1050"/>
      <c r="F2994" s="1050"/>
      <c r="G2994" s="1050"/>
    </row>
    <row r="2995" spans="1:7">
      <c r="A2995" s="1079"/>
      <c r="B2995" s="1050"/>
      <c r="C2995" s="1050"/>
      <c r="D2995" s="1050"/>
      <c r="E2995" s="1050"/>
      <c r="F2995" s="1050"/>
      <c r="G2995" s="1050"/>
    </row>
    <row r="2996" spans="1:7">
      <c r="A2996" s="1079"/>
      <c r="B2996" s="1050"/>
      <c r="C2996" s="1050"/>
      <c r="D2996" s="1050"/>
      <c r="E2996" s="1050"/>
      <c r="F2996" s="1050"/>
      <c r="G2996" s="1050"/>
    </row>
    <row r="2997" spans="1:7">
      <c r="A2997" s="1079"/>
      <c r="B2997" s="1050"/>
      <c r="C2997" s="1050"/>
      <c r="D2997" s="1050"/>
      <c r="E2997" s="1050"/>
      <c r="F2997" s="1050"/>
      <c r="G2997" s="1050"/>
    </row>
    <row r="2998" spans="1:7">
      <c r="A2998" s="1079"/>
      <c r="B2998" s="1050"/>
      <c r="C2998" s="1050"/>
      <c r="D2998" s="1050"/>
      <c r="E2998" s="1050"/>
      <c r="F2998" s="1050"/>
      <c r="G2998" s="1050"/>
    </row>
    <row r="2999" spans="1:7">
      <c r="A2999" s="1079"/>
      <c r="B2999" s="1050"/>
      <c r="C2999" s="1050"/>
      <c r="D2999" s="1050"/>
      <c r="E2999" s="1050"/>
      <c r="F2999" s="1050"/>
      <c r="G2999" s="1050"/>
    </row>
    <row r="3000" spans="1:7">
      <c r="A3000" s="1079"/>
      <c r="B3000" s="1050"/>
      <c r="C3000" s="1050"/>
      <c r="D3000" s="1050"/>
      <c r="E3000" s="1050"/>
      <c r="F3000" s="1050"/>
      <c r="G3000" s="1050"/>
    </row>
    <row r="3001" spans="1:7">
      <c r="A3001" s="1079"/>
      <c r="B3001" s="1050"/>
      <c r="C3001" s="1050"/>
      <c r="D3001" s="1050"/>
      <c r="E3001" s="1050"/>
      <c r="F3001" s="1050"/>
      <c r="G3001" s="1050"/>
    </row>
    <row r="3002" spans="1:7">
      <c r="A3002" s="1079"/>
      <c r="B3002" s="1050"/>
      <c r="C3002" s="1050"/>
      <c r="D3002" s="1050"/>
      <c r="E3002" s="1050"/>
      <c r="F3002" s="1050"/>
      <c r="G3002" s="1050"/>
    </row>
    <row r="3003" spans="1:7">
      <c r="A3003" s="1079"/>
      <c r="B3003" s="1050"/>
      <c r="C3003" s="1050"/>
      <c r="D3003" s="1050"/>
      <c r="E3003" s="1050"/>
      <c r="F3003" s="1050"/>
      <c r="G3003" s="1050"/>
    </row>
    <row r="3004" spans="1:7">
      <c r="A3004" s="1079"/>
      <c r="B3004" s="1050"/>
      <c r="C3004" s="1050"/>
      <c r="D3004" s="1050"/>
      <c r="E3004" s="1050"/>
      <c r="F3004" s="1050"/>
      <c r="G3004" s="1050"/>
    </row>
    <row r="3005" spans="1:7">
      <c r="A3005" s="1079"/>
      <c r="B3005" s="1050"/>
      <c r="C3005" s="1050"/>
      <c r="D3005" s="1050"/>
      <c r="E3005" s="1050"/>
      <c r="F3005" s="1050"/>
      <c r="G3005" s="1050"/>
    </row>
    <row r="3006" spans="1:7">
      <c r="A3006" s="1079"/>
      <c r="B3006" s="1050"/>
      <c r="C3006" s="1050"/>
      <c r="D3006" s="1050"/>
      <c r="E3006" s="1050"/>
      <c r="F3006" s="1050"/>
      <c r="G3006" s="1050"/>
    </row>
    <row r="3007" spans="1:7">
      <c r="A3007" s="1079"/>
      <c r="B3007" s="1050"/>
      <c r="C3007" s="1050"/>
      <c r="D3007" s="1050"/>
      <c r="E3007" s="1050"/>
      <c r="F3007" s="1050"/>
      <c r="G3007" s="1050"/>
    </row>
    <row r="3008" spans="1:7">
      <c r="A3008" s="1079"/>
      <c r="B3008" s="1050"/>
      <c r="C3008" s="1050"/>
      <c r="D3008" s="1050"/>
      <c r="E3008" s="1050"/>
      <c r="F3008" s="1050"/>
      <c r="G3008" s="1050"/>
    </row>
    <row r="3009" spans="1:7">
      <c r="A3009" s="1079"/>
      <c r="B3009" s="1050"/>
      <c r="C3009" s="1050"/>
      <c r="D3009" s="1050"/>
      <c r="E3009" s="1050"/>
      <c r="F3009" s="1050"/>
      <c r="G3009" s="1050"/>
    </row>
    <row r="3010" spans="1:7">
      <c r="A3010" s="1079"/>
      <c r="B3010" s="1050"/>
      <c r="C3010" s="1050"/>
      <c r="D3010" s="1050"/>
      <c r="E3010" s="1050"/>
      <c r="F3010" s="1050"/>
      <c r="G3010" s="1050"/>
    </row>
    <row r="3011" spans="1:7">
      <c r="A3011" s="1079"/>
      <c r="B3011" s="1050"/>
      <c r="C3011" s="1050"/>
      <c r="D3011" s="1050"/>
      <c r="E3011" s="1050"/>
      <c r="F3011" s="1050"/>
      <c r="G3011" s="1050"/>
    </row>
    <row r="3012" spans="1:7">
      <c r="A3012" s="1079"/>
      <c r="B3012" s="1050"/>
      <c r="C3012" s="1050"/>
      <c r="D3012" s="1050"/>
      <c r="E3012" s="1050"/>
      <c r="F3012" s="1050"/>
      <c r="G3012" s="1050"/>
    </row>
    <row r="3013" spans="1:7">
      <c r="A3013" s="1079"/>
      <c r="B3013" s="1050"/>
      <c r="C3013" s="1050"/>
      <c r="D3013" s="1050"/>
      <c r="E3013" s="1050"/>
      <c r="F3013" s="1050"/>
      <c r="G3013" s="1050"/>
    </row>
    <row r="3014" spans="1:7">
      <c r="A3014" s="1079"/>
      <c r="B3014" s="1050"/>
      <c r="C3014" s="1050"/>
      <c r="D3014" s="1050"/>
      <c r="E3014" s="1050"/>
      <c r="F3014" s="1050"/>
      <c r="G3014" s="1050"/>
    </row>
    <row r="3015" spans="1:7">
      <c r="A3015" s="1079"/>
      <c r="B3015" s="1050"/>
      <c r="C3015" s="1050"/>
      <c r="D3015" s="1050"/>
      <c r="E3015" s="1050"/>
      <c r="F3015" s="1050"/>
      <c r="G3015" s="1050"/>
    </row>
    <row r="3016" spans="1:7">
      <c r="A3016" s="1079"/>
      <c r="B3016" s="1050"/>
      <c r="C3016" s="1050"/>
      <c r="D3016" s="1050"/>
      <c r="E3016" s="1050"/>
      <c r="F3016" s="1050"/>
      <c r="G3016" s="1050"/>
    </row>
    <row r="3017" spans="1:7">
      <c r="A3017" s="1079"/>
      <c r="B3017" s="1050"/>
      <c r="C3017" s="1050"/>
      <c r="D3017" s="1050"/>
      <c r="E3017" s="1050"/>
      <c r="F3017" s="1050"/>
      <c r="G3017" s="1050"/>
    </row>
    <row r="3018" spans="1:7">
      <c r="A3018" s="1079"/>
      <c r="B3018" s="1050"/>
      <c r="C3018" s="1050"/>
      <c r="D3018" s="1050"/>
      <c r="E3018" s="1050"/>
      <c r="F3018" s="1050"/>
      <c r="G3018" s="1050"/>
    </row>
    <row r="3019" spans="1:7">
      <c r="A3019" s="1079"/>
      <c r="B3019" s="1050"/>
      <c r="C3019" s="1050"/>
      <c r="D3019" s="1050"/>
      <c r="E3019" s="1050"/>
      <c r="F3019" s="1050"/>
      <c r="G3019" s="1050"/>
    </row>
    <row r="3020" spans="1:7">
      <c r="A3020" s="1079"/>
      <c r="B3020" s="1050"/>
      <c r="C3020" s="1050"/>
      <c r="D3020" s="1050"/>
      <c r="E3020" s="1050"/>
      <c r="F3020" s="1050"/>
      <c r="G3020" s="1050"/>
    </row>
    <row r="3021" spans="1:7">
      <c r="A3021" s="1079"/>
      <c r="B3021" s="1050"/>
      <c r="C3021" s="1050"/>
      <c r="D3021" s="1050"/>
      <c r="E3021" s="1050"/>
      <c r="F3021" s="1050"/>
      <c r="G3021" s="1050"/>
    </row>
    <row r="3022" spans="1:7">
      <c r="A3022" s="1079"/>
      <c r="B3022" s="1050"/>
      <c r="C3022" s="1050"/>
      <c r="D3022" s="1050"/>
      <c r="E3022" s="1050"/>
      <c r="F3022" s="1050"/>
      <c r="G3022" s="1050"/>
    </row>
    <row r="3023" spans="1:7">
      <c r="A3023" s="1079"/>
      <c r="B3023" s="1050"/>
      <c r="C3023" s="1050"/>
      <c r="D3023" s="1050"/>
      <c r="E3023" s="1050"/>
      <c r="F3023" s="1050"/>
      <c r="G3023" s="1050"/>
    </row>
    <row r="3024" spans="1:7">
      <c r="A3024" s="1079"/>
      <c r="B3024" s="1050"/>
      <c r="C3024" s="1050"/>
      <c r="D3024" s="1050"/>
      <c r="E3024" s="1050"/>
      <c r="F3024" s="1050"/>
      <c r="G3024" s="1050"/>
    </row>
    <row r="3025" spans="1:7">
      <c r="A3025" s="1079"/>
      <c r="B3025" s="1050"/>
      <c r="C3025" s="1050"/>
      <c r="D3025" s="1050"/>
      <c r="E3025" s="1050"/>
      <c r="F3025" s="1050"/>
      <c r="G3025" s="1050"/>
    </row>
    <row r="3026" spans="1:7">
      <c r="A3026" s="1079"/>
      <c r="B3026" s="1050"/>
      <c r="C3026" s="1050"/>
      <c r="D3026" s="1050"/>
      <c r="E3026" s="1050"/>
      <c r="F3026" s="1050"/>
      <c r="G3026" s="1050"/>
    </row>
    <row r="3027" spans="1:7">
      <c r="A3027" s="1079"/>
      <c r="B3027" s="1050"/>
      <c r="C3027" s="1050"/>
      <c r="D3027" s="1050"/>
      <c r="E3027" s="1050"/>
      <c r="F3027" s="1050"/>
      <c r="G3027" s="1050"/>
    </row>
    <row r="3028" spans="1:7">
      <c r="A3028" s="1079"/>
      <c r="B3028" s="1050"/>
      <c r="C3028" s="1050"/>
      <c r="D3028" s="1050"/>
      <c r="E3028" s="1050"/>
      <c r="F3028" s="1050"/>
      <c r="G3028" s="1050"/>
    </row>
    <row r="3029" spans="1:7">
      <c r="A3029" s="1079"/>
      <c r="B3029" s="1050"/>
      <c r="C3029" s="1050"/>
      <c r="D3029" s="1050"/>
      <c r="E3029" s="1050"/>
      <c r="F3029" s="1050"/>
      <c r="G3029" s="1050"/>
    </row>
    <row r="3030" spans="1:7">
      <c r="A3030" s="1079"/>
      <c r="B3030" s="1050"/>
      <c r="C3030" s="1050"/>
      <c r="D3030" s="1050"/>
      <c r="E3030" s="1050"/>
      <c r="F3030" s="1050"/>
      <c r="G3030" s="1050"/>
    </row>
    <row r="3031" spans="1:7">
      <c r="A3031" s="1079"/>
      <c r="B3031" s="1050"/>
      <c r="C3031" s="1050"/>
      <c r="D3031" s="1050"/>
      <c r="E3031" s="1050"/>
      <c r="F3031" s="1050"/>
      <c r="G3031" s="1050"/>
    </row>
    <row r="3032" spans="1:7">
      <c r="A3032" s="1079"/>
      <c r="B3032" s="1050"/>
      <c r="C3032" s="1050"/>
      <c r="D3032" s="1050"/>
      <c r="E3032" s="1050"/>
      <c r="F3032" s="1050"/>
      <c r="G3032" s="1050"/>
    </row>
    <row r="3033" spans="1:7">
      <c r="A3033" s="1079"/>
      <c r="B3033" s="1050"/>
      <c r="C3033" s="1050"/>
      <c r="D3033" s="1050"/>
      <c r="E3033" s="1050"/>
      <c r="F3033" s="1050"/>
      <c r="G3033" s="1050"/>
    </row>
    <row r="3034" spans="1:7">
      <c r="A3034" s="1079"/>
      <c r="B3034" s="1050"/>
      <c r="C3034" s="1050"/>
      <c r="D3034" s="1050"/>
      <c r="E3034" s="1050"/>
      <c r="F3034" s="1050"/>
      <c r="G3034" s="1050"/>
    </row>
    <row r="3035" spans="1:7">
      <c r="A3035" s="1079"/>
      <c r="B3035" s="1050"/>
      <c r="C3035" s="1050"/>
      <c r="D3035" s="1050"/>
      <c r="E3035" s="1050"/>
      <c r="F3035" s="1050"/>
      <c r="G3035" s="1050"/>
    </row>
    <row r="3036" spans="1:7">
      <c r="A3036" s="1079"/>
      <c r="B3036" s="1050"/>
      <c r="C3036" s="1050"/>
      <c r="D3036" s="1050"/>
      <c r="E3036" s="1050"/>
      <c r="F3036" s="1050"/>
      <c r="G3036" s="1050"/>
    </row>
    <row r="3037" spans="1:7">
      <c r="A3037" s="1079"/>
      <c r="B3037" s="1050"/>
      <c r="C3037" s="1050"/>
      <c r="D3037" s="1050"/>
      <c r="E3037" s="1050"/>
      <c r="F3037" s="1050"/>
      <c r="G3037" s="1050"/>
    </row>
    <row r="3038" spans="1:7">
      <c r="A3038" s="1079"/>
      <c r="B3038" s="1050"/>
      <c r="C3038" s="1050"/>
      <c r="D3038" s="1050"/>
      <c r="E3038" s="1050"/>
      <c r="F3038" s="1050"/>
      <c r="G3038" s="1050"/>
    </row>
    <row r="3039" spans="1:7">
      <c r="A3039" s="1079"/>
      <c r="B3039" s="1050"/>
      <c r="C3039" s="1050"/>
      <c r="D3039" s="1050"/>
      <c r="E3039" s="1050"/>
      <c r="F3039" s="1050"/>
      <c r="G3039" s="1050"/>
    </row>
    <row r="3040" spans="1:7">
      <c r="A3040" s="1079"/>
      <c r="B3040" s="1050"/>
      <c r="C3040" s="1050"/>
      <c r="D3040" s="1050"/>
      <c r="E3040" s="1050"/>
      <c r="F3040" s="1050"/>
      <c r="G3040" s="1050"/>
    </row>
    <row r="3041" spans="1:7">
      <c r="A3041" s="1079"/>
      <c r="B3041" s="1050"/>
      <c r="C3041" s="1050"/>
      <c r="D3041" s="1050"/>
      <c r="E3041" s="1050"/>
      <c r="F3041" s="1050"/>
      <c r="G3041" s="1050"/>
    </row>
    <row r="3042" spans="1:7">
      <c r="A3042" s="1079"/>
      <c r="B3042" s="1050"/>
      <c r="C3042" s="1050"/>
      <c r="D3042" s="1050"/>
      <c r="E3042" s="1050"/>
      <c r="F3042" s="1050"/>
      <c r="G3042" s="1050"/>
    </row>
    <row r="3043" spans="1:7">
      <c r="A3043" s="1079"/>
      <c r="B3043" s="1050"/>
      <c r="C3043" s="1050"/>
      <c r="D3043" s="1050"/>
      <c r="E3043" s="1050"/>
      <c r="F3043" s="1050"/>
      <c r="G3043" s="1050"/>
    </row>
    <row r="3044" spans="1:7">
      <c r="A3044" s="1079"/>
      <c r="B3044" s="1050"/>
      <c r="C3044" s="1050"/>
      <c r="D3044" s="1050"/>
      <c r="E3044" s="1050"/>
      <c r="F3044" s="1050"/>
      <c r="G3044" s="1050"/>
    </row>
    <row r="3045" spans="1:7">
      <c r="A3045" s="1079"/>
      <c r="B3045" s="1050"/>
      <c r="C3045" s="1050"/>
      <c r="D3045" s="1050"/>
      <c r="E3045" s="1050"/>
      <c r="F3045" s="1050"/>
      <c r="G3045" s="1050"/>
    </row>
    <row r="3046" spans="1:7">
      <c r="A3046" s="1079"/>
      <c r="B3046" s="1050"/>
      <c r="C3046" s="1050"/>
      <c r="D3046" s="1050"/>
      <c r="E3046" s="1050"/>
      <c r="F3046" s="1050"/>
      <c r="G3046" s="1050"/>
    </row>
    <row r="3047" spans="1:7">
      <c r="A3047" s="1079"/>
      <c r="B3047" s="1050"/>
      <c r="C3047" s="1050"/>
      <c r="D3047" s="1050"/>
      <c r="E3047" s="1050"/>
      <c r="F3047" s="1050"/>
      <c r="G3047" s="1050"/>
    </row>
    <row r="3048" spans="1:7">
      <c r="A3048" s="1079"/>
      <c r="B3048" s="1050"/>
      <c r="C3048" s="1050"/>
      <c r="D3048" s="1050"/>
      <c r="E3048" s="1050"/>
      <c r="F3048" s="1050"/>
      <c r="G3048" s="1050"/>
    </row>
    <row r="3049" spans="1:7">
      <c r="A3049" s="1079"/>
      <c r="B3049" s="1050"/>
      <c r="C3049" s="1050"/>
      <c r="D3049" s="1050"/>
      <c r="E3049" s="1050"/>
      <c r="F3049" s="1050"/>
      <c r="G3049" s="1050"/>
    </row>
    <row r="3050" spans="1:7">
      <c r="A3050" s="1079"/>
      <c r="B3050" s="1050"/>
      <c r="C3050" s="1050"/>
      <c r="D3050" s="1050"/>
      <c r="E3050" s="1050"/>
      <c r="F3050" s="1050"/>
      <c r="G3050" s="1050"/>
    </row>
    <row r="3051" spans="1:7">
      <c r="A3051" s="1079"/>
      <c r="B3051" s="1050"/>
      <c r="C3051" s="1050"/>
      <c r="D3051" s="1050"/>
      <c r="E3051" s="1050"/>
      <c r="F3051" s="1050"/>
      <c r="G3051" s="1050"/>
    </row>
    <row r="3052" spans="1:7">
      <c r="A3052" s="1079"/>
      <c r="B3052" s="1050"/>
      <c r="C3052" s="1050"/>
      <c r="D3052" s="1050"/>
      <c r="E3052" s="1050"/>
      <c r="F3052" s="1050"/>
      <c r="G3052" s="1050"/>
    </row>
    <row r="3053" spans="1:7">
      <c r="A3053" s="1079"/>
      <c r="B3053" s="1050"/>
      <c r="C3053" s="1050"/>
      <c r="D3053" s="1050"/>
      <c r="E3053" s="1050"/>
      <c r="F3053" s="1050"/>
      <c r="G3053" s="1050"/>
    </row>
    <row r="3054" spans="1:7">
      <c r="A3054" s="1079"/>
      <c r="B3054" s="1050"/>
      <c r="C3054" s="1050"/>
      <c r="D3054" s="1050"/>
      <c r="E3054" s="1050"/>
      <c r="F3054" s="1050"/>
      <c r="G3054" s="1050"/>
    </row>
    <row r="3055" spans="1:7">
      <c r="A3055" s="1079"/>
      <c r="B3055" s="1050"/>
      <c r="C3055" s="1050"/>
      <c r="D3055" s="1050"/>
      <c r="E3055" s="1050"/>
      <c r="F3055" s="1050"/>
      <c r="G3055" s="1050"/>
    </row>
    <row r="3056" spans="1:7">
      <c r="A3056" s="1079"/>
      <c r="B3056" s="1050"/>
      <c r="C3056" s="1050"/>
      <c r="D3056" s="1050"/>
      <c r="E3056" s="1050"/>
      <c r="F3056" s="1050"/>
      <c r="G3056" s="1050"/>
    </row>
    <row r="3057" spans="1:7">
      <c r="A3057" s="1079"/>
      <c r="B3057" s="1050"/>
      <c r="C3057" s="1050"/>
      <c r="D3057" s="1050"/>
      <c r="E3057" s="1050"/>
      <c r="F3057" s="1050"/>
      <c r="G3057" s="1050"/>
    </row>
    <row r="3058" spans="1:7">
      <c r="A3058" s="1079"/>
      <c r="B3058" s="1050"/>
      <c r="C3058" s="1050"/>
      <c r="D3058" s="1050"/>
      <c r="E3058" s="1050"/>
      <c r="F3058" s="1050"/>
      <c r="G3058" s="1050"/>
    </row>
    <row r="3059" spans="1:7">
      <c r="A3059" s="1079"/>
      <c r="B3059" s="1050"/>
      <c r="C3059" s="1050"/>
      <c r="D3059" s="1050"/>
      <c r="E3059" s="1050"/>
      <c r="F3059" s="1050"/>
      <c r="G3059" s="1050"/>
    </row>
    <row r="3060" spans="1:7">
      <c r="A3060" s="1079"/>
      <c r="B3060" s="1050"/>
      <c r="C3060" s="1050"/>
      <c r="D3060" s="1050"/>
      <c r="E3060" s="1050"/>
      <c r="F3060" s="1050"/>
      <c r="G3060" s="1050"/>
    </row>
    <row r="3061" spans="1:7">
      <c r="A3061" s="1079"/>
      <c r="B3061" s="1050"/>
      <c r="C3061" s="1050"/>
      <c r="D3061" s="1050"/>
      <c r="E3061" s="1050"/>
      <c r="F3061" s="1050"/>
      <c r="G3061" s="1050"/>
    </row>
    <row r="3062" spans="1:7">
      <c r="A3062" s="1079"/>
      <c r="B3062" s="1050"/>
      <c r="C3062" s="1050"/>
      <c r="D3062" s="1050"/>
      <c r="E3062" s="1050"/>
      <c r="F3062" s="1050"/>
      <c r="G3062" s="1050"/>
    </row>
    <row r="3063" spans="1:7">
      <c r="A3063" s="1079"/>
      <c r="B3063" s="1050"/>
      <c r="C3063" s="1050"/>
      <c r="D3063" s="1050"/>
      <c r="E3063" s="1050"/>
      <c r="F3063" s="1050"/>
      <c r="G3063" s="1050"/>
    </row>
    <row r="3064" spans="1:7">
      <c r="A3064" s="1079"/>
      <c r="B3064" s="1050"/>
      <c r="C3064" s="1050"/>
      <c r="D3064" s="1050"/>
      <c r="E3064" s="1050"/>
      <c r="F3064" s="1050"/>
      <c r="G3064" s="1050"/>
    </row>
    <row r="3065" spans="1:7">
      <c r="A3065" s="1079"/>
      <c r="B3065" s="1050"/>
      <c r="C3065" s="1050"/>
      <c r="D3065" s="1050"/>
      <c r="E3065" s="1050"/>
      <c r="F3065" s="1050"/>
      <c r="G3065" s="1050"/>
    </row>
    <row r="3066" spans="1:7">
      <c r="A3066" s="1079"/>
      <c r="B3066" s="1050"/>
      <c r="C3066" s="1050"/>
      <c r="D3066" s="1050"/>
      <c r="E3066" s="1050"/>
      <c r="F3066" s="1050"/>
      <c r="G3066" s="1050"/>
    </row>
    <row r="3067" spans="1:7">
      <c r="A3067" s="1079"/>
      <c r="B3067" s="1050"/>
      <c r="C3067" s="1050"/>
      <c r="D3067" s="1050"/>
      <c r="E3067" s="1050"/>
      <c r="F3067" s="1050"/>
      <c r="G3067" s="1050"/>
    </row>
    <row r="3068" spans="1:7">
      <c r="A3068" s="1079"/>
      <c r="B3068" s="1050"/>
      <c r="C3068" s="1050"/>
      <c r="D3068" s="1050"/>
      <c r="E3068" s="1050"/>
      <c r="F3068" s="1050"/>
      <c r="G3068" s="1050"/>
    </row>
    <row r="3069" spans="1:7">
      <c r="A3069" s="1079"/>
      <c r="B3069" s="1050"/>
      <c r="C3069" s="1050"/>
      <c r="D3069" s="1050"/>
      <c r="E3069" s="1050"/>
      <c r="F3069" s="1050"/>
      <c r="G3069" s="1050"/>
    </row>
    <row r="3070" spans="1:7">
      <c r="A3070" s="1079"/>
      <c r="B3070" s="1050"/>
      <c r="C3070" s="1050"/>
      <c r="D3070" s="1050"/>
      <c r="E3070" s="1050"/>
      <c r="F3070" s="1050"/>
      <c r="G3070" s="1050"/>
    </row>
    <row r="3071" spans="1:7">
      <c r="A3071" s="1079"/>
      <c r="B3071" s="1050"/>
      <c r="C3071" s="1050"/>
      <c r="D3071" s="1050"/>
      <c r="E3071" s="1050"/>
      <c r="F3071" s="1050"/>
      <c r="G3071" s="1050"/>
    </row>
    <row r="3072" spans="1:7">
      <c r="A3072" s="1079"/>
      <c r="B3072" s="1050"/>
      <c r="C3072" s="1050"/>
      <c r="D3072" s="1050"/>
      <c r="E3072" s="1050"/>
      <c r="F3072" s="1050"/>
      <c r="G3072" s="1050"/>
    </row>
    <row r="3073" spans="1:7">
      <c r="A3073" s="1079"/>
      <c r="B3073" s="1050"/>
      <c r="C3073" s="1050"/>
      <c r="D3073" s="1050"/>
      <c r="E3073" s="1050"/>
      <c r="F3073" s="1050"/>
      <c r="G3073" s="1050"/>
    </row>
    <row r="3074" spans="1:7">
      <c r="A3074" s="1079"/>
      <c r="B3074" s="1050"/>
      <c r="C3074" s="1050"/>
      <c r="D3074" s="1050"/>
      <c r="E3074" s="1050"/>
      <c r="F3074" s="1050"/>
      <c r="G3074" s="1050"/>
    </row>
    <row r="3075" spans="1:7">
      <c r="A3075" s="1079"/>
      <c r="B3075" s="1050"/>
      <c r="C3075" s="1050"/>
      <c r="D3075" s="1050"/>
      <c r="E3075" s="1050"/>
      <c r="F3075" s="1050"/>
      <c r="G3075" s="1050"/>
    </row>
    <row r="3076" spans="1:7">
      <c r="A3076" s="1079"/>
      <c r="B3076" s="1050"/>
      <c r="C3076" s="1050"/>
      <c r="D3076" s="1050"/>
      <c r="E3076" s="1050"/>
      <c r="F3076" s="1050"/>
      <c r="G3076" s="1050"/>
    </row>
    <row r="3077" spans="1:7">
      <c r="A3077" s="1079"/>
      <c r="B3077" s="1050"/>
      <c r="C3077" s="1050"/>
      <c r="D3077" s="1050"/>
      <c r="E3077" s="1050"/>
      <c r="F3077" s="1050"/>
      <c r="G3077" s="1050"/>
    </row>
    <row r="3078" spans="1:7">
      <c r="A3078" s="1079"/>
      <c r="B3078" s="1050"/>
      <c r="C3078" s="1050"/>
      <c r="D3078" s="1050"/>
      <c r="E3078" s="1050"/>
      <c r="F3078" s="1050"/>
      <c r="G3078" s="1050"/>
    </row>
    <row r="3079" spans="1:7">
      <c r="A3079" s="1079"/>
      <c r="B3079" s="1050"/>
      <c r="C3079" s="1050"/>
      <c r="D3079" s="1050"/>
      <c r="E3079" s="1050"/>
      <c r="F3079" s="1050"/>
      <c r="G3079" s="1050"/>
    </row>
    <row r="3080" spans="1:7">
      <c r="A3080" s="1079"/>
      <c r="B3080" s="1050"/>
      <c r="C3080" s="1050"/>
      <c r="D3080" s="1050"/>
      <c r="E3080" s="1050"/>
      <c r="F3080" s="1050"/>
      <c r="G3080" s="1050"/>
    </row>
    <row r="3081" spans="1:7">
      <c r="A3081" s="1079"/>
      <c r="B3081" s="1050"/>
      <c r="C3081" s="1050"/>
      <c r="D3081" s="1050"/>
      <c r="E3081" s="1050"/>
      <c r="F3081" s="1050"/>
      <c r="G3081" s="1050"/>
    </row>
    <row r="3082" spans="1:7">
      <c r="A3082" s="1079"/>
      <c r="B3082" s="1050"/>
      <c r="C3082" s="1050"/>
      <c r="D3082" s="1050"/>
      <c r="E3082" s="1050"/>
      <c r="F3082" s="1050"/>
      <c r="G3082" s="1050"/>
    </row>
    <row r="3083" spans="1:7">
      <c r="A3083" s="1079"/>
      <c r="B3083" s="1050"/>
      <c r="C3083" s="1050"/>
      <c r="D3083" s="1050"/>
      <c r="E3083" s="1050"/>
      <c r="F3083" s="1050"/>
      <c r="G3083" s="1050"/>
    </row>
    <row r="3084" spans="1:7">
      <c r="A3084" s="1079"/>
      <c r="B3084" s="1050"/>
      <c r="C3084" s="1050"/>
      <c r="D3084" s="1050"/>
      <c r="E3084" s="1050"/>
      <c r="F3084" s="1050"/>
      <c r="G3084" s="1050"/>
    </row>
    <row r="3085" spans="1:7">
      <c r="A3085" s="1079"/>
      <c r="B3085" s="1050"/>
      <c r="C3085" s="1050"/>
      <c r="D3085" s="1050"/>
      <c r="E3085" s="1050"/>
      <c r="F3085" s="1050"/>
      <c r="G3085" s="1050"/>
    </row>
    <row r="3086" spans="1:7">
      <c r="A3086" s="1079"/>
      <c r="B3086" s="1050"/>
      <c r="C3086" s="1050"/>
      <c r="D3086" s="1050"/>
      <c r="E3086" s="1050"/>
      <c r="F3086" s="1050"/>
      <c r="G3086" s="1050"/>
    </row>
    <row r="3087" spans="1:7">
      <c r="A3087" s="1079"/>
      <c r="B3087" s="1050"/>
      <c r="C3087" s="1050"/>
      <c r="D3087" s="1050"/>
      <c r="E3087" s="1050"/>
      <c r="F3087" s="1050"/>
      <c r="G3087" s="1050"/>
    </row>
    <row r="3088" spans="1:7">
      <c r="A3088" s="1079"/>
      <c r="B3088" s="1050"/>
      <c r="C3088" s="1050"/>
      <c r="D3088" s="1050"/>
      <c r="E3088" s="1050"/>
      <c r="F3088" s="1050"/>
      <c r="G3088" s="1050"/>
    </row>
    <row r="3089" spans="1:7">
      <c r="A3089" s="1079"/>
      <c r="B3089" s="1050"/>
      <c r="C3089" s="1050"/>
      <c r="D3089" s="1050"/>
      <c r="E3089" s="1050"/>
      <c r="F3089" s="1050"/>
      <c r="G3089" s="1050"/>
    </row>
    <row r="3090" spans="1:7">
      <c r="A3090" s="1079"/>
      <c r="B3090" s="1050"/>
      <c r="C3090" s="1050"/>
      <c r="D3090" s="1050"/>
      <c r="E3090" s="1050"/>
      <c r="F3090" s="1050"/>
      <c r="G3090" s="1050"/>
    </row>
    <row r="3091" spans="1:7">
      <c r="A3091" s="1079"/>
      <c r="B3091" s="1050"/>
      <c r="C3091" s="1050"/>
      <c r="D3091" s="1050"/>
      <c r="E3091" s="1050"/>
      <c r="F3091" s="1050"/>
      <c r="G3091" s="1050"/>
    </row>
    <row r="3092" spans="1:7">
      <c r="A3092" s="1079"/>
      <c r="B3092" s="1050"/>
      <c r="C3092" s="1050"/>
      <c r="D3092" s="1050"/>
      <c r="E3092" s="1050"/>
      <c r="F3092" s="1050"/>
      <c r="G3092" s="1050"/>
    </row>
    <row r="3093" spans="1:7">
      <c r="A3093" s="1079"/>
      <c r="B3093" s="1050"/>
      <c r="C3093" s="1050"/>
      <c r="D3093" s="1050"/>
      <c r="E3093" s="1050"/>
      <c r="F3093" s="1050"/>
      <c r="G3093" s="1050"/>
    </row>
    <row r="3094" spans="1:7">
      <c r="A3094" s="1079"/>
      <c r="B3094" s="1050"/>
      <c r="C3094" s="1050"/>
      <c r="D3094" s="1050"/>
      <c r="E3094" s="1050"/>
      <c r="F3094" s="1050"/>
      <c r="G3094" s="1050"/>
    </row>
    <row r="3095" spans="1:7">
      <c r="A3095" s="1079"/>
      <c r="B3095" s="1050"/>
      <c r="C3095" s="1050"/>
      <c r="D3095" s="1050"/>
      <c r="E3095" s="1050"/>
      <c r="F3095" s="1050"/>
      <c r="G3095" s="1050"/>
    </row>
    <row r="3096" spans="1:7">
      <c r="A3096" s="1079"/>
      <c r="B3096" s="1050"/>
      <c r="C3096" s="1050"/>
      <c r="D3096" s="1050"/>
      <c r="E3096" s="1050"/>
      <c r="F3096" s="1050"/>
      <c r="G3096" s="1050"/>
    </row>
    <row r="3097" spans="1:7">
      <c r="A3097" s="1079"/>
      <c r="B3097" s="1050"/>
      <c r="C3097" s="1050"/>
      <c r="D3097" s="1050"/>
      <c r="E3097" s="1050"/>
      <c r="F3097" s="1050"/>
      <c r="G3097" s="1050"/>
    </row>
    <row r="3098" spans="1:7">
      <c r="A3098" s="1079"/>
      <c r="B3098" s="1050"/>
      <c r="C3098" s="1050"/>
      <c r="D3098" s="1050"/>
      <c r="E3098" s="1050"/>
      <c r="F3098" s="1050"/>
      <c r="G3098" s="1050"/>
    </row>
    <row r="3099" spans="1:7">
      <c r="A3099" s="1079"/>
      <c r="B3099" s="1050"/>
      <c r="C3099" s="1050"/>
      <c r="D3099" s="1050"/>
      <c r="E3099" s="1050"/>
      <c r="F3099" s="1050"/>
      <c r="G3099" s="1050"/>
    </row>
    <row r="3100" spans="1:7">
      <c r="A3100" s="1079"/>
      <c r="B3100" s="1050"/>
      <c r="C3100" s="1050"/>
      <c r="D3100" s="1050"/>
      <c r="E3100" s="1050"/>
      <c r="F3100" s="1050"/>
      <c r="G3100" s="1050"/>
    </row>
    <row r="3101" spans="1:7">
      <c r="A3101" s="1079"/>
      <c r="B3101" s="1050"/>
      <c r="C3101" s="1050"/>
      <c r="D3101" s="1050"/>
      <c r="E3101" s="1050"/>
      <c r="F3101" s="1050"/>
      <c r="G3101" s="1050"/>
    </row>
    <row r="3102" spans="1:7">
      <c r="A3102" s="1079"/>
      <c r="B3102" s="1050"/>
      <c r="C3102" s="1050"/>
      <c r="D3102" s="1050"/>
      <c r="E3102" s="1050"/>
      <c r="F3102" s="1050"/>
      <c r="G3102" s="1050"/>
    </row>
    <row r="3103" spans="1:7">
      <c r="A3103" s="1079"/>
      <c r="B3103" s="1050"/>
      <c r="C3103" s="1050"/>
      <c r="D3103" s="1050"/>
      <c r="E3103" s="1050"/>
      <c r="F3103" s="1050"/>
      <c r="G3103" s="1050"/>
    </row>
    <row r="3104" spans="1:7">
      <c r="A3104" s="1079"/>
      <c r="B3104" s="1050"/>
      <c r="C3104" s="1050"/>
      <c r="D3104" s="1050"/>
      <c r="E3104" s="1050"/>
      <c r="F3104" s="1050"/>
      <c r="G3104" s="1050"/>
    </row>
    <row r="3105" spans="1:7">
      <c r="A3105" s="1079"/>
      <c r="B3105" s="1050"/>
      <c r="C3105" s="1050"/>
      <c r="D3105" s="1050"/>
      <c r="E3105" s="1050"/>
      <c r="F3105" s="1050"/>
      <c r="G3105" s="1050"/>
    </row>
    <row r="3106" spans="1:7">
      <c r="A3106" s="1079"/>
      <c r="B3106" s="1050"/>
      <c r="C3106" s="1050"/>
      <c r="D3106" s="1050"/>
      <c r="E3106" s="1050"/>
      <c r="F3106" s="1050"/>
      <c r="G3106" s="1050"/>
    </row>
    <row r="3107" spans="1:7">
      <c r="A3107" s="1079"/>
      <c r="B3107" s="1050"/>
      <c r="C3107" s="1050"/>
      <c r="D3107" s="1050"/>
      <c r="E3107" s="1050"/>
      <c r="F3107" s="1050"/>
      <c r="G3107" s="1050"/>
    </row>
    <row r="3108" spans="1:7">
      <c r="A3108" s="1079"/>
      <c r="B3108" s="1050"/>
      <c r="C3108" s="1050"/>
      <c r="D3108" s="1050"/>
      <c r="E3108" s="1050"/>
      <c r="F3108" s="1050"/>
      <c r="G3108" s="1050"/>
    </row>
    <row r="3109" spans="1:7">
      <c r="A3109" s="1079"/>
      <c r="B3109" s="1050"/>
      <c r="C3109" s="1050"/>
      <c r="D3109" s="1050"/>
      <c r="E3109" s="1050"/>
      <c r="F3109" s="1050"/>
      <c r="G3109" s="1050"/>
    </row>
    <row r="3110" spans="1:7">
      <c r="A3110" s="1079"/>
      <c r="B3110" s="1050"/>
      <c r="C3110" s="1050"/>
      <c r="D3110" s="1050"/>
      <c r="E3110" s="1050"/>
      <c r="F3110" s="1050"/>
      <c r="G3110" s="1050"/>
    </row>
    <row r="3111" spans="1:7">
      <c r="A3111" s="1079"/>
      <c r="B3111" s="1050"/>
      <c r="C3111" s="1050"/>
      <c r="D3111" s="1050"/>
      <c r="E3111" s="1050"/>
      <c r="F3111" s="1050"/>
      <c r="G3111" s="1050"/>
    </row>
    <row r="3112" spans="1:7">
      <c r="A3112" s="1079"/>
      <c r="B3112" s="1050"/>
      <c r="C3112" s="1050"/>
      <c r="D3112" s="1050"/>
      <c r="E3112" s="1050"/>
      <c r="F3112" s="1050"/>
      <c r="G3112" s="1050"/>
    </row>
    <row r="3113" spans="1:7">
      <c r="A3113" s="1079"/>
      <c r="B3113" s="1050"/>
      <c r="C3113" s="1050"/>
      <c r="D3113" s="1050"/>
      <c r="E3113" s="1050"/>
      <c r="F3113" s="1050"/>
      <c r="G3113" s="1050"/>
    </row>
    <row r="3114" spans="1:7">
      <c r="A3114" s="1079"/>
      <c r="B3114" s="1050"/>
      <c r="C3114" s="1050"/>
      <c r="D3114" s="1050"/>
      <c r="E3114" s="1050"/>
      <c r="F3114" s="1050"/>
      <c r="G3114" s="1050"/>
    </row>
    <row r="3115" spans="1:7">
      <c r="A3115" s="1079"/>
      <c r="B3115" s="1050"/>
      <c r="C3115" s="1050"/>
      <c r="D3115" s="1050"/>
      <c r="E3115" s="1050"/>
      <c r="F3115" s="1050"/>
      <c r="G3115" s="1050"/>
    </row>
    <row r="3116" spans="1:7">
      <c r="A3116" s="1079"/>
      <c r="B3116" s="1050"/>
      <c r="C3116" s="1050"/>
      <c r="D3116" s="1050"/>
      <c r="E3116" s="1050"/>
      <c r="F3116" s="1050"/>
      <c r="G3116" s="1050"/>
    </row>
    <row r="3117" spans="1:7">
      <c r="A3117" s="1079"/>
      <c r="B3117" s="1050"/>
      <c r="C3117" s="1050"/>
      <c r="D3117" s="1050"/>
      <c r="E3117" s="1050"/>
      <c r="F3117" s="1050"/>
      <c r="G3117" s="1050"/>
    </row>
    <row r="3118" spans="1:7">
      <c r="A3118" s="1079"/>
      <c r="B3118" s="1050"/>
      <c r="C3118" s="1050"/>
      <c r="D3118" s="1050"/>
      <c r="E3118" s="1050"/>
      <c r="F3118" s="1050"/>
      <c r="G3118" s="1050"/>
    </row>
    <row r="3119" spans="1:7">
      <c r="A3119" s="1079"/>
      <c r="B3119" s="1050"/>
      <c r="C3119" s="1050"/>
      <c r="D3119" s="1050"/>
      <c r="E3119" s="1050"/>
      <c r="F3119" s="1050"/>
      <c r="G3119" s="1050"/>
    </row>
    <row r="3120" spans="1:7">
      <c r="A3120" s="1079"/>
      <c r="B3120" s="1050"/>
      <c r="C3120" s="1050"/>
      <c r="D3120" s="1050"/>
      <c r="E3120" s="1050"/>
      <c r="F3120" s="1050"/>
      <c r="G3120" s="1050"/>
    </row>
    <row r="3121" spans="1:7">
      <c r="A3121" s="1079"/>
      <c r="B3121" s="1050"/>
      <c r="C3121" s="1050"/>
      <c r="D3121" s="1050"/>
      <c r="E3121" s="1050"/>
      <c r="F3121" s="1050"/>
      <c r="G3121" s="1050"/>
    </row>
    <row r="3122" spans="1:7">
      <c r="A3122" s="1079"/>
      <c r="B3122" s="1050"/>
      <c r="C3122" s="1050"/>
      <c r="D3122" s="1050"/>
      <c r="E3122" s="1050"/>
      <c r="F3122" s="1050"/>
      <c r="G3122" s="1050"/>
    </row>
    <row r="3123" spans="1:7">
      <c r="A3123" s="1079"/>
      <c r="B3123" s="1050"/>
      <c r="C3123" s="1050"/>
      <c r="D3123" s="1050"/>
      <c r="E3123" s="1050"/>
      <c r="F3123" s="1050"/>
      <c r="G3123" s="1050"/>
    </row>
    <row r="3124" spans="1:7">
      <c r="A3124" s="1079"/>
      <c r="B3124" s="1050"/>
      <c r="C3124" s="1050"/>
      <c r="D3124" s="1050"/>
      <c r="E3124" s="1050"/>
      <c r="F3124" s="1050"/>
      <c r="G3124" s="1050"/>
    </row>
    <row r="3125" spans="1:7">
      <c r="A3125" s="1079"/>
      <c r="B3125" s="1050"/>
      <c r="C3125" s="1050"/>
      <c r="D3125" s="1050"/>
      <c r="E3125" s="1050"/>
      <c r="F3125" s="1050"/>
      <c r="G3125" s="1050"/>
    </row>
    <row r="3126" spans="1:7">
      <c r="A3126" s="1079"/>
      <c r="B3126" s="1050"/>
      <c r="C3126" s="1050"/>
      <c r="D3126" s="1050"/>
      <c r="E3126" s="1050"/>
      <c r="F3126" s="1050"/>
      <c r="G3126" s="1050"/>
    </row>
    <row r="3127" spans="1:7">
      <c r="A3127" s="1079"/>
      <c r="B3127" s="1050"/>
      <c r="C3127" s="1050"/>
      <c r="D3127" s="1050"/>
      <c r="E3127" s="1050"/>
      <c r="F3127" s="1050"/>
      <c r="G3127" s="1050"/>
    </row>
    <row r="3128" spans="1:7">
      <c r="A3128" s="1079"/>
      <c r="B3128" s="1050"/>
      <c r="C3128" s="1050"/>
      <c r="D3128" s="1050"/>
      <c r="E3128" s="1050"/>
      <c r="F3128" s="1050"/>
      <c r="G3128" s="1050"/>
    </row>
    <row r="3129" spans="1:7">
      <c r="A3129" s="1079"/>
      <c r="B3129" s="1050"/>
      <c r="C3129" s="1050"/>
      <c r="D3129" s="1050"/>
      <c r="E3129" s="1050"/>
      <c r="F3129" s="1050"/>
      <c r="G3129" s="1050"/>
    </row>
    <row r="3130" spans="1:7">
      <c r="A3130" s="1079"/>
      <c r="B3130" s="1050"/>
      <c r="C3130" s="1050"/>
      <c r="D3130" s="1050"/>
      <c r="E3130" s="1050"/>
      <c r="F3130" s="1050"/>
      <c r="G3130" s="1050"/>
    </row>
    <row r="3131" spans="1:7">
      <c r="A3131" s="1079"/>
      <c r="B3131" s="1050"/>
      <c r="C3131" s="1050"/>
      <c r="D3131" s="1050"/>
      <c r="E3131" s="1050"/>
      <c r="F3131" s="1050"/>
      <c r="G3131" s="1050"/>
    </row>
    <row r="3132" spans="1:7">
      <c r="A3132" s="1079"/>
      <c r="B3132" s="1050"/>
      <c r="C3132" s="1050"/>
      <c r="D3132" s="1050"/>
      <c r="E3132" s="1050"/>
      <c r="F3132" s="1050"/>
      <c r="G3132" s="1050"/>
    </row>
    <row r="3133" spans="1:7">
      <c r="A3133" s="1079"/>
      <c r="B3133" s="1050"/>
      <c r="C3133" s="1050"/>
      <c r="D3133" s="1050"/>
      <c r="E3133" s="1050"/>
      <c r="F3133" s="1050"/>
      <c r="G3133" s="1050"/>
    </row>
    <row r="3134" spans="1:7">
      <c r="A3134" s="1079"/>
      <c r="B3134" s="1050"/>
      <c r="C3134" s="1050"/>
      <c r="D3134" s="1050"/>
      <c r="E3134" s="1050"/>
      <c r="F3134" s="1050"/>
      <c r="G3134" s="1050"/>
    </row>
    <row r="3135" spans="1:7">
      <c r="A3135" s="1079"/>
      <c r="B3135" s="1050"/>
      <c r="C3135" s="1050"/>
      <c r="D3135" s="1050"/>
      <c r="E3135" s="1050"/>
      <c r="F3135" s="1050"/>
      <c r="G3135" s="1050"/>
    </row>
    <row r="3136" spans="1:7">
      <c r="A3136" s="1079"/>
      <c r="B3136" s="1050"/>
      <c r="C3136" s="1050"/>
      <c r="D3136" s="1050"/>
      <c r="E3136" s="1050"/>
      <c r="F3136" s="1050"/>
      <c r="G3136" s="1050"/>
    </row>
    <row r="3137" spans="1:7">
      <c r="A3137" s="1079"/>
      <c r="B3137" s="1050"/>
      <c r="C3137" s="1050"/>
      <c r="D3137" s="1050"/>
      <c r="E3137" s="1050"/>
      <c r="F3137" s="1050"/>
      <c r="G3137" s="1050"/>
    </row>
    <row r="3138" spans="1:7">
      <c r="A3138" s="1079"/>
      <c r="B3138" s="1050"/>
      <c r="C3138" s="1050"/>
      <c r="D3138" s="1050"/>
      <c r="E3138" s="1050"/>
      <c r="F3138" s="1050"/>
      <c r="G3138" s="1050"/>
    </row>
    <row r="3139" spans="1:7">
      <c r="A3139" s="1079"/>
      <c r="B3139" s="1050"/>
      <c r="C3139" s="1050"/>
      <c r="D3139" s="1050"/>
      <c r="E3139" s="1050"/>
      <c r="F3139" s="1050"/>
      <c r="G3139" s="1050"/>
    </row>
    <row r="3140" spans="1:7">
      <c r="A3140" s="1079"/>
      <c r="B3140" s="1050"/>
      <c r="C3140" s="1050"/>
      <c r="D3140" s="1050"/>
      <c r="E3140" s="1050"/>
      <c r="F3140" s="1050"/>
      <c r="G3140" s="1050"/>
    </row>
    <row r="3141" spans="1:7">
      <c r="A3141" s="1079"/>
      <c r="B3141" s="1050"/>
      <c r="C3141" s="1050"/>
      <c r="D3141" s="1050"/>
      <c r="E3141" s="1050"/>
      <c r="F3141" s="1050"/>
      <c r="G3141" s="1050"/>
    </row>
    <row r="3142" spans="1:7">
      <c r="A3142" s="1079"/>
      <c r="B3142" s="1050"/>
      <c r="C3142" s="1050"/>
      <c r="D3142" s="1050"/>
      <c r="E3142" s="1050"/>
      <c r="F3142" s="1050"/>
      <c r="G3142" s="1050"/>
    </row>
    <row r="3143" spans="1:7">
      <c r="A3143" s="1079"/>
      <c r="B3143" s="1050"/>
      <c r="C3143" s="1050"/>
      <c r="D3143" s="1050"/>
      <c r="E3143" s="1050"/>
      <c r="F3143" s="1050"/>
      <c r="G3143" s="1050"/>
    </row>
    <row r="3144" spans="1:7">
      <c r="A3144" s="1079"/>
      <c r="B3144" s="1050"/>
      <c r="C3144" s="1050"/>
      <c r="D3144" s="1050"/>
      <c r="E3144" s="1050"/>
      <c r="F3144" s="1050"/>
      <c r="G3144" s="1050"/>
    </row>
    <row r="3145" spans="1:7">
      <c r="A3145" s="1079"/>
      <c r="B3145" s="1050"/>
      <c r="C3145" s="1050"/>
      <c r="D3145" s="1050"/>
      <c r="E3145" s="1050"/>
      <c r="F3145" s="1050"/>
      <c r="G3145" s="1050"/>
    </row>
    <row r="3146" spans="1:7">
      <c r="A3146" s="1079"/>
      <c r="B3146" s="1050"/>
      <c r="C3146" s="1050"/>
      <c r="D3146" s="1050"/>
      <c r="E3146" s="1050"/>
      <c r="F3146" s="1050"/>
      <c r="G3146" s="1050"/>
    </row>
    <row r="3147" spans="1:7">
      <c r="A3147" s="1079"/>
      <c r="B3147" s="1050"/>
      <c r="C3147" s="1050"/>
      <c r="D3147" s="1050"/>
      <c r="E3147" s="1050"/>
      <c r="F3147" s="1050"/>
      <c r="G3147" s="1050"/>
    </row>
    <row r="3148" spans="1:7">
      <c r="A3148" s="1079"/>
      <c r="B3148" s="1050"/>
      <c r="C3148" s="1050"/>
      <c r="D3148" s="1050"/>
      <c r="E3148" s="1050"/>
      <c r="F3148" s="1050"/>
      <c r="G3148" s="1050"/>
    </row>
    <row r="3149" spans="1:7">
      <c r="A3149" s="1079"/>
      <c r="B3149" s="1050"/>
      <c r="C3149" s="1050"/>
      <c r="D3149" s="1050"/>
      <c r="E3149" s="1050"/>
      <c r="F3149" s="1050"/>
      <c r="G3149" s="1050"/>
    </row>
    <row r="3150" spans="1:7">
      <c r="A3150" s="1079"/>
      <c r="B3150" s="1050"/>
      <c r="C3150" s="1050"/>
      <c r="D3150" s="1050"/>
      <c r="E3150" s="1050"/>
      <c r="F3150" s="1050"/>
      <c r="G3150" s="1050"/>
    </row>
    <row r="3151" spans="1:7">
      <c r="A3151" s="1079"/>
      <c r="B3151" s="1050"/>
      <c r="C3151" s="1050"/>
      <c r="D3151" s="1050"/>
      <c r="E3151" s="1050"/>
      <c r="F3151" s="1050"/>
      <c r="G3151" s="1050"/>
    </row>
    <row r="3152" spans="1:7">
      <c r="A3152" s="1079"/>
      <c r="B3152" s="1050"/>
      <c r="C3152" s="1050"/>
      <c r="D3152" s="1050"/>
      <c r="E3152" s="1050"/>
      <c r="F3152" s="1050"/>
      <c r="G3152" s="1050"/>
    </row>
    <row r="3153" spans="1:7">
      <c r="A3153" s="1079"/>
      <c r="B3153" s="1050"/>
      <c r="C3153" s="1050"/>
      <c r="D3153" s="1050"/>
      <c r="E3153" s="1050"/>
      <c r="F3153" s="1050"/>
      <c r="G3153" s="1050"/>
    </row>
    <row r="3154" spans="1:7">
      <c r="A3154" s="1079"/>
      <c r="B3154" s="1050"/>
      <c r="C3154" s="1050"/>
      <c r="D3154" s="1050"/>
      <c r="E3154" s="1050"/>
      <c r="F3154" s="1050"/>
      <c r="G3154" s="1050"/>
    </row>
    <row r="3155" spans="1:7">
      <c r="A3155" s="1079"/>
      <c r="B3155" s="1050"/>
      <c r="C3155" s="1050"/>
      <c r="D3155" s="1050"/>
      <c r="E3155" s="1050"/>
      <c r="F3155" s="1050"/>
      <c r="G3155" s="1050"/>
    </row>
    <row r="3156" spans="1:7">
      <c r="A3156" s="1079"/>
      <c r="B3156" s="1050"/>
      <c r="C3156" s="1050"/>
      <c r="D3156" s="1050"/>
      <c r="E3156" s="1050"/>
      <c r="F3156" s="1050"/>
      <c r="G3156" s="1050"/>
    </row>
    <row r="3157" spans="1:7">
      <c r="A3157" s="1079"/>
      <c r="B3157" s="1050"/>
      <c r="C3157" s="1050"/>
      <c r="D3157" s="1050"/>
      <c r="E3157" s="1050"/>
      <c r="F3157" s="1050"/>
      <c r="G3157" s="1050"/>
    </row>
    <row r="3158" spans="1:7">
      <c r="A3158" s="1079"/>
      <c r="B3158" s="1050"/>
      <c r="C3158" s="1050"/>
      <c r="D3158" s="1050"/>
      <c r="E3158" s="1050"/>
      <c r="F3158" s="1050"/>
      <c r="G3158" s="1050"/>
    </row>
    <row r="3159" spans="1:7">
      <c r="A3159" s="1079"/>
      <c r="B3159" s="1050"/>
      <c r="C3159" s="1050"/>
      <c r="D3159" s="1050"/>
      <c r="E3159" s="1050"/>
      <c r="F3159" s="1050"/>
      <c r="G3159" s="1050"/>
    </row>
    <row r="3160" spans="1:7">
      <c r="A3160" s="1079"/>
      <c r="B3160" s="1050"/>
      <c r="C3160" s="1050"/>
      <c r="D3160" s="1050"/>
      <c r="E3160" s="1050"/>
      <c r="F3160" s="1050"/>
      <c r="G3160" s="1050"/>
    </row>
    <row r="3161" spans="1:7">
      <c r="A3161" s="1079"/>
      <c r="B3161" s="1050"/>
      <c r="C3161" s="1050"/>
      <c r="D3161" s="1050"/>
      <c r="E3161" s="1050"/>
      <c r="F3161" s="1050"/>
      <c r="G3161" s="1050"/>
    </row>
    <row r="3162" spans="1:7">
      <c r="A3162" s="1079"/>
      <c r="B3162" s="1050"/>
      <c r="C3162" s="1050"/>
      <c r="D3162" s="1050"/>
      <c r="E3162" s="1050"/>
      <c r="F3162" s="1050"/>
      <c r="G3162" s="1050"/>
    </row>
    <row r="3163" spans="1:7">
      <c r="A3163" s="1079"/>
      <c r="B3163" s="1050"/>
      <c r="C3163" s="1050"/>
      <c r="D3163" s="1050"/>
      <c r="E3163" s="1050"/>
      <c r="F3163" s="1050"/>
      <c r="G3163" s="1050"/>
    </row>
    <row r="3164" spans="1:7">
      <c r="A3164" s="1079"/>
      <c r="B3164" s="1050"/>
      <c r="C3164" s="1050"/>
      <c r="D3164" s="1050"/>
      <c r="E3164" s="1050"/>
      <c r="F3164" s="1050"/>
      <c r="G3164" s="1050"/>
    </row>
    <row r="3165" spans="1:7">
      <c r="A3165" s="1079"/>
      <c r="B3165" s="1050"/>
      <c r="C3165" s="1050"/>
      <c r="D3165" s="1050"/>
      <c r="E3165" s="1050"/>
      <c r="F3165" s="1050"/>
      <c r="G3165" s="1050"/>
    </row>
    <row r="3166" spans="1:7">
      <c r="A3166" s="1079"/>
      <c r="B3166" s="1050"/>
      <c r="C3166" s="1050"/>
      <c r="D3166" s="1050"/>
      <c r="E3166" s="1050"/>
      <c r="F3166" s="1050"/>
      <c r="G3166" s="1050"/>
    </row>
    <row r="3167" spans="1:7">
      <c r="A3167" s="1079"/>
      <c r="B3167" s="1050"/>
      <c r="C3167" s="1050"/>
      <c r="D3167" s="1050"/>
      <c r="E3167" s="1050"/>
      <c r="F3167" s="1050"/>
      <c r="G3167" s="1050"/>
    </row>
    <row r="3168" spans="1:7">
      <c r="A3168" s="1079"/>
      <c r="B3168" s="1050"/>
      <c r="C3168" s="1050"/>
      <c r="D3168" s="1050"/>
      <c r="E3168" s="1050"/>
      <c r="F3168" s="1050"/>
      <c r="G3168" s="1050"/>
    </row>
    <row r="3169" spans="1:7">
      <c r="A3169" s="1079"/>
      <c r="B3169" s="1050"/>
      <c r="C3169" s="1050"/>
      <c r="D3169" s="1050"/>
      <c r="E3169" s="1050"/>
      <c r="F3169" s="1050"/>
      <c r="G3169" s="1050"/>
    </row>
    <row r="3170" spans="1:7">
      <c r="A3170" s="1079"/>
      <c r="B3170" s="1050"/>
      <c r="C3170" s="1050"/>
      <c r="D3170" s="1050"/>
      <c r="E3170" s="1050"/>
      <c r="F3170" s="1050"/>
      <c r="G3170" s="1050"/>
    </row>
    <row r="3171" spans="1:7">
      <c r="A3171" s="1079"/>
      <c r="B3171" s="1050"/>
      <c r="C3171" s="1050"/>
      <c r="D3171" s="1050"/>
      <c r="E3171" s="1050"/>
      <c r="F3171" s="1050"/>
      <c r="G3171" s="1050"/>
    </row>
    <row r="3172" spans="1:7">
      <c r="A3172" s="1079"/>
      <c r="B3172" s="1050"/>
      <c r="C3172" s="1050"/>
      <c r="D3172" s="1050"/>
      <c r="E3172" s="1050"/>
      <c r="F3172" s="1050"/>
      <c r="G3172" s="1050"/>
    </row>
    <row r="3173" spans="1:7">
      <c r="A3173" s="1079"/>
      <c r="B3173" s="1050"/>
      <c r="C3173" s="1050"/>
      <c r="D3173" s="1050"/>
      <c r="E3173" s="1050"/>
      <c r="F3173" s="1050"/>
      <c r="G3173" s="1050"/>
    </row>
    <row r="3174" spans="1:7">
      <c r="A3174" s="1079"/>
      <c r="B3174" s="1050"/>
      <c r="C3174" s="1050"/>
      <c r="D3174" s="1050"/>
      <c r="E3174" s="1050"/>
      <c r="F3174" s="1050"/>
      <c r="G3174" s="1050"/>
    </row>
    <row r="3175" spans="1:7">
      <c r="A3175" s="1079"/>
      <c r="B3175" s="1050"/>
      <c r="C3175" s="1050"/>
      <c r="D3175" s="1050"/>
      <c r="E3175" s="1050"/>
      <c r="F3175" s="1050"/>
      <c r="G3175" s="1050"/>
    </row>
    <row r="3176" spans="1:7">
      <c r="A3176" s="1079"/>
      <c r="B3176" s="1050"/>
      <c r="C3176" s="1050"/>
      <c r="D3176" s="1050"/>
      <c r="E3176" s="1050"/>
      <c r="F3176" s="1050"/>
      <c r="G3176" s="1050"/>
    </row>
    <row r="3177" spans="1:7">
      <c r="A3177" s="1079"/>
      <c r="B3177" s="1050"/>
      <c r="C3177" s="1050"/>
      <c r="D3177" s="1050"/>
      <c r="E3177" s="1050"/>
      <c r="F3177" s="1050"/>
      <c r="G3177" s="1050"/>
    </row>
    <row r="3178" spans="1:7">
      <c r="A3178" s="1079"/>
      <c r="B3178" s="1050"/>
      <c r="C3178" s="1050"/>
      <c r="D3178" s="1050"/>
      <c r="E3178" s="1050"/>
      <c r="F3178" s="1050"/>
      <c r="G3178" s="1050"/>
    </row>
    <row r="3179" spans="1:7">
      <c r="A3179" s="1079"/>
      <c r="B3179" s="1050"/>
      <c r="C3179" s="1050"/>
      <c r="D3179" s="1050"/>
      <c r="E3179" s="1050"/>
      <c r="F3179" s="1050"/>
      <c r="G3179" s="1050"/>
    </row>
    <row r="3180" spans="1:7">
      <c r="A3180" s="1079"/>
      <c r="B3180" s="1050"/>
      <c r="C3180" s="1050"/>
      <c r="D3180" s="1050"/>
      <c r="E3180" s="1050"/>
      <c r="F3180" s="1050"/>
      <c r="G3180" s="1050"/>
    </row>
    <row r="3181" spans="1:7">
      <c r="A3181" s="1079"/>
      <c r="B3181" s="1050"/>
      <c r="C3181" s="1050"/>
      <c r="D3181" s="1050"/>
      <c r="E3181" s="1050"/>
      <c r="F3181" s="1050"/>
      <c r="G3181" s="1050"/>
    </row>
    <row r="3182" spans="1:7">
      <c r="A3182" s="1079"/>
      <c r="B3182" s="1050"/>
      <c r="C3182" s="1050"/>
      <c r="D3182" s="1050"/>
      <c r="E3182" s="1050"/>
      <c r="F3182" s="1050"/>
      <c r="G3182" s="1050"/>
    </row>
    <row r="3183" spans="1:7">
      <c r="A3183" s="1079"/>
      <c r="B3183" s="1050"/>
      <c r="C3183" s="1050"/>
      <c r="D3183" s="1050"/>
      <c r="E3183" s="1050"/>
      <c r="F3183" s="1050"/>
      <c r="G3183" s="1050"/>
    </row>
    <row r="3184" spans="1:7">
      <c r="A3184" s="1079"/>
      <c r="B3184" s="1050"/>
      <c r="C3184" s="1050"/>
      <c r="D3184" s="1050"/>
      <c r="E3184" s="1050"/>
      <c r="F3184" s="1050"/>
      <c r="G3184" s="1050"/>
    </row>
    <row r="3185" spans="1:7">
      <c r="A3185" s="1079"/>
      <c r="B3185" s="1050"/>
      <c r="C3185" s="1050"/>
      <c r="D3185" s="1050"/>
      <c r="E3185" s="1050"/>
      <c r="F3185" s="1050"/>
      <c r="G3185" s="1050"/>
    </row>
    <row r="3186" spans="1:7">
      <c r="A3186" s="1079"/>
      <c r="B3186" s="1050"/>
      <c r="C3186" s="1050"/>
      <c r="D3186" s="1050"/>
      <c r="E3186" s="1050"/>
      <c r="F3186" s="1050"/>
      <c r="G3186" s="1050"/>
    </row>
    <row r="3187" spans="1:7">
      <c r="A3187" s="1079"/>
      <c r="B3187" s="1050"/>
      <c r="C3187" s="1050"/>
      <c r="D3187" s="1050"/>
      <c r="E3187" s="1050"/>
      <c r="F3187" s="1050"/>
      <c r="G3187" s="1050"/>
    </row>
    <row r="3188" spans="1:7">
      <c r="A3188" s="1079"/>
      <c r="B3188" s="1050"/>
      <c r="C3188" s="1050"/>
      <c r="D3188" s="1050"/>
      <c r="E3188" s="1050"/>
      <c r="F3188" s="1050"/>
      <c r="G3188" s="1050"/>
    </row>
    <row r="3189" spans="1:7">
      <c r="A3189" s="1079"/>
      <c r="B3189" s="1050"/>
      <c r="C3189" s="1050"/>
      <c r="D3189" s="1050"/>
      <c r="E3189" s="1050"/>
      <c r="F3189" s="1050"/>
      <c r="G3189" s="1050"/>
    </row>
    <row r="3190" spans="1:7">
      <c r="A3190" s="1079"/>
      <c r="B3190" s="1050"/>
      <c r="C3190" s="1050"/>
      <c r="D3190" s="1050"/>
      <c r="E3190" s="1050"/>
      <c r="F3190" s="1050"/>
      <c r="G3190" s="1050"/>
    </row>
    <row r="3191" spans="1:7">
      <c r="A3191" s="1079"/>
      <c r="B3191" s="1050"/>
      <c r="C3191" s="1050"/>
      <c r="D3191" s="1050"/>
      <c r="E3191" s="1050"/>
      <c r="F3191" s="1050"/>
      <c r="G3191" s="1050"/>
    </row>
    <row r="3192" spans="1:7">
      <c r="A3192" s="1079"/>
      <c r="B3192" s="1050"/>
      <c r="C3192" s="1050"/>
      <c r="D3192" s="1050"/>
      <c r="E3192" s="1050"/>
      <c r="F3192" s="1050"/>
      <c r="G3192" s="1050"/>
    </row>
    <row r="3193" spans="1:7">
      <c r="A3193" s="1079"/>
      <c r="B3193" s="1050"/>
      <c r="C3193" s="1050"/>
      <c r="D3193" s="1050"/>
      <c r="E3193" s="1050"/>
      <c r="F3193" s="1050"/>
      <c r="G3193" s="1050"/>
    </row>
    <row r="3194" spans="1:7">
      <c r="A3194" s="1079"/>
      <c r="B3194" s="1050"/>
      <c r="C3194" s="1050"/>
      <c r="D3194" s="1050"/>
      <c r="E3194" s="1050"/>
      <c r="F3194" s="1050"/>
      <c r="G3194" s="1050"/>
    </row>
    <row r="3195" spans="1:7">
      <c r="A3195" s="1079"/>
      <c r="B3195" s="1050"/>
      <c r="C3195" s="1050"/>
      <c r="D3195" s="1050"/>
      <c r="E3195" s="1050"/>
      <c r="F3195" s="1050"/>
      <c r="G3195" s="1050"/>
    </row>
    <row r="3196" spans="1:7">
      <c r="A3196" s="1079"/>
      <c r="B3196" s="1050"/>
      <c r="C3196" s="1050"/>
      <c r="D3196" s="1050"/>
      <c r="E3196" s="1050"/>
      <c r="F3196" s="1050"/>
      <c r="G3196" s="1050"/>
    </row>
    <row r="3197" spans="1:7">
      <c r="A3197" s="1079"/>
      <c r="B3197" s="1050"/>
      <c r="C3197" s="1050"/>
      <c r="D3197" s="1050"/>
      <c r="E3197" s="1050"/>
      <c r="F3197" s="1050"/>
      <c r="G3197" s="1050"/>
    </row>
    <row r="3198" spans="1:7">
      <c r="A3198" s="1079"/>
      <c r="B3198" s="1050"/>
      <c r="C3198" s="1050"/>
      <c r="D3198" s="1050"/>
      <c r="E3198" s="1050"/>
      <c r="F3198" s="1050"/>
      <c r="G3198" s="1050"/>
    </row>
    <row r="3199" spans="1:7">
      <c r="A3199" s="1079"/>
      <c r="B3199" s="1050"/>
      <c r="C3199" s="1050"/>
      <c r="D3199" s="1050"/>
      <c r="E3199" s="1050"/>
      <c r="F3199" s="1050"/>
      <c r="G3199" s="1050"/>
    </row>
    <row r="3200" spans="1:7">
      <c r="A3200" s="1079"/>
      <c r="B3200" s="1050"/>
      <c r="C3200" s="1050"/>
      <c r="D3200" s="1050"/>
      <c r="E3200" s="1050"/>
      <c r="F3200" s="1050"/>
      <c r="G3200" s="1050"/>
    </row>
    <row r="3201" spans="1:7">
      <c r="A3201" s="1079"/>
      <c r="B3201" s="1050"/>
      <c r="C3201" s="1050"/>
      <c r="D3201" s="1050"/>
      <c r="E3201" s="1050"/>
      <c r="F3201" s="1050"/>
      <c r="G3201" s="1050"/>
    </row>
    <row r="3202" spans="1:7">
      <c r="A3202" s="1079"/>
      <c r="B3202" s="1050"/>
      <c r="C3202" s="1050"/>
      <c r="D3202" s="1050"/>
      <c r="E3202" s="1050"/>
      <c r="F3202" s="1050"/>
      <c r="G3202" s="1050"/>
    </row>
    <row r="3203" spans="1:7">
      <c r="A3203" s="1079"/>
      <c r="B3203" s="1050"/>
      <c r="C3203" s="1050"/>
      <c r="D3203" s="1050"/>
      <c r="E3203" s="1050"/>
      <c r="F3203" s="1050"/>
      <c r="G3203" s="1050"/>
    </row>
    <row r="3204" spans="1:7">
      <c r="A3204" s="1079"/>
      <c r="B3204" s="1050"/>
      <c r="C3204" s="1050"/>
      <c r="D3204" s="1050"/>
      <c r="E3204" s="1050"/>
      <c r="F3204" s="1050"/>
      <c r="G3204" s="1050"/>
    </row>
    <row r="3205" spans="1:7">
      <c r="A3205" s="1079"/>
      <c r="B3205" s="1050"/>
      <c r="C3205" s="1050"/>
      <c r="D3205" s="1050"/>
      <c r="E3205" s="1050"/>
      <c r="F3205" s="1050"/>
      <c r="G3205" s="1050"/>
    </row>
    <row r="3206" spans="1:7">
      <c r="A3206" s="1079"/>
      <c r="B3206" s="1050"/>
      <c r="C3206" s="1050"/>
      <c r="D3206" s="1050"/>
      <c r="E3206" s="1050"/>
      <c r="F3206" s="1050"/>
      <c r="G3206" s="1050"/>
    </row>
    <row r="3207" spans="1:7">
      <c r="A3207" s="1079"/>
      <c r="B3207" s="1050"/>
      <c r="C3207" s="1050"/>
      <c r="D3207" s="1050"/>
      <c r="E3207" s="1050"/>
      <c r="F3207" s="1050"/>
      <c r="G3207" s="1050"/>
    </row>
    <row r="3208" spans="1:7">
      <c r="A3208" s="1079"/>
      <c r="B3208" s="1050"/>
      <c r="C3208" s="1050"/>
      <c r="D3208" s="1050"/>
      <c r="E3208" s="1050"/>
      <c r="F3208" s="1050"/>
      <c r="G3208" s="1050"/>
    </row>
    <row r="3209" spans="1:7">
      <c r="A3209" s="1079"/>
      <c r="B3209" s="1050"/>
      <c r="C3209" s="1050"/>
      <c r="D3209" s="1050"/>
      <c r="E3209" s="1050"/>
      <c r="F3209" s="1050"/>
      <c r="G3209" s="1050"/>
    </row>
    <row r="3210" spans="1:7">
      <c r="A3210" s="1079"/>
      <c r="B3210" s="1050"/>
      <c r="C3210" s="1050"/>
      <c r="D3210" s="1050"/>
      <c r="E3210" s="1050"/>
      <c r="F3210" s="1050"/>
      <c r="G3210" s="1050"/>
    </row>
    <row r="3211" spans="1:7">
      <c r="A3211" s="1079"/>
      <c r="B3211" s="1050"/>
      <c r="C3211" s="1050"/>
      <c r="D3211" s="1050"/>
      <c r="E3211" s="1050"/>
      <c r="F3211" s="1050"/>
      <c r="G3211" s="1050"/>
    </row>
    <row r="3212" spans="1:7">
      <c r="A3212" s="1079"/>
      <c r="B3212" s="1050"/>
      <c r="C3212" s="1050"/>
      <c r="D3212" s="1050"/>
      <c r="E3212" s="1050"/>
      <c r="F3212" s="1050"/>
      <c r="G3212" s="1050"/>
    </row>
    <row r="3213" spans="1:7">
      <c r="A3213" s="1079"/>
      <c r="B3213" s="1050"/>
      <c r="C3213" s="1050"/>
      <c r="D3213" s="1050"/>
      <c r="E3213" s="1050"/>
      <c r="F3213" s="1050"/>
      <c r="G3213" s="1050"/>
    </row>
    <row r="3214" spans="1:7">
      <c r="A3214" s="1079"/>
      <c r="B3214" s="1050"/>
      <c r="C3214" s="1050"/>
      <c r="D3214" s="1050"/>
      <c r="E3214" s="1050"/>
      <c r="F3214" s="1050"/>
      <c r="G3214" s="1050"/>
    </row>
    <row r="3215" spans="1:7">
      <c r="A3215" s="1079"/>
      <c r="B3215" s="1050"/>
      <c r="C3215" s="1050"/>
      <c r="D3215" s="1050"/>
      <c r="E3215" s="1050"/>
      <c r="F3215" s="1050"/>
      <c r="G3215" s="1050"/>
    </row>
    <row r="3216" spans="1:7">
      <c r="A3216" s="1079"/>
      <c r="B3216" s="1050"/>
      <c r="C3216" s="1050"/>
      <c r="D3216" s="1050"/>
      <c r="E3216" s="1050"/>
      <c r="F3216" s="1050"/>
      <c r="G3216" s="1050"/>
    </row>
    <row r="3217" spans="1:7">
      <c r="A3217" s="1079"/>
      <c r="B3217" s="1050"/>
      <c r="C3217" s="1050"/>
      <c r="D3217" s="1050"/>
      <c r="E3217" s="1050"/>
      <c r="F3217" s="1050"/>
      <c r="G3217" s="1050"/>
    </row>
    <row r="3218" spans="1:7">
      <c r="A3218" s="1079"/>
      <c r="B3218" s="1050"/>
      <c r="C3218" s="1050"/>
      <c r="D3218" s="1050"/>
      <c r="E3218" s="1050"/>
      <c r="F3218" s="1050"/>
      <c r="G3218" s="1050"/>
    </row>
    <row r="3219" spans="1:7">
      <c r="A3219" s="1079"/>
      <c r="B3219" s="1050"/>
      <c r="C3219" s="1050"/>
      <c r="D3219" s="1050"/>
      <c r="E3219" s="1050"/>
      <c r="F3219" s="1050"/>
      <c r="G3219" s="1050"/>
    </row>
    <row r="3220" spans="1:7">
      <c r="A3220" s="1079"/>
      <c r="B3220" s="1050"/>
      <c r="C3220" s="1050"/>
      <c r="D3220" s="1050"/>
      <c r="E3220" s="1050"/>
      <c r="F3220" s="1050"/>
      <c r="G3220" s="1050"/>
    </row>
    <row r="3221" spans="1:7">
      <c r="A3221" s="1079"/>
      <c r="B3221" s="1050"/>
      <c r="C3221" s="1050"/>
      <c r="D3221" s="1050"/>
      <c r="E3221" s="1050"/>
      <c r="F3221" s="1050"/>
      <c r="G3221" s="1050"/>
    </row>
    <row r="3222" spans="1:7">
      <c r="A3222" s="1079"/>
      <c r="B3222" s="1050"/>
      <c r="C3222" s="1050"/>
      <c r="D3222" s="1050"/>
      <c r="E3222" s="1050"/>
      <c r="F3222" s="1050"/>
      <c r="G3222" s="1050"/>
    </row>
    <row r="3223" spans="1:7">
      <c r="A3223" s="1079"/>
      <c r="B3223" s="1050"/>
      <c r="C3223" s="1050"/>
      <c r="D3223" s="1050"/>
      <c r="E3223" s="1050"/>
      <c r="F3223" s="1050"/>
      <c r="G3223" s="1050"/>
    </row>
    <row r="3224" spans="1:7">
      <c r="A3224" s="1079"/>
      <c r="B3224" s="1050"/>
      <c r="C3224" s="1050"/>
      <c r="D3224" s="1050"/>
      <c r="E3224" s="1050"/>
      <c r="F3224" s="1050"/>
      <c r="G3224" s="1050"/>
    </row>
    <row r="3225" spans="1:7">
      <c r="A3225" s="1079"/>
      <c r="B3225" s="1050"/>
      <c r="C3225" s="1050"/>
      <c r="D3225" s="1050"/>
      <c r="E3225" s="1050"/>
      <c r="F3225" s="1050"/>
      <c r="G3225" s="1050"/>
    </row>
    <row r="3226" spans="1:7">
      <c r="A3226" s="1079"/>
      <c r="B3226" s="1050"/>
      <c r="C3226" s="1050"/>
      <c r="D3226" s="1050"/>
      <c r="E3226" s="1050"/>
      <c r="F3226" s="1050"/>
      <c r="G3226" s="1050"/>
    </row>
    <row r="3227" spans="1:7">
      <c r="A3227" s="1079"/>
      <c r="B3227" s="1050"/>
      <c r="C3227" s="1050"/>
      <c r="D3227" s="1050"/>
      <c r="E3227" s="1050"/>
      <c r="F3227" s="1050"/>
      <c r="G3227" s="1050"/>
    </row>
    <row r="3228" spans="1:7">
      <c r="A3228" s="1079"/>
      <c r="B3228" s="1050"/>
      <c r="C3228" s="1050"/>
      <c r="D3228" s="1050"/>
      <c r="E3228" s="1050"/>
      <c r="F3228" s="1050"/>
      <c r="G3228" s="1050"/>
    </row>
    <row r="3229" spans="1:7">
      <c r="A3229" s="1079"/>
      <c r="B3229" s="1050"/>
      <c r="C3229" s="1050"/>
      <c r="D3229" s="1050"/>
      <c r="E3229" s="1050"/>
      <c r="F3229" s="1050"/>
      <c r="G3229" s="1050"/>
    </row>
    <row r="3230" spans="1:7">
      <c r="A3230" s="1079"/>
      <c r="B3230" s="1050"/>
      <c r="C3230" s="1050"/>
      <c r="D3230" s="1050"/>
      <c r="E3230" s="1050"/>
      <c r="F3230" s="1050"/>
      <c r="G3230" s="1050"/>
    </row>
    <row r="3231" spans="1:7">
      <c r="A3231" s="1079"/>
      <c r="B3231" s="1050"/>
      <c r="C3231" s="1050"/>
      <c r="D3231" s="1050"/>
      <c r="E3231" s="1050"/>
      <c r="F3231" s="1050"/>
      <c r="G3231" s="1050"/>
    </row>
    <row r="3232" spans="1:7">
      <c r="A3232" s="1079"/>
      <c r="B3232" s="1050"/>
      <c r="C3232" s="1050"/>
      <c r="D3232" s="1050"/>
      <c r="E3232" s="1050"/>
      <c r="F3232" s="1050"/>
      <c r="G3232" s="1050"/>
    </row>
    <row r="3233" spans="1:7">
      <c r="A3233" s="1079"/>
      <c r="B3233" s="1050"/>
      <c r="C3233" s="1050"/>
      <c r="D3233" s="1050"/>
      <c r="E3233" s="1050"/>
      <c r="F3233" s="1050"/>
      <c r="G3233" s="1050"/>
    </row>
    <row r="3234" spans="1:7">
      <c r="A3234" s="1079"/>
      <c r="B3234" s="1050"/>
      <c r="C3234" s="1050"/>
      <c r="D3234" s="1050"/>
      <c r="E3234" s="1050"/>
      <c r="F3234" s="1050"/>
      <c r="G3234" s="1050"/>
    </row>
    <row r="3235" spans="1:7">
      <c r="A3235" s="1079"/>
      <c r="B3235" s="1050"/>
      <c r="C3235" s="1050"/>
      <c r="D3235" s="1050"/>
      <c r="E3235" s="1050"/>
      <c r="F3235" s="1050"/>
      <c r="G3235" s="1050"/>
    </row>
    <row r="3236" spans="1:7">
      <c r="A3236" s="1079"/>
      <c r="B3236" s="1050"/>
      <c r="C3236" s="1050"/>
      <c r="D3236" s="1050"/>
      <c r="E3236" s="1050"/>
      <c r="F3236" s="1050"/>
      <c r="G3236" s="1050"/>
    </row>
    <row r="3237" spans="1:7">
      <c r="A3237" s="1079"/>
      <c r="B3237" s="1050"/>
      <c r="C3237" s="1050"/>
      <c r="D3237" s="1050"/>
      <c r="E3237" s="1050"/>
      <c r="F3237" s="1050"/>
      <c r="G3237" s="1050"/>
    </row>
    <row r="3238" spans="1:7">
      <c r="A3238" s="1079"/>
      <c r="B3238" s="1050"/>
      <c r="C3238" s="1050"/>
      <c r="D3238" s="1050"/>
      <c r="E3238" s="1050"/>
      <c r="F3238" s="1050"/>
      <c r="G3238" s="1050"/>
    </row>
    <row r="3239" spans="1:7">
      <c r="A3239" s="1079"/>
      <c r="B3239" s="1050"/>
      <c r="C3239" s="1050"/>
      <c r="D3239" s="1050"/>
      <c r="E3239" s="1050"/>
      <c r="F3239" s="1050"/>
      <c r="G3239" s="1050"/>
    </row>
    <row r="3240" spans="1:7">
      <c r="A3240" s="1079"/>
      <c r="B3240" s="1050"/>
      <c r="C3240" s="1050"/>
      <c r="D3240" s="1050"/>
      <c r="E3240" s="1050"/>
      <c r="F3240" s="1050"/>
      <c r="G3240" s="1050"/>
    </row>
    <row r="3241" spans="1:7">
      <c r="A3241" s="1079"/>
      <c r="B3241" s="1050"/>
      <c r="C3241" s="1050"/>
      <c r="D3241" s="1050"/>
      <c r="E3241" s="1050"/>
      <c r="F3241" s="1050"/>
      <c r="G3241" s="1050"/>
    </row>
    <row r="3242" spans="1:7">
      <c r="A3242" s="1079"/>
      <c r="B3242" s="1050"/>
      <c r="C3242" s="1050"/>
      <c r="D3242" s="1050"/>
      <c r="E3242" s="1050"/>
      <c r="F3242" s="1050"/>
      <c r="G3242" s="1050"/>
    </row>
    <row r="3243" spans="1:7">
      <c r="A3243" s="1079"/>
      <c r="B3243" s="1050"/>
      <c r="C3243" s="1050"/>
      <c r="D3243" s="1050"/>
      <c r="E3243" s="1050"/>
      <c r="F3243" s="1050"/>
      <c r="G3243" s="1050"/>
    </row>
    <row r="3244" spans="1:7">
      <c r="A3244" s="1079"/>
      <c r="B3244" s="1050"/>
      <c r="C3244" s="1050"/>
      <c r="D3244" s="1050"/>
      <c r="E3244" s="1050"/>
      <c r="F3244" s="1050"/>
      <c r="G3244" s="1050"/>
    </row>
    <row r="3245" spans="1:7">
      <c r="A3245" s="1079"/>
      <c r="B3245" s="1050"/>
      <c r="C3245" s="1050"/>
      <c r="D3245" s="1050"/>
      <c r="E3245" s="1050"/>
      <c r="F3245" s="1050"/>
      <c r="G3245" s="1050"/>
    </row>
    <row r="3246" spans="1:7">
      <c r="A3246" s="1079"/>
      <c r="B3246" s="1050"/>
      <c r="C3246" s="1050"/>
      <c r="D3246" s="1050"/>
      <c r="E3246" s="1050"/>
      <c r="F3246" s="1050"/>
      <c r="G3246" s="1050"/>
    </row>
    <row r="3247" spans="1:7">
      <c r="A3247" s="1079"/>
      <c r="B3247" s="1050"/>
      <c r="C3247" s="1050"/>
      <c r="D3247" s="1050"/>
      <c r="E3247" s="1050"/>
      <c r="F3247" s="1050"/>
      <c r="G3247" s="1050"/>
    </row>
    <row r="3248" spans="1:7">
      <c r="A3248" s="1079"/>
      <c r="B3248" s="1050"/>
      <c r="C3248" s="1050"/>
      <c r="D3248" s="1050"/>
      <c r="E3248" s="1050"/>
      <c r="F3248" s="1050"/>
      <c r="G3248" s="1050"/>
    </row>
    <row r="3249" spans="1:7">
      <c r="A3249" s="1079"/>
      <c r="B3249" s="1050"/>
      <c r="C3249" s="1050"/>
      <c r="D3249" s="1050"/>
      <c r="E3249" s="1050"/>
      <c r="F3249" s="1050"/>
      <c r="G3249" s="1050"/>
    </row>
    <row r="3250" spans="1:7">
      <c r="A3250" s="1079"/>
      <c r="B3250" s="1050"/>
      <c r="C3250" s="1050"/>
      <c r="D3250" s="1050"/>
      <c r="E3250" s="1050"/>
      <c r="F3250" s="1050"/>
      <c r="G3250" s="1050"/>
    </row>
    <row r="3251" spans="1:7">
      <c r="A3251" s="1079"/>
      <c r="B3251" s="1050"/>
      <c r="C3251" s="1050"/>
      <c r="D3251" s="1050"/>
      <c r="E3251" s="1050"/>
      <c r="F3251" s="1050"/>
      <c r="G3251" s="1050"/>
    </row>
    <row r="3252" spans="1:7">
      <c r="A3252" s="1079"/>
      <c r="B3252" s="1050"/>
      <c r="C3252" s="1050"/>
      <c r="D3252" s="1050"/>
      <c r="E3252" s="1050"/>
      <c r="F3252" s="1050"/>
      <c r="G3252" s="1050"/>
    </row>
    <row r="3253" spans="1:7">
      <c r="A3253" s="1079"/>
      <c r="B3253" s="1050"/>
      <c r="C3253" s="1050"/>
      <c r="D3253" s="1050"/>
      <c r="E3253" s="1050"/>
      <c r="F3253" s="1050"/>
      <c r="G3253" s="1050"/>
    </row>
    <row r="3254" spans="1:7">
      <c r="A3254" s="1079"/>
      <c r="B3254" s="1050"/>
      <c r="C3254" s="1050"/>
      <c r="D3254" s="1050"/>
      <c r="E3254" s="1050"/>
      <c r="F3254" s="1050"/>
      <c r="G3254" s="1050"/>
    </row>
    <row r="3255" spans="1:7">
      <c r="A3255" s="1079"/>
      <c r="B3255" s="1050"/>
      <c r="C3255" s="1050"/>
      <c r="D3255" s="1050"/>
      <c r="E3255" s="1050"/>
      <c r="F3255" s="1050"/>
      <c r="G3255" s="1050"/>
    </row>
    <row r="3256" spans="1:7">
      <c r="A3256" s="1079"/>
      <c r="B3256" s="1050"/>
      <c r="C3256" s="1050"/>
      <c r="D3256" s="1050"/>
      <c r="E3256" s="1050"/>
      <c r="F3256" s="1050"/>
      <c r="G3256" s="1050"/>
    </row>
    <row r="3257" spans="1:7">
      <c r="A3257" s="1079"/>
      <c r="B3257" s="1050"/>
      <c r="C3257" s="1050"/>
      <c r="D3257" s="1050"/>
      <c r="E3257" s="1050"/>
      <c r="F3257" s="1050"/>
      <c r="G3257" s="1050"/>
    </row>
    <row r="3258" spans="1:7">
      <c r="A3258" s="1079"/>
      <c r="B3258" s="1050"/>
      <c r="C3258" s="1050"/>
      <c r="D3258" s="1050"/>
      <c r="E3258" s="1050"/>
      <c r="F3258" s="1050"/>
      <c r="G3258" s="1050"/>
    </row>
    <row r="3259" spans="1:7">
      <c r="A3259" s="1079"/>
      <c r="B3259" s="1050"/>
      <c r="C3259" s="1050"/>
      <c r="D3259" s="1050"/>
      <c r="E3259" s="1050"/>
      <c r="F3259" s="1050"/>
      <c r="G3259" s="1050"/>
    </row>
    <row r="3260" spans="1:7">
      <c r="A3260" s="1079"/>
      <c r="B3260" s="1050"/>
      <c r="C3260" s="1050"/>
      <c r="D3260" s="1050"/>
      <c r="E3260" s="1050"/>
      <c r="F3260" s="1050"/>
      <c r="G3260" s="1050"/>
    </row>
    <row r="3261" spans="1:7">
      <c r="A3261" s="1079"/>
      <c r="B3261" s="1050"/>
      <c r="C3261" s="1050"/>
      <c r="D3261" s="1050"/>
      <c r="E3261" s="1050"/>
      <c r="F3261" s="1050"/>
      <c r="G3261" s="1050"/>
    </row>
    <row r="3262" spans="1:7">
      <c r="A3262" s="1079"/>
      <c r="B3262" s="1050"/>
      <c r="C3262" s="1050"/>
      <c r="D3262" s="1050"/>
      <c r="E3262" s="1050"/>
      <c r="F3262" s="1050"/>
      <c r="G3262" s="1050"/>
    </row>
    <row r="3263" spans="1:7">
      <c r="A3263" s="1079"/>
      <c r="B3263" s="1050"/>
      <c r="C3263" s="1050"/>
      <c r="D3263" s="1050"/>
      <c r="E3263" s="1050"/>
      <c r="F3263" s="1050"/>
      <c r="G3263" s="1050"/>
    </row>
    <row r="3264" spans="1:7">
      <c r="A3264" s="1079"/>
      <c r="B3264" s="1050"/>
      <c r="C3264" s="1050"/>
      <c r="D3264" s="1050"/>
      <c r="E3264" s="1050"/>
      <c r="F3264" s="1050"/>
      <c r="G3264" s="1050"/>
    </row>
    <row r="3265" spans="1:7">
      <c r="A3265" s="1079"/>
      <c r="B3265" s="1050"/>
      <c r="C3265" s="1050"/>
      <c r="D3265" s="1050"/>
      <c r="E3265" s="1050"/>
      <c r="F3265" s="1050"/>
      <c r="G3265" s="1050"/>
    </row>
    <row r="3266" spans="1:7">
      <c r="A3266" s="1079"/>
      <c r="B3266" s="1050"/>
      <c r="C3266" s="1050"/>
      <c r="D3266" s="1050"/>
      <c r="E3266" s="1050"/>
      <c r="F3266" s="1050"/>
      <c r="G3266" s="1050"/>
    </row>
    <row r="3267" spans="1:7">
      <c r="A3267" s="1079"/>
      <c r="B3267" s="1050"/>
      <c r="C3267" s="1050"/>
      <c r="D3267" s="1050"/>
      <c r="E3267" s="1050"/>
      <c r="F3267" s="1050"/>
      <c r="G3267" s="1050"/>
    </row>
    <row r="3268" spans="1:7">
      <c r="A3268" s="1079"/>
      <c r="B3268" s="1050"/>
      <c r="C3268" s="1050"/>
      <c r="D3268" s="1050"/>
      <c r="E3268" s="1050"/>
      <c r="F3268" s="1050"/>
      <c r="G3268" s="1050"/>
    </row>
    <row r="3269" spans="1:7">
      <c r="A3269" s="1079"/>
      <c r="B3269" s="1050"/>
      <c r="C3269" s="1050"/>
      <c r="D3269" s="1050"/>
      <c r="E3269" s="1050"/>
      <c r="F3269" s="1050"/>
      <c r="G3269" s="1050"/>
    </row>
    <row r="3270" spans="1:7">
      <c r="A3270" s="1079"/>
      <c r="B3270" s="1050"/>
      <c r="C3270" s="1050"/>
      <c r="D3270" s="1050"/>
      <c r="E3270" s="1050"/>
      <c r="F3270" s="1050"/>
      <c r="G3270" s="1050"/>
    </row>
    <row r="3271" spans="1:7">
      <c r="A3271" s="1079"/>
      <c r="B3271" s="1050"/>
      <c r="C3271" s="1050"/>
      <c r="D3271" s="1050"/>
      <c r="E3271" s="1050"/>
      <c r="F3271" s="1050"/>
      <c r="G3271" s="1050"/>
    </row>
    <row r="3272" spans="1:7">
      <c r="A3272" s="1079"/>
      <c r="B3272" s="1050"/>
      <c r="C3272" s="1050"/>
      <c r="D3272" s="1050"/>
      <c r="E3272" s="1050"/>
      <c r="F3272" s="1050"/>
      <c r="G3272" s="1050"/>
    </row>
    <row r="3273" spans="1:7">
      <c r="A3273" s="1079"/>
      <c r="B3273" s="1050"/>
      <c r="C3273" s="1050"/>
      <c r="D3273" s="1050"/>
      <c r="E3273" s="1050"/>
      <c r="F3273" s="1050"/>
      <c r="G3273" s="1050"/>
    </row>
    <row r="3274" spans="1:7">
      <c r="A3274" s="1079"/>
      <c r="B3274" s="1050"/>
      <c r="C3274" s="1050"/>
      <c r="D3274" s="1050"/>
      <c r="E3274" s="1050"/>
      <c r="F3274" s="1050"/>
      <c r="G3274" s="1050"/>
    </row>
    <row r="3275" spans="1:7">
      <c r="A3275" s="1079"/>
      <c r="B3275" s="1050"/>
      <c r="C3275" s="1050"/>
      <c r="D3275" s="1050"/>
      <c r="E3275" s="1050"/>
      <c r="F3275" s="1050"/>
      <c r="G3275" s="1050"/>
    </row>
    <row r="3276" spans="1:7">
      <c r="A3276" s="1079"/>
      <c r="B3276" s="1050"/>
      <c r="C3276" s="1050"/>
      <c r="D3276" s="1050"/>
      <c r="E3276" s="1050"/>
      <c r="F3276" s="1050"/>
      <c r="G3276" s="1050"/>
    </row>
    <row r="3277" spans="1:7">
      <c r="A3277" s="1079"/>
      <c r="B3277" s="1050"/>
      <c r="C3277" s="1050"/>
      <c r="D3277" s="1050"/>
      <c r="E3277" s="1050"/>
      <c r="F3277" s="1050"/>
      <c r="G3277" s="1050"/>
    </row>
    <row r="3278" spans="1:7">
      <c r="A3278" s="1079"/>
      <c r="B3278" s="1050"/>
      <c r="C3278" s="1050"/>
      <c r="D3278" s="1050"/>
      <c r="E3278" s="1050"/>
      <c r="F3278" s="1050"/>
      <c r="G3278" s="1050"/>
    </row>
    <row r="3279" spans="1:7">
      <c r="A3279" s="1079"/>
      <c r="B3279" s="1050"/>
      <c r="C3279" s="1050"/>
      <c r="D3279" s="1050"/>
      <c r="E3279" s="1050"/>
      <c r="F3279" s="1050"/>
      <c r="G3279" s="1050"/>
    </row>
    <row r="3280" spans="1:7">
      <c r="A3280" s="1079"/>
      <c r="B3280" s="1050"/>
      <c r="C3280" s="1050"/>
      <c r="D3280" s="1050"/>
      <c r="E3280" s="1050"/>
      <c r="F3280" s="1050"/>
      <c r="G3280" s="1050"/>
    </row>
    <row r="3281" spans="1:7">
      <c r="A3281" s="1079"/>
      <c r="B3281" s="1050"/>
      <c r="C3281" s="1050"/>
      <c r="D3281" s="1050"/>
      <c r="E3281" s="1050"/>
      <c r="F3281" s="1050"/>
      <c r="G3281" s="1050"/>
    </row>
    <row r="3282" spans="1:7">
      <c r="A3282" s="1079"/>
      <c r="B3282" s="1050"/>
      <c r="C3282" s="1050"/>
      <c r="D3282" s="1050"/>
      <c r="E3282" s="1050"/>
      <c r="F3282" s="1050"/>
      <c r="G3282" s="1050"/>
    </row>
    <row r="3283" spans="1:7">
      <c r="A3283" s="1079"/>
      <c r="B3283" s="1050"/>
      <c r="C3283" s="1050"/>
      <c r="D3283" s="1050"/>
      <c r="E3283" s="1050"/>
      <c r="F3283" s="1050"/>
      <c r="G3283" s="1050"/>
    </row>
    <row r="3284" spans="1:7">
      <c r="A3284" s="1079"/>
      <c r="B3284" s="1050"/>
      <c r="C3284" s="1050"/>
      <c r="D3284" s="1050"/>
      <c r="E3284" s="1050"/>
      <c r="F3284" s="1050"/>
      <c r="G3284" s="1050"/>
    </row>
    <row r="3285" spans="1:7">
      <c r="A3285" s="1079"/>
      <c r="B3285" s="1050"/>
      <c r="C3285" s="1050"/>
      <c r="D3285" s="1050"/>
      <c r="E3285" s="1050"/>
      <c r="F3285" s="1050"/>
      <c r="G3285" s="1050"/>
    </row>
    <row r="3286" spans="1:7">
      <c r="A3286" s="1079"/>
      <c r="B3286" s="1050"/>
      <c r="C3286" s="1050"/>
      <c r="D3286" s="1050"/>
      <c r="E3286" s="1050"/>
      <c r="F3286" s="1050"/>
      <c r="G3286" s="1050"/>
    </row>
    <row r="3287" spans="1:7">
      <c r="A3287" s="1079"/>
      <c r="B3287" s="1050"/>
      <c r="C3287" s="1050"/>
      <c r="D3287" s="1050"/>
      <c r="E3287" s="1050"/>
      <c r="F3287" s="1050"/>
      <c r="G3287" s="1050"/>
    </row>
    <row r="3288" spans="1:7">
      <c r="A3288" s="1079"/>
      <c r="B3288" s="1050"/>
      <c r="C3288" s="1050"/>
      <c r="D3288" s="1050"/>
      <c r="E3288" s="1050"/>
      <c r="F3288" s="1050"/>
      <c r="G3288" s="1050"/>
    </row>
    <row r="3289" spans="1:7">
      <c r="A3289" s="1079"/>
      <c r="B3289" s="1050"/>
      <c r="C3289" s="1050"/>
      <c r="D3289" s="1050"/>
      <c r="E3289" s="1050"/>
      <c r="F3289" s="1050"/>
      <c r="G3289" s="1050"/>
    </row>
    <row r="3290" spans="1:7">
      <c r="A3290" s="1079"/>
      <c r="B3290" s="1050"/>
      <c r="C3290" s="1050"/>
      <c r="D3290" s="1050"/>
      <c r="E3290" s="1050"/>
      <c r="F3290" s="1050"/>
      <c r="G3290" s="1050"/>
    </row>
    <row r="3291" spans="1:7">
      <c r="A3291" s="1079"/>
      <c r="B3291" s="1050"/>
      <c r="C3291" s="1050"/>
      <c r="D3291" s="1050"/>
      <c r="E3291" s="1050"/>
      <c r="F3291" s="1050"/>
      <c r="G3291" s="1050"/>
    </row>
    <row r="3292" spans="1:7">
      <c r="A3292" s="1079"/>
      <c r="B3292" s="1050"/>
      <c r="C3292" s="1050"/>
      <c r="D3292" s="1050"/>
      <c r="E3292" s="1050"/>
      <c r="F3292" s="1050"/>
      <c r="G3292" s="1050"/>
    </row>
    <row r="3293" spans="1:7">
      <c r="A3293" s="1079"/>
      <c r="B3293" s="1050"/>
      <c r="C3293" s="1050"/>
      <c r="D3293" s="1050"/>
      <c r="E3293" s="1050"/>
      <c r="F3293" s="1050"/>
      <c r="G3293" s="1050"/>
    </row>
    <row r="3294" spans="1:7">
      <c r="A3294" s="1079"/>
      <c r="B3294" s="1050"/>
      <c r="C3294" s="1050"/>
      <c r="D3294" s="1050"/>
      <c r="E3294" s="1050"/>
      <c r="F3294" s="1050"/>
      <c r="G3294" s="1050"/>
    </row>
    <row r="3295" spans="1:7">
      <c r="A3295" s="1079"/>
      <c r="B3295" s="1050"/>
      <c r="C3295" s="1050"/>
      <c r="D3295" s="1050"/>
      <c r="E3295" s="1050"/>
      <c r="F3295" s="1050"/>
      <c r="G3295" s="1050"/>
    </row>
    <row r="3296" spans="1:7">
      <c r="A3296" s="1079"/>
      <c r="B3296" s="1050"/>
      <c r="C3296" s="1050"/>
      <c r="D3296" s="1050"/>
      <c r="E3296" s="1050"/>
      <c r="F3296" s="1050"/>
      <c r="G3296" s="1050"/>
    </row>
    <row r="3297" spans="1:7">
      <c r="A3297" s="1079"/>
      <c r="B3297" s="1050"/>
      <c r="C3297" s="1050"/>
      <c r="D3297" s="1050"/>
      <c r="E3297" s="1050"/>
      <c r="F3297" s="1050"/>
      <c r="G3297" s="1050"/>
    </row>
    <row r="3298" spans="1:7">
      <c r="A3298" s="1079"/>
      <c r="B3298" s="1050"/>
      <c r="C3298" s="1050"/>
      <c r="D3298" s="1050"/>
      <c r="E3298" s="1050"/>
      <c r="F3298" s="1050"/>
      <c r="G3298" s="1050"/>
    </row>
    <row r="3299" spans="1:7">
      <c r="A3299" s="1079"/>
      <c r="B3299" s="1050"/>
      <c r="C3299" s="1050"/>
      <c r="D3299" s="1050"/>
      <c r="E3299" s="1050"/>
      <c r="F3299" s="1050"/>
      <c r="G3299" s="1050"/>
    </row>
    <row r="3300" spans="1:7">
      <c r="A3300" s="1079"/>
      <c r="B3300" s="1050"/>
      <c r="C3300" s="1050"/>
      <c r="D3300" s="1050"/>
      <c r="E3300" s="1050"/>
      <c r="F3300" s="1050"/>
      <c r="G3300" s="1050"/>
    </row>
    <row r="3301" spans="1:7">
      <c r="A3301" s="1079"/>
      <c r="B3301" s="1050"/>
      <c r="C3301" s="1050"/>
      <c r="D3301" s="1050"/>
      <c r="E3301" s="1050"/>
      <c r="F3301" s="1050"/>
      <c r="G3301" s="1050"/>
    </row>
    <row r="3302" spans="1:7">
      <c r="A3302" s="1079"/>
      <c r="B3302" s="1050"/>
      <c r="C3302" s="1050"/>
      <c r="D3302" s="1050"/>
      <c r="E3302" s="1050"/>
      <c r="F3302" s="1050"/>
      <c r="G3302" s="1050"/>
    </row>
    <row r="3303" spans="1:7">
      <c r="A3303" s="1079"/>
      <c r="B3303" s="1050"/>
      <c r="C3303" s="1050"/>
      <c r="D3303" s="1050"/>
      <c r="E3303" s="1050"/>
      <c r="F3303" s="1050"/>
      <c r="G3303" s="1050"/>
    </row>
    <row r="3304" spans="1:7">
      <c r="A3304" s="1079"/>
      <c r="B3304" s="1050"/>
      <c r="C3304" s="1050"/>
      <c r="D3304" s="1050"/>
      <c r="E3304" s="1050"/>
      <c r="F3304" s="1050"/>
      <c r="G3304" s="1050"/>
    </row>
    <row r="3305" spans="1:7">
      <c r="A3305" s="1079"/>
      <c r="B3305" s="1050"/>
      <c r="C3305" s="1050"/>
      <c r="D3305" s="1050"/>
      <c r="E3305" s="1050"/>
      <c r="F3305" s="1050"/>
      <c r="G3305" s="1050"/>
    </row>
    <row r="3306" spans="1:7">
      <c r="A3306" s="1079"/>
      <c r="B3306" s="1050"/>
      <c r="C3306" s="1050"/>
      <c r="D3306" s="1050"/>
      <c r="E3306" s="1050"/>
      <c r="F3306" s="1050"/>
      <c r="G3306" s="1050"/>
    </row>
    <row r="3307" spans="1:7">
      <c r="A3307" s="1079"/>
      <c r="B3307" s="1050"/>
      <c r="C3307" s="1050"/>
      <c r="D3307" s="1050"/>
      <c r="E3307" s="1050"/>
      <c r="F3307" s="1050"/>
      <c r="G3307" s="1050"/>
    </row>
    <row r="3308" spans="1:7">
      <c r="A3308" s="1079"/>
      <c r="B3308" s="1050"/>
      <c r="C3308" s="1050"/>
      <c r="D3308" s="1050"/>
      <c r="E3308" s="1050"/>
      <c r="F3308" s="1050"/>
      <c r="G3308" s="1050"/>
    </row>
    <row r="3309" spans="1:7">
      <c r="A3309" s="1079"/>
      <c r="B3309" s="1050"/>
      <c r="C3309" s="1050"/>
      <c r="D3309" s="1050"/>
      <c r="E3309" s="1050"/>
      <c r="F3309" s="1050"/>
      <c r="G3309" s="1050"/>
    </row>
    <row r="3310" spans="1:7">
      <c r="A3310" s="1079"/>
      <c r="B3310" s="1050"/>
      <c r="C3310" s="1050"/>
      <c r="D3310" s="1050"/>
      <c r="E3310" s="1050"/>
      <c r="F3310" s="1050"/>
      <c r="G3310" s="1050"/>
    </row>
    <row r="3311" spans="1:7">
      <c r="A3311" s="1079"/>
      <c r="B3311" s="1050"/>
      <c r="C3311" s="1050"/>
      <c r="D3311" s="1050"/>
      <c r="E3311" s="1050"/>
      <c r="F3311" s="1050"/>
      <c r="G3311" s="1050"/>
    </row>
    <row r="3312" spans="1:7">
      <c r="A3312" s="1079"/>
      <c r="B3312" s="1050"/>
      <c r="C3312" s="1050"/>
      <c r="D3312" s="1050"/>
      <c r="E3312" s="1050"/>
      <c r="F3312" s="1050"/>
      <c r="G3312" s="1050"/>
    </row>
    <row r="3313" spans="1:7">
      <c r="A3313" s="1079"/>
      <c r="B3313" s="1050"/>
      <c r="C3313" s="1050"/>
      <c r="D3313" s="1050"/>
      <c r="E3313" s="1050"/>
      <c r="F3313" s="1050"/>
      <c r="G3313" s="1050"/>
    </row>
    <row r="3314" spans="1:7">
      <c r="A3314" s="1079"/>
      <c r="B3314" s="1050"/>
      <c r="C3314" s="1050"/>
      <c r="D3314" s="1050"/>
      <c r="E3314" s="1050"/>
      <c r="F3314" s="1050"/>
      <c r="G3314" s="1050"/>
    </row>
    <row r="3315" spans="1:7">
      <c r="A3315" s="1079"/>
      <c r="B3315" s="1050"/>
      <c r="C3315" s="1050"/>
      <c r="D3315" s="1050"/>
      <c r="E3315" s="1050"/>
      <c r="F3315" s="1050"/>
      <c r="G3315" s="1050"/>
    </row>
    <row r="3316" spans="1:7">
      <c r="A3316" s="1079"/>
      <c r="B3316" s="1050"/>
      <c r="C3316" s="1050"/>
      <c r="D3316" s="1050"/>
      <c r="E3316" s="1050"/>
      <c r="F3316" s="1050"/>
      <c r="G3316" s="1050"/>
    </row>
    <row r="3317" spans="1:7">
      <c r="A3317" s="1079"/>
      <c r="B3317" s="1050"/>
      <c r="C3317" s="1050"/>
      <c r="D3317" s="1050"/>
      <c r="E3317" s="1050"/>
      <c r="F3317" s="1050"/>
      <c r="G3317" s="1050"/>
    </row>
    <row r="3318" spans="1:7">
      <c r="A3318" s="1079"/>
      <c r="B3318" s="1050"/>
      <c r="C3318" s="1050"/>
      <c r="D3318" s="1050"/>
      <c r="E3318" s="1050"/>
      <c r="F3318" s="1050"/>
      <c r="G3318" s="1050"/>
    </row>
    <row r="3319" spans="1:7">
      <c r="A3319" s="1079"/>
      <c r="B3319" s="1050"/>
      <c r="C3319" s="1050"/>
      <c r="D3319" s="1050"/>
      <c r="E3319" s="1050"/>
      <c r="F3319" s="1050"/>
      <c r="G3319" s="1050"/>
    </row>
    <row r="3320" spans="1:7">
      <c r="A3320" s="1079"/>
      <c r="B3320" s="1050"/>
      <c r="C3320" s="1050"/>
      <c r="D3320" s="1050"/>
      <c r="E3320" s="1050"/>
      <c r="F3320" s="1050"/>
      <c r="G3320" s="1050"/>
    </row>
    <row r="3321" spans="1:7">
      <c r="A3321" s="1079"/>
      <c r="B3321" s="1050"/>
      <c r="C3321" s="1050"/>
      <c r="D3321" s="1050"/>
      <c r="E3321" s="1050"/>
      <c r="F3321" s="1050"/>
      <c r="G3321" s="1050"/>
    </row>
    <row r="3322" spans="1:7">
      <c r="A3322" s="1079"/>
      <c r="B3322" s="1050"/>
      <c r="C3322" s="1050"/>
      <c r="D3322" s="1050"/>
      <c r="E3322" s="1050"/>
      <c r="F3322" s="1050"/>
      <c r="G3322" s="1050"/>
    </row>
    <row r="3323" spans="1:7">
      <c r="A3323" s="1079"/>
      <c r="B3323" s="1050"/>
      <c r="C3323" s="1050"/>
      <c r="D3323" s="1050"/>
      <c r="E3323" s="1050"/>
      <c r="F3323" s="1050"/>
      <c r="G3323" s="1050"/>
    </row>
    <row r="3324" spans="1:7">
      <c r="A3324" s="1079"/>
      <c r="B3324" s="1050"/>
      <c r="C3324" s="1050"/>
      <c r="D3324" s="1050"/>
      <c r="E3324" s="1050"/>
      <c r="F3324" s="1050"/>
      <c r="G3324" s="1050"/>
    </row>
    <row r="3325" spans="1:7">
      <c r="A3325" s="1079"/>
      <c r="B3325" s="1050"/>
      <c r="C3325" s="1050"/>
      <c r="D3325" s="1050"/>
      <c r="E3325" s="1050"/>
      <c r="F3325" s="1050"/>
      <c r="G3325" s="1050"/>
    </row>
    <row r="3326" spans="1:7">
      <c r="A3326" s="1079"/>
      <c r="B3326" s="1050"/>
      <c r="C3326" s="1050"/>
      <c r="D3326" s="1050"/>
      <c r="E3326" s="1050"/>
      <c r="F3326" s="1050"/>
      <c r="G3326" s="1050"/>
    </row>
    <row r="3327" spans="1:7">
      <c r="A3327" s="1079"/>
      <c r="B3327" s="1050"/>
      <c r="C3327" s="1050"/>
      <c r="D3327" s="1050"/>
      <c r="E3327" s="1050"/>
      <c r="F3327" s="1050"/>
      <c r="G3327" s="1050"/>
    </row>
    <row r="3328" spans="1:7">
      <c r="A3328" s="1079"/>
      <c r="B3328" s="1050"/>
      <c r="C3328" s="1050"/>
      <c r="D3328" s="1050"/>
      <c r="E3328" s="1050"/>
      <c r="F3328" s="1050"/>
      <c r="G3328" s="1050"/>
    </row>
    <row r="3329" spans="1:7">
      <c r="A3329" s="1079"/>
      <c r="B3329" s="1050"/>
      <c r="C3329" s="1050"/>
      <c r="D3329" s="1050"/>
      <c r="E3329" s="1050"/>
      <c r="F3329" s="1050"/>
      <c r="G3329" s="1050"/>
    </row>
    <row r="3330" spans="1:7">
      <c r="A3330" s="1079"/>
      <c r="B3330" s="1050"/>
      <c r="C3330" s="1050"/>
      <c r="D3330" s="1050"/>
      <c r="E3330" s="1050"/>
      <c r="F3330" s="1050"/>
      <c r="G3330" s="1050"/>
    </row>
    <row r="3331" spans="1:7">
      <c r="A3331" s="1079"/>
      <c r="B3331" s="1050"/>
      <c r="C3331" s="1050"/>
      <c r="D3331" s="1050"/>
      <c r="E3331" s="1050"/>
      <c r="F3331" s="1050"/>
      <c r="G3331" s="1050"/>
    </row>
    <row r="3332" spans="1:7">
      <c r="A3332" s="1079"/>
      <c r="B3332" s="1050"/>
      <c r="C3332" s="1050"/>
      <c r="D3332" s="1050"/>
      <c r="E3332" s="1050"/>
      <c r="F3332" s="1050"/>
      <c r="G3332" s="1050"/>
    </row>
    <row r="3333" spans="1:7">
      <c r="A3333" s="1079"/>
      <c r="B3333" s="1050"/>
      <c r="C3333" s="1050"/>
      <c r="D3333" s="1050"/>
      <c r="E3333" s="1050"/>
      <c r="F3333" s="1050"/>
      <c r="G3333" s="1050"/>
    </row>
    <row r="3334" spans="1:7">
      <c r="A3334" s="1079"/>
      <c r="B3334" s="1050"/>
      <c r="C3334" s="1050"/>
      <c r="D3334" s="1050"/>
      <c r="E3334" s="1050"/>
      <c r="F3334" s="1050"/>
      <c r="G3334" s="1050"/>
    </row>
    <row r="3335" spans="1:7">
      <c r="A3335" s="1079"/>
      <c r="B3335" s="1050"/>
      <c r="C3335" s="1050"/>
      <c r="D3335" s="1050"/>
      <c r="E3335" s="1050"/>
      <c r="F3335" s="1050"/>
      <c r="G3335" s="1050"/>
    </row>
    <row r="3336" spans="1:7">
      <c r="A3336" s="1079"/>
      <c r="B3336" s="1050"/>
      <c r="C3336" s="1050"/>
      <c r="D3336" s="1050"/>
      <c r="E3336" s="1050"/>
      <c r="F3336" s="1050"/>
      <c r="G3336" s="1050"/>
    </row>
    <row r="3337" spans="1:7">
      <c r="A3337" s="1079"/>
      <c r="B3337" s="1050"/>
      <c r="C3337" s="1050"/>
      <c r="D3337" s="1050"/>
      <c r="E3337" s="1050"/>
      <c r="F3337" s="1050"/>
      <c r="G3337" s="1050"/>
    </row>
    <row r="3338" spans="1:7">
      <c r="A3338" s="1079"/>
      <c r="B3338" s="1050"/>
      <c r="C3338" s="1050"/>
      <c r="D3338" s="1050"/>
      <c r="E3338" s="1050"/>
      <c r="F3338" s="1050"/>
      <c r="G3338" s="1050"/>
    </row>
    <row r="3339" spans="1:7">
      <c r="A3339" s="1079"/>
      <c r="B3339" s="1050"/>
      <c r="C3339" s="1050"/>
      <c r="D3339" s="1050"/>
      <c r="E3339" s="1050"/>
      <c r="F3339" s="1050"/>
      <c r="G3339" s="1050"/>
    </row>
    <row r="3340" spans="1:7">
      <c r="A3340" s="1079"/>
      <c r="B3340" s="1050"/>
      <c r="C3340" s="1050"/>
      <c r="D3340" s="1050"/>
      <c r="E3340" s="1050"/>
      <c r="F3340" s="1050"/>
      <c r="G3340" s="1050"/>
    </row>
    <row r="3341" spans="1:7">
      <c r="A3341" s="1079"/>
      <c r="B3341" s="1050"/>
      <c r="C3341" s="1050"/>
      <c r="D3341" s="1050"/>
      <c r="E3341" s="1050"/>
      <c r="F3341" s="1050"/>
      <c r="G3341" s="1050"/>
    </row>
    <row r="3342" spans="1:7">
      <c r="A3342" s="1079"/>
      <c r="B3342" s="1050"/>
      <c r="C3342" s="1050"/>
      <c r="D3342" s="1050"/>
      <c r="E3342" s="1050"/>
      <c r="F3342" s="1050"/>
      <c r="G3342" s="1050"/>
    </row>
    <row r="3343" spans="1:7">
      <c r="A3343" s="1079"/>
      <c r="B3343" s="1050"/>
      <c r="C3343" s="1050"/>
      <c r="D3343" s="1050"/>
      <c r="E3343" s="1050"/>
      <c r="F3343" s="1050"/>
      <c r="G3343" s="1050"/>
    </row>
    <row r="3344" spans="1:7">
      <c r="A3344" s="1079"/>
      <c r="B3344" s="1050"/>
      <c r="C3344" s="1050"/>
      <c r="D3344" s="1050"/>
      <c r="E3344" s="1050"/>
      <c r="F3344" s="1050"/>
      <c r="G3344" s="1050"/>
    </row>
    <row r="3345" spans="1:7">
      <c r="A3345" s="1079"/>
      <c r="B3345" s="1050"/>
      <c r="C3345" s="1050"/>
      <c r="D3345" s="1050"/>
      <c r="E3345" s="1050"/>
      <c r="F3345" s="1050"/>
      <c r="G3345" s="1050"/>
    </row>
    <row r="3346" spans="1:7">
      <c r="A3346" s="1079"/>
      <c r="B3346" s="1050"/>
      <c r="C3346" s="1050"/>
      <c r="D3346" s="1050"/>
      <c r="E3346" s="1050"/>
      <c r="F3346" s="1050"/>
      <c r="G3346" s="1050"/>
    </row>
    <row r="3347" spans="1:7">
      <c r="A3347" s="1079"/>
      <c r="B3347" s="1050"/>
      <c r="C3347" s="1050"/>
      <c r="D3347" s="1050"/>
      <c r="E3347" s="1050"/>
      <c r="F3347" s="1050"/>
      <c r="G3347" s="1050"/>
    </row>
    <row r="3348" spans="1:7">
      <c r="A3348" s="1079"/>
      <c r="B3348" s="1050"/>
      <c r="C3348" s="1050"/>
      <c r="D3348" s="1050"/>
      <c r="E3348" s="1050"/>
      <c r="F3348" s="1050"/>
      <c r="G3348" s="1050"/>
    </row>
    <row r="3349" spans="1:7">
      <c r="A3349" s="1079"/>
      <c r="B3349" s="1050"/>
      <c r="C3349" s="1050"/>
      <c r="D3349" s="1050"/>
      <c r="E3349" s="1050"/>
      <c r="F3349" s="1050"/>
      <c r="G3349" s="1050"/>
    </row>
    <row r="3350" spans="1:7">
      <c r="A3350" s="1079"/>
      <c r="B3350" s="1050"/>
      <c r="C3350" s="1050"/>
      <c r="D3350" s="1050"/>
      <c r="E3350" s="1050"/>
      <c r="F3350" s="1050"/>
      <c r="G3350" s="1050"/>
    </row>
    <row r="3351" spans="1:7">
      <c r="A3351" s="1079"/>
      <c r="B3351" s="1050"/>
      <c r="C3351" s="1050"/>
      <c r="D3351" s="1050"/>
      <c r="E3351" s="1050"/>
      <c r="F3351" s="1050"/>
      <c r="G3351" s="1050"/>
    </row>
    <row r="3352" spans="1:7">
      <c r="A3352" s="1079"/>
      <c r="B3352" s="1050"/>
      <c r="C3352" s="1050"/>
      <c r="D3352" s="1050"/>
      <c r="E3352" s="1050"/>
      <c r="F3352" s="1050"/>
      <c r="G3352" s="1050"/>
    </row>
    <row r="3353" spans="1:7">
      <c r="A3353" s="1079"/>
      <c r="B3353" s="1050"/>
      <c r="C3353" s="1050"/>
      <c r="D3353" s="1050"/>
      <c r="E3353" s="1050"/>
      <c r="F3353" s="1050"/>
      <c r="G3353" s="1050"/>
    </row>
    <row r="3354" spans="1:7">
      <c r="A3354" s="1079"/>
      <c r="B3354" s="1050"/>
      <c r="C3354" s="1050"/>
      <c r="D3354" s="1050"/>
      <c r="E3354" s="1050"/>
      <c r="F3354" s="1050"/>
      <c r="G3354" s="1050"/>
    </row>
    <row r="3355" spans="1:7">
      <c r="A3355" s="1079"/>
      <c r="B3355" s="1050"/>
      <c r="C3355" s="1050"/>
      <c r="D3355" s="1050"/>
      <c r="E3355" s="1050"/>
      <c r="F3355" s="1050"/>
      <c r="G3355" s="1050"/>
    </row>
    <row r="3356" spans="1:7">
      <c r="A3356" s="1079"/>
      <c r="B3356" s="1050"/>
      <c r="C3356" s="1050"/>
      <c r="D3356" s="1050"/>
      <c r="E3356" s="1050"/>
      <c r="F3356" s="1050"/>
      <c r="G3356" s="1050"/>
    </row>
    <row r="3357" spans="1:7">
      <c r="A3357" s="1079"/>
      <c r="B3357" s="1050"/>
      <c r="C3357" s="1050"/>
      <c r="D3357" s="1050"/>
      <c r="E3357" s="1050"/>
      <c r="F3357" s="1050"/>
      <c r="G3357" s="1050"/>
    </row>
    <row r="3358" spans="1:7">
      <c r="A3358" s="1079"/>
      <c r="B3358" s="1050"/>
      <c r="C3358" s="1050"/>
      <c r="D3358" s="1050"/>
      <c r="E3358" s="1050"/>
      <c r="F3358" s="1050"/>
      <c r="G3358" s="1050"/>
    </row>
    <row r="3359" spans="1:7">
      <c r="A3359" s="1079"/>
      <c r="B3359" s="1050"/>
      <c r="C3359" s="1050"/>
      <c r="D3359" s="1050"/>
      <c r="E3359" s="1050"/>
      <c r="F3359" s="1050"/>
      <c r="G3359" s="1050"/>
    </row>
    <row r="3360" spans="1:7">
      <c r="A3360" s="1079"/>
      <c r="B3360" s="1050"/>
      <c r="C3360" s="1050"/>
      <c r="D3360" s="1050"/>
      <c r="E3360" s="1050"/>
      <c r="F3360" s="1050"/>
      <c r="G3360" s="1050"/>
    </row>
    <row r="3361" spans="1:7">
      <c r="A3361" s="1079"/>
      <c r="B3361" s="1050"/>
      <c r="C3361" s="1050"/>
      <c r="D3361" s="1050"/>
      <c r="E3361" s="1050"/>
      <c r="F3361" s="1050"/>
      <c r="G3361" s="1050"/>
    </row>
    <row r="3362" spans="1:7">
      <c r="A3362" s="1079"/>
      <c r="B3362" s="1050"/>
      <c r="C3362" s="1050"/>
      <c r="D3362" s="1050"/>
      <c r="E3362" s="1050"/>
      <c r="F3362" s="1050"/>
      <c r="G3362" s="1050"/>
    </row>
    <row r="3363" spans="1:7">
      <c r="A3363" s="1079"/>
      <c r="B3363" s="1050"/>
      <c r="C3363" s="1050"/>
      <c r="D3363" s="1050"/>
      <c r="E3363" s="1050"/>
      <c r="F3363" s="1050"/>
      <c r="G3363" s="1050"/>
    </row>
    <row r="3364" spans="1:7">
      <c r="A3364" s="1079"/>
      <c r="B3364" s="1050"/>
      <c r="C3364" s="1050"/>
      <c r="D3364" s="1050"/>
      <c r="E3364" s="1050"/>
      <c r="F3364" s="1050"/>
      <c r="G3364" s="1050"/>
    </row>
    <row r="3365" spans="1:7">
      <c r="A3365" s="1079"/>
      <c r="B3365" s="1050"/>
      <c r="C3365" s="1050"/>
      <c r="D3365" s="1050"/>
      <c r="E3365" s="1050"/>
      <c r="F3365" s="1050"/>
      <c r="G3365" s="1050"/>
    </row>
    <row r="3366" spans="1:7">
      <c r="A3366" s="1079"/>
      <c r="B3366" s="1050"/>
      <c r="C3366" s="1050"/>
      <c r="D3366" s="1050"/>
      <c r="E3366" s="1050"/>
      <c r="F3366" s="1050"/>
      <c r="G3366" s="1050"/>
    </row>
    <row r="3367" spans="1:7">
      <c r="A3367" s="1079"/>
      <c r="B3367" s="1050"/>
      <c r="C3367" s="1050"/>
      <c r="D3367" s="1050"/>
      <c r="E3367" s="1050"/>
      <c r="F3367" s="1050"/>
      <c r="G3367" s="1050"/>
    </row>
    <row r="3368" spans="1:7">
      <c r="A3368" s="1079"/>
      <c r="B3368" s="1050"/>
      <c r="C3368" s="1050"/>
      <c r="D3368" s="1050"/>
      <c r="E3368" s="1050"/>
      <c r="F3368" s="1050"/>
      <c r="G3368" s="1050"/>
    </row>
    <row r="3369" spans="1:7">
      <c r="A3369" s="1079"/>
      <c r="B3369" s="1050"/>
      <c r="C3369" s="1050"/>
      <c r="D3369" s="1050"/>
      <c r="E3369" s="1050"/>
      <c r="F3369" s="1050"/>
      <c r="G3369" s="1050"/>
    </row>
    <row r="3370" spans="1:7">
      <c r="A3370" s="1079"/>
      <c r="B3370" s="1050"/>
      <c r="C3370" s="1050"/>
      <c r="D3370" s="1050"/>
      <c r="E3370" s="1050"/>
      <c r="F3370" s="1050"/>
      <c r="G3370" s="1050"/>
    </row>
    <row r="3371" spans="1:7">
      <c r="A3371" s="1079"/>
      <c r="B3371" s="1050"/>
      <c r="C3371" s="1050"/>
      <c r="D3371" s="1050"/>
      <c r="E3371" s="1050"/>
      <c r="F3371" s="1050"/>
      <c r="G3371" s="1050"/>
    </row>
    <row r="3372" spans="1:7">
      <c r="A3372" s="1079"/>
      <c r="B3372" s="1050"/>
      <c r="C3372" s="1050"/>
      <c r="D3372" s="1050"/>
      <c r="E3372" s="1050"/>
      <c r="F3372" s="1050"/>
      <c r="G3372" s="1050"/>
    </row>
    <row r="3373" spans="1:7">
      <c r="A3373" s="1079"/>
      <c r="B3373" s="1050"/>
      <c r="C3373" s="1050"/>
      <c r="D3373" s="1050"/>
      <c r="E3373" s="1050"/>
      <c r="F3373" s="1050"/>
      <c r="G3373" s="1050"/>
    </row>
    <row r="3374" spans="1:7">
      <c r="A3374" s="1079"/>
      <c r="B3374" s="1050"/>
      <c r="C3374" s="1050"/>
      <c r="D3374" s="1050"/>
      <c r="E3374" s="1050"/>
      <c r="F3374" s="1050"/>
      <c r="G3374" s="1050"/>
    </row>
    <row r="3375" spans="1:7">
      <c r="A3375" s="1079"/>
      <c r="B3375" s="1050"/>
      <c r="C3375" s="1050"/>
      <c r="D3375" s="1050"/>
      <c r="E3375" s="1050"/>
      <c r="F3375" s="1050"/>
      <c r="G3375" s="1050"/>
    </row>
    <row r="3376" spans="1:7">
      <c r="A3376" s="1079"/>
      <c r="B3376" s="1050"/>
      <c r="C3376" s="1050"/>
      <c r="D3376" s="1050"/>
      <c r="E3376" s="1050"/>
      <c r="F3376" s="1050"/>
      <c r="G3376" s="1050"/>
    </row>
    <row r="3377" spans="1:7">
      <c r="A3377" s="1079"/>
      <c r="B3377" s="1050"/>
      <c r="C3377" s="1050"/>
      <c r="D3377" s="1050"/>
      <c r="E3377" s="1050"/>
      <c r="F3377" s="1050"/>
      <c r="G3377" s="1050"/>
    </row>
    <row r="3378" spans="1:7">
      <c r="A3378" s="1079"/>
      <c r="B3378" s="1050"/>
      <c r="C3378" s="1050"/>
      <c r="D3378" s="1050"/>
      <c r="E3378" s="1050"/>
      <c r="F3378" s="1050"/>
      <c r="G3378" s="1050"/>
    </row>
    <row r="3379" spans="1:7">
      <c r="A3379" s="1079"/>
      <c r="B3379" s="1050"/>
      <c r="C3379" s="1050"/>
      <c r="D3379" s="1050"/>
      <c r="E3379" s="1050"/>
      <c r="F3379" s="1050"/>
      <c r="G3379" s="1050"/>
    </row>
    <row r="3380" spans="1:7">
      <c r="A3380" s="1079"/>
      <c r="B3380" s="1050"/>
      <c r="C3380" s="1050"/>
      <c r="D3380" s="1050"/>
      <c r="E3380" s="1050"/>
      <c r="F3380" s="1050"/>
      <c r="G3380" s="1050"/>
    </row>
    <row r="3381" spans="1:7">
      <c r="A3381" s="1079"/>
      <c r="B3381" s="1050"/>
      <c r="C3381" s="1050"/>
      <c r="D3381" s="1050"/>
      <c r="E3381" s="1050"/>
      <c r="F3381" s="1050"/>
      <c r="G3381" s="1050"/>
    </row>
    <row r="3382" spans="1:7">
      <c r="A3382" s="1079"/>
      <c r="B3382" s="1050"/>
      <c r="C3382" s="1050"/>
      <c r="D3382" s="1050"/>
      <c r="E3382" s="1050"/>
      <c r="F3382" s="1050"/>
      <c r="G3382" s="1050"/>
    </row>
    <row r="3383" spans="1:7">
      <c r="A3383" s="1079"/>
      <c r="B3383" s="1050"/>
      <c r="C3383" s="1050"/>
      <c r="D3383" s="1050"/>
      <c r="E3383" s="1050"/>
      <c r="F3383" s="1050"/>
      <c r="G3383" s="1050"/>
    </row>
    <row r="3384" spans="1:7">
      <c r="A3384" s="1079"/>
      <c r="B3384" s="1050"/>
      <c r="C3384" s="1050"/>
      <c r="D3384" s="1050"/>
      <c r="E3384" s="1050"/>
      <c r="F3384" s="1050"/>
      <c r="G3384" s="1050"/>
    </row>
    <row r="3385" spans="1:7">
      <c r="A3385" s="1079"/>
      <c r="B3385" s="1050"/>
      <c r="C3385" s="1050"/>
      <c r="D3385" s="1050"/>
      <c r="E3385" s="1050"/>
      <c r="F3385" s="1050"/>
      <c r="G3385" s="1050"/>
    </row>
    <row r="3386" spans="1:7">
      <c r="A3386" s="1079"/>
      <c r="B3386" s="1050"/>
      <c r="C3386" s="1050"/>
      <c r="D3386" s="1050"/>
      <c r="E3386" s="1050"/>
      <c r="F3386" s="1050"/>
      <c r="G3386" s="1050"/>
    </row>
    <row r="3387" spans="1:7">
      <c r="A3387" s="1079"/>
      <c r="B3387" s="1050"/>
      <c r="C3387" s="1050"/>
      <c r="D3387" s="1050"/>
      <c r="E3387" s="1050"/>
      <c r="F3387" s="1050"/>
      <c r="G3387" s="1050"/>
    </row>
    <row r="3388" spans="1:7">
      <c r="A3388" s="1079"/>
      <c r="B3388" s="1050"/>
      <c r="C3388" s="1050"/>
      <c r="D3388" s="1050"/>
      <c r="E3388" s="1050"/>
      <c r="F3388" s="1050"/>
      <c r="G3388" s="1050"/>
    </row>
    <row r="3389" spans="1:7">
      <c r="A3389" s="1079"/>
      <c r="B3389" s="1050"/>
      <c r="C3389" s="1050"/>
      <c r="D3389" s="1050"/>
      <c r="E3389" s="1050"/>
      <c r="F3389" s="1050"/>
      <c r="G3389" s="1050"/>
    </row>
    <row r="3390" spans="1:7">
      <c r="A3390" s="1079"/>
      <c r="B3390" s="1050"/>
      <c r="C3390" s="1050"/>
      <c r="D3390" s="1050"/>
      <c r="E3390" s="1050"/>
      <c r="F3390" s="1050"/>
      <c r="G3390" s="1050"/>
    </row>
    <row r="3391" spans="1:7">
      <c r="A3391" s="1079"/>
      <c r="B3391" s="1050"/>
      <c r="C3391" s="1050"/>
      <c r="D3391" s="1050"/>
      <c r="E3391" s="1050"/>
      <c r="F3391" s="1050"/>
      <c r="G3391" s="1050"/>
    </row>
    <row r="3392" spans="1:7">
      <c r="A3392" s="1079"/>
      <c r="B3392" s="1050"/>
      <c r="C3392" s="1050"/>
      <c r="D3392" s="1050"/>
      <c r="E3392" s="1050"/>
      <c r="F3392" s="1050"/>
      <c r="G3392" s="1050"/>
    </row>
    <row r="3393" spans="1:7">
      <c r="A3393" s="1079"/>
      <c r="B3393" s="1050"/>
      <c r="C3393" s="1050"/>
      <c r="D3393" s="1050"/>
      <c r="E3393" s="1050"/>
      <c r="F3393" s="1050"/>
      <c r="G3393" s="1050"/>
    </row>
    <row r="3394" spans="1:7">
      <c r="A3394" s="1079"/>
      <c r="B3394" s="1050"/>
      <c r="C3394" s="1050"/>
      <c r="D3394" s="1050"/>
      <c r="E3394" s="1050"/>
      <c r="F3394" s="1050"/>
      <c r="G3394" s="1050"/>
    </row>
    <row r="3395" spans="1:7">
      <c r="A3395" s="1079"/>
      <c r="B3395" s="1050"/>
      <c r="C3395" s="1050"/>
      <c r="D3395" s="1050"/>
      <c r="E3395" s="1050"/>
      <c r="F3395" s="1050"/>
      <c r="G3395" s="1050"/>
    </row>
    <row r="3396" spans="1:7">
      <c r="A3396" s="1079"/>
      <c r="B3396" s="1050"/>
      <c r="C3396" s="1050"/>
      <c r="D3396" s="1050"/>
      <c r="E3396" s="1050"/>
      <c r="F3396" s="1050"/>
      <c r="G3396" s="1050"/>
    </row>
    <row r="3397" spans="1:7">
      <c r="A3397" s="1079"/>
      <c r="B3397" s="1050"/>
      <c r="C3397" s="1050"/>
      <c r="D3397" s="1050"/>
      <c r="E3397" s="1050"/>
      <c r="F3397" s="1050"/>
      <c r="G3397" s="1050"/>
    </row>
    <row r="3398" spans="1:7">
      <c r="A3398" s="1079"/>
      <c r="B3398" s="1050"/>
      <c r="C3398" s="1050"/>
      <c r="D3398" s="1050"/>
      <c r="E3398" s="1050"/>
      <c r="F3398" s="1050"/>
      <c r="G3398" s="1050"/>
    </row>
    <row r="3399" spans="1:7">
      <c r="A3399" s="1079"/>
      <c r="B3399" s="1050"/>
      <c r="C3399" s="1050"/>
      <c r="D3399" s="1050"/>
      <c r="E3399" s="1050"/>
      <c r="F3399" s="1050"/>
      <c r="G3399" s="1050"/>
    </row>
    <row r="3400" spans="1:7">
      <c r="A3400" s="1079"/>
      <c r="B3400" s="1050"/>
      <c r="C3400" s="1050"/>
      <c r="D3400" s="1050"/>
      <c r="E3400" s="1050"/>
      <c r="F3400" s="1050"/>
      <c r="G3400" s="1050"/>
    </row>
    <row r="3401" spans="1:7">
      <c r="A3401" s="1079"/>
      <c r="B3401" s="1050"/>
      <c r="C3401" s="1050"/>
      <c r="D3401" s="1050"/>
      <c r="E3401" s="1050"/>
      <c r="F3401" s="1050"/>
      <c r="G3401" s="1050"/>
    </row>
    <row r="3402" spans="1:7">
      <c r="A3402" s="1079"/>
      <c r="B3402" s="1050"/>
      <c r="C3402" s="1050"/>
      <c r="D3402" s="1050"/>
      <c r="E3402" s="1050"/>
      <c r="F3402" s="1050"/>
      <c r="G3402" s="1050"/>
    </row>
    <row r="3403" spans="1:7">
      <c r="A3403" s="1079"/>
      <c r="B3403" s="1050"/>
      <c r="C3403" s="1050"/>
      <c r="D3403" s="1050"/>
      <c r="E3403" s="1050"/>
      <c r="F3403" s="1050"/>
      <c r="G3403" s="1050"/>
    </row>
    <row r="3404" spans="1:7">
      <c r="A3404" s="1079"/>
      <c r="B3404" s="1050"/>
      <c r="C3404" s="1050"/>
      <c r="D3404" s="1050"/>
      <c r="E3404" s="1050"/>
      <c r="F3404" s="1050"/>
      <c r="G3404" s="1050"/>
    </row>
    <row r="3405" spans="1:7">
      <c r="A3405" s="1079"/>
      <c r="B3405" s="1050"/>
      <c r="C3405" s="1050"/>
      <c r="D3405" s="1050"/>
      <c r="E3405" s="1050"/>
      <c r="F3405" s="1050"/>
      <c r="G3405" s="1050"/>
    </row>
    <row r="3406" spans="1:7">
      <c r="A3406" s="1079"/>
      <c r="B3406" s="1050"/>
      <c r="C3406" s="1050"/>
      <c r="D3406" s="1050"/>
      <c r="E3406" s="1050"/>
      <c r="F3406" s="1050"/>
      <c r="G3406" s="1050"/>
    </row>
    <row r="3407" spans="1:7">
      <c r="A3407" s="1079"/>
      <c r="B3407" s="1050"/>
      <c r="C3407" s="1050"/>
      <c r="D3407" s="1050"/>
      <c r="E3407" s="1050"/>
      <c r="F3407" s="1050"/>
      <c r="G3407" s="1050"/>
    </row>
    <row r="3408" spans="1:7">
      <c r="A3408" s="1079"/>
      <c r="B3408" s="1050"/>
      <c r="C3408" s="1050"/>
      <c r="D3408" s="1050"/>
      <c r="E3408" s="1050"/>
      <c r="F3408" s="1050"/>
      <c r="G3408" s="1050"/>
    </row>
    <row r="3409" spans="1:7">
      <c r="A3409" s="1079"/>
      <c r="B3409" s="1050"/>
      <c r="C3409" s="1050"/>
      <c r="D3409" s="1050"/>
      <c r="E3409" s="1050"/>
      <c r="F3409" s="1050"/>
      <c r="G3409" s="1050"/>
    </row>
    <row r="3410" spans="1:7">
      <c r="A3410" s="1079"/>
      <c r="B3410" s="1050"/>
      <c r="C3410" s="1050"/>
      <c r="D3410" s="1050"/>
      <c r="E3410" s="1050"/>
      <c r="F3410" s="1050"/>
      <c r="G3410" s="1050"/>
    </row>
    <row r="3411" spans="1:7">
      <c r="A3411" s="1079"/>
      <c r="B3411" s="1050"/>
      <c r="C3411" s="1050"/>
      <c r="D3411" s="1050"/>
      <c r="E3411" s="1050"/>
      <c r="F3411" s="1050"/>
      <c r="G3411" s="1050"/>
    </row>
    <row r="3412" spans="1:7">
      <c r="A3412" s="1079"/>
      <c r="B3412" s="1050"/>
      <c r="C3412" s="1050"/>
      <c r="D3412" s="1050"/>
      <c r="E3412" s="1050"/>
      <c r="F3412" s="1050"/>
      <c r="G3412" s="1050"/>
    </row>
    <row r="3413" spans="1:7">
      <c r="A3413" s="1079"/>
      <c r="B3413" s="1050"/>
      <c r="C3413" s="1050"/>
      <c r="D3413" s="1050"/>
      <c r="E3413" s="1050"/>
      <c r="F3413" s="1050"/>
      <c r="G3413" s="1050"/>
    </row>
    <row r="3414" spans="1:7">
      <c r="A3414" s="1079"/>
      <c r="B3414" s="1050"/>
      <c r="C3414" s="1050"/>
      <c r="D3414" s="1050"/>
      <c r="E3414" s="1050"/>
      <c r="F3414" s="1050"/>
      <c r="G3414" s="1050"/>
    </row>
    <row r="3415" spans="1:7">
      <c r="A3415" s="1079"/>
      <c r="B3415" s="1050"/>
      <c r="C3415" s="1050"/>
      <c r="D3415" s="1050"/>
      <c r="E3415" s="1050"/>
      <c r="F3415" s="1050"/>
      <c r="G3415" s="1050"/>
    </row>
    <row r="3416" spans="1:7">
      <c r="A3416" s="1079"/>
      <c r="B3416" s="1050"/>
      <c r="C3416" s="1050"/>
      <c r="D3416" s="1050"/>
      <c r="E3416" s="1050"/>
      <c r="F3416" s="1050"/>
      <c r="G3416" s="1050"/>
    </row>
    <row r="3417" spans="1:7">
      <c r="A3417" s="1079"/>
      <c r="B3417" s="1050"/>
      <c r="C3417" s="1050"/>
      <c r="D3417" s="1050"/>
      <c r="E3417" s="1050"/>
      <c r="F3417" s="1050"/>
      <c r="G3417" s="1050"/>
    </row>
    <row r="3418" spans="1:7">
      <c r="A3418" s="1079"/>
      <c r="B3418" s="1050"/>
      <c r="C3418" s="1050"/>
      <c r="D3418" s="1050"/>
      <c r="E3418" s="1050"/>
      <c r="F3418" s="1050"/>
      <c r="G3418" s="1050"/>
    </row>
    <row r="3419" spans="1:7">
      <c r="A3419" s="1079"/>
      <c r="B3419" s="1050"/>
      <c r="C3419" s="1050"/>
      <c r="D3419" s="1050"/>
      <c r="E3419" s="1050"/>
      <c r="F3419" s="1050"/>
      <c r="G3419" s="1050"/>
    </row>
    <row r="3420" spans="1:7">
      <c r="A3420" s="1079"/>
      <c r="B3420" s="1050"/>
      <c r="C3420" s="1050"/>
      <c r="D3420" s="1050"/>
      <c r="E3420" s="1050"/>
      <c r="F3420" s="1050"/>
      <c r="G3420" s="1050"/>
    </row>
    <row r="3421" spans="1:7">
      <c r="A3421" s="1079"/>
      <c r="B3421" s="1050"/>
      <c r="C3421" s="1050"/>
      <c r="D3421" s="1050"/>
      <c r="E3421" s="1050"/>
      <c r="F3421" s="1050"/>
      <c r="G3421" s="1050"/>
    </row>
    <row r="3422" spans="1:7">
      <c r="A3422" s="1079"/>
      <c r="B3422" s="1050"/>
      <c r="C3422" s="1050"/>
      <c r="D3422" s="1050"/>
      <c r="E3422" s="1050"/>
      <c r="F3422" s="1050"/>
      <c r="G3422" s="1050"/>
    </row>
    <row r="3423" spans="1:7">
      <c r="A3423" s="1079"/>
      <c r="B3423" s="1050"/>
      <c r="C3423" s="1050"/>
      <c r="D3423" s="1050"/>
      <c r="E3423" s="1050"/>
      <c r="F3423" s="1050"/>
      <c r="G3423" s="1050"/>
    </row>
    <row r="3424" spans="1:7">
      <c r="A3424" s="1079"/>
      <c r="B3424" s="1050"/>
      <c r="C3424" s="1050"/>
      <c r="D3424" s="1050"/>
      <c r="E3424" s="1050"/>
      <c r="F3424" s="1050"/>
      <c r="G3424" s="1050"/>
    </row>
    <row r="3425" spans="1:7">
      <c r="A3425" s="1079"/>
      <c r="B3425" s="1050"/>
      <c r="C3425" s="1050"/>
      <c r="D3425" s="1050"/>
      <c r="E3425" s="1050"/>
      <c r="F3425" s="1050"/>
      <c r="G3425" s="1050"/>
    </row>
    <row r="3426" spans="1:7">
      <c r="A3426" s="1079"/>
      <c r="B3426" s="1050"/>
      <c r="C3426" s="1050"/>
      <c r="D3426" s="1050"/>
      <c r="E3426" s="1050"/>
      <c r="F3426" s="1050"/>
      <c r="G3426" s="1050"/>
    </row>
    <row r="3427" spans="1:7">
      <c r="A3427" s="1079"/>
      <c r="B3427" s="1050"/>
      <c r="C3427" s="1050"/>
      <c r="D3427" s="1050"/>
      <c r="E3427" s="1050"/>
      <c r="F3427" s="1050"/>
      <c r="G3427" s="1050"/>
    </row>
    <row r="3428" spans="1:7">
      <c r="A3428" s="1079"/>
      <c r="B3428" s="1050"/>
      <c r="C3428" s="1050"/>
      <c r="D3428" s="1050"/>
      <c r="E3428" s="1050"/>
      <c r="F3428" s="1050"/>
      <c r="G3428" s="1050"/>
    </row>
    <row r="3429" spans="1:7">
      <c r="A3429" s="1079"/>
      <c r="B3429" s="1050"/>
      <c r="C3429" s="1050"/>
      <c r="D3429" s="1050"/>
      <c r="E3429" s="1050"/>
      <c r="F3429" s="1050"/>
      <c r="G3429" s="1050"/>
    </row>
    <row r="3430" spans="1:7">
      <c r="A3430" s="1079"/>
      <c r="B3430" s="1050"/>
      <c r="C3430" s="1050"/>
      <c r="D3430" s="1050"/>
      <c r="E3430" s="1050"/>
      <c r="F3430" s="1050"/>
      <c r="G3430" s="1050"/>
    </row>
    <row r="3431" spans="1:7">
      <c r="A3431" s="1079"/>
      <c r="B3431" s="1050"/>
      <c r="C3431" s="1050"/>
      <c r="D3431" s="1050"/>
      <c r="E3431" s="1050"/>
      <c r="F3431" s="1050"/>
      <c r="G3431" s="1050"/>
    </row>
    <row r="3432" spans="1:7">
      <c r="A3432" s="1079"/>
      <c r="B3432" s="1050"/>
      <c r="C3432" s="1050"/>
      <c r="D3432" s="1050"/>
      <c r="E3432" s="1050"/>
      <c r="F3432" s="1050"/>
      <c r="G3432" s="1050"/>
    </row>
    <row r="3433" spans="1:7">
      <c r="A3433" s="1079"/>
      <c r="B3433" s="1050"/>
      <c r="C3433" s="1050"/>
      <c r="D3433" s="1050"/>
      <c r="E3433" s="1050"/>
      <c r="F3433" s="1050"/>
      <c r="G3433" s="1050"/>
    </row>
    <row r="3434" spans="1:7">
      <c r="A3434" s="1079"/>
      <c r="B3434" s="1050"/>
      <c r="C3434" s="1050"/>
      <c r="D3434" s="1050"/>
      <c r="E3434" s="1050"/>
      <c r="F3434" s="1050"/>
      <c r="G3434" s="1050"/>
    </row>
    <row r="3435" spans="1:7">
      <c r="A3435" s="1079"/>
      <c r="B3435" s="1050"/>
      <c r="C3435" s="1050"/>
      <c r="D3435" s="1050"/>
      <c r="E3435" s="1050"/>
      <c r="F3435" s="1050"/>
      <c r="G3435" s="1050"/>
    </row>
    <row r="3436" spans="1:7">
      <c r="A3436" s="1079"/>
      <c r="B3436" s="1050"/>
      <c r="C3436" s="1050"/>
      <c r="D3436" s="1050"/>
      <c r="E3436" s="1050"/>
      <c r="F3436" s="1050"/>
      <c r="G3436" s="1050"/>
    </row>
    <row r="3437" spans="1:7">
      <c r="A3437" s="1079"/>
      <c r="B3437" s="1050"/>
      <c r="C3437" s="1050"/>
      <c r="D3437" s="1050"/>
      <c r="E3437" s="1050"/>
      <c r="F3437" s="1050"/>
      <c r="G3437" s="1050"/>
    </row>
    <row r="3438" spans="1:7">
      <c r="A3438" s="1079"/>
      <c r="B3438" s="1050"/>
      <c r="C3438" s="1050"/>
      <c r="D3438" s="1050"/>
      <c r="E3438" s="1050"/>
      <c r="F3438" s="1050"/>
      <c r="G3438" s="1050"/>
    </row>
    <row r="3439" spans="1:7">
      <c r="A3439" s="1079"/>
      <c r="B3439" s="1050"/>
      <c r="C3439" s="1050"/>
      <c r="D3439" s="1050"/>
      <c r="E3439" s="1050"/>
      <c r="F3439" s="1050"/>
      <c r="G3439" s="1050"/>
    </row>
    <row r="3440" spans="1:7">
      <c r="A3440" s="1079"/>
      <c r="B3440" s="1050"/>
      <c r="C3440" s="1050"/>
      <c r="D3440" s="1050"/>
      <c r="E3440" s="1050"/>
      <c r="F3440" s="1050"/>
      <c r="G3440" s="1050"/>
    </row>
    <row r="3441" spans="1:7">
      <c r="A3441" s="1079"/>
      <c r="B3441" s="1050"/>
      <c r="C3441" s="1050"/>
      <c r="D3441" s="1050"/>
      <c r="E3441" s="1050"/>
      <c r="F3441" s="1050"/>
      <c r="G3441" s="1050"/>
    </row>
    <row r="3442" spans="1:7">
      <c r="A3442" s="1079"/>
      <c r="B3442" s="1050"/>
      <c r="C3442" s="1050"/>
      <c r="D3442" s="1050"/>
      <c r="E3442" s="1050"/>
      <c r="F3442" s="1050"/>
      <c r="G3442" s="1050"/>
    </row>
    <row r="3443" spans="1:7">
      <c r="A3443" s="1079"/>
      <c r="B3443" s="1050"/>
      <c r="C3443" s="1050"/>
      <c r="D3443" s="1050"/>
      <c r="E3443" s="1050"/>
      <c r="F3443" s="1050"/>
      <c r="G3443" s="1050"/>
    </row>
    <row r="3444" spans="1:7">
      <c r="A3444" s="1079"/>
      <c r="B3444" s="1050"/>
      <c r="C3444" s="1050"/>
      <c r="D3444" s="1050"/>
      <c r="E3444" s="1050"/>
      <c r="F3444" s="1050"/>
      <c r="G3444" s="1050"/>
    </row>
    <row r="3445" spans="1:7">
      <c r="A3445" s="1079"/>
      <c r="B3445" s="1050"/>
      <c r="C3445" s="1050"/>
      <c r="D3445" s="1050"/>
      <c r="E3445" s="1050"/>
      <c r="F3445" s="1050"/>
      <c r="G3445" s="1050"/>
    </row>
    <row r="3446" spans="1:7">
      <c r="A3446" s="1079"/>
      <c r="B3446" s="1050"/>
      <c r="C3446" s="1050"/>
      <c r="D3446" s="1050"/>
      <c r="E3446" s="1050"/>
      <c r="F3446" s="1050"/>
      <c r="G3446" s="1050"/>
    </row>
    <row r="3447" spans="1:7">
      <c r="A3447" s="1079"/>
      <c r="B3447" s="1050"/>
      <c r="C3447" s="1050"/>
      <c r="D3447" s="1050"/>
      <c r="E3447" s="1050"/>
      <c r="F3447" s="1050"/>
      <c r="G3447" s="1050"/>
    </row>
    <row r="3448" spans="1:7">
      <c r="A3448" s="1079"/>
      <c r="B3448" s="1050"/>
      <c r="C3448" s="1050"/>
      <c r="D3448" s="1050"/>
      <c r="E3448" s="1050"/>
      <c r="F3448" s="1050"/>
      <c r="G3448" s="1050"/>
    </row>
    <row r="3449" spans="1:7">
      <c r="A3449" s="1079"/>
      <c r="B3449" s="1050"/>
      <c r="C3449" s="1050"/>
      <c r="D3449" s="1050"/>
      <c r="E3449" s="1050"/>
      <c r="F3449" s="1050"/>
      <c r="G3449" s="1050"/>
    </row>
    <row r="3450" spans="1:7">
      <c r="A3450" s="1079"/>
      <c r="B3450" s="1050"/>
      <c r="C3450" s="1050"/>
      <c r="D3450" s="1050"/>
      <c r="E3450" s="1050"/>
      <c r="F3450" s="1050"/>
      <c r="G3450" s="1050"/>
    </row>
    <row r="3451" spans="1:7">
      <c r="A3451" s="1079"/>
      <c r="B3451" s="1050"/>
      <c r="C3451" s="1050"/>
      <c r="D3451" s="1050"/>
      <c r="E3451" s="1050"/>
      <c r="F3451" s="1050"/>
      <c r="G3451" s="1050"/>
    </row>
    <row r="3452" spans="1:7">
      <c r="A3452" s="1079"/>
      <c r="B3452" s="1050"/>
      <c r="C3452" s="1050"/>
      <c r="D3452" s="1050"/>
      <c r="E3452" s="1050"/>
      <c r="F3452" s="1050"/>
      <c r="G3452" s="1050"/>
    </row>
    <row r="3453" spans="1:7">
      <c r="A3453" s="1079"/>
      <c r="B3453" s="1050"/>
      <c r="C3453" s="1050"/>
      <c r="D3453" s="1050"/>
      <c r="E3453" s="1050"/>
      <c r="F3453" s="1050"/>
      <c r="G3453" s="1050"/>
    </row>
    <row r="3454" spans="1:7">
      <c r="A3454" s="1079"/>
      <c r="B3454" s="1050"/>
      <c r="C3454" s="1050"/>
      <c r="D3454" s="1050"/>
      <c r="E3454" s="1050"/>
      <c r="F3454" s="1050"/>
      <c r="G3454" s="1050"/>
    </row>
    <row r="3455" spans="1:7">
      <c r="A3455" s="1079"/>
      <c r="B3455" s="1050"/>
      <c r="C3455" s="1050"/>
      <c r="D3455" s="1050"/>
      <c r="E3455" s="1050"/>
      <c r="F3455" s="1050"/>
      <c r="G3455" s="1050"/>
    </row>
    <row r="3456" spans="1:7">
      <c r="A3456" s="1079"/>
      <c r="B3456" s="1050"/>
      <c r="C3456" s="1050"/>
      <c r="D3456" s="1050"/>
      <c r="E3456" s="1050"/>
      <c r="F3456" s="1050"/>
      <c r="G3456" s="1050"/>
    </row>
    <row r="3457" spans="1:7">
      <c r="A3457" s="1079"/>
      <c r="B3457" s="1050"/>
      <c r="C3457" s="1050"/>
      <c r="D3457" s="1050"/>
      <c r="E3457" s="1050"/>
      <c r="F3457" s="1050"/>
      <c r="G3457" s="1050"/>
    </row>
    <row r="3458" spans="1:7">
      <c r="A3458" s="1079"/>
      <c r="B3458" s="1050"/>
      <c r="C3458" s="1050"/>
      <c r="D3458" s="1050"/>
      <c r="E3458" s="1050"/>
      <c r="F3458" s="1050"/>
      <c r="G3458" s="1050"/>
    </row>
    <row r="3459" spans="1:7">
      <c r="A3459" s="1079"/>
      <c r="B3459" s="1050"/>
      <c r="C3459" s="1050"/>
      <c r="D3459" s="1050"/>
      <c r="E3459" s="1050"/>
      <c r="F3459" s="1050"/>
      <c r="G3459" s="1050"/>
    </row>
    <row r="3460" spans="1:7">
      <c r="A3460" s="1079"/>
      <c r="B3460" s="1050"/>
      <c r="C3460" s="1050"/>
      <c r="D3460" s="1050"/>
      <c r="E3460" s="1050"/>
      <c r="F3460" s="1050"/>
      <c r="G3460" s="1050"/>
    </row>
    <row r="3461" spans="1:7">
      <c r="A3461" s="1079"/>
      <c r="B3461" s="1050"/>
      <c r="C3461" s="1050"/>
      <c r="D3461" s="1050"/>
      <c r="E3461" s="1050"/>
      <c r="F3461" s="1050"/>
      <c r="G3461" s="1050"/>
    </row>
    <row r="3462" spans="1:7">
      <c r="A3462" s="1079"/>
      <c r="B3462" s="1050"/>
      <c r="C3462" s="1050"/>
      <c r="D3462" s="1050"/>
      <c r="E3462" s="1050"/>
      <c r="F3462" s="1050"/>
      <c r="G3462" s="1050"/>
    </row>
    <row r="3463" spans="1:7">
      <c r="A3463" s="1079"/>
      <c r="B3463" s="1050"/>
      <c r="C3463" s="1050"/>
      <c r="D3463" s="1050"/>
      <c r="E3463" s="1050"/>
      <c r="F3463" s="1050"/>
      <c r="G3463" s="1050"/>
    </row>
    <row r="3464" spans="1:7">
      <c r="A3464" s="1079"/>
      <c r="B3464" s="1050"/>
      <c r="C3464" s="1050"/>
      <c r="D3464" s="1050"/>
      <c r="E3464" s="1050"/>
      <c r="F3464" s="1050"/>
      <c r="G3464" s="1050"/>
    </row>
    <row r="3465" spans="1:7">
      <c r="A3465" s="1079"/>
      <c r="B3465" s="1050"/>
      <c r="C3465" s="1050"/>
      <c r="D3465" s="1050"/>
      <c r="E3465" s="1050"/>
      <c r="F3465" s="1050"/>
      <c r="G3465" s="1050"/>
    </row>
    <row r="3466" spans="1:7">
      <c r="A3466" s="1079"/>
      <c r="B3466" s="1050"/>
      <c r="C3466" s="1050"/>
      <c r="D3466" s="1050"/>
      <c r="E3466" s="1050"/>
      <c r="F3466" s="1050"/>
      <c r="G3466" s="1050"/>
    </row>
    <row r="3467" spans="1:7">
      <c r="A3467" s="1079"/>
      <c r="B3467" s="1050"/>
      <c r="C3467" s="1050"/>
      <c r="D3467" s="1050"/>
      <c r="E3467" s="1050"/>
      <c r="F3467" s="1050"/>
      <c r="G3467" s="1050"/>
    </row>
    <row r="3468" spans="1:7">
      <c r="A3468" s="1079"/>
      <c r="B3468" s="1050"/>
      <c r="C3468" s="1050"/>
      <c r="D3468" s="1050"/>
      <c r="E3468" s="1050"/>
      <c r="F3468" s="1050"/>
      <c r="G3468" s="1050"/>
    </row>
    <row r="3469" spans="1:7">
      <c r="A3469" s="1079"/>
      <c r="B3469" s="1050"/>
      <c r="C3469" s="1050"/>
      <c r="D3469" s="1050"/>
      <c r="E3469" s="1050"/>
      <c r="F3469" s="1050"/>
      <c r="G3469" s="1050"/>
    </row>
    <row r="3470" spans="1:7">
      <c r="A3470" s="1079"/>
      <c r="B3470" s="1050"/>
      <c r="C3470" s="1050"/>
      <c r="D3470" s="1050"/>
      <c r="E3470" s="1050"/>
      <c r="F3470" s="1050"/>
      <c r="G3470" s="1050"/>
    </row>
    <row r="3471" spans="1:7">
      <c r="A3471" s="1079"/>
      <c r="B3471" s="1050"/>
      <c r="C3471" s="1050"/>
      <c r="D3471" s="1050"/>
      <c r="E3471" s="1050"/>
      <c r="F3471" s="1050"/>
      <c r="G3471" s="1050"/>
    </row>
    <row r="3472" spans="1:7">
      <c r="A3472" s="1079"/>
      <c r="B3472" s="1050"/>
      <c r="C3472" s="1050"/>
      <c r="D3472" s="1050"/>
      <c r="E3472" s="1050"/>
      <c r="F3472" s="1050"/>
      <c r="G3472" s="1050"/>
    </row>
    <row r="3473" spans="1:7">
      <c r="A3473" s="1079"/>
      <c r="B3473" s="1050"/>
      <c r="C3473" s="1050"/>
      <c r="D3473" s="1050"/>
      <c r="E3473" s="1050"/>
      <c r="F3473" s="1050"/>
      <c r="G3473" s="1050"/>
    </row>
    <row r="3474" spans="1:7">
      <c r="A3474" s="1079"/>
      <c r="B3474" s="1050"/>
      <c r="C3474" s="1050"/>
      <c r="D3474" s="1050"/>
      <c r="E3474" s="1050"/>
      <c r="F3474" s="1050"/>
      <c r="G3474" s="1050"/>
    </row>
    <row r="3475" spans="1:7">
      <c r="A3475" s="1079"/>
      <c r="B3475" s="1050"/>
      <c r="C3475" s="1050"/>
      <c r="D3475" s="1050"/>
      <c r="E3475" s="1050"/>
      <c r="F3475" s="1050"/>
      <c r="G3475" s="1050"/>
    </row>
    <row r="3476" spans="1:7">
      <c r="A3476" s="1079"/>
      <c r="B3476" s="1050"/>
      <c r="C3476" s="1050"/>
      <c r="D3476" s="1050"/>
      <c r="E3476" s="1050"/>
      <c r="F3476" s="1050"/>
      <c r="G3476" s="1050"/>
    </row>
    <row r="3477" spans="1:7">
      <c r="A3477" s="1079"/>
      <c r="B3477" s="1050"/>
      <c r="C3477" s="1050"/>
      <c r="D3477" s="1050"/>
      <c r="E3477" s="1050"/>
      <c r="F3477" s="1050"/>
      <c r="G3477" s="1050"/>
    </row>
    <row r="3478" spans="1:7">
      <c r="A3478" s="1079"/>
      <c r="B3478" s="1050"/>
      <c r="C3478" s="1050"/>
      <c r="D3478" s="1050"/>
      <c r="E3478" s="1050"/>
      <c r="F3478" s="1050"/>
      <c r="G3478" s="1050"/>
    </row>
    <row r="3479" spans="1:7">
      <c r="A3479" s="1079"/>
      <c r="B3479" s="1050"/>
      <c r="C3479" s="1050"/>
      <c r="D3479" s="1050"/>
      <c r="E3479" s="1050"/>
      <c r="F3479" s="1050"/>
      <c r="G3479" s="1050"/>
    </row>
    <row r="3480" spans="1:7">
      <c r="A3480" s="1079"/>
      <c r="B3480" s="1050"/>
      <c r="C3480" s="1050"/>
      <c r="D3480" s="1050"/>
      <c r="E3480" s="1050"/>
      <c r="F3480" s="1050"/>
      <c r="G3480" s="1050"/>
    </row>
    <row r="3481" spans="1:7">
      <c r="A3481" s="1079"/>
      <c r="B3481" s="1050"/>
      <c r="C3481" s="1050"/>
      <c r="D3481" s="1050"/>
      <c r="E3481" s="1050"/>
      <c r="F3481" s="1050"/>
      <c r="G3481" s="1050"/>
    </row>
    <row r="3482" spans="1:7">
      <c r="A3482" s="1079"/>
      <c r="B3482" s="1050"/>
      <c r="C3482" s="1050"/>
      <c r="D3482" s="1050"/>
      <c r="E3482" s="1050"/>
      <c r="F3482" s="1050"/>
      <c r="G3482" s="1050"/>
    </row>
    <row r="3483" spans="1:7">
      <c r="A3483" s="1079"/>
      <c r="B3483" s="1050"/>
      <c r="C3483" s="1050"/>
      <c r="D3483" s="1050"/>
      <c r="E3483" s="1050"/>
      <c r="F3483" s="1050"/>
      <c r="G3483" s="1050"/>
    </row>
    <row r="3484" spans="1:7">
      <c r="A3484" s="1079"/>
      <c r="B3484" s="1050"/>
      <c r="C3484" s="1050"/>
      <c r="D3484" s="1050"/>
      <c r="E3484" s="1050"/>
      <c r="F3484" s="1050"/>
      <c r="G3484" s="1050"/>
    </row>
    <row r="3485" spans="1:7">
      <c r="A3485" s="1079"/>
      <c r="B3485" s="1050"/>
      <c r="C3485" s="1050"/>
      <c r="D3485" s="1050"/>
      <c r="E3485" s="1050"/>
      <c r="F3485" s="1050"/>
      <c r="G3485" s="1050"/>
    </row>
    <row r="3486" spans="1:7">
      <c r="A3486" s="1079"/>
      <c r="B3486" s="1050"/>
      <c r="C3486" s="1050"/>
      <c r="D3486" s="1050"/>
      <c r="E3486" s="1050"/>
      <c r="F3486" s="1050"/>
      <c r="G3486" s="1050"/>
    </row>
    <row r="3487" spans="1:7">
      <c r="A3487" s="1079"/>
      <c r="B3487" s="1050"/>
      <c r="C3487" s="1050"/>
      <c r="D3487" s="1050"/>
      <c r="E3487" s="1050"/>
      <c r="F3487" s="1050"/>
      <c r="G3487" s="1050"/>
    </row>
    <row r="3488" spans="1:7">
      <c r="A3488" s="1079"/>
      <c r="B3488" s="1050"/>
      <c r="C3488" s="1050"/>
      <c r="D3488" s="1050"/>
      <c r="E3488" s="1050"/>
      <c r="F3488" s="1050"/>
      <c r="G3488" s="1050"/>
    </row>
    <row r="3489" spans="1:7">
      <c r="A3489" s="1079"/>
      <c r="B3489" s="1050"/>
      <c r="C3489" s="1050"/>
      <c r="D3489" s="1050"/>
      <c r="E3489" s="1050"/>
      <c r="F3489" s="1050"/>
      <c r="G3489" s="1050"/>
    </row>
    <row r="3490" spans="1:7">
      <c r="A3490" s="1079"/>
      <c r="B3490" s="1050"/>
      <c r="C3490" s="1050"/>
      <c r="D3490" s="1050"/>
      <c r="E3490" s="1050"/>
      <c r="F3490" s="1050"/>
      <c r="G3490" s="1050"/>
    </row>
    <row r="3491" spans="1:7">
      <c r="A3491" s="1079"/>
      <c r="B3491" s="1050"/>
      <c r="C3491" s="1050"/>
      <c r="D3491" s="1050"/>
      <c r="E3491" s="1050"/>
      <c r="F3491" s="1050"/>
      <c r="G3491" s="1050"/>
    </row>
    <row r="3492" spans="1:7">
      <c r="A3492" s="1079"/>
      <c r="B3492" s="1050"/>
      <c r="C3492" s="1050"/>
      <c r="D3492" s="1050"/>
      <c r="E3492" s="1050"/>
      <c r="F3492" s="1050"/>
      <c r="G3492" s="1050"/>
    </row>
    <row r="3493" spans="1:7">
      <c r="A3493" s="1079"/>
      <c r="B3493" s="1050"/>
      <c r="C3493" s="1050"/>
      <c r="D3493" s="1050"/>
      <c r="E3493" s="1050"/>
      <c r="F3493" s="1050"/>
      <c r="G3493" s="1050"/>
    </row>
    <row r="3494" spans="1:7">
      <c r="A3494" s="1079"/>
      <c r="B3494" s="1050"/>
      <c r="C3494" s="1050"/>
      <c r="D3494" s="1050"/>
      <c r="E3494" s="1050"/>
      <c r="F3494" s="1050"/>
      <c r="G3494" s="1050"/>
    </row>
    <row r="3495" spans="1:7">
      <c r="A3495" s="1079"/>
      <c r="B3495" s="1050"/>
      <c r="C3495" s="1050"/>
      <c r="D3495" s="1050"/>
      <c r="E3495" s="1050"/>
      <c r="F3495" s="1050"/>
      <c r="G3495" s="1050"/>
    </row>
    <row r="3496" spans="1:7">
      <c r="A3496" s="1079"/>
      <c r="B3496" s="1050"/>
      <c r="C3496" s="1050"/>
      <c r="D3496" s="1050"/>
      <c r="E3496" s="1050"/>
      <c r="F3496" s="1050"/>
      <c r="G3496" s="1050"/>
    </row>
    <row r="3497" spans="1:7">
      <c r="A3497" s="1079"/>
      <c r="B3497" s="1050"/>
      <c r="C3497" s="1050"/>
      <c r="D3497" s="1050"/>
      <c r="E3497" s="1050"/>
      <c r="F3497" s="1050"/>
      <c r="G3497" s="1050"/>
    </row>
    <row r="3498" spans="1:7">
      <c r="A3498" s="1079"/>
      <c r="B3498" s="1050"/>
      <c r="C3498" s="1050"/>
      <c r="D3498" s="1050"/>
      <c r="E3498" s="1050"/>
      <c r="F3498" s="1050"/>
      <c r="G3498" s="1050"/>
    </row>
    <row r="3499" spans="1:7">
      <c r="A3499" s="1079"/>
      <c r="B3499" s="1050"/>
      <c r="C3499" s="1050"/>
      <c r="D3499" s="1050"/>
      <c r="E3499" s="1050"/>
      <c r="F3499" s="1050"/>
      <c r="G3499" s="1050"/>
    </row>
    <row r="3500" spans="1:7">
      <c r="A3500" s="1079"/>
      <c r="B3500" s="1050"/>
      <c r="C3500" s="1050"/>
      <c r="D3500" s="1050"/>
      <c r="E3500" s="1050"/>
      <c r="F3500" s="1050"/>
      <c r="G3500" s="1050"/>
    </row>
    <row r="3501" spans="1:7">
      <c r="A3501" s="1079"/>
      <c r="B3501" s="1050"/>
      <c r="C3501" s="1050"/>
      <c r="D3501" s="1050"/>
      <c r="E3501" s="1050"/>
      <c r="F3501" s="1050"/>
      <c r="G3501" s="1050"/>
    </row>
    <row r="3502" spans="1:7">
      <c r="A3502" s="1079"/>
      <c r="B3502" s="1050"/>
      <c r="C3502" s="1050"/>
      <c r="D3502" s="1050"/>
      <c r="E3502" s="1050"/>
      <c r="F3502" s="1050"/>
      <c r="G3502" s="1050"/>
    </row>
    <row r="3503" spans="1:7">
      <c r="A3503" s="1079"/>
      <c r="B3503" s="1050"/>
      <c r="C3503" s="1050"/>
      <c r="D3503" s="1050"/>
      <c r="E3503" s="1050"/>
      <c r="F3503" s="1050"/>
      <c r="G3503" s="1050"/>
    </row>
    <row r="3504" spans="1:7">
      <c r="A3504" s="1079"/>
      <c r="B3504" s="1050"/>
      <c r="C3504" s="1050"/>
      <c r="D3504" s="1050"/>
      <c r="E3504" s="1050"/>
      <c r="F3504" s="1050"/>
      <c r="G3504" s="1050"/>
    </row>
    <row r="3505" spans="1:7">
      <c r="A3505" s="1079"/>
      <c r="B3505" s="1050"/>
      <c r="C3505" s="1050"/>
      <c r="D3505" s="1050"/>
      <c r="E3505" s="1050"/>
      <c r="F3505" s="1050"/>
      <c r="G3505" s="1050"/>
    </row>
    <row r="3506" spans="1:7">
      <c r="A3506" s="1079"/>
      <c r="B3506" s="1050"/>
      <c r="C3506" s="1050"/>
      <c r="D3506" s="1050"/>
      <c r="E3506" s="1050"/>
      <c r="F3506" s="1050"/>
      <c r="G3506" s="1050"/>
    </row>
    <row r="3507" spans="1:7">
      <c r="A3507" s="1079"/>
      <c r="B3507" s="1050"/>
      <c r="C3507" s="1050"/>
      <c r="D3507" s="1050"/>
      <c r="E3507" s="1050"/>
      <c r="F3507" s="1050"/>
      <c r="G3507" s="1050"/>
    </row>
    <row r="3508" spans="1:7">
      <c r="A3508" s="1079"/>
      <c r="B3508" s="1050"/>
      <c r="C3508" s="1050"/>
      <c r="D3508" s="1050"/>
      <c r="E3508" s="1050"/>
      <c r="F3508" s="1050"/>
      <c r="G3508" s="1050"/>
    </row>
    <row r="3509" spans="1:7">
      <c r="A3509" s="1079"/>
      <c r="B3509" s="1050"/>
      <c r="C3509" s="1050"/>
      <c r="D3509" s="1050"/>
      <c r="E3509" s="1050"/>
      <c r="F3509" s="1050"/>
      <c r="G3509" s="1050"/>
    </row>
    <row r="3510" spans="1:7">
      <c r="A3510" s="1079"/>
      <c r="B3510" s="1050"/>
      <c r="C3510" s="1050"/>
      <c r="D3510" s="1050"/>
      <c r="E3510" s="1050"/>
      <c r="F3510" s="1050"/>
      <c r="G3510" s="1050"/>
    </row>
    <row r="3511" spans="1:7">
      <c r="A3511" s="1079"/>
      <c r="B3511" s="1050"/>
      <c r="C3511" s="1050"/>
      <c r="D3511" s="1050"/>
      <c r="E3511" s="1050"/>
      <c r="F3511" s="1050"/>
      <c r="G3511" s="1050"/>
    </row>
    <row r="3512" spans="1:7">
      <c r="A3512" s="1079"/>
      <c r="B3512" s="1050"/>
      <c r="C3512" s="1050"/>
      <c r="D3512" s="1050"/>
      <c r="E3512" s="1050"/>
      <c r="F3512" s="1050"/>
      <c r="G3512" s="1050"/>
    </row>
    <row r="3513" spans="1:7">
      <c r="A3513" s="1079"/>
      <c r="B3513" s="1050"/>
      <c r="C3513" s="1050"/>
      <c r="D3513" s="1050"/>
      <c r="E3513" s="1050"/>
      <c r="F3513" s="1050"/>
      <c r="G3513" s="1050"/>
    </row>
    <row r="3514" spans="1:7">
      <c r="A3514" s="1079"/>
      <c r="B3514" s="1050"/>
      <c r="C3514" s="1050"/>
      <c r="D3514" s="1050"/>
      <c r="E3514" s="1050"/>
      <c r="F3514" s="1050"/>
      <c r="G3514" s="1050"/>
    </row>
    <row r="3515" spans="1:7">
      <c r="A3515" s="1079"/>
      <c r="B3515" s="1050"/>
      <c r="C3515" s="1050"/>
      <c r="D3515" s="1050"/>
      <c r="E3515" s="1050"/>
      <c r="F3515" s="1050"/>
      <c r="G3515" s="1050"/>
    </row>
    <row r="3516" spans="1:7">
      <c r="A3516" s="1079"/>
      <c r="B3516" s="1050"/>
      <c r="C3516" s="1050"/>
      <c r="D3516" s="1050"/>
      <c r="E3516" s="1050"/>
      <c r="F3516" s="1050"/>
      <c r="G3516" s="1050"/>
    </row>
    <row r="3517" spans="1:7">
      <c r="A3517" s="1079"/>
      <c r="B3517" s="1050"/>
      <c r="C3517" s="1050"/>
      <c r="D3517" s="1050"/>
      <c r="E3517" s="1050"/>
      <c r="F3517" s="1050"/>
      <c r="G3517" s="1050"/>
    </row>
    <row r="3518" spans="1:7">
      <c r="A3518" s="1079"/>
      <c r="B3518" s="1050"/>
      <c r="C3518" s="1050"/>
      <c r="D3518" s="1050"/>
      <c r="E3518" s="1050"/>
      <c r="F3518" s="1050"/>
      <c r="G3518" s="1050"/>
    </row>
    <row r="3519" spans="1:7">
      <c r="A3519" s="1079"/>
      <c r="B3519" s="1050"/>
      <c r="C3519" s="1050"/>
      <c r="D3519" s="1050"/>
      <c r="E3519" s="1050"/>
      <c r="F3519" s="1050"/>
      <c r="G3519" s="1050"/>
    </row>
    <row r="3520" spans="1:7">
      <c r="A3520" s="1079"/>
      <c r="B3520" s="1050"/>
      <c r="C3520" s="1050"/>
      <c r="D3520" s="1050"/>
      <c r="E3520" s="1050"/>
      <c r="F3520" s="1050"/>
      <c r="G3520" s="1050"/>
    </row>
    <row r="3521" spans="1:7">
      <c r="A3521" s="1079"/>
      <c r="B3521" s="1050"/>
      <c r="C3521" s="1050"/>
      <c r="D3521" s="1050"/>
      <c r="E3521" s="1050"/>
      <c r="F3521" s="1050"/>
      <c r="G3521" s="1050"/>
    </row>
    <row r="3522" spans="1:7">
      <c r="A3522" s="1079"/>
      <c r="B3522" s="1050"/>
      <c r="C3522" s="1050"/>
      <c r="D3522" s="1050"/>
      <c r="E3522" s="1050"/>
      <c r="F3522" s="1050"/>
      <c r="G3522" s="1050"/>
    </row>
    <row r="3523" spans="1:7">
      <c r="A3523" s="1079"/>
      <c r="B3523" s="1050"/>
      <c r="C3523" s="1050"/>
      <c r="D3523" s="1050"/>
      <c r="E3523" s="1050"/>
      <c r="F3523" s="1050"/>
      <c r="G3523" s="1050"/>
    </row>
    <row r="3524" spans="1:7">
      <c r="A3524" s="1079"/>
      <c r="B3524" s="1050"/>
      <c r="C3524" s="1050"/>
      <c r="D3524" s="1050"/>
      <c r="E3524" s="1050"/>
      <c r="F3524" s="1050"/>
      <c r="G3524" s="1050"/>
    </row>
    <row r="3525" spans="1:7">
      <c r="A3525" s="1079"/>
      <c r="B3525" s="1050"/>
      <c r="C3525" s="1050"/>
      <c r="D3525" s="1050"/>
      <c r="E3525" s="1050"/>
      <c r="F3525" s="1050"/>
      <c r="G3525" s="1050"/>
    </row>
    <row r="3526" spans="1:7">
      <c r="A3526" s="1079"/>
      <c r="B3526" s="1050"/>
      <c r="C3526" s="1050"/>
      <c r="D3526" s="1050"/>
      <c r="E3526" s="1050"/>
      <c r="F3526" s="1050"/>
      <c r="G3526" s="1050"/>
    </row>
    <row r="3527" spans="1:7">
      <c r="A3527" s="1079"/>
      <c r="B3527" s="1050"/>
      <c r="C3527" s="1050"/>
      <c r="D3527" s="1050"/>
      <c r="E3527" s="1050"/>
      <c r="F3527" s="1050"/>
      <c r="G3527" s="1050"/>
    </row>
    <row r="3528" spans="1:7">
      <c r="A3528" s="1079"/>
      <c r="B3528" s="1050"/>
      <c r="C3528" s="1050"/>
      <c r="D3528" s="1050"/>
      <c r="E3528" s="1050"/>
      <c r="F3528" s="1050"/>
      <c r="G3528" s="1050"/>
    </row>
    <row r="3529" spans="1:7">
      <c r="A3529" s="1079"/>
      <c r="B3529" s="1050"/>
      <c r="C3529" s="1050"/>
      <c r="D3529" s="1050"/>
      <c r="E3529" s="1050"/>
      <c r="F3529" s="1050"/>
      <c r="G3529" s="1050"/>
    </row>
    <row r="3530" spans="1:7">
      <c r="A3530" s="1079"/>
      <c r="B3530" s="1050"/>
      <c r="C3530" s="1050"/>
      <c r="D3530" s="1050"/>
      <c r="E3530" s="1050"/>
      <c r="F3530" s="1050"/>
      <c r="G3530" s="1050"/>
    </row>
    <row r="3531" spans="1:7">
      <c r="A3531" s="1079"/>
      <c r="B3531" s="1050"/>
      <c r="C3531" s="1050"/>
      <c r="D3531" s="1050"/>
      <c r="E3531" s="1050"/>
      <c r="F3531" s="1050"/>
      <c r="G3531" s="1050"/>
    </row>
    <row r="3532" spans="1:7">
      <c r="A3532" s="1079"/>
      <c r="B3532" s="1050"/>
      <c r="C3532" s="1050"/>
      <c r="D3532" s="1050"/>
      <c r="E3532" s="1050"/>
      <c r="F3532" s="1050"/>
      <c r="G3532" s="1050"/>
    </row>
    <row r="3533" spans="1:7">
      <c r="A3533" s="1079"/>
      <c r="B3533" s="1050"/>
      <c r="C3533" s="1050"/>
      <c r="D3533" s="1050"/>
      <c r="E3533" s="1050"/>
      <c r="F3533" s="1050"/>
      <c r="G3533" s="1050"/>
    </row>
    <row r="3534" spans="1:7">
      <c r="A3534" s="1079"/>
      <c r="B3534" s="1050"/>
      <c r="C3534" s="1050"/>
      <c r="D3534" s="1050"/>
      <c r="E3534" s="1050"/>
      <c r="F3534" s="1050"/>
      <c r="G3534" s="1050"/>
    </row>
    <row r="3535" spans="1:7">
      <c r="A3535" s="1079"/>
      <c r="B3535" s="1050"/>
      <c r="C3535" s="1050"/>
      <c r="D3535" s="1050"/>
      <c r="E3535" s="1050"/>
      <c r="F3535" s="1050"/>
      <c r="G3535" s="1050"/>
    </row>
    <row r="3536" spans="1:7">
      <c r="A3536" s="1079"/>
      <c r="B3536" s="1050"/>
      <c r="C3536" s="1050"/>
      <c r="D3536" s="1050"/>
      <c r="E3536" s="1050"/>
      <c r="F3536" s="1050"/>
      <c r="G3536" s="1050"/>
    </row>
    <row r="3537" spans="1:7">
      <c r="A3537" s="1079"/>
      <c r="B3537" s="1050"/>
      <c r="C3537" s="1050"/>
      <c r="D3537" s="1050"/>
      <c r="E3537" s="1050"/>
      <c r="F3537" s="1050"/>
      <c r="G3537" s="1050"/>
    </row>
    <row r="3538" spans="1:7">
      <c r="A3538" s="1079"/>
      <c r="B3538" s="1050"/>
      <c r="C3538" s="1050"/>
      <c r="D3538" s="1050"/>
      <c r="E3538" s="1050"/>
      <c r="F3538" s="1050"/>
      <c r="G3538" s="1050"/>
    </row>
    <row r="3539" spans="1:7">
      <c r="A3539" s="1079"/>
      <c r="B3539" s="1050"/>
      <c r="C3539" s="1050"/>
      <c r="D3539" s="1050"/>
      <c r="E3539" s="1050"/>
      <c r="F3539" s="1050"/>
      <c r="G3539" s="1050"/>
    </row>
    <row r="3540" spans="1:7">
      <c r="A3540" s="1079"/>
      <c r="B3540" s="1050"/>
      <c r="C3540" s="1050"/>
      <c r="D3540" s="1050"/>
      <c r="E3540" s="1050"/>
      <c r="F3540" s="1050"/>
      <c r="G3540" s="1050"/>
    </row>
    <row r="3541" spans="1:7">
      <c r="A3541" s="1079"/>
      <c r="B3541" s="1050"/>
      <c r="C3541" s="1050"/>
      <c r="D3541" s="1050"/>
      <c r="E3541" s="1050"/>
      <c r="F3541" s="1050"/>
      <c r="G3541" s="1050"/>
    </row>
    <row r="3542" spans="1:7">
      <c r="A3542" s="1079"/>
      <c r="B3542" s="1050"/>
      <c r="C3542" s="1050"/>
      <c r="D3542" s="1050"/>
      <c r="E3542" s="1050"/>
      <c r="F3542" s="1050"/>
      <c r="G3542" s="1050"/>
    </row>
    <row r="3543" spans="1:7">
      <c r="A3543" s="1079"/>
      <c r="B3543" s="1050"/>
      <c r="C3543" s="1050"/>
      <c r="D3543" s="1050"/>
      <c r="E3543" s="1050"/>
      <c r="F3543" s="1050"/>
      <c r="G3543" s="1050"/>
    </row>
    <row r="3544" spans="1:7">
      <c r="A3544" s="1079"/>
      <c r="B3544" s="1050"/>
      <c r="C3544" s="1050"/>
      <c r="D3544" s="1050"/>
      <c r="E3544" s="1050"/>
      <c r="F3544" s="1050"/>
      <c r="G3544" s="1050"/>
    </row>
    <row r="3545" spans="1:7">
      <c r="A3545" s="1079"/>
      <c r="B3545" s="1050"/>
      <c r="C3545" s="1050"/>
      <c r="D3545" s="1050"/>
      <c r="E3545" s="1050"/>
      <c r="F3545" s="1050"/>
      <c r="G3545" s="1050"/>
    </row>
    <row r="3546" spans="1:7">
      <c r="A3546" s="1079"/>
      <c r="B3546" s="1050"/>
      <c r="C3546" s="1050"/>
      <c r="D3546" s="1050"/>
      <c r="E3546" s="1050"/>
      <c r="F3546" s="1050"/>
      <c r="G3546" s="1050"/>
    </row>
    <row r="3547" spans="1:7">
      <c r="A3547" s="1079"/>
      <c r="B3547" s="1050"/>
      <c r="C3547" s="1050"/>
      <c r="D3547" s="1050"/>
      <c r="E3547" s="1050"/>
      <c r="F3547" s="1050"/>
      <c r="G3547" s="1050"/>
    </row>
    <row r="3548" spans="1:7">
      <c r="A3548" s="1079"/>
      <c r="B3548" s="1050"/>
      <c r="C3548" s="1050"/>
      <c r="D3548" s="1050"/>
      <c r="E3548" s="1050"/>
      <c r="F3548" s="1050"/>
      <c r="G3548" s="1050"/>
    </row>
    <row r="3549" spans="1:7">
      <c r="A3549" s="1079"/>
      <c r="B3549" s="1050"/>
      <c r="C3549" s="1050"/>
      <c r="D3549" s="1050"/>
      <c r="E3549" s="1050"/>
      <c r="F3549" s="1050"/>
      <c r="G3549" s="1050"/>
    </row>
    <row r="3550" spans="1:7">
      <c r="A3550" s="1079"/>
      <c r="B3550" s="1050"/>
      <c r="C3550" s="1050"/>
      <c r="D3550" s="1050"/>
      <c r="E3550" s="1050"/>
      <c r="F3550" s="1050"/>
      <c r="G3550" s="1050"/>
    </row>
    <row r="3551" spans="1:7">
      <c r="A3551" s="1079"/>
      <c r="B3551" s="1050"/>
      <c r="C3551" s="1050"/>
      <c r="D3551" s="1050"/>
      <c r="E3551" s="1050"/>
      <c r="F3551" s="1050"/>
      <c r="G3551" s="1050"/>
    </row>
    <row r="3552" spans="1:7">
      <c r="A3552" s="1079"/>
      <c r="B3552" s="1050"/>
      <c r="C3552" s="1050"/>
      <c r="D3552" s="1050"/>
      <c r="E3552" s="1050"/>
      <c r="F3552" s="1050"/>
      <c r="G3552" s="1050"/>
    </row>
    <row r="3553" spans="1:7">
      <c r="A3553" s="1079"/>
      <c r="B3553" s="1050"/>
      <c r="C3553" s="1050"/>
      <c r="D3553" s="1050"/>
      <c r="E3553" s="1050"/>
      <c r="F3553" s="1050"/>
      <c r="G3553" s="1050"/>
    </row>
    <row r="3554" spans="1:7">
      <c r="A3554" s="1079"/>
      <c r="B3554" s="1050"/>
      <c r="C3554" s="1050"/>
      <c r="D3554" s="1050"/>
      <c r="E3554" s="1050"/>
      <c r="F3554" s="1050"/>
      <c r="G3554" s="1050"/>
    </row>
    <row r="3555" spans="1:7">
      <c r="A3555" s="1079"/>
      <c r="B3555" s="1050"/>
      <c r="C3555" s="1050"/>
      <c r="D3555" s="1050"/>
      <c r="E3555" s="1050"/>
      <c r="F3555" s="1050"/>
      <c r="G3555" s="1050"/>
    </row>
    <row r="3556" spans="1:7">
      <c r="A3556" s="1079"/>
      <c r="B3556" s="1050"/>
      <c r="C3556" s="1050"/>
      <c r="D3556" s="1050"/>
      <c r="E3556" s="1050"/>
      <c r="F3556" s="1050"/>
      <c r="G3556" s="1050"/>
    </row>
    <row r="3557" spans="1:7">
      <c r="A3557" s="1079"/>
      <c r="B3557" s="1050"/>
      <c r="C3557" s="1050"/>
      <c r="D3557" s="1050"/>
      <c r="E3557" s="1050"/>
      <c r="F3557" s="1050"/>
      <c r="G3557" s="1050"/>
    </row>
    <row r="3558" spans="1:7">
      <c r="A3558" s="1079"/>
      <c r="B3558" s="1050"/>
      <c r="C3558" s="1050"/>
      <c r="D3558" s="1050"/>
      <c r="E3558" s="1050"/>
      <c r="F3558" s="1050"/>
      <c r="G3558" s="1050"/>
    </row>
    <row r="3559" spans="1:7">
      <c r="A3559" s="1079"/>
      <c r="B3559" s="1050"/>
      <c r="C3559" s="1050"/>
      <c r="D3559" s="1050"/>
      <c r="E3559" s="1050"/>
      <c r="F3559" s="1050"/>
      <c r="G3559" s="1050"/>
    </row>
    <row r="3560" spans="1:7">
      <c r="A3560" s="1079"/>
      <c r="B3560" s="1050"/>
      <c r="C3560" s="1050"/>
      <c r="D3560" s="1050"/>
      <c r="E3560" s="1050"/>
      <c r="F3560" s="1050"/>
      <c r="G3560" s="1050"/>
    </row>
    <row r="3561" spans="1:7">
      <c r="A3561" s="1079"/>
      <c r="B3561" s="1050"/>
      <c r="C3561" s="1050"/>
      <c r="D3561" s="1050"/>
      <c r="E3561" s="1050"/>
      <c r="F3561" s="1050"/>
      <c r="G3561" s="1050"/>
    </row>
    <row r="3562" spans="1:7">
      <c r="A3562" s="1079"/>
      <c r="B3562" s="1050"/>
      <c r="C3562" s="1050"/>
      <c r="D3562" s="1050"/>
      <c r="E3562" s="1050"/>
      <c r="F3562" s="1050"/>
      <c r="G3562" s="1050"/>
    </row>
    <row r="3563" spans="1:7">
      <c r="A3563" s="1079"/>
      <c r="B3563" s="1050"/>
      <c r="C3563" s="1050"/>
      <c r="D3563" s="1050"/>
      <c r="E3563" s="1050"/>
      <c r="F3563" s="1050"/>
      <c r="G3563" s="1050"/>
    </row>
    <row r="3564" spans="1:7">
      <c r="A3564" s="1079"/>
      <c r="B3564" s="1050"/>
      <c r="C3564" s="1050"/>
      <c r="D3564" s="1050"/>
      <c r="E3564" s="1050"/>
      <c r="F3564" s="1050"/>
      <c r="G3564" s="1050"/>
    </row>
    <row r="3565" spans="1:7">
      <c r="A3565" s="1079"/>
      <c r="B3565" s="1050"/>
      <c r="C3565" s="1050"/>
      <c r="D3565" s="1050"/>
      <c r="E3565" s="1050"/>
      <c r="F3565" s="1050"/>
      <c r="G3565" s="1050"/>
    </row>
    <row r="3566" spans="1:7">
      <c r="A3566" s="1079"/>
      <c r="B3566" s="1050"/>
      <c r="C3566" s="1050"/>
      <c r="D3566" s="1050"/>
      <c r="E3566" s="1050"/>
      <c r="F3566" s="1050"/>
      <c r="G3566" s="1050"/>
    </row>
    <row r="3567" spans="1:7">
      <c r="A3567" s="1079"/>
      <c r="B3567" s="1050"/>
      <c r="C3567" s="1050"/>
      <c r="D3567" s="1050"/>
      <c r="E3567" s="1050"/>
      <c r="F3567" s="1050"/>
      <c r="G3567" s="1050"/>
    </row>
    <row r="3568" spans="1:7">
      <c r="A3568" s="1079"/>
      <c r="B3568" s="1050"/>
      <c r="C3568" s="1050"/>
      <c r="D3568" s="1050"/>
      <c r="E3568" s="1050"/>
      <c r="F3568" s="1050"/>
      <c r="G3568" s="1050"/>
    </row>
    <row r="3569" spans="1:7">
      <c r="A3569" s="1079"/>
      <c r="B3569" s="1050"/>
      <c r="C3569" s="1050"/>
      <c r="D3569" s="1050"/>
      <c r="E3569" s="1050"/>
      <c r="F3569" s="1050"/>
      <c r="G3569" s="1050"/>
    </row>
    <row r="3570" spans="1:7">
      <c r="A3570" s="1079"/>
      <c r="B3570" s="1050"/>
      <c r="C3570" s="1050"/>
      <c r="D3570" s="1050"/>
      <c r="E3570" s="1050"/>
      <c r="F3570" s="1050"/>
      <c r="G3570" s="1050"/>
    </row>
    <row r="3571" spans="1:7">
      <c r="A3571" s="1079"/>
      <c r="B3571" s="1050"/>
      <c r="C3571" s="1050"/>
      <c r="D3571" s="1050"/>
      <c r="E3571" s="1050"/>
      <c r="F3571" s="1050"/>
      <c r="G3571" s="1050"/>
    </row>
    <row r="3572" spans="1:7">
      <c r="A3572" s="1079"/>
      <c r="B3572" s="1050"/>
      <c r="C3572" s="1050"/>
      <c r="D3572" s="1050"/>
      <c r="E3572" s="1050"/>
      <c r="F3572" s="1050"/>
      <c r="G3572" s="1050"/>
    </row>
    <row r="3573" spans="1:7">
      <c r="A3573" s="1079"/>
      <c r="B3573" s="1050"/>
      <c r="C3573" s="1050"/>
      <c r="D3573" s="1050"/>
      <c r="E3573" s="1050"/>
      <c r="F3573" s="1050"/>
      <c r="G3573" s="1050"/>
    </row>
    <row r="3574" spans="1:7">
      <c r="A3574" s="1079"/>
      <c r="B3574" s="1050"/>
      <c r="C3574" s="1050"/>
      <c r="D3574" s="1050"/>
      <c r="E3574" s="1050"/>
      <c r="F3574" s="1050"/>
      <c r="G3574" s="1050"/>
    </row>
    <row r="3575" spans="1:7">
      <c r="A3575" s="1079"/>
      <c r="B3575" s="1050"/>
      <c r="C3575" s="1050"/>
      <c r="D3575" s="1050"/>
      <c r="E3575" s="1050"/>
      <c r="F3575" s="1050"/>
      <c r="G3575" s="1050"/>
    </row>
    <row r="3576" spans="1:7">
      <c r="A3576" s="1079"/>
      <c r="B3576" s="1050"/>
      <c r="C3576" s="1050"/>
      <c r="D3576" s="1050"/>
      <c r="E3576" s="1050"/>
      <c r="F3576" s="1050"/>
      <c r="G3576" s="1050"/>
    </row>
    <row r="3577" spans="1:7">
      <c r="A3577" s="1079"/>
      <c r="B3577" s="1050"/>
      <c r="C3577" s="1050"/>
      <c r="D3577" s="1050"/>
      <c r="E3577" s="1050"/>
      <c r="F3577" s="1050"/>
      <c r="G3577" s="1050"/>
    </row>
    <row r="3578" spans="1:7">
      <c r="A3578" s="1079"/>
      <c r="B3578" s="1050"/>
      <c r="C3578" s="1050"/>
      <c r="D3578" s="1050"/>
      <c r="E3578" s="1050"/>
      <c r="F3578" s="1050"/>
      <c r="G3578" s="1050"/>
    </row>
    <row r="3579" spans="1:7">
      <c r="A3579" s="1079"/>
      <c r="B3579" s="1050"/>
      <c r="C3579" s="1050"/>
      <c r="D3579" s="1050"/>
      <c r="E3579" s="1050"/>
      <c r="F3579" s="1050"/>
      <c r="G3579" s="1050"/>
    </row>
    <row r="3580" spans="1:7">
      <c r="A3580" s="1079"/>
      <c r="B3580" s="1050"/>
      <c r="C3580" s="1050"/>
      <c r="D3580" s="1050"/>
      <c r="E3580" s="1050"/>
      <c r="F3580" s="1050"/>
      <c r="G3580" s="1050"/>
    </row>
    <row r="3581" spans="1:7">
      <c r="A3581" s="1079"/>
      <c r="B3581" s="1050"/>
      <c r="C3581" s="1050"/>
      <c r="D3581" s="1050"/>
      <c r="E3581" s="1050"/>
      <c r="F3581" s="1050"/>
      <c r="G3581" s="1050"/>
    </row>
    <row r="3582" spans="1:7">
      <c r="A3582" s="1079"/>
      <c r="B3582" s="1050"/>
      <c r="C3582" s="1050"/>
      <c r="D3582" s="1050"/>
      <c r="E3582" s="1050"/>
      <c r="F3582" s="1050"/>
      <c r="G3582" s="1050"/>
    </row>
    <row r="3583" spans="1:7">
      <c r="A3583" s="1079"/>
      <c r="B3583" s="1050"/>
      <c r="C3583" s="1050"/>
      <c r="D3583" s="1050"/>
      <c r="E3583" s="1050"/>
      <c r="F3583" s="1050"/>
      <c r="G3583" s="1050"/>
    </row>
    <row r="3584" spans="1:7">
      <c r="A3584" s="1079"/>
      <c r="B3584" s="1050"/>
      <c r="C3584" s="1050"/>
      <c r="D3584" s="1050"/>
      <c r="E3584" s="1050"/>
      <c r="F3584" s="1050"/>
      <c r="G3584" s="1050"/>
    </row>
    <row r="3585" spans="1:7">
      <c r="A3585" s="1079"/>
      <c r="B3585" s="1050"/>
      <c r="C3585" s="1050"/>
      <c r="D3585" s="1050"/>
      <c r="E3585" s="1050"/>
      <c r="F3585" s="1050"/>
      <c r="G3585" s="1050"/>
    </row>
    <row r="3586" spans="1:7">
      <c r="A3586" s="1079"/>
      <c r="B3586" s="1050"/>
      <c r="C3586" s="1050"/>
      <c r="D3586" s="1050"/>
      <c r="E3586" s="1050"/>
      <c r="F3586" s="1050"/>
      <c r="G3586" s="1050"/>
    </row>
    <row r="3587" spans="1:7">
      <c r="A3587" s="1079"/>
      <c r="B3587" s="1050"/>
      <c r="C3587" s="1050"/>
      <c r="D3587" s="1050"/>
      <c r="E3587" s="1050"/>
      <c r="F3587" s="1050"/>
      <c r="G3587" s="1050"/>
    </row>
    <row r="3588" spans="1:7">
      <c r="A3588" s="1079"/>
      <c r="B3588" s="1050"/>
      <c r="C3588" s="1050"/>
      <c r="D3588" s="1050"/>
      <c r="E3588" s="1050"/>
      <c r="F3588" s="1050"/>
      <c r="G3588" s="1050"/>
    </row>
    <row r="3589" spans="1:7">
      <c r="A3589" s="1079"/>
      <c r="B3589" s="1050"/>
      <c r="C3589" s="1050"/>
      <c r="D3589" s="1050"/>
      <c r="E3589" s="1050"/>
      <c r="F3589" s="1050"/>
      <c r="G3589" s="1050"/>
    </row>
    <row r="3590" spans="1:7">
      <c r="A3590" s="1079"/>
      <c r="B3590" s="1050"/>
      <c r="C3590" s="1050"/>
      <c r="D3590" s="1050"/>
      <c r="E3590" s="1050"/>
      <c r="F3590" s="1050"/>
      <c r="G3590" s="1050"/>
    </row>
    <row r="3591" spans="1:7">
      <c r="A3591" s="1079"/>
      <c r="B3591" s="1050"/>
      <c r="C3591" s="1050"/>
      <c r="D3591" s="1050"/>
      <c r="E3591" s="1050"/>
      <c r="F3591" s="1050"/>
      <c r="G3591" s="1050"/>
    </row>
    <row r="3592" spans="1:7">
      <c r="A3592" s="1079"/>
      <c r="B3592" s="1050"/>
      <c r="C3592" s="1050"/>
      <c r="D3592" s="1050"/>
      <c r="E3592" s="1050"/>
      <c r="F3592" s="1050"/>
      <c r="G3592" s="1050"/>
    </row>
    <row r="3593" spans="1:7">
      <c r="A3593" s="1079"/>
      <c r="B3593" s="1050"/>
      <c r="C3593" s="1050"/>
      <c r="D3593" s="1050"/>
      <c r="E3593" s="1050"/>
      <c r="F3593" s="1050"/>
      <c r="G3593" s="1050"/>
    </row>
    <row r="3594" spans="1:7">
      <c r="A3594" s="1079"/>
      <c r="B3594" s="1050"/>
      <c r="C3594" s="1050"/>
      <c r="D3594" s="1050"/>
      <c r="E3594" s="1050"/>
      <c r="F3594" s="1050"/>
      <c r="G3594" s="1050"/>
    </row>
    <row r="3595" spans="1:7">
      <c r="A3595" s="1079"/>
      <c r="B3595" s="1050"/>
      <c r="C3595" s="1050"/>
      <c r="D3595" s="1050"/>
      <c r="E3595" s="1050"/>
      <c r="F3595" s="1050"/>
      <c r="G3595" s="1050"/>
    </row>
    <row r="3596" spans="1:7">
      <c r="A3596" s="1079"/>
      <c r="B3596" s="1050"/>
      <c r="C3596" s="1050"/>
      <c r="D3596" s="1050"/>
      <c r="E3596" s="1050"/>
      <c r="F3596" s="1050"/>
      <c r="G3596" s="1050"/>
    </row>
    <row r="3597" spans="1:7">
      <c r="A3597" s="1079"/>
      <c r="B3597" s="1050"/>
      <c r="C3597" s="1050"/>
      <c r="D3597" s="1050"/>
      <c r="E3597" s="1050"/>
      <c r="F3597" s="1050"/>
      <c r="G3597" s="1050"/>
    </row>
    <row r="3598" spans="1:7">
      <c r="A3598" s="1079"/>
      <c r="B3598" s="1050"/>
      <c r="C3598" s="1050"/>
      <c r="D3598" s="1050"/>
      <c r="E3598" s="1050"/>
      <c r="F3598" s="1050"/>
      <c r="G3598" s="1050"/>
    </row>
    <row r="3599" spans="1:7">
      <c r="A3599" s="1079"/>
      <c r="B3599" s="1050"/>
      <c r="C3599" s="1050"/>
      <c r="D3599" s="1050"/>
      <c r="E3599" s="1050"/>
      <c r="F3599" s="1050"/>
      <c r="G3599" s="1050"/>
    </row>
    <row r="3600" spans="1:7">
      <c r="A3600" s="1079"/>
      <c r="B3600" s="1050"/>
      <c r="C3600" s="1050"/>
      <c r="D3600" s="1050"/>
      <c r="E3600" s="1050"/>
      <c r="F3600" s="1050"/>
      <c r="G3600" s="1050"/>
    </row>
    <row r="3601" spans="1:7">
      <c r="A3601" s="1079"/>
      <c r="B3601" s="1050"/>
      <c r="C3601" s="1050"/>
      <c r="D3601" s="1050"/>
      <c r="E3601" s="1050"/>
      <c r="F3601" s="1050"/>
      <c r="G3601" s="1050"/>
    </row>
    <row r="3602" spans="1:7">
      <c r="A3602" s="1079"/>
      <c r="B3602" s="1050"/>
      <c r="C3602" s="1050"/>
      <c r="D3602" s="1050"/>
      <c r="E3602" s="1050"/>
      <c r="F3602" s="1050"/>
      <c r="G3602" s="1050"/>
    </row>
    <row r="3603" spans="1:7">
      <c r="A3603" s="1079"/>
      <c r="B3603" s="1050"/>
      <c r="C3603" s="1050"/>
      <c r="D3603" s="1050"/>
      <c r="E3603" s="1050"/>
      <c r="F3603" s="1050"/>
      <c r="G3603" s="1050"/>
    </row>
    <row r="3604" spans="1:7">
      <c r="A3604" s="1079"/>
      <c r="B3604" s="1050"/>
      <c r="C3604" s="1050"/>
      <c r="D3604" s="1050"/>
      <c r="E3604" s="1050"/>
      <c r="F3604" s="1050"/>
      <c r="G3604" s="1050"/>
    </row>
    <row r="3605" spans="1:7">
      <c r="A3605" s="1079"/>
      <c r="B3605" s="1050"/>
      <c r="C3605" s="1050"/>
      <c r="D3605" s="1050"/>
      <c r="E3605" s="1050"/>
      <c r="F3605" s="1050"/>
      <c r="G3605" s="1050"/>
    </row>
    <row r="3606" spans="1:7">
      <c r="A3606" s="1079"/>
      <c r="B3606" s="1050"/>
      <c r="C3606" s="1050"/>
      <c r="D3606" s="1050"/>
      <c r="E3606" s="1050"/>
      <c r="F3606" s="1050"/>
      <c r="G3606" s="1050"/>
    </row>
    <row r="3607" spans="1:7">
      <c r="A3607" s="1079"/>
      <c r="B3607" s="1050"/>
      <c r="C3607" s="1050"/>
      <c r="D3607" s="1050"/>
      <c r="E3607" s="1050"/>
      <c r="F3607" s="1050"/>
      <c r="G3607" s="1050"/>
    </row>
    <row r="3608" spans="1:7">
      <c r="A3608" s="1079"/>
      <c r="B3608" s="1050"/>
      <c r="C3608" s="1050"/>
      <c r="D3608" s="1050"/>
      <c r="E3608" s="1050"/>
      <c r="F3608" s="1050"/>
      <c r="G3608" s="1050"/>
    </row>
    <row r="3609" spans="1:7">
      <c r="A3609" s="1079"/>
      <c r="B3609" s="1050"/>
      <c r="C3609" s="1050"/>
      <c r="D3609" s="1050"/>
      <c r="E3609" s="1050"/>
      <c r="F3609" s="1050"/>
      <c r="G3609" s="1050"/>
    </row>
    <row r="3610" spans="1:7">
      <c r="A3610" s="1079"/>
      <c r="B3610" s="1050"/>
      <c r="C3610" s="1050"/>
      <c r="D3610" s="1050"/>
      <c r="E3610" s="1050"/>
      <c r="F3610" s="1050"/>
      <c r="G3610" s="1050"/>
    </row>
    <row r="3611" spans="1:7">
      <c r="A3611" s="1079"/>
      <c r="B3611" s="1050"/>
      <c r="C3611" s="1050"/>
      <c r="D3611" s="1050"/>
      <c r="E3611" s="1050"/>
      <c r="F3611" s="1050"/>
      <c r="G3611" s="1050"/>
    </row>
    <row r="3612" spans="1:7">
      <c r="A3612" s="1079"/>
      <c r="B3612" s="1050"/>
      <c r="C3612" s="1050"/>
      <c r="D3612" s="1050"/>
      <c r="E3612" s="1050"/>
      <c r="F3612" s="1050"/>
      <c r="G3612" s="1050"/>
    </row>
    <row r="3613" spans="1:7">
      <c r="A3613" s="1079"/>
      <c r="B3613" s="1050"/>
      <c r="C3613" s="1050"/>
      <c r="D3613" s="1050"/>
      <c r="E3613" s="1050"/>
      <c r="F3613" s="1050"/>
      <c r="G3613" s="1050"/>
    </row>
    <row r="3614" spans="1:7">
      <c r="A3614" s="1079"/>
      <c r="B3614" s="1050"/>
      <c r="C3614" s="1050"/>
      <c r="D3614" s="1050"/>
      <c r="E3614" s="1050"/>
      <c r="F3614" s="1050"/>
      <c r="G3614" s="1050"/>
    </row>
    <row r="3615" spans="1:7">
      <c r="A3615" s="1079"/>
      <c r="B3615" s="1050"/>
      <c r="C3615" s="1050"/>
      <c r="D3615" s="1050"/>
      <c r="E3615" s="1050"/>
      <c r="F3615" s="1050"/>
      <c r="G3615" s="1050"/>
    </row>
    <row r="3616" spans="1:7">
      <c r="A3616" s="1079"/>
      <c r="B3616" s="1050"/>
      <c r="C3616" s="1050"/>
      <c r="D3616" s="1050"/>
      <c r="E3616" s="1050"/>
      <c r="F3616" s="1050"/>
      <c r="G3616" s="1050"/>
    </row>
    <row r="3617" spans="1:7">
      <c r="A3617" s="1079"/>
      <c r="B3617" s="1050"/>
      <c r="C3617" s="1050"/>
      <c r="D3617" s="1050"/>
      <c r="E3617" s="1050"/>
      <c r="F3617" s="1050"/>
      <c r="G3617" s="1050"/>
    </row>
    <row r="3618" spans="1:7">
      <c r="A3618" s="1079"/>
      <c r="B3618" s="1050"/>
      <c r="C3618" s="1050"/>
      <c r="D3618" s="1050"/>
      <c r="E3618" s="1050"/>
      <c r="F3618" s="1050"/>
      <c r="G3618" s="1050"/>
    </row>
    <row r="3619" spans="1:7">
      <c r="A3619" s="1079"/>
      <c r="B3619" s="1050"/>
      <c r="C3619" s="1050"/>
      <c r="D3619" s="1050"/>
      <c r="E3619" s="1050"/>
      <c r="F3619" s="1050"/>
      <c r="G3619" s="1050"/>
    </row>
    <row r="3620" spans="1:7">
      <c r="A3620" s="1079"/>
      <c r="B3620" s="1050"/>
      <c r="C3620" s="1050"/>
      <c r="D3620" s="1050"/>
      <c r="E3620" s="1050"/>
      <c r="F3620" s="1050"/>
      <c r="G3620" s="1050"/>
    </row>
    <row r="3621" spans="1:7">
      <c r="A3621" s="1079"/>
      <c r="B3621" s="1050"/>
      <c r="C3621" s="1050"/>
      <c r="D3621" s="1050"/>
      <c r="E3621" s="1050"/>
      <c r="F3621" s="1050"/>
      <c r="G3621" s="1050"/>
    </row>
    <row r="3622" spans="1:7">
      <c r="A3622" s="1079"/>
      <c r="B3622" s="1050"/>
      <c r="C3622" s="1050"/>
      <c r="D3622" s="1050"/>
      <c r="E3622" s="1050"/>
      <c r="F3622" s="1050"/>
      <c r="G3622" s="1050"/>
    </row>
    <row r="3623" spans="1:7">
      <c r="A3623" s="1079"/>
      <c r="B3623" s="1050"/>
      <c r="C3623" s="1050"/>
      <c r="D3623" s="1050"/>
      <c r="E3623" s="1050"/>
      <c r="F3623" s="1050"/>
      <c r="G3623" s="1050"/>
    </row>
    <row r="3624" spans="1:7">
      <c r="A3624" s="1079"/>
      <c r="B3624" s="1050"/>
      <c r="C3624" s="1050"/>
      <c r="D3624" s="1050"/>
      <c r="E3624" s="1050"/>
      <c r="F3624" s="1050"/>
      <c r="G3624" s="1050"/>
    </row>
    <row r="3625" spans="1:7">
      <c r="A3625" s="1079"/>
      <c r="B3625" s="1050"/>
      <c r="C3625" s="1050"/>
      <c r="D3625" s="1050"/>
      <c r="E3625" s="1050"/>
      <c r="F3625" s="1050"/>
      <c r="G3625" s="1050"/>
    </row>
    <row r="3626" spans="1:7">
      <c r="A3626" s="1079"/>
      <c r="B3626" s="1050"/>
      <c r="C3626" s="1050"/>
      <c r="D3626" s="1050"/>
      <c r="E3626" s="1050"/>
      <c r="F3626" s="1050"/>
      <c r="G3626" s="1050"/>
    </row>
    <row r="3627" spans="1:7">
      <c r="A3627" s="1079"/>
      <c r="B3627" s="1050"/>
      <c r="C3627" s="1050"/>
      <c r="D3627" s="1050"/>
      <c r="E3627" s="1050"/>
      <c r="F3627" s="1050"/>
      <c r="G3627" s="1050"/>
    </row>
    <row r="3628" spans="1:7">
      <c r="A3628" s="1079"/>
      <c r="B3628" s="1050"/>
      <c r="C3628" s="1050"/>
      <c r="D3628" s="1050"/>
      <c r="E3628" s="1050"/>
      <c r="F3628" s="1050"/>
      <c r="G3628" s="1050"/>
    </row>
    <row r="3629" spans="1:7">
      <c r="A3629" s="1079"/>
      <c r="B3629" s="1050"/>
      <c r="C3629" s="1050"/>
      <c r="D3629" s="1050"/>
      <c r="E3629" s="1050"/>
      <c r="F3629" s="1050"/>
      <c r="G3629" s="1050"/>
    </row>
    <row r="3630" spans="1:7">
      <c r="A3630" s="1079"/>
      <c r="B3630" s="1050"/>
      <c r="C3630" s="1050"/>
      <c r="D3630" s="1050"/>
      <c r="E3630" s="1050"/>
      <c r="F3630" s="1050"/>
      <c r="G3630" s="1050"/>
    </row>
    <row r="3631" spans="1:7">
      <c r="A3631" s="1079"/>
      <c r="B3631" s="1050"/>
      <c r="C3631" s="1050"/>
      <c r="D3631" s="1050"/>
      <c r="E3631" s="1050"/>
      <c r="F3631" s="1050"/>
      <c r="G3631" s="1050"/>
    </row>
    <row r="3632" spans="1:7">
      <c r="A3632" s="1079"/>
      <c r="B3632" s="1050"/>
      <c r="C3632" s="1050"/>
      <c r="D3632" s="1050"/>
      <c r="E3632" s="1050"/>
      <c r="F3632" s="1050"/>
      <c r="G3632" s="1050"/>
    </row>
    <row r="3633" spans="1:7">
      <c r="A3633" s="1079"/>
      <c r="B3633" s="1050"/>
      <c r="C3633" s="1050"/>
      <c r="D3633" s="1050"/>
      <c r="E3633" s="1050"/>
      <c r="F3633" s="1050"/>
      <c r="G3633" s="1050"/>
    </row>
    <row r="3634" spans="1:7">
      <c r="A3634" s="1079"/>
      <c r="B3634" s="1050"/>
      <c r="C3634" s="1050"/>
      <c r="D3634" s="1050"/>
      <c r="E3634" s="1050"/>
      <c r="F3634" s="1050"/>
      <c r="G3634" s="1050"/>
    </row>
    <row r="3635" spans="1:7">
      <c r="A3635" s="1079"/>
      <c r="B3635" s="1050"/>
      <c r="C3635" s="1050"/>
      <c r="D3635" s="1050"/>
      <c r="E3635" s="1050"/>
      <c r="F3635" s="1050"/>
      <c r="G3635" s="1050"/>
    </row>
    <row r="3636" spans="1:7">
      <c r="A3636" s="1079"/>
      <c r="B3636" s="1050"/>
      <c r="C3636" s="1050"/>
      <c r="D3636" s="1050"/>
      <c r="E3636" s="1050"/>
      <c r="F3636" s="1050"/>
      <c r="G3636" s="1050"/>
    </row>
    <row r="3637" spans="1:7">
      <c r="A3637" s="1079"/>
      <c r="B3637" s="1050"/>
      <c r="C3637" s="1050"/>
      <c r="D3637" s="1050"/>
      <c r="E3637" s="1050"/>
      <c r="F3637" s="1050"/>
      <c r="G3637" s="1050"/>
    </row>
    <row r="3638" spans="1:7">
      <c r="A3638" s="1079"/>
      <c r="B3638" s="1050"/>
      <c r="C3638" s="1050"/>
      <c r="D3638" s="1050"/>
      <c r="E3638" s="1050"/>
      <c r="F3638" s="1050"/>
      <c r="G3638" s="1050"/>
    </row>
    <row r="3639" spans="1:7">
      <c r="A3639" s="1079"/>
      <c r="B3639" s="1050"/>
      <c r="C3639" s="1050"/>
      <c r="D3639" s="1050"/>
      <c r="E3639" s="1050"/>
      <c r="F3639" s="1050"/>
      <c r="G3639" s="1050"/>
    </row>
    <row r="3640" spans="1:7">
      <c r="A3640" s="1079"/>
      <c r="B3640" s="1050"/>
      <c r="C3640" s="1050"/>
      <c r="D3640" s="1050"/>
      <c r="E3640" s="1050"/>
      <c r="F3640" s="1050"/>
      <c r="G3640" s="1050"/>
    </row>
    <row r="3641" spans="1:7">
      <c r="A3641" s="1079"/>
      <c r="B3641" s="1050"/>
      <c r="C3641" s="1050"/>
      <c r="D3641" s="1050"/>
      <c r="E3641" s="1050"/>
      <c r="F3641" s="1050"/>
      <c r="G3641" s="1050"/>
    </row>
    <row r="3642" spans="1:7">
      <c r="A3642" s="1079"/>
      <c r="B3642" s="1050"/>
      <c r="C3642" s="1050"/>
      <c r="D3642" s="1050"/>
      <c r="E3642" s="1050"/>
      <c r="F3642" s="1050"/>
      <c r="G3642" s="1050"/>
    </row>
    <row r="3643" spans="1:7">
      <c r="A3643" s="1079"/>
      <c r="B3643" s="1050"/>
      <c r="C3643" s="1050"/>
      <c r="D3643" s="1050"/>
      <c r="E3643" s="1050"/>
      <c r="F3643" s="1050"/>
      <c r="G3643" s="1050"/>
    </row>
    <row r="3644" spans="1:7">
      <c r="A3644" s="1079"/>
      <c r="B3644" s="1050"/>
      <c r="C3644" s="1050"/>
      <c r="D3644" s="1050"/>
      <c r="E3644" s="1050"/>
      <c r="F3644" s="1050"/>
      <c r="G3644" s="1050"/>
    </row>
    <row r="3645" spans="1:7">
      <c r="A3645" s="1079"/>
      <c r="B3645" s="1050"/>
      <c r="C3645" s="1050"/>
      <c r="D3645" s="1050"/>
      <c r="E3645" s="1050"/>
      <c r="F3645" s="1050"/>
      <c r="G3645" s="1050"/>
    </row>
    <row r="3646" spans="1:7">
      <c r="A3646" s="1079"/>
      <c r="B3646" s="1050"/>
      <c r="C3646" s="1050"/>
      <c r="D3646" s="1050"/>
      <c r="E3646" s="1050"/>
      <c r="F3646" s="1050"/>
      <c r="G3646" s="1050"/>
    </row>
    <row r="3647" spans="1:7">
      <c r="A3647" s="1079"/>
      <c r="B3647" s="1050"/>
      <c r="C3647" s="1050"/>
      <c r="D3647" s="1050"/>
      <c r="E3647" s="1050"/>
      <c r="F3647" s="1050"/>
      <c r="G3647" s="1050"/>
    </row>
    <row r="3648" spans="1:7">
      <c r="A3648" s="1079"/>
      <c r="B3648" s="1050"/>
      <c r="C3648" s="1050"/>
      <c r="D3648" s="1050"/>
      <c r="E3648" s="1050"/>
      <c r="F3648" s="1050"/>
      <c r="G3648" s="1050"/>
    </row>
    <row r="3649" spans="1:7">
      <c r="A3649" s="1079"/>
      <c r="B3649" s="1050"/>
      <c r="C3649" s="1050"/>
      <c r="D3649" s="1050"/>
      <c r="E3649" s="1050"/>
      <c r="F3649" s="1050"/>
      <c r="G3649" s="1050"/>
    </row>
    <row r="3650" spans="1:7">
      <c r="A3650" s="1079"/>
      <c r="B3650" s="1050"/>
      <c r="C3650" s="1050"/>
      <c r="D3650" s="1050"/>
      <c r="E3650" s="1050"/>
      <c r="F3650" s="1050"/>
      <c r="G3650" s="1050"/>
    </row>
    <row r="3651" spans="1:7">
      <c r="A3651" s="1079"/>
      <c r="B3651" s="1050"/>
      <c r="C3651" s="1050"/>
      <c r="D3651" s="1050"/>
      <c r="E3651" s="1050"/>
      <c r="F3651" s="1050"/>
      <c r="G3651" s="1050"/>
    </row>
    <row r="3652" spans="1:7">
      <c r="A3652" s="1079"/>
      <c r="B3652" s="1050"/>
      <c r="C3652" s="1050"/>
      <c r="D3652" s="1050"/>
      <c r="E3652" s="1050"/>
      <c r="F3652" s="1050"/>
      <c r="G3652" s="1050"/>
    </row>
    <row r="3653" spans="1:7">
      <c r="A3653" s="1079"/>
      <c r="B3653" s="1050"/>
      <c r="C3653" s="1050"/>
      <c r="D3653" s="1050"/>
      <c r="E3653" s="1050"/>
      <c r="F3653" s="1050"/>
      <c r="G3653" s="1050"/>
    </row>
    <row r="3654" spans="1:7">
      <c r="A3654" s="1079"/>
      <c r="B3654" s="1050"/>
      <c r="C3654" s="1050"/>
      <c r="D3654" s="1050"/>
      <c r="E3654" s="1050"/>
      <c r="F3654" s="1050"/>
      <c r="G3654" s="1050"/>
    </row>
    <row r="3655" spans="1:7">
      <c r="A3655" s="1079"/>
      <c r="B3655" s="1050"/>
      <c r="C3655" s="1050"/>
      <c r="D3655" s="1050"/>
      <c r="E3655" s="1050"/>
      <c r="F3655" s="1050"/>
      <c r="G3655" s="1050"/>
    </row>
    <row r="3656" spans="1:7">
      <c r="A3656" s="1079"/>
      <c r="B3656" s="1050"/>
      <c r="C3656" s="1050"/>
      <c r="D3656" s="1050"/>
      <c r="E3656" s="1050"/>
      <c r="F3656" s="1050"/>
      <c r="G3656" s="1050"/>
    </row>
    <row r="3657" spans="1:7">
      <c r="A3657" s="1079"/>
      <c r="B3657" s="1050"/>
      <c r="C3657" s="1050"/>
      <c r="D3657" s="1050"/>
      <c r="E3657" s="1050"/>
      <c r="F3657" s="1050"/>
      <c r="G3657" s="1050"/>
    </row>
    <row r="3658" spans="1:7">
      <c r="A3658" s="1079"/>
      <c r="B3658" s="1050"/>
      <c r="C3658" s="1050"/>
      <c r="D3658" s="1050"/>
      <c r="E3658" s="1050"/>
      <c r="F3658" s="1050"/>
      <c r="G3658" s="1050"/>
    </row>
    <row r="3659" spans="1:7">
      <c r="A3659" s="1079"/>
      <c r="B3659" s="1050"/>
      <c r="C3659" s="1050"/>
      <c r="D3659" s="1050"/>
      <c r="E3659" s="1050"/>
      <c r="F3659" s="1050"/>
      <c r="G3659" s="1050"/>
    </row>
    <row r="3660" spans="1:7">
      <c r="A3660" s="1079"/>
      <c r="B3660" s="1050"/>
      <c r="C3660" s="1050"/>
      <c r="D3660" s="1050"/>
      <c r="E3660" s="1050"/>
      <c r="F3660" s="1050"/>
      <c r="G3660" s="1050"/>
    </row>
    <row r="3661" spans="1:7">
      <c r="A3661" s="1079"/>
      <c r="B3661" s="1050"/>
      <c r="C3661" s="1050"/>
      <c r="D3661" s="1050"/>
      <c r="E3661" s="1050"/>
      <c r="F3661" s="1050"/>
      <c r="G3661" s="1050"/>
    </row>
    <row r="3662" spans="1:7">
      <c r="A3662" s="1079"/>
      <c r="B3662" s="1050"/>
      <c r="C3662" s="1050"/>
      <c r="D3662" s="1050"/>
      <c r="E3662" s="1050"/>
      <c r="F3662" s="1050"/>
      <c r="G3662" s="1050"/>
    </row>
    <row r="3663" spans="1:7">
      <c r="A3663" s="1079"/>
      <c r="B3663" s="1050"/>
      <c r="C3663" s="1050"/>
      <c r="D3663" s="1050"/>
      <c r="E3663" s="1050"/>
      <c r="F3663" s="1050"/>
      <c r="G3663" s="1050"/>
    </row>
    <row r="3664" spans="1:7">
      <c r="A3664" s="1079"/>
      <c r="B3664" s="1050"/>
      <c r="C3664" s="1050"/>
      <c r="D3664" s="1050"/>
      <c r="E3664" s="1050"/>
      <c r="F3664" s="1050"/>
      <c r="G3664" s="1050"/>
    </row>
    <row r="3665" spans="1:7">
      <c r="A3665" s="1079"/>
      <c r="B3665" s="1050"/>
      <c r="C3665" s="1050"/>
      <c r="D3665" s="1050"/>
      <c r="E3665" s="1050"/>
      <c r="F3665" s="1050"/>
      <c r="G3665" s="1050"/>
    </row>
    <row r="3666" spans="1:7">
      <c r="A3666" s="1079"/>
      <c r="B3666" s="1050"/>
      <c r="C3666" s="1050"/>
      <c r="D3666" s="1050"/>
      <c r="E3666" s="1050"/>
      <c r="F3666" s="1050"/>
      <c r="G3666" s="1050"/>
    </row>
    <row r="3667" spans="1:7">
      <c r="A3667" s="1079"/>
      <c r="B3667" s="1050"/>
      <c r="C3667" s="1050"/>
      <c r="D3667" s="1050"/>
      <c r="E3667" s="1050"/>
      <c r="F3667" s="1050"/>
      <c r="G3667" s="1050"/>
    </row>
    <row r="3668" spans="1:7">
      <c r="A3668" s="1079"/>
      <c r="B3668" s="1050"/>
      <c r="C3668" s="1050"/>
      <c r="D3668" s="1050"/>
      <c r="E3668" s="1050"/>
      <c r="F3668" s="1050"/>
      <c r="G3668" s="1050"/>
    </row>
    <row r="3669" spans="1:7">
      <c r="A3669" s="1079"/>
      <c r="B3669" s="1050"/>
      <c r="C3669" s="1050"/>
      <c r="D3669" s="1050"/>
      <c r="E3669" s="1050"/>
      <c r="F3669" s="1050"/>
      <c r="G3669" s="1050"/>
    </row>
    <row r="3670" spans="1:7">
      <c r="A3670" s="1079"/>
      <c r="B3670" s="1050"/>
      <c r="C3670" s="1050"/>
      <c r="D3670" s="1050"/>
      <c r="E3670" s="1050"/>
      <c r="F3670" s="1050"/>
      <c r="G3670" s="1050"/>
    </row>
    <row r="3671" spans="1:7">
      <c r="A3671" s="1079"/>
      <c r="B3671" s="1050"/>
      <c r="C3671" s="1050"/>
      <c r="D3671" s="1050"/>
      <c r="E3671" s="1050"/>
      <c r="F3671" s="1050"/>
      <c r="G3671" s="1050"/>
    </row>
    <row r="3672" spans="1:7">
      <c r="A3672" s="1079"/>
      <c r="B3672" s="1050"/>
      <c r="C3672" s="1050"/>
      <c r="D3672" s="1050"/>
      <c r="E3672" s="1050"/>
      <c r="F3672" s="1050"/>
      <c r="G3672" s="1050"/>
    </row>
    <row r="3673" spans="1:7">
      <c r="A3673" s="1079"/>
      <c r="B3673" s="1050"/>
      <c r="C3673" s="1050"/>
      <c r="D3673" s="1050"/>
      <c r="E3673" s="1050"/>
      <c r="F3673" s="1050"/>
      <c r="G3673" s="1050"/>
    </row>
    <row r="3674" spans="1:7">
      <c r="A3674" s="1079"/>
      <c r="B3674" s="1050"/>
      <c r="C3674" s="1050"/>
      <c r="D3674" s="1050"/>
      <c r="E3674" s="1050"/>
      <c r="F3674" s="1050"/>
      <c r="G3674" s="1050"/>
    </row>
    <row r="3675" spans="1:7">
      <c r="A3675" s="1079"/>
      <c r="B3675" s="1050"/>
      <c r="C3675" s="1050"/>
      <c r="D3675" s="1050"/>
      <c r="E3675" s="1050"/>
      <c r="F3675" s="1050"/>
      <c r="G3675" s="1050"/>
    </row>
    <row r="3676" spans="1:7">
      <c r="A3676" s="1079"/>
      <c r="B3676" s="1050"/>
      <c r="C3676" s="1050"/>
      <c r="D3676" s="1050"/>
      <c r="E3676" s="1050"/>
      <c r="F3676" s="1050"/>
      <c r="G3676" s="1050"/>
    </row>
    <row r="3677" spans="1:7">
      <c r="A3677" s="1079"/>
      <c r="B3677" s="1050"/>
      <c r="C3677" s="1050"/>
      <c r="D3677" s="1050"/>
      <c r="E3677" s="1050"/>
      <c r="F3677" s="1050"/>
      <c r="G3677" s="1050"/>
    </row>
    <row r="3678" spans="1:7">
      <c r="A3678" s="1079"/>
      <c r="B3678" s="1050"/>
      <c r="C3678" s="1050"/>
      <c r="D3678" s="1050"/>
      <c r="E3678" s="1050"/>
      <c r="F3678" s="1050"/>
      <c r="G3678" s="1050"/>
    </row>
    <row r="3679" spans="1:7">
      <c r="A3679" s="1079"/>
      <c r="B3679" s="1050"/>
      <c r="C3679" s="1050"/>
      <c r="D3679" s="1050"/>
      <c r="E3679" s="1050"/>
      <c r="F3679" s="1050"/>
      <c r="G3679" s="1050"/>
    </row>
    <row r="3680" spans="1:7">
      <c r="A3680" s="1079"/>
      <c r="B3680" s="1050"/>
      <c r="C3680" s="1050"/>
      <c r="D3680" s="1050"/>
      <c r="E3680" s="1050"/>
      <c r="F3680" s="1050"/>
      <c r="G3680" s="1050"/>
    </row>
    <row r="3681" spans="1:7">
      <c r="A3681" s="1079"/>
      <c r="B3681" s="1050"/>
      <c r="C3681" s="1050"/>
      <c r="D3681" s="1050"/>
      <c r="E3681" s="1050"/>
      <c r="F3681" s="1050"/>
      <c r="G3681" s="1050"/>
    </row>
    <row r="3682" spans="1:7">
      <c r="A3682" s="1079"/>
      <c r="B3682" s="1050"/>
      <c r="C3682" s="1050"/>
      <c r="D3682" s="1050"/>
      <c r="E3682" s="1050"/>
      <c r="F3682" s="1050"/>
      <c r="G3682" s="1050"/>
    </row>
    <row r="3683" spans="1:7">
      <c r="A3683" s="1079"/>
      <c r="B3683" s="1050"/>
      <c r="C3683" s="1050"/>
      <c r="D3683" s="1050"/>
      <c r="E3683" s="1050"/>
      <c r="F3683" s="1050"/>
      <c r="G3683" s="1050"/>
    </row>
    <row r="3684" spans="1:7">
      <c r="A3684" s="1079"/>
      <c r="B3684" s="1050"/>
      <c r="C3684" s="1050"/>
      <c r="D3684" s="1050"/>
      <c r="E3684" s="1050"/>
      <c r="F3684" s="1050"/>
      <c r="G3684" s="1050"/>
    </row>
    <row r="3685" spans="1:7">
      <c r="A3685" s="1079"/>
      <c r="B3685" s="1050"/>
      <c r="C3685" s="1050"/>
      <c r="D3685" s="1050"/>
      <c r="E3685" s="1050"/>
      <c r="F3685" s="1050"/>
      <c r="G3685" s="1050"/>
    </row>
    <row r="3686" spans="1:7">
      <c r="A3686" s="1079"/>
      <c r="B3686" s="1050"/>
      <c r="C3686" s="1050"/>
      <c r="D3686" s="1050"/>
      <c r="E3686" s="1050"/>
      <c r="F3686" s="1050"/>
      <c r="G3686" s="1050"/>
    </row>
    <row r="3687" spans="1:7">
      <c r="A3687" s="1079"/>
      <c r="B3687" s="1050"/>
      <c r="C3687" s="1050"/>
      <c r="D3687" s="1050"/>
      <c r="E3687" s="1050"/>
      <c r="F3687" s="1050"/>
      <c r="G3687" s="1050"/>
    </row>
    <row r="3688" spans="1:7">
      <c r="A3688" s="1079"/>
      <c r="B3688" s="1050"/>
      <c r="C3688" s="1050"/>
      <c r="D3688" s="1050"/>
      <c r="E3688" s="1050"/>
      <c r="F3688" s="1050"/>
      <c r="G3688" s="1050"/>
    </row>
    <row r="3689" spans="1:7">
      <c r="A3689" s="1079"/>
      <c r="B3689" s="1050"/>
      <c r="C3689" s="1050"/>
      <c r="D3689" s="1050"/>
      <c r="E3689" s="1050"/>
      <c r="F3689" s="1050"/>
      <c r="G3689" s="1050"/>
    </row>
    <row r="3690" spans="1:7">
      <c r="A3690" s="1079"/>
      <c r="B3690" s="1050"/>
      <c r="C3690" s="1050"/>
      <c r="D3690" s="1050"/>
      <c r="E3690" s="1050"/>
      <c r="F3690" s="1050"/>
      <c r="G3690" s="1050"/>
    </row>
    <row r="3691" spans="1:7">
      <c r="A3691" s="1079"/>
      <c r="B3691" s="1050"/>
      <c r="C3691" s="1050"/>
      <c r="D3691" s="1050"/>
      <c r="E3691" s="1050"/>
      <c r="F3691" s="1050"/>
      <c r="G3691" s="1050"/>
    </row>
    <row r="3692" spans="1:7">
      <c r="A3692" s="1079"/>
      <c r="B3692" s="1050"/>
      <c r="C3692" s="1050"/>
      <c r="D3692" s="1050"/>
      <c r="E3692" s="1050"/>
      <c r="F3692" s="1050"/>
      <c r="G3692" s="1050"/>
    </row>
    <row r="3693" spans="1:7">
      <c r="A3693" s="1079"/>
      <c r="B3693" s="1050"/>
      <c r="C3693" s="1050"/>
      <c r="D3693" s="1050"/>
      <c r="E3693" s="1050"/>
      <c r="F3693" s="1050"/>
      <c r="G3693" s="1050"/>
    </row>
    <row r="3694" spans="1:7">
      <c r="A3694" s="1079"/>
      <c r="B3694" s="1050"/>
      <c r="C3694" s="1050"/>
      <c r="D3694" s="1050"/>
      <c r="E3694" s="1050"/>
      <c r="F3694" s="1050"/>
      <c r="G3694" s="1050"/>
    </row>
    <row r="3695" spans="1:7">
      <c r="A3695" s="1079"/>
      <c r="B3695" s="1050"/>
      <c r="C3695" s="1050"/>
      <c r="D3695" s="1050"/>
      <c r="E3695" s="1050"/>
      <c r="F3695" s="1050"/>
      <c r="G3695" s="1050"/>
    </row>
    <row r="3696" spans="1:7">
      <c r="A3696" s="1079"/>
      <c r="B3696" s="1050"/>
      <c r="C3696" s="1050"/>
      <c r="D3696" s="1050"/>
      <c r="E3696" s="1050"/>
      <c r="F3696" s="1050"/>
      <c r="G3696" s="1050"/>
    </row>
    <row r="3697" spans="1:7">
      <c r="A3697" s="1079"/>
      <c r="B3697" s="1050"/>
      <c r="C3697" s="1050"/>
      <c r="D3697" s="1050"/>
      <c r="E3697" s="1050"/>
      <c r="F3697" s="1050"/>
      <c r="G3697" s="1050"/>
    </row>
    <row r="3698" spans="1:7">
      <c r="A3698" s="1079"/>
      <c r="B3698" s="1050"/>
      <c r="C3698" s="1050"/>
      <c r="D3698" s="1050"/>
      <c r="E3698" s="1050"/>
      <c r="F3698" s="1050"/>
      <c r="G3698" s="1050"/>
    </row>
    <row r="3699" spans="1:7">
      <c r="A3699" s="1079"/>
      <c r="B3699" s="1050"/>
      <c r="C3699" s="1050"/>
      <c r="D3699" s="1050"/>
      <c r="E3699" s="1050"/>
      <c r="F3699" s="1050"/>
      <c r="G3699" s="1050"/>
    </row>
    <row r="3700" spans="1:7">
      <c r="A3700" s="1079"/>
      <c r="B3700" s="1050"/>
      <c r="C3700" s="1050"/>
      <c r="D3700" s="1050"/>
      <c r="E3700" s="1050"/>
      <c r="F3700" s="1050"/>
      <c r="G3700" s="1050"/>
    </row>
    <row r="3701" spans="1:7">
      <c r="A3701" s="1079"/>
      <c r="B3701" s="1050"/>
      <c r="C3701" s="1050"/>
      <c r="D3701" s="1050"/>
      <c r="E3701" s="1050"/>
      <c r="F3701" s="1050"/>
      <c r="G3701" s="1050"/>
    </row>
    <row r="3702" spans="1:7">
      <c r="A3702" s="1079"/>
      <c r="B3702" s="1050"/>
      <c r="C3702" s="1050"/>
      <c r="D3702" s="1050"/>
      <c r="E3702" s="1050"/>
      <c r="F3702" s="1050"/>
      <c r="G3702" s="1050"/>
    </row>
    <row r="3703" spans="1:7">
      <c r="A3703" s="1079"/>
      <c r="B3703" s="1050"/>
      <c r="C3703" s="1050"/>
      <c r="D3703" s="1050"/>
      <c r="E3703" s="1050"/>
      <c r="F3703" s="1050"/>
      <c r="G3703" s="1050"/>
    </row>
    <row r="3704" spans="1:7">
      <c r="A3704" s="1079"/>
      <c r="B3704" s="1050"/>
      <c r="C3704" s="1050"/>
      <c r="D3704" s="1050"/>
      <c r="E3704" s="1050"/>
      <c r="F3704" s="1050"/>
      <c r="G3704" s="1050"/>
    </row>
    <row r="3705" spans="1:7">
      <c r="A3705" s="1079"/>
      <c r="B3705" s="1050"/>
      <c r="C3705" s="1050"/>
      <c r="D3705" s="1050"/>
      <c r="E3705" s="1050"/>
      <c r="F3705" s="1050"/>
      <c r="G3705" s="1050"/>
    </row>
    <row r="3706" spans="1:7">
      <c r="A3706" s="1079"/>
      <c r="B3706" s="1050"/>
      <c r="C3706" s="1050"/>
      <c r="D3706" s="1050"/>
      <c r="E3706" s="1050"/>
      <c r="F3706" s="1050"/>
      <c r="G3706" s="1050"/>
    </row>
    <row r="3707" spans="1:7">
      <c r="A3707" s="1079"/>
      <c r="B3707" s="1050"/>
      <c r="C3707" s="1050"/>
      <c r="D3707" s="1050"/>
      <c r="E3707" s="1050"/>
      <c r="F3707" s="1050"/>
      <c r="G3707" s="1050"/>
    </row>
    <row r="3708" spans="1:7">
      <c r="A3708" s="1079"/>
      <c r="B3708" s="1050"/>
      <c r="C3708" s="1050"/>
      <c r="D3708" s="1050"/>
      <c r="E3708" s="1050"/>
      <c r="F3708" s="1050"/>
      <c r="G3708" s="1050"/>
    </row>
    <row r="3709" spans="1:7">
      <c r="A3709" s="1079"/>
      <c r="B3709" s="1050"/>
      <c r="C3709" s="1050"/>
      <c r="D3709" s="1050"/>
      <c r="E3709" s="1050"/>
      <c r="F3709" s="1050"/>
      <c r="G3709" s="1050"/>
    </row>
    <row r="3710" spans="1:7">
      <c r="A3710" s="1079"/>
      <c r="B3710" s="1050"/>
      <c r="C3710" s="1050"/>
      <c r="D3710" s="1050"/>
      <c r="E3710" s="1050"/>
      <c r="F3710" s="1050"/>
      <c r="G3710" s="1050"/>
    </row>
    <row r="3711" spans="1:7">
      <c r="A3711" s="1079"/>
      <c r="B3711" s="1050"/>
      <c r="C3711" s="1050"/>
      <c r="D3711" s="1050"/>
      <c r="E3711" s="1050"/>
      <c r="F3711" s="1050"/>
      <c r="G3711" s="1050"/>
    </row>
    <row r="3712" spans="1:7">
      <c r="A3712" s="1079"/>
      <c r="B3712" s="1050"/>
      <c r="C3712" s="1050"/>
      <c r="D3712" s="1050"/>
      <c r="E3712" s="1050"/>
      <c r="F3712" s="1050"/>
      <c r="G3712" s="1050"/>
    </row>
    <row r="3713" spans="1:7">
      <c r="A3713" s="1079"/>
      <c r="B3713" s="1050"/>
      <c r="C3713" s="1050"/>
      <c r="D3713" s="1050"/>
      <c r="E3713" s="1050"/>
      <c r="F3713" s="1050"/>
      <c r="G3713" s="1050"/>
    </row>
    <row r="3714" spans="1:7">
      <c r="A3714" s="1079"/>
      <c r="B3714" s="1050"/>
      <c r="C3714" s="1050"/>
      <c r="D3714" s="1050"/>
      <c r="E3714" s="1050"/>
      <c r="F3714" s="1050"/>
      <c r="G3714" s="1050"/>
    </row>
    <row r="3715" spans="1:7">
      <c r="A3715" s="1079"/>
      <c r="B3715" s="1050"/>
      <c r="C3715" s="1050"/>
      <c r="D3715" s="1050"/>
      <c r="E3715" s="1050"/>
      <c r="F3715" s="1050"/>
      <c r="G3715" s="1050"/>
    </row>
    <row r="3716" spans="1:7">
      <c r="A3716" s="1079"/>
      <c r="B3716" s="1050"/>
      <c r="C3716" s="1050"/>
      <c r="D3716" s="1050"/>
      <c r="E3716" s="1050"/>
      <c r="F3716" s="1050"/>
      <c r="G3716" s="1050"/>
    </row>
    <row r="3717" spans="1:7">
      <c r="A3717" s="1079"/>
      <c r="B3717" s="1050"/>
      <c r="C3717" s="1050"/>
      <c r="D3717" s="1050"/>
      <c r="E3717" s="1050"/>
      <c r="F3717" s="1050"/>
      <c r="G3717" s="1050"/>
    </row>
    <row r="3718" spans="1:7">
      <c r="A3718" s="1079"/>
      <c r="B3718" s="1050"/>
      <c r="C3718" s="1050"/>
      <c r="D3718" s="1050"/>
      <c r="E3718" s="1050"/>
      <c r="F3718" s="1050"/>
      <c r="G3718" s="1050"/>
    </row>
    <row r="3719" spans="1:7">
      <c r="A3719" s="1079"/>
      <c r="B3719" s="1050"/>
      <c r="C3719" s="1050"/>
      <c r="D3719" s="1050"/>
      <c r="E3719" s="1050"/>
      <c r="F3719" s="1050"/>
      <c r="G3719" s="1050"/>
    </row>
    <row r="3720" spans="1:7">
      <c r="A3720" s="1079"/>
      <c r="B3720" s="1050"/>
      <c r="C3720" s="1050"/>
      <c r="D3720" s="1050"/>
      <c r="E3720" s="1050"/>
      <c r="F3720" s="1050"/>
      <c r="G3720" s="1050"/>
    </row>
    <row r="3721" spans="1:7">
      <c r="A3721" s="1079"/>
      <c r="B3721" s="1050"/>
      <c r="C3721" s="1050"/>
      <c r="D3721" s="1050"/>
      <c r="E3721" s="1050"/>
      <c r="F3721" s="1050"/>
      <c r="G3721" s="1050"/>
    </row>
    <row r="3722" spans="1:7">
      <c r="A3722" s="1079"/>
      <c r="B3722" s="1050"/>
      <c r="C3722" s="1050"/>
      <c r="D3722" s="1050"/>
      <c r="E3722" s="1050"/>
      <c r="F3722" s="1050"/>
      <c r="G3722" s="1050"/>
    </row>
    <row r="3723" spans="1:7">
      <c r="A3723" s="1079"/>
      <c r="B3723" s="1050"/>
      <c r="C3723" s="1050"/>
      <c r="D3723" s="1050"/>
      <c r="E3723" s="1050"/>
      <c r="F3723" s="1050"/>
      <c r="G3723" s="1050"/>
    </row>
    <row r="3724" spans="1:7">
      <c r="A3724" s="1079"/>
      <c r="B3724" s="1050"/>
      <c r="C3724" s="1050"/>
      <c r="D3724" s="1050"/>
      <c r="E3724" s="1050"/>
      <c r="F3724" s="1050"/>
      <c r="G3724" s="1050"/>
    </row>
    <row r="3725" spans="1:7">
      <c r="A3725" s="1079"/>
      <c r="B3725" s="1050"/>
      <c r="C3725" s="1050"/>
      <c r="D3725" s="1050"/>
      <c r="E3725" s="1050"/>
      <c r="F3725" s="1050"/>
      <c r="G3725" s="1050"/>
    </row>
    <row r="3726" spans="1:7">
      <c r="A3726" s="1079"/>
      <c r="B3726" s="1050"/>
      <c r="C3726" s="1050"/>
      <c r="D3726" s="1050"/>
      <c r="E3726" s="1050"/>
      <c r="F3726" s="1050"/>
      <c r="G3726" s="1050"/>
    </row>
    <row r="3727" spans="1:7">
      <c r="A3727" s="1079"/>
      <c r="B3727" s="1050"/>
      <c r="C3727" s="1050"/>
      <c r="D3727" s="1050"/>
      <c r="E3727" s="1050"/>
      <c r="F3727" s="1050"/>
      <c r="G3727" s="1050"/>
    </row>
    <row r="3728" spans="1:7">
      <c r="A3728" s="1079"/>
      <c r="B3728" s="1050"/>
      <c r="C3728" s="1050"/>
      <c r="D3728" s="1050"/>
      <c r="E3728" s="1050"/>
      <c r="F3728" s="1050"/>
      <c r="G3728" s="1050"/>
    </row>
    <row r="3729" spans="1:7">
      <c r="A3729" s="1079"/>
      <c r="B3729" s="1050"/>
      <c r="C3729" s="1050"/>
      <c r="D3729" s="1050"/>
      <c r="E3729" s="1050"/>
      <c r="F3729" s="1050"/>
      <c r="G3729" s="1050"/>
    </row>
    <row r="3730" spans="1:7">
      <c r="A3730" s="1079"/>
      <c r="B3730" s="1050"/>
      <c r="C3730" s="1050"/>
      <c r="D3730" s="1050"/>
      <c r="E3730" s="1050"/>
      <c r="F3730" s="1050"/>
      <c r="G3730" s="1050"/>
    </row>
    <row r="3731" spans="1:7">
      <c r="A3731" s="1079"/>
      <c r="B3731" s="1050"/>
      <c r="C3731" s="1050"/>
      <c r="D3731" s="1050"/>
      <c r="E3731" s="1050"/>
      <c r="F3731" s="1050"/>
      <c r="G3731" s="1050"/>
    </row>
    <row r="3732" spans="1:7">
      <c r="A3732" s="1079"/>
      <c r="B3732" s="1050"/>
      <c r="C3732" s="1050"/>
      <c r="D3732" s="1050"/>
      <c r="E3732" s="1050"/>
      <c r="F3732" s="1050"/>
      <c r="G3732" s="1050"/>
    </row>
    <row r="3733" spans="1:7">
      <c r="A3733" s="1079"/>
      <c r="B3733" s="1050"/>
      <c r="C3733" s="1050"/>
      <c r="D3733" s="1050"/>
      <c r="E3733" s="1050"/>
      <c r="F3733" s="1050"/>
      <c r="G3733" s="1050"/>
    </row>
    <row r="3734" spans="1:7">
      <c r="A3734" s="1079"/>
      <c r="B3734" s="1050"/>
      <c r="C3734" s="1050"/>
      <c r="D3734" s="1050"/>
      <c r="E3734" s="1050"/>
      <c r="F3734" s="1050"/>
      <c r="G3734" s="1050"/>
    </row>
    <row r="3735" spans="1:7">
      <c r="A3735" s="1079"/>
      <c r="B3735" s="1050"/>
      <c r="C3735" s="1050"/>
      <c r="D3735" s="1050"/>
      <c r="E3735" s="1050"/>
      <c r="F3735" s="1050"/>
      <c r="G3735" s="1050"/>
    </row>
    <row r="3736" spans="1:7">
      <c r="A3736" s="1079"/>
      <c r="B3736" s="1050"/>
      <c r="C3736" s="1050"/>
      <c r="D3736" s="1050"/>
      <c r="E3736" s="1050"/>
      <c r="F3736" s="1050"/>
      <c r="G3736" s="1050"/>
    </row>
    <row r="3737" spans="1:7">
      <c r="A3737" s="1079"/>
      <c r="B3737" s="1050"/>
      <c r="C3737" s="1050"/>
      <c r="D3737" s="1050"/>
      <c r="E3737" s="1050"/>
      <c r="F3737" s="1050"/>
      <c r="G3737" s="1050"/>
    </row>
    <row r="3738" spans="1:7">
      <c r="A3738" s="1079"/>
      <c r="B3738" s="1050"/>
      <c r="C3738" s="1050"/>
      <c r="D3738" s="1050"/>
      <c r="E3738" s="1050"/>
      <c r="F3738" s="1050"/>
      <c r="G3738" s="1050"/>
    </row>
    <row r="3739" spans="1:7">
      <c r="A3739" s="1079"/>
      <c r="B3739" s="1050"/>
      <c r="C3739" s="1050"/>
      <c r="D3739" s="1050"/>
      <c r="E3739" s="1050"/>
      <c r="F3739" s="1050"/>
      <c r="G3739" s="1050"/>
    </row>
    <row r="3740" spans="1:7">
      <c r="A3740" s="1079"/>
      <c r="B3740" s="1050"/>
      <c r="C3740" s="1050"/>
      <c r="D3740" s="1050"/>
      <c r="E3740" s="1050"/>
      <c r="F3740" s="1050"/>
      <c r="G3740" s="1050"/>
    </row>
    <row r="3741" spans="1:7">
      <c r="A3741" s="1079"/>
      <c r="B3741" s="1050"/>
      <c r="C3741" s="1050"/>
      <c r="D3741" s="1050"/>
      <c r="E3741" s="1050"/>
      <c r="F3741" s="1050"/>
      <c r="G3741" s="1050"/>
    </row>
    <row r="3742" spans="1:7">
      <c r="A3742" s="1079"/>
      <c r="B3742" s="1050"/>
      <c r="C3742" s="1050"/>
      <c r="D3742" s="1050"/>
      <c r="E3742" s="1050"/>
      <c r="F3742" s="1050"/>
      <c r="G3742" s="1050"/>
    </row>
    <row r="3743" spans="1:7">
      <c r="A3743" s="1079"/>
      <c r="B3743" s="1050"/>
      <c r="C3743" s="1050"/>
      <c r="D3743" s="1050"/>
      <c r="E3743" s="1050"/>
      <c r="F3743" s="1050"/>
      <c r="G3743" s="1050"/>
    </row>
    <row r="3744" spans="1:7">
      <c r="A3744" s="1079"/>
      <c r="B3744" s="1050"/>
      <c r="C3744" s="1050"/>
      <c r="D3744" s="1050"/>
      <c r="E3744" s="1050"/>
      <c r="F3744" s="1050"/>
      <c r="G3744" s="1050"/>
    </row>
    <row r="3745" spans="1:7">
      <c r="A3745" s="1079"/>
      <c r="B3745" s="1050"/>
      <c r="C3745" s="1050"/>
      <c r="D3745" s="1050"/>
      <c r="E3745" s="1050"/>
      <c r="F3745" s="1050"/>
      <c r="G3745" s="1050"/>
    </row>
    <row r="3746" spans="1:7">
      <c r="A3746" s="1079"/>
      <c r="B3746" s="1050"/>
      <c r="C3746" s="1050"/>
      <c r="D3746" s="1050"/>
      <c r="E3746" s="1050"/>
      <c r="F3746" s="1050"/>
      <c r="G3746" s="1050"/>
    </row>
    <row r="3747" spans="1:7">
      <c r="A3747" s="1079"/>
      <c r="B3747" s="1050"/>
      <c r="C3747" s="1050"/>
      <c r="D3747" s="1050"/>
      <c r="E3747" s="1050"/>
      <c r="F3747" s="1050"/>
      <c r="G3747" s="1050"/>
    </row>
    <row r="3748" spans="1:7">
      <c r="A3748" s="1079"/>
      <c r="B3748" s="1050"/>
      <c r="C3748" s="1050"/>
      <c r="D3748" s="1050"/>
      <c r="E3748" s="1050"/>
      <c r="F3748" s="1050"/>
      <c r="G3748" s="1050"/>
    </row>
    <row r="3749" spans="1:7">
      <c r="A3749" s="1079"/>
      <c r="B3749" s="1050"/>
      <c r="C3749" s="1050"/>
      <c r="D3749" s="1050"/>
      <c r="E3749" s="1050"/>
      <c r="F3749" s="1050"/>
      <c r="G3749" s="1050"/>
    </row>
    <row r="3750" spans="1:7">
      <c r="A3750" s="1079"/>
      <c r="B3750" s="1050"/>
      <c r="C3750" s="1050"/>
      <c r="D3750" s="1050"/>
      <c r="E3750" s="1050"/>
      <c r="F3750" s="1050"/>
      <c r="G3750" s="1050"/>
    </row>
    <row r="3751" spans="1:7">
      <c r="A3751" s="1079"/>
      <c r="B3751" s="1050"/>
      <c r="C3751" s="1050"/>
      <c r="D3751" s="1050"/>
      <c r="E3751" s="1050"/>
      <c r="F3751" s="1050"/>
      <c r="G3751" s="1050"/>
    </row>
    <row r="3752" spans="1:7">
      <c r="A3752" s="1079"/>
      <c r="B3752" s="1050"/>
      <c r="C3752" s="1050"/>
      <c r="D3752" s="1050"/>
      <c r="E3752" s="1050"/>
      <c r="F3752" s="1050"/>
      <c r="G3752" s="1050"/>
    </row>
    <row r="3753" spans="1:7">
      <c r="A3753" s="1079"/>
      <c r="B3753" s="1050"/>
      <c r="C3753" s="1050"/>
      <c r="D3753" s="1050"/>
      <c r="E3753" s="1050"/>
      <c r="F3753" s="1050"/>
      <c r="G3753" s="1050"/>
    </row>
    <row r="3754" spans="1:7">
      <c r="A3754" s="1079"/>
      <c r="B3754" s="1050"/>
      <c r="C3754" s="1050"/>
      <c r="D3754" s="1050"/>
      <c r="E3754" s="1050"/>
      <c r="F3754" s="1050"/>
      <c r="G3754" s="1050"/>
    </row>
    <row r="3755" spans="1:7">
      <c r="A3755" s="1079"/>
      <c r="B3755" s="1050"/>
      <c r="C3755" s="1050"/>
      <c r="D3755" s="1050"/>
      <c r="E3755" s="1050"/>
      <c r="F3755" s="1050"/>
      <c r="G3755" s="1050"/>
    </row>
    <row r="3756" spans="1:7">
      <c r="A3756" s="1079"/>
      <c r="B3756" s="1050"/>
      <c r="C3756" s="1050"/>
      <c r="D3756" s="1050"/>
      <c r="E3756" s="1050"/>
      <c r="F3756" s="1050"/>
      <c r="G3756" s="1050"/>
    </row>
    <row r="3757" spans="1:7">
      <c r="A3757" s="1079"/>
      <c r="B3757" s="1050"/>
      <c r="C3757" s="1050"/>
      <c r="D3757" s="1050"/>
      <c r="E3757" s="1050"/>
      <c r="F3757" s="1050"/>
      <c r="G3757" s="1050"/>
    </row>
    <row r="3758" spans="1:7">
      <c r="A3758" s="1079"/>
      <c r="B3758" s="1050"/>
      <c r="C3758" s="1050"/>
      <c r="D3758" s="1050"/>
      <c r="E3758" s="1050"/>
      <c r="F3758" s="1050"/>
      <c r="G3758" s="1050"/>
    </row>
    <row r="3759" spans="1:7">
      <c r="A3759" s="1079"/>
      <c r="B3759" s="1050"/>
      <c r="C3759" s="1050"/>
      <c r="D3759" s="1050"/>
      <c r="E3759" s="1050"/>
      <c r="F3759" s="1050"/>
      <c r="G3759" s="1050"/>
    </row>
    <row r="3760" spans="1:7">
      <c r="A3760" s="1079"/>
      <c r="B3760" s="1050"/>
      <c r="C3760" s="1050"/>
      <c r="D3760" s="1050"/>
      <c r="E3760" s="1050"/>
      <c r="F3760" s="1050"/>
      <c r="G3760" s="1050"/>
    </row>
    <row r="3761" spans="1:7">
      <c r="A3761" s="1079"/>
      <c r="B3761" s="1050"/>
      <c r="C3761" s="1050"/>
      <c r="D3761" s="1050"/>
      <c r="E3761" s="1050"/>
      <c r="F3761" s="1050"/>
      <c r="G3761" s="1050"/>
    </row>
    <row r="3762" spans="1:7">
      <c r="A3762" s="1079"/>
      <c r="B3762" s="1050"/>
      <c r="C3762" s="1050"/>
      <c r="D3762" s="1050"/>
      <c r="E3762" s="1050"/>
      <c r="F3762" s="1050"/>
      <c r="G3762" s="1050"/>
    </row>
    <row r="3763" spans="1:7">
      <c r="A3763" s="1079"/>
      <c r="B3763" s="1050"/>
      <c r="C3763" s="1050"/>
      <c r="D3763" s="1050"/>
      <c r="E3763" s="1050"/>
      <c r="F3763" s="1050"/>
      <c r="G3763" s="1050"/>
    </row>
    <row r="3764" spans="1:7">
      <c r="A3764" s="1079"/>
      <c r="B3764" s="1050"/>
      <c r="C3764" s="1050"/>
      <c r="D3764" s="1050"/>
      <c r="E3764" s="1050"/>
      <c r="F3764" s="1050"/>
      <c r="G3764" s="1050"/>
    </row>
    <row r="3765" spans="1:7">
      <c r="A3765" s="1079"/>
      <c r="B3765" s="1050"/>
      <c r="C3765" s="1050"/>
      <c r="D3765" s="1050"/>
      <c r="E3765" s="1050"/>
      <c r="F3765" s="1050"/>
      <c r="G3765" s="1050"/>
    </row>
    <row r="3766" spans="1:7">
      <c r="A3766" s="1079"/>
      <c r="B3766" s="1050"/>
      <c r="C3766" s="1050"/>
      <c r="D3766" s="1050"/>
      <c r="E3766" s="1050"/>
      <c r="F3766" s="1050"/>
      <c r="G3766" s="1050"/>
    </row>
    <row r="3767" spans="1:7">
      <c r="A3767" s="1079"/>
      <c r="B3767" s="1050"/>
      <c r="C3767" s="1050"/>
      <c r="D3767" s="1050"/>
      <c r="E3767" s="1050"/>
      <c r="F3767" s="1050"/>
      <c r="G3767" s="1050"/>
    </row>
    <row r="3768" spans="1:7">
      <c r="A3768" s="1079"/>
      <c r="B3768" s="1050"/>
      <c r="C3768" s="1050"/>
      <c r="D3768" s="1050"/>
      <c r="E3768" s="1050"/>
      <c r="F3768" s="1050"/>
      <c r="G3768" s="1050"/>
    </row>
    <row r="3769" spans="1:7">
      <c r="A3769" s="1079"/>
      <c r="B3769" s="1050"/>
      <c r="C3769" s="1050"/>
      <c r="D3769" s="1050"/>
      <c r="E3769" s="1050"/>
      <c r="F3769" s="1050"/>
      <c r="G3769" s="1050"/>
    </row>
    <row r="3770" spans="1:7">
      <c r="A3770" s="1079"/>
      <c r="B3770" s="1050"/>
      <c r="C3770" s="1050"/>
      <c r="D3770" s="1050"/>
      <c r="E3770" s="1050"/>
      <c r="F3770" s="1050"/>
      <c r="G3770" s="1050"/>
    </row>
    <row r="3771" spans="1:7">
      <c r="A3771" s="1079"/>
      <c r="B3771" s="1050"/>
      <c r="C3771" s="1050"/>
      <c r="D3771" s="1050"/>
      <c r="E3771" s="1050"/>
      <c r="F3771" s="1050"/>
      <c r="G3771" s="1050"/>
    </row>
    <row r="3772" spans="1:7">
      <c r="A3772" s="1079"/>
      <c r="B3772" s="1050"/>
      <c r="C3772" s="1050"/>
      <c r="D3772" s="1050"/>
      <c r="E3772" s="1050"/>
      <c r="F3772" s="1050"/>
      <c r="G3772" s="1050"/>
    </row>
    <row r="3773" spans="1:7">
      <c r="A3773" s="1079"/>
      <c r="B3773" s="1050"/>
      <c r="C3773" s="1050"/>
      <c r="D3773" s="1050"/>
      <c r="E3773" s="1050"/>
      <c r="F3773" s="1050"/>
      <c r="G3773" s="1050"/>
    </row>
    <row r="3774" spans="1:7">
      <c r="A3774" s="1079"/>
      <c r="B3774" s="1050"/>
      <c r="C3774" s="1050"/>
      <c r="D3774" s="1050"/>
      <c r="E3774" s="1050"/>
      <c r="F3774" s="1050"/>
      <c r="G3774" s="1050"/>
    </row>
    <row r="3775" spans="1:7">
      <c r="A3775" s="1079"/>
      <c r="B3775" s="1050"/>
      <c r="C3775" s="1050"/>
      <c r="D3775" s="1050"/>
      <c r="E3775" s="1050"/>
      <c r="F3775" s="1050"/>
      <c r="G3775" s="1050"/>
    </row>
    <row r="3776" spans="1:7">
      <c r="A3776" s="1079"/>
      <c r="B3776" s="1050"/>
      <c r="C3776" s="1050"/>
      <c r="D3776" s="1050"/>
      <c r="E3776" s="1050"/>
      <c r="F3776" s="1050"/>
      <c r="G3776" s="1050"/>
    </row>
    <row r="3777" spans="1:7">
      <c r="A3777" s="1079"/>
      <c r="B3777" s="1050"/>
      <c r="C3777" s="1050"/>
      <c r="D3777" s="1050"/>
      <c r="E3777" s="1050"/>
      <c r="F3777" s="1050"/>
      <c r="G3777" s="1050"/>
    </row>
    <row r="3778" spans="1:7">
      <c r="A3778" s="1079"/>
      <c r="B3778" s="1050"/>
      <c r="C3778" s="1050"/>
      <c r="D3778" s="1050"/>
      <c r="E3778" s="1050"/>
      <c r="F3778" s="1050"/>
      <c r="G3778" s="1050"/>
    </row>
    <row r="3779" spans="1:7">
      <c r="A3779" s="1079"/>
      <c r="B3779" s="1050"/>
      <c r="C3779" s="1050"/>
      <c r="D3779" s="1050"/>
      <c r="E3779" s="1050"/>
      <c r="F3779" s="1050"/>
      <c r="G3779" s="1050"/>
    </row>
    <row r="3780" spans="1:7">
      <c r="A3780" s="1079"/>
      <c r="B3780" s="1050"/>
      <c r="C3780" s="1050"/>
      <c r="D3780" s="1050"/>
      <c r="E3780" s="1050"/>
      <c r="F3780" s="1050"/>
      <c r="G3780" s="1050"/>
    </row>
    <row r="3781" spans="1:7">
      <c r="A3781" s="1079"/>
      <c r="B3781" s="1050"/>
      <c r="C3781" s="1050"/>
      <c r="D3781" s="1050"/>
      <c r="E3781" s="1050"/>
      <c r="F3781" s="1050"/>
      <c r="G3781" s="1050"/>
    </row>
    <row r="3782" spans="1:7">
      <c r="A3782" s="1079"/>
      <c r="B3782" s="1050"/>
      <c r="C3782" s="1050"/>
      <c r="D3782" s="1050"/>
      <c r="E3782" s="1050"/>
      <c r="F3782" s="1050"/>
      <c r="G3782" s="1050"/>
    </row>
    <row r="3783" spans="1:7">
      <c r="A3783" s="1079"/>
      <c r="B3783" s="1050"/>
      <c r="C3783" s="1050"/>
      <c r="D3783" s="1050"/>
      <c r="E3783" s="1050"/>
      <c r="F3783" s="1050"/>
      <c r="G3783" s="1050"/>
    </row>
    <row r="3784" spans="1:7">
      <c r="A3784" s="1079"/>
      <c r="B3784" s="1050"/>
      <c r="C3784" s="1050"/>
      <c r="D3784" s="1050"/>
      <c r="E3784" s="1050"/>
      <c r="F3784" s="1050"/>
      <c r="G3784" s="1050"/>
    </row>
    <row r="3785" spans="1:7">
      <c r="A3785" s="1079"/>
      <c r="B3785" s="1050"/>
      <c r="C3785" s="1050"/>
      <c r="D3785" s="1050"/>
      <c r="E3785" s="1050"/>
      <c r="F3785" s="1050"/>
      <c r="G3785" s="1050"/>
    </row>
    <row r="3786" spans="1:7">
      <c r="A3786" s="1079"/>
      <c r="B3786" s="1050"/>
      <c r="C3786" s="1050"/>
      <c r="D3786" s="1050"/>
      <c r="E3786" s="1050"/>
      <c r="F3786" s="1050"/>
      <c r="G3786" s="1050"/>
    </row>
    <row r="3787" spans="1:7">
      <c r="A3787" s="1079"/>
      <c r="B3787" s="1050"/>
      <c r="C3787" s="1050"/>
      <c r="D3787" s="1050"/>
      <c r="E3787" s="1050"/>
      <c r="F3787" s="1050"/>
      <c r="G3787" s="1050"/>
    </row>
    <row r="3788" spans="1:7">
      <c r="A3788" s="1079"/>
      <c r="B3788" s="1050"/>
      <c r="C3788" s="1050"/>
      <c r="D3788" s="1050"/>
      <c r="E3788" s="1050"/>
      <c r="F3788" s="1050"/>
      <c r="G3788" s="1050"/>
    </row>
    <row r="3789" spans="1:7">
      <c r="A3789" s="1079"/>
      <c r="B3789" s="1050"/>
      <c r="C3789" s="1050"/>
      <c r="D3789" s="1050"/>
      <c r="E3789" s="1050"/>
      <c r="F3789" s="1050"/>
      <c r="G3789" s="1050"/>
    </row>
    <row r="3790" spans="1:7">
      <c r="A3790" s="1079"/>
      <c r="B3790" s="1050"/>
      <c r="C3790" s="1050"/>
      <c r="D3790" s="1050"/>
      <c r="E3790" s="1050"/>
      <c r="F3790" s="1050"/>
      <c r="G3790" s="1050"/>
    </row>
    <row r="3791" spans="1:7">
      <c r="A3791" s="1079"/>
      <c r="B3791" s="1050"/>
      <c r="C3791" s="1050"/>
      <c r="D3791" s="1050"/>
      <c r="E3791" s="1050"/>
      <c r="F3791" s="1050"/>
      <c r="G3791" s="1050"/>
    </row>
    <row r="3792" spans="1:7">
      <c r="A3792" s="1079"/>
      <c r="B3792" s="1050"/>
      <c r="C3792" s="1050"/>
      <c r="D3792" s="1050"/>
      <c r="E3792" s="1050"/>
      <c r="F3792" s="1050"/>
      <c r="G3792" s="1050"/>
    </row>
    <row r="3793" spans="1:7">
      <c r="A3793" s="1079"/>
      <c r="B3793" s="1050"/>
      <c r="C3793" s="1050"/>
      <c r="D3793" s="1050"/>
      <c r="E3793" s="1050"/>
      <c r="F3793" s="1050"/>
      <c r="G3793" s="1050"/>
    </row>
    <row r="3794" spans="1:7">
      <c r="A3794" s="1079"/>
      <c r="B3794" s="1050"/>
      <c r="C3794" s="1050"/>
      <c r="D3794" s="1050"/>
      <c r="E3794" s="1050"/>
      <c r="F3794" s="1050"/>
      <c r="G3794" s="1050"/>
    </row>
    <row r="3795" spans="1:7">
      <c r="A3795" s="1079"/>
      <c r="B3795" s="1050"/>
      <c r="C3795" s="1050"/>
      <c r="D3795" s="1050"/>
      <c r="E3795" s="1050"/>
      <c r="F3795" s="1050"/>
      <c r="G3795" s="1050"/>
    </row>
    <row r="3796" spans="1:7">
      <c r="A3796" s="1079"/>
      <c r="B3796" s="1050"/>
      <c r="C3796" s="1050"/>
      <c r="D3796" s="1050"/>
      <c r="E3796" s="1050"/>
      <c r="F3796" s="1050"/>
      <c r="G3796" s="1050"/>
    </row>
    <row r="3797" spans="1:7">
      <c r="A3797" s="1079"/>
      <c r="B3797" s="1050"/>
      <c r="C3797" s="1050"/>
      <c r="D3797" s="1050"/>
      <c r="E3797" s="1050"/>
      <c r="F3797" s="1050"/>
      <c r="G3797" s="1050"/>
    </row>
    <row r="3798" spans="1:7">
      <c r="A3798" s="1079"/>
      <c r="B3798" s="1050"/>
      <c r="C3798" s="1050"/>
      <c r="D3798" s="1050"/>
      <c r="E3798" s="1050"/>
      <c r="F3798" s="1050"/>
      <c r="G3798" s="1050"/>
    </row>
    <row r="3799" spans="1:7">
      <c r="A3799" s="1079"/>
      <c r="B3799" s="1050"/>
      <c r="C3799" s="1050"/>
      <c r="D3799" s="1050"/>
      <c r="E3799" s="1050"/>
      <c r="F3799" s="1050"/>
      <c r="G3799" s="1050"/>
    </row>
    <row r="3800" spans="1:7">
      <c r="A3800" s="1079"/>
      <c r="B3800" s="1050"/>
      <c r="C3800" s="1050"/>
      <c r="D3800" s="1050"/>
      <c r="E3800" s="1050"/>
      <c r="F3800" s="1050"/>
      <c r="G3800" s="1050"/>
    </row>
    <row r="3801" spans="1:7">
      <c r="A3801" s="1079"/>
      <c r="B3801" s="1050"/>
      <c r="C3801" s="1050"/>
      <c r="D3801" s="1050"/>
      <c r="E3801" s="1050"/>
      <c r="F3801" s="1050"/>
      <c r="G3801" s="1050"/>
    </row>
    <row r="3802" spans="1:7">
      <c r="A3802" s="1079"/>
      <c r="B3802" s="1050"/>
      <c r="C3802" s="1050"/>
      <c r="D3802" s="1050"/>
      <c r="E3802" s="1050"/>
      <c r="F3802" s="1050"/>
      <c r="G3802" s="1050"/>
    </row>
    <row r="3803" spans="1:7">
      <c r="A3803" s="1079"/>
      <c r="B3803" s="1050"/>
      <c r="C3803" s="1050"/>
      <c r="D3803" s="1050"/>
      <c r="E3803" s="1050"/>
      <c r="F3803" s="1050"/>
      <c r="G3803" s="1050"/>
    </row>
    <row r="3804" spans="1:7">
      <c r="A3804" s="1079"/>
      <c r="B3804" s="1050"/>
      <c r="C3804" s="1050"/>
      <c r="D3804" s="1050"/>
      <c r="E3804" s="1050"/>
      <c r="F3804" s="1050"/>
      <c r="G3804" s="1050"/>
    </row>
    <row r="3805" spans="1:7">
      <c r="A3805" s="1079"/>
      <c r="B3805" s="1050"/>
      <c r="C3805" s="1050"/>
      <c r="D3805" s="1050"/>
      <c r="E3805" s="1050"/>
      <c r="F3805" s="1050"/>
      <c r="G3805" s="1050"/>
    </row>
    <row r="3806" spans="1:7">
      <c r="A3806" s="1079"/>
      <c r="B3806" s="1050"/>
      <c r="C3806" s="1050"/>
      <c r="D3806" s="1050"/>
      <c r="E3806" s="1050"/>
      <c r="F3806" s="1050"/>
      <c r="G3806" s="1050"/>
    </row>
    <row r="3807" spans="1:7">
      <c r="A3807" s="1079"/>
      <c r="B3807" s="1050"/>
      <c r="C3807" s="1050"/>
      <c r="D3807" s="1050"/>
      <c r="E3807" s="1050"/>
      <c r="F3807" s="1050"/>
      <c r="G3807" s="1050"/>
    </row>
    <row r="3808" spans="1:7">
      <c r="A3808" s="1079"/>
      <c r="B3808" s="1050"/>
      <c r="C3808" s="1050"/>
      <c r="D3808" s="1050"/>
      <c r="E3808" s="1050"/>
      <c r="F3808" s="1050"/>
      <c r="G3808" s="1050"/>
    </row>
    <row r="3809" spans="1:7">
      <c r="A3809" s="1079"/>
      <c r="B3809" s="1050"/>
      <c r="C3809" s="1050"/>
      <c r="D3809" s="1050"/>
      <c r="E3809" s="1050"/>
      <c r="F3809" s="1050"/>
      <c r="G3809" s="1050"/>
    </row>
    <row r="3810" spans="1:7">
      <c r="A3810" s="1079"/>
      <c r="B3810" s="1050"/>
      <c r="C3810" s="1050"/>
      <c r="D3810" s="1050"/>
      <c r="E3810" s="1050"/>
      <c r="F3810" s="1050"/>
      <c r="G3810" s="1050"/>
    </row>
    <row r="3811" spans="1:7">
      <c r="A3811" s="1079"/>
      <c r="B3811" s="1050"/>
      <c r="C3811" s="1050"/>
      <c r="D3811" s="1050"/>
      <c r="E3811" s="1050"/>
      <c r="F3811" s="1050"/>
      <c r="G3811" s="1050"/>
    </row>
    <row r="3812" spans="1:7">
      <c r="A3812" s="1079"/>
      <c r="B3812" s="1050"/>
      <c r="C3812" s="1050"/>
      <c r="D3812" s="1050"/>
      <c r="E3812" s="1050"/>
      <c r="F3812" s="1050"/>
      <c r="G3812" s="1050"/>
    </row>
    <row r="3813" spans="1:7">
      <c r="A3813" s="1079"/>
      <c r="B3813" s="1050"/>
      <c r="C3813" s="1050"/>
      <c r="D3813" s="1050"/>
      <c r="E3813" s="1050"/>
      <c r="F3813" s="1050"/>
      <c r="G3813" s="1050"/>
    </row>
    <row r="3814" spans="1:7">
      <c r="A3814" s="1079"/>
      <c r="B3814" s="1050"/>
      <c r="C3814" s="1050"/>
      <c r="D3814" s="1050"/>
      <c r="E3814" s="1050"/>
      <c r="F3814" s="1050"/>
      <c r="G3814" s="1050"/>
    </row>
    <row r="3815" spans="1:7">
      <c r="A3815" s="1079"/>
      <c r="B3815" s="1050"/>
      <c r="C3815" s="1050"/>
      <c r="D3815" s="1050"/>
      <c r="E3815" s="1050"/>
      <c r="F3815" s="1050"/>
      <c r="G3815" s="1050"/>
    </row>
    <row r="3816" spans="1:7">
      <c r="A3816" s="1079"/>
      <c r="B3816" s="1050"/>
      <c r="C3816" s="1050"/>
      <c r="D3816" s="1050"/>
      <c r="E3816" s="1050"/>
      <c r="F3816" s="1050"/>
      <c r="G3816" s="1050"/>
    </row>
    <row r="3817" spans="1:7">
      <c r="A3817" s="1079"/>
      <c r="B3817" s="1050"/>
      <c r="C3817" s="1050"/>
      <c r="D3817" s="1050"/>
      <c r="E3817" s="1050"/>
      <c r="F3817" s="1050"/>
      <c r="G3817" s="1050"/>
    </row>
    <row r="3818" spans="1:7">
      <c r="A3818" s="1079"/>
      <c r="B3818" s="1050"/>
      <c r="C3818" s="1050"/>
      <c r="D3818" s="1050"/>
      <c r="E3818" s="1050"/>
      <c r="F3818" s="1050"/>
      <c r="G3818" s="1050"/>
    </row>
    <row r="3819" spans="1:7">
      <c r="A3819" s="1079"/>
      <c r="B3819" s="1050"/>
      <c r="C3819" s="1050"/>
      <c r="D3819" s="1050"/>
      <c r="E3819" s="1050"/>
      <c r="F3819" s="1050"/>
      <c r="G3819" s="1050"/>
    </row>
    <row r="3820" spans="1:7">
      <c r="A3820" s="1079"/>
      <c r="B3820" s="1050"/>
      <c r="C3820" s="1050"/>
      <c r="D3820" s="1050"/>
      <c r="E3820" s="1050"/>
      <c r="F3820" s="1050"/>
      <c r="G3820" s="1050"/>
    </row>
    <row r="3821" spans="1:7">
      <c r="A3821" s="1079"/>
      <c r="B3821" s="1050"/>
      <c r="C3821" s="1050"/>
      <c r="D3821" s="1050"/>
      <c r="E3821" s="1050"/>
      <c r="F3821" s="1050"/>
      <c r="G3821" s="1050"/>
    </row>
    <row r="3822" spans="1:7">
      <c r="A3822" s="1079"/>
      <c r="B3822" s="1050"/>
      <c r="C3822" s="1050"/>
      <c r="D3822" s="1050"/>
      <c r="E3822" s="1050"/>
      <c r="F3822" s="1050"/>
      <c r="G3822" s="1050"/>
    </row>
    <row r="3823" spans="1:7">
      <c r="A3823" s="1079"/>
      <c r="B3823" s="1050"/>
      <c r="C3823" s="1050"/>
      <c r="D3823" s="1050"/>
      <c r="E3823" s="1050"/>
      <c r="F3823" s="1050"/>
      <c r="G3823" s="1050"/>
    </row>
    <row r="3824" spans="1:7">
      <c r="A3824" s="1079"/>
      <c r="B3824" s="1050"/>
      <c r="C3824" s="1050"/>
      <c r="D3824" s="1050"/>
      <c r="E3824" s="1050"/>
      <c r="F3824" s="1050"/>
      <c r="G3824" s="1050"/>
    </row>
    <row r="3825" spans="1:7">
      <c r="A3825" s="1079"/>
      <c r="B3825" s="1050"/>
      <c r="C3825" s="1050"/>
      <c r="D3825" s="1050"/>
      <c r="E3825" s="1050"/>
      <c r="F3825" s="1050"/>
      <c r="G3825" s="1050"/>
    </row>
    <row r="3826" spans="1:7">
      <c r="A3826" s="1079"/>
      <c r="B3826" s="1050"/>
      <c r="C3826" s="1050"/>
      <c r="D3826" s="1050"/>
      <c r="E3826" s="1050"/>
      <c r="F3826" s="1050"/>
      <c r="G3826" s="1050"/>
    </row>
    <row r="3827" spans="1:7">
      <c r="A3827" s="1079"/>
      <c r="B3827" s="1050"/>
      <c r="C3827" s="1050"/>
      <c r="D3827" s="1050"/>
      <c r="E3827" s="1050"/>
      <c r="F3827" s="1050"/>
      <c r="G3827" s="1050"/>
    </row>
    <row r="3828" spans="1:7">
      <c r="A3828" s="1079"/>
      <c r="B3828" s="1050"/>
      <c r="C3828" s="1050"/>
      <c r="D3828" s="1050"/>
      <c r="E3828" s="1050"/>
      <c r="F3828" s="1050"/>
      <c r="G3828" s="1050"/>
    </row>
    <row r="3829" spans="1:7">
      <c r="A3829" s="1079"/>
      <c r="B3829" s="1050"/>
      <c r="C3829" s="1050"/>
      <c r="D3829" s="1050"/>
      <c r="E3829" s="1050"/>
      <c r="F3829" s="1050"/>
      <c r="G3829" s="1050"/>
    </row>
    <row r="3830" spans="1:7">
      <c r="A3830" s="1079"/>
      <c r="B3830" s="1050"/>
      <c r="C3830" s="1050"/>
      <c r="D3830" s="1050"/>
      <c r="E3830" s="1050"/>
      <c r="F3830" s="1050"/>
      <c r="G3830" s="1050"/>
    </row>
    <row r="3831" spans="1:7">
      <c r="A3831" s="1079"/>
      <c r="B3831" s="1050"/>
      <c r="C3831" s="1050"/>
      <c r="D3831" s="1050"/>
      <c r="E3831" s="1050"/>
      <c r="F3831" s="1050"/>
      <c r="G3831" s="1050"/>
    </row>
    <row r="3832" spans="1:7">
      <c r="A3832" s="1079"/>
      <c r="B3832" s="1050"/>
      <c r="C3832" s="1050"/>
      <c r="D3832" s="1050"/>
      <c r="E3832" s="1050"/>
      <c r="F3832" s="1050"/>
      <c r="G3832" s="1050"/>
    </row>
    <row r="3833" spans="1:7">
      <c r="A3833" s="1079"/>
      <c r="B3833" s="1050"/>
      <c r="C3833" s="1050"/>
      <c r="D3833" s="1050"/>
      <c r="E3833" s="1050"/>
      <c r="F3833" s="1050"/>
      <c r="G3833" s="1050"/>
    </row>
    <row r="3834" spans="1:7">
      <c r="A3834" s="1079"/>
      <c r="B3834" s="1050"/>
      <c r="C3834" s="1050"/>
      <c r="D3834" s="1050"/>
      <c r="E3834" s="1050"/>
      <c r="F3834" s="1050"/>
      <c r="G3834" s="1050"/>
    </row>
    <row r="3835" spans="1:7">
      <c r="A3835" s="1079"/>
      <c r="B3835" s="1050"/>
      <c r="C3835" s="1050"/>
      <c r="D3835" s="1050"/>
      <c r="E3835" s="1050"/>
      <c r="F3835" s="1050"/>
      <c r="G3835" s="1050"/>
    </row>
    <row r="3836" spans="1:7">
      <c r="A3836" s="1079"/>
      <c r="B3836" s="1050"/>
      <c r="C3836" s="1050"/>
      <c r="D3836" s="1050"/>
      <c r="E3836" s="1050"/>
      <c r="F3836" s="1050"/>
      <c r="G3836" s="1050"/>
    </row>
    <row r="3837" spans="1:7">
      <c r="A3837" s="1079"/>
      <c r="B3837" s="1050"/>
      <c r="C3837" s="1050"/>
      <c r="D3837" s="1050"/>
      <c r="E3837" s="1050"/>
      <c r="F3837" s="1050"/>
      <c r="G3837" s="1050"/>
    </row>
    <row r="3838" spans="1:7">
      <c r="A3838" s="1079"/>
      <c r="B3838" s="1050"/>
      <c r="C3838" s="1050"/>
      <c r="D3838" s="1050"/>
      <c r="E3838" s="1050"/>
      <c r="F3838" s="1050"/>
      <c r="G3838" s="1050"/>
    </row>
    <row r="3839" spans="1:7">
      <c r="A3839" s="1079"/>
      <c r="B3839" s="1050"/>
      <c r="C3839" s="1050"/>
      <c r="D3839" s="1050"/>
      <c r="E3839" s="1050"/>
      <c r="F3839" s="1050"/>
      <c r="G3839" s="1050"/>
    </row>
    <row r="3840" spans="1:7">
      <c r="A3840" s="1079"/>
      <c r="B3840" s="1050"/>
      <c r="C3840" s="1050"/>
      <c r="D3840" s="1050"/>
      <c r="E3840" s="1050"/>
      <c r="F3840" s="1050"/>
      <c r="G3840" s="1050"/>
    </row>
    <row r="3841" spans="1:7">
      <c r="A3841" s="1079"/>
      <c r="B3841" s="1050"/>
      <c r="C3841" s="1050"/>
      <c r="D3841" s="1050"/>
      <c r="E3841" s="1050"/>
      <c r="F3841" s="1050"/>
      <c r="G3841" s="1050"/>
    </row>
    <row r="3842" spans="1:7">
      <c r="A3842" s="1079"/>
      <c r="B3842" s="1050"/>
      <c r="C3842" s="1050"/>
      <c r="D3842" s="1050"/>
      <c r="E3842" s="1050"/>
      <c r="F3842" s="1050"/>
      <c r="G3842" s="1050"/>
    </row>
    <row r="3843" spans="1:7">
      <c r="A3843" s="1079"/>
      <c r="B3843" s="1050"/>
      <c r="C3843" s="1050"/>
      <c r="D3843" s="1050"/>
      <c r="E3843" s="1050"/>
      <c r="F3843" s="1050"/>
      <c r="G3843" s="1050"/>
    </row>
    <row r="3844" spans="1:7">
      <c r="A3844" s="1079"/>
      <c r="B3844" s="1050"/>
      <c r="C3844" s="1050"/>
      <c r="D3844" s="1050"/>
      <c r="E3844" s="1050"/>
      <c r="F3844" s="1050"/>
      <c r="G3844" s="1050"/>
    </row>
    <row r="3845" spans="1:7">
      <c r="A3845" s="1079"/>
      <c r="B3845" s="1050"/>
      <c r="C3845" s="1050"/>
      <c r="D3845" s="1050"/>
      <c r="E3845" s="1050"/>
      <c r="F3845" s="1050"/>
      <c r="G3845" s="1050"/>
    </row>
    <row r="3846" spans="1:7">
      <c r="A3846" s="1079"/>
      <c r="B3846" s="1050"/>
      <c r="C3846" s="1050"/>
      <c r="D3846" s="1050"/>
      <c r="E3846" s="1050"/>
      <c r="F3846" s="1050"/>
      <c r="G3846" s="1050"/>
    </row>
    <row r="3847" spans="1:7">
      <c r="A3847" s="1079"/>
      <c r="B3847" s="1050"/>
      <c r="C3847" s="1050"/>
      <c r="D3847" s="1050"/>
      <c r="E3847" s="1050"/>
      <c r="F3847" s="1050"/>
      <c r="G3847" s="1050"/>
    </row>
    <row r="3848" spans="1:7">
      <c r="A3848" s="1079"/>
      <c r="B3848" s="1050"/>
      <c r="C3848" s="1050"/>
      <c r="D3848" s="1050"/>
      <c r="E3848" s="1050"/>
      <c r="F3848" s="1050"/>
      <c r="G3848" s="1050"/>
    </row>
    <row r="3849" spans="1:7">
      <c r="A3849" s="1079"/>
      <c r="B3849" s="1050"/>
      <c r="C3849" s="1050"/>
      <c r="D3849" s="1050"/>
      <c r="E3849" s="1050"/>
      <c r="F3849" s="1050"/>
      <c r="G3849" s="1050"/>
    </row>
    <row r="3850" spans="1:7">
      <c r="A3850" s="1079"/>
      <c r="B3850" s="1050"/>
      <c r="C3850" s="1050"/>
      <c r="D3850" s="1050"/>
      <c r="E3850" s="1050"/>
      <c r="F3850" s="1050"/>
      <c r="G3850" s="1050"/>
    </row>
    <row r="3851" spans="1:7">
      <c r="A3851" s="1079"/>
      <c r="B3851" s="1050"/>
      <c r="C3851" s="1050"/>
      <c r="D3851" s="1050"/>
      <c r="E3851" s="1050"/>
      <c r="F3851" s="1050"/>
      <c r="G3851" s="1050"/>
    </row>
    <row r="3852" spans="1:7">
      <c r="A3852" s="1079"/>
      <c r="B3852" s="1050"/>
      <c r="C3852" s="1050"/>
      <c r="D3852" s="1050"/>
      <c r="E3852" s="1050"/>
      <c r="F3852" s="1050"/>
      <c r="G3852" s="1050"/>
    </row>
    <row r="3853" spans="1:7">
      <c r="A3853" s="1079"/>
      <c r="B3853" s="1050"/>
      <c r="C3853" s="1050"/>
      <c r="D3853" s="1050"/>
      <c r="E3853" s="1050"/>
      <c r="F3853" s="1050"/>
      <c r="G3853" s="1050"/>
    </row>
    <row r="3854" spans="1:7">
      <c r="A3854" s="1079"/>
      <c r="B3854" s="1050"/>
      <c r="C3854" s="1050"/>
      <c r="D3854" s="1050"/>
      <c r="E3854" s="1050"/>
      <c r="F3854" s="1050"/>
      <c r="G3854" s="1050"/>
    </row>
    <row r="3855" spans="1:7">
      <c r="A3855" s="1079"/>
      <c r="B3855" s="1050"/>
      <c r="C3855" s="1050"/>
      <c r="D3855" s="1050"/>
      <c r="E3855" s="1050"/>
      <c r="F3855" s="1050"/>
      <c r="G3855" s="1050"/>
    </row>
    <row r="3856" spans="1:7">
      <c r="A3856" s="1079"/>
      <c r="B3856" s="1050"/>
      <c r="C3856" s="1050"/>
      <c r="D3856" s="1050"/>
      <c r="E3856" s="1050"/>
      <c r="F3856" s="1050"/>
      <c r="G3856" s="1050"/>
    </row>
    <row r="3857" spans="1:7">
      <c r="A3857" s="1079"/>
      <c r="B3857" s="1050"/>
      <c r="C3857" s="1050"/>
      <c r="D3857" s="1050"/>
      <c r="E3857" s="1050"/>
      <c r="F3857" s="1050"/>
      <c r="G3857" s="1050"/>
    </row>
    <row r="3858" spans="1:7">
      <c r="A3858" s="1079"/>
      <c r="B3858" s="1050"/>
      <c r="C3858" s="1050"/>
      <c r="D3858" s="1050"/>
      <c r="E3858" s="1050"/>
      <c r="F3858" s="1050"/>
      <c r="G3858" s="1050"/>
    </row>
    <row r="3859" spans="1:7">
      <c r="A3859" s="1079"/>
      <c r="B3859" s="1050"/>
      <c r="C3859" s="1050"/>
      <c r="D3859" s="1050"/>
      <c r="E3859" s="1050"/>
      <c r="F3859" s="1050"/>
      <c r="G3859" s="1050"/>
    </row>
    <row r="3860" spans="1:7">
      <c r="A3860" s="1079"/>
      <c r="B3860" s="1050"/>
      <c r="C3860" s="1050"/>
      <c r="D3860" s="1050"/>
      <c r="E3860" s="1050"/>
      <c r="F3860" s="1050"/>
      <c r="G3860" s="1050"/>
    </row>
    <row r="3861" spans="1:7">
      <c r="A3861" s="1079"/>
      <c r="B3861" s="1050"/>
      <c r="C3861" s="1050"/>
      <c r="D3861" s="1050"/>
      <c r="E3861" s="1050"/>
      <c r="F3861" s="1050"/>
      <c r="G3861" s="1050"/>
    </row>
    <row r="3862" spans="1:7">
      <c r="A3862" s="1079"/>
      <c r="B3862" s="1050"/>
      <c r="C3862" s="1050"/>
      <c r="D3862" s="1050"/>
      <c r="E3862" s="1050"/>
      <c r="F3862" s="1050"/>
      <c r="G3862" s="1050"/>
    </row>
    <row r="3863" spans="1:7">
      <c r="A3863" s="1079"/>
      <c r="B3863" s="1050"/>
      <c r="C3863" s="1050"/>
      <c r="D3863" s="1050"/>
      <c r="E3863" s="1050"/>
      <c r="F3863" s="1050"/>
      <c r="G3863" s="1050"/>
    </row>
    <row r="3864" spans="1:7">
      <c r="A3864" s="1079"/>
      <c r="B3864" s="1050"/>
      <c r="C3864" s="1050"/>
      <c r="D3864" s="1050"/>
      <c r="E3864" s="1050"/>
      <c r="F3864" s="1050"/>
      <c r="G3864" s="1050"/>
    </row>
    <row r="3865" spans="1:7">
      <c r="A3865" s="1079"/>
      <c r="B3865" s="1050"/>
      <c r="C3865" s="1050"/>
      <c r="D3865" s="1050"/>
      <c r="E3865" s="1050"/>
      <c r="F3865" s="1050"/>
      <c r="G3865" s="1050"/>
    </row>
    <row r="3866" spans="1:7">
      <c r="A3866" s="1079"/>
      <c r="B3866" s="1050"/>
      <c r="C3866" s="1050"/>
      <c r="D3866" s="1050"/>
      <c r="E3866" s="1050"/>
      <c r="F3866" s="1050"/>
      <c r="G3866" s="1050"/>
    </row>
    <row r="3867" spans="1:7">
      <c r="A3867" s="1079"/>
      <c r="B3867" s="1050"/>
      <c r="C3867" s="1050"/>
      <c r="D3867" s="1050"/>
      <c r="E3867" s="1050"/>
      <c r="F3867" s="1050"/>
      <c r="G3867" s="1050"/>
    </row>
    <row r="3868" spans="1:7">
      <c r="A3868" s="1079"/>
      <c r="B3868" s="1050"/>
      <c r="C3868" s="1050"/>
      <c r="D3868" s="1050"/>
      <c r="E3868" s="1050"/>
      <c r="F3868" s="1050"/>
      <c r="G3868" s="1050"/>
    </row>
    <row r="3869" spans="1:7">
      <c r="A3869" s="1079"/>
      <c r="B3869" s="1050"/>
      <c r="C3869" s="1050"/>
      <c r="D3869" s="1050"/>
      <c r="E3869" s="1050"/>
      <c r="F3869" s="1050"/>
      <c r="G3869" s="1050"/>
    </row>
    <row r="3870" spans="1:7">
      <c r="A3870" s="1079"/>
      <c r="B3870" s="1050"/>
      <c r="C3870" s="1050"/>
      <c r="D3870" s="1050"/>
      <c r="E3870" s="1050"/>
      <c r="F3870" s="1050"/>
      <c r="G3870" s="1050"/>
    </row>
    <row r="3871" spans="1:7">
      <c r="A3871" s="1079"/>
      <c r="B3871" s="1050"/>
      <c r="C3871" s="1050"/>
      <c r="D3871" s="1050"/>
      <c r="E3871" s="1050"/>
      <c r="F3871" s="1050"/>
      <c r="G3871" s="1050"/>
    </row>
    <row r="3872" spans="1:7">
      <c r="A3872" s="1079"/>
      <c r="B3872" s="1050"/>
      <c r="C3872" s="1050"/>
      <c r="D3872" s="1050"/>
      <c r="E3872" s="1050"/>
      <c r="F3872" s="1050"/>
      <c r="G3872" s="1050"/>
    </row>
    <row r="3873" spans="1:7">
      <c r="A3873" s="1079"/>
      <c r="B3873" s="1050"/>
      <c r="C3873" s="1050"/>
      <c r="D3873" s="1050"/>
      <c r="E3873" s="1050"/>
      <c r="F3873" s="1050"/>
      <c r="G3873" s="1050"/>
    </row>
    <row r="3874" spans="1:7">
      <c r="A3874" s="1079"/>
      <c r="B3874" s="1050"/>
      <c r="C3874" s="1050"/>
      <c r="D3874" s="1050"/>
      <c r="E3874" s="1050"/>
      <c r="F3874" s="1050"/>
      <c r="G3874" s="1050"/>
    </row>
    <row r="3875" spans="1:7">
      <c r="A3875" s="1079"/>
      <c r="B3875" s="1050"/>
      <c r="C3875" s="1050"/>
      <c r="D3875" s="1050"/>
      <c r="E3875" s="1050"/>
      <c r="F3875" s="1050"/>
      <c r="G3875" s="1050"/>
    </row>
    <row r="3876" spans="1:7">
      <c r="A3876" s="1079"/>
      <c r="B3876" s="1050"/>
      <c r="C3876" s="1050"/>
      <c r="D3876" s="1050"/>
      <c r="E3876" s="1050"/>
      <c r="F3876" s="1050"/>
      <c r="G3876" s="1050"/>
    </row>
    <row r="3877" spans="1:7">
      <c r="A3877" s="1079"/>
      <c r="B3877" s="1050"/>
      <c r="C3877" s="1050"/>
      <c r="D3877" s="1050"/>
      <c r="E3877" s="1050"/>
      <c r="F3877" s="1050"/>
      <c r="G3877" s="1050"/>
    </row>
    <row r="3878" spans="1:7">
      <c r="A3878" s="1079"/>
      <c r="B3878" s="1050"/>
      <c r="C3878" s="1050"/>
      <c r="D3878" s="1050"/>
      <c r="E3878" s="1050"/>
      <c r="F3878" s="1050"/>
      <c r="G3878" s="1050"/>
    </row>
    <row r="3879" spans="1:7">
      <c r="A3879" s="1079"/>
      <c r="B3879" s="1050"/>
      <c r="C3879" s="1050"/>
      <c r="D3879" s="1050"/>
      <c r="E3879" s="1050"/>
      <c r="F3879" s="1050"/>
      <c r="G3879" s="1050"/>
    </row>
    <row r="3880" spans="1:7">
      <c r="A3880" s="1079"/>
      <c r="B3880" s="1050"/>
      <c r="C3880" s="1050"/>
      <c r="D3880" s="1050"/>
      <c r="E3880" s="1050"/>
      <c r="F3880" s="1050"/>
      <c r="G3880" s="1050"/>
    </row>
    <row r="3881" spans="1:7">
      <c r="A3881" s="1079"/>
      <c r="B3881" s="1050"/>
      <c r="C3881" s="1050"/>
      <c r="D3881" s="1050"/>
      <c r="E3881" s="1050"/>
      <c r="F3881" s="1050"/>
      <c r="G3881" s="1050"/>
    </row>
    <row r="3882" spans="1:7">
      <c r="A3882" s="1079"/>
      <c r="B3882" s="1050"/>
      <c r="C3882" s="1050"/>
      <c r="D3882" s="1050"/>
      <c r="E3882" s="1050"/>
      <c r="F3882" s="1050"/>
      <c r="G3882" s="1050"/>
    </row>
    <row r="3883" spans="1:7">
      <c r="A3883" s="1079"/>
      <c r="B3883" s="1050"/>
      <c r="C3883" s="1050"/>
      <c r="D3883" s="1050"/>
      <c r="E3883" s="1050"/>
      <c r="F3883" s="1050"/>
      <c r="G3883" s="1050"/>
    </row>
    <row r="3884" spans="1:7">
      <c r="A3884" s="1079"/>
      <c r="B3884" s="1050"/>
      <c r="C3884" s="1050"/>
      <c r="D3884" s="1050"/>
      <c r="E3884" s="1050"/>
      <c r="F3884" s="1050"/>
      <c r="G3884" s="1050"/>
    </row>
    <row r="3885" spans="1:7">
      <c r="A3885" s="1079"/>
      <c r="B3885" s="1050"/>
      <c r="C3885" s="1050"/>
      <c r="D3885" s="1050"/>
      <c r="E3885" s="1050"/>
      <c r="F3885" s="1050"/>
      <c r="G3885" s="1050"/>
    </row>
    <row r="3886" spans="1:7">
      <c r="A3886" s="1079"/>
      <c r="B3886" s="1050"/>
      <c r="C3886" s="1050"/>
      <c r="D3886" s="1050"/>
      <c r="E3886" s="1050"/>
      <c r="F3886" s="1050"/>
      <c r="G3886" s="1050"/>
    </row>
    <row r="3887" spans="1:7">
      <c r="A3887" s="1079"/>
      <c r="B3887" s="1050"/>
      <c r="C3887" s="1050"/>
      <c r="D3887" s="1050"/>
      <c r="E3887" s="1050"/>
      <c r="F3887" s="1050"/>
      <c r="G3887" s="1050"/>
    </row>
    <row r="3888" spans="1:7">
      <c r="A3888" s="1079"/>
      <c r="B3888" s="1050"/>
      <c r="C3888" s="1050"/>
      <c r="D3888" s="1050"/>
      <c r="E3888" s="1050"/>
      <c r="F3888" s="1050"/>
      <c r="G3888" s="1050"/>
    </row>
    <row r="3889" spans="1:7">
      <c r="A3889" s="1079"/>
      <c r="B3889" s="1050"/>
      <c r="C3889" s="1050"/>
      <c r="D3889" s="1050"/>
      <c r="E3889" s="1050"/>
      <c r="F3889" s="1050"/>
      <c r="G3889" s="1050"/>
    </row>
    <row r="3890" spans="1:7">
      <c r="A3890" s="1079"/>
      <c r="B3890" s="1050"/>
      <c r="C3890" s="1050"/>
      <c r="D3890" s="1050"/>
      <c r="E3890" s="1050"/>
      <c r="F3890" s="1050"/>
      <c r="G3890" s="1050"/>
    </row>
    <row r="3891" spans="1:7">
      <c r="A3891" s="1079"/>
      <c r="B3891" s="1050"/>
      <c r="C3891" s="1050"/>
      <c r="D3891" s="1050"/>
      <c r="E3891" s="1050"/>
      <c r="F3891" s="1050"/>
      <c r="G3891" s="1050"/>
    </row>
    <row r="3892" spans="1:7">
      <c r="A3892" s="1079"/>
      <c r="B3892" s="1050"/>
      <c r="C3892" s="1050"/>
      <c r="D3892" s="1050"/>
      <c r="E3892" s="1050"/>
      <c r="F3892" s="1050"/>
      <c r="G3892" s="1050"/>
    </row>
    <row r="3893" spans="1:7">
      <c r="A3893" s="1079"/>
      <c r="B3893" s="1050"/>
      <c r="C3893" s="1050"/>
      <c r="D3893" s="1050"/>
      <c r="E3893" s="1050"/>
      <c r="F3893" s="1050"/>
      <c r="G3893" s="1050"/>
    </row>
    <row r="3894" spans="1:7">
      <c r="A3894" s="1079"/>
      <c r="B3894" s="1050"/>
      <c r="C3894" s="1050"/>
      <c r="D3894" s="1050"/>
      <c r="E3894" s="1050"/>
      <c r="F3894" s="1050"/>
      <c r="G3894" s="1050"/>
    </row>
    <row r="3895" spans="1:7">
      <c r="A3895" s="1079"/>
      <c r="B3895" s="1050"/>
      <c r="C3895" s="1050"/>
      <c r="D3895" s="1050"/>
      <c r="E3895" s="1050"/>
      <c r="F3895" s="1050"/>
      <c r="G3895" s="1050"/>
    </row>
    <row r="3896" spans="1:7">
      <c r="A3896" s="1079"/>
      <c r="B3896" s="1050"/>
      <c r="C3896" s="1050"/>
      <c r="D3896" s="1050"/>
      <c r="E3896" s="1050"/>
      <c r="F3896" s="1050"/>
      <c r="G3896" s="1050"/>
    </row>
    <row r="3897" spans="1:7">
      <c r="A3897" s="1079"/>
      <c r="B3897" s="1050"/>
      <c r="C3897" s="1050"/>
      <c r="D3897" s="1050"/>
      <c r="E3897" s="1050"/>
      <c r="F3897" s="1050"/>
      <c r="G3897" s="1050"/>
    </row>
    <row r="3898" spans="1:7">
      <c r="A3898" s="1079"/>
      <c r="B3898" s="1050"/>
      <c r="C3898" s="1050"/>
      <c r="D3898" s="1050"/>
      <c r="E3898" s="1050"/>
      <c r="F3898" s="1050"/>
      <c r="G3898" s="1050"/>
    </row>
    <row r="3899" spans="1:7">
      <c r="A3899" s="1079"/>
      <c r="B3899" s="1050"/>
      <c r="C3899" s="1050"/>
      <c r="D3899" s="1050"/>
      <c r="E3899" s="1050"/>
      <c r="F3899" s="1050"/>
      <c r="G3899" s="1050"/>
    </row>
    <row r="3900" spans="1:7">
      <c r="A3900" s="1079"/>
      <c r="B3900" s="1050"/>
      <c r="C3900" s="1050"/>
      <c r="D3900" s="1050"/>
      <c r="E3900" s="1050"/>
      <c r="F3900" s="1050"/>
      <c r="G3900" s="1050"/>
    </row>
    <row r="3901" spans="1:7">
      <c r="A3901" s="1079"/>
      <c r="B3901" s="1050"/>
      <c r="C3901" s="1050"/>
      <c r="D3901" s="1050"/>
      <c r="E3901" s="1050"/>
      <c r="F3901" s="1050"/>
      <c r="G3901" s="1050"/>
    </row>
    <row r="3902" spans="1:7">
      <c r="A3902" s="1079"/>
      <c r="B3902" s="1050"/>
      <c r="C3902" s="1050"/>
      <c r="D3902" s="1050"/>
      <c r="E3902" s="1050"/>
      <c r="F3902" s="1050"/>
      <c r="G3902" s="1050"/>
    </row>
    <row r="3903" spans="1:7">
      <c r="A3903" s="1079"/>
      <c r="B3903" s="1050"/>
      <c r="C3903" s="1050"/>
      <c r="D3903" s="1050"/>
      <c r="E3903" s="1050"/>
      <c r="F3903" s="1050"/>
      <c r="G3903" s="1050"/>
    </row>
    <row r="3904" spans="1:7">
      <c r="A3904" s="1079"/>
      <c r="B3904" s="1050"/>
      <c r="C3904" s="1050"/>
      <c r="D3904" s="1050"/>
      <c r="E3904" s="1050"/>
      <c r="F3904" s="1050"/>
      <c r="G3904" s="1050"/>
    </row>
    <row r="3905" spans="1:7">
      <c r="A3905" s="1079"/>
      <c r="B3905" s="1050"/>
      <c r="C3905" s="1050"/>
      <c r="D3905" s="1050"/>
      <c r="E3905" s="1050"/>
      <c r="F3905" s="1050"/>
      <c r="G3905" s="1050"/>
    </row>
    <row r="3906" spans="1:7">
      <c r="A3906" s="1079"/>
      <c r="B3906" s="1050"/>
      <c r="C3906" s="1050"/>
      <c r="D3906" s="1050"/>
      <c r="E3906" s="1050"/>
      <c r="F3906" s="1050"/>
      <c r="G3906" s="1050"/>
    </row>
    <row r="3907" spans="1:7">
      <c r="A3907" s="1079"/>
      <c r="B3907" s="1050"/>
      <c r="C3907" s="1050"/>
      <c r="D3907" s="1050"/>
      <c r="E3907" s="1050"/>
      <c r="F3907" s="1050"/>
      <c r="G3907" s="1050"/>
    </row>
    <row r="3908" spans="1:7">
      <c r="A3908" s="1079"/>
      <c r="B3908" s="1050"/>
      <c r="C3908" s="1050"/>
      <c r="D3908" s="1050"/>
      <c r="E3908" s="1050"/>
      <c r="F3908" s="1050"/>
      <c r="G3908" s="1050"/>
    </row>
    <row r="3909" spans="1:7">
      <c r="A3909" s="1079"/>
      <c r="B3909" s="1050"/>
      <c r="C3909" s="1050"/>
      <c r="D3909" s="1050"/>
      <c r="E3909" s="1050"/>
      <c r="F3909" s="1050"/>
      <c r="G3909" s="1050"/>
    </row>
    <row r="3910" spans="1:7">
      <c r="A3910" s="1079"/>
      <c r="B3910" s="1050"/>
      <c r="C3910" s="1050"/>
      <c r="D3910" s="1050"/>
      <c r="E3910" s="1050"/>
      <c r="F3910" s="1050"/>
      <c r="G3910" s="1050"/>
    </row>
    <row r="3911" spans="1:7">
      <c r="A3911" s="1079"/>
      <c r="B3911" s="1050"/>
      <c r="C3911" s="1050"/>
      <c r="D3911" s="1050"/>
      <c r="E3911" s="1050"/>
      <c r="F3911" s="1050"/>
      <c r="G3911" s="1050"/>
    </row>
    <row r="3912" spans="1:7">
      <c r="A3912" s="1079"/>
      <c r="B3912" s="1050"/>
      <c r="C3912" s="1050"/>
      <c r="D3912" s="1050"/>
      <c r="E3912" s="1050"/>
      <c r="F3912" s="1050"/>
      <c r="G3912" s="1050"/>
    </row>
    <row r="3913" spans="1:7">
      <c r="A3913" s="1079"/>
      <c r="B3913" s="1050"/>
      <c r="C3913" s="1050"/>
      <c r="D3913" s="1050"/>
      <c r="E3913" s="1050"/>
      <c r="F3913" s="1050"/>
      <c r="G3913" s="1050"/>
    </row>
    <row r="3914" spans="1:7">
      <c r="A3914" s="1079"/>
      <c r="B3914" s="1050"/>
      <c r="C3914" s="1050"/>
      <c r="D3914" s="1050"/>
      <c r="E3914" s="1050"/>
      <c r="F3914" s="1050"/>
      <c r="G3914" s="1050"/>
    </row>
    <row r="3915" spans="1:7">
      <c r="A3915" s="1079"/>
      <c r="B3915" s="1050"/>
      <c r="C3915" s="1050"/>
      <c r="D3915" s="1050"/>
      <c r="E3915" s="1050"/>
      <c r="F3915" s="1050"/>
      <c r="G3915" s="1050"/>
    </row>
    <row r="3916" spans="1:7">
      <c r="A3916" s="1079"/>
      <c r="B3916" s="1050"/>
      <c r="C3916" s="1050"/>
      <c r="D3916" s="1050"/>
      <c r="E3916" s="1050"/>
      <c r="F3916" s="1050"/>
      <c r="G3916" s="1050"/>
    </row>
    <row r="3917" spans="1:7">
      <c r="A3917" s="1079"/>
      <c r="B3917" s="1050"/>
      <c r="C3917" s="1050"/>
      <c r="D3917" s="1050"/>
      <c r="E3917" s="1050"/>
      <c r="F3917" s="1050"/>
      <c r="G3917" s="1050"/>
    </row>
    <row r="3918" spans="1:7">
      <c r="A3918" s="1079"/>
      <c r="B3918" s="1050"/>
      <c r="C3918" s="1050"/>
      <c r="D3918" s="1050"/>
      <c r="E3918" s="1050"/>
      <c r="F3918" s="1050"/>
      <c r="G3918" s="1050"/>
    </row>
    <row r="3919" spans="1:7">
      <c r="A3919" s="1079"/>
      <c r="B3919" s="1050"/>
      <c r="C3919" s="1050"/>
      <c r="D3919" s="1050"/>
      <c r="E3919" s="1050"/>
      <c r="F3919" s="1050"/>
      <c r="G3919" s="1050"/>
    </row>
    <row r="3920" spans="1:7">
      <c r="A3920" s="1079"/>
      <c r="B3920" s="1050"/>
      <c r="C3920" s="1050"/>
      <c r="D3920" s="1050"/>
      <c r="E3920" s="1050"/>
      <c r="F3920" s="1050"/>
      <c r="G3920" s="1050"/>
    </row>
    <row r="3921" spans="1:7">
      <c r="A3921" s="1079"/>
      <c r="B3921" s="1050"/>
      <c r="C3921" s="1050"/>
      <c r="D3921" s="1050"/>
      <c r="E3921" s="1050"/>
      <c r="F3921" s="1050"/>
      <c r="G3921" s="1050"/>
    </row>
    <row r="3922" spans="1:7">
      <c r="A3922" s="1079"/>
      <c r="B3922" s="1050"/>
      <c r="C3922" s="1050"/>
      <c r="D3922" s="1050"/>
      <c r="E3922" s="1050"/>
      <c r="F3922" s="1050"/>
      <c r="G3922" s="1050"/>
    </row>
    <row r="3923" spans="1:7">
      <c r="A3923" s="1079"/>
      <c r="B3923" s="1050"/>
      <c r="C3923" s="1050"/>
      <c r="D3923" s="1050"/>
      <c r="E3923" s="1050"/>
      <c r="F3923" s="1050"/>
      <c r="G3923" s="1050"/>
    </row>
    <row r="3924" spans="1:7">
      <c r="A3924" s="1079"/>
      <c r="B3924" s="1050"/>
      <c r="C3924" s="1050"/>
      <c r="D3924" s="1050"/>
      <c r="E3924" s="1050"/>
      <c r="F3924" s="1050"/>
      <c r="G3924" s="1050"/>
    </row>
    <row r="3925" spans="1:7">
      <c r="A3925" s="1079"/>
      <c r="B3925" s="1050"/>
      <c r="C3925" s="1050"/>
      <c r="D3925" s="1050"/>
      <c r="E3925" s="1050"/>
      <c r="F3925" s="1050"/>
      <c r="G3925" s="1050"/>
    </row>
    <row r="3926" spans="1:7">
      <c r="A3926" s="1079"/>
      <c r="B3926" s="1050"/>
      <c r="C3926" s="1050"/>
      <c r="D3926" s="1050"/>
      <c r="E3926" s="1050"/>
      <c r="F3926" s="1050"/>
      <c r="G3926" s="1050"/>
    </row>
    <row r="3927" spans="1:7">
      <c r="A3927" s="1079"/>
      <c r="B3927" s="1050"/>
      <c r="C3927" s="1050"/>
      <c r="D3927" s="1050"/>
      <c r="E3927" s="1050"/>
      <c r="F3927" s="1050"/>
      <c r="G3927" s="1050"/>
    </row>
    <row r="3928" spans="1:7">
      <c r="A3928" s="1079"/>
      <c r="B3928" s="1050"/>
      <c r="C3928" s="1050"/>
      <c r="D3928" s="1050"/>
      <c r="E3928" s="1050"/>
      <c r="F3928" s="1050"/>
      <c r="G3928" s="1050"/>
    </row>
    <row r="3929" spans="1:7">
      <c r="A3929" s="1079"/>
      <c r="B3929" s="1050"/>
      <c r="C3929" s="1050"/>
      <c r="D3929" s="1050"/>
      <c r="E3929" s="1050"/>
      <c r="F3929" s="1050"/>
      <c r="G3929" s="1050"/>
    </row>
    <row r="3930" spans="1:7">
      <c r="A3930" s="1079"/>
      <c r="B3930" s="1050"/>
      <c r="C3930" s="1050"/>
      <c r="D3930" s="1050"/>
      <c r="E3930" s="1050"/>
      <c r="F3930" s="1050"/>
      <c r="G3930" s="1050"/>
    </row>
    <row r="3931" spans="1:7">
      <c r="A3931" s="1079"/>
      <c r="B3931" s="1050"/>
      <c r="C3931" s="1050"/>
      <c r="D3931" s="1050"/>
      <c r="E3931" s="1050"/>
      <c r="F3931" s="1050"/>
      <c r="G3931" s="1050"/>
    </row>
    <row r="3932" spans="1:7">
      <c r="A3932" s="1079"/>
      <c r="B3932" s="1050"/>
      <c r="C3932" s="1050"/>
      <c r="D3932" s="1050"/>
      <c r="E3932" s="1050"/>
      <c r="F3932" s="1050"/>
      <c r="G3932" s="1050"/>
    </row>
    <row r="3933" spans="1:7">
      <c r="A3933" s="1079"/>
      <c r="B3933" s="1050"/>
      <c r="C3933" s="1050"/>
      <c r="D3933" s="1050"/>
      <c r="E3933" s="1050"/>
      <c r="F3933" s="1050"/>
      <c r="G3933" s="1050"/>
    </row>
    <row r="3934" spans="1:7">
      <c r="A3934" s="1079"/>
      <c r="B3934" s="1050"/>
      <c r="C3934" s="1050"/>
      <c r="D3934" s="1050"/>
      <c r="E3934" s="1050"/>
      <c r="F3934" s="1050"/>
      <c r="G3934" s="1050"/>
    </row>
    <row r="3935" spans="1:7">
      <c r="A3935" s="1079"/>
      <c r="B3935" s="1050"/>
      <c r="C3935" s="1050"/>
      <c r="D3935" s="1050"/>
      <c r="E3935" s="1050"/>
      <c r="F3935" s="1050"/>
      <c r="G3935" s="1050"/>
    </row>
    <row r="3936" spans="1:7">
      <c r="A3936" s="1079"/>
      <c r="B3936" s="1050"/>
      <c r="C3936" s="1050"/>
      <c r="D3936" s="1050"/>
      <c r="E3936" s="1050"/>
      <c r="F3936" s="1050"/>
      <c r="G3936" s="1050"/>
    </row>
    <row r="3937" spans="1:7">
      <c r="A3937" s="1079"/>
      <c r="B3937" s="1050"/>
      <c r="C3937" s="1050"/>
      <c r="D3937" s="1050"/>
      <c r="E3937" s="1050"/>
      <c r="F3937" s="1050"/>
      <c r="G3937" s="1050"/>
    </row>
    <row r="3938" spans="1:7">
      <c r="A3938" s="1079"/>
      <c r="B3938" s="1050"/>
      <c r="C3938" s="1050"/>
      <c r="D3938" s="1050"/>
      <c r="E3938" s="1050"/>
      <c r="F3938" s="1050"/>
      <c r="G3938" s="1050"/>
    </row>
    <row r="3939" spans="1:7">
      <c r="A3939" s="1079"/>
      <c r="B3939" s="1050"/>
      <c r="C3939" s="1050"/>
      <c r="D3939" s="1050"/>
      <c r="E3939" s="1050"/>
      <c r="F3939" s="1050"/>
      <c r="G3939" s="1050"/>
    </row>
    <row r="3940" spans="1:7">
      <c r="A3940" s="1079"/>
      <c r="B3940" s="1050"/>
      <c r="C3940" s="1050"/>
      <c r="D3940" s="1050"/>
      <c r="E3940" s="1050"/>
      <c r="F3940" s="1050"/>
      <c r="G3940" s="1050"/>
    </row>
    <row r="3941" spans="1:7">
      <c r="A3941" s="1079"/>
      <c r="B3941" s="1050"/>
      <c r="C3941" s="1050"/>
      <c r="D3941" s="1050"/>
      <c r="E3941" s="1050"/>
      <c r="F3941" s="1050"/>
      <c r="G3941" s="1050"/>
    </row>
    <row r="3942" spans="1:7">
      <c r="A3942" s="1079"/>
      <c r="B3942" s="1050"/>
      <c r="C3942" s="1050"/>
      <c r="D3942" s="1050"/>
      <c r="E3942" s="1050"/>
      <c r="F3942" s="1050"/>
      <c r="G3942" s="1050"/>
    </row>
    <row r="3943" spans="1:7">
      <c r="A3943" s="1079"/>
      <c r="B3943" s="1050"/>
      <c r="C3943" s="1050"/>
      <c r="D3943" s="1050"/>
      <c r="E3943" s="1050"/>
      <c r="F3943" s="1050"/>
      <c r="G3943" s="1050"/>
    </row>
    <row r="3944" spans="1:7">
      <c r="A3944" s="1079"/>
      <c r="B3944" s="1050"/>
      <c r="C3944" s="1050"/>
      <c r="D3944" s="1050"/>
      <c r="E3944" s="1050"/>
      <c r="F3944" s="1050"/>
      <c r="G3944" s="1050"/>
    </row>
    <row r="3945" spans="1:7">
      <c r="A3945" s="1079"/>
      <c r="B3945" s="1050"/>
      <c r="C3945" s="1050"/>
      <c r="D3945" s="1050"/>
      <c r="E3945" s="1050"/>
      <c r="F3945" s="1050"/>
      <c r="G3945" s="1050"/>
    </row>
    <row r="3946" spans="1:7">
      <c r="A3946" s="1079"/>
      <c r="B3946" s="1050"/>
      <c r="C3946" s="1050"/>
      <c r="D3946" s="1050"/>
      <c r="E3946" s="1050"/>
      <c r="F3946" s="1050"/>
      <c r="G3946" s="1050"/>
    </row>
    <row r="3947" spans="1:7">
      <c r="A3947" s="1079"/>
      <c r="B3947" s="1050"/>
      <c r="C3947" s="1050"/>
      <c r="D3947" s="1050"/>
      <c r="E3947" s="1050"/>
      <c r="F3947" s="1050"/>
      <c r="G3947" s="1050"/>
    </row>
    <row r="3948" spans="1:7">
      <c r="A3948" s="1079"/>
      <c r="B3948" s="1050"/>
      <c r="C3948" s="1050"/>
      <c r="D3948" s="1050"/>
      <c r="E3948" s="1050"/>
      <c r="F3948" s="1050"/>
      <c r="G3948" s="1050"/>
    </row>
    <row r="3949" spans="1:7">
      <c r="A3949" s="1079"/>
      <c r="B3949" s="1050"/>
      <c r="C3949" s="1050"/>
      <c r="D3949" s="1050"/>
      <c r="E3949" s="1050"/>
      <c r="F3949" s="1050"/>
      <c r="G3949" s="1050"/>
    </row>
    <row r="3950" spans="1:7">
      <c r="A3950" s="1079"/>
      <c r="B3950" s="1050"/>
      <c r="C3950" s="1050"/>
      <c r="D3950" s="1050"/>
      <c r="E3950" s="1050"/>
      <c r="F3950" s="1050"/>
      <c r="G3950" s="1050"/>
    </row>
    <row r="3951" spans="1:7">
      <c r="A3951" s="1079"/>
      <c r="B3951" s="1050"/>
      <c r="C3951" s="1050"/>
      <c r="D3951" s="1050"/>
      <c r="E3951" s="1050"/>
      <c r="F3951" s="1050"/>
      <c r="G3951" s="1050"/>
    </row>
    <row r="3952" spans="1:7">
      <c r="A3952" s="1079"/>
      <c r="B3952" s="1050"/>
      <c r="C3952" s="1050"/>
      <c r="D3952" s="1050"/>
      <c r="E3952" s="1050"/>
      <c r="F3952" s="1050"/>
      <c r="G3952" s="1050"/>
    </row>
    <row r="3953" spans="1:7">
      <c r="A3953" s="1079"/>
      <c r="B3953" s="1050"/>
      <c r="C3953" s="1050"/>
      <c r="D3953" s="1050"/>
      <c r="E3953" s="1050"/>
      <c r="F3953" s="1050"/>
      <c r="G3953" s="1050"/>
    </row>
    <row r="3954" spans="1:7">
      <c r="A3954" s="1079"/>
      <c r="B3954" s="1050"/>
      <c r="C3954" s="1050"/>
      <c r="D3954" s="1050"/>
      <c r="E3954" s="1050"/>
      <c r="F3954" s="1050"/>
      <c r="G3954" s="1050"/>
    </row>
    <row r="3955" spans="1:7">
      <c r="A3955" s="1079"/>
      <c r="B3955" s="1050"/>
      <c r="C3955" s="1050"/>
      <c r="D3955" s="1050"/>
      <c r="E3955" s="1050"/>
      <c r="F3955" s="1050"/>
      <c r="G3955" s="1050"/>
    </row>
    <row r="3956" spans="1:7">
      <c r="A3956" s="1079"/>
      <c r="B3956" s="1050"/>
      <c r="C3956" s="1050"/>
      <c r="D3956" s="1050"/>
      <c r="E3956" s="1050"/>
      <c r="F3956" s="1050"/>
      <c r="G3956" s="1050"/>
    </row>
    <row r="3957" spans="1:7">
      <c r="A3957" s="1079"/>
      <c r="B3957" s="1050"/>
      <c r="C3957" s="1050"/>
      <c r="D3957" s="1050"/>
      <c r="E3957" s="1050"/>
      <c r="F3957" s="1050"/>
      <c r="G3957" s="1050"/>
    </row>
    <row r="3958" spans="1:7">
      <c r="A3958" s="1079"/>
      <c r="B3958" s="1050"/>
      <c r="C3958" s="1050"/>
      <c r="D3958" s="1050"/>
      <c r="E3958" s="1050"/>
      <c r="F3958" s="1050"/>
      <c r="G3958" s="1050"/>
    </row>
    <row r="3959" spans="1:7">
      <c r="A3959" s="1079"/>
      <c r="B3959" s="1050"/>
      <c r="C3959" s="1050"/>
      <c r="D3959" s="1050"/>
      <c r="E3959" s="1050"/>
      <c r="F3959" s="1050"/>
      <c r="G3959" s="1050"/>
    </row>
    <row r="3960" spans="1:7">
      <c r="A3960" s="1079"/>
      <c r="B3960" s="1050"/>
      <c r="C3960" s="1050"/>
      <c r="D3960" s="1050"/>
      <c r="E3960" s="1050"/>
      <c r="F3960" s="1050"/>
      <c r="G3960" s="1050"/>
    </row>
    <row r="3961" spans="1:7">
      <c r="A3961" s="1079"/>
      <c r="B3961" s="1050"/>
      <c r="C3961" s="1050"/>
      <c r="D3961" s="1050"/>
      <c r="E3961" s="1050"/>
      <c r="F3961" s="1050"/>
      <c r="G3961" s="1050"/>
    </row>
    <row r="3962" spans="1:7">
      <c r="A3962" s="1079"/>
      <c r="B3962" s="1050"/>
      <c r="C3962" s="1050"/>
      <c r="D3962" s="1050"/>
      <c r="E3962" s="1050"/>
      <c r="F3962" s="1050"/>
      <c r="G3962" s="1050"/>
    </row>
    <row r="3963" spans="1:7">
      <c r="A3963" s="1079"/>
      <c r="B3963" s="1050"/>
      <c r="C3963" s="1050"/>
      <c r="D3963" s="1050"/>
      <c r="E3963" s="1050"/>
      <c r="F3963" s="1050"/>
      <c r="G3963" s="1050"/>
    </row>
    <row r="3964" spans="1:7">
      <c r="A3964" s="1079"/>
      <c r="B3964" s="1050"/>
      <c r="C3964" s="1050"/>
      <c r="D3964" s="1050"/>
      <c r="E3964" s="1050"/>
      <c r="F3964" s="1050"/>
      <c r="G3964" s="1050"/>
    </row>
    <row r="3965" spans="1:7">
      <c r="A3965" s="1079"/>
      <c r="B3965" s="1050"/>
      <c r="C3965" s="1050"/>
      <c r="D3965" s="1050"/>
      <c r="E3965" s="1050"/>
      <c r="F3965" s="1050"/>
      <c r="G3965" s="1050"/>
    </row>
    <row r="3966" spans="1:7">
      <c r="A3966" s="1079"/>
      <c r="B3966" s="1050"/>
      <c r="C3966" s="1050"/>
      <c r="D3966" s="1050"/>
      <c r="E3966" s="1050"/>
      <c r="F3966" s="1050"/>
      <c r="G3966" s="1050"/>
    </row>
    <row r="3967" spans="1:7">
      <c r="A3967" s="1079"/>
      <c r="B3967" s="1050"/>
      <c r="C3967" s="1050"/>
      <c r="D3967" s="1050"/>
      <c r="E3967" s="1050"/>
      <c r="F3967" s="1050"/>
      <c r="G3967" s="1050"/>
    </row>
    <row r="3968" spans="1:7">
      <c r="A3968" s="1079"/>
      <c r="B3968" s="1050"/>
      <c r="C3968" s="1050"/>
      <c r="D3968" s="1050"/>
      <c r="E3968" s="1050"/>
      <c r="F3968" s="1050"/>
      <c r="G3968" s="1050"/>
    </row>
    <row r="3969" spans="1:7">
      <c r="A3969" s="1079"/>
      <c r="B3969" s="1050"/>
      <c r="C3969" s="1050"/>
      <c r="D3969" s="1050"/>
      <c r="E3969" s="1050"/>
      <c r="F3969" s="1050"/>
      <c r="G3969" s="1050"/>
    </row>
    <row r="3970" spans="1:7">
      <c r="A3970" s="1079"/>
      <c r="B3970" s="1050"/>
      <c r="C3970" s="1050"/>
      <c r="D3970" s="1050"/>
      <c r="E3970" s="1050"/>
      <c r="F3970" s="1050"/>
      <c r="G3970" s="1050"/>
    </row>
    <row r="3971" spans="1:7">
      <c r="A3971" s="1079"/>
      <c r="B3971" s="1050"/>
      <c r="C3971" s="1050"/>
      <c r="D3971" s="1050"/>
      <c r="E3971" s="1050"/>
      <c r="F3971" s="1050"/>
      <c r="G3971" s="1050"/>
    </row>
    <row r="3972" spans="1:7">
      <c r="A3972" s="1079"/>
      <c r="B3972" s="1050"/>
      <c r="C3972" s="1050"/>
      <c r="D3972" s="1050"/>
      <c r="E3972" s="1050"/>
      <c r="F3972" s="1050"/>
      <c r="G3972" s="1050"/>
    </row>
    <row r="3973" spans="1:7">
      <c r="A3973" s="1079"/>
      <c r="B3973" s="1050"/>
      <c r="C3973" s="1050"/>
      <c r="D3973" s="1050"/>
      <c r="E3973" s="1050"/>
      <c r="F3973" s="1050"/>
      <c r="G3973" s="1050"/>
    </row>
    <row r="3974" spans="1:7">
      <c r="A3974" s="1079"/>
      <c r="B3974" s="1050"/>
      <c r="C3974" s="1050"/>
      <c r="D3974" s="1050"/>
      <c r="E3974" s="1050"/>
      <c r="F3974" s="1050"/>
      <c r="G3974" s="1050"/>
    </row>
    <row r="3975" spans="1:7">
      <c r="A3975" s="1079"/>
      <c r="B3975" s="1050"/>
      <c r="C3975" s="1050"/>
      <c r="D3975" s="1050"/>
      <c r="E3975" s="1050"/>
      <c r="F3975" s="1050"/>
      <c r="G3975" s="1050"/>
    </row>
    <row r="3976" spans="1:7">
      <c r="A3976" s="1079"/>
      <c r="B3976" s="1050"/>
      <c r="C3976" s="1050"/>
      <c r="D3976" s="1050"/>
      <c r="E3976" s="1050"/>
      <c r="F3976" s="1050"/>
      <c r="G3976" s="1050"/>
    </row>
    <row r="3977" spans="1:7">
      <c r="A3977" s="1079"/>
      <c r="B3977" s="1050"/>
      <c r="C3977" s="1050"/>
      <c r="D3977" s="1050"/>
      <c r="E3977" s="1050"/>
      <c r="F3977" s="1050"/>
      <c r="G3977" s="1050"/>
    </row>
    <row r="3978" spans="1:7">
      <c r="A3978" s="1079"/>
      <c r="B3978" s="1050"/>
      <c r="C3978" s="1050"/>
      <c r="D3978" s="1050"/>
      <c r="E3978" s="1050"/>
      <c r="F3978" s="1050"/>
      <c r="G3978" s="1050"/>
    </row>
    <row r="3979" spans="1:7">
      <c r="A3979" s="1079"/>
      <c r="B3979" s="1050"/>
      <c r="C3979" s="1050"/>
      <c r="D3979" s="1050"/>
      <c r="E3979" s="1050"/>
      <c r="F3979" s="1050"/>
      <c r="G3979" s="1050"/>
    </row>
    <row r="3980" spans="1:7">
      <c r="A3980" s="1079"/>
      <c r="B3980" s="1050"/>
      <c r="C3980" s="1050"/>
      <c r="D3980" s="1050"/>
      <c r="E3980" s="1050"/>
      <c r="F3980" s="1050"/>
      <c r="G3980" s="1050"/>
    </row>
    <row r="3981" spans="1:7">
      <c r="A3981" s="1079"/>
      <c r="B3981" s="1050"/>
      <c r="C3981" s="1050"/>
      <c r="D3981" s="1050"/>
      <c r="E3981" s="1050"/>
      <c r="F3981" s="1050"/>
      <c r="G3981" s="1050"/>
    </row>
    <row r="3982" spans="1:7">
      <c r="A3982" s="1079"/>
      <c r="B3982" s="1050"/>
      <c r="C3982" s="1050"/>
      <c r="D3982" s="1050"/>
      <c r="E3982" s="1050"/>
      <c r="F3982" s="1050"/>
      <c r="G3982" s="1050"/>
    </row>
    <row r="3983" spans="1:7">
      <c r="A3983" s="1079"/>
      <c r="B3983" s="1050"/>
      <c r="C3983" s="1050"/>
      <c r="D3983" s="1050"/>
      <c r="E3983" s="1050"/>
      <c r="F3983" s="1050"/>
      <c r="G3983" s="1050"/>
    </row>
    <row r="3984" spans="1:7">
      <c r="A3984" s="1079"/>
      <c r="B3984" s="1050"/>
      <c r="C3984" s="1050"/>
      <c r="D3984" s="1050"/>
      <c r="E3984" s="1050"/>
      <c r="F3984" s="1050"/>
      <c r="G3984" s="1050"/>
    </row>
    <row r="3985" spans="1:7">
      <c r="A3985" s="1079"/>
      <c r="B3985" s="1050"/>
      <c r="C3985" s="1050"/>
      <c r="D3985" s="1050"/>
      <c r="E3985" s="1050"/>
      <c r="F3985" s="1050"/>
      <c r="G3985" s="1050"/>
    </row>
    <row r="3986" spans="1:7">
      <c r="A3986" s="1079"/>
      <c r="B3986" s="1050"/>
      <c r="C3986" s="1050"/>
      <c r="D3986" s="1050"/>
      <c r="E3986" s="1050"/>
      <c r="F3986" s="1050"/>
      <c r="G3986" s="1050"/>
    </row>
    <row r="3987" spans="1:7">
      <c r="A3987" s="1079"/>
      <c r="B3987" s="1050"/>
      <c r="C3987" s="1050"/>
      <c r="D3987" s="1050"/>
      <c r="E3987" s="1050"/>
      <c r="F3987" s="1050"/>
      <c r="G3987" s="1050"/>
    </row>
    <row r="3988" spans="1:7">
      <c r="A3988" s="1079"/>
      <c r="B3988" s="1050"/>
      <c r="C3988" s="1050"/>
      <c r="D3988" s="1050"/>
      <c r="E3988" s="1050"/>
      <c r="F3988" s="1050"/>
      <c r="G3988" s="1050"/>
    </row>
    <row r="3989" spans="1:7">
      <c r="A3989" s="1079"/>
      <c r="B3989" s="1050"/>
      <c r="C3989" s="1050"/>
      <c r="D3989" s="1050"/>
      <c r="E3989" s="1050"/>
      <c r="F3989" s="1050"/>
      <c r="G3989" s="1050"/>
    </row>
    <row r="3990" spans="1:7">
      <c r="A3990" s="1079"/>
      <c r="B3990" s="1050"/>
      <c r="C3990" s="1050"/>
      <c r="D3990" s="1050"/>
      <c r="E3990" s="1050"/>
      <c r="F3990" s="1050"/>
      <c r="G3990" s="1050"/>
    </row>
    <row r="3991" spans="1:7">
      <c r="A3991" s="1079"/>
      <c r="B3991" s="1050"/>
      <c r="C3991" s="1050"/>
      <c r="D3991" s="1050"/>
      <c r="E3991" s="1050"/>
      <c r="F3991" s="1050"/>
      <c r="G3991" s="1050"/>
    </row>
    <row r="3992" spans="1:7">
      <c r="A3992" s="1079"/>
      <c r="B3992" s="1050"/>
      <c r="C3992" s="1050"/>
      <c r="D3992" s="1050"/>
      <c r="E3992" s="1050"/>
      <c r="F3992" s="1050"/>
      <c r="G3992" s="1050"/>
    </row>
    <row r="3993" spans="1:7">
      <c r="A3993" s="1079"/>
      <c r="B3993" s="1050"/>
      <c r="C3993" s="1050"/>
      <c r="D3993" s="1050"/>
      <c r="E3993" s="1050"/>
      <c r="F3993" s="1050"/>
      <c r="G3993" s="1050"/>
    </row>
    <row r="3994" spans="1:7">
      <c r="A3994" s="1079"/>
      <c r="B3994" s="1050"/>
      <c r="C3994" s="1050"/>
      <c r="D3994" s="1050"/>
      <c r="E3994" s="1050"/>
      <c r="F3994" s="1050"/>
      <c r="G3994" s="1050"/>
    </row>
    <row r="3995" spans="1:7">
      <c r="A3995" s="1079"/>
      <c r="B3995" s="1050"/>
      <c r="C3995" s="1050"/>
      <c r="D3995" s="1050"/>
      <c r="E3995" s="1050"/>
      <c r="F3995" s="1050"/>
      <c r="G3995" s="1050"/>
    </row>
    <row r="3996" spans="1:7">
      <c r="A3996" s="1079"/>
      <c r="B3996" s="1050"/>
      <c r="C3996" s="1050"/>
      <c r="D3996" s="1050"/>
      <c r="E3996" s="1050"/>
      <c r="F3996" s="1050"/>
      <c r="G3996" s="1050"/>
    </row>
    <row r="3997" spans="1:7">
      <c r="A3997" s="1079"/>
      <c r="B3997" s="1050"/>
      <c r="C3997" s="1050"/>
      <c r="D3997" s="1050"/>
      <c r="E3997" s="1050"/>
      <c r="F3997" s="1050"/>
      <c r="G3997" s="1050"/>
    </row>
    <row r="3998" spans="1:7">
      <c r="A3998" s="1079"/>
      <c r="B3998" s="1050"/>
      <c r="C3998" s="1050"/>
      <c r="D3998" s="1050"/>
      <c r="E3998" s="1050"/>
      <c r="F3998" s="1050"/>
      <c r="G3998" s="1050"/>
    </row>
    <row r="3999" spans="1:7">
      <c r="A3999" s="1079"/>
      <c r="B3999" s="1050"/>
      <c r="C3999" s="1050"/>
      <c r="D3999" s="1050"/>
      <c r="E3999" s="1050"/>
      <c r="F3999" s="1050"/>
      <c r="G3999" s="1050"/>
    </row>
    <row r="4000" spans="1:7">
      <c r="A4000" s="1079"/>
      <c r="B4000" s="1050"/>
      <c r="C4000" s="1050"/>
      <c r="D4000" s="1050"/>
      <c r="E4000" s="1050"/>
      <c r="F4000" s="1050"/>
      <c r="G4000" s="1050"/>
    </row>
    <row r="4001" spans="1:7">
      <c r="A4001" s="1079"/>
      <c r="B4001" s="1050"/>
      <c r="C4001" s="1050"/>
      <c r="D4001" s="1050"/>
      <c r="E4001" s="1050"/>
      <c r="F4001" s="1050"/>
      <c r="G4001" s="1050"/>
    </row>
    <row r="4002" spans="1:7">
      <c r="A4002" s="1079"/>
      <c r="B4002" s="1050"/>
      <c r="C4002" s="1050"/>
      <c r="D4002" s="1050"/>
      <c r="E4002" s="1050"/>
      <c r="F4002" s="1050"/>
      <c r="G4002" s="1050"/>
    </row>
    <row r="4003" spans="1:7">
      <c r="A4003" s="1079"/>
      <c r="B4003" s="1050"/>
      <c r="C4003" s="1050"/>
      <c r="D4003" s="1050"/>
      <c r="E4003" s="1050"/>
      <c r="F4003" s="1050"/>
      <c r="G4003" s="1050"/>
    </row>
    <row r="4004" spans="1:7">
      <c r="A4004" s="1079"/>
      <c r="B4004" s="1050"/>
      <c r="C4004" s="1050"/>
      <c r="D4004" s="1050"/>
      <c r="E4004" s="1050"/>
      <c r="F4004" s="1050"/>
      <c r="G4004" s="1050"/>
    </row>
    <row r="4005" spans="1:7">
      <c r="A4005" s="1079"/>
      <c r="B4005" s="1050"/>
      <c r="C4005" s="1050"/>
      <c r="D4005" s="1050"/>
      <c r="E4005" s="1050"/>
      <c r="F4005" s="1050"/>
      <c r="G4005" s="1050"/>
    </row>
    <row r="4006" spans="1:7">
      <c r="A4006" s="1079"/>
      <c r="B4006" s="1050"/>
      <c r="C4006" s="1050"/>
      <c r="D4006" s="1050"/>
      <c r="E4006" s="1050"/>
      <c r="F4006" s="1050"/>
      <c r="G4006" s="1050"/>
    </row>
    <row r="4007" spans="1:7">
      <c r="A4007" s="1079"/>
      <c r="B4007" s="1050"/>
      <c r="C4007" s="1050"/>
      <c r="D4007" s="1050"/>
      <c r="E4007" s="1050"/>
      <c r="F4007" s="1050"/>
      <c r="G4007" s="1050"/>
    </row>
    <row r="4008" spans="1:7">
      <c r="A4008" s="1079"/>
      <c r="B4008" s="1050"/>
      <c r="C4008" s="1050"/>
      <c r="D4008" s="1050"/>
      <c r="E4008" s="1050"/>
      <c r="F4008" s="1050"/>
      <c r="G4008" s="1050"/>
    </row>
    <row r="4009" spans="1:7">
      <c r="A4009" s="1079"/>
      <c r="B4009" s="1050"/>
      <c r="C4009" s="1050"/>
      <c r="D4009" s="1050"/>
      <c r="E4009" s="1050"/>
      <c r="F4009" s="1050"/>
      <c r="G4009" s="1050"/>
    </row>
    <row r="4010" spans="1:7">
      <c r="A4010" s="1079"/>
      <c r="B4010" s="1050"/>
      <c r="C4010" s="1050"/>
      <c r="D4010" s="1050"/>
      <c r="E4010" s="1050"/>
      <c r="F4010" s="1050"/>
      <c r="G4010" s="1050"/>
    </row>
    <row r="4011" spans="1:7">
      <c r="A4011" s="1079"/>
      <c r="B4011" s="1050"/>
      <c r="C4011" s="1050"/>
      <c r="D4011" s="1050"/>
      <c r="E4011" s="1050"/>
      <c r="F4011" s="1050"/>
      <c r="G4011" s="1050"/>
    </row>
    <row r="4012" spans="1:7">
      <c r="A4012" s="1079"/>
      <c r="B4012" s="1050"/>
      <c r="C4012" s="1050"/>
      <c r="D4012" s="1050"/>
      <c r="E4012" s="1050"/>
      <c r="F4012" s="1050"/>
      <c r="G4012" s="1050"/>
    </row>
    <row r="4013" spans="1:7">
      <c r="A4013" s="1079"/>
      <c r="B4013" s="1050"/>
      <c r="C4013" s="1050"/>
      <c r="D4013" s="1050"/>
      <c r="E4013" s="1050"/>
      <c r="F4013" s="1050"/>
      <c r="G4013" s="1050"/>
    </row>
    <row r="4014" spans="1:7">
      <c r="A4014" s="1079"/>
      <c r="B4014" s="1050"/>
      <c r="C4014" s="1050"/>
      <c r="D4014" s="1050"/>
      <c r="E4014" s="1050"/>
      <c r="F4014" s="1050"/>
      <c r="G4014" s="1050"/>
    </row>
    <row r="4015" spans="1:7">
      <c r="A4015" s="1079"/>
      <c r="B4015" s="1050"/>
      <c r="C4015" s="1050"/>
      <c r="D4015" s="1050"/>
      <c r="E4015" s="1050"/>
      <c r="F4015" s="1050"/>
      <c r="G4015" s="1050"/>
    </row>
    <row r="4016" spans="1:7">
      <c r="A4016" s="1079"/>
      <c r="B4016" s="1050"/>
      <c r="C4016" s="1050"/>
      <c r="D4016" s="1050"/>
      <c r="E4016" s="1050"/>
      <c r="F4016" s="1050"/>
      <c r="G4016" s="1050"/>
    </row>
    <row r="4017" spans="1:7">
      <c r="A4017" s="1079"/>
      <c r="B4017" s="1050"/>
      <c r="C4017" s="1050"/>
      <c r="D4017" s="1050"/>
      <c r="E4017" s="1050"/>
      <c r="F4017" s="1050"/>
      <c r="G4017" s="1050"/>
    </row>
    <row r="4018" spans="1:7">
      <c r="A4018" s="1079"/>
      <c r="B4018" s="1050"/>
      <c r="C4018" s="1050"/>
      <c r="D4018" s="1050"/>
      <c r="E4018" s="1050"/>
      <c r="F4018" s="1050"/>
      <c r="G4018" s="1050"/>
    </row>
    <row r="4019" spans="1:7">
      <c r="A4019" s="1079"/>
      <c r="B4019" s="1050"/>
      <c r="C4019" s="1050"/>
      <c r="D4019" s="1050"/>
      <c r="E4019" s="1050"/>
      <c r="F4019" s="1050"/>
      <c r="G4019" s="1050"/>
    </row>
    <row r="4020" spans="1:7">
      <c r="A4020" s="1079"/>
      <c r="B4020" s="1050"/>
      <c r="C4020" s="1050"/>
      <c r="D4020" s="1050"/>
      <c r="E4020" s="1050"/>
      <c r="F4020" s="1050"/>
      <c r="G4020" s="1050"/>
    </row>
    <row r="4021" spans="1:7">
      <c r="A4021" s="1079"/>
      <c r="B4021" s="1050"/>
      <c r="C4021" s="1050"/>
      <c r="D4021" s="1050"/>
      <c r="E4021" s="1050"/>
      <c r="F4021" s="1050"/>
      <c r="G4021" s="1050"/>
    </row>
    <row r="4022" spans="1:7">
      <c r="A4022" s="1079"/>
      <c r="B4022" s="1050"/>
      <c r="C4022" s="1050"/>
      <c r="D4022" s="1050"/>
      <c r="E4022" s="1050"/>
      <c r="F4022" s="1050"/>
      <c r="G4022" s="1050"/>
    </row>
    <row r="4023" spans="1:7">
      <c r="A4023" s="1079"/>
      <c r="B4023" s="1050"/>
      <c r="C4023" s="1050"/>
      <c r="D4023" s="1050"/>
      <c r="E4023" s="1050"/>
      <c r="F4023" s="1050"/>
      <c r="G4023" s="1050"/>
    </row>
    <row r="4024" spans="1:7">
      <c r="A4024" s="1079"/>
      <c r="B4024" s="1050"/>
      <c r="C4024" s="1050"/>
      <c r="D4024" s="1050"/>
      <c r="E4024" s="1050"/>
      <c r="F4024" s="1050"/>
      <c r="G4024" s="1050"/>
    </row>
    <row r="4025" spans="1:7">
      <c r="A4025" s="1079"/>
      <c r="B4025" s="1050"/>
      <c r="C4025" s="1050"/>
      <c r="D4025" s="1050"/>
      <c r="E4025" s="1050"/>
      <c r="F4025" s="1050"/>
      <c r="G4025" s="1050"/>
    </row>
    <row r="4026" spans="1:7">
      <c r="A4026" s="1079"/>
      <c r="B4026" s="1050"/>
      <c r="C4026" s="1050"/>
      <c r="D4026" s="1050"/>
      <c r="E4026" s="1050"/>
      <c r="F4026" s="1050"/>
      <c r="G4026" s="1050"/>
    </row>
    <row r="4027" spans="1:7">
      <c r="A4027" s="1079"/>
      <c r="B4027" s="1050"/>
      <c r="C4027" s="1050"/>
      <c r="D4027" s="1050"/>
      <c r="E4027" s="1050"/>
      <c r="F4027" s="1050"/>
      <c r="G4027" s="1050"/>
    </row>
    <row r="4028" spans="1:7">
      <c r="A4028" s="1079"/>
      <c r="B4028" s="1050"/>
      <c r="C4028" s="1050"/>
      <c r="D4028" s="1050"/>
      <c r="E4028" s="1050"/>
      <c r="F4028" s="1050"/>
      <c r="G4028" s="1050"/>
    </row>
    <row r="4029" spans="1:7">
      <c r="A4029" s="1079"/>
      <c r="B4029" s="1050"/>
      <c r="C4029" s="1050"/>
      <c r="D4029" s="1050"/>
      <c r="E4029" s="1050"/>
      <c r="F4029" s="1050"/>
      <c r="G4029" s="1050"/>
    </row>
    <row r="4030" spans="1:7">
      <c r="A4030" s="1079"/>
      <c r="B4030" s="1050"/>
      <c r="C4030" s="1050"/>
      <c r="D4030" s="1050"/>
      <c r="E4030" s="1050"/>
      <c r="F4030" s="1050"/>
      <c r="G4030" s="1050"/>
    </row>
    <row r="4031" spans="1:7">
      <c r="A4031" s="1079"/>
      <c r="B4031" s="1050"/>
      <c r="C4031" s="1050"/>
      <c r="D4031" s="1050"/>
      <c r="E4031" s="1050"/>
      <c r="F4031" s="1050"/>
      <c r="G4031" s="1050"/>
    </row>
    <row r="4032" spans="1:7">
      <c r="A4032" s="1079"/>
      <c r="B4032" s="1050"/>
      <c r="C4032" s="1050"/>
      <c r="D4032" s="1050"/>
      <c r="E4032" s="1050"/>
      <c r="F4032" s="1050"/>
      <c r="G4032" s="1050"/>
    </row>
    <row r="4033" spans="1:7">
      <c r="A4033" s="1079"/>
      <c r="B4033" s="1050"/>
      <c r="C4033" s="1050"/>
      <c r="D4033" s="1050"/>
      <c r="E4033" s="1050"/>
      <c r="F4033" s="1050"/>
      <c r="G4033" s="1050"/>
    </row>
    <row r="4034" spans="1:7">
      <c r="A4034" s="1079"/>
      <c r="B4034" s="1050"/>
      <c r="C4034" s="1050"/>
      <c r="D4034" s="1050"/>
      <c r="E4034" s="1050"/>
      <c r="F4034" s="1050"/>
      <c r="G4034" s="1050"/>
    </row>
    <row r="4035" spans="1:7">
      <c r="A4035" s="1079"/>
      <c r="B4035" s="1050"/>
      <c r="C4035" s="1050"/>
      <c r="D4035" s="1050"/>
      <c r="E4035" s="1050"/>
      <c r="F4035" s="1050"/>
      <c r="G4035" s="1050"/>
    </row>
    <row r="4036" spans="1:7">
      <c r="A4036" s="1079"/>
      <c r="B4036" s="1050"/>
      <c r="C4036" s="1050"/>
      <c r="D4036" s="1050"/>
      <c r="E4036" s="1050"/>
      <c r="F4036" s="1050"/>
      <c r="G4036" s="1050"/>
    </row>
    <row r="4037" spans="1:7">
      <c r="A4037" s="1079"/>
      <c r="B4037" s="1050"/>
      <c r="C4037" s="1050"/>
      <c r="D4037" s="1050"/>
      <c r="E4037" s="1050"/>
      <c r="F4037" s="1050"/>
      <c r="G4037" s="1050"/>
    </row>
    <row r="4038" spans="1:7">
      <c r="A4038" s="1079"/>
      <c r="B4038" s="1050"/>
      <c r="C4038" s="1050"/>
      <c r="D4038" s="1050"/>
      <c r="E4038" s="1050"/>
      <c r="F4038" s="1050"/>
      <c r="G4038" s="1050"/>
    </row>
    <row r="4039" spans="1:7">
      <c r="A4039" s="1079"/>
      <c r="B4039" s="1050"/>
      <c r="C4039" s="1050"/>
      <c r="D4039" s="1050"/>
      <c r="E4039" s="1050"/>
      <c r="F4039" s="1050"/>
      <c r="G4039" s="1050"/>
    </row>
    <row r="4040" spans="1:7">
      <c r="A4040" s="1079"/>
      <c r="B4040" s="1050"/>
      <c r="C4040" s="1050"/>
      <c r="D4040" s="1050"/>
      <c r="E4040" s="1050"/>
      <c r="F4040" s="1050"/>
      <c r="G4040" s="1050"/>
    </row>
    <row r="4041" spans="1:7">
      <c r="A4041" s="1079"/>
      <c r="B4041" s="1050"/>
      <c r="C4041" s="1050"/>
      <c r="D4041" s="1050"/>
      <c r="E4041" s="1050"/>
      <c r="F4041" s="1050"/>
      <c r="G4041" s="1050"/>
    </row>
    <row r="4042" spans="1:7">
      <c r="A4042" s="1079"/>
      <c r="B4042" s="1050"/>
      <c r="C4042" s="1050"/>
      <c r="D4042" s="1050"/>
      <c r="E4042" s="1050"/>
      <c r="F4042" s="1050"/>
      <c r="G4042" s="1050"/>
    </row>
    <row r="4043" spans="1:7">
      <c r="A4043" s="1079"/>
      <c r="B4043" s="1050"/>
      <c r="C4043" s="1050"/>
      <c r="D4043" s="1050"/>
      <c r="E4043" s="1050"/>
      <c r="F4043" s="1050"/>
      <c r="G4043" s="1050"/>
    </row>
    <row r="4044" spans="1:7">
      <c r="A4044" s="1079"/>
      <c r="B4044" s="1050"/>
      <c r="C4044" s="1050"/>
      <c r="D4044" s="1050"/>
      <c r="E4044" s="1050"/>
      <c r="F4044" s="1050"/>
      <c r="G4044" s="1050"/>
    </row>
    <row r="4045" spans="1:7">
      <c r="A4045" s="1079"/>
      <c r="B4045" s="1050"/>
      <c r="C4045" s="1050"/>
      <c r="D4045" s="1050"/>
      <c r="E4045" s="1050"/>
      <c r="F4045" s="1050"/>
      <c r="G4045" s="1050"/>
    </row>
    <row r="4046" spans="1:7">
      <c r="A4046" s="1079"/>
      <c r="B4046" s="1050"/>
      <c r="C4046" s="1050"/>
      <c r="D4046" s="1050"/>
      <c r="E4046" s="1050"/>
      <c r="F4046" s="1050"/>
      <c r="G4046" s="1050"/>
    </row>
    <row r="4047" spans="1:7">
      <c r="A4047" s="1079"/>
      <c r="B4047" s="1050"/>
      <c r="C4047" s="1050"/>
      <c r="D4047" s="1050"/>
      <c r="E4047" s="1050"/>
      <c r="F4047" s="1050"/>
      <c r="G4047" s="1050"/>
    </row>
    <row r="4048" spans="1:7">
      <c r="A4048" s="1079"/>
      <c r="B4048" s="1050"/>
      <c r="C4048" s="1050"/>
      <c r="D4048" s="1050"/>
      <c r="E4048" s="1050"/>
      <c r="F4048" s="1050"/>
      <c r="G4048" s="1050"/>
    </row>
    <row r="4049" spans="1:7">
      <c r="A4049" s="1079"/>
      <c r="B4049" s="1050"/>
      <c r="C4049" s="1050"/>
      <c r="D4049" s="1050"/>
      <c r="E4049" s="1050"/>
      <c r="F4049" s="1050"/>
      <c r="G4049" s="1050"/>
    </row>
    <row r="4050" spans="1:7">
      <c r="A4050" s="1079"/>
      <c r="B4050" s="1050"/>
      <c r="C4050" s="1050"/>
      <c r="D4050" s="1050"/>
      <c r="E4050" s="1050"/>
      <c r="F4050" s="1050"/>
      <c r="G4050" s="1050"/>
    </row>
    <row r="4051" spans="1:7">
      <c r="A4051" s="1079"/>
      <c r="B4051" s="1050"/>
      <c r="C4051" s="1050"/>
      <c r="D4051" s="1050"/>
      <c r="E4051" s="1050"/>
      <c r="F4051" s="1050"/>
      <c r="G4051" s="1050"/>
    </row>
    <row r="4052" spans="1:7">
      <c r="A4052" s="1079"/>
      <c r="B4052" s="1050"/>
      <c r="C4052" s="1050"/>
      <c r="D4052" s="1050"/>
      <c r="E4052" s="1050"/>
      <c r="F4052" s="1050"/>
      <c r="G4052" s="1050"/>
    </row>
    <row r="4053" spans="1:7">
      <c r="A4053" s="1079"/>
      <c r="B4053" s="1050"/>
      <c r="C4053" s="1050"/>
      <c r="D4053" s="1050"/>
      <c r="E4053" s="1050"/>
      <c r="F4053" s="1050"/>
      <c r="G4053" s="1050"/>
    </row>
    <row r="4054" spans="1:7">
      <c r="A4054" s="1079"/>
      <c r="B4054" s="1050"/>
      <c r="C4054" s="1050"/>
      <c r="D4054" s="1050"/>
      <c r="E4054" s="1050"/>
      <c r="F4054" s="1050"/>
      <c r="G4054" s="1050"/>
    </row>
    <row r="4055" spans="1:7">
      <c r="A4055" s="1079"/>
      <c r="B4055" s="1050"/>
      <c r="C4055" s="1050"/>
      <c r="D4055" s="1050"/>
      <c r="E4055" s="1050"/>
      <c r="F4055" s="1050"/>
      <c r="G4055" s="1050"/>
    </row>
    <row r="4056" spans="1:7">
      <c r="A4056" s="1079"/>
      <c r="B4056" s="1050"/>
      <c r="C4056" s="1050"/>
      <c r="D4056" s="1050"/>
      <c r="E4056" s="1050"/>
      <c r="F4056" s="1050"/>
      <c r="G4056" s="1050"/>
    </row>
    <row r="4057" spans="1:7">
      <c r="A4057" s="1079"/>
      <c r="B4057" s="1050"/>
      <c r="C4057" s="1050"/>
      <c r="D4057" s="1050"/>
      <c r="E4057" s="1050"/>
      <c r="F4057" s="1050"/>
      <c r="G4057" s="1050"/>
    </row>
    <row r="4058" spans="1:7">
      <c r="A4058" s="1079"/>
      <c r="B4058" s="1050"/>
      <c r="C4058" s="1050"/>
      <c r="D4058" s="1050"/>
      <c r="E4058" s="1050"/>
      <c r="F4058" s="1050"/>
      <c r="G4058" s="1050"/>
    </row>
    <row r="4059" spans="1:7">
      <c r="A4059" s="1079"/>
      <c r="B4059" s="1050"/>
      <c r="C4059" s="1050"/>
      <c r="D4059" s="1050"/>
      <c r="E4059" s="1050"/>
      <c r="F4059" s="1050"/>
      <c r="G4059" s="1050"/>
    </row>
    <row r="4060" spans="1:7">
      <c r="A4060" s="1079"/>
      <c r="B4060" s="1050"/>
      <c r="C4060" s="1050"/>
      <c r="D4060" s="1050"/>
      <c r="E4060" s="1050"/>
      <c r="F4060" s="1050"/>
      <c r="G4060" s="1050"/>
    </row>
    <row r="4061" spans="1:7">
      <c r="A4061" s="1079"/>
      <c r="B4061" s="1050"/>
      <c r="C4061" s="1050"/>
      <c r="D4061" s="1050"/>
      <c r="E4061" s="1050"/>
      <c r="F4061" s="1050"/>
      <c r="G4061" s="1050"/>
    </row>
    <row r="4062" spans="1:7">
      <c r="A4062" s="1079"/>
      <c r="B4062" s="1050"/>
      <c r="C4062" s="1050"/>
      <c r="D4062" s="1050"/>
      <c r="E4062" s="1050"/>
      <c r="F4062" s="1050"/>
      <c r="G4062" s="1050"/>
    </row>
    <row r="4063" spans="1:7">
      <c r="A4063" s="1079"/>
      <c r="B4063" s="1050"/>
      <c r="C4063" s="1050"/>
      <c r="D4063" s="1050"/>
      <c r="E4063" s="1050"/>
      <c r="F4063" s="1050"/>
      <c r="G4063" s="1050"/>
    </row>
    <row r="4064" spans="1:7">
      <c r="A4064" s="1079"/>
      <c r="B4064" s="1050"/>
      <c r="C4064" s="1050"/>
      <c r="D4064" s="1050"/>
      <c r="E4064" s="1050"/>
      <c r="F4064" s="1050"/>
      <c r="G4064" s="1050"/>
    </row>
    <row r="4065" spans="1:7">
      <c r="A4065" s="1079"/>
      <c r="B4065" s="1050"/>
      <c r="C4065" s="1050"/>
      <c r="D4065" s="1050"/>
      <c r="E4065" s="1050"/>
      <c r="F4065" s="1050"/>
      <c r="G4065" s="1050"/>
    </row>
    <row r="4066" spans="1:7">
      <c r="A4066" s="1079"/>
      <c r="B4066" s="1050"/>
      <c r="C4066" s="1050"/>
      <c r="D4066" s="1050"/>
      <c r="E4066" s="1050"/>
      <c r="F4066" s="1050"/>
      <c r="G4066" s="1050"/>
    </row>
    <row r="4067" spans="1:7">
      <c r="A4067" s="1079"/>
      <c r="B4067" s="1050"/>
      <c r="C4067" s="1050"/>
      <c r="D4067" s="1050"/>
      <c r="E4067" s="1050"/>
      <c r="F4067" s="1050"/>
      <c r="G4067" s="1050"/>
    </row>
    <row r="4068" spans="1:7">
      <c r="A4068" s="1079"/>
      <c r="B4068" s="1050"/>
      <c r="C4068" s="1050"/>
      <c r="D4068" s="1050"/>
      <c r="E4068" s="1050"/>
      <c r="F4068" s="1050"/>
      <c r="G4068" s="1050"/>
    </row>
    <row r="4069" spans="1:7">
      <c r="A4069" s="1079"/>
      <c r="B4069" s="1050"/>
      <c r="C4069" s="1050"/>
      <c r="D4069" s="1050"/>
      <c r="E4069" s="1050"/>
      <c r="F4069" s="1050"/>
      <c r="G4069" s="1050"/>
    </row>
    <row r="4070" spans="1:7">
      <c r="A4070" s="1079"/>
      <c r="B4070" s="1050"/>
      <c r="C4070" s="1050"/>
      <c r="D4070" s="1050"/>
      <c r="E4070" s="1050"/>
      <c r="F4070" s="1050"/>
      <c r="G4070" s="1050"/>
    </row>
    <row r="4071" spans="1:7">
      <c r="A4071" s="1079"/>
      <c r="B4071" s="1050"/>
      <c r="C4071" s="1050"/>
      <c r="D4071" s="1050"/>
      <c r="E4071" s="1050"/>
      <c r="F4071" s="1050"/>
      <c r="G4071" s="1050"/>
    </row>
    <row r="4072" spans="1:7">
      <c r="A4072" s="1079"/>
      <c r="B4072" s="1050"/>
      <c r="C4072" s="1050"/>
      <c r="D4072" s="1050"/>
      <c r="E4072" s="1050"/>
      <c r="F4072" s="1050"/>
      <c r="G4072" s="1050"/>
    </row>
    <row r="4073" spans="1:7">
      <c r="A4073" s="1079"/>
      <c r="B4073" s="1050"/>
      <c r="C4073" s="1050"/>
      <c r="D4073" s="1050"/>
      <c r="E4073" s="1050"/>
      <c r="F4073" s="1050"/>
      <c r="G4073" s="1050"/>
    </row>
    <row r="4074" spans="1:7">
      <c r="A4074" s="1079"/>
      <c r="B4074" s="1050"/>
      <c r="C4074" s="1050"/>
      <c r="D4074" s="1050"/>
      <c r="E4074" s="1050"/>
      <c r="F4074" s="1050"/>
      <c r="G4074" s="1050"/>
    </row>
    <row r="4075" spans="1:7">
      <c r="A4075" s="1079"/>
      <c r="B4075" s="1050"/>
      <c r="C4075" s="1050"/>
      <c r="D4075" s="1050"/>
      <c r="E4075" s="1050"/>
      <c r="F4075" s="1050"/>
      <c r="G4075" s="1050"/>
    </row>
    <row r="4076" spans="1:7">
      <c r="A4076" s="1079"/>
      <c r="B4076" s="1050"/>
      <c r="C4076" s="1050"/>
      <c r="D4076" s="1050"/>
      <c r="E4076" s="1050"/>
      <c r="F4076" s="1050"/>
      <c r="G4076" s="1050"/>
    </row>
    <row r="4077" spans="1:7">
      <c r="A4077" s="1079"/>
      <c r="B4077" s="1050"/>
      <c r="C4077" s="1050"/>
      <c r="D4077" s="1050"/>
      <c r="E4077" s="1050"/>
      <c r="F4077" s="1050"/>
      <c r="G4077" s="1050"/>
    </row>
    <row r="4078" spans="1:7">
      <c r="A4078" s="1079"/>
      <c r="B4078" s="1050"/>
      <c r="C4078" s="1050"/>
      <c r="D4078" s="1050"/>
      <c r="E4078" s="1050"/>
      <c r="F4078" s="1050"/>
      <c r="G4078" s="1050"/>
    </row>
    <row r="4079" spans="1:7">
      <c r="A4079" s="1079"/>
      <c r="B4079" s="1050"/>
      <c r="C4079" s="1050"/>
      <c r="D4079" s="1050"/>
      <c r="E4079" s="1050"/>
      <c r="F4079" s="1050"/>
      <c r="G4079" s="1050"/>
    </row>
    <row r="4080" spans="1:7">
      <c r="A4080" s="1079"/>
      <c r="B4080" s="1050"/>
      <c r="C4080" s="1050"/>
      <c r="D4080" s="1050"/>
      <c r="E4080" s="1050"/>
      <c r="F4080" s="1050"/>
      <c r="G4080" s="1050"/>
    </row>
    <row r="4081" spans="1:7">
      <c r="A4081" s="1079"/>
      <c r="B4081" s="1050"/>
      <c r="C4081" s="1050"/>
      <c r="D4081" s="1050"/>
      <c r="E4081" s="1050"/>
      <c r="F4081" s="1050"/>
      <c r="G4081" s="1050"/>
    </row>
    <row r="4082" spans="1:7">
      <c r="A4082" s="1079"/>
      <c r="B4082" s="1050"/>
      <c r="C4082" s="1050"/>
      <c r="D4082" s="1050"/>
      <c r="E4082" s="1050"/>
      <c r="F4082" s="1050"/>
      <c r="G4082" s="1050"/>
    </row>
    <row r="4083" spans="1:7">
      <c r="A4083" s="1079"/>
      <c r="B4083" s="1050"/>
      <c r="C4083" s="1050"/>
      <c r="D4083" s="1050"/>
      <c r="E4083" s="1050"/>
      <c r="F4083" s="1050"/>
      <c r="G4083" s="1050"/>
    </row>
    <row r="4084" spans="1:7">
      <c r="A4084" s="1079"/>
      <c r="B4084" s="1050"/>
      <c r="C4084" s="1050"/>
      <c r="D4084" s="1050"/>
      <c r="E4084" s="1050"/>
      <c r="F4084" s="1050"/>
      <c r="G4084" s="1050"/>
    </row>
    <row r="4085" spans="1:7">
      <c r="A4085" s="1079"/>
      <c r="B4085" s="1050"/>
      <c r="C4085" s="1050"/>
      <c r="D4085" s="1050"/>
      <c r="E4085" s="1050"/>
      <c r="F4085" s="1050"/>
      <c r="G4085" s="1050"/>
    </row>
    <row r="4086" spans="1:7">
      <c r="A4086" s="1079"/>
      <c r="B4086" s="1050"/>
      <c r="C4086" s="1050"/>
      <c r="D4086" s="1050"/>
      <c r="E4086" s="1050"/>
      <c r="F4086" s="1050"/>
      <c r="G4086" s="1050"/>
    </row>
    <row r="4087" spans="1:7">
      <c r="A4087" s="1079"/>
      <c r="B4087" s="1050"/>
      <c r="C4087" s="1050"/>
      <c r="D4087" s="1050"/>
      <c r="E4087" s="1050"/>
      <c r="F4087" s="1050"/>
      <c r="G4087" s="1050"/>
    </row>
    <row r="4088" spans="1:7">
      <c r="A4088" s="1079"/>
      <c r="B4088" s="1050"/>
      <c r="C4088" s="1050"/>
      <c r="D4088" s="1050"/>
      <c r="E4088" s="1050"/>
      <c r="F4088" s="1050"/>
      <c r="G4088" s="1050"/>
    </row>
    <row r="4089" spans="1:7">
      <c r="A4089" s="1079"/>
      <c r="B4089" s="1050"/>
      <c r="C4089" s="1050"/>
      <c r="D4089" s="1050"/>
      <c r="E4089" s="1050"/>
      <c r="F4089" s="1050"/>
      <c r="G4089" s="1050"/>
    </row>
    <row r="4090" spans="1:7">
      <c r="A4090" s="1079"/>
      <c r="B4090" s="1050"/>
      <c r="C4090" s="1050"/>
      <c r="D4090" s="1050"/>
      <c r="E4090" s="1050"/>
      <c r="F4090" s="1050"/>
      <c r="G4090" s="1050"/>
    </row>
    <row r="4091" spans="1:7">
      <c r="A4091" s="1079"/>
      <c r="B4091" s="1050"/>
      <c r="C4091" s="1050"/>
      <c r="D4091" s="1050"/>
      <c r="E4091" s="1050"/>
      <c r="F4091" s="1050"/>
      <c r="G4091" s="1050"/>
    </row>
    <row r="4092" spans="1:7">
      <c r="A4092" s="1079"/>
      <c r="B4092" s="1050"/>
      <c r="C4092" s="1050"/>
      <c r="D4092" s="1050"/>
      <c r="E4092" s="1050"/>
      <c r="F4092" s="1050"/>
      <c r="G4092" s="1050"/>
    </row>
    <row r="4093" spans="1:7">
      <c r="A4093" s="1079"/>
      <c r="B4093" s="1050"/>
      <c r="C4093" s="1050"/>
      <c r="D4093" s="1050"/>
      <c r="E4093" s="1050"/>
      <c r="F4093" s="1050"/>
      <c r="G4093" s="1050"/>
    </row>
    <row r="4094" spans="1:7">
      <c r="A4094" s="1079"/>
      <c r="B4094" s="1050"/>
      <c r="C4094" s="1050"/>
      <c r="D4094" s="1050"/>
      <c r="E4094" s="1050"/>
      <c r="F4094" s="1050"/>
      <c r="G4094" s="1050"/>
    </row>
    <row r="4095" spans="1:7">
      <c r="A4095" s="1079"/>
      <c r="B4095" s="1050"/>
      <c r="C4095" s="1050"/>
      <c r="D4095" s="1050"/>
      <c r="E4095" s="1050"/>
      <c r="F4095" s="1050"/>
      <c r="G4095" s="1050"/>
    </row>
    <row r="4096" spans="1:7">
      <c r="A4096" s="1079"/>
      <c r="B4096" s="1050"/>
      <c r="C4096" s="1050"/>
      <c r="D4096" s="1050"/>
      <c r="E4096" s="1050"/>
      <c r="F4096" s="1050"/>
      <c r="G4096" s="1050"/>
    </row>
    <row r="4097" spans="1:7">
      <c r="A4097" s="1079"/>
      <c r="B4097" s="1050"/>
      <c r="C4097" s="1050"/>
      <c r="D4097" s="1050"/>
      <c r="E4097" s="1050"/>
      <c r="F4097" s="1050"/>
      <c r="G4097" s="1050"/>
    </row>
    <row r="4098" spans="1:7">
      <c r="A4098" s="1079"/>
      <c r="B4098" s="1050"/>
      <c r="C4098" s="1050"/>
      <c r="D4098" s="1050"/>
      <c r="E4098" s="1050"/>
      <c r="F4098" s="1050"/>
      <c r="G4098" s="1050"/>
    </row>
    <row r="4099" spans="1:7">
      <c r="A4099" s="1079"/>
      <c r="B4099" s="1050"/>
      <c r="C4099" s="1050"/>
      <c r="D4099" s="1050"/>
      <c r="E4099" s="1050"/>
      <c r="F4099" s="1050"/>
      <c r="G4099" s="1050"/>
    </row>
    <row r="4100" spans="1:7">
      <c r="A4100" s="1079"/>
      <c r="B4100" s="1050"/>
      <c r="C4100" s="1050"/>
      <c r="D4100" s="1050"/>
      <c r="E4100" s="1050"/>
      <c r="F4100" s="1050"/>
      <c r="G4100" s="1050"/>
    </row>
    <row r="4101" spans="1:7">
      <c r="A4101" s="1079"/>
      <c r="B4101" s="1050"/>
      <c r="C4101" s="1050"/>
      <c r="D4101" s="1050"/>
      <c r="E4101" s="1050"/>
      <c r="F4101" s="1050"/>
      <c r="G4101" s="1050"/>
    </row>
    <row r="4102" spans="1:7">
      <c r="A4102" s="1079"/>
      <c r="B4102" s="1050"/>
      <c r="C4102" s="1050"/>
      <c r="D4102" s="1050"/>
      <c r="E4102" s="1050"/>
      <c r="F4102" s="1050"/>
      <c r="G4102" s="1050"/>
    </row>
    <row r="4103" spans="1:7">
      <c r="A4103" s="1079"/>
      <c r="B4103" s="1050"/>
      <c r="C4103" s="1050"/>
      <c r="D4103" s="1050"/>
      <c r="E4103" s="1050"/>
      <c r="F4103" s="1050"/>
      <c r="G4103" s="1050"/>
    </row>
    <row r="4104" spans="1:7">
      <c r="A4104" s="1079"/>
      <c r="B4104" s="1050"/>
      <c r="C4104" s="1050"/>
      <c r="D4104" s="1050"/>
      <c r="E4104" s="1050"/>
      <c r="F4104" s="1050"/>
      <c r="G4104" s="1050"/>
    </row>
    <row r="4105" spans="1:7">
      <c r="A4105" s="1079"/>
      <c r="B4105" s="1050"/>
      <c r="C4105" s="1050"/>
      <c r="D4105" s="1050"/>
      <c r="E4105" s="1050"/>
      <c r="F4105" s="1050"/>
      <c r="G4105" s="1050"/>
    </row>
    <row r="4106" spans="1:7">
      <c r="A4106" s="1079"/>
      <c r="B4106" s="1050"/>
      <c r="C4106" s="1050"/>
      <c r="D4106" s="1050"/>
      <c r="E4106" s="1050"/>
      <c r="F4106" s="1050"/>
      <c r="G4106" s="1050"/>
    </row>
    <row r="4107" spans="1:7">
      <c r="A4107" s="1079"/>
      <c r="B4107" s="1050"/>
      <c r="C4107" s="1050"/>
      <c r="D4107" s="1050"/>
      <c r="E4107" s="1050"/>
      <c r="F4107" s="1050"/>
      <c r="G4107" s="1050"/>
    </row>
    <row r="4108" spans="1:7">
      <c r="A4108" s="1079"/>
      <c r="B4108" s="1050"/>
      <c r="C4108" s="1050"/>
      <c r="D4108" s="1050"/>
      <c r="E4108" s="1050"/>
      <c r="F4108" s="1050"/>
      <c r="G4108" s="1050"/>
    </row>
    <row r="4109" spans="1:7">
      <c r="A4109" s="1079"/>
      <c r="B4109" s="1050"/>
      <c r="C4109" s="1050"/>
      <c r="D4109" s="1050"/>
      <c r="E4109" s="1050"/>
      <c r="F4109" s="1050"/>
      <c r="G4109" s="1050"/>
    </row>
    <row r="4110" spans="1:7">
      <c r="A4110" s="1079"/>
      <c r="B4110" s="1050"/>
      <c r="C4110" s="1050"/>
      <c r="D4110" s="1050"/>
      <c r="E4110" s="1050"/>
      <c r="F4110" s="1050"/>
      <c r="G4110" s="1050"/>
    </row>
    <row r="4111" spans="1:7">
      <c r="A4111" s="1079"/>
      <c r="B4111" s="1050"/>
      <c r="C4111" s="1050"/>
      <c r="D4111" s="1050"/>
      <c r="E4111" s="1050"/>
      <c r="F4111" s="1050"/>
      <c r="G4111" s="1050"/>
    </row>
    <row r="4112" spans="1:7">
      <c r="A4112" s="1079"/>
      <c r="B4112" s="1050"/>
      <c r="C4112" s="1050"/>
      <c r="D4112" s="1050"/>
      <c r="E4112" s="1050"/>
      <c r="F4112" s="1050"/>
      <c r="G4112" s="1050"/>
    </row>
    <row r="4113" spans="1:7">
      <c r="A4113" s="1079"/>
      <c r="B4113" s="1050"/>
      <c r="C4113" s="1050"/>
      <c r="D4113" s="1050"/>
      <c r="E4113" s="1050"/>
      <c r="F4113" s="1050"/>
      <c r="G4113" s="1050"/>
    </row>
    <row r="4114" spans="1:7">
      <c r="A4114" s="1079"/>
      <c r="B4114" s="1050"/>
      <c r="C4114" s="1050"/>
      <c r="D4114" s="1050"/>
      <c r="E4114" s="1050"/>
      <c r="F4114" s="1050"/>
      <c r="G4114" s="1050"/>
    </row>
    <row r="4115" spans="1:7">
      <c r="A4115" s="1079"/>
      <c r="B4115" s="1050"/>
      <c r="C4115" s="1050"/>
      <c r="D4115" s="1050"/>
      <c r="E4115" s="1050"/>
      <c r="F4115" s="1050"/>
      <c r="G4115" s="1050"/>
    </row>
    <row r="4116" spans="1:7">
      <c r="A4116" s="1079"/>
      <c r="B4116" s="1050"/>
      <c r="C4116" s="1050"/>
      <c r="D4116" s="1050"/>
      <c r="E4116" s="1050"/>
      <c r="F4116" s="1050"/>
      <c r="G4116" s="1050"/>
    </row>
    <row r="4117" spans="1:7">
      <c r="A4117" s="1079"/>
      <c r="B4117" s="1050"/>
      <c r="C4117" s="1050"/>
      <c r="D4117" s="1050"/>
      <c r="E4117" s="1050"/>
      <c r="F4117" s="1050"/>
      <c r="G4117" s="1050"/>
    </row>
    <row r="4118" spans="1:7">
      <c r="A4118" s="1079"/>
      <c r="B4118" s="1050"/>
      <c r="C4118" s="1050"/>
      <c r="D4118" s="1050"/>
      <c r="E4118" s="1050"/>
      <c r="F4118" s="1050"/>
      <c r="G4118" s="1050"/>
    </row>
    <row r="4119" spans="1:7">
      <c r="A4119" s="1079"/>
      <c r="B4119" s="1050"/>
      <c r="C4119" s="1050"/>
      <c r="D4119" s="1050"/>
      <c r="E4119" s="1050"/>
      <c r="F4119" s="1050"/>
      <c r="G4119" s="1050"/>
    </row>
    <row r="4120" spans="1:7">
      <c r="A4120" s="1079"/>
      <c r="B4120" s="1050"/>
      <c r="C4120" s="1050"/>
      <c r="D4120" s="1050"/>
      <c r="E4120" s="1050"/>
      <c r="F4120" s="1050"/>
      <c r="G4120" s="1050"/>
    </row>
    <row r="4121" spans="1:7">
      <c r="A4121" s="1079"/>
      <c r="B4121" s="1050"/>
      <c r="C4121" s="1050"/>
      <c r="D4121" s="1050"/>
      <c r="E4121" s="1050"/>
      <c r="F4121" s="1050"/>
      <c r="G4121" s="1050"/>
    </row>
    <row r="4122" spans="1:7">
      <c r="A4122" s="1079"/>
      <c r="B4122" s="1050"/>
      <c r="C4122" s="1050"/>
      <c r="D4122" s="1050"/>
      <c r="E4122" s="1050"/>
      <c r="F4122" s="1050"/>
      <c r="G4122" s="1050"/>
    </row>
    <row r="4123" spans="1:7">
      <c r="A4123" s="1079"/>
      <c r="B4123" s="1050"/>
      <c r="C4123" s="1050"/>
      <c r="D4123" s="1050"/>
      <c r="E4123" s="1050"/>
      <c r="F4123" s="1050"/>
      <c r="G4123" s="1050"/>
    </row>
    <row r="4124" spans="1:7">
      <c r="A4124" s="1079"/>
      <c r="B4124" s="1050"/>
      <c r="C4124" s="1050"/>
      <c r="D4124" s="1050"/>
      <c r="E4124" s="1050"/>
      <c r="F4124" s="1050"/>
      <c r="G4124" s="1050"/>
    </row>
    <row r="4125" spans="1:7">
      <c r="A4125" s="1079"/>
      <c r="B4125" s="1050"/>
      <c r="C4125" s="1050"/>
      <c r="D4125" s="1050"/>
      <c r="E4125" s="1050"/>
      <c r="F4125" s="1050"/>
      <c r="G4125" s="1050"/>
    </row>
    <row r="4126" spans="1:7">
      <c r="A4126" s="1079"/>
      <c r="B4126" s="1050"/>
      <c r="C4126" s="1050"/>
      <c r="D4126" s="1050"/>
      <c r="E4126" s="1050"/>
      <c r="F4126" s="1050"/>
      <c r="G4126" s="1050"/>
    </row>
    <row r="4127" spans="1:7">
      <c r="A4127" s="1079"/>
      <c r="B4127" s="1050"/>
      <c r="C4127" s="1050"/>
      <c r="D4127" s="1050"/>
      <c r="E4127" s="1050"/>
      <c r="F4127" s="1050"/>
      <c r="G4127" s="1050"/>
    </row>
    <row r="4128" spans="1:7">
      <c r="A4128" s="1079"/>
      <c r="B4128" s="1050"/>
      <c r="C4128" s="1050"/>
      <c r="D4128" s="1050"/>
      <c r="E4128" s="1050"/>
      <c r="F4128" s="1050"/>
      <c r="G4128" s="1050"/>
    </row>
    <row r="4129" spans="1:7">
      <c r="A4129" s="1079"/>
      <c r="B4129" s="1050"/>
      <c r="C4129" s="1050"/>
      <c r="D4129" s="1050"/>
      <c r="E4129" s="1050"/>
      <c r="F4129" s="1050"/>
      <c r="G4129" s="1050"/>
    </row>
    <row r="4130" spans="1:7">
      <c r="A4130" s="1079"/>
      <c r="B4130" s="1050"/>
      <c r="C4130" s="1050"/>
      <c r="D4130" s="1050"/>
      <c r="E4130" s="1050"/>
      <c r="F4130" s="1050"/>
      <c r="G4130" s="1050"/>
    </row>
    <row r="4131" spans="1:7">
      <c r="A4131" s="1079"/>
      <c r="B4131" s="1050"/>
      <c r="C4131" s="1050"/>
      <c r="D4131" s="1050"/>
      <c r="E4131" s="1050"/>
      <c r="F4131" s="1050"/>
      <c r="G4131" s="1050"/>
    </row>
    <row r="4132" spans="1:7">
      <c r="A4132" s="1079"/>
      <c r="B4132" s="1050"/>
      <c r="C4132" s="1050"/>
      <c r="D4132" s="1050"/>
      <c r="E4132" s="1050"/>
      <c r="F4132" s="1050"/>
      <c r="G4132" s="1050"/>
    </row>
    <row r="4133" spans="1:7">
      <c r="A4133" s="1079"/>
      <c r="B4133" s="1050"/>
      <c r="C4133" s="1050"/>
      <c r="D4133" s="1050"/>
      <c r="E4133" s="1050"/>
      <c r="F4133" s="1050"/>
      <c r="G4133" s="1050"/>
    </row>
    <row r="4134" spans="1:7">
      <c r="A4134" s="1079"/>
      <c r="B4134" s="1050"/>
      <c r="C4134" s="1050"/>
      <c r="D4134" s="1050"/>
      <c r="E4134" s="1050"/>
      <c r="F4134" s="1050"/>
      <c r="G4134" s="1050"/>
    </row>
    <row r="4135" spans="1:7">
      <c r="A4135" s="1079"/>
      <c r="B4135" s="1050"/>
      <c r="C4135" s="1050"/>
      <c r="D4135" s="1050"/>
      <c r="E4135" s="1050"/>
      <c r="F4135" s="1050"/>
      <c r="G4135" s="1050"/>
    </row>
    <row r="4136" spans="1:7">
      <c r="A4136" s="1079"/>
      <c r="B4136" s="1050"/>
      <c r="C4136" s="1050"/>
      <c r="D4136" s="1050"/>
      <c r="E4136" s="1050"/>
      <c r="F4136" s="1050"/>
      <c r="G4136" s="1050"/>
    </row>
    <row r="4137" spans="1:7">
      <c r="A4137" s="1079"/>
      <c r="B4137" s="1050"/>
      <c r="C4137" s="1050"/>
      <c r="D4137" s="1050"/>
      <c r="E4137" s="1050"/>
      <c r="F4137" s="1050"/>
      <c r="G4137" s="1050"/>
    </row>
    <row r="4138" spans="1:7">
      <c r="A4138" s="1079"/>
      <c r="B4138" s="1050"/>
      <c r="C4138" s="1050"/>
      <c r="D4138" s="1050"/>
      <c r="E4138" s="1050"/>
      <c r="F4138" s="1050"/>
      <c r="G4138" s="1050"/>
    </row>
    <row r="4139" spans="1:7">
      <c r="A4139" s="1079"/>
      <c r="B4139" s="1050"/>
      <c r="C4139" s="1050"/>
      <c r="D4139" s="1050"/>
      <c r="E4139" s="1050"/>
      <c r="F4139" s="1050"/>
      <c r="G4139" s="1050"/>
    </row>
    <row r="4140" spans="1:7">
      <c r="A4140" s="1079"/>
      <c r="B4140" s="1050"/>
      <c r="C4140" s="1050"/>
      <c r="D4140" s="1050"/>
      <c r="E4140" s="1050"/>
      <c r="F4140" s="1050"/>
      <c r="G4140" s="1050"/>
    </row>
    <row r="4141" spans="1:7">
      <c r="A4141" s="1079"/>
      <c r="B4141" s="1050"/>
      <c r="C4141" s="1050"/>
      <c r="D4141" s="1050"/>
      <c r="E4141" s="1050"/>
      <c r="F4141" s="1050"/>
      <c r="G4141" s="1050"/>
    </row>
    <row r="4142" spans="1:7">
      <c r="A4142" s="1079"/>
      <c r="B4142" s="1050"/>
      <c r="C4142" s="1050"/>
      <c r="D4142" s="1050"/>
      <c r="E4142" s="1050"/>
      <c r="F4142" s="1050"/>
      <c r="G4142" s="1050"/>
    </row>
    <row r="4143" spans="1:7">
      <c r="A4143" s="1079"/>
      <c r="B4143" s="1050"/>
      <c r="C4143" s="1050"/>
      <c r="D4143" s="1050"/>
      <c r="E4143" s="1050"/>
      <c r="F4143" s="1050"/>
      <c r="G4143" s="1050"/>
    </row>
    <row r="4144" spans="1:7">
      <c r="A4144" s="1079"/>
      <c r="B4144" s="1050"/>
      <c r="C4144" s="1050"/>
      <c r="D4144" s="1050"/>
      <c r="E4144" s="1050"/>
      <c r="F4144" s="1050"/>
      <c r="G4144" s="1050"/>
    </row>
    <row r="4145" spans="1:7">
      <c r="A4145" s="1079"/>
      <c r="B4145" s="1050"/>
      <c r="C4145" s="1050"/>
      <c r="D4145" s="1050"/>
      <c r="E4145" s="1050"/>
      <c r="F4145" s="1050"/>
      <c r="G4145" s="1050"/>
    </row>
    <row r="4146" spans="1:7">
      <c r="A4146" s="1079"/>
      <c r="B4146" s="1050"/>
      <c r="C4146" s="1050"/>
      <c r="D4146" s="1050"/>
      <c r="E4146" s="1050"/>
      <c r="F4146" s="1050"/>
      <c r="G4146" s="1050"/>
    </row>
    <row r="4147" spans="1:7">
      <c r="A4147" s="1079"/>
      <c r="B4147" s="1050"/>
      <c r="C4147" s="1050"/>
      <c r="D4147" s="1050"/>
      <c r="E4147" s="1050"/>
      <c r="F4147" s="1050"/>
      <c r="G4147" s="1050"/>
    </row>
    <row r="4148" spans="1:7">
      <c r="A4148" s="1079"/>
      <c r="B4148" s="1050"/>
      <c r="C4148" s="1050"/>
      <c r="D4148" s="1050"/>
      <c r="E4148" s="1050"/>
      <c r="F4148" s="1050"/>
      <c r="G4148" s="1050"/>
    </row>
    <row r="4149" spans="1:7">
      <c r="A4149" s="1079"/>
      <c r="B4149" s="1050"/>
      <c r="C4149" s="1050"/>
      <c r="D4149" s="1050"/>
      <c r="E4149" s="1050"/>
      <c r="F4149" s="1050"/>
      <c r="G4149" s="1050"/>
    </row>
    <row r="4150" spans="1:7">
      <c r="A4150" s="1079"/>
      <c r="B4150" s="1050"/>
      <c r="C4150" s="1050"/>
      <c r="D4150" s="1050"/>
      <c r="E4150" s="1050"/>
      <c r="F4150" s="1050"/>
      <c r="G4150" s="1050"/>
    </row>
    <row r="4151" spans="1:7">
      <c r="A4151" s="1079"/>
      <c r="B4151" s="1050"/>
      <c r="C4151" s="1050"/>
      <c r="D4151" s="1050"/>
      <c r="E4151" s="1050"/>
      <c r="F4151" s="1050"/>
      <c r="G4151" s="1050"/>
    </row>
    <row r="4152" spans="1:7">
      <c r="A4152" s="1079"/>
      <c r="B4152" s="1050"/>
      <c r="C4152" s="1050"/>
      <c r="D4152" s="1050"/>
      <c r="E4152" s="1050"/>
      <c r="F4152" s="1050"/>
      <c r="G4152" s="1050"/>
    </row>
    <row r="4153" spans="1:7">
      <c r="A4153" s="1079"/>
      <c r="B4153" s="1050"/>
      <c r="C4153" s="1050"/>
      <c r="D4153" s="1050"/>
      <c r="E4153" s="1050"/>
      <c r="F4153" s="1050"/>
      <c r="G4153" s="1050"/>
    </row>
    <row r="4154" spans="1:7">
      <c r="A4154" s="1079"/>
      <c r="B4154" s="1050"/>
      <c r="C4154" s="1050"/>
      <c r="D4154" s="1050"/>
      <c r="E4154" s="1050"/>
      <c r="F4154" s="1050"/>
      <c r="G4154" s="1050"/>
    </row>
    <row r="4155" spans="1:7">
      <c r="A4155" s="1079"/>
      <c r="B4155" s="1050"/>
      <c r="C4155" s="1050"/>
      <c r="D4155" s="1050"/>
      <c r="E4155" s="1050"/>
      <c r="F4155" s="1050"/>
      <c r="G4155" s="1050"/>
    </row>
    <row r="4156" spans="1:7">
      <c r="A4156" s="1079"/>
      <c r="B4156" s="1050"/>
      <c r="C4156" s="1050"/>
      <c r="D4156" s="1050"/>
      <c r="E4156" s="1050"/>
      <c r="F4156" s="1050"/>
      <c r="G4156" s="1050"/>
    </row>
    <row r="4157" spans="1:7">
      <c r="A4157" s="1079"/>
      <c r="B4157" s="1050"/>
      <c r="C4157" s="1050"/>
      <c r="D4157" s="1050"/>
      <c r="E4157" s="1050"/>
      <c r="F4157" s="1050"/>
      <c r="G4157" s="1050"/>
    </row>
    <row r="4158" spans="1:7">
      <c r="A4158" s="1079"/>
      <c r="B4158" s="1050"/>
      <c r="C4158" s="1050"/>
      <c r="D4158" s="1050"/>
      <c r="E4158" s="1050"/>
      <c r="F4158" s="1050"/>
      <c r="G4158" s="1050"/>
    </row>
    <row r="4159" spans="1:7">
      <c r="A4159" s="1079"/>
      <c r="B4159" s="1050"/>
      <c r="C4159" s="1050"/>
      <c r="D4159" s="1050"/>
      <c r="E4159" s="1050"/>
      <c r="F4159" s="1050"/>
      <c r="G4159" s="1050"/>
    </row>
    <row r="4160" spans="1:7">
      <c r="A4160" s="1079"/>
      <c r="B4160" s="1050"/>
      <c r="C4160" s="1050"/>
      <c r="D4160" s="1050"/>
      <c r="E4160" s="1050"/>
      <c r="F4160" s="1050"/>
      <c r="G4160" s="1050"/>
    </row>
    <row r="4161" spans="1:7">
      <c r="A4161" s="1079"/>
      <c r="B4161" s="1050"/>
      <c r="C4161" s="1050"/>
      <c r="D4161" s="1050"/>
      <c r="E4161" s="1050"/>
      <c r="F4161" s="1050"/>
      <c r="G4161" s="1050"/>
    </row>
    <row r="4162" spans="1:7">
      <c r="A4162" s="1079"/>
      <c r="B4162" s="1050"/>
      <c r="C4162" s="1050"/>
      <c r="D4162" s="1050"/>
      <c r="E4162" s="1050"/>
      <c r="F4162" s="1050"/>
      <c r="G4162" s="1050"/>
    </row>
    <row r="4163" spans="1:7">
      <c r="A4163" s="1079"/>
      <c r="B4163" s="1050"/>
      <c r="C4163" s="1050"/>
      <c r="D4163" s="1050"/>
      <c r="E4163" s="1050"/>
      <c r="F4163" s="1050"/>
      <c r="G4163" s="1050"/>
    </row>
    <row r="4164" spans="1:7">
      <c r="A4164" s="1079"/>
      <c r="B4164" s="1050"/>
      <c r="C4164" s="1050"/>
      <c r="D4164" s="1050"/>
      <c r="E4164" s="1050"/>
      <c r="F4164" s="1050"/>
      <c r="G4164" s="1050"/>
    </row>
    <row r="4165" spans="1:7">
      <c r="A4165" s="1079"/>
      <c r="B4165" s="1050"/>
      <c r="C4165" s="1050"/>
      <c r="D4165" s="1050"/>
      <c r="E4165" s="1050"/>
      <c r="F4165" s="1050"/>
      <c r="G4165" s="1050"/>
    </row>
    <row r="4166" spans="1:7">
      <c r="A4166" s="1079"/>
      <c r="B4166" s="1050"/>
      <c r="C4166" s="1050"/>
      <c r="D4166" s="1050"/>
      <c r="E4166" s="1050"/>
      <c r="F4166" s="1050"/>
      <c r="G4166" s="1050"/>
    </row>
    <row r="4167" spans="1:7">
      <c r="A4167" s="1079"/>
      <c r="B4167" s="1050"/>
      <c r="C4167" s="1050"/>
      <c r="D4167" s="1050"/>
      <c r="E4167" s="1050"/>
      <c r="F4167" s="1050"/>
      <c r="G4167" s="1050"/>
    </row>
    <row r="4168" spans="1:7">
      <c r="A4168" s="1079"/>
      <c r="B4168" s="1050"/>
      <c r="C4168" s="1050"/>
      <c r="D4168" s="1050"/>
      <c r="E4168" s="1050"/>
      <c r="F4168" s="1050"/>
      <c r="G4168" s="1050"/>
    </row>
    <row r="4169" spans="1:7">
      <c r="A4169" s="1079"/>
      <c r="B4169" s="1050"/>
      <c r="C4169" s="1050"/>
      <c r="D4169" s="1050"/>
      <c r="E4169" s="1050"/>
      <c r="F4169" s="1050"/>
      <c r="G4169" s="1050"/>
    </row>
    <row r="4170" spans="1:7">
      <c r="A4170" s="1079"/>
      <c r="B4170" s="1050"/>
      <c r="C4170" s="1050"/>
      <c r="D4170" s="1050"/>
      <c r="E4170" s="1050"/>
      <c r="F4170" s="1050"/>
      <c r="G4170" s="1050"/>
    </row>
    <row r="4171" spans="1:7">
      <c r="A4171" s="1079"/>
      <c r="B4171" s="1050"/>
      <c r="C4171" s="1050"/>
      <c r="D4171" s="1050"/>
      <c r="E4171" s="1050"/>
      <c r="F4171" s="1050"/>
      <c r="G4171" s="1050"/>
    </row>
    <row r="4172" spans="1:7">
      <c r="A4172" s="1079"/>
      <c r="B4172" s="1050"/>
      <c r="C4172" s="1050"/>
      <c r="D4172" s="1050"/>
      <c r="E4172" s="1050"/>
      <c r="F4172" s="1050"/>
      <c r="G4172" s="1050"/>
    </row>
    <row r="4173" spans="1:7">
      <c r="A4173" s="1079"/>
      <c r="B4173" s="1050"/>
      <c r="C4173" s="1050"/>
      <c r="D4173" s="1050"/>
      <c r="E4173" s="1050"/>
      <c r="F4173" s="1050"/>
      <c r="G4173" s="1050"/>
    </row>
    <row r="4174" spans="1:7">
      <c r="A4174" s="1079"/>
      <c r="B4174" s="1050"/>
      <c r="C4174" s="1050"/>
      <c r="D4174" s="1050"/>
      <c r="E4174" s="1050"/>
      <c r="F4174" s="1050"/>
      <c r="G4174" s="1050"/>
    </row>
    <row r="4175" spans="1:7">
      <c r="A4175" s="1079"/>
      <c r="B4175" s="1050"/>
      <c r="C4175" s="1050"/>
      <c r="D4175" s="1050"/>
      <c r="E4175" s="1050"/>
      <c r="F4175" s="1050"/>
      <c r="G4175" s="1050"/>
    </row>
    <row r="4176" spans="1:7">
      <c r="A4176" s="1079"/>
      <c r="B4176" s="1050"/>
      <c r="C4176" s="1050"/>
      <c r="D4176" s="1050"/>
      <c r="E4176" s="1050"/>
      <c r="F4176" s="1050"/>
      <c r="G4176" s="1050"/>
    </row>
    <row r="4177" spans="1:7">
      <c r="A4177" s="1079"/>
      <c r="B4177" s="1050"/>
      <c r="C4177" s="1050"/>
      <c r="D4177" s="1050"/>
      <c r="E4177" s="1050"/>
      <c r="F4177" s="1050"/>
      <c r="G4177" s="1050"/>
    </row>
    <row r="4178" spans="1:7">
      <c r="A4178" s="1079"/>
      <c r="B4178" s="1050"/>
      <c r="C4178" s="1050"/>
      <c r="D4178" s="1050"/>
      <c r="E4178" s="1050"/>
      <c r="F4178" s="1050"/>
      <c r="G4178" s="1050"/>
    </row>
    <row r="4179" spans="1:7">
      <c r="A4179" s="1079"/>
      <c r="B4179" s="1050"/>
      <c r="C4179" s="1050"/>
      <c r="D4179" s="1050"/>
      <c r="E4179" s="1050"/>
      <c r="F4179" s="1050"/>
      <c r="G4179" s="1050"/>
    </row>
    <row r="4180" spans="1:7">
      <c r="A4180" s="1079"/>
      <c r="B4180" s="1050"/>
      <c r="C4180" s="1050"/>
      <c r="D4180" s="1050"/>
      <c r="E4180" s="1050"/>
      <c r="F4180" s="1050"/>
      <c r="G4180" s="1050"/>
    </row>
    <row r="4181" spans="1:7">
      <c r="A4181" s="1079"/>
      <c r="B4181" s="1050"/>
      <c r="C4181" s="1050"/>
      <c r="D4181" s="1050"/>
      <c r="E4181" s="1050"/>
      <c r="F4181" s="1050"/>
      <c r="G4181" s="1050"/>
    </row>
    <row r="4182" spans="1:7">
      <c r="A4182" s="1079"/>
      <c r="B4182" s="1050"/>
      <c r="C4182" s="1050"/>
      <c r="D4182" s="1050"/>
      <c r="E4182" s="1050"/>
      <c r="F4182" s="1050"/>
      <c r="G4182" s="1050"/>
    </row>
    <row r="4183" spans="1:7">
      <c r="A4183" s="1079"/>
      <c r="B4183" s="1050"/>
      <c r="C4183" s="1050"/>
      <c r="D4183" s="1050"/>
      <c r="E4183" s="1050"/>
      <c r="F4183" s="1050"/>
      <c r="G4183" s="1050"/>
    </row>
    <row r="4184" spans="1:7">
      <c r="A4184" s="1079"/>
      <c r="B4184" s="1050"/>
      <c r="C4184" s="1050"/>
      <c r="D4184" s="1050"/>
      <c r="E4184" s="1050"/>
      <c r="F4184" s="1050"/>
      <c r="G4184" s="1050"/>
    </row>
    <row r="4185" spans="1:7">
      <c r="A4185" s="1079"/>
      <c r="B4185" s="1050"/>
      <c r="C4185" s="1050"/>
      <c r="D4185" s="1050"/>
      <c r="E4185" s="1050"/>
      <c r="F4185" s="1050"/>
      <c r="G4185" s="1050"/>
    </row>
    <row r="4186" spans="1:7">
      <c r="A4186" s="1079"/>
      <c r="B4186" s="1050"/>
      <c r="C4186" s="1050"/>
      <c r="D4186" s="1050"/>
      <c r="E4186" s="1050"/>
      <c r="F4186" s="1050"/>
      <c r="G4186" s="1050"/>
    </row>
    <row r="4187" spans="1:7">
      <c r="A4187" s="1079"/>
      <c r="B4187" s="1050"/>
      <c r="C4187" s="1050"/>
      <c r="D4187" s="1050"/>
      <c r="E4187" s="1050"/>
      <c r="F4187" s="1050"/>
      <c r="G4187" s="1050"/>
    </row>
    <row r="4188" spans="1:7">
      <c r="A4188" s="1079"/>
      <c r="B4188" s="1050"/>
      <c r="C4188" s="1050"/>
      <c r="D4188" s="1050"/>
      <c r="E4188" s="1050"/>
      <c r="F4188" s="1050"/>
      <c r="G4188" s="1050"/>
    </row>
    <row r="4189" spans="1:7">
      <c r="A4189" s="1079"/>
      <c r="B4189" s="1050"/>
      <c r="C4189" s="1050"/>
      <c r="D4189" s="1050"/>
      <c r="E4189" s="1050"/>
      <c r="F4189" s="1050"/>
      <c r="G4189" s="1050"/>
    </row>
    <row r="4190" spans="1:7">
      <c r="A4190" s="1079"/>
      <c r="B4190" s="1050"/>
      <c r="C4190" s="1050"/>
      <c r="D4190" s="1050"/>
      <c r="E4190" s="1050"/>
      <c r="F4190" s="1050"/>
      <c r="G4190" s="1050"/>
    </row>
    <row r="4191" spans="1:7">
      <c r="A4191" s="1079"/>
      <c r="B4191" s="1050"/>
      <c r="C4191" s="1050"/>
      <c r="D4191" s="1050"/>
      <c r="E4191" s="1050"/>
      <c r="F4191" s="1050"/>
      <c r="G4191" s="1050"/>
    </row>
    <row r="4192" spans="1:7">
      <c r="A4192" s="1079"/>
      <c r="B4192" s="1050"/>
      <c r="C4192" s="1050"/>
      <c r="D4192" s="1050"/>
      <c r="E4192" s="1050"/>
      <c r="F4192" s="1050"/>
      <c r="G4192" s="1050"/>
    </row>
    <row r="4193" spans="1:7">
      <c r="A4193" s="1079"/>
      <c r="B4193" s="1050"/>
      <c r="C4193" s="1050"/>
      <c r="D4193" s="1050"/>
      <c r="E4193" s="1050"/>
      <c r="F4193" s="1050"/>
      <c r="G4193" s="1050"/>
    </row>
    <row r="4194" spans="1:7">
      <c r="A4194" s="1079"/>
      <c r="B4194" s="1050"/>
      <c r="C4194" s="1050"/>
      <c r="D4194" s="1050"/>
      <c r="E4194" s="1050"/>
      <c r="F4194" s="1050"/>
      <c r="G4194" s="1050"/>
    </row>
    <row r="4195" spans="1:7">
      <c r="A4195" s="1079"/>
      <c r="B4195" s="1050"/>
      <c r="C4195" s="1050"/>
      <c r="D4195" s="1050"/>
      <c r="E4195" s="1050"/>
      <c r="F4195" s="1050"/>
      <c r="G4195" s="1050"/>
    </row>
    <row r="4196" spans="1:7">
      <c r="A4196" s="1079"/>
      <c r="B4196" s="1050"/>
      <c r="C4196" s="1050"/>
      <c r="D4196" s="1050"/>
      <c r="E4196" s="1050"/>
      <c r="F4196" s="1050"/>
      <c r="G4196" s="1050"/>
    </row>
    <row r="4197" spans="1:7">
      <c r="A4197" s="1079"/>
      <c r="B4197" s="1050"/>
      <c r="C4197" s="1050"/>
      <c r="D4197" s="1050"/>
      <c r="E4197" s="1050"/>
      <c r="F4197" s="1050"/>
      <c r="G4197" s="1050"/>
    </row>
    <row r="4198" spans="1:7">
      <c r="A4198" s="1079"/>
      <c r="B4198" s="1050"/>
      <c r="C4198" s="1050"/>
      <c r="D4198" s="1050"/>
      <c r="E4198" s="1050"/>
      <c r="F4198" s="1050"/>
      <c r="G4198" s="1050"/>
    </row>
    <row r="4199" spans="1:7">
      <c r="A4199" s="1079"/>
      <c r="B4199" s="1050"/>
      <c r="C4199" s="1050"/>
      <c r="D4199" s="1050"/>
      <c r="E4199" s="1050"/>
      <c r="F4199" s="1050"/>
      <c r="G4199" s="1050"/>
    </row>
    <row r="4200" spans="1:7">
      <c r="A4200" s="1079"/>
      <c r="B4200" s="1050"/>
      <c r="C4200" s="1050"/>
      <c r="D4200" s="1050"/>
      <c r="E4200" s="1050"/>
      <c r="F4200" s="1050"/>
      <c r="G4200" s="1050"/>
    </row>
    <row r="4201" spans="1:7">
      <c r="A4201" s="1079"/>
      <c r="B4201" s="1050"/>
      <c r="C4201" s="1050"/>
      <c r="D4201" s="1050"/>
      <c r="E4201" s="1050"/>
      <c r="F4201" s="1050"/>
      <c r="G4201" s="1050"/>
    </row>
    <row r="4202" spans="1:7">
      <c r="A4202" s="1079"/>
      <c r="B4202" s="1050"/>
      <c r="C4202" s="1050"/>
      <c r="D4202" s="1050"/>
      <c r="E4202" s="1050"/>
      <c r="F4202" s="1050"/>
      <c r="G4202" s="1050"/>
    </row>
    <row r="4203" spans="1:7">
      <c r="A4203" s="1079"/>
      <c r="B4203" s="1050"/>
      <c r="C4203" s="1050"/>
      <c r="D4203" s="1050"/>
      <c r="E4203" s="1050"/>
      <c r="F4203" s="1050"/>
      <c r="G4203" s="1050"/>
    </row>
    <row r="4204" spans="1:7">
      <c r="A4204" s="1079"/>
      <c r="B4204" s="1050"/>
      <c r="C4204" s="1050"/>
      <c r="D4204" s="1050"/>
      <c r="E4204" s="1050"/>
      <c r="F4204" s="1050"/>
      <c r="G4204" s="1050"/>
    </row>
    <row r="4205" spans="1:7">
      <c r="A4205" s="1079"/>
      <c r="B4205" s="1050"/>
      <c r="C4205" s="1050"/>
      <c r="D4205" s="1050"/>
      <c r="E4205" s="1050"/>
      <c r="F4205" s="1050"/>
      <c r="G4205" s="1050"/>
    </row>
    <row r="4206" spans="1:7">
      <c r="A4206" s="1079"/>
      <c r="B4206" s="1050"/>
      <c r="C4206" s="1050"/>
      <c r="D4206" s="1050"/>
      <c r="E4206" s="1050"/>
      <c r="F4206" s="1050"/>
      <c r="G4206" s="1050"/>
    </row>
    <row r="4207" spans="1:7">
      <c r="A4207" s="1079"/>
      <c r="B4207" s="1050"/>
      <c r="C4207" s="1050"/>
      <c r="D4207" s="1050"/>
      <c r="E4207" s="1050"/>
      <c r="F4207" s="1050"/>
      <c r="G4207" s="1050"/>
    </row>
    <row r="4208" spans="1:7">
      <c r="A4208" s="1079"/>
      <c r="B4208" s="1050"/>
      <c r="C4208" s="1050"/>
      <c r="D4208" s="1050"/>
      <c r="E4208" s="1050"/>
      <c r="F4208" s="1050"/>
      <c r="G4208" s="1050"/>
    </row>
    <row r="4209" spans="1:7">
      <c r="A4209" s="1079"/>
      <c r="B4209" s="1050"/>
      <c r="C4209" s="1050"/>
      <c r="D4209" s="1050"/>
      <c r="E4209" s="1050"/>
      <c r="F4209" s="1050"/>
      <c r="G4209" s="1050"/>
    </row>
    <row r="4210" spans="1:7">
      <c r="A4210" s="1079"/>
      <c r="B4210" s="1050"/>
      <c r="C4210" s="1050"/>
      <c r="D4210" s="1050"/>
      <c r="E4210" s="1050"/>
      <c r="F4210" s="1050"/>
      <c r="G4210" s="1050"/>
    </row>
    <row r="4211" spans="1:7">
      <c r="A4211" s="1079"/>
      <c r="B4211" s="1050"/>
      <c r="C4211" s="1050"/>
      <c r="D4211" s="1050"/>
      <c r="E4211" s="1050"/>
      <c r="F4211" s="1050"/>
      <c r="G4211" s="1050"/>
    </row>
    <row r="4212" spans="1:7">
      <c r="A4212" s="1079"/>
      <c r="B4212" s="1050"/>
      <c r="C4212" s="1050"/>
      <c r="D4212" s="1050"/>
      <c r="E4212" s="1050"/>
      <c r="F4212" s="1050"/>
      <c r="G4212" s="1050"/>
    </row>
    <row r="4213" spans="1:7">
      <c r="A4213" s="1079"/>
      <c r="B4213" s="1050"/>
      <c r="C4213" s="1050"/>
      <c r="D4213" s="1050"/>
      <c r="E4213" s="1050"/>
      <c r="F4213" s="1050"/>
      <c r="G4213" s="1050"/>
    </row>
    <row r="4214" spans="1:7">
      <c r="A4214" s="1079"/>
      <c r="B4214" s="1050"/>
      <c r="C4214" s="1050"/>
      <c r="D4214" s="1050"/>
      <c r="E4214" s="1050"/>
      <c r="F4214" s="1050"/>
      <c r="G4214" s="1050"/>
    </row>
    <row r="4215" spans="1:7">
      <c r="A4215" s="1079"/>
      <c r="B4215" s="1050"/>
      <c r="C4215" s="1050"/>
      <c r="D4215" s="1050"/>
      <c r="E4215" s="1050"/>
      <c r="F4215" s="1050"/>
      <c r="G4215" s="1050"/>
    </row>
    <row r="4216" spans="1:7">
      <c r="A4216" s="1079"/>
      <c r="B4216" s="1050"/>
      <c r="C4216" s="1050"/>
      <c r="D4216" s="1050"/>
      <c r="E4216" s="1050"/>
      <c r="F4216" s="1050"/>
      <c r="G4216" s="1050"/>
    </row>
    <row r="4217" spans="1:7">
      <c r="A4217" s="1079"/>
      <c r="B4217" s="1050"/>
      <c r="C4217" s="1050"/>
      <c r="D4217" s="1050"/>
      <c r="E4217" s="1050"/>
      <c r="F4217" s="1050"/>
      <c r="G4217" s="1050"/>
    </row>
    <row r="4218" spans="1:7">
      <c r="A4218" s="1079"/>
      <c r="B4218" s="1050"/>
      <c r="C4218" s="1050"/>
      <c r="D4218" s="1050"/>
      <c r="E4218" s="1050"/>
      <c r="F4218" s="1050"/>
      <c r="G4218" s="1050"/>
    </row>
    <row r="4219" spans="1:7">
      <c r="A4219" s="1079"/>
      <c r="B4219" s="1050"/>
      <c r="C4219" s="1050"/>
      <c r="D4219" s="1050"/>
      <c r="E4219" s="1050"/>
      <c r="F4219" s="1050"/>
      <c r="G4219" s="1050"/>
    </row>
    <row r="4220" spans="1:7">
      <c r="A4220" s="1079"/>
      <c r="B4220" s="1050"/>
      <c r="C4220" s="1050"/>
      <c r="D4220" s="1050"/>
      <c r="E4220" s="1050"/>
      <c r="F4220" s="1050"/>
      <c r="G4220" s="1050"/>
    </row>
    <row r="4221" spans="1:7">
      <c r="A4221" s="1079"/>
      <c r="B4221" s="1050"/>
      <c r="C4221" s="1050"/>
      <c r="D4221" s="1050"/>
      <c r="E4221" s="1050"/>
      <c r="F4221" s="1050"/>
      <c r="G4221" s="1050"/>
    </row>
    <row r="4222" spans="1:7">
      <c r="A4222" s="1079"/>
      <c r="B4222" s="1050"/>
      <c r="C4222" s="1050"/>
      <c r="D4222" s="1050"/>
      <c r="E4222" s="1050"/>
      <c r="F4222" s="1050"/>
      <c r="G4222" s="1050"/>
    </row>
    <row r="4223" spans="1:7">
      <c r="A4223" s="1079"/>
      <c r="B4223" s="1050"/>
      <c r="C4223" s="1050"/>
      <c r="D4223" s="1050"/>
      <c r="E4223" s="1050"/>
      <c r="F4223" s="1050"/>
      <c r="G4223" s="1050"/>
    </row>
    <row r="4224" spans="1:7">
      <c r="A4224" s="1079"/>
      <c r="B4224" s="1050"/>
      <c r="C4224" s="1050"/>
      <c r="D4224" s="1050"/>
      <c r="E4224" s="1050"/>
      <c r="F4224" s="1050"/>
      <c r="G4224" s="1050"/>
    </row>
    <row r="4225" spans="1:7">
      <c r="A4225" s="1079"/>
      <c r="B4225" s="1050"/>
      <c r="C4225" s="1050"/>
      <c r="D4225" s="1050"/>
      <c r="E4225" s="1050"/>
      <c r="F4225" s="1050"/>
      <c r="G4225" s="1050"/>
    </row>
    <row r="4226" spans="1:7">
      <c r="A4226" s="1079"/>
      <c r="B4226" s="1050"/>
      <c r="C4226" s="1050"/>
      <c r="D4226" s="1050"/>
      <c r="E4226" s="1050"/>
      <c r="F4226" s="1050"/>
      <c r="G4226" s="1050"/>
    </row>
    <row r="4227" spans="1:7">
      <c r="A4227" s="1079"/>
      <c r="B4227" s="1050"/>
      <c r="C4227" s="1050"/>
      <c r="D4227" s="1050"/>
      <c r="E4227" s="1050"/>
      <c r="F4227" s="1050"/>
      <c r="G4227" s="1050"/>
    </row>
    <row r="4228" spans="1:7">
      <c r="A4228" s="1079"/>
      <c r="B4228" s="1050"/>
      <c r="C4228" s="1050"/>
      <c r="D4228" s="1050"/>
      <c r="E4228" s="1050"/>
      <c r="F4228" s="1050"/>
      <c r="G4228" s="1050"/>
    </row>
    <row r="4229" spans="1:7">
      <c r="A4229" s="1079"/>
      <c r="B4229" s="1050"/>
      <c r="C4229" s="1050"/>
      <c r="D4229" s="1050"/>
      <c r="E4229" s="1050"/>
      <c r="F4229" s="1050"/>
      <c r="G4229" s="1050"/>
    </row>
    <row r="4230" spans="1:7">
      <c r="A4230" s="1079"/>
      <c r="B4230" s="1050"/>
      <c r="C4230" s="1050"/>
      <c r="D4230" s="1050"/>
      <c r="E4230" s="1050"/>
      <c r="F4230" s="1050"/>
      <c r="G4230" s="1050"/>
    </row>
    <row r="4231" spans="1:7">
      <c r="A4231" s="1079"/>
      <c r="B4231" s="1050"/>
      <c r="C4231" s="1050"/>
      <c r="D4231" s="1050"/>
      <c r="E4231" s="1050"/>
      <c r="F4231" s="1050"/>
      <c r="G4231" s="1050"/>
    </row>
    <row r="4232" spans="1:7">
      <c r="A4232" s="1079"/>
      <c r="B4232" s="1050"/>
      <c r="C4232" s="1050"/>
      <c r="D4232" s="1050"/>
      <c r="E4232" s="1050"/>
      <c r="F4232" s="1050"/>
      <c r="G4232" s="1050"/>
    </row>
    <row r="4233" spans="1:7">
      <c r="A4233" s="1079"/>
      <c r="B4233" s="1050"/>
      <c r="C4233" s="1050"/>
      <c r="D4233" s="1050"/>
      <c r="E4233" s="1050"/>
      <c r="F4233" s="1050"/>
      <c r="G4233" s="1050"/>
    </row>
    <row r="4234" spans="1:7">
      <c r="A4234" s="1079"/>
      <c r="B4234" s="1050"/>
      <c r="C4234" s="1050"/>
      <c r="D4234" s="1050"/>
      <c r="E4234" s="1050"/>
      <c r="F4234" s="1050"/>
      <c r="G4234" s="1050"/>
    </row>
    <row r="4235" spans="1:7">
      <c r="A4235" s="1079"/>
      <c r="B4235" s="1050"/>
      <c r="C4235" s="1050"/>
      <c r="D4235" s="1050"/>
      <c r="E4235" s="1050"/>
      <c r="F4235" s="1050"/>
      <c r="G4235" s="1050"/>
    </row>
    <row r="4236" spans="1:7">
      <c r="A4236" s="1079"/>
      <c r="B4236" s="1050"/>
      <c r="C4236" s="1050"/>
      <c r="D4236" s="1050"/>
      <c r="E4236" s="1050"/>
      <c r="F4236" s="1050"/>
      <c r="G4236" s="1050"/>
    </row>
    <row r="4237" spans="1:7">
      <c r="A4237" s="1079"/>
      <c r="B4237" s="1050"/>
      <c r="C4237" s="1050"/>
      <c r="D4237" s="1050"/>
      <c r="E4237" s="1050"/>
      <c r="F4237" s="1050"/>
      <c r="G4237" s="1050"/>
    </row>
    <row r="4238" spans="1:7">
      <c r="A4238" s="1079"/>
      <c r="B4238" s="1050"/>
      <c r="C4238" s="1050"/>
      <c r="D4238" s="1050"/>
      <c r="E4238" s="1050"/>
      <c r="F4238" s="1050"/>
      <c r="G4238" s="1050"/>
    </row>
    <row r="4239" spans="1:7">
      <c r="A4239" s="1079"/>
      <c r="B4239" s="1050"/>
      <c r="C4239" s="1050"/>
      <c r="D4239" s="1050"/>
      <c r="E4239" s="1050"/>
      <c r="F4239" s="1050"/>
      <c r="G4239" s="1050"/>
    </row>
    <row r="4240" spans="1:7">
      <c r="A4240" s="1079"/>
      <c r="B4240" s="1050"/>
      <c r="C4240" s="1050"/>
      <c r="D4240" s="1050"/>
      <c r="E4240" s="1050"/>
      <c r="F4240" s="1050"/>
      <c r="G4240" s="1050"/>
    </row>
    <row r="4241" spans="1:7">
      <c r="A4241" s="1079"/>
      <c r="B4241" s="1050"/>
      <c r="C4241" s="1050"/>
      <c r="D4241" s="1050"/>
      <c r="E4241" s="1050"/>
      <c r="F4241" s="1050"/>
      <c r="G4241" s="1050"/>
    </row>
    <row r="4242" spans="1:7">
      <c r="A4242" s="1079"/>
      <c r="B4242" s="1050"/>
      <c r="C4242" s="1050"/>
      <c r="D4242" s="1050"/>
      <c r="E4242" s="1050"/>
      <c r="F4242" s="1050"/>
      <c r="G4242" s="1050"/>
    </row>
    <row r="4243" spans="1:7">
      <c r="A4243" s="1079"/>
      <c r="B4243" s="1050"/>
      <c r="C4243" s="1050"/>
      <c r="D4243" s="1050"/>
      <c r="E4243" s="1050"/>
      <c r="F4243" s="1050"/>
      <c r="G4243" s="1050"/>
    </row>
    <row r="4244" spans="1:7">
      <c r="A4244" s="1079"/>
      <c r="B4244" s="1050"/>
      <c r="C4244" s="1050"/>
      <c r="D4244" s="1050"/>
      <c r="E4244" s="1050"/>
      <c r="F4244" s="1050"/>
      <c r="G4244" s="1050"/>
    </row>
    <row r="4245" spans="1:7">
      <c r="A4245" s="1079"/>
      <c r="B4245" s="1050"/>
      <c r="C4245" s="1050"/>
      <c r="D4245" s="1050"/>
      <c r="E4245" s="1050"/>
      <c r="F4245" s="1050"/>
      <c r="G4245" s="1050"/>
    </row>
    <row r="4246" spans="1:7">
      <c r="A4246" s="1079"/>
      <c r="B4246" s="1050"/>
      <c r="C4246" s="1050"/>
      <c r="D4246" s="1050"/>
      <c r="E4246" s="1050"/>
      <c r="F4246" s="1050"/>
      <c r="G4246" s="1050"/>
    </row>
    <row r="4247" spans="1:7">
      <c r="A4247" s="1079"/>
      <c r="B4247" s="1050"/>
      <c r="C4247" s="1050"/>
      <c r="D4247" s="1050"/>
      <c r="E4247" s="1050"/>
      <c r="F4247" s="1050"/>
      <c r="G4247" s="1050"/>
    </row>
    <row r="4248" spans="1:7">
      <c r="A4248" s="1079"/>
      <c r="B4248" s="1050"/>
      <c r="C4248" s="1050"/>
      <c r="D4248" s="1050"/>
      <c r="E4248" s="1050"/>
      <c r="F4248" s="1050"/>
      <c r="G4248" s="1050"/>
    </row>
    <row r="4249" spans="1:7">
      <c r="A4249" s="1079"/>
      <c r="B4249" s="1050"/>
      <c r="C4249" s="1050"/>
      <c r="D4249" s="1050"/>
      <c r="E4249" s="1050"/>
      <c r="F4249" s="1050"/>
      <c r="G4249" s="1050"/>
    </row>
    <row r="4250" spans="1:7">
      <c r="A4250" s="1079"/>
      <c r="B4250" s="1050"/>
      <c r="C4250" s="1050"/>
      <c r="D4250" s="1050"/>
      <c r="E4250" s="1050"/>
      <c r="F4250" s="1050"/>
      <c r="G4250" s="1050"/>
    </row>
    <row r="4251" spans="1:7">
      <c r="A4251" s="1079"/>
      <c r="B4251" s="1050"/>
      <c r="C4251" s="1050"/>
      <c r="D4251" s="1050"/>
      <c r="E4251" s="1050"/>
      <c r="F4251" s="1050"/>
      <c r="G4251" s="1050"/>
    </row>
    <row r="4252" spans="1:7">
      <c r="A4252" s="1079"/>
      <c r="B4252" s="1050"/>
      <c r="C4252" s="1050"/>
      <c r="D4252" s="1050"/>
      <c r="E4252" s="1050"/>
      <c r="F4252" s="1050"/>
      <c r="G4252" s="1050"/>
    </row>
    <row r="4253" spans="1:7">
      <c r="A4253" s="1079"/>
      <c r="B4253" s="1050"/>
      <c r="C4253" s="1050"/>
      <c r="D4253" s="1050"/>
      <c r="E4253" s="1050"/>
      <c r="F4253" s="1050"/>
      <c r="G4253" s="1050"/>
    </row>
    <row r="4254" spans="1:7">
      <c r="A4254" s="1079"/>
      <c r="B4254" s="1050"/>
      <c r="C4254" s="1050"/>
      <c r="D4254" s="1050"/>
      <c r="E4254" s="1050"/>
      <c r="F4254" s="1050"/>
      <c r="G4254" s="1050"/>
    </row>
    <row r="4255" spans="1:7">
      <c r="A4255" s="1079"/>
      <c r="B4255" s="1050"/>
      <c r="C4255" s="1050"/>
      <c r="D4255" s="1050"/>
      <c r="E4255" s="1050"/>
      <c r="F4255" s="1050"/>
      <c r="G4255" s="1050"/>
    </row>
    <row r="4256" spans="1:7">
      <c r="A4256" s="1079"/>
      <c r="B4256" s="1050"/>
      <c r="C4256" s="1050"/>
      <c r="D4256" s="1050"/>
      <c r="E4256" s="1050"/>
      <c r="F4256" s="1050"/>
      <c r="G4256" s="1050"/>
    </row>
    <row r="4257" spans="1:7">
      <c r="A4257" s="1079"/>
      <c r="B4257" s="1050"/>
      <c r="C4257" s="1050"/>
      <c r="D4257" s="1050"/>
      <c r="E4257" s="1050"/>
      <c r="F4257" s="1050"/>
      <c r="G4257" s="1050"/>
    </row>
    <row r="4258" spans="1:7">
      <c r="A4258" s="1079"/>
      <c r="B4258" s="1050"/>
      <c r="C4258" s="1050"/>
      <c r="D4258" s="1050"/>
      <c r="E4258" s="1050"/>
      <c r="F4258" s="1050"/>
      <c r="G4258" s="1050"/>
    </row>
    <row r="4259" spans="1:7">
      <c r="A4259" s="1079"/>
      <c r="B4259" s="1050"/>
      <c r="C4259" s="1050"/>
      <c r="D4259" s="1050"/>
      <c r="E4259" s="1050"/>
      <c r="F4259" s="1050"/>
      <c r="G4259" s="1050"/>
    </row>
    <row r="4260" spans="1:7">
      <c r="A4260" s="1079"/>
      <c r="B4260" s="1050"/>
      <c r="C4260" s="1050"/>
      <c r="D4260" s="1050"/>
      <c r="E4260" s="1050"/>
      <c r="F4260" s="1050"/>
      <c r="G4260" s="1050"/>
    </row>
    <row r="4261" spans="1:7">
      <c r="A4261" s="1079"/>
      <c r="B4261" s="1050"/>
      <c r="C4261" s="1050"/>
      <c r="D4261" s="1050"/>
      <c r="E4261" s="1050"/>
      <c r="F4261" s="1050"/>
      <c r="G4261" s="1050"/>
    </row>
    <row r="4262" spans="1:7">
      <c r="A4262" s="1079"/>
      <c r="B4262" s="1050"/>
      <c r="C4262" s="1050"/>
      <c r="D4262" s="1050"/>
      <c r="E4262" s="1050"/>
      <c r="F4262" s="1050"/>
      <c r="G4262" s="1050"/>
    </row>
    <row r="4263" spans="1:7">
      <c r="A4263" s="1079"/>
      <c r="B4263" s="1050"/>
      <c r="C4263" s="1050"/>
      <c r="D4263" s="1050"/>
      <c r="E4263" s="1050"/>
      <c r="F4263" s="1050"/>
      <c r="G4263" s="1050"/>
    </row>
    <row r="4264" spans="1:7">
      <c r="A4264" s="1079"/>
      <c r="B4264" s="1050"/>
      <c r="C4264" s="1050"/>
      <c r="D4264" s="1050"/>
      <c r="E4264" s="1050"/>
      <c r="F4264" s="1050"/>
      <c r="G4264" s="1050"/>
    </row>
    <row r="4265" spans="1:7">
      <c r="A4265" s="1079"/>
      <c r="B4265" s="1050"/>
      <c r="C4265" s="1050"/>
      <c r="D4265" s="1050"/>
      <c r="E4265" s="1050"/>
      <c r="F4265" s="1050"/>
      <c r="G4265" s="1050"/>
    </row>
    <row r="4266" spans="1:7">
      <c r="A4266" s="1079"/>
      <c r="B4266" s="1050"/>
      <c r="C4266" s="1050"/>
      <c r="D4266" s="1050"/>
      <c r="E4266" s="1050"/>
      <c r="F4266" s="1050"/>
      <c r="G4266" s="1050"/>
    </row>
    <row r="4267" spans="1:7">
      <c r="A4267" s="1079"/>
      <c r="B4267" s="1050"/>
      <c r="C4267" s="1050"/>
      <c r="D4267" s="1050"/>
      <c r="E4267" s="1050"/>
      <c r="F4267" s="1050"/>
      <c r="G4267" s="1050"/>
    </row>
    <row r="4268" spans="1:7">
      <c r="A4268" s="1079"/>
      <c r="B4268" s="1050"/>
      <c r="C4268" s="1050"/>
      <c r="D4268" s="1050"/>
      <c r="E4268" s="1050"/>
      <c r="F4268" s="1050"/>
      <c r="G4268" s="1050"/>
    </row>
    <row r="4269" spans="1:7">
      <c r="A4269" s="1079"/>
      <c r="B4269" s="1050"/>
      <c r="C4269" s="1050"/>
      <c r="D4269" s="1050"/>
      <c r="E4269" s="1050"/>
      <c r="F4269" s="1050"/>
      <c r="G4269" s="1050"/>
    </row>
    <row r="4270" spans="1:7">
      <c r="A4270" s="1079"/>
      <c r="B4270" s="1050"/>
      <c r="C4270" s="1050"/>
      <c r="D4270" s="1050"/>
      <c r="E4270" s="1050"/>
      <c r="F4270" s="1050"/>
      <c r="G4270" s="1050"/>
    </row>
    <row r="4271" spans="1:7">
      <c r="A4271" s="1079"/>
      <c r="B4271" s="1050"/>
      <c r="C4271" s="1050"/>
      <c r="D4271" s="1050"/>
      <c r="E4271" s="1050"/>
      <c r="F4271" s="1050"/>
      <c r="G4271" s="1050"/>
    </row>
    <row r="4272" spans="1:7">
      <c r="A4272" s="1079"/>
      <c r="B4272" s="1050"/>
      <c r="C4272" s="1050"/>
      <c r="D4272" s="1050"/>
      <c r="E4272" s="1050"/>
      <c r="F4272" s="1050"/>
      <c r="G4272" s="1050"/>
    </row>
    <row r="4273" spans="1:7">
      <c r="A4273" s="1079"/>
      <c r="B4273" s="1050"/>
      <c r="C4273" s="1050"/>
      <c r="D4273" s="1050"/>
      <c r="E4273" s="1050"/>
      <c r="F4273" s="1050"/>
      <c r="G4273" s="1050"/>
    </row>
    <row r="4274" spans="1:7">
      <c r="A4274" s="1079"/>
      <c r="B4274" s="1050"/>
      <c r="C4274" s="1050"/>
      <c r="D4274" s="1050"/>
      <c r="E4274" s="1050"/>
      <c r="F4274" s="1050"/>
      <c r="G4274" s="1050"/>
    </row>
    <row r="4275" spans="1:7">
      <c r="A4275" s="1079"/>
      <c r="B4275" s="1050"/>
      <c r="C4275" s="1050"/>
      <c r="D4275" s="1050"/>
      <c r="E4275" s="1050"/>
      <c r="F4275" s="1050"/>
      <c r="G4275" s="1050"/>
    </row>
    <row r="4276" spans="1:7">
      <c r="A4276" s="1079"/>
      <c r="B4276" s="1050"/>
      <c r="C4276" s="1050"/>
      <c r="D4276" s="1050"/>
      <c r="E4276" s="1050"/>
      <c r="F4276" s="1050"/>
      <c r="G4276" s="1050"/>
    </row>
    <row r="4277" spans="1:7">
      <c r="A4277" s="1079"/>
      <c r="B4277" s="1050"/>
      <c r="C4277" s="1050"/>
      <c r="D4277" s="1050"/>
      <c r="E4277" s="1050"/>
      <c r="F4277" s="1050"/>
      <c r="G4277" s="1050"/>
    </row>
    <row r="4278" spans="1:7">
      <c r="A4278" s="1079"/>
      <c r="B4278" s="1050"/>
      <c r="C4278" s="1050"/>
      <c r="D4278" s="1050"/>
      <c r="E4278" s="1050"/>
      <c r="F4278" s="1050"/>
      <c r="G4278" s="1050"/>
    </row>
    <row r="4279" spans="1:7">
      <c r="A4279" s="1079"/>
      <c r="B4279" s="1050"/>
      <c r="C4279" s="1050"/>
      <c r="D4279" s="1050"/>
      <c r="E4279" s="1050"/>
      <c r="F4279" s="1050"/>
      <c r="G4279" s="1050"/>
    </row>
    <row r="4280" spans="1:7">
      <c r="A4280" s="1079"/>
      <c r="B4280" s="1050"/>
      <c r="C4280" s="1050"/>
      <c r="D4280" s="1050"/>
      <c r="E4280" s="1050"/>
      <c r="F4280" s="1050"/>
      <c r="G4280" s="1050"/>
    </row>
    <row r="4281" spans="1:7">
      <c r="A4281" s="1079"/>
      <c r="B4281" s="1050"/>
      <c r="C4281" s="1050"/>
      <c r="D4281" s="1050"/>
      <c r="E4281" s="1050"/>
      <c r="F4281" s="1050"/>
      <c r="G4281" s="1050"/>
    </row>
    <row r="4282" spans="1:7">
      <c r="A4282" s="1079"/>
      <c r="B4282" s="1050"/>
      <c r="C4282" s="1050"/>
      <c r="D4282" s="1050"/>
      <c r="E4282" s="1050"/>
      <c r="F4282" s="1050"/>
      <c r="G4282" s="1050"/>
    </row>
    <row r="4283" spans="1:7">
      <c r="A4283" s="1079"/>
      <c r="B4283" s="1050"/>
      <c r="C4283" s="1050"/>
      <c r="D4283" s="1050"/>
      <c r="E4283" s="1050"/>
      <c r="F4283" s="1050"/>
      <c r="G4283" s="1050"/>
    </row>
    <row r="4284" spans="1:7">
      <c r="A4284" s="1079"/>
      <c r="B4284" s="1050"/>
      <c r="C4284" s="1050"/>
      <c r="D4284" s="1050"/>
      <c r="E4284" s="1050"/>
      <c r="F4284" s="1050"/>
      <c r="G4284" s="1050"/>
    </row>
    <row r="4285" spans="1:7">
      <c r="A4285" s="1079"/>
      <c r="B4285" s="1050"/>
      <c r="C4285" s="1050"/>
      <c r="D4285" s="1050"/>
      <c r="E4285" s="1050"/>
      <c r="F4285" s="1050"/>
      <c r="G4285" s="1050"/>
    </row>
    <row r="4286" spans="1:7">
      <c r="A4286" s="1079"/>
      <c r="B4286" s="1050"/>
      <c r="C4286" s="1050"/>
      <c r="D4286" s="1050"/>
      <c r="E4286" s="1050"/>
      <c r="F4286" s="1050"/>
      <c r="G4286" s="1050"/>
    </row>
    <row r="4287" spans="1:7">
      <c r="A4287" s="1079"/>
      <c r="B4287" s="1050"/>
      <c r="C4287" s="1050"/>
      <c r="D4287" s="1050"/>
      <c r="E4287" s="1050"/>
      <c r="F4287" s="1050"/>
      <c r="G4287" s="1050"/>
    </row>
    <row r="4288" spans="1:7">
      <c r="A4288" s="1079"/>
      <c r="B4288" s="1050"/>
      <c r="C4288" s="1050"/>
      <c r="D4288" s="1050"/>
      <c r="E4288" s="1050"/>
      <c r="F4288" s="1050"/>
      <c r="G4288" s="1050"/>
    </row>
    <row r="4289" spans="1:7">
      <c r="A4289" s="1079"/>
      <c r="B4289" s="1050"/>
      <c r="C4289" s="1050"/>
      <c r="D4289" s="1050"/>
      <c r="E4289" s="1050"/>
      <c r="F4289" s="1050"/>
      <c r="G4289" s="1050"/>
    </row>
    <row r="4290" spans="1:7">
      <c r="A4290" s="1079"/>
      <c r="B4290" s="1050"/>
      <c r="C4290" s="1050"/>
      <c r="D4290" s="1050"/>
      <c r="E4290" s="1050"/>
      <c r="F4290" s="1050"/>
      <c r="G4290" s="1050"/>
    </row>
    <row r="4291" spans="1:7">
      <c r="A4291" s="1079"/>
      <c r="B4291" s="1050"/>
      <c r="C4291" s="1050"/>
      <c r="D4291" s="1050"/>
      <c r="E4291" s="1050"/>
      <c r="F4291" s="1050"/>
      <c r="G4291" s="1050"/>
    </row>
    <row r="4292" spans="1:7">
      <c r="A4292" s="1079"/>
      <c r="B4292" s="1050"/>
      <c r="C4292" s="1050"/>
      <c r="D4292" s="1050"/>
      <c r="E4292" s="1050"/>
      <c r="F4292" s="1050"/>
      <c r="G4292" s="1050"/>
    </row>
    <row r="4293" spans="1:7">
      <c r="A4293" s="1079"/>
      <c r="B4293" s="1050"/>
      <c r="C4293" s="1050"/>
      <c r="D4293" s="1050"/>
      <c r="E4293" s="1050"/>
      <c r="F4293" s="1050"/>
      <c r="G4293" s="1050"/>
    </row>
    <row r="4294" spans="1:7">
      <c r="A4294" s="1079"/>
      <c r="B4294" s="1050"/>
      <c r="C4294" s="1050"/>
      <c r="D4294" s="1050"/>
      <c r="E4294" s="1050"/>
      <c r="F4294" s="1050"/>
      <c r="G4294" s="1050"/>
    </row>
    <row r="4295" spans="1:7">
      <c r="A4295" s="1079"/>
      <c r="B4295" s="1050"/>
      <c r="C4295" s="1050"/>
      <c r="D4295" s="1050"/>
      <c r="E4295" s="1050"/>
      <c r="F4295" s="1050"/>
      <c r="G4295" s="1050"/>
    </row>
    <row r="4296" spans="1:7">
      <c r="A4296" s="1079"/>
      <c r="B4296" s="1050"/>
      <c r="C4296" s="1050"/>
      <c r="D4296" s="1050"/>
      <c r="E4296" s="1050"/>
      <c r="F4296" s="1050"/>
      <c r="G4296" s="1050"/>
    </row>
    <row r="4297" spans="1:7">
      <c r="A4297" s="1079"/>
      <c r="B4297" s="1050"/>
      <c r="C4297" s="1050"/>
      <c r="D4297" s="1050"/>
      <c r="E4297" s="1050"/>
      <c r="F4297" s="1050"/>
      <c r="G4297" s="1050"/>
    </row>
    <row r="4298" spans="1:7">
      <c r="A4298" s="1079"/>
      <c r="B4298" s="1050"/>
      <c r="C4298" s="1050"/>
      <c r="D4298" s="1050"/>
      <c r="E4298" s="1050"/>
      <c r="F4298" s="1050"/>
      <c r="G4298" s="1050"/>
    </row>
    <row r="4299" spans="1:7">
      <c r="A4299" s="1079"/>
      <c r="B4299" s="1050"/>
      <c r="C4299" s="1050"/>
      <c r="D4299" s="1050"/>
      <c r="E4299" s="1050"/>
      <c r="F4299" s="1050"/>
      <c r="G4299" s="1050"/>
    </row>
    <row r="4300" spans="1:7">
      <c r="A4300" s="1079"/>
      <c r="B4300" s="1050"/>
      <c r="C4300" s="1050"/>
      <c r="D4300" s="1050"/>
      <c r="E4300" s="1050"/>
      <c r="F4300" s="1050"/>
      <c r="G4300" s="1050"/>
    </row>
    <row r="4301" spans="1:7">
      <c r="A4301" s="1079"/>
      <c r="B4301" s="1050"/>
      <c r="C4301" s="1050"/>
      <c r="D4301" s="1050"/>
      <c r="E4301" s="1050"/>
      <c r="F4301" s="1050"/>
      <c r="G4301" s="1050"/>
    </row>
    <row r="4302" spans="1:7">
      <c r="A4302" s="1079"/>
      <c r="B4302" s="1050"/>
      <c r="C4302" s="1050"/>
      <c r="D4302" s="1050"/>
      <c r="E4302" s="1050"/>
      <c r="F4302" s="1050"/>
      <c r="G4302" s="1050"/>
    </row>
    <row r="4303" spans="1:7">
      <c r="A4303" s="1079"/>
      <c r="B4303" s="1050"/>
      <c r="C4303" s="1050"/>
      <c r="D4303" s="1050"/>
      <c r="E4303" s="1050"/>
      <c r="F4303" s="1050"/>
      <c r="G4303" s="1050"/>
    </row>
    <row r="4304" spans="1:7">
      <c r="A4304" s="1079"/>
      <c r="B4304" s="1050"/>
      <c r="C4304" s="1050"/>
      <c r="D4304" s="1050"/>
      <c r="E4304" s="1050"/>
      <c r="F4304" s="1050"/>
      <c r="G4304" s="1050"/>
    </row>
    <row r="4305" spans="1:7">
      <c r="A4305" s="1079"/>
      <c r="B4305" s="1050"/>
      <c r="C4305" s="1050"/>
      <c r="D4305" s="1050"/>
      <c r="E4305" s="1050"/>
      <c r="F4305" s="1050"/>
      <c r="G4305" s="1050"/>
    </row>
    <row r="4306" spans="1:7">
      <c r="A4306" s="1079"/>
      <c r="B4306" s="1050"/>
      <c r="C4306" s="1050"/>
      <c r="D4306" s="1050"/>
      <c r="E4306" s="1050"/>
      <c r="F4306" s="1050"/>
      <c r="G4306" s="1050"/>
    </row>
    <row r="4307" spans="1:7">
      <c r="A4307" s="1079"/>
      <c r="B4307" s="1050"/>
      <c r="C4307" s="1050"/>
      <c r="D4307" s="1050"/>
      <c r="E4307" s="1050"/>
      <c r="F4307" s="1050"/>
      <c r="G4307" s="1050"/>
    </row>
    <row r="4308" spans="1:7">
      <c r="A4308" s="1079"/>
      <c r="B4308" s="1050"/>
      <c r="C4308" s="1050"/>
      <c r="D4308" s="1050"/>
      <c r="E4308" s="1050"/>
      <c r="F4308" s="1050"/>
      <c r="G4308" s="1050"/>
    </row>
    <row r="4309" spans="1:7">
      <c r="A4309" s="1079"/>
      <c r="B4309" s="1050"/>
      <c r="C4309" s="1050"/>
      <c r="D4309" s="1050"/>
      <c r="E4309" s="1050"/>
      <c r="F4309" s="1050"/>
      <c r="G4309" s="1050"/>
    </row>
    <row r="4310" spans="1:7">
      <c r="A4310" s="1079"/>
      <c r="B4310" s="1050"/>
      <c r="C4310" s="1050"/>
      <c r="D4310" s="1050"/>
      <c r="E4310" s="1050"/>
      <c r="F4310" s="1050"/>
      <c r="G4310" s="1050"/>
    </row>
    <row r="4311" spans="1:7">
      <c r="A4311" s="1079"/>
      <c r="B4311" s="1050"/>
      <c r="C4311" s="1050"/>
      <c r="D4311" s="1050"/>
      <c r="E4311" s="1050"/>
      <c r="F4311" s="1050"/>
      <c r="G4311" s="1050"/>
    </row>
    <row r="4312" spans="1:7">
      <c r="A4312" s="1079"/>
      <c r="B4312" s="1050"/>
      <c r="C4312" s="1050"/>
      <c r="D4312" s="1050"/>
      <c r="E4312" s="1050"/>
      <c r="F4312" s="1050"/>
      <c r="G4312" s="1050"/>
    </row>
    <row r="4313" spans="1:7">
      <c r="A4313" s="1079"/>
      <c r="B4313" s="1050"/>
      <c r="C4313" s="1050"/>
      <c r="D4313" s="1050"/>
      <c r="E4313" s="1050"/>
      <c r="F4313" s="1050"/>
      <c r="G4313" s="1050"/>
    </row>
    <row r="4314" spans="1:7">
      <c r="A4314" s="1079"/>
      <c r="B4314" s="1050"/>
      <c r="C4314" s="1050"/>
      <c r="D4314" s="1050"/>
      <c r="E4314" s="1050"/>
      <c r="F4314" s="1050"/>
      <c r="G4314" s="1050"/>
    </row>
    <row r="4315" spans="1:7">
      <c r="A4315" s="1079"/>
      <c r="B4315" s="1050"/>
      <c r="C4315" s="1050"/>
      <c r="D4315" s="1050"/>
      <c r="E4315" s="1050"/>
      <c r="F4315" s="1050"/>
      <c r="G4315" s="1050"/>
    </row>
    <row r="4316" spans="1:7">
      <c r="A4316" s="1079"/>
      <c r="B4316" s="1050"/>
      <c r="C4316" s="1050"/>
      <c r="D4316" s="1050"/>
      <c r="E4316" s="1050"/>
      <c r="F4316" s="1050"/>
      <c r="G4316" s="1050"/>
    </row>
    <row r="4317" spans="1:7">
      <c r="A4317" s="1079"/>
      <c r="B4317" s="1050"/>
      <c r="C4317" s="1050"/>
      <c r="D4317" s="1050"/>
      <c r="E4317" s="1050"/>
      <c r="F4317" s="1050"/>
      <c r="G4317" s="1050"/>
    </row>
    <row r="4318" spans="1:7">
      <c r="A4318" s="1079"/>
      <c r="B4318" s="1050"/>
      <c r="C4318" s="1050"/>
      <c r="D4318" s="1050"/>
      <c r="E4318" s="1050"/>
      <c r="F4318" s="1050"/>
      <c r="G4318" s="1050"/>
    </row>
    <row r="4319" spans="1:7">
      <c r="A4319" s="1079"/>
      <c r="B4319" s="1050"/>
      <c r="C4319" s="1050"/>
      <c r="D4319" s="1050"/>
      <c r="E4319" s="1050"/>
      <c r="F4319" s="1050"/>
      <c r="G4319" s="1050"/>
    </row>
    <row r="4320" spans="1:7">
      <c r="A4320" s="1079"/>
      <c r="B4320" s="1050"/>
      <c r="C4320" s="1050"/>
      <c r="D4320" s="1050"/>
      <c r="E4320" s="1050"/>
      <c r="F4320" s="1050"/>
      <c r="G4320" s="1050"/>
    </row>
    <row r="4321" spans="1:7">
      <c r="A4321" s="1079"/>
      <c r="B4321" s="1050"/>
      <c r="C4321" s="1050"/>
      <c r="D4321" s="1050"/>
      <c r="E4321" s="1050"/>
      <c r="F4321" s="1050"/>
      <c r="G4321" s="1050"/>
    </row>
    <row r="4322" spans="1:7">
      <c r="A4322" s="1079"/>
      <c r="B4322" s="1050"/>
      <c r="C4322" s="1050"/>
      <c r="D4322" s="1050"/>
      <c r="E4322" s="1050"/>
      <c r="F4322" s="1050"/>
      <c r="G4322" s="1050"/>
    </row>
    <row r="4323" spans="1:7">
      <c r="A4323" s="1079"/>
      <c r="B4323" s="1050"/>
      <c r="C4323" s="1050"/>
      <c r="D4323" s="1050"/>
      <c r="E4323" s="1050"/>
      <c r="F4323" s="1050"/>
      <c r="G4323" s="1050"/>
    </row>
    <row r="4324" spans="1:7">
      <c r="A4324" s="1079"/>
      <c r="B4324" s="1050"/>
      <c r="C4324" s="1050"/>
      <c r="D4324" s="1050"/>
      <c r="E4324" s="1050"/>
      <c r="F4324" s="1050"/>
      <c r="G4324" s="1050"/>
    </row>
    <row r="4325" spans="1:7">
      <c r="A4325" s="1079"/>
      <c r="B4325" s="1050"/>
      <c r="C4325" s="1050"/>
      <c r="D4325" s="1050"/>
      <c r="E4325" s="1050"/>
      <c r="F4325" s="1050"/>
      <c r="G4325" s="1050"/>
    </row>
    <row r="4326" spans="1:7">
      <c r="A4326" s="1079"/>
      <c r="B4326" s="1050"/>
      <c r="C4326" s="1050"/>
      <c r="D4326" s="1050"/>
      <c r="E4326" s="1050"/>
      <c r="F4326" s="1050"/>
      <c r="G4326" s="1050"/>
    </row>
    <row r="4327" spans="1:7">
      <c r="A4327" s="1079"/>
      <c r="B4327" s="1050"/>
      <c r="C4327" s="1050"/>
      <c r="D4327" s="1050"/>
      <c r="E4327" s="1050"/>
      <c r="F4327" s="1050"/>
      <c r="G4327" s="1050"/>
    </row>
    <row r="4328" spans="1:7">
      <c r="A4328" s="1079"/>
      <c r="B4328" s="1050"/>
      <c r="C4328" s="1050"/>
      <c r="D4328" s="1050"/>
      <c r="E4328" s="1050"/>
      <c r="F4328" s="1050"/>
      <c r="G4328" s="1050"/>
    </row>
    <row r="4329" spans="1:7">
      <c r="A4329" s="1079"/>
      <c r="B4329" s="1050"/>
      <c r="C4329" s="1050"/>
      <c r="D4329" s="1050"/>
      <c r="E4329" s="1050"/>
      <c r="F4329" s="1050"/>
      <c r="G4329" s="1050"/>
    </row>
    <row r="4330" spans="1:7">
      <c r="A4330" s="1079"/>
      <c r="B4330" s="1050"/>
      <c r="C4330" s="1050"/>
      <c r="D4330" s="1050"/>
      <c r="E4330" s="1050"/>
      <c r="F4330" s="1050"/>
      <c r="G4330" s="1050"/>
    </row>
    <row r="4331" spans="1:7">
      <c r="A4331" s="1079"/>
      <c r="B4331" s="1050"/>
      <c r="C4331" s="1050"/>
      <c r="D4331" s="1050"/>
      <c r="E4331" s="1050"/>
      <c r="F4331" s="1050"/>
      <c r="G4331" s="1050"/>
    </row>
    <row r="4332" spans="1:7">
      <c r="A4332" s="1079"/>
      <c r="B4332" s="1050"/>
      <c r="C4332" s="1050"/>
      <c r="D4332" s="1050"/>
      <c r="E4332" s="1050"/>
      <c r="F4332" s="1050"/>
      <c r="G4332" s="1050"/>
    </row>
    <row r="4333" spans="1:7">
      <c r="A4333" s="1079"/>
      <c r="B4333" s="1050"/>
      <c r="C4333" s="1050"/>
      <c r="D4333" s="1050"/>
      <c r="E4333" s="1050"/>
      <c r="F4333" s="1050"/>
      <c r="G4333" s="1050"/>
    </row>
    <row r="4334" spans="1:7">
      <c r="A4334" s="1079"/>
      <c r="B4334" s="1050"/>
      <c r="C4334" s="1050"/>
      <c r="D4334" s="1050"/>
      <c r="E4334" s="1050"/>
      <c r="F4334" s="1050"/>
      <c r="G4334" s="1050"/>
    </row>
    <row r="4335" spans="1:7">
      <c r="A4335" s="1079"/>
      <c r="B4335" s="1050"/>
      <c r="C4335" s="1050"/>
      <c r="D4335" s="1050"/>
      <c r="E4335" s="1050"/>
      <c r="F4335" s="1050"/>
      <c r="G4335" s="1050"/>
    </row>
    <row r="4336" spans="1:7">
      <c r="A4336" s="1079"/>
      <c r="B4336" s="1050"/>
      <c r="C4336" s="1050"/>
      <c r="D4336" s="1050"/>
      <c r="E4336" s="1050"/>
      <c r="F4336" s="1050"/>
      <c r="G4336" s="1050"/>
    </row>
    <row r="4337" spans="1:7">
      <c r="A4337" s="1079"/>
      <c r="B4337" s="1050"/>
      <c r="C4337" s="1050"/>
      <c r="D4337" s="1050"/>
      <c r="E4337" s="1050"/>
      <c r="F4337" s="1050"/>
      <c r="G4337" s="1050"/>
    </row>
    <row r="4338" spans="1:7">
      <c r="A4338" s="1079"/>
      <c r="B4338" s="1050"/>
      <c r="C4338" s="1050"/>
      <c r="D4338" s="1050"/>
      <c r="E4338" s="1050"/>
      <c r="F4338" s="1050"/>
      <c r="G4338" s="1050"/>
    </row>
    <row r="4339" spans="1:7">
      <c r="A4339" s="1079"/>
      <c r="B4339" s="1050"/>
      <c r="C4339" s="1050"/>
      <c r="D4339" s="1050"/>
      <c r="E4339" s="1050"/>
      <c r="F4339" s="1050"/>
      <c r="G4339" s="1050"/>
    </row>
    <row r="4340" spans="1:7">
      <c r="A4340" s="1079"/>
      <c r="B4340" s="1050"/>
      <c r="C4340" s="1050"/>
      <c r="D4340" s="1050"/>
      <c r="E4340" s="1050"/>
      <c r="F4340" s="1050"/>
      <c r="G4340" s="1050"/>
    </row>
    <row r="4341" spans="1:7">
      <c r="A4341" s="1079"/>
      <c r="B4341" s="1050"/>
      <c r="C4341" s="1050"/>
      <c r="D4341" s="1050"/>
      <c r="E4341" s="1050"/>
      <c r="F4341" s="1050"/>
      <c r="G4341" s="1050"/>
    </row>
    <row r="4342" spans="1:7">
      <c r="A4342" s="1079"/>
      <c r="B4342" s="1050"/>
      <c r="C4342" s="1050"/>
      <c r="D4342" s="1050"/>
      <c r="E4342" s="1050"/>
      <c r="F4342" s="1050"/>
      <c r="G4342" s="1050"/>
    </row>
    <row r="4343" spans="1:7">
      <c r="A4343" s="1079"/>
      <c r="B4343" s="1050"/>
      <c r="C4343" s="1050"/>
      <c r="D4343" s="1050"/>
      <c r="E4343" s="1050"/>
      <c r="F4343" s="1050"/>
      <c r="G4343" s="1050"/>
    </row>
    <row r="4344" spans="1:7">
      <c r="A4344" s="1079"/>
      <c r="B4344" s="1050"/>
      <c r="C4344" s="1050"/>
      <c r="D4344" s="1050"/>
      <c r="E4344" s="1050"/>
      <c r="F4344" s="1050"/>
      <c r="G4344" s="1050"/>
    </row>
    <row r="4345" spans="1:7">
      <c r="A4345" s="1079"/>
      <c r="B4345" s="1050"/>
      <c r="C4345" s="1050"/>
      <c r="D4345" s="1050"/>
      <c r="E4345" s="1050"/>
      <c r="F4345" s="1050"/>
      <c r="G4345" s="1050"/>
    </row>
    <row r="4346" spans="1:7">
      <c r="A4346" s="1079"/>
      <c r="B4346" s="1050"/>
      <c r="C4346" s="1050"/>
      <c r="D4346" s="1050"/>
      <c r="E4346" s="1050"/>
      <c r="F4346" s="1050"/>
      <c r="G4346" s="1050"/>
    </row>
    <row r="4347" spans="1:7">
      <c r="A4347" s="1079"/>
      <c r="B4347" s="1050"/>
      <c r="C4347" s="1050"/>
      <c r="D4347" s="1050"/>
      <c r="E4347" s="1050"/>
      <c r="F4347" s="1050"/>
      <c r="G4347" s="1050"/>
    </row>
    <row r="4348" spans="1:7">
      <c r="A4348" s="1079"/>
      <c r="B4348" s="1050"/>
      <c r="C4348" s="1050"/>
      <c r="D4348" s="1050"/>
      <c r="E4348" s="1050"/>
      <c r="F4348" s="1050"/>
      <c r="G4348" s="1050"/>
    </row>
    <row r="4349" spans="1:7">
      <c r="A4349" s="1079"/>
      <c r="B4349" s="1050"/>
      <c r="C4349" s="1050"/>
      <c r="D4349" s="1050"/>
      <c r="E4349" s="1050"/>
      <c r="F4349" s="1050"/>
      <c r="G4349" s="1050"/>
    </row>
    <row r="4350" spans="1:7">
      <c r="A4350" s="1079"/>
      <c r="B4350" s="1050"/>
      <c r="C4350" s="1050"/>
      <c r="D4350" s="1050"/>
      <c r="E4350" s="1050"/>
      <c r="F4350" s="1050"/>
      <c r="G4350" s="1050"/>
    </row>
    <row r="4351" spans="1:7">
      <c r="A4351" s="1079"/>
      <c r="B4351" s="1050"/>
      <c r="C4351" s="1050"/>
      <c r="D4351" s="1050"/>
      <c r="E4351" s="1050"/>
      <c r="F4351" s="1050"/>
      <c r="G4351" s="1050"/>
    </row>
    <row r="4352" spans="1:7">
      <c r="A4352" s="1079"/>
      <c r="B4352" s="1050"/>
      <c r="C4352" s="1050"/>
      <c r="D4352" s="1050"/>
      <c r="E4352" s="1050"/>
      <c r="F4352" s="1050"/>
      <c r="G4352" s="1050"/>
    </row>
    <row r="4353" spans="1:7">
      <c r="A4353" s="1079"/>
      <c r="B4353" s="1050"/>
      <c r="C4353" s="1050"/>
      <c r="D4353" s="1050"/>
      <c r="E4353" s="1050"/>
      <c r="F4353" s="1050"/>
      <c r="G4353" s="1050"/>
    </row>
    <row r="4354" spans="1:7">
      <c r="A4354" s="1079"/>
      <c r="B4354" s="1050"/>
      <c r="C4354" s="1050"/>
      <c r="D4354" s="1050"/>
      <c r="E4354" s="1050"/>
      <c r="F4354" s="1050"/>
      <c r="G4354" s="1050"/>
    </row>
    <row r="4355" spans="1:7">
      <c r="A4355" s="1079"/>
      <c r="B4355" s="1050"/>
      <c r="C4355" s="1050"/>
      <c r="D4355" s="1050"/>
      <c r="E4355" s="1050"/>
      <c r="F4355" s="1050"/>
      <c r="G4355" s="1050"/>
    </row>
    <row r="4356" spans="1:7">
      <c r="A4356" s="1079"/>
      <c r="B4356" s="1050"/>
      <c r="C4356" s="1050"/>
      <c r="D4356" s="1050"/>
      <c r="E4356" s="1050"/>
      <c r="F4356" s="1050"/>
      <c r="G4356" s="1050"/>
    </row>
    <row r="4357" spans="1:7">
      <c r="A4357" s="1079"/>
      <c r="B4357" s="1050"/>
      <c r="C4357" s="1050"/>
      <c r="D4357" s="1050"/>
      <c r="E4357" s="1050"/>
      <c r="F4357" s="1050"/>
      <c r="G4357" s="1050"/>
    </row>
    <row r="4358" spans="1:7">
      <c r="A4358" s="1079"/>
      <c r="B4358" s="1050"/>
      <c r="C4358" s="1050"/>
      <c r="D4358" s="1050"/>
      <c r="E4358" s="1050"/>
      <c r="F4358" s="1050"/>
      <c r="G4358" s="1050"/>
    </row>
    <row r="4359" spans="1:7">
      <c r="A4359" s="1079"/>
      <c r="B4359" s="1050"/>
      <c r="C4359" s="1050"/>
      <c r="D4359" s="1050"/>
      <c r="E4359" s="1050"/>
      <c r="F4359" s="1050"/>
      <c r="G4359" s="1050"/>
    </row>
    <row r="4360" spans="1:7">
      <c r="A4360" s="1079"/>
      <c r="B4360" s="1050"/>
      <c r="C4360" s="1050"/>
      <c r="D4360" s="1050"/>
      <c r="E4360" s="1050"/>
      <c r="F4360" s="1050"/>
      <c r="G4360" s="1050"/>
    </row>
    <row r="4361" spans="1:7">
      <c r="A4361" s="1079"/>
      <c r="B4361" s="1050"/>
      <c r="C4361" s="1050"/>
      <c r="D4361" s="1050"/>
      <c r="E4361" s="1050"/>
      <c r="F4361" s="1050"/>
      <c r="G4361" s="1050"/>
    </row>
    <row r="4362" spans="1:7">
      <c r="A4362" s="1079"/>
      <c r="B4362" s="1050"/>
      <c r="C4362" s="1050"/>
      <c r="D4362" s="1050"/>
      <c r="E4362" s="1050"/>
      <c r="F4362" s="1050"/>
      <c r="G4362" s="1050"/>
    </row>
    <row r="4363" spans="1:7">
      <c r="A4363" s="1079"/>
      <c r="B4363" s="1050"/>
      <c r="C4363" s="1050"/>
      <c r="D4363" s="1050"/>
      <c r="E4363" s="1050"/>
      <c r="F4363" s="1050"/>
      <c r="G4363" s="1050"/>
    </row>
    <row r="4364" spans="1:7">
      <c r="A4364" s="1079"/>
      <c r="B4364" s="1050"/>
      <c r="C4364" s="1050"/>
      <c r="D4364" s="1050"/>
      <c r="E4364" s="1050"/>
      <c r="F4364" s="1050"/>
      <c r="G4364" s="1050"/>
    </row>
    <row r="4365" spans="1:7">
      <c r="A4365" s="1079"/>
      <c r="B4365" s="1050"/>
      <c r="C4365" s="1050"/>
      <c r="D4365" s="1050"/>
      <c r="E4365" s="1050"/>
      <c r="F4365" s="1050"/>
      <c r="G4365" s="1050"/>
    </row>
    <row r="4366" spans="1:7">
      <c r="A4366" s="1079"/>
      <c r="B4366" s="1050"/>
      <c r="C4366" s="1050"/>
      <c r="D4366" s="1050"/>
      <c r="E4366" s="1050"/>
      <c r="F4366" s="1050"/>
      <c r="G4366" s="1050"/>
    </row>
    <row r="4367" spans="1:7">
      <c r="A4367" s="1079"/>
      <c r="B4367" s="1050"/>
      <c r="C4367" s="1050"/>
      <c r="D4367" s="1050"/>
      <c r="E4367" s="1050"/>
      <c r="F4367" s="1050"/>
      <c r="G4367" s="1050"/>
    </row>
    <row r="4368" spans="1:7">
      <c r="A4368" s="1079"/>
      <c r="B4368" s="1050"/>
      <c r="C4368" s="1050"/>
      <c r="D4368" s="1050"/>
      <c r="E4368" s="1050"/>
      <c r="F4368" s="1050"/>
      <c r="G4368" s="1050"/>
    </row>
    <row r="4369" spans="1:7">
      <c r="A4369" s="1079"/>
      <c r="B4369" s="1050"/>
      <c r="C4369" s="1050"/>
      <c r="D4369" s="1050"/>
      <c r="E4369" s="1050"/>
      <c r="F4369" s="1050"/>
      <c r="G4369" s="1050"/>
    </row>
    <row r="4370" spans="1:7">
      <c r="A4370" s="1079"/>
      <c r="B4370" s="1050"/>
      <c r="C4370" s="1050"/>
      <c r="D4370" s="1050"/>
      <c r="E4370" s="1050"/>
      <c r="F4370" s="1050"/>
      <c r="G4370" s="1050"/>
    </row>
    <row r="4371" spans="1:7">
      <c r="A4371" s="1079"/>
      <c r="B4371" s="1050"/>
      <c r="C4371" s="1050"/>
      <c r="D4371" s="1050"/>
      <c r="E4371" s="1050"/>
      <c r="F4371" s="1050"/>
      <c r="G4371" s="1050"/>
    </row>
    <row r="4372" spans="1:7">
      <c r="A4372" s="1079"/>
      <c r="B4372" s="1050"/>
      <c r="C4372" s="1050"/>
      <c r="D4372" s="1050"/>
      <c r="E4372" s="1050"/>
      <c r="F4372" s="1050"/>
      <c r="G4372" s="1050"/>
    </row>
    <row r="4373" spans="1:7">
      <c r="A4373" s="1079"/>
      <c r="B4373" s="1050"/>
      <c r="C4373" s="1050"/>
      <c r="D4373" s="1050"/>
      <c r="E4373" s="1050"/>
      <c r="F4373" s="1050"/>
      <c r="G4373" s="1050"/>
    </row>
    <row r="4374" spans="1:7">
      <c r="A4374" s="1079"/>
      <c r="B4374" s="1050"/>
      <c r="C4374" s="1050"/>
      <c r="D4374" s="1050"/>
      <c r="E4374" s="1050"/>
      <c r="F4374" s="1050"/>
      <c r="G4374" s="1050"/>
    </row>
    <row r="4375" spans="1:7">
      <c r="A4375" s="1079"/>
      <c r="B4375" s="1050"/>
      <c r="C4375" s="1050"/>
      <c r="D4375" s="1050"/>
      <c r="E4375" s="1050"/>
      <c r="F4375" s="1050"/>
      <c r="G4375" s="1050"/>
    </row>
    <row r="4376" spans="1:7">
      <c r="A4376" s="1079"/>
      <c r="B4376" s="1050"/>
      <c r="C4376" s="1050"/>
      <c r="D4376" s="1050"/>
      <c r="E4376" s="1050"/>
      <c r="F4376" s="1050"/>
      <c r="G4376" s="1050"/>
    </row>
    <row r="4377" spans="1:7">
      <c r="A4377" s="1079"/>
      <c r="B4377" s="1050"/>
      <c r="C4377" s="1050"/>
      <c r="D4377" s="1050"/>
      <c r="E4377" s="1050"/>
      <c r="F4377" s="1050"/>
      <c r="G4377" s="1050"/>
    </row>
    <row r="4378" spans="1:7">
      <c r="A4378" s="1079"/>
      <c r="B4378" s="1050"/>
      <c r="C4378" s="1050"/>
      <c r="D4378" s="1050"/>
      <c r="E4378" s="1050"/>
      <c r="F4378" s="1050"/>
      <c r="G4378" s="1050"/>
    </row>
    <row r="4379" spans="1:7">
      <c r="A4379" s="1079"/>
      <c r="B4379" s="1050"/>
      <c r="C4379" s="1050"/>
      <c r="D4379" s="1050"/>
      <c r="E4379" s="1050"/>
      <c r="F4379" s="1050"/>
      <c r="G4379" s="1050"/>
    </row>
    <row r="4380" spans="1:7">
      <c r="A4380" s="1079"/>
      <c r="B4380" s="1050"/>
      <c r="C4380" s="1050"/>
      <c r="D4380" s="1050"/>
      <c r="E4380" s="1050"/>
      <c r="F4380" s="1050"/>
      <c r="G4380" s="1050"/>
    </row>
    <row r="4381" spans="1:7">
      <c r="A4381" s="1079"/>
      <c r="B4381" s="1050"/>
      <c r="C4381" s="1050"/>
      <c r="D4381" s="1050"/>
      <c r="E4381" s="1050"/>
      <c r="F4381" s="1050"/>
      <c r="G4381" s="1050"/>
    </row>
    <row r="4382" spans="1:7">
      <c r="A4382" s="1079"/>
      <c r="B4382" s="1050"/>
      <c r="C4382" s="1050"/>
      <c r="D4382" s="1050"/>
      <c r="E4382" s="1050"/>
      <c r="F4382" s="1050"/>
      <c r="G4382" s="1050"/>
    </row>
    <row r="4383" spans="1:7">
      <c r="A4383" s="1079"/>
      <c r="B4383" s="1050"/>
      <c r="C4383" s="1050"/>
      <c r="D4383" s="1050"/>
      <c r="E4383" s="1050"/>
      <c r="F4383" s="1050"/>
      <c r="G4383" s="1050"/>
    </row>
    <row r="4384" spans="1:7">
      <c r="A4384" s="1079"/>
      <c r="B4384" s="1050"/>
      <c r="C4384" s="1050"/>
      <c r="D4384" s="1050"/>
      <c r="E4384" s="1050"/>
      <c r="F4384" s="1050"/>
      <c r="G4384" s="1050"/>
    </row>
    <row r="4385" spans="1:7">
      <c r="A4385" s="1079"/>
      <c r="B4385" s="1050"/>
      <c r="C4385" s="1050"/>
      <c r="D4385" s="1050"/>
      <c r="E4385" s="1050"/>
      <c r="F4385" s="1050"/>
      <c r="G4385" s="1050"/>
    </row>
    <row r="4386" spans="1:7">
      <c r="A4386" s="1079"/>
      <c r="B4386" s="1050"/>
      <c r="C4386" s="1050"/>
      <c r="D4386" s="1050"/>
      <c r="E4386" s="1050"/>
      <c r="F4386" s="1050"/>
      <c r="G4386" s="1050"/>
    </row>
    <row r="4387" spans="1:7">
      <c r="A4387" s="1079"/>
      <c r="B4387" s="1050"/>
      <c r="C4387" s="1050"/>
      <c r="D4387" s="1050"/>
      <c r="E4387" s="1050"/>
      <c r="F4387" s="1050"/>
      <c r="G4387" s="1050"/>
    </row>
    <row r="4388" spans="1:7">
      <c r="A4388" s="1079"/>
      <c r="B4388" s="1050"/>
      <c r="C4388" s="1050"/>
      <c r="D4388" s="1050"/>
      <c r="E4388" s="1050"/>
      <c r="F4388" s="1050"/>
      <c r="G4388" s="1050"/>
    </row>
    <row r="4389" spans="1:7">
      <c r="A4389" s="1079"/>
      <c r="B4389" s="1050"/>
      <c r="C4389" s="1050"/>
      <c r="D4389" s="1050"/>
      <c r="E4389" s="1050"/>
      <c r="F4389" s="1050"/>
      <c r="G4389" s="1050"/>
    </row>
    <row r="4390" spans="1:7">
      <c r="A4390" s="1079"/>
      <c r="B4390" s="1050"/>
      <c r="C4390" s="1050"/>
      <c r="D4390" s="1050"/>
      <c r="E4390" s="1050"/>
      <c r="F4390" s="1050"/>
      <c r="G4390" s="1050"/>
    </row>
    <row r="4391" spans="1:7">
      <c r="A4391" s="1079"/>
      <c r="B4391" s="1050"/>
      <c r="C4391" s="1050"/>
      <c r="D4391" s="1050"/>
      <c r="E4391" s="1050"/>
      <c r="F4391" s="1050"/>
      <c r="G4391" s="1050"/>
    </row>
    <row r="4392" spans="1:7">
      <c r="A4392" s="1079"/>
      <c r="B4392" s="1050"/>
      <c r="C4392" s="1050"/>
      <c r="D4392" s="1050"/>
      <c r="E4392" s="1050"/>
      <c r="F4392" s="1050"/>
      <c r="G4392" s="1050"/>
    </row>
    <row r="4393" spans="1:7">
      <c r="A4393" s="1079"/>
      <c r="B4393" s="1050"/>
      <c r="C4393" s="1050"/>
      <c r="D4393" s="1050"/>
      <c r="E4393" s="1050"/>
      <c r="F4393" s="1050"/>
      <c r="G4393" s="1050"/>
    </row>
    <row r="4394" spans="1:7">
      <c r="A4394" s="1079"/>
      <c r="B4394" s="1050"/>
      <c r="C4394" s="1050"/>
      <c r="D4394" s="1050"/>
      <c r="E4394" s="1050"/>
      <c r="F4394" s="1050"/>
      <c r="G4394" s="1050"/>
    </row>
    <row r="4395" spans="1:7">
      <c r="A4395" s="1079"/>
      <c r="B4395" s="1050"/>
      <c r="C4395" s="1050"/>
      <c r="D4395" s="1050"/>
      <c r="E4395" s="1050"/>
      <c r="F4395" s="1050"/>
      <c r="G4395" s="1050"/>
    </row>
    <row r="4396" spans="1:7">
      <c r="A4396" s="1079"/>
      <c r="B4396" s="1050"/>
      <c r="C4396" s="1050"/>
      <c r="D4396" s="1050"/>
      <c r="E4396" s="1050"/>
      <c r="F4396" s="1050"/>
      <c r="G4396" s="1050"/>
    </row>
    <row r="4397" spans="1:7">
      <c r="A4397" s="1079"/>
      <c r="B4397" s="1050"/>
      <c r="C4397" s="1050"/>
      <c r="D4397" s="1050"/>
      <c r="E4397" s="1050"/>
      <c r="F4397" s="1050"/>
      <c r="G4397" s="1050"/>
    </row>
    <row r="4398" spans="1:7">
      <c r="A4398" s="1079"/>
      <c r="B4398" s="1050"/>
      <c r="C4398" s="1050"/>
      <c r="D4398" s="1050"/>
      <c r="E4398" s="1050"/>
      <c r="F4398" s="1050"/>
      <c r="G4398" s="1050"/>
    </row>
    <row r="4399" spans="1:7">
      <c r="A4399" s="1079"/>
      <c r="B4399" s="1050"/>
      <c r="C4399" s="1050"/>
      <c r="D4399" s="1050"/>
      <c r="E4399" s="1050"/>
      <c r="F4399" s="1050"/>
      <c r="G4399" s="1050"/>
    </row>
    <row r="4400" spans="1:7">
      <c r="A4400" s="1079"/>
      <c r="B4400" s="1050"/>
      <c r="C4400" s="1050"/>
      <c r="D4400" s="1050"/>
      <c r="E4400" s="1050"/>
      <c r="F4400" s="1050"/>
      <c r="G4400" s="1050"/>
    </row>
    <row r="4401" spans="1:7">
      <c r="A4401" s="1079"/>
      <c r="B4401" s="1050"/>
      <c r="C4401" s="1050"/>
      <c r="D4401" s="1050"/>
      <c r="E4401" s="1050"/>
      <c r="F4401" s="1050"/>
      <c r="G4401" s="1050"/>
    </row>
    <row r="4402" spans="1:7">
      <c r="A4402" s="1079"/>
      <c r="B4402" s="1050"/>
      <c r="C4402" s="1050"/>
      <c r="D4402" s="1050"/>
      <c r="E4402" s="1050"/>
      <c r="F4402" s="1050"/>
      <c r="G4402" s="1050"/>
    </row>
    <row r="4403" spans="1:7">
      <c r="A4403" s="1079"/>
      <c r="B4403" s="1050"/>
      <c r="C4403" s="1050"/>
      <c r="D4403" s="1050"/>
      <c r="E4403" s="1050"/>
      <c r="F4403" s="1050"/>
      <c r="G4403" s="1050"/>
    </row>
    <row r="4404" spans="1:7">
      <c r="A4404" s="1079"/>
      <c r="B4404" s="1050"/>
      <c r="C4404" s="1050"/>
      <c r="D4404" s="1050"/>
      <c r="E4404" s="1050"/>
      <c r="F4404" s="1050"/>
      <c r="G4404" s="1050"/>
    </row>
    <row r="4405" spans="1:7">
      <c r="A4405" s="1079"/>
      <c r="B4405" s="1050"/>
      <c r="C4405" s="1050"/>
      <c r="D4405" s="1050"/>
      <c r="E4405" s="1050"/>
      <c r="F4405" s="1050"/>
      <c r="G4405" s="1050"/>
    </row>
    <row r="4406" spans="1:7">
      <c r="A4406" s="1079"/>
      <c r="B4406" s="1050"/>
      <c r="C4406" s="1050"/>
      <c r="D4406" s="1050"/>
      <c r="E4406" s="1050"/>
      <c r="F4406" s="1050"/>
      <c r="G4406" s="1050"/>
    </row>
    <row r="4407" spans="1:7">
      <c r="A4407" s="1079"/>
      <c r="B4407" s="1050"/>
      <c r="C4407" s="1050"/>
      <c r="D4407" s="1050"/>
      <c r="E4407" s="1050"/>
      <c r="F4407" s="1050"/>
      <c r="G4407" s="1050"/>
    </row>
    <row r="4408" spans="1:7">
      <c r="A4408" s="1079"/>
      <c r="B4408" s="1050"/>
      <c r="C4408" s="1050"/>
      <c r="D4408" s="1050"/>
      <c r="E4408" s="1050"/>
      <c r="F4408" s="1050"/>
      <c r="G4408" s="1050"/>
    </row>
    <row r="4409" spans="1:7">
      <c r="A4409" s="1079"/>
      <c r="B4409" s="1050"/>
      <c r="C4409" s="1050"/>
      <c r="D4409" s="1050"/>
      <c r="E4409" s="1050"/>
      <c r="F4409" s="1050"/>
      <c r="G4409" s="1050"/>
    </row>
    <row r="4410" spans="1:7">
      <c r="A4410" s="1079"/>
      <c r="B4410" s="1050"/>
      <c r="C4410" s="1050"/>
      <c r="D4410" s="1050"/>
      <c r="E4410" s="1050"/>
      <c r="F4410" s="1050"/>
      <c r="G4410" s="1050"/>
    </row>
    <row r="4411" spans="1:7">
      <c r="A4411" s="1079"/>
      <c r="B4411" s="1050"/>
      <c r="C4411" s="1050"/>
      <c r="D4411" s="1050"/>
      <c r="E4411" s="1050"/>
      <c r="F4411" s="1050"/>
      <c r="G4411" s="1050"/>
    </row>
    <row r="4412" spans="1:7">
      <c r="A4412" s="1079"/>
      <c r="B4412" s="1050"/>
      <c r="C4412" s="1050"/>
      <c r="D4412" s="1050"/>
      <c r="E4412" s="1050"/>
      <c r="F4412" s="1050"/>
      <c r="G4412" s="1050"/>
    </row>
    <row r="4413" spans="1:7">
      <c r="A4413" s="1079"/>
      <c r="B4413" s="1050"/>
      <c r="C4413" s="1050"/>
      <c r="D4413" s="1050"/>
      <c r="E4413" s="1050"/>
      <c r="F4413" s="1050"/>
      <c r="G4413" s="1050"/>
    </row>
    <row r="4414" spans="1:7">
      <c r="A4414" s="1079"/>
      <c r="B4414" s="1050"/>
      <c r="C4414" s="1050"/>
      <c r="D4414" s="1050"/>
      <c r="E4414" s="1050"/>
      <c r="F4414" s="1050"/>
      <c r="G4414" s="1050"/>
    </row>
    <row r="4415" spans="1:7">
      <c r="A4415" s="1079"/>
      <c r="B4415" s="1050"/>
      <c r="C4415" s="1050"/>
      <c r="D4415" s="1050"/>
      <c r="E4415" s="1050"/>
      <c r="F4415" s="1050"/>
      <c r="G4415" s="1050"/>
    </row>
    <row r="4416" spans="1:7">
      <c r="A4416" s="1079"/>
      <c r="B4416" s="1050"/>
      <c r="C4416" s="1050"/>
      <c r="D4416" s="1050"/>
      <c r="E4416" s="1050"/>
      <c r="F4416" s="1050"/>
      <c r="G4416" s="1050"/>
    </row>
    <row r="4417" spans="1:7">
      <c r="A4417" s="1079"/>
      <c r="B4417" s="1050"/>
      <c r="C4417" s="1050"/>
      <c r="D4417" s="1050"/>
      <c r="E4417" s="1050"/>
      <c r="F4417" s="1050"/>
      <c r="G4417" s="1050"/>
    </row>
    <row r="4418" spans="1:7">
      <c r="A4418" s="1079"/>
      <c r="B4418" s="1050"/>
      <c r="C4418" s="1050"/>
      <c r="D4418" s="1050"/>
      <c r="E4418" s="1050"/>
      <c r="F4418" s="1050"/>
      <c r="G4418" s="1050"/>
    </row>
    <row r="4419" spans="1:7">
      <c r="A4419" s="1079"/>
      <c r="B4419" s="1050"/>
      <c r="C4419" s="1050"/>
      <c r="D4419" s="1050"/>
      <c r="E4419" s="1050"/>
      <c r="F4419" s="1050"/>
      <c r="G4419" s="1050"/>
    </row>
    <row r="4420" spans="1:7">
      <c r="A4420" s="1079"/>
      <c r="B4420" s="1050"/>
      <c r="C4420" s="1050"/>
      <c r="D4420" s="1050"/>
      <c r="E4420" s="1050"/>
      <c r="F4420" s="1050"/>
      <c r="G4420" s="1050"/>
    </row>
    <row r="4421" spans="1:7">
      <c r="A4421" s="1079"/>
      <c r="B4421" s="1050"/>
      <c r="C4421" s="1050"/>
      <c r="D4421" s="1050"/>
      <c r="E4421" s="1050"/>
      <c r="F4421" s="1050"/>
      <c r="G4421" s="1050"/>
    </row>
    <row r="4422" spans="1:7">
      <c r="A4422" s="1079"/>
      <c r="B4422" s="1050"/>
      <c r="C4422" s="1050"/>
      <c r="D4422" s="1050"/>
      <c r="E4422" s="1050"/>
      <c r="F4422" s="1050"/>
      <c r="G4422" s="1050"/>
    </row>
    <row r="4423" spans="1:7">
      <c r="A4423" s="1079"/>
      <c r="B4423" s="1050"/>
      <c r="C4423" s="1050"/>
      <c r="D4423" s="1050"/>
      <c r="E4423" s="1050"/>
      <c r="F4423" s="1050"/>
      <c r="G4423" s="1050"/>
    </row>
    <row r="4424" spans="1:7">
      <c r="A4424" s="1079"/>
      <c r="B4424" s="1050"/>
      <c r="C4424" s="1050"/>
      <c r="D4424" s="1050"/>
      <c r="E4424" s="1050"/>
      <c r="F4424" s="1050"/>
      <c r="G4424" s="1050"/>
    </row>
    <row r="4425" spans="1:7">
      <c r="A4425" s="1079"/>
      <c r="B4425" s="1050"/>
      <c r="C4425" s="1050"/>
      <c r="D4425" s="1050"/>
      <c r="E4425" s="1050"/>
      <c r="F4425" s="1050"/>
      <c r="G4425" s="1050"/>
    </row>
    <row r="4426" spans="1:7">
      <c r="A4426" s="1079"/>
      <c r="B4426" s="1050"/>
      <c r="C4426" s="1050"/>
      <c r="D4426" s="1050"/>
      <c r="E4426" s="1050"/>
      <c r="F4426" s="1050"/>
      <c r="G4426" s="1050"/>
    </row>
    <row r="4427" spans="1:7">
      <c r="A4427" s="1079"/>
      <c r="B4427" s="1050"/>
      <c r="C4427" s="1050"/>
      <c r="D4427" s="1050"/>
      <c r="E4427" s="1050"/>
      <c r="F4427" s="1050"/>
      <c r="G4427" s="1050"/>
    </row>
    <row r="4428" spans="1:7">
      <c r="A4428" s="1079"/>
      <c r="B4428" s="1050"/>
      <c r="C4428" s="1050"/>
      <c r="D4428" s="1050"/>
      <c r="E4428" s="1050"/>
      <c r="F4428" s="1050"/>
      <c r="G4428" s="1050"/>
    </row>
    <row r="4429" spans="1:7">
      <c r="A4429" s="1079"/>
      <c r="B4429" s="1050"/>
      <c r="C4429" s="1050"/>
      <c r="D4429" s="1050"/>
      <c r="E4429" s="1050"/>
      <c r="F4429" s="1050"/>
      <c r="G4429" s="1050"/>
    </row>
    <row r="4430" spans="1:7">
      <c r="A4430" s="1079"/>
      <c r="B4430" s="1050"/>
      <c r="C4430" s="1050"/>
      <c r="D4430" s="1050"/>
      <c r="E4430" s="1050"/>
      <c r="F4430" s="1050"/>
      <c r="G4430" s="1050"/>
    </row>
    <row r="4431" spans="1:7">
      <c r="A4431" s="1079"/>
      <c r="B4431" s="1050"/>
      <c r="C4431" s="1050"/>
      <c r="D4431" s="1050"/>
      <c r="E4431" s="1050"/>
      <c r="F4431" s="1050"/>
      <c r="G4431" s="1050"/>
    </row>
    <row r="4432" spans="1:7">
      <c r="A4432" s="1079"/>
      <c r="B4432" s="1050"/>
      <c r="C4432" s="1050"/>
      <c r="D4432" s="1050"/>
      <c r="E4432" s="1050"/>
      <c r="F4432" s="1050"/>
      <c r="G4432" s="1050"/>
    </row>
    <row r="4433" spans="1:7">
      <c r="A4433" s="1079"/>
      <c r="B4433" s="1050"/>
      <c r="C4433" s="1050"/>
      <c r="D4433" s="1050"/>
      <c r="E4433" s="1050"/>
      <c r="F4433" s="1050"/>
      <c r="G4433" s="1050"/>
    </row>
    <row r="4434" spans="1:7">
      <c r="A4434" s="1079"/>
      <c r="B4434" s="1050"/>
      <c r="C4434" s="1050"/>
      <c r="D4434" s="1050"/>
      <c r="E4434" s="1050"/>
      <c r="F4434" s="1050"/>
      <c r="G4434" s="1050"/>
    </row>
    <row r="4435" spans="1:7">
      <c r="A4435" s="1079"/>
      <c r="B4435" s="1050"/>
      <c r="C4435" s="1050"/>
      <c r="D4435" s="1050"/>
      <c r="E4435" s="1050"/>
      <c r="F4435" s="1050"/>
      <c r="G4435" s="1050"/>
    </row>
    <row r="4436" spans="1:7">
      <c r="A4436" s="1079"/>
      <c r="B4436" s="1050"/>
      <c r="C4436" s="1050"/>
      <c r="D4436" s="1050"/>
      <c r="E4436" s="1050"/>
      <c r="F4436" s="1050"/>
      <c r="G4436" s="1050"/>
    </row>
    <row r="4437" spans="1:7">
      <c r="A4437" s="1079"/>
      <c r="B4437" s="1050"/>
      <c r="C4437" s="1050"/>
      <c r="D4437" s="1050"/>
      <c r="E4437" s="1050"/>
      <c r="F4437" s="1050"/>
      <c r="G4437" s="1050"/>
    </row>
    <row r="4438" spans="1:7">
      <c r="A4438" s="1079"/>
      <c r="B4438" s="1050"/>
      <c r="C4438" s="1050"/>
      <c r="D4438" s="1050"/>
      <c r="E4438" s="1050"/>
      <c r="F4438" s="1050"/>
      <c r="G4438" s="1050"/>
    </row>
    <row r="4439" spans="1:7">
      <c r="A4439" s="1079"/>
      <c r="B4439" s="1050"/>
      <c r="C4439" s="1050"/>
      <c r="D4439" s="1050"/>
      <c r="E4439" s="1050"/>
      <c r="F4439" s="1050"/>
      <c r="G4439" s="1050"/>
    </row>
    <row r="4440" spans="1:7">
      <c r="A4440" s="1079"/>
      <c r="B4440" s="1050"/>
      <c r="C4440" s="1050"/>
      <c r="D4440" s="1050"/>
      <c r="E4440" s="1050"/>
      <c r="F4440" s="1050"/>
      <c r="G4440" s="1050"/>
    </row>
    <row r="4441" spans="1:7">
      <c r="A4441" s="1079"/>
      <c r="B4441" s="1050"/>
      <c r="C4441" s="1050"/>
      <c r="D4441" s="1050"/>
      <c r="E4441" s="1050"/>
      <c r="F4441" s="1050"/>
      <c r="G4441" s="1050"/>
    </row>
    <row r="4442" spans="1:7">
      <c r="A4442" s="1079"/>
      <c r="B4442" s="1050"/>
      <c r="C4442" s="1050"/>
      <c r="D4442" s="1050"/>
      <c r="E4442" s="1050"/>
      <c r="F4442" s="1050"/>
      <c r="G4442" s="1050"/>
    </row>
    <row r="4443" spans="1:7">
      <c r="A4443" s="1079"/>
      <c r="B4443" s="1050"/>
      <c r="C4443" s="1050"/>
      <c r="D4443" s="1050"/>
      <c r="E4443" s="1050"/>
      <c r="F4443" s="1050"/>
      <c r="G4443" s="1050"/>
    </row>
    <row r="4444" spans="1:7">
      <c r="A4444" s="1079"/>
      <c r="B4444" s="1050"/>
      <c r="C4444" s="1050"/>
      <c r="D4444" s="1050"/>
      <c r="E4444" s="1050"/>
      <c r="F4444" s="1050"/>
      <c r="G4444" s="1050"/>
    </row>
    <row r="4445" spans="1:7">
      <c r="A4445" s="1079"/>
      <c r="B4445" s="1050"/>
      <c r="C4445" s="1050"/>
      <c r="D4445" s="1050"/>
      <c r="E4445" s="1050"/>
      <c r="F4445" s="1050"/>
      <c r="G4445" s="1050"/>
    </row>
    <row r="4446" spans="1:7">
      <c r="A4446" s="1079"/>
      <c r="B4446" s="1050"/>
      <c r="C4446" s="1050"/>
      <c r="D4446" s="1050"/>
      <c r="E4446" s="1050"/>
      <c r="F4446" s="1050"/>
      <c r="G4446" s="1050"/>
    </row>
    <row r="4447" spans="1:7">
      <c r="A4447" s="1079"/>
      <c r="B4447" s="1050"/>
      <c r="C4447" s="1050"/>
      <c r="D4447" s="1050"/>
      <c r="E4447" s="1050"/>
      <c r="F4447" s="1050"/>
      <c r="G4447" s="1050"/>
    </row>
    <row r="4448" spans="1:7">
      <c r="A4448" s="1079"/>
      <c r="B4448" s="1050"/>
      <c r="C4448" s="1050"/>
      <c r="D4448" s="1050"/>
      <c r="E4448" s="1050"/>
      <c r="F4448" s="1050"/>
      <c r="G4448" s="1050"/>
    </row>
    <row r="4449" spans="1:7">
      <c r="A4449" s="1079"/>
      <c r="B4449" s="1050"/>
      <c r="C4449" s="1050"/>
      <c r="D4449" s="1050"/>
      <c r="E4449" s="1050"/>
      <c r="F4449" s="1050"/>
      <c r="G4449" s="1050"/>
    </row>
    <row r="4450" spans="1:7">
      <c r="A4450" s="1079"/>
      <c r="B4450" s="1050"/>
      <c r="C4450" s="1050"/>
      <c r="D4450" s="1050"/>
      <c r="E4450" s="1050"/>
      <c r="F4450" s="1050"/>
      <c r="G4450" s="1050"/>
    </row>
    <row r="4451" spans="1:7">
      <c r="A4451" s="1079"/>
      <c r="B4451" s="1050"/>
      <c r="C4451" s="1050"/>
      <c r="D4451" s="1050"/>
      <c r="E4451" s="1050"/>
      <c r="F4451" s="1050"/>
      <c r="G4451" s="1050"/>
    </row>
    <row r="4452" spans="1:7">
      <c r="A4452" s="1079"/>
      <c r="B4452" s="1050"/>
      <c r="C4452" s="1050"/>
      <c r="D4452" s="1050"/>
      <c r="E4452" s="1050"/>
      <c r="F4452" s="1050"/>
      <c r="G4452" s="1050"/>
    </row>
    <row r="4453" spans="1:7">
      <c r="A4453" s="1079"/>
      <c r="B4453" s="1050"/>
      <c r="C4453" s="1050"/>
      <c r="D4453" s="1050"/>
      <c r="E4453" s="1050"/>
      <c r="F4453" s="1050"/>
      <c r="G4453" s="1050"/>
    </row>
    <row r="4454" spans="1:7">
      <c r="A4454" s="1079"/>
      <c r="B4454" s="1050"/>
      <c r="C4454" s="1050"/>
      <c r="D4454" s="1050"/>
      <c r="E4454" s="1050"/>
      <c r="F4454" s="1050"/>
      <c r="G4454" s="1050"/>
    </row>
    <row r="4455" spans="1:7">
      <c r="A4455" s="1079"/>
      <c r="B4455" s="1050"/>
      <c r="C4455" s="1050"/>
      <c r="D4455" s="1050"/>
      <c r="E4455" s="1050"/>
      <c r="F4455" s="1050"/>
      <c r="G4455" s="1050"/>
    </row>
    <row r="4456" spans="1:7">
      <c r="A4456" s="1079"/>
      <c r="B4456" s="1050"/>
      <c r="C4456" s="1050"/>
      <c r="D4456" s="1050"/>
      <c r="E4456" s="1050"/>
      <c r="F4456" s="1050"/>
      <c r="G4456" s="1050"/>
    </row>
    <row r="4457" spans="1:7">
      <c r="A4457" s="1079"/>
      <c r="B4457" s="1050"/>
      <c r="C4457" s="1050"/>
      <c r="D4457" s="1050"/>
      <c r="E4457" s="1050"/>
      <c r="F4457" s="1050"/>
      <c r="G4457" s="1050"/>
    </row>
    <row r="4458" spans="1:7">
      <c r="A4458" s="1079"/>
      <c r="B4458" s="1050"/>
      <c r="C4458" s="1050"/>
      <c r="D4458" s="1050"/>
      <c r="E4458" s="1050"/>
      <c r="F4458" s="1050"/>
      <c r="G4458" s="1050"/>
    </row>
    <row r="4459" spans="1:7">
      <c r="A4459" s="1079"/>
      <c r="B4459" s="1050"/>
      <c r="C4459" s="1050"/>
      <c r="D4459" s="1050"/>
      <c r="E4459" s="1050"/>
      <c r="F4459" s="1050"/>
      <c r="G4459" s="1050"/>
    </row>
    <row r="4460" spans="1:7">
      <c r="A4460" s="1079"/>
      <c r="B4460" s="1050"/>
      <c r="C4460" s="1050"/>
      <c r="D4460" s="1050"/>
      <c r="E4460" s="1050"/>
      <c r="F4460" s="1050"/>
      <c r="G4460" s="1050"/>
    </row>
    <row r="4461" spans="1:7">
      <c r="A4461" s="1079"/>
      <c r="B4461" s="1050"/>
      <c r="C4461" s="1050"/>
      <c r="D4461" s="1050"/>
      <c r="E4461" s="1050"/>
      <c r="F4461" s="1050"/>
      <c r="G4461" s="1050"/>
    </row>
    <row r="4462" spans="1:7">
      <c r="A4462" s="1079"/>
      <c r="B4462" s="1050"/>
      <c r="C4462" s="1050"/>
      <c r="D4462" s="1050"/>
      <c r="E4462" s="1050"/>
      <c r="F4462" s="1050"/>
      <c r="G4462" s="1050"/>
    </row>
    <row r="4463" spans="1:7">
      <c r="A4463" s="1079"/>
      <c r="B4463" s="1050"/>
      <c r="C4463" s="1050"/>
      <c r="D4463" s="1050"/>
      <c r="E4463" s="1050"/>
      <c r="F4463" s="1050"/>
      <c r="G4463" s="1050"/>
    </row>
    <row r="4464" spans="1:7">
      <c r="A4464" s="1079"/>
      <c r="B4464" s="1050"/>
      <c r="C4464" s="1050"/>
      <c r="D4464" s="1050"/>
      <c r="E4464" s="1050"/>
      <c r="F4464" s="1050"/>
      <c r="G4464" s="1050"/>
    </row>
    <row r="4465" spans="1:7">
      <c r="A4465" s="1079"/>
      <c r="B4465" s="1050"/>
      <c r="C4465" s="1050"/>
      <c r="D4465" s="1050"/>
      <c r="E4465" s="1050"/>
      <c r="F4465" s="1050"/>
      <c r="G4465" s="1050"/>
    </row>
    <row r="4466" spans="1:7">
      <c r="A4466" s="1079"/>
      <c r="B4466" s="1050"/>
      <c r="C4466" s="1050"/>
      <c r="D4466" s="1050"/>
      <c r="E4466" s="1050"/>
      <c r="F4466" s="1050"/>
      <c r="G4466" s="1050"/>
    </row>
    <row r="4467" spans="1:7">
      <c r="A4467" s="1079"/>
      <c r="B4467" s="1050"/>
      <c r="C4467" s="1050"/>
      <c r="D4467" s="1050"/>
      <c r="E4467" s="1050"/>
      <c r="F4467" s="1050"/>
      <c r="G4467" s="1050"/>
    </row>
    <row r="4468" spans="1:7">
      <c r="A4468" s="1079"/>
      <c r="B4468" s="1050"/>
      <c r="C4468" s="1050"/>
      <c r="D4468" s="1050"/>
      <c r="E4468" s="1050"/>
      <c r="F4468" s="1050"/>
      <c r="G4468" s="1050"/>
    </row>
    <row r="4469" spans="1:7">
      <c r="A4469" s="1079"/>
      <c r="B4469" s="1050"/>
      <c r="C4469" s="1050"/>
      <c r="D4469" s="1050"/>
      <c r="E4469" s="1050"/>
      <c r="F4469" s="1050"/>
      <c r="G4469" s="1050"/>
    </row>
    <row r="4470" spans="1:7">
      <c r="A4470" s="1079"/>
      <c r="B4470" s="1050"/>
      <c r="C4470" s="1050"/>
      <c r="D4470" s="1050"/>
      <c r="E4470" s="1050"/>
      <c r="F4470" s="1050"/>
      <c r="G4470" s="1050"/>
    </row>
    <row r="4471" spans="1:7">
      <c r="A4471" s="1079"/>
      <c r="B4471" s="1050"/>
      <c r="C4471" s="1050"/>
      <c r="D4471" s="1050"/>
      <c r="E4471" s="1050"/>
      <c r="F4471" s="1050"/>
      <c r="G4471" s="1050"/>
    </row>
    <row r="4472" spans="1:7">
      <c r="A4472" s="1079"/>
      <c r="B4472" s="1050"/>
      <c r="C4472" s="1050"/>
      <c r="D4472" s="1050"/>
      <c r="E4472" s="1050"/>
      <c r="F4472" s="1050"/>
      <c r="G4472" s="1050"/>
    </row>
    <row r="4473" spans="1:7">
      <c r="A4473" s="1079"/>
      <c r="B4473" s="1050"/>
      <c r="C4473" s="1050"/>
      <c r="D4473" s="1050"/>
      <c r="E4473" s="1050"/>
      <c r="F4473" s="1050"/>
      <c r="G4473" s="1050"/>
    </row>
    <row r="4474" spans="1:7">
      <c r="A4474" s="1079"/>
      <c r="B4474" s="1050"/>
      <c r="C4474" s="1050"/>
      <c r="D4474" s="1050"/>
      <c r="E4474" s="1050"/>
      <c r="F4474" s="1050"/>
      <c r="G4474" s="1050"/>
    </row>
    <row r="4475" spans="1:7">
      <c r="A4475" s="1079"/>
      <c r="B4475" s="1050"/>
      <c r="C4475" s="1050"/>
      <c r="D4475" s="1050"/>
      <c r="E4475" s="1050"/>
      <c r="F4475" s="1050"/>
      <c r="G4475" s="1050"/>
    </row>
    <row r="4476" spans="1:7">
      <c r="A4476" s="1079"/>
      <c r="B4476" s="1050"/>
      <c r="C4476" s="1050"/>
      <c r="D4476" s="1050"/>
      <c r="E4476" s="1050"/>
      <c r="F4476" s="1050"/>
      <c r="G4476" s="1050"/>
    </row>
    <row r="4477" spans="1:7">
      <c r="A4477" s="1079"/>
      <c r="B4477" s="1050"/>
      <c r="C4477" s="1050"/>
      <c r="D4477" s="1050"/>
      <c r="E4477" s="1050"/>
      <c r="F4477" s="1050"/>
      <c r="G4477" s="1050"/>
    </row>
    <row r="4478" spans="1:7">
      <c r="A4478" s="1079"/>
      <c r="B4478" s="1050"/>
      <c r="C4478" s="1050"/>
      <c r="D4478" s="1050"/>
      <c r="E4478" s="1050"/>
      <c r="F4478" s="1050"/>
      <c r="G4478" s="1050"/>
    </row>
    <row r="4479" spans="1:7">
      <c r="A4479" s="1079"/>
      <c r="B4479" s="1050"/>
      <c r="C4479" s="1050"/>
      <c r="D4479" s="1050"/>
      <c r="E4479" s="1050"/>
      <c r="F4479" s="1050"/>
      <c r="G4479" s="1050"/>
    </row>
    <row r="4480" spans="1:7">
      <c r="A4480" s="1079"/>
      <c r="B4480" s="1050"/>
      <c r="C4480" s="1050"/>
      <c r="D4480" s="1050"/>
      <c r="E4480" s="1050"/>
      <c r="F4480" s="1050"/>
      <c r="G4480" s="1050"/>
    </row>
    <row r="4481" spans="1:7">
      <c r="A4481" s="1079"/>
      <c r="B4481" s="1050"/>
      <c r="C4481" s="1050"/>
      <c r="D4481" s="1050"/>
      <c r="E4481" s="1050"/>
      <c r="F4481" s="1050"/>
      <c r="G4481" s="1050"/>
    </row>
    <row r="4482" spans="1:7">
      <c r="A4482" s="1079"/>
      <c r="B4482" s="1050"/>
      <c r="C4482" s="1050"/>
      <c r="D4482" s="1050"/>
      <c r="E4482" s="1050"/>
      <c r="F4482" s="1050"/>
      <c r="G4482" s="1050"/>
    </row>
    <row r="4483" spans="1:7">
      <c r="A4483" s="1079"/>
      <c r="B4483" s="1050"/>
      <c r="C4483" s="1050"/>
      <c r="D4483" s="1050"/>
      <c r="E4483" s="1050"/>
      <c r="F4483" s="1050"/>
      <c r="G4483" s="1050"/>
    </row>
    <row r="4484" spans="1:7">
      <c r="A4484" s="1079"/>
      <c r="B4484" s="1050"/>
      <c r="C4484" s="1050"/>
      <c r="D4484" s="1050"/>
      <c r="E4484" s="1050"/>
      <c r="F4484" s="1050"/>
      <c r="G4484" s="1050"/>
    </row>
    <row r="4485" spans="1:7">
      <c r="A4485" s="1079"/>
      <c r="B4485" s="1050"/>
      <c r="C4485" s="1050"/>
      <c r="D4485" s="1050"/>
      <c r="E4485" s="1050"/>
      <c r="F4485" s="1050"/>
      <c r="G4485" s="1050"/>
    </row>
    <row r="4486" spans="1:7">
      <c r="A4486" s="1079"/>
      <c r="B4486" s="1050"/>
      <c r="C4486" s="1050"/>
      <c r="D4486" s="1050"/>
      <c r="E4486" s="1050"/>
      <c r="F4486" s="1050"/>
      <c r="G4486" s="1050"/>
    </row>
    <row r="4487" spans="1:7">
      <c r="A4487" s="1079"/>
      <c r="B4487" s="1050"/>
      <c r="C4487" s="1050"/>
      <c r="D4487" s="1050"/>
      <c r="E4487" s="1050"/>
      <c r="F4487" s="1050"/>
      <c r="G4487" s="1050"/>
    </row>
    <row r="4488" spans="1:7">
      <c r="A4488" s="1079"/>
      <c r="B4488" s="1050"/>
      <c r="C4488" s="1050"/>
      <c r="D4488" s="1050"/>
      <c r="E4488" s="1050"/>
      <c r="F4488" s="1050"/>
      <c r="G4488" s="1050"/>
    </row>
    <row r="4489" spans="1:7">
      <c r="A4489" s="1079"/>
      <c r="B4489" s="1050"/>
      <c r="C4489" s="1050"/>
      <c r="D4489" s="1050"/>
      <c r="E4489" s="1050"/>
      <c r="F4489" s="1050"/>
      <c r="G4489" s="1050"/>
    </row>
    <row r="4490" spans="1:7">
      <c r="A4490" s="1079"/>
      <c r="B4490" s="1050"/>
      <c r="C4490" s="1050"/>
      <c r="D4490" s="1050"/>
      <c r="E4490" s="1050"/>
      <c r="F4490" s="1050"/>
      <c r="G4490" s="1050"/>
    </row>
    <row r="4491" spans="1:7">
      <c r="A4491" s="1079"/>
      <c r="B4491" s="1050"/>
      <c r="C4491" s="1050"/>
      <c r="D4491" s="1050"/>
      <c r="E4491" s="1050"/>
      <c r="F4491" s="1050"/>
      <c r="G4491" s="1050"/>
    </row>
    <row r="4492" spans="1:7">
      <c r="A4492" s="1079"/>
      <c r="B4492" s="1050"/>
      <c r="C4492" s="1050"/>
      <c r="D4492" s="1050"/>
      <c r="E4492" s="1050"/>
      <c r="F4492" s="1050"/>
      <c r="G4492" s="1050"/>
    </row>
    <row r="4493" spans="1:7">
      <c r="A4493" s="1079"/>
      <c r="B4493" s="1050"/>
      <c r="C4493" s="1050"/>
      <c r="D4493" s="1050"/>
      <c r="E4493" s="1050"/>
      <c r="F4493" s="1050"/>
      <c r="G4493" s="1050"/>
    </row>
    <row r="4494" spans="1:7">
      <c r="A4494" s="1079"/>
      <c r="B4494" s="1050"/>
      <c r="C4494" s="1050"/>
      <c r="D4494" s="1050"/>
      <c r="E4494" s="1050"/>
      <c r="F4494" s="1050"/>
      <c r="G4494" s="1050"/>
    </row>
    <row r="4495" spans="1:7">
      <c r="A4495" s="1079"/>
      <c r="B4495" s="1050"/>
      <c r="C4495" s="1050"/>
      <c r="D4495" s="1050"/>
      <c r="E4495" s="1050"/>
      <c r="F4495" s="1050"/>
      <c r="G4495" s="1050"/>
    </row>
    <row r="4496" spans="1:7">
      <c r="A4496" s="1079"/>
      <c r="B4496" s="1050"/>
      <c r="C4496" s="1050"/>
      <c r="D4496" s="1050"/>
      <c r="E4496" s="1050"/>
      <c r="F4496" s="1050"/>
      <c r="G4496" s="1050"/>
    </row>
    <row r="4497" spans="1:7">
      <c r="A4497" s="1079"/>
      <c r="B4497" s="1050"/>
      <c r="C4497" s="1050"/>
      <c r="D4497" s="1050"/>
      <c r="E4497" s="1050"/>
      <c r="F4497" s="1050"/>
      <c r="G4497" s="1050"/>
    </row>
    <row r="4498" spans="1:7">
      <c r="A4498" s="1079"/>
      <c r="B4498" s="1050"/>
      <c r="C4498" s="1050"/>
      <c r="D4498" s="1050"/>
      <c r="E4498" s="1050"/>
      <c r="F4498" s="1050"/>
      <c r="G4498" s="1050"/>
    </row>
    <row r="4499" spans="1:7">
      <c r="A4499" s="1079"/>
      <c r="B4499" s="1050"/>
      <c r="C4499" s="1050"/>
      <c r="D4499" s="1050"/>
      <c r="E4499" s="1050"/>
      <c r="F4499" s="1050"/>
      <c r="G4499" s="1050"/>
    </row>
    <row r="4500" spans="1:7">
      <c r="A4500" s="1079"/>
      <c r="B4500" s="1050"/>
      <c r="C4500" s="1050"/>
      <c r="D4500" s="1050"/>
      <c r="E4500" s="1050"/>
      <c r="F4500" s="1050"/>
      <c r="G4500" s="1050"/>
    </row>
    <row r="4501" spans="1:7">
      <c r="A4501" s="1079"/>
      <c r="B4501" s="1050"/>
      <c r="C4501" s="1050"/>
      <c r="D4501" s="1050"/>
      <c r="E4501" s="1050"/>
      <c r="F4501" s="1050"/>
      <c r="G4501" s="1050"/>
    </row>
    <row r="4502" spans="1:7">
      <c r="A4502" s="1079"/>
      <c r="B4502" s="1050"/>
      <c r="C4502" s="1050"/>
      <c r="D4502" s="1050"/>
      <c r="E4502" s="1050"/>
      <c r="F4502" s="1050"/>
      <c r="G4502" s="1050"/>
    </row>
    <row r="4503" spans="1:7">
      <c r="A4503" s="1079"/>
      <c r="B4503" s="1050"/>
      <c r="C4503" s="1050"/>
      <c r="D4503" s="1050"/>
      <c r="E4503" s="1050"/>
      <c r="F4503" s="1050"/>
      <c r="G4503" s="1050"/>
    </row>
    <row r="4504" spans="1:7">
      <c r="A4504" s="1079"/>
      <c r="B4504" s="1050"/>
      <c r="C4504" s="1050"/>
      <c r="D4504" s="1050"/>
      <c r="E4504" s="1050"/>
      <c r="F4504" s="1050"/>
      <c r="G4504" s="1050"/>
    </row>
    <row r="4505" spans="1:7">
      <c r="A4505" s="1079"/>
      <c r="B4505" s="1050"/>
      <c r="C4505" s="1050"/>
      <c r="D4505" s="1050"/>
      <c r="E4505" s="1050"/>
      <c r="F4505" s="1050"/>
      <c r="G4505" s="1050"/>
    </row>
    <row r="4506" spans="1:7">
      <c r="A4506" s="1079"/>
      <c r="B4506" s="1050"/>
      <c r="C4506" s="1050"/>
      <c r="D4506" s="1050"/>
      <c r="E4506" s="1050"/>
      <c r="F4506" s="1050"/>
      <c r="G4506" s="1050"/>
    </row>
    <row r="4507" spans="1:7">
      <c r="A4507" s="1079"/>
      <c r="B4507" s="1050"/>
      <c r="C4507" s="1050"/>
      <c r="D4507" s="1050"/>
      <c r="E4507" s="1050"/>
      <c r="F4507" s="1050"/>
      <c r="G4507" s="1050"/>
    </row>
    <row r="4508" spans="1:7">
      <c r="A4508" s="1079"/>
      <c r="B4508" s="1050"/>
      <c r="C4508" s="1050"/>
      <c r="D4508" s="1050"/>
      <c r="E4508" s="1050"/>
      <c r="F4508" s="1050"/>
      <c r="G4508" s="1050"/>
    </row>
    <row r="4509" spans="1:7">
      <c r="A4509" s="1079"/>
      <c r="B4509" s="1050"/>
      <c r="C4509" s="1050"/>
      <c r="D4509" s="1050"/>
      <c r="E4509" s="1050"/>
      <c r="F4509" s="1050"/>
      <c r="G4509" s="1050"/>
    </row>
    <row r="4510" spans="1:7">
      <c r="A4510" s="1079"/>
      <c r="B4510" s="1050"/>
      <c r="C4510" s="1050"/>
      <c r="D4510" s="1050"/>
      <c r="E4510" s="1050"/>
      <c r="F4510" s="1050"/>
      <c r="G4510" s="1050"/>
    </row>
    <row r="4511" spans="1:7">
      <c r="A4511" s="1079"/>
      <c r="B4511" s="1050"/>
      <c r="C4511" s="1050"/>
      <c r="D4511" s="1050"/>
      <c r="E4511" s="1050"/>
      <c r="F4511" s="1050"/>
      <c r="G4511" s="1050"/>
    </row>
    <row r="4512" spans="1:7">
      <c r="A4512" s="1079"/>
      <c r="B4512" s="1050"/>
      <c r="C4512" s="1050"/>
      <c r="D4512" s="1050"/>
      <c r="E4512" s="1050"/>
      <c r="F4512" s="1050"/>
      <c r="G4512" s="1050"/>
    </row>
    <row r="4513" spans="1:7">
      <c r="A4513" s="1079"/>
      <c r="B4513" s="1050"/>
      <c r="C4513" s="1050"/>
      <c r="D4513" s="1050"/>
      <c r="E4513" s="1050"/>
      <c r="F4513" s="1050"/>
      <c r="G4513" s="1050"/>
    </row>
    <row r="4514" spans="1:7">
      <c r="A4514" s="1079"/>
      <c r="B4514" s="1050"/>
      <c r="C4514" s="1050"/>
      <c r="D4514" s="1050"/>
      <c r="E4514" s="1050"/>
      <c r="F4514" s="1050"/>
      <c r="G4514" s="1050"/>
    </row>
    <row r="4515" spans="1:7">
      <c r="A4515" s="1079"/>
      <c r="B4515" s="1050"/>
      <c r="C4515" s="1050"/>
      <c r="D4515" s="1050"/>
      <c r="E4515" s="1050"/>
      <c r="F4515" s="1050"/>
      <c r="G4515" s="1050"/>
    </row>
    <row r="4516" spans="1:7">
      <c r="A4516" s="1079"/>
      <c r="B4516" s="1050"/>
      <c r="C4516" s="1050"/>
      <c r="D4516" s="1050"/>
      <c r="E4516" s="1050"/>
      <c r="F4516" s="1050"/>
      <c r="G4516" s="1050"/>
    </row>
    <row r="4517" spans="1:7">
      <c r="A4517" s="1079"/>
      <c r="B4517" s="1050"/>
      <c r="C4517" s="1050"/>
      <c r="D4517" s="1050"/>
      <c r="E4517" s="1050"/>
      <c r="F4517" s="1050"/>
      <c r="G4517" s="1050"/>
    </row>
    <row r="4518" spans="1:7">
      <c r="A4518" s="1079"/>
      <c r="B4518" s="1050"/>
      <c r="C4518" s="1050"/>
      <c r="D4518" s="1050"/>
      <c r="E4518" s="1050"/>
      <c r="F4518" s="1050"/>
      <c r="G4518" s="1050"/>
    </row>
    <row r="4519" spans="1:7">
      <c r="A4519" s="1079"/>
      <c r="B4519" s="1050"/>
      <c r="C4519" s="1050"/>
      <c r="D4519" s="1050"/>
      <c r="E4519" s="1050"/>
      <c r="F4519" s="1050"/>
      <c r="G4519" s="1050"/>
    </row>
    <row r="4520" spans="1:7">
      <c r="A4520" s="1079"/>
      <c r="B4520" s="1050"/>
      <c r="C4520" s="1050"/>
      <c r="D4520" s="1050"/>
      <c r="E4520" s="1050"/>
      <c r="F4520" s="1050"/>
      <c r="G4520" s="1050"/>
    </row>
    <row r="4521" spans="1:7">
      <c r="A4521" s="1079"/>
      <c r="B4521" s="1050"/>
      <c r="C4521" s="1050"/>
      <c r="D4521" s="1050"/>
      <c r="E4521" s="1050"/>
      <c r="F4521" s="1050"/>
      <c r="G4521" s="1050"/>
    </row>
    <row r="4522" spans="1:7">
      <c r="A4522" s="1079"/>
      <c r="B4522" s="1050"/>
      <c r="C4522" s="1050"/>
      <c r="D4522" s="1050"/>
      <c r="E4522" s="1050"/>
      <c r="F4522" s="1050"/>
      <c r="G4522" s="1050"/>
    </row>
    <row r="4523" spans="1:7">
      <c r="A4523" s="1079"/>
      <c r="B4523" s="1050"/>
      <c r="C4523" s="1050"/>
      <c r="D4523" s="1050"/>
      <c r="E4523" s="1050"/>
      <c r="F4523" s="1050"/>
      <c r="G4523" s="1050"/>
    </row>
    <row r="4524" spans="1:7">
      <c r="A4524" s="1079"/>
      <c r="B4524" s="1050"/>
      <c r="C4524" s="1050"/>
      <c r="D4524" s="1050"/>
      <c r="E4524" s="1050"/>
      <c r="F4524" s="1050"/>
      <c r="G4524" s="1050"/>
    </row>
    <row r="4525" spans="1:7">
      <c r="A4525" s="1079"/>
      <c r="B4525" s="1050"/>
      <c r="C4525" s="1050"/>
      <c r="D4525" s="1050"/>
      <c r="E4525" s="1050"/>
      <c r="F4525" s="1050"/>
      <c r="G4525" s="1050"/>
    </row>
    <row r="4526" spans="1:7">
      <c r="A4526" s="1079"/>
      <c r="B4526" s="1050"/>
      <c r="C4526" s="1050"/>
      <c r="D4526" s="1050"/>
      <c r="E4526" s="1050"/>
      <c r="F4526" s="1050"/>
      <c r="G4526" s="1050"/>
    </row>
    <row r="4527" spans="1:7">
      <c r="A4527" s="1079"/>
      <c r="B4527" s="1050"/>
      <c r="C4527" s="1050"/>
      <c r="D4527" s="1050"/>
      <c r="E4527" s="1050"/>
      <c r="F4527" s="1050"/>
      <c r="G4527" s="1050"/>
    </row>
    <row r="4528" spans="1:7">
      <c r="A4528" s="1079"/>
      <c r="B4528" s="1050"/>
      <c r="C4528" s="1050"/>
      <c r="D4528" s="1050"/>
      <c r="E4528" s="1050"/>
      <c r="F4528" s="1050"/>
      <c r="G4528" s="1050"/>
    </row>
    <row r="4529" spans="1:7">
      <c r="A4529" s="1079"/>
      <c r="B4529" s="1050"/>
      <c r="C4529" s="1050"/>
      <c r="D4529" s="1050"/>
      <c r="E4529" s="1050"/>
      <c r="F4529" s="1050"/>
      <c r="G4529" s="1050"/>
    </row>
    <row r="4530" spans="1:7">
      <c r="A4530" s="1079"/>
      <c r="B4530" s="1050"/>
      <c r="C4530" s="1050"/>
      <c r="D4530" s="1050"/>
      <c r="E4530" s="1050"/>
      <c r="F4530" s="1050"/>
      <c r="G4530" s="1050"/>
    </row>
    <row r="4531" spans="1:7">
      <c r="A4531" s="1079"/>
      <c r="B4531" s="1050"/>
      <c r="C4531" s="1050"/>
      <c r="D4531" s="1050"/>
      <c r="E4531" s="1050"/>
      <c r="F4531" s="1050"/>
      <c r="G4531" s="1050"/>
    </row>
    <row r="4532" spans="1:7">
      <c r="A4532" s="1079"/>
      <c r="B4532" s="1050"/>
      <c r="C4532" s="1050"/>
      <c r="D4532" s="1050"/>
      <c r="E4532" s="1050"/>
      <c r="F4532" s="1050"/>
      <c r="G4532" s="1050"/>
    </row>
    <row r="4533" spans="1:7">
      <c r="A4533" s="1079"/>
      <c r="B4533" s="1050"/>
      <c r="C4533" s="1050"/>
      <c r="D4533" s="1050"/>
      <c r="E4533" s="1050"/>
      <c r="F4533" s="1050"/>
      <c r="G4533" s="1050"/>
    </row>
    <row r="4534" spans="1:7">
      <c r="A4534" s="1079"/>
      <c r="B4534" s="1050"/>
      <c r="C4534" s="1050"/>
      <c r="D4534" s="1050"/>
      <c r="E4534" s="1050"/>
      <c r="F4534" s="1050"/>
      <c r="G4534" s="1050"/>
    </row>
    <row r="4535" spans="1:7">
      <c r="A4535" s="1079"/>
      <c r="B4535" s="1050"/>
      <c r="C4535" s="1050"/>
      <c r="D4535" s="1050"/>
      <c r="E4535" s="1050"/>
      <c r="F4535" s="1050"/>
      <c r="G4535" s="1050"/>
    </row>
    <row r="4536" spans="1:7">
      <c r="A4536" s="1079"/>
      <c r="B4536" s="1050"/>
      <c r="C4536" s="1050"/>
      <c r="D4536" s="1050"/>
      <c r="E4536" s="1050"/>
      <c r="F4536" s="1050"/>
      <c r="G4536" s="1050"/>
    </row>
    <row r="4537" spans="1:7">
      <c r="A4537" s="1079"/>
      <c r="B4537" s="1050"/>
      <c r="C4537" s="1050"/>
      <c r="D4537" s="1050"/>
      <c r="E4537" s="1050"/>
      <c r="F4537" s="1050"/>
      <c r="G4537" s="1050"/>
    </row>
    <row r="4538" spans="1:7">
      <c r="A4538" s="1079"/>
      <c r="B4538" s="1050"/>
      <c r="C4538" s="1050"/>
      <c r="D4538" s="1050"/>
      <c r="E4538" s="1050"/>
      <c r="F4538" s="1050"/>
      <c r="G4538" s="1050"/>
    </row>
    <row r="4539" spans="1:7">
      <c r="A4539" s="1079"/>
      <c r="B4539" s="1050"/>
      <c r="C4539" s="1050"/>
      <c r="D4539" s="1050"/>
      <c r="E4539" s="1050"/>
      <c r="F4539" s="1050"/>
      <c r="G4539" s="1050"/>
    </row>
    <row r="4540" spans="1:7">
      <c r="A4540" s="1079"/>
      <c r="B4540" s="1050"/>
      <c r="C4540" s="1050"/>
      <c r="D4540" s="1050"/>
      <c r="E4540" s="1050"/>
      <c r="F4540" s="1050"/>
      <c r="G4540" s="1050"/>
    </row>
    <row r="4541" spans="1:7">
      <c r="A4541" s="1079"/>
      <c r="B4541" s="1050"/>
      <c r="C4541" s="1050"/>
      <c r="D4541" s="1050"/>
      <c r="E4541" s="1050"/>
      <c r="F4541" s="1050"/>
      <c r="G4541" s="1050"/>
    </row>
    <row r="4542" spans="1:7">
      <c r="A4542" s="1079"/>
      <c r="B4542" s="1050"/>
      <c r="C4542" s="1050"/>
      <c r="D4542" s="1050"/>
      <c r="E4542" s="1050"/>
      <c r="F4542" s="1050"/>
      <c r="G4542" s="1050"/>
    </row>
    <row r="4543" spans="1:7">
      <c r="A4543" s="1079"/>
      <c r="B4543" s="1050"/>
      <c r="C4543" s="1050"/>
      <c r="D4543" s="1050"/>
      <c r="E4543" s="1050"/>
      <c r="F4543" s="1050"/>
      <c r="G4543" s="1050"/>
    </row>
    <row r="4544" spans="1:7">
      <c r="A4544" s="1079"/>
      <c r="B4544" s="1050"/>
      <c r="C4544" s="1050"/>
      <c r="D4544" s="1050"/>
      <c r="E4544" s="1050"/>
      <c r="F4544" s="1050"/>
      <c r="G4544" s="1050"/>
    </row>
    <row r="4545" spans="1:7">
      <c r="A4545" s="1079"/>
      <c r="B4545" s="1050"/>
      <c r="C4545" s="1050"/>
      <c r="D4545" s="1050"/>
      <c r="E4545" s="1050"/>
      <c r="F4545" s="1050"/>
      <c r="G4545" s="1050"/>
    </row>
    <row r="4546" spans="1:7">
      <c r="A4546" s="1079"/>
      <c r="B4546" s="1050"/>
      <c r="C4546" s="1050"/>
      <c r="D4546" s="1050"/>
      <c r="E4546" s="1050"/>
      <c r="F4546" s="1050"/>
      <c r="G4546" s="1050"/>
    </row>
    <row r="4547" spans="1:7">
      <c r="A4547" s="1079"/>
      <c r="B4547" s="1050"/>
      <c r="C4547" s="1050"/>
      <c r="D4547" s="1050"/>
      <c r="E4547" s="1050"/>
      <c r="F4547" s="1050"/>
      <c r="G4547" s="1050"/>
    </row>
    <row r="4548" spans="1:7">
      <c r="A4548" s="1079"/>
      <c r="B4548" s="1050"/>
      <c r="C4548" s="1050"/>
      <c r="D4548" s="1050"/>
      <c r="E4548" s="1050"/>
      <c r="F4548" s="1050"/>
      <c r="G4548" s="1050"/>
    </row>
    <row r="4549" spans="1:7">
      <c r="A4549" s="1079"/>
      <c r="B4549" s="1050"/>
      <c r="C4549" s="1050"/>
      <c r="D4549" s="1050"/>
      <c r="E4549" s="1050"/>
      <c r="F4549" s="1050"/>
      <c r="G4549" s="1050"/>
    </row>
    <row r="4550" spans="1:7">
      <c r="A4550" s="1079"/>
      <c r="B4550" s="1050"/>
      <c r="C4550" s="1050"/>
      <c r="D4550" s="1050"/>
      <c r="E4550" s="1050"/>
      <c r="F4550" s="1050"/>
      <c r="G4550" s="1050"/>
    </row>
    <row r="4551" spans="1:7">
      <c r="A4551" s="1079"/>
      <c r="B4551" s="1050"/>
      <c r="C4551" s="1050"/>
      <c r="D4551" s="1050"/>
      <c r="E4551" s="1050"/>
      <c r="F4551" s="1050"/>
      <c r="G4551" s="1050"/>
    </row>
    <row r="4552" spans="1:7">
      <c r="A4552" s="1079"/>
      <c r="B4552" s="1050"/>
      <c r="C4552" s="1050"/>
      <c r="D4552" s="1050"/>
      <c r="E4552" s="1050"/>
      <c r="F4552" s="1050"/>
      <c r="G4552" s="1050"/>
    </row>
    <row r="4553" spans="1:7">
      <c r="A4553" s="1079"/>
      <c r="B4553" s="1050"/>
      <c r="C4553" s="1050"/>
      <c r="D4553" s="1050"/>
      <c r="E4553" s="1050"/>
      <c r="F4553" s="1050"/>
      <c r="G4553" s="1050"/>
    </row>
    <row r="4554" spans="1:7">
      <c r="A4554" s="1079"/>
      <c r="B4554" s="1050"/>
      <c r="C4554" s="1050"/>
      <c r="D4554" s="1050"/>
      <c r="E4554" s="1050"/>
      <c r="F4554" s="1050"/>
      <c r="G4554" s="1050"/>
    </row>
    <row r="4555" spans="1:7">
      <c r="A4555" s="1079"/>
      <c r="B4555" s="1050"/>
      <c r="C4555" s="1050"/>
      <c r="D4555" s="1050"/>
      <c r="E4555" s="1050"/>
      <c r="F4555" s="1050"/>
      <c r="G4555" s="1050"/>
    </row>
    <row r="4556" spans="1:7">
      <c r="A4556" s="1079"/>
      <c r="B4556" s="1050"/>
      <c r="C4556" s="1050"/>
      <c r="D4556" s="1050"/>
      <c r="E4556" s="1050"/>
      <c r="F4556" s="1050"/>
      <c r="G4556" s="1050"/>
    </row>
    <row r="4557" spans="1:7">
      <c r="A4557" s="1079"/>
      <c r="B4557" s="1050"/>
      <c r="C4557" s="1050"/>
      <c r="D4557" s="1050"/>
      <c r="E4557" s="1050"/>
      <c r="F4557" s="1050"/>
      <c r="G4557" s="1050"/>
    </row>
    <row r="4558" spans="1:7">
      <c r="A4558" s="1079"/>
      <c r="B4558" s="1050"/>
      <c r="C4558" s="1050"/>
      <c r="D4558" s="1050"/>
      <c r="E4558" s="1050"/>
      <c r="F4558" s="1050"/>
      <c r="G4558" s="1050"/>
    </row>
    <row r="4559" spans="1:7">
      <c r="A4559" s="1079"/>
      <c r="B4559" s="1050"/>
      <c r="C4559" s="1050"/>
      <c r="D4559" s="1050"/>
      <c r="E4559" s="1050"/>
      <c r="F4559" s="1050"/>
      <c r="G4559" s="1050"/>
    </row>
    <row r="4560" spans="1:7">
      <c r="A4560" s="1079"/>
      <c r="B4560" s="1050"/>
      <c r="C4560" s="1050"/>
      <c r="D4560" s="1050"/>
      <c r="E4560" s="1050"/>
      <c r="F4560" s="1050"/>
      <c r="G4560" s="1050"/>
    </row>
    <row r="4561" spans="1:7">
      <c r="A4561" s="1079"/>
      <c r="B4561" s="1050"/>
      <c r="C4561" s="1050"/>
      <c r="D4561" s="1050"/>
      <c r="E4561" s="1050"/>
      <c r="F4561" s="1050"/>
      <c r="G4561" s="1050"/>
    </row>
    <row r="4562" spans="1:7">
      <c r="A4562" s="1079"/>
      <c r="B4562" s="1050"/>
      <c r="C4562" s="1050"/>
      <c r="D4562" s="1050"/>
      <c r="E4562" s="1050"/>
      <c r="F4562" s="1050"/>
      <c r="G4562" s="1050"/>
    </row>
    <row r="4563" spans="1:7">
      <c r="A4563" s="1079"/>
      <c r="B4563" s="1050"/>
      <c r="C4563" s="1050"/>
      <c r="D4563" s="1050"/>
      <c r="E4563" s="1050"/>
      <c r="F4563" s="1050"/>
      <c r="G4563" s="1050"/>
    </row>
    <row r="4564" spans="1:7">
      <c r="A4564" s="1079"/>
      <c r="B4564" s="1050"/>
      <c r="C4564" s="1050"/>
      <c r="D4564" s="1050"/>
      <c r="E4564" s="1050"/>
      <c r="F4564" s="1050"/>
      <c r="G4564" s="1050"/>
    </row>
    <row r="4565" spans="1:7">
      <c r="A4565" s="1079"/>
      <c r="B4565" s="1050"/>
      <c r="C4565" s="1050"/>
      <c r="D4565" s="1050"/>
      <c r="E4565" s="1050"/>
      <c r="F4565" s="1050"/>
      <c r="G4565" s="1050"/>
    </row>
    <row r="4566" spans="1:7">
      <c r="A4566" s="1079"/>
      <c r="B4566" s="1050"/>
      <c r="C4566" s="1050"/>
      <c r="D4566" s="1050"/>
      <c r="E4566" s="1050"/>
      <c r="F4566" s="1050"/>
      <c r="G4566" s="1050"/>
    </row>
    <row r="4567" spans="1:7">
      <c r="A4567" s="1079"/>
      <c r="B4567" s="1050"/>
      <c r="C4567" s="1050"/>
      <c r="D4567" s="1050"/>
      <c r="E4567" s="1050"/>
      <c r="F4567" s="1050"/>
      <c r="G4567" s="1050"/>
    </row>
    <row r="4568" spans="1:7">
      <c r="A4568" s="1079"/>
      <c r="B4568" s="1050"/>
      <c r="C4568" s="1050"/>
      <c r="D4568" s="1050"/>
      <c r="E4568" s="1050"/>
      <c r="F4568" s="1050"/>
      <c r="G4568" s="1050"/>
    </row>
    <row r="4569" spans="1:7">
      <c r="A4569" s="1079"/>
      <c r="B4569" s="1050"/>
      <c r="C4569" s="1050"/>
      <c r="D4569" s="1050"/>
      <c r="E4569" s="1050"/>
      <c r="F4569" s="1050"/>
      <c r="G4569" s="1050"/>
    </row>
    <row r="4570" spans="1:7">
      <c r="A4570" s="1079"/>
      <c r="B4570" s="1050"/>
      <c r="C4570" s="1050"/>
      <c r="D4570" s="1050"/>
      <c r="E4570" s="1050"/>
      <c r="F4570" s="1050"/>
      <c r="G4570" s="1050"/>
    </row>
    <row r="4571" spans="1:7">
      <c r="A4571" s="1079"/>
      <c r="B4571" s="1050"/>
      <c r="C4571" s="1050"/>
      <c r="D4571" s="1050"/>
      <c r="E4571" s="1050"/>
      <c r="F4571" s="1050"/>
      <c r="G4571" s="1050"/>
    </row>
    <row r="4572" spans="1:7">
      <c r="A4572" s="1079"/>
      <c r="B4572" s="1050"/>
      <c r="C4572" s="1050"/>
      <c r="D4572" s="1050"/>
      <c r="E4572" s="1050"/>
      <c r="F4572" s="1050"/>
      <c r="G4572" s="1050"/>
    </row>
    <row r="4573" spans="1:7">
      <c r="A4573" s="1079"/>
      <c r="B4573" s="1050"/>
      <c r="C4573" s="1050"/>
      <c r="D4573" s="1050"/>
      <c r="E4573" s="1050"/>
      <c r="F4573" s="1050"/>
      <c r="G4573" s="1050"/>
    </row>
    <row r="4574" spans="1:7">
      <c r="A4574" s="1079"/>
      <c r="B4574" s="1050"/>
      <c r="C4574" s="1050"/>
      <c r="D4574" s="1050"/>
      <c r="E4574" s="1050"/>
      <c r="F4574" s="1050"/>
      <c r="G4574" s="1050"/>
    </row>
    <row r="4575" spans="1:7">
      <c r="A4575" s="1079"/>
      <c r="B4575" s="1050"/>
      <c r="C4575" s="1050"/>
      <c r="D4575" s="1050"/>
      <c r="E4575" s="1050"/>
      <c r="F4575" s="1050"/>
      <c r="G4575" s="1050"/>
    </row>
    <row r="4576" spans="1:7">
      <c r="A4576" s="1079"/>
      <c r="B4576" s="1050"/>
      <c r="C4576" s="1050"/>
      <c r="D4576" s="1050"/>
      <c r="E4576" s="1050"/>
      <c r="F4576" s="1050"/>
      <c r="G4576" s="1050"/>
    </row>
    <row r="4577" spans="1:7">
      <c r="A4577" s="1079"/>
      <c r="B4577" s="1050"/>
      <c r="C4577" s="1050"/>
      <c r="D4577" s="1050"/>
      <c r="E4577" s="1050"/>
      <c r="F4577" s="1050"/>
      <c r="G4577" s="1050"/>
    </row>
    <row r="4578" spans="1:7">
      <c r="A4578" s="1079"/>
      <c r="B4578" s="1050"/>
      <c r="C4578" s="1050"/>
      <c r="D4578" s="1050"/>
      <c r="E4578" s="1050"/>
      <c r="F4578" s="1050"/>
      <c r="G4578" s="1050"/>
    </row>
    <row r="4579" spans="1:7">
      <c r="A4579" s="1079"/>
      <c r="B4579" s="1050"/>
      <c r="C4579" s="1050"/>
      <c r="D4579" s="1050"/>
      <c r="E4579" s="1050"/>
      <c r="F4579" s="1050"/>
      <c r="G4579" s="1050"/>
    </row>
    <row r="4580" spans="1:7">
      <c r="A4580" s="1079"/>
      <c r="B4580" s="1050"/>
      <c r="C4580" s="1050"/>
      <c r="D4580" s="1050"/>
      <c r="E4580" s="1050"/>
      <c r="F4580" s="1050"/>
      <c r="G4580" s="1050"/>
    </row>
    <row r="4581" spans="1:7">
      <c r="A4581" s="1079"/>
      <c r="B4581" s="1050"/>
      <c r="C4581" s="1050"/>
      <c r="D4581" s="1050"/>
      <c r="E4581" s="1050"/>
      <c r="F4581" s="1050"/>
      <c r="G4581" s="1050"/>
    </row>
    <row r="4582" spans="1:7">
      <c r="A4582" s="1079"/>
      <c r="B4582" s="1050"/>
      <c r="C4582" s="1050"/>
      <c r="D4582" s="1050"/>
      <c r="E4582" s="1050"/>
      <c r="F4582" s="1050"/>
      <c r="G4582" s="1050"/>
    </row>
    <row r="4583" spans="1:7">
      <c r="A4583" s="1079"/>
      <c r="B4583" s="1050"/>
      <c r="C4583" s="1050"/>
      <c r="D4583" s="1050"/>
      <c r="E4583" s="1050"/>
      <c r="F4583" s="1050"/>
      <c r="G4583" s="1050"/>
    </row>
    <row r="4584" spans="1:7">
      <c r="A4584" s="1079"/>
      <c r="B4584" s="1050"/>
      <c r="C4584" s="1050"/>
      <c r="D4584" s="1050"/>
      <c r="E4584" s="1050"/>
      <c r="F4584" s="1050"/>
      <c r="G4584" s="1050"/>
    </row>
    <row r="4585" spans="1:7">
      <c r="A4585" s="1079"/>
      <c r="B4585" s="1050"/>
      <c r="C4585" s="1050"/>
      <c r="D4585" s="1050"/>
      <c r="E4585" s="1050"/>
      <c r="F4585" s="1050"/>
      <c r="G4585" s="1050"/>
    </row>
    <row r="4586" spans="1:7">
      <c r="A4586" s="1079"/>
      <c r="B4586" s="1050"/>
      <c r="C4586" s="1050"/>
      <c r="D4586" s="1050"/>
      <c r="E4586" s="1050"/>
      <c r="F4586" s="1050"/>
      <c r="G4586" s="1050"/>
    </row>
    <row r="4587" spans="1:7">
      <c r="A4587" s="1079"/>
      <c r="B4587" s="1050"/>
      <c r="C4587" s="1050"/>
      <c r="D4587" s="1050"/>
      <c r="E4587" s="1050"/>
      <c r="F4587" s="1050"/>
      <c r="G4587" s="1050"/>
    </row>
    <row r="4588" spans="1:7">
      <c r="A4588" s="1079"/>
      <c r="B4588" s="1050"/>
      <c r="C4588" s="1050"/>
      <c r="D4588" s="1050"/>
      <c r="E4588" s="1050"/>
      <c r="F4588" s="1050"/>
      <c r="G4588" s="1050"/>
    </row>
    <row r="4589" spans="1:7">
      <c r="A4589" s="1079"/>
      <c r="B4589" s="1050"/>
      <c r="C4589" s="1050"/>
      <c r="D4589" s="1050"/>
      <c r="E4589" s="1050"/>
      <c r="F4589" s="1050"/>
      <c r="G4589" s="1050"/>
    </row>
    <row r="4590" spans="1:7">
      <c r="A4590" s="1079"/>
      <c r="B4590" s="1050"/>
      <c r="C4590" s="1050"/>
      <c r="D4590" s="1050"/>
      <c r="E4590" s="1050"/>
      <c r="F4590" s="1050"/>
      <c r="G4590" s="1050"/>
    </row>
    <row r="4591" spans="1:7">
      <c r="A4591" s="1079"/>
      <c r="B4591" s="1050"/>
      <c r="C4591" s="1050"/>
      <c r="D4591" s="1050"/>
      <c r="E4591" s="1050"/>
      <c r="F4591" s="1050"/>
      <c r="G4591" s="1050"/>
    </row>
    <row r="4592" spans="1:7">
      <c r="A4592" s="1079"/>
      <c r="B4592" s="1050"/>
      <c r="C4592" s="1050"/>
      <c r="D4592" s="1050"/>
      <c r="E4592" s="1050"/>
      <c r="F4592" s="1050"/>
      <c r="G4592" s="1050"/>
    </row>
    <row r="4593" spans="1:7">
      <c r="A4593" s="1079"/>
      <c r="B4593" s="1050"/>
      <c r="C4593" s="1050"/>
      <c r="D4593" s="1050"/>
      <c r="E4593" s="1050"/>
      <c r="F4593" s="1050"/>
      <c r="G4593" s="1050"/>
    </row>
    <row r="4594" spans="1:7">
      <c r="A4594" s="1079"/>
      <c r="B4594" s="1050"/>
      <c r="C4594" s="1050"/>
      <c r="D4594" s="1050"/>
      <c r="E4594" s="1050"/>
      <c r="F4594" s="1050"/>
      <c r="G4594" s="1050"/>
    </row>
    <row r="4595" spans="1:7">
      <c r="A4595" s="1079"/>
      <c r="B4595" s="1050"/>
      <c r="C4595" s="1050"/>
      <c r="D4595" s="1050"/>
      <c r="E4595" s="1050"/>
      <c r="F4595" s="1050"/>
      <c r="G4595" s="1050"/>
    </row>
    <row r="4596" spans="1:7">
      <c r="A4596" s="1079"/>
      <c r="B4596" s="1050"/>
      <c r="C4596" s="1050"/>
      <c r="D4596" s="1050"/>
      <c r="E4596" s="1050"/>
      <c r="F4596" s="1050"/>
      <c r="G4596" s="1050"/>
    </row>
    <row r="4597" spans="1:7">
      <c r="A4597" s="1079"/>
      <c r="B4597" s="1050"/>
      <c r="C4597" s="1050"/>
      <c r="D4597" s="1050"/>
      <c r="E4597" s="1050"/>
      <c r="F4597" s="1050"/>
      <c r="G4597" s="1050"/>
    </row>
    <row r="4598" spans="1:7">
      <c r="A4598" s="1079"/>
      <c r="B4598" s="1050"/>
      <c r="C4598" s="1050"/>
      <c r="D4598" s="1050"/>
      <c r="E4598" s="1050"/>
      <c r="F4598" s="1050"/>
      <c r="G4598" s="1050"/>
    </row>
    <row r="4599" spans="1:7">
      <c r="A4599" s="1079"/>
      <c r="B4599" s="1050"/>
      <c r="C4599" s="1050"/>
      <c r="D4599" s="1050"/>
      <c r="E4599" s="1050"/>
      <c r="F4599" s="1050"/>
      <c r="G4599" s="1050"/>
    </row>
    <row r="4600" spans="1:7">
      <c r="A4600" s="1079"/>
      <c r="B4600" s="1050"/>
      <c r="C4600" s="1050"/>
      <c r="D4600" s="1050"/>
      <c r="E4600" s="1050"/>
      <c r="F4600" s="1050"/>
      <c r="G4600" s="1050"/>
    </row>
    <row r="4601" spans="1:7">
      <c r="A4601" s="1079"/>
      <c r="B4601" s="1050"/>
      <c r="C4601" s="1050"/>
      <c r="D4601" s="1050"/>
      <c r="E4601" s="1050"/>
      <c r="F4601" s="1050"/>
      <c r="G4601" s="1050"/>
    </row>
    <row r="4602" spans="1:7">
      <c r="A4602" s="1079"/>
      <c r="B4602" s="1050"/>
      <c r="C4602" s="1050"/>
      <c r="D4602" s="1050"/>
      <c r="E4602" s="1050"/>
      <c r="F4602" s="1050"/>
      <c r="G4602" s="1050"/>
    </row>
    <row r="4603" spans="1:7">
      <c r="A4603" s="1079"/>
      <c r="B4603" s="1050"/>
      <c r="C4603" s="1050"/>
      <c r="D4603" s="1050"/>
      <c r="E4603" s="1050"/>
      <c r="F4603" s="1050"/>
      <c r="G4603" s="1050"/>
    </row>
    <row r="4604" spans="1:7">
      <c r="A4604" s="1079"/>
      <c r="B4604" s="1050"/>
      <c r="C4604" s="1050"/>
      <c r="D4604" s="1050"/>
      <c r="E4604" s="1050"/>
      <c r="F4604" s="1050"/>
      <c r="G4604" s="1050"/>
    </row>
    <row r="4605" spans="1:7">
      <c r="A4605" s="1079"/>
      <c r="B4605" s="1050"/>
      <c r="C4605" s="1050"/>
      <c r="D4605" s="1050"/>
      <c r="E4605" s="1050"/>
      <c r="F4605" s="1050"/>
      <c r="G4605" s="1050"/>
    </row>
    <row r="4606" spans="1:7">
      <c r="A4606" s="1079"/>
      <c r="B4606" s="1050"/>
      <c r="C4606" s="1050"/>
      <c r="D4606" s="1050"/>
      <c r="E4606" s="1050"/>
      <c r="F4606" s="1050"/>
      <c r="G4606" s="1050"/>
    </row>
    <row r="4607" spans="1:7">
      <c r="A4607" s="1079"/>
      <c r="B4607" s="1050"/>
      <c r="C4607" s="1050"/>
      <c r="D4607" s="1050"/>
      <c r="E4607" s="1050"/>
      <c r="F4607" s="1050"/>
      <c r="G4607" s="1050"/>
    </row>
    <row r="4608" spans="1:7">
      <c r="A4608" s="1079"/>
      <c r="B4608" s="1050"/>
      <c r="C4608" s="1050"/>
      <c r="D4608" s="1050"/>
      <c r="E4608" s="1050"/>
      <c r="F4608" s="1050"/>
      <c r="G4608" s="1050"/>
    </row>
    <row r="4609" spans="1:7">
      <c r="A4609" s="1079"/>
      <c r="B4609" s="1050"/>
      <c r="C4609" s="1050"/>
      <c r="D4609" s="1050"/>
      <c r="E4609" s="1050"/>
      <c r="F4609" s="1050"/>
      <c r="G4609" s="1050"/>
    </row>
    <row r="4610" spans="1:7">
      <c r="A4610" s="1079"/>
      <c r="B4610" s="1050"/>
      <c r="C4610" s="1050"/>
      <c r="D4610" s="1050"/>
      <c r="E4610" s="1050"/>
      <c r="F4610" s="1050"/>
      <c r="G4610" s="1050"/>
    </row>
    <row r="4611" spans="1:7">
      <c r="A4611" s="1079"/>
      <c r="B4611" s="1050"/>
      <c r="C4611" s="1050"/>
      <c r="D4611" s="1050"/>
      <c r="E4611" s="1050"/>
      <c r="F4611" s="1050"/>
      <c r="G4611" s="1050"/>
    </row>
    <row r="4612" spans="1:7">
      <c r="A4612" s="1079"/>
      <c r="B4612" s="1050"/>
      <c r="C4612" s="1050"/>
      <c r="D4612" s="1050"/>
      <c r="E4612" s="1050"/>
      <c r="F4612" s="1050"/>
      <c r="G4612" s="1050"/>
    </row>
    <row r="4613" spans="1:7">
      <c r="A4613" s="1079"/>
      <c r="B4613" s="1050"/>
      <c r="C4613" s="1050"/>
      <c r="D4613" s="1050"/>
      <c r="E4613" s="1050"/>
      <c r="F4613" s="1050"/>
      <c r="G4613" s="1050"/>
    </row>
    <row r="4614" spans="1:7">
      <c r="A4614" s="1079"/>
      <c r="B4614" s="1050"/>
      <c r="C4614" s="1050"/>
      <c r="D4614" s="1050"/>
      <c r="E4614" s="1050"/>
      <c r="F4614" s="1050"/>
      <c r="G4614" s="1050"/>
    </row>
    <row r="4615" spans="1:7">
      <c r="A4615" s="1079"/>
      <c r="B4615" s="1050"/>
      <c r="C4615" s="1050"/>
      <c r="D4615" s="1050"/>
      <c r="E4615" s="1050"/>
      <c r="F4615" s="1050"/>
      <c r="G4615" s="1050"/>
    </row>
    <row r="4616" spans="1:7">
      <c r="A4616" s="1079"/>
      <c r="B4616" s="1050"/>
      <c r="C4616" s="1050"/>
      <c r="D4616" s="1050"/>
      <c r="E4616" s="1050"/>
      <c r="F4616" s="1050"/>
      <c r="G4616" s="1050"/>
    </row>
    <row r="4617" spans="1:7">
      <c r="A4617" s="1079"/>
      <c r="B4617" s="1050"/>
      <c r="C4617" s="1050"/>
      <c r="D4617" s="1050"/>
      <c r="E4617" s="1050"/>
      <c r="F4617" s="1050"/>
      <c r="G4617" s="1050"/>
    </row>
    <row r="4618" spans="1:7">
      <c r="A4618" s="1079"/>
      <c r="B4618" s="1050"/>
      <c r="C4618" s="1050"/>
      <c r="D4618" s="1050"/>
      <c r="E4618" s="1050"/>
      <c r="F4618" s="1050"/>
      <c r="G4618" s="1050"/>
    </row>
    <row r="4619" spans="1:7">
      <c r="A4619" s="1079"/>
      <c r="B4619" s="1050"/>
      <c r="C4619" s="1050"/>
      <c r="D4619" s="1050"/>
      <c r="E4619" s="1050"/>
      <c r="F4619" s="1050"/>
      <c r="G4619" s="1050"/>
    </row>
    <row r="4620" spans="1:7">
      <c r="A4620" s="1079"/>
      <c r="B4620" s="1050"/>
      <c r="C4620" s="1050"/>
      <c r="D4620" s="1050"/>
      <c r="E4620" s="1050"/>
      <c r="F4620" s="1050"/>
      <c r="G4620" s="1050"/>
    </row>
    <row r="4621" spans="1:7">
      <c r="A4621" s="1079"/>
      <c r="B4621" s="1050"/>
      <c r="C4621" s="1050"/>
      <c r="D4621" s="1050"/>
      <c r="E4621" s="1050"/>
      <c r="F4621" s="1050"/>
      <c r="G4621" s="1050"/>
    </row>
    <row r="4622" spans="1:7">
      <c r="A4622" s="1079"/>
      <c r="B4622" s="1050"/>
      <c r="C4622" s="1050"/>
      <c r="D4622" s="1050"/>
      <c r="E4622" s="1050"/>
      <c r="F4622" s="1050"/>
      <c r="G4622" s="1050"/>
    </row>
    <row r="4623" spans="1:7">
      <c r="A4623" s="1079"/>
      <c r="B4623" s="1050"/>
      <c r="C4623" s="1050"/>
      <c r="D4623" s="1050"/>
      <c r="E4623" s="1050"/>
      <c r="F4623" s="1050"/>
      <c r="G4623" s="1050"/>
    </row>
    <row r="4624" spans="1:7">
      <c r="A4624" s="1079"/>
      <c r="B4624" s="1050"/>
      <c r="C4624" s="1050"/>
      <c r="D4624" s="1050"/>
      <c r="E4624" s="1050"/>
      <c r="F4624" s="1050"/>
      <c r="G4624" s="1050"/>
    </row>
    <row r="4625" spans="1:7">
      <c r="A4625" s="1079"/>
      <c r="B4625" s="1050"/>
      <c r="C4625" s="1050"/>
      <c r="D4625" s="1050"/>
      <c r="E4625" s="1050"/>
      <c r="F4625" s="1050"/>
      <c r="G4625" s="1050"/>
    </row>
    <row r="4626" spans="1:7">
      <c r="A4626" s="1079"/>
      <c r="B4626" s="1050"/>
      <c r="C4626" s="1050"/>
      <c r="D4626" s="1050"/>
      <c r="E4626" s="1050"/>
      <c r="F4626" s="1050"/>
      <c r="G4626" s="1050"/>
    </row>
    <row r="4627" spans="1:7">
      <c r="A4627" s="1079"/>
      <c r="B4627" s="1050"/>
      <c r="C4627" s="1050"/>
      <c r="D4627" s="1050"/>
      <c r="E4627" s="1050"/>
      <c r="F4627" s="1050"/>
      <c r="G4627" s="1050"/>
    </row>
    <row r="4628" spans="1:7">
      <c r="A4628" s="1079"/>
      <c r="B4628" s="1050"/>
      <c r="C4628" s="1050"/>
      <c r="D4628" s="1050"/>
      <c r="E4628" s="1050"/>
      <c r="F4628" s="1050"/>
      <c r="G4628" s="1050"/>
    </row>
    <row r="4629" spans="1:7">
      <c r="A4629" s="1079"/>
      <c r="B4629" s="1050"/>
      <c r="C4629" s="1050"/>
      <c r="D4629" s="1050"/>
      <c r="E4629" s="1050"/>
      <c r="F4629" s="1050"/>
      <c r="G4629" s="1050"/>
    </row>
    <row r="4630" spans="1:7">
      <c r="A4630" s="1079"/>
      <c r="B4630" s="1050"/>
      <c r="C4630" s="1050"/>
      <c r="D4630" s="1050"/>
      <c r="E4630" s="1050"/>
      <c r="F4630" s="1050"/>
      <c r="G4630" s="1050"/>
    </row>
    <row r="4631" spans="1:7">
      <c r="A4631" s="1079"/>
      <c r="B4631" s="1050"/>
      <c r="C4631" s="1050"/>
      <c r="D4631" s="1050"/>
      <c r="E4631" s="1050"/>
      <c r="F4631" s="1050"/>
      <c r="G4631" s="1050"/>
    </row>
    <row r="4632" spans="1:7">
      <c r="A4632" s="1079"/>
      <c r="B4632" s="1050"/>
      <c r="C4632" s="1050"/>
      <c r="D4632" s="1050"/>
      <c r="E4632" s="1050"/>
      <c r="F4632" s="1050"/>
      <c r="G4632" s="1050"/>
    </row>
    <row r="4633" spans="1:7">
      <c r="A4633" s="1079"/>
      <c r="B4633" s="1050"/>
      <c r="C4633" s="1050"/>
      <c r="D4633" s="1050"/>
      <c r="E4633" s="1050"/>
      <c r="F4633" s="1050"/>
      <c r="G4633" s="1050"/>
    </row>
    <row r="4634" spans="1:7">
      <c r="A4634" s="1079"/>
      <c r="B4634" s="1050"/>
      <c r="C4634" s="1050"/>
      <c r="D4634" s="1050"/>
      <c r="E4634" s="1050"/>
      <c r="F4634" s="1050"/>
      <c r="G4634" s="1050"/>
    </row>
    <row r="4635" spans="1:7">
      <c r="A4635" s="1079"/>
      <c r="B4635" s="1050"/>
      <c r="C4635" s="1050"/>
      <c r="D4635" s="1050"/>
      <c r="E4635" s="1050"/>
      <c r="F4635" s="1050"/>
      <c r="G4635" s="1050"/>
    </row>
    <row r="4636" spans="1:7">
      <c r="A4636" s="1079"/>
      <c r="B4636" s="1050"/>
      <c r="C4636" s="1050"/>
      <c r="D4636" s="1050"/>
      <c r="E4636" s="1050"/>
      <c r="F4636" s="1050"/>
      <c r="G4636" s="1050"/>
    </row>
    <row r="4637" spans="1:7">
      <c r="A4637" s="1079"/>
      <c r="B4637" s="1050"/>
      <c r="C4637" s="1050"/>
      <c r="D4637" s="1050"/>
      <c r="E4637" s="1050"/>
      <c r="F4637" s="1050"/>
      <c r="G4637" s="1050"/>
    </row>
    <row r="4638" spans="1:7">
      <c r="A4638" s="1079"/>
      <c r="B4638" s="1050"/>
      <c r="C4638" s="1050"/>
      <c r="D4638" s="1050"/>
      <c r="E4638" s="1050"/>
      <c r="F4638" s="1050"/>
      <c r="G4638" s="1050"/>
    </row>
    <row r="4639" spans="1:7">
      <c r="A4639" s="1079"/>
      <c r="B4639" s="1050"/>
      <c r="C4639" s="1050"/>
      <c r="D4639" s="1050"/>
      <c r="E4639" s="1050"/>
      <c r="F4639" s="1050"/>
      <c r="G4639" s="1050"/>
    </row>
    <row r="4640" spans="1:7">
      <c r="A4640" s="1079"/>
      <c r="B4640" s="1050"/>
      <c r="C4640" s="1050"/>
      <c r="D4640" s="1050"/>
      <c r="E4640" s="1050"/>
      <c r="F4640" s="1050"/>
      <c r="G4640" s="1050"/>
    </row>
    <row r="4641" spans="1:7">
      <c r="A4641" s="1079"/>
      <c r="B4641" s="1050"/>
      <c r="C4641" s="1050"/>
      <c r="D4641" s="1050"/>
      <c r="E4641" s="1050"/>
      <c r="F4641" s="1050"/>
      <c r="G4641" s="1050"/>
    </row>
    <row r="4642" spans="1:7">
      <c r="A4642" s="1079"/>
      <c r="B4642" s="1050"/>
      <c r="C4642" s="1050"/>
      <c r="D4642" s="1050"/>
      <c r="E4642" s="1050"/>
      <c r="F4642" s="1050"/>
      <c r="G4642" s="1050"/>
    </row>
    <row r="4643" spans="1:7">
      <c r="A4643" s="1079"/>
      <c r="B4643" s="1050"/>
      <c r="C4643" s="1050"/>
      <c r="D4643" s="1050"/>
      <c r="E4643" s="1050"/>
      <c r="F4643" s="1050"/>
      <c r="G4643" s="1050"/>
    </row>
    <row r="4644" spans="1:7">
      <c r="A4644" s="1079"/>
      <c r="B4644" s="1050"/>
      <c r="C4644" s="1050"/>
      <c r="D4644" s="1050"/>
      <c r="E4644" s="1050"/>
      <c r="F4644" s="1050"/>
      <c r="G4644" s="1050"/>
    </row>
    <row r="4645" spans="1:7">
      <c r="A4645" s="1079"/>
      <c r="B4645" s="1050"/>
      <c r="C4645" s="1050"/>
      <c r="D4645" s="1050"/>
      <c r="E4645" s="1050"/>
      <c r="F4645" s="1050"/>
      <c r="G4645" s="1050"/>
    </row>
    <row r="4646" spans="1:7">
      <c r="A4646" s="1079"/>
      <c r="B4646" s="1050"/>
      <c r="C4646" s="1050"/>
      <c r="D4646" s="1050"/>
      <c r="E4646" s="1050"/>
      <c r="F4646" s="1050"/>
      <c r="G4646" s="1050"/>
    </row>
    <row r="4647" spans="1:7">
      <c r="A4647" s="1079"/>
      <c r="B4647" s="1050"/>
      <c r="C4647" s="1050"/>
      <c r="D4647" s="1050"/>
      <c r="E4647" s="1050"/>
      <c r="F4647" s="1050"/>
      <c r="G4647" s="1050"/>
    </row>
    <row r="4648" spans="1:7">
      <c r="A4648" s="1079"/>
      <c r="B4648" s="1050"/>
      <c r="C4648" s="1050"/>
      <c r="D4648" s="1050"/>
      <c r="E4648" s="1050"/>
      <c r="F4648" s="1050"/>
      <c r="G4648" s="1050"/>
    </row>
    <row r="4649" spans="1:7">
      <c r="A4649" s="1079"/>
      <c r="B4649" s="1050"/>
      <c r="C4649" s="1050"/>
      <c r="D4649" s="1050"/>
      <c r="E4649" s="1050"/>
      <c r="F4649" s="1050"/>
      <c r="G4649" s="1050"/>
    </row>
    <row r="4650" spans="1:7">
      <c r="A4650" s="1079"/>
      <c r="B4650" s="1050"/>
      <c r="C4650" s="1050"/>
      <c r="D4650" s="1050"/>
      <c r="E4650" s="1050"/>
      <c r="F4650" s="1050"/>
      <c r="G4650" s="1050"/>
    </row>
    <row r="4651" spans="1:7">
      <c r="A4651" s="1079"/>
      <c r="B4651" s="1050"/>
      <c r="C4651" s="1050"/>
      <c r="D4651" s="1050"/>
      <c r="E4651" s="1050"/>
      <c r="F4651" s="1050"/>
      <c r="G4651" s="1050"/>
    </row>
    <row r="4652" spans="1:7">
      <c r="A4652" s="1079"/>
      <c r="B4652" s="1050"/>
      <c r="C4652" s="1050"/>
      <c r="D4652" s="1050"/>
      <c r="E4652" s="1050"/>
      <c r="F4652" s="1050"/>
      <c r="G4652" s="1050"/>
    </row>
    <row r="4653" spans="1:7">
      <c r="A4653" s="1079"/>
      <c r="B4653" s="1050"/>
      <c r="C4653" s="1050"/>
      <c r="D4653" s="1050"/>
      <c r="E4653" s="1050"/>
      <c r="F4653" s="1050"/>
      <c r="G4653" s="1050"/>
    </row>
    <row r="4654" spans="1:7">
      <c r="A4654" s="1079"/>
      <c r="B4654" s="1050"/>
      <c r="C4654" s="1050"/>
      <c r="D4654" s="1050"/>
      <c r="E4654" s="1050"/>
      <c r="F4654" s="1050"/>
      <c r="G4654" s="1050"/>
    </row>
    <row r="4655" spans="1:7">
      <c r="A4655" s="1079"/>
      <c r="B4655" s="1050"/>
      <c r="C4655" s="1050"/>
      <c r="D4655" s="1050"/>
      <c r="E4655" s="1050"/>
      <c r="F4655" s="1050"/>
      <c r="G4655" s="1050"/>
    </row>
    <row r="4656" spans="1:7">
      <c r="A4656" s="1079"/>
      <c r="B4656" s="1050"/>
      <c r="C4656" s="1050"/>
      <c r="D4656" s="1050"/>
      <c r="E4656" s="1050"/>
      <c r="F4656" s="1050"/>
      <c r="G4656" s="1050"/>
    </row>
    <row r="4657" spans="1:7">
      <c r="A4657" s="1079"/>
      <c r="B4657" s="1050"/>
      <c r="C4657" s="1050"/>
      <c r="D4657" s="1050"/>
      <c r="E4657" s="1050"/>
      <c r="F4657" s="1050"/>
      <c r="G4657" s="1050"/>
    </row>
    <row r="4658" spans="1:7">
      <c r="A4658" s="1079"/>
      <c r="B4658" s="1050"/>
      <c r="C4658" s="1050"/>
      <c r="D4658" s="1050"/>
      <c r="E4658" s="1050"/>
      <c r="F4658" s="1050"/>
      <c r="G4658" s="1050"/>
    </row>
    <row r="4659" spans="1:7">
      <c r="A4659" s="1079"/>
      <c r="B4659" s="1050"/>
      <c r="C4659" s="1050"/>
      <c r="D4659" s="1050"/>
      <c r="E4659" s="1050"/>
      <c r="F4659" s="1050"/>
      <c r="G4659" s="1050"/>
    </row>
    <row r="4660" spans="1:7">
      <c r="A4660" s="1079"/>
      <c r="B4660" s="1050"/>
      <c r="C4660" s="1050"/>
      <c r="D4660" s="1050"/>
      <c r="E4660" s="1050"/>
      <c r="F4660" s="1050"/>
      <c r="G4660" s="1050"/>
    </row>
    <row r="4661" spans="1:7">
      <c r="A4661" s="1079"/>
      <c r="B4661" s="1050"/>
      <c r="C4661" s="1050"/>
      <c r="D4661" s="1050"/>
      <c r="E4661" s="1050"/>
      <c r="F4661" s="1050"/>
      <c r="G4661" s="1050"/>
    </row>
    <row r="4662" spans="1:7">
      <c r="A4662" s="1079"/>
      <c r="B4662" s="1050"/>
      <c r="C4662" s="1050"/>
      <c r="D4662" s="1050"/>
      <c r="E4662" s="1050"/>
      <c r="F4662" s="1050"/>
      <c r="G4662" s="1050"/>
    </row>
    <row r="4663" spans="1:7">
      <c r="A4663" s="1079"/>
      <c r="B4663" s="1050"/>
      <c r="C4663" s="1050"/>
      <c r="D4663" s="1050"/>
      <c r="E4663" s="1050"/>
      <c r="F4663" s="1050"/>
      <c r="G4663" s="1050"/>
    </row>
    <row r="4664" spans="1:7">
      <c r="A4664" s="1079"/>
      <c r="B4664" s="1050"/>
      <c r="C4664" s="1050"/>
      <c r="D4664" s="1050"/>
      <c r="E4664" s="1050"/>
      <c r="F4664" s="1050"/>
      <c r="G4664" s="1050"/>
    </row>
    <row r="4665" spans="1:7">
      <c r="A4665" s="1079"/>
      <c r="B4665" s="1050"/>
      <c r="C4665" s="1050"/>
      <c r="D4665" s="1050"/>
      <c r="E4665" s="1050"/>
      <c r="F4665" s="1050"/>
      <c r="G4665" s="1050"/>
    </row>
    <row r="4666" spans="1:7">
      <c r="A4666" s="1079"/>
      <c r="B4666" s="1050"/>
      <c r="C4666" s="1050"/>
      <c r="D4666" s="1050"/>
      <c r="E4666" s="1050"/>
      <c r="F4666" s="1050"/>
      <c r="G4666" s="1050"/>
    </row>
    <row r="4667" spans="1:7">
      <c r="A4667" s="1079"/>
      <c r="B4667" s="1050"/>
      <c r="C4667" s="1050"/>
      <c r="D4667" s="1050"/>
      <c r="E4667" s="1050"/>
      <c r="F4667" s="1050"/>
      <c r="G4667" s="1050"/>
    </row>
    <row r="4668" spans="1:7">
      <c r="A4668" s="1079"/>
      <c r="B4668" s="1050"/>
      <c r="C4668" s="1050"/>
      <c r="D4668" s="1050"/>
      <c r="E4668" s="1050"/>
      <c r="F4668" s="1050"/>
      <c r="G4668" s="1050"/>
    </row>
    <row r="4669" spans="1:7">
      <c r="A4669" s="1079"/>
      <c r="B4669" s="1050"/>
      <c r="C4669" s="1050"/>
      <c r="D4669" s="1050"/>
      <c r="E4669" s="1050"/>
      <c r="F4669" s="1050"/>
      <c r="G4669" s="1050"/>
    </row>
    <row r="4670" spans="1:7">
      <c r="A4670" s="1079"/>
      <c r="B4670" s="1050"/>
      <c r="C4670" s="1050"/>
      <c r="D4670" s="1050"/>
      <c r="E4670" s="1050"/>
      <c r="F4670" s="1050"/>
      <c r="G4670" s="1050"/>
    </row>
    <row r="4671" spans="1:7">
      <c r="A4671" s="1079"/>
      <c r="B4671" s="1050"/>
      <c r="C4671" s="1050"/>
      <c r="D4671" s="1050"/>
      <c r="E4671" s="1050"/>
      <c r="F4671" s="1050"/>
      <c r="G4671" s="1050"/>
    </row>
    <row r="4672" spans="1:7">
      <c r="A4672" s="1079"/>
      <c r="B4672" s="1050"/>
      <c r="C4672" s="1050"/>
      <c r="D4672" s="1050"/>
      <c r="E4672" s="1050"/>
      <c r="F4672" s="1050"/>
      <c r="G4672" s="1050"/>
    </row>
    <row r="4673" spans="1:7">
      <c r="A4673" s="1079"/>
      <c r="B4673" s="1050"/>
      <c r="C4673" s="1050"/>
      <c r="D4673" s="1050"/>
      <c r="E4673" s="1050"/>
      <c r="F4673" s="1050"/>
      <c r="G4673" s="1050"/>
    </row>
    <row r="4674" spans="1:7">
      <c r="A4674" s="1079"/>
      <c r="B4674" s="1050"/>
      <c r="C4674" s="1050"/>
      <c r="D4674" s="1050"/>
      <c r="E4674" s="1050"/>
      <c r="F4674" s="1050"/>
      <c r="G4674" s="1050"/>
    </row>
    <row r="4675" spans="1:7">
      <c r="A4675" s="1079"/>
      <c r="B4675" s="1050"/>
      <c r="C4675" s="1050"/>
      <c r="D4675" s="1050"/>
      <c r="E4675" s="1050"/>
      <c r="F4675" s="1050"/>
      <c r="G4675" s="1050"/>
    </row>
    <row r="4676" spans="1:7">
      <c r="A4676" s="1079"/>
      <c r="B4676" s="1050"/>
      <c r="C4676" s="1050"/>
      <c r="D4676" s="1050"/>
      <c r="E4676" s="1050"/>
      <c r="F4676" s="1050"/>
      <c r="G4676" s="1050"/>
    </row>
    <row r="4677" spans="1:7">
      <c r="A4677" s="1079"/>
      <c r="B4677" s="1050"/>
      <c r="C4677" s="1050"/>
      <c r="D4677" s="1050"/>
      <c r="E4677" s="1050"/>
      <c r="F4677" s="1050"/>
      <c r="G4677" s="1050"/>
    </row>
    <row r="4678" spans="1:7">
      <c r="A4678" s="1079"/>
      <c r="B4678" s="1050"/>
      <c r="C4678" s="1050"/>
      <c r="D4678" s="1050"/>
      <c r="E4678" s="1050"/>
      <c r="F4678" s="1050"/>
      <c r="G4678" s="1050"/>
    </row>
    <row r="4679" spans="1:7">
      <c r="A4679" s="1079"/>
      <c r="B4679" s="1050"/>
      <c r="C4679" s="1050"/>
      <c r="D4679" s="1050"/>
      <c r="E4679" s="1050"/>
      <c r="F4679" s="1050"/>
      <c r="G4679" s="1050"/>
    </row>
    <row r="4680" spans="1:7">
      <c r="A4680" s="1079"/>
      <c r="B4680" s="1050"/>
      <c r="C4680" s="1050"/>
      <c r="D4680" s="1050"/>
      <c r="E4680" s="1050"/>
      <c r="F4680" s="1050"/>
      <c r="G4680" s="1050"/>
    </row>
    <row r="4681" spans="1:7">
      <c r="A4681" s="1079"/>
      <c r="B4681" s="1050"/>
      <c r="C4681" s="1050"/>
      <c r="D4681" s="1050"/>
      <c r="E4681" s="1050"/>
      <c r="F4681" s="1050"/>
      <c r="G4681" s="1050"/>
    </row>
    <row r="4682" spans="1:7">
      <c r="A4682" s="1079"/>
      <c r="B4682" s="1050"/>
      <c r="C4682" s="1050"/>
      <c r="D4682" s="1050"/>
      <c r="E4682" s="1050"/>
      <c r="F4682" s="1050"/>
      <c r="G4682" s="1050"/>
    </row>
    <row r="4683" spans="1:7">
      <c r="A4683" s="1079"/>
      <c r="B4683" s="1050"/>
      <c r="C4683" s="1050"/>
      <c r="D4683" s="1050"/>
      <c r="E4683" s="1050"/>
      <c r="F4683" s="1050"/>
      <c r="G4683" s="1050"/>
    </row>
    <row r="4684" spans="1:7">
      <c r="A4684" s="1079"/>
      <c r="B4684" s="1050"/>
      <c r="C4684" s="1050"/>
      <c r="D4684" s="1050"/>
      <c r="E4684" s="1050"/>
      <c r="F4684" s="1050"/>
      <c r="G4684" s="1050"/>
    </row>
    <row r="4685" spans="1:7">
      <c r="A4685" s="1079"/>
      <c r="B4685" s="1050"/>
      <c r="C4685" s="1050"/>
      <c r="D4685" s="1050"/>
      <c r="E4685" s="1050"/>
      <c r="F4685" s="1050"/>
      <c r="G4685" s="1050"/>
    </row>
    <row r="4686" spans="1:7">
      <c r="A4686" s="1079"/>
      <c r="B4686" s="1050"/>
      <c r="C4686" s="1050"/>
      <c r="D4686" s="1050"/>
      <c r="E4686" s="1050"/>
      <c r="F4686" s="1050"/>
      <c r="G4686" s="1050"/>
    </row>
    <row r="4687" spans="1:7">
      <c r="A4687" s="1079"/>
      <c r="B4687" s="1050"/>
      <c r="C4687" s="1050"/>
      <c r="D4687" s="1050"/>
      <c r="E4687" s="1050"/>
      <c r="F4687" s="1050"/>
      <c r="G4687" s="1050"/>
    </row>
    <row r="4688" spans="1:7">
      <c r="A4688" s="1079"/>
      <c r="B4688" s="1050"/>
      <c r="C4688" s="1050"/>
      <c r="D4688" s="1050"/>
      <c r="E4688" s="1050"/>
      <c r="F4688" s="1050"/>
      <c r="G4688" s="1050"/>
    </row>
    <row r="4689" spans="1:7">
      <c r="A4689" s="1079"/>
      <c r="B4689" s="1050"/>
      <c r="C4689" s="1050"/>
      <c r="D4689" s="1050"/>
      <c r="E4689" s="1050"/>
      <c r="F4689" s="1050"/>
      <c r="G4689" s="1050"/>
    </row>
    <row r="4690" spans="1:7">
      <c r="A4690" s="1079"/>
      <c r="B4690" s="1050"/>
      <c r="C4690" s="1050"/>
      <c r="D4690" s="1050"/>
      <c r="E4690" s="1050"/>
      <c r="F4690" s="1050"/>
      <c r="G4690" s="1050"/>
    </row>
    <row r="4691" spans="1:7">
      <c r="A4691" s="1079"/>
      <c r="B4691" s="1050"/>
      <c r="C4691" s="1050"/>
      <c r="D4691" s="1050"/>
      <c r="E4691" s="1050"/>
      <c r="F4691" s="1050"/>
      <c r="G4691" s="1050"/>
    </row>
    <row r="4692" spans="1:7">
      <c r="A4692" s="1079"/>
      <c r="B4692" s="1050"/>
      <c r="C4692" s="1050"/>
      <c r="D4692" s="1050"/>
      <c r="E4692" s="1050"/>
      <c r="F4692" s="1050"/>
      <c r="G4692" s="1050"/>
    </row>
    <row r="4693" spans="1:7">
      <c r="A4693" s="1079"/>
      <c r="B4693" s="1050"/>
      <c r="C4693" s="1050"/>
      <c r="D4693" s="1050"/>
      <c r="E4693" s="1050"/>
      <c r="F4693" s="1050"/>
      <c r="G4693" s="1050"/>
    </row>
    <row r="4694" spans="1:7">
      <c r="A4694" s="1079"/>
      <c r="B4694" s="1050"/>
      <c r="C4694" s="1050"/>
      <c r="D4694" s="1050"/>
      <c r="E4694" s="1050"/>
      <c r="F4694" s="1050"/>
      <c r="G4694" s="1050"/>
    </row>
    <row r="4695" spans="1:7">
      <c r="A4695" s="1079"/>
      <c r="B4695" s="1050"/>
      <c r="C4695" s="1050"/>
      <c r="D4695" s="1050"/>
      <c r="E4695" s="1050"/>
      <c r="F4695" s="1050"/>
      <c r="G4695" s="1050"/>
    </row>
    <row r="4696" spans="1:7">
      <c r="A4696" s="1079"/>
      <c r="B4696" s="1050"/>
      <c r="C4696" s="1050"/>
      <c r="D4696" s="1050"/>
      <c r="E4696" s="1050"/>
      <c r="F4696" s="1050"/>
      <c r="G4696" s="1050"/>
    </row>
    <row r="4697" spans="1:7">
      <c r="A4697" s="1079"/>
      <c r="B4697" s="1050"/>
      <c r="C4697" s="1050"/>
      <c r="D4697" s="1050"/>
      <c r="E4697" s="1050"/>
      <c r="F4697" s="1050"/>
      <c r="G4697" s="1050"/>
    </row>
    <row r="4698" spans="1:7">
      <c r="A4698" s="1079"/>
      <c r="B4698" s="1050"/>
      <c r="C4698" s="1050"/>
      <c r="D4698" s="1050"/>
      <c r="E4698" s="1050"/>
      <c r="F4698" s="1050"/>
      <c r="G4698" s="1050"/>
    </row>
    <row r="4699" spans="1:7">
      <c r="A4699" s="1079"/>
      <c r="B4699" s="1050"/>
      <c r="C4699" s="1050"/>
      <c r="D4699" s="1050"/>
      <c r="E4699" s="1050"/>
      <c r="F4699" s="1050"/>
      <c r="G4699" s="1050"/>
    </row>
    <row r="4700" spans="1:7">
      <c r="A4700" s="1079"/>
      <c r="B4700" s="1050"/>
      <c r="C4700" s="1050"/>
      <c r="D4700" s="1050"/>
      <c r="E4700" s="1050"/>
      <c r="F4700" s="1050"/>
      <c r="G4700" s="1050"/>
    </row>
    <row r="4701" spans="1:7">
      <c r="A4701" s="1079"/>
      <c r="B4701" s="1050"/>
      <c r="C4701" s="1050"/>
      <c r="D4701" s="1050"/>
      <c r="E4701" s="1050"/>
      <c r="F4701" s="1050"/>
      <c r="G4701" s="1050"/>
    </row>
    <row r="4702" spans="1:7">
      <c r="A4702" s="1079"/>
      <c r="B4702" s="1050"/>
      <c r="C4702" s="1050"/>
      <c r="D4702" s="1050"/>
      <c r="E4702" s="1050"/>
      <c r="F4702" s="1050"/>
      <c r="G4702" s="1050"/>
    </row>
    <row r="4703" spans="1:7">
      <c r="A4703" s="1079"/>
      <c r="B4703" s="1050"/>
      <c r="C4703" s="1050"/>
      <c r="D4703" s="1050"/>
      <c r="E4703" s="1050"/>
      <c r="F4703" s="1050"/>
      <c r="G4703" s="1050"/>
    </row>
    <row r="4704" spans="1:7">
      <c r="A4704" s="1079"/>
      <c r="B4704" s="1050"/>
      <c r="C4704" s="1050"/>
      <c r="D4704" s="1050"/>
      <c r="E4704" s="1050"/>
      <c r="F4704" s="1050"/>
      <c r="G4704" s="1050"/>
    </row>
    <row r="4705" spans="1:7">
      <c r="A4705" s="1079"/>
      <c r="B4705" s="1050"/>
      <c r="C4705" s="1050"/>
      <c r="D4705" s="1050"/>
      <c r="E4705" s="1050"/>
      <c r="F4705" s="1050"/>
      <c r="G4705" s="1050"/>
    </row>
    <row r="4706" spans="1:7">
      <c r="A4706" s="1079"/>
      <c r="B4706" s="1050"/>
      <c r="C4706" s="1050"/>
      <c r="D4706" s="1050"/>
      <c r="E4706" s="1050"/>
      <c r="F4706" s="1050"/>
      <c r="G4706" s="1050"/>
    </row>
    <row r="4707" spans="1:7">
      <c r="A4707" s="1079"/>
      <c r="B4707" s="1050"/>
      <c r="C4707" s="1050"/>
      <c r="D4707" s="1050"/>
      <c r="E4707" s="1050"/>
      <c r="F4707" s="1050"/>
      <c r="G4707" s="1050"/>
    </row>
    <row r="4708" spans="1:7">
      <c r="A4708" s="1079"/>
      <c r="B4708" s="1050"/>
      <c r="C4708" s="1050"/>
      <c r="D4708" s="1050"/>
      <c r="E4708" s="1050"/>
      <c r="F4708" s="1050"/>
      <c r="G4708" s="1050"/>
    </row>
    <row r="4709" spans="1:7">
      <c r="A4709" s="1079"/>
      <c r="B4709" s="1050"/>
      <c r="C4709" s="1050"/>
      <c r="D4709" s="1050"/>
      <c r="E4709" s="1050"/>
      <c r="F4709" s="1050"/>
      <c r="G4709" s="1050"/>
    </row>
    <row r="4710" spans="1:7">
      <c r="A4710" s="1079"/>
      <c r="B4710" s="1050"/>
      <c r="C4710" s="1050"/>
      <c r="D4710" s="1050"/>
      <c r="E4710" s="1050"/>
      <c r="F4710" s="1050"/>
      <c r="G4710" s="1050"/>
    </row>
    <row r="4711" spans="1:7">
      <c r="A4711" s="1079"/>
      <c r="B4711" s="1050"/>
      <c r="C4711" s="1050"/>
      <c r="D4711" s="1050"/>
      <c r="E4711" s="1050"/>
      <c r="F4711" s="1050"/>
      <c r="G4711" s="1050"/>
    </row>
    <row r="4712" spans="1:7">
      <c r="A4712" s="1079"/>
      <c r="B4712" s="1050"/>
      <c r="C4712" s="1050"/>
      <c r="D4712" s="1050"/>
      <c r="E4712" s="1050"/>
      <c r="F4712" s="1050"/>
      <c r="G4712" s="1050"/>
    </row>
    <row r="4713" spans="1:7">
      <c r="A4713" s="1079"/>
      <c r="B4713" s="1050"/>
      <c r="C4713" s="1050"/>
      <c r="D4713" s="1050"/>
      <c r="E4713" s="1050"/>
      <c r="F4713" s="1050"/>
      <c r="G4713" s="1050"/>
    </row>
    <row r="4714" spans="1:7">
      <c r="A4714" s="1079"/>
      <c r="B4714" s="1050"/>
      <c r="C4714" s="1050"/>
      <c r="D4714" s="1050"/>
      <c r="E4714" s="1050"/>
      <c r="F4714" s="1050"/>
      <c r="G4714" s="1050"/>
    </row>
    <row r="4715" spans="1:7">
      <c r="A4715" s="1079"/>
      <c r="B4715" s="1050"/>
      <c r="C4715" s="1050"/>
      <c r="D4715" s="1050"/>
      <c r="E4715" s="1050"/>
      <c r="F4715" s="1050"/>
      <c r="G4715" s="1050"/>
    </row>
    <row r="4716" spans="1:7">
      <c r="A4716" s="1079"/>
      <c r="B4716" s="1050"/>
      <c r="C4716" s="1050"/>
      <c r="D4716" s="1050"/>
      <c r="E4716" s="1050"/>
      <c r="F4716" s="1050"/>
      <c r="G4716" s="1050"/>
    </row>
    <row r="4717" spans="1:7">
      <c r="A4717" s="1079"/>
      <c r="B4717" s="1050"/>
      <c r="C4717" s="1050"/>
      <c r="D4717" s="1050"/>
      <c r="E4717" s="1050"/>
      <c r="F4717" s="1050"/>
      <c r="G4717" s="1050"/>
    </row>
    <row r="4718" spans="1:7">
      <c r="A4718" s="1079"/>
      <c r="B4718" s="1050"/>
      <c r="C4718" s="1050"/>
      <c r="D4718" s="1050"/>
      <c r="E4718" s="1050"/>
      <c r="F4718" s="1050"/>
      <c r="G4718" s="1050"/>
    </row>
    <row r="4719" spans="1:7">
      <c r="A4719" s="1079"/>
      <c r="B4719" s="1050"/>
      <c r="C4719" s="1050"/>
      <c r="D4719" s="1050"/>
      <c r="E4719" s="1050"/>
      <c r="F4719" s="1050"/>
      <c r="G4719" s="1050"/>
    </row>
    <row r="4720" spans="1:7">
      <c r="A4720" s="1079"/>
      <c r="B4720" s="1050"/>
      <c r="C4720" s="1050"/>
      <c r="D4720" s="1050"/>
      <c r="E4720" s="1050"/>
      <c r="F4720" s="1050"/>
      <c r="G4720" s="1050"/>
    </row>
    <row r="4721" spans="1:7">
      <c r="A4721" s="1079"/>
      <c r="B4721" s="1050"/>
      <c r="C4721" s="1050"/>
      <c r="D4721" s="1050"/>
      <c r="E4721" s="1050"/>
      <c r="F4721" s="1050"/>
      <c r="G4721" s="1050"/>
    </row>
    <row r="4722" spans="1:7">
      <c r="A4722" s="1079"/>
      <c r="B4722" s="1050"/>
      <c r="C4722" s="1050"/>
      <c r="D4722" s="1050"/>
      <c r="E4722" s="1050"/>
      <c r="F4722" s="1050"/>
      <c r="G4722" s="1050"/>
    </row>
    <row r="4723" spans="1:7">
      <c r="A4723" s="1079"/>
      <c r="B4723" s="1050"/>
      <c r="C4723" s="1050"/>
      <c r="D4723" s="1050"/>
      <c r="E4723" s="1050"/>
      <c r="F4723" s="1050"/>
      <c r="G4723" s="1050"/>
    </row>
    <row r="4724" spans="1:7">
      <c r="A4724" s="1079"/>
      <c r="B4724" s="1050"/>
      <c r="C4724" s="1050"/>
      <c r="D4724" s="1050"/>
      <c r="E4724" s="1050"/>
      <c r="F4724" s="1050"/>
      <c r="G4724" s="1050"/>
    </row>
    <row r="4725" spans="1:7">
      <c r="A4725" s="1079"/>
      <c r="B4725" s="1050"/>
      <c r="C4725" s="1050"/>
      <c r="D4725" s="1050"/>
      <c r="E4725" s="1050"/>
      <c r="F4725" s="1050"/>
      <c r="G4725" s="1050"/>
    </row>
    <row r="4726" spans="1:7">
      <c r="A4726" s="1079"/>
      <c r="B4726" s="1050"/>
      <c r="C4726" s="1050"/>
      <c r="D4726" s="1050"/>
      <c r="E4726" s="1050"/>
      <c r="F4726" s="1050"/>
      <c r="G4726" s="1050"/>
    </row>
    <row r="4727" spans="1:7">
      <c r="A4727" s="1079"/>
      <c r="B4727" s="1050"/>
      <c r="C4727" s="1050"/>
      <c r="D4727" s="1050"/>
      <c r="E4727" s="1050"/>
      <c r="F4727" s="1050"/>
      <c r="G4727" s="1050"/>
    </row>
    <row r="4728" spans="1:7">
      <c r="A4728" s="1079"/>
      <c r="B4728" s="1050"/>
      <c r="C4728" s="1050"/>
      <c r="D4728" s="1050"/>
      <c r="E4728" s="1050"/>
      <c r="F4728" s="1050"/>
      <c r="G4728" s="1050"/>
    </row>
    <row r="4729" spans="1:7">
      <c r="A4729" s="1079"/>
      <c r="B4729" s="1050"/>
      <c r="C4729" s="1050"/>
      <c r="D4729" s="1050"/>
      <c r="E4729" s="1050"/>
      <c r="F4729" s="1050"/>
      <c r="G4729" s="1050"/>
    </row>
    <row r="4730" spans="1:7">
      <c r="A4730" s="1079"/>
      <c r="B4730" s="1050"/>
      <c r="C4730" s="1050"/>
      <c r="D4730" s="1050"/>
      <c r="E4730" s="1050"/>
      <c r="F4730" s="1050"/>
      <c r="G4730" s="1050"/>
    </row>
    <row r="4731" spans="1:7">
      <c r="A4731" s="1079"/>
      <c r="B4731" s="1050"/>
      <c r="C4731" s="1050"/>
      <c r="D4731" s="1050"/>
      <c r="E4731" s="1050"/>
      <c r="F4731" s="1050"/>
      <c r="G4731" s="1050"/>
    </row>
    <row r="4732" spans="1:7">
      <c r="A4732" s="1079"/>
      <c r="B4732" s="1050"/>
      <c r="C4732" s="1050"/>
      <c r="D4732" s="1050"/>
      <c r="E4732" s="1050"/>
      <c r="F4732" s="1050"/>
      <c r="G4732" s="1050"/>
    </row>
    <row r="4733" spans="1:7">
      <c r="A4733" s="1079"/>
      <c r="B4733" s="1050"/>
      <c r="C4733" s="1050"/>
      <c r="D4733" s="1050"/>
      <c r="E4733" s="1050"/>
      <c r="F4733" s="1050"/>
      <c r="G4733" s="1050"/>
    </row>
    <row r="4734" spans="1:7">
      <c r="A4734" s="1079"/>
      <c r="B4734" s="1050"/>
      <c r="C4734" s="1050"/>
      <c r="D4734" s="1050"/>
      <c r="E4734" s="1050"/>
      <c r="F4734" s="1050"/>
      <c r="G4734" s="1050"/>
    </row>
    <row r="4735" spans="1:7">
      <c r="A4735" s="1079"/>
      <c r="B4735" s="1050"/>
      <c r="C4735" s="1050"/>
      <c r="D4735" s="1050"/>
      <c r="E4735" s="1050"/>
      <c r="F4735" s="1050"/>
      <c r="G4735" s="1050"/>
    </row>
    <row r="4736" spans="1:7">
      <c r="A4736" s="1079"/>
      <c r="B4736" s="1050"/>
      <c r="C4736" s="1050"/>
      <c r="D4736" s="1050"/>
      <c r="E4736" s="1050"/>
      <c r="F4736" s="1050"/>
      <c r="G4736" s="1050"/>
    </row>
    <row r="4737" spans="1:7">
      <c r="A4737" s="1079"/>
      <c r="B4737" s="1050"/>
      <c r="C4737" s="1050"/>
      <c r="D4737" s="1050"/>
      <c r="E4737" s="1050"/>
      <c r="F4737" s="1050"/>
      <c r="G4737" s="1050"/>
    </row>
    <row r="4738" spans="1:7">
      <c r="A4738" s="1079"/>
      <c r="B4738" s="1050"/>
      <c r="C4738" s="1050"/>
      <c r="D4738" s="1050"/>
      <c r="E4738" s="1050"/>
      <c r="F4738" s="1050"/>
      <c r="G4738" s="1050"/>
    </row>
    <row r="4739" spans="1:7">
      <c r="A4739" s="1079"/>
      <c r="B4739" s="1050"/>
      <c r="C4739" s="1050"/>
      <c r="D4739" s="1050"/>
      <c r="E4739" s="1050"/>
      <c r="F4739" s="1050"/>
      <c r="G4739" s="1050"/>
    </row>
    <row r="4740" spans="1:7">
      <c r="A4740" s="1079"/>
      <c r="B4740" s="1050"/>
      <c r="C4740" s="1050"/>
      <c r="D4740" s="1050"/>
      <c r="E4740" s="1050"/>
      <c r="F4740" s="1050"/>
      <c r="G4740" s="1050"/>
    </row>
    <row r="4741" spans="1:7">
      <c r="A4741" s="1079"/>
      <c r="B4741" s="1050"/>
      <c r="C4741" s="1050"/>
      <c r="D4741" s="1050"/>
      <c r="E4741" s="1050"/>
      <c r="F4741" s="1050"/>
      <c r="G4741" s="1050"/>
    </row>
    <row r="4742" spans="1:7">
      <c r="A4742" s="1079"/>
      <c r="B4742" s="1050"/>
      <c r="C4742" s="1050"/>
      <c r="D4742" s="1050"/>
      <c r="E4742" s="1050"/>
      <c r="F4742" s="1050"/>
      <c r="G4742" s="1050"/>
    </row>
    <row r="4743" spans="1:7">
      <c r="A4743" s="1079"/>
      <c r="B4743" s="1050"/>
      <c r="C4743" s="1050"/>
      <c r="D4743" s="1050"/>
      <c r="E4743" s="1050"/>
      <c r="F4743" s="1050"/>
      <c r="G4743" s="1050"/>
    </row>
    <row r="4744" spans="1:7">
      <c r="A4744" s="1079"/>
      <c r="B4744" s="1050"/>
      <c r="C4744" s="1050"/>
      <c r="D4744" s="1050"/>
      <c r="E4744" s="1050"/>
      <c r="F4744" s="1050"/>
      <c r="G4744" s="1050"/>
    </row>
    <row r="4745" spans="1:7">
      <c r="A4745" s="1079"/>
      <c r="B4745" s="1050"/>
      <c r="C4745" s="1050"/>
      <c r="D4745" s="1050"/>
      <c r="E4745" s="1050"/>
      <c r="F4745" s="1050"/>
      <c r="G4745" s="1050"/>
    </row>
    <row r="4746" spans="1:7">
      <c r="A4746" s="1079"/>
      <c r="B4746" s="1050"/>
      <c r="C4746" s="1050"/>
      <c r="D4746" s="1050"/>
      <c r="E4746" s="1050"/>
      <c r="F4746" s="1050"/>
      <c r="G4746" s="1050"/>
    </row>
    <row r="4747" spans="1:7">
      <c r="A4747" s="1079"/>
      <c r="B4747" s="1050"/>
      <c r="C4747" s="1050"/>
      <c r="D4747" s="1050"/>
      <c r="E4747" s="1050"/>
      <c r="F4747" s="1050"/>
      <c r="G4747" s="1050"/>
    </row>
    <row r="4748" spans="1:7">
      <c r="A4748" s="1079"/>
      <c r="B4748" s="1050"/>
      <c r="C4748" s="1050"/>
      <c r="D4748" s="1050"/>
      <c r="E4748" s="1050"/>
      <c r="F4748" s="1050"/>
      <c r="G4748" s="1050"/>
    </row>
    <row r="4749" spans="1:7">
      <c r="A4749" s="1079"/>
      <c r="B4749" s="1050"/>
      <c r="C4749" s="1050"/>
      <c r="D4749" s="1050"/>
      <c r="E4749" s="1050"/>
      <c r="F4749" s="1050"/>
      <c r="G4749" s="1050"/>
    </row>
    <row r="4750" spans="1:7">
      <c r="A4750" s="1079"/>
      <c r="B4750" s="1050"/>
      <c r="C4750" s="1050"/>
      <c r="D4750" s="1050"/>
      <c r="E4750" s="1050"/>
      <c r="F4750" s="1050"/>
      <c r="G4750" s="1050"/>
    </row>
    <row r="4751" spans="1:7">
      <c r="A4751" s="1079"/>
      <c r="B4751" s="1050"/>
      <c r="C4751" s="1050"/>
      <c r="D4751" s="1050"/>
      <c r="E4751" s="1050"/>
      <c r="F4751" s="1050"/>
      <c r="G4751" s="1050"/>
    </row>
    <row r="4752" spans="1:7">
      <c r="A4752" s="1079"/>
      <c r="B4752" s="1050"/>
      <c r="C4752" s="1050"/>
      <c r="D4752" s="1050"/>
      <c r="E4752" s="1050"/>
      <c r="F4752" s="1050"/>
      <c r="G4752" s="1050"/>
    </row>
    <row r="4753" spans="1:7">
      <c r="A4753" s="1079"/>
      <c r="B4753" s="1050"/>
      <c r="C4753" s="1050"/>
      <c r="D4753" s="1050"/>
      <c r="E4753" s="1050"/>
      <c r="F4753" s="1050"/>
      <c r="G4753" s="1050"/>
    </row>
    <row r="4754" spans="1:7">
      <c r="A4754" s="1079"/>
      <c r="B4754" s="1050"/>
      <c r="C4754" s="1050"/>
      <c r="D4754" s="1050"/>
      <c r="E4754" s="1050"/>
      <c r="F4754" s="1050"/>
      <c r="G4754" s="1050"/>
    </row>
    <row r="4755" spans="1:7">
      <c r="A4755" s="1079"/>
      <c r="B4755" s="1050"/>
      <c r="C4755" s="1050"/>
      <c r="D4755" s="1050"/>
      <c r="E4755" s="1050"/>
      <c r="F4755" s="1050"/>
      <c r="G4755" s="1050"/>
    </row>
    <row r="4756" spans="1:7">
      <c r="A4756" s="1079"/>
      <c r="B4756" s="1050"/>
      <c r="C4756" s="1050"/>
      <c r="D4756" s="1050"/>
      <c r="E4756" s="1050"/>
      <c r="F4756" s="1050"/>
      <c r="G4756" s="1050"/>
    </row>
    <row r="4757" spans="1:7">
      <c r="A4757" s="1079"/>
      <c r="B4757" s="1050"/>
      <c r="C4757" s="1050"/>
      <c r="D4757" s="1050"/>
      <c r="E4757" s="1050"/>
      <c r="F4757" s="1050"/>
      <c r="G4757" s="1050"/>
    </row>
    <row r="4758" spans="1:7">
      <c r="A4758" s="1079"/>
      <c r="B4758" s="1050"/>
      <c r="C4758" s="1050"/>
      <c r="D4758" s="1050"/>
      <c r="E4758" s="1050"/>
      <c r="F4758" s="1050"/>
      <c r="G4758" s="1050"/>
    </row>
    <row r="4759" spans="1:7">
      <c r="A4759" s="1079"/>
      <c r="B4759" s="1050"/>
      <c r="C4759" s="1050"/>
      <c r="D4759" s="1050"/>
      <c r="E4759" s="1050"/>
      <c r="F4759" s="1050"/>
      <c r="G4759" s="1050"/>
    </row>
    <row r="4760" spans="1:7">
      <c r="A4760" s="1079"/>
      <c r="B4760" s="1050"/>
      <c r="C4760" s="1050"/>
      <c r="D4760" s="1050"/>
      <c r="E4760" s="1050"/>
      <c r="F4760" s="1050"/>
      <c r="G4760" s="1050"/>
    </row>
    <row r="4761" spans="1:7">
      <c r="A4761" s="1079"/>
      <c r="B4761" s="1050"/>
      <c r="C4761" s="1050"/>
      <c r="D4761" s="1050"/>
      <c r="E4761" s="1050"/>
      <c r="F4761" s="1050"/>
      <c r="G4761" s="1050"/>
    </row>
    <row r="4762" spans="1:7">
      <c r="A4762" s="1079"/>
      <c r="B4762" s="1050"/>
      <c r="C4762" s="1050"/>
      <c r="D4762" s="1050"/>
      <c r="E4762" s="1050"/>
      <c r="F4762" s="1050"/>
      <c r="G4762" s="1050"/>
    </row>
    <row r="4763" spans="1:7">
      <c r="A4763" s="1079"/>
      <c r="B4763" s="1050"/>
      <c r="C4763" s="1050"/>
      <c r="D4763" s="1050"/>
      <c r="E4763" s="1050"/>
      <c r="F4763" s="1050"/>
      <c r="G4763" s="1050"/>
    </row>
    <row r="4764" spans="1:7">
      <c r="A4764" s="1079"/>
      <c r="B4764" s="1050"/>
      <c r="C4764" s="1050"/>
      <c r="D4764" s="1050"/>
      <c r="E4764" s="1050"/>
      <c r="F4764" s="1050"/>
      <c r="G4764" s="1050"/>
    </row>
    <row r="4765" spans="1:7">
      <c r="A4765" s="1079"/>
      <c r="B4765" s="1050"/>
      <c r="C4765" s="1050"/>
      <c r="D4765" s="1050"/>
      <c r="E4765" s="1050"/>
      <c r="F4765" s="1050"/>
      <c r="G4765" s="1050"/>
    </row>
    <row r="4766" spans="1:7">
      <c r="A4766" s="1079"/>
      <c r="B4766" s="1050"/>
      <c r="C4766" s="1050"/>
      <c r="D4766" s="1050"/>
      <c r="E4766" s="1050"/>
      <c r="F4766" s="1050"/>
      <c r="G4766" s="1050"/>
    </row>
    <row r="4767" spans="1:7">
      <c r="A4767" s="1079"/>
      <c r="B4767" s="1050"/>
      <c r="C4767" s="1050"/>
      <c r="D4767" s="1050"/>
      <c r="E4767" s="1050"/>
      <c r="F4767" s="1050"/>
      <c r="G4767" s="1050"/>
    </row>
    <row r="4768" spans="1:7">
      <c r="A4768" s="1079"/>
      <c r="B4768" s="1050"/>
      <c r="C4768" s="1050"/>
      <c r="D4768" s="1050"/>
      <c r="E4768" s="1050"/>
      <c r="F4768" s="1050"/>
      <c r="G4768" s="1050"/>
    </row>
    <row r="4769" spans="1:7">
      <c r="A4769" s="1079"/>
      <c r="B4769" s="1050"/>
      <c r="C4769" s="1050"/>
      <c r="D4769" s="1050"/>
      <c r="E4769" s="1050"/>
      <c r="F4769" s="1050"/>
      <c r="G4769" s="1050"/>
    </row>
    <row r="4770" spans="1:7">
      <c r="A4770" s="1079"/>
      <c r="B4770" s="1050"/>
      <c r="C4770" s="1050"/>
      <c r="D4770" s="1050"/>
      <c r="E4770" s="1050"/>
      <c r="F4770" s="1050"/>
      <c r="G4770" s="1050"/>
    </row>
    <row r="4771" spans="1:7">
      <c r="A4771" s="1079"/>
      <c r="B4771" s="1050"/>
      <c r="C4771" s="1050"/>
      <c r="D4771" s="1050"/>
      <c r="E4771" s="1050"/>
      <c r="F4771" s="1050"/>
      <c r="G4771" s="1050"/>
    </row>
    <row r="4772" spans="1:7">
      <c r="A4772" s="1079"/>
      <c r="B4772" s="1050"/>
      <c r="C4772" s="1050"/>
      <c r="D4772" s="1050"/>
      <c r="E4772" s="1050"/>
      <c r="F4772" s="1050"/>
      <c r="G4772" s="1050"/>
    </row>
    <row r="4773" spans="1:7">
      <c r="A4773" s="1079"/>
      <c r="B4773" s="1050"/>
      <c r="C4773" s="1050"/>
      <c r="D4773" s="1050"/>
      <c r="E4773" s="1050"/>
      <c r="F4773" s="1050"/>
      <c r="G4773" s="1050"/>
    </row>
    <row r="4774" spans="1:7">
      <c r="A4774" s="1079"/>
      <c r="B4774" s="1050"/>
      <c r="C4774" s="1050"/>
      <c r="D4774" s="1050"/>
      <c r="E4774" s="1050"/>
      <c r="F4774" s="1050"/>
      <c r="G4774" s="1050"/>
    </row>
    <row r="4775" spans="1:7">
      <c r="A4775" s="1079"/>
      <c r="B4775" s="1050"/>
      <c r="C4775" s="1050"/>
      <c r="D4775" s="1050"/>
      <c r="E4775" s="1050"/>
      <c r="F4775" s="1050"/>
      <c r="G4775" s="1050"/>
    </row>
    <row r="4776" spans="1:7">
      <c r="A4776" s="1079"/>
      <c r="B4776" s="1050"/>
      <c r="C4776" s="1050"/>
      <c r="D4776" s="1050"/>
      <c r="E4776" s="1050"/>
      <c r="F4776" s="1050"/>
      <c r="G4776" s="1050"/>
    </row>
    <row r="4777" spans="1:7">
      <c r="A4777" s="1079"/>
      <c r="B4777" s="1050"/>
      <c r="C4777" s="1050"/>
      <c r="D4777" s="1050"/>
      <c r="E4777" s="1050"/>
      <c r="F4777" s="1050"/>
      <c r="G4777" s="1050"/>
    </row>
    <row r="4778" spans="1:7">
      <c r="A4778" s="1079"/>
      <c r="B4778" s="1050"/>
      <c r="C4778" s="1050"/>
      <c r="D4778" s="1050"/>
      <c r="E4778" s="1050"/>
      <c r="F4778" s="1050"/>
      <c r="G4778" s="1050"/>
    </row>
    <row r="4779" spans="1:7">
      <c r="A4779" s="1079"/>
      <c r="B4779" s="1050"/>
      <c r="C4779" s="1050"/>
      <c r="D4779" s="1050"/>
      <c r="E4779" s="1050"/>
      <c r="F4779" s="1050"/>
      <c r="G4779" s="1050"/>
    </row>
    <row r="4780" spans="1:7">
      <c r="A4780" s="1079"/>
      <c r="B4780" s="1050"/>
      <c r="C4780" s="1050"/>
      <c r="D4780" s="1050"/>
      <c r="E4780" s="1050"/>
      <c r="F4780" s="1050"/>
      <c r="G4780" s="1050"/>
    </row>
    <row r="4781" spans="1:7">
      <c r="A4781" s="1079"/>
      <c r="B4781" s="1050"/>
      <c r="C4781" s="1050"/>
      <c r="D4781" s="1050"/>
      <c r="E4781" s="1050"/>
      <c r="F4781" s="1050"/>
      <c r="G4781" s="1050"/>
    </row>
    <row r="4782" spans="1:7">
      <c r="A4782" s="1079"/>
      <c r="B4782" s="1050"/>
      <c r="C4782" s="1050"/>
      <c r="D4782" s="1050"/>
      <c r="E4782" s="1050"/>
      <c r="F4782" s="1050"/>
      <c r="G4782" s="1050"/>
    </row>
    <row r="4783" spans="1:7">
      <c r="A4783" s="1079"/>
      <c r="B4783" s="1050"/>
      <c r="C4783" s="1050"/>
      <c r="D4783" s="1050"/>
      <c r="E4783" s="1050"/>
      <c r="F4783" s="1050"/>
      <c r="G4783" s="1050"/>
    </row>
    <row r="4784" spans="1:7">
      <c r="A4784" s="1079"/>
      <c r="B4784" s="1050"/>
      <c r="C4784" s="1050"/>
      <c r="D4784" s="1050"/>
      <c r="E4784" s="1050"/>
      <c r="F4784" s="1050"/>
      <c r="G4784" s="1050"/>
    </row>
    <row r="4785" spans="1:7">
      <c r="A4785" s="1079"/>
      <c r="B4785" s="1050"/>
      <c r="C4785" s="1050"/>
      <c r="D4785" s="1050"/>
      <c r="E4785" s="1050"/>
      <c r="F4785" s="1050"/>
      <c r="G4785" s="1050"/>
    </row>
    <row r="4786" spans="1:7">
      <c r="A4786" s="1079"/>
      <c r="B4786" s="1050"/>
      <c r="C4786" s="1050"/>
      <c r="D4786" s="1050"/>
      <c r="E4786" s="1050"/>
      <c r="F4786" s="1050"/>
      <c r="G4786" s="1050"/>
    </row>
    <row r="4787" spans="1:7">
      <c r="A4787" s="1079"/>
      <c r="B4787" s="1050"/>
      <c r="C4787" s="1050"/>
      <c r="D4787" s="1050"/>
      <c r="E4787" s="1050"/>
      <c r="F4787" s="1050"/>
      <c r="G4787" s="1050"/>
    </row>
    <row r="4788" spans="1:7">
      <c r="A4788" s="1079"/>
      <c r="B4788" s="1050"/>
      <c r="C4788" s="1050"/>
      <c r="D4788" s="1050"/>
      <c r="E4788" s="1050"/>
      <c r="F4788" s="1050"/>
      <c r="G4788" s="1050"/>
    </row>
    <row r="4789" spans="1:7">
      <c r="A4789" s="1079"/>
      <c r="B4789" s="1050"/>
      <c r="C4789" s="1050"/>
      <c r="D4789" s="1050"/>
      <c r="E4789" s="1050"/>
      <c r="F4789" s="1050"/>
      <c r="G4789" s="1050"/>
    </row>
    <row r="4790" spans="1:7">
      <c r="A4790" s="1079"/>
      <c r="B4790" s="1050"/>
      <c r="C4790" s="1050"/>
      <c r="D4790" s="1050"/>
      <c r="E4790" s="1050"/>
      <c r="F4790" s="1050"/>
      <c r="G4790" s="1050"/>
    </row>
    <row r="4791" spans="1:7">
      <c r="A4791" s="1079"/>
      <c r="B4791" s="1050"/>
      <c r="C4791" s="1050"/>
      <c r="D4791" s="1050"/>
      <c r="E4791" s="1050"/>
      <c r="F4791" s="1050"/>
      <c r="G4791" s="1050"/>
    </row>
    <row r="4792" spans="1:7">
      <c r="A4792" s="1079"/>
      <c r="B4792" s="1050"/>
      <c r="C4792" s="1050"/>
      <c r="D4792" s="1050"/>
      <c r="E4792" s="1050"/>
      <c r="F4792" s="1050"/>
      <c r="G4792" s="1050"/>
    </row>
    <row r="4793" spans="1:7">
      <c r="A4793" s="1079"/>
      <c r="B4793" s="1050"/>
      <c r="C4793" s="1050"/>
      <c r="D4793" s="1050"/>
      <c r="E4793" s="1050"/>
      <c r="F4793" s="1050"/>
      <c r="G4793" s="1050"/>
    </row>
    <row r="4794" spans="1:7">
      <c r="A4794" s="1079"/>
      <c r="B4794" s="1050"/>
      <c r="C4794" s="1050"/>
      <c r="D4794" s="1050"/>
      <c r="E4794" s="1050"/>
      <c r="F4794" s="1050"/>
      <c r="G4794" s="1050"/>
    </row>
    <row r="4795" spans="1:7">
      <c r="A4795" s="1079"/>
      <c r="B4795" s="1050"/>
      <c r="C4795" s="1050"/>
      <c r="D4795" s="1050"/>
      <c r="E4795" s="1050"/>
      <c r="F4795" s="1050"/>
      <c r="G4795" s="1050"/>
    </row>
    <row r="4796" spans="1:7">
      <c r="A4796" s="1079"/>
      <c r="B4796" s="1050"/>
      <c r="C4796" s="1050"/>
      <c r="D4796" s="1050"/>
      <c r="E4796" s="1050"/>
      <c r="F4796" s="1050"/>
      <c r="G4796" s="1050"/>
    </row>
    <row r="4797" spans="1:7">
      <c r="A4797" s="1079"/>
      <c r="B4797" s="1050"/>
      <c r="C4797" s="1050"/>
      <c r="D4797" s="1050"/>
      <c r="E4797" s="1050"/>
      <c r="F4797" s="1050"/>
      <c r="G4797" s="1050"/>
    </row>
    <row r="4798" spans="1:7">
      <c r="A4798" s="1079"/>
      <c r="B4798" s="1050"/>
      <c r="C4798" s="1050"/>
      <c r="D4798" s="1050"/>
      <c r="E4798" s="1050"/>
      <c r="F4798" s="1050"/>
      <c r="G4798" s="1050"/>
    </row>
    <row r="4799" spans="1:7">
      <c r="A4799" s="1079"/>
      <c r="B4799" s="1050"/>
      <c r="C4799" s="1050"/>
      <c r="D4799" s="1050"/>
      <c r="E4799" s="1050"/>
      <c r="F4799" s="1050"/>
      <c r="G4799" s="1050"/>
    </row>
    <row r="4800" spans="1:7">
      <c r="A4800" s="1079"/>
      <c r="B4800" s="1050"/>
      <c r="C4800" s="1050"/>
      <c r="D4800" s="1050"/>
      <c r="E4800" s="1050"/>
      <c r="F4800" s="1050"/>
      <c r="G4800" s="1050"/>
    </row>
    <row r="4801" spans="1:7">
      <c r="A4801" s="1079"/>
      <c r="B4801" s="1050"/>
      <c r="C4801" s="1050"/>
      <c r="D4801" s="1050"/>
      <c r="E4801" s="1050"/>
      <c r="F4801" s="1050"/>
      <c r="G4801" s="1050"/>
    </row>
    <row r="4802" spans="1:7">
      <c r="A4802" s="1079"/>
      <c r="B4802" s="1050"/>
      <c r="C4802" s="1050"/>
      <c r="D4802" s="1050"/>
      <c r="E4802" s="1050"/>
      <c r="F4802" s="1050"/>
      <c r="G4802" s="1050"/>
    </row>
    <row r="4803" spans="1:7">
      <c r="A4803" s="1079"/>
      <c r="B4803" s="1050"/>
      <c r="C4803" s="1050"/>
      <c r="D4803" s="1050"/>
      <c r="E4803" s="1050"/>
      <c r="F4803" s="1050"/>
      <c r="G4803" s="1050"/>
    </row>
    <row r="4804" spans="1:7">
      <c r="A4804" s="1079"/>
      <c r="B4804" s="1050"/>
      <c r="C4804" s="1050"/>
      <c r="D4804" s="1050"/>
      <c r="E4804" s="1050"/>
      <c r="F4804" s="1050"/>
      <c r="G4804" s="1050"/>
    </row>
    <row r="4805" spans="1:7">
      <c r="A4805" s="1079"/>
      <c r="B4805" s="1050"/>
      <c r="C4805" s="1050"/>
      <c r="D4805" s="1050"/>
      <c r="E4805" s="1050"/>
      <c r="F4805" s="1050"/>
      <c r="G4805" s="1050"/>
    </row>
    <row r="4806" spans="1:7">
      <c r="A4806" s="1079"/>
      <c r="B4806" s="1050"/>
      <c r="C4806" s="1050"/>
      <c r="D4806" s="1050"/>
      <c r="E4806" s="1050"/>
      <c r="F4806" s="1050"/>
      <c r="G4806" s="1050"/>
    </row>
    <row r="4807" spans="1:7">
      <c r="A4807" s="1079"/>
      <c r="B4807" s="1050"/>
      <c r="C4807" s="1050"/>
      <c r="D4807" s="1050"/>
      <c r="E4807" s="1050"/>
      <c r="F4807" s="1050"/>
      <c r="G4807" s="1050"/>
    </row>
    <row r="4808" spans="1:7">
      <c r="A4808" s="1079"/>
      <c r="B4808" s="1050"/>
      <c r="C4808" s="1050"/>
      <c r="D4808" s="1050"/>
      <c r="E4808" s="1050"/>
      <c r="F4808" s="1050"/>
      <c r="G4808" s="1050"/>
    </row>
    <row r="4809" spans="1:7">
      <c r="A4809" s="1079"/>
      <c r="B4809" s="1050"/>
      <c r="C4809" s="1050"/>
      <c r="D4809" s="1050"/>
      <c r="E4809" s="1050"/>
      <c r="F4809" s="1050"/>
      <c r="G4809" s="1050"/>
    </row>
    <row r="4810" spans="1:7">
      <c r="A4810" s="1079"/>
      <c r="B4810" s="1050"/>
      <c r="C4810" s="1050"/>
      <c r="D4810" s="1050"/>
      <c r="E4810" s="1050"/>
      <c r="F4810" s="1050"/>
      <c r="G4810" s="1050"/>
    </row>
    <row r="4811" spans="1:7">
      <c r="A4811" s="1079"/>
      <c r="B4811" s="1050"/>
      <c r="C4811" s="1050"/>
      <c r="D4811" s="1050"/>
      <c r="E4811" s="1050"/>
      <c r="F4811" s="1050"/>
      <c r="G4811" s="1050"/>
    </row>
    <row r="4812" spans="1:7">
      <c r="A4812" s="1079"/>
      <c r="B4812" s="1050"/>
      <c r="C4812" s="1050"/>
      <c r="D4812" s="1050"/>
      <c r="E4812" s="1050"/>
      <c r="F4812" s="1050"/>
      <c r="G4812" s="1050"/>
    </row>
    <row r="4813" spans="1:7">
      <c r="A4813" s="1079"/>
      <c r="B4813" s="1050"/>
      <c r="C4813" s="1050"/>
      <c r="D4813" s="1050"/>
      <c r="E4813" s="1050"/>
      <c r="F4813" s="1050"/>
      <c r="G4813" s="1050"/>
    </row>
    <row r="4814" spans="1:7">
      <c r="A4814" s="1079"/>
      <c r="B4814" s="1050"/>
      <c r="C4814" s="1050"/>
      <c r="D4814" s="1050"/>
      <c r="E4814" s="1050"/>
      <c r="F4814" s="1050"/>
      <c r="G4814" s="1050"/>
    </row>
    <row r="4815" spans="1:7">
      <c r="A4815" s="1079"/>
      <c r="B4815" s="1050"/>
      <c r="C4815" s="1050"/>
      <c r="D4815" s="1050"/>
      <c r="E4815" s="1050"/>
      <c r="F4815" s="1050"/>
      <c r="G4815" s="1050"/>
    </row>
    <row r="4816" spans="1:7">
      <c r="A4816" s="1079"/>
      <c r="B4816" s="1050"/>
      <c r="C4816" s="1050"/>
      <c r="D4816" s="1050"/>
      <c r="E4816" s="1050"/>
      <c r="F4816" s="1050"/>
      <c r="G4816" s="1050"/>
    </row>
    <row r="4817" spans="1:7">
      <c r="A4817" s="1079"/>
      <c r="B4817" s="1050"/>
      <c r="C4817" s="1050"/>
      <c r="D4817" s="1050"/>
      <c r="E4817" s="1050"/>
      <c r="F4817" s="1050"/>
      <c r="G4817" s="1050"/>
    </row>
    <row r="4818" spans="1:7">
      <c r="A4818" s="1079"/>
      <c r="B4818" s="1050"/>
      <c r="C4818" s="1050"/>
      <c r="D4818" s="1050"/>
      <c r="E4818" s="1050"/>
      <c r="F4818" s="1050"/>
      <c r="G4818" s="1050"/>
    </row>
    <row r="4819" spans="1:7">
      <c r="A4819" s="1079"/>
      <c r="B4819" s="1050"/>
      <c r="C4819" s="1050"/>
      <c r="D4819" s="1050"/>
      <c r="E4819" s="1050"/>
      <c r="F4819" s="1050"/>
      <c r="G4819" s="1050"/>
    </row>
    <row r="4820" spans="1:7">
      <c r="A4820" s="1079"/>
      <c r="B4820" s="1050"/>
      <c r="C4820" s="1050"/>
      <c r="D4820" s="1050"/>
      <c r="E4820" s="1050"/>
      <c r="F4820" s="1050"/>
      <c r="G4820" s="1050"/>
    </row>
    <row r="4821" spans="1:7">
      <c r="A4821" s="1079"/>
      <c r="B4821" s="1050"/>
      <c r="C4821" s="1050"/>
      <c r="D4821" s="1050"/>
      <c r="E4821" s="1050"/>
      <c r="F4821" s="1050"/>
      <c r="G4821" s="1050"/>
    </row>
    <row r="4822" spans="1:7">
      <c r="A4822" s="1079"/>
      <c r="B4822" s="1050"/>
      <c r="C4822" s="1050"/>
      <c r="D4822" s="1050"/>
      <c r="E4822" s="1050"/>
      <c r="F4822" s="1050"/>
      <c r="G4822" s="1050"/>
    </row>
    <row r="4823" spans="1:7">
      <c r="A4823" s="1079"/>
      <c r="B4823" s="1050"/>
      <c r="C4823" s="1050"/>
      <c r="D4823" s="1050"/>
      <c r="E4823" s="1050"/>
      <c r="F4823" s="1050"/>
      <c r="G4823" s="1050"/>
    </row>
    <row r="4824" spans="1:7">
      <c r="A4824" s="1079"/>
      <c r="B4824" s="1050"/>
      <c r="C4824" s="1050"/>
      <c r="D4824" s="1050"/>
      <c r="E4824" s="1050"/>
      <c r="F4824" s="1050"/>
      <c r="G4824" s="1050"/>
    </row>
    <row r="4825" spans="1:7">
      <c r="A4825" s="1079"/>
      <c r="B4825" s="1050"/>
      <c r="C4825" s="1050"/>
      <c r="D4825" s="1050"/>
      <c r="E4825" s="1050"/>
      <c r="F4825" s="1050"/>
      <c r="G4825" s="1050"/>
    </row>
    <row r="4826" spans="1:7">
      <c r="A4826" s="1079"/>
      <c r="B4826" s="1050"/>
      <c r="C4826" s="1050"/>
      <c r="D4826" s="1050"/>
      <c r="E4826" s="1050"/>
      <c r="F4826" s="1050"/>
      <c r="G4826" s="1050"/>
    </row>
    <row r="4827" spans="1:7">
      <c r="A4827" s="1079"/>
      <c r="B4827" s="1050"/>
      <c r="C4827" s="1050"/>
      <c r="D4827" s="1050"/>
      <c r="E4827" s="1050"/>
      <c r="F4827" s="1050"/>
      <c r="G4827" s="1050"/>
    </row>
    <row r="4828" spans="1:7">
      <c r="A4828" s="1079"/>
      <c r="B4828" s="1050"/>
      <c r="C4828" s="1050"/>
      <c r="D4828" s="1050"/>
      <c r="E4828" s="1050"/>
      <c r="F4828" s="1050"/>
      <c r="G4828" s="1050"/>
    </row>
    <row r="4829" spans="1:7">
      <c r="A4829" s="1079"/>
      <c r="B4829" s="1050"/>
      <c r="C4829" s="1050"/>
      <c r="D4829" s="1050"/>
      <c r="E4829" s="1050"/>
      <c r="F4829" s="1050"/>
      <c r="G4829" s="1050"/>
    </row>
    <row r="4830" spans="1:7">
      <c r="A4830" s="1079"/>
      <c r="B4830" s="1050"/>
      <c r="C4830" s="1050"/>
      <c r="D4830" s="1050"/>
      <c r="E4830" s="1050"/>
      <c r="F4830" s="1050"/>
      <c r="G4830" s="1050"/>
    </row>
    <row r="4831" spans="1:7">
      <c r="A4831" s="1079"/>
      <c r="B4831" s="1050"/>
      <c r="C4831" s="1050"/>
      <c r="D4831" s="1050"/>
      <c r="E4831" s="1050"/>
      <c r="F4831" s="1050"/>
      <c r="G4831" s="1050"/>
    </row>
    <row r="4832" spans="1:7">
      <c r="A4832" s="1079"/>
      <c r="B4832" s="1050"/>
      <c r="C4832" s="1050"/>
      <c r="D4832" s="1050"/>
      <c r="E4832" s="1050"/>
      <c r="F4832" s="1050"/>
      <c r="G4832" s="1050"/>
    </row>
    <row r="4833" spans="1:7">
      <c r="A4833" s="1079"/>
      <c r="B4833" s="1050"/>
      <c r="C4833" s="1050"/>
      <c r="D4833" s="1050"/>
      <c r="E4833" s="1050"/>
      <c r="F4833" s="1050"/>
      <c r="G4833" s="1050"/>
    </row>
    <row r="4834" spans="1:7">
      <c r="A4834" s="1079"/>
      <c r="B4834" s="1050"/>
      <c r="C4834" s="1050"/>
      <c r="D4834" s="1050"/>
      <c r="E4834" s="1050"/>
      <c r="F4834" s="1050"/>
      <c r="G4834" s="1050"/>
    </row>
    <row r="4835" spans="1:7">
      <c r="A4835" s="1079"/>
      <c r="B4835" s="1050"/>
      <c r="C4835" s="1050"/>
      <c r="D4835" s="1050"/>
      <c r="E4835" s="1050"/>
      <c r="F4835" s="1050"/>
      <c r="G4835" s="1050"/>
    </row>
    <row r="4836" spans="1:7">
      <c r="A4836" s="1079"/>
      <c r="B4836" s="1050"/>
      <c r="C4836" s="1050"/>
      <c r="D4836" s="1050"/>
      <c r="E4836" s="1050"/>
      <c r="F4836" s="1050"/>
      <c r="G4836" s="1050"/>
    </row>
    <row r="4837" spans="1:7">
      <c r="A4837" s="1079"/>
      <c r="B4837" s="1050"/>
      <c r="C4837" s="1050"/>
      <c r="D4837" s="1050"/>
      <c r="E4837" s="1050"/>
      <c r="F4837" s="1050"/>
      <c r="G4837" s="1050"/>
    </row>
    <row r="4838" spans="1:7">
      <c r="A4838" s="1079"/>
      <c r="B4838" s="1050"/>
      <c r="C4838" s="1050"/>
      <c r="D4838" s="1050"/>
      <c r="E4838" s="1050"/>
      <c r="F4838" s="1050"/>
      <c r="G4838" s="1050"/>
    </row>
    <row r="4839" spans="1:7">
      <c r="A4839" s="1079"/>
      <c r="B4839" s="1050"/>
      <c r="C4839" s="1050"/>
      <c r="D4839" s="1050"/>
      <c r="E4839" s="1050"/>
      <c r="F4839" s="1050"/>
      <c r="G4839" s="1050"/>
    </row>
    <row r="4840" spans="1:7">
      <c r="A4840" s="1079"/>
      <c r="B4840" s="1050"/>
      <c r="C4840" s="1050"/>
      <c r="D4840" s="1050"/>
      <c r="E4840" s="1050"/>
      <c r="F4840" s="1050"/>
      <c r="G4840" s="1050"/>
    </row>
    <row r="4841" spans="1:7">
      <c r="A4841" s="1079"/>
      <c r="B4841" s="1050"/>
      <c r="C4841" s="1050"/>
      <c r="D4841" s="1050"/>
      <c r="E4841" s="1050"/>
      <c r="F4841" s="1050"/>
      <c r="G4841" s="1050"/>
    </row>
    <row r="4842" spans="1:7">
      <c r="A4842" s="1079"/>
      <c r="B4842" s="1050"/>
      <c r="C4842" s="1050"/>
      <c r="D4842" s="1050"/>
      <c r="E4842" s="1050"/>
      <c r="F4842" s="1050"/>
      <c r="G4842" s="1050"/>
    </row>
    <row r="4843" spans="1:7">
      <c r="A4843" s="1079"/>
      <c r="B4843" s="1050"/>
      <c r="C4843" s="1050"/>
      <c r="D4843" s="1050"/>
      <c r="E4843" s="1050"/>
      <c r="F4843" s="1050"/>
      <c r="G4843" s="1050"/>
    </row>
    <row r="4844" spans="1:7">
      <c r="A4844" s="1079"/>
      <c r="B4844" s="1050"/>
      <c r="C4844" s="1050"/>
      <c r="D4844" s="1050"/>
      <c r="E4844" s="1050"/>
      <c r="F4844" s="1050"/>
      <c r="G4844" s="1050"/>
    </row>
    <row r="4845" spans="1:7">
      <c r="A4845" s="1079"/>
      <c r="B4845" s="1050"/>
      <c r="C4845" s="1050"/>
      <c r="D4845" s="1050"/>
      <c r="E4845" s="1050"/>
      <c r="F4845" s="1050"/>
      <c r="G4845" s="1050"/>
    </row>
    <row r="4846" spans="1:7">
      <c r="A4846" s="1079"/>
      <c r="B4846" s="1050"/>
      <c r="C4846" s="1050"/>
      <c r="D4846" s="1050"/>
      <c r="E4846" s="1050"/>
      <c r="F4846" s="1050"/>
      <c r="G4846" s="1050"/>
    </row>
    <row r="4847" spans="1:7">
      <c r="A4847" s="1079"/>
      <c r="B4847" s="1050"/>
      <c r="C4847" s="1050"/>
      <c r="D4847" s="1050"/>
      <c r="E4847" s="1050"/>
      <c r="F4847" s="1050"/>
      <c r="G4847" s="1050"/>
    </row>
    <row r="4848" spans="1:7">
      <c r="A4848" s="1079"/>
      <c r="B4848" s="1050"/>
      <c r="C4848" s="1050"/>
      <c r="D4848" s="1050"/>
      <c r="E4848" s="1050"/>
      <c r="F4848" s="1050"/>
      <c r="G4848" s="1050"/>
    </row>
    <row r="4849" spans="1:7">
      <c r="A4849" s="1079"/>
      <c r="B4849" s="1050"/>
      <c r="C4849" s="1050"/>
      <c r="D4849" s="1050"/>
      <c r="E4849" s="1050"/>
      <c r="F4849" s="1050"/>
      <c r="G4849" s="1050"/>
    </row>
    <row r="4850" spans="1:7">
      <c r="A4850" s="1079"/>
      <c r="B4850" s="1050"/>
      <c r="C4850" s="1050"/>
      <c r="D4850" s="1050"/>
      <c r="E4850" s="1050"/>
      <c r="F4850" s="1050"/>
      <c r="G4850" s="1050"/>
    </row>
    <row r="4851" spans="1:7">
      <c r="A4851" s="1079"/>
      <c r="B4851" s="1050"/>
      <c r="C4851" s="1050"/>
      <c r="D4851" s="1050"/>
      <c r="E4851" s="1050"/>
      <c r="F4851" s="1050"/>
      <c r="G4851" s="1050"/>
    </row>
    <row r="4852" spans="1:7">
      <c r="A4852" s="1079"/>
      <c r="B4852" s="1050"/>
      <c r="C4852" s="1050"/>
      <c r="D4852" s="1050"/>
      <c r="E4852" s="1050"/>
      <c r="F4852" s="1050"/>
      <c r="G4852" s="1050"/>
    </row>
    <row r="4853" spans="1:7">
      <c r="A4853" s="1079"/>
      <c r="B4853" s="1050"/>
      <c r="C4853" s="1050"/>
      <c r="D4853" s="1050"/>
      <c r="E4853" s="1050"/>
      <c r="F4853" s="1050"/>
      <c r="G4853" s="1050"/>
    </row>
    <row r="4854" spans="1:7">
      <c r="A4854" s="1079"/>
      <c r="B4854" s="1050"/>
      <c r="C4854" s="1050"/>
      <c r="D4854" s="1050"/>
      <c r="E4854" s="1050"/>
      <c r="F4854" s="1050"/>
      <c r="G4854" s="1050"/>
    </row>
    <row r="4855" spans="1:7">
      <c r="A4855" s="1079"/>
      <c r="B4855" s="1050"/>
      <c r="C4855" s="1050"/>
      <c r="D4855" s="1050"/>
      <c r="E4855" s="1050"/>
      <c r="F4855" s="1050"/>
      <c r="G4855" s="1050"/>
    </row>
    <row r="4856" spans="1:7">
      <c r="A4856" s="1079"/>
      <c r="B4856" s="1050"/>
      <c r="C4856" s="1050"/>
      <c r="D4856" s="1050"/>
      <c r="E4856" s="1050"/>
      <c r="F4856" s="1050"/>
      <c r="G4856" s="1050"/>
    </row>
    <row r="4857" spans="1:7">
      <c r="A4857" s="1079"/>
      <c r="B4857" s="1050"/>
      <c r="C4857" s="1050"/>
      <c r="D4857" s="1050"/>
      <c r="E4857" s="1050"/>
      <c r="F4857" s="1050"/>
      <c r="G4857" s="1050"/>
    </row>
    <row r="4858" spans="1:7">
      <c r="A4858" s="1079"/>
      <c r="B4858" s="1050"/>
      <c r="C4858" s="1050"/>
      <c r="D4858" s="1050"/>
      <c r="E4858" s="1050"/>
      <c r="F4858" s="1050"/>
      <c r="G4858" s="1050"/>
    </row>
    <row r="4859" spans="1:7">
      <c r="A4859" s="1079"/>
      <c r="B4859" s="1050"/>
      <c r="C4859" s="1050"/>
      <c r="D4859" s="1050"/>
      <c r="E4859" s="1050"/>
      <c r="F4859" s="1050"/>
      <c r="G4859" s="1050"/>
    </row>
    <row r="4860" spans="1:7">
      <c r="A4860" s="1079"/>
      <c r="B4860" s="1050"/>
      <c r="C4860" s="1050"/>
      <c r="D4860" s="1050"/>
      <c r="E4860" s="1050"/>
      <c r="F4860" s="1050"/>
      <c r="G4860" s="1050"/>
    </row>
    <row r="4861" spans="1:7">
      <c r="A4861" s="1079"/>
      <c r="B4861" s="1050"/>
      <c r="C4861" s="1050"/>
      <c r="D4861" s="1050"/>
      <c r="E4861" s="1050"/>
      <c r="F4861" s="1050"/>
      <c r="G4861" s="1050"/>
    </row>
    <row r="4862" spans="1:7">
      <c r="A4862" s="1079"/>
      <c r="B4862" s="1050"/>
      <c r="C4862" s="1050"/>
      <c r="D4862" s="1050"/>
      <c r="E4862" s="1050"/>
      <c r="F4862" s="1050"/>
      <c r="G4862" s="1050"/>
    </row>
    <row r="4863" spans="1:7">
      <c r="A4863" s="1079"/>
      <c r="B4863" s="1050"/>
      <c r="C4863" s="1050"/>
      <c r="D4863" s="1050"/>
      <c r="E4863" s="1050"/>
      <c r="F4863" s="1050"/>
      <c r="G4863" s="1050"/>
    </row>
    <row r="4864" spans="1:7">
      <c r="A4864" s="1079"/>
      <c r="B4864" s="1050"/>
      <c r="C4864" s="1050"/>
      <c r="D4864" s="1050"/>
      <c r="E4864" s="1050"/>
      <c r="F4864" s="1050"/>
      <c r="G4864" s="1050"/>
    </row>
    <row r="4865" spans="1:7">
      <c r="A4865" s="1079"/>
      <c r="B4865" s="1050"/>
      <c r="C4865" s="1050"/>
      <c r="D4865" s="1050"/>
      <c r="E4865" s="1050"/>
      <c r="F4865" s="1050"/>
      <c r="G4865" s="1050"/>
    </row>
    <row r="4866" spans="1:7">
      <c r="A4866" s="1079"/>
      <c r="B4866" s="1050"/>
      <c r="C4866" s="1050"/>
      <c r="D4866" s="1050"/>
      <c r="E4866" s="1050"/>
      <c r="F4866" s="1050"/>
      <c r="G4866" s="1050"/>
    </row>
    <row r="4867" spans="1:7">
      <c r="A4867" s="1079"/>
      <c r="B4867" s="1050"/>
      <c r="C4867" s="1050"/>
      <c r="D4867" s="1050"/>
      <c r="E4867" s="1050"/>
      <c r="F4867" s="1050"/>
      <c r="G4867" s="1050"/>
    </row>
    <row r="4868" spans="1:7">
      <c r="A4868" s="1079"/>
      <c r="B4868" s="1050"/>
      <c r="C4868" s="1050"/>
      <c r="D4868" s="1050"/>
      <c r="E4868" s="1050"/>
      <c r="F4868" s="1050"/>
      <c r="G4868" s="1050"/>
    </row>
    <row r="4869" spans="1:7">
      <c r="A4869" s="1079"/>
      <c r="B4869" s="1050"/>
      <c r="C4869" s="1050"/>
      <c r="D4869" s="1050"/>
      <c r="E4869" s="1050"/>
      <c r="F4869" s="1050"/>
      <c r="G4869" s="1050"/>
    </row>
    <row r="4870" spans="1:7">
      <c r="A4870" s="1079"/>
      <c r="B4870" s="1050"/>
      <c r="C4870" s="1050"/>
      <c r="D4870" s="1050"/>
      <c r="E4870" s="1050"/>
      <c r="F4870" s="1050"/>
      <c r="G4870" s="1050"/>
    </row>
    <row r="4871" spans="1:7">
      <c r="A4871" s="1079"/>
      <c r="B4871" s="1050"/>
      <c r="C4871" s="1050"/>
      <c r="D4871" s="1050"/>
      <c r="E4871" s="1050"/>
      <c r="F4871" s="1050"/>
      <c r="G4871" s="1050"/>
    </row>
    <row r="4872" spans="1:7">
      <c r="A4872" s="1079"/>
      <c r="B4872" s="1050"/>
      <c r="C4872" s="1050"/>
      <c r="D4872" s="1050"/>
      <c r="E4872" s="1050"/>
      <c r="F4872" s="1050"/>
      <c r="G4872" s="1050"/>
    </row>
    <row r="4873" spans="1:7">
      <c r="A4873" s="1079"/>
      <c r="B4873" s="1050"/>
      <c r="C4873" s="1050"/>
      <c r="D4873" s="1050"/>
      <c r="E4873" s="1050"/>
      <c r="F4873" s="1050"/>
      <c r="G4873" s="1050"/>
    </row>
    <row r="4874" spans="1:7">
      <c r="A4874" s="1079"/>
      <c r="B4874" s="1050"/>
      <c r="C4874" s="1050"/>
      <c r="D4874" s="1050"/>
      <c r="E4874" s="1050"/>
      <c r="F4874" s="1050"/>
      <c r="G4874" s="1050"/>
    </row>
    <row r="4875" spans="1:7">
      <c r="A4875" s="1079"/>
      <c r="B4875" s="1050"/>
      <c r="C4875" s="1050"/>
      <c r="D4875" s="1050"/>
      <c r="E4875" s="1050"/>
      <c r="F4875" s="1050"/>
      <c r="G4875" s="1050"/>
    </row>
    <row r="4876" spans="1:7">
      <c r="A4876" s="1079"/>
      <c r="B4876" s="1050"/>
      <c r="C4876" s="1050"/>
      <c r="D4876" s="1050"/>
      <c r="E4876" s="1050"/>
      <c r="F4876" s="1050"/>
      <c r="G4876" s="1050"/>
    </row>
    <row r="4877" spans="1:7">
      <c r="A4877" s="1079"/>
      <c r="B4877" s="1050"/>
      <c r="C4877" s="1050"/>
      <c r="D4877" s="1050"/>
      <c r="E4877" s="1050"/>
      <c r="F4877" s="1050"/>
      <c r="G4877" s="1050"/>
    </row>
    <row r="4878" spans="1:7">
      <c r="A4878" s="1079"/>
      <c r="B4878" s="1050"/>
      <c r="C4878" s="1050"/>
      <c r="D4878" s="1050"/>
      <c r="E4878" s="1050"/>
      <c r="F4878" s="1050"/>
      <c r="G4878" s="1050"/>
    </row>
    <row r="4879" spans="1:7">
      <c r="A4879" s="1079"/>
      <c r="B4879" s="1050"/>
      <c r="C4879" s="1050"/>
      <c r="D4879" s="1050"/>
      <c r="E4879" s="1050"/>
      <c r="F4879" s="1050"/>
      <c r="G4879" s="1050"/>
    </row>
    <row r="4880" spans="1:7">
      <c r="A4880" s="1079"/>
      <c r="B4880" s="1050"/>
      <c r="C4880" s="1050"/>
      <c r="D4880" s="1050"/>
      <c r="E4880" s="1050"/>
      <c r="F4880" s="1050"/>
      <c r="G4880" s="1050"/>
    </row>
    <row r="4881" spans="1:7">
      <c r="A4881" s="1079"/>
      <c r="B4881" s="1050"/>
      <c r="C4881" s="1050"/>
      <c r="D4881" s="1050"/>
      <c r="E4881" s="1050"/>
      <c r="F4881" s="1050"/>
      <c r="G4881" s="1050"/>
    </row>
    <row r="4882" spans="1:7">
      <c r="A4882" s="1079"/>
      <c r="B4882" s="1050"/>
      <c r="C4882" s="1050"/>
      <c r="D4882" s="1050"/>
      <c r="E4882" s="1050"/>
      <c r="F4882" s="1050"/>
      <c r="G4882" s="1050"/>
    </row>
    <row r="4883" spans="1:7">
      <c r="A4883" s="1079"/>
      <c r="B4883" s="1050"/>
      <c r="C4883" s="1050"/>
      <c r="D4883" s="1050"/>
      <c r="E4883" s="1050"/>
      <c r="F4883" s="1050"/>
      <c r="G4883" s="1050"/>
    </row>
    <row r="4884" spans="1:7">
      <c r="A4884" s="1079"/>
      <c r="B4884" s="1050"/>
      <c r="C4884" s="1050"/>
      <c r="D4884" s="1050"/>
      <c r="E4884" s="1050"/>
      <c r="F4884" s="1050"/>
      <c r="G4884" s="1050"/>
    </row>
    <row r="4885" spans="1:7">
      <c r="A4885" s="1079"/>
      <c r="B4885" s="1050"/>
      <c r="C4885" s="1050"/>
      <c r="D4885" s="1050"/>
      <c r="E4885" s="1050"/>
      <c r="F4885" s="1050"/>
      <c r="G4885" s="1050"/>
    </row>
    <row r="4886" spans="1:7">
      <c r="A4886" s="1079"/>
      <c r="B4886" s="1050"/>
      <c r="C4886" s="1050"/>
      <c r="D4886" s="1050"/>
      <c r="E4886" s="1050"/>
      <c r="F4886" s="1050"/>
      <c r="G4886" s="1050"/>
    </row>
    <row r="4887" spans="1:7">
      <c r="A4887" s="1079"/>
      <c r="B4887" s="1050"/>
      <c r="C4887" s="1050"/>
      <c r="D4887" s="1050"/>
      <c r="E4887" s="1050"/>
      <c r="F4887" s="1050"/>
      <c r="G4887" s="1050"/>
    </row>
    <row r="4888" spans="1:7">
      <c r="A4888" s="1079"/>
      <c r="B4888" s="1050"/>
      <c r="C4888" s="1050"/>
      <c r="D4888" s="1050"/>
      <c r="E4888" s="1050"/>
      <c r="F4888" s="1050"/>
      <c r="G4888" s="1050"/>
    </row>
    <row r="4889" spans="1:7">
      <c r="A4889" s="1079"/>
      <c r="B4889" s="1050"/>
      <c r="C4889" s="1050"/>
      <c r="D4889" s="1050"/>
      <c r="E4889" s="1050"/>
      <c r="F4889" s="1050"/>
      <c r="G4889" s="1050"/>
    </row>
    <row r="4890" spans="1:7">
      <c r="A4890" s="1079"/>
      <c r="B4890" s="1050"/>
      <c r="C4890" s="1050"/>
      <c r="D4890" s="1050"/>
      <c r="E4890" s="1050"/>
      <c r="F4890" s="1050"/>
      <c r="G4890" s="1050"/>
    </row>
    <row r="4891" spans="1:7">
      <c r="A4891" s="1079"/>
      <c r="B4891" s="1050"/>
      <c r="C4891" s="1050"/>
      <c r="D4891" s="1050"/>
      <c r="E4891" s="1050"/>
      <c r="F4891" s="1050"/>
      <c r="G4891" s="1050"/>
    </row>
    <row r="4892" spans="1:7">
      <c r="A4892" s="1079"/>
      <c r="B4892" s="1050"/>
      <c r="C4892" s="1050"/>
      <c r="D4892" s="1050"/>
      <c r="E4892" s="1050"/>
      <c r="F4892" s="1050"/>
      <c r="G4892" s="1050"/>
    </row>
    <row r="4893" spans="1:7">
      <c r="A4893" s="1079"/>
      <c r="B4893" s="1050"/>
      <c r="C4893" s="1050"/>
      <c r="D4893" s="1050"/>
      <c r="E4893" s="1050"/>
      <c r="F4893" s="1050"/>
      <c r="G4893" s="1050"/>
    </row>
    <row r="4894" spans="1:7">
      <c r="A4894" s="1079"/>
      <c r="B4894" s="1050"/>
      <c r="C4894" s="1050"/>
      <c r="D4894" s="1050"/>
      <c r="E4894" s="1050"/>
      <c r="F4894" s="1050"/>
      <c r="G4894" s="1050"/>
    </row>
    <row r="4895" spans="1:7">
      <c r="A4895" s="1079"/>
      <c r="B4895" s="1050"/>
      <c r="C4895" s="1050"/>
      <c r="D4895" s="1050"/>
      <c r="E4895" s="1050"/>
      <c r="F4895" s="1050"/>
      <c r="G4895" s="1050"/>
    </row>
    <row r="4896" spans="1:7">
      <c r="A4896" s="1079"/>
      <c r="B4896" s="1050"/>
      <c r="C4896" s="1050"/>
      <c r="D4896" s="1050"/>
      <c r="E4896" s="1050"/>
      <c r="F4896" s="1050"/>
      <c r="G4896" s="1050"/>
    </row>
    <row r="4897" spans="1:7">
      <c r="A4897" s="1079"/>
      <c r="B4897" s="1050"/>
      <c r="C4897" s="1050"/>
      <c r="D4897" s="1050"/>
      <c r="E4897" s="1050"/>
      <c r="F4897" s="1050"/>
      <c r="G4897" s="1050"/>
    </row>
    <row r="4898" spans="1:7">
      <c r="A4898" s="1079"/>
      <c r="B4898" s="1050"/>
      <c r="C4898" s="1050"/>
      <c r="D4898" s="1050"/>
      <c r="E4898" s="1050"/>
      <c r="F4898" s="1050"/>
      <c r="G4898" s="1050"/>
    </row>
    <row r="4899" spans="1:7">
      <c r="A4899" s="1079"/>
      <c r="B4899" s="1050"/>
      <c r="C4899" s="1050"/>
      <c r="D4899" s="1050"/>
      <c r="E4899" s="1050"/>
      <c r="F4899" s="1050"/>
      <c r="G4899" s="1050"/>
    </row>
    <row r="4900" spans="1:7">
      <c r="A4900" s="1079"/>
      <c r="B4900" s="1050"/>
      <c r="C4900" s="1050"/>
      <c r="D4900" s="1050"/>
      <c r="E4900" s="1050"/>
      <c r="F4900" s="1050"/>
      <c r="G4900" s="1050"/>
    </row>
    <row r="4901" spans="1:7">
      <c r="A4901" s="1079"/>
      <c r="B4901" s="1050"/>
      <c r="C4901" s="1050"/>
      <c r="D4901" s="1050"/>
      <c r="E4901" s="1050"/>
      <c r="F4901" s="1050"/>
      <c r="G4901" s="1050"/>
    </row>
    <row r="4902" spans="1:7">
      <c r="A4902" s="1079"/>
      <c r="B4902" s="1050"/>
      <c r="C4902" s="1050"/>
      <c r="D4902" s="1050"/>
      <c r="E4902" s="1050"/>
      <c r="F4902" s="1050"/>
      <c r="G4902" s="1050"/>
    </row>
    <row r="4903" spans="1:7">
      <c r="A4903" s="1079"/>
      <c r="B4903" s="1050"/>
      <c r="C4903" s="1050"/>
      <c r="D4903" s="1050"/>
      <c r="E4903" s="1050"/>
      <c r="F4903" s="1050"/>
      <c r="G4903" s="1050"/>
    </row>
    <row r="4904" spans="1:7">
      <c r="A4904" s="1079"/>
      <c r="B4904" s="1050"/>
      <c r="C4904" s="1050"/>
      <c r="D4904" s="1050"/>
      <c r="E4904" s="1050"/>
      <c r="F4904" s="1050"/>
      <c r="G4904" s="1050"/>
    </row>
    <row r="4905" spans="1:7">
      <c r="A4905" s="1079"/>
      <c r="B4905" s="1050"/>
      <c r="C4905" s="1050"/>
      <c r="D4905" s="1050"/>
      <c r="E4905" s="1050"/>
      <c r="F4905" s="1050"/>
      <c r="G4905" s="1050"/>
    </row>
    <row r="4906" spans="1:7">
      <c r="A4906" s="1079"/>
      <c r="B4906" s="1050"/>
      <c r="C4906" s="1050"/>
      <c r="D4906" s="1050"/>
      <c r="E4906" s="1050"/>
      <c r="F4906" s="1050"/>
      <c r="G4906" s="1050"/>
    </row>
    <row r="4907" spans="1:7">
      <c r="A4907" s="1079"/>
      <c r="B4907" s="1050"/>
      <c r="C4907" s="1050"/>
      <c r="D4907" s="1050"/>
      <c r="E4907" s="1050"/>
      <c r="F4907" s="1050"/>
      <c r="G4907" s="1050"/>
    </row>
    <row r="4908" spans="1:7">
      <c r="A4908" s="1079"/>
      <c r="B4908" s="1050"/>
      <c r="C4908" s="1050"/>
      <c r="D4908" s="1050"/>
      <c r="E4908" s="1050"/>
      <c r="F4908" s="1050"/>
      <c r="G4908" s="1050"/>
    </row>
    <row r="4909" spans="1:7">
      <c r="A4909" s="1079"/>
      <c r="B4909" s="1050"/>
      <c r="C4909" s="1050"/>
      <c r="D4909" s="1050"/>
      <c r="E4909" s="1050"/>
      <c r="F4909" s="1050"/>
      <c r="G4909" s="1050"/>
    </row>
    <row r="4910" spans="1:7">
      <c r="A4910" s="1079"/>
      <c r="B4910" s="1050"/>
      <c r="C4910" s="1050"/>
      <c r="D4910" s="1050"/>
      <c r="E4910" s="1050"/>
      <c r="F4910" s="1050"/>
      <c r="G4910" s="1050"/>
    </row>
    <row r="4911" spans="1:7">
      <c r="A4911" s="1079"/>
      <c r="B4911" s="1050"/>
      <c r="C4911" s="1050"/>
      <c r="D4911" s="1050"/>
      <c r="E4911" s="1050"/>
      <c r="F4911" s="1050"/>
      <c r="G4911" s="1050"/>
    </row>
    <row r="4912" spans="1:7">
      <c r="A4912" s="1079"/>
      <c r="B4912" s="1050"/>
      <c r="C4912" s="1050"/>
      <c r="D4912" s="1050"/>
      <c r="E4912" s="1050"/>
      <c r="F4912" s="1050"/>
      <c r="G4912" s="1050"/>
    </row>
    <row r="4913" spans="1:7">
      <c r="A4913" s="1079"/>
      <c r="B4913" s="1050"/>
      <c r="C4913" s="1050"/>
      <c r="D4913" s="1050"/>
      <c r="E4913" s="1050"/>
      <c r="F4913" s="1050"/>
      <c r="G4913" s="1050"/>
    </row>
    <row r="4914" spans="1:7">
      <c r="A4914" s="1079"/>
      <c r="B4914" s="1050"/>
      <c r="C4914" s="1050"/>
      <c r="D4914" s="1050"/>
      <c r="E4914" s="1050"/>
      <c r="F4914" s="1050"/>
      <c r="G4914" s="1050"/>
    </row>
    <row r="4915" spans="1:7">
      <c r="A4915" s="1079"/>
      <c r="B4915" s="1050"/>
      <c r="C4915" s="1050"/>
      <c r="D4915" s="1050"/>
      <c r="E4915" s="1050"/>
      <c r="F4915" s="1050"/>
      <c r="G4915" s="1050"/>
    </row>
    <row r="4916" spans="1:7">
      <c r="A4916" s="1079"/>
      <c r="B4916" s="1050"/>
      <c r="C4916" s="1050"/>
      <c r="D4916" s="1050"/>
      <c r="E4916" s="1050"/>
      <c r="F4916" s="1050"/>
      <c r="G4916" s="1050"/>
    </row>
    <row r="4917" spans="1:7">
      <c r="A4917" s="1079"/>
      <c r="B4917" s="1050"/>
      <c r="C4917" s="1050"/>
      <c r="D4917" s="1050"/>
      <c r="E4917" s="1050"/>
      <c r="F4917" s="1050"/>
      <c r="G4917" s="1050"/>
    </row>
    <row r="4918" spans="1:7">
      <c r="A4918" s="1079"/>
      <c r="B4918" s="1050"/>
      <c r="C4918" s="1050"/>
      <c r="D4918" s="1050"/>
      <c r="E4918" s="1050"/>
      <c r="F4918" s="1050"/>
      <c r="G4918" s="1050"/>
    </row>
    <row r="4919" spans="1:7">
      <c r="A4919" s="1079"/>
      <c r="B4919" s="1050"/>
      <c r="C4919" s="1050"/>
      <c r="D4919" s="1050"/>
      <c r="E4919" s="1050"/>
      <c r="F4919" s="1050"/>
      <c r="G4919" s="1050"/>
    </row>
    <row r="4920" spans="1:7">
      <c r="A4920" s="1079"/>
      <c r="B4920" s="1050"/>
      <c r="C4920" s="1050"/>
      <c r="D4920" s="1050"/>
      <c r="E4920" s="1050"/>
      <c r="F4920" s="1050"/>
      <c r="G4920" s="1050"/>
    </row>
    <row r="4921" spans="1:7">
      <c r="A4921" s="1079"/>
      <c r="B4921" s="1050"/>
      <c r="C4921" s="1050"/>
      <c r="D4921" s="1050"/>
      <c r="E4921" s="1050"/>
      <c r="F4921" s="1050"/>
      <c r="G4921" s="1050"/>
    </row>
    <row r="4922" spans="1:7">
      <c r="A4922" s="1079"/>
      <c r="B4922" s="1050"/>
      <c r="C4922" s="1050"/>
      <c r="D4922" s="1050"/>
      <c r="E4922" s="1050"/>
      <c r="F4922" s="1050"/>
      <c r="G4922" s="1050"/>
    </row>
    <row r="4923" spans="1:7">
      <c r="A4923" s="1079"/>
      <c r="B4923" s="1050"/>
      <c r="C4923" s="1050"/>
      <c r="D4923" s="1050"/>
      <c r="E4923" s="1050"/>
      <c r="F4923" s="1050"/>
      <c r="G4923" s="1050"/>
    </row>
    <row r="4924" spans="1:7">
      <c r="A4924" s="1079"/>
      <c r="B4924" s="1050"/>
      <c r="C4924" s="1050"/>
      <c r="D4924" s="1050"/>
      <c r="E4924" s="1050"/>
      <c r="F4924" s="1050"/>
      <c r="G4924" s="1050"/>
    </row>
    <row r="4925" spans="1:7">
      <c r="A4925" s="1079"/>
      <c r="B4925" s="1050"/>
      <c r="C4925" s="1050"/>
      <c r="D4925" s="1050"/>
      <c r="E4925" s="1050"/>
      <c r="F4925" s="1050"/>
      <c r="G4925" s="1050"/>
    </row>
    <row r="4926" spans="1:7">
      <c r="A4926" s="1079"/>
      <c r="B4926" s="1050"/>
      <c r="C4926" s="1050"/>
      <c r="D4926" s="1050"/>
      <c r="E4926" s="1050"/>
      <c r="F4926" s="1050"/>
      <c r="G4926" s="1050"/>
    </row>
    <row r="4927" spans="1:7">
      <c r="A4927" s="1079"/>
      <c r="B4927" s="1050"/>
      <c r="C4927" s="1050"/>
      <c r="D4927" s="1050"/>
      <c r="E4927" s="1050"/>
      <c r="F4927" s="1050"/>
      <c r="G4927" s="1050"/>
    </row>
    <row r="4928" spans="1:7">
      <c r="A4928" s="1079"/>
      <c r="B4928" s="1050"/>
      <c r="C4928" s="1050"/>
      <c r="D4928" s="1050"/>
      <c r="E4928" s="1050"/>
      <c r="F4928" s="1050"/>
      <c r="G4928" s="1050"/>
    </row>
    <row r="4929" spans="1:7">
      <c r="A4929" s="1079"/>
      <c r="B4929" s="1050"/>
      <c r="C4929" s="1050"/>
      <c r="D4929" s="1050"/>
      <c r="E4929" s="1050"/>
      <c r="F4929" s="1050"/>
      <c r="G4929" s="1050"/>
    </row>
    <row r="4930" spans="1:7">
      <c r="A4930" s="1079"/>
      <c r="B4930" s="1050"/>
      <c r="C4930" s="1050"/>
      <c r="D4930" s="1050"/>
      <c r="E4930" s="1050"/>
      <c r="F4930" s="1050"/>
      <c r="G4930" s="1050"/>
    </row>
    <row r="4931" spans="1:7">
      <c r="A4931" s="1079"/>
      <c r="B4931" s="1050"/>
      <c r="C4931" s="1050"/>
      <c r="D4931" s="1050"/>
      <c r="E4931" s="1050"/>
      <c r="F4931" s="1050"/>
      <c r="G4931" s="1050"/>
    </row>
    <row r="4932" spans="1:7">
      <c r="A4932" s="1079"/>
      <c r="B4932" s="1050"/>
      <c r="C4932" s="1050"/>
      <c r="D4932" s="1050"/>
      <c r="E4932" s="1050"/>
      <c r="F4932" s="1050"/>
      <c r="G4932" s="1050"/>
    </row>
    <row r="4933" spans="1:7">
      <c r="A4933" s="1079"/>
      <c r="B4933" s="1050"/>
      <c r="C4933" s="1050"/>
      <c r="D4933" s="1050"/>
      <c r="E4933" s="1050"/>
      <c r="F4933" s="1050"/>
      <c r="G4933" s="1050"/>
    </row>
    <row r="4934" spans="1:7">
      <c r="A4934" s="1079"/>
      <c r="B4934" s="1050"/>
      <c r="C4934" s="1050"/>
      <c r="D4934" s="1050"/>
      <c r="E4934" s="1050"/>
      <c r="F4934" s="1050"/>
      <c r="G4934" s="1050"/>
    </row>
    <row r="4935" spans="1:7">
      <c r="A4935" s="1079"/>
      <c r="B4935" s="1050"/>
      <c r="C4935" s="1050"/>
      <c r="D4935" s="1050"/>
      <c r="E4935" s="1050"/>
      <c r="F4935" s="1050"/>
      <c r="G4935" s="1050"/>
    </row>
    <row r="4936" spans="1:7">
      <c r="A4936" s="1079"/>
      <c r="B4936" s="1050"/>
      <c r="C4936" s="1050"/>
      <c r="D4936" s="1050"/>
      <c r="E4936" s="1050"/>
      <c r="F4936" s="1050"/>
      <c r="G4936" s="1050"/>
    </row>
    <row r="4937" spans="1:7">
      <c r="A4937" s="1079"/>
      <c r="B4937" s="1050"/>
      <c r="C4937" s="1050"/>
      <c r="D4937" s="1050"/>
      <c r="E4937" s="1050"/>
      <c r="F4937" s="1050"/>
      <c r="G4937" s="1050"/>
    </row>
    <row r="4938" spans="1:7">
      <c r="A4938" s="1079"/>
      <c r="B4938" s="1050"/>
      <c r="C4938" s="1050"/>
      <c r="D4938" s="1050"/>
      <c r="E4938" s="1050"/>
      <c r="F4938" s="1050"/>
      <c r="G4938" s="1050"/>
    </row>
    <row r="4939" spans="1:7">
      <c r="A4939" s="1079"/>
      <c r="B4939" s="1050"/>
      <c r="C4939" s="1050"/>
      <c r="D4939" s="1050"/>
      <c r="E4939" s="1050"/>
      <c r="F4939" s="1050"/>
      <c r="G4939" s="1050"/>
    </row>
    <row r="4940" spans="1:7">
      <c r="A4940" s="1079"/>
      <c r="B4940" s="1050"/>
      <c r="C4940" s="1050"/>
      <c r="D4940" s="1050"/>
      <c r="E4940" s="1050"/>
      <c r="F4940" s="1050"/>
      <c r="G4940" s="1050"/>
    </row>
    <row r="4941" spans="1:7">
      <c r="A4941" s="1079"/>
      <c r="B4941" s="1050"/>
      <c r="C4941" s="1050"/>
      <c r="D4941" s="1050"/>
      <c r="E4941" s="1050"/>
      <c r="F4941" s="1050"/>
      <c r="G4941" s="1050"/>
    </row>
    <row r="4942" spans="1:7">
      <c r="A4942" s="1079"/>
      <c r="B4942" s="1050"/>
      <c r="C4942" s="1050"/>
      <c r="D4942" s="1050"/>
      <c r="E4942" s="1050"/>
      <c r="F4942" s="1050"/>
      <c r="G4942" s="1050"/>
    </row>
    <row r="4943" spans="1:7">
      <c r="A4943" s="1079"/>
      <c r="B4943" s="1050"/>
      <c r="C4943" s="1050"/>
      <c r="D4943" s="1050"/>
      <c r="E4943" s="1050"/>
      <c r="F4943" s="1050"/>
      <c r="G4943" s="1050"/>
    </row>
    <row r="4944" spans="1:7">
      <c r="A4944" s="1079"/>
      <c r="B4944" s="1050"/>
      <c r="C4944" s="1050"/>
      <c r="D4944" s="1050"/>
      <c r="E4944" s="1050"/>
      <c r="F4944" s="1050"/>
      <c r="G4944" s="1050"/>
    </row>
    <row r="4945" spans="1:7">
      <c r="A4945" s="1079"/>
      <c r="B4945" s="1050"/>
      <c r="C4945" s="1050"/>
      <c r="D4945" s="1050"/>
      <c r="E4945" s="1050"/>
      <c r="F4945" s="1050"/>
      <c r="G4945" s="1050"/>
    </row>
    <row r="4946" spans="1:7">
      <c r="A4946" s="1079"/>
      <c r="B4946" s="1050"/>
      <c r="C4946" s="1050"/>
      <c r="D4946" s="1050"/>
      <c r="E4946" s="1050"/>
      <c r="F4946" s="1050"/>
      <c r="G4946" s="1050"/>
    </row>
    <row r="4947" spans="1:7">
      <c r="A4947" s="1079"/>
      <c r="B4947" s="1050"/>
      <c r="C4947" s="1050"/>
      <c r="D4947" s="1050"/>
      <c r="E4947" s="1050"/>
      <c r="F4947" s="1050"/>
      <c r="G4947" s="1050"/>
    </row>
    <row r="4948" spans="1:7">
      <c r="A4948" s="1079"/>
      <c r="B4948" s="1050"/>
      <c r="C4948" s="1050"/>
      <c r="D4948" s="1050"/>
      <c r="E4948" s="1050"/>
      <c r="F4948" s="1050"/>
      <c r="G4948" s="1050"/>
    </row>
    <row r="4949" spans="1:7">
      <c r="A4949" s="1079"/>
      <c r="B4949" s="1050"/>
      <c r="C4949" s="1050"/>
      <c r="D4949" s="1050"/>
      <c r="E4949" s="1050"/>
      <c r="F4949" s="1050"/>
      <c r="G4949" s="1050"/>
    </row>
    <row r="4950" spans="1:7">
      <c r="A4950" s="1079"/>
      <c r="B4950" s="1050"/>
      <c r="C4950" s="1050"/>
      <c r="D4950" s="1050"/>
      <c r="E4950" s="1050"/>
      <c r="F4950" s="1050"/>
      <c r="G4950" s="1050"/>
    </row>
    <row r="4951" spans="1:7">
      <c r="A4951" s="1079"/>
      <c r="B4951" s="1050"/>
      <c r="C4951" s="1050"/>
      <c r="D4951" s="1050"/>
      <c r="E4951" s="1050"/>
      <c r="F4951" s="1050"/>
      <c r="G4951" s="1050"/>
    </row>
    <row r="4952" spans="1:7">
      <c r="A4952" s="1079"/>
      <c r="B4952" s="1050"/>
      <c r="C4952" s="1050"/>
      <c r="D4952" s="1050"/>
      <c r="E4952" s="1050"/>
      <c r="F4952" s="1050"/>
      <c r="G4952" s="1050"/>
    </row>
    <row r="4953" spans="1:7">
      <c r="A4953" s="1079"/>
      <c r="B4953" s="1050"/>
      <c r="C4953" s="1050"/>
      <c r="D4953" s="1050"/>
      <c r="E4953" s="1050"/>
      <c r="F4953" s="1050"/>
      <c r="G4953" s="1050"/>
    </row>
    <row r="4954" spans="1:7">
      <c r="A4954" s="1079"/>
      <c r="B4954" s="1050"/>
      <c r="C4954" s="1050"/>
      <c r="D4954" s="1050"/>
      <c r="E4954" s="1050"/>
      <c r="F4954" s="1050"/>
      <c r="G4954" s="1050"/>
    </row>
    <row r="4955" spans="1:7">
      <c r="A4955" s="1079"/>
      <c r="B4955" s="1050"/>
      <c r="C4955" s="1050"/>
      <c r="D4955" s="1050"/>
      <c r="E4955" s="1050"/>
      <c r="F4955" s="1050"/>
      <c r="G4955" s="1050"/>
    </row>
    <row r="4956" spans="1:7">
      <c r="A4956" s="1079"/>
      <c r="B4956" s="1050"/>
      <c r="C4956" s="1050"/>
      <c r="D4956" s="1050"/>
      <c r="E4956" s="1050"/>
      <c r="F4956" s="1050"/>
      <c r="G4956" s="1050"/>
    </row>
    <row r="4957" spans="1:7">
      <c r="A4957" s="1079"/>
      <c r="B4957" s="1050"/>
      <c r="C4957" s="1050"/>
      <c r="D4957" s="1050"/>
      <c r="E4957" s="1050"/>
      <c r="F4957" s="1050"/>
      <c r="G4957" s="1050"/>
    </row>
    <row r="4958" spans="1:7">
      <c r="A4958" s="1079"/>
      <c r="B4958" s="1050"/>
      <c r="C4958" s="1050"/>
      <c r="D4958" s="1050"/>
      <c r="E4958" s="1050"/>
      <c r="F4958" s="1050"/>
      <c r="G4958" s="1050"/>
    </row>
    <row r="4959" spans="1:7">
      <c r="A4959" s="1079"/>
      <c r="B4959" s="1050"/>
      <c r="C4959" s="1050"/>
      <c r="D4959" s="1050"/>
      <c r="E4959" s="1050"/>
      <c r="F4959" s="1050"/>
      <c r="G4959" s="1050"/>
    </row>
    <row r="4960" spans="1:7">
      <c r="A4960" s="1079"/>
      <c r="B4960" s="1050"/>
      <c r="C4960" s="1050"/>
      <c r="D4960" s="1050"/>
      <c r="E4960" s="1050"/>
      <c r="F4960" s="1050"/>
      <c r="G4960" s="1050"/>
    </row>
    <row r="4961" spans="1:7">
      <c r="A4961" s="1079"/>
      <c r="B4961" s="1050"/>
      <c r="C4961" s="1050"/>
      <c r="D4961" s="1050"/>
      <c r="E4961" s="1050"/>
      <c r="F4961" s="1050"/>
      <c r="G4961" s="1050"/>
    </row>
    <row r="4962" spans="1:7">
      <c r="A4962" s="1079"/>
      <c r="B4962" s="1050"/>
      <c r="C4962" s="1050"/>
      <c r="D4962" s="1050"/>
      <c r="E4962" s="1050"/>
      <c r="F4962" s="1050"/>
      <c r="G4962" s="1050"/>
    </row>
    <row r="4963" spans="1:7">
      <c r="A4963" s="1079"/>
      <c r="B4963" s="1050"/>
      <c r="C4963" s="1050"/>
      <c r="D4963" s="1050"/>
      <c r="E4963" s="1050"/>
      <c r="F4963" s="1050"/>
      <c r="G4963" s="1050"/>
    </row>
    <row r="4964" spans="1:7">
      <c r="A4964" s="1079"/>
      <c r="B4964" s="1050"/>
      <c r="C4964" s="1050"/>
      <c r="D4964" s="1050"/>
      <c r="E4964" s="1050"/>
      <c r="F4964" s="1050"/>
      <c r="G4964" s="1050"/>
    </row>
    <row r="4965" spans="1:7">
      <c r="A4965" s="1079"/>
      <c r="B4965" s="1050"/>
      <c r="C4965" s="1050"/>
      <c r="D4965" s="1050"/>
      <c r="E4965" s="1050"/>
      <c r="F4965" s="1050"/>
      <c r="G4965" s="1050"/>
    </row>
    <row r="4966" spans="1:7">
      <c r="A4966" s="1079"/>
      <c r="B4966" s="1050"/>
      <c r="C4966" s="1050"/>
      <c r="D4966" s="1050"/>
      <c r="E4966" s="1050"/>
      <c r="F4966" s="1050"/>
      <c r="G4966" s="1050"/>
    </row>
    <row r="4967" spans="1:7">
      <c r="A4967" s="1079"/>
      <c r="B4967" s="1050"/>
      <c r="C4967" s="1050"/>
      <c r="D4967" s="1050"/>
      <c r="E4967" s="1050"/>
      <c r="F4967" s="1050"/>
      <c r="G4967" s="1050"/>
    </row>
    <row r="4968" spans="1:7">
      <c r="A4968" s="1079"/>
      <c r="B4968" s="1050"/>
      <c r="C4968" s="1050"/>
      <c r="D4968" s="1050"/>
      <c r="E4968" s="1050"/>
      <c r="F4968" s="1050"/>
      <c r="G4968" s="1050"/>
    </row>
    <row r="4969" spans="1:7">
      <c r="A4969" s="1079"/>
      <c r="B4969" s="1050"/>
      <c r="C4969" s="1050"/>
      <c r="D4969" s="1050"/>
      <c r="E4969" s="1050"/>
      <c r="F4969" s="1050"/>
      <c r="G4969" s="1050"/>
    </row>
    <row r="4970" spans="1:7">
      <c r="A4970" s="1079"/>
      <c r="B4970" s="1050"/>
      <c r="C4970" s="1050"/>
      <c r="D4970" s="1050"/>
      <c r="E4970" s="1050"/>
      <c r="F4970" s="1050"/>
      <c r="G4970" s="1050"/>
    </row>
    <row r="4971" spans="1:7">
      <c r="A4971" s="1079"/>
      <c r="B4971" s="1050"/>
      <c r="C4971" s="1050"/>
      <c r="D4971" s="1050"/>
      <c r="E4971" s="1050"/>
      <c r="F4971" s="1050"/>
      <c r="G4971" s="1050"/>
    </row>
    <row r="4972" spans="1:7">
      <c r="A4972" s="1079"/>
      <c r="B4972" s="1050"/>
      <c r="C4972" s="1050"/>
      <c r="D4972" s="1050"/>
      <c r="E4972" s="1050"/>
      <c r="F4972" s="1050"/>
      <c r="G4972" s="1050"/>
    </row>
    <row r="4973" spans="1:7">
      <c r="A4973" s="1079"/>
      <c r="B4973" s="1050"/>
      <c r="C4973" s="1050"/>
      <c r="D4973" s="1050"/>
      <c r="E4973" s="1050"/>
      <c r="F4973" s="1050"/>
      <c r="G4973" s="1050"/>
    </row>
    <row r="4974" spans="1:7">
      <c r="A4974" s="1079"/>
      <c r="B4974" s="1050"/>
      <c r="C4974" s="1050"/>
      <c r="D4974" s="1050"/>
      <c r="E4974" s="1050"/>
      <c r="F4974" s="1050"/>
      <c r="G4974" s="1050"/>
    </row>
    <row r="4975" spans="1:7">
      <c r="A4975" s="1079"/>
      <c r="B4975" s="1050"/>
      <c r="C4975" s="1050"/>
      <c r="D4975" s="1050"/>
      <c r="E4975" s="1050"/>
      <c r="F4975" s="1050"/>
      <c r="G4975" s="1050"/>
    </row>
    <row r="4976" spans="1:7">
      <c r="A4976" s="1079"/>
      <c r="B4976" s="1050"/>
      <c r="C4976" s="1050"/>
      <c r="D4976" s="1050"/>
      <c r="E4976" s="1050"/>
      <c r="F4976" s="1050"/>
      <c r="G4976" s="1050"/>
    </row>
    <row r="4977" spans="1:7">
      <c r="A4977" s="1079"/>
      <c r="B4977" s="1050"/>
      <c r="C4977" s="1050"/>
      <c r="D4977" s="1050"/>
      <c r="E4977" s="1050"/>
      <c r="F4977" s="1050"/>
      <c r="G4977" s="1050"/>
    </row>
    <row r="4978" spans="1:7">
      <c r="A4978" s="1079"/>
      <c r="B4978" s="1050"/>
      <c r="C4978" s="1050"/>
      <c r="D4978" s="1050"/>
      <c r="E4978" s="1050"/>
      <c r="F4978" s="1050"/>
      <c r="G4978" s="1050"/>
    </row>
    <row r="4979" spans="1:7">
      <c r="A4979" s="1079"/>
      <c r="B4979" s="1050"/>
      <c r="C4979" s="1050"/>
      <c r="D4979" s="1050"/>
      <c r="E4979" s="1050"/>
      <c r="F4979" s="1050"/>
      <c r="G4979" s="1050"/>
    </row>
    <row r="4980" spans="1:7">
      <c r="A4980" s="1079"/>
      <c r="B4980" s="1050"/>
      <c r="C4980" s="1050"/>
      <c r="D4980" s="1050"/>
      <c r="E4980" s="1050"/>
      <c r="F4980" s="1050"/>
      <c r="G4980" s="1050"/>
    </row>
    <row r="4981" spans="1:7">
      <c r="A4981" s="1079"/>
      <c r="B4981" s="1050"/>
      <c r="C4981" s="1050"/>
      <c r="D4981" s="1050"/>
      <c r="E4981" s="1050"/>
      <c r="F4981" s="1050"/>
      <c r="G4981" s="1050"/>
    </row>
    <row r="4982" spans="1:7">
      <c r="A4982" s="1079"/>
      <c r="B4982" s="1050"/>
      <c r="C4982" s="1050"/>
      <c r="D4982" s="1050"/>
      <c r="E4982" s="1050"/>
      <c r="F4982" s="1050"/>
      <c r="G4982" s="1050"/>
    </row>
    <row r="4983" spans="1:7">
      <c r="A4983" s="1079"/>
      <c r="B4983" s="1050"/>
      <c r="C4983" s="1050"/>
      <c r="D4983" s="1050"/>
      <c r="E4983" s="1050"/>
      <c r="F4983" s="1050"/>
      <c r="G4983" s="1050"/>
    </row>
    <row r="4984" spans="1:7">
      <c r="A4984" s="1079"/>
      <c r="B4984" s="1050"/>
      <c r="C4984" s="1050"/>
      <c r="D4984" s="1050"/>
      <c r="E4984" s="1050"/>
      <c r="F4984" s="1050"/>
      <c r="G4984" s="1050"/>
    </row>
    <row r="4985" spans="1:7">
      <c r="A4985" s="1079"/>
      <c r="B4985" s="1050"/>
      <c r="C4985" s="1050"/>
      <c r="D4985" s="1050"/>
      <c r="E4985" s="1050"/>
      <c r="F4985" s="1050"/>
      <c r="G4985" s="1050"/>
    </row>
    <row r="4986" spans="1:7">
      <c r="A4986" s="1079"/>
      <c r="B4986" s="1050"/>
      <c r="C4986" s="1050"/>
      <c r="D4986" s="1050"/>
      <c r="E4986" s="1050"/>
      <c r="F4986" s="1050"/>
      <c r="G4986" s="1050"/>
    </row>
    <row r="4987" spans="1:7">
      <c r="A4987" s="1079"/>
      <c r="B4987" s="1050"/>
      <c r="C4987" s="1050"/>
      <c r="D4987" s="1050"/>
      <c r="E4987" s="1050"/>
      <c r="F4987" s="1050"/>
      <c r="G4987" s="1050"/>
    </row>
    <row r="4988" spans="1:7">
      <c r="A4988" s="1079"/>
      <c r="B4988" s="1050"/>
      <c r="C4988" s="1050"/>
      <c r="D4988" s="1050"/>
      <c r="E4988" s="1050"/>
      <c r="F4988" s="1050"/>
      <c r="G4988" s="1050"/>
    </row>
    <row r="4989" spans="1:7">
      <c r="A4989" s="1079"/>
      <c r="B4989" s="1050"/>
      <c r="C4989" s="1050"/>
      <c r="D4989" s="1050"/>
      <c r="E4989" s="1050"/>
      <c r="F4989" s="1050"/>
      <c r="G4989" s="1050"/>
    </row>
    <row r="4990" spans="1:7">
      <c r="A4990" s="1079"/>
      <c r="B4990" s="1050"/>
      <c r="C4990" s="1050"/>
      <c r="D4990" s="1050"/>
      <c r="E4990" s="1050"/>
      <c r="F4990" s="1050"/>
      <c r="G4990" s="1050"/>
    </row>
    <row r="4991" spans="1:7">
      <c r="A4991" s="1079"/>
      <c r="B4991" s="1050"/>
      <c r="C4991" s="1050"/>
      <c r="D4991" s="1050"/>
      <c r="E4991" s="1050"/>
      <c r="F4991" s="1050"/>
      <c r="G4991" s="1050"/>
    </row>
    <row r="4992" spans="1:7">
      <c r="A4992" s="1079"/>
      <c r="B4992" s="1050"/>
      <c r="C4992" s="1050"/>
      <c r="D4992" s="1050"/>
      <c r="E4992" s="1050"/>
      <c r="F4992" s="1050"/>
      <c r="G4992" s="1050"/>
    </row>
    <row r="4993" spans="1:7">
      <c r="A4993" s="1079"/>
      <c r="B4993" s="1050"/>
      <c r="C4993" s="1050"/>
      <c r="D4993" s="1050"/>
      <c r="E4993" s="1050"/>
      <c r="F4993" s="1050"/>
      <c r="G4993" s="1050"/>
    </row>
    <row r="4994" spans="1:7">
      <c r="A4994" s="1079"/>
      <c r="B4994" s="1050"/>
      <c r="C4994" s="1050"/>
      <c r="D4994" s="1050"/>
      <c r="E4994" s="1050"/>
      <c r="F4994" s="1050"/>
      <c r="G4994" s="1050"/>
    </row>
    <row r="4995" spans="1:7">
      <c r="A4995" s="1079"/>
      <c r="B4995" s="1050"/>
      <c r="C4995" s="1050"/>
      <c r="D4995" s="1050"/>
      <c r="E4995" s="1050"/>
      <c r="F4995" s="1050"/>
      <c r="G4995" s="1050"/>
    </row>
    <row r="4996" spans="1:7">
      <c r="A4996" s="1079"/>
      <c r="B4996" s="1050"/>
      <c r="C4996" s="1050"/>
      <c r="D4996" s="1050"/>
      <c r="E4996" s="1050"/>
      <c r="F4996" s="1050"/>
      <c r="G4996" s="1050"/>
    </row>
    <row r="4997" spans="1:7">
      <c r="A4997" s="1079"/>
      <c r="B4997" s="1050"/>
      <c r="C4997" s="1050"/>
      <c r="D4997" s="1050"/>
      <c r="E4997" s="1050"/>
      <c r="F4997" s="1050"/>
      <c r="G4997" s="1050"/>
    </row>
    <row r="4998" spans="1:7">
      <c r="A4998" s="1079"/>
      <c r="B4998" s="1050"/>
      <c r="C4998" s="1050"/>
      <c r="D4998" s="1050"/>
      <c r="E4998" s="1050"/>
      <c r="F4998" s="1050"/>
      <c r="G4998" s="1050"/>
    </row>
    <row r="4999" spans="1:7">
      <c r="A4999" s="1079"/>
      <c r="B4999" s="1050"/>
      <c r="C4999" s="1050"/>
      <c r="D4999" s="1050"/>
      <c r="E4999" s="1050"/>
      <c r="F4999" s="1050"/>
      <c r="G4999" s="1050"/>
    </row>
    <row r="5000" spans="1:7">
      <c r="A5000" s="1079"/>
      <c r="B5000" s="1050"/>
      <c r="C5000" s="1050"/>
      <c r="D5000" s="1050"/>
      <c r="E5000" s="1050"/>
      <c r="F5000" s="1050"/>
      <c r="G5000" s="1050"/>
    </row>
    <row r="5001" spans="1:7">
      <c r="A5001" s="1079"/>
      <c r="B5001" s="1050"/>
      <c r="C5001" s="1050"/>
      <c r="D5001" s="1050"/>
      <c r="E5001" s="1050"/>
      <c r="F5001" s="1050"/>
      <c r="G5001" s="1050"/>
    </row>
    <row r="5002" spans="1:7">
      <c r="A5002" s="1079"/>
      <c r="B5002" s="1050"/>
      <c r="C5002" s="1050"/>
      <c r="D5002" s="1050"/>
      <c r="E5002" s="1050"/>
      <c r="F5002" s="1050"/>
      <c r="G5002" s="1050"/>
    </row>
    <row r="5003" spans="1:7">
      <c r="A5003" s="1079"/>
      <c r="B5003" s="1050"/>
      <c r="C5003" s="1050"/>
      <c r="D5003" s="1050"/>
      <c r="E5003" s="1050"/>
      <c r="F5003" s="1050"/>
      <c r="G5003" s="1050"/>
    </row>
    <row r="5004" spans="1:7">
      <c r="A5004" s="1079"/>
      <c r="B5004" s="1050"/>
      <c r="C5004" s="1050"/>
      <c r="D5004" s="1050"/>
      <c r="E5004" s="1050"/>
      <c r="F5004" s="1050"/>
      <c r="G5004" s="1050"/>
    </row>
    <row r="5005" spans="1:7">
      <c r="A5005" s="1079"/>
      <c r="B5005" s="1050"/>
      <c r="C5005" s="1050"/>
      <c r="D5005" s="1050"/>
      <c r="E5005" s="1050"/>
      <c r="F5005" s="1050"/>
      <c r="G5005" s="1050"/>
    </row>
    <row r="5006" spans="1:7">
      <c r="A5006" s="1079"/>
      <c r="B5006" s="1050"/>
      <c r="C5006" s="1050"/>
      <c r="D5006" s="1050"/>
      <c r="E5006" s="1050"/>
      <c r="F5006" s="1050"/>
      <c r="G5006" s="1050"/>
    </row>
    <row r="5007" spans="1:7">
      <c r="A5007" s="1079"/>
      <c r="B5007" s="1050"/>
      <c r="C5007" s="1050"/>
      <c r="D5007" s="1050"/>
      <c r="E5007" s="1050"/>
      <c r="F5007" s="1050"/>
      <c r="G5007" s="1050"/>
    </row>
    <row r="5008" spans="1:7">
      <c r="A5008" s="1079"/>
      <c r="B5008" s="1050"/>
      <c r="C5008" s="1050"/>
      <c r="D5008" s="1050"/>
      <c r="E5008" s="1050"/>
      <c r="F5008" s="1050"/>
      <c r="G5008" s="1050"/>
    </row>
    <row r="5009" spans="1:7">
      <c r="A5009" s="1079"/>
      <c r="B5009" s="1050"/>
      <c r="C5009" s="1050"/>
      <c r="D5009" s="1050"/>
      <c r="E5009" s="1050"/>
      <c r="F5009" s="1050"/>
      <c r="G5009" s="1050"/>
    </row>
    <row r="5010" spans="1:7">
      <c r="A5010" s="1079"/>
      <c r="B5010" s="1050"/>
      <c r="C5010" s="1050"/>
      <c r="D5010" s="1050"/>
      <c r="E5010" s="1050"/>
      <c r="F5010" s="1050"/>
      <c r="G5010" s="1050"/>
    </row>
    <row r="5011" spans="1:7">
      <c r="A5011" s="1079"/>
      <c r="B5011" s="1050"/>
      <c r="C5011" s="1050"/>
      <c r="D5011" s="1050"/>
      <c r="E5011" s="1050"/>
      <c r="F5011" s="1050"/>
      <c r="G5011" s="1050"/>
    </row>
    <row r="5012" spans="1:7">
      <c r="A5012" s="1079"/>
      <c r="B5012" s="1050"/>
      <c r="C5012" s="1050"/>
      <c r="D5012" s="1050"/>
      <c r="E5012" s="1050"/>
      <c r="F5012" s="1050"/>
      <c r="G5012" s="1050"/>
    </row>
    <row r="5013" spans="1:7">
      <c r="A5013" s="1079"/>
      <c r="B5013" s="1050"/>
      <c r="C5013" s="1050"/>
      <c r="D5013" s="1050"/>
      <c r="E5013" s="1050"/>
      <c r="F5013" s="1050"/>
      <c r="G5013" s="1050"/>
    </row>
    <row r="5014" spans="1:7">
      <c r="A5014" s="1079"/>
      <c r="B5014" s="1050"/>
      <c r="C5014" s="1050"/>
      <c r="D5014" s="1050"/>
      <c r="E5014" s="1050"/>
      <c r="F5014" s="1050"/>
      <c r="G5014" s="1050"/>
    </row>
    <row r="5015" spans="1:7">
      <c r="A5015" s="1079"/>
      <c r="B5015" s="1050"/>
      <c r="C5015" s="1050"/>
      <c r="D5015" s="1050"/>
      <c r="E5015" s="1050"/>
      <c r="F5015" s="1050"/>
      <c r="G5015" s="1050"/>
    </row>
    <row r="5016" spans="1:7">
      <c r="A5016" s="1079"/>
      <c r="B5016" s="1050"/>
      <c r="C5016" s="1050"/>
      <c r="D5016" s="1050"/>
      <c r="E5016" s="1050"/>
      <c r="F5016" s="1050"/>
      <c r="G5016" s="1050"/>
    </row>
    <row r="5017" spans="1:7">
      <c r="A5017" s="1079"/>
      <c r="B5017" s="1050"/>
      <c r="C5017" s="1050"/>
      <c r="D5017" s="1050"/>
      <c r="E5017" s="1050"/>
      <c r="F5017" s="1050"/>
      <c r="G5017" s="1050"/>
    </row>
    <row r="5018" spans="1:7">
      <c r="A5018" s="1079"/>
      <c r="B5018" s="1050"/>
      <c r="C5018" s="1050"/>
      <c r="D5018" s="1050"/>
      <c r="E5018" s="1050"/>
      <c r="F5018" s="1050"/>
      <c r="G5018" s="1050"/>
    </row>
    <row r="5019" spans="1:7">
      <c r="A5019" s="1079"/>
      <c r="B5019" s="1050"/>
      <c r="C5019" s="1050"/>
      <c r="D5019" s="1050"/>
      <c r="E5019" s="1050"/>
      <c r="F5019" s="1050"/>
      <c r="G5019" s="1050"/>
    </row>
    <row r="5020" spans="1:7">
      <c r="A5020" s="1079"/>
      <c r="B5020" s="1050"/>
      <c r="C5020" s="1050"/>
      <c r="D5020" s="1050"/>
      <c r="E5020" s="1050"/>
      <c r="F5020" s="1050"/>
      <c r="G5020" s="1050"/>
    </row>
    <row r="5021" spans="1:7">
      <c r="A5021" s="1079"/>
      <c r="B5021" s="1050"/>
      <c r="C5021" s="1050"/>
      <c r="D5021" s="1050"/>
      <c r="E5021" s="1050"/>
      <c r="F5021" s="1050"/>
      <c r="G5021" s="1050"/>
    </row>
    <row r="5022" spans="1:7">
      <c r="A5022" s="1079"/>
      <c r="B5022" s="1050"/>
      <c r="C5022" s="1050"/>
      <c r="D5022" s="1050"/>
      <c r="E5022" s="1050"/>
      <c r="F5022" s="1050"/>
      <c r="G5022" s="1050"/>
    </row>
    <row r="5023" spans="1:7">
      <c r="A5023" s="1079"/>
      <c r="B5023" s="1050"/>
      <c r="C5023" s="1050"/>
      <c r="D5023" s="1050"/>
      <c r="E5023" s="1050"/>
      <c r="F5023" s="1050"/>
      <c r="G5023" s="1050"/>
    </row>
    <row r="5024" spans="1:7">
      <c r="A5024" s="1079"/>
      <c r="B5024" s="1050"/>
      <c r="C5024" s="1050"/>
      <c r="D5024" s="1050"/>
      <c r="E5024" s="1050"/>
      <c r="F5024" s="1050"/>
      <c r="G5024" s="1050"/>
    </row>
    <row r="5025" spans="1:7">
      <c r="A5025" s="1079"/>
      <c r="B5025" s="1050"/>
      <c r="C5025" s="1050"/>
      <c r="D5025" s="1050"/>
      <c r="E5025" s="1050"/>
      <c r="F5025" s="1050"/>
      <c r="G5025" s="1050"/>
    </row>
    <row r="5026" spans="1:7">
      <c r="A5026" s="1079"/>
      <c r="B5026" s="1050"/>
      <c r="C5026" s="1050"/>
      <c r="D5026" s="1050"/>
      <c r="E5026" s="1050"/>
      <c r="F5026" s="1050"/>
      <c r="G5026" s="1050"/>
    </row>
    <row r="5027" spans="1:7">
      <c r="A5027" s="1079"/>
      <c r="B5027" s="1050"/>
      <c r="C5027" s="1050"/>
      <c r="D5027" s="1050"/>
      <c r="E5027" s="1050"/>
      <c r="F5027" s="1050"/>
      <c r="G5027" s="1050"/>
    </row>
    <row r="5028" spans="1:7">
      <c r="A5028" s="1079"/>
      <c r="B5028" s="1050"/>
      <c r="C5028" s="1050"/>
      <c r="D5028" s="1050"/>
      <c r="E5028" s="1050"/>
      <c r="F5028" s="1050"/>
      <c r="G5028" s="1050"/>
    </row>
    <row r="5029" spans="1:7">
      <c r="A5029" s="1079"/>
      <c r="B5029" s="1050"/>
      <c r="C5029" s="1050"/>
      <c r="D5029" s="1050"/>
      <c r="E5029" s="1050"/>
      <c r="F5029" s="1050"/>
      <c r="G5029" s="1050"/>
    </row>
    <row r="5030" spans="1:7">
      <c r="A5030" s="1079"/>
      <c r="B5030" s="1050"/>
      <c r="C5030" s="1050"/>
      <c r="D5030" s="1050"/>
      <c r="E5030" s="1050"/>
      <c r="F5030" s="1050"/>
      <c r="G5030" s="1050"/>
    </row>
    <row r="5031" spans="1:7">
      <c r="A5031" s="1079"/>
      <c r="B5031" s="1050"/>
      <c r="C5031" s="1050"/>
      <c r="D5031" s="1050"/>
      <c r="E5031" s="1050"/>
      <c r="F5031" s="1050"/>
      <c r="G5031" s="1050"/>
    </row>
    <row r="5032" spans="1:7">
      <c r="A5032" s="1079"/>
      <c r="B5032" s="1050"/>
      <c r="C5032" s="1050"/>
      <c r="D5032" s="1050"/>
      <c r="E5032" s="1050"/>
      <c r="F5032" s="1050"/>
      <c r="G5032" s="1050"/>
    </row>
    <row r="5033" spans="1:7">
      <c r="A5033" s="1079"/>
      <c r="B5033" s="1050"/>
      <c r="C5033" s="1050"/>
      <c r="D5033" s="1050"/>
      <c r="E5033" s="1050"/>
      <c r="F5033" s="1050"/>
      <c r="G5033" s="1050"/>
    </row>
    <row r="5034" spans="1:7">
      <c r="A5034" s="1079"/>
      <c r="B5034" s="1050"/>
      <c r="C5034" s="1050"/>
      <c r="D5034" s="1050"/>
      <c r="E5034" s="1050"/>
      <c r="F5034" s="1050"/>
      <c r="G5034" s="1050"/>
    </row>
    <row r="5035" spans="1:7">
      <c r="A5035" s="1079"/>
      <c r="B5035" s="1050"/>
      <c r="C5035" s="1050"/>
      <c r="D5035" s="1050"/>
      <c r="E5035" s="1050"/>
      <c r="F5035" s="1050"/>
      <c r="G5035" s="1050"/>
    </row>
    <row r="5036" spans="1:7">
      <c r="A5036" s="1079"/>
      <c r="B5036" s="1050"/>
      <c r="C5036" s="1050"/>
      <c r="D5036" s="1050"/>
      <c r="E5036" s="1050"/>
      <c r="F5036" s="1050"/>
      <c r="G5036" s="1050"/>
    </row>
    <row r="5037" spans="1:7">
      <c r="A5037" s="1079"/>
      <c r="B5037" s="1050"/>
      <c r="C5037" s="1050"/>
      <c r="D5037" s="1050"/>
      <c r="E5037" s="1050"/>
      <c r="F5037" s="1050"/>
      <c r="G5037" s="1050"/>
    </row>
    <row r="5038" spans="1:7">
      <c r="A5038" s="1079"/>
      <c r="B5038" s="1050"/>
      <c r="C5038" s="1050"/>
      <c r="D5038" s="1050"/>
      <c r="E5038" s="1050"/>
      <c r="F5038" s="1050"/>
      <c r="G5038" s="1050"/>
    </row>
    <row r="5039" spans="1:7">
      <c r="A5039" s="1079"/>
      <c r="B5039" s="1050"/>
      <c r="C5039" s="1050"/>
      <c r="D5039" s="1050"/>
      <c r="E5039" s="1050"/>
      <c r="F5039" s="1050"/>
      <c r="G5039" s="1050"/>
    </row>
    <row r="5040" spans="1:7">
      <c r="A5040" s="1079"/>
      <c r="B5040" s="1050"/>
      <c r="C5040" s="1050"/>
      <c r="D5040" s="1050"/>
      <c r="E5040" s="1050"/>
      <c r="F5040" s="1050"/>
      <c r="G5040" s="1050"/>
    </row>
    <row r="5041" spans="1:7">
      <c r="A5041" s="1079"/>
      <c r="B5041" s="1050"/>
      <c r="C5041" s="1050"/>
      <c r="D5041" s="1050"/>
      <c r="E5041" s="1050"/>
      <c r="F5041" s="1050"/>
      <c r="G5041" s="1050"/>
    </row>
    <row r="5042" spans="1:7">
      <c r="A5042" s="1079"/>
      <c r="B5042" s="1050"/>
      <c r="C5042" s="1050"/>
      <c r="D5042" s="1050"/>
      <c r="E5042" s="1050"/>
      <c r="F5042" s="1050"/>
      <c r="G5042" s="1050"/>
    </row>
    <row r="5043" spans="1:7">
      <c r="A5043" s="1079"/>
      <c r="B5043" s="1050"/>
      <c r="C5043" s="1050"/>
      <c r="D5043" s="1050"/>
      <c r="E5043" s="1050"/>
      <c r="F5043" s="1050"/>
      <c r="G5043" s="1050"/>
    </row>
    <row r="5044" spans="1:7">
      <c r="A5044" s="1079"/>
      <c r="B5044" s="1050"/>
      <c r="C5044" s="1050"/>
      <c r="D5044" s="1050"/>
      <c r="E5044" s="1050"/>
      <c r="F5044" s="1050"/>
      <c r="G5044" s="1050"/>
    </row>
    <row r="5045" spans="1:7">
      <c r="A5045" s="1079"/>
      <c r="B5045" s="1050"/>
      <c r="C5045" s="1050"/>
      <c r="D5045" s="1050"/>
      <c r="E5045" s="1050"/>
      <c r="F5045" s="1050"/>
      <c r="G5045" s="1050"/>
    </row>
    <row r="5046" spans="1:7">
      <c r="A5046" s="1079"/>
      <c r="B5046" s="1050"/>
      <c r="C5046" s="1050"/>
      <c r="D5046" s="1050"/>
      <c r="E5046" s="1050"/>
      <c r="F5046" s="1050"/>
      <c r="G5046" s="1050"/>
    </row>
    <row r="5047" spans="1:7">
      <c r="A5047" s="1079"/>
      <c r="B5047" s="1050"/>
      <c r="C5047" s="1050"/>
      <c r="D5047" s="1050"/>
      <c r="E5047" s="1050"/>
      <c r="F5047" s="1050"/>
      <c r="G5047" s="1050"/>
    </row>
    <row r="5048" spans="1:7">
      <c r="A5048" s="1079"/>
      <c r="B5048" s="1050"/>
      <c r="C5048" s="1050"/>
      <c r="D5048" s="1050"/>
      <c r="E5048" s="1050"/>
      <c r="F5048" s="1050"/>
      <c r="G5048" s="1050"/>
    </row>
    <row r="5049" spans="1:7">
      <c r="A5049" s="1079"/>
      <c r="B5049" s="1050"/>
      <c r="C5049" s="1050"/>
      <c r="D5049" s="1050"/>
      <c r="E5049" s="1050"/>
      <c r="F5049" s="1050"/>
      <c r="G5049" s="1050"/>
    </row>
    <row r="5050" spans="1:7">
      <c r="A5050" s="1079"/>
      <c r="B5050" s="1050"/>
      <c r="C5050" s="1050"/>
      <c r="D5050" s="1050"/>
      <c r="E5050" s="1050"/>
      <c r="F5050" s="1050"/>
      <c r="G5050" s="1050"/>
    </row>
    <row r="5051" spans="1:7">
      <c r="A5051" s="1079"/>
      <c r="B5051" s="1050"/>
      <c r="C5051" s="1050"/>
      <c r="D5051" s="1050"/>
      <c r="E5051" s="1050"/>
      <c r="F5051" s="1050"/>
      <c r="G5051" s="1050"/>
    </row>
    <row r="5052" spans="1:7">
      <c r="A5052" s="1079"/>
      <c r="B5052" s="1050"/>
      <c r="C5052" s="1050"/>
      <c r="D5052" s="1050"/>
      <c r="E5052" s="1050"/>
      <c r="F5052" s="1050"/>
      <c r="G5052" s="1050"/>
    </row>
    <row r="5053" spans="1:7">
      <c r="A5053" s="1079"/>
      <c r="B5053" s="1050"/>
      <c r="C5053" s="1050"/>
      <c r="D5053" s="1050"/>
      <c r="E5053" s="1050"/>
      <c r="F5053" s="1050"/>
      <c r="G5053" s="1050"/>
    </row>
    <row r="5054" spans="1:7">
      <c r="A5054" s="1079"/>
      <c r="B5054" s="1050"/>
      <c r="C5054" s="1050"/>
      <c r="D5054" s="1050"/>
      <c r="E5054" s="1050"/>
      <c r="F5054" s="1050"/>
      <c r="G5054" s="1050"/>
    </row>
    <row r="5055" spans="1:7">
      <c r="A5055" s="1079"/>
      <c r="B5055" s="1050"/>
      <c r="C5055" s="1050"/>
      <c r="D5055" s="1050"/>
      <c r="E5055" s="1050"/>
      <c r="F5055" s="1050"/>
      <c r="G5055" s="1050"/>
    </row>
    <row r="5056" spans="1:7">
      <c r="A5056" s="1079"/>
      <c r="B5056" s="1050"/>
      <c r="C5056" s="1050"/>
      <c r="D5056" s="1050"/>
      <c r="E5056" s="1050"/>
      <c r="F5056" s="1050"/>
      <c r="G5056" s="1050"/>
    </row>
    <row r="5057" spans="1:7">
      <c r="A5057" s="1079"/>
      <c r="B5057" s="1050"/>
      <c r="C5057" s="1050"/>
      <c r="D5057" s="1050"/>
      <c r="E5057" s="1050"/>
      <c r="F5057" s="1050"/>
      <c r="G5057" s="1050"/>
    </row>
    <row r="5058" spans="1:7">
      <c r="A5058" s="1079"/>
      <c r="B5058" s="1050"/>
      <c r="C5058" s="1050"/>
      <c r="D5058" s="1050"/>
      <c r="E5058" s="1050"/>
      <c r="F5058" s="1050"/>
      <c r="G5058" s="1050"/>
    </row>
    <row r="5059" spans="1:7">
      <c r="A5059" s="1079"/>
      <c r="B5059" s="1050"/>
      <c r="C5059" s="1050"/>
      <c r="D5059" s="1050"/>
      <c r="E5059" s="1050"/>
      <c r="F5059" s="1050"/>
      <c r="G5059" s="1050"/>
    </row>
    <row r="5060" spans="1:7">
      <c r="A5060" s="1079"/>
      <c r="B5060" s="1050"/>
      <c r="C5060" s="1050"/>
      <c r="D5060" s="1050"/>
      <c r="E5060" s="1050"/>
      <c r="F5060" s="1050"/>
      <c r="G5060" s="1050"/>
    </row>
    <row r="5061" spans="1:7">
      <c r="A5061" s="1079"/>
      <c r="B5061" s="1050"/>
      <c r="C5061" s="1050"/>
      <c r="D5061" s="1050"/>
      <c r="E5061" s="1050"/>
      <c r="F5061" s="1050"/>
      <c r="G5061" s="1050"/>
    </row>
    <row r="5062" spans="1:7">
      <c r="A5062" s="1079"/>
      <c r="B5062" s="1050"/>
      <c r="C5062" s="1050"/>
      <c r="D5062" s="1050"/>
      <c r="E5062" s="1050"/>
      <c r="F5062" s="1050"/>
      <c r="G5062" s="1050"/>
    </row>
    <row r="5063" spans="1:7">
      <c r="A5063" s="1079"/>
      <c r="B5063" s="1050"/>
      <c r="C5063" s="1050"/>
      <c r="D5063" s="1050"/>
      <c r="E5063" s="1050"/>
      <c r="F5063" s="1050"/>
      <c r="G5063" s="1050"/>
    </row>
    <row r="5064" spans="1:7">
      <c r="A5064" s="1079"/>
      <c r="B5064" s="1050"/>
      <c r="C5064" s="1050"/>
      <c r="D5064" s="1050"/>
      <c r="E5064" s="1050"/>
      <c r="F5064" s="1050"/>
      <c r="G5064" s="1050"/>
    </row>
    <row r="5065" spans="1:7">
      <c r="A5065" s="1079"/>
      <c r="B5065" s="1050"/>
      <c r="C5065" s="1050"/>
      <c r="D5065" s="1050"/>
      <c r="E5065" s="1050"/>
      <c r="F5065" s="1050"/>
      <c r="G5065" s="1050"/>
    </row>
    <row r="5066" spans="1:7">
      <c r="A5066" s="1079"/>
      <c r="B5066" s="1050"/>
      <c r="C5066" s="1050"/>
      <c r="D5066" s="1050"/>
      <c r="E5066" s="1050"/>
      <c r="F5066" s="1050"/>
      <c r="G5066" s="1050"/>
    </row>
    <row r="5067" spans="1:7">
      <c r="A5067" s="1079"/>
      <c r="B5067" s="1050"/>
      <c r="C5067" s="1050"/>
      <c r="D5067" s="1050"/>
      <c r="E5067" s="1050"/>
      <c r="F5067" s="1050"/>
      <c r="G5067" s="1050"/>
    </row>
    <row r="5068" spans="1:7">
      <c r="A5068" s="1079"/>
      <c r="B5068" s="1050"/>
      <c r="C5068" s="1050"/>
      <c r="D5068" s="1050"/>
      <c r="E5068" s="1050"/>
      <c r="F5068" s="1050"/>
      <c r="G5068" s="1050"/>
    </row>
    <row r="5069" spans="1:7">
      <c r="A5069" s="1079"/>
      <c r="B5069" s="1050"/>
      <c r="C5069" s="1050"/>
      <c r="D5069" s="1050"/>
      <c r="E5069" s="1050"/>
      <c r="F5069" s="1050"/>
      <c r="G5069" s="1050"/>
    </row>
    <row r="5070" spans="1:7">
      <c r="A5070" s="1079"/>
      <c r="B5070" s="1050"/>
      <c r="C5070" s="1050"/>
      <c r="D5070" s="1050"/>
      <c r="E5070" s="1050"/>
      <c r="F5070" s="1050"/>
      <c r="G5070" s="1050"/>
    </row>
    <row r="5071" spans="1:7">
      <c r="A5071" s="1079"/>
      <c r="B5071" s="1050"/>
      <c r="C5071" s="1050"/>
      <c r="D5071" s="1050"/>
      <c r="E5071" s="1050"/>
      <c r="F5071" s="1050"/>
      <c r="G5071" s="1050"/>
    </row>
    <row r="5072" spans="1:7">
      <c r="A5072" s="1079"/>
      <c r="B5072" s="1050"/>
      <c r="C5072" s="1050"/>
      <c r="D5072" s="1050"/>
      <c r="E5072" s="1050"/>
      <c r="F5072" s="1050"/>
      <c r="G5072" s="1050"/>
    </row>
    <row r="5073" spans="1:7">
      <c r="A5073" s="1079"/>
      <c r="B5073" s="1050"/>
      <c r="C5073" s="1050"/>
      <c r="D5073" s="1050"/>
      <c r="E5073" s="1050"/>
      <c r="F5073" s="1050"/>
      <c r="G5073" s="1050"/>
    </row>
    <row r="5074" spans="1:7">
      <c r="A5074" s="1079"/>
      <c r="B5074" s="1050"/>
      <c r="C5074" s="1050"/>
      <c r="D5074" s="1050"/>
      <c r="E5074" s="1050"/>
      <c r="F5074" s="1050"/>
      <c r="G5074" s="1050"/>
    </row>
    <row r="5075" spans="1:7">
      <c r="A5075" s="1079"/>
      <c r="B5075" s="1050"/>
      <c r="C5075" s="1050"/>
      <c r="D5075" s="1050"/>
      <c r="E5075" s="1050"/>
      <c r="F5075" s="1050"/>
      <c r="G5075" s="1050"/>
    </row>
    <row r="5076" spans="1:7">
      <c r="A5076" s="1079"/>
      <c r="B5076" s="1050"/>
      <c r="C5076" s="1050"/>
      <c r="D5076" s="1050"/>
      <c r="E5076" s="1050"/>
      <c r="F5076" s="1050"/>
      <c r="G5076" s="1050"/>
    </row>
    <row r="5077" spans="1:7">
      <c r="A5077" s="1079"/>
      <c r="B5077" s="1050"/>
      <c r="C5077" s="1050"/>
      <c r="D5077" s="1050"/>
      <c r="E5077" s="1050"/>
      <c r="F5077" s="1050"/>
      <c r="G5077" s="1050"/>
    </row>
    <row r="5078" spans="1:7">
      <c r="A5078" s="1079"/>
      <c r="B5078" s="1050"/>
      <c r="C5078" s="1050"/>
      <c r="D5078" s="1050"/>
      <c r="E5078" s="1050"/>
      <c r="F5078" s="1050"/>
      <c r="G5078" s="1050"/>
    </row>
    <row r="5079" spans="1:7">
      <c r="A5079" s="1079"/>
      <c r="B5079" s="1050"/>
      <c r="C5079" s="1050"/>
      <c r="D5079" s="1050"/>
      <c r="E5079" s="1050"/>
      <c r="F5079" s="1050"/>
      <c r="G5079" s="1050"/>
    </row>
    <row r="5080" spans="1:7">
      <c r="A5080" s="1079"/>
      <c r="B5080" s="1050"/>
      <c r="C5080" s="1050"/>
      <c r="D5080" s="1050"/>
      <c r="E5080" s="1050"/>
      <c r="F5080" s="1050"/>
      <c r="G5080" s="1050"/>
    </row>
    <row r="5081" spans="1:7">
      <c r="A5081" s="1079"/>
      <c r="B5081" s="1050"/>
      <c r="C5081" s="1050"/>
      <c r="D5081" s="1050"/>
      <c r="E5081" s="1050"/>
      <c r="F5081" s="1050"/>
      <c r="G5081" s="1050"/>
    </row>
    <row r="5082" spans="1:7">
      <c r="A5082" s="1079"/>
      <c r="B5082" s="1050"/>
      <c r="C5082" s="1050"/>
      <c r="D5082" s="1050"/>
      <c r="E5082" s="1050"/>
      <c r="F5082" s="1050"/>
      <c r="G5082" s="1050"/>
    </row>
    <row r="5083" spans="1:7">
      <c r="A5083" s="1079"/>
      <c r="B5083" s="1050"/>
      <c r="C5083" s="1050"/>
      <c r="D5083" s="1050"/>
      <c r="E5083" s="1050"/>
      <c r="F5083" s="1050"/>
      <c r="G5083" s="1050"/>
    </row>
    <row r="5084" spans="1:7">
      <c r="A5084" s="1079"/>
      <c r="B5084" s="1050"/>
      <c r="C5084" s="1050"/>
      <c r="D5084" s="1050"/>
      <c r="E5084" s="1050"/>
      <c r="F5084" s="1050"/>
      <c r="G5084" s="1050"/>
    </row>
    <row r="5085" spans="1:7">
      <c r="A5085" s="1079"/>
      <c r="B5085" s="1050"/>
      <c r="C5085" s="1050"/>
      <c r="D5085" s="1050"/>
      <c r="E5085" s="1050"/>
      <c r="F5085" s="1050"/>
      <c r="G5085" s="1050"/>
    </row>
    <row r="5086" spans="1:7">
      <c r="A5086" s="1079"/>
      <c r="B5086" s="1050"/>
      <c r="C5086" s="1050"/>
      <c r="D5086" s="1050"/>
      <c r="E5086" s="1050"/>
      <c r="F5086" s="1050"/>
      <c r="G5086" s="1050"/>
    </row>
    <row r="5087" spans="1:7">
      <c r="A5087" s="1079"/>
      <c r="B5087" s="1050"/>
      <c r="C5087" s="1050"/>
      <c r="D5087" s="1050"/>
      <c r="E5087" s="1050"/>
      <c r="F5087" s="1050"/>
      <c r="G5087" s="1050"/>
    </row>
    <row r="5088" spans="1:7">
      <c r="A5088" s="1079"/>
      <c r="B5088" s="1050"/>
      <c r="C5088" s="1050"/>
      <c r="D5088" s="1050"/>
      <c r="E5088" s="1050"/>
      <c r="F5088" s="1050"/>
      <c r="G5088" s="1050"/>
    </row>
    <row r="5089" spans="1:7">
      <c r="A5089" s="1079"/>
      <c r="B5089" s="1050"/>
      <c r="C5089" s="1050"/>
      <c r="D5089" s="1050"/>
      <c r="E5089" s="1050"/>
      <c r="F5089" s="1050"/>
      <c r="G5089" s="1050"/>
    </row>
    <row r="5090" spans="1:7">
      <c r="A5090" s="1079"/>
      <c r="B5090" s="1050"/>
      <c r="C5090" s="1050"/>
      <c r="D5090" s="1050"/>
      <c r="E5090" s="1050"/>
      <c r="F5090" s="1050"/>
      <c r="G5090" s="1050"/>
    </row>
    <row r="5091" spans="1:7">
      <c r="A5091" s="1079"/>
      <c r="B5091" s="1050"/>
      <c r="C5091" s="1050"/>
      <c r="D5091" s="1050"/>
      <c r="E5091" s="1050"/>
      <c r="F5091" s="1050"/>
      <c r="G5091" s="1050"/>
    </row>
    <row r="5092" spans="1:7">
      <c r="A5092" s="1079"/>
      <c r="B5092" s="1050"/>
      <c r="C5092" s="1050"/>
      <c r="D5092" s="1050"/>
      <c r="E5092" s="1050"/>
      <c r="F5092" s="1050"/>
      <c r="G5092" s="1050"/>
    </row>
    <row r="5093" spans="1:7">
      <c r="A5093" s="1079"/>
      <c r="B5093" s="1050"/>
      <c r="C5093" s="1050"/>
      <c r="D5093" s="1050"/>
      <c r="E5093" s="1050"/>
      <c r="F5093" s="1050"/>
      <c r="G5093" s="1050"/>
    </row>
    <row r="5094" spans="1:7">
      <c r="A5094" s="1079"/>
      <c r="B5094" s="1050"/>
      <c r="C5094" s="1050"/>
      <c r="D5094" s="1050"/>
      <c r="E5094" s="1050"/>
      <c r="F5094" s="1050"/>
      <c r="G5094" s="1050"/>
    </row>
    <row r="5095" spans="1:7">
      <c r="A5095" s="1079"/>
      <c r="B5095" s="1050"/>
      <c r="C5095" s="1050"/>
      <c r="D5095" s="1050"/>
      <c r="E5095" s="1050"/>
      <c r="F5095" s="1050"/>
      <c r="G5095" s="1050"/>
    </row>
    <row r="5096" spans="1:7">
      <c r="A5096" s="1079"/>
      <c r="B5096" s="1050"/>
      <c r="C5096" s="1050"/>
      <c r="D5096" s="1050"/>
      <c r="E5096" s="1050"/>
      <c r="F5096" s="1050"/>
      <c r="G5096" s="1050"/>
    </row>
    <row r="5097" spans="1:7">
      <c r="A5097" s="1079"/>
      <c r="B5097" s="1050"/>
      <c r="C5097" s="1050"/>
      <c r="D5097" s="1050"/>
      <c r="E5097" s="1050"/>
      <c r="F5097" s="1050"/>
      <c r="G5097" s="1050"/>
    </row>
    <row r="5098" spans="1:7">
      <c r="A5098" s="1079"/>
      <c r="B5098" s="1050"/>
      <c r="C5098" s="1050"/>
      <c r="D5098" s="1050"/>
      <c r="E5098" s="1050"/>
      <c r="F5098" s="1050"/>
      <c r="G5098" s="1050"/>
    </row>
    <row r="5099" spans="1:7">
      <c r="A5099" s="1079"/>
      <c r="B5099" s="1050"/>
      <c r="C5099" s="1050"/>
      <c r="D5099" s="1050"/>
      <c r="E5099" s="1050"/>
      <c r="F5099" s="1050"/>
      <c r="G5099" s="1050"/>
    </row>
    <row r="5100" spans="1:7">
      <c r="A5100" s="1079"/>
      <c r="B5100" s="1050"/>
      <c r="C5100" s="1050"/>
      <c r="D5100" s="1050"/>
      <c r="E5100" s="1050"/>
      <c r="F5100" s="1050"/>
      <c r="G5100" s="1050"/>
    </row>
    <row r="5101" spans="1:7">
      <c r="A5101" s="1079"/>
      <c r="B5101" s="1050"/>
      <c r="C5101" s="1050"/>
      <c r="D5101" s="1050"/>
      <c r="E5101" s="1050"/>
      <c r="F5101" s="1050"/>
      <c r="G5101" s="1050"/>
    </row>
    <row r="5102" spans="1:7">
      <c r="A5102" s="1079"/>
      <c r="B5102" s="1050"/>
      <c r="C5102" s="1050"/>
      <c r="D5102" s="1050"/>
      <c r="E5102" s="1050"/>
      <c r="F5102" s="1050"/>
      <c r="G5102" s="1050"/>
    </row>
    <row r="5103" spans="1:7">
      <c r="A5103" s="1079"/>
      <c r="B5103" s="1050"/>
      <c r="C5103" s="1050"/>
      <c r="D5103" s="1050"/>
      <c r="E5103" s="1050"/>
      <c r="F5103" s="1050"/>
      <c r="G5103" s="1050"/>
    </row>
    <row r="5104" spans="1:7">
      <c r="A5104" s="1079"/>
      <c r="B5104" s="1050"/>
      <c r="C5104" s="1050"/>
      <c r="D5104" s="1050"/>
      <c r="E5104" s="1050"/>
      <c r="F5104" s="1050"/>
      <c r="G5104" s="1050"/>
    </row>
    <row r="5105" spans="1:7">
      <c r="A5105" s="1079"/>
      <c r="B5105" s="1050"/>
      <c r="C5105" s="1050"/>
      <c r="D5105" s="1050"/>
      <c r="E5105" s="1050"/>
      <c r="F5105" s="1050"/>
      <c r="G5105" s="1050"/>
    </row>
    <row r="5106" spans="1:7">
      <c r="A5106" s="1079"/>
      <c r="B5106" s="1050"/>
      <c r="C5106" s="1050"/>
      <c r="D5106" s="1050"/>
      <c r="E5106" s="1050"/>
      <c r="F5106" s="1050"/>
      <c r="G5106" s="1050"/>
    </row>
    <row r="5107" spans="1:7">
      <c r="A5107" s="1079"/>
      <c r="B5107" s="1050"/>
      <c r="C5107" s="1050"/>
      <c r="D5107" s="1050"/>
      <c r="E5107" s="1050"/>
      <c r="F5107" s="1050"/>
      <c r="G5107" s="1050"/>
    </row>
    <row r="5108" spans="1:7">
      <c r="A5108" s="1079"/>
      <c r="B5108" s="1050"/>
      <c r="C5108" s="1050"/>
      <c r="D5108" s="1050"/>
      <c r="E5108" s="1050"/>
      <c r="F5108" s="1050"/>
      <c r="G5108" s="1050"/>
    </row>
    <row r="5109" spans="1:7">
      <c r="A5109" s="1079"/>
      <c r="B5109" s="1050"/>
      <c r="C5109" s="1050"/>
      <c r="D5109" s="1050"/>
      <c r="E5109" s="1050"/>
      <c r="F5109" s="1050"/>
      <c r="G5109" s="1050"/>
    </row>
    <row r="5110" spans="1:7">
      <c r="A5110" s="1079"/>
      <c r="B5110" s="1050"/>
      <c r="C5110" s="1050"/>
      <c r="D5110" s="1050"/>
      <c r="E5110" s="1050"/>
      <c r="F5110" s="1050"/>
      <c r="G5110" s="1050"/>
    </row>
    <row r="5111" spans="1:7">
      <c r="A5111" s="1079"/>
      <c r="B5111" s="1050"/>
      <c r="C5111" s="1050"/>
      <c r="D5111" s="1050"/>
      <c r="E5111" s="1050"/>
      <c r="F5111" s="1050"/>
      <c r="G5111" s="1050"/>
    </row>
    <row r="5112" spans="1:7">
      <c r="A5112" s="1079"/>
      <c r="B5112" s="1050"/>
      <c r="C5112" s="1050"/>
      <c r="D5112" s="1050"/>
      <c r="E5112" s="1050"/>
      <c r="F5112" s="1050"/>
      <c r="G5112" s="1050"/>
    </row>
    <row r="5113" spans="1:7">
      <c r="A5113" s="1079"/>
      <c r="B5113" s="1050"/>
      <c r="C5113" s="1050"/>
      <c r="D5113" s="1050"/>
      <c r="E5113" s="1050"/>
      <c r="F5113" s="1050"/>
      <c r="G5113" s="1050"/>
    </row>
    <row r="5114" spans="1:7">
      <c r="A5114" s="1079"/>
      <c r="B5114" s="1050"/>
      <c r="C5114" s="1050"/>
      <c r="D5114" s="1050"/>
      <c r="E5114" s="1050"/>
      <c r="F5114" s="1050"/>
      <c r="G5114" s="1050"/>
    </row>
    <row r="5115" spans="1:7">
      <c r="A5115" s="1079"/>
      <c r="B5115" s="1050"/>
      <c r="C5115" s="1050"/>
      <c r="D5115" s="1050"/>
      <c r="E5115" s="1050"/>
      <c r="F5115" s="1050"/>
      <c r="G5115" s="1050"/>
    </row>
    <row r="5116" spans="1:7">
      <c r="A5116" s="1079"/>
      <c r="B5116" s="1050"/>
      <c r="C5116" s="1050"/>
      <c r="D5116" s="1050"/>
      <c r="E5116" s="1050"/>
      <c r="F5116" s="1050"/>
      <c r="G5116" s="1050"/>
    </row>
    <row r="5117" spans="1:7">
      <c r="A5117" s="1079"/>
      <c r="B5117" s="1050"/>
      <c r="C5117" s="1050"/>
      <c r="D5117" s="1050"/>
      <c r="E5117" s="1050"/>
      <c r="F5117" s="1050"/>
      <c r="G5117" s="1050"/>
    </row>
    <row r="5118" spans="1:7">
      <c r="A5118" s="1079"/>
      <c r="B5118" s="1050"/>
      <c r="C5118" s="1050"/>
      <c r="D5118" s="1050"/>
      <c r="E5118" s="1050"/>
      <c r="F5118" s="1050"/>
      <c r="G5118" s="1050"/>
    </row>
    <row r="5119" spans="1:7">
      <c r="A5119" s="1079"/>
      <c r="B5119" s="1050"/>
      <c r="C5119" s="1050"/>
      <c r="D5119" s="1050"/>
      <c r="E5119" s="1050"/>
      <c r="F5119" s="1050"/>
      <c r="G5119" s="1050"/>
    </row>
    <row r="5120" spans="1:7">
      <c r="A5120" s="1079"/>
      <c r="B5120" s="1050"/>
      <c r="C5120" s="1050"/>
      <c r="D5120" s="1050"/>
      <c r="E5120" s="1050"/>
      <c r="F5120" s="1050"/>
      <c r="G5120" s="1050"/>
    </row>
    <row r="5121" spans="1:7">
      <c r="A5121" s="1079"/>
      <c r="B5121" s="1050"/>
      <c r="C5121" s="1050"/>
      <c r="D5121" s="1050"/>
      <c r="E5121" s="1050"/>
      <c r="F5121" s="1050"/>
      <c r="G5121" s="1050"/>
    </row>
    <row r="5122" spans="1:7">
      <c r="A5122" s="1079"/>
      <c r="B5122" s="1050"/>
      <c r="C5122" s="1050"/>
      <c r="D5122" s="1050"/>
      <c r="E5122" s="1050"/>
      <c r="F5122" s="1050"/>
      <c r="G5122" s="1050"/>
    </row>
    <row r="5123" spans="1:7">
      <c r="A5123" s="1079"/>
      <c r="B5123" s="1050"/>
      <c r="C5123" s="1050"/>
      <c r="D5123" s="1050"/>
      <c r="E5123" s="1050"/>
      <c r="F5123" s="1050"/>
      <c r="G5123" s="1050"/>
    </row>
    <row r="5124" spans="1:7">
      <c r="A5124" s="1079"/>
      <c r="B5124" s="1050"/>
      <c r="C5124" s="1050"/>
      <c r="D5124" s="1050"/>
      <c r="E5124" s="1050"/>
      <c r="F5124" s="1050"/>
      <c r="G5124" s="1050"/>
    </row>
    <row r="5125" spans="1:7">
      <c r="A5125" s="1079"/>
      <c r="B5125" s="1050"/>
      <c r="C5125" s="1050"/>
      <c r="D5125" s="1050"/>
      <c r="E5125" s="1050"/>
      <c r="F5125" s="1050"/>
      <c r="G5125" s="1050"/>
    </row>
    <row r="5126" spans="1:7">
      <c r="A5126" s="1079"/>
      <c r="B5126" s="1050"/>
      <c r="C5126" s="1050"/>
      <c r="D5126" s="1050"/>
      <c r="E5126" s="1050"/>
      <c r="F5126" s="1050"/>
      <c r="G5126" s="1050"/>
    </row>
    <row r="5127" spans="1:7">
      <c r="A5127" s="1079"/>
      <c r="B5127" s="1050"/>
      <c r="C5127" s="1050"/>
      <c r="D5127" s="1050"/>
      <c r="E5127" s="1050"/>
      <c r="F5127" s="1050"/>
      <c r="G5127" s="1050"/>
    </row>
    <row r="5128" spans="1:7">
      <c r="A5128" s="1079"/>
      <c r="B5128" s="1050"/>
      <c r="C5128" s="1050"/>
      <c r="D5128" s="1050"/>
      <c r="E5128" s="1050"/>
      <c r="F5128" s="1050"/>
      <c r="G5128" s="1050"/>
    </row>
    <row r="5129" spans="1:7">
      <c r="A5129" s="1079"/>
      <c r="B5129" s="1050"/>
      <c r="C5129" s="1050"/>
      <c r="D5129" s="1050"/>
      <c r="E5129" s="1050"/>
      <c r="F5129" s="1050"/>
      <c r="G5129" s="1050"/>
    </row>
    <row r="5130" spans="1:7">
      <c r="A5130" s="1079"/>
      <c r="B5130" s="1050"/>
      <c r="C5130" s="1050"/>
      <c r="D5130" s="1050"/>
      <c r="E5130" s="1050"/>
      <c r="F5130" s="1050"/>
      <c r="G5130" s="1050"/>
    </row>
    <row r="5131" spans="1:7">
      <c r="A5131" s="1079"/>
      <c r="B5131" s="1050"/>
      <c r="C5131" s="1050"/>
      <c r="D5131" s="1050"/>
      <c r="E5131" s="1050"/>
      <c r="F5131" s="1050"/>
      <c r="G5131" s="1050"/>
    </row>
    <row r="5132" spans="1:7">
      <c r="A5132" s="1079"/>
      <c r="B5132" s="1050"/>
      <c r="C5132" s="1050"/>
      <c r="D5132" s="1050"/>
      <c r="E5132" s="1050"/>
      <c r="F5132" s="1050"/>
      <c r="G5132" s="1050"/>
    </row>
    <row r="5133" spans="1:7">
      <c r="A5133" s="1079"/>
      <c r="B5133" s="1050"/>
      <c r="C5133" s="1050"/>
      <c r="D5133" s="1050"/>
      <c r="E5133" s="1050"/>
      <c r="F5133" s="1050"/>
      <c r="G5133" s="1050"/>
    </row>
    <row r="5134" spans="1:7">
      <c r="A5134" s="1079"/>
      <c r="B5134" s="1050"/>
      <c r="C5134" s="1050"/>
      <c r="D5134" s="1050"/>
      <c r="E5134" s="1050"/>
      <c r="F5134" s="1050"/>
      <c r="G5134" s="1050"/>
    </row>
    <row r="5135" spans="1:7">
      <c r="A5135" s="1079"/>
      <c r="B5135" s="1050"/>
      <c r="C5135" s="1050"/>
      <c r="D5135" s="1050"/>
      <c r="E5135" s="1050"/>
      <c r="F5135" s="1050"/>
      <c r="G5135" s="1050"/>
    </row>
    <row r="5136" spans="1:7">
      <c r="A5136" s="1079"/>
      <c r="B5136" s="1050"/>
      <c r="C5136" s="1050"/>
      <c r="D5136" s="1050"/>
      <c r="E5136" s="1050"/>
      <c r="F5136" s="1050"/>
      <c r="G5136" s="1050"/>
    </row>
    <row r="5137" spans="1:7">
      <c r="A5137" s="1079"/>
      <c r="B5137" s="1050"/>
      <c r="C5137" s="1050"/>
      <c r="D5137" s="1050"/>
      <c r="E5137" s="1050"/>
      <c r="F5137" s="1050"/>
      <c r="G5137" s="1050"/>
    </row>
    <row r="5138" spans="1:7">
      <c r="A5138" s="1079"/>
      <c r="B5138" s="1050"/>
      <c r="C5138" s="1050"/>
      <c r="D5138" s="1050"/>
      <c r="E5138" s="1050"/>
      <c r="F5138" s="1050"/>
      <c r="G5138" s="1050"/>
    </row>
    <row r="5139" spans="1:7">
      <c r="A5139" s="1079"/>
      <c r="B5139" s="1050"/>
      <c r="C5139" s="1050"/>
      <c r="D5139" s="1050"/>
      <c r="E5139" s="1050"/>
      <c r="F5139" s="1050"/>
      <c r="G5139" s="1050"/>
    </row>
    <row r="5140" spans="1:7">
      <c r="A5140" s="1079"/>
      <c r="B5140" s="1050"/>
      <c r="C5140" s="1050"/>
      <c r="D5140" s="1050"/>
      <c r="E5140" s="1050"/>
      <c r="F5140" s="1050"/>
      <c r="G5140" s="1050"/>
    </row>
    <row r="5141" spans="1:7">
      <c r="A5141" s="1079"/>
      <c r="B5141" s="1050"/>
      <c r="C5141" s="1050"/>
      <c r="D5141" s="1050"/>
      <c r="E5141" s="1050"/>
      <c r="F5141" s="1050"/>
      <c r="G5141" s="1050"/>
    </row>
    <row r="5142" spans="1:7">
      <c r="A5142" s="1079"/>
      <c r="B5142" s="1050"/>
      <c r="C5142" s="1050"/>
      <c r="D5142" s="1050"/>
      <c r="E5142" s="1050"/>
      <c r="F5142" s="1050"/>
      <c r="G5142" s="1050"/>
    </row>
    <row r="5143" spans="1:7">
      <c r="A5143" s="1079"/>
      <c r="B5143" s="1050"/>
      <c r="C5143" s="1050"/>
      <c r="D5143" s="1050"/>
      <c r="E5143" s="1050"/>
      <c r="F5143" s="1050"/>
      <c r="G5143" s="1050"/>
    </row>
    <row r="5144" spans="1:7">
      <c r="A5144" s="1079"/>
      <c r="B5144" s="1050"/>
      <c r="C5144" s="1050"/>
      <c r="D5144" s="1050"/>
      <c r="E5144" s="1050"/>
      <c r="F5144" s="1050"/>
      <c r="G5144" s="1050"/>
    </row>
    <row r="5145" spans="1:7">
      <c r="A5145" s="1079"/>
      <c r="B5145" s="1050"/>
      <c r="C5145" s="1050"/>
      <c r="D5145" s="1050"/>
      <c r="E5145" s="1050"/>
      <c r="F5145" s="1050"/>
      <c r="G5145" s="1050"/>
    </row>
    <row r="5146" spans="1:7">
      <c r="A5146" s="1079"/>
      <c r="B5146" s="1050"/>
      <c r="C5146" s="1050"/>
      <c r="D5146" s="1050"/>
      <c r="E5146" s="1050"/>
      <c r="F5146" s="1050"/>
      <c r="G5146" s="1050"/>
    </row>
    <row r="5147" spans="1:7">
      <c r="A5147" s="1079"/>
      <c r="B5147" s="1050"/>
      <c r="C5147" s="1050"/>
      <c r="D5147" s="1050"/>
      <c r="E5147" s="1050"/>
      <c r="F5147" s="1050"/>
      <c r="G5147" s="1050"/>
    </row>
    <row r="5148" spans="1:7">
      <c r="A5148" s="1079"/>
      <c r="B5148" s="1050"/>
      <c r="C5148" s="1050"/>
      <c r="D5148" s="1050"/>
      <c r="E5148" s="1050"/>
      <c r="F5148" s="1050"/>
      <c r="G5148" s="1050"/>
    </row>
    <row r="5149" spans="1:7">
      <c r="A5149" s="1079"/>
      <c r="B5149" s="1050"/>
      <c r="C5149" s="1050"/>
      <c r="D5149" s="1050"/>
      <c r="E5149" s="1050"/>
      <c r="F5149" s="1050"/>
      <c r="G5149" s="1050"/>
    </row>
    <row r="5150" spans="1:7">
      <c r="A5150" s="1079"/>
      <c r="B5150" s="1050"/>
      <c r="C5150" s="1050"/>
      <c r="D5150" s="1050"/>
      <c r="E5150" s="1050"/>
      <c r="F5150" s="1050"/>
      <c r="G5150" s="1050"/>
    </row>
    <row r="5151" spans="1:7">
      <c r="A5151" s="1079"/>
      <c r="B5151" s="1050"/>
      <c r="C5151" s="1050"/>
      <c r="D5151" s="1050"/>
      <c r="E5151" s="1050"/>
      <c r="F5151" s="1050"/>
      <c r="G5151" s="1050"/>
    </row>
    <row r="5152" spans="1:7">
      <c r="A5152" s="1079"/>
      <c r="B5152" s="1050"/>
      <c r="C5152" s="1050"/>
      <c r="D5152" s="1050"/>
      <c r="E5152" s="1050"/>
      <c r="F5152" s="1050"/>
      <c r="G5152" s="1050"/>
    </row>
    <row r="5153" spans="1:7">
      <c r="A5153" s="1079"/>
      <c r="B5153" s="1050"/>
      <c r="C5153" s="1050"/>
      <c r="D5153" s="1050"/>
      <c r="E5153" s="1050"/>
      <c r="F5153" s="1050"/>
      <c r="G5153" s="1050"/>
    </row>
    <row r="5154" spans="1:7">
      <c r="A5154" s="1079"/>
      <c r="B5154" s="1050"/>
      <c r="C5154" s="1050"/>
      <c r="D5154" s="1050"/>
      <c r="E5154" s="1050"/>
      <c r="F5154" s="1050"/>
      <c r="G5154" s="1050"/>
    </row>
    <row r="5155" spans="1:7">
      <c r="A5155" s="1079"/>
      <c r="B5155" s="1050"/>
      <c r="C5155" s="1050"/>
      <c r="D5155" s="1050"/>
      <c r="E5155" s="1050"/>
      <c r="F5155" s="1050"/>
      <c r="G5155" s="1050"/>
    </row>
    <row r="5156" spans="1:7">
      <c r="A5156" s="1079"/>
      <c r="B5156" s="1050"/>
      <c r="C5156" s="1050"/>
      <c r="D5156" s="1050"/>
      <c r="E5156" s="1050"/>
      <c r="F5156" s="1050"/>
      <c r="G5156" s="1050"/>
    </row>
    <row r="5157" spans="1:7">
      <c r="A5157" s="1079"/>
      <c r="B5157" s="1050"/>
      <c r="C5157" s="1050"/>
      <c r="D5157" s="1050"/>
      <c r="E5157" s="1050"/>
      <c r="F5157" s="1050"/>
      <c r="G5157" s="1050"/>
    </row>
    <row r="5158" spans="1:7">
      <c r="A5158" s="1079"/>
      <c r="B5158" s="1050"/>
      <c r="C5158" s="1050"/>
      <c r="D5158" s="1050"/>
      <c r="E5158" s="1050"/>
      <c r="F5158" s="1050"/>
      <c r="G5158" s="1050"/>
    </row>
    <row r="5159" spans="1:7">
      <c r="A5159" s="1079"/>
      <c r="B5159" s="1050"/>
      <c r="C5159" s="1050"/>
      <c r="D5159" s="1050"/>
      <c r="E5159" s="1050"/>
      <c r="F5159" s="1050"/>
      <c r="G5159" s="1050"/>
    </row>
    <row r="5160" spans="1:7">
      <c r="A5160" s="1079"/>
      <c r="B5160" s="1050"/>
      <c r="C5160" s="1050"/>
      <c r="D5160" s="1050"/>
      <c r="E5160" s="1050"/>
      <c r="F5160" s="1050"/>
      <c r="G5160" s="1050"/>
    </row>
    <row r="5161" spans="1:7">
      <c r="A5161" s="1079"/>
      <c r="B5161" s="1050"/>
      <c r="C5161" s="1050"/>
      <c r="D5161" s="1050"/>
      <c r="E5161" s="1050"/>
      <c r="F5161" s="1050"/>
      <c r="G5161" s="1050"/>
    </row>
    <row r="5162" spans="1:7">
      <c r="A5162" s="1079"/>
      <c r="B5162" s="1050"/>
      <c r="C5162" s="1050"/>
      <c r="D5162" s="1050"/>
      <c r="E5162" s="1050"/>
      <c r="F5162" s="1050"/>
      <c r="G5162" s="1050"/>
    </row>
    <row r="5163" spans="1:7">
      <c r="A5163" s="1079"/>
      <c r="B5163" s="1050"/>
      <c r="C5163" s="1050"/>
      <c r="D5163" s="1050"/>
      <c r="E5163" s="1050"/>
      <c r="F5163" s="1050"/>
      <c r="G5163" s="1050"/>
    </row>
    <row r="5164" spans="1:7">
      <c r="A5164" s="1079"/>
      <c r="B5164" s="1050"/>
      <c r="C5164" s="1050"/>
      <c r="D5164" s="1050"/>
      <c r="E5164" s="1050"/>
      <c r="F5164" s="1050"/>
      <c r="G5164" s="1050"/>
    </row>
    <row r="5165" spans="1:7">
      <c r="A5165" s="1079"/>
      <c r="B5165" s="1050"/>
      <c r="C5165" s="1050"/>
      <c r="D5165" s="1050"/>
      <c r="E5165" s="1050"/>
      <c r="F5165" s="1050"/>
      <c r="G5165" s="1050"/>
    </row>
    <row r="5166" spans="1:7">
      <c r="A5166" s="1079"/>
      <c r="B5166" s="1050"/>
      <c r="C5166" s="1050"/>
      <c r="D5166" s="1050"/>
      <c r="E5166" s="1050"/>
      <c r="F5166" s="1050"/>
      <c r="G5166" s="1050"/>
    </row>
    <row r="5167" spans="1:7">
      <c r="A5167" s="1079"/>
      <c r="B5167" s="1050"/>
      <c r="C5167" s="1050"/>
      <c r="D5167" s="1050"/>
      <c r="E5167" s="1050"/>
      <c r="F5167" s="1050"/>
      <c r="G5167" s="1050"/>
    </row>
    <row r="5168" spans="1:7">
      <c r="A5168" s="1079"/>
      <c r="B5168" s="1050"/>
      <c r="C5168" s="1050"/>
      <c r="D5168" s="1050"/>
      <c r="E5168" s="1050"/>
      <c r="F5168" s="1050"/>
      <c r="G5168" s="1050"/>
    </row>
    <row r="5169" spans="1:7">
      <c r="A5169" s="1079"/>
      <c r="B5169" s="1050"/>
      <c r="C5169" s="1050"/>
      <c r="D5169" s="1050"/>
      <c r="E5169" s="1050"/>
      <c r="F5169" s="1050"/>
      <c r="G5169" s="1050"/>
    </row>
    <row r="5170" spans="1:7">
      <c r="A5170" s="1079"/>
      <c r="B5170" s="1050"/>
      <c r="C5170" s="1050"/>
      <c r="D5170" s="1050"/>
      <c r="E5170" s="1050"/>
      <c r="F5170" s="1050"/>
      <c r="G5170" s="1050"/>
    </row>
    <row r="5171" spans="1:7">
      <c r="A5171" s="1079"/>
      <c r="B5171" s="1050"/>
      <c r="C5171" s="1050"/>
      <c r="D5171" s="1050"/>
      <c r="E5171" s="1050"/>
      <c r="F5171" s="1050"/>
      <c r="G5171" s="1050"/>
    </row>
    <row r="5172" spans="1:7">
      <c r="A5172" s="1079"/>
      <c r="B5172" s="1050"/>
      <c r="C5172" s="1050"/>
      <c r="D5172" s="1050"/>
      <c r="E5172" s="1050"/>
      <c r="F5172" s="1050"/>
      <c r="G5172" s="1050"/>
    </row>
    <row r="5173" spans="1:7">
      <c r="A5173" s="1079"/>
      <c r="B5173" s="1050"/>
      <c r="C5173" s="1050"/>
      <c r="D5173" s="1050"/>
      <c r="E5173" s="1050"/>
      <c r="F5173" s="1050"/>
      <c r="G5173" s="1050"/>
    </row>
    <row r="5174" spans="1:7">
      <c r="A5174" s="1079"/>
      <c r="B5174" s="1050"/>
      <c r="C5174" s="1050"/>
      <c r="D5174" s="1050"/>
      <c r="E5174" s="1050"/>
      <c r="F5174" s="1050"/>
      <c r="G5174" s="1050"/>
    </row>
    <row r="5175" spans="1:7">
      <c r="A5175" s="1079"/>
      <c r="B5175" s="1050"/>
      <c r="C5175" s="1050"/>
      <c r="D5175" s="1050"/>
      <c r="E5175" s="1050"/>
      <c r="F5175" s="1050"/>
      <c r="G5175" s="1050"/>
    </row>
    <row r="5176" spans="1:7">
      <c r="A5176" s="1079"/>
      <c r="B5176" s="1050"/>
      <c r="C5176" s="1050"/>
      <c r="D5176" s="1050"/>
      <c r="E5176" s="1050"/>
      <c r="F5176" s="1050"/>
      <c r="G5176" s="1050"/>
    </row>
    <row r="5177" spans="1:7">
      <c r="A5177" s="1079"/>
      <c r="B5177" s="1050"/>
      <c r="C5177" s="1050"/>
      <c r="D5177" s="1050"/>
      <c r="E5177" s="1050"/>
      <c r="F5177" s="1050"/>
      <c r="G5177" s="1050"/>
    </row>
    <row r="5178" spans="1:7">
      <c r="A5178" s="1079"/>
      <c r="B5178" s="1050"/>
      <c r="C5178" s="1050"/>
      <c r="D5178" s="1050"/>
      <c r="E5178" s="1050"/>
      <c r="F5178" s="1050"/>
      <c r="G5178" s="1050"/>
    </row>
    <row r="5179" spans="1:7">
      <c r="A5179" s="1079"/>
      <c r="B5179" s="1050"/>
      <c r="C5179" s="1050"/>
      <c r="D5179" s="1050"/>
      <c r="E5179" s="1050"/>
      <c r="F5179" s="1050"/>
      <c r="G5179" s="1050"/>
    </row>
    <row r="5180" spans="1:7">
      <c r="A5180" s="1079"/>
      <c r="B5180" s="1050"/>
      <c r="C5180" s="1050"/>
      <c r="D5180" s="1050"/>
      <c r="E5180" s="1050"/>
      <c r="F5180" s="1050"/>
      <c r="G5180" s="1050"/>
    </row>
    <row r="5181" spans="1:7">
      <c r="A5181" s="1079"/>
      <c r="B5181" s="1050"/>
      <c r="C5181" s="1050"/>
      <c r="D5181" s="1050"/>
      <c r="E5181" s="1050"/>
      <c r="F5181" s="1050"/>
      <c r="G5181" s="1050"/>
    </row>
    <row r="5182" spans="1:7">
      <c r="A5182" s="1079"/>
      <c r="B5182" s="1050"/>
      <c r="C5182" s="1050"/>
      <c r="D5182" s="1050"/>
      <c r="E5182" s="1050"/>
      <c r="F5182" s="1050"/>
      <c r="G5182" s="1050"/>
    </row>
    <row r="5183" spans="1:7">
      <c r="A5183" s="1079"/>
      <c r="B5183" s="1050"/>
      <c r="C5183" s="1050"/>
      <c r="D5183" s="1050"/>
      <c r="E5183" s="1050"/>
      <c r="F5183" s="1050"/>
      <c r="G5183" s="1050"/>
    </row>
    <row r="5184" spans="1:7">
      <c r="A5184" s="1079"/>
      <c r="B5184" s="1050"/>
      <c r="C5184" s="1050"/>
      <c r="D5184" s="1050"/>
      <c r="E5184" s="1050"/>
      <c r="F5184" s="1050"/>
      <c r="G5184" s="1050"/>
    </row>
    <row r="5185" spans="1:7">
      <c r="A5185" s="1079"/>
      <c r="B5185" s="1050"/>
      <c r="C5185" s="1050"/>
      <c r="D5185" s="1050"/>
      <c r="E5185" s="1050"/>
      <c r="F5185" s="1050"/>
      <c r="G5185" s="1050"/>
    </row>
    <row r="5186" spans="1:7">
      <c r="A5186" s="1079"/>
      <c r="B5186" s="1050"/>
      <c r="C5186" s="1050"/>
      <c r="D5186" s="1050"/>
      <c r="E5186" s="1050"/>
      <c r="F5186" s="1050"/>
      <c r="G5186" s="1050"/>
    </row>
    <row r="5187" spans="1:7">
      <c r="A5187" s="1079"/>
      <c r="B5187" s="1050"/>
      <c r="C5187" s="1050"/>
      <c r="D5187" s="1050"/>
      <c r="E5187" s="1050"/>
      <c r="F5187" s="1050"/>
      <c r="G5187" s="1050"/>
    </row>
    <row r="5188" spans="1:7">
      <c r="A5188" s="1079"/>
      <c r="B5188" s="1050"/>
      <c r="C5188" s="1050"/>
      <c r="D5188" s="1050"/>
      <c r="E5188" s="1050"/>
      <c r="F5188" s="1050"/>
      <c r="G5188" s="1050"/>
    </row>
    <row r="5189" spans="1:7">
      <c r="A5189" s="1079"/>
      <c r="B5189" s="1050"/>
      <c r="C5189" s="1050"/>
      <c r="D5189" s="1050"/>
      <c r="E5189" s="1050"/>
      <c r="F5189" s="1050"/>
      <c r="G5189" s="1050"/>
    </row>
    <row r="5190" spans="1:7">
      <c r="A5190" s="1079"/>
      <c r="B5190" s="1050"/>
      <c r="C5190" s="1050"/>
      <c r="D5190" s="1050"/>
      <c r="E5190" s="1050"/>
      <c r="F5190" s="1050"/>
      <c r="G5190" s="1050"/>
    </row>
    <row r="5191" spans="1:7">
      <c r="A5191" s="1079"/>
      <c r="B5191" s="1050"/>
      <c r="C5191" s="1050"/>
      <c r="D5191" s="1050"/>
      <c r="E5191" s="1050"/>
      <c r="F5191" s="1050"/>
      <c r="G5191" s="1050"/>
    </row>
    <row r="5192" spans="1:7">
      <c r="A5192" s="1079"/>
      <c r="B5192" s="1050"/>
      <c r="C5192" s="1050"/>
      <c r="D5192" s="1050"/>
      <c r="E5192" s="1050"/>
      <c r="F5192" s="1050"/>
      <c r="G5192" s="1050"/>
    </row>
    <row r="5193" spans="1:7">
      <c r="A5193" s="1079"/>
      <c r="B5193" s="1050"/>
      <c r="C5193" s="1050"/>
      <c r="D5193" s="1050"/>
      <c r="E5193" s="1050"/>
      <c r="F5193" s="1050"/>
      <c r="G5193" s="1050"/>
    </row>
    <row r="5194" spans="1:7">
      <c r="A5194" s="1079"/>
      <c r="B5194" s="1050"/>
      <c r="C5194" s="1050"/>
      <c r="D5194" s="1050"/>
      <c r="E5194" s="1050"/>
      <c r="F5194" s="1050"/>
      <c r="G5194" s="1050"/>
    </row>
    <row r="5195" spans="1:7">
      <c r="A5195" s="1079"/>
      <c r="B5195" s="1050"/>
      <c r="C5195" s="1050"/>
      <c r="D5195" s="1050"/>
      <c r="E5195" s="1050"/>
      <c r="F5195" s="1050"/>
      <c r="G5195" s="1050"/>
    </row>
    <row r="5196" spans="1:7">
      <c r="A5196" s="1079"/>
      <c r="B5196" s="1050"/>
      <c r="C5196" s="1050"/>
      <c r="D5196" s="1050"/>
      <c r="E5196" s="1050"/>
      <c r="F5196" s="1050"/>
      <c r="G5196" s="1050"/>
    </row>
    <row r="5197" spans="1:7">
      <c r="A5197" s="1079"/>
      <c r="B5197" s="1050"/>
      <c r="C5197" s="1050"/>
      <c r="D5197" s="1050"/>
      <c r="E5197" s="1050"/>
      <c r="F5197" s="1050"/>
      <c r="G5197" s="1050"/>
    </row>
    <row r="5198" spans="1:7">
      <c r="A5198" s="1079"/>
      <c r="B5198" s="1050"/>
      <c r="C5198" s="1050"/>
      <c r="D5198" s="1050"/>
      <c r="E5198" s="1050"/>
      <c r="F5198" s="1050"/>
      <c r="G5198" s="1050"/>
    </row>
    <row r="5199" spans="1:7">
      <c r="A5199" s="1079"/>
      <c r="B5199" s="1050"/>
      <c r="C5199" s="1050"/>
      <c r="D5199" s="1050"/>
      <c r="E5199" s="1050"/>
      <c r="F5199" s="1050"/>
      <c r="G5199" s="1050"/>
    </row>
    <row r="5200" spans="1:7">
      <c r="A5200" s="1079"/>
      <c r="B5200" s="1050"/>
      <c r="C5200" s="1050"/>
      <c r="D5200" s="1050"/>
      <c r="E5200" s="1050"/>
      <c r="F5200" s="1050"/>
      <c r="G5200" s="1050"/>
    </row>
    <row r="5201" spans="1:7">
      <c r="A5201" s="1079"/>
      <c r="B5201" s="1050"/>
      <c r="C5201" s="1050"/>
      <c r="D5201" s="1050"/>
      <c r="E5201" s="1050"/>
      <c r="F5201" s="1050"/>
      <c r="G5201" s="1050"/>
    </row>
    <row r="5202" spans="1:7">
      <c r="A5202" s="1079"/>
      <c r="B5202" s="1050"/>
      <c r="C5202" s="1050"/>
      <c r="D5202" s="1050"/>
      <c r="E5202" s="1050"/>
      <c r="F5202" s="1050"/>
      <c r="G5202" s="1050"/>
    </row>
    <row r="5203" spans="1:7">
      <c r="A5203" s="1079"/>
      <c r="B5203" s="1050"/>
      <c r="C5203" s="1050"/>
      <c r="D5203" s="1050"/>
      <c r="E5203" s="1050"/>
      <c r="F5203" s="1050"/>
      <c r="G5203" s="1050"/>
    </row>
    <row r="5204" spans="1:7">
      <c r="A5204" s="1079"/>
      <c r="B5204" s="1050"/>
      <c r="C5204" s="1050"/>
      <c r="D5204" s="1050"/>
      <c r="E5204" s="1050"/>
      <c r="F5204" s="1050"/>
      <c r="G5204" s="1050"/>
    </row>
    <row r="5205" spans="1:7">
      <c r="A5205" s="1079"/>
      <c r="B5205" s="1050"/>
      <c r="C5205" s="1050"/>
      <c r="D5205" s="1050"/>
      <c r="E5205" s="1050"/>
      <c r="F5205" s="1050"/>
      <c r="G5205" s="1050"/>
    </row>
    <row r="5206" spans="1:7">
      <c r="A5206" s="1079"/>
      <c r="B5206" s="1050"/>
      <c r="C5206" s="1050"/>
      <c r="D5206" s="1050"/>
      <c r="E5206" s="1050"/>
      <c r="F5206" s="1050"/>
      <c r="G5206" s="1050"/>
    </row>
    <row r="5207" spans="1:7">
      <c r="A5207" s="1079"/>
      <c r="B5207" s="1050"/>
      <c r="C5207" s="1050"/>
      <c r="D5207" s="1050"/>
      <c r="E5207" s="1050"/>
      <c r="F5207" s="1050"/>
      <c r="G5207" s="1050"/>
    </row>
    <row r="5208" spans="1:7">
      <c r="A5208" s="1079"/>
      <c r="B5208" s="1050"/>
      <c r="C5208" s="1050"/>
      <c r="D5208" s="1050"/>
      <c r="E5208" s="1050"/>
      <c r="F5208" s="1050"/>
      <c r="G5208" s="1050"/>
    </row>
    <row r="5209" spans="1:7">
      <c r="A5209" s="1079"/>
      <c r="B5209" s="1050"/>
      <c r="C5209" s="1050"/>
      <c r="D5209" s="1050"/>
      <c r="E5209" s="1050"/>
      <c r="F5209" s="1050"/>
      <c r="G5209" s="1050"/>
    </row>
    <row r="5210" spans="1:7">
      <c r="A5210" s="1079"/>
      <c r="B5210" s="1050"/>
      <c r="C5210" s="1050"/>
      <c r="D5210" s="1050"/>
      <c r="E5210" s="1050"/>
      <c r="F5210" s="1050"/>
      <c r="G5210" s="1050"/>
    </row>
    <row r="5211" spans="1:7">
      <c r="A5211" s="1079"/>
      <c r="B5211" s="1050"/>
      <c r="C5211" s="1050"/>
      <c r="D5211" s="1050"/>
      <c r="E5211" s="1050"/>
      <c r="F5211" s="1050"/>
      <c r="G5211" s="1050"/>
    </row>
    <row r="5212" spans="1:7">
      <c r="A5212" s="1079"/>
      <c r="B5212" s="1050"/>
      <c r="C5212" s="1050"/>
      <c r="D5212" s="1050"/>
      <c r="E5212" s="1050"/>
      <c r="F5212" s="1050"/>
      <c r="G5212" s="1050"/>
    </row>
    <row r="5213" spans="1:7">
      <c r="A5213" s="1079"/>
      <c r="B5213" s="1050"/>
      <c r="C5213" s="1050"/>
      <c r="D5213" s="1050"/>
      <c r="E5213" s="1050"/>
      <c r="F5213" s="1050"/>
      <c r="G5213" s="1050"/>
    </row>
    <row r="5214" spans="1:7">
      <c r="A5214" s="1079"/>
      <c r="B5214" s="1050"/>
      <c r="C5214" s="1050"/>
      <c r="D5214" s="1050"/>
      <c r="E5214" s="1050"/>
      <c r="F5214" s="1050"/>
      <c r="G5214" s="1050"/>
    </row>
    <row r="5215" spans="1:7">
      <c r="A5215" s="1079"/>
      <c r="B5215" s="1050"/>
      <c r="C5215" s="1050"/>
      <c r="D5215" s="1050"/>
      <c r="E5215" s="1050"/>
      <c r="F5215" s="1050"/>
      <c r="G5215" s="1050"/>
    </row>
    <row r="5216" spans="1:7">
      <c r="A5216" s="1079"/>
      <c r="B5216" s="1050"/>
      <c r="C5216" s="1050"/>
      <c r="D5216" s="1050"/>
      <c r="E5216" s="1050"/>
      <c r="F5216" s="1050"/>
      <c r="G5216" s="1050"/>
    </row>
    <row r="5217" spans="1:7">
      <c r="A5217" s="1079"/>
      <c r="B5217" s="1050"/>
      <c r="C5217" s="1050"/>
      <c r="D5217" s="1050"/>
      <c r="E5217" s="1050"/>
      <c r="F5217" s="1050"/>
      <c r="G5217" s="1050"/>
    </row>
    <row r="5218" spans="1:7">
      <c r="A5218" s="1079"/>
      <c r="B5218" s="1050"/>
      <c r="C5218" s="1050"/>
      <c r="D5218" s="1050"/>
      <c r="E5218" s="1050"/>
      <c r="F5218" s="1050"/>
      <c r="G5218" s="1050"/>
    </row>
    <row r="5219" spans="1:7">
      <c r="A5219" s="1079"/>
      <c r="B5219" s="1050"/>
      <c r="C5219" s="1050"/>
      <c r="D5219" s="1050"/>
      <c r="E5219" s="1050"/>
      <c r="F5219" s="1050"/>
      <c r="G5219" s="1050"/>
    </row>
    <row r="5220" spans="1:7">
      <c r="A5220" s="1079"/>
      <c r="B5220" s="1050"/>
      <c r="C5220" s="1050"/>
      <c r="D5220" s="1050"/>
      <c r="E5220" s="1050"/>
      <c r="F5220" s="1050"/>
      <c r="G5220" s="1050"/>
    </row>
    <row r="5221" spans="1:7">
      <c r="A5221" s="1079"/>
      <c r="B5221" s="1050"/>
      <c r="C5221" s="1050"/>
      <c r="D5221" s="1050"/>
      <c r="E5221" s="1050"/>
      <c r="F5221" s="1050"/>
      <c r="G5221" s="1050"/>
    </row>
    <row r="5222" spans="1:7">
      <c r="A5222" s="1079"/>
      <c r="B5222" s="1050"/>
      <c r="C5222" s="1050"/>
      <c r="D5222" s="1050"/>
      <c r="E5222" s="1050"/>
      <c r="F5222" s="1050"/>
      <c r="G5222" s="1050"/>
    </row>
    <row r="5223" spans="1:7">
      <c r="A5223" s="1079"/>
      <c r="B5223" s="1050"/>
      <c r="C5223" s="1050"/>
      <c r="D5223" s="1050"/>
      <c r="E5223" s="1050"/>
      <c r="F5223" s="1050"/>
      <c r="G5223" s="1050"/>
    </row>
    <row r="5224" spans="1:7">
      <c r="A5224" s="1079"/>
      <c r="B5224" s="1050"/>
      <c r="C5224" s="1050"/>
      <c r="D5224" s="1050"/>
      <c r="E5224" s="1050"/>
      <c r="F5224" s="1050"/>
      <c r="G5224" s="1050"/>
    </row>
    <row r="5225" spans="1:7">
      <c r="A5225" s="1079"/>
      <c r="B5225" s="1050"/>
      <c r="C5225" s="1050"/>
      <c r="D5225" s="1050"/>
      <c r="E5225" s="1050"/>
      <c r="F5225" s="1050"/>
      <c r="G5225" s="1050"/>
    </row>
    <row r="5226" spans="1:7">
      <c r="A5226" s="1079"/>
      <c r="B5226" s="1050"/>
      <c r="C5226" s="1050"/>
      <c r="D5226" s="1050"/>
      <c r="E5226" s="1050"/>
      <c r="F5226" s="1050"/>
      <c r="G5226" s="1050"/>
    </row>
    <row r="5227" spans="1:7">
      <c r="A5227" s="1079"/>
      <c r="B5227" s="1050"/>
      <c r="C5227" s="1050"/>
      <c r="D5227" s="1050"/>
      <c r="E5227" s="1050"/>
      <c r="F5227" s="1050"/>
      <c r="G5227" s="1050"/>
    </row>
    <row r="5228" spans="1:7">
      <c r="A5228" s="1079"/>
      <c r="B5228" s="1050"/>
      <c r="C5228" s="1050"/>
      <c r="D5228" s="1050"/>
      <c r="E5228" s="1050"/>
      <c r="F5228" s="1050"/>
      <c r="G5228" s="1050"/>
    </row>
    <row r="5229" spans="1:7">
      <c r="A5229" s="1079"/>
      <c r="B5229" s="1050"/>
      <c r="C5229" s="1050"/>
      <c r="D5229" s="1050"/>
      <c r="E5229" s="1050"/>
      <c r="F5229" s="1050"/>
      <c r="G5229" s="1050"/>
    </row>
    <row r="5230" spans="1:7">
      <c r="A5230" s="1079"/>
      <c r="B5230" s="1050"/>
      <c r="C5230" s="1050"/>
      <c r="D5230" s="1050"/>
      <c r="E5230" s="1050"/>
      <c r="F5230" s="1050"/>
      <c r="G5230" s="1050"/>
    </row>
    <row r="5231" spans="1:7">
      <c r="A5231" s="1079"/>
      <c r="B5231" s="1050"/>
      <c r="C5231" s="1050"/>
      <c r="D5231" s="1050"/>
      <c r="E5231" s="1050"/>
      <c r="F5231" s="1050"/>
      <c r="G5231" s="1050"/>
    </row>
    <row r="5232" spans="1:7">
      <c r="A5232" s="1079"/>
      <c r="B5232" s="1050"/>
      <c r="C5232" s="1050"/>
      <c r="D5232" s="1050"/>
      <c r="E5232" s="1050"/>
      <c r="F5232" s="1050"/>
      <c r="G5232" s="1050"/>
    </row>
    <row r="5233" spans="1:7">
      <c r="A5233" s="1079"/>
      <c r="B5233" s="1050"/>
      <c r="C5233" s="1050"/>
      <c r="D5233" s="1050"/>
      <c r="E5233" s="1050"/>
      <c r="F5233" s="1050"/>
      <c r="G5233" s="1050"/>
    </row>
    <row r="5234" spans="1:7">
      <c r="A5234" s="1079"/>
      <c r="B5234" s="1050"/>
      <c r="C5234" s="1050"/>
      <c r="D5234" s="1050"/>
      <c r="E5234" s="1050"/>
      <c r="F5234" s="1050"/>
      <c r="G5234" s="1050"/>
    </row>
    <row r="5235" spans="1:7">
      <c r="A5235" s="1079"/>
      <c r="B5235" s="1050"/>
      <c r="C5235" s="1050"/>
      <c r="D5235" s="1050"/>
      <c r="E5235" s="1050"/>
      <c r="F5235" s="1050"/>
      <c r="G5235" s="1050"/>
    </row>
    <row r="5236" spans="1:7">
      <c r="A5236" s="1079"/>
      <c r="B5236" s="1050"/>
      <c r="C5236" s="1050"/>
      <c r="D5236" s="1050"/>
      <c r="E5236" s="1050"/>
      <c r="F5236" s="1050"/>
      <c r="G5236" s="1050"/>
    </row>
    <row r="5237" spans="1:7">
      <c r="A5237" s="1079"/>
      <c r="B5237" s="1050"/>
      <c r="C5237" s="1050"/>
      <c r="D5237" s="1050"/>
      <c r="E5237" s="1050"/>
      <c r="F5237" s="1050"/>
      <c r="G5237" s="1050"/>
    </row>
    <row r="5238" spans="1:7">
      <c r="A5238" s="1079"/>
      <c r="B5238" s="1050"/>
      <c r="C5238" s="1050"/>
      <c r="D5238" s="1050"/>
      <c r="E5238" s="1050"/>
      <c r="F5238" s="1050"/>
      <c r="G5238" s="1050"/>
    </row>
    <row r="5239" spans="1:7">
      <c r="A5239" s="1079"/>
      <c r="B5239" s="1050"/>
      <c r="C5239" s="1050"/>
      <c r="D5239" s="1050"/>
      <c r="E5239" s="1050"/>
      <c r="F5239" s="1050"/>
      <c r="G5239" s="1050"/>
    </row>
    <row r="5240" spans="1:7">
      <c r="A5240" s="1079"/>
      <c r="B5240" s="1050"/>
      <c r="C5240" s="1050"/>
      <c r="D5240" s="1050"/>
      <c r="E5240" s="1050"/>
      <c r="F5240" s="1050"/>
      <c r="G5240" s="1050"/>
    </row>
    <row r="5241" spans="1:7">
      <c r="A5241" s="1079"/>
      <c r="B5241" s="1050"/>
      <c r="C5241" s="1050"/>
      <c r="D5241" s="1050"/>
      <c r="E5241" s="1050"/>
      <c r="F5241" s="1050"/>
      <c r="G5241" s="1050"/>
    </row>
    <row r="5242" spans="1:7">
      <c r="A5242" s="1079"/>
      <c r="B5242" s="1050"/>
      <c r="C5242" s="1050"/>
      <c r="D5242" s="1050"/>
      <c r="E5242" s="1050"/>
      <c r="F5242" s="1050"/>
      <c r="G5242" s="1050"/>
    </row>
    <row r="5243" spans="1:7">
      <c r="A5243" s="1079"/>
      <c r="B5243" s="1050"/>
      <c r="C5243" s="1050"/>
      <c r="D5243" s="1050"/>
      <c r="E5243" s="1050"/>
      <c r="F5243" s="1050"/>
      <c r="G5243" s="1050"/>
    </row>
    <row r="5244" spans="1:7">
      <c r="A5244" s="1079"/>
      <c r="B5244" s="1050"/>
      <c r="C5244" s="1050"/>
      <c r="D5244" s="1050"/>
      <c r="E5244" s="1050"/>
      <c r="F5244" s="1050"/>
      <c r="G5244" s="1050"/>
    </row>
    <row r="5245" spans="1:7">
      <c r="A5245" s="1079"/>
      <c r="B5245" s="1050"/>
      <c r="C5245" s="1050"/>
      <c r="D5245" s="1050"/>
      <c r="E5245" s="1050"/>
      <c r="F5245" s="1050"/>
      <c r="G5245" s="1050"/>
    </row>
    <row r="5246" spans="1:7">
      <c r="A5246" s="1079"/>
      <c r="B5246" s="1050"/>
      <c r="C5246" s="1050"/>
      <c r="D5246" s="1050"/>
      <c r="E5246" s="1050"/>
      <c r="F5246" s="1050"/>
      <c r="G5246" s="1050"/>
    </row>
    <row r="5247" spans="1:7">
      <c r="A5247" s="1079"/>
      <c r="B5247" s="1050"/>
      <c r="C5247" s="1050"/>
      <c r="D5247" s="1050"/>
      <c r="E5247" s="1050"/>
      <c r="F5247" s="1050"/>
      <c r="G5247" s="1050"/>
    </row>
    <row r="5248" spans="1:7">
      <c r="A5248" s="1079"/>
      <c r="B5248" s="1050"/>
      <c r="C5248" s="1050"/>
      <c r="D5248" s="1050"/>
      <c r="E5248" s="1050"/>
      <c r="F5248" s="1050"/>
      <c r="G5248" s="1050"/>
    </row>
    <row r="5249" spans="1:7">
      <c r="A5249" s="1079"/>
      <c r="B5249" s="1050"/>
      <c r="C5249" s="1050"/>
      <c r="D5249" s="1050"/>
      <c r="E5249" s="1050"/>
      <c r="F5249" s="1050"/>
      <c r="G5249" s="1050"/>
    </row>
    <row r="5250" spans="1:7">
      <c r="A5250" s="1079"/>
      <c r="B5250" s="1050"/>
      <c r="C5250" s="1050"/>
      <c r="D5250" s="1050"/>
      <c r="E5250" s="1050"/>
      <c r="F5250" s="1050"/>
      <c r="G5250" s="1050"/>
    </row>
    <row r="5251" spans="1:7">
      <c r="A5251" s="1079"/>
      <c r="B5251" s="1050"/>
      <c r="C5251" s="1050"/>
      <c r="D5251" s="1050"/>
      <c r="E5251" s="1050"/>
      <c r="F5251" s="1050"/>
      <c r="G5251" s="1050"/>
    </row>
    <row r="5252" spans="1:7">
      <c r="A5252" s="1079"/>
      <c r="B5252" s="1050"/>
      <c r="C5252" s="1050"/>
      <c r="D5252" s="1050"/>
      <c r="E5252" s="1050"/>
      <c r="F5252" s="1050"/>
      <c r="G5252" s="1050"/>
    </row>
    <row r="5253" spans="1:7">
      <c r="A5253" s="1079"/>
      <c r="B5253" s="1050"/>
      <c r="C5253" s="1050"/>
      <c r="D5253" s="1050"/>
      <c r="E5253" s="1050"/>
      <c r="F5253" s="1050"/>
      <c r="G5253" s="1050"/>
    </row>
    <row r="5254" spans="1:7">
      <c r="A5254" s="1079"/>
      <c r="B5254" s="1050"/>
      <c r="C5254" s="1050"/>
      <c r="D5254" s="1050"/>
      <c r="E5254" s="1050"/>
      <c r="F5254" s="1050"/>
      <c r="G5254" s="1050"/>
    </row>
    <row r="5255" spans="1:7">
      <c r="A5255" s="1079"/>
      <c r="B5255" s="1050"/>
      <c r="C5255" s="1050"/>
      <c r="D5255" s="1050"/>
      <c r="E5255" s="1050"/>
      <c r="F5255" s="1050"/>
      <c r="G5255" s="1050"/>
    </row>
    <row r="5256" spans="1:7">
      <c r="A5256" s="1079"/>
      <c r="B5256" s="1050"/>
      <c r="C5256" s="1050"/>
      <c r="D5256" s="1050"/>
      <c r="E5256" s="1050"/>
      <c r="F5256" s="1050"/>
      <c r="G5256" s="1050"/>
    </row>
    <row r="5257" spans="1:7">
      <c r="A5257" s="1079"/>
      <c r="B5257" s="1050"/>
      <c r="C5257" s="1050"/>
      <c r="D5257" s="1050"/>
      <c r="E5257" s="1050"/>
      <c r="F5257" s="1050"/>
      <c r="G5257" s="1050"/>
    </row>
    <row r="5258" spans="1:7">
      <c r="A5258" s="1079"/>
      <c r="B5258" s="1050"/>
      <c r="C5258" s="1050"/>
      <c r="D5258" s="1050"/>
      <c r="E5258" s="1050"/>
      <c r="F5258" s="1050"/>
      <c r="G5258" s="1050"/>
    </row>
    <row r="5259" spans="1:7">
      <c r="A5259" s="1079"/>
      <c r="B5259" s="1050"/>
      <c r="C5259" s="1050"/>
      <c r="D5259" s="1050"/>
      <c r="E5259" s="1050"/>
      <c r="F5259" s="1050"/>
      <c r="G5259" s="1050"/>
    </row>
    <row r="5260" spans="1:7">
      <c r="A5260" s="1079"/>
      <c r="B5260" s="1050"/>
      <c r="C5260" s="1050"/>
      <c r="D5260" s="1050"/>
      <c r="E5260" s="1050"/>
      <c r="F5260" s="1050"/>
      <c r="G5260" s="1050"/>
    </row>
    <row r="5261" spans="1:7">
      <c r="A5261" s="1079"/>
      <c r="B5261" s="1050"/>
      <c r="C5261" s="1050"/>
      <c r="D5261" s="1050"/>
      <c r="E5261" s="1050"/>
      <c r="F5261" s="1050"/>
      <c r="G5261" s="1050"/>
    </row>
    <row r="5262" spans="1:7">
      <c r="A5262" s="1079"/>
      <c r="B5262" s="1050"/>
      <c r="C5262" s="1050"/>
      <c r="D5262" s="1050"/>
      <c r="E5262" s="1050"/>
      <c r="F5262" s="1050"/>
      <c r="G5262" s="1050"/>
    </row>
    <row r="5263" spans="1:7">
      <c r="A5263" s="1079"/>
      <c r="B5263" s="1050"/>
      <c r="C5263" s="1050"/>
      <c r="D5263" s="1050"/>
      <c r="E5263" s="1050"/>
      <c r="F5263" s="1050"/>
      <c r="G5263" s="1050"/>
    </row>
    <row r="5264" spans="1:7">
      <c r="A5264" s="1079"/>
      <c r="B5264" s="1050"/>
      <c r="C5264" s="1050"/>
      <c r="D5264" s="1050"/>
      <c r="E5264" s="1050"/>
      <c r="F5264" s="1050"/>
      <c r="G5264" s="1050"/>
    </row>
    <row r="5265" spans="1:7">
      <c r="A5265" s="1079"/>
      <c r="B5265" s="1050"/>
      <c r="C5265" s="1050"/>
      <c r="D5265" s="1050"/>
      <c r="E5265" s="1050"/>
      <c r="F5265" s="1050"/>
      <c r="G5265" s="1050"/>
    </row>
    <row r="5266" spans="1:7">
      <c r="A5266" s="1079"/>
      <c r="B5266" s="1050"/>
      <c r="C5266" s="1050"/>
      <c r="D5266" s="1050"/>
      <c r="E5266" s="1050"/>
      <c r="F5266" s="1050"/>
      <c r="G5266" s="1050"/>
    </row>
    <row r="5267" spans="1:7">
      <c r="A5267" s="1079"/>
      <c r="B5267" s="1050"/>
      <c r="C5267" s="1050"/>
      <c r="D5267" s="1050"/>
      <c r="E5267" s="1050"/>
      <c r="F5267" s="1050"/>
      <c r="G5267" s="1050"/>
    </row>
    <row r="5268" spans="1:7">
      <c r="A5268" s="1079"/>
      <c r="B5268" s="1050"/>
      <c r="C5268" s="1050"/>
      <c r="D5268" s="1050"/>
      <c r="E5268" s="1050"/>
      <c r="F5268" s="1050"/>
      <c r="G5268" s="1050"/>
    </row>
    <row r="5269" spans="1:7">
      <c r="A5269" s="1079"/>
      <c r="B5269" s="1050"/>
      <c r="C5269" s="1050"/>
      <c r="D5269" s="1050"/>
      <c r="E5269" s="1050"/>
      <c r="F5269" s="1050"/>
      <c r="G5269" s="1050"/>
    </row>
    <row r="5270" spans="1:7">
      <c r="A5270" s="1079"/>
      <c r="B5270" s="1050"/>
      <c r="C5270" s="1050"/>
      <c r="D5270" s="1050"/>
      <c r="E5270" s="1050"/>
      <c r="F5270" s="1050"/>
      <c r="G5270" s="1050"/>
    </row>
    <row r="5271" spans="1:7">
      <c r="A5271" s="1079"/>
      <c r="B5271" s="1050"/>
      <c r="C5271" s="1050"/>
      <c r="D5271" s="1050"/>
      <c r="E5271" s="1050"/>
      <c r="F5271" s="1050"/>
      <c r="G5271" s="1050"/>
    </row>
    <row r="5272" spans="1:7">
      <c r="A5272" s="1079"/>
      <c r="B5272" s="1050"/>
      <c r="C5272" s="1050"/>
      <c r="D5272" s="1050"/>
      <c r="E5272" s="1050"/>
      <c r="F5272" s="1050"/>
      <c r="G5272" s="1050"/>
    </row>
    <row r="5273" spans="1:7">
      <c r="A5273" s="1079"/>
      <c r="B5273" s="1050"/>
      <c r="C5273" s="1050"/>
      <c r="D5273" s="1050"/>
      <c r="E5273" s="1050"/>
      <c r="F5273" s="1050"/>
      <c r="G5273" s="1050"/>
    </row>
    <row r="5274" spans="1:7">
      <c r="A5274" s="1079"/>
      <c r="B5274" s="1050"/>
      <c r="C5274" s="1050"/>
      <c r="D5274" s="1050"/>
      <c r="E5274" s="1050"/>
      <c r="F5274" s="1050"/>
      <c r="G5274" s="1050"/>
    </row>
    <row r="5275" spans="1:7">
      <c r="A5275" s="1079"/>
      <c r="B5275" s="1050"/>
      <c r="C5275" s="1050"/>
      <c r="D5275" s="1050"/>
      <c r="E5275" s="1050"/>
      <c r="F5275" s="1050"/>
      <c r="G5275" s="1050"/>
    </row>
    <row r="5276" spans="1:7">
      <c r="A5276" s="1079"/>
      <c r="B5276" s="1050"/>
      <c r="C5276" s="1050"/>
      <c r="D5276" s="1050"/>
      <c r="E5276" s="1050"/>
      <c r="F5276" s="1050"/>
      <c r="G5276" s="1050"/>
    </row>
    <row r="5277" spans="1:7">
      <c r="A5277" s="1079"/>
      <c r="B5277" s="1050"/>
      <c r="C5277" s="1050"/>
      <c r="D5277" s="1050"/>
      <c r="E5277" s="1050"/>
      <c r="F5277" s="1050"/>
      <c r="G5277" s="1050"/>
    </row>
    <row r="5278" spans="1:7">
      <c r="A5278" s="1079"/>
      <c r="B5278" s="1050"/>
      <c r="C5278" s="1050"/>
      <c r="D5278" s="1050"/>
      <c r="E5278" s="1050"/>
      <c r="F5278" s="1050"/>
      <c r="G5278" s="1050"/>
    </row>
    <row r="5279" spans="1:7">
      <c r="A5279" s="1079"/>
      <c r="B5279" s="1050"/>
      <c r="C5279" s="1050"/>
      <c r="D5279" s="1050"/>
      <c r="E5279" s="1050"/>
      <c r="F5279" s="1050"/>
      <c r="G5279" s="1050"/>
    </row>
    <row r="5280" spans="1:7">
      <c r="A5280" s="1079"/>
      <c r="B5280" s="1050"/>
      <c r="C5280" s="1050"/>
      <c r="D5280" s="1050"/>
      <c r="E5280" s="1050"/>
      <c r="F5280" s="1050"/>
      <c r="G5280" s="1050"/>
    </row>
    <row r="5281" spans="1:7">
      <c r="A5281" s="1079"/>
      <c r="B5281" s="1050"/>
      <c r="C5281" s="1050"/>
      <c r="D5281" s="1050"/>
      <c r="E5281" s="1050"/>
      <c r="F5281" s="1050"/>
      <c r="G5281" s="1050"/>
    </row>
    <row r="5282" spans="1:7">
      <c r="A5282" s="1079"/>
      <c r="B5282" s="1050"/>
      <c r="C5282" s="1050"/>
      <c r="D5282" s="1050"/>
      <c r="E5282" s="1050"/>
      <c r="F5282" s="1050"/>
      <c r="G5282" s="1050"/>
    </row>
    <row r="5283" spans="1:7">
      <c r="A5283" s="1079"/>
      <c r="B5283" s="1050"/>
      <c r="C5283" s="1050"/>
      <c r="D5283" s="1050"/>
      <c r="E5283" s="1050"/>
      <c r="F5283" s="1050"/>
      <c r="G5283" s="1050"/>
    </row>
    <row r="5284" spans="1:7">
      <c r="A5284" s="1079"/>
      <c r="B5284" s="1050"/>
      <c r="C5284" s="1050"/>
      <c r="D5284" s="1050"/>
      <c r="E5284" s="1050"/>
      <c r="F5284" s="1050"/>
      <c r="G5284" s="1050"/>
    </row>
    <row r="5285" spans="1:7">
      <c r="A5285" s="1079"/>
      <c r="B5285" s="1050"/>
      <c r="C5285" s="1050"/>
      <c r="D5285" s="1050"/>
      <c r="E5285" s="1050"/>
      <c r="F5285" s="1050"/>
      <c r="G5285" s="1050"/>
    </row>
    <row r="5286" spans="1:7">
      <c r="A5286" s="1079"/>
      <c r="B5286" s="1050"/>
      <c r="C5286" s="1050"/>
      <c r="D5286" s="1050"/>
      <c r="E5286" s="1050"/>
      <c r="F5286" s="1050"/>
      <c r="G5286" s="1050"/>
    </row>
    <row r="5287" spans="1:7">
      <c r="A5287" s="1079"/>
      <c r="B5287" s="1050"/>
      <c r="C5287" s="1050"/>
      <c r="D5287" s="1050"/>
      <c r="E5287" s="1050"/>
      <c r="F5287" s="1050"/>
      <c r="G5287" s="1050"/>
    </row>
    <row r="5288" spans="1:7">
      <c r="A5288" s="1079"/>
      <c r="B5288" s="1050"/>
      <c r="C5288" s="1050"/>
      <c r="D5288" s="1050"/>
      <c r="E5288" s="1050"/>
      <c r="F5288" s="1050"/>
      <c r="G5288" s="1050"/>
    </row>
    <row r="5289" spans="1:7">
      <c r="A5289" s="1079"/>
      <c r="B5289" s="1050"/>
      <c r="C5289" s="1050"/>
      <c r="D5289" s="1050"/>
      <c r="E5289" s="1050"/>
      <c r="F5289" s="1050"/>
      <c r="G5289" s="1050"/>
    </row>
    <row r="5290" spans="1:7">
      <c r="A5290" s="1079"/>
      <c r="B5290" s="1050"/>
      <c r="C5290" s="1050"/>
      <c r="D5290" s="1050"/>
      <c r="E5290" s="1050"/>
      <c r="F5290" s="1050"/>
      <c r="G5290" s="1050"/>
    </row>
    <row r="5291" spans="1:7">
      <c r="A5291" s="1079"/>
      <c r="B5291" s="1050"/>
      <c r="C5291" s="1050"/>
      <c r="D5291" s="1050"/>
      <c r="E5291" s="1050"/>
      <c r="F5291" s="1050"/>
      <c r="G5291" s="1050"/>
    </row>
    <row r="5292" spans="1:7">
      <c r="A5292" s="1079"/>
      <c r="B5292" s="1050"/>
      <c r="C5292" s="1050"/>
      <c r="D5292" s="1050"/>
      <c r="E5292" s="1050"/>
      <c r="F5292" s="1050"/>
      <c r="G5292" s="1050"/>
    </row>
    <row r="5293" spans="1:7">
      <c r="A5293" s="1079"/>
      <c r="B5293" s="1050"/>
      <c r="C5293" s="1050"/>
      <c r="D5293" s="1050"/>
      <c r="E5293" s="1050"/>
      <c r="F5293" s="1050"/>
      <c r="G5293" s="1050"/>
    </row>
    <row r="5294" spans="1:7">
      <c r="A5294" s="1079"/>
      <c r="B5294" s="1050"/>
      <c r="C5294" s="1050"/>
      <c r="D5294" s="1050"/>
      <c r="E5294" s="1050"/>
      <c r="F5294" s="1050"/>
      <c r="G5294" s="1050"/>
    </row>
    <row r="5295" spans="1:7">
      <c r="A5295" s="1079"/>
      <c r="B5295" s="1050"/>
      <c r="C5295" s="1050"/>
      <c r="D5295" s="1050"/>
      <c r="E5295" s="1050"/>
      <c r="F5295" s="1050"/>
      <c r="G5295" s="1050"/>
    </row>
    <row r="5296" spans="1:7">
      <c r="A5296" s="1079"/>
      <c r="B5296" s="1050"/>
      <c r="C5296" s="1050"/>
      <c r="D5296" s="1050"/>
      <c r="E5296" s="1050"/>
      <c r="F5296" s="1050"/>
      <c r="G5296" s="1050"/>
    </row>
    <row r="5297" spans="1:7">
      <c r="A5297" s="1079"/>
      <c r="B5297" s="1050"/>
      <c r="C5297" s="1050"/>
      <c r="D5297" s="1050"/>
      <c r="E5297" s="1050"/>
      <c r="F5297" s="1050"/>
      <c r="G5297" s="1050"/>
    </row>
    <row r="5298" spans="1:7">
      <c r="A5298" s="1079"/>
      <c r="B5298" s="1050"/>
      <c r="C5298" s="1050"/>
      <c r="D5298" s="1050"/>
      <c r="E5298" s="1050"/>
      <c r="F5298" s="1050"/>
      <c r="G5298" s="1050"/>
    </row>
    <row r="5299" spans="1:7">
      <c r="A5299" s="1079"/>
      <c r="B5299" s="1050"/>
      <c r="C5299" s="1050"/>
      <c r="D5299" s="1050"/>
      <c r="E5299" s="1050"/>
      <c r="F5299" s="1050"/>
      <c r="G5299" s="1050"/>
    </row>
    <row r="5300" spans="1:7">
      <c r="A5300" s="1079"/>
      <c r="B5300" s="1050"/>
      <c r="C5300" s="1050"/>
      <c r="D5300" s="1050"/>
      <c r="E5300" s="1050"/>
      <c r="F5300" s="1050"/>
      <c r="G5300" s="1050"/>
    </row>
    <row r="5301" spans="1:7">
      <c r="A5301" s="1079"/>
      <c r="B5301" s="1050"/>
      <c r="C5301" s="1050"/>
      <c r="D5301" s="1050"/>
      <c r="E5301" s="1050"/>
      <c r="F5301" s="1050"/>
      <c r="G5301" s="1050"/>
    </row>
    <row r="5302" spans="1:7">
      <c r="A5302" s="1079"/>
      <c r="B5302" s="1050"/>
      <c r="C5302" s="1050"/>
      <c r="D5302" s="1050"/>
      <c r="E5302" s="1050"/>
      <c r="F5302" s="1050"/>
      <c r="G5302" s="1050"/>
    </row>
    <row r="5303" spans="1:7">
      <c r="A5303" s="1079"/>
      <c r="B5303" s="1050"/>
      <c r="C5303" s="1050"/>
      <c r="D5303" s="1050"/>
      <c r="E5303" s="1050"/>
      <c r="F5303" s="1050"/>
      <c r="G5303" s="1050"/>
    </row>
    <row r="5304" spans="1:7">
      <c r="A5304" s="1079"/>
      <c r="B5304" s="1050"/>
      <c r="C5304" s="1050"/>
      <c r="D5304" s="1050"/>
      <c r="E5304" s="1050"/>
      <c r="F5304" s="1050"/>
      <c r="G5304" s="1050"/>
    </row>
    <row r="5305" spans="1:7">
      <c r="A5305" s="1079"/>
      <c r="B5305" s="1050"/>
      <c r="C5305" s="1050"/>
      <c r="D5305" s="1050"/>
      <c r="E5305" s="1050"/>
      <c r="F5305" s="1050"/>
      <c r="G5305" s="1050"/>
    </row>
    <row r="5306" spans="1:7">
      <c r="A5306" s="1079"/>
      <c r="B5306" s="1050"/>
      <c r="C5306" s="1050"/>
      <c r="D5306" s="1050"/>
      <c r="E5306" s="1050"/>
      <c r="F5306" s="1050"/>
      <c r="G5306" s="1050"/>
    </row>
    <row r="5307" spans="1:7">
      <c r="A5307" s="1079"/>
      <c r="B5307" s="1050"/>
      <c r="C5307" s="1050"/>
      <c r="D5307" s="1050"/>
      <c r="E5307" s="1050"/>
      <c r="F5307" s="1050"/>
      <c r="G5307" s="1050"/>
    </row>
    <row r="5308" spans="1:7">
      <c r="A5308" s="1079"/>
      <c r="B5308" s="1050"/>
      <c r="C5308" s="1050"/>
      <c r="D5308" s="1050"/>
      <c r="E5308" s="1050"/>
      <c r="F5308" s="1050"/>
      <c r="G5308" s="1050"/>
    </row>
    <row r="5309" spans="1:7">
      <c r="A5309" s="1079"/>
      <c r="B5309" s="1050"/>
      <c r="C5309" s="1050"/>
      <c r="D5309" s="1050"/>
      <c r="E5309" s="1050"/>
      <c r="F5309" s="1050"/>
      <c r="G5309" s="1050"/>
    </row>
    <row r="5310" spans="1:7">
      <c r="A5310" s="1079"/>
      <c r="B5310" s="1050"/>
      <c r="C5310" s="1050"/>
      <c r="D5310" s="1050"/>
      <c r="E5310" s="1050"/>
      <c r="F5310" s="1050"/>
      <c r="G5310" s="1050"/>
    </row>
    <row r="5311" spans="1:7">
      <c r="A5311" s="1079"/>
      <c r="B5311" s="1050"/>
      <c r="C5311" s="1050"/>
      <c r="D5311" s="1050"/>
      <c r="E5311" s="1050"/>
      <c r="F5311" s="1050"/>
      <c r="G5311" s="1050"/>
    </row>
    <row r="5312" spans="1:7">
      <c r="A5312" s="1079"/>
      <c r="B5312" s="1050"/>
      <c r="C5312" s="1050"/>
      <c r="D5312" s="1050"/>
      <c r="E5312" s="1050"/>
      <c r="F5312" s="1050"/>
      <c r="G5312" s="1050"/>
    </row>
    <row r="5313" spans="1:7">
      <c r="A5313" s="1079"/>
      <c r="B5313" s="1050"/>
      <c r="C5313" s="1050"/>
      <c r="D5313" s="1050"/>
      <c r="E5313" s="1050"/>
      <c r="F5313" s="1050"/>
      <c r="G5313" s="1050"/>
    </row>
    <row r="5314" spans="1:7">
      <c r="A5314" s="1079"/>
      <c r="B5314" s="1050"/>
      <c r="C5314" s="1050"/>
      <c r="D5314" s="1050"/>
      <c r="E5314" s="1050"/>
      <c r="F5314" s="1050"/>
      <c r="G5314" s="1050"/>
    </row>
    <row r="5315" spans="1:7">
      <c r="A5315" s="1079"/>
      <c r="B5315" s="1050"/>
      <c r="C5315" s="1050"/>
      <c r="D5315" s="1050"/>
      <c r="E5315" s="1050"/>
      <c r="F5315" s="1050"/>
      <c r="G5315" s="1050"/>
    </row>
    <row r="5316" spans="1:7">
      <c r="A5316" s="1079"/>
      <c r="B5316" s="1050"/>
      <c r="C5316" s="1050"/>
      <c r="D5316" s="1050"/>
      <c r="E5316" s="1050"/>
      <c r="F5316" s="1050"/>
      <c r="G5316" s="1050"/>
    </row>
    <row r="5317" spans="1:7">
      <c r="A5317" s="1079"/>
      <c r="B5317" s="1050"/>
      <c r="C5317" s="1050"/>
      <c r="D5317" s="1050"/>
      <c r="E5317" s="1050"/>
      <c r="F5317" s="1050"/>
      <c r="G5317" s="1050"/>
    </row>
    <row r="5318" spans="1:7">
      <c r="A5318" s="1079"/>
      <c r="B5318" s="1050"/>
      <c r="C5318" s="1050"/>
      <c r="D5318" s="1050"/>
      <c r="E5318" s="1050"/>
      <c r="F5318" s="1050"/>
      <c r="G5318" s="1050"/>
    </row>
    <row r="5319" spans="1:7">
      <c r="A5319" s="1079"/>
      <c r="B5319" s="1050"/>
      <c r="C5319" s="1050"/>
      <c r="D5319" s="1050"/>
      <c r="E5319" s="1050"/>
      <c r="F5319" s="1050"/>
      <c r="G5319" s="1050"/>
    </row>
    <row r="5320" spans="1:7">
      <c r="A5320" s="1079"/>
      <c r="B5320" s="1050"/>
      <c r="C5320" s="1050"/>
      <c r="D5320" s="1050"/>
      <c r="E5320" s="1050"/>
      <c r="F5320" s="1050"/>
      <c r="G5320" s="1050"/>
    </row>
    <row r="5321" spans="1:7">
      <c r="A5321" s="1079"/>
      <c r="B5321" s="1050"/>
      <c r="C5321" s="1050"/>
      <c r="D5321" s="1050"/>
      <c r="E5321" s="1050"/>
      <c r="F5321" s="1050"/>
      <c r="G5321" s="1050"/>
    </row>
    <row r="5322" spans="1:7">
      <c r="A5322" s="1079"/>
      <c r="B5322" s="1050"/>
      <c r="C5322" s="1050"/>
      <c r="D5322" s="1050"/>
      <c r="E5322" s="1050"/>
      <c r="F5322" s="1050"/>
      <c r="G5322" s="1050"/>
    </row>
    <row r="5323" spans="1:7">
      <c r="A5323" s="1079"/>
      <c r="B5323" s="1050"/>
      <c r="C5323" s="1050"/>
      <c r="D5323" s="1050"/>
      <c r="E5323" s="1050"/>
      <c r="F5323" s="1050"/>
      <c r="G5323" s="1050"/>
    </row>
    <row r="5324" spans="1:7">
      <c r="A5324" s="1079"/>
      <c r="B5324" s="1050"/>
      <c r="C5324" s="1050"/>
      <c r="D5324" s="1050"/>
      <c r="E5324" s="1050"/>
      <c r="F5324" s="1050"/>
      <c r="G5324" s="1050"/>
    </row>
    <row r="5325" spans="1:7">
      <c r="A5325" s="1079"/>
      <c r="B5325" s="1050"/>
      <c r="C5325" s="1050"/>
      <c r="D5325" s="1050"/>
      <c r="E5325" s="1050"/>
      <c r="F5325" s="1050"/>
      <c r="G5325" s="1050"/>
    </row>
    <row r="5326" spans="1:7">
      <c r="A5326" s="1079"/>
      <c r="B5326" s="1050"/>
      <c r="C5326" s="1050"/>
      <c r="D5326" s="1050"/>
      <c r="E5326" s="1050"/>
      <c r="F5326" s="1050"/>
      <c r="G5326" s="1050"/>
    </row>
    <row r="5327" spans="1:7">
      <c r="A5327" s="1079"/>
      <c r="B5327" s="1050"/>
      <c r="C5327" s="1050"/>
      <c r="D5327" s="1050"/>
      <c r="E5327" s="1050"/>
      <c r="F5327" s="1050"/>
      <c r="G5327" s="1050"/>
    </row>
    <row r="5328" spans="1:7">
      <c r="A5328" s="1079"/>
      <c r="B5328" s="1050"/>
      <c r="C5328" s="1050"/>
      <c r="D5328" s="1050"/>
      <c r="E5328" s="1050"/>
      <c r="F5328" s="1050"/>
      <c r="G5328" s="1050"/>
    </row>
    <row r="5329" spans="1:7">
      <c r="A5329" s="1079"/>
      <c r="B5329" s="1050"/>
      <c r="C5329" s="1050"/>
      <c r="D5329" s="1050"/>
      <c r="E5329" s="1050"/>
      <c r="F5329" s="1050"/>
      <c r="G5329" s="1050"/>
    </row>
    <row r="5330" spans="1:7">
      <c r="A5330" s="1079"/>
      <c r="B5330" s="1050"/>
      <c r="C5330" s="1050"/>
      <c r="D5330" s="1050"/>
      <c r="E5330" s="1050"/>
      <c r="F5330" s="1050"/>
      <c r="G5330" s="1050"/>
    </row>
    <row r="5331" spans="1:7">
      <c r="A5331" s="1079"/>
      <c r="B5331" s="1050"/>
      <c r="C5331" s="1050"/>
      <c r="D5331" s="1050"/>
      <c r="E5331" s="1050"/>
      <c r="F5331" s="1050"/>
      <c r="G5331" s="1050"/>
    </row>
    <row r="5332" spans="1:7">
      <c r="A5332" s="1079"/>
      <c r="B5332" s="1050"/>
      <c r="C5332" s="1050"/>
      <c r="D5332" s="1050"/>
      <c r="E5332" s="1050"/>
      <c r="F5332" s="1050"/>
      <c r="G5332" s="1050"/>
    </row>
    <row r="5333" spans="1:7">
      <c r="A5333" s="1079"/>
      <c r="B5333" s="1050"/>
      <c r="C5333" s="1050"/>
      <c r="D5333" s="1050"/>
      <c r="E5333" s="1050"/>
      <c r="F5333" s="1050"/>
      <c r="G5333" s="1050"/>
    </row>
    <row r="5334" spans="1:7">
      <c r="A5334" s="1079"/>
      <c r="B5334" s="1050"/>
      <c r="C5334" s="1050"/>
      <c r="D5334" s="1050"/>
      <c r="E5334" s="1050"/>
      <c r="F5334" s="1050"/>
      <c r="G5334" s="1050"/>
    </row>
    <row r="5335" spans="1:7">
      <c r="A5335" s="1079"/>
      <c r="B5335" s="1050"/>
      <c r="C5335" s="1050"/>
      <c r="D5335" s="1050"/>
      <c r="E5335" s="1050"/>
      <c r="F5335" s="1050"/>
      <c r="G5335" s="1050"/>
    </row>
    <row r="5336" spans="1:7">
      <c r="A5336" s="1079"/>
      <c r="B5336" s="1050"/>
      <c r="C5336" s="1050"/>
      <c r="D5336" s="1050"/>
      <c r="E5336" s="1050"/>
      <c r="F5336" s="1050"/>
      <c r="G5336" s="1050"/>
    </row>
    <row r="5337" spans="1:7">
      <c r="A5337" s="1079"/>
      <c r="B5337" s="1050"/>
      <c r="C5337" s="1050"/>
      <c r="D5337" s="1050"/>
      <c r="E5337" s="1050"/>
      <c r="F5337" s="1050"/>
      <c r="G5337" s="1050"/>
    </row>
    <row r="5338" spans="1:7">
      <c r="A5338" s="1079"/>
      <c r="B5338" s="1050"/>
      <c r="C5338" s="1050"/>
      <c r="D5338" s="1050"/>
      <c r="E5338" s="1050"/>
      <c r="F5338" s="1050"/>
      <c r="G5338" s="1050"/>
    </row>
    <row r="5339" spans="1:7">
      <c r="A5339" s="1079"/>
      <c r="B5339" s="1050"/>
      <c r="C5339" s="1050"/>
      <c r="D5339" s="1050"/>
      <c r="E5339" s="1050"/>
      <c r="F5339" s="1050"/>
      <c r="G5339" s="1050"/>
    </row>
    <row r="5340" spans="1:7">
      <c r="A5340" s="1079"/>
      <c r="B5340" s="1050"/>
      <c r="C5340" s="1050"/>
      <c r="D5340" s="1050"/>
      <c r="E5340" s="1050"/>
      <c r="F5340" s="1050"/>
      <c r="G5340" s="1050"/>
    </row>
    <row r="5341" spans="1:7">
      <c r="A5341" s="1079"/>
      <c r="B5341" s="1050"/>
      <c r="C5341" s="1050"/>
      <c r="D5341" s="1050"/>
      <c r="E5341" s="1050"/>
      <c r="F5341" s="1050"/>
      <c r="G5341" s="1050"/>
    </row>
    <row r="5342" spans="1:7">
      <c r="A5342" s="1079"/>
      <c r="B5342" s="1050"/>
      <c r="C5342" s="1050"/>
      <c r="D5342" s="1050"/>
      <c r="E5342" s="1050"/>
      <c r="F5342" s="1050"/>
      <c r="G5342" s="1050"/>
    </row>
    <row r="5343" spans="1:7">
      <c r="A5343" s="1079"/>
      <c r="B5343" s="1050"/>
      <c r="C5343" s="1050"/>
      <c r="D5343" s="1050"/>
      <c r="E5343" s="1050"/>
      <c r="F5343" s="1050"/>
      <c r="G5343" s="1050"/>
    </row>
    <row r="5344" spans="1:7">
      <c r="A5344" s="1079"/>
      <c r="B5344" s="1050"/>
      <c r="C5344" s="1050"/>
      <c r="D5344" s="1050"/>
      <c r="E5344" s="1050"/>
      <c r="F5344" s="1050"/>
      <c r="G5344" s="1050"/>
    </row>
    <row r="5345" spans="1:7">
      <c r="A5345" s="1079"/>
      <c r="B5345" s="1050"/>
      <c r="C5345" s="1050"/>
      <c r="D5345" s="1050"/>
      <c r="E5345" s="1050"/>
      <c r="F5345" s="1050"/>
      <c r="G5345" s="1050"/>
    </row>
    <row r="5346" spans="1:7">
      <c r="A5346" s="1079"/>
      <c r="B5346" s="1050"/>
      <c r="C5346" s="1050"/>
      <c r="D5346" s="1050"/>
      <c r="E5346" s="1050"/>
      <c r="F5346" s="1050"/>
      <c r="G5346" s="1050"/>
    </row>
    <row r="5347" spans="1:7">
      <c r="A5347" s="1079"/>
      <c r="B5347" s="1050"/>
      <c r="C5347" s="1050"/>
      <c r="D5347" s="1050"/>
      <c r="E5347" s="1050"/>
      <c r="F5347" s="1050"/>
      <c r="G5347" s="1050"/>
    </row>
    <row r="5348" spans="1:7">
      <c r="A5348" s="1079"/>
      <c r="B5348" s="1050"/>
      <c r="C5348" s="1050"/>
      <c r="D5348" s="1050"/>
      <c r="E5348" s="1050"/>
      <c r="F5348" s="1050"/>
      <c r="G5348" s="1050"/>
    </row>
    <row r="5349" spans="1:7">
      <c r="A5349" s="1079"/>
      <c r="B5349" s="1050"/>
      <c r="C5349" s="1050"/>
      <c r="D5349" s="1050"/>
      <c r="E5349" s="1050"/>
      <c r="F5349" s="1050"/>
      <c r="G5349" s="1050"/>
    </row>
    <row r="5350" spans="1:7">
      <c r="A5350" s="1079"/>
      <c r="B5350" s="1050"/>
      <c r="C5350" s="1050"/>
      <c r="D5350" s="1050"/>
      <c r="E5350" s="1050"/>
      <c r="F5350" s="1050"/>
      <c r="G5350" s="1050"/>
    </row>
    <row r="5351" spans="1:7">
      <c r="A5351" s="1079"/>
      <c r="B5351" s="1050"/>
      <c r="C5351" s="1050"/>
      <c r="D5351" s="1050"/>
      <c r="E5351" s="1050"/>
      <c r="F5351" s="1050"/>
      <c r="G5351" s="1050"/>
    </row>
    <row r="5352" spans="1:7">
      <c r="A5352" s="1079"/>
      <c r="B5352" s="1050"/>
      <c r="C5352" s="1050"/>
      <c r="D5352" s="1050"/>
      <c r="E5352" s="1050"/>
      <c r="F5352" s="1050"/>
      <c r="G5352" s="1050"/>
    </row>
    <row r="5353" spans="1:7">
      <c r="A5353" s="1079"/>
      <c r="B5353" s="1050"/>
      <c r="C5353" s="1050"/>
      <c r="D5353" s="1050"/>
      <c r="E5353" s="1050"/>
      <c r="F5353" s="1050"/>
      <c r="G5353" s="1050"/>
    </row>
    <row r="5354" spans="1:7">
      <c r="A5354" s="1079"/>
      <c r="B5354" s="1050"/>
      <c r="C5354" s="1050"/>
      <c r="D5354" s="1050"/>
      <c r="E5354" s="1050"/>
      <c r="F5354" s="1050"/>
      <c r="G5354" s="1050"/>
    </row>
    <row r="5355" spans="1:7">
      <c r="A5355" s="1079"/>
      <c r="B5355" s="1050"/>
      <c r="C5355" s="1050"/>
      <c r="D5355" s="1050"/>
      <c r="E5355" s="1050"/>
      <c r="F5355" s="1050"/>
      <c r="G5355" s="1050"/>
    </row>
    <row r="5356" spans="1:7">
      <c r="A5356" s="1079"/>
      <c r="B5356" s="1050"/>
      <c r="C5356" s="1050"/>
      <c r="D5356" s="1050"/>
      <c r="E5356" s="1050"/>
      <c r="F5356" s="1050"/>
      <c r="G5356" s="1050"/>
    </row>
    <row r="5357" spans="1:7">
      <c r="A5357" s="1079"/>
      <c r="B5357" s="1050"/>
      <c r="C5357" s="1050"/>
      <c r="D5357" s="1050"/>
      <c r="E5357" s="1050"/>
      <c r="F5357" s="1050"/>
      <c r="G5357" s="1050"/>
    </row>
    <row r="5358" spans="1:7">
      <c r="A5358" s="1079"/>
      <c r="B5358" s="1050"/>
      <c r="C5358" s="1050"/>
      <c r="D5358" s="1050"/>
      <c r="E5358" s="1050"/>
      <c r="F5358" s="1050"/>
      <c r="G5358" s="1050"/>
    </row>
    <row r="5359" spans="1:7">
      <c r="A5359" s="1079"/>
      <c r="B5359" s="1050"/>
      <c r="C5359" s="1050"/>
      <c r="D5359" s="1050"/>
      <c r="E5359" s="1050"/>
      <c r="F5359" s="1050"/>
      <c r="G5359" s="1050"/>
    </row>
    <row r="5360" spans="1:7">
      <c r="A5360" s="1079"/>
      <c r="B5360" s="1050"/>
      <c r="C5360" s="1050"/>
      <c r="D5360" s="1050"/>
      <c r="E5360" s="1050"/>
      <c r="F5360" s="1050"/>
      <c r="G5360" s="1050"/>
    </row>
    <row r="5361" spans="1:7">
      <c r="A5361" s="1079"/>
      <c r="B5361" s="1050"/>
      <c r="C5361" s="1050"/>
      <c r="D5361" s="1050"/>
      <c r="E5361" s="1050"/>
      <c r="F5361" s="1050"/>
      <c r="G5361" s="1050"/>
    </row>
    <row r="5362" spans="1:7">
      <c r="A5362" s="1079"/>
      <c r="B5362" s="1050"/>
      <c r="C5362" s="1050"/>
      <c r="D5362" s="1050"/>
      <c r="E5362" s="1050"/>
      <c r="F5362" s="1050"/>
      <c r="G5362" s="1050"/>
    </row>
    <row r="5363" spans="1:7">
      <c r="A5363" s="1079"/>
      <c r="B5363" s="1050"/>
      <c r="C5363" s="1050"/>
      <c r="D5363" s="1050"/>
      <c r="E5363" s="1050"/>
      <c r="F5363" s="1050"/>
      <c r="G5363" s="1050"/>
    </row>
    <row r="5364" spans="1:7">
      <c r="A5364" s="1079"/>
      <c r="B5364" s="1050"/>
      <c r="C5364" s="1050"/>
      <c r="D5364" s="1050"/>
      <c r="E5364" s="1050"/>
      <c r="F5364" s="1050"/>
      <c r="G5364" s="1050"/>
    </row>
    <row r="5365" spans="1:7">
      <c r="A5365" s="1079"/>
      <c r="B5365" s="1050"/>
      <c r="C5365" s="1050"/>
      <c r="D5365" s="1050"/>
      <c r="E5365" s="1050"/>
      <c r="F5365" s="1050"/>
      <c r="G5365" s="1050"/>
    </row>
    <row r="5366" spans="1:7">
      <c r="A5366" s="1079"/>
      <c r="B5366" s="1050"/>
      <c r="C5366" s="1050"/>
      <c r="D5366" s="1050"/>
      <c r="E5366" s="1050"/>
      <c r="F5366" s="1050"/>
      <c r="G5366" s="1050"/>
    </row>
    <row r="5367" spans="1:7">
      <c r="A5367" s="1079"/>
      <c r="B5367" s="1050"/>
      <c r="C5367" s="1050"/>
      <c r="D5367" s="1050"/>
      <c r="E5367" s="1050"/>
      <c r="F5367" s="1050"/>
      <c r="G5367" s="1050"/>
    </row>
    <row r="5368" spans="1:7">
      <c r="A5368" s="1079"/>
      <c r="B5368" s="1050"/>
      <c r="C5368" s="1050"/>
      <c r="D5368" s="1050"/>
      <c r="E5368" s="1050"/>
      <c r="F5368" s="1050"/>
      <c r="G5368" s="1050"/>
    </row>
    <row r="5369" spans="1:7">
      <c r="A5369" s="1079"/>
      <c r="B5369" s="1050"/>
      <c r="C5369" s="1050"/>
      <c r="D5369" s="1050"/>
      <c r="E5369" s="1050"/>
      <c r="F5369" s="1050"/>
      <c r="G5369" s="1050"/>
    </row>
    <row r="5370" spans="1:7">
      <c r="A5370" s="1079"/>
      <c r="B5370" s="1050"/>
      <c r="C5370" s="1050"/>
      <c r="D5370" s="1050"/>
      <c r="E5370" s="1050"/>
      <c r="F5370" s="1050"/>
      <c r="G5370" s="1050"/>
    </row>
    <row r="5371" spans="1:7">
      <c r="A5371" s="1079"/>
      <c r="B5371" s="1050"/>
      <c r="C5371" s="1050"/>
      <c r="D5371" s="1050"/>
      <c r="E5371" s="1050"/>
      <c r="F5371" s="1050"/>
      <c r="G5371" s="1050"/>
    </row>
    <row r="5372" spans="1:7">
      <c r="A5372" s="1079"/>
      <c r="B5372" s="1050"/>
      <c r="C5372" s="1050"/>
      <c r="D5372" s="1050"/>
      <c r="E5372" s="1050"/>
      <c r="F5372" s="1050"/>
      <c r="G5372" s="1050"/>
    </row>
    <row r="5373" spans="1:7">
      <c r="A5373" s="1079"/>
      <c r="B5373" s="1050"/>
      <c r="C5373" s="1050"/>
      <c r="D5373" s="1050"/>
      <c r="E5373" s="1050"/>
      <c r="F5373" s="1050"/>
      <c r="G5373" s="1050"/>
    </row>
    <row r="5374" spans="1:7">
      <c r="A5374" s="1079"/>
      <c r="B5374" s="1050"/>
      <c r="C5374" s="1050"/>
      <c r="D5374" s="1050"/>
      <c r="E5374" s="1050"/>
      <c r="F5374" s="1050"/>
      <c r="G5374" s="1050"/>
    </row>
    <row r="5375" spans="1:7">
      <c r="A5375" s="1079"/>
      <c r="B5375" s="1050"/>
      <c r="C5375" s="1050"/>
      <c r="D5375" s="1050"/>
      <c r="E5375" s="1050"/>
      <c r="F5375" s="1050"/>
      <c r="G5375" s="1050"/>
    </row>
    <row r="5376" spans="1:7">
      <c r="A5376" s="1079"/>
      <c r="B5376" s="1050"/>
      <c r="C5376" s="1050"/>
      <c r="D5376" s="1050"/>
      <c r="E5376" s="1050"/>
      <c r="F5376" s="1050"/>
      <c r="G5376" s="1050"/>
    </row>
    <row r="5377" spans="1:7">
      <c r="A5377" s="1079"/>
      <c r="B5377" s="1050"/>
      <c r="C5377" s="1050"/>
      <c r="D5377" s="1050"/>
      <c r="E5377" s="1050"/>
      <c r="F5377" s="1050"/>
      <c r="G5377" s="1050"/>
    </row>
    <row r="5378" spans="1:7">
      <c r="A5378" s="1079"/>
      <c r="B5378" s="1050"/>
      <c r="C5378" s="1050"/>
      <c r="D5378" s="1050"/>
      <c r="E5378" s="1050"/>
      <c r="F5378" s="1050"/>
      <c r="G5378" s="1050"/>
    </row>
    <row r="5379" spans="1:7">
      <c r="A5379" s="1079"/>
      <c r="B5379" s="1050"/>
      <c r="C5379" s="1050"/>
      <c r="D5379" s="1050"/>
      <c r="E5379" s="1050"/>
      <c r="F5379" s="1050"/>
      <c r="G5379" s="1050"/>
    </row>
    <row r="5380" spans="1:7">
      <c r="A5380" s="1079"/>
      <c r="B5380" s="1050"/>
      <c r="C5380" s="1050"/>
      <c r="D5380" s="1050"/>
      <c r="E5380" s="1050"/>
      <c r="F5380" s="1050"/>
      <c r="G5380" s="1050"/>
    </row>
    <row r="5381" spans="1:7">
      <c r="A5381" s="1079"/>
      <c r="B5381" s="1050"/>
      <c r="C5381" s="1050"/>
      <c r="D5381" s="1050"/>
      <c r="E5381" s="1050"/>
      <c r="F5381" s="1050"/>
      <c r="G5381" s="1050"/>
    </row>
    <row r="5382" spans="1:7">
      <c r="A5382" s="1079"/>
      <c r="B5382" s="1050"/>
      <c r="C5382" s="1050"/>
      <c r="D5382" s="1050"/>
      <c r="E5382" s="1050"/>
      <c r="F5382" s="1050"/>
      <c r="G5382" s="1050"/>
    </row>
    <row r="5383" spans="1:7">
      <c r="A5383" s="1079"/>
      <c r="B5383" s="1050"/>
      <c r="C5383" s="1050"/>
      <c r="D5383" s="1050"/>
      <c r="E5383" s="1050"/>
      <c r="F5383" s="1050"/>
      <c r="G5383" s="1050"/>
    </row>
    <row r="5384" spans="1:7">
      <c r="A5384" s="1079"/>
      <c r="B5384" s="1050"/>
      <c r="C5384" s="1050"/>
      <c r="D5384" s="1050"/>
      <c r="E5384" s="1050"/>
      <c r="F5384" s="1050"/>
      <c r="G5384" s="1050"/>
    </row>
    <row r="5385" spans="1:7">
      <c r="A5385" s="1079"/>
      <c r="B5385" s="1050"/>
      <c r="C5385" s="1050"/>
      <c r="D5385" s="1050"/>
      <c r="E5385" s="1050"/>
      <c r="F5385" s="1050"/>
      <c r="G5385" s="1050"/>
    </row>
    <row r="5386" spans="1:7">
      <c r="A5386" s="1079"/>
      <c r="B5386" s="1050"/>
      <c r="C5386" s="1050"/>
      <c r="D5386" s="1050"/>
      <c r="E5386" s="1050"/>
      <c r="F5386" s="1050"/>
      <c r="G5386" s="1050"/>
    </row>
    <row r="5387" spans="1:7">
      <c r="A5387" s="1079"/>
      <c r="B5387" s="1050"/>
      <c r="C5387" s="1050"/>
      <c r="D5387" s="1050"/>
      <c r="E5387" s="1050"/>
      <c r="F5387" s="1050"/>
      <c r="G5387" s="1050"/>
    </row>
    <row r="5388" spans="1:7">
      <c r="A5388" s="1079"/>
      <c r="B5388" s="1050"/>
      <c r="C5388" s="1050"/>
      <c r="D5388" s="1050"/>
      <c r="E5388" s="1050"/>
      <c r="F5388" s="1050"/>
      <c r="G5388" s="1050"/>
    </row>
    <row r="5389" spans="1:7">
      <c r="A5389" s="1079"/>
      <c r="B5389" s="1050"/>
      <c r="C5389" s="1050"/>
      <c r="D5389" s="1050"/>
      <c r="E5389" s="1050"/>
      <c r="F5389" s="1050"/>
      <c r="G5389" s="1050"/>
    </row>
    <row r="5390" spans="1:7">
      <c r="A5390" s="1079"/>
      <c r="B5390" s="1050"/>
      <c r="C5390" s="1050"/>
      <c r="D5390" s="1050"/>
      <c r="E5390" s="1050"/>
      <c r="F5390" s="1050"/>
      <c r="G5390" s="1050"/>
    </row>
    <row r="5391" spans="1:7">
      <c r="A5391" s="1079"/>
      <c r="B5391" s="1050"/>
      <c r="C5391" s="1050"/>
      <c r="D5391" s="1050"/>
      <c r="E5391" s="1050"/>
      <c r="F5391" s="1050"/>
      <c r="G5391" s="1050"/>
    </row>
    <row r="5392" spans="1:7">
      <c r="A5392" s="1079"/>
      <c r="B5392" s="1050"/>
      <c r="C5392" s="1050"/>
      <c r="D5392" s="1050"/>
      <c r="E5392" s="1050"/>
      <c r="F5392" s="1050"/>
      <c r="G5392" s="1050"/>
    </row>
    <row r="5393" spans="1:7">
      <c r="A5393" s="1079"/>
      <c r="B5393" s="1050"/>
      <c r="C5393" s="1050"/>
      <c r="D5393" s="1050"/>
      <c r="E5393" s="1050"/>
      <c r="F5393" s="1050"/>
      <c r="G5393" s="1050"/>
    </row>
    <row r="5394" spans="1:7">
      <c r="A5394" s="1079"/>
      <c r="B5394" s="1050"/>
      <c r="C5394" s="1050"/>
      <c r="D5394" s="1050"/>
      <c r="E5394" s="1050"/>
      <c r="F5394" s="1050"/>
      <c r="G5394" s="1050"/>
    </row>
    <row r="5395" spans="1:7">
      <c r="A5395" s="1079"/>
      <c r="B5395" s="1050"/>
      <c r="C5395" s="1050"/>
      <c r="D5395" s="1050"/>
      <c r="E5395" s="1050"/>
      <c r="F5395" s="1050"/>
      <c r="G5395" s="1050"/>
    </row>
    <row r="5396" spans="1:7">
      <c r="A5396" s="1079"/>
      <c r="B5396" s="1050"/>
      <c r="C5396" s="1050"/>
      <c r="D5396" s="1050"/>
      <c r="E5396" s="1050"/>
      <c r="F5396" s="1050"/>
      <c r="G5396" s="1050"/>
    </row>
    <row r="5397" spans="1:7">
      <c r="A5397" s="1079"/>
      <c r="B5397" s="1050"/>
      <c r="C5397" s="1050"/>
      <c r="D5397" s="1050"/>
      <c r="E5397" s="1050"/>
      <c r="F5397" s="1050"/>
      <c r="G5397" s="1050"/>
    </row>
    <row r="5398" spans="1:7">
      <c r="A5398" s="1079"/>
      <c r="B5398" s="1050"/>
      <c r="C5398" s="1050"/>
      <c r="D5398" s="1050"/>
      <c r="E5398" s="1050"/>
      <c r="F5398" s="1050"/>
      <c r="G5398" s="1050"/>
    </row>
    <row r="5399" spans="1:7">
      <c r="A5399" s="1079"/>
      <c r="B5399" s="1050"/>
      <c r="C5399" s="1050"/>
      <c r="D5399" s="1050"/>
      <c r="E5399" s="1050"/>
      <c r="F5399" s="1050"/>
      <c r="G5399" s="1050"/>
    </row>
    <row r="5400" spans="1:7">
      <c r="A5400" s="1079"/>
      <c r="B5400" s="1050"/>
      <c r="C5400" s="1050"/>
      <c r="D5400" s="1050"/>
      <c r="E5400" s="1050"/>
      <c r="F5400" s="1050"/>
      <c r="G5400" s="1050"/>
    </row>
    <row r="5401" spans="1:7">
      <c r="A5401" s="1079"/>
      <c r="B5401" s="1050"/>
      <c r="C5401" s="1050"/>
      <c r="D5401" s="1050"/>
      <c r="E5401" s="1050"/>
      <c r="F5401" s="1050"/>
      <c r="G5401" s="1050"/>
    </row>
    <row r="5402" spans="1:7">
      <c r="A5402" s="1079"/>
      <c r="B5402" s="1050"/>
      <c r="C5402" s="1050"/>
      <c r="D5402" s="1050"/>
      <c r="E5402" s="1050"/>
      <c r="F5402" s="1050"/>
      <c r="G5402" s="1050"/>
    </row>
    <row r="5403" spans="1:7">
      <c r="A5403" s="1079"/>
      <c r="B5403" s="1050"/>
      <c r="C5403" s="1050"/>
      <c r="D5403" s="1050"/>
      <c r="E5403" s="1050"/>
      <c r="F5403" s="1050"/>
      <c r="G5403" s="1050"/>
    </row>
    <row r="5404" spans="1:7">
      <c r="A5404" s="1079"/>
      <c r="B5404" s="1050"/>
      <c r="C5404" s="1050"/>
      <c r="D5404" s="1050"/>
      <c r="E5404" s="1050"/>
      <c r="F5404" s="1050"/>
      <c r="G5404" s="1050"/>
    </row>
    <row r="5405" spans="1:7">
      <c r="A5405" s="1079"/>
      <c r="B5405" s="1050"/>
      <c r="C5405" s="1050"/>
      <c r="D5405" s="1050"/>
      <c r="E5405" s="1050"/>
      <c r="F5405" s="1050"/>
      <c r="G5405" s="1050"/>
    </row>
    <row r="5406" spans="1:7">
      <c r="A5406" s="1079"/>
      <c r="B5406" s="1050"/>
      <c r="C5406" s="1050"/>
      <c r="D5406" s="1050"/>
      <c r="E5406" s="1050"/>
      <c r="F5406" s="1050"/>
      <c r="G5406" s="1050"/>
    </row>
    <row r="5407" spans="1:7">
      <c r="A5407" s="1079"/>
      <c r="B5407" s="1050"/>
      <c r="C5407" s="1050"/>
      <c r="D5407" s="1050"/>
      <c r="E5407" s="1050"/>
      <c r="F5407" s="1050"/>
      <c r="G5407" s="1050"/>
    </row>
    <row r="5408" spans="1:7">
      <c r="A5408" s="1079"/>
      <c r="B5408" s="1050"/>
      <c r="C5408" s="1050"/>
      <c r="D5408" s="1050"/>
      <c r="E5408" s="1050"/>
      <c r="F5408" s="1050"/>
      <c r="G5408" s="1050"/>
    </row>
    <row r="5409" spans="1:7">
      <c r="A5409" s="1079"/>
      <c r="B5409" s="1050"/>
      <c r="C5409" s="1050"/>
      <c r="D5409" s="1050"/>
      <c r="E5409" s="1050"/>
      <c r="F5409" s="1050"/>
      <c r="G5409" s="1050"/>
    </row>
    <row r="5410" spans="1:7">
      <c r="A5410" s="1079"/>
      <c r="B5410" s="1050"/>
      <c r="C5410" s="1050"/>
      <c r="D5410" s="1050"/>
      <c r="E5410" s="1050"/>
      <c r="F5410" s="1050"/>
      <c r="G5410" s="1050"/>
    </row>
    <row r="5411" spans="1:7">
      <c r="A5411" s="1079"/>
      <c r="B5411" s="1050"/>
      <c r="C5411" s="1050"/>
      <c r="D5411" s="1050"/>
      <c r="E5411" s="1050"/>
      <c r="F5411" s="1050"/>
      <c r="G5411" s="1050"/>
    </row>
    <row r="5412" spans="1:7">
      <c r="A5412" s="1079"/>
      <c r="B5412" s="1050"/>
      <c r="C5412" s="1050"/>
      <c r="D5412" s="1050"/>
      <c r="E5412" s="1050"/>
      <c r="F5412" s="1050"/>
      <c r="G5412" s="1050"/>
    </row>
    <row r="5413" spans="1:7">
      <c r="A5413" s="1079"/>
      <c r="B5413" s="1050"/>
      <c r="C5413" s="1050"/>
      <c r="D5413" s="1050"/>
      <c r="E5413" s="1050"/>
      <c r="F5413" s="1050"/>
      <c r="G5413" s="1050"/>
    </row>
    <row r="5414" spans="1:7">
      <c r="A5414" s="1079"/>
      <c r="B5414" s="1050"/>
      <c r="C5414" s="1050"/>
      <c r="D5414" s="1050"/>
      <c r="E5414" s="1050"/>
      <c r="F5414" s="1050"/>
      <c r="G5414" s="1050"/>
    </row>
    <row r="5415" spans="1:7">
      <c r="A5415" s="1079"/>
      <c r="B5415" s="1050"/>
      <c r="C5415" s="1050"/>
      <c r="D5415" s="1050"/>
      <c r="E5415" s="1050"/>
      <c r="F5415" s="1050"/>
      <c r="G5415" s="1050"/>
    </row>
    <row r="5416" spans="1:7">
      <c r="A5416" s="1079"/>
      <c r="B5416" s="1050"/>
      <c r="C5416" s="1050"/>
      <c r="D5416" s="1050"/>
      <c r="E5416" s="1050"/>
      <c r="F5416" s="1050"/>
      <c r="G5416" s="1050"/>
    </row>
    <row r="5417" spans="1:7">
      <c r="A5417" s="1079"/>
      <c r="B5417" s="1050"/>
      <c r="C5417" s="1050"/>
      <c r="D5417" s="1050"/>
      <c r="E5417" s="1050"/>
      <c r="F5417" s="1050"/>
      <c r="G5417" s="1050"/>
    </row>
    <row r="5418" spans="1:7">
      <c r="A5418" s="1079"/>
      <c r="B5418" s="1050"/>
      <c r="C5418" s="1050"/>
      <c r="D5418" s="1050"/>
      <c r="E5418" s="1050"/>
      <c r="F5418" s="1050"/>
      <c r="G5418" s="1050"/>
    </row>
    <row r="5419" spans="1:7">
      <c r="A5419" s="1079"/>
      <c r="B5419" s="1050"/>
      <c r="C5419" s="1050"/>
      <c r="D5419" s="1050"/>
      <c r="E5419" s="1050"/>
      <c r="F5419" s="1050"/>
      <c r="G5419" s="1050"/>
    </row>
    <row r="5420" spans="1:7">
      <c r="A5420" s="1079"/>
      <c r="B5420" s="1050"/>
      <c r="C5420" s="1050"/>
      <c r="D5420" s="1050"/>
      <c r="E5420" s="1050"/>
      <c r="F5420" s="1050"/>
      <c r="G5420" s="1050"/>
    </row>
    <row r="5421" spans="1:7">
      <c r="A5421" s="1079"/>
      <c r="B5421" s="1050"/>
      <c r="C5421" s="1050"/>
      <c r="D5421" s="1050"/>
      <c r="E5421" s="1050"/>
      <c r="F5421" s="1050"/>
      <c r="G5421" s="1050"/>
    </row>
    <row r="5422" spans="1:7">
      <c r="A5422" s="1079"/>
      <c r="B5422" s="1050"/>
      <c r="C5422" s="1050"/>
      <c r="D5422" s="1050"/>
      <c r="E5422" s="1050"/>
      <c r="F5422" s="1050"/>
      <c r="G5422" s="1050"/>
    </row>
    <row r="5423" spans="1:7">
      <c r="A5423" s="1079"/>
      <c r="B5423" s="1050"/>
      <c r="C5423" s="1050"/>
      <c r="D5423" s="1050"/>
      <c r="E5423" s="1050"/>
      <c r="F5423" s="1050"/>
      <c r="G5423" s="1050"/>
    </row>
    <row r="5424" spans="1:7">
      <c r="A5424" s="1079"/>
      <c r="B5424" s="1050"/>
      <c r="C5424" s="1050"/>
      <c r="D5424" s="1050"/>
      <c r="E5424" s="1050"/>
      <c r="F5424" s="1050"/>
      <c r="G5424" s="1050"/>
    </row>
    <row r="5425" spans="1:7">
      <c r="A5425" s="1079"/>
      <c r="B5425" s="1050"/>
      <c r="C5425" s="1050"/>
      <c r="D5425" s="1050"/>
      <c r="E5425" s="1050"/>
      <c r="F5425" s="1050"/>
      <c r="G5425" s="1050"/>
    </row>
    <row r="5426" spans="1:7">
      <c r="A5426" s="1079"/>
      <c r="B5426" s="1050"/>
      <c r="C5426" s="1050"/>
      <c r="D5426" s="1050"/>
      <c r="E5426" s="1050"/>
      <c r="F5426" s="1050"/>
      <c r="G5426" s="1050"/>
    </row>
    <row r="5427" spans="1:7">
      <c r="A5427" s="1079"/>
      <c r="B5427" s="1050"/>
      <c r="C5427" s="1050"/>
      <c r="D5427" s="1050"/>
      <c r="E5427" s="1050"/>
      <c r="F5427" s="1050"/>
      <c r="G5427" s="1050"/>
    </row>
    <row r="5428" spans="1:7">
      <c r="A5428" s="1079"/>
      <c r="B5428" s="1050"/>
      <c r="C5428" s="1050"/>
      <c r="D5428" s="1050"/>
      <c r="E5428" s="1050"/>
      <c r="F5428" s="1050"/>
      <c r="G5428" s="1050"/>
    </row>
    <row r="5429" spans="1:7">
      <c r="A5429" s="1079"/>
      <c r="B5429" s="1050"/>
      <c r="C5429" s="1050"/>
      <c r="D5429" s="1050"/>
      <c r="E5429" s="1050"/>
      <c r="F5429" s="1050"/>
      <c r="G5429" s="1050"/>
    </row>
    <row r="5430" spans="1:7">
      <c r="A5430" s="1079"/>
      <c r="B5430" s="1050"/>
      <c r="C5430" s="1050"/>
      <c r="D5430" s="1050"/>
      <c r="E5430" s="1050"/>
      <c r="F5430" s="1050"/>
      <c r="G5430" s="1050"/>
    </row>
    <row r="5431" spans="1:7">
      <c r="A5431" s="1079"/>
      <c r="B5431" s="1050"/>
      <c r="C5431" s="1050"/>
      <c r="D5431" s="1050"/>
      <c r="E5431" s="1050"/>
      <c r="F5431" s="1050"/>
      <c r="G5431" s="1050"/>
    </row>
    <row r="5432" spans="1:7">
      <c r="A5432" s="1079"/>
      <c r="B5432" s="1050"/>
      <c r="C5432" s="1050"/>
      <c r="D5432" s="1050"/>
      <c r="E5432" s="1050"/>
      <c r="F5432" s="1050"/>
      <c r="G5432" s="1050"/>
    </row>
    <row r="5433" spans="1:7">
      <c r="A5433" s="1079"/>
      <c r="B5433" s="1050"/>
      <c r="C5433" s="1050"/>
      <c r="D5433" s="1050"/>
      <c r="E5433" s="1050"/>
      <c r="F5433" s="1050"/>
      <c r="G5433" s="1050"/>
    </row>
    <row r="5434" spans="1:7">
      <c r="A5434" s="1079"/>
      <c r="B5434" s="1050"/>
      <c r="C5434" s="1050"/>
      <c r="D5434" s="1050"/>
      <c r="E5434" s="1050"/>
      <c r="F5434" s="1050"/>
      <c r="G5434" s="1050"/>
    </row>
    <row r="5435" spans="1:7">
      <c r="A5435" s="1079"/>
      <c r="B5435" s="1050"/>
      <c r="C5435" s="1050"/>
      <c r="D5435" s="1050"/>
      <c r="E5435" s="1050"/>
      <c r="F5435" s="1050"/>
      <c r="G5435" s="1050"/>
    </row>
    <row r="5436" spans="1:7">
      <c r="A5436" s="1079"/>
      <c r="B5436" s="1050"/>
      <c r="C5436" s="1050"/>
      <c r="D5436" s="1050"/>
      <c r="E5436" s="1050"/>
      <c r="F5436" s="1050"/>
      <c r="G5436" s="1050"/>
    </row>
    <row r="5437" spans="1:7">
      <c r="A5437" s="1079"/>
      <c r="B5437" s="1050"/>
      <c r="C5437" s="1050"/>
      <c r="D5437" s="1050"/>
      <c r="E5437" s="1050"/>
      <c r="F5437" s="1050"/>
      <c r="G5437" s="1050"/>
    </row>
    <row r="5438" spans="1:7">
      <c r="A5438" s="1079"/>
      <c r="B5438" s="1050"/>
      <c r="C5438" s="1050"/>
      <c r="D5438" s="1050"/>
      <c r="E5438" s="1050"/>
      <c r="F5438" s="1050"/>
      <c r="G5438" s="1050"/>
    </row>
    <row r="5439" spans="1:7">
      <c r="A5439" s="1079"/>
      <c r="B5439" s="1050"/>
      <c r="C5439" s="1050"/>
      <c r="D5439" s="1050"/>
      <c r="E5439" s="1050"/>
      <c r="F5439" s="1050"/>
      <c r="G5439" s="1050"/>
    </row>
    <row r="5440" spans="1:7">
      <c r="A5440" s="1079"/>
      <c r="B5440" s="1050"/>
      <c r="C5440" s="1050"/>
      <c r="D5440" s="1050"/>
      <c r="E5440" s="1050"/>
      <c r="F5440" s="1050"/>
      <c r="G5440" s="1050"/>
    </row>
    <row r="5441" spans="1:7">
      <c r="A5441" s="1079"/>
      <c r="B5441" s="1050"/>
      <c r="C5441" s="1050"/>
      <c r="D5441" s="1050"/>
      <c r="E5441" s="1050"/>
      <c r="F5441" s="1050"/>
      <c r="G5441" s="1050"/>
    </row>
    <row r="5442" spans="1:7">
      <c r="A5442" s="1079"/>
      <c r="B5442" s="1050"/>
      <c r="C5442" s="1050"/>
      <c r="D5442" s="1050"/>
      <c r="E5442" s="1050"/>
      <c r="F5442" s="1050"/>
      <c r="G5442" s="1050"/>
    </row>
    <row r="5443" spans="1:7">
      <c r="A5443" s="1079"/>
      <c r="B5443" s="1050"/>
      <c r="C5443" s="1050"/>
      <c r="D5443" s="1050"/>
      <c r="E5443" s="1050"/>
      <c r="F5443" s="1050"/>
      <c r="G5443" s="1050"/>
    </row>
    <row r="5444" spans="1:7">
      <c r="A5444" s="1079"/>
      <c r="B5444" s="1050"/>
      <c r="C5444" s="1050"/>
      <c r="D5444" s="1050"/>
      <c r="E5444" s="1050"/>
      <c r="F5444" s="1050"/>
      <c r="G5444" s="1050"/>
    </row>
    <row r="5445" spans="1:7">
      <c r="A5445" s="1079"/>
      <c r="B5445" s="1050"/>
      <c r="C5445" s="1050"/>
      <c r="D5445" s="1050"/>
      <c r="E5445" s="1050"/>
      <c r="F5445" s="1050"/>
      <c r="G5445" s="1050"/>
    </row>
    <row r="5446" spans="1:7">
      <c r="A5446" s="1079"/>
      <c r="B5446" s="1050"/>
      <c r="C5446" s="1050"/>
      <c r="D5446" s="1050"/>
      <c r="E5446" s="1050"/>
      <c r="F5446" s="1050"/>
      <c r="G5446" s="1050"/>
    </row>
    <row r="5447" spans="1:7">
      <c r="A5447" s="1079"/>
      <c r="B5447" s="1050"/>
      <c r="C5447" s="1050"/>
      <c r="D5447" s="1050"/>
      <c r="E5447" s="1050"/>
      <c r="F5447" s="1050"/>
      <c r="G5447" s="1050"/>
    </row>
    <row r="5448" spans="1:7">
      <c r="A5448" s="1079"/>
      <c r="B5448" s="1050"/>
      <c r="C5448" s="1050"/>
      <c r="D5448" s="1050"/>
      <c r="E5448" s="1050"/>
      <c r="F5448" s="1050"/>
      <c r="G5448" s="1050"/>
    </row>
    <row r="5449" spans="1:7">
      <c r="A5449" s="1079"/>
      <c r="B5449" s="1050"/>
      <c r="C5449" s="1050"/>
      <c r="D5449" s="1050"/>
      <c r="E5449" s="1050"/>
      <c r="F5449" s="1050"/>
      <c r="G5449" s="1050"/>
    </row>
    <row r="5450" spans="1:7">
      <c r="A5450" s="1079"/>
      <c r="B5450" s="1050"/>
      <c r="C5450" s="1050"/>
      <c r="D5450" s="1050"/>
      <c r="E5450" s="1050"/>
      <c r="F5450" s="1050"/>
      <c r="G5450" s="1050"/>
    </row>
    <row r="5451" spans="1:7">
      <c r="A5451" s="1079"/>
      <c r="B5451" s="1050"/>
      <c r="C5451" s="1050"/>
      <c r="D5451" s="1050"/>
      <c r="E5451" s="1050"/>
      <c r="F5451" s="1050"/>
      <c r="G5451" s="1050"/>
    </row>
    <row r="5452" spans="1:7">
      <c r="A5452" s="1079"/>
      <c r="B5452" s="1050"/>
      <c r="C5452" s="1050"/>
      <c r="D5452" s="1050"/>
      <c r="E5452" s="1050"/>
      <c r="F5452" s="1050"/>
      <c r="G5452" s="1050"/>
    </row>
    <row r="5453" spans="1:7">
      <c r="A5453" s="1079"/>
      <c r="B5453" s="1050"/>
      <c r="C5453" s="1050"/>
      <c r="D5453" s="1050"/>
      <c r="E5453" s="1050"/>
      <c r="F5453" s="1050"/>
      <c r="G5453" s="1050"/>
    </row>
    <row r="5454" spans="1:7">
      <c r="A5454" s="1079"/>
      <c r="B5454" s="1050"/>
      <c r="C5454" s="1050"/>
      <c r="D5454" s="1050"/>
      <c r="E5454" s="1050"/>
      <c r="F5454" s="1050"/>
      <c r="G5454" s="1050"/>
    </row>
    <row r="5455" spans="1:7">
      <c r="A5455" s="1079"/>
      <c r="B5455" s="1050"/>
      <c r="C5455" s="1050"/>
      <c r="D5455" s="1050"/>
      <c r="E5455" s="1050"/>
      <c r="F5455" s="1050"/>
      <c r="G5455" s="1050"/>
    </row>
    <row r="5456" spans="1:7">
      <c r="A5456" s="1079"/>
      <c r="B5456" s="1050"/>
      <c r="C5456" s="1050"/>
      <c r="D5456" s="1050"/>
      <c r="E5456" s="1050"/>
      <c r="F5456" s="1050"/>
      <c r="G5456" s="1050"/>
    </row>
    <row r="5457" spans="1:7">
      <c r="A5457" s="1079"/>
      <c r="B5457" s="1050"/>
      <c r="C5457" s="1050"/>
      <c r="D5457" s="1050"/>
      <c r="E5457" s="1050"/>
      <c r="F5457" s="1050"/>
      <c r="G5457" s="1050"/>
    </row>
    <row r="5458" spans="1:7">
      <c r="A5458" s="1079"/>
      <c r="B5458" s="1050"/>
      <c r="C5458" s="1050"/>
      <c r="D5458" s="1050"/>
      <c r="E5458" s="1050"/>
      <c r="F5458" s="1050"/>
      <c r="G5458" s="1050"/>
    </row>
    <row r="5459" spans="1:7">
      <c r="A5459" s="1079"/>
      <c r="B5459" s="1050"/>
      <c r="C5459" s="1050"/>
      <c r="D5459" s="1050"/>
      <c r="E5459" s="1050"/>
      <c r="F5459" s="1050"/>
      <c r="G5459" s="1050"/>
    </row>
    <row r="5460" spans="1:7">
      <c r="A5460" s="1079"/>
      <c r="B5460" s="1050"/>
      <c r="C5460" s="1050"/>
      <c r="D5460" s="1050"/>
      <c r="E5460" s="1050"/>
      <c r="F5460" s="1050"/>
      <c r="G5460" s="1050"/>
    </row>
    <row r="5461" spans="1:7">
      <c r="A5461" s="1079"/>
      <c r="B5461" s="1050"/>
      <c r="C5461" s="1050"/>
      <c r="D5461" s="1050"/>
      <c r="E5461" s="1050"/>
      <c r="F5461" s="1050"/>
      <c r="G5461" s="1050"/>
    </row>
    <row r="5462" spans="1:7">
      <c r="A5462" s="1079"/>
      <c r="B5462" s="1050"/>
      <c r="C5462" s="1050"/>
      <c r="D5462" s="1050"/>
      <c r="E5462" s="1050"/>
      <c r="F5462" s="1050"/>
      <c r="G5462" s="1050"/>
    </row>
    <row r="5463" spans="1:7">
      <c r="A5463" s="1079"/>
      <c r="B5463" s="1050"/>
      <c r="C5463" s="1050"/>
      <c r="D5463" s="1050"/>
      <c r="E5463" s="1050"/>
      <c r="F5463" s="1050"/>
      <c r="G5463" s="1050"/>
    </row>
    <row r="5464" spans="1:7">
      <c r="A5464" s="1079"/>
      <c r="B5464" s="1050"/>
      <c r="C5464" s="1050"/>
      <c r="D5464" s="1050"/>
      <c r="E5464" s="1050"/>
      <c r="F5464" s="1050"/>
      <c r="G5464" s="1050"/>
    </row>
    <row r="5465" spans="1:7">
      <c r="A5465" s="1079"/>
      <c r="B5465" s="1050"/>
      <c r="C5465" s="1050"/>
      <c r="D5465" s="1050"/>
      <c r="E5465" s="1050"/>
      <c r="F5465" s="1050"/>
      <c r="G5465" s="1050"/>
    </row>
    <row r="5466" spans="1:7">
      <c r="A5466" s="1079"/>
      <c r="B5466" s="1050"/>
      <c r="C5466" s="1050"/>
      <c r="D5466" s="1050"/>
      <c r="E5466" s="1050"/>
      <c r="F5466" s="1050"/>
      <c r="G5466" s="1050"/>
    </row>
    <row r="5467" spans="1:7">
      <c r="A5467" s="1079"/>
      <c r="B5467" s="1050"/>
      <c r="C5467" s="1050"/>
      <c r="D5467" s="1050"/>
      <c r="E5467" s="1050"/>
      <c r="F5467" s="1050"/>
      <c r="G5467" s="1050"/>
    </row>
    <row r="5468" spans="1:7">
      <c r="A5468" s="1079"/>
      <c r="B5468" s="1050"/>
      <c r="C5468" s="1050"/>
      <c r="D5468" s="1050"/>
      <c r="E5468" s="1050"/>
      <c r="F5468" s="1050"/>
      <c r="G5468" s="1050"/>
    </row>
    <row r="5469" spans="1:7">
      <c r="A5469" s="1079"/>
      <c r="B5469" s="1050"/>
      <c r="C5469" s="1050"/>
      <c r="D5469" s="1050"/>
      <c r="E5469" s="1050"/>
      <c r="F5469" s="1050"/>
      <c r="G5469" s="1050"/>
    </row>
    <row r="5470" spans="1:7">
      <c r="A5470" s="1079"/>
      <c r="B5470" s="1050"/>
      <c r="C5470" s="1050"/>
      <c r="D5470" s="1050"/>
      <c r="E5470" s="1050"/>
      <c r="F5470" s="1050"/>
      <c r="G5470" s="1050"/>
    </row>
    <row r="5471" spans="1:7">
      <c r="A5471" s="1079"/>
      <c r="B5471" s="1050"/>
      <c r="C5471" s="1050"/>
      <c r="D5471" s="1050"/>
      <c r="E5471" s="1050"/>
      <c r="F5471" s="1050"/>
      <c r="G5471" s="1050"/>
    </row>
    <row r="5472" spans="1:7">
      <c r="A5472" s="1079"/>
      <c r="B5472" s="1050"/>
      <c r="C5472" s="1050"/>
      <c r="D5472" s="1050"/>
      <c r="E5472" s="1050"/>
      <c r="F5472" s="1050"/>
      <c r="G5472" s="1050"/>
    </row>
    <row r="5473" spans="1:7">
      <c r="A5473" s="1079"/>
      <c r="B5473" s="1050"/>
      <c r="C5473" s="1050"/>
      <c r="D5473" s="1050"/>
      <c r="E5473" s="1050"/>
      <c r="F5473" s="1050"/>
      <c r="G5473" s="1050"/>
    </row>
    <row r="5474" spans="1:7">
      <c r="A5474" s="1079"/>
      <c r="B5474" s="1050"/>
      <c r="C5474" s="1050"/>
      <c r="D5474" s="1050"/>
      <c r="E5474" s="1050"/>
      <c r="F5474" s="1050"/>
      <c r="G5474" s="1050"/>
    </row>
    <row r="5475" spans="1:7">
      <c r="A5475" s="1079"/>
      <c r="B5475" s="1050"/>
      <c r="C5475" s="1050"/>
      <c r="D5475" s="1050"/>
      <c r="E5475" s="1050"/>
      <c r="F5475" s="1050"/>
      <c r="G5475" s="1050"/>
    </row>
    <row r="5476" spans="1:7">
      <c r="A5476" s="1079"/>
      <c r="B5476" s="1050"/>
      <c r="C5476" s="1050"/>
      <c r="D5476" s="1050"/>
      <c r="E5476" s="1050"/>
      <c r="F5476" s="1050"/>
      <c r="G5476" s="1050"/>
    </row>
    <row r="5477" spans="1:7">
      <c r="A5477" s="1079"/>
      <c r="B5477" s="1050"/>
      <c r="C5477" s="1050"/>
      <c r="D5477" s="1050"/>
      <c r="E5477" s="1050"/>
      <c r="F5477" s="1050"/>
      <c r="G5477" s="1050"/>
    </row>
    <row r="5478" spans="1:7">
      <c r="A5478" s="1079"/>
      <c r="B5478" s="1050"/>
      <c r="C5478" s="1050"/>
      <c r="D5478" s="1050"/>
      <c r="E5478" s="1050"/>
      <c r="F5478" s="1050"/>
      <c r="G5478" s="1050"/>
    </row>
    <row r="5479" spans="1:7">
      <c r="A5479" s="1079"/>
      <c r="B5479" s="1050"/>
      <c r="C5479" s="1050"/>
      <c r="D5479" s="1050"/>
      <c r="E5479" s="1050"/>
      <c r="F5479" s="1050"/>
      <c r="G5479" s="1050"/>
    </row>
    <row r="5480" spans="1:7">
      <c r="A5480" s="1079"/>
      <c r="B5480" s="1050"/>
      <c r="C5480" s="1050"/>
      <c r="D5480" s="1050"/>
      <c r="E5480" s="1050"/>
      <c r="F5480" s="1050"/>
      <c r="G5480" s="1050"/>
    </row>
    <row r="5481" spans="1:7">
      <c r="A5481" s="1079"/>
      <c r="B5481" s="1050"/>
      <c r="C5481" s="1050"/>
      <c r="D5481" s="1050"/>
      <c r="E5481" s="1050"/>
      <c r="F5481" s="1050"/>
      <c r="G5481" s="1050"/>
    </row>
    <row r="5482" spans="1:7">
      <c r="A5482" s="1079"/>
      <c r="B5482" s="1050"/>
      <c r="C5482" s="1050"/>
      <c r="D5482" s="1050"/>
      <c r="E5482" s="1050"/>
      <c r="F5482" s="1050"/>
      <c r="G5482" s="1050"/>
    </row>
    <row r="5483" spans="1:7">
      <c r="A5483" s="1079"/>
      <c r="B5483" s="1050"/>
      <c r="C5483" s="1050"/>
      <c r="D5483" s="1050"/>
      <c r="E5483" s="1050"/>
      <c r="F5483" s="1050"/>
      <c r="G5483" s="1050"/>
    </row>
    <row r="5484" spans="1:7">
      <c r="A5484" s="1079"/>
      <c r="B5484" s="1050"/>
      <c r="C5484" s="1050"/>
      <c r="D5484" s="1050"/>
      <c r="E5484" s="1050"/>
      <c r="F5484" s="1050"/>
      <c r="G5484" s="1050"/>
    </row>
    <row r="5485" spans="1:7">
      <c r="A5485" s="1079"/>
      <c r="B5485" s="1050"/>
      <c r="C5485" s="1050"/>
      <c r="D5485" s="1050"/>
      <c r="E5485" s="1050"/>
      <c r="F5485" s="1050"/>
      <c r="G5485" s="1050"/>
    </row>
    <row r="5486" spans="1:7">
      <c r="A5486" s="1079"/>
      <c r="B5486" s="1050"/>
      <c r="C5486" s="1050"/>
      <c r="D5486" s="1050"/>
      <c r="E5486" s="1050"/>
      <c r="F5486" s="1050"/>
      <c r="G5486" s="1050"/>
    </row>
    <row r="5487" spans="1:7">
      <c r="A5487" s="1079"/>
      <c r="B5487" s="1050"/>
      <c r="C5487" s="1050"/>
      <c r="D5487" s="1050"/>
      <c r="E5487" s="1050"/>
      <c r="F5487" s="1050"/>
      <c r="G5487" s="1050"/>
    </row>
    <row r="5488" spans="1:7">
      <c r="A5488" s="1079"/>
      <c r="B5488" s="1050"/>
      <c r="C5488" s="1050"/>
      <c r="D5488" s="1050"/>
      <c r="E5488" s="1050"/>
      <c r="F5488" s="1050"/>
      <c r="G5488" s="1050"/>
    </row>
    <row r="5489" spans="1:7">
      <c r="A5489" s="1079"/>
      <c r="B5489" s="1050"/>
      <c r="C5489" s="1050"/>
      <c r="D5489" s="1050"/>
      <c r="E5489" s="1050"/>
      <c r="F5489" s="1050"/>
      <c r="G5489" s="1050"/>
    </row>
    <row r="5490" spans="1:7">
      <c r="A5490" s="1079"/>
      <c r="B5490" s="1050"/>
      <c r="C5490" s="1050"/>
      <c r="D5490" s="1050"/>
      <c r="E5490" s="1050"/>
      <c r="F5490" s="1050"/>
      <c r="G5490" s="1050"/>
    </row>
    <row r="5491" spans="1:7">
      <c r="A5491" s="1079"/>
      <c r="B5491" s="1050"/>
      <c r="C5491" s="1050"/>
      <c r="D5491" s="1050"/>
      <c r="E5491" s="1050"/>
      <c r="F5491" s="1050"/>
      <c r="G5491" s="1050"/>
    </row>
    <row r="5492" spans="1:7">
      <c r="A5492" s="1079"/>
      <c r="B5492" s="1050"/>
      <c r="C5492" s="1050"/>
      <c r="D5492" s="1050"/>
      <c r="E5492" s="1050"/>
      <c r="F5492" s="1050"/>
      <c r="G5492" s="1050"/>
    </row>
    <row r="5493" spans="1:7">
      <c r="A5493" s="1079"/>
      <c r="B5493" s="1050"/>
      <c r="C5493" s="1050"/>
      <c r="D5493" s="1050"/>
      <c r="E5493" s="1050"/>
      <c r="F5493" s="1050"/>
      <c r="G5493" s="1050"/>
    </row>
    <row r="5494" spans="1:7">
      <c r="A5494" s="1079"/>
      <c r="B5494" s="1050"/>
      <c r="C5494" s="1050"/>
      <c r="D5494" s="1050"/>
      <c r="E5494" s="1050"/>
      <c r="F5494" s="1050"/>
      <c r="G5494" s="1050"/>
    </row>
    <row r="5495" spans="1:7">
      <c r="A5495" s="1079"/>
      <c r="B5495" s="1050"/>
      <c r="C5495" s="1050"/>
      <c r="D5495" s="1050"/>
      <c r="E5495" s="1050"/>
      <c r="F5495" s="1050"/>
      <c r="G5495" s="1050"/>
    </row>
    <row r="5496" spans="1:7">
      <c r="A5496" s="1079"/>
      <c r="B5496" s="1050"/>
      <c r="C5496" s="1050"/>
      <c r="D5496" s="1050"/>
      <c r="E5496" s="1050"/>
      <c r="F5496" s="1050"/>
      <c r="G5496" s="1050"/>
    </row>
    <row r="5497" spans="1:7">
      <c r="A5497" s="1079"/>
      <c r="B5497" s="1050"/>
      <c r="C5497" s="1050"/>
      <c r="D5497" s="1050"/>
      <c r="E5497" s="1050"/>
      <c r="F5497" s="1050"/>
      <c r="G5497" s="1050"/>
    </row>
    <row r="5498" spans="1:7">
      <c r="A5498" s="1079"/>
      <c r="B5498" s="1050"/>
      <c r="C5498" s="1050"/>
      <c r="D5498" s="1050"/>
      <c r="E5498" s="1050"/>
      <c r="F5498" s="1050"/>
      <c r="G5498" s="1050"/>
    </row>
    <row r="5499" spans="1:7">
      <c r="A5499" s="1079"/>
      <c r="B5499" s="1050"/>
      <c r="C5499" s="1050"/>
      <c r="D5499" s="1050"/>
      <c r="E5499" s="1050"/>
      <c r="F5499" s="1050"/>
      <c r="G5499" s="1050"/>
    </row>
    <row r="5500" spans="1:7">
      <c r="A5500" s="1079"/>
      <c r="B5500" s="1050"/>
      <c r="C5500" s="1050"/>
      <c r="D5500" s="1050"/>
      <c r="E5500" s="1050"/>
      <c r="F5500" s="1050"/>
      <c r="G5500" s="1050"/>
    </row>
    <row r="5501" spans="1:7">
      <c r="A5501" s="1079"/>
      <c r="B5501" s="1050"/>
      <c r="C5501" s="1050"/>
      <c r="D5501" s="1050"/>
      <c r="E5501" s="1050"/>
      <c r="F5501" s="1050"/>
      <c r="G5501" s="1050"/>
    </row>
    <row r="5502" spans="1:7">
      <c r="A5502" s="1079"/>
      <c r="B5502" s="1050"/>
      <c r="C5502" s="1050"/>
      <c r="D5502" s="1050"/>
      <c r="E5502" s="1050"/>
      <c r="F5502" s="1050"/>
      <c r="G5502" s="1050"/>
    </row>
    <row r="5503" spans="1:7">
      <c r="A5503" s="1079"/>
      <c r="B5503" s="1050"/>
      <c r="C5503" s="1050"/>
      <c r="D5503" s="1050"/>
      <c r="E5503" s="1050"/>
      <c r="F5503" s="1050"/>
      <c r="G5503" s="1050"/>
    </row>
    <row r="5504" spans="1:7">
      <c r="A5504" s="1079"/>
      <c r="B5504" s="1050"/>
      <c r="C5504" s="1050"/>
      <c r="D5504" s="1050"/>
      <c r="E5504" s="1050"/>
      <c r="F5504" s="1050"/>
      <c r="G5504" s="1050"/>
    </row>
    <row r="5505" spans="1:7">
      <c r="A5505" s="1079"/>
      <c r="B5505" s="1050"/>
      <c r="C5505" s="1050"/>
      <c r="D5505" s="1050"/>
      <c r="E5505" s="1050"/>
      <c r="F5505" s="1050"/>
      <c r="G5505" s="1050"/>
    </row>
    <row r="5506" spans="1:7">
      <c r="A5506" s="1079"/>
      <c r="B5506" s="1050"/>
      <c r="C5506" s="1050"/>
      <c r="D5506" s="1050"/>
      <c r="E5506" s="1050"/>
      <c r="F5506" s="1050"/>
      <c r="G5506" s="1050"/>
    </row>
    <row r="5507" spans="1:7">
      <c r="A5507" s="1079"/>
      <c r="B5507" s="1050"/>
      <c r="C5507" s="1050"/>
      <c r="D5507" s="1050"/>
      <c r="E5507" s="1050"/>
      <c r="F5507" s="1050"/>
      <c r="G5507" s="1050"/>
    </row>
    <row r="5508" spans="1:7">
      <c r="A5508" s="1079"/>
      <c r="B5508" s="1050"/>
      <c r="C5508" s="1050"/>
      <c r="D5508" s="1050"/>
      <c r="E5508" s="1050"/>
      <c r="F5508" s="1050"/>
      <c r="G5508" s="1050"/>
    </row>
    <row r="5509" spans="1:7">
      <c r="A5509" s="1079"/>
      <c r="B5509" s="1050"/>
      <c r="C5509" s="1050"/>
      <c r="D5509" s="1050"/>
      <c r="E5509" s="1050"/>
      <c r="F5509" s="1050"/>
      <c r="G5509" s="1050"/>
    </row>
    <row r="5510" spans="1:7">
      <c r="A5510" s="1079"/>
      <c r="B5510" s="1050"/>
      <c r="C5510" s="1050"/>
      <c r="D5510" s="1050"/>
      <c r="E5510" s="1050"/>
      <c r="F5510" s="1050"/>
      <c r="G5510" s="1050"/>
    </row>
    <row r="5511" spans="1:7">
      <c r="A5511" s="1079"/>
      <c r="B5511" s="1050"/>
      <c r="C5511" s="1050"/>
      <c r="D5511" s="1050"/>
      <c r="E5511" s="1050"/>
      <c r="F5511" s="1050"/>
      <c r="G5511" s="1050"/>
    </row>
    <row r="5512" spans="1:7">
      <c r="A5512" s="1079"/>
      <c r="B5512" s="1050"/>
      <c r="C5512" s="1050"/>
      <c r="D5512" s="1050"/>
      <c r="E5512" s="1050"/>
      <c r="F5512" s="1050"/>
      <c r="G5512" s="1050"/>
    </row>
    <row r="5513" spans="1:7">
      <c r="A5513" s="1079"/>
      <c r="B5513" s="1050"/>
      <c r="C5513" s="1050"/>
      <c r="D5513" s="1050"/>
      <c r="E5513" s="1050"/>
      <c r="F5513" s="1050"/>
      <c r="G5513" s="1050"/>
    </row>
    <row r="5514" spans="1:7">
      <c r="A5514" s="1079"/>
      <c r="B5514" s="1050"/>
      <c r="C5514" s="1050"/>
      <c r="D5514" s="1050"/>
      <c r="E5514" s="1050"/>
      <c r="F5514" s="1050"/>
      <c r="G5514" s="1050"/>
    </row>
    <row r="5515" spans="1:7">
      <c r="A5515" s="1079"/>
      <c r="B5515" s="1050"/>
      <c r="C5515" s="1050"/>
      <c r="D5515" s="1050"/>
      <c r="E5515" s="1050"/>
      <c r="F5515" s="1050"/>
      <c r="G5515" s="1050"/>
    </row>
    <row r="5516" spans="1:7">
      <c r="A5516" s="1079"/>
      <c r="B5516" s="1050"/>
      <c r="C5516" s="1050"/>
      <c r="D5516" s="1050"/>
      <c r="E5516" s="1050"/>
      <c r="F5516" s="1050"/>
      <c r="G5516" s="1050"/>
    </row>
    <row r="5517" spans="1:7">
      <c r="A5517" s="1079"/>
      <c r="B5517" s="1050"/>
      <c r="C5517" s="1050"/>
      <c r="D5517" s="1050"/>
      <c r="E5517" s="1050"/>
      <c r="F5517" s="1050"/>
      <c r="G5517" s="1050"/>
    </row>
    <row r="5518" spans="1:7">
      <c r="A5518" s="1079"/>
      <c r="B5518" s="1050"/>
      <c r="C5518" s="1050"/>
      <c r="D5518" s="1050"/>
      <c r="E5518" s="1050"/>
      <c r="F5518" s="1050"/>
      <c r="G5518" s="1050"/>
    </row>
    <row r="5519" spans="1:7">
      <c r="A5519" s="1079"/>
      <c r="B5519" s="1050"/>
      <c r="C5519" s="1050"/>
      <c r="D5519" s="1050"/>
      <c r="E5519" s="1050"/>
      <c r="F5519" s="1050"/>
      <c r="G5519" s="1050"/>
    </row>
    <row r="5520" spans="1:7">
      <c r="A5520" s="1079"/>
      <c r="B5520" s="1050"/>
      <c r="C5520" s="1050"/>
      <c r="D5520" s="1050"/>
      <c r="E5520" s="1050"/>
      <c r="F5520" s="1050"/>
      <c r="G5520" s="1050"/>
    </row>
    <row r="5521" spans="1:7">
      <c r="A5521" s="1079"/>
      <c r="B5521" s="1050"/>
      <c r="C5521" s="1050"/>
      <c r="D5521" s="1050"/>
      <c r="E5521" s="1050"/>
      <c r="F5521" s="1050"/>
      <c r="G5521" s="1050"/>
    </row>
    <row r="5522" spans="1:7">
      <c r="A5522" s="1079"/>
      <c r="B5522" s="1050"/>
      <c r="C5522" s="1050"/>
      <c r="D5522" s="1050"/>
      <c r="E5522" s="1050"/>
      <c r="F5522" s="1050"/>
      <c r="G5522" s="1050"/>
    </row>
    <row r="5523" spans="1:7">
      <c r="A5523" s="1079"/>
      <c r="B5523" s="1050"/>
      <c r="C5523" s="1050"/>
      <c r="D5523" s="1050"/>
      <c r="E5523" s="1050"/>
      <c r="F5523" s="1050"/>
      <c r="G5523" s="1050"/>
    </row>
    <row r="5524" spans="1:7">
      <c r="A5524" s="1079"/>
      <c r="B5524" s="1050"/>
      <c r="C5524" s="1050"/>
      <c r="D5524" s="1050"/>
      <c r="E5524" s="1050"/>
      <c r="F5524" s="1050"/>
      <c r="G5524" s="1050"/>
    </row>
    <row r="5525" spans="1:7">
      <c r="A5525" s="1079"/>
      <c r="B5525" s="1050"/>
      <c r="C5525" s="1050"/>
      <c r="D5525" s="1050"/>
      <c r="E5525" s="1050"/>
      <c r="F5525" s="1050"/>
      <c r="G5525" s="1050"/>
    </row>
    <row r="5526" spans="1:7">
      <c r="A5526" s="1079"/>
      <c r="B5526" s="1050"/>
      <c r="C5526" s="1050"/>
      <c r="D5526" s="1050"/>
      <c r="E5526" s="1050"/>
      <c r="F5526" s="1050"/>
      <c r="G5526" s="1050"/>
    </row>
    <row r="5527" spans="1:7">
      <c r="A5527" s="1079"/>
      <c r="B5527" s="1050"/>
      <c r="C5527" s="1050"/>
      <c r="D5527" s="1050"/>
      <c r="E5527" s="1050"/>
      <c r="F5527" s="1050"/>
      <c r="G5527" s="1050"/>
    </row>
    <row r="5528" spans="1:7">
      <c r="A5528" s="1079"/>
      <c r="B5528" s="1050"/>
      <c r="C5528" s="1050"/>
      <c r="D5528" s="1050"/>
      <c r="E5528" s="1050"/>
      <c r="F5528" s="1050"/>
      <c r="G5528" s="1050"/>
    </row>
    <row r="5529" spans="1:7">
      <c r="A5529" s="1079"/>
      <c r="B5529" s="1050"/>
      <c r="C5529" s="1050"/>
      <c r="D5529" s="1050"/>
      <c r="E5529" s="1050"/>
      <c r="F5529" s="1050"/>
      <c r="G5529" s="1050"/>
    </row>
    <row r="5530" spans="1:7">
      <c r="A5530" s="1079"/>
      <c r="B5530" s="1050"/>
      <c r="C5530" s="1050"/>
      <c r="D5530" s="1050"/>
      <c r="E5530" s="1050"/>
      <c r="F5530" s="1050"/>
      <c r="G5530" s="1050"/>
    </row>
    <row r="5531" spans="1:7">
      <c r="A5531" s="1079"/>
      <c r="B5531" s="1050"/>
      <c r="C5531" s="1050"/>
      <c r="D5531" s="1050"/>
      <c r="E5531" s="1050"/>
      <c r="F5531" s="1050"/>
      <c r="G5531" s="1050"/>
    </row>
    <row r="5532" spans="1:7">
      <c r="A5532" s="1079"/>
      <c r="B5532" s="1050"/>
      <c r="C5532" s="1050"/>
      <c r="D5532" s="1050"/>
      <c r="E5532" s="1050"/>
      <c r="F5532" s="1050"/>
      <c r="G5532" s="1050"/>
    </row>
    <row r="5533" spans="1:7">
      <c r="A5533" s="1079"/>
      <c r="B5533" s="1050"/>
      <c r="C5533" s="1050"/>
      <c r="D5533" s="1050"/>
      <c r="E5533" s="1050"/>
      <c r="F5533" s="1050"/>
      <c r="G5533" s="1050"/>
    </row>
    <row r="5534" spans="1:7">
      <c r="A5534" s="1079"/>
      <c r="B5534" s="1050"/>
      <c r="C5534" s="1050"/>
      <c r="D5534" s="1050"/>
      <c r="E5534" s="1050"/>
      <c r="F5534" s="1050"/>
      <c r="G5534" s="1050"/>
    </row>
    <row r="5535" spans="1:7">
      <c r="A5535" s="1079"/>
      <c r="B5535" s="1050"/>
      <c r="C5535" s="1050"/>
      <c r="D5535" s="1050"/>
      <c r="E5535" s="1050"/>
      <c r="F5535" s="1050"/>
      <c r="G5535" s="1050"/>
    </row>
    <row r="5536" spans="1:7">
      <c r="A5536" s="1079"/>
      <c r="B5536" s="1050"/>
      <c r="C5536" s="1050"/>
      <c r="D5536" s="1050"/>
      <c r="E5536" s="1050"/>
      <c r="F5536" s="1050"/>
      <c r="G5536" s="1050"/>
    </row>
    <row r="5537" spans="1:7">
      <c r="A5537" s="1079"/>
      <c r="B5537" s="1050"/>
      <c r="C5537" s="1050"/>
      <c r="D5537" s="1050"/>
      <c r="E5537" s="1050"/>
      <c r="F5537" s="1050"/>
      <c r="G5537" s="1050"/>
    </row>
    <row r="5538" spans="1:7">
      <c r="A5538" s="1079"/>
      <c r="B5538" s="1050"/>
      <c r="C5538" s="1050"/>
      <c r="D5538" s="1050"/>
      <c r="E5538" s="1050"/>
      <c r="F5538" s="1050"/>
      <c r="G5538" s="1050"/>
    </row>
    <row r="5539" spans="1:7">
      <c r="A5539" s="1079"/>
      <c r="B5539" s="1050"/>
      <c r="C5539" s="1050"/>
      <c r="D5539" s="1050"/>
      <c r="E5539" s="1050"/>
      <c r="F5539" s="1050"/>
      <c r="G5539" s="1050"/>
    </row>
    <row r="5540" spans="1:7">
      <c r="A5540" s="1079"/>
      <c r="B5540" s="1050"/>
      <c r="C5540" s="1050"/>
      <c r="D5540" s="1050"/>
      <c r="E5540" s="1050"/>
      <c r="F5540" s="1050"/>
      <c r="G5540" s="1050"/>
    </row>
    <row r="5541" spans="1:7">
      <c r="A5541" s="1079"/>
      <c r="B5541" s="1050"/>
      <c r="C5541" s="1050"/>
      <c r="D5541" s="1050"/>
      <c r="E5541" s="1050"/>
      <c r="F5541" s="1050"/>
      <c r="G5541" s="1050"/>
    </row>
    <row r="5542" spans="1:7">
      <c r="A5542" s="1079"/>
      <c r="B5542" s="1050"/>
      <c r="C5542" s="1050"/>
      <c r="D5542" s="1050"/>
      <c r="E5542" s="1050"/>
      <c r="F5542" s="1050"/>
      <c r="G5542" s="1050"/>
    </row>
    <row r="5543" spans="1:7">
      <c r="A5543" s="1079"/>
      <c r="B5543" s="1050"/>
      <c r="C5543" s="1050"/>
      <c r="D5543" s="1050"/>
      <c r="E5543" s="1050"/>
      <c r="F5543" s="1050"/>
      <c r="G5543" s="1050"/>
    </row>
    <row r="5544" spans="1:7">
      <c r="A5544" s="1079"/>
      <c r="B5544" s="1050"/>
      <c r="C5544" s="1050"/>
      <c r="D5544" s="1050"/>
      <c r="E5544" s="1050"/>
      <c r="F5544" s="1050"/>
      <c r="G5544" s="1050"/>
    </row>
    <row r="5545" spans="1:7">
      <c r="A5545" s="1079"/>
      <c r="B5545" s="1050"/>
      <c r="C5545" s="1050"/>
      <c r="D5545" s="1050"/>
      <c r="E5545" s="1050"/>
      <c r="F5545" s="1050"/>
      <c r="G5545" s="1050"/>
    </row>
    <row r="5546" spans="1:7">
      <c r="A5546" s="1079"/>
      <c r="B5546" s="1050"/>
      <c r="C5546" s="1050"/>
      <c r="D5546" s="1050"/>
      <c r="E5546" s="1050"/>
      <c r="F5546" s="1050"/>
      <c r="G5546" s="1050"/>
    </row>
    <row r="5547" spans="1:7">
      <c r="A5547" s="1079"/>
      <c r="B5547" s="1050"/>
      <c r="C5547" s="1050"/>
      <c r="D5547" s="1050"/>
      <c r="E5547" s="1050"/>
      <c r="F5547" s="1050"/>
      <c r="G5547" s="1050"/>
    </row>
    <row r="5548" spans="1:7">
      <c r="A5548" s="1079"/>
      <c r="B5548" s="1050"/>
      <c r="C5548" s="1050"/>
      <c r="D5548" s="1050"/>
      <c r="E5548" s="1050"/>
      <c r="F5548" s="1050"/>
      <c r="G5548" s="1050"/>
    </row>
    <row r="5549" spans="1:7">
      <c r="A5549" s="1079"/>
      <c r="B5549" s="1050"/>
      <c r="C5549" s="1050"/>
      <c r="D5549" s="1050"/>
      <c r="E5549" s="1050"/>
      <c r="F5549" s="1050"/>
      <c r="G5549" s="1050"/>
    </row>
    <row r="5550" spans="1:7">
      <c r="A5550" s="1079"/>
      <c r="B5550" s="1050"/>
      <c r="C5550" s="1050"/>
      <c r="D5550" s="1050"/>
      <c r="E5550" s="1050"/>
      <c r="F5550" s="1050"/>
      <c r="G5550" s="1050"/>
    </row>
    <row r="5551" spans="1:7">
      <c r="A5551" s="1079"/>
      <c r="B5551" s="1050"/>
      <c r="C5551" s="1050"/>
      <c r="D5551" s="1050"/>
      <c r="E5551" s="1050"/>
      <c r="F5551" s="1050"/>
      <c r="G5551" s="1050"/>
    </row>
    <row r="5552" spans="1:7">
      <c r="A5552" s="1079"/>
      <c r="B5552" s="1050"/>
      <c r="C5552" s="1050"/>
      <c r="D5552" s="1050"/>
      <c r="E5552" s="1050"/>
      <c r="F5552" s="1050"/>
      <c r="G5552" s="1050"/>
    </row>
    <row r="5553" spans="1:7">
      <c r="A5553" s="1079"/>
      <c r="B5553" s="1050"/>
      <c r="C5553" s="1050"/>
      <c r="D5553" s="1050"/>
      <c r="E5553" s="1050"/>
      <c r="F5553" s="1050"/>
      <c r="G5553" s="1050"/>
    </row>
    <row r="5554" spans="1:7">
      <c r="A5554" s="1079"/>
      <c r="B5554" s="1050"/>
      <c r="C5554" s="1050"/>
      <c r="D5554" s="1050"/>
      <c r="E5554" s="1050"/>
      <c r="F5554" s="1050"/>
      <c r="G5554" s="1050"/>
    </row>
    <row r="5555" spans="1:7">
      <c r="A5555" s="1079"/>
      <c r="B5555" s="1050"/>
      <c r="C5555" s="1050"/>
      <c r="D5555" s="1050"/>
      <c r="E5555" s="1050"/>
      <c r="F5555" s="1050"/>
      <c r="G5555" s="1050"/>
    </row>
    <row r="5556" spans="1:7">
      <c r="A5556" s="1079"/>
      <c r="B5556" s="1050"/>
      <c r="C5556" s="1050"/>
      <c r="D5556" s="1050"/>
      <c r="E5556" s="1050"/>
      <c r="F5556" s="1050"/>
      <c r="G5556" s="1050"/>
    </row>
    <row r="5557" spans="1:7">
      <c r="A5557" s="1079"/>
      <c r="B5557" s="1050"/>
      <c r="C5557" s="1050"/>
      <c r="D5557" s="1050"/>
      <c r="E5557" s="1050"/>
      <c r="F5557" s="1050"/>
      <c r="G5557" s="1050"/>
    </row>
    <row r="5558" spans="1:7">
      <c r="A5558" s="1079"/>
      <c r="B5558" s="1050"/>
      <c r="C5558" s="1050"/>
      <c r="D5558" s="1050"/>
      <c r="E5558" s="1050"/>
      <c r="F5558" s="1050"/>
      <c r="G5558" s="1050"/>
    </row>
    <row r="5559" spans="1:7">
      <c r="A5559" s="1079"/>
      <c r="B5559" s="1050"/>
      <c r="C5559" s="1050"/>
      <c r="D5559" s="1050"/>
      <c r="E5559" s="1050"/>
      <c r="F5559" s="1050"/>
      <c r="G5559" s="1050"/>
    </row>
    <row r="5560" spans="1:7">
      <c r="A5560" s="1079"/>
      <c r="B5560" s="1050"/>
      <c r="C5560" s="1050"/>
      <c r="D5560" s="1050"/>
      <c r="E5560" s="1050"/>
      <c r="F5560" s="1050"/>
      <c r="G5560" s="1050"/>
    </row>
    <row r="5561" spans="1:7">
      <c r="A5561" s="1079"/>
      <c r="B5561" s="1050"/>
      <c r="C5561" s="1050"/>
      <c r="D5561" s="1050"/>
      <c r="E5561" s="1050"/>
      <c r="F5561" s="1050"/>
      <c r="G5561" s="1050"/>
    </row>
    <row r="5562" spans="1:7">
      <c r="A5562" s="1079"/>
      <c r="B5562" s="1050"/>
      <c r="C5562" s="1050"/>
      <c r="D5562" s="1050"/>
      <c r="E5562" s="1050"/>
      <c r="F5562" s="1050"/>
      <c r="G5562" s="1050"/>
    </row>
    <row r="5563" spans="1:7">
      <c r="A5563" s="1079"/>
      <c r="B5563" s="1050"/>
      <c r="C5563" s="1050"/>
      <c r="D5563" s="1050"/>
      <c r="E5563" s="1050"/>
      <c r="F5563" s="1050"/>
      <c r="G5563" s="1050"/>
    </row>
    <row r="5564" spans="1:7">
      <c r="A5564" s="1079"/>
      <c r="B5564" s="1050"/>
      <c r="C5564" s="1050"/>
      <c r="D5564" s="1050"/>
      <c r="E5564" s="1050"/>
      <c r="F5564" s="1050"/>
      <c r="G5564" s="1050"/>
    </row>
    <row r="5565" spans="1:7">
      <c r="A5565" s="1079"/>
      <c r="B5565" s="1050"/>
      <c r="C5565" s="1050"/>
      <c r="D5565" s="1050"/>
      <c r="E5565" s="1050"/>
      <c r="F5565" s="1050"/>
      <c r="G5565" s="1050"/>
    </row>
    <row r="5566" spans="1:7">
      <c r="A5566" s="1079"/>
      <c r="B5566" s="1050"/>
      <c r="C5566" s="1050"/>
      <c r="D5566" s="1050"/>
      <c r="E5566" s="1050"/>
      <c r="F5566" s="1050"/>
      <c r="G5566" s="1050"/>
    </row>
    <row r="5567" spans="1:7">
      <c r="A5567" s="1079"/>
      <c r="B5567" s="1050"/>
      <c r="C5567" s="1050"/>
      <c r="D5567" s="1050"/>
      <c r="E5567" s="1050"/>
      <c r="F5567" s="1050"/>
      <c r="G5567" s="1050"/>
    </row>
    <row r="5568" spans="1:7">
      <c r="A5568" s="1079"/>
      <c r="B5568" s="1050"/>
      <c r="C5568" s="1050"/>
      <c r="D5568" s="1050"/>
      <c r="E5568" s="1050"/>
      <c r="F5568" s="1050"/>
      <c r="G5568" s="1050"/>
    </row>
    <row r="5569" spans="1:7">
      <c r="A5569" s="1079"/>
      <c r="B5569" s="1050"/>
      <c r="C5569" s="1050"/>
      <c r="D5569" s="1050"/>
      <c r="E5569" s="1050"/>
      <c r="F5569" s="1050"/>
      <c r="G5569" s="1050"/>
    </row>
    <row r="5570" spans="1:7">
      <c r="A5570" s="1079"/>
      <c r="B5570" s="1050"/>
      <c r="C5570" s="1050"/>
      <c r="D5570" s="1050"/>
      <c r="E5570" s="1050"/>
      <c r="F5570" s="1050"/>
      <c r="G5570" s="1050"/>
    </row>
    <row r="5571" spans="1:7">
      <c r="A5571" s="1079"/>
      <c r="B5571" s="1050"/>
      <c r="C5571" s="1050"/>
      <c r="D5571" s="1050"/>
      <c r="E5571" s="1050"/>
      <c r="F5571" s="1050"/>
      <c r="G5571" s="1050"/>
    </row>
    <row r="5572" spans="1:7">
      <c r="A5572" s="1079"/>
      <c r="B5572" s="1050"/>
      <c r="C5572" s="1050"/>
      <c r="D5572" s="1050"/>
      <c r="E5572" s="1050"/>
      <c r="F5572" s="1050"/>
      <c r="G5572" s="1050"/>
    </row>
    <row r="5573" spans="1:7">
      <c r="A5573" s="1079"/>
      <c r="B5573" s="1050"/>
      <c r="C5573" s="1050"/>
      <c r="D5573" s="1050"/>
      <c r="E5573" s="1050"/>
      <c r="F5573" s="1050"/>
      <c r="G5573" s="1050"/>
    </row>
    <row r="5574" spans="1:7">
      <c r="A5574" s="1079"/>
      <c r="B5574" s="1050"/>
      <c r="C5574" s="1050"/>
      <c r="D5574" s="1050"/>
      <c r="E5574" s="1050"/>
      <c r="F5574" s="1050"/>
      <c r="G5574" s="1050"/>
    </row>
    <row r="5575" spans="1:7">
      <c r="A5575" s="1079"/>
      <c r="B5575" s="1050"/>
      <c r="C5575" s="1050"/>
      <c r="D5575" s="1050"/>
      <c r="E5575" s="1050"/>
      <c r="F5575" s="1050"/>
      <c r="G5575" s="1050"/>
    </row>
    <row r="5576" spans="1:7">
      <c r="A5576" s="1079"/>
      <c r="B5576" s="1050"/>
      <c r="C5576" s="1050"/>
      <c r="D5576" s="1050"/>
      <c r="E5576" s="1050"/>
      <c r="F5576" s="1050"/>
      <c r="G5576" s="1050"/>
    </row>
    <row r="5577" spans="1:7">
      <c r="A5577" s="1079"/>
      <c r="B5577" s="1050"/>
      <c r="C5577" s="1050"/>
      <c r="D5577" s="1050"/>
      <c r="E5577" s="1050"/>
      <c r="F5577" s="1050"/>
      <c r="G5577" s="1050"/>
    </row>
    <row r="5578" spans="1:7">
      <c r="A5578" s="1079"/>
      <c r="B5578" s="1050"/>
      <c r="C5578" s="1050"/>
      <c r="D5578" s="1050"/>
      <c r="E5578" s="1050"/>
      <c r="F5578" s="1050"/>
      <c r="G5578" s="1050"/>
    </row>
    <row r="5579" spans="1:7">
      <c r="A5579" s="1079"/>
      <c r="B5579" s="1050"/>
      <c r="C5579" s="1050"/>
      <c r="D5579" s="1050"/>
      <c r="E5579" s="1050"/>
      <c r="F5579" s="1050"/>
      <c r="G5579" s="1050"/>
    </row>
    <row r="5580" spans="1:7">
      <c r="A5580" s="1079"/>
      <c r="B5580" s="1050"/>
      <c r="C5580" s="1050"/>
      <c r="D5580" s="1050"/>
      <c r="E5580" s="1050"/>
      <c r="F5580" s="1050"/>
      <c r="G5580" s="1050"/>
    </row>
    <row r="5581" spans="1:7">
      <c r="A5581" s="1079"/>
      <c r="B5581" s="1050"/>
      <c r="C5581" s="1050"/>
      <c r="D5581" s="1050"/>
      <c r="E5581" s="1050"/>
      <c r="F5581" s="1050"/>
      <c r="G5581" s="1050"/>
    </row>
    <row r="5582" spans="1:7">
      <c r="A5582" s="1079"/>
      <c r="B5582" s="1050"/>
      <c r="C5582" s="1050"/>
      <c r="D5582" s="1050"/>
      <c r="E5582" s="1050"/>
      <c r="F5582" s="1050"/>
      <c r="G5582" s="1050"/>
    </row>
    <row r="5583" spans="1:7">
      <c r="A5583" s="1079"/>
      <c r="B5583" s="1050"/>
      <c r="C5583" s="1050"/>
      <c r="D5583" s="1050"/>
      <c r="E5583" s="1050"/>
      <c r="F5583" s="1050"/>
      <c r="G5583" s="1050"/>
    </row>
    <row r="5584" spans="1:7">
      <c r="A5584" s="1079"/>
      <c r="B5584" s="1050"/>
      <c r="C5584" s="1050"/>
      <c r="D5584" s="1050"/>
      <c r="E5584" s="1050"/>
      <c r="F5584" s="1050"/>
      <c r="G5584" s="1050"/>
    </row>
    <row r="5585" spans="1:7">
      <c r="A5585" s="1079"/>
      <c r="B5585" s="1050"/>
      <c r="C5585" s="1050"/>
      <c r="D5585" s="1050"/>
      <c r="E5585" s="1050"/>
      <c r="F5585" s="1050"/>
      <c r="G5585" s="1050"/>
    </row>
    <row r="5586" spans="1:7">
      <c r="A5586" s="1079"/>
      <c r="B5586" s="1050"/>
      <c r="C5586" s="1050"/>
      <c r="D5586" s="1050"/>
      <c r="E5586" s="1050"/>
      <c r="F5586" s="1050"/>
      <c r="G5586" s="1050"/>
    </row>
    <row r="5587" spans="1:7">
      <c r="A5587" s="1079"/>
      <c r="B5587" s="1050"/>
      <c r="C5587" s="1050"/>
      <c r="D5587" s="1050"/>
      <c r="E5587" s="1050"/>
      <c r="F5587" s="1050"/>
      <c r="G5587" s="1050"/>
    </row>
    <row r="5588" spans="1:7">
      <c r="A5588" s="1079"/>
      <c r="B5588" s="1050"/>
      <c r="C5588" s="1050"/>
      <c r="D5588" s="1050"/>
      <c r="E5588" s="1050"/>
      <c r="F5588" s="1050"/>
      <c r="G5588" s="1050"/>
    </row>
    <row r="5589" spans="1:7">
      <c r="A5589" s="1079"/>
      <c r="B5589" s="1050"/>
      <c r="C5589" s="1050"/>
      <c r="D5589" s="1050"/>
      <c r="E5589" s="1050"/>
      <c r="F5589" s="1050"/>
      <c r="G5589" s="1050"/>
    </row>
    <row r="5590" spans="1:7">
      <c r="A5590" s="1079"/>
      <c r="B5590" s="1050"/>
      <c r="C5590" s="1050"/>
      <c r="D5590" s="1050"/>
      <c r="E5590" s="1050"/>
      <c r="F5590" s="1050"/>
      <c r="G5590" s="1050"/>
    </row>
    <row r="5591" spans="1:7">
      <c r="A5591" s="1079"/>
      <c r="B5591" s="1050"/>
      <c r="C5591" s="1050"/>
      <c r="D5591" s="1050"/>
      <c r="E5591" s="1050"/>
      <c r="F5591" s="1050"/>
      <c r="G5591" s="1050"/>
    </row>
    <row r="5592" spans="1:7">
      <c r="A5592" s="1079"/>
      <c r="B5592" s="1050"/>
      <c r="C5592" s="1050"/>
      <c r="D5592" s="1050"/>
      <c r="E5592" s="1050"/>
      <c r="F5592" s="1050"/>
      <c r="G5592" s="1050"/>
    </row>
    <row r="5593" spans="1:7">
      <c r="A5593" s="1079"/>
      <c r="B5593" s="1050"/>
      <c r="C5593" s="1050"/>
      <c r="D5593" s="1050"/>
      <c r="E5593" s="1050"/>
      <c r="F5593" s="1050"/>
      <c r="G5593" s="1050"/>
    </row>
    <row r="5594" spans="1:7">
      <c r="A5594" s="1079"/>
      <c r="B5594" s="1050"/>
      <c r="C5594" s="1050"/>
      <c r="D5594" s="1050"/>
      <c r="E5594" s="1050"/>
      <c r="F5594" s="1050"/>
      <c r="G5594" s="1050"/>
    </row>
    <row r="5595" spans="1:7">
      <c r="A5595" s="1079"/>
      <c r="B5595" s="1050"/>
      <c r="C5595" s="1050"/>
      <c r="D5595" s="1050"/>
      <c r="E5595" s="1050"/>
      <c r="F5595" s="1050"/>
      <c r="G5595" s="1050"/>
    </row>
    <row r="5596" spans="1:7">
      <c r="A5596" s="1079"/>
      <c r="B5596" s="1050"/>
      <c r="C5596" s="1050"/>
      <c r="D5596" s="1050"/>
      <c r="E5596" s="1050"/>
      <c r="F5596" s="1050"/>
      <c r="G5596" s="1050"/>
    </row>
    <row r="5597" spans="1:7">
      <c r="A5597" s="1079"/>
      <c r="B5597" s="1050"/>
      <c r="C5597" s="1050"/>
      <c r="D5597" s="1050"/>
      <c r="E5597" s="1050"/>
      <c r="F5597" s="1050"/>
      <c r="G5597" s="1050"/>
    </row>
    <row r="5598" spans="1:7">
      <c r="A5598" s="1079"/>
      <c r="B5598" s="1050"/>
      <c r="C5598" s="1050"/>
      <c r="D5598" s="1050"/>
      <c r="E5598" s="1050"/>
      <c r="F5598" s="1050"/>
      <c r="G5598" s="1050"/>
    </row>
    <row r="5599" spans="1:7">
      <c r="A5599" s="1079"/>
      <c r="B5599" s="1050"/>
      <c r="C5599" s="1050"/>
      <c r="D5599" s="1050"/>
      <c r="E5599" s="1050"/>
      <c r="F5599" s="1050"/>
      <c r="G5599" s="1050"/>
    </row>
    <row r="5600" spans="1:7">
      <c r="A5600" s="1079"/>
      <c r="B5600" s="1050"/>
      <c r="C5600" s="1050"/>
      <c r="D5600" s="1050"/>
      <c r="E5600" s="1050"/>
      <c r="F5600" s="1050"/>
      <c r="G5600" s="1050"/>
    </row>
    <row r="5601" spans="1:7">
      <c r="A5601" s="1079"/>
      <c r="B5601" s="1050"/>
      <c r="C5601" s="1050"/>
      <c r="D5601" s="1050"/>
      <c r="E5601" s="1050"/>
      <c r="F5601" s="1050"/>
      <c r="G5601" s="1050"/>
    </row>
    <row r="5602" spans="1:7">
      <c r="A5602" s="1079"/>
      <c r="B5602" s="1050"/>
      <c r="C5602" s="1050"/>
      <c r="D5602" s="1050"/>
      <c r="E5602" s="1050"/>
      <c r="F5602" s="1050"/>
      <c r="G5602" s="1050"/>
    </row>
    <row r="5603" spans="1:7">
      <c r="A5603" s="1079"/>
      <c r="B5603" s="1050"/>
      <c r="C5603" s="1050"/>
      <c r="D5603" s="1050"/>
      <c r="E5603" s="1050"/>
      <c r="F5603" s="1050"/>
      <c r="G5603" s="1050"/>
    </row>
    <row r="5604" spans="1:7">
      <c r="A5604" s="1079"/>
      <c r="B5604" s="1050"/>
      <c r="C5604" s="1050"/>
      <c r="D5604" s="1050"/>
      <c r="E5604" s="1050"/>
      <c r="F5604" s="1050"/>
      <c r="G5604" s="1050"/>
    </row>
    <row r="5605" spans="1:7">
      <c r="A5605" s="1079"/>
      <c r="B5605" s="1050"/>
      <c r="C5605" s="1050"/>
      <c r="D5605" s="1050"/>
      <c r="E5605" s="1050"/>
      <c r="F5605" s="1050"/>
      <c r="G5605" s="1050"/>
    </row>
    <row r="5606" spans="1:7">
      <c r="A5606" s="1079"/>
      <c r="B5606" s="1050"/>
      <c r="C5606" s="1050"/>
      <c r="D5606" s="1050"/>
      <c r="E5606" s="1050"/>
      <c r="F5606" s="1050"/>
      <c r="G5606" s="1050"/>
    </row>
    <row r="5607" spans="1:7">
      <c r="A5607" s="1079"/>
      <c r="B5607" s="1050"/>
      <c r="C5607" s="1050"/>
      <c r="D5607" s="1050"/>
      <c r="E5607" s="1050"/>
      <c r="F5607" s="1050"/>
      <c r="G5607" s="1050"/>
    </row>
    <row r="5608" spans="1:7">
      <c r="A5608" s="1079"/>
      <c r="B5608" s="1050"/>
      <c r="C5608" s="1050"/>
      <c r="D5608" s="1050"/>
      <c r="E5608" s="1050"/>
      <c r="F5608" s="1050"/>
      <c r="G5608" s="1050"/>
    </row>
    <row r="5609" spans="1:7">
      <c r="A5609" s="1079"/>
      <c r="B5609" s="1050"/>
      <c r="C5609" s="1050"/>
      <c r="D5609" s="1050"/>
      <c r="E5609" s="1050"/>
      <c r="F5609" s="1050"/>
      <c r="G5609" s="1050"/>
    </row>
    <row r="5610" spans="1:7">
      <c r="A5610" s="1079"/>
      <c r="B5610" s="1050"/>
      <c r="C5610" s="1050"/>
      <c r="D5610" s="1050"/>
      <c r="E5610" s="1050"/>
      <c r="F5610" s="1050"/>
      <c r="G5610" s="1050"/>
    </row>
    <row r="5611" spans="1:7">
      <c r="A5611" s="1079"/>
      <c r="B5611" s="1050"/>
      <c r="C5611" s="1050"/>
      <c r="D5611" s="1050"/>
      <c r="E5611" s="1050"/>
      <c r="F5611" s="1050"/>
      <c r="G5611" s="1050"/>
    </row>
    <row r="5612" spans="1:7">
      <c r="A5612" s="1079"/>
      <c r="B5612" s="1050"/>
      <c r="C5612" s="1050"/>
      <c r="D5612" s="1050"/>
      <c r="E5612" s="1050"/>
      <c r="F5612" s="1050"/>
      <c r="G5612" s="1050"/>
    </row>
    <row r="5613" spans="1:7">
      <c r="A5613" s="1079"/>
      <c r="B5613" s="1050"/>
      <c r="C5613" s="1050"/>
      <c r="D5613" s="1050"/>
      <c r="E5613" s="1050"/>
      <c r="F5613" s="1050"/>
      <c r="G5613" s="1050"/>
    </row>
    <row r="5614" spans="1:7">
      <c r="A5614" s="1079"/>
      <c r="B5614" s="1050"/>
      <c r="C5614" s="1050"/>
      <c r="D5614" s="1050"/>
      <c r="E5614" s="1050"/>
      <c r="F5614" s="1050"/>
      <c r="G5614" s="1050"/>
    </row>
    <row r="5615" spans="1:7">
      <c r="A5615" s="1079"/>
      <c r="B5615" s="1050"/>
      <c r="C5615" s="1050"/>
      <c r="D5615" s="1050"/>
      <c r="E5615" s="1050"/>
      <c r="F5615" s="1050"/>
      <c r="G5615" s="1050"/>
    </row>
    <row r="5616" spans="1:7">
      <c r="A5616" s="1079"/>
      <c r="B5616" s="1050"/>
      <c r="C5616" s="1050"/>
      <c r="D5616" s="1050"/>
      <c r="E5616" s="1050"/>
      <c r="F5616" s="1050"/>
      <c r="G5616" s="1050"/>
    </row>
    <row r="5617" spans="1:7">
      <c r="A5617" s="1079"/>
      <c r="B5617" s="1050"/>
      <c r="C5617" s="1050"/>
      <c r="D5617" s="1050"/>
      <c r="E5617" s="1050"/>
      <c r="F5617" s="1050"/>
      <c r="G5617" s="1050"/>
    </row>
    <row r="5618" spans="1:7">
      <c r="A5618" s="1079"/>
      <c r="B5618" s="1050"/>
      <c r="C5618" s="1050"/>
      <c r="D5618" s="1050"/>
      <c r="E5618" s="1050"/>
      <c r="F5618" s="1050"/>
      <c r="G5618" s="1050"/>
    </row>
    <row r="5619" spans="1:7">
      <c r="A5619" s="1079"/>
      <c r="B5619" s="1050"/>
      <c r="C5619" s="1050"/>
      <c r="D5619" s="1050"/>
      <c r="E5619" s="1050"/>
      <c r="F5619" s="1050"/>
      <c r="G5619" s="1050"/>
    </row>
    <row r="5620" spans="1:7">
      <c r="A5620" s="1079"/>
      <c r="B5620" s="1050"/>
      <c r="C5620" s="1050"/>
      <c r="D5620" s="1050"/>
      <c r="E5620" s="1050"/>
      <c r="F5620" s="1050"/>
      <c r="G5620" s="1050"/>
    </row>
    <row r="5621" spans="1:7">
      <c r="A5621" s="1079"/>
      <c r="B5621" s="1050"/>
      <c r="C5621" s="1050"/>
      <c r="D5621" s="1050"/>
      <c r="E5621" s="1050"/>
      <c r="F5621" s="1050"/>
      <c r="G5621" s="1050"/>
    </row>
    <row r="5622" spans="1:7">
      <c r="A5622" s="1079"/>
      <c r="B5622" s="1050"/>
      <c r="C5622" s="1050"/>
      <c r="D5622" s="1050"/>
      <c r="E5622" s="1050"/>
      <c r="F5622" s="1050"/>
      <c r="G5622" s="1050"/>
    </row>
    <row r="5623" spans="1:7">
      <c r="A5623" s="1079"/>
      <c r="B5623" s="1050"/>
      <c r="C5623" s="1050"/>
      <c r="D5623" s="1050"/>
      <c r="E5623" s="1050"/>
      <c r="F5623" s="1050"/>
      <c r="G5623" s="1050"/>
    </row>
    <row r="5624" spans="1:7">
      <c r="A5624" s="1079"/>
      <c r="B5624" s="1050"/>
      <c r="C5624" s="1050"/>
      <c r="D5624" s="1050"/>
      <c r="E5624" s="1050"/>
      <c r="F5624" s="1050"/>
      <c r="G5624" s="1050"/>
    </row>
    <row r="5625" spans="1:7">
      <c r="A5625" s="1079"/>
      <c r="B5625" s="1050"/>
      <c r="C5625" s="1050"/>
      <c r="D5625" s="1050"/>
      <c r="E5625" s="1050"/>
      <c r="F5625" s="1050"/>
      <c r="G5625" s="1050"/>
    </row>
    <row r="5626" spans="1:7">
      <c r="A5626" s="1079"/>
      <c r="B5626" s="1050"/>
      <c r="C5626" s="1050"/>
      <c r="D5626" s="1050"/>
      <c r="E5626" s="1050"/>
      <c r="F5626" s="1050"/>
      <c r="G5626" s="1050"/>
    </row>
    <row r="5627" spans="1:7">
      <c r="A5627" s="1079"/>
      <c r="B5627" s="1050"/>
      <c r="C5627" s="1050"/>
      <c r="D5627" s="1050"/>
      <c r="E5627" s="1050"/>
      <c r="F5627" s="1050"/>
      <c r="G5627" s="1050"/>
    </row>
    <row r="5628" spans="1:7">
      <c r="A5628" s="1079"/>
      <c r="B5628" s="1050"/>
      <c r="C5628" s="1050"/>
      <c r="D5628" s="1050"/>
      <c r="E5628" s="1050"/>
      <c r="F5628" s="1050"/>
      <c r="G5628" s="1050"/>
    </row>
    <row r="5629" spans="1:7">
      <c r="A5629" s="1079"/>
      <c r="B5629" s="1050"/>
      <c r="C5629" s="1050"/>
      <c r="D5629" s="1050"/>
      <c r="E5629" s="1050"/>
      <c r="F5629" s="1050"/>
      <c r="G5629" s="1050"/>
    </row>
    <row r="5630" spans="1:7">
      <c r="A5630" s="1079"/>
      <c r="B5630" s="1050"/>
      <c r="C5630" s="1050"/>
      <c r="D5630" s="1050"/>
      <c r="E5630" s="1050"/>
      <c r="F5630" s="1050"/>
      <c r="G5630" s="1050"/>
    </row>
    <row r="5631" spans="1:7">
      <c r="A5631" s="1079"/>
      <c r="B5631" s="1050"/>
      <c r="C5631" s="1050"/>
      <c r="D5631" s="1050"/>
      <c r="E5631" s="1050"/>
      <c r="F5631" s="1050"/>
      <c r="G5631" s="1050"/>
    </row>
    <row r="5632" spans="1:7">
      <c r="A5632" s="1079"/>
      <c r="B5632" s="1050"/>
      <c r="C5632" s="1050"/>
      <c r="D5632" s="1050"/>
      <c r="E5632" s="1050"/>
      <c r="F5632" s="1050"/>
      <c r="G5632" s="1050"/>
    </row>
    <row r="5633" spans="1:7">
      <c r="A5633" s="1079"/>
      <c r="B5633" s="1050"/>
      <c r="C5633" s="1050"/>
      <c r="D5633" s="1050"/>
      <c r="E5633" s="1050"/>
      <c r="F5633" s="1050"/>
      <c r="G5633" s="1050"/>
    </row>
    <row r="5634" spans="1:7">
      <c r="A5634" s="1079"/>
      <c r="B5634" s="1050"/>
      <c r="C5634" s="1050"/>
      <c r="D5634" s="1050"/>
      <c r="E5634" s="1050"/>
      <c r="F5634" s="1050"/>
      <c r="G5634" s="1050"/>
    </row>
    <row r="5635" spans="1:7">
      <c r="A5635" s="1079"/>
      <c r="B5635" s="1050"/>
      <c r="C5635" s="1050"/>
      <c r="D5635" s="1050"/>
      <c r="E5635" s="1050"/>
      <c r="F5635" s="1050"/>
      <c r="G5635" s="1050"/>
    </row>
    <row r="5636" spans="1:7">
      <c r="A5636" s="1079"/>
      <c r="B5636" s="1050"/>
      <c r="C5636" s="1050"/>
      <c r="D5636" s="1050"/>
      <c r="E5636" s="1050"/>
      <c r="F5636" s="1050"/>
      <c r="G5636" s="1050"/>
    </row>
    <row r="5637" spans="1:7">
      <c r="A5637" s="1079"/>
      <c r="B5637" s="1050"/>
      <c r="C5637" s="1050"/>
      <c r="D5637" s="1050"/>
      <c r="E5637" s="1050"/>
      <c r="F5637" s="1050"/>
      <c r="G5637" s="1050"/>
    </row>
    <row r="5638" spans="1:7">
      <c r="A5638" s="1079"/>
      <c r="B5638" s="1050"/>
      <c r="C5638" s="1050"/>
      <c r="D5638" s="1050"/>
      <c r="E5638" s="1050"/>
      <c r="F5638" s="1050"/>
      <c r="G5638" s="1050"/>
    </row>
    <row r="5639" spans="1:7">
      <c r="A5639" s="1079"/>
      <c r="B5639" s="1050"/>
      <c r="C5639" s="1050"/>
      <c r="D5639" s="1050"/>
      <c r="E5639" s="1050"/>
      <c r="F5639" s="1050"/>
      <c r="G5639" s="1050"/>
    </row>
    <row r="5640" spans="1:7">
      <c r="A5640" s="1079"/>
      <c r="B5640" s="1050"/>
      <c r="C5640" s="1050"/>
      <c r="D5640" s="1050"/>
      <c r="E5640" s="1050"/>
      <c r="F5640" s="1050"/>
      <c r="G5640" s="1050"/>
    </row>
    <row r="5641" spans="1:7">
      <c r="A5641" s="1079"/>
      <c r="B5641" s="1050"/>
      <c r="C5641" s="1050"/>
      <c r="D5641" s="1050"/>
      <c r="E5641" s="1050"/>
      <c r="F5641" s="1050"/>
      <c r="G5641" s="1050"/>
    </row>
    <row r="5642" spans="1:7">
      <c r="A5642" s="1079"/>
      <c r="B5642" s="1050"/>
      <c r="C5642" s="1050"/>
      <c r="D5642" s="1050"/>
      <c r="E5642" s="1050"/>
      <c r="F5642" s="1050"/>
      <c r="G5642" s="1050"/>
    </row>
    <row r="5643" spans="1:7">
      <c r="A5643" s="1079"/>
      <c r="B5643" s="1050"/>
      <c r="C5643" s="1050"/>
      <c r="D5643" s="1050"/>
      <c r="E5643" s="1050"/>
      <c r="F5643" s="1050"/>
      <c r="G5643" s="1050"/>
    </row>
    <row r="5644" spans="1:7">
      <c r="A5644" s="1079"/>
      <c r="B5644" s="1050"/>
      <c r="C5644" s="1050"/>
      <c r="D5644" s="1050"/>
      <c r="E5644" s="1050"/>
      <c r="F5644" s="1050"/>
      <c r="G5644" s="1050"/>
    </row>
    <row r="5645" spans="1:7">
      <c r="A5645" s="1079"/>
      <c r="B5645" s="1050"/>
      <c r="C5645" s="1050"/>
      <c r="D5645" s="1050"/>
      <c r="E5645" s="1050"/>
      <c r="F5645" s="1050"/>
      <c r="G5645" s="1050"/>
    </row>
    <row r="5646" spans="1:7">
      <c r="A5646" s="1079"/>
      <c r="B5646" s="1050"/>
      <c r="C5646" s="1050"/>
      <c r="D5646" s="1050"/>
      <c r="E5646" s="1050"/>
      <c r="F5646" s="1050"/>
      <c r="G5646" s="1050"/>
    </row>
    <row r="5647" spans="1:7">
      <c r="A5647" s="1079"/>
      <c r="B5647" s="1050"/>
      <c r="C5647" s="1050"/>
      <c r="D5647" s="1050"/>
      <c r="E5647" s="1050"/>
      <c r="F5647" s="1050"/>
      <c r="G5647" s="1050"/>
    </row>
    <row r="5648" spans="1:7">
      <c r="A5648" s="1079"/>
      <c r="B5648" s="1050"/>
      <c r="C5648" s="1050"/>
      <c r="D5648" s="1050"/>
      <c r="E5648" s="1050"/>
      <c r="F5648" s="1050"/>
      <c r="G5648" s="1050"/>
    </row>
    <row r="5649" spans="1:7">
      <c r="A5649" s="1079"/>
      <c r="B5649" s="1050"/>
      <c r="C5649" s="1050"/>
      <c r="D5649" s="1050"/>
      <c r="E5649" s="1050"/>
      <c r="F5649" s="1050"/>
      <c r="G5649" s="1050"/>
    </row>
    <row r="5650" spans="1:7">
      <c r="A5650" s="1079"/>
      <c r="B5650" s="1050"/>
      <c r="C5650" s="1050"/>
      <c r="D5650" s="1050"/>
      <c r="E5650" s="1050"/>
      <c r="F5650" s="1050"/>
      <c r="G5650" s="1050"/>
    </row>
    <row r="5651" spans="1:7">
      <c r="A5651" s="1079"/>
      <c r="B5651" s="1050"/>
      <c r="C5651" s="1050"/>
      <c r="D5651" s="1050"/>
      <c r="E5651" s="1050"/>
      <c r="F5651" s="1050"/>
      <c r="G5651" s="1050"/>
    </row>
    <row r="5652" spans="1:7">
      <c r="A5652" s="1079"/>
      <c r="B5652" s="1050"/>
      <c r="C5652" s="1050"/>
      <c r="D5652" s="1050"/>
      <c r="E5652" s="1050"/>
      <c r="F5652" s="1050"/>
      <c r="G5652" s="1050"/>
    </row>
    <row r="5653" spans="1:7">
      <c r="A5653" s="1079"/>
      <c r="B5653" s="1050"/>
      <c r="C5653" s="1050"/>
      <c r="D5653" s="1050"/>
      <c r="E5653" s="1050"/>
      <c r="F5653" s="1050"/>
      <c r="G5653" s="1050"/>
    </row>
    <row r="5654" spans="1:7">
      <c r="A5654" s="1079"/>
      <c r="B5654" s="1050"/>
      <c r="C5654" s="1050"/>
      <c r="D5654" s="1050"/>
      <c r="E5654" s="1050"/>
      <c r="F5654" s="1050"/>
      <c r="G5654" s="1050"/>
    </row>
    <row r="5655" spans="1:7">
      <c r="A5655" s="1079"/>
      <c r="B5655" s="1050"/>
      <c r="C5655" s="1050"/>
      <c r="D5655" s="1050"/>
      <c r="E5655" s="1050"/>
      <c r="F5655" s="1050"/>
      <c r="G5655" s="1050"/>
    </row>
    <row r="5656" spans="1:7">
      <c r="A5656" s="1079"/>
      <c r="B5656" s="1050"/>
      <c r="C5656" s="1050"/>
      <c r="D5656" s="1050"/>
      <c r="E5656" s="1050"/>
      <c r="F5656" s="1050"/>
      <c r="G5656" s="1050"/>
    </row>
    <row r="5657" spans="1:7">
      <c r="A5657" s="1079"/>
      <c r="B5657" s="1050"/>
      <c r="C5657" s="1050"/>
      <c r="D5657" s="1050"/>
      <c r="E5657" s="1050"/>
      <c r="F5657" s="1050"/>
      <c r="G5657" s="1050"/>
    </row>
    <row r="5658" spans="1:7">
      <c r="A5658" s="1079"/>
      <c r="B5658" s="1050"/>
      <c r="C5658" s="1050"/>
      <c r="D5658" s="1050"/>
      <c r="E5658" s="1050"/>
      <c r="F5658" s="1050"/>
      <c r="G5658" s="1050"/>
    </row>
    <row r="5659" spans="1:7">
      <c r="A5659" s="1079"/>
      <c r="B5659" s="1050"/>
      <c r="C5659" s="1050"/>
      <c r="D5659" s="1050"/>
      <c r="E5659" s="1050"/>
      <c r="F5659" s="1050"/>
      <c r="G5659" s="1050"/>
    </row>
    <row r="5660" spans="1:7">
      <c r="A5660" s="1079"/>
      <c r="B5660" s="1050"/>
      <c r="C5660" s="1050"/>
      <c r="D5660" s="1050"/>
      <c r="E5660" s="1050"/>
      <c r="F5660" s="1050"/>
      <c r="G5660" s="1050"/>
    </row>
    <row r="5661" spans="1:7">
      <c r="A5661" s="1079"/>
      <c r="B5661" s="1050"/>
      <c r="C5661" s="1050"/>
      <c r="D5661" s="1050"/>
      <c r="E5661" s="1050"/>
      <c r="F5661" s="1050"/>
      <c r="G5661" s="1050"/>
    </row>
    <row r="5662" spans="1:7">
      <c r="A5662" s="1079"/>
      <c r="B5662" s="1050"/>
      <c r="C5662" s="1050"/>
      <c r="D5662" s="1050"/>
      <c r="E5662" s="1050"/>
      <c r="F5662" s="1050"/>
      <c r="G5662" s="1050"/>
    </row>
    <row r="5663" spans="1:7">
      <c r="A5663" s="1079"/>
      <c r="B5663" s="1050"/>
      <c r="C5663" s="1050"/>
      <c r="D5663" s="1050"/>
      <c r="E5663" s="1050"/>
      <c r="F5663" s="1050"/>
      <c r="G5663" s="1050"/>
    </row>
    <row r="5664" spans="1:7">
      <c r="A5664" s="1079"/>
      <c r="B5664" s="1050"/>
      <c r="C5664" s="1050"/>
      <c r="D5664" s="1050"/>
      <c r="E5664" s="1050"/>
      <c r="F5664" s="1050"/>
      <c r="G5664" s="1050"/>
    </row>
    <row r="5665" spans="1:7">
      <c r="A5665" s="1079"/>
      <c r="B5665" s="1050"/>
      <c r="C5665" s="1050"/>
      <c r="D5665" s="1050"/>
      <c r="E5665" s="1050"/>
      <c r="F5665" s="1050"/>
      <c r="G5665" s="1050"/>
    </row>
    <row r="5666" spans="1:7">
      <c r="A5666" s="1079"/>
      <c r="B5666" s="1050"/>
      <c r="C5666" s="1050"/>
      <c r="D5666" s="1050"/>
      <c r="E5666" s="1050"/>
      <c r="F5666" s="1050"/>
      <c r="G5666" s="1050"/>
    </row>
    <row r="5667" spans="1:7">
      <c r="A5667" s="1079"/>
      <c r="B5667" s="1050"/>
      <c r="C5667" s="1050"/>
      <c r="D5667" s="1050"/>
      <c r="E5667" s="1050"/>
      <c r="F5667" s="1050"/>
      <c r="G5667" s="1050"/>
    </row>
    <row r="5668" spans="1:7">
      <c r="A5668" s="1079"/>
      <c r="B5668" s="1050"/>
      <c r="C5668" s="1050"/>
      <c r="D5668" s="1050"/>
      <c r="E5668" s="1050"/>
      <c r="F5668" s="1050"/>
      <c r="G5668" s="1050"/>
    </row>
    <row r="5669" spans="1:7">
      <c r="A5669" s="1079"/>
      <c r="B5669" s="1050"/>
      <c r="C5669" s="1050"/>
      <c r="D5669" s="1050"/>
      <c r="E5669" s="1050"/>
      <c r="F5669" s="1050"/>
      <c r="G5669" s="1050"/>
    </row>
    <row r="5670" spans="1:7">
      <c r="A5670" s="1079"/>
      <c r="B5670" s="1050"/>
      <c r="C5670" s="1050"/>
      <c r="D5670" s="1050"/>
      <c r="E5670" s="1050"/>
      <c r="F5670" s="1050"/>
      <c r="G5670" s="1050"/>
    </row>
    <row r="5671" spans="1:7">
      <c r="A5671" s="1079"/>
      <c r="B5671" s="1050"/>
      <c r="C5671" s="1050"/>
      <c r="D5671" s="1050"/>
      <c r="E5671" s="1050"/>
      <c r="F5671" s="1050"/>
      <c r="G5671" s="1050"/>
    </row>
    <row r="5672" spans="1:7">
      <c r="A5672" s="1079"/>
      <c r="B5672" s="1050"/>
      <c r="C5672" s="1050"/>
      <c r="D5672" s="1050"/>
      <c r="E5672" s="1050"/>
      <c r="F5672" s="1050"/>
      <c r="G5672" s="1050"/>
    </row>
    <row r="5673" spans="1:7">
      <c r="A5673" s="1079"/>
      <c r="B5673" s="1050"/>
      <c r="C5673" s="1050"/>
      <c r="D5673" s="1050"/>
      <c r="E5673" s="1050"/>
      <c r="F5673" s="1050"/>
      <c r="G5673" s="1050"/>
    </row>
    <row r="5674" spans="1:7">
      <c r="A5674" s="1079"/>
      <c r="B5674" s="1050"/>
      <c r="C5674" s="1050"/>
      <c r="D5674" s="1050"/>
      <c r="E5674" s="1050"/>
      <c r="F5674" s="1050"/>
      <c r="G5674" s="1050"/>
    </row>
    <row r="5675" spans="1:7">
      <c r="A5675" s="1079"/>
      <c r="B5675" s="1050"/>
      <c r="C5675" s="1050"/>
      <c r="D5675" s="1050"/>
      <c r="E5675" s="1050"/>
      <c r="F5675" s="1050"/>
      <c r="G5675" s="1050"/>
    </row>
    <row r="5676" spans="1:7">
      <c r="A5676" s="1079"/>
      <c r="B5676" s="1050"/>
      <c r="C5676" s="1050"/>
      <c r="D5676" s="1050"/>
      <c r="E5676" s="1050"/>
      <c r="F5676" s="1050"/>
      <c r="G5676" s="1050"/>
    </row>
    <row r="5677" spans="1:7">
      <c r="A5677" s="1079"/>
      <c r="B5677" s="1050"/>
      <c r="C5677" s="1050"/>
      <c r="D5677" s="1050"/>
      <c r="E5677" s="1050"/>
      <c r="F5677" s="1050"/>
      <c r="G5677" s="1050"/>
    </row>
    <row r="5678" spans="1:7">
      <c r="A5678" s="1079"/>
      <c r="B5678" s="1050"/>
      <c r="C5678" s="1050"/>
      <c r="D5678" s="1050"/>
      <c r="E5678" s="1050"/>
      <c r="F5678" s="1050"/>
      <c r="G5678" s="1050"/>
    </row>
    <row r="5679" spans="1:7">
      <c r="A5679" s="1079"/>
      <c r="B5679" s="1050"/>
      <c r="C5679" s="1050"/>
      <c r="D5679" s="1050"/>
      <c r="E5679" s="1050"/>
      <c r="F5679" s="1050"/>
      <c r="G5679" s="1050"/>
    </row>
    <row r="5680" spans="1:7">
      <c r="A5680" s="1079"/>
      <c r="B5680" s="1050"/>
      <c r="C5680" s="1050"/>
      <c r="D5680" s="1050"/>
      <c r="E5680" s="1050"/>
      <c r="F5680" s="1050"/>
      <c r="G5680" s="1050"/>
    </row>
    <row r="5681" spans="1:7">
      <c r="A5681" s="1079"/>
      <c r="B5681" s="1050"/>
      <c r="C5681" s="1050"/>
      <c r="D5681" s="1050"/>
      <c r="E5681" s="1050"/>
      <c r="F5681" s="1050"/>
      <c r="G5681" s="1050"/>
    </row>
    <row r="5682" spans="1:7">
      <c r="A5682" s="1079"/>
      <c r="B5682" s="1050"/>
      <c r="C5682" s="1050"/>
      <c r="D5682" s="1050"/>
      <c r="E5682" s="1050"/>
      <c r="F5682" s="1050"/>
      <c r="G5682" s="1050"/>
    </row>
    <row r="5683" spans="1:7">
      <c r="A5683" s="1079"/>
      <c r="B5683" s="1050"/>
      <c r="C5683" s="1050"/>
      <c r="D5683" s="1050"/>
      <c r="E5683" s="1050"/>
      <c r="F5683" s="1050"/>
      <c r="G5683" s="1050"/>
    </row>
    <row r="5684" spans="1:7">
      <c r="A5684" s="1079"/>
      <c r="B5684" s="1050"/>
      <c r="C5684" s="1050"/>
      <c r="D5684" s="1050"/>
      <c r="E5684" s="1050"/>
      <c r="F5684" s="1050"/>
      <c r="G5684" s="1050"/>
    </row>
    <row r="5685" spans="1:7">
      <c r="A5685" s="1079"/>
      <c r="B5685" s="1050"/>
      <c r="C5685" s="1050"/>
      <c r="D5685" s="1050"/>
      <c r="E5685" s="1050"/>
      <c r="F5685" s="1050"/>
      <c r="G5685" s="1050"/>
    </row>
    <row r="5686" spans="1:7">
      <c r="A5686" s="1079"/>
      <c r="B5686" s="1050"/>
      <c r="C5686" s="1050"/>
      <c r="D5686" s="1050"/>
      <c r="E5686" s="1050"/>
      <c r="F5686" s="1050"/>
      <c r="G5686" s="1050"/>
    </row>
    <row r="5687" spans="1:7">
      <c r="A5687" s="1079"/>
      <c r="B5687" s="1050"/>
      <c r="C5687" s="1050"/>
      <c r="D5687" s="1050"/>
      <c r="E5687" s="1050"/>
      <c r="F5687" s="1050"/>
      <c r="G5687" s="1050"/>
    </row>
    <row r="5688" spans="1:7">
      <c r="A5688" s="1079"/>
      <c r="B5688" s="1050"/>
      <c r="C5688" s="1050"/>
      <c r="D5688" s="1050"/>
      <c r="E5688" s="1050"/>
      <c r="F5688" s="1050"/>
      <c r="G5688" s="1050"/>
    </row>
    <row r="5689" spans="1:7">
      <c r="A5689" s="1079"/>
      <c r="B5689" s="1050"/>
      <c r="C5689" s="1050"/>
      <c r="D5689" s="1050"/>
      <c r="E5689" s="1050"/>
      <c r="F5689" s="1050"/>
      <c r="G5689" s="1050"/>
    </row>
    <row r="5690" spans="1:7">
      <c r="A5690" s="1079"/>
      <c r="B5690" s="1050"/>
      <c r="C5690" s="1050"/>
      <c r="D5690" s="1050"/>
      <c r="E5690" s="1050"/>
      <c r="F5690" s="1050"/>
      <c r="G5690" s="1050"/>
    </row>
    <row r="5691" spans="1:7">
      <c r="A5691" s="1079"/>
      <c r="B5691" s="1050"/>
      <c r="C5691" s="1050"/>
      <c r="D5691" s="1050"/>
      <c r="E5691" s="1050"/>
      <c r="F5691" s="1050"/>
      <c r="G5691" s="1050"/>
    </row>
    <row r="5692" spans="1:7">
      <c r="A5692" s="1079"/>
      <c r="B5692" s="1050"/>
      <c r="C5692" s="1050"/>
      <c r="D5692" s="1050"/>
      <c r="E5692" s="1050"/>
      <c r="F5692" s="1050"/>
      <c r="G5692" s="1050"/>
    </row>
    <row r="5693" spans="1:7">
      <c r="A5693" s="1079"/>
      <c r="B5693" s="1050"/>
      <c r="C5693" s="1050"/>
      <c r="D5693" s="1050"/>
      <c r="E5693" s="1050"/>
      <c r="F5693" s="1050"/>
      <c r="G5693" s="1050"/>
    </row>
    <row r="5694" spans="1:7">
      <c r="A5694" s="1079"/>
      <c r="B5694" s="1050"/>
      <c r="C5694" s="1050"/>
      <c r="D5694" s="1050"/>
      <c r="E5694" s="1050"/>
      <c r="F5694" s="1050"/>
      <c r="G5694" s="1050"/>
    </row>
    <row r="5695" spans="1:7">
      <c r="A5695" s="1079"/>
      <c r="B5695" s="1050"/>
      <c r="C5695" s="1050"/>
      <c r="D5695" s="1050"/>
      <c r="E5695" s="1050"/>
      <c r="F5695" s="1050"/>
      <c r="G5695" s="1050"/>
    </row>
    <row r="5696" spans="1:7">
      <c r="A5696" s="1079"/>
      <c r="B5696" s="1050"/>
      <c r="C5696" s="1050"/>
      <c r="D5696" s="1050"/>
      <c r="E5696" s="1050"/>
      <c r="F5696" s="1050"/>
      <c r="G5696" s="1050"/>
    </row>
    <row r="5697" spans="1:7">
      <c r="A5697" s="1079"/>
      <c r="B5697" s="1050"/>
      <c r="C5697" s="1050"/>
      <c r="D5697" s="1050"/>
      <c r="E5697" s="1050"/>
      <c r="F5697" s="1050"/>
      <c r="G5697" s="1050"/>
    </row>
    <row r="5698" spans="1:7">
      <c r="A5698" s="1079"/>
      <c r="B5698" s="1050"/>
      <c r="C5698" s="1050"/>
      <c r="D5698" s="1050"/>
      <c r="E5698" s="1050"/>
      <c r="F5698" s="1050"/>
      <c r="G5698" s="1050"/>
    </row>
    <row r="5699" spans="1:7">
      <c r="A5699" s="1079"/>
      <c r="B5699" s="1050"/>
      <c r="C5699" s="1050"/>
      <c r="D5699" s="1050"/>
      <c r="E5699" s="1050"/>
      <c r="F5699" s="1050"/>
      <c r="G5699" s="1050"/>
    </row>
    <row r="5700" spans="1:7">
      <c r="A5700" s="1079"/>
      <c r="B5700" s="1050"/>
      <c r="C5700" s="1050"/>
      <c r="D5700" s="1050"/>
      <c r="E5700" s="1050"/>
      <c r="F5700" s="1050"/>
      <c r="G5700" s="1050"/>
    </row>
    <row r="5701" spans="1:7">
      <c r="A5701" s="1079"/>
      <c r="B5701" s="1050"/>
      <c r="C5701" s="1050"/>
      <c r="D5701" s="1050"/>
      <c r="E5701" s="1050"/>
      <c r="F5701" s="1050"/>
      <c r="G5701" s="1050"/>
    </row>
    <row r="5702" spans="1:7">
      <c r="A5702" s="1079"/>
      <c r="B5702" s="1050"/>
      <c r="C5702" s="1050"/>
      <c r="D5702" s="1050"/>
      <c r="E5702" s="1050"/>
      <c r="F5702" s="1050"/>
      <c r="G5702" s="1050"/>
    </row>
    <row r="5703" spans="1:7">
      <c r="A5703" s="1079"/>
      <c r="B5703" s="1050"/>
      <c r="C5703" s="1050"/>
      <c r="D5703" s="1050"/>
      <c r="E5703" s="1050"/>
      <c r="F5703" s="1050"/>
      <c r="G5703" s="1050"/>
    </row>
    <row r="5704" spans="1:7">
      <c r="A5704" s="1079"/>
      <c r="B5704" s="1050"/>
      <c r="C5704" s="1050"/>
      <c r="D5704" s="1050"/>
      <c r="E5704" s="1050"/>
      <c r="F5704" s="1050"/>
      <c r="G5704" s="1050"/>
    </row>
    <row r="5705" spans="1:7">
      <c r="A5705" s="1079"/>
      <c r="B5705" s="1050"/>
      <c r="C5705" s="1050"/>
      <c r="D5705" s="1050"/>
      <c r="E5705" s="1050"/>
      <c r="F5705" s="1050"/>
      <c r="G5705" s="1050"/>
    </row>
    <row r="5706" spans="1:7">
      <c r="A5706" s="1079"/>
      <c r="B5706" s="1050"/>
      <c r="C5706" s="1050"/>
      <c r="D5706" s="1050"/>
      <c r="E5706" s="1050"/>
      <c r="F5706" s="1050"/>
      <c r="G5706" s="1050"/>
    </row>
    <row r="5707" spans="1:7">
      <c r="A5707" s="1079"/>
      <c r="B5707" s="1050"/>
      <c r="C5707" s="1050"/>
      <c r="D5707" s="1050"/>
      <c r="E5707" s="1050"/>
      <c r="F5707" s="1050"/>
      <c r="G5707" s="1050"/>
    </row>
    <row r="5708" spans="1:7">
      <c r="A5708" s="1079"/>
      <c r="B5708" s="1050"/>
      <c r="C5708" s="1050"/>
      <c r="D5708" s="1050"/>
      <c r="E5708" s="1050"/>
      <c r="F5708" s="1050"/>
      <c r="G5708" s="1050"/>
    </row>
    <row r="5709" spans="1:7">
      <c r="A5709" s="1079"/>
      <c r="B5709" s="1050"/>
      <c r="C5709" s="1050"/>
      <c r="D5709" s="1050"/>
      <c r="E5709" s="1050"/>
      <c r="F5709" s="1050"/>
      <c r="G5709" s="1050"/>
    </row>
    <row r="5710" spans="1:7">
      <c r="A5710" s="1079"/>
      <c r="B5710" s="1050"/>
      <c r="C5710" s="1050"/>
      <c r="D5710" s="1050"/>
      <c r="E5710" s="1050"/>
      <c r="F5710" s="1050"/>
      <c r="G5710" s="1050"/>
    </row>
    <row r="5711" spans="1:7">
      <c r="A5711" s="1079"/>
      <c r="B5711" s="1050"/>
      <c r="C5711" s="1050"/>
      <c r="D5711" s="1050"/>
      <c r="E5711" s="1050"/>
      <c r="F5711" s="1050"/>
      <c r="G5711" s="1050"/>
    </row>
    <row r="5712" spans="1:7">
      <c r="A5712" s="1079"/>
      <c r="B5712" s="1050"/>
      <c r="C5712" s="1050"/>
      <c r="D5712" s="1050"/>
      <c r="E5712" s="1050"/>
      <c r="F5712" s="1050"/>
      <c r="G5712" s="1050"/>
    </row>
    <row r="5713" spans="1:7">
      <c r="A5713" s="1079"/>
      <c r="B5713" s="1050"/>
      <c r="C5713" s="1050"/>
      <c r="D5713" s="1050"/>
      <c r="E5713" s="1050"/>
      <c r="F5713" s="1050"/>
      <c r="G5713" s="1050"/>
    </row>
    <row r="5714" spans="1:7">
      <c r="A5714" s="1079"/>
      <c r="B5714" s="1050"/>
      <c r="C5714" s="1050"/>
      <c r="D5714" s="1050"/>
      <c r="E5714" s="1050"/>
      <c r="F5714" s="1050"/>
      <c r="G5714" s="1050"/>
    </row>
    <row r="5715" spans="1:7">
      <c r="A5715" s="1079"/>
      <c r="B5715" s="1050"/>
      <c r="C5715" s="1050"/>
      <c r="D5715" s="1050"/>
      <c r="E5715" s="1050"/>
      <c r="F5715" s="1050"/>
      <c r="G5715" s="1050"/>
    </row>
    <row r="5716" spans="1:7">
      <c r="A5716" s="1079"/>
      <c r="B5716" s="1050"/>
      <c r="C5716" s="1050"/>
      <c r="D5716" s="1050"/>
      <c r="E5716" s="1050"/>
      <c r="F5716" s="1050"/>
      <c r="G5716" s="1050"/>
    </row>
    <row r="5717" spans="1:7">
      <c r="A5717" s="1079"/>
      <c r="B5717" s="1050"/>
      <c r="C5717" s="1050"/>
      <c r="D5717" s="1050"/>
      <c r="E5717" s="1050"/>
      <c r="F5717" s="1050"/>
      <c r="G5717" s="1050"/>
    </row>
    <row r="5718" spans="1:7">
      <c r="A5718" s="1079"/>
      <c r="B5718" s="1050"/>
      <c r="C5718" s="1050"/>
      <c r="D5718" s="1050"/>
      <c r="E5718" s="1050"/>
      <c r="F5718" s="1050"/>
      <c r="G5718" s="1050"/>
    </row>
    <row r="5719" spans="1:7">
      <c r="A5719" s="1079"/>
      <c r="B5719" s="1050"/>
      <c r="C5719" s="1050"/>
      <c r="D5719" s="1050"/>
      <c r="E5719" s="1050"/>
      <c r="F5719" s="1050"/>
      <c r="G5719" s="1050"/>
    </row>
    <row r="5720" spans="1:7">
      <c r="A5720" s="1079"/>
      <c r="B5720" s="1050"/>
      <c r="C5720" s="1050"/>
      <c r="D5720" s="1050"/>
      <c r="E5720" s="1050"/>
      <c r="F5720" s="1050"/>
      <c r="G5720" s="1050"/>
    </row>
    <row r="5721" spans="1:7">
      <c r="A5721" s="1079"/>
      <c r="B5721" s="1050"/>
      <c r="C5721" s="1050"/>
      <c r="D5721" s="1050"/>
      <c r="E5721" s="1050"/>
      <c r="F5721" s="1050"/>
      <c r="G5721" s="1050"/>
    </row>
    <row r="5722" spans="1:7">
      <c r="A5722" s="1079"/>
      <c r="B5722" s="1050"/>
      <c r="C5722" s="1050"/>
      <c r="D5722" s="1050"/>
      <c r="E5722" s="1050"/>
      <c r="F5722" s="1050"/>
      <c r="G5722" s="1050"/>
    </row>
    <row r="5723" spans="1:7">
      <c r="A5723" s="1079"/>
      <c r="B5723" s="1050"/>
      <c r="C5723" s="1050"/>
      <c r="D5723" s="1050"/>
      <c r="E5723" s="1050"/>
      <c r="F5723" s="1050"/>
      <c r="G5723" s="1050"/>
    </row>
    <row r="5724" spans="1:7">
      <c r="A5724" s="1079"/>
      <c r="B5724" s="1050"/>
      <c r="C5724" s="1050"/>
      <c r="D5724" s="1050"/>
      <c r="E5724" s="1050"/>
      <c r="F5724" s="1050"/>
      <c r="G5724" s="1050"/>
    </row>
    <row r="5725" spans="1:7">
      <c r="A5725" s="1079"/>
      <c r="B5725" s="1050"/>
      <c r="C5725" s="1050"/>
      <c r="D5725" s="1050"/>
      <c r="E5725" s="1050"/>
      <c r="F5725" s="1050"/>
      <c r="G5725" s="1050"/>
    </row>
    <row r="5726" spans="1:7">
      <c r="A5726" s="1079"/>
      <c r="B5726" s="1050"/>
      <c r="C5726" s="1050"/>
      <c r="D5726" s="1050"/>
      <c r="E5726" s="1050"/>
      <c r="F5726" s="1050"/>
      <c r="G5726" s="1050"/>
    </row>
    <row r="5727" spans="1:7">
      <c r="A5727" s="1079"/>
      <c r="B5727" s="1050"/>
      <c r="C5727" s="1050"/>
      <c r="D5727" s="1050"/>
      <c r="E5727" s="1050"/>
      <c r="F5727" s="1050"/>
      <c r="G5727" s="1050"/>
    </row>
    <row r="5728" spans="1:7">
      <c r="A5728" s="1079"/>
      <c r="B5728" s="1050"/>
      <c r="C5728" s="1050"/>
      <c r="D5728" s="1050"/>
      <c r="E5728" s="1050"/>
      <c r="F5728" s="1050"/>
      <c r="G5728" s="1050"/>
    </row>
    <row r="5729" spans="1:7">
      <c r="A5729" s="1079"/>
      <c r="B5729" s="1050"/>
      <c r="C5729" s="1050"/>
      <c r="D5729" s="1050"/>
      <c r="E5729" s="1050"/>
      <c r="F5729" s="1050"/>
      <c r="G5729" s="1050"/>
    </row>
    <row r="5730" spans="1:7">
      <c r="A5730" s="1079"/>
      <c r="B5730" s="1050"/>
      <c r="C5730" s="1050"/>
      <c r="D5730" s="1050"/>
      <c r="E5730" s="1050"/>
      <c r="F5730" s="1050"/>
      <c r="G5730" s="1050"/>
    </row>
    <row r="5731" spans="1:7">
      <c r="A5731" s="1079"/>
      <c r="B5731" s="1050"/>
      <c r="C5731" s="1050"/>
      <c r="D5731" s="1050"/>
      <c r="E5731" s="1050"/>
      <c r="F5731" s="1050"/>
      <c r="G5731" s="1050"/>
    </row>
    <row r="5732" spans="1:7">
      <c r="A5732" s="1079"/>
      <c r="B5732" s="1050"/>
      <c r="C5732" s="1050"/>
      <c r="D5732" s="1050"/>
      <c r="E5732" s="1050"/>
      <c r="F5732" s="1050"/>
      <c r="G5732" s="1050"/>
    </row>
    <row r="5733" spans="1:7">
      <c r="A5733" s="1079"/>
      <c r="B5733" s="1050"/>
      <c r="C5733" s="1050"/>
      <c r="D5733" s="1050"/>
      <c r="E5733" s="1050"/>
      <c r="F5733" s="1050"/>
      <c r="G5733" s="1050"/>
    </row>
    <row r="5734" spans="1:7">
      <c r="A5734" s="1079"/>
      <c r="B5734" s="1050"/>
      <c r="C5734" s="1050"/>
      <c r="D5734" s="1050"/>
      <c r="E5734" s="1050"/>
      <c r="F5734" s="1050"/>
      <c r="G5734" s="1050"/>
    </row>
    <row r="5735" spans="1:7">
      <c r="A5735" s="1079"/>
      <c r="B5735" s="1050"/>
      <c r="C5735" s="1050"/>
      <c r="D5735" s="1050"/>
      <c r="E5735" s="1050"/>
      <c r="F5735" s="1050"/>
      <c r="G5735" s="1050"/>
    </row>
    <row r="5736" spans="1:7">
      <c r="A5736" s="1079"/>
      <c r="B5736" s="1050"/>
      <c r="C5736" s="1050"/>
      <c r="D5736" s="1050"/>
      <c r="E5736" s="1050"/>
      <c r="F5736" s="1050"/>
      <c r="G5736" s="1050"/>
    </row>
    <row r="5737" spans="1:7">
      <c r="A5737" s="1079"/>
      <c r="B5737" s="1050"/>
      <c r="C5737" s="1050"/>
      <c r="D5737" s="1050"/>
      <c r="E5737" s="1050"/>
      <c r="F5737" s="1050"/>
      <c r="G5737" s="1050"/>
    </row>
    <row r="5738" spans="1:7">
      <c r="A5738" s="1079"/>
      <c r="B5738" s="1050"/>
      <c r="C5738" s="1050"/>
      <c r="D5738" s="1050"/>
      <c r="E5738" s="1050"/>
      <c r="F5738" s="1050"/>
      <c r="G5738" s="1050"/>
    </row>
    <row r="5739" spans="1:7">
      <c r="A5739" s="1079"/>
      <c r="B5739" s="1050"/>
      <c r="C5739" s="1050"/>
      <c r="D5739" s="1050"/>
      <c r="E5739" s="1050"/>
      <c r="F5739" s="1050"/>
      <c r="G5739" s="1050"/>
    </row>
    <row r="5740" spans="1:7">
      <c r="A5740" s="1079"/>
      <c r="B5740" s="1050"/>
      <c r="C5740" s="1050"/>
      <c r="D5740" s="1050"/>
      <c r="E5740" s="1050"/>
      <c r="F5740" s="1050"/>
      <c r="G5740" s="1050"/>
    </row>
    <row r="5741" spans="1:7">
      <c r="A5741" s="1079"/>
      <c r="B5741" s="1050"/>
      <c r="C5741" s="1050"/>
      <c r="D5741" s="1050"/>
      <c r="E5741" s="1050"/>
      <c r="F5741" s="1050"/>
      <c r="G5741" s="1050"/>
    </row>
    <row r="5742" spans="1:7">
      <c r="A5742" s="1079"/>
      <c r="B5742" s="1050"/>
      <c r="C5742" s="1050"/>
      <c r="D5742" s="1050"/>
      <c r="E5742" s="1050"/>
      <c r="F5742" s="1050"/>
      <c r="G5742" s="1050"/>
    </row>
    <row r="5743" spans="1:7">
      <c r="A5743" s="1079"/>
      <c r="B5743" s="1050"/>
      <c r="C5743" s="1050"/>
      <c r="D5743" s="1050"/>
      <c r="E5743" s="1050"/>
      <c r="F5743" s="1050"/>
      <c r="G5743" s="1050"/>
    </row>
    <row r="5744" spans="1:7">
      <c r="A5744" s="1079"/>
      <c r="B5744" s="1050"/>
      <c r="C5744" s="1050"/>
      <c r="D5744" s="1050"/>
      <c r="E5744" s="1050"/>
      <c r="F5744" s="1050"/>
      <c r="G5744" s="1050"/>
    </row>
    <row r="5745" spans="1:7">
      <c r="A5745" s="1079"/>
      <c r="B5745" s="1050"/>
      <c r="C5745" s="1050"/>
      <c r="D5745" s="1050"/>
      <c r="E5745" s="1050"/>
      <c r="F5745" s="1050"/>
      <c r="G5745" s="1050"/>
    </row>
    <row r="5746" spans="1:7">
      <c r="A5746" s="1079"/>
      <c r="B5746" s="1050"/>
      <c r="C5746" s="1050"/>
      <c r="D5746" s="1050"/>
      <c r="E5746" s="1050"/>
      <c r="F5746" s="1050"/>
      <c r="G5746" s="1050"/>
    </row>
    <row r="5747" spans="1:7">
      <c r="A5747" s="1079"/>
      <c r="B5747" s="1050"/>
      <c r="C5747" s="1050"/>
      <c r="D5747" s="1050"/>
      <c r="E5747" s="1050"/>
      <c r="F5747" s="1050"/>
      <c r="G5747" s="1050"/>
    </row>
    <row r="5748" spans="1:7">
      <c r="A5748" s="1079"/>
      <c r="B5748" s="1050"/>
      <c r="C5748" s="1050"/>
      <c r="D5748" s="1050"/>
      <c r="E5748" s="1050"/>
      <c r="F5748" s="1050"/>
      <c r="G5748" s="1050"/>
    </row>
    <row r="5749" spans="1:7">
      <c r="A5749" s="1079"/>
      <c r="B5749" s="1050"/>
      <c r="C5749" s="1050"/>
      <c r="D5749" s="1050"/>
      <c r="E5749" s="1050"/>
      <c r="F5749" s="1050"/>
      <c r="G5749" s="1050"/>
    </row>
    <row r="5750" spans="1:7">
      <c r="A5750" s="1079"/>
      <c r="B5750" s="1050"/>
      <c r="C5750" s="1050"/>
      <c r="D5750" s="1050"/>
      <c r="E5750" s="1050"/>
      <c r="F5750" s="1050"/>
      <c r="G5750" s="1050"/>
    </row>
    <row r="5751" spans="1:7">
      <c r="A5751" s="1079"/>
      <c r="B5751" s="1050"/>
      <c r="C5751" s="1050"/>
      <c r="D5751" s="1050"/>
      <c r="E5751" s="1050"/>
      <c r="F5751" s="1050"/>
      <c r="G5751" s="1050"/>
    </row>
    <row r="5752" spans="1:7">
      <c r="A5752" s="1079"/>
      <c r="B5752" s="1050"/>
      <c r="C5752" s="1050"/>
      <c r="D5752" s="1050"/>
      <c r="E5752" s="1050"/>
      <c r="F5752" s="1050"/>
      <c r="G5752" s="1050"/>
    </row>
    <row r="5753" spans="1:7">
      <c r="A5753" s="1079"/>
      <c r="B5753" s="1050"/>
      <c r="C5753" s="1050"/>
      <c r="D5753" s="1050"/>
      <c r="E5753" s="1050"/>
      <c r="F5753" s="1050"/>
      <c r="G5753" s="1050"/>
    </row>
    <row r="5754" spans="1:7">
      <c r="A5754" s="1079"/>
      <c r="B5754" s="1050"/>
      <c r="C5754" s="1050"/>
      <c r="D5754" s="1050"/>
      <c r="E5754" s="1050"/>
      <c r="F5754" s="1050"/>
      <c r="G5754" s="1050"/>
    </row>
    <row r="5755" spans="1:7">
      <c r="A5755" s="1079"/>
      <c r="B5755" s="1050"/>
      <c r="C5755" s="1050"/>
      <c r="D5755" s="1050"/>
      <c r="E5755" s="1050"/>
      <c r="F5755" s="1050"/>
      <c r="G5755" s="1050"/>
    </row>
    <row r="5756" spans="1:7">
      <c r="A5756" s="1079"/>
      <c r="B5756" s="1050"/>
      <c r="C5756" s="1050"/>
      <c r="D5756" s="1050"/>
      <c r="E5756" s="1050"/>
      <c r="F5756" s="1050"/>
      <c r="G5756" s="1050"/>
    </row>
    <row r="5757" spans="1:7">
      <c r="A5757" s="1079"/>
      <c r="B5757" s="1050"/>
      <c r="C5757" s="1050"/>
      <c r="D5757" s="1050"/>
      <c r="E5757" s="1050"/>
      <c r="F5757" s="1050"/>
      <c r="G5757" s="1050"/>
    </row>
    <row r="5758" spans="1:7">
      <c r="A5758" s="1079"/>
      <c r="B5758" s="1050"/>
      <c r="C5758" s="1050"/>
      <c r="D5758" s="1050"/>
      <c r="E5758" s="1050"/>
      <c r="F5758" s="1050"/>
      <c r="G5758" s="1050"/>
    </row>
    <row r="5759" spans="1:7">
      <c r="A5759" s="1079"/>
      <c r="B5759" s="1050"/>
      <c r="C5759" s="1050"/>
      <c r="D5759" s="1050"/>
      <c r="E5759" s="1050"/>
      <c r="F5759" s="1050"/>
      <c r="G5759" s="1050"/>
    </row>
    <row r="5760" spans="1:7">
      <c r="A5760" s="1079"/>
      <c r="B5760" s="1050"/>
      <c r="C5760" s="1050"/>
      <c r="D5760" s="1050"/>
      <c r="E5760" s="1050"/>
      <c r="F5760" s="1050"/>
      <c r="G5760" s="1050"/>
    </row>
    <row r="5761" spans="1:7">
      <c r="A5761" s="1079"/>
      <c r="B5761" s="1050"/>
      <c r="C5761" s="1050"/>
      <c r="D5761" s="1050"/>
      <c r="E5761" s="1050"/>
      <c r="F5761" s="1050"/>
      <c r="G5761" s="1050"/>
    </row>
    <row r="5762" spans="1:7">
      <c r="A5762" s="1079"/>
      <c r="B5762" s="1050"/>
      <c r="C5762" s="1050"/>
      <c r="D5762" s="1050"/>
      <c r="E5762" s="1050"/>
      <c r="F5762" s="1050"/>
      <c r="G5762" s="1050"/>
    </row>
    <row r="5763" spans="1:7">
      <c r="A5763" s="1079"/>
      <c r="B5763" s="1050"/>
      <c r="C5763" s="1050"/>
      <c r="D5763" s="1050"/>
      <c r="E5763" s="1050"/>
      <c r="F5763" s="1050"/>
      <c r="G5763" s="1050"/>
    </row>
    <row r="5764" spans="1:7">
      <c r="A5764" s="1079"/>
      <c r="B5764" s="1050"/>
      <c r="C5764" s="1050"/>
      <c r="D5764" s="1050"/>
      <c r="E5764" s="1050"/>
      <c r="F5764" s="1050"/>
      <c r="G5764" s="1050"/>
    </row>
    <row r="5765" spans="1:7">
      <c r="A5765" s="1079"/>
      <c r="B5765" s="1050"/>
      <c r="C5765" s="1050"/>
      <c r="D5765" s="1050"/>
      <c r="E5765" s="1050"/>
      <c r="F5765" s="1050"/>
      <c r="G5765" s="1050"/>
    </row>
    <row r="5766" spans="1:7">
      <c r="A5766" s="1079"/>
      <c r="B5766" s="1050"/>
      <c r="C5766" s="1050"/>
      <c r="D5766" s="1050"/>
      <c r="E5766" s="1050"/>
      <c r="F5766" s="1050"/>
      <c r="G5766" s="1050"/>
    </row>
    <row r="5767" spans="1:7">
      <c r="A5767" s="1079"/>
      <c r="B5767" s="1050"/>
      <c r="C5767" s="1050"/>
      <c r="D5767" s="1050"/>
      <c r="E5767" s="1050"/>
      <c r="F5767" s="1050"/>
      <c r="G5767" s="1050"/>
    </row>
    <row r="5768" spans="1:7">
      <c r="A5768" s="1079"/>
      <c r="B5768" s="1050"/>
      <c r="C5768" s="1050"/>
      <c r="D5768" s="1050"/>
      <c r="E5768" s="1050"/>
      <c r="F5768" s="1050"/>
      <c r="G5768" s="1050"/>
    </row>
    <row r="5769" spans="1:7">
      <c r="A5769" s="1079"/>
      <c r="B5769" s="1050"/>
      <c r="C5769" s="1050"/>
      <c r="D5769" s="1050"/>
      <c r="E5769" s="1050"/>
      <c r="F5769" s="1050"/>
      <c r="G5769" s="1050"/>
    </row>
    <row r="5770" spans="1:7">
      <c r="A5770" s="1079"/>
      <c r="B5770" s="1050"/>
      <c r="C5770" s="1050"/>
      <c r="D5770" s="1050"/>
      <c r="E5770" s="1050"/>
      <c r="F5770" s="1050"/>
      <c r="G5770" s="1050"/>
    </row>
    <row r="5771" spans="1:7">
      <c r="A5771" s="1079"/>
      <c r="B5771" s="1050"/>
      <c r="C5771" s="1050"/>
      <c r="D5771" s="1050"/>
      <c r="E5771" s="1050"/>
      <c r="F5771" s="1050"/>
      <c r="G5771" s="1050"/>
    </row>
    <row r="5772" spans="1:7">
      <c r="A5772" s="1079"/>
      <c r="B5772" s="1050"/>
      <c r="C5772" s="1050"/>
      <c r="D5772" s="1050"/>
      <c r="E5772" s="1050"/>
      <c r="F5772" s="1050"/>
      <c r="G5772" s="1050"/>
    </row>
    <row r="5773" spans="1:7">
      <c r="A5773" s="1079"/>
      <c r="B5773" s="1050"/>
      <c r="C5773" s="1050"/>
      <c r="D5773" s="1050"/>
      <c r="E5773" s="1050"/>
      <c r="F5773" s="1050"/>
      <c r="G5773" s="1050"/>
    </row>
    <row r="5774" spans="1:7">
      <c r="A5774" s="1079"/>
      <c r="B5774" s="1050"/>
      <c r="C5774" s="1050"/>
      <c r="D5774" s="1050"/>
      <c r="E5774" s="1050"/>
      <c r="F5774" s="1050"/>
      <c r="G5774" s="1050"/>
    </row>
    <row r="5775" spans="1:7">
      <c r="A5775" s="1079"/>
      <c r="B5775" s="1050"/>
      <c r="C5775" s="1050"/>
      <c r="D5775" s="1050"/>
      <c r="E5775" s="1050"/>
      <c r="F5775" s="1050"/>
      <c r="G5775" s="1050"/>
    </row>
    <row r="5776" spans="1:7">
      <c r="A5776" s="1079"/>
      <c r="B5776" s="1050"/>
      <c r="C5776" s="1050"/>
      <c r="D5776" s="1050"/>
      <c r="E5776" s="1050"/>
      <c r="F5776" s="1050"/>
      <c r="G5776" s="1050"/>
    </row>
    <row r="5777" spans="1:7">
      <c r="A5777" s="1079"/>
      <c r="B5777" s="1050"/>
      <c r="C5777" s="1050"/>
      <c r="D5777" s="1050"/>
      <c r="E5777" s="1050"/>
      <c r="F5777" s="1050"/>
      <c r="G5777" s="1050"/>
    </row>
    <row r="5778" spans="1:7">
      <c r="A5778" s="1079"/>
      <c r="B5778" s="1050"/>
      <c r="C5778" s="1050"/>
      <c r="D5778" s="1050"/>
      <c r="E5778" s="1050"/>
      <c r="F5778" s="1050"/>
      <c r="G5778" s="1050"/>
    </row>
    <row r="5779" spans="1:7">
      <c r="A5779" s="1079"/>
      <c r="B5779" s="1050"/>
      <c r="C5779" s="1050"/>
      <c r="D5779" s="1050"/>
      <c r="E5779" s="1050"/>
      <c r="F5779" s="1050"/>
      <c r="G5779" s="1050"/>
    </row>
    <row r="5780" spans="1:7">
      <c r="A5780" s="1079"/>
      <c r="B5780" s="1050"/>
      <c r="C5780" s="1050"/>
      <c r="D5780" s="1050"/>
      <c r="E5780" s="1050"/>
      <c r="F5780" s="1050"/>
      <c r="G5780" s="1050"/>
    </row>
    <row r="5781" spans="1:7">
      <c r="A5781" s="1079"/>
      <c r="B5781" s="1050"/>
      <c r="C5781" s="1050"/>
      <c r="D5781" s="1050"/>
      <c r="E5781" s="1050"/>
      <c r="F5781" s="1050"/>
      <c r="G5781" s="1050"/>
    </row>
    <row r="5782" spans="1:7">
      <c r="A5782" s="1079"/>
      <c r="B5782" s="1050"/>
      <c r="C5782" s="1050"/>
      <c r="D5782" s="1050"/>
      <c r="E5782" s="1050"/>
      <c r="F5782" s="1050"/>
      <c r="G5782" s="1050"/>
    </row>
    <row r="5783" spans="1:7">
      <c r="A5783" s="1079"/>
      <c r="B5783" s="1050"/>
      <c r="C5783" s="1050"/>
      <c r="D5783" s="1050"/>
      <c r="E5783" s="1050"/>
      <c r="F5783" s="1050"/>
      <c r="G5783" s="1050"/>
    </row>
    <row r="5784" spans="1:7">
      <c r="A5784" s="1079"/>
      <c r="B5784" s="1050"/>
      <c r="C5784" s="1050"/>
      <c r="D5784" s="1050"/>
      <c r="E5784" s="1050"/>
      <c r="F5784" s="1050"/>
      <c r="G5784" s="1050"/>
    </row>
    <row r="5785" spans="1:7">
      <c r="A5785" s="1079"/>
      <c r="B5785" s="1050"/>
      <c r="C5785" s="1050"/>
      <c r="D5785" s="1050"/>
      <c r="E5785" s="1050"/>
      <c r="F5785" s="1050"/>
      <c r="G5785" s="1050"/>
    </row>
    <row r="5786" spans="1:7">
      <c r="A5786" s="1079"/>
      <c r="B5786" s="1050"/>
      <c r="C5786" s="1050"/>
      <c r="D5786" s="1050"/>
      <c r="E5786" s="1050"/>
      <c r="F5786" s="1050"/>
      <c r="G5786" s="1050"/>
    </row>
    <row r="5787" spans="1:7">
      <c r="A5787" s="1079"/>
      <c r="B5787" s="1050"/>
      <c r="C5787" s="1050"/>
      <c r="D5787" s="1050"/>
      <c r="E5787" s="1050"/>
      <c r="F5787" s="1050"/>
      <c r="G5787" s="1050"/>
    </row>
    <row r="5788" spans="1:7">
      <c r="A5788" s="1079"/>
      <c r="B5788" s="1050"/>
      <c r="C5788" s="1050"/>
      <c r="D5788" s="1050"/>
      <c r="E5788" s="1050"/>
      <c r="F5788" s="1050"/>
      <c r="G5788" s="1050"/>
    </row>
    <row r="5789" spans="1:7">
      <c r="A5789" s="1079"/>
      <c r="B5789" s="1050"/>
      <c r="C5789" s="1050"/>
      <c r="D5789" s="1050"/>
      <c r="E5789" s="1050"/>
      <c r="F5789" s="1050"/>
      <c r="G5789" s="1050"/>
    </row>
    <row r="5790" spans="1:7">
      <c r="A5790" s="1079"/>
      <c r="B5790" s="1050"/>
      <c r="C5790" s="1050"/>
      <c r="D5790" s="1050"/>
      <c r="E5790" s="1050"/>
      <c r="F5790" s="1050"/>
      <c r="G5790" s="1050"/>
    </row>
    <row r="5791" spans="1:7">
      <c r="A5791" s="1079"/>
      <c r="B5791" s="1050"/>
      <c r="C5791" s="1050"/>
      <c r="D5791" s="1050"/>
      <c r="E5791" s="1050"/>
      <c r="F5791" s="1050"/>
      <c r="G5791" s="1050"/>
    </row>
    <row r="5792" spans="1:7">
      <c r="A5792" s="1079"/>
      <c r="B5792" s="1050"/>
      <c r="C5792" s="1050"/>
      <c r="D5792" s="1050"/>
      <c r="E5792" s="1050"/>
      <c r="F5792" s="1050"/>
      <c r="G5792" s="1050"/>
    </row>
    <row r="5793" spans="1:7">
      <c r="A5793" s="1079"/>
      <c r="B5793" s="1050"/>
      <c r="C5793" s="1050"/>
      <c r="D5793" s="1050"/>
      <c r="E5793" s="1050"/>
      <c r="F5793" s="1050"/>
      <c r="G5793" s="1050"/>
    </row>
    <row r="5794" spans="1:7">
      <c r="A5794" s="1079"/>
      <c r="B5794" s="1050"/>
      <c r="C5794" s="1050"/>
      <c r="D5794" s="1050"/>
      <c r="E5794" s="1050"/>
      <c r="F5794" s="1050"/>
      <c r="G5794" s="1050"/>
    </row>
    <row r="5795" spans="1:7">
      <c r="A5795" s="1079"/>
      <c r="B5795" s="1050"/>
      <c r="C5795" s="1050"/>
      <c r="D5795" s="1050"/>
      <c r="E5795" s="1050"/>
      <c r="F5795" s="1050"/>
      <c r="G5795" s="1050"/>
    </row>
    <row r="5796" spans="1:7">
      <c r="A5796" s="1079"/>
      <c r="B5796" s="1050"/>
      <c r="C5796" s="1050"/>
      <c r="D5796" s="1050"/>
      <c r="E5796" s="1050"/>
      <c r="F5796" s="1050"/>
      <c r="G5796" s="1050"/>
    </row>
    <row r="5797" spans="1:7">
      <c r="A5797" s="1079"/>
      <c r="B5797" s="1050"/>
      <c r="C5797" s="1050"/>
      <c r="D5797" s="1050"/>
      <c r="E5797" s="1050"/>
      <c r="F5797" s="1050"/>
      <c r="G5797" s="1050"/>
    </row>
    <row r="5798" spans="1:7">
      <c r="A5798" s="1079"/>
      <c r="B5798" s="1050"/>
      <c r="C5798" s="1050"/>
      <c r="D5798" s="1050"/>
      <c r="E5798" s="1050"/>
      <c r="F5798" s="1050"/>
      <c r="G5798" s="1050"/>
    </row>
    <row r="5799" spans="1:7">
      <c r="A5799" s="1079"/>
      <c r="B5799" s="1050"/>
      <c r="C5799" s="1050"/>
      <c r="D5799" s="1050"/>
      <c r="E5799" s="1050"/>
      <c r="F5799" s="1050"/>
      <c r="G5799" s="1050"/>
    </row>
    <row r="5800" spans="1:7">
      <c r="A5800" s="1079"/>
      <c r="B5800" s="1050"/>
      <c r="C5800" s="1050"/>
      <c r="D5800" s="1050"/>
      <c r="E5800" s="1050"/>
      <c r="F5800" s="1050"/>
      <c r="G5800" s="1050"/>
    </row>
    <row r="5801" spans="1:7">
      <c r="A5801" s="1079"/>
      <c r="B5801" s="1050"/>
      <c r="C5801" s="1050"/>
      <c r="D5801" s="1050"/>
      <c r="E5801" s="1050"/>
      <c r="F5801" s="1050"/>
      <c r="G5801" s="1050"/>
    </row>
    <row r="5802" spans="1:7">
      <c r="A5802" s="1079"/>
      <c r="B5802" s="1050"/>
      <c r="C5802" s="1050"/>
      <c r="D5802" s="1050"/>
      <c r="E5802" s="1050"/>
      <c r="F5802" s="1050"/>
      <c r="G5802" s="1050"/>
    </row>
    <row r="5803" spans="1:7">
      <c r="A5803" s="1079"/>
      <c r="B5803" s="1050"/>
      <c r="C5803" s="1050"/>
      <c r="D5803" s="1050"/>
      <c r="E5803" s="1050"/>
      <c r="F5803" s="1050"/>
      <c r="G5803" s="1050"/>
    </row>
    <row r="5804" spans="1:7">
      <c r="A5804" s="1079"/>
      <c r="B5804" s="1050"/>
      <c r="C5804" s="1050"/>
      <c r="D5804" s="1050"/>
      <c r="E5804" s="1050"/>
      <c r="F5804" s="1050"/>
      <c r="G5804" s="1050"/>
    </row>
    <row r="5805" spans="1:7">
      <c r="A5805" s="1079"/>
      <c r="B5805" s="1050"/>
      <c r="C5805" s="1050"/>
      <c r="D5805" s="1050"/>
      <c r="E5805" s="1050"/>
      <c r="F5805" s="1050"/>
      <c r="G5805" s="1050"/>
    </row>
    <row r="5806" spans="1:7">
      <c r="A5806" s="1079"/>
      <c r="B5806" s="1050"/>
      <c r="C5806" s="1050"/>
      <c r="D5806" s="1050"/>
      <c r="E5806" s="1050"/>
      <c r="F5806" s="1050"/>
      <c r="G5806" s="1050"/>
    </row>
    <row r="5807" spans="1:7">
      <c r="A5807" s="1079"/>
      <c r="B5807" s="1050"/>
      <c r="C5807" s="1050"/>
      <c r="D5807" s="1050"/>
      <c r="E5807" s="1050"/>
      <c r="F5807" s="1050"/>
      <c r="G5807" s="1050"/>
    </row>
    <row r="5808" spans="1:7">
      <c r="A5808" s="1079"/>
      <c r="B5808" s="1050"/>
      <c r="C5808" s="1050"/>
      <c r="D5808" s="1050"/>
      <c r="E5808" s="1050"/>
      <c r="F5808" s="1050"/>
      <c r="G5808" s="1050"/>
    </row>
    <row r="5809" spans="1:7">
      <c r="A5809" s="1079"/>
      <c r="B5809" s="1050"/>
      <c r="C5809" s="1050"/>
      <c r="D5809" s="1050"/>
      <c r="E5809" s="1050"/>
      <c r="F5809" s="1050"/>
      <c r="G5809" s="1050"/>
    </row>
    <row r="5810" spans="1:7">
      <c r="A5810" s="1079"/>
      <c r="B5810" s="1050"/>
      <c r="C5810" s="1050"/>
      <c r="D5810" s="1050"/>
      <c r="E5810" s="1050"/>
      <c r="F5810" s="1050"/>
      <c r="G5810" s="1050"/>
    </row>
    <row r="5811" spans="1:7">
      <c r="A5811" s="1079"/>
      <c r="B5811" s="1050"/>
      <c r="C5811" s="1050"/>
      <c r="D5811" s="1050"/>
      <c r="E5811" s="1050"/>
      <c r="F5811" s="1050"/>
      <c r="G5811" s="1050"/>
    </row>
    <row r="5812" spans="1:7">
      <c r="A5812" s="1079"/>
      <c r="B5812" s="1050"/>
      <c r="C5812" s="1050"/>
      <c r="D5812" s="1050"/>
      <c r="E5812" s="1050"/>
      <c r="F5812" s="1050"/>
      <c r="G5812" s="1050"/>
    </row>
    <row r="5813" spans="1:7">
      <c r="A5813" s="1079"/>
      <c r="B5813" s="1050"/>
      <c r="C5813" s="1050"/>
      <c r="D5813" s="1050"/>
      <c r="E5813" s="1050"/>
      <c r="F5813" s="1050"/>
      <c r="G5813" s="1050"/>
    </row>
    <row r="5814" spans="1:7">
      <c r="A5814" s="1079"/>
      <c r="B5814" s="1050"/>
      <c r="C5814" s="1050"/>
      <c r="D5814" s="1050"/>
      <c r="E5814" s="1050"/>
      <c r="F5814" s="1050"/>
      <c r="G5814" s="1050"/>
    </row>
    <row r="5815" spans="1:7">
      <c r="A5815" s="1079"/>
      <c r="B5815" s="1050"/>
      <c r="C5815" s="1050"/>
      <c r="D5815" s="1050"/>
      <c r="E5815" s="1050"/>
      <c r="F5815" s="1050"/>
      <c r="G5815" s="1050"/>
    </row>
    <row r="5816" spans="1:7">
      <c r="A5816" s="1079"/>
      <c r="B5816" s="1050"/>
      <c r="C5816" s="1050"/>
      <c r="D5816" s="1050"/>
      <c r="E5816" s="1050"/>
      <c r="F5816" s="1050"/>
      <c r="G5816" s="1050"/>
    </row>
    <row r="5817" spans="1:7">
      <c r="A5817" s="1079"/>
      <c r="B5817" s="1050"/>
      <c r="C5817" s="1050"/>
      <c r="D5817" s="1050"/>
      <c r="E5817" s="1050"/>
      <c r="F5817" s="1050"/>
      <c r="G5817" s="1050"/>
    </row>
    <row r="5818" spans="1:7">
      <c r="A5818" s="1079"/>
      <c r="B5818" s="1050"/>
      <c r="C5818" s="1050"/>
      <c r="D5818" s="1050"/>
      <c r="E5818" s="1050"/>
      <c r="F5818" s="1050"/>
      <c r="G5818" s="1050"/>
    </row>
    <row r="5819" spans="1:7">
      <c r="A5819" s="1079"/>
      <c r="B5819" s="1050"/>
      <c r="C5819" s="1050"/>
      <c r="D5819" s="1050"/>
      <c r="E5819" s="1050"/>
      <c r="F5819" s="1050"/>
      <c r="G5819" s="1050"/>
    </row>
    <row r="5820" spans="1:7">
      <c r="A5820" s="1079"/>
      <c r="B5820" s="1050"/>
      <c r="C5820" s="1050"/>
      <c r="D5820" s="1050"/>
      <c r="E5820" s="1050"/>
      <c r="F5820" s="1050"/>
      <c r="G5820" s="1050"/>
    </row>
    <row r="5821" spans="1:7">
      <c r="A5821" s="1079"/>
      <c r="B5821" s="1050"/>
      <c r="C5821" s="1050"/>
      <c r="D5821" s="1050"/>
      <c r="E5821" s="1050"/>
      <c r="F5821" s="1050"/>
      <c r="G5821" s="1050"/>
    </row>
    <row r="5822" spans="1:7">
      <c r="A5822" s="1079"/>
      <c r="B5822" s="1050"/>
      <c r="C5822" s="1050"/>
      <c r="D5822" s="1050"/>
      <c r="E5822" s="1050"/>
      <c r="F5822" s="1050"/>
      <c r="G5822" s="1050"/>
    </row>
    <row r="5823" spans="1:7">
      <c r="A5823" s="1079"/>
      <c r="B5823" s="1050"/>
      <c r="C5823" s="1050"/>
      <c r="D5823" s="1050"/>
      <c r="E5823" s="1050"/>
      <c r="F5823" s="1050"/>
      <c r="G5823" s="1050"/>
    </row>
    <row r="5824" spans="1:7">
      <c r="A5824" s="1079"/>
      <c r="B5824" s="1050"/>
      <c r="C5824" s="1050"/>
      <c r="D5824" s="1050"/>
      <c r="E5824" s="1050"/>
      <c r="F5824" s="1050"/>
      <c r="G5824" s="1050"/>
    </row>
    <row r="5825" spans="1:7">
      <c r="A5825" s="1079"/>
      <c r="B5825" s="1050"/>
      <c r="C5825" s="1050"/>
      <c r="D5825" s="1050"/>
      <c r="E5825" s="1050"/>
      <c r="F5825" s="1050"/>
      <c r="G5825" s="1050"/>
    </row>
    <row r="5826" spans="1:7">
      <c r="A5826" s="1079"/>
      <c r="B5826" s="1050"/>
      <c r="C5826" s="1050"/>
      <c r="D5826" s="1050"/>
      <c r="E5826" s="1050"/>
      <c r="F5826" s="1050"/>
      <c r="G5826" s="1050"/>
    </row>
    <row r="5827" spans="1:7">
      <c r="A5827" s="1079"/>
      <c r="B5827" s="1050"/>
      <c r="C5827" s="1050"/>
      <c r="D5827" s="1050"/>
      <c r="E5827" s="1050"/>
      <c r="F5827" s="1050"/>
      <c r="G5827" s="1050"/>
    </row>
    <row r="5828" spans="1:7">
      <c r="A5828" s="1079"/>
      <c r="B5828" s="1050"/>
      <c r="C5828" s="1050"/>
      <c r="D5828" s="1050"/>
      <c r="E5828" s="1050"/>
      <c r="F5828" s="1050"/>
      <c r="G5828" s="1050"/>
    </row>
    <row r="5829" spans="1:7">
      <c r="A5829" s="1079"/>
      <c r="B5829" s="1050"/>
      <c r="C5829" s="1050"/>
      <c r="D5829" s="1050"/>
      <c r="E5829" s="1050"/>
      <c r="F5829" s="1050"/>
      <c r="G5829" s="1050"/>
    </row>
    <row r="5830" spans="1:7">
      <c r="A5830" s="1079"/>
      <c r="B5830" s="1050"/>
      <c r="C5830" s="1050"/>
      <c r="D5830" s="1050"/>
      <c r="E5830" s="1050"/>
      <c r="F5830" s="1050"/>
      <c r="G5830" s="1050"/>
    </row>
    <row r="5831" spans="1:7">
      <c r="A5831" s="1079"/>
      <c r="B5831" s="1050"/>
      <c r="C5831" s="1050"/>
      <c r="D5831" s="1050"/>
      <c r="E5831" s="1050"/>
      <c r="F5831" s="1050"/>
      <c r="G5831" s="1050"/>
    </row>
    <row r="5832" spans="1:7">
      <c r="A5832" s="1079"/>
      <c r="B5832" s="1050"/>
      <c r="C5832" s="1050"/>
      <c r="D5832" s="1050"/>
      <c r="E5832" s="1050"/>
      <c r="F5832" s="1050"/>
      <c r="G5832" s="1050"/>
    </row>
    <row r="5833" spans="1:7">
      <c r="A5833" s="1079"/>
      <c r="B5833" s="1050"/>
      <c r="C5833" s="1050"/>
      <c r="D5833" s="1050"/>
      <c r="E5833" s="1050"/>
      <c r="F5833" s="1050"/>
      <c r="G5833" s="1050"/>
    </row>
    <row r="5834" spans="1:7">
      <c r="A5834" s="1079"/>
      <c r="B5834" s="1050"/>
      <c r="C5834" s="1050"/>
      <c r="D5834" s="1050"/>
      <c r="E5834" s="1050"/>
      <c r="F5834" s="1050"/>
      <c r="G5834" s="1050"/>
    </row>
    <row r="5835" spans="1:7">
      <c r="A5835" s="1079"/>
      <c r="B5835" s="1050"/>
      <c r="C5835" s="1050"/>
      <c r="D5835" s="1050"/>
      <c r="E5835" s="1050"/>
      <c r="F5835" s="1050"/>
      <c r="G5835" s="1050"/>
    </row>
    <row r="5836" spans="1:7">
      <c r="A5836" s="1079"/>
      <c r="B5836" s="1050"/>
      <c r="C5836" s="1050"/>
      <c r="D5836" s="1050"/>
      <c r="E5836" s="1050"/>
      <c r="F5836" s="1050"/>
      <c r="G5836" s="1050"/>
    </row>
    <row r="5837" spans="1:7">
      <c r="A5837" s="1079"/>
      <c r="B5837" s="1050"/>
      <c r="C5837" s="1050"/>
      <c r="D5837" s="1050"/>
      <c r="E5837" s="1050"/>
      <c r="F5837" s="1050"/>
      <c r="G5837" s="1050"/>
    </row>
    <row r="5838" spans="1:7">
      <c r="A5838" s="1079"/>
      <c r="B5838" s="1050"/>
      <c r="C5838" s="1050"/>
      <c r="D5838" s="1050"/>
      <c r="E5838" s="1050"/>
      <c r="F5838" s="1050"/>
      <c r="G5838" s="1050"/>
    </row>
    <row r="5839" spans="1:7">
      <c r="A5839" s="1079"/>
      <c r="B5839" s="1050"/>
      <c r="C5839" s="1050"/>
      <c r="D5839" s="1050"/>
      <c r="E5839" s="1050"/>
      <c r="F5839" s="1050"/>
      <c r="G5839" s="1050"/>
    </row>
    <row r="5840" spans="1:7">
      <c r="A5840" s="1079"/>
      <c r="B5840" s="1050"/>
      <c r="C5840" s="1050"/>
      <c r="D5840" s="1050"/>
      <c r="E5840" s="1050"/>
      <c r="F5840" s="1050"/>
      <c r="G5840" s="1050"/>
    </row>
    <row r="5841" spans="1:7">
      <c r="A5841" s="1079"/>
      <c r="B5841" s="1050"/>
      <c r="C5841" s="1050"/>
      <c r="D5841" s="1050"/>
      <c r="E5841" s="1050"/>
      <c r="F5841" s="1050"/>
      <c r="G5841" s="1050"/>
    </row>
    <row r="5842" spans="1:7">
      <c r="A5842" s="1079"/>
      <c r="B5842" s="1050"/>
      <c r="C5842" s="1050"/>
      <c r="D5842" s="1050"/>
      <c r="E5842" s="1050"/>
      <c r="F5842" s="1050"/>
      <c r="G5842" s="1050"/>
    </row>
    <row r="5843" spans="1:7">
      <c r="A5843" s="1079"/>
      <c r="B5843" s="1050"/>
      <c r="C5843" s="1050"/>
      <c r="D5843" s="1050"/>
      <c r="E5843" s="1050"/>
      <c r="F5843" s="1050"/>
      <c r="G5843" s="1050"/>
    </row>
    <row r="5844" spans="1:7">
      <c r="A5844" s="1079"/>
      <c r="B5844" s="1050"/>
      <c r="C5844" s="1050"/>
      <c r="D5844" s="1050"/>
      <c r="E5844" s="1050"/>
      <c r="F5844" s="1050"/>
      <c r="G5844" s="1050"/>
    </row>
    <row r="5845" spans="1:7">
      <c r="A5845" s="1079"/>
      <c r="B5845" s="1050"/>
      <c r="C5845" s="1050"/>
      <c r="D5845" s="1050"/>
      <c r="E5845" s="1050"/>
      <c r="F5845" s="1050"/>
      <c r="G5845" s="1050"/>
    </row>
    <row r="5846" spans="1:7">
      <c r="A5846" s="1079"/>
      <c r="B5846" s="1050"/>
      <c r="C5846" s="1050"/>
      <c r="D5846" s="1050"/>
      <c r="E5846" s="1050"/>
      <c r="F5846" s="1050"/>
      <c r="G5846" s="1050"/>
    </row>
    <row r="5847" spans="1:7">
      <c r="A5847" s="1079"/>
      <c r="B5847" s="1050"/>
      <c r="C5847" s="1050"/>
      <c r="D5847" s="1050"/>
      <c r="E5847" s="1050"/>
      <c r="F5847" s="1050"/>
      <c r="G5847" s="1050"/>
    </row>
    <row r="5848" spans="1:7">
      <c r="A5848" s="1079"/>
      <c r="B5848" s="1050"/>
      <c r="C5848" s="1050"/>
      <c r="D5848" s="1050"/>
      <c r="E5848" s="1050"/>
      <c r="F5848" s="1050"/>
      <c r="G5848" s="1050"/>
    </row>
    <row r="5849" spans="1:7">
      <c r="A5849" s="1079"/>
      <c r="B5849" s="1050"/>
      <c r="C5849" s="1050"/>
      <c r="D5849" s="1050"/>
      <c r="E5849" s="1050"/>
      <c r="F5849" s="1050"/>
      <c r="G5849" s="1050"/>
    </row>
    <row r="5850" spans="1:7">
      <c r="A5850" s="1079"/>
      <c r="B5850" s="1050"/>
      <c r="C5850" s="1050"/>
      <c r="D5850" s="1050"/>
      <c r="E5850" s="1050"/>
      <c r="F5850" s="1050"/>
      <c r="G5850" s="1050"/>
    </row>
    <row r="5851" spans="1:7">
      <c r="A5851" s="1079"/>
      <c r="B5851" s="1050"/>
      <c r="C5851" s="1050"/>
      <c r="D5851" s="1050"/>
      <c r="E5851" s="1050"/>
      <c r="F5851" s="1050"/>
      <c r="G5851" s="1050"/>
    </row>
    <row r="5852" spans="1:7">
      <c r="A5852" s="1079"/>
      <c r="B5852" s="1050"/>
      <c r="C5852" s="1050"/>
      <c r="D5852" s="1050"/>
      <c r="E5852" s="1050"/>
      <c r="F5852" s="1050"/>
      <c r="G5852" s="1050"/>
    </row>
    <row r="5853" spans="1:7">
      <c r="A5853" s="1079"/>
      <c r="B5853" s="1050"/>
      <c r="C5853" s="1050"/>
      <c r="D5853" s="1050"/>
      <c r="E5853" s="1050"/>
      <c r="F5853" s="1050"/>
      <c r="G5853" s="1050"/>
    </row>
    <row r="5854" spans="1:7">
      <c r="A5854" s="1079"/>
      <c r="B5854" s="1050"/>
      <c r="C5854" s="1050"/>
      <c r="D5854" s="1050"/>
      <c r="E5854" s="1050"/>
      <c r="F5854" s="1050"/>
      <c r="G5854" s="1050"/>
    </row>
    <row r="5855" spans="1:7">
      <c r="A5855" s="1079"/>
      <c r="B5855" s="1050"/>
      <c r="C5855" s="1050"/>
      <c r="D5855" s="1050"/>
      <c r="E5855" s="1050"/>
      <c r="F5855" s="1050"/>
      <c r="G5855" s="1050"/>
    </row>
    <row r="5856" spans="1:7">
      <c r="A5856" s="1079"/>
      <c r="B5856" s="1050"/>
      <c r="C5856" s="1050"/>
      <c r="D5856" s="1050"/>
      <c r="E5856" s="1050"/>
      <c r="F5856" s="1050"/>
      <c r="G5856" s="1050"/>
    </row>
    <row r="5857" spans="1:7">
      <c r="A5857" s="1079"/>
      <c r="B5857" s="1050"/>
      <c r="C5857" s="1050"/>
      <c r="D5857" s="1050"/>
      <c r="E5857" s="1050"/>
      <c r="F5857" s="1050"/>
      <c r="G5857" s="1050"/>
    </row>
    <row r="5858" spans="1:7">
      <c r="A5858" s="1079"/>
      <c r="B5858" s="1050"/>
      <c r="C5858" s="1050"/>
      <c r="D5858" s="1050"/>
      <c r="E5858" s="1050"/>
      <c r="F5858" s="1050"/>
      <c r="G5858" s="1050"/>
    </row>
    <row r="5859" spans="1:7">
      <c r="A5859" s="1079"/>
      <c r="B5859" s="1050"/>
      <c r="C5859" s="1050"/>
      <c r="D5859" s="1050"/>
      <c r="E5859" s="1050"/>
      <c r="F5859" s="1050"/>
      <c r="G5859" s="1050"/>
    </row>
    <row r="5860" spans="1:7">
      <c r="A5860" s="1079"/>
      <c r="B5860" s="1050"/>
      <c r="C5860" s="1050"/>
      <c r="D5860" s="1050"/>
      <c r="E5860" s="1050"/>
      <c r="F5860" s="1050"/>
      <c r="G5860" s="1050"/>
    </row>
    <row r="5861" spans="1:7">
      <c r="A5861" s="1079"/>
      <c r="B5861" s="1050"/>
      <c r="C5861" s="1050"/>
      <c r="D5861" s="1050"/>
      <c r="E5861" s="1050"/>
      <c r="F5861" s="1050"/>
      <c r="G5861" s="1050"/>
    </row>
    <row r="5862" spans="1:7">
      <c r="A5862" s="1079"/>
      <c r="B5862" s="1050"/>
      <c r="C5862" s="1050"/>
      <c r="D5862" s="1050"/>
      <c r="E5862" s="1050"/>
      <c r="F5862" s="1050"/>
      <c r="G5862" s="1050"/>
    </row>
    <row r="5863" spans="1:7">
      <c r="A5863" s="1079"/>
      <c r="B5863" s="1050"/>
      <c r="C5863" s="1050"/>
      <c r="D5863" s="1050"/>
      <c r="E5863" s="1050"/>
      <c r="F5863" s="1050"/>
      <c r="G5863" s="1050"/>
    </row>
    <row r="5864" spans="1:7">
      <c r="A5864" s="1079"/>
      <c r="B5864" s="1050"/>
      <c r="C5864" s="1050"/>
      <c r="D5864" s="1050"/>
      <c r="E5864" s="1050"/>
      <c r="F5864" s="1050"/>
      <c r="G5864" s="1050"/>
    </row>
    <row r="5865" spans="1:7">
      <c r="A5865" s="1079"/>
      <c r="B5865" s="1050"/>
      <c r="C5865" s="1050"/>
      <c r="D5865" s="1050"/>
      <c r="E5865" s="1050"/>
      <c r="F5865" s="1050"/>
      <c r="G5865" s="1050"/>
    </row>
    <row r="5866" spans="1:7">
      <c r="A5866" s="1079"/>
      <c r="B5866" s="1050"/>
      <c r="C5866" s="1050"/>
      <c r="D5866" s="1050"/>
      <c r="E5866" s="1050"/>
      <c r="F5866" s="1050"/>
      <c r="G5866" s="1050"/>
    </row>
    <row r="5867" spans="1:7">
      <c r="A5867" s="1079"/>
      <c r="B5867" s="1050"/>
      <c r="C5867" s="1050"/>
      <c r="D5867" s="1050"/>
      <c r="E5867" s="1050"/>
      <c r="F5867" s="1050"/>
      <c r="G5867" s="1050"/>
    </row>
    <row r="5868" spans="1:7">
      <c r="A5868" s="1079"/>
      <c r="B5868" s="1050"/>
      <c r="C5868" s="1050"/>
      <c r="D5868" s="1050"/>
      <c r="E5868" s="1050"/>
      <c r="F5868" s="1050"/>
      <c r="G5868" s="1050"/>
    </row>
    <row r="5869" spans="1:7">
      <c r="A5869" s="1079"/>
      <c r="B5869" s="1050"/>
      <c r="C5869" s="1050"/>
      <c r="D5869" s="1050"/>
      <c r="E5869" s="1050"/>
      <c r="F5869" s="1050"/>
      <c r="G5869" s="1050"/>
    </row>
    <row r="5870" spans="1:7">
      <c r="A5870" s="1079"/>
      <c r="B5870" s="1050"/>
      <c r="C5870" s="1050"/>
      <c r="D5870" s="1050"/>
      <c r="E5870" s="1050"/>
      <c r="F5870" s="1050"/>
      <c r="G5870" s="1050"/>
    </row>
    <row r="5871" spans="1:7">
      <c r="A5871" s="1079"/>
      <c r="B5871" s="1050"/>
      <c r="C5871" s="1050"/>
      <c r="D5871" s="1050"/>
      <c r="E5871" s="1050"/>
      <c r="F5871" s="1050"/>
      <c r="G5871" s="1050"/>
    </row>
    <row r="5872" spans="1:7">
      <c r="A5872" s="1079"/>
      <c r="B5872" s="1050"/>
      <c r="C5872" s="1050"/>
      <c r="D5872" s="1050"/>
      <c r="E5872" s="1050"/>
      <c r="F5872" s="1050"/>
      <c r="G5872" s="1050"/>
    </row>
    <row r="5873" spans="1:7">
      <c r="A5873" s="1079"/>
      <c r="B5873" s="1050"/>
      <c r="C5873" s="1050"/>
      <c r="D5873" s="1050"/>
      <c r="E5873" s="1050"/>
      <c r="F5873" s="1050"/>
      <c r="G5873" s="1050"/>
    </row>
    <row r="5874" spans="1:7">
      <c r="A5874" s="1079"/>
      <c r="B5874" s="1050"/>
      <c r="C5874" s="1050"/>
      <c r="D5874" s="1050"/>
      <c r="E5874" s="1050"/>
      <c r="F5874" s="1050"/>
      <c r="G5874" s="1050"/>
    </row>
    <row r="5875" spans="1:7">
      <c r="A5875" s="1079"/>
      <c r="B5875" s="1050"/>
      <c r="C5875" s="1050"/>
      <c r="D5875" s="1050"/>
      <c r="E5875" s="1050"/>
      <c r="F5875" s="1050"/>
      <c r="G5875" s="1050"/>
    </row>
    <row r="5876" spans="1:7">
      <c r="A5876" s="1079"/>
      <c r="B5876" s="1050"/>
      <c r="C5876" s="1050"/>
      <c r="D5876" s="1050"/>
      <c r="E5876" s="1050"/>
      <c r="F5876" s="1050"/>
      <c r="G5876" s="1050"/>
    </row>
    <row r="5877" spans="1:7">
      <c r="A5877" s="1079"/>
      <c r="B5877" s="1050"/>
      <c r="C5877" s="1050"/>
      <c r="D5877" s="1050"/>
      <c r="E5877" s="1050"/>
      <c r="F5877" s="1050"/>
      <c r="G5877" s="1050"/>
    </row>
    <row r="5878" spans="1:7">
      <c r="A5878" s="1079"/>
      <c r="B5878" s="1050"/>
      <c r="C5878" s="1050"/>
      <c r="D5878" s="1050"/>
      <c r="E5878" s="1050"/>
      <c r="F5878" s="1050"/>
      <c r="G5878" s="1050"/>
    </row>
    <row r="5879" spans="1:7">
      <c r="A5879" s="1079"/>
      <c r="B5879" s="1050"/>
      <c r="C5879" s="1050"/>
      <c r="D5879" s="1050"/>
      <c r="E5879" s="1050"/>
      <c r="F5879" s="1050"/>
      <c r="G5879" s="1050"/>
    </row>
    <row r="5880" spans="1:7">
      <c r="A5880" s="1079"/>
      <c r="B5880" s="1050"/>
      <c r="C5880" s="1050"/>
      <c r="D5880" s="1050"/>
      <c r="E5880" s="1050"/>
      <c r="F5880" s="1050"/>
      <c r="G5880" s="1050"/>
    </row>
    <row r="5881" spans="1:7">
      <c r="A5881" s="1079"/>
      <c r="B5881" s="1050"/>
      <c r="C5881" s="1050"/>
      <c r="D5881" s="1050"/>
      <c r="E5881" s="1050"/>
      <c r="F5881" s="1050"/>
      <c r="G5881" s="1050"/>
    </row>
    <row r="5882" spans="1:7">
      <c r="A5882" s="1079"/>
      <c r="B5882" s="1050"/>
      <c r="C5882" s="1050"/>
      <c r="D5882" s="1050"/>
      <c r="E5882" s="1050"/>
      <c r="F5882" s="1050"/>
      <c r="G5882" s="1050"/>
    </row>
    <row r="5883" spans="1:7">
      <c r="A5883" s="1079"/>
      <c r="B5883" s="1050"/>
      <c r="C5883" s="1050"/>
      <c r="D5883" s="1050"/>
      <c r="E5883" s="1050"/>
      <c r="F5883" s="1050"/>
      <c r="G5883" s="1050"/>
    </row>
    <row r="5884" spans="1:7">
      <c r="A5884" s="1079"/>
      <c r="B5884" s="1050"/>
      <c r="C5884" s="1050"/>
      <c r="D5884" s="1050"/>
      <c r="E5884" s="1050"/>
      <c r="F5884" s="1050"/>
      <c r="G5884" s="1050"/>
    </row>
    <row r="5885" spans="1:7">
      <c r="A5885" s="1079"/>
      <c r="B5885" s="1050"/>
      <c r="C5885" s="1050"/>
      <c r="D5885" s="1050"/>
      <c r="E5885" s="1050"/>
      <c r="F5885" s="1050"/>
      <c r="G5885" s="1050"/>
    </row>
    <row r="5886" spans="1:7">
      <c r="A5886" s="1079"/>
      <c r="B5886" s="1050"/>
      <c r="C5886" s="1050"/>
      <c r="D5886" s="1050"/>
      <c r="E5886" s="1050"/>
      <c r="F5886" s="1050"/>
      <c r="G5886" s="1050"/>
    </row>
    <row r="5887" spans="1:7">
      <c r="A5887" s="1079"/>
      <c r="B5887" s="1050"/>
      <c r="C5887" s="1050"/>
      <c r="D5887" s="1050"/>
      <c r="E5887" s="1050"/>
      <c r="F5887" s="1050"/>
      <c r="G5887" s="1050"/>
    </row>
    <row r="5888" spans="1:7">
      <c r="A5888" s="1079"/>
      <c r="B5888" s="1050"/>
      <c r="C5888" s="1050"/>
      <c r="D5888" s="1050"/>
      <c r="E5888" s="1050"/>
      <c r="F5888" s="1050"/>
      <c r="G5888" s="1050"/>
    </row>
    <row r="5889" spans="1:7">
      <c r="A5889" s="1079"/>
      <c r="B5889" s="1050"/>
      <c r="C5889" s="1050"/>
      <c r="D5889" s="1050"/>
      <c r="E5889" s="1050"/>
      <c r="F5889" s="1050"/>
      <c r="G5889" s="1050"/>
    </row>
    <row r="5890" spans="1:7">
      <c r="A5890" s="1079"/>
      <c r="B5890" s="1050"/>
      <c r="C5890" s="1050"/>
      <c r="D5890" s="1050"/>
      <c r="E5890" s="1050"/>
      <c r="F5890" s="1050"/>
      <c r="G5890" s="1050"/>
    </row>
    <row r="5891" spans="1:7">
      <c r="A5891" s="1079"/>
      <c r="B5891" s="1050"/>
      <c r="C5891" s="1050"/>
      <c r="D5891" s="1050"/>
      <c r="E5891" s="1050"/>
      <c r="F5891" s="1050"/>
      <c r="G5891" s="1050"/>
    </row>
    <row r="5892" spans="1:7">
      <c r="A5892" s="1079"/>
      <c r="B5892" s="1050"/>
      <c r="C5892" s="1050"/>
      <c r="D5892" s="1050"/>
      <c r="E5892" s="1050"/>
      <c r="F5892" s="1050"/>
      <c r="G5892" s="1050"/>
    </row>
    <row r="5893" spans="1:7">
      <c r="A5893" s="1079"/>
      <c r="B5893" s="1050"/>
      <c r="C5893" s="1050"/>
      <c r="D5893" s="1050"/>
      <c r="E5893" s="1050"/>
      <c r="F5893" s="1050"/>
      <c r="G5893" s="1050"/>
    </row>
    <row r="5894" spans="1:7">
      <c r="A5894" s="1079"/>
      <c r="B5894" s="1050"/>
      <c r="C5894" s="1050"/>
      <c r="D5894" s="1050"/>
      <c r="E5894" s="1050"/>
      <c r="F5894" s="1050"/>
      <c r="G5894" s="1050"/>
    </row>
    <row r="5895" spans="1:7">
      <c r="A5895" s="1079"/>
      <c r="B5895" s="1050"/>
      <c r="C5895" s="1050"/>
      <c r="D5895" s="1050"/>
      <c r="E5895" s="1050"/>
      <c r="F5895" s="1050"/>
      <c r="G5895" s="1050"/>
    </row>
    <row r="5896" spans="1:7">
      <c r="A5896" s="1079"/>
      <c r="B5896" s="1050"/>
      <c r="C5896" s="1050"/>
      <c r="D5896" s="1050"/>
      <c r="E5896" s="1050"/>
      <c r="F5896" s="1050"/>
      <c r="G5896" s="1050"/>
    </row>
    <row r="5897" spans="1:7">
      <c r="A5897" s="1079"/>
      <c r="B5897" s="1050"/>
      <c r="C5897" s="1050"/>
      <c r="D5897" s="1050"/>
      <c r="E5897" s="1050"/>
      <c r="F5897" s="1050"/>
      <c r="G5897" s="1050"/>
    </row>
    <row r="5898" spans="1:7">
      <c r="A5898" s="1079"/>
      <c r="B5898" s="1050"/>
      <c r="C5898" s="1050"/>
      <c r="D5898" s="1050"/>
      <c r="E5898" s="1050"/>
      <c r="F5898" s="1050"/>
      <c r="G5898" s="1050"/>
    </row>
    <row r="5899" spans="1:7">
      <c r="A5899" s="1079"/>
      <c r="B5899" s="1050"/>
      <c r="C5899" s="1050"/>
      <c r="D5899" s="1050"/>
      <c r="E5899" s="1050"/>
      <c r="F5899" s="1050"/>
      <c r="G5899" s="1050"/>
    </row>
    <row r="5900" spans="1:7">
      <c r="A5900" s="1079"/>
      <c r="B5900" s="1050"/>
      <c r="C5900" s="1050"/>
      <c r="D5900" s="1050"/>
      <c r="E5900" s="1050"/>
      <c r="F5900" s="1050"/>
      <c r="G5900" s="1050"/>
    </row>
    <row r="5901" spans="1:7">
      <c r="A5901" s="1079"/>
      <c r="B5901" s="1050"/>
      <c r="C5901" s="1050"/>
      <c r="D5901" s="1050"/>
      <c r="E5901" s="1050"/>
      <c r="F5901" s="1050"/>
      <c r="G5901" s="1050"/>
    </row>
    <row r="5902" spans="1:7">
      <c r="A5902" s="1079"/>
      <c r="B5902" s="1050"/>
      <c r="C5902" s="1050"/>
      <c r="D5902" s="1050"/>
      <c r="E5902" s="1050"/>
      <c r="F5902" s="1050"/>
      <c r="G5902" s="1050"/>
    </row>
    <row r="5903" spans="1:7">
      <c r="A5903" s="1079"/>
      <c r="B5903" s="1050"/>
      <c r="C5903" s="1050"/>
      <c r="D5903" s="1050"/>
      <c r="E5903" s="1050"/>
      <c r="F5903" s="1050"/>
      <c r="G5903" s="1050"/>
    </row>
    <row r="5904" spans="1:7">
      <c r="A5904" s="1079"/>
      <c r="B5904" s="1050"/>
      <c r="C5904" s="1050"/>
      <c r="D5904" s="1050"/>
      <c r="E5904" s="1050"/>
      <c r="F5904" s="1050"/>
      <c r="G5904" s="1050"/>
    </row>
    <row r="5905" spans="1:7">
      <c r="A5905" s="1079"/>
      <c r="B5905" s="1050"/>
      <c r="C5905" s="1050"/>
      <c r="D5905" s="1050"/>
      <c r="E5905" s="1050"/>
      <c r="F5905" s="1050"/>
      <c r="G5905" s="1050"/>
    </row>
    <row r="5906" spans="1:7">
      <c r="A5906" s="1079"/>
      <c r="B5906" s="1050"/>
      <c r="C5906" s="1050"/>
      <c r="D5906" s="1050"/>
      <c r="E5906" s="1050"/>
      <c r="F5906" s="1050"/>
      <c r="G5906" s="1050"/>
    </row>
    <row r="5907" spans="1:7">
      <c r="A5907" s="1079"/>
      <c r="B5907" s="1050"/>
      <c r="C5907" s="1050"/>
      <c r="D5907" s="1050"/>
      <c r="E5907" s="1050"/>
      <c r="F5907" s="1050"/>
      <c r="G5907" s="1050"/>
    </row>
    <row r="5908" spans="1:7">
      <c r="A5908" s="1079"/>
      <c r="B5908" s="1050"/>
      <c r="C5908" s="1050"/>
      <c r="D5908" s="1050"/>
      <c r="E5908" s="1050"/>
      <c r="F5908" s="1050"/>
      <c r="G5908" s="1050"/>
    </row>
    <row r="5909" spans="1:7">
      <c r="A5909" s="1079"/>
      <c r="B5909" s="1050"/>
      <c r="C5909" s="1050"/>
      <c r="D5909" s="1050"/>
      <c r="E5909" s="1050"/>
      <c r="F5909" s="1050"/>
      <c r="G5909" s="1050"/>
    </row>
    <row r="5910" spans="1:7">
      <c r="A5910" s="1079"/>
      <c r="B5910" s="1050"/>
      <c r="C5910" s="1050"/>
      <c r="D5910" s="1050"/>
      <c r="E5910" s="1050"/>
      <c r="F5910" s="1050"/>
      <c r="G5910" s="1050"/>
    </row>
    <row r="5911" spans="1:7">
      <c r="A5911" s="1079"/>
      <c r="B5911" s="1050"/>
      <c r="C5911" s="1050"/>
      <c r="D5911" s="1050"/>
      <c r="E5911" s="1050"/>
      <c r="F5911" s="1050"/>
      <c r="G5911" s="1050"/>
    </row>
    <row r="5912" spans="1:7">
      <c r="A5912" s="1079"/>
      <c r="B5912" s="1050"/>
      <c r="C5912" s="1050"/>
      <c r="D5912" s="1050"/>
      <c r="E5912" s="1050"/>
      <c r="F5912" s="1050"/>
      <c r="G5912" s="1050"/>
    </row>
    <row r="5913" spans="1:7">
      <c r="A5913" s="1079"/>
      <c r="B5913" s="1050"/>
      <c r="C5913" s="1050"/>
      <c r="D5913" s="1050"/>
      <c r="E5913" s="1050"/>
      <c r="F5913" s="1050"/>
      <c r="G5913" s="1050"/>
    </row>
    <row r="5914" spans="1:7">
      <c r="A5914" s="1079"/>
      <c r="B5914" s="1050"/>
      <c r="C5914" s="1050"/>
      <c r="D5914" s="1050"/>
      <c r="E5914" s="1050"/>
      <c r="F5914" s="1050"/>
      <c r="G5914" s="1050"/>
    </row>
    <row r="5915" spans="1:7">
      <c r="A5915" s="1079"/>
      <c r="B5915" s="1050"/>
      <c r="C5915" s="1050"/>
      <c r="D5915" s="1050"/>
      <c r="E5915" s="1050"/>
      <c r="F5915" s="1050"/>
      <c r="G5915" s="1050"/>
    </row>
    <row r="5916" spans="1:7">
      <c r="A5916" s="1079"/>
      <c r="B5916" s="1050"/>
      <c r="C5916" s="1050"/>
      <c r="D5916" s="1050"/>
      <c r="E5916" s="1050"/>
      <c r="F5916" s="1050"/>
      <c r="G5916" s="1050"/>
    </row>
    <row r="5917" spans="1:7">
      <c r="A5917" s="1079"/>
      <c r="B5917" s="1050"/>
      <c r="C5917" s="1050"/>
      <c r="D5917" s="1050"/>
      <c r="E5917" s="1050"/>
      <c r="F5917" s="1050"/>
      <c r="G5917" s="1050"/>
    </row>
    <row r="5918" spans="1:7">
      <c r="A5918" s="1079"/>
      <c r="B5918" s="1050"/>
      <c r="C5918" s="1050"/>
      <c r="D5918" s="1050"/>
      <c r="E5918" s="1050"/>
      <c r="F5918" s="1050"/>
      <c r="G5918" s="1050"/>
    </row>
    <row r="5919" spans="1:7">
      <c r="A5919" s="1079"/>
      <c r="B5919" s="1050"/>
      <c r="C5919" s="1050"/>
      <c r="D5919" s="1050"/>
      <c r="E5919" s="1050"/>
      <c r="F5919" s="1050"/>
      <c r="G5919" s="1050"/>
    </row>
    <row r="5920" spans="1:7">
      <c r="A5920" s="1079"/>
      <c r="B5920" s="1050"/>
      <c r="C5920" s="1050"/>
      <c r="D5920" s="1050"/>
      <c r="E5920" s="1050"/>
      <c r="F5920" s="1050"/>
      <c r="G5920" s="1050"/>
    </row>
    <row r="5921" spans="1:7">
      <c r="A5921" s="1079"/>
      <c r="B5921" s="1050"/>
      <c r="C5921" s="1050"/>
      <c r="D5921" s="1050"/>
      <c r="E5921" s="1050"/>
      <c r="F5921" s="1050"/>
      <c r="G5921" s="1050"/>
    </row>
    <row r="5922" spans="1:7">
      <c r="A5922" s="1079"/>
      <c r="B5922" s="1050"/>
      <c r="C5922" s="1050"/>
      <c r="D5922" s="1050"/>
      <c r="E5922" s="1050"/>
      <c r="F5922" s="1050"/>
      <c r="G5922" s="1050"/>
    </row>
    <row r="5923" spans="1:7">
      <c r="A5923" s="1079"/>
      <c r="B5923" s="1050"/>
      <c r="C5923" s="1050"/>
      <c r="D5923" s="1050"/>
      <c r="E5923" s="1050"/>
      <c r="F5923" s="1050"/>
      <c r="G5923" s="1050"/>
    </row>
    <row r="5924" spans="1:7">
      <c r="A5924" s="1079"/>
      <c r="B5924" s="1050"/>
      <c r="C5924" s="1050"/>
      <c r="D5924" s="1050"/>
      <c r="E5924" s="1050"/>
      <c r="F5924" s="1050"/>
      <c r="G5924" s="1050"/>
    </row>
    <row r="5925" spans="1:7">
      <c r="A5925" s="1079"/>
      <c r="B5925" s="1050"/>
      <c r="C5925" s="1050"/>
      <c r="D5925" s="1050"/>
      <c r="E5925" s="1050"/>
      <c r="F5925" s="1050"/>
      <c r="G5925" s="1050"/>
    </row>
    <row r="5926" spans="1:7">
      <c r="A5926" s="1079"/>
      <c r="B5926" s="1050"/>
      <c r="C5926" s="1050"/>
      <c r="D5926" s="1050"/>
      <c r="E5926" s="1050"/>
      <c r="F5926" s="1050"/>
      <c r="G5926" s="1050"/>
    </row>
    <row r="5927" spans="1:7">
      <c r="A5927" s="1079"/>
      <c r="B5927" s="1050"/>
      <c r="C5927" s="1050"/>
      <c r="D5927" s="1050"/>
      <c r="E5927" s="1050"/>
      <c r="F5927" s="1050"/>
      <c r="G5927" s="1050"/>
    </row>
    <row r="5928" spans="1:7">
      <c r="A5928" s="1079"/>
      <c r="B5928" s="1050"/>
      <c r="C5928" s="1050"/>
      <c r="D5928" s="1050"/>
      <c r="E5928" s="1050"/>
      <c r="F5928" s="1050"/>
      <c r="G5928" s="1050"/>
    </row>
    <row r="5929" spans="1:7">
      <c r="A5929" s="1079"/>
      <c r="B5929" s="1050"/>
      <c r="C5929" s="1050"/>
      <c r="D5929" s="1050"/>
      <c r="E5929" s="1050"/>
      <c r="F5929" s="1050"/>
      <c r="G5929" s="1050"/>
    </row>
    <row r="5930" spans="1:7">
      <c r="A5930" s="1079"/>
      <c r="B5930" s="1050"/>
      <c r="C5930" s="1050"/>
      <c r="D5930" s="1050"/>
      <c r="E5930" s="1050"/>
      <c r="F5930" s="1050"/>
      <c r="G5930" s="1050"/>
    </row>
    <row r="5931" spans="1:7">
      <c r="A5931" s="1079"/>
      <c r="B5931" s="1050"/>
      <c r="C5931" s="1050"/>
      <c r="D5931" s="1050"/>
      <c r="E5931" s="1050"/>
      <c r="F5931" s="1050"/>
      <c r="G5931" s="1050"/>
    </row>
    <row r="5932" spans="1:7">
      <c r="A5932" s="1079"/>
      <c r="B5932" s="1050"/>
      <c r="C5932" s="1050"/>
      <c r="D5932" s="1050"/>
      <c r="E5932" s="1050"/>
      <c r="F5932" s="1050"/>
      <c r="G5932" s="1050"/>
    </row>
    <row r="5933" spans="1:7">
      <c r="A5933" s="1079"/>
      <c r="B5933" s="1050"/>
      <c r="C5933" s="1050"/>
      <c r="D5933" s="1050"/>
      <c r="E5933" s="1050"/>
      <c r="F5933" s="1050"/>
      <c r="G5933" s="1050"/>
    </row>
    <row r="5934" spans="1:7">
      <c r="A5934" s="1079"/>
      <c r="B5934" s="1050"/>
      <c r="C5934" s="1050"/>
      <c r="D5934" s="1050"/>
      <c r="E5934" s="1050"/>
      <c r="F5934" s="1050"/>
      <c r="G5934" s="1050"/>
    </row>
    <row r="5935" spans="1:7">
      <c r="A5935" s="1079"/>
      <c r="B5935" s="1050"/>
      <c r="C5935" s="1050"/>
      <c r="D5935" s="1050"/>
      <c r="E5935" s="1050"/>
      <c r="F5935" s="1050"/>
      <c r="G5935" s="1050"/>
    </row>
    <row r="5936" spans="1:7">
      <c r="A5936" s="1079"/>
      <c r="B5936" s="1050"/>
      <c r="C5936" s="1050"/>
      <c r="D5936" s="1050"/>
      <c r="E5936" s="1050"/>
      <c r="F5936" s="1050"/>
      <c r="G5936" s="1050"/>
    </row>
    <row r="5937" spans="1:7">
      <c r="A5937" s="1079"/>
      <c r="B5937" s="1050"/>
      <c r="C5937" s="1050"/>
      <c r="D5937" s="1050"/>
      <c r="E5937" s="1050"/>
      <c r="F5937" s="1050"/>
      <c r="G5937" s="1050"/>
    </row>
    <row r="5938" spans="1:7">
      <c r="A5938" s="1079"/>
      <c r="B5938" s="1050"/>
      <c r="C5938" s="1050"/>
      <c r="D5938" s="1050"/>
      <c r="E5938" s="1050"/>
      <c r="F5938" s="1050"/>
      <c r="G5938" s="1050"/>
    </row>
    <row r="5939" spans="1:7">
      <c r="A5939" s="1079"/>
      <c r="B5939" s="1050"/>
      <c r="C5939" s="1050"/>
      <c r="D5939" s="1050"/>
      <c r="E5939" s="1050"/>
      <c r="F5939" s="1050"/>
      <c r="G5939" s="1050"/>
    </row>
    <row r="5940" spans="1:7">
      <c r="A5940" s="1079"/>
      <c r="B5940" s="1050"/>
      <c r="C5940" s="1050"/>
      <c r="D5940" s="1050"/>
      <c r="E5940" s="1050"/>
      <c r="F5940" s="1050"/>
      <c r="G5940" s="1050"/>
    </row>
    <row r="5941" spans="1:7">
      <c r="A5941" s="1079"/>
      <c r="B5941" s="1050"/>
      <c r="C5941" s="1050"/>
      <c r="D5941" s="1050"/>
      <c r="E5941" s="1050"/>
      <c r="F5941" s="1050"/>
      <c r="G5941" s="1050"/>
    </row>
    <row r="5942" spans="1:7">
      <c r="A5942" s="1079"/>
      <c r="B5942" s="1050"/>
      <c r="C5942" s="1050"/>
      <c r="D5942" s="1050"/>
      <c r="E5942" s="1050"/>
      <c r="F5942" s="1050"/>
      <c r="G5942" s="1050"/>
    </row>
    <row r="5943" spans="1:7">
      <c r="A5943" s="1079"/>
      <c r="B5943" s="1050"/>
      <c r="C5943" s="1050"/>
      <c r="D5943" s="1050"/>
      <c r="E5943" s="1050"/>
      <c r="F5943" s="1050"/>
      <c r="G5943" s="1050"/>
    </row>
    <row r="5944" spans="1:7">
      <c r="A5944" s="1079"/>
      <c r="B5944" s="1050"/>
      <c r="C5944" s="1050"/>
      <c r="D5944" s="1050"/>
      <c r="E5944" s="1050"/>
      <c r="F5944" s="1050"/>
      <c r="G5944" s="1050"/>
    </row>
    <row r="5945" spans="1:7">
      <c r="A5945" s="1079"/>
      <c r="B5945" s="1050"/>
      <c r="C5945" s="1050"/>
      <c r="D5945" s="1050"/>
      <c r="E5945" s="1050"/>
      <c r="F5945" s="1050"/>
      <c r="G5945" s="1050"/>
    </row>
    <row r="5946" spans="1:7">
      <c r="A5946" s="1079"/>
      <c r="B5946" s="1050"/>
      <c r="C5946" s="1050"/>
      <c r="D5946" s="1050"/>
      <c r="E5946" s="1050"/>
      <c r="F5946" s="1050"/>
      <c r="G5946" s="1050"/>
    </row>
    <row r="5947" spans="1:7">
      <c r="A5947" s="1079"/>
      <c r="B5947" s="1050"/>
      <c r="C5947" s="1050"/>
      <c r="D5947" s="1050"/>
      <c r="E5947" s="1050"/>
      <c r="F5947" s="1050"/>
      <c r="G5947" s="1050"/>
    </row>
    <row r="5948" spans="1:7">
      <c r="A5948" s="1079"/>
      <c r="B5948" s="1050"/>
      <c r="C5948" s="1050"/>
      <c r="D5948" s="1050"/>
      <c r="E5948" s="1050"/>
      <c r="F5948" s="1050"/>
      <c r="G5948" s="1050"/>
    </row>
    <row r="5949" spans="1:7">
      <c r="A5949" s="1079"/>
      <c r="B5949" s="1050"/>
      <c r="C5949" s="1050"/>
      <c r="D5949" s="1050"/>
      <c r="E5949" s="1050"/>
      <c r="F5949" s="1050"/>
      <c r="G5949" s="1050"/>
    </row>
    <row r="5950" spans="1:7">
      <c r="A5950" s="1079"/>
      <c r="B5950" s="1050"/>
      <c r="C5950" s="1050"/>
      <c r="D5950" s="1050"/>
      <c r="E5950" s="1050"/>
      <c r="F5950" s="1050"/>
      <c r="G5950" s="1050"/>
    </row>
    <row r="5951" spans="1:7">
      <c r="A5951" s="1079"/>
      <c r="B5951" s="1050"/>
      <c r="C5951" s="1050"/>
      <c r="D5951" s="1050"/>
      <c r="E5951" s="1050"/>
      <c r="F5951" s="1050"/>
      <c r="G5951" s="1050"/>
    </row>
    <row r="5952" spans="1:7">
      <c r="A5952" s="1079"/>
      <c r="B5952" s="1050"/>
      <c r="C5952" s="1050"/>
      <c r="D5952" s="1050"/>
      <c r="E5952" s="1050"/>
      <c r="F5952" s="1050"/>
      <c r="G5952" s="1050"/>
    </row>
    <row r="5953" spans="1:7">
      <c r="A5953" s="1079"/>
      <c r="B5953" s="1050"/>
      <c r="C5953" s="1050"/>
      <c r="D5953" s="1050"/>
      <c r="E5953" s="1050"/>
      <c r="F5953" s="1050"/>
      <c r="G5953" s="1050"/>
    </row>
    <row r="5954" spans="1:7">
      <c r="A5954" s="1079"/>
      <c r="B5954" s="1050"/>
      <c r="C5954" s="1050"/>
      <c r="D5954" s="1050"/>
      <c r="E5954" s="1050"/>
      <c r="F5954" s="1050"/>
      <c r="G5954" s="1050"/>
    </row>
    <row r="5955" spans="1:7">
      <c r="A5955" s="1079"/>
      <c r="B5955" s="1050"/>
      <c r="C5955" s="1050"/>
      <c r="D5955" s="1050"/>
      <c r="E5955" s="1050"/>
      <c r="F5955" s="1050"/>
      <c r="G5955" s="1050"/>
    </row>
    <row r="5956" spans="1:7">
      <c r="A5956" s="1079"/>
      <c r="B5956" s="1050"/>
      <c r="C5956" s="1050"/>
      <c r="D5956" s="1050"/>
      <c r="E5956" s="1050"/>
      <c r="F5956" s="1050"/>
      <c r="G5956" s="1050"/>
    </row>
    <row r="5957" spans="1:7">
      <c r="A5957" s="1079"/>
      <c r="B5957" s="1050"/>
      <c r="C5957" s="1050"/>
      <c r="D5957" s="1050"/>
      <c r="E5957" s="1050"/>
      <c r="F5957" s="1050"/>
      <c r="G5957" s="1050"/>
    </row>
    <row r="5958" spans="1:7">
      <c r="A5958" s="1079"/>
      <c r="B5958" s="1050"/>
      <c r="C5958" s="1050"/>
      <c r="D5958" s="1050"/>
      <c r="E5958" s="1050"/>
      <c r="F5958" s="1050"/>
      <c r="G5958" s="1050"/>
    </row>
    <row r="5959" spans="1:7">
      <c r="A5959" s="1079"/>
      <c r="B5959" s="1050"/>
      <c r="C5959" s="1050"/>
      <c r="D5959" s="1050"/>
      <c r="E5959" s="1050"/>
      <c r="F5959" s="1050"/>
      <c r="G5959" s="1050"/>
    </row>
    <row r="5960" spans="1:7">
      <c r="A5960" s="1079"/>
      <c r="B5960" s="1050"/>
      <c r="C5960" s="1050"/>
      <c r="D5960" s="1050"/>
      <c r="E5960" s="1050"/>
      <c r="F5960" s="1050"/>
      <c r="G5960" s="1050"/>
    </row>
    <row r="5961" spans="1:7">
      <c r="A5961" s="1079"/>
      <c r="B5961" s="1050"/>
      <c r="C5961" s="1050"/>
      <c r="D5961" s="1050"/>
      <c r="E5961" s="1050"/>
      <c r="F5961" s="1050"/>
      <c r="G5961" s="1050"/>
    </row>
    <row r="5962" spans="1:7">
      <c r="A5962" s="1079"/>
      <c r="B5962" s="1050"/>
      <c r="C5962" s="1050"/>
      <c r="D5962" s="1050"/>
      <c r="E5962" s="1050"/>
      <c r="F5962" s="1050"/>
      <c r="G5962" s="1050"/>
    </row>
    <row r="5963" spans="1:7">
      <c r="A5963" s="1079"/>
      <c r="B5963" s="1050"/>
      <c r="C5963" s="1050"/>
      <c r="D5963" s="1050"/>
      <c r="E5963" s="1050"/>
      <c r="F5963" s="1050"/>
      <c r="G5963" s="1050"/>
    </row>
    <row r="5964" spans="1:7">
      <c r="A5964" s="1079"/>
      <c r="B5964" s="1050"/>
      <c r="C5964" s="1050"/>
      <c r="D5964" s="1050"/>
      <c r="E5964" s="1050"/>
      <c r="F5964" s="1050"/>
      <c r="G5964" s="1050"/>
    </row>
    <row r="5965" spans="1:7">
      <c r="A5965" s="1079"/>
      <c r="B5965" s="1050"/>
      <c r="C5965" s="1050"/>
      <c r="D5965" s="1050"/>
      <c r="E5965" s="1050"/>
      <c r="F5965" s="1050"/>
      <c r="G5965" s="1050"/>
    </row>
    <row r="5966" spans="1:7">
      <c r="A5966" s="1079"/>
      <c r="B5966" s="1050"/>
      <c r="C5966" s="1050"/>
      <c r="D5966" s="1050"/>
      <c r="E5966" s="1050"/>
      <c r="F5966" s="1050"/>
      <c r="G5966" s="1050"/>
    </row>
    <row r="5967" spans="1:7">
      <c r="A5967" s="1079"/>
      <c r="B5967" s="1050"/>
      <c r="C5967" s="1050"/>
      <c r="D5967" s="1050"/>
      <c r="E5967" s="1050"/>
      <c r="F5967" s="1050"/>
      <c r="G5967" s="1050"/>
    </row>
    <row r="5968" spans="1:7">
      <c r="A5968" s="1079"/>
      <c r="B5968" s="1050"/>
      <c r="C5968" s="1050"/>
      <c r="D5968" s="1050"/>
      <c r="E5968" s="1050"/>
      <c r="F5968" s="1050"/>
      <c r="G5968" s="1050"/>
    </row>
    <row r="5969" spans="1:7">
      <c r="A5969" s="1079"/>
      <c r="B5969" s="1050"/>
      <c r="C5969" s="1050"/>
      <c r="D5969" s="1050"/>
      <c r="E5969" s="1050"/>
      <c r="F5969" s="1050"/>
      <c r="G5969" s="1050"/>
    </row>
    <row r="5970" spans="1:7">
      <c r="A5970" s="1079"/>
      <c r="B5970" s="1050"/>
      <c r="C5970" s="1050"/>
      <c r="D5970" s="1050"/>
      <c r="E5970" s="1050"/>
      <c r="F5970" s="1050"/>
      <c r="G5970" s="1050"/>
    </row>
    <row r="5971" spans="1:7">
      <c r="A5971" s="1079"/>
      <c r="B5971" s="1050"/>
      <c r="C5971" s="1050"/>
      <c r="D5971" s="1050"/>
      <c r="E5971" s="1050"/>
      <c r="F5971" s="1050"/>
      <c r="G5971" s="1050"/>
    </row>
    <row r="5972" spans="1:7">
      <c r="A5972" s="1079"/>
      <c r="B5972" s="1050"/>
      <c r="C5972" s="1050"/>
      <c r="D5972" s="1050"/>
      <c r="E5972" s="1050"/>
      <c r="F5972" s="1050"/>
      <c r="G5972" s="1050"/>
    </row>
    <row r="5973" spans="1:7">
      <c r="A5973" s="1079"/>
      <c r="B5973" s="1050"/>
      <c r="C5973" s="1050"/>
      <c r="D5973" s="1050"/>
      <c r="E5973" s="1050"/>
      <c r="F5973" s="1050"/>
      <c r="G5973" s="1050"/>
    </row>
    <row r="5974" spans="1:7">
      <c r="A5974" s="1079"/>
      <c r="B5974" s="1050"/>
      <c r="C5974" s="1050"/>
      <c r="D5974" s="1050"/>
      <c r="E5974" s="1050"/>
      <c r="F5974" s="1050"/>
      <c r="G5974" s="1050"/>
    </row>
    <row r="5975" spans="1:7">
      <c r="A5975" s="1079"/>
      <c r="B5975" s="1050"/>
      <c r="C5975" s="1050"/>
      <c r="D5975" s="1050"/>
      <c r="E5975" s="1050"/>
      <c r="F5975" s="1050"/>
      <c r="G5975" s="1050"/>
    </row>
    <row r="5976" spans="1:7">
      <c r="A5976" s="1079"/>
      <c r="B5976" s="1050"/>
      <c r="C5976" s="1050"/>
      <c r="D5976" s="1050"/>
      <c r="E5976" s="1050"/>
      <c r="F5976" s="1050"/>
      <c r="G5976" s="1050"/>
    </row>
    <row r="5977" spans="1:7">
      <c r="A5977" s="1079"/>
      <c r="B5977" s="1050"/>
      <c r="C5977" s="1050"/>
      <c r="D5977" s="1050"/>
      <c r="E5977" s="1050"/>
      <c r="F5977" s="1050"/>
      <c r="G5977" s="1050"/>
    </row>
    <row r="5978" spans="1:7">
      <c r="A5978" s="1079"/>
      <c r="B5978" s="1050"/>
      <c r="C5978" s="1050"/>
      <c r="D5978" s="1050"/>
      <c r="E5978" s="1050"/>
      <c r="F5978" s="1050"/>
      <c r="G5978" s="1050"/>
    </row>
    <row r="5979" spans="1:7">
      <c r="A5979" s="1079"/>
      <c r="B5979" s="1050"/>
      <c r="C5979" s="1050"/>
      <c r="D5979" s="1050"/>
      <c r="E5979" s="1050"/>
      <c r="F5979" s="1050"/>
      <c r="G5979" s="1050"/>
    </row>
    <row r="5980" spans="1:7">
      <c r="A5980" s="1079"/>
      <c r="B5980" s="1050"/>
      <c r="C5980" s="1050"/>
      <c r="D5980" s="1050"/>
      <c r="E5980" s="1050"/>
      <c r="F5980" s="1050"/>
      <c r="G5980" s="1050"/>
    </row>
    <row r="5981" spans="1:7">
      <c r="A5981" s="1079"/>
      <c r="B5981" s="1050"/>
      <c r="C5981" s="1050"/>
      <c r="D5981" s="1050"/>
      <c r="E5981" s="1050"/>
      <c r="F5981" s="1050"/>
      <c r="G5981" s="1050"/>
    </row>
    <row r="5982" spans="1:7">
      <c r="A5982" s="1079"/>
      <c r="B5982" s="1050"/>
      <c r="C5982" s="1050"/>
      <c r="D5982" s="1050"/>
      <c r="E5982" s="1050"/>
      <c r="F5982" s="1050"/>
      <c r="G5982" s="1050"/>
    </row>
    <row r="5983" spans="1:7">
      <c r="A5983" s="1079"/>
      <c r="B5983" s="1050"/>
      <c r="C5983" s="1050"/>
      <c r="D5983" s="1050"/>
      <c r="E5983" s="1050"/>
      <c r="F5983" s="1050"/>
      <c r="G5983" s="1050"/>
    </row>
    <row r="5984" spans="1:7">
      <c r="A5984" s="1079"/>
      <c r="B5984" s="1050"/>
      <c r="C5984" s="1050"/>
      <c r="D5984" s="1050"/>
      <c r="E5984" s="1050"/>
      <c r="F5984" s="1050"/>
      <c r="G5984" s="1050"/>
    </row>
    <row r="5985" spans="1:7">
      <c r="A5985" s="1079"/>
      <c r="B5985" s="1050"/>
      <c r="C5985" s="1050"/>
      <c r="D5985" s="1050"/>
      <c r="E5985" s="1050"/>
      <c r="F5985" s="1050"/>
      <c r="G5985" s="1050"/>
    </row>
    <row r="5986" spans="1:7">
      <c r="A5986" s="1079"/>
      <c r="B5986" s="1050"/>
      <c r="C5986" s="1050"/>
      <c r="D5986" s="1050"/>
      <c r="E5986" s="1050"/>
      <c r="F5986" s="1050"/>
      <c r="G5986" s="1050"/>
    </row>
    <row r="5987" spans="1:7">
      <c r="A5987" s="1079"/>
      <c r="B5987" s="1050"/>
      <c r="C5987" s="1050"/>
      <c r="D5987" s="1050"/>
      <c r="E5987" s="1050"/>
      <c r="F5987" s="1050"/>
      <c r="G5987" s="1050"/>
    </row>
    <row r="5988" spans="1:7">
      <c r="A5988" s="1079"/>
      <c r="B5988" s="1050"/>
      <c r="C5988" s="1050"/>
      <c r="D5988" s="1050"/>
      <c r="E5988" s="1050"/>
      <c r="F5988" s="1050"/>
      <c r="G5988" s="1050"/>
    </row>
    <row r="5989" spans="1:7">
      <c r="A5989" s="1079"/>
      <c r="B5989" s="1050"/>
      <c r="C5989" s="1050"/>
      <c r="D5989" s="1050"/>
      <c r="E5989" s="1050"/>
      <c r="F5989" s="1050"/>
      <c r="G5989" s="1050"/>
    </row>
    <row r="5990" spans="1:7">
      <c r="A5990" s="1079"/>
      <c r="B5990" s="1050"/>
      <c r="C5990" s="1050"/>
      <c r="D5990" s="1050"/>
      <c r="E5990" s="1050"/>
      <c r="F5990" s="1050"/>
      <c r="G5990" s="1050"/>
    </row>
    <row r="5991" spans="1:7">
      <c r="A5991" s="1079"/>
      <c r="B5991" s="1050"/>
      <c r="C5991" s="1050"/>
      <c r="D5991" s="1050"/>
      <c r="E5991" s="1050"/>
      <c r="F5991" s="1050"/>
      <c r="G5991" s="1050"/>
    </row>
    <row r="5992" spans="1:7">
      <c r="A5992" s="1079"/>
      <c r="B5992" s="1050"/>
      <c r="C5992" s="1050"/>
      <c r="D5992" s="1050"/>
      <c r="E5992" s="1050"/>
      <c r="F5992" s="1050"/>
      <c r="G5992" s="1050"/>
    </row>
    <row r="5993" spans="1:7">
      <c r="A5993" s="1079"/>
      <c r="B5993" s="1050"/>
      <c r="C5993" s="1050"/>
      <c r="D5993" s="1050"/>
      <c r="E5993" s="1050"/>
      <c r="F5993" s="1050"/>
      <c r="G5993" s="1050"/>
    </row>
    <row r="5994" spans="1:7">
      <c r="A5994" s="1079"/>
      <c r="B5994" s="1050"/>
      <c r="C5994" s="1050"/>
      <c r="D5994" s="1050"/>
      <c r="E5994" s="1050"/>
      <c r="F5994" s="1050"/>
      <c r="G5994" s="1050"/>
    </row>
    <row r="5995" spans="1:7">
      <c r="A5995" s="1079"/>
      <c r="B5995" s="1050"/>
      <c r="C5995" s="1050"/>
      <c r="D5995" s="1050"/>
      <c r="E5995" s="1050"/>
      <c r="F5995" s="1050"/>
      <c r="G5995" s="1050"/>
    </row>
    <row r="5996" spans="1:7">
      <c r="A5996" s="1079"/>
      <c r="B5996" s="1050"/>
      <c r="C5996" s="1050"/>
      <c r="D5996" s="1050"/>
      <c r="E5996" s="1050"/>
      <c r="F5996" s="1050"/>
      <c r="G5996" s="1050"/>
    </row>
    <row r="5997" spans="1:7">
      <c r="A5997" s="1079"/>
      <c r="B5997" s="1050"/>
      <c r="C5997" s="1050"/>
      <c r="D5997" s="1050"/>
      <c r="E5997" s="1050"/>
      <c r="F5997" s="1050"/>
      <c r="G5997" s="1050"/>
    </row>
    <row r="5998" spans="1:7">
      <c r="A5998" s="1079"/>
      <c r="B5998" s="1050"/>
      <c r="C5998" s="1050"/>
      <c r="D5998" s="1050"/>
      <c r="E5998" s="1050"/>
      <c r="F5998" s="1050"/>
      <c r="G5998" s="1050"/>
    </row>
    <row r="5999" spans="1:7">
      <c r="A5999" s="1079"/>
      <c r="B5999" s="1050"/>
      <c r="C5999" s="1050"/>
      <c r="D5999" s="1050"/>
      <c r="E5999" s="1050"/>
      <c r="F5999" s="1050"/>
      <c r="G5999" s="1050"/>
    </row>
    <row r="6000" spans="1:7">
      <c r="A6000" s="1079"/>
      <c r="B6000" s="1050"/>
      <c r="C6000" s="1050"/>
      <c r="D6000" s="1050"/>
      <c r="E6000" s="1050"/>
      <c r="F6000" s="1050"/>
      <c r="G6000" s="1050"/>
    </row>
    <row r="6001" spans="1:7">
      <c r="A6001" s="1079"/>
      <c r="B6001" s="1050"/>
      <c r="C6001" s="1050"/>
      <c r="D6001" s="1050"/>
      <c r="E6001" s="1050"/>
      <c r="F6001" s="1050"/>
      <c r="G6001" s="1050"/>
    </row>
    <row r="6002" spans="1:7">
      <c r="A6002" s="1079"/>
      <c r="B6002" s="1050"/>
      <c r="C6002" s="1050"/>
      <c r="D6002" s="1050"/>
      <c r="E6002" s="1050"/>
      <c r="F6002" s="1050"/>
      <c r="G6002" s="1050"/>
    </row>
    <row r="6003" spans="1:7">
      <c r="A6003" s="1079"/>
      <c r="B6003" s="1050"/>
      <c r="C6003" s="1050"/>
      <c r="D6003" s="1050"/>
      <c r="E6003" s="1050"/>
      <c r="F6003" s="1050"/>
      <c r="G6003" s="1050"/>
    </row>
    <row r="6004" spans="1:7">
      <c r="A6004" s="1079"/>
      <c r="B6004" s="1050"/>
      <c r="C6004" s="1050"/>
      <c r="D6004" s="1050"/>
      <c r="E6004" s="1050"/>
      <c r="F6004" s="1050"/>
      <c r="G6004" s="1050"/>
    </row>
    <row r="6005" spans="1:7">
      <c r="A6005" s="1079"/>
      <c r="B6005" s="1050"/>
      <c r="C6005" s="1050"/>
      <c r="D6005" s="1050"/>
      <c r="E6005" s="1050"/>
      <c r="F6005" s="1050"/>
      <c r="G6005" s="1050"/>
    </row>
    <row r="6006" spans="1:7">
      <c r="A6006" s="1079"/>
      <c r="B6006" s="1050"/>
      <c r="C6006" s="1050"/>
      <c r="D6006" s="1050"/>
      <c r="E6006" s="1050"/>
      <c r="F6006" s="1050"/>
      <c r="G6006" s="1050"/>
    </row>
    <row r="6007" spans="1:7">
      <c r="A6007" s="1079"/>
      <c r="B6007" s="1050"/>
      <c r="C6007" s="1050"/>
      <c r="D6007" s="1050"/>
      <c r="E6007" s="1050"/>
      <c r="F6007" s="1050"/>
      <c r="G6007" s="1050"/>
    </row>
    <row r="6008" spans="1:7">
      <c r="A6008" s="1079"/>
      <c r="B6008" s="1050"/>
      <c r="C6008" s="1050"/>
      <c r="D6008" s="1050"/>
      <c r="E6008" s="1050"/>
      <c r="F6008" s="1050"/>
      <c r="G6008" s="1050"/>
    </row>
    <row r="6009" spans="1:7">
      <c r="A6009" s="1079"/>
      <c r="B6009" s="1050"/>
      <c r="C6009" s="1050"/>
      <c r="D6009" s="1050"/>
      <c r="E6009" s="1050"/>
      <c r="F6009" s="1050"/>
      <c r="G6009" s="1050"/>
    </row>
    <row r="6010" spans="1:7">
      <c r="A6010" s="1079"/>
      <c r="B6010" s="1050"/>
      <c r="C6010" s="1050"/>
      <c r="D6010" s="1050"/>
      <c r="E6010" s="1050"/>
      <c r="F6010" s="1050"/>
      <c r="G6010" s="1050"/>
    </row>
    <row r="6011" spans="1:7">
      <c r="A6011" s="1079"/>
      <c r="B6011" s="1050"/>
      <c r="C6011" s="1050"/>
      <c r="D6011" s="1050"/>
      <c r="E6011" s="1050"/>
      <c r="F6011" s="1050"/>
      <c r="G6011" s="1050"/>
    </row>
    <row r="6012" spans="1:7">
      <c r="A6012" s="1079"/>
      <c r="B6012" s="1050"/>
      <c r="C6012" s="1050"/>
      <c r="D6012" s="1050"/>
      <c r="E6012" s="1050"/>
      <c r="F6012" s="1050"/>
      <c r="G6012" s="1050"/>
    </row>
    <row r="6013" spans="1:7">
      <c r="A6013" s="1079"/>
      <c r="B6013" s="1050"/>
      <c r="C6013" s="1050"/>
      <c r="D6013" s="1050"/>
      <c r="E6013" s="1050"/>
      <c r="F6013" s="1050"/>
      <c r="G6013" s="1050"/>
    </row>
    <row r="6014" spans="1:7">
      <c r="A6014" s="1079"/>
      <c r="B6014" s="1050"/>
      <c r="C6014" s="1050"/>
      <c r="D6014" s="1050"/>
      <c r="E6014" s="1050"/>
      <c r="F6014" s="1050"/>
      <c r="G6014" s="1050"/>
    </row>
    <row r="6015" spans="1:7">
      <c r="A6015" s="1079"/>
      <c r="B6015" s="1050"/>
      <c r="C6015" s="1050"/>
      <c r="D6015" s="1050"/>
      <c r="E6015" s="1050"/>
      <c r="F6015" s="1050"/>
      <c r="G6015" s="1050"/>
    </row>
    <row r="6016" spans="1:7">
      <c r="A6016" s="1079"/>
      <c r="B6016" s="1050"/>
      <c r="C6016" s="1050"/>
      <c r="D6016" s="1050"/>
      <c r="E6016" s="1050"/>
      <c r="F6016" s="1050"/>
      <c r="G6016" s="1050"/>
    </row>
    <row r="6017" spans="1:7">
      <c r="A6017" s="1079"/>
      <c r="B6017" s="1050"/>
      <c r="C6017" s="1050"/>
      <c r="D6017" s="1050"/>
      <c r="E6017" s="1050"/>
      <c r="F6017" s="1050"/>
      <c r="G6017" s="1050"/>
    </row>
    <row r="6018" spans="1:7">
      <c r="A6018" s="1079"/>
      <c r="B6018" s="1050"/>
      <c r="C6018" s="1050"/>
      <c r="D6018" s="1050"/>
      <c r="E6018" s="1050"/>
      <c r="F6018" s="1050"/>
      <c r="G6018" s="1050"/>
    </row>
    <row r="6019" spans="1:7">
      <c r="A6019" s="1079"/>
      <c r="B6019" s="1050"/>
      <c r="C6019" s="1050"/>
      <c r="D6019" s="1050"/>
      <c r="E6019" s="1050"/>
      <c r="F6019" s="1050"/>
      <c r="G6019" s="1050"/>
    </row>
    <row r="6020" spans="1:7">
      <c r="A6020" s="1079"/>
      <c r="B6020" s="1050"/>
      <c r="C6020" s="1050"/>
      <c r="D6020" s="1050"/>
      <c r="E6020" s="1050"/>
      <c r="F6020" s="1050"/>
      <c r="G6020" s="1050"/>
    </row>
    <row r="6021" spans="1:7">
      <c r="A6021" s="1079"/>
      <c r="B6021" s="1050"/>
      <c r="C6021" s="1050"/>
      <c r="D6021" s="1050"/>
      <c r="E6021" s="1050"/>
      <c r="F6021" s="1050"/>
      <c r="G6021" s="1050"/>
    </row>
    <row r="6022" spans="1:7">
      <c r="A6022" s="1079"/>
      <c r="B6022" s="1050"/>
      <c r="C6022" s="1050"/>
      <c r="D6022" s="1050"/>
      <c r="E6022" s="1050"/>
      <c r="F6022" s="1050"/>
      <c r="G6022" s="1050"/>
    </row>
    <row r="6023" spans="1:7">
      <c r="A6023" s="1079"/>
      <c r="B6023" s="1050"/>
      <c r="C6023" s="1050"/>
      <c r="D6023" s="1050"/>
      <c r="E6023" s="1050"/>
      <c r="F6023" s="1050"/>
      <c r="G6023" s="1050"/>
    </row>
    <row r="6024" spans="1:7">
      <c r="A6024" s="1079"/>
      <c r="B6024" s="1050"/>
      <c r="C6024" s="1050"/>
      <c r="D6024" s="1050"/>
      <c r="E6024" s="1050"/>
      <c r="F6024" s="1050"/>
      <c r="G6024" s="1050"/>
    </row>
    <row r="6025" spans="1:7">
      <c r="A6025" s="1079"/>
      <c r="B6025" s="1050"/>
      <c r="C6025" s="1050"/>
      <c r="D6025" s="1050"/>
      <c r="E6025" s="1050"/>
      <c r="F6025" s="1050"/>
      <c r="G6025" s="1050"/>
    </row>
    <row r="6026" spans="1:7">
      <c r="A6026" s="1079"/>
      <c r="B6026" s="1050"/>
      <c r="C6026" s="1050"/>
      <c r="D6026" s="1050"/>
      <c r="E6026" s="1050"/>
      <c r="F6026" s="1050"/>
      <c r="G6026" s="1050"/>
    </row>
    <row r="6027" spans="1:7">
      <c r="A6027" s="1079"/>
      <c r="B6027" s="1050"/>
      <c r="C6027" s="1050"/>
      <c r="D6027" s="1050"/>
      <c r="E6027" s="1050"/>
      <c r="F6027" s="1050"/>
      <c r="G6027" s="1050"/>
    </row>
    <row r="6028" spans="1:7">
      <c r="A6028" s="1079"/>
      <c r="B6028" s="1050"/>
      <c r="C6028" s="1050"/>
      <c r="D6028" s="1050"/>
      <c r="E6028" s="1050"/>
      <c r="F6028" s="1050"/>
      <c r="G6028" s="1050"/>
    </row>
    <row r="6029" spans="1:7">
      <c r="A6029" s="1079"/>
      <c r="B6029" s="1050"/>
      <c r="C6029" s="1050"/>
      <c r="D6029" s="1050"/>
      <c r="E6029" s="1050"/>
      <c r="F6029" s="1050"/>
      <c r="G6029" s="1050"/>
    </row>
    <row r="6030" spans="1:7">
      <c r="A6030" s="1079"/>
      <c r="B6030" s="1050"/>
      <c r="C6030" s="1050"/>
      <c r="D6030" s="1050"/>
      <c r="E6030" s="1050"/>
      <c r="F6030" s="1050"/>
      <c r="G6030" s="1050"/>
    </row>
    <row r="6031" spans="1:7">
      <c r="A6031" s="1079"/>
      <c r="B6031" s="1050"/>
      <c r="C6031" s="1050"/>
      <c r="D6031" s="1050"/>
      <c r="E6031" s="1050"/>
      <c r="F6031" s="1050"/>
      <c r="G6031" s="1050"/>
    </row>
    <row r="6032" spans="1:7">
      <c r="A6032" s="1079"/>
      <c r="B6032" s="1050"/>
      <c r="C6032" s="1050"/>
      <c r="D6032" s="1050"/>
      <c r="E6032" s="1050"/>
      <c r="F6032" s="1050"/>
      <c r="G6032" s="1050"/>
    </row>
    <row r="6033" spans="1:7">
      <c r="A6033" s="1079"/>
      <c r="B6033" s="1050"/>
      <c r="C6033" s="1050"/>
      <c r="D6033" s="1050"/>
      <c r="E6033" s="1050"/>
      <c r="F6033" s="1050"/>
      <c r="G6033" s="1050"/>
    </row>
    <row r="6034" spans="1:7">
      <c r="A6034" s="1079"/>
      <c r="B6034" s="1050"/>
      <c r="C6034" s="1050"/>
      <c r="D6034" s="1050"/>
      <c r="E6034" s="1050"/>
      <c r="F6034" s="1050"/>
      <c r="G6034" s="1050"/>
    </row>
    <row r="6035" spans="1:7">
      <c r="A6035" s="1079"/>
      <c r="B6035" s="1050"/>
      <c r="C6035" s="1050"/>
      <c r="D6035" s="1050"/>
      <c r="E6035" s="1050"/>
      <c r="F6035" s="1050"/>
      <c r="G6035" s="1050"/>
    </row>
    <row r="6036" spans="1:7">
      <c r="A6036" s="1079"/>
      <c r="B6036" s="1050"/>
      <c r="C6036" s="1050"/>
      <c r="D6036" s="1050"/>
      <c r="E6036" s="1050"/>
      <c r="F6036" s="1050"/>
      <c r="G6036" s="1050"/>
    </row>
    <row r="6037" spans="1:7">
      <c r="A6037" s="1079"/>
      <c r="B6037" s="1050"/>
      <c r="C6037" s="1050"/>
      <c r="D6037" s="1050"/>
      <c r="E6037" s="1050"/>
      <c r="F6037" s="1050"/>
      <c r="G6037" s="1050"/>
    </row>
    <row r="6038" spans="1:7">
      <c r="A6038" s="1079"/>
      <c r="B6038" s="1050"/>
      <c r="C6038" s="1050"/>
      <c r="D6038" s="1050"/>
      <c r="E6038" s="1050"/>
      <c r="F6038" s="1050"/>
      <c r="G6038" s="1050"/>
    </row>
    <row r="6039" spans="1:7">
      <c r="A6039" s="1079"/>
      <c r="B6039" s="1050"/>
      <c r="C6039" s="1050"/>
      <c r="D6039" s="1050"/>
      <c r="E6039" s="1050"/>
      <c r="F6039" s="1050"/>
      <c r="G6039" s="1050"/>
    </row>
    <row r="6040" spans="1:7">
      <c r="A6040" s="1079"/>
      <c r="B6040" s="1050"/>
      <c r="C6040" s="1050"/>
      <c r="D6040" s="1050"/>
      <c r="E6040" s="1050"/>
      <c r="F6040" s="1050"/>
      <c r="G6040" s="1050"/>
    </row>
    <row r="6041" spans="1:7">
      <c r="A6041" s="1079"/>
      <c r="B6041" s="1050"/>
      <c r="C6041" s="1050"/>
      <c r="D6041" s="1050"/>
      <c r="E6041" s="1050"/>
      <c r="F6041" s="1050"/>
      <c r="G6041" s="1050"/>
    </row>
    <row r="6042" spans="1:7">
      <c r="A6042" s="1079"/>
      <c r="B6042" s="1050"/>
      <c r="C6042" s="1050"/>
      <c r="D6042" s="1050"/>
      <c r="E6042" s="1050"/>
      <c r="F6042" s="1050"/>
      <c r="G6042" s="1050"/>
    </row>
    <row r="6043" spans="1:7">
      <c r="A6043" s="1079"/>
      <c r="B6043" s="1050"/>
      <c r="C6043" s="1050"/>
      <c r="D6043" s="1050"/>
      <c r="E6043" s="1050"/>
      <c r="F6043" s="1050"/>
      <c r="G6043" s="1050"/>
    </row>
    <row r="6044" spans="1:7">
      <c r="A6044" s="1079"/>
      <c r="B6044" s="1050"/>
      <c r="C6044" s="1050"/>
      <c r="D6044" s="1050"/>
      <c r="E6044" s="1050"/>
      <c r="F6044" s="1050"/>
      <c r="G6044" s="1050"/>
    </row>
    <row r="6045" spans="1:7">
      <c r="A6045" s="1079"/>
      <c r="B6045" s="1050"/>
      <c r="C6045" s="1050"/>
      <c r="D6045" s="1050"/>
      <c r="E6045" s="1050"/>
      <c r="F6045" s="1050"/>
      <c r="G6045" s="1050"/>
    </row>
    <row r="6046" spans="1:7">
      <c r="A6046" s="1079"/>
      <c r="B6046" s="1050"/>
      <c r="C6046" s="1050"/>
      <c r="D6046" s="1050"/>
      <c r="E6046" s="1050"/>
      <c r="F6046" s="1050"/>
      <c r="G6046" s="1050"/>
    </row>
    <row r="6047" spans="1:7">
      <c r="A6047" s="1079"/>
      <c r="B6047" s="1050"/>
      <c r="C6047" s="1050"/>
      <c r="D6047" s="1050"/>
      <c r="E6047" s="1050"/>
      <c r="F6047" s="1050"/>
      <c r="G6047" s="1050"/>
    </row>
    <row r="6048" spans="1:7">
      <c r="A6048" s="1079"/>
      <c r="B6048" s="1050"/>
      <c r="C6048" s="1050"/>
      <c r="D6048" s="1050"/>
      <c r="E6048" s="1050"/>
      <c r="F6048" s="1050"/>
      <c r="G6048" s="1050"/>
    </row>
    <row r="6049" spans="1:7">
      <c r="A6049" s="1079"/>
      <c r="B6049" s="1050"/>
      <c r="C6049" s="1050"/>
      <c r="D6049" s="1050"/>
      <c r="E6049" s="1050"/>
      <c r="F6049" s="1050"/>
      <c r="G6049" s="1050"/>
    </row>
    <row r="6050" spans="1:7">
      <c r="A6050" s="1079"/>
      <c r="B6050" s="1050"/>
      <c r="C6050" s="1050"/>
      <c r="D6050" s="1050"/>
      <c r="E6050" s="1050"/>
      <c r="F6050" s="1050"/>
      <c r="G6050" s="1050"/>
    </row>
    <row r="6051" spans="1:7">
      <c r="A6051" s="1079"/>
      <c r="B6051" s="1050"/>
      <c r="C6051" s="1050"/>
      <c r="D6051" s="1050"/>
      <c r="E6051" s="1050"/>
      <c r="F6051" s="1050"/>
      <c r="G6051" s="1050"/>
    </row>
    <row r="6052" spans="1:7">
      <c r="A6052" s="1079"/>
      <c r="B6052" s="1050"/>
      <c r="C6052" s="1050"/>
      <c r="D6052" s="1050"/>
      <c r="E6052" s="1050"/>
      <c r="F6052" s="1050"/>
      <c r="G6052" s="1050"/>
    </row>
    <row r="6053" spans="1:7">
      <c r="A6053" s="1079"/>
      <c r="B6053" s="1050"/>
      <c r="C6053" s="1050"/>
      <c r="D6053" s="1050"/>
      <c r="E6053" s="1050"/>
      <c r="F6053" s="1050"/>
      <c r="G6053" s="1050"/>
    </row>
    <row r="6054" spans="1:7">
      <c r="A6054" s="1079"/>
      <c r="B6054" s="1050"/>
      <c r="C6054" s="1050"/>
      <c r="D6054" s="1050"/>
      <c r="E6054" s="1050"/>
      <c r="F6054" s="1050"/>
      <c r="G6054" s="1050"/>
    </row>
    <row r="6055" spans="1:7">
      <c r="A6055" s="1079"/>
      <c r="B6055" s="1050"/>
      <c r="C6055" s="1050"/>
      <c r="D6055" s="1050"/>
      <c r="E6055" s="1050"/>
      <c r="F6055" s="1050"/>
      <c r="G6055" s="1050"/>
    </row>
    <row r="6056" spans="1:7">
      <c r="A6056" s="1079"/>
      <c r="B6056" s="1050"/>
      <c r="C6056" s="1050"/>
      <c r="D6056" s="1050"/>
      <c r="E6056" s="1050"/>
      <c r="F6056" s="1050"/>
      <c r="G6056" s="1050"/>
    </row>
    <row r="6057" spans="1:7">
      <c r="A6057" s="1079"/>
      <c r="B6057" s="1050"/>
      <c r="C6057" s="1050"/>
      <c r="D6057" s="1050"/>
      <c r="E6057" s="1050"/>
      <c r="F6057" s="1050"/>
      <c r="G6057" s="1050"/>
    </row>
    <row r="6058" spans="1:7">
      <c r="A6058" s="1079"/>
      <c r="B6058" s="1050"/>
      <c r="C6058" s="1050"/>
      <c r="D6058" s="1050"/>
      <c r="E6058" s="1050"/>
      <c r="F6058" s="1050"/>
      <c r="G6058" s="1050"/>
    </row>
    <row r="6059" spans="1:7">
      <c r="A6059" s="1079"/>
      <c r="B6059" s="1050"/>
      <c r="C6059" s="1050"/>
      <c r="D6059" s="1050"/>
      <c r="E6059" s="1050"/>
      <c r="F6059" s="1050"/>
      <c r="G6059" s="1050"/>
    </row>
    <row r="6060" spans="1:7">
      <c r="A6060" s="1079"/>
      <c r="B6060" s="1050"/>
      <c r="C6060" s="1050"/>
      <c r="D6060" s="1050"/>
      <c r="E6060" s="1050"/>
      <c r="F6060" s="1050"/>
      <c r="G6060" s="1050"/>
    </row>
    <row r="6061" spans="1:7">
      <c r="A6061" s="1079"/>
      <c r="B6061" s="1050"/>
      <c r="C6061" s="1050"/>
      <c r="D6061" s="1050"/>
      <c r="E6061" s="1050"/>
      <c r="F6061" s="1050"/>
      <c r="G6061" s="1050"/>
    </row>
    <row r="6062" spans="1:7">
      <c r="A6062" s="1079"/>
      <c r="B6062" s="1050"/>
      <c r="C6062" s="1050"/>
      <c r="D6062" s="1050"/>
      <c r="E6062" s="1050"/>
      <c r="F6062" s="1050"/>
      <c r="G6062" s="1050"/>
    </row>
    <row r="6063" spans="1:7">
      <c r="A6063" s="1079"/>
      <c r="B6063" s="1050"/>
      <c r="C6063" s="1050"/>
      <c r="D6063" s="1050"/>
      <c r="E6063" s="1050"/>
      <c r="F6063" s="1050"/>
      <c r="G6063" s="1050"/>
    </row>
    <row r="6064" spans="1:7">
      <c r="A6064" s="1079"/>
      <c r="B6064" s="1050"/>
      <c r="C6064" s="1050"/>
      <c r="D6064" s="1050"/>
      <c r="E6064" s="1050"/>
      <c r="F6064" s="1050"/>
      <c r="G6064" s="1050"/>
    </row>
    <row r="6065" spans="1:7">
      <c r="A6065" s="1079"/>
      <c r="B6065" s="1050"/>
      <c r="C6065" s="1050"/>
      <c r="D6065" s="1050"/>
      <c r="E6065" s="1050"/>
      <c r="F6065" s="1050"/>
      <c r="G6065" s="1050"/>
    </row>
    <row r="6066" spans="1:7">
      <c r="A6066" s="1079"/>
      <c r="B6066" s="1050"/>
      <c r="C6066" s="1050"/>
      <c r="D6066" s="1050"/>
      <c r="E6066" s="1050"/>
      <c r="F6066" s="1050"/>
      <c r="G6066" s="1050"/>
    </row>
    <row r="6067" spans="1:7">
      <c r="A6067" s="1079"/>
      <c r="B6067" s="1050"/>
      <c r="C6067" s="1050"/>
      <c r="D6067" s="1050"/>
      <c r="E6067" s="1050"/>
      <c r="F6067" s="1050"/>
      <c r="G6067" s="1050"/>
    </row>
    <row r="6068" spans="1:7">
      <c r="A6068" s="1079"/>
      <c r="B6068" s="1050"/>
      <c r="C6068" s="1050"/>
      <c r="D6068" s="1050"/>
      <c r="E6068" s="1050"/>
      <c r="F6068" s="1050"/>
      <c r="G6068" s="1050"/>
    </row>
    <row r="6069" spans="1:7">
      <c r="A6069" s="1079"/>
      <c r="B6069" s="1050"/>
      <c r="C6069" s="1050"/>
      <c r="D6069" s="1050"/>
      <c r="E6069" s="1050"/>
      <c r="F6069" s="1050"/>
      <c r="G6069" s="1050"/>
    </row>
    <row r="6070" spans="1:7">
      <c r="A6070" s="1079"/>
      <c r="B6070" s="1050"/>
      <c r="C6070" s="1050"/>
      <c r="D6070" s="1050"/>
      <c r="E6070" s="1050"/>
      <c r="F6070" s="1050"/>
      <c r="G6070" s="1050"/>
    </row>
    <row r="6071" spans="1:7">
      <c r="A6071" s="1079"/>
      <c r="B6071" s="1050"/>
      <c r="C6071" s="1050"/>
      <c r="D6071" s="1050"/>
      <c r="E6071" s="1050"/>
      <c r="F6071" s="1050"/>
      <c r="G6071" s="1050"/>
    </row>
    <row r="6072" spans="1:7">
      <c r="A6072" s="1079"/>
      <c r="B6072" s="1050"/>
      <c r="C6072" s="1050"/>
      <c r="D6072" s="1050"/>
      <c r="E6072" s="1050"/>
      <c r="F6072" s="1050"/>
      <c r="G6072" s="1050"/>
    </row>
    <row r="6073" spans="1:7">
      <c r="A6073" s="1079"/>
      <c r="B6073" s="1050"/>
      <c r="C6073" s="1050"/>
      <c r="D6073" s="1050"/>
      <c r="E6073" s="1050"/>
      <c r="F6073" s="1050"/>
      <c r="G6073" s="1050"/>
    </row>
    <row r="6074" spans="1:7">
      <c r="A6074" s="1079"/>
      <c r="B6074" s="1050"/>
      <c r="C6074" s="1050"/>
      <c r="D6074" s="1050"/>
      <c r="E6074" s="1050"/>
      <c r="F6074" s="1050"/>
      <c r="G6074" s="1050"/>
    </row>
    <row r="6075" spans="1:7">
      <c r="A6075" s="1079"/>
      <c r="B6075" s="1050"/>
      <c r="C6075" s="1050"/>
      <c r="D6075" s="1050"/>
      <c r="E6075" s="1050"/>
      <c r="F6075" s="1050"/>
      <c r="G6075" s="1050"/>
    </row>
    <row r="6076" spans="1:7">
      <c r="A6076" s="1079"/>
      <c r="B6076" s="1050"/>
      <c r="C6076" s="1050"/>
      <c r="D6076" s="1050"/>
      <c r="E6076" s="1050"/>
      <c r="F6076" s="1050"/>
      <c r="G6076" s="1050"/>
    </row>
    <row r="6077" spans="1:7">
      <c r="A6077" s="1079"/>
      <c r="B6077" s="1050"/>
      <c r="C6077" s="1050"/>
      <c r="D6077" s="1050"/>
      <c r="E6077" s="1050"/>
      <c r="F6077" s="1050"/>
      <c r="G6077" s="1050"/>
    </row>
    <row r="6078" spans="1:7">
      <c r="A6078" s="1079"/>
      <c r="B6078" s="1050"/>
      <c r="C6078" s="1050"/>
      <c r="D6078" s="1050"/>
      <c r="E6078" s="1050"/>
      <c r="F6078" s="1050"/>
      <c r="G6078" s="1050"/>
    </row>
    <row r="6079" spans="1:7">
      <c r="A6079" s="1079"/>
      <c r="B6079" s="1050"/>
      <c r="C6079" s="1050"/>
      <c r="D6079" s="1050"/>
      <c r="E6079" s="1050"/>
      <c r="F6079" s="1050"/>
      <c r="G6079" s="1050"/>
    </row>
    <row r="6080" spans="1:7">
      <c r="A6080" s="1079"/>
      <c r="B6080" s="1050"/>
      <c r="C6080" s="1050"/>
      <c r="D6080" s="1050"/>
      <c r="E6080" s="1050"/>
      <c r="F6080" s="1050"/>
      <c r="G6080" s="1050"/>
    </row>
    <row r="6081" spans="1:7">
      <c r="A6081" s="1079"/>
      <c r="B6081" s="1050"/>
      <c r="C6081" s="1050"/>
      <c r="D6081" s="1050"/>
      <c r="E6081" s="1050"/>
      <c r="F6081" s="1050"/>
      <c r="G6081" s="1050"/>
    </row>
    <row r="6082" spans="1:7">
      <c r="A6082" s="1079"/>
      <c r="B6082" s="1050"/>
      <c r="C6082" s="1050"/>
      <c r="D6082" s="1050"/>
      <c r="E6082" s="1050"/>
      <c r="F6082" s="1050"/>
      <c r="G6082" s="1050"/>
    </row>
    <row r="6083" spans="1:7">
      <c r="A6083" s="1079"/>
      <c r="B6083" s="1050"/>
      <c r="C6083" s="1050"/>
      <c r="D6083" s="1050"/>
      <c r="E6083" s="1050"/>
      <c r="F6083" s="1050"/>
      <c r="G6083" s="1050"/>
    </row>
    <row r="6084" spans="1:7">
      <c r="A6084" s="1079"/>
      <c r="B6084" s="1050"/>
      <c r="C6084" s="1050"/>
      <c r="D6084" s="1050"/>
      <c r="E6084" s="1050"/>
      <c r="F6084" s="1050"/>
      <c r="G6084" s="1050"/>
    </row>
    <row r="6085" spans="1:7">
      <c r="A6085" s="1079"/>
      <c r="B6085" s="1050"/>
      <c r="C6085" s="1050"/>
      <c r="D6085" s="1050"/>
      <c r="E6085" s="1050"/>
      <c r="F6085" s="1050"/>
      <c r="G6085" s="1050"/>
    </row>
    <row r="6086" spans="1:7">
      <c r="A6086" s="1079"/>
      <c r="B6086" s="1050"/>
      <c r="C6086" s="1050"/>
      <c r="D6086" s="1050"/>
      <c r="E6086" s="1050"/>
      <c r="F6086" s="1050"/>
      <c r="G6086" s="1050"/>
    </row>
    <row r="6087" spans="1:7">
      <c r="A6087" s="1079"/>
      <c r="B6087" s="1050"/>
      <c r="C6087" s="1050"/>
      <c r="D6087" s="1050"/>
      <c r="E6087" s="1050"/>
      <c r="F6087" s="1050"/>
      <c r="G6087" s="1050"/>
    </row>
    <row r="6088" spans="1:7">
      <c r="A6088" s="1079"/>
      <c r="B6088" s="1050"/>
      <c r="C6088" s="1050"/>
      <c r="D6088" s="1050"/>
      <c r="E6088" s="1050"/>
      <c r="F6088" s="1050"/>
      <c r="G6088" s="1050"/>
    </row>
    <row r="6089" spans="1:7">
      <c r="A6089" s="1079"/>
      <c r="B6089" s="1050"/>
      <c r="C6089" s="1050"/>
      <c r="D6089" s="1050"/>
      <c r="E6089" s="1050"/>
      <c r="F6089" s="1050"/>
      <c r="G6089" s="1050"/>
    </row>
    <row r="6090" spans="1:7">
      <c r="A6090" s="1079"/>
      <c r="B6090" s="1050"/>
      <c r="C6090" s="1050"/>
      <c r="D6090" s="1050"/>
      <c r="E6090" s="1050"/>
      <c r="F6090" s="1050"/>
      <c r="G6090" s="1050"/>
    </row>
    <row r="6091" spans="1:7">
      <c r="A6091" s="1079"/>
      <c r="B6091" s="1050"/>
      <c r="C6091" s="1050"/>
      <c r="D6091" s="1050"/>
      <c r="E6091" s="1050"/>
      <c r="F6091" s="1050"/>
      <c r="G6091" s="1050"/>
    </row>
    <row r="6092" spans="1:7">
      <c r="A6092" s="1079"/>
      <c r="B6092" s="1050"/>
      <c r="C6092" s="1050"/>
      <c r="D6092" s="1050"/>
      <c r="E6092" s="1050"/>
      <c r="F6092" s="1050"/>
      <c r="G6092" s="1050"/>
    </row>
    <row r="6093" spans="1:7">
      <c r="A6093" s="1079"/>
      <c r="B6093" s="1050"/>
      <c r="C6093" s="1050"/>
      <c r="D6093" s="1050"/>
      <c r="E6093" s="1050"/>
      <c r="F6093" s="1050"/>
      <c r="G6093" s="1050"/>
    </row>
    <row r="6094" spans="1:7">
      <c r="A6094" s="1079"/>
      <c r="B6094" s="1050"/>
      <c r="C6094" s="1050"/>
      <c r="D6094" s="1050"/>
      <c r="E6094" s="1050"/>
      <c r="F6094" s="1050"/>
      <c r="G6094" s="1050"/>
    </row>
    <row r="6095" spans="1:7">
      <c r="A6095" s="1079"/>
      <c r="B6095" s="1050"/>
      <c r="C6095" s="1050"/>
      <c r="D6095" s="1050"/>
      <c r="E6095" s="1050"/>
      <c r="F6095" s="1050"/>
      <c r="G6095" s="1050"/>
    </row>
    <row r="6096" spans="1:7">
      <c r="A6096" s="1079"/>
      <c r="B6096" s="1050"/>
      <c r="C6096" s="1050"/>
      <c r="D6096" s="1050"/>
      <c r="E6096" s="1050"/>
      <c r="F6096" s="1050"/>
      <c r="G6096" s="1050"/>
    </row>
    <row r="6097" spans="1:7">
      <c r="A6097" s="1079"/>
      <c r="B6097" s="1050"/>
      <c r="C6097" s="1050"/>
      <c r="D6097" s="1050"/>
      <c r="E6097" s="1050"/>
      <c r="F6097" s="1050"/>
      <c r="G6097" s="1050"/>
    </row>
    <row r="6098" spans="1:7">
      <c r="A6098" s="1079"/>
      <c r="B6098" s="1050"/>
      <c r="C6098" s="1050"/>
      <c r="D6098" s="1050"/>
      <c r="E6098" s="1050"/>
      <c r="F6098" s="1050"/>
      <c r="G6098" s="1050"/>
    </row>
    <row r="6099" spans="1:7">
      <c r="A6099" s="1079"/>
      <c r="B6099" s="1050"/>
      <c r="C6099" s="1050"/>
      <c r="D6099" s="1050"/>
      <c r="E6099" s="1050"/>
      <c r="F6099" s="1050"/>
      <c r="G6099" s="1050"/>
    </row>
    <row r="6100" spans="1:7">
      <c r="A6100" s="1079"/>
      <c r="B6100" s="1050"/>
      <c r="C6100" s="1050"/>
      <c r="D6100" s="1050"/>
      <c r="E6100" s="1050"/>
      <c r="F6100" s="1050"/>
      <c r="G6100" s="1050"/>
    </row>
    <row r="6101" spans="1:7">
      <c r="A6101" s="1079"/>
      <c r="B6101" s="1050"/>
      <c r="C6101" s="1050"/>
      <c r="D6101" s="1050"/>
      <c r="E6101" s="1050"/>
      <c r="F6101" s="1050"/>
      <c r="G6101" s="1050"/>
    </row>
    <row r="6102" spans="1:7">
      <c r="A6102" s="1079"/>
      <c r="B6102" s="1050"/>
      <c r="C6102" s="1050"/>
      <c r="D6102" s="1050"/>
      <c r="E6102" s="1050"/>
      <c r="F6102" s="1050"/>
      <c r="G6102" s="1050"/>
    </row>
    <row r="6103" spans="1:7">
      <c r="A6103" s="1079"/>
      <c r="B6103" s="1050"/>
      <c r="C6103" s="1050"/>
      <c r="D6103" s="1050"/>
      <c r="E6103" s="1050"/>
      <c r="F6103" s="1050"/>
      <c r="G6103" s="1050"/>
    </row>
    <row r="6104" spans="1:7">
      <c r="A6104" s="1079"/>
      <c r="B6104" s="1050"/>
      <c r="C6104" s="1050"/>
      <c r="D6104" s="1050"/>
      <c r="E6104" s="1050"/>
      <c r="F6104" s="1050"/>
      <c r="G6104" s="1050"/>
    </row>
    <row r="6105" spans="1:7">
      <c r="A6105" s="1079"/>
      <c r="B6105" s="1050"/>
      <c r="C6105" s="1050"/>
      <c r="D6105" s="1050"/>
      <c r="E6105" s="1050"/>
      <c r="F6105" s="1050"/>
      <c r="G6105" s="1050"/>
    </row>
    <row r="6106" spans="1:7">
      <c r="A6106" s="1079"/>
      <c r="B6106" s="1050"/>
      <c r="C6106" s="1050"/>
      <c r="D6106" s="1050"/>
      <c r="E6106" s="1050"/>
      <c r="F6106" s="1050"/>
      <c r="G6106" s="1050"/>
    </row>
    <row r="6107" spans="1:7">
      <c r="A6107" s="1079"/>
      <c r="B6107" s="1050"/>
      <c r="C6107" s="1050"/>
      <c r="D6107" s="1050"/>
      <c r="E6107" s="1050"/>
      <c r="F6107" s="1050"/>
      <c r="G6107" s="1050"/>
    </row>
    <row r="6108" spans="1:7">
      <c r="A6108" s="1079"/>
      <c r="B6108" s="1050"/>
      <c r="C6108" s="1050"/>
      <c r="D6108" s="1050"/>
      <c r="E6108" s="1050"/>
      <c r="F6108" s="1050"/>
      <c r="G6108" s="1050"/>
    </row>
    <row r="6109" spans="1:7">
      <c r="A6109" s="1079"/>
      <c r="B6109" s="1050"/>
      <c r="C6109" s="1050"/>
      <c r="D6109" s="1050"/>
      <c r="E6109" s="1050"/>
      <c r="F6109" s="1050"/>
      <c r="G6109" s="1050"/>
    </row>
    <row r="6110" spans="1:7">
      <c r="A6110" s="1079"/>
      <c r="B6110" s="1050"/>
      <c r="C6110" s="1050"/>
      <c r="D6110" s="1050"/>
      <c r="E6110" s="1050"/>
      <c r="F6110" s="1050"/>
      <c r="G6110" s="1050"/>
    </row>
    <row r="6111" spans="1:7">
      <c r="A6111" s="1079"/>
      <c r="B6111" s="1050"/>
      <c r="C6111" s="1050"/>
      <c r="D6111" s="1050"/>
      <c r="E6111" s="1050"/>
      <c r="F6111" s="1050"/>
      <c r="G6111" s="1050"/>
    </row>
    <row r="6112" spans="1:7">
      <c r="A6112" s="1079"/>
      <c r="B6112" s="1050"/>
      <c r="C6112" s="1050"/>
      <c r="D6112" s="1050"/>
      <c r="E6112" s="1050"/>
      <c r="F6112" s="1050"/>
      <c r="G6112" s="1050"/>
    </row>
    <row r="6113" spans="1:7">
      <c r="A6113" s="1079"/>
      <c r="B6113" s="1050"/>
      <c r="C6113" s="1050"/>
      <c r="D6113" s="1050"/>
      <c r="E6113" s="1050"/>
      <c r="F6113" s="1050"/>
      <c r="G6113" s="1050"/>
    </row>
    <row r="6114" spans="1:7">
      <c r="A6114" s="1079"/>
      <c r="B6114" s="1050"/>
      <c r="C6114" s="1050"/>
      <c r="D6114" s="1050"/>
      <c r="E6114" s="1050"/>
      <c r="F6114" s="1050"/>
      <c r="G6114" s="1050"/>
    </row>
    <row r="6115" spans="1:7">
      <c r="A6115" s="1079"/>
      <c r="B6115" s="1050"/>
      <c r="C6115" s="1050"/>
      <c r="D6115" s="1050"/>
      <c r="E6115" s="1050"/>
      <c r="F6115" s="1050"/>
      <c r="G6115" s="1050"/>
    </row>
    <row r="6116" spans="1:7">
      <c r="A6116" s="1079"/>
      <c r="B6116" s="1050"/>
      <c r="C6116" s="1050"/>
      <c r="D6116" s="1050"/>
      <c r="E6116" s="1050"/>
      <c r="F6116" s="1050"/>
      <c r="G6116" s="1050"/>
    </row>
    <row r="6117" spans="1:7">
      <c r="A6117" s="1079"/>
      <c r="B6117" s="1050"/>
      <c r="C6117" s="1050"/>
      <c r="D6117" s="1050"/>
      <c r="E6117" s="1050"/>
      <c r="F6117" s="1050"/>
      <c r="G6117" s="1050"/>
    </row>
    <row r="6118" spans="1:7">
      <c r="A6118" s="1079"/>
      <c r="B6118" s="1050"/>
      <c r="C6118" s="1050"/>
      <c r="D6118" s="1050"/>
      <c r="E6118" s="1050"/>
      <c r="F6118" s="1050"/>
      <c r="G6118" s="1050"/>
    </row>
    <row r="6119" spans="1:7">
      <c r="A6119" s="1079"/>
      <c r="B6119" s="1050"/>
      <c r="C6119" s="1050"/>
      <c r="D6119" s="1050"/>
      <c r="E6119" s="1050"/>
      <c r="F6119" s="1050"/>
      <c r="G6119" s="1050"/>
    </row>
    <row r="6120" spans="1:7">
      <c r="A6120" s="1079"/>
      <c r="B6120" s="1050"/>
      <c r="C6120" s="1050"/>
      <c r="D6120" s="1050"/>
      <c r="E6120" s="1050"/>
      <c r="F6120" s="1050"/>
      <c r="G6120" s="1050"/>
    </row>
    <row r="6121" spans="1:7">
      <c r="A6121" s="1079"/>
      <c r="B6121" s="1050"/>
      <c r="C6121" s="1050"/>
      <c r="D6121" s="1050"/>
      <c r="E6121" s="1050"/>
      <c r="F6121" s="1050"/>
      <c r="G6121" s="1050"/>
    </row>
    <row r="6122" spans="1:7">
      <c r="A6122" s="1079"/>
      <c r="B6122" s="1050"/>
      <c r="C6122" s="1050"/>
      <c r="D6122" s="1050"/>
      <c r="E6122" s="1050"/>
      <c r="F6122" s="1050"/>
      <c r="G6122" s="1050"/>
    </row>
    <row r="6123" spans="1:7">
      <c r="A6123" s="1079"/>
      <c r="B6123" s="1050"/>
      <c r="C6123" s="1050"/>
      <c r="D6123" s="1050"/>
      <c r="E6123" s="1050"/>
      <c r="F6123" s="1050"/>
      <c r="G6123" s="1050"/>
    </row>
    <row r="6124" spans="1:7">
      <c r="A6124" s="1079"/>
      <c r="B6124" s="1050"/>
      <c r="C6124" s="1050"/>
      <c r="D6124" s="1050"/>
      <c r="E6124" s="1050"/>
      <c r="F6124" s="1050"/>
      <c r="G6124" s="1050"/>
    </row>
    <row r="6125" spans="1:7">
      <c r="A6125" s="1079"/>
      <c r="B6125" s="1050"/>
      <c r="C6125" s="1050"/>
      <c r="D6125" s="1050"/>
      <c r="E6125" s="1050"/>
      <c r="F6125" s="1050"/>
      <c r="G6125" s="1050"/>
    </row>
    <row r="6126" spans="1:7">
      <c r="A6126" s="1079"/>
      <c r="B6126" s="1050"/>
      <c r="C6126" s="1050"/>
      <c r="D6126" s="1050"/>
      <c r="E6126" s="1050"/>
      <c r="F6126" s="1050"/>
      <c r="G6126" s="1050"/>
    </row>
    <row r="6127" spans="1:7">
      <c r="A6127" s="1079"/>
      <c r="B6127" s="1050"/>
      <c r="C6127" s="1050"/>
      <c r="D6127" s="1050"/>
      <c r="E6127" s="1050"/>
      <c r="F6127" s="1050"/>
      <c r="G6127" s="1050"/>
    </row>
    <row r="6128" spans="1:7">
      <c r="A6128" s="1079"/>
      <c r="B6128" s="1050"/>
      <c r="C6128" s="1050"/>
      <c r="D6128" s="1050"/>
      <c r="E6128" s="1050"/>
      <c r="F6128" s="1050"/>
      <c r="G6128" s="1050"/>
    </row>
    <row r="6129" spans="1:7">
      <c r="A6129" s="1079"/>
      <c r="B6129" s="1050"/>
      <c r="C6129" s="1050"/>
      <c r="D6129" s="1050"/>
      <c r="E6129" s="1050"/>
      <c r="F6129" s="1050"/>
      <c r="G6129" s="1050"/>
    </row>
    <row r="6130" spans="1:7">
      <c r="A6130" s="1079"/>
      <c r="B6130" s="1050"/>
      <c r="C6130" s="1050"/>
      <c r="D6130" s="1050"/>
      <c r="E6130" s="1050"/>
      <c r="F6130" s="1050"/>
      <c r="G6130" s="1050"/>
    </row>
    <row r="6131" spans="1:7">
      <c r="A6131" s="1079"/>
      <c r="B6131" s="1050"/>
      <c r="C6131" s="1050"/>
      <c r="D6131" s="1050"/>
      <c r="E6131" s="1050"/>
      <c r="F6131" s="1050"/>
      <c r="G6131" s="1050"/>
    </row>
    <row r="6132" spans="1:7">
      <c r="A6132" s="1079"/>
      <c r="B6132" s="1050"/>
      <c r="C6132" s="1050"/>
      <c r="D6132" s="1050"/>
      <c r="E6132" s="1050"/>
      <c r="F6132" s="1050"/>
      <c r="G6132" s="1050"/>
    </row>
    <row r="6133" spans="1:7">
      <c r="A6133" s="1079"/>
      <c r="B6133" s="1050"/>
      <c r="C6133" s="1050"/>
      <c r="D6133" s="1050"/>
      <c r="E6133" s="1050"/>
      <c r="F6133" s="1050"/>
      <c r="G6133" s="1050"/>
    </row>
    <row r="6134" spans="1:7">
      <c r="A6134" s="1079"/>
      <c r="B6134" s="1050"/>
      <c r="C6134" s="1050"/>
      <c r="D6134" s="1050"/>
      <c r="E6134" s="1050"/>
      <c r="F6134" s="1050"/>
      <c r="G6134" s="1050"/>
    </row>
    <row r="6135" spans="1:7">
      <c r="A6135" s="1079"/>
      <c r="B6135" s="1050"/>
      <c r="C6135" s="1050"/>
      <c r="D6135" s="1050"/>
      <c r="E6135" s="1050"/>
      <c r="F6135" s="1050"/>
      <c r="G6135" s="1050"/>
    </row>
    <row r="6136" spans="1:7">
      <c r="A6136" s="1079"/>
      <c r="B6136" s="1050"/>
      <c r="C6136" s="1050"/>
      <c r="D6136" s="1050"/>
      <c r="E6136" s="1050"/>
      <c r="F6136" s="1050"/>
      <c r="G6136" s="1050"/>
    </row>
    <row r="6137" spans="1:7">
      <c r="A6137" s="1079"/>
      <c r="B6137" s="1050"/>
      <c r="C6137" s="1050"/>
      <c r="D6137" s="1050"/>
      <c r="E6137" s="1050"/>
      <c r="F6137" s="1050"/>
      <c r="G6137" s="1050"/>
    </row>
    <row r="6138" spans="1:7">
      <c r="A6138" s="1079"/>
      <c r="B6138" s="1050"/>
      <c r="C6138" s="1050"/>
      <c r="D6138" s="1050"/>
      <c r="E6138" s="1050"/>
      <c r="F6138" s="1050"/>
      <c r="G6138" s="1050"/>
    </row>
    <row r="6139" spans="1:7">
      <c r="A6139" s="1079"/>
      <c r="B6139" s="1050"/>
      <c r="C6139" s="1050"/>
      <c r="D6139" s="1050"/>
      <c r="E6139" s="1050"/>
      <c r="F6139" s="1050"/>
      <c r="G6139" s="1050"/>
    </row>
    <row r="6140" spans="1:7">
      <c r="A6140" s="1079"/>
      <c r="B6140" s="1050"/>
      <c r="C6140" s="1050"/>
      <c r="D6140" s="1050"/>
      <c r="E6140" s="1050"/>
      <c r="F6140" s="1050"/>
      <c r="G6140" s="1050"/>
    </row>
    <row r="6141" spans="1:7">
      <c r="A6141" s="1079"/>
      <c r="B6141" s="1050"/>
      <c r="C6141" s="1050"/>
      <c r="D6141" s="1050"/>
      <c r="E6141" s="1050"/>
      <c r="F6141" s="1050"/>
      <c r="G6141" s="1050"/>
    </row>
    <row r="6142" spans="1:7">
      <c r="A6142" s="1079"/>
      <c r="B6142" s="1050"/>
      <c r="C6142" s="1050"/>
      <c r="D6142" s="1050"/>
      <c r="E6142" s="1050"/>
      <c r="F6142" s="1050"/>
      <c r="G6142" s="1050"/>
    </row>
    <row r="6143" spans="1:7">
      <c r="A6143" s="1079"/>
      <c r="B6143" s="1050"/>
      <c r="C6143" s="1050"/>
      <c r="D6143" s="1050"/>
      <c r="E6143" s="1050"/>
      <c r="F6143" s="1050"/>
      <c r="G6143" s="1050"/>
    </row>
    <row r="6144" spans="1:7">
      <c r="A6144" s="1079"/>
      <c r="B6144" s="1050"/>
      <c r="C6144" s="1050"/>
      <c r="D6144" s="1050"/>
      <c r="E6144" s="1050"/>
      <c r="F6144" s="1050"/>
      <c r="G6144" s="1050"/>
    </row>
    <row r="6145" spans="1:7">
      <c r="A6145" s="1079"/>
      <c r="B6145" s="1050"/>
      <c r="C6145" s="1050"/>
      <c r="D6145" s="1050"/>
      <c r="E6145" s="1050"/>
      <c r="F6145" s="1050"/>
      <c r="G6145" s="1050"/>
    </row>
    <row r="6146" spans="1:7">
      <c r="A6146" s="1079"/>
      <c r="B6146" s="1050"/>
      <c r="C6146" s="1050"/>
      <c r="D6146" s="1050"/>
      <c r="E6146" s="1050"/>
      <c r="F6146" s="1050"/>
      <c r="G6146" s="1050"/>
    </row>
    <row r="6147" spans="1:7">
      <c r="A6147" s="1079"/>
      <c r="B6147" s="1050"/>
      <c r="C6147" s="1050"/>
      <c r="D6147" s="1050"/>
      <c r="E6147" s="1050"/>
      <c r="F6147" s="1050"/>
      <c r="G6147" s="1050"/>
    </row>
    <row r="6148" spans="1:7">
      <c r="A6148" s="1079"/>
      <c r="B6148" s="1050"/>
      <c r="C6148" s="1050"/>
      <c r="D6148" s="1050"/>
      <c r="E6148" s="1050"/>
      <c r="F6148" s="1050"/>
      <c r="G6148" s="1050"/>
    </row>
    <row r="6149" spans="1:7">
      <c r="A6149" s="1079"/>
      <c r="B6149" s="1050"/>
      <c r="C6149" s="1050"/>
      <c r="D6149" s="1050"/>
      <c r="E6149" s="1050"/>
      <c r="F6149" s="1050"/>
      <c r="G6149" s="1050"/>
    </row>
    <row r="6150" spans="1:7">
      <c r="A6150" s="1079"/>
      <c r="B6150" s="1050"/>
      <c r="C6150" s="1050"/>
      <c r="D6150" s="1050"/>
      <c r="E6150" s="1050"/>
      <c r="F6150" s="1050"/>
      <c r="G6150" s="1050"/>
    </row>
    <row r="6151" spans="1:7">
      <c r="A6151" s="1079"/>
      <c r="B6151" s="1050"/>
      <c r="C6151" s="1050"/>
      <c r="D6151" s="1050"/>
      <c r="E6151" s="1050"/>
      <c r="F6151" s="1050"/>
      <c r="G6151" s="1050"/>
    </row>
    <row r="6152" spans="1:7">
      <c r="A6152" s="1079"/>
      <c r="B6152" s="1050"/>
      <c r="C6152" s="1050"/>
      <c r="D6152" s="1050"/>
      <c r="E6152" s="1050"/>
      <c r="F6152" s="1050"/>
      <c r="G6152" s="1050"/>
    </row>
    <row r="6153" spans="1:7">
      <c r="A6153" s="1079"/>
      <c r="B6153" s="1050"/>
      <c r="C6153" s="1050"/>
      <c r="D6153" s="1050"/>
      <c r="E6153" s="1050"/>
      <c r="F6153" s="1050"/>
      <c r="G6153" s="1050"/>
    </row>
    <row r="6154" spans="1:7">
      <c r="A6154" s="1079"/>
      <c r="B6154" s="1050"/>
      <c r="C6154" s="1050"/>
      <c r="D6154" s="1050"/>
      <c r="E6154" s="1050"/>
      <c r="F6154" s="1050"/>
      <c r="G6154" s="1050"/>
    </row>
    <row r="6155" spans="1:7">
      <c r="A6155" s="1079"/>
      <c r="B6155" s="1050"/>
      <c r="C6155" s="1050"/>
      <c r="D6155" s="1050"/>
      <c r="E6155" s="1050"/>
      <c r="F6155" s="1050"/>
      <c r="G6155" s="1050"/>
    </row>
    <row r="6156" spans="1:7">
      <c r="A6156" s="1079"/>
      <c r="B6156" s="1050"/>
      <c r="C6156" s="1050"/>
      <c r="D6156" s="1050"/>
      <c r="E6156" s="1050"/>
      <c r="F6156" s="1050"/>
      <c r="G6156" s="1050"/>
    </row>
    <row r="6157" spans="1:7">
      <c r="A6157" s="1079"/>
      <c r="B6157" s="1050"/>
      <c r="C6157" s="1050"/>
      <c r="D6157" s="1050"/>
      <c r="E6157" s="1050"/>
      <c r="F6157" s="1050"/>
      <c r="G6157" s="1050"/>
    </row>
    <row r="6158" spans="1:7">
      <c r="A6158" s="1079"/>
      <c r="B6158" s="1050"/>
      <c r="C6158" s="1050"/>
      <c r="D6158" s="1050"/>
      <c r="E6158" s="1050"/>
      <c r="F6158" s="1050"/>
      <c r="G6158" s="1050"/>
    </row>
    <row r="6159" spans="1:7">
      <c r="A6159" s="1079"/>
      <c r="B6159" s="1050"/>
      <c r="C6159" s="1050"/>
      <c r="D6159" s="1050"/>
      <c r="E6159" s="1050"/>
      <c r="F6159" s="1050"/>
      <c r="G6159" s="1050"/>
    </row>
    <row r="6160" spans="1:7">
      <c r="A6160" s="1079"/>
      <c r="B6160" s="1050"/>
      <c r="C6160" s="1050"/>
      <c r="D6160" s="1050"/>
      <c r="E6160" s="1050"/>
      <c r="F6160" s="1050"/>
      <c r="G6160" s="1050"/>
    </row>
    <row r="6161" spans="1:7">
      <c r="A6161" s="1079"/>
      <c r="B6161" s="1050"/>
      <c r="C6161" s="1050"/>
      <c r="D6161" s="1050"/>
      <c r="E6161" s="1050"/>
      <c r="F6161" s="1050"/>
      <c r="G6161" s="1050"/>
    </row>
    <row r="6162" spans="1:7">
      <c r="A6162" s="1079"/>
      <c r="B6162" s="1050"/>
      <c r="C6162" s="1050"/>
      <c r="D6162" s="1050"/>
      <c r="E6162" s="1050"/>
      <c r="F6162" s="1050"/>
      <c r="G6162" s="1050"/>
    </row>
    <row r="6163" spans="1:7">
      <c r="A6163" s="1079"/>
      <c r="B6163" s="1050"/>
      <c r="C6163" s="1050"/>
      <c r="D6163" s="1050"/>
      <c r="E6163" s="1050"/>
      <c r="F6163" s="1050"/>
      <c r="G6163" s="1050"/>
    </row>
    <row r="6164" spans="1:7">
      <c r="A6164" s="1079"/>
      <c r="B6164" s="1050"/>
      <c r="C6164" s="1050"/>
      <c r="D6164" s="1050"/>
      <c r="E6164" s="1050"/>
      <c r="F6164" s="1050"/>
      <c r="G6164" s="1050"/>
    </row>
    <row r="6165" spans="1:7">
      <c r="A6165" s="1079"/>
      <c r="B6165" s="1050"/>
      <c r="C6165" s="1050"/>
      <c r="D6165" s="1050"/>
      <c r="E6165" s="1050"/>
      <c r="F6165" s="1050"/>
      <c r="G6165" s="1050"/>
    </row>
    <row r="6166" spans="1:7">
      <c r="A6166" s="1079"/>
      <c r="B6166" s="1050"/>
      <c r="C6166" s="1050"/>
      <c r="D6166" s="1050"/>
      <c r="E6166" s="1050"/>
      <c r="F6166" s="1050"/>
      <c r="G6166" s="1050"/>
    </row>
    <row r="6167" spans="1:7">
      <c r="A6167" s="1079"/>
      <c r="B6167" s="1050"/>
      <c r="C6167" s="1050"/>
      <c r="D6167" s="1050"/>
      <c r="E6167" s="1050"/>
      <c r="F6167" s="1050"/>
      <c r="G6167" s="1050"/>
    </row>
    <row r="6168" spans="1:7">
      <c r="A6168" s="1079"/>
      <c r="B6168" s="1050"/>
      <c r="C6168" s="1050"/>
      <c r="D6168" s="1050"/>
      <c r="E6168" s="1050"/>
      <c r="F6168" s="1050"/>
      <c r="G6168" s="1050"/>
    </row>
    <row r="6169" spans="1:7">
      <c r="A6169" s="1079"/>
      <c r="B6169" s="1050"/>
      <c r="C6169" s="1050"/>
      <c r="D6169" s="1050"/>
      <c r="E6169" s="1050"/>
      <c r="F6169" s="1050"/>
      <c r="G6169" s="1050"/>
    </row>
    <row r="6170" spans="1:7">
      <c r="A6170" s="1079"/>
      <c r="B6170" s="1050"/>
      <c r="C6170" s="1050"/>
      <c r="D6170" s="1050"/>
      <c r="E6170" s="1050"/>
      <c r="F6170" s="1050"/>
      <c r="G6170" s="1050"/>
    </row>
    <row r="6171" spans="1:7">
      <c r="A6171" s="1079"/>
      <c r="B6171" s="1050"/>
      <c r="C6171" s="1050"/>
      <c r="D6171" s="1050"/>
      <c r="E6171" s="1050"/>
      <c r="F6171" s="1050"/>
      <c r="G6171" s="1050"/>
    </row>
    <row r="6172" spans="1:7">
      <c r="A6172" s="1079"/>
      <c r="B6172" s="1050"/>
      <c r="C6172" s="1050"/>
      <c r="D6172" s="1050"/>
      <c r="E6172" s="1050"/>
      <c r="F6172" s="1050"/>
      <c r="G6172" s="1050"/>
    </row>
    <row r="6173" spans="1:7">
      <c r="A6173" s="1079"/>
      <c r="B6173" s="1050"/>
      <c r="C6173" s="1050"/>
      <c r="D6173" s="1050"/>
      <c r="E6173" s="1050"/>
      <c r="F6173" s="1050"/>
      <c r="G6173" s="1050"/>
    </row>
    <row r="6174" spans="1:7">
      <c r="A6174" s="1079"/>
      <c r="B6174" s="1050"/>
      <c r="C6174" s="1050"/>
      <c r="D6174" s="1050"/>
      <c r="E6174" s="1050"/>
      <c r="F6174" s="1050"/>
      <c r="G6174" s="1050"/>
    </row>
    <row r="6175" spans="1:7">
      <c r="A6175" s="1079"/>
      <c r="B6175" s="1050"/>
      <c r="C6175" s="1050"/>
      <c r="D6175" s="1050"/>
      <c r="E6175" s="1050"/>
      <c r="F6175" s="1050"/>
      <c r="G6175" s="1050"/>
    </row>
    <row r="6176" spans="1:7">
      <c r="A6176" s="1079"/>
      <c r="B6176" s="1050"/>
      <c r="C6176" s="1050"/>
      <c r="D6176" s="1050"/>
      <c r="E6176" s="1050"/>
      <c r="F6176" s="1050"/>
      <c r="G6176" s="1050"/>
    </row>
    <row r="6177" spans="1:7">
      <c r="A6177" s="1079"/>
      <c r="B6177" s="1050"/>
      <c r="C6177" s="1050"/>
      <c r="D6177" s="1050"/>
      <c r="E6177" s="1050"/>
      <c r="F6177" s="1050"/>
      <c r="G6177" s="1050"/>
    </row>
    <row r="6178" spans="1:7">
      <c r="A6178" s="1079"/>
      <c r="B6178" s="1050"/>
      <c r="C6178" s="1050"/>
      <c r="D6178" s="1050"/>
      <c r="E6178" s="1050"/>
      <c r="F6178" s="1050"/>
      <c r="G6178" s="1050"/>
    </row>
    <row r="6179" spans="1:7">
      <c r="A6179" s="1079"/>
      <c r="B6179" s="1050"/>
      <c r="C6179" s="1050"/>
      <c r="D6179" s="1050"/>
      <c r="E6179" s="1050"/>
      <c r="F6179" s="1050"/>
      <c r="G6179" s="1050"/>
    </row>
    <row r="6180" spans="1:7">
      <c r="A6180" s="1079"/>
      <c r="B6180" s="1050"/>
      <c r="C6180" s="1050"/>
      <c r="D6180" s="1050"/>
      <c r="E6180" s="1050"/>
      <c r="F6180" s="1050"/>
      <c r="G6180" s="1050"/>
    </row>
    <row r="6181" spans="1:7">
      <c r="A6181" s="1079"/>
      <c r="B6181" s="1050"/>
      <c r="C6181" s="1050"/>
      <c r="D6181" s="1050"/>
      <c r="E6181" s="1050"/>
      <c r="F6181" s="1050"/>
      <c r="G6181" s="1050"/>
    </row>
    <row r="6182" spans="1:7">
      <c r="A6182" s="1079"/>
      <c r="B6182" s="1050"/>
      <c r="C6182" s="1050"/>
      <c r="D6182" s="1050"/>
      <c r="E6182" s="1050"/>
      <c r="F6182" s="1050"/>
      <c r="G6182" s="1050"/>
    </row>
    <row r="6183" spans="1:7">
      <c r="A6183" s="1079"/>
      <c r="B6183" s="1050"/>
      <c r="C6183" s="1050"/>
      <c r="D6183" s="1050"/>
      <c r="E6183" s="1050"/>
      <c r="F6183" s="1050"/>
      <c r="G6183" s="1050"/>
    </row>
    <row r="6184" spans="1:7">
      <c r="A6184" s="1079"/>
      <c r="B6184" s="1050"/>
      <c r="C6184" s="1050"/>
      <c r="D6184" s="1050"/>
      <c r="E6184" s="1050"/>
      <c r="F6184" s="1050"/>
      <c r="G6184" s="1050"/>
    </row>
    <row r="6185" spans="1:7">
      <c r="A6185" s="1079"/>
      <c r="B6185" s="1050"/>
      <c r="C6185" s="1050"/>
      <c r="D6185" s="1050"/>
      <c r="E6185" s="1050"/>
      <c r="F6185" s="1050"/>
      <c r="G6185" s="1050"/>
    </row>
    <row r="6186" spans="1:7">
      <c r="A6186" s="1079"/>
      <c r="B6186" s="1050"/>
      <c r="C6186" s="1050"/>
      <c r="D6186" s="1050"/>
      <c r="E6186" s="1050"/>
      <c r="F6186" s="1050"/>
      <c r="G6186" s="1050"/>
    </row>
    <row r="6187" spans="1:7">
      <c r="A6187" s="1079"/>
      <c r="B6187" s="1050"/>
      <c r="C6187" s="1050"/>
      <c r="D6187" s="1050"/>
      <c r="E6187" s="1050"/>
      <c r="F6187" s="1050"/>
      <c r="G6187" s="1050"/>
    </row>
    <row r="6188" spans="1:7">
      <c r="A6188" s="1079"/>
      <c r="B6188" s="1050"/>
      <c r="C6188" s="1050"/>
      <c r="D6188" s="1050"/>
      <c r="E6188" s="1050"/>
      <c r="F6188" s="1050"/>
      <c r="G6188" s="1050"/>
    </row>
    <row r="6189" spans="1:7">
      <c r="A6189" s="1079"/>
      <c r="B6189" s="1050"/>
      <c r="C6189" s="1050"/>
      <c r="D6189" s="1050"/>
      <c r="E6189" s="1050"/>
      <c r="F6189" s="1050"/>
      <c r="G6189" s="1050"/>
    </row>
    <row r="6190" spans="1:7">
      <c r="A6190" s="1079"/>
      <c r="B6190" s="1050"/>
      <c r="C6190" s="1050"/>
      <c r="D6190" s="1050"/>
      <c r="E6190" s="1050"/>
      <c r="F6190" s="1050"/>
      <c r="G6190" s="1050"/>
    </row>
    <row r="6191" spans="1:7">
      <c r="A6191" s="1079"/>
      <c r="B6191" s="1050"/>
      <c r="C6191" s="1050"/>
      <c r="D6191" s="1050"/>
      <c r="E6191" s="1050"/>
      <c r="F6191" s="1050"/>
      <c r="G6191" s="1050"/>
    </row>
    <row r="6192" spans="1:7">
      <c r="A6192" s="1079"/>
      <c r="B6192" s="1050"/>
      <c r="C6192" s="1050"/>
      <c r="D6192" s="1050"/>
      <c r="E6192" s="1050"/>
      <c r="F6192" s="1050"/>
      <c r="G6192" s="1050"/>
    </row>
    <row r="6193" spans="1:7">
      <c r="A6193" s="1079"/>
      <c r="B6193" s="1050"/>
      <c r="C6193" s="1050"/>
      <c r="D6193" s="1050"/>
      <c r="E6193" s="1050"/>
      <c r="F6193" s="1050"/>
      <c r="G6193" s="1050"/>
    </row>
    <row r="6194" spans="1:7">
      <c r="A6194" s="1079"/>
      <c r="B6194" s="1050"/>
      <c r="C6194" s="1050"/>
      <c r="D6194" s="1050"/>
      <c r="E6194" s="1050"/>
      <c r="F6194" s="1050"/>
      <c r="G6194" s="1050"/>
    </row>
    <row r="6195" spans="1:7">
      <c r="A6195" s="1079"/>
      <c r="B6195" s="1050"/>
      <c r="C6195" s="1050"/>
      <c r="D6195" s="1050"/>
      <c r="E6195" s="1050"/>
      <c r="F6195" s="1050"/>
      <c r="G6195" s="1050"/>
    </row>
    <row r="6196" spans="1:7">
      <c r="A6196" s="1079"/>
      <c r="B6196" s="1050"/>
      <c r="C6196" s="1050"/>
      <c r="D6196" s="1050"/>
      <c r="E6196" s="1050"/>
      <c r="F6196" s="1050"/>
      <c r="G6196" s="1050"/>
    </row>
    <row r="6197" spans="1:7">
      <c r="A6197" s="1079"/>
      <c r="B6197" s="1050"/>
      <c r="C6197" s="1050"/>
      <c r="D6197" s="1050"/>
      <c r="E6197" s="1050"/>
      <c r="F6197" s="1050"/>
      <c r="G6197" s="1050"/>
    </row>
    <row r="6198" spans="1:7">
      <c r="A6198" s="1079"/>
      <c r="B6198" s="1050"/>
      <c r="C6198" s="1050"/>
      <c r="D6198" s="1050"/>
      <c r="E6198" s="1050"/>
      <c r="F6198" s="1050"/>
      <c r="G6198" s="1050"/>
    </row>
    <row r="6199" spans="1:7">
      <c r="A6199" s="1079"/>
      <c r="B6199" s="1050"/>
      <c r="C6199" s="1050"/>
      <c r="D6199" s="1050"/>
      <c r="E6199" s="1050"/>
      <c r="F6199" s="1050"/>
      <c r="G6199" s="1050"/>
    </row>
    <row r="6200" spans="1:7">
      <c r="A6200" s="1079"/>
      <c r="B6200" s="1050"/>
      <c r="C6200" s="1050"/>
      <c r="D6200" s="1050"/>
      <c r="E6200" s="1050"/>
      <c r="F6200" s="1050"/>
      <c r="G6200" s="1050"/>
    </row>
    <row r="6201" spans="1:7">
      <c r="A6201" s="1079"/>
      <c r="B6201" s="1050"/>
      <c r="C6201" s="1050"/>
      <c r="D6201" s="1050"/>
      <c r="E6201" s="1050"/>
      <c r="F6201" s="1050"/>
      <c r="G6201" s="1050"/>
    </row>
    <row r="6202" spans="1:7">
      <c r="A6202" s="1079"/>
      <c r="B6202" s="1050"/>
      <c r="C6202" s="1050"/>
      <c r="D6202" s="1050"/>
      <c r="E6202" s="1050"/>
      <c r="F6202" s="1050"/>
      <c r="G6202" s="1050"/>
    </row>
    <row r="6203" spans="1:7">
      <c r="A6203" s="1079"/>
      <c r="B6203" s="1050"/>
      <c r="C6203" s="1050"/>
      <c r="D6203" s="1050"/>
      <c r="E6203" s="1050"/>
      <c r="F6203" s="1050"/>
      <c r="G6203" s="1050"/>
    </row>
    <row r="6204" spans="1:7">
      <c r="A6204" s="1079"/>
      <c r="B6204" s="1050"/>
      <c r="C6204" s="1050"/>
      <c r="D6204" s="1050"/>
      <c r="E6204" s="1050"/>
      <c r="F6204" s="1050"/>
      <c r="G6204" s="1050"/>
    </row>
    <row r="6205" spans="1:7">
      <c r="A6205" s="1079"/>
      <c r="B6205" s="1050"/>
      <c r="C6205" s="1050"/>
      <c r="D6205" s="1050"/>
      <c r="E6205" s="1050"/>
      <c r="F6205" s="1050"/>
      <c r="G6205" s="1050"/>
    </row>
    <row r="6206" spans="1:7">
      <c r="A6206" s="1079"/>
      <c r="B6206" s="1050"/>
      <c r="C6206" s="1050"/>
      <c r="D6206" s="1050"/>
      <c r="E6206" s="1050"/>
      <c r="F6206" s="1050"/>
      <c r="G6206" s="1050"/>
    </row>
    <row r="6207" spans="1:7">
      <c r="A6207" s="1079"/>
      <c r="B6207" s="1050"/>
      <c r="C6207" s="1050"/>
      <c r="D6207" s="1050"/>
      <c r="E6207" s="1050"/>
      <c r="F6207" s="1050"/>
      <c r="G6207" s="1050"/>
    </row>
    <row r="6208" spans="1:7">
      <c r="A6208" s="1079"/>
      <c r="B6208" s="1050"/>
      <c r="C6208" s="1050"/>
      <c r="D6208" s="1050"/>
      <c r="E6208" s="1050"/>
      <c r="F6208" s="1050"/>
      <c r="G6208" s="1050"/>
    </row>
    <row r="6209" spans="1:7">
      <c r="A6209" s="1079"/>
      <c r="B6209" s="1050"/>
      <c r="C6209" s="1050"/>
      <c r="D6209" s="1050"/>
      <c r="E6209" s="1050"/>
      <c r="F6209" s="1050"/>
      <c r="G6209" s="1050"/>
    </row>
    <row r="6210" spans="1:7">
      <c r="A6210" s="1079"/>
      <c r="B6210" s="1050"/>
      <c r="C6210" s="1050"/>
      <c r="D6210" s="1050"/>
      <c r="E6210" s="1050"/>
      <c r="F6210" s="1050"/>
      <c r="G6210" s="1050"/>
    </row>
    <row r="6211" spans="1:7">
      <c r="A6211" s="1079"/>
      <c r="B6211" s="1050"/>
      <c r="C6211" s="1050"/>
      <c r="D6211" s="1050"/>
      <c r="E6211" s="1050"/>
      <c r="F6211" s="1050"/>
      <c r="G6211" s="1050"/>
    </row>
    <row r="6212" spans="1:7">
      <c r="A6212" s="1079"/>
      <c r="B6212" s="1050"/>
      <c r="C6212" s="1050"/>
      <c r="D6212" s="1050"/>
      <c r="E6212" s="1050"/>
      <c r="F6212" s="1050"/>
      <c r="G6212" s="1050"/>
    </row>
    <row r="6213" spans="1:7">
      <c r="A6213" s="1079"/>
      <c r="B6213" s="1050"/>
      <c r="C6213" s="1050"/>
      <c r="D6213" s="1050"/>
      <c r="E6213" s="1050"/>
      <c r="F6213" s="1050"/>
      <c r="G6213" s="1050"/>
    </row>
    <row r="6214" spans="1:7">
      <c r="A6214" s="1079"/>
      <c r="B6214" s="1050"/>
      <c r="C6214" s="1050"/>
      <c r="D6214" s="1050"/>
      <c r="E6214" s="1050"/>
      <c r="F6214" s="1050"/>
      <c r="G6214" s="1050"/>
    </row>
    <row r="6215" spans="1:7">
      <c r="A6215" s="1079"/>
      <c r="B6215" s="1050"/>
      <c r="C6215" s="1050"/>
      <c r="D6215" s="1050"/>
      <c r="E6215" s="1050"/>
      <c r="F6215" s="1050"/>
      <c r="G6215" s="1050"/>
    </row>
    <row r="6216" spans="1:7">
      <c r="A6216" s="1079"/>
      <c r="B6216" s="1050"/>
      <c r="C6216" s="1050"/>
      <c r="D6216" s="1050"/>
      <c r="E6216" s="1050"/>
      <c r="F6216" s="1050"/>
      <c r="G6216" s="1050"/>
    </row>
    <row r="6217" spans="1:7">
      <c r="A6217" s="1079"/>
      <c r="B6217" s="1050"/>
      <c r="C6217" s="1050"/>
      <c r="D6217" s="1050"/>
      <c r="E6217" s="1050"/>
      <c r="F6217" s="1050"/>
      <c r="G6217" s="1050"/>
    </row>
    <row r="6218" spans="1:7">
      <c r="A6218" s="1079"/>
      <c r="B6218" s="1050"/>
      <c r="C6218" s="1050"/>
      <c r="D6218" s="1050"/>
      <c r="E6218" s="1050"/>
      <c r="F6218" s="1050"/>
      <c r="G6218" s="1050"/>
    </row>
    <row r="6219" spans="1:7">
      <c r="A6219" s="1079"/>
      <c r="B6219" s="1050"/>
      <c r="C6219" s="1050"/>
      <c r="D6219" s="1050"/>
      <c r="E6219" s="1050"/>
      <c r="F6219" s="1050"/>
      <c r="G6219" s="1050"/>
    </row>
    <row r="6220" spans="1:7">
      <c r="A6220" s="1079"/>
      <c r="B6220" s="1050"/>
      <c r="C6220" s="1050"/>
      <c r="D6220" s="1050"/>
      <c r="E6220" s="1050"/>
      <c r="F6220" s="1050"/>
      <c r="G6220" s="1050"/>
    </row>
    <row r="6221" spans="1:7">
      <c r="A6221" s="1079"/>
      <c r="B6221" s="1050"/>
      <c r="C6221" s="1050"/>
      <c r="D6221" s="1050"/>
      <c r="E6221" s="1050"/>
      <c r="F6221" s="1050"/>
      <c r="G6221" s="1050"/>
    </row>
    <row r="6222" spans="1:7">
      <c r="A6222" s="1079"/>
      <c r="B6222" s="1050"/>
      <c r="C6222" s="1050"/>
      <c r="D6222" s="1050"/>
      <c r="E6222" s="1050"/>
      <c r="F6222" s="1050"/>
      <c r="G6222" s="1050"/>
    </row>
    <row r="6223" spans="1:7">
      <c r="A6223" s="1079"/>
      <c r="B6223" s="1050"/>
      <c r="C6223" s="1050"/>
      <c r="D6223" s="1050"/>
      <c r="E6223" s="1050"/>
      <c r="F6223" s="1050"/>
      <c r="G6223" s="1050"/>
    </row>
    <row r="6224" spans="1:7">
      <c r="A6224" s="1079"/>
      <c r="B6224" s="1050"/>
      <c r="C6224" s="1050"/>
      <c r="D6224" s="1050"/>
      <c r="E6224" s="1050"/>
      <c r="F6224" s="1050"/>
      <c r="G6224" s="1050"/>
    </row>
    <row r="6225" spans="1:7">
      <c r="A6225" s="1079"/>
      <c r="B6225" s="1050"/>
      <c r="C6225" s="1050"/>
      <c r="D6225" s="1050"/>
      <c r="E6225" s="1050"/>
      <c r="F6225" s="1050"/>
      <c r="G6225" s="1050"/>
    </row>
    <row r="6226" spans="1:7">
      <c r="A6226" s="1079"/>
      <c r="B6226" s="1050"/>
      <c r="C6226" s="1050"/>
      <c r="D6226" s="1050"/>
      <c r="E6226" s="1050"/>
      <c r="F6226" s="1050"/>
      <c r="G6226" s="1050"/>
    </row>
    <row r="6227" spans="1:7">
      <c r="A6227" s="1079"/>
      <c r="B6227" s="1050"/>
      <c r="C6227" s="1050"/>
      <c r="D6227" s="1050"/>
      <c r="E6227" s="1050"/>
      <c r="F6227" s="1050"/>
      <c r="G6227" s="1050"/>
    </row>
    <row r="6228" spans="1:7">
      <c r="A6228" s="1079"/>
      <c r="B6228" s="1050"/>
      <c r="C6228" s="1050"/>
      <c r="D6228" s="1050"/>
      <c r="E6228" s="1050"/>
      <c r="F6228" s="1050"/>
      <c r="G6228" s="1050"/>
    </row>
    <row r="6229" spans="1:7">
      <c r="A6229" s="1079"/>
      <c r="B6229" s="1050"/>
      <c r="C6229" s="1050"/>
      <c r="D6229" s="1050"/>
      <c r="E6229" s="1050"/>
      <c r="F6229" s="1050"/>
      <c r="G6229" s="1050"/>
    </row>
    <row r="6230" spans="1:7">
      <c r="A6230" s="1079"/>
      <c r="B6230" s="1050"/>
      <c r="C6230" s="1050"/>
      <c r="D6230" s="1050"/>
      <c r="E6230" s="1050"/>
      <c r="F6230" s="1050"/>
      <c r="G6230" s="1050"/>
    </row>
    <row r="6231" spans="1:7">
      <c r="A6231" s="1079"/>
      <c r="B6231" s="1050"/>
      <c r="C6231" s="1050"/>
      <c r="D6231" s="1050"/>
      <c r="E6231" s="1050"/>
      <c r="F6231" s="1050"/>
      <c r="G6231" s="1050"/>
    </row>
    <row r="6232" spans="1:7">
      <c r="A6232" s="1079"/>
      <c r="B6232" s="1050"/>
      <c r="C6232" s="1050"/>
      <c r="D6232" s="1050"/>
      <c r="E6232" s="1050"/>
      <c r="F6232" s="1050"/>
      <c r="G6232" s="1050"/>
    </row>
    <row r="6233" spans="1:7">
      <c r="A6233" s="1079"/>
      <c r="B6233" s="1050"/>
      <c r="C6233" s="1050"/>
      <c r="D6233" s="1050"/>
      <c r="E6233" s="1050"/>
      <c r="F6233" s="1050"/>
      <c r="G6233" s="1050"/>
    </row>
    <row r="6234" spans="1:7">
      <c r="A6234" s="1079"/>
      <c r="B6234" s="1050"/>
      <c r="C6234" s="1050"/>
      <c r="D6234" s="1050"/>
      <c r="E6234" s="1050"/>
      <c r="F6234" s="1050"/>
      <c r="G6234" s="1050"/>
    </row>
    <row r="6235" spans="1:7">
      <c r="A6235" s="1079"/>
      <c r="B6235" s="1050"/>
      <c r="C6235" s="1050"/>
      <c r="D6235" s="1050"/>
      <c r="E6235" s="1050"/>
      <c r="F6235" s="1050"/>
      <c r="G6235" s="1050"/>
    </row>
    <row r="6236" spans="1:7">
      <c r="A6236" s="1079"/>
      <c r="B6236" s="1050"/>
      <c r="C6236" s="1050"/>
      <c r="D6236" s="1050"/>
      <c r="E6236" s="1050"/>
      <c r="F6236" s="1050"/>
      <c r="G6236" s="1050"/>
    </row>
    <row r="6237" spans="1:7">
      <c r="A6237" s="1079"/>
      <c r="B6237" s="1050"/>
      <c r="C6237" s="1050"/>
      <c r="D6237" s="1050"/>
      <c r="E6237" s="1050"/>
      <c r="F6237" s="1050"/>
      <c r="G6237" s="1050"/>
    </row>
    <row r="6238" spans="1:7">
      <c r="A6238" s="1079"/>
      <c r="B6238" s="1050"/>
      <c r="C6238" s="1050"/>
      <c r="D6238" s="1050"/>
      <c r="E6238" s="1050"/>
      <c r="F6238" s="1050"/>
      <c r="G6238" s="1050"/>
    </row>
    <row r="6239" spans="1:7">
      <c r="A6239" s="1079"/>
      <c r="B6239" s="1050"/>
      <c r="C6239" s="1050"/>
      <c r="D6239" s="1050"/>
      <c r="E6239" s="1050"/>
      <c r="F6239" s="1050"/>
      <c r="G6239" s="1050"/>
    </row>
    <row r="6240" spans="1:7">
      <c r="A6240" s="1079"/>
      <c r="B6240" s="1050"/>
      <c r="C6240" s="1050"/>
      <c r="D6240" s="1050"/>
      <c r="E6240" s="1050"/>
      <c r="F6240" s="1050"/>
      <c r="G6240" s="1050"/>
    </row>
    <row r="6241" spans="1:7">
      <c r="A6241" s="1079"/>
      <c r="B6241" s="1050"/>
      <c r="C6241" s="1050"/>
      <c r="D6241" s="1050"/>
      <c r="E6241" s="1050"/>
      <c r="F6241" s="1050"/>
      <c r="G6241" s="1050"/>
    </row>
    <row r="6242" spans="1:7">
      <c r="A6242" s="1079"/>
      <c r="B6242" s="1050"/>
      <c r="C6242" s="1050"/>
      <c r="D6242" s="1050"/>
      <c r="E6242" s="1050"/>
      <c r="F6242" s="1050"/>
      <c r="G6242" s="1050"/>
    </row>
    <row r="6243" spans="1:7">
      <c r="A6243" s="1079"/>
      <c r="B6243" s="1050"/>
      <c r="C6243" s="1050"/>
      <c r="D6243" s="1050"/>
      <c r="E6243" s="1050"/>
      <c r="F6243" s="1050"/>
      <c r="G6243" s="1050"/>
    </row>
    <row r="6244" spans="1:7">
      <c r="A6244" s="1079"/>
      <c r="B6244" s="1050"/>
      <c r="C6244" s="1050"/>
      <c r="D6244" s="1050"/>
      <c r="E6244" s="1050"/>
      <c r="F6244" s="1050"/>
      <c r="G6244" s="1050"/>
    </row>
    <row r="6245" spans="1:7">
      <c r="A6245" s="1079"/>
      <c r="B6245" s="1050"/>
      <c r="C6245" s="1050"/>
      <c r="D6245" s="1050"/>
      <c r="E6245" s="1050"/>
      <c r="F6245" s="1050"/>
      <c r="G6245" s="1050"/>
    </row>
    <row r="6246" spans="1:7">
      <c r="A6246" s="1079"/>
      <c r="B6246" s="1050"/>
      <c r="C6246" s="1050"/>
      <c r="D6246" s="1050"/>
      <c r="E6246" s="1050"/>
      <c r="F6246" s="1050"/>
      <c r="G6246" s="1050"/>
    </row>
    <row r="6247" spans="1:7">
      <c r="A6247" s="1079"/>
      <c r="B6247" s="1050"/>
      <c r="C6247" s="1050"/>
      <c r="D6247" s="1050"/>
      <c r="E6247" s="1050"/>
      <c r="F6247" s="1050"/>
      <c r="G6247" s="1050"/>
    </row>
    <row r="6248" spans="1:7">
      <c r="A6248" s="1079"/>
      <c r="B6248" s="1050"/>
      <c r="C6248" s="1050"/>
      <c r="D6248" s="1050"/>
      <c r="E6248" s="1050"/>
      <c r="F6248" s="1050"/>
      <c r="G6248" s="1050"/>
    </row>
    <row r="6249" spans="1:7">
      <c r="A6249" s="1079"/>
      <c r="B6249" s="1050"/>
      <c r="C6249" s="1050"/>
      <c r="D6249" s="1050"/>
      <c r="E6249" s="1050"/>
      <c r="F6249" s="1050"/>
      <c r="G6249" s="1050"/>
    </row>
    <row r="6250" spans="1:7">
      <c r="A6250" s="1079"/>
      <c r="B6250" s="1050"/>
      <c r="C6250" s="1050"/>
      <c r="D6250" s="1050"/>
      <c r="E6250" s="1050"/>
      <c r="F6250" s="1050"/>
      <c r="G6250" s="1050"/>
    </row>
    <row r="6251" spans="1:7">
      <c r="A6251" s="1079"/>
      <c r="B6251" s="1050"/>
      <c r="C6251" s="1050"/>
      <c r="D6251" s="1050"/>
      <c r="E6251" s="1050"/>
      <c r="F6251" s="1050"/>
      <c r="G6251" s="1050"/>
    </row>
    <row r="6252" spans="1:7">
      <c r="A6252" s="1079"/>
      <c r="B6252" s="1050"/>
      <c r="C6252" s="1050"/>
      <c r="D6252" s="1050"/>
      <c r="E6252" s="1050"/>
      <c r="F6252" s="1050"/>
      <c r="G6252" s="1050"/>
    </row>
    <row r="6253" spans="1:7">
      <c r="A6253" s="1079"/>
      <c r="B6253" s="1050"/>
      <c r="C6253" s="1050"/>
      <c r="D6253" s="1050"/>
      <c r="E6253" s="1050"/>
      <c r="F6253" s="1050"/>
      <c r="G6253" s="1050"/>
    </row>
    <row r="6254" spans="1:7">
      <c r="A6254" s="1079"/>
      <c r="B6254" s="1050"/>
      <c r="C6254" s="1050"/>
      <c r="D6254" s="1050"/>
      <c r="E6254" s="1050"/>
      <c r="F6254" s="1050"/>
      <c r="G6254" s="1050"/>
    </row>
    <row r="6255" spans="1:7">
      <c r="A6255" s="1079"/>
      <c r="B6255" s="1050"/>
      <c r="C6255" s="1050"/>
      <c r="D6255" s="1050"/>
      <c r="E6255" s="1050"/>
      <c r="F6255" s="1050"/>
      <c r="G6255" s="1050"/>
    </row>
    <row r="6256" spans="1:7">
      <c r="A6256" s="1079"/>
      <c r="B6256" s="1050"/>
      <c r="C6256" s="1050"/>
      <c r="D6256" s="1050"/>
      <c r="E6256" s="1050"/>
      <c r="F6256" s="1050"/>
      <c r="G6256" s="1050"/>
    </row>
    <row r="6257" spans="1:7">
      <c r="A6257" s="1079"/>
      <c r="B6257" s="1050"/>
      <c r="C6257" s="1050"/>
      <c r="D6257" s="1050"/>
      <c r="E6257" s="1050"/>
      <c r="F6257" s="1050"/>
      <c r="G6257" s="1050"/>
    </row>
    <row r="6258" spans="1:7">
      <c r="A6258" s="1079"/>
      <c r="B6258" s="1050"/>
      <c r="C6258" s="1050"/>
      <c r="D6258" s="1050"/>
      <c r="E6258" s="1050"/>
      <c r="F6258" s="1050"/>
      <c r="G6258" s="1050"/>
    </row>
    <row r="6259" spans="1:7">
      <c r="A6259" s="1079"/>
      <c r="B6259" s="1050"/>
      <c r="C6259" s="1050"/>
      <c r="D6259" s="1050"/>
      <c r="E6259" s="1050"/>
      <c r="F6259" s="1050"/>
      <c r="G6259" s="1050"/>
    </row>
    <row r="6260" spans="1:7">
      <c r="A6260" s="1079"/>
      <c r="B6260" s="1050"/>
      <c r="C6260" s="1050"/>
      <c r="D6260" s="1050"/>
      <c r="E6260" s="1050"/>
      <c r="F6260" s="1050"/>
      <c r="G6260" s="1050"/>
    </row>
    <row r="6261" spans="1:7">
      <c r="A6261" s="1079"/>
      <c r="B6261" s="1050"/>
      <c r="C6261" s="1050"/>
      <c r="D6261" s="1050"/>
      <c r="E6261" s="1050"/>
      <c r="F6261" s="1050"/>
      <c r="G6261" s="1050"/>
    </row>
    <row r="6262" spans="1:7">
      <c r="A6262" s="1079"/>
      <c r="B6262" s="1050"/>
      <c r="C6262" s="1050"/>
      <c r="D6262" s="1050"/>
      <c r="E6262" s="1050"/>
      <c r="F6262" s="1050"/>
      <c r="G6262" s="1050"/>
    </row>
    <row r="6263" spans="1:7">
      <c r="A6263" s="1079"/>
      <c r="B6263" s="1050"/>
      <c r="C6263" s="1050"/>
      <c r="D6263" s="1050"/>
      <c r="E6263" s="1050"/>
      <c r="F6263" s="1050"/>
      <c r="G6263" s="1050"/>
    </row>
    <row r="6264" spans="1:7">
      <c r="A6264" s="1079"/>
      <c r="B6264" s="1050"/>
      <c r="C6264" s="1050"/>
      <c r="D6264" s="1050"/>
      <c r="E6264" s="1050"/>
      <c r="F6264" s="1050"/>
      <c r="G6264" s="1050"/>
    </row>
    <row r="6265" spans="1:7">
      <c r="A6265" s="1079"/>
      <c r="B6265" s="1050"/>
      <c r="C6265" s="1050"/>
      <c r="D6265" s="1050"/>
      <c r="E6265" s="1050"/>
      <c r="F6265" s="1050"/>
      <c r="G6265" s="1050"/>
    </row>
    <row r="6266" spans="1:7">
      <c r="A6266" s="1079"/>
      <c r="B6266" s="1050"/>
      <c r="C6266" s="1050"/>
      <c r="D6266" s="1050"/>
      <c r="E6266" s="1050"/>
      <c r="F6266" s="1050"/>
      <c r="G6266" s="1050"/>
    </row>
    <row r="6267" spans="1:7">
      <c r="A6267" s="1079"/>
      <c r="B6267" s="1050"/>
      <c r="C6267" s="1050"/>
      <c r="D6267" s="1050"/>
      <c r="E6267" s="1050"/>
      <c r="F6267" s="1050"/>
      <c r="G6267" s="1050"/>
    </row>
    <row r="6268" spans="1:7">
      <c r="A6268" s="1079"/>
      <c r="B6268" s="1050"/>
      <c r="C6268" s="1050"/>
      <c r="D6268" s="1050"/>
      <c r="E6268" s="1050"/>
      <c r="F6268" s="1050"/>
      <c r="G6268" s="1050"/>
    </row>
    <row r="6269" spans="1:7">
      <c r="A6269" s="1079"/>
      <c r="B6269" s="1050"/>
      <c r="C6269" s="1050"/>
      <c r="D6269" s="1050"/>
      <c r="E6269" s="1050"/>
      <c r="F6269" s="1050"/>
      <c r="G6269" s="1050"/>
    </row>
    <row r="6270" spans="1:7">
      <c r="A6270" s="1079"/>
      <c r="B6270" s="1050"/>
      <c r="C6270" s="1050"/>
      <c r="D6270" s="1050"/>
      <c r="E6270" s="1050"/>
      <c r="F6270" s="1050"/>
      <c r="G6270" s="1050"/>
    </row>
    <row r="6271" spans="1:7">
      <c r="A6271" s="1079"/>
      <c r="B6271" s="1050"/>
      <c r="C6271" s="1050"/>
      <c r="D6271" s="1050"/>
      <c r="E6271" s="1050"/>
      <c r="F6271" s="1050"/>
      <c r="G6271" s="1050"/>
    </row>
    <row r="6272" spans="1:7">
      <c r="A6272" s="1079"/>
      <c r="B6272" s="1050"/>
      <c r="C6272" s="1050"/>
      <c r="D6272" s="1050"/>
      <c r="E6272" s="1050"/>
      <c r="F6272" s="1050"/>
      <c r="G6272" s="1050"/>
    </row>
    <row r="6273" spans="1:7">
      <c r="A6273" s="1079"/>
      <c r="B6273" s="1050"/>
      <c r="C6273" s="1050"/>
      <c r="D6273" s="1050"/>
      <c r="E6273" s="1050"/>
      <c r="F6273" s="1050"/>
      <c r="G6273" s="1050"/>
    </row>
    <row r="6274" spans="1:7">
      <c r="A6274" s="1079"/>
      <c r="B6274" s="1050"/>
      <c r="C6274" s="1050"/>
      <c r="D6274" s="1050"/>
      <c r="E6274" s="1050"/>
      <c r="F6274" s="1050"/>
      <c r="G6274" s="1050"/>
    </row>
    <row r="6275" spans="1:7">
      <c r="A6275" s="1079"/>
      <c r="B6275" s="1050"/>
      <c r="C6275" s="1050"/>
      <c r="D6275" s="1050"/>
      <c r="E6275" s="1050"/>
      <c r="F6275" s="1050"/>
      <c r="G6275" s="1050"/>
    </row>
    <row r="6276" spans="1:7">
      <c r="A6276" s="1079"/>
      <c r="B6276" s="1050"/>
      <c r="C6276" s="1050"/>
      <c r="D6276" s="1050"/>
      <c r="E6276" s="1050"/>
      <c r="F6276" s="1050"/>
      <c r="G6276" s="1050"/>
    </row>
    <row r="6277" spans="1:7">
      <c r="A6277" s="1079"/>
      <c r="B6277" s="1050"/>
      <c r="C6277" s="1050"/>
      <c r="D6277" s="1050"/>
      <c r="E6277" s="1050"/>
      <c r="F6277" s="1050"/>
      <c r="G6277" s="1050"/>
    </row>
    <row r="6278" spans="1:7">
      <c r="A6278" s="1079"/>
      <c r="B6278" s="1050"/>
      <c r="C6278" s="1050"/>
      <c r="D6278" s="1050"/>
      <c r="E6278" s="1050"/>
      <c r="F6278" s="1050"/>
      <c r="G6278" s="1050"/>
    </row>
    <row r="6279" spans="1:7">
      <c r="A6279" s="1079"/>
      <c r="B6279" s="1050"/>
      <c r="C6279" s="1050"/>
      <c r="D6279" s="1050"/>
      <c r="E6279" s="1050"/>
      <c r="F6279" s="1050"/>
      <c r="G6279" s="1050"/>
    </row>
    <row r="6280" spans="1:7">
      <c r="A6280" s="1079"/>
      <c r="B6280" s="1050"/>
      <c r="C6280" s="1050"/>
      <c r="D6280" s="1050"/>
      <c r="E6280" s="1050"/>
      <c r="F6280" s="1050"/>
      <c r="G6280" s="1050"/>
    </row>
    <row r="6281" spans="1:7">
      <c r="A6281" s="1079"/>
      <c r="B6281" s="1050"/>
      <c r="C6281" s="1050"/>
      <c r="D6281" s="1050"/>
      <c r="E6281" s="1050"/>
      <c r="F6281" s="1050"/>
      <c r="G6281" s="1050"/>
    </row>
    <row r="6282" spans="1:7">
      <c r="A6282" s="1079"/>
      <c r="B6282" s="1050"/>
      <c r="C6282" s="1050"/>
      <c r="D6282" s="1050"/>
      <c r="E6282" s="1050"/>
      <c r="F6282" s="1050"/>
      <c r="G6282" s="1050"/>
    </row>
    <row r="6283" spans="1:7">
      <c r="A6283" s="1079"/>
      <c r="B6283" s="1050"/>
      <c r="C6283" s="1050"/>
      <c r="D6283" s="1050"/>
      <c r="E6283" s="1050"/>
      <c r="F6283" s="1050"/>
      <c r="G6283" s="1050"/>
    </row>
    <row r="6284" spans="1:7">
      <c r="A6284" s="1079"/>
      <c r="B6284" s="1050"/>
      <c r="C6284" s="1050"/>
      <c r="D6284" s="1050"/>
      <c r="E6284" s="1050"/>
      <c r="F6284" s="1050"/>
      <c r="G6284" s="1050"/>
    </row>
    <row r="6285" spans="1:7">
      <c r="A6285" s="1079"/>
      <c r="B6285" s="1050"/>
      <c r="C6285" s="1050"/>
      <c r="D6285" s="1050"/>
      <c r="E6285" s="1050"/>
      <c r="F6285" s="1050"/>
      <c r="G6285" s="1050"/>
    </row>
    <row r="6286" spans="1:7">
      <c r="A6286" s="1079"/>
      <c r="B6286" s="1050"/>
      <c r="C6286" s="1050"/>
      <c r="D6286" s="1050"/>
      <c r="E6286" s="1050"/>
      <c r="F6286" s="1050"/>
      <c r="G6286" s="1050"/>
    </row>
    <row r="6287" spans="1:7">
      <c r="A6287" s="1079"/>
      <c r="B6287" s="1050"/>
      <c r="C6287" s="1050"/>
      <c r="D6287" s="1050"/>
      <c r="E6287" s="1050"/>
      <c r="F6287" s="1050"/>
      <c r="G6287" s="1050"/>
    </row>
    <row r="6288" spans="1:7">
      <c r="A6288" s="1079"/>
      <c r="B6288" s="1050"/>
      <c r="C6288" s="1050"/>
      <c r="D6288" s="1050"/>
      <c r="E6288" s="1050"/>
      <c r="F6288" s="1050"/>
      <c r="G6288" s="1050"/>
    </row>
    <row r="6289" spans="1:7">
      <c r="A6289" s="1079"/>
      <c r="B6289" s="1050"/>
      <c r="C6289" s="1050"/>
      <c r="D6289" s="1050"/>
      <c r="E6289" s="1050"/>
      <c r="F6289" s="1050"/>
      <c r="G6289" s="1050"/>
    </row>
    <row r="6290" spans="1:7">
      <c r="A6290" s="1079"/>
      <c r="B6290" s="1050"/>
      <c r="C6290" s="1050"/>
      <c r="D6290" s="1050"/>
      <c r="E6290" s="1050"/>
      <c r="F6290" s="1050"/>
      <c r="G6290" s="1050"/>
    </row>
    <row r="6291" spans="1:7">
      <c r="A6291" s="1079"/>
      <c r="B6291" s="1050"/>
      <c r="C6291" s="1050"/>
      <c r="D6291" s="1050"/>
      <c r="E6291" s="1050"/>
      <c r="F6291" s="1050"/>
      <c r="G6291" s="1050"/>
    </row>
    <row r="6292" spans="1:7">
      <c r="A6292" s="1079"/>
      <c r="B6292" s="1050"/>
      <c r="C6292" s="1050"/>
      <c r="D6292" s="1050"/>
      <c r="E6292" s="1050"/>
      <c r="F6292" s="1050"/>
      <c r="G6292" s="1050"/>
    </row>
    <row r="6293" spans="1:7">
      <c r="A6293" s="1079"/>
      <c r="B6293" s="1050"/>
      <c r="C6293" s="1050"/>
      <c r="D6293" s="1050"/>
      <c r="E6293" s="1050"/>
      <c r="F6293" s="1050"/>
      <c r="G6293" s="1050"/>
    </row>
    <row r="6294" spans="1:7">
      <c r="A6294" s="1079"/>
      <c r="B6294" s="1050"/>
      <c r="C6294" s="1050"/>
      <c r="D6294" s="1050"/>
      <c r="E6294" s="1050"/>
      <c r="F6294" s="1050"/>
      <c r="G6294" s="1050"/>
    </row>
    <row r="6295" spans="1:7">
      <c r="A6295" s="1079"/>
      <c r="B6295" s="1050"/>
      <c r="C6295" s="1050"/>
      <c r="D6295" s="1050"/>
      <c r="E6295" s="1050"/>
      <c r="F6295" s="1050"/>
      <c r="G6295" s="1050"/>
    </row>
    <row r="6296" spans="1:7">
      <c r="A6296" s="1079"/>
      <c r="B6296" s="1050"/>
      <c r="C6296" s="1050"/>
      <c r="D6296" s="1050"/>
      <c r="E6296" s="1050"/>
      <c r="F6296" s="1050"/>
      <c r="G6296" s="1050"/>
    </row>
    <row r="6297" spans="1:7">
      <c r="A6297" s="1079"/>
      <c r="B6297" s="1050"/>
      <c r="C6297" s="1050"/>
      <c r="D6297" s="1050"/>
      <c r="E6297" s="1050"/>
      <c r="F6297" s="1050"/>
      <c r="G6297" s="1050"/>
    </row>
    <row r="6298" spans="1:7">
      <c r="A6298" s="1079"/>
      <c r="B6298" s="1050"/>
      <c r="C6298" s="1050"/>
      <c r="D6298" s="1050"/>
      <c r="E6298" s="1050"/>
      <c r="F6298" s="1050"/>
      <c r="G6298" s="1050"/>
    </row>
    <row r="6299" spans="1:7">
      <c r="A6299" s="1079"/>
      <c r="B6299" s="1050"/>
      <c r="C6299" s="1050"/>
      <c r="D6299" s="1050"/>
      <c r="E6299" s="1050"/>
      <c r="F6299" s="1050"/>
      <c r="G6299" s="1050"/>
    </row>
    <row r="6300" spans="1:7">
      <c r="A6300" s="1079"/>
      <c r="B6300" s="1050"/>
      <c r="C6300" s="1050"/>
      <c r="D6300" s="1050"/>
      <c r="E6300" s="1050"/>
      <c r="F6300" s="1050"/>
      <c r="G6300" s="1050"/>
    </row>
    <row r="6301" spans="1:7">
      <c r="A6301" s="1079"/>
      <c r="B6301" s="1050"/>
      <c r="C6301" s="1050"/>
      <c r="D6301" s="1050"/>
      <c r="E6301" s="1050"/>
      <c r="F6301" s="1050"/>
      <c r="G6301" s="1050"/>
    </row>
    <row r="6302" spans="1:7">
      <c r="A6302" s="1079"/>
      <c r="B6302" s="1050"/>
      <c r="C6302" s="1050"/>
      <c r="D6302" s="1050"/>
      <c r="E6302" s="1050"/>
      <c r="F6302" s="1050"/>
      <c r="G6302" s="1050"/>
    </row>
    <row r="6303" spans="1:7">
      <c r="A6303" s="1079"/>
      <c r="B6303" s="1050"/>
      <c r="C6303" s="1050"/>
      <c r="D6303" s="1050"/>
      <c r="E6303" s="1050"/>
      <c r="F6303" s="1050"/>
      <c r="G6303" s="1050"/>
    </row>
    <row r="6304" spans="1:7">
      <c r="A6304" s="1079"/>
      <c r="B6304" s="1050"/>
      <c r="C6304" s="1050"/>
      <c r="D6304" s="1050"/>
      <c r="E6304" s="1050"/>
      <c r="F6304" s="1050"/>
      <c r="G6304" s="1050"/>
    </row>
    <row r="6305" spans="1:7">
      <c r="A6305" s="1079"/>
      <c r="B6305" s="1050"/>
      <c r="C6305" s="1050"/>
      <c r="D6305" s="1050"/>
      <c r="E6305" s="1050"/>
      <c r="F6305" s="1050"/>
      <c r="G6305" s="1050"/>
    </row>
    <row r="6306" spans="1:7">
      <c r="A6306" s="1079"/>
      <c r="B6306" s="1050"/>
      <c r="C6306" s="1050"/>
      <c r="D6306" s="1050"/>
      <c r="E6306" s="1050"/>
      <c r="F6306" s="1050"/>
      <c r="G6306" s="1050"/>
    </row>
    <row r="6307" spans="1:7">
      <c r="A6307" s="1079"/>
      <c r="B6307" s="1050"/>
      <c r="C6307" s="1050"/>
      <c r="D6307" s="1050"/>
      <c r="E6307" s="1050"/>
      <c r="F6307" s="1050"/>
      <c r="G6307" s="1050"/>
    </row>
    <row r="6308" spans="1:7">
      <c r="A6308" s="1079"/>
      <c r="B6308" s="1050"/>
      <c r="C6308" s="1050"/>
      <c r="D6308" s="1050"/>
      <c r="E6308" s="1050"/>
      <c r="F6308" s="1050"/>
      <c r="G6308" s="1050"/>
    </row>
    <row r="6309" spans="1:7">
      <c r="A6309" s="1079"/>
      <c r="B6309" s="1050"/>
      <c r="C6309" s="1050"/>
      <c r="D6309" s="1050"/>
      <c r="E6309" s="1050"/>
      <c r="F6309" s="1050"/>
      <c r="G6309" s="1050"/>
    </row>
    <row r="6310" spans="1:7">
      <c r="A6310" s="1079"/>
      <c r="B6310" s="1050"/>
      <c r="C6310" s="1050"/>
      <c r="D6310" s="1050"/>
      <c r="E6310" s="1050"/>
      <c r="F6310" s="1050"/>
      <c r="G6310" s="1050"/>
    </row>
    <row r="6311" spans="1:7">
      <c r="A6311" s="1079"/>
      <c r="B6311" s="1050"/>
      <c r="C6311" s="1050"/>
      <c r="D6311" s="1050"/>
      <c r="E6311" s="1050"/>
      <c r="F6311" s="1050"/>
      <c r="G6311" s="1050"/>
    </row>
    <row r="6312" spans="1:7">
      <c r="A6312" s="1079"/>
      <c r="B6312" s="1050"/>
      <c r="C6312" s="1050"/>
      <c r="D6312" s="1050"/>
      <c r="E6312" s="1050"/>
      <c r="F6312" s="1050"/>
      <c r="G6312" s="1050"/>
    </row>
    <row r="6313" spans="1:7">
      <c r="A6313" s="1079"/>
      <c r="B6313" s="1050"/>
      <c r="C6313" s="1050"/>
      <c r="D6313" s="1050"/>
      <c r="E6313" s="1050"/>
      <c r="F6313" s="1050"/>
      <c r="G6313" s="1050"/>
    </row>
    <row r="6314" spans="1:7">
      <c r="A6314" s="1079"/>
      <c r="B6314" s="1050"/>
      <c r="C6314" s="1050"/>
      <c r="D6314" s="1050"/>
      <c r="E6314" s="1050"/>
      <c r="F6314" s="1050"/>
      <c r="G6314" s="1050"/>
    </row>
    <row r="6315" spans="1:7">
      <c r="A6315" s="1079"/>
      <c r="B6315" s="1050"/>
      <c r="C6315" s="1050"/>
      <c r="D6315" s="1050"/>
      <c r="E6315" s="1050"/>
      <c r="F6315" s="1050"/>
      <c r="G6315" s="1050"/>
    </row>
    <row r="6316" spans="1:7">
      <c r="A6316" s="1079"/>
      <c r="B6316" s="1050"/>
      <c r="C6316" s="1050"/>
      <c r="D6316" s="1050"/>
      <c r="E6316" s="1050"/>
      <c r="F6316" s="1050"/>
      <c r="G6316" s="1050"/>
    </row>
    <row r="6317" spans="1:7">
      <c r="A6317" s="1079"/>
      <c r="B6317" s="1050"/>
      <c r="C6317" s="1050"/>
      <c r="D6317" s="1050"/>
      <c r="E6317" s="1050"/>
      <c r="F6317" s="1050"/>
      <c r="G6317" s="1050"/>
    </row>
    <row r="6318" spans="1:7">
      <c r="A6318" s="1079"/>
      <c r="B6318" s="1050"/>
      <c r="C6318" s="1050"/>
      <c r="D6318" s="1050"/>
      <c r="E6318" s="1050"/>
      <c r="F6318" s="1050"/>
      <c r="G6318" s="1050"/>
    </row>
    <row r="6319" spans="1:7">
      <c r="A6319" s="1079"/>
      <c r="B6319" s="1050"/>
      <c r="C6319" s="1050"/>
      <c r="D6319" s="1050"/>
      <c r="E6319" s="1050"/>
      <c r="F6319" s="1050"/>
      <c r="G6319" s="1050"/>
    </row>
    <row r="6320" spans="1:7">
      <c r="A6320" s="1079"/>
      <c r="B6320" s="1050"/>
      <c r="C6320" s="1050"/>
      <c r="D6320" s="1050"/>
      <c r="E6320" s="1050"/>
      <c r="F6320" s="1050"/>
      <c r="G6320" s="1050"/>
    </row>
    <row r="6321" spans="1:7">
      <c r="A6321" s="1079"/>
      <c r="B6321" s="1050"/>
      <c r="C6321" s="1050"/>
      <c r="D6321" s="1050"/>
      <c r="E6321" s="1050"/>
      <c r="F6321" s="1050"/>
      <c r="G6321" s="1050"/>
    </row>
    <row r="6322" spans="1:7">
      <c r="A6322" s="1079"/>
      <c r="B6322" s="1050"/>
      <c r="C6322" s="1050"/>
      <c r="D6322" s="1050"/>
      <c r="E6322" s="1050"/>
      <c r="F6322" s="1050"/>
      <c r="G6322" s="1050"/>
    </row>
    <row r="6323" spans="1:7">
      <c r="A6323" s="1079"/>
      <c r="B6323" s="1050"/>
      <c r="C6323" s="1050"/>
      <c r="D6323" s="1050"/>
      <c r="E6323" s="1050"/>
      <c r="F6323" s="1050"/>
      <c r="G6323" s="1050"/>
    </row>
    <row r="6324" spans="1:7">
      <c r="A6324" s="1079"/>
      <c r="B6324" s="1050"/>
      <c r="C6324" s="1050"/>
      <c r="D6324" s="1050"/>
      <c r="E6324" s="1050"/>
      <c r="F6324" s="1050"/>
      <c r="G6324" s="1050"/>
    </row>
    <row r="6325" spans="1:7">
      <c r="A6325" s="1079"/>
      <c r="B6325" s="1050"/>
      <c r="C6325" s="1050"/>
      <c r="D6325" s="1050"/>
      <c r="E6325" s="1050"/>
      <c r="F6325" s="1050"/>
      <c r="G6325" s="1050"/>
    </row>
    <row r="6326" spans="1:7">
      <c r="A6326" s="1079"/>
      <c r="B6326" s="1050"/>
      <c r="C6326" s="1050"/>
      <c r="D6326" s="1050"/>
      <c r="E6326" s="1050"/>
      <c r="F6326" s="1050"/>
      <c r="G6326" s="1050"/>
    </row>
    <row r="6327" spans="1:7">
      <c r="A6327" s="1079"/>
      <c r="B6327" s="1050"/>
      <c r="C6327" s="1050"/>
      <c r="D6327" s="1050"/>
      <c r="E6327" s="1050"/>
      <c r="F6327" s="1050"/>
      <c r="G6327" s="1050"/>
    </row>
    <row r="6328" spans="1:7">
      <c r="A6328" s="1079"/>
      <c r="B6328" s="1050"/>
      <c r="C6328" s="1050"/>
      <c r="D6328" s="1050"/>
      <c r="E6328" s="1050"/>
      <c r="F6328" s="1050"/>
      <c r="G6328" s="1050"/>
    </row>
    <row r="6329" spans="1:7">
      <c r="A6329" s="1079"/>
      <c r="B6329" s="1050"/>
      <c r="C6329" s="1050"/>
      <c r="D6329" s="1050"/>
      <c r="E6329" s="1050"/>
      <c r="F6329" s="1050"/>
      <c r="G6329" s="1050"/>
    </row>
    <row r="6330" spans="1:7">
      <c r="A6330" s="1079"/>
      <c r="B6330" s="1050"/>
      <c r="C6330" s="1050"/>
      <c r="D6330" s="1050"/>
      <c r="E6330" s="1050"/>
      <c r="F6330" s="1050"/>
      <c r="G6330" s="1050"/>
    </row>
    <row r="6331" spans="1:7">
      <c r="A6331" s="1079"/>
      <c r="B6331" s="1050"/>
      <c r="C6331" s="1050"/>
      <c r="D6331" s="1050"/>
      <c r="E6331" s="1050"/>
      <c r="F6331" s="1050"/>
      <c r="G6331" s="1050"/>
    </row>
    <row r="6332" spans="1:7">
      <c r="A6332" s="1079"/>
      <c r="B6332" s="1050"/>
      <c r="C6332" s="1050"/>
      <c r="D6332" s="1050"/>
      <c r="E6332" s="1050"/>
      <c r="F6332" s="1050"/>
      <c r="G6332" s="1050"/>
    </row>
    <row r="6333" spans="1:7">
      <c r="A6333" s="1079"/>
      <c r="B6333" s="1050"/>
      <c r="C6333" s="1050"/>
      <c r="D6333" s="1050"/>
      <c r="E6333" s="1050"/>
      <c r="F6333" s="1050"/>
      <c r="G6333" s="1050"/>
    </row>
    <row r="6334" spans="1:7">
      <c r="A6334" s="1079"/>
      <c r="B6334" s="1050"/>
      <c r="C6334" s="1050"/>
      <c r="D6334" s="1050"/>
      <c r="E6334" s="1050"/>
      <c r="F6334" s="1050"/>
      <c r="G6334" s="1050"/>
    </row>
    <row r="6335" spans="1:7">
      <c r="A6335" s="1079"/>
      <c r="B6335" s="1050"/>
      <c r="C6335" s="1050"/>
      <c r="D6335" s="1050"/>
      <c r="E6335" s="1050"/>
      <c r="F6335" s="1050"/>
      <c r="G6335" s="1050"/>
    </row>
    <row r="6336" spans="1:7">
      <c r="A6336" s="1079"/>
      <c r="B6336" s="1050"/>
      <c r="C6336" s="1050"/>
      <c r="D6336" s="1050"/>
      <c r="E6336" s="1050"/>
      <c r="F6336" s="1050"/>
      <c r="G6336" s="1050"/>
    </row>
    <row r="6337" spans="1:7">
      <c r="A6337" s="1079"/>
      <c r="B6337" s="1050"/>
      <c r="C6337" s="1050"/>
      <c r="D6337" s="1050"/>
      <c r="E6337" s="1050"/>
      <c r="F6337" s="1050"/>
      <c r="G6337" s="1050"/>
    </row>
    <row r="6338" spans="1:7">
      <c r="A6338" s="1079"/>
      <c r="B6338" s="1050"/>
      <c r="C6338" s="1050"/>
      <c r="D6338" s="1050"/>
      <c r="E6338" s="1050"/>
      <c r="F6338" s="1050"/>
      <c r="G6338" s="1050"/>
    </row>
    <row r="6339" spans="1:7">
      <c r="A6339" s="1079"/>
      <c r="B6339" s="1050"/>
      <c r="C6339" s="1050"/>
      <c r="D6339" s="1050"/>
      <c r="E6339" s="1050"/>
      <c r="F6339" s="1050"/>
      <c r="G6339" s="1050"/>
    </row>
    <row r="6340" spans="1:7">
      <c r="A6340" s="1079"/>
      <c r="B6340" s="1050"/>
      <c r="C6340" s="1050"/>
      <c r="D6340" s="1050"/>
      <c r="E6340" s="1050"/>
      <c r="F6340" s="1050"/>
      <c r="G6340" s="1050"/>
    </row>
    <row r="6341" spans="1:7">
      <c r="A6341" s="1079"/>
      <c r="B6341" s="1050"/>
      <c r="C6341" s="1050"/>
      <c r="D6341" s="1050"/>
      <c r="E6341" s="1050"/>
      <c r="F6341" s="1050"/>
      <c r="G6341" s="1050"/>
    </row>
    <row r="6342" spans="1:7">
      <c r="A6342" s="1079"/>
      <c r="B6342" s="1050"/>
      <c r="C6342" s="1050"/>
      <c r="D6342" s="1050"/>
      <c r="E6342" s="1050"/>
      <c r="F6342" s="1050"/>
      <c r="G6342" s="1050"/>
    </row>
    <row r="6343" spans="1:7">
      <c r="A6343" s="1079"/>
      <c r="B6343" s="1050"/>
      <c r="C6343" s="1050"/>
      <c r="D6343" s="1050"/>
      <c r="E6343" s="1050"/>
      <c r="F6343" s="1050"/>
      <c r="G6343" s="1050"/>
    </row>
    <row r="6344" spans="1:7">
      <c r="A6344" s="1079"/>
      <c r="B6344" s="1050"/>
      <c r="C6344" s="1050"/>
      <c r="D6344" s="1050"/>
      <c r="E6344" s="1050"/>
      <c r="F6344" s="1050"/>
      <c r="G6344" s="1050"/>
    </row>
    <row r="6345" spans="1:7">
      <c r="A6345" s="1079"/>
      <c r="B6345" s="1050"/>
      <c r="C6345" s="1050"/>
      <c r="D6345" s="1050"/>
      <c r="E6345" s="1050"/>
      <c r="F6345" s="1050"/>
      <c r="G6345" s="1050"/>
    </row>
    <row r="6346" spans="1:7">
      <c r="A6346" s="1079"/>
      <c r="B6346" s="1050"/>
      <c r="C6346" s="1050"/>
      <c r="D6346" s="1050"/>
      <c r="E6346" s="1050"/>
      <c r="F6346" s="1050"/>
      <c r="G6346" s="1050"/>
    </row>
    <row r="6347" spans="1:7">
      <c r="A6347" s="1079"/>
      <c r="B6347" s="1050"/>
      <c r="C6347" s="1050"/>
      <c r="D6347" s="1050"/>
      <c r="E6347" s="1050"/>
      <c r="F6347" s="1050"/>
      <c r="G6347" s="1050"/>
    </row>
    <row r="6348" spans="1:7">
      <c r="A6348" s="1079"/>
      <c r="B6348" s="1050"/>
      <c r="C6348" s="1050"/>
      <c r="D6348" s="1050"/>
      <c r="E6348" s="1050"/>
      <c r="F6348" s="1050"/>
      <c r="G6348" s="1050"/>
    </row>
    <row r="6349" spans="1:7">
      <c r="A6349" s="1079"/>
      <c r="B6349" s="1050"/>
      <c r="C6349" s="1050"/>
      <c r="D6349" s="1050"/>
      <c r="E6349" s="1050"/>
      <c r="F6349" s="1050"/>
      <c r="G6349" s="1050"/>
    </row>
    <row r="6350" spans="1:7">
      <c r="A6350" s="1079"/>
      <c r="B6350" s="1050"/>
      <c r="C6350" s="1050"/>
      <c r="D6350" s="1050"/>
      <c r="E6350" s="1050"/>
      <c r="F6350" s="1050"/>
      <c r="G6350" s="1050"/>
    </row>
    <row r="6351" spans="1:7">
      <c r="A6351" s="1079"/>
      <c r="B6351" s="1050"/>
      <c r="C6351" s="1050"/>
      <c r="D6351" s="1050"/>
      <c r="E6351" s="1050"/>
      <c r="F6351" s="1050"/>
      <c r="G6351" s="1050"/>
    </row>
    <row r="6352" spans="1:7">
      <c r="A6352" s="1079"/>
      <c r="B6352" s="1050"/>
      <c r="C6352" s="1050"/>
      <c r="D6352" s="1050"/>
      <c r="E6352" s="1050"/>
      <c r="F6352" s="1050"/>
      <c r="G6352" s="1050"/>
    </row>
    <row r="6353" spans="1:7">
      <c r="A6353" s="1079"/>
      <c r="B6353" s="1050"/>
      <c r="C6353" s="1050"/>
      <c r="D6353" s="1050"/>
      <c r="E6353" s="1050"/>
      <c r="F6353" s="1050"/>
      <c r="G6353" s="1050"/>
    </row>
    <row r="6354" spans="1:7">
      <c r="A6354" s="1079"/>
      <c r="B6354" s="1050"/>
      <c r="C6354" s="1050"/>
      <c r="D6354" s="1050"/>
      <c r="E6354" s="1050"/>
      <c r="F6354" s="1050"/>
      <c r="G6354" s="1050"/>
    </row>
    <row r="6355" spans="1:7">
      <c r="A6355" s="1079"/>
      <c r="B6355" s="1050"/>
      <c r="C6355" s="1050"/>
      <c r="D6355" s="1050"/>
      <c r="E6355" s="1050"/>
      <c r="F6355" s="1050"/>
      <c r="G6355" s="1050"/>
    </row>
    <row r="6356" spans="1:7">
      <c r="A6356" s="1079"/>
      <c r="B6356" s="1050"/>
      <c r="C6356" s="1050"/>
      <c r="D6356" s="1050"/>
      <c r="E6356" s="1050"/>
      <c r="F6356" s="1050"/>
      <c r="G6356" s="1050"/>
    </row>
    <row r="6357" spans="1:7">
      <c r="A6357" s="1079"/>
      <c r="B6357" s="1050"/>
      <c r="C6357" s="1050"/>
      <c r="D6357" s="1050"/>
      <c r="E6357" s="1050"/>
      <c r="F6357" s="1050"/>
      <c r="G6357" s="1050"/>
    </row>
    <row r="6358" spans="1:7">
      <c r="A6358" s="1079"/>
      <c r="B6358" s="1050"/>
      <c r="C6358" s="1050"/>
      <c r="D6358" s="1050"/>
      <c r="E6358" s="1050"/>
      <c r="F6358" s="1050"/>
      <c r="G6358" s="1050"/>
    </row>
    <row r="6359" spans="1:7">
      <c r="A6359" s="1079"/>
      <c r="B6359" s="1050"/>
      <c r="C6359" s="1050"/>
      <c r="D6359" s="1050"/>
      <c r="E6359" s="1050"/>
      <c r="F6359" s="1050"/>
      <c r="G6359" s="1050"/>
    </row>
    <row r="6360" spans="1:7">
      <c r="A6360" s="1079"/>
      <c r="B6360" s="1050"/>
      <c r="C6360" s="1050"/>
      <c r="D6360" s="1050"/>
      <c r="E6360" s="1050"/>
      <c r="F6360" s="1050"/>
      <c r="G6360" s="1050"/>
    </row>
    <row r="6361" spans="1:7">
      <c r="A6361" s="1079"/>
      <c r="B6361" s="1050"/>
      <c r="C6361" s="1050"/>
      <c r="D6361" s="1050"/>
      <c r="E6361" s="1050"/>
      <c r="F6361" s="1050"/>
      <c r="G6361" s="1050"/>
    </row>
    <row r="6362" spans="1:7">
      <c r="A6362" s="1079"/>
      <c r="B6362" s="1050"/>
      <c r="C6362" s="1050"/>
      <c r="D6362" s="1050"/>
      <c r="E6362" s="1050"/>
      <c r="F6362" s="1050"/>
      <c r="G6362" s="1050"/>
    </row>
    <row r="6363" spans="1:7">
      <c r="A6363" s="1079"/>
      <c r="B6363" s="1050"/>
      <c r="C6363" s="1050"/>
      <c r="D6363" s="1050"/>
      <c r="E6363" s="1050"/>
      <c r="F6363" s="1050"/>
      <c r="G6363" s="1050"/>
    </row>
    <row r="6364" spans="1:7">
      <c r="A6364" s="1079"/>
      <c r="B6364" s="1050"/>
      <c r="C6364" s="1050"/>
      <c r="D6364" s="1050"/>
      <c r="E6364" s="1050"/>
      <c r="F6364" s="1050"/>
      <c r="G6364" s="1050"/>
    </row>
    <row r="6365" spans="1:7">
      <c r="A6365" s="1079"/>
      <c r="B6365" s="1050"/>
      <c r="C6365" s="1050"/>
      <c r="D6365" s="1050"/>
      <c r="E6365" s="1050"/>
      <c r="F6365" s="1050"/>
      <c r="G6365" s="1050"/>
    </row>
    <row r="6366" spans="1:7">
      <c r="A6366" s="1079"/>
      <c r="B6366" s="1050"/>
      <c r="C6366" s="1050"/>
      <c r="D6366" s="1050"/>
      <c r="E6366" s="1050"/>
      <c r="F6366" s="1050"/>
      <c r="G6366" s="1050"/>
    </row>
    <row r="6367" spans="1:7">
      <c r="A6367" s="1079"/>
      <c r="B6367" s="1050"/>
      <c r="C6367" s="1050"/>
      <c r="D6367" s="1050"/>
      <c r="E6367" s="1050"/>
      <c r="F6367" s="1050"/>
      <c r="G6367" s="1050"/>
    </row>
    <row r="6368" spans="1:7">
      <c r="A6368" s="1079"/>
      <c r="B6368" s="1050"/>
      <c r="C6368" s="1050"/>
      <c r="D6368" s="1050"/>
      <c r="E6368" s="1050"/>
      <c r="F6368" s="1050"/>
      <c r="G6368" s="1050"/>
    </row>
    <row r="6369" spans="1:7">
      <c r="A6369" s="1079"/>
      <c r="B6369" s="1050"/>
      <c r="C6369" s="1050"/>
      <c r="D6369" s="1050"/>
      <c r="E6369" s="1050"/>
      <c r="F6369" s="1050"/>
      <c r="G6369" s="1050"/>
    </row>
    <row r="6370" spans="1:7">
      <c r="A6370" s="1079"/>
      <c r="B6370" s="1050"/>
      <c r="C6370" s="1050"/>
      <c r="D6370" s="1050"/>
      <c r="E6370" s="1050"/>
      <c r="F6370" s="1050"/>
      <c r="G6370" s="1050"/>
    </row>
    <row r="6371" spans="1:7">
      <c r="A6371" s="1079"/>
      <c r="B6371" s="1050"/>
      <c r="C6371" s="1050"/>
      <c r="D6371" s="1050"/>
      <c r="E6371" s="1050"/>
      <c r="F6371" s="1050"/>
      <c r="G6371" s="1050"/>
    </row>
    <row r="6372" spans="1:7">
      <c r="A6372" s="1079"/>
      <c r="B6372" s="1050"/>
      <c r="C6372" s="1050"/>
      <c r="D6372" s="1050"/>
      <c r="E6372" s="1050"/>
      <c r="F6372" s="1050"/>
      <c r="G6372" s="1050"/>
    </row>
    <row r="6373" spans="1:7">
      <c r="A6373" s="1079"/>
      <c r="B6373" s="1050"/>
      <c r="C6373" s="1050"/>
      <c r="D6373" s="1050"/>
      <c r="E6373" s="1050"/>
      <c r="F6373" s="1050"/>
      <c r="G6373" s="1050"/>
    </row>
    <row r="6374" spans="1:7">
      <c r="A6374" s="1079"/>
      <c r="B6374" s="1050"/>
      <c r="C6374" s="1050"/>
      <c r="D6374" s="1050"/>
      <c r="E6374" s="1050"/>
      <c r="F6374" s="1050"/>
      <c r="G6374" s="1050"/>
    </row>
    <row r="6375" spans="1:7">
      <c r="A6375" s="1079"/>
      <c r="B6375" s="1050"/>
      <c r="C6375" s="1050"/>
      <c r="D6375" s="1050"/>
      <c r="E6375" s="1050"/>
      <c r="F6375" s="1050"/>
      <c r="G6375" s="1050"/>
    </row>
    <row r="6376" spans="1:7">
      <c r="A6376" s="1079"/>
      <c r="B6376" s="1050"/>
      <c r="C6376" s="1050"/>
      <c r="D6376" s="1050"/>
      <c r="E6376" s="1050"/>
      <c r="F6376" s="1050"/>
      <c r="G6376" s="1050"/>
    </row>
    <row r="6377" spans="1:7">
      <c r="A6377" s="1079"/>
      <c r="B6377" s="1050"/>
      <c r="C6377" s="1050"/>
      <c r="D6377" s="1050"/>
      <c r="E6377" s="1050"/>
      <c r="F6377" s="1050"/>
      <c r="G6377" s="1050"/>
    </row>
    <row r="6378" spans="1:7">
      <c r="A6378" s="1079"/>
      <c r="B6378" s="1050"/>
      <c r="C6378" s="1050"/>
      <c r="D6378" s="1050"/>
      <c r="E6378" s="1050"/>
      <c r="F6378" s="1050"/>
      <c r="G6378" s="1050"/>
    </row>
    <row r="6379" spans="1:7">
      <c r="A6379" s="1079"/>
      <c r="B6379" s="1050"/>
      <c r="C6379" s="1050"/>
      <c r="D6379" s="1050"/>
      <c r="E6379" s="1050"/>
      <c r="F6379" s="1050"/>
      <c r="G6379" s="1050"/>
    </row>
    <row r="6380" spans="1:7">
      <c r="A6380" s="1079"/>
      <c r="B6380" s="1050"/>
      <c r="C6380" s="1050"/>
      <c r="D6380" s="1050"/>
      <c r="E6380" s="1050"/>
      <c r="F6380" s="1050"/>
      <c r="G6380" s="1050"/>
    </row>
    <row r="6381" spans="1:7">
      <c r="A6381" s="1079"/>
      <c r="B6381" s="1050"/>
      <c r="C6381" s="1050"/>
      <c r="D6381" s="1050"/>
      <c r="E6381" s="1050"/>
      <c r="F6381" s="1050"/>
      <c r="G6381" s="1050"/>
    </row>
    <row r="6382" spans="1:7">
      <c r="A6382" s="1079"/>
      <c r="B6382" s="1050"/>
      <c r="C6382" s="1050"/>
      <c r="D6382" s="1050"/>
      <c r="E6382" s="1050"/>
      <c r="F6382" s="1050"/>
      <c r="G6382" s="1050"/>
    </row>
    <row r="6383" spans="1:7">
      <c r="A6383" s="1079"/>
      <c r="B6383" s="1050"/>
      <c r="C6383" s="1050"/>
      <c r="D6383" s="1050"/>
      <c r="E6383" s="1050"/>
      <c r="F6383" s="1050"/>
      <c r="G6383" s="1050"/>
    </row>
    <row r="6384" spans="1:7">
      <c r="A6384" s="1079"/>
      <c r="B6384" s="1050"/>
      <c r="C6384" s="1050"/>
      <c r="D6384" s="1050"/>
      <c r="E6384" s="1050"/>
      <c r="F6384" s="1050"/>
      <c r="G6384" s="1050"/>
    </row>
    <row r="6385" spans="1:7">
      <c r="A6385" s="1079"/>
      <c r="B6385" s="1050"/>
      <c r="C6385" s="1050"/>
      <c r="D6385" s="1050"/>
      <c r="E6385" s="1050"/>
      <c r="F6385" s="1050"/>
      <c r="G6385" s="1050"/>
    </row>
    <row r="6386" spans="1:7">
      <c r="A6386" s="1079"/>
      <c r="B6386" s="1050"/>
      <c r="C6386" s="1050"/>
      <c r="D6386" s="1050"/>
      <c r="E6386" s="1050"/>
      <c r="F6386" s="1050"/>
      <c r="G6386" s="1050"/>
    </row>
    <row r="6387" spans="1:7">
      <c r="A6387" s="1079"/>
      <c r="B6387" s="1050"/>
      <c r="C6387" s="1050"/>
      <c r="D6387" s="1050"/>
      <c r="E6387" s="1050"/>
      <c r="F6387" s="1050"/>
      <c r="G6387" s="1050"/>
    </row>
    <row r="6388" spans="1:7">
      <c r="A6388" s="1079"/>
      <c r="B6388" s="1050"/>
      <c r="C6388" s="1050"/>
      <c r="D6388" s="1050"/>
      <c r="E6388" s="1050"/>
      <c r="F6388" s="1050"/>
      <c r="G6388" s="1050"/>
    </row>
    <row r="6389" spans="1:7">
      <c r="A6389" s="1079"/>
      <c r="B6389" s="1050"/>
      <c r="C6389" s="1050"/>
      <c r="D6389" s="1050"/>
      <c r="E6389" s="1050"/>
      <c r="F6389" s="1050"/>
      <c r="G6389" s="1050"/>
    </row>
    <row r="6390" spans="1:7">
      <c r="A6390" s="1079"/>
      <c r="B6390" s="1050"/>
      <c r="C6390" s="1050"/>
      <c r="D6390" s="1050"/>
      <c r="E6390" s="1050"/>
      <c r="F6390" s="1050"/>
      <c r="G6390" s="1050"/>
    </row>
    <row r="6391" spans="1:7">
      <c r="A6391" s="1079"/>
      <c r="B6391" s="1050"/>
      <c r="C6391" s="1050"/>
      <c r="D6391" s="1050"/>
      <c r="E6391" s="1050"/>
      <c r="F6391" s="1050"/>
      <c r="G6391" s="1050"/>
    </row>
    <row r="6392" spans="1:7">
      <c r="A6392" s="1079"/>
      <c r="B6392" s="1050"/>
      <c r="C6392" s="1050"/>
      <c r="D6392" s="1050"/>
      <c r="E6392" s="1050"/>
      <c r="F6392" s="1050"/>
      <c r="G6392" s="1050"/>
    </row>
    <row r="6393" spans="1:7">
      <c r="A6393" s="1079"/>
      <c r="B6393" s="1050"/>
      <c r="C6393" s="1050"/>
      <c r="D6393" s="1050"/>
      <c r="E6393" s="1050"/>
      <c r="F6393" s="1050"/>
      <c r="G6393" s="1050"/>
    </row>
    <row r="6394" spans="1:7">
      <c r="A6394" s="1079"/>
      <c r="B6394" s="1050"/>
      <c r="C6394" s="1050"/>
      <c r="D6394" s="1050"/>
      <c r="E6394" s="1050"/>
      <c r="F6394" s="1050"/>
      <c r="G6394" s="1050"/>
    </row>
    <row r="6395" spans="1:7">
      <c r="A6395" s="1079"/>
      <c r="B6395" s="1050"/>
      <c r="C6395" s="1050"/>
      <c r="D6395" s="1050"/>
      <c r="E6395" s="1050"/>
      <c r="F6395" s="1050"/>
      <c r="G6395" s="1050"/>
    </row>
    <row r="6396" spans="1:7">
      <c r="A6396" s="1079"/>
      <c r="B6396" s="1050"/>
      <c r="C6396" s="1050"/>
      <c r="D6396" s="1050"/>
      <c r="E6396" s="1050"/>
      <c r="F6396" s="1050"/>
      <c r="G6396" s="1050"/>
    </row>
    <row r="6397" spans="1:7">
      <c r="A6397" s="1079"/>
      <c r="B6397" s="1050"/>
      <c r="C6397" s="1050"/>
      <c r="D6397" s="1050"/>
      <c r="E6397" s="1050"/>
      <c r="F6397" s="1050"/>
      <c r="G6397" s="1050"/>
    </row>
    <row r="6398" spans="1:7">
      <c r="A6398" s="1079"/>
      <c r="B6398" s="1050"/>
      <c r="C6398" s="1050"/>
      <c r="D6398" s="1050"/>
      <c r="E6398" s="1050"/>
      <c r="F6398" s="1050"/>
      <c r="G6398" s="1050"/>
    </row>
    <row r="6399" spans="1:7">
      <c r="A6399" s="1079"/>
      <c r="B6399" s="1050"/>
      <c r="C6399" s="1050"/>
      <c r="D6399" s="1050"/>
      <c r="E6399" s="1050"/>
      <c r="F6399" s="1050"/>
      <c r="G6399" s="1050"/>
    </row>
    <row r="6400" spans="1:7">
      <c r="A6400" s="1079"/>
      <c r="B6400" s="1050"/>
      <c r="C6400" s="1050"/>
      <c r="D6400" s="1050"/>
      <c r="E6400" s="1050"/>
      <c r="F6400" s="1050"/>
      <c r="G6400" s="1050"/>
    </row>
    <row r="6401" spans="1:7">
      <c r="A6401" s="1079"/>
      <c r="B6401" s="1050"/>
      <c r="C6401" s="1050"/>
      <c r="D6401" s="1050"/>
      <c r="E6401" s="1050"/>
      <c r="F6401" s="1050"/>
      <c r="G6401" s="1050"/>
    </row>
    <row r="6402" spans="1:7">
      <c r="A6402" s="1079"/>
      <c r="B6402" s="1050"/>
      <c r="C6402" s="1050"/>
      <c r="D6402" s="1050"/>
      <c r="E6402" s="1050"/>
      <c r="F6402" s="1050"/>
      <c r="G6402" s="1050"/>
    </row>
    <row r="6403" spans="1:7">
      <c r="A6403" s="1079"/>
      <c r="B6403" s="1050"/>
      <c r="C6403" s="1050"/>
      <c r="D6403" s="1050"/>
      <c r="E6403" s="1050"/>
      <c r="F6403" s="1050"/>
      <c r="G6403" s="1050"/>
    </row>
    <row r="6404" spans="1:7">
      <c r="A6404" s="1079"/>
      <c r="B6404" s="1050"/>
      <c r="C6404" s="1050"/>
      <c r="D6404" s="1050"/>
      <c r="E6404" s="1050"/>
      <c r="F6404" s="1050"/>
      <c r="G6404" s="1050"/>
    </row>
    <row r="6405" spans="1:7">
      <c r="A6405" s="1079"/>
      <c r="B6405" s="1050"/>
      <c r="C6405" s="1050"/>
      <c r="D6405" s="1050"/>
      <c r="E6405" s="1050"/>
      <c r="F6405" s="1050"/>
      <c r="G6405" s="1050"/>
    </row>
    <row r="6406" spans="1:7">
      <c r="A6406" s="1079"/>
      <c r="B6406" s="1050"/>
      <c r="C6406" s="1050"/>
      <c r="D6406" s="1050"/>
      <c r="E6406" s="1050"/>
      <c r="F6406" s="1050"/>
      <c r="G6406" s="1050"/>
    </row>
    <row r="6407" spans="1:7">
      <c r="A6407" s="1079"/>
      <c r="B6407" s="1050"/>
      <c r="C6407" s="1050"/>
      <c r="D6407" s="1050"/>
      <c r="E6407" s="1050"/>
      <c r="F6407" s="1050"/>
      <c r="G6407" s="1050"/>
    </row>
    <row r="6408" spans="1:7">
      <c r="A6408" s="1079"/>
      <c r="B6408" s="1050"/>
      <c r="C6408" s="1050"/>
      <c r="D6408" s="1050"/>
      <c r="E6408" s="1050"/>
      <c r="F6408" s="1050"/>
      <c r="G6408" s="1050"/>
    </row>
    <row r="6409" spans="1:7">
      <c r="A6409" s="1079"/>
      <c r="B6409" s="1050"/>
      <c r="C6409" s="1050"/>
      <c r="D6409" s="1050"/>
      <c r="E6409" s="1050"/>
      <c r="F6409" s="1050"/>
      <c r="G6409" s="1050"/>
    </row>
    <row r="6410" spans="1:7">
      <c r="A6410" s="1079"/>
      <c r="B6410" s="1050"/>
      <c r="C6410" s="1050"/>
      <c r="D6410" s="1050"/>
      <c r="E6410" s="1050"/>
      <c r="F6410" s="1050"/>
      <c r="G6410" s="1050"/>
    </row>
    <row r="6411" spans="1:7">
      <c r="A6411" s="1079"/>
      <c r="B6411" s="1050"/>
      <c r="C6411" s="1050"/>
      <c r="D6411" s="1050"/>
      <c r="E6411" s="1050"/>
      <c r="F6411" s="1050"/>
      <c r="G6411" s="1050"/>
    </row>
    <row r="6412" spans="1:7">
      <c r="A6412" s="1079"/>
      <c r="B6412" s="1050"/>
      <c r="C6412" s="1050"/>
      <c r="D6412" s="1050"/>
      <c r="E6412" s="1050"/>
      <c r="F6412" s="1050"/>
      <c r="G6412" s="1050"/>
    </row>
    <row r="6413" spans="1:7">
      <c r="A6413" s="1079"/>
      <c r="B6413" s="1050"/>
      <c r="C6413" s="1050"/>
      <c r="D6413" s="1050"/>
      <c r="E6413" s="1050"/>
      <c r="F6413" s="1050"/>
      <c r="G6413" s="1050"/>
    </row>
    <row r="6414" spans="1:7">
      <c r="A6414" s="1079"/>
      <c r="B6414" s="1050"/>
      <c r="C6414" s="1050"/>
      <c r="D6414" s="1050"/>
      <c r="E6414" s="1050"/>
      <c r="F6414" s="1050"/>
      <c r="G6414" s="1050"/>
    </row>
    <row r="6415" spans="1:7">
      <c r="A6415" s="1079"/>
      <c r="B6415" s="1050"/>
      <c r="C6415" s="1050"/>
      <c r="D6415" s="1050"/>
      <c r="E6415" s="1050"/>
      <c r="F6415" s="1050"/>
      <c r="G6415" s="1050"/>
    </row>
    <row r="6416" spans="1:7">
      <c r="A6416" s="1079"/>
      <c r="B6416" s="1050"/>
      <c r="C6416" s="1050"/>
      <c r="D6416" s="1050"/>
      <c r="E6416" s="1050"/>
      <c r="F6416" s="1050"/>
      <c r="G6416" s="1050"/>
    </row>
    <row r="6417" spans="1:7">
      <c r="A6417" s="1079"/>
      <c r="B6417" s="1050"/>
      <c r="C6417" s="1050"/>
      <c r="D6417" s="1050"/>
      <c r="E6417" s="1050"/>
      <c r="F6417" s="1050"/>
      <c r="G6417" s="1050"/>
    </row>
    <row r="6418" spans="1:7">
      <c r="A6418" s="1079"/>
      <c r="B6418" s="1050"/>
      <c r="C6418" s="1050"/>
      <c r="D6418" s="1050"/>
      <c r="E6418" s="1050"/>
      <c r="F6418" s="1050"/>
      <c r="G6418" s="1050"/>
    </row>
    <row r="6419" spans="1:7">
      <c r="A6419" s="1079"/>
      <c r="B6419" s="1050"/>
      <c r="C6419" s="1050"/>
      <c r="D6419" s="1050"/>
      <c r="E6419" s="1050"/>
      <c r="F6419" s="1050"/>
      <c r="G6419" s="1050"/>
    </row>
    <row r="6420" spans="1:7">
      <c r="A6420" s="1079"/>
      <c r="B6420" s="1050"/>
      <c r="C6420" s="1050"/>
      <c r="D6420" s="1050"/>
      <c r="E6420" s="1050"/>
      <c r="F6420" s="1050"/>
      <c r="G6420" s="1050"/>
    </row>
    <row r="6421" spans="1:7">
      <c r="A6421" s="1079"/>
      <c r="B6421" s="1050"/>
      <c r="C6421" s="1050"/>
      <c r="D6421" s="1050"/>
      <c r="E6421" s="1050"/>
      <c r="F6421" s="1050"/>
      <c r="G6421" s="1050"/>
    </row>
    <row r="6422" spans="1:7">
      <c r="A6422" s="1079"/>
      <c r="B6422" s="1050"/>
      <c r="C6422" s="1050"/>
      <c r="D6422" s="1050"/>
      <c r="E6422" s="1050"/>
      <c r="F6422" s="1050"/>
      <c r="G6422" s="1050"/>
    </row>
    <row r="6423" spans="1:7">
      <c r="A6423" s="1079"/>
      <c r="B6423" s="1050"/>
      <c r="C6423" s="1050"/>
      <c r="D6423" s="1050"/>
      <c r="E6423" s="1050"/>
      <c r="F6423" s="1050"/>
      <c r="G6423" s="1050"/>
    </row>
    <row r="6424" spans="1:7">
      <c r="A6424" s="1079"/>
      <c r="B6424" s="1050"/>
      <c r="C6424" s="1050"/>
      <c r="D6424" s="1050"/>
      <c r="E6424" s="1050"/>
      <c r="F6424" s="1050"/>
      <c r="G6424" s="1050"/>
    </row>
    <row r="6425" spans="1:7">
      <c r="A6425" s="1079"/>
      <c r="B6425" s="1050"/>
      <c r="C6425" s="1050"/>
      <c r="D6425" s="1050"/>
      <c r="E6425" s="1050"/>
      <c r="F6425" s="1050"/>
      <c r="G6425" s="1050"/>
    </row>
    <row r="6426" spans="1:7">
      <c r="A6426" s="1079"/>
      <c r="B6426" s="1050"/>
      <c r="C6426" s="1050"/>
      <c r="D6426" s="1050"/>
      <c r="E6426" s="1050"/>
      <c r="F6426" s="1050"/>
      <c r="G6426" s="1050"/>
    </row>
    <row r="6427" spans="1:7">
      <c r="A6427" s="1079"/>
      <c r="B6427" s="1050"/>
      <c r="C6427" s="1050"/>
      <c r="D6427" s="1050"/>
      <c r="E6427" s="1050"/>
      <c r="F6427" s="1050"/>
      <c r="G6427" s="1050"/>
    </row>
    <row r="6428" spans="1:7">
      <c r="A6428" s="1079"/>
      <c r="B6428" s="1050"/>
      <c r="C6428" s="1050"/>
      <c r="D6428" s="1050"/>
      <c r="E6428" s="1050"/>
      <c r="F6428" s="1050"/>
      <c r="G6428" s="1050"/>
    </row>
    <row r="6429" spans="1:7">
      <c r="A6429" s="1079"/>
      <c r="B6429" s="1050"/>
      <c r="C6429" s="1050"/>
      <c r="D6429" s="1050"/>
      <c r="E6429" s="1050"/>
      <c r="F6429" s="1050"/>
      <c r="G6429" s="1050"/>
    </row>
    <row r="6430" spans="1:7">
      <c r="A6430" s="1079"/>
      <c r="B6430" s="1050"/>
      <c r="C6430" s="1050"/>
      <c r="D6430" s="1050"/>
      <c r="E6430" s="1050"/>
      <c r="F6430" s="1050"/>
      <c r="G6430" s="1050"/>
    </row>
    <row r="6431" spans="1:7">
      <c r="A6431" s="1079"/>
      <c r="B6431" s="1050"/>
      <c r="C6431" s="1050"/>
      <c r="D6431" s="1050"/>
      <c r="E6431" s="1050"/>
      <c r="F6431" s="1050"/>
      <c r="G6431" s="1050"/>
    </row>
    <row r="6432" spans="1:7">
      <c r="A6432" s="1079"/>
      <c r="B6432" s="1050"/>
      <c r="C6432" s="1050"/>
      <c r="D6432" s="1050"/>
      <c r="E6432" s="1050"/>
      <c r="F6432" s="1050"/>
      <c r="G6432" s="1050"/>
    </row>
    <row r="6433" spans="1:7">
      <c r="A6433" s="1079"/>
      <c r="B6433" s="1050"/>
      <c r="C6433" s="1050"/>
      <c r="D6433" s="1050"/>
      <c r="E6433" s="1050"/>
      <c r="F6433" s="1050"/>
      <c r="G6433" s="1050"/>
    </row>
    <row r="6434" spans="1:7">
      <c r="A6434" s="1079"/>
      <c r="B6434" s="1050"/>
      <c r="C6434" s="1050"/>
      <c r="D6434" s="1050"/>
      <c r="E6434" s="1050"/>
      <c r="F6434" s="1050"/>
      <c r="G6434" s="1050"/>
    </row>
    <row r="6435" spans="1:7">
      <c r="A6435" s="1079"/>
      <c r="B6435" s="1050"/>
      <c r="C6435" s="1050"/>
      <c r="D6435" s="1050"/>
      <c r="E6435" s="1050"/>
      <c r="F6435" s="1050"/>
      <c r="G6435" s="1050"/>
    </row>
    <row r="6436" spans="1:7">
      <c r="A6436" s="1079"/>
      <c r="B6436" s="1050"/>
      <c r="C6436" s="1050"/>
      <c r="D6436" s="1050"/>
      <c r="E6436" s="1050"/>
      <c r="F6436" s="1050"/>
      <c r="G6436" s="1050"/>
    </row>
    <row r="6437" spans="1:7">
      <c r="A6437" s="1079"/>
      <c r="B6437" s="1050"/>
      <c r="C6437" s="1050"/>
      <c r="D6437" s="1050"/>
      <c r="E6437" s="1050"/>
      <c r="F6437" s="1050"/>
      <c r="G6437" s="1050"/>
    </row>
    <row r="6438" spans="1:7">
      <c r="A6438" s="1079"/>
      <c r="B6438" s="1050"/>
      <c r="C6438" s="1050"/>
      <c r="D6438" s="1050"/>
      <c r="E6438" s="1050"/>
      <c r="F6438" s="1050"/>
      <c r="G6438" s="1050"/>
    </row>
    <row r="6439" spans="1:7">
      <c r="A6439" s="1079"/>
      <c r="B6439" s="1050"/>
      <c r="C6439" s="1050"/>
      <c r="D6439" s="1050"/>
      <c r="E6439" s="1050"/>
      <c r="F6439" s="1050"/>
      <c r="G6439" s="1050"/>
    </row>
    <row r="6440" spans="1:7">
      <c r="A6440" s="1079"/>
      <c r="B6440" s="1050"/>
      <c r="C6440" s="1050"/>
      <c r="D6440" s="1050"/>
      <c r="E6440" s="1050"/>
      <c r="F6440" s="1050"/>
      <c r="G6440" s="1050"/>
    </row>
    <row r="6441" spans="1:7">
      <c r="A6441" s="1079"/>
      <c r="B6441" s="1050"/>
      <c r="C6441" s="1050"/>
      <c r="D6441" s="1050"/>
      <c r="E6441" s="1050"/>
      <c r="F6441" s="1050"/>
      <c r="G6441" s="1050"/>
    </row>
    <row r="6442" spans="1:7">
      <c r="A6442" s="1079"/>
      <c r="B6442" s="1050"/>
      <c r="C6442" s="1050"/>
      <c r="D6442" s="1050"/>
      <c r="E6442" s="1050"/>
      <c r="F6442" s="1050"/>
      <c r="G6442" s="1050"/>
    </row>
    <row r="6443" spans="1:7">
      <c r="A6443" s="1079"/>
      <c r="B6443" s="1050"/>
      <c r="C6443" s="1050"/>
      <c r="D6443" s="1050"/>
      <c r="E6443" s="1050"/>
      <c r="F6443" s="1050"/>
      <c r="G6443" s="1050"/>
    </row>
    <row r="6444" spans="1:7">
      <c r="A6444" s="1079"/>
      <c r="B6444" s="1050"/>
      <c r="C6444" s="1050"/>
      <c r="D6444" s="1050"/>
      <c r="E6444" s="1050"/>
      <c r="F6444" s="1050"/>
      <c r="G6444" s="1050"/>
    </row>
    <row r="6445" spans="1:7">
      <c r="A6445" s="1079"/>
      <c r="B6445" s="1050"/>
      <c r="C6445" s="1050"/>
      <c r="D6445" s="1050"/>
      <c r="E6445" s="1050"/>
      <c r="F6445" s="1050"/>
      <c r="G6445" s="1050"/>
    </row>
    <row r="6446" spans="1:7">
      <c r="A6446" s="1079"/>
      <c r="B6446" s="1050"/>
      <c r="C6446" s="1050"/>
      <c r="D6446" s="1050"/>
      <c r="E6446" s="1050"/>
      <c r="F6446" s="1050"/>
      <c r="G6446" s="1050"/>
    </row>
    <row r="6447" spans="1:7">
      <c r="A6447" s="1079"/>
      <c r="B6447" s="1050"/>
      <c r="C6447" s="1050"/>
      <c r="D6447" s="1050"/>
      <c r="E6447" s="1050"/>
      <c r="F6447" s="1050"/>
      <c r="G6447" s="1050"/>
    </row>
    <row r="6448" spans="1:7">
      <c r="A6448" s="1079"/>
      <c r="B6448" s="1050"/>
      <c r="C6448" s="1050"/>
      <c r="D6448" s="1050"/>
      <c r="E6448" s="1050"/>
      <c r="F6448" s="1050"/>
      <c r="G6448" s="1050"/>
    </row>
    <row r="6449" spans="1:7">
      <c r="A6449" s="1079"/>
      <c r="B6449" s="1050"/>
      <c r="C6449" s="1050"/>
      <c r="D6449" s="1050"/>
      <c r="E6449" s="1050"/>
      <c r="F6449" s="1050"/>
      <c r="G6449" s="1050"/>
    </row>
    <row r="6450" spans="1:7">
      <c r="A6450" s="1079"/>
      <c r="B6450" s="1050"/>
      <c r="C6450" s="1050"/>
      <c r="D6450" s="1050"/>
      <c r="E6450" s="1050"/>
      <c r="F6450" s="1050"/>
      <c r="G6450" s="1050"/>
    </row>
    <row r="6451" spans="1:7">
      <c r="A6451" s="1079"/>
      <c r="B6451" s="1050"/>
      <c r="C6451" s="1050"/>
      <c r="D6451" s="1050"/>
      <c r="E6451" s="1050"/>
      <c r="F6451" s="1050"/>
      <c r="G6451" s="1050"/>
    </row>
    <row r="6452" spans="1:7">
      <c r="A6452" s="1079"/>
      <c r="B6452" s="1050"/>
      <c r="C6452" s="1050"/>
      <c r="D6452" s="1050"/>
      <c r="E6452" s="1050"/>
      <c r="F6452" s="1050"/>
      <c r="G6452" s="1050"/>
    </row>
    <row r="6453" spans="1:7">
      <c r="A6453" s="1079"/>
      <c r="B6453" s="1050"/>
      <c r="C6453" s="1050"/>
      <c r="D6453" s="1050"/>
      <c r="E6453" s="1050"/>
      <c r="F6453" s="1050"/>
      <c r="G6453" s="1050"/>
    </row>
    <row r="6454" spans="1:7">
      <c r="A6454" s="1079"/>
      <c r="B6454" s="1050"/>
      <c r="C6454" s="1050"/>
      <c r="D6454" s="1050"/>
      <c r="E6454" s="1050"/>
      <c r="F6454" s="1050"/>
      <c r="G6454" s="1050"/>
    </row>
    <row r="6455" spans="1:7">
      <c r="A6455" s="1079"/>
      <c r="B6455" s="1050"/>
      <c r="C6455" s="1050"/>
      <c r="D6455" s="1050"/>
      <c r="E6455" s="1050"/>
      <c r="F6455" s="1050"/>
      <c r="G6455" s="1050"/>
    </row>
    <row r="6456" spans="1:7">
      <c r="A6456" s="1079"/>
      <c r="B6456" s="1050"/>
      <c r="C6456" s="1050"/>
      <c r="D6456" s="1050"/>
      <c r="E6456" s="1050"/>
      <c r="F6456" s="1050"/>
      <c r="G6456" s="1050"/>
    </row>
    <row r="6457" spans="1:7">
      <c r="A6457" s="1079"/>
      <c r="B6457" s="1050"/>
      <c r="C6457" s="1050"/>
      <c r="D6457" s="1050"/>
      <c r="E6457" s="1050"/>
      <c r="F6457" s="1050"/>
      <c r="G6457" s="1050"/>
    </row>
    <row r="6458" spans="1:7">
      <c r="A6458" s="1079"/>
      <c r="B6458" s="1050"/>
      <c r="C6458" s="1050"/>
      <c r="D6458" s="1050"/>
      <c r="E6458" s="1050"/>
      <c r="F6458" s="1050"/>
      <c r="G6458" s="1050"/>
    </row>
    <row r="6459" spans="1:7">
      <c r="A6459" s="1079"/>
      <c r="B6459" s="1050"/>
      <c r="C6459" s="1050"/>
      <c r="D6459" s="1050"/>
      <c r="E6459" s="1050"/>
      <c r="F6459" s="1050"/>
      <c r="G6459" s="1050"/>
    </row>
    <row r="6460" spans="1:7">
      <c r="A6460" s="1079"/>
      <c r="B6460" s="1050"/>
      <c r="C6460" s="1050"/>
      <c r="D6460" s="1050"/>
      <c r="E6460" s="1050"/>
      <c r="F6460" s="1050"/>
      <c r="G6460" s="1050"/>
    </row>
    <row r="6461" spans="1:7">
      <c r="A6461" s="1079"/>
      <c r="B6461" s="1050"/>
      <c r="C6461" s="1050"/>
      <c r="D6461" s="1050"/>
      <c r="E6461" s="1050"/>
      <c r="F6461" s="1050"/>
      <c r="G6461" s="1050"/>
    </row>
    <row r="6462" spans="1:7">
      <c r="A6462" s="1079"/>
      <c r="B6462" s="1050"/>
      <c r="C6462" s="1050"/>
      <c r="D6462" s="1050"/>
      <c r="E6462" s="1050"/>
      <c r="F6462" s="1050"/>
      <c r="G6462" s="1050"/>
    </row>
    <row r="6463" spans="1:7">
      <c r="A6463" s="1079"/>
      <c r="B6463" s="1050"/>
      <c r="C6463" s="1050"/>
      <c r="D6463" s="1050"/>
      <c r="E6463" s="1050"/>
      <c r="F6463" s="1050"/>
      <c r="G6463" s="1050"/>
    </row>
    <row r="6464" spans="1:7">
      <c r="A6464" s="1079"/>
      <c r="B6464" s="1050"/>
      <c r="C6464" s="1050"/>
      <c r="D6464" s="1050"/>
      <c r="E6464" s="1050"/>
      <c r="F6464" s="1050"/>
      <c r="G6464" s="1050"/>
    </row>
    <row r="6465" spans="1:7">
      <c r="A6465" s="1079"/>
      <c r="B6465" s="1050"/>
      <c r="C6465" s="1050"/>
      <c r="D6465" s="1050"/>
      <c r="E6465" s="1050"/>
      <c r="F6465" s="1050"/>
      <c r="G6465" s="1050"/>
    </row>
    <row r="6466" spans="1:7">
      <c r="A6466" s="1079"/>
      <c r="B6466" s="1050"/>
      <c r="C6466" s="1050"/>
      <c r="D6466" s="1050"/>
      <c r="E6466" s="1050"/>
      <c r="F6466" s="1050"/>
      <c r="G6466" s="1050"/>
    </row>
    <row r="6467" spans="1:7">
      <c r="A6467" s="1079"/>
      <c r="B6467" s="1050"/>
      <c r="C6467" s="1050"/>
      <c r="D6467" s="1050"/>
      <c r="E6467" s="1050"/>
      <c r="F6467" s="1050"/>
      <c r="G6467" s="1050"/>
    </row>
    <row r="6468" spans="1:7">
      <c r="A6468" s="1079"/>
      <c r="B6468" s="1050"/>
      <c r="C6468" s="1050"/>
      <c r="D6468" s="1050"/>
      <c r="E6468" s="1050"/>
      <c r="F6468" s="1050"/>
      <c r="G6468" s="1050"/>
    </row>
    <row r="6469" spans="1:7">
      <c r="A6469" s="1079"/>
      <c r="B6469" s="1050"/>
      <c r="C6469" s="1050"/>
      <c r="D6469" s="1050"/>
      <c r="E6469" s="1050"/>
      <c r="F6469" s="1050"/>
      <c r="G6469" s="1050"/>
    </row>
    <row r="6470" spans="1:7">
      <c r="A6470" s="1079"/>
      <c r="B6470" s="1050"/>
      <c r="C6470" s="1050"/>
      <c r="D6470" s="1050"/>
      <c r="E6470" s="1050"/>
      <c r="F6470" s="1050"/>
      <c r="G6470" s="1050"/>
    </row>
    <row r="6471" spans="1:7">
      <c r="A6471" s="1079"/>
      <c r="B6471" s="1050"/>
      <c r="C6471" s="1050"/>
      <c r="D6471" s="1050"/>
      <c r="E6471" s="1050"/>
      <c r="F6471" s="1050"/>
      <c r="G6471" s="1050"/>
    </row>
    <row r="6472" spans="1:7">
      <c r="A6472" s="1079"/>
      <c r="B6472" s="1050"/>
      <c r="C6472" s="1050"/>
      <c r="D6472" s="1050"/>
      <c r="E6472" s="1050"/>
      <c r="F6472" s="1050"/>
      <c r="G6472" s="1050"/>
    </row>
    <row r="6473" spans="1:7">
      <c r="A6473" s="1079"/>
      <c r="B6473" s="1050"/>
      <c r="C6473" s="1050"/>
      <c r="D6473" s="1050"/>
      <c r="E6473" s="1050"/>
      <c r="F6473" s="1050"/>
      <c r="G6473" s="1050"/>
    </row>
    <row r="6474" spans="1:7">
      <c r="A6474" s="1079"/>
      <c r="B6474" s="1050"/>
      <c r="C6474" s="1050"/>
      <c r="D6474" s="1050"/>
      <c r="E6474" s="1050"/>
      <c r="F6474" s="1050"/>
      <c r="G6474" s="1050"/>
    </row>
    <row r="6475" spans="1:7">
      <c r="A6475" s="1079"/>
      <c r="B6475" s="1050"/>
      <c r="C6475" s="1050"/>
      <c r="D6475" s="1050"/>
      <c r="E6475" s="1050"/>
      <c r="F6475" s="1050"/>
      <c r="G6475" s="1050"/>
    </row>
    <row r="6476" spans="1:7">
      <c r="A6476" s="1079"/>
      <c r="B6476" s="1050"/>
      <c r="C6476" s="1050"/>
      <c r="D6476" s="1050"/>
      <c r="E6476" s="1050"/>
      <c r="F6476" s="1050"/>
      <c r="G6476" s="1050"/>
    </row>
    <row r="6477" spans="1:7">
      <c r="A6477" s="1079"/>
      <c r="B6477" s="1050"/>
      <c r="C6477" s="1050"/>
      <c r="D6477" s="1050"/>
      <c r="E6477" s="1050"/>
      <c r="F6477" s="1050"/>
      <c r="G6477" s="1050"/>
    </row>
    <row r="6478" spans="1:7">
      <c r="A6478" s="1079"/>
      <c r="B6478" s="1050"/>
      <c r="C6478" s="1050"/>
      <c r="D6478" s="1050"/>
      <c r="E6478" s="1050"/>
      <c r="F6478" s="1050"/>
      <c r="G6478" s="1050"/>
    </row>
    <row r="6479" spans="1:7">
      <c r="A6479" s="1079"/>
      <c r="B6479" s="1050"/>
      <c r="C6479" s="1050"/>
      <c r="D6479" s="1050"/>
      <c r="E6479" s="1050"/>
      <c r="F6479" s="1050"/>
      <c r="G6479" s="1050"/>
    </row>
    <row r="6480" spans="1:7">
      <c r="A6480" s="1079"/>
      <c r="B6480" s="1050"/>
      <c r="C6480" s="1050"/>
      <c r="D6480" s="1050"/>
      <c r="E6480" s="1050"/>
      <c r="F6480" s="1050"/>
      <c r="G6480" s="1050"/>
    </row>
    <row r="6481" spans="1:7">
      <c r="A6481" s="1079"/>
      <c r="B6481" s="1050"/>
      <c r="C6481" s="1050"/>
      <c r="D6481" s="1050"/>
      <c r="E6481" s="1050"/>
      <c r="F6481" s="1050"/>
      <c r="G6481" s="1050"/>
    </row>
    <row r="6482" spans="1:7">
      <c r="A6482" s="1079"/>
      <c r="B6482" s="1050"/>
      <c r="C6482" s="1050"/>
      <c r="D6482" s="1050"/>
      <c r="E6482" s="1050"/>
      <c r="F6482" s="1050"/>
      <c r="G6482" s="1050"/>
    </row>
    <row r="6483" spans="1:7">
      <c r="A6483" s="1079"/>
      <c r="B6483" s="1050"/>
      <c r="C6483" s="1050"/>
      <c r="D6483" s="1050"/>
      <c r="E6483" s="1050"/>
      <c r="F6483" s="1050"/>
      <c r="G6483" s="1050"/>
    </row>
    <row r="6484" spans="1:7">
      <c r="A6484" s="1079"/>
      <c r="B6484" s="1050"/>
      <c r="C6484" s="1050"/>
      <c r="D6484" s="1050"/>
      <c r="E6484" s="1050"/>
      <c r="F6484" s="1050"/>
      <c r="G6484" s="1050"/>
    </row>
    <row r="6485" spans="1:7">
      <c r="A6485" s="1079"/>
      <c r="B6485" s="1050"/>
      <c r="C6485" s="1050"/>
      <c r="D6485" s="1050"/>
      <c r="E6485" s="1050"/>
      <c r="F6485" s="1050"/>
      <c r="G6485" s="1050"/>
    </row>
    <row r="6486" spans="1:7">
      <c r="A6486" s="1079"/>
      <c r="B6486" s="1050"/>
      <c r="C6486" s="1050"/>
      <c r="D6486" s="1050"/>
      <c r="E6486" s="1050"/>
      <c r="F6486" s="1050"/>
      <c r="G6486" s="1050"/>
    </row>
    <row r="6487" spans="1:7">
      <c r="A6487" s="1079"/>
      <c r="B6487" s="1050"/>
      <c r="C6487" s="1050"/>
      <c r="D6487" s="1050"/>
      <c r="E6487" s="1050"/>
      <c r="F6487" s="1050"/>
      <c r="G6487" s="1050"/>
    </row>
    <row r="6488" spans="1:7">
      <c r="A6488" s="1079"/>
      <c r="B6488" s="1050"/>
      <c r="C6488" s="1050"/>
      <c r="D6488" s="1050"/>
      <c r="E6488" s="1050"/>
      <c r="F6488" s="1050"/>
      <c r="G6488" s="1050"/>
    </row>
    <row r="6489" spans="1:7">
      <c r="A6489" s="1079"/>
      <c r="B6489" s="1050"/>
      <c r="C6489" s="1050"/>
      <c r="D6489" s="1050"/>
      <c r="E6489" s="1050"/>
      <c r="F6489" s="1050"/>
      <c r="G6489" s="1050"/>
    </row>
    <row r="6490" spans="1:7">
      <c r="A6490" s="1079"/>
      <c r="B6490" s="1050"/>
      <c r="C6490" s="1050"/>
      <c r="D6490" s="1050"/>
      <c r="E6490" s="1050"/>
      <c r="F6490" s="1050"/>
      <c r="G6490" s="1050"/>
    </row>
    <row r="6491" spans="1:7">
      <c r="A6491" s="1079"/>
      <c r="B6491" s="1050"/>
      <c r="C6491" s="1050"/>
      <c r="D6491" s="1050"/>
      <c r="E6491" s="1050"/>
      <c r="F6491" s="1050"/>
      <c r="G6491" s="1050"/>
    </row>
    <row r="6492" spans="1:7">
      <c r="A6492" s="1079"/>
      <c r="B6492" s="1050"/>
      <c r="C6492" s="1050"/>
      <c r="D6492" s="1050"/>
      <c r="E6492" s="1050"/>
      <c r="F6492" s="1050"/>
      <c r="G6492" s="1050"/>
    </row>
    <row r="6493" spans="1:7">
      <c r="A6493" s="1079"/>
      <c r="B6493" s="1050"/>
      <c r="C6493" s="1050"/>
      <c r="D6493" s="1050"/>
      <c r="E6493" s="1050"/>
      <c r="F6493" s="1050"/>
      <c r="G6493" s="1050"/>
    </row>
    <row r="6494" spans="1:7">
      <c r="A6494" s="1079"/>
      <c r="B6494" s="1050"/>
      <c r="C6494" s="1050"/>
      <c r="D6494" s="1050"/>
      <c r="E6494" s="1050"/>
      <c r="F6494" s="1050"/>
      <c r="G6494" s="1050"/>
    </row>
    <row r="6495" spans="1:7">
      <c r="A6495" s="1079"/>
      <c r="B6495" s="1050"/>
      <c r="C6495" s="1050"/>
      <c r="D6495" s="1050"/>
      <c r="E6495" s="1050"/>
      <c r="F6495" s="1050"/>
      <c r="G6495" s="1050"/>
    </row>
    <row r="6496" spans="1:7">
      <c r="A6496" s="1079"/>
      <c r="B6496" s="1050"/>
      <c r="C6496" s="1050"/>
      <c r="D6496" s="1050"/>
      <c r="E6496" s="1050"/>
      <c r="F6496" s="1050"/>
      <c r="G6496" s="1050"/>
    </row>
    <row r="6497" spans="1:7">
      <c r="A6497" s="1079"/>
      <c r="B6497" s="1050"/>
      <c r="C6497" s="1050"/>
      <c r="D6497" s="1050"/>
      <c r="E6497" s="1050"/>
      <c r="F6497" s="1050"/>
      <c r="G6497" s="1050"/>
    </row>
    <row r="6498" spans="1:7">
      <c r="A6498" s="1079"/>
      <c r="B6498" s="1050"/>
      <c r="C6498" s="1050"/>
      <c r="D6498" s="1050"/>
      <c r="E6498" s="1050"/>
      <c r="F6498" s="1050"/>
      <c r="G6498" s="1050"/>
    </row>
    <row r="6499" spans="1:7">
      <c r="A6499" s="1079"/>
      <c r="B6499" s="1050"/>
      <c r="C6499" s="1050"/>
      <c r="D6499" s="1050"/>
      <c r="E6499" s="1050"/>
      <c r="F6499" s="1050"/>
      <c r="G6499" s="1050"/>
    </row>
    <row r="6500" spans="1:7">
      <c r="A6500" s="1079"/>
      <c r="B6500" s="1050"/>
      <c r="C6500" s="1050"/>
      <c r="D6500" s="1050"/>
      <c r="E6500" s="1050"/>
      <c r="F6500" s="1050"/>
      <c r="G6500" s="1050"/>
    </row>
    <row r="6501" spans="1:7">
      <c r="A6501" s="1079"/>
      <c r="B6501" s="1050"/>
      <c r="C6501" s="1050"/>
      <c r="D6501" s="1050"/>
      <c r="E6501" s="1050"/>
      <c r="F6501" s="1050"/>
      <c r="G6501" s="1050"/>
    </row>
    <row r="6502" spans="1:7">
      <c r="A6502" s="1079"/>
      <c r="B6502" s="1050"/>
      <c r="C6502" s="1050"/>
      <c r="D6502" s="1050"/>
      <c r="E6502" s="1050"/>
      <c r="F6502" s="1050"/>
      <c r="G6502" s="1050"/>
    </row>
    <row r="6503" spans="1:7">
      <c r="A6503" s="1079"/>
      <c r="B6503" s="1050"/>
      <c r="C6503" s="1050"/>
      <c r="D6503" s="1050"/>
      <c r="E6503" s="1050"/>
      <c r="F6503" s="1050"/>
      <c r="G6503" s="1050"/>
    </row>
    <row r="6504" spans="1:7">
      <c r="A6504" s="1079"/>
      <c r="B6504" s="1050"/>
      <c r="C6504" s="1050"/>
      <c r="D6504" s="1050"/>
      <c r="E6504" s="1050"/>
      <c r="F6504" s="1050"/>
      <c r="G6504" s="1050"/>
    </row>
    <row r="6505" spans="1:7">
      <c r="A6505" s="1079"/>
      <c r="B6505" s="1050"/>
      <c r="C6505" s="1050"/>
      <c r="D6505" s="1050"/>
      <c r="E6505" s="1050"/>
      <c r="F6505" s="1050"/>
      <c r="G6505" s="1050"/>
    </row>
    <row r="6506" spans="1:7">
      <c r="A6506" s="1079"/>
      <c r="B6506" s="1050"/>
      <c r="C6506" s="1050"/>
      <c r="D6506" s="1050"/>
      <c r="E6506" s="1050"/>
      <c r="F6506" s="1050"/>
      <c r="G6506" s="1050"/>
    </row>
    <row r="6507" spans="1:7">
      <c r="A6507" s="1079"/>
      <c r="B6507" s="1050"/>
      <c r="C6507" s="1050"/>
      <c r="D6507" s="1050"/>
      <c r="E6507" s="1050"/>
      <c r="F6507" s="1050"/>
      <c r="G6507" s="1050"/>
    </row>
    <row r="6508" spans="1:7">
      <c r="A6508" s="1079"/>
      <c r="B6508" s="1050"/>
      <c r="C6508" s="1050"/>
      <c r="D6508" s="1050"/>
      <c r="E6508" s="1050"/>
      <c r="F6508" s="1050"/>
      <c r="G6508" s="1050"/>
    </row>
    <row r="6509" spans="1:7">
      <c r="A6509" s="1079"/>
      <c r="B6509" s="1050"/>
      <c r="C6509" s="1050"/>
      <c r="D6509" s="1050"/>
      <c r="E6509" s="1050"/>
      <c r="F6509" s="1050"/>
      <c r="G6509" s="1050"/>
    </row>
    <row r="6510" spans="1:7">
      <c r="A6510" s="1079"/>
      <c r="B6510" s="1050"/>
      <c r="C6510" s="1050"/>
      <c r="D6510" s="1050"/>
      <c r="E6510" s="1050"/>
      <c r="F6510" s="1050"/>
      <c r="G6510" s="1050"/>
    </row>
    <row r="6511" spans="1:7">
      <c r="A6511" s="1079"/>
      <c r="B6511" s="1050"/>
      <c r="C6511" s="1050"/>
      <c r="D6511" s="1050"/>
      <c r="E6511" s="1050"/>
      <c r="F6511" s="1050"/>
      <c r="G6511" s="1050"/>
    </row>
    <row r="6512" spans="1:7">
      <c r="A6512" s="1079"/>
      <c r="B6512" s="1050"/>
      <c r="C6512" s="1050"/>
      <c r="D6512" s="1050"/>
      <c r="E6512" s="1050"/>
      <c r="F6512" s="1050"/>
      <c r="G6512" s="1050"/>
    </row>
    <row r="6513" spans="1:7">
      <c r="A6513" s="1079"/>
      <c r="B6513" s="1050"/>
      <c r="C6513" s="1050"/>
      <c r="D6513" s="1050"/>
      <c r="E6513" s="1050"/>
      <c r="F6513" s="1050"/>
      <c r="G6513" s="1050"/>
    </row>
    <row r="6514" spans="1:7">
      <c r="A6514" s="1079"/>
      <c r="B6514" s="1050"/>
      <c r="C6514" s="1050"/>
      <c r="D6514" s="1050"/>
      <c r="E6514" s="1050"/>
      <c r="F6514" s="1050"/>
      <c r="G6514" s="1050"/>
    </row>
    <row r="6515" spans="1:7">
      <c r="A6515" s="1079"/>
      <c r="B6515" s="1050"/>
      <c r="C6515" s="1050"/>
      <c r="D6515" s="1050"/>
      <c r="E6515" s="1050"/>
      <c r="F6515" s="1050"/>
      <c r="G6515" s="1050"/>
    </row>
    <row r="6516" spans="1:7">
      <c r="A6516" s="1079"/>
      <c r="B6516" s="1050"/>
      <c r="C6516" s="1050"/>
      <c r="D6516" s="1050"/>
      <c r="E6516" s="1050"/>
      <c r="F6516" s="1050"/>
      <c r="G6516" s="1050"/>
    </row>
    <row r="6517" spans="1:7">
      <c r="A6517" s="1079"/>
      <c r="B6517" s="1050"/>
      <c r="C6517" s="1050"/>
      <c r="D6517" s="1050"/>
      <c r="E6517" s="1050"/>
      <c r="F6517" s="1050"/>
      <c r="G6517" s="1050"/>
    </row>
    <row r="6518" spans="1:7">
      <c r="A6518" s="1079"/>
      <c r="B6518" s="1050"/>
      <c r="C6518" s="1050"/>
      <c r="D6518" s="1050"/>
      <c r="E6518" s="1050"/>
      <c r="F6518" s="1050"/>
      <c r="G6518" s="1050"/>
    </row>
    <row r="6519" spans="1:7">
      <c r="A6519" s="1079"/>
      <c r="B6519" s="1050"/>
      <c r="C6519" s="1050"/>
      <c r="D6519" s="1050"/>
      <c r="E6519" s="1050"/>
      <c r="F6519" s="1050"/>
      <c r="G6519" s="1050"/>
    </row>
    <row r="6520" spans="1:7">
      <c r="A6520" s="1079"/>
      <c r="B6520" s="1050"/>
      <c r="C6520" s="1050"/>
      <c r="D6520" s="1050"/>
      <c r="E6520" s="1050"/>
      <c r="F6520" s="1050"/>
      <c r="G6520" s="1050"/>
    </row>
    <row r="6521" spans="1:7">
      <c r="A6521" s="1079"/>
      <c r="B6521" s="1050"/>
      <c r="C6521" s="1050"/>
      <c r="D6521" s="1050"/>
      <c r="E6521" s="1050"/>
      <c r="F6521" s="1050"/>
      <c r="G6521" s="1050"/>
    </row>
    <row r="6522" spans="1:7">
      <c r="A6522" s="1079"/>
      <c r="B6522" s="1050"/>
      <c r="C6522" s="1050"/>
      <c r="D6522" s="1050"/>
      <c r="E6522" s="1050"/>
      <c r="F6522" s="1050"/>
      <c r="G6522" s="1050"/>
    </row>
    <row r="6523" spans="1:7">
      <c r="A6523" s="1079"/>
      <c r="B6523" s="1050"/>
      <c r="C6523" s="1050"/>
      <c r="D6523" s="1050"/>
      <c r="E6523" s="1050"/>
      <c r="F6523" s="1050"/>
      <c r="G6523" s="1050"/>
    </row>
    <row r="6524" spans="1:7">
      <c r="A6524" s="1079"/>
      <c r="B6524" s="1050"/>
      <c r="C6524" s="1050"/>
      <c r="D6524" s="1050"/>
      <c r="E6524" s="1050"/>
      <c r="F6524" s="1050"/>
      <c r="G6524" s="1050"/>
    </row>
    <row r="6525" spans="1:7">
      <c r="A6525" s="1079"/>
      <c r="B6525" s="1050"/>
      <c r="C6525" s="1050"/>
      <c r="D6525" s="1050"/>
      <c r="E6525" s="1050"/>
      <c r="F6525" s="1050"/>
      <c r="G6525" s="1050"/>
    </row>
    <row r="6526" spans="1:7">
      <c r="A6526" s="1079"/>
      <c r="B6526" s="1050"/>
      <c r="C6526" s="1050"/>
      <c r="D6526" s="1050"/>
      <c r="E6526" s="1050"/>
      <c r="F6526" s="1050"/>
      <c r="G6526" s="1050"/>
    </row>
    <row r="6527" spans="1:7">
      <c r="A6527" s="1079"/>
      <c r="B6527" s="1050"/>
      <c r="C6527" s="1050"/>
      <c r="D6527" s="1050"/>
      <c r="E6527" s="1050"/>
      <c r="F6527" s="1050"/>
      <c r="G6527" s="1050"/>
    </row>
    <row r="6528" spans="1:7">
      <c r="A6528" s="1079"/>
      <c r="B6528" s="1050"/>
      <c r="C6528" s="1050"/>
      <c r="D6528" s="1050"/>
      <c r="E6528" s="1050"/>
      <c r="F6528" s="1050"/>
      <c r="G6528" s="1050"/>
    </row>
    <row r="6529" spans="1:7">
      <c r="A6529" s="1079"/>
      <c r="B6529" s="1050"/>
      <c r="C6529" s="1050"/>
      <c r="D6529" s="1050"/>
      <c r="E6529" s="1050"/>
      <c r="F6529" s="1050"/>
      <c r="G6529" s="1050"/>
    </row>
    <row r="6530" spans="1:7">
      <c r="A6530" s="1079"/>
      <c r="B6530" s="1050"/>
      <c r="C6530" s="1050"/>
      <c r="D6530" s="1050"/>
      <c r="E6530" s="1050"/>
      <c r="F6530" s="1050"/>
      <c r="G6530" s="1050"/>
    </row>
    <row r="6531" spans="1:7">
      <c r="A6531" s="1079"/>
      <c r="B6531" s="1050"/>
      <c r="C6531" s="1050"/>
      <c r="D6531" s="1050"/>
      <c r="E6531" s="1050"/>
      <c r="F6531" s="1050"/>
      <c r="G6531" s="1050"/>
    </row>
    <row r="6532" spans="1:7">
      <c r="A6532" s="1079"/>
      <c r="B6532" s="1050"/>
      <c r="C6532" s="1050"/>
      <c r="D6532" s="1050"/>
      <c r="E6532" s="1050"/>
      <c r="F6532" s="1050"/>
      <c r="G6532" s="1050"/>
    </row>
    <row r="6533" spans="1:7">
      <c r="A6533" s="1079"/>
      <c r="B6533" s="1050"/>
      <c r="C6533" s="1050"/>
      <c r="D6533" s="1050"/>
      <c r="E6533" s="1050"/>
      <c r="F6533" s="1050"/>
      <c r="G6533" s="1050"/>
    </row>
    <row r="6534" spans="1:7">
      <c r="A6534" s="1079"/>
      <c r="B6534" s="1050"/>
      <c r="C6534" s="1050"/>
      <c r="D6534" s="1050"/>
      <c r="E6534" s="1050"/>
      <c r="F6534" s="1050"/>
      <c r="G6534" s="1050"/>
    </row>
    <row r="6535" spans="1:7">
      <c r="A6535" s="1079"/>
      <c r="B6535" s="1050"/>
      <c r="C6535" s="1050"/>
      <c r="D6535" s="1050"/>
      <c r="E6535" s="1050"/>
      <c r="F6535" s="1050"/>
      <c r="G6535" s="1050"/>
    </row>
    <row r="6536" spans="1:7">
      <c r="A6536" s="1079"/>
      <c r="B6536" s="1050"/>
      <c r="C6536" s="1050"/>
      <c r="D6536" s="1050"/>
      <c r="E6536" s="1050"/>
      <c r="F6536" s="1050"/>
      <c r="G6536" s="1050"/>
    </row>
    <row r="6537" spans="1:7">
      <c r="A6537" s="1079"/>
      <c r="B6537" s="1050"/>
      <c r="C6537" s="1050"/>
      <c r="D6537" s="1050"/>
      <c r="E6537" s="1050"/>
      <c r="F6537" s="1050"/>
      <c r="G6537" s="1050"/>
    </row>
    <row r="6538" spans="1:7">
      <c r="A6538" s="1079"/>
      <c r="B6538" s="1050"/>
      <c r="C6538" s="1050"/>
      <c r="D6538" s="1050"/>
      <c r="E6538" s="1050"/>
      <c r="F6538" s="1050"/>
      <c r="G6538" s="1050"/>
    </row>
    <row r="6539" spans="1:7">
      <c r="A6539" s="1079"/>
      <c r="B6539" s="1050"/>
      <c r="C6539" s="1050"/>
      <c r="D6539" s="1050"/>
      <c r="E6539" s="1050"/>
      <c r="F6539" s="1050"/>
      <c r="G6539" s="1050"/>
    </row>
    <row r="6540" spans="1:7">
      <c r="A6540" s="1079"/>
      <c r="B6540" s="1050"/>
      <c r="C6540" s="1050"/>
      <c r="D6540" s="1050"/>
      <c r="E6540" s="1050"/>
      <c r="F6540" s="1050"/>
      <c r="G6540" s="1050"/>
    </row>
    <row r="6541" spans="1:7">
      <c r="A6541" s="1079"/>
      <c r="B6541" s="1050"/>
      <c r="C6541" s="1050"/>
      <c r="D6541" s="1050"/>
      <c r="E6541" s="1050"/>
      <c r="F6541" s="1050"/>
      <c r="G6541" s="1050"/>
    </row>
    <row r="6542" spans="1:7">
      <c r="A6542" s="1079"/>
      <c r="B6542" s="1050"/>
      <c r="C6542" s="1050"/>
      <c r="D6542" s="1050"/>
      <c r="E6542" s="1050"/>
      <c r="F6542" s="1050"/>
      <c r="G6542" s="1050"/>
    </row>
    <row r="6543" spans="1:7">
      <c r="A6543" s="1079"/>
      <c r="B6543" s="1050"/>
      <c r="C6543" s="1050"/>
      <c r="D6543" s="1050"/>
      <c r="E6543" s="1050"/>
      <c r="F6543" s="1050"/>
      <c r="G6543" s="1050"/>
    </row>
    <row r="6544" spans="1:7">
      <c r="A6544" s="1079"/>
      <c r="B6544" s="1050"/>
      <c r="C6544" s="1050"/>
      <c r="D6544" s="1050"/>
      <c r="E6544" s="1050"/>
      <c r="F6544" s="1050"/>
      <c r="G6544" s="1050"/>
    </row>
    <row r="6545" spans="1:7">
      <c r="A6545" s="1079"/>
      <c r="B6545" s="1050"/>
      <c r="C6545" s="1050"/>
      <c r="D6545" s="1050"/>
      <c r="E6545" s="1050"/>
      <c r="F6545" s="1050"/>
      <c r="G6545" s="1050"/>
    </row>
    <row r="6546" spans="1:7">
      <c r="A6546" s="1079"/>
      <c r="B6546" s="1050"/>
      <c r="C6546" s="1050"/>
      <c r="D6546" s="1050"/>
      <c r="E6546" s="1050"/>
      <c r="F6546" s="1050"/>
      <c r="G6546" s="1050"/>
    </row>
    <row r="6547" spans="1:7">
      <c r="A6547" s="1079"/>
      <c r="B6547" s="1050"/>
      <c r="C6547" s="1050"/>
      <c r="D6547" s="1050"/>
      <c r="E6547" s="1050"/>
      <c r="F6547" s="1050"/>
      <c r="G6547" s="1050"/>
    </row>
    <row r="6548" spans="1:7">
      <c r="A6548" s="1079"/>
      <c r="B6548" s="1050"/>
      <c r="C6548" s="1050"/>
      <c r="D6548" s="1050"/>
      <c r="E6548" s="1050"/>
      <c r="F6548" s="1050"/>
      <c r="G6548" s="1050"/>
    </row>
    <row r="6549" spans="1:7">
      <c r="A6549" s="1079"/>
      <c r="B6549" s="1050"/>
      <c r="C6549" s="1050"/>
      <c r="D6549" s="1050"/>
      <c r="E6549" s="1050"/>
      <c r="F6549" s="1050"/>
      <c r="G6549" s="1050"/>
    </row>
    <row r="6550" spans="1:7">
      <c r="A6550" s="1079"/>
      <c r="B6550" s="1050"/>
      <c r="C6550" s="1050"/>
      <c r="D6550" s="1050"/>
      <c r="E6550" s="1050"/>
      <c r="F6550" s="1050"/>
      <c r="G6550" s="1050"/>
    </row>
    <row r="6551" spans="1:7">
      <c r="A6551" s="1079"/>
      <c r="B6551" s="1050"/>
      <c r="C6551" s="1050"/>
      <c r="D6551" s="1050"/>
      <c r="E6551" s="1050"/>
      <c r="F6551" s="1050"/>
      <c r="G6551" s="1050"/>
    </row>
    <row r="6552" spans="1:7">
      <c r="A6552" s="1079"/>
      <c r="B6552" s="1050"/>
      <c r="C6552" s="1050"/>
      <c r="D6552" s="1050"/>
      <c r="E6552" s="1050"/>
      <c r="F6552" s="1050"/>
      <c r="G6552" s="1050"/>
    </row>
    <row r="6553" spans="1:7">
      <c r="A6553" s="1079"/>
      <c r="B6553" s="1050"/>
      <c r="C6553" s="1050"/>
      <c r="D6553" s="1050"/>
      <c r="E6553" s="1050"/>
      <c r="F6553" s="1050"/>
      <c r="G6553" s="1050"/>
    </row>
    <row r="6554" spans="1:7">
      <c r="A6554" s="1079"/>
      <c r="B6554" s="1050"/>
      <c r="C6554" s="1050"/>
      <c r="D6554" s="1050"/>
      <c r="E6554" s="1050"/>
      <c r="F6554" s="1050"/>
      <c r="G6554" s="1050"/>
    </row>
    <row r="6555" spans="1:7">
      <c r="A6555" s="1079"/>
      <c r="B6555" s="1050"/>
      <c r="C6555" s="1050"/>
      <c r="D6555" s="1050"/>
      <c r="E6555" s="1050"/>
      <c r="F6555" s="1050"/>
      <c r="G6555" s="1050"/>
    </row>
    <row r="6556" spans="1:7">
      <c r="A6556" s="1079"/>
      <c r="B6556" s="1050"/>
      <c r="C6556" s="1050"/>
      <c r="D6556" s="1050"/>
      <c r="E6556" s="1050"/>
      <c r="F6556" s="1050"/>
      <c r="G6556" s="1050"/>
    </row>
    <row r="6557" spans="1:7">
      <c r="A6557" s="1079"/>
      <c r="B6557" s="1050"/>
      <c r="C6557" s="1050"/>
      <c r="D6557" s="1050"/>
      <c r="E6557" s="1050"/>
      <c r="F6557" s="1050"/>
      <c r="G6557" s="1050"/>
    </row>
    <row r="6558" spans="1:7">
      <c r="A6558" s="1079"/>
      <c r="B6558" s="1050"/>
      <c r="C6558" s="1050"/>
      <c r="D6558" s="1050"/>
      <c r="E6558" s="1050"/>
      <c r="F6558" s="1050"/>
      <c r="G6558" s="1050"/>
    </row>
    <row r="6559" spans="1:7">
      <c r="A6559" s="1079"/>
      <c r="B6559" s="1050"/>
      <c r="C6559" s="1050"/>
      <c r="D6559" s="1050"/>
      <c r="E6559" s="1050"/>
      <c r="F6559" s="1050"/>
      <c r="G6559" s="1050"/>
    </row>
    <row r="6560" spans="1:7">
      <c r="A6560" s="1079"/>
      <c r="B6560" s="1050"/>
      <c r="C6560" s="1050"/>
      <c r="D6560" s="1050"/>
      <c r="E6560" s="1050"/>
      <c r="F6560" s="1050"/>
      <c r="G6560" s="1050"/>
    </row>
    <row r="6561" spans="1:7">
      <c r="A6561" s="1079"/>
      <c r="B6561" s="1050"/>
      <c r="C6561" s="1050"/>
      <c r="D6561" s="1050"/>
      <c r="E6561" s="1050"/>
      <c r="F6561" s="1050"/>
      <c r="G6561" s="1050"/>
    </row>
    <row r="6562" spans="1:7">
      <c r="A6562" s="1079"/>
      <c r="B6562" s="1050"/>
      <c r="C6562" s="1050"/>
      <c r="D6562" s="1050"/>
      <c r="E6562" s="1050"/>
      <c r="F6562" s="1050"/>
      <c r="G6562" s="1050"/>
    </row>
    <row r="6563" spans="1:7">
      <c r="A6563" s="1079"/>
      <c r="B6563" s="1050"/>
      <c r="C6563" s="1050"/>
      <c r="D6563" s="1050"/>
      <c r="E6563" s="1050"/>
      <c r="F6563" s="1050"/>
      <c r="G6563" s="1050"/>
    </row>
    <row r="6564" spans="1:7">
      <c r="A6564" s="1079"/>
      <c r="B6564" s="1050"/>
      <c r="C6564" s="1050"/>
      <c r="D6564" s="1050"/>
      <c r="E6564" s="1050"/>
      <c r="F6564" s="1050"/>
      <c r="G6564" s="1050"/>
    </row>
    <row r="6565" spans="1:7">
      <c r="A6565" s="1079"/>
      <c r="B6565" s="1050"/>
      <c r="C6565" s="1050"/>
      <c r="D6565" s="1050"/>
      <c r="E6565" s="1050"/>
      <c r="F6565" s="1050"/>
      <c r="G6565" s="1050"/>
    </row>
    <row r="6566" spans="1:7">
      <c r="A6566" s="1079"/>
      <c r="B6566" s="1050"/>
      <c r="C6566" s="1050"/>
      <c r="D6566" s="1050"/>
      <c r="E6566" s="1050"/>
      <c r="F6566" s="1050"/>
      <c r="G6566" s="1050"/>
    </row>
    <row r="6567" spans="1:7">
      <c r="A6567" s="1079"/>
      <c r="B6567" s="1050"/>
      <c r="C6567" s="1050"/>
      <c r="D6567" s="1050"/>
      <c r="E6567" s="1050"/>
      <c r="F6567" s="1050"/>
      <c r="G6567" s="1050"/>
    </row>
    <row r="6568" spans="1:7">
      <c r="A6568" s="1079"/>
      <c r="B6568" s="1050"/>
      <c r="C6568" s="1050"/>
      <c r="D6568" s="1050"/>
      <c r="E6568" s="1050"/>
      <c r="F6568" s="1050"/>
      <c r="G6568" s="1050"/>
    </row>
    <row r="6569" spans="1:7">
      <c r="A6569" s="1079"/>
      <c r="B6569" s="1050"/>
      <c r="C6569" s="1050"/>
      <c r="D6569" s="1050"/>
      <c r="E6569" s="1050"/>
      <c r="F6569" s="1050"/>
      <c r="G6569" s="1050"/>
    </row>
    <row r="6570" spans="1:7">
      <c r="A6570" s="1079"/>
      <c r="B6570" s="1050"/>
      <c r="C6570" s="1050"/>
      <c r="D6570" s="1050"/>
      <c r="E6570" s="1050"/>
      <c r="F6570" s="1050"/>
      <c r="G6570" s="1050"/>
    </row>
    <row r="6571" spans="1:7">
      <c r="A6571" s="1079"/>
      <c r="B6571" s="1050"/>
      <c r="C6571" s="1050"/>
      <c r="D6571" s="1050"/>
      <c r="E6571" s="1050"/>
      <c r="F6571" s="1050"/>
      <c r="G6571" s="1050"/>
    </row>
    <row r="6572" spans="1:7">
      <c r="A6572" s="1079"/>
      <c r="B6572" s="1050"/>
      <c r="C6572" s="1050"/>
      <c r="D6572" s="1050"/>
      <c r="E6572" s="1050"/>
      <c r="F6572" s="1050"/>
      <c r="G6572" s="1050"/>
    </row>
    <row r="6573" spans="1:7">
      <c r="A6573" s="1079"/>
      <c r="B6573" s="1050"/>
      <c r="C6573" s="1050"/>
      <c r="D6573" s="1050"/>
      <c r="E6573" s="1050"/>
      <c r="F6573" s="1050"/>
      <c r="G6573" s="1050"/>
    </row>
    <row r="6574" spans="1:7">
      <c r="A6574" s="1079"/>
      <c r="B6574" s="1050"/>
      <c r="C6574" s="1050"/>
      <c r="D6574" s="1050"/>
      <c r="E6574" s="1050"/>
      <c r="F6574" s="1050"/>
      <c r="G6574" s="1050"/>
    </row>
    <row r="6575" spans="1:7">
      <c r="A6575" s="1079"/>
      <c r="B6575" s="1050"/>
      <c r="C6575" s="1050"/>
      <c r="D6575" s="1050"/>
      <c r="E6575" s="1050"/>
      <c r="F6575" s="1050"/>
      <c r="G6575" s="1050"/>
    </row>
    <row r="6576" spans="1:7">
      <c r="A6576" s="1079"/>
      <c r="B6576" s="1050"/>
      <c r="C6576" s="1050"/>
      <c r="D6576" s="1050"/>
      <c r="E6576" s="1050"/>
      <c r="F6576" s="1050"/>
      <c r="G6576" s="1050"/>
    </row>
    <row r="6577" spans="1:7">
      <c r="A6577" s="1079"/>
      <c r="B6577" s="1050"/>
      <c r="C6577" s="1050"/>
      <c r="D6577" s="1050"/>
      <c r="E6577" s="1050"/>
      <c r="F6577" s="1050"/>
      <c r="G6577" s="1050"/>
    </row>
    <row r="6578" spans="1:7">
      <c r="A6578" s="1079"/>
      <c r="B6578" s="1050"/>
      <c r="C6578" s="1050"/>
      <c r="D6578" s="1050"/>
      <c r="E6578" s="1050"/>
      <c r="F6578" s="1050"/>
      <c r="G6578" s="1050"/>
    </row>
    <row r="6579" spans="1:7">
      <c r="A6579" s="1079"/>
      <c r="B6579" s="1050"/>
      <c r="C6579" s="1050"/>
      <c r="D6579" s="1050"/>
      <c r="E6579" s="1050"/>
      <c r="F6579" s="1050"/>
      <c r="G6579" s="1050"/>
    </row>
    <row r="6580" spans="1:7">
      <c r="A6580" s="1079"/>
      <c r="B6580" s="1050"/>
      <c r="C6580" s="1050"/>
      <c r="D6580" s="1050"/>
      <c r="E6580" s="1050"/>
      <c r="F6580" s="1050"/>
      <c r="G6580" s="1050"/>
    </row>
    <row r="6581" spans="1:7">
      <c r="A6581" s="1079"/>
      <c r="B6581" s="1050"/>
      <c r="C6581" s="1050"/>
      <c r="D6581" s="1050"/>
      <c r="E6581" s="1050"/>
      <c r="F6581" s="1050"/>
      <c r="G6581" s="1050"/>
    </row>
    <row r="6582" spans="1:7">
      <c r="A6582" s="1079"/>
      <c r="B6582" s="1050"/>
      <c r="C6582" s="1050"/>
      <c r="D6582" s="1050"/>
      <c r="E6582" s="1050"/>
      <c r="F6582" s="1050"/>
      <c r="G6582" s="1050"/>
    </row>
    <row r="6583" spans="1:7">
      <c r="A6583" s="1079"/>
      <c r="B6583" s="1050"/>
      <c r="C6583" s="1050"/>
      <c r="D6583" s="1050"/>
      <c r="E6583" s="1050"/>
      <c r="F6583" s="1050"/>
      <c r="G6583" s="1050"/>
    </row>
    <row r="6584" spans="1:7">
      <c r="A6584" s="1079"/>
      <c r="B6584" s="1050"/>
      <c r="C6584" s="1050"/>
      <c r="D6584" s="1050"/>
      <c r="E6584" s="1050"/>
      <c r="F6584" s="1050"/>
      <c r="G6584" s="1050"/>
    </row>
    <row r="6585" spans="1:7">
      <c r="A6585" s="1079"/>
      <c r="B6585" s="1050"/>
      <c r="C6585" s="1050"/>
      <c r="D6585" s="1050"/>
      <c r="E6585" s="1050"/>
      <c r="F6585" s="1050"/>
      <c r="G6585" s="1050"/>
    </row>
    <row r="6586" spans="1:7">
      <c r="A6586" s="1079"/>
      <c r="B6586" s="1050"/>
      <c r="C6586" s="1050"/>
      <c r="D6586" s="1050"/>
      <c r="E6586" s="1050"/>
      <c r="F6586" s="1050"/>
      <c r="G6586" s="1050"/>
    </row>
    <row r="6587" spans="1:7">
      <c r="A6587" s="1079"/>
      <c r="B6587" s="1050"/>
      <c r="C6587" s="1050"/>
      <c r="D6587" s="1050"/>
      <c r="E6587" s="1050"/>
      <c r="F6587" s="1050"/>
      <c r="G6587" s="1050"/>
    </row>
    <row r="6588" spans="1:7">
      <c r="A6588" s="1079"/>
      <c r="B6588" s="1050"/>
      <c r="C6588" s="1050"/>
      <c r="D6588" s="1050"/>
      <c r="E6588" s="1050"/>
      <c r="F6588" s="1050"/>
      <c r="G6588" s="1050"/>
    </row>
    <row r="6589" spans="1:7">
      <c r="A6589" s="1079"/>
      <c r="B6589" s="1050"/>
      <c r="C6589" s="1050"/>
      <c r="D6589" s="1050"/>
      <c r="E6589" s="1050"/>
      <c r="F6589" s="1050"/>
      <c r="G6589" s="1050"/>
    </row>
    <row r="6590" spans="1:7">
      <c r="A6590" s="1079"/>
      <c r="B6590" s="1050"/>
      <c r="C6590" s="1050"/>
      <c r="D6590" s="1050"/>
      <c r="E6590" s="1050"/>
      <c r="F6590" s="1050"/>
      <c r="G6590" s="1050"/>
    </row>
    <row r="6591" spans="1:7">
      <c r="A6591" s="1079"/>
      <c r="B6591" s="1050"/>
      <c r="C6591" s="1050"/>
      <c r="D6591" s="1050"/>
      <c r="E6591" s="1050"/>
      <c r="F6591" s="1050"/>
      <c r="G6591" s="1050"/>
    </row>
    <row r="6592" spans="1:7">
      <c r="A6592" s="1079"/>
      <c r="B6592" s="1050"/>
      <c r="C6592" s="1050"/>
      <c r="D6592" s="1050"/>
      <c r="E6592" s="1050"/>
      <c r="F6592" s="1050"/>
      <c r="G6592" s="1050"/>
    </row>
    <row r="6593" spans="1:7">
      <c r="A6593" s="1079"/>
      <c r="B6593" s="1050"/>
      <c r="C6593" s="1050"/>
      <c r="D6593" s="1050"/>
      <c r="E6593" s="1050"/>
      <c r="F6593" s="1050"/>
      <c r="G6593" s="1050"/>
    </row>
    <row r="6594" spans="1:7">
      <c r="A6594" s="1079"/>
      <c r="B6594" s="1050"/>
      <c r="C6594" s="1050"/>
      <c r="D6594" s="1050"/>
      <c r="E6594" s="1050"/>
      <c r="F6594" s="1050"/>
      <c r="G6594" s="1050"/>
    </row>
    <row r="6595" spans="1:7">
      <c r="A6595" s="1079"/>
      <c r="B6595" s="1050"/>
      <c r="C6595" s="1050"/>
      <c r="D6595" s="1050"/>
      <c r="E6595" s="1050"/>
      <c r="F6595" s="1050"/>
      <c r="G6595" s="1050"/>
    </row>
    <row r="6596" spans="1:7">
      <c r="A6596" s="1079"/>
      <c r="B6596" s="1050"/>
      <c r="C6596" s="1050"/>
      <c r="D6596" s="1050"/>
      <c r="E6596" s="1050"/>
      <c r="F6596" s="1050"/>
      <c r="G6596" s="1050"/>
    </row>
    <row r="6597" spans="1:7">
      <c r="A6597" s="1079"/>
      <c r="B6597" s="1050"/>
      <c r="C6597" s="1050"/>
      <c r="D6597" s="1050"/>
      <c r="E6597" s="1050"/>
      <c r="F6597" s="1050"/>
      <c r="G6597" s="1050"/>
    </row>
    <row r="6598" spans="1:7">
      <c r="A6598" s="1079"/>
      <c r="B6598" s="1050"/>
      <c r="C6598" s="1050"/>
      <c r="D6598" s="1050"/>
      <c r="E6598" s="1050"/>
      <c r="F6598" s="1050"/>
      <c r="G6598" s="1050"/>
    </row>
    <row r="6599" spans="1:7">
      <c r="A6599" s="1079"/>
      <c r="B6599" s="1050"/>
      <c r="C6599" s="1050"/>
      <c r="D6599" s="1050"/>
      <c r="E6599" s="1050"/>
      <c r="F6599" s="1050"/>
      <c r="G6599" s="1050"/>
    </row>
    <row r="6600" spans="1:7">
      <c r="A6600" s="1079"/>
      <c r="B6600" s="1050"/>
      <c r="C6600" s="1050"/>
      <c r="D6600" s="1050"/>
      <c r="E6600" s="1050"/>
      <c r="F6600" s="1050"/>
      <c r="G6600" s="1050"/>
    </row>
    <row r="6601" spans="1:7">
      <c r="A6601" s="1079"/>
      <c r="B6601" s="1050"/>
      <c r="C6601" s="1050"/>
      <c r="D6601" s="1050"/>
      <c r="E6601" s="1050"/>
      <c r="F6601" s="1050"/>
      <c r="G6601" s="1050"/>
    </row>
    <row r="6602" spans="1:7">
      <c r="A6602" s="1079"/>
      <c r="B6602" s="1050"/>
      <c r="C6602" s="1050"/>
      <c r="D6602" s="1050"/>
      <c r="E6602" s="1050"/>
      <c r="F6602" s="1050"/>
      <c r="G6602" s="1050"/>
    </row>
    <row r="6603" spans="1:7">
      <c r="A6603" s="1079"/>
      <c r="B6603" s="1050"/>
      <c r="C6603" s="1050"/>
      <c r="D6603" s="1050"/>
      <c r="E6603" s="1050"/>
      <c r="F6603" s="1050"/>
      <c r="G6603" s="1050"/>
    </row>
    <row r="6604" spans="1:7">
      <c r="A6604" s="1079"/>
      <c r="B6604" s="1050"/>
      <c r="C6604" s="1050"/>
      <c r="D6604" s="1050"/>
      <c r="E6604" s="1050"/>
      <c r="F6604" s="1050"/>
      <c r="G6604" s="1050"/>
    </row>
    <row r="6605" spans="1:7">
      <c r="A6605" s="1079"/>
      <c r="B6605" s="1050"/>
      <c r="C6605" s="1050"/>
      <c r="D6605" s="1050"/>
      <c r="E6605" s="1050"/>
      <c r="F6605" s="1050"/>
      <c r="G6605" s="1050"/>
    </row>
    <row r="6606" spans="1:7">
      <c r="A6606" s="1079"/>
      <c r="B6606" s="1050"/>
      <c r="C6606" s="1050"/>
      <c r="D6606" s="1050"/>
      <c r="E6606" s="1050"/>
      <c r="F6606" s="1050"/>
      <c r="G6606" s="1050"/>
    </row>
    <row r="6607" spans="1:7">
      <c r="A6607" s="1079"/>
      <c r="B6607" s="1050"/>
      <c r="C6607" s="1050"/>
      <c r="D6607" s="1050"/>
      <c r="E6607" s="1050"/>
      <c r="F6607" s="1050"/>
      <c r="G6607" s="1050"/>
    </row>
    <row r="6608" spans="1:7">
      <c r="A6608" s="1079"/>
      <c r="B6608" s="1050"/>
      <c r="C6608" s="1050"/>
      <c r="D6608" s="1050"/>
      <c r="E6608" s="1050"/>
      <c r="F6608" s="1050"/>
      <c r="G6608" s="1050"/>
    </row>
    <row r="6609" spans="1:7">
      <c r="A6609" s="1079"/>
      <c r="B6609" s="1050"/>
      <c r="C6609" s="1050"/>
      <c r="D6609" s="1050"/>
      <c r="E6609" s="1050"/>
      <c r="F6609" s="1050"/>
      <c r="G6609" s="1050"/>
    </row>
    <row r="6610" spans="1:7">
      <c r="A6610" s="1079"/>
      <c r="B6610" s="1050"/>
      <c r="C6610" s="1050"/>
      <c r="D6610" s="1050"/>
      <c r="E6610" s="1050"/>
      <c r="F6610" s="1050"/>
      <c r="G6610" s="1050"/>
    </row>
    <row r="6611" spans="1:7">
      <c r="A6611" s="1079"/>
      <c r="B6611" s="1050"/>
      <c r="C6611" s="1050"/>
      <c r="D6611" s="1050"/>
      <c r="E6611" s="1050"/>
      <c r="F6611" s="1050"/>
      <c r="G6611" s="1050"/>
    </row>
    <row r="6612" spans="1:7">
      <c r="A6612" s="1079"/>
      <c r="B6612" s="1050"/>
      <c r="C6612" s="1050"/>
      <c r="D6612" s="1050"/>
      <c r="E6612" s="1050"/>
      <c r="F6612" s="1050"/>
      <c r="G6612" s="1050"/>
    </row>
    <row r="6613" spans="1:7">
      <c r="A6613" s="1079"/>
      <c r="B6613" s="1050"/>
      <c r="C6613" s="1050"/>
      <c r="D6613" s="1050"/>
      <c r="E6613" s="1050"/>
      <c r="F6613" s="1050"/>
      <c r="G6613" s="1050"/>
    </row>
    <row r="6614" spans="1:7">
      <c r="A6614" s="1079"/>
      <c r="B6614" s="1050"/>
      <c r="C6614" s="1050"/>
      <c r="D6614" s="1050"/>
      <c r="E6614" s="1050"/>
      <c r="F6614" s="1050"/>
      <c r="G6614" s="1050"/>
    </row>
    <row r="6615" spans="1:7">
      <c r="A6615" s="1079"/>
      <c r="B6615" s="1050"/>
      <c r="C6615" s="1050"/>
      <c r="D6615" s="1050"/>
      <c r="E6615" s="1050"/>
      <c r="F6615" s="1050"/>
      <c r="G6615" s="1050"/>
    </row>
    <row r="6616" spans="1:7">
      <c r="A6616" s="1079"/>
      <c r="B6616" s="1050"/>
      <c r="C6616" s="1050"/>
      <c r="D6616" s="1050"/>
      <c r="E6616" s="1050"/>
      <c r="F6616" s="1050"/>
      <c r="G6616" s="1050"/>
    </row>
    <row r="6617" spans="1:7">
      <c r="A6617" s="1079"/>
      <c r="B6617" s="1050"/>
      <c r="C6617" s="1050"/>
      <c r="D6617" s="1050"/>
      <c r="E6617" s="1050"/>
      <c r="F6617" s="1050"/>
      <c r="G6617" s="1050"/>
    </row>
    <row r="6618" spans="1:7">
      <c r="A6618" s="1079"/>
      <c r="B6618" s="1050"/>
      <c r="C6618" s="1050"/>
      <c r="D6618" s="1050"/>
      <c r="E6618" s="1050"/>
      <c r="F6618" s="1050"/>
      <c r="G6618" s="1050"/>
    </row>
    <row r="6619" spans="1:7">
      <c r="A6619" s="1079"/>
      <c r="B6619" s="1050"/>
      <c r="C6619" s="1050"/>
      <c r="D6619" s="1050"/>
      <c r="E6619" s="1050"/>
      <c r="F6619" s="1050"/>
      <c r="G6619" s="1050"/>
    </row>
    <row r="6620" spans="1:7">
      <c r="A6620" s="1079"/>
      <c r="B6620" s="1050"/>
      <c r="C6620" s="1050"/>
      <c r="D6620" s="1050"/>
      <c r="E6620" s="1050"/>
      <c r="F6620" s="1050"/>
      <c r="G6620" s="1050"/>
    </row>
    <row r="6621" spans="1:7">
      <c r="A6621" s="1079"/>
      <c r="B6621" s="1050"/>
      <c r="C6621" s="1050"/>
      <c r="D6621" s="1050"/>
      <c r="E6621" s="1050"/>
      <c r="F6621" s="1050"/>
      <c r="G6621" s="1050"/>
    </row>
    <row r="6622" spans="1:7">
      <c r="A6622" s="1079"/>
      <c r="B6622" s="1050"/>
      <c r="C6622" s="1050"/>
      <c r="D6622" s="1050"/>
      <c r="E6622" s="1050"/>
      <c r="F6622" s="1050"/>
      <c r="G6622" s="1050"/>
    </row>
    <row r="6623" spans="1:7">
      <c r="A6623" s="1079"/>
      <c r="B6623" s="1050"/>
      <c r="C6623" s="1050"/>
      <c r="D6623" s="1050"/>
      <c r="E6623" s="1050"/>
      <c r="F6623" s="1050"/>
      <c r="G6623" s="1050"/>
    </row>
    <row r="6624" spans="1:7">
      <c r="A6624" s="1079"/>
      <c r="B6624" s="1050"/>
      <c r="C6624" s="1050"/>
      <c r="D6624" s="1050"/>
      <c r="E6624" s="1050"/>
      <c r="F6624" s="1050"/>
      <c r="G6624" s="1050"/>
    </row>
    <row r="6625" spans="1:7">
      <c r="A6625" s="1079"/>
      <c r="B6625" s="1050"/>
      <c r="C6625" s="1050"/>
      <c r="D6625" s="1050"/>
      <c r="E6625" s="1050"/>
      <c r="F6625" s="1050"/>
      <c r="G6625" s="1050"/>
    </row>
    <row r="6626" spans="1:7">
      <c r="A6626" s="1079"/>
      <c r="B6626" s="1050"/>
      <c r="C6626" s="1050"/>
      <c r="D6626" s="1050"/>
      <c r="E6626" s="1050"/>
      <c r="F6626" s="1050"/>
      <c r="G6626" s="1050"/>
    </row>
    <row r="6627" spans="1:7">
      <c r="A6627" s="1079"/>
      <c r="B6627" s="1050"/>
      <c r="C6627" s="1050"/>
      <c r="D6627" s="1050"/>
      <c r="E6627" s="1050"/>
      <c r="F6627" s="1050"/>
      <c r="G6627" s="1050"/>
    </row>
    <row r="6628" spans="1:7">
      <c r="A6628" s="1079"/>
      <c r="B6628" s="1050"/>
      <c r="C6628" s="1050"/>
      <c r="D6628" s="1050"/>
      <c r="E6628" s="1050"/>
      <c r="F6628" s="1050"/>
      <c r="G6628" s="1050"/>
    </row>
    <row r="6629" spans="1:7">
      <c r="A6629" s="1079"/>
      <c r="B6629" s="1050"/>
      <c r="C6629" s="1050"/>
      <c r="D6629" s="1050"/>
      <c r="E6629" s="1050"/>
      <c r="F6629" s="1050"/>
      <c r="G6629" s="1050"/>
    </row>
    <row r="6630" spans="1:7">
      <c r="A6630" s="1079"/>
      <c r="B6630" s="1050"/>
      <c r="C6630" s="1050"/>
      <c r="D6630" s="1050"/>
      <c r="E6630" s="1050"/>
      <c r="F6630" s="1050"/>
      <c r="G6630" s="1050"/>
    </row>
    <row r="6631" spans="1:7">
      <c r="A6631" s="1079"/>
      <c r="B6631" s="1050"/>
      <c r="C6631" s="1050"/>
      <c r="D6631" s="1050"/>
      <c r="E6631" s="1050"/>
      <c r="F6631" s="1050"/>
      <c r="G6631" s="1050"/>
    </row>
    <row r="6632" spans="1:7">
      <c r="A6632" s="1079"/>
      <c r="B6632" s="1050"/>
      <c r="C6632" s="1050"/>
      <c r="D6632" s="1050"/>
      <c r="E6632" s="1050"/>
      <c r="F6632" s="1050"/>
      <c r="G6632" s="1050"/>
    </row>
    <row r="6633" spans="1:7">
      <c r="A6633" s="1079"/>
      <c r="B6633" s="1050"/>
      <c r="C6633" s="1050"/>
      <c r="D6633" s="1050"/>
      <c r="E6633" s="1050"/>
      <c r="F6633" s="1050"/>
      <c r="G6633" s="1050"/>
    </row>
    <row r="6634" spans="1:7">
      <c r="A6634" s="1079"/>
      <c r="B6634" s="1050"/>
      <c r="C6634" s="1050"/>
      <c r="D6634" s="1050"/>
      <c r="E6634" s="1050"/>
      <c r="F6634" s="1050"/>
      <c r="G6634" s="1050"/>
    </row>
    <row r="6635" spans="1:7">
      <c r="A6635" s="1079"/>
      <c r="B6635" s="1050"/>
      <c r="C6635" s="1050"/>
      <c r="D6635" s="1050"/>
      <c r="E6635" s="1050"/>
      <c r="F6635" s="1050"/>
      <c r="G6635" s="1050"/>
    </row>
    <row r="6636" spans="1:7">
      <c r="A6636" s="1079"/>
      <c r="B6636" s="1050"/>
      <c r="C6636" s="1050"/>
      <c r="D6636" s="1050"/>
      <c r="E6636" s="1050"/>
      <c r="F6636" s="1050"/>
      <c r="G6636" s="1050"/>
    </row>
    <row r="6637" spans="1:7">
      <c r="A6637" s="1079"/>
      <c r="B6637" s="1050"/>
      <c r="C6637" s="1050"/>
      <c r="D6637" s="1050"/>
      <c r="E6637" s="1050"/>
      <c r="F6637" s="1050"/>
      <c r="G6637" s="1050"/>
    </row>
    <row r="6638" spans="1:7">
      <c r="A6638" s="1079"/>
      <c r="B6638" s="1050"/>
      <c r="C6638" s="1050"/>
      <c r="D6638" s="1050"/>
      <c r="E6638" s="1050"/>
      <c r="F6638" s="1050"/>
      <c r="G6638" s="1050"/>
    </row>
    <row r="6639" spans="1:7">
      <c r="A6639" s="1079"/>
      <c r="B6639" s="1050"/>
      <c r="C6639" s="1050"/>
      <c r="D6639" s="1050"/>
      <c r="E6639" s="1050"/>
      <c r="F6639" s="1050"/>
      <c r="G6639" s="1050"/>
    </row>
    <row r="6640" spans="1:7">
      <c r="A6640" s="1079"/>
      <c r="B6640" s="1050"/>
      <c r="C6640" s="1050"/>
      <c r="D6640" s="1050"/>
      <c r="E6640" s="1050"/>
      <c r="F6640" s="1050"/>
      <c r="G6640" s="1050"/>
    </row>
    <row r="6641" spans="1:7">
      <c r="A6641" s="1079"/>
      <c r="B6641" s="1050"/>
      <c r="C6641" s="1050"/>
      <c r="D6641" s="1050"/>
      <c r="E6641" s="1050"/>
      <c r="F6641" s="1050"/>
      <c r="G6641" s="1050"/>
    </row>
    <row r="6642" spans="1:7">
      <c r="A6642" s="1079"/>
      <c r="B6642" s="1050"/>
      <c r="C6642" s="1050"/>
      <c r="D6642" s="1050"/>
      <c r="E6642" s="1050"/>
      <c r="F6642" s="1050"/>
      <c r="G6642" s="1050"/>
    </row>
    <row r="6643" spans="1:7">
      <c r="A6643" s="1079"/>
      <c r="B6643" s="1050"/>
      <c r="C6643" s="1050"/>
      <c r="D6643" s="1050"/>
      <c r="E6643" s="1050"/>
      <c r="F6643" s="1050"/>
      <c r="G6643" s="1050"/>
    </row>
    <row r="6644" spans="1:7">
      <c r="A6644" s="1079"/>
      <c r="B6644" s="1050"/>
      <c r="C6644" s="1050"/>
      <c r="D6644" s="1050"/>
      <c r="E6644" s="1050"/>
      <c r="F6644" s="1050"/>
      <c r="G6644" s="1050"/>
    </row>
    <row r="6645" spans="1:7">
      <c r="A6645" s="1079"/>
      <c r="B6645" s="1050"/>
      <c r="C6645" s="1050"/>
      <c r="D6645" s="1050"/>
      <c r="E6645" s="1050"/>
      <c r="F6645" s="1050"/>
      <c r="G6645" s="1050"/>
    </row>
    <row r="6646" spans="1:7">
      <c r="A6646" s="1079"/>
      <c r="B6646" s="1050"/>
      <c r="C6646" s="1050"/>
      <c r="D6646" s="1050"/>
      <c r="E6646" s="1050"/>
      <c r="F6646" s="1050"/>
      <c r="G6646" s="1050"/>
    </row>
    <row r="6647" spans="1:7">
      <c r="A6647" s="1079"/>
      <c r="B6647" s="1050"/>
      <c r="C6647" s="1050"/>
      <c r="D6647" s="1050"/>
      <c r="E6647" s="1050"/>
      <c r="F6647" s="1050"/>
      <c r="G6647" s="1050"/>
    </row>
    <row r="6648" spans="1:7">
      <c r="A6648" s="1079"/>
      <c r="B6648" s="1050"/>
      <c r="C6648" s="1050"/>
      <c r="D6648" s="1050"/>
      <c r="E6648" s="1050"/>
      <c r="F6648" s="1050"/>
      <c r="G6648" s="1050"/>
    </row>
    <row r="6649" spans="1:7">
      <c r="A6649" s="1079"/>
      <c r="B6649" s="1050"/>
      <c r="C6649" s="1050"/>
      <c r="D6649" s="1050"/>
      <c r="E6649" s="1050"/>
      <c r="F6649" s="1050"/>
      <c r="G6649" s="1050"/>
    </row>
    <row r="6650" spans="1:7">
      <c r="A6650" s="1079"/>
      <c r="B6650" s="1050"/>
      <c r="C6650" s="1050"/>
      <c r="D6650" s="1050"/>
      <c r="E6650" s="1050"/>
      <c r="F6650" s="1050"/>
      <c r="G6650" s="1050"/>
    </row>
    <row r="6651" spans="1:7">
      <c r="A6651" s="1079"/>
      <c r="B6651" s="1050"/>
      <c r="C6651" s="1050"/>
      <c r="D6651" s="1050"/>
      <c r="E6651" s="1050"/>
      <c r="F6651" s="1050"/>
      <c r="G6651" s="1050"/>
    </row>
    <row r="6652" spans="1:7">
      <c r="A6652" s="1079"/>
      <c r="B6652" s="1050"/>
      <c r="C6652" s="1050"/>
      <c r="D6652" s="1050"/>
      <c r="E6652" s="1050"/>
      <c r="F6652" s="1050"/>
      <c r="G6652" s="1050"/>
    </row>
    <row r="6653" spans="1:7">
      <c r="A6653" s="1079"/>
      <c r="B6653" s="1050"/>
      <c r="C6653" s="1050"/>
      <c r="D6653" s="1050"/>
      <c r="E6653" s="1050"/>
      <c r="F6653" s="1050"/>
      <c r="G6653" s="1050"/>
    </row>
    <row r="6654" spans="1:7">
      <c r="A6654" s="1079"/>
      <c r="B6654" s="1050"/>
      <c r="C6654" s="1050"/>
      <c r="D6654" s="1050"/>
      <c r="E6654" s="1050"/>
      <c r="F6654" s="1050"/>
      <c r="G6654" s="1050"/>
    </row>
    <row r="6655" spans="1:7">
      <c r="A6655" s="1079"/>
      <c r="B6655" s="1050"/>
      <c r="C6655" s="1050"/>
      <c r="D6655" s="1050"/>
      <c r="E6655" s="1050"/>
      <c r="F6655" s="1050"/>
      <c r="G6655" s="1050"/>
    </row>
    <row r="6656" spans="1:7">
      <c r="A6656" s="1079"/>
      <c r="B6656" s="1050"/>
      <c r="C6656" s="1050"/>
      <c r="D6656" s="1050"/>
      <c r="E6656" s="1050"/>
      <c r="F6656" s="1050"/>
      <c r="G6656" s="1050"/>
    </row>
    <row r="6657" spans="1:7">
      <c r="A6657" s="1079"/>
      <c r="B6657" s="1050"/>
      <c r="C6657" s="1050"/>
      <c r="D6657" s="1050"/>
      <c r="E6657" s="1050"/>
      <c r="F6657" s="1050"/>
      <c r="G6657" s="1050"/>
    </row>
    <row r="6658" spans="1:7">
      <c r="A6658" s="1079"/>
      <c r="B6658" s="1050"/>
      <c r="C6658" s="1050"/>
      <c r="D6658" s="1050"/>
      <c r="E6658" s="1050"/>
      <c r="F6658" s="1050"/>
      <c r="G6658" s="1050"/>
    </row>
    <row r="6659" spans="1:7">
      <c r="A6659" s="1079"/>
      <c r="B6659" s="1050"/>
      <c r="C6659" s="1050"/>
      <c r="D6659" s="1050"/>
      <c r="E6659" s="1050"/>
      <c r="F6659" s="1050"/>
      <c r="G6659" s="1050"/>
    </row>
    <row r="6660" spans="1:7">
      <c r="A6660" s="1079"/>
      <c r="B6660" s="1050"/>
      <c r="C6660" s="1050"/>
      <c r="D6660" s="1050"/>
      <c r="E6660" s="1050"/>
      <c r="F6660" s="1050"/>
      <c r="G6660" s="1050"/>
    </row>
    <row r="6661" spans="1:7">
      <c r="A6661" s="1079"/>
      <c r="B6661" s="1050"/>
      <c r="C6661" s="1050"/>
      <c r="D6661" s="1050"/>
      <c r="E6661" s="1050"/>
      <c r="F6661" s="1050"/>
      <c r="G6661" s="1050"/>
    </row>
    <row r="6662" spans="1:7">
      <c r="A6662" s="1079"/>
      <c r="B6662" s="1050"/>
      <c r="C6662" s="1050"/>
      <c r="D6662" s="1050"/>
      <c r="E6662" s="1050"/>
      <c r="F6662" s="1050"/>
      <c r="G6662" s="1050"/>
    </row>
    <row r="6663" spans="1:7">
      <c r="A6663" s="1079"/>
      <c r="B6663" s="1050"/>
      <c r="C6663" s="1050"/>
      <c r="D6663" s="1050"/>
      <c r="E6663" s="1050"/>
      <c r="F6663" s="1050"/>
      <c r="G6663" s="1050"/>
    </row>
    <row r="6664" spans="1:7">
      <c r="A6664" s="1079"/>
      <c r="B6664" s="1050"/>
      <c r="C6664" s="1050"/>
      <c r="D6664" s="1050"/>
      <c r="E6664" s="1050"/>
      <c r="F6664" s="1050"/>
      <c r="G6664" s="1050"/>
    </row>
    <row r="6665" spans="1:7">
      <c r="A6665" s="1079"/>
      <c r="B6665" s="1050"/>
      <c r="C6665" s="1050"/>
      <c r="D6665" s="1050"/>
      <c r="E6665" s="1050"/>
      <c r="F6665" s="1050"/>
      <c r="G6665" s="1050"/>
    </row>
    <row r="6666" spans="1:7">
      <c r="A6666" s="1079"/>
      <c r="B6666" s="1050"/>
      <c r="C6666" s="1050"/>
      <c r="D6666" s="1050"/>
      <c r="E6666" s="1050"/>
      <c r="F6666" s="1050"/>
      <c r="G6666" s="1050"/>
    </row>
    <row r="6667" spans="1:7">
      <c r="A6667" s="1079"/>
      <c r="B6667" s="1050"/>
      <c r="C6667" s="1050"/>
      <c r="D6667" s="1050"/>
      <c r="E6667" s="1050"/>
      <c r="F6667" s="1050"/>
      <c r="G6667" s="1050"/>
    </row>
    <row r="6668" spans="1:7">
      <c r="A6668" s="1079"/>
      <c r="B6668" s="1050"/>
      <c r="C6668" s="1050"/>
      <c r="D6668" s="1050"/>
      <c r="E6668" s="1050"/>
      <c r="F6668" s="1050"/>
      <c r="G6668" s="1050"/>
    </row>
    <row r="6669" spans="1:7">
      <c r="A6669" s="1079"/>
      <c r="B6669" s="1050"/>
      <c r="C6669" s="1050"/>
      <c r="D6669" s="1050"/>
      <c r="E6669" s="1050"/>
      <c r="F6669" s="1050"/>
      <c r="G6669" s="1050"/>
    </row>
    <row r="6670" spans="1:7">
      <c r="A6670" s="1079"/>
      <c r="B6670" s="1050"/>
      <c r="C6670" s="1050"/>
      <c r="D6670" s="1050"/>
      <c r="E6670" s="1050"/>
      <c r="F6670" s="1050"/>
      <c r="G6670" s="1050"/>
    </row>
    <row r="6671" spans="1:7">
      <c r="A6671" s="1079"/>
      <c r="B6671" s="1050"/>
      <c r="C6671" s="1050"/>
      <c r="D6671" s="1050"/>
      <c r="E6671" s="1050"/>
      <c r="F6671" s="1050"/>
      <c r="G6671" s="1050"/>
    </row>
    <row r="6672" spans="1:7">
      <c r="A6672" s="1079"/>
      <c r="B6672" s="1050"/>
      <c r="C6672" s="1050"/>
      <c r="D6672" s="1050"/>
      <c r="E6672" s="1050"/>
      <c r="F6672" s="1050"/>
      <c r="G6672" s="1050"/>
    </row>
    <row r="6673" spans="1:7">
      <c r="A6673" s="1079"/>
      <c r="B6673" s="1050"/>
      <c r="C6673" s="1050"/>
      <c r="D6673" s="1050"/>
      <c r="E6673" s="1050"/>
      <c r="F6673" s="1050"/>
      <c r="G6673" s="1050"/>
    </row>
    <row r="6674" spans="1:7">
      <c r="A6674" s="1079"/>
      <c r="B6674" s="1050"/>
      <c r="C6674" s="1050"/>
      <c r="D6674" s="1050"/>
      <c r="E6674" s="1050"/>
      <c r="F6674" s="1050"/>
      <c r="G6674" s="1050"/>
    </row>
    <row r="6675" spans="1:7">
      <c r="A6675" s="1079"/>
      <c r="B6675" s="1050"/>
      <c r="C6675" s="1050"/>
      <c r="D6675" s="1050"/>
      <c r="E6675" s="1050"/>
      <c r="F6675" s="1050"/>
      <c r="G6675" s="1050"/>
    </row>
    <row r="6676" spans="1:7">
      <c r="A6676" s="1079"/>
      <c r="B6676" s="1050"/>
      <c r="C6676" s="1050"/>
      <c r="D6676" s="1050"/>
      <c r="E6676" s="1050"/>
      <c r="F6676" s="1050"/>
      <c r="G6676" s="1050"/>
    </row>
    <row r="6677" spans="1:7">
      <c r="A6677" s="1079"/>
      <c r="B6677" s="1050"/>
      <c r="C6677" s="1050"/>
      <c r="D6677" s="1050"/>
      <c r="E6677" s="1050"/>
      <c r="F6677" s="1050"/>
      <c r="G6677" s="1050"/>
    </row>
    <row r="6678" spans="1:7">
      <c r="A6678" s="1079"/>
      <c r="B6678" s="1050"/>
      <c r="C6678" s="1050"/>
      <c r="D6678" s="1050"/>
      <c r="E6678" s="1050"/>
      <c r="F6678" s="1050"/>
      <c r="G6678" s="1050"/>
    </row>
    <row r="6679" spans="1:7">
      <c r="A6679" s="1079"/>
      <c r="B6679" s="1050"/>
      <c r="C6679" s="1050"/>
      <c r="D6679" s="1050"/>
      <c r="E6679" s="1050"/>
      <c r="F6679" s="1050"/>
      <c r="G6679" s="1050"/>
    </row>
    <row r="6680" spans="1:7">
      <c r="A6680" s="1079"/>
      <c r="B6680" s="1050"/>
      <c r="C6680" s="1050"/>
      <c r="D6680" s="1050"/>
      <c r="E6680" s="1050"/>
      <c r="F6680" s="1050"/>
      <c r="G6680" s="1050"/>
    </row>
    <row r="6681" spans="1:7">
      <c r="A6681" s="1079"/>
      <c r="B6681" s="1050"/>
      <c r="C6681" s="1050"/>
      <c r="D6681" s="1050"/>
      <c r="E6681" s="1050"/>
      <c r="F6681" s="1050"/>
      <c r="G6681" s="1050"/>
    </row>
    <row r="6682" spans="1:7">
      <c r="A6682" s="1079"/>
      <c r="B6682" s="1050"/>
      <c r="C6682" s="1050"/>
      <c r="D6682" s="1050"/>
      <c r="E6682" s="1050"/>
      <c r="F6682" s="1050"/>
      <c r="G6682" s="1050"/>
    </row>
    <row r="6683" spans="1:7">
      <c r="A6683" s="1079"/>
      <c r="B6683" s="1050"/>
      <c r="C6683" s="1050"/>
      <c r="D6683" s="1050"/>
      <c r="E6683" s="1050"/>
      <c r="F6683" s="1050"/>
      <c r="G6683" s="1050"/>
    </row>
    <row r="6684" spans="1:7">
      <c r="A6684" s="1079"/>
      <c r="B6684" s="1050"/>
      <c r="C6684" s="1050"/>
      <c r="D6684" s="1050"/>
      <c r="E6684" s="1050"/>
      <c r="F6684" s="1050"/>
      <c r="G6684" s="1050"/>
    </row>
    <row r="6685" spans="1:7">
      <c r="A6685" s="1079"/>
      <c r="B6685" s="1050"/>
      <c r="C6685" s="1050"/>
      <c r="D6685" s="1050"/>
      <c r="E6685" s="1050"/>
      <c r="F6685" s="1050"/>
      <c r="G6685" s="1050"/>
    </row>
    <row r="6686" spans="1:7">
      <c r="A6686" s="1079"/>
      <c r="B6686" s="1050"/>
      <c r="C6686" s="1050"/>
      <c r="D6686" s="1050"/>
      <c r="E6686" s="1050"/>
      <c r="F6686" s="1050"/>
      <c r="G6686" s="1050"/>
    </row>
    <row r="6687" spans="1:7">
      <c r="A6687" s="1079"/>
      <c r="B6687" s="1050"/>
      <c r="C6687" s="1050"/>
      <c r="D6687" s="1050"/>
      <c r="E6687" s="1050"/>
      <c r="F6687" s="1050"/>
      <c r="G6687" s="1050"/>
    </row>
    <row r="6688" spans="1:7">
      <c r="A6688" s="1079"/>
      <c r="B6688" s="1050"/>
      <c r="C6688" s="1050"/>
      <c r="D6688" s="1050"/>
      <c r="E6688" s="1050"/>
      <c r="F6688" s="1050"/>
      <c r="G6688" s="1050"/>
    </row>
    <row r="6689" spans="1:7">
      <c r="A6689" s="1079"/>
      <c r="B6689" s="1050"/>
      <c r="C6689" s="1050"/>
      <c r="D6689" s="1050"/>
      <c r="E6689" s="1050"/>
      <c r="F6689" s="1050"/>
      <c r="G6689" s="1050"/>
    </row>
    <row r="6690" spans="1:7">
      <c r="A6690" s="1079"/>
      <c r="B6690" s="1050"/>
      <c r="C6690" s="1050"/>
      <c r="D6690" s="1050"/>
      <c r="E6690" s="1050"/>
      <c r="F6690" s="1050"/>
      <c r="G6690" s="1050"/>
    </row>
    <row r="6691" spans="1:7">
      <c r="A6691" s="1079"/>
      <c r="B6691" s="1050"/>
      <c r="C6691" s="1050"/>
      <c r="D6691" s="1050"/>
      <c r="E6691" s="1050"/>
      <c r="F6691" s="1050"/>
      <c r="G6691" s="1050"/>
    </row>
    <row r="6692" spans="1:7">
      <c r="A6692" s="1079"/>
      <c r="B6692" s="1050"/>
      <c r="C6692" s="1050"/>
      <c r="D6692" s="1050"/>
      <c r="E6692" s="1050"/>
      <c r="F6692" s="1050"/>
      <c r="G6692" s="1050"/>
    </row>
    <row r="6693" spans="1:7">
      <c r="A6693" s="1079"/>
      <c r="B6693" s="1050"/>
      <c r="C6693" s="1050"/>
      <c r="D6693" s="1050"/>
      <c r="E6693" s="1050"/>
      <c r="F6693" s="1050"/>
      <c r="G6693" s="1050"/>
    </row>
    <row r="6694" spans="1:7">
      <c r="A6694" s="1079"/>
      <c r="B6694" s="1050"/>
      <c r="C6694" s="1050"/>
      <c r="D6694" s="1050"/>
      <c r="E6694" s="1050"/>
      <c r="F6694" s="1050"/>
      <c r="G6694" s="1050"/>
    </row>
    <row r="6695" spans="1:7">
      <c r="A6695" s="1079"/>
      <c r="B6695" s="1050"/>
      <c r="C6695" s="1050"/>
      <c r="D6695" s="1050"/>
      <c r="E6695" s="1050"/>
      <c r="F6695" s="1050"/>
      <c r="G6695" s="1050"/>
    </row>
    <row r="6696" spans="1:7">
      <c r="A6696" s="1079"/>
      <c r="B6696" s="1050"/>
      <c r="C6696" s="1050"/>
      <c r="D6696" s="1050"/>
      <c r="E6696" s="1050"/>
      <c r="F6696" s="1050"/>
      <c r="G6696" s="1050"/>
    </row>
    <row r="6697" spans="1:7">
      <c r="A6697" s="1079"/>
      <c r="B6697" s="1050"/>
      <c r="C6697" s="1050"/>
      <c r="D6697" s="1050"/>
      <c r="E6697" s="1050"/>
      <c r="F6697" s="1050"/>
      <c r="G6697" s="1050"/>
    </row>
    <row r="6698" spans="1:7">
      <c r="A6698" s="1079"/>
      <c r="B6698" s="1050"/>
      <c r="C6698" s="1050"/>
      <c r="D6698" s="1050"/>
      <c r="E6698" s="1050"/>
      <c r="F6698" s="1050"/>
      <c r="G6698" s="1050"/>
    </row>
    <row r="6699" spans="1:7">
      <c r="A6699" s="1079"/>
      <c r="B6699" s="1050"/>
      <c r="C6699" s="1050"/>
      <c r="D6699" s="1050"/>
      <c r="E6699" s="1050"/>
      <c r="F6699" s="1050"/>
      <c r="G6699" s="1050"/>
    </row>
    <row r="6700" spans="1:7">
      <c r="A6700" s="1079"/>
      <c r="B6700" s="1050"/>
      <c r="C6700" s="1050"/>
      <c r="D6700" s="1050"/>
      <c r="E6700" s="1050"/>
      <c r="F6700" s="1050"/>
      <c r="G6700" s="1050"/>
    </row>
    <row r="6701" spans="1:7">
      <c r="A6701" s="1079"/>
      <c r="B6701" s="1050"/>
      <c r="C6701" s="1050"/>
      <c r="D6701" s="1050"/>
      <c r="E6701" s="1050"/>
      <c r="F6701" s="1050"/>
      <c r="G6701" s="1050"/>
    </row>
    <row r="6702" spans="1:7">
      <c r="A6702" s="1079"/>
      <c r="B6702" s="1050"/>
      <c r="C6702" s="1050"/>
      <c r="D6702" s="1050"/>
      <c r="E6702" s="1050"/>
      <c r="F6702" s="1050"/>
      <c r="G6702" s="1050"/>
    </row>
    <row r="6703" spans="1:7">
      <c r="A6703" s="1079"/>
      <c r="B6703" s="1050"/>
      <c r="C6703" s="1050"/>
      <c r="D6703" s="1050"/>
      <c r="E6703" s="1050"/>
      <c r="F6703" s="1050"/>
      <c r="G6703" s="1050"/>
    </row>
    <row r="6704" spans="1:7">
      <c r="A6704" s="1079"/>
      <c r="B6704" s="1050"/>
      <c r="C6704" s="1050"/>
      <c r="D6704" s="1050"/>
      <c r="E6704" s="1050"/>
      <c r="F6704" s="1050"/>
      <c r="G6704" s="1050"/>
    </row>
    <row r="6705" spans="1:7">
      <c r="A6705" s="1079"/>
      <c r="B6705" s="1050"/>
      <c r="C6705" s="1050"/>
      <c r="D6705" s="1050"/>
      <c r="E6705" s="1050"/>
      <c r="F6705" s="1050"/>
      <c r="G6705" s="1050"/>
    </row>
    <row r="6706" spans="1:7">
      <c r="A6706" s="1079"/>
      <c r="B6706" s="1050"/>
      <c r="C6706" s="1050"/>
      <c r="D6706" s="1050"/>
      <c r="E6706" s="1050"/>
      <c r="F6706" s="1050"/>
      <c r="G6706" s="1050"/>
    </row>
    <row r="6707" spans="1:7">
      <c r="A6707" s="1079"/>
      <c r="B6707" s="1050"/>
      <c r="C6707" s="1050"/>
      <c r="D6707" s="1050"/>
      <c r="E6707" s="1050"/>
      <c r="F6707" s="1050"/>
      <c r="G6707" s="1050"/>
    </row>
    <row r="6708" spans="1:7">
      <c r="A6708" s="1079"/>
      <c r="B6708" s="1050"/>
      <c r="C6708" s="1050"/>
      <c r="D6708" s="1050"/>
      <c r="E6708" s="1050"/>
      <c r="F6708" s="1050"/>
      <c r="G6708" s="1050"/>
    </row>
    <row r="6709" spans="1:7">
      <c r="A6709" s="1079"/>
      <c r="B6709" s="1050"/>
      <c r="C6709" s="1050"/>
      <c r="D6709" s="1050"/>
      <c r="E6709" s="1050"/>
      <c r="F6709" s="1050"/>
      <c r="G6709" s="1050"/>
    </row>
    <row r="6710" spans="1:7">
      <c r="A6710" s="1079"/>
      <c r="B6710" s="1050"/>
      <c r="C6710" s="1050"/>
      <c r="D6710" s="1050"/>
      <c r="E6710" s="1050"/>
      <c r="F6710" s="1050"/>
      <c r="G6710" s="1050"/>
    </row>
    <row r="6711" spans="1:7">
      <c r="A6711" s="1079"/>
      <c r="B6711" s="1050"/>
      <c r="C6711" s="1050"/>
      <c r="D6711" s="1050"/>
      <c r="E6711" s="1050"/>
      <c r="F6711" s="1050"/>
      <c r="G6711" s="1050"/>
    </row>
    <row r="6712" spans="1:7">
      <c r="A6712" s="1079"/>
      <c r="B6712" s="1050"/>
      <c r="C6712" s="1050"/>
      <c r="D6712" s="1050"/>
      <c r="E6712" s="1050"/>
      <c r="F6712" s="1050"/>
      <c r="G6712" s="1050"/>
    </row>
    <row r="6713" spans="1:7">
      <c r="A6713" s="1079"/>
      <c r="B6713" s="1050"/>
      <c r="C6713" s="1050"/>
      <c r="D6713" s="1050"/>
      <c r="E6713" s="1050"/>
      <c r="F6713" s="1050"/>
      <c r="G6713" s="1050"/>
    </row>
    <row r="6714" spans="1:7">
      <c r="A6714" s="1079"/>
      <c r="B6714" s="1050"/>
      <c r="C6714" s="1050"/>
      <c r="D6714" s="1050"/>
      <c r="E6714" s="1050"/>
      <c r="F6714" s="1050"/>
      <c r="G6714" s="1050"/>
    </row>
    <row r="6715" spans="1:7">
      <c r="A6715" s="1079"/>
      <c r="B6715" s="1050"/>
      <c r="C6715" s="1050"/>
      <c r="D6715" s="1050"/>
      <c r="E6715" s="1050"/>
      <c r="F6715" s="1050"/>
      <c r="G6715" s="1050"/>
    </row>
    <row r="6716" spans="1:7">
      <c r="A6716" s="1079"/>
      <c r="B6716" s="1050"/>
      <c r="C6716" s="1050"/>
      <c r="D6716" s="1050"/>
      <c r="E6716" s="1050"/>
      <c r="F6716" s="1050"/>
      <c r="G6716" s="1050"/>
    </row>
    <row r="6717" spans="1:7">
      <c r="A6717" s="1079"/>
      <c r="B6717" s="1050"/>
      <c r="C6717" s="1050"/>
      <c r="D6717" s="1050"/>
      <c r="E6717" s="1050"/>
      <c r="F6717" s="1050"/>
      <c r="G6717" s="1050"/>
    </row>
    <row r="6718" spans="1:7">
      <c r="A6718" s="1079"/>
      <c r="B6718" s="1050"/>
      <c r="C6718" s="1050"/>
      <c r="D6718" s="1050"/>
      <c r="E6718" s="1050"/>
      <c r="F6718" s="1050"/>
      <c r="G6718" s="1050"/>
    </row>
    <row r="6719" spans="1:7">
      <c r="A6719" s="1079"/>
      <c r="B6719" s="1050"/>
      <c r="C6719" s="1050"/>
      <c r="D6719" s="1050"/>
      <c r="E6719" s="1050"/>
      <c r="F6719" s="1050"/>
      <c r="G6719" s="1050"/>
    </row>
    <row r="6720" spans="1:7">
      <c r="A6720" s="1079"/>
      <c r="B6720" s="1050"/>
      <c r="C6720" s="1050"/>
      <c r="D6720" s="1050"/>
      <c r="E6720" s="1050"/>
      <c r="F6720" s="1050"/>
      <c r="G6720" s="1050"/>
    </row>
    <row r="6721" spans="1:7">
      <c r="A6721" s="1079"/>
      <c r="B6721" s="1050"/>
      <c r="C6721" s="1050"/>
      <c r="D6721" s="1050"/>
      <c r="E6721" s="1050"/>
      <c r="F6721" s="1050"/>
      <c r="G6721" s="1050"/>
    </row>
    <row r="6722" spans="1:7">
      <c r="A6722" s="1079"/>
      <c r="B6722" s="1050"/>
      <c r="C6722" s="1050"/>
      <c r="D6722" s="1050"/>
      <c r="E6722" s="1050"/>
      <c r="F6722" s="1050"/>
      <c r="G6722" s="1050"/>
    </row>
    <row r="6723" spans="1:7">
      <c r="A6723" s="1079"/>
      <c r="B6723" s="1050"/>
      <c r="C6723" s="1050"/>
      <c r="D6723" s="1050"/>
      <c r="E6723" s="1050"/>
      <c r="F6723" s="1050"/>
      <c r="G6723" s="1050"/>
    </row>
    <row r="6724" spans="1:7">
      <c r="A6724" s="1079"/>
      <c r="B6724" s="1050"/>
      <c r="C6724" s="1050"/>
      <c r="D6724" s="1050"/>
      <c r="E6724" s="1050"/>
      <c r="F6724" s="1050"/>
      <c r="G6724" s="1050"/>
    </row>
    <row r="6725" spans="1:7">
      <c r="A6725" s="1079"/>
      <c r="B6725" s="1050"/>
      <c r="C6725" s="1050"/>
      <c r="D6725" s="1050"/>
      <c r="E6725" s="1050"/>
      <c r="F6725" s="1050"/>
      <c r="G6725" s="1050"/>
    </row>
    <row r="6726" spans="1:7">
      <c r="A6726" s="1079"/>
      <c r="B6726" s="1050"/>
      <c r="C6726" s="1050"/>
      <c r="D6726" s="1050"/>
      <c r="E6726" s="1050"/>
      <c r="F6726" s="1050"/>
      <c r="G6726" s="1050"/>
    </row>
    <row r="6727" spans="1:7">
      <c r="A6727" s="1079"/>
      <c r="B6727" s="1050"/>
      <c r="C6727" s="1050"/>
      <c r="D6727" s="1050"/>
      <c r="E6727" s="1050"/>
      <c r="F6727" s="1050"/>
      <c r="G6727" s="1050"/>
    </row>
    <row r="6728" spans="1:7">
      <c r="A6728" s="1079"/>
      <c r="B6728" s="1050"/>
      <c r="C6728" s="1050"/>
      <c r="D6728" s="1050"/>
      <c r="E6728" s="1050"/>
      <c r="F6728" s="1050"/>
      <c r="G6728" s="1050"/>
    </row>
    <row r="6729" spans="1:7">
      <c r="A6729" s="1079"/>
      <c r="B6729" s="1050"/>
      <c r="C6729" s="1050"/>
      <c r="D6729" s="1050"/>
      <c r="E6729" s="1050"/>
      <c r="F6729" s="1050"/>
      <c r="G6729" s="1050"/>
    </row>
    <row r="6730" spans="1:7">
      <c r="A6730" s="1079"/>
      <c r="B6730" s="1050"/>
      <c r="C6730" s="1050"/>
      <c r="D6730" s="1050"/>
      <c r="E6730" s="1050"/>
      <c r="F6730" s="1050"/>
      <c r="G6730" s="1050"/>
    </row>
    <row r="6731" spans="1:7">
      <c r="A6731" s="1079"/>
      <c r="B6731" s="1050"/>
      <c r="C6731" s="1050"/>
      <c r="D6731" s="1050"/>
      <c r="E6731" s="1050"/>
      <c r="F6731" s="1050"/>
      <c r="G6731" s="1050"/>
    </row>
    <row r="6732" spans="1:7">
      <c r="A6732" s="1079"/>
      <c r="B6732" s="1050"/>
      <c r="C6732" s="1050"/>
      <c r="D6732" s="1050"/>
      <c r="E6732" s="1050"/>
      <c r="F6732" s="1050"/>
      <c r="G6732" s="1050"/>
    </row>
    <row r="6733" spans="1:7">
      <c r="A6733" s="1079"/>
      <c r="B6733" s="1050"/>
      <c r="C6733" s="1050"/>
      <c r="D6733" s="1050"/>
      <c r="E6733" s="1050"/>
      <c r="F6733" s="1050"/>
      <c r="G6733" s="1050"/>
    </row>
    <row r="6734" spans="1:7">
      <c r="A6734" s="1079"/>
      <c r="B6734" s="1050"/>
      <c r="C6734" s="1050"/>
      <c r="D6734" s="1050"/>
      <c r="E6734" s="1050"/>
      <c r="F6734" s="1050"/>
      <c r="G6734" s="1050"/>
    </row>
    <row r="6735" spans="1:7">
      <c r="A6735" s="1079"/>
      <c r="B6735" s="1050"/>
      <c r="C6735" s="1050"/>
      <c r="D6735" s="1050"/>
      <c r="E6735" s="1050"/>
      <c r="F6735" s="1050"/>
      <c r="G6735" s="1050"/>
    </row>
    <row r="6736" spans="1:7">
      <c r="A6736" s="1079"/>
      <c r="B6736" s="1050"/>
      <c r="C6736" s="1050"/>
      <c r="D6736" s="1050"/>
      <c r="E6736" s="1050"/>
      <c r="F6736" s="1050"/>
      <c r="G6736" s="1050"/>
    </row>
    <row r="6737" spans="1:7">
      <c r="A6737" s="1079"/>
      <c r="B6737" s="1050"/>
      <c r="C6737" s="1050"/>
      <c r="D6737" s="1050"/>
      <c r="E6737" s="1050"/>
      <c r="F6737" s="1050"/>
      <c r="G6737" s="1050"/>
    </row>
    <row r="6738" spans="1:7">
      <c r="A6738" s="1079"/>
      <c r="B6738" s="1050"/>
      <c r="C6738" s="1050"/>
      <c r="D6738" s="1050"/>
      <c r="E6738" s="1050"/>
      <c r="F6738" s="1050"/>
      <c r="G6738" s="1050"/>
    </row>
    <row r="6739" spans="1:7">
      <c r="A6739" s="1079"/>
      <c r="B6739" s="1050"/>
      <c r="C6739" s="1050"/>
      <c r="D6739" s="1050"/>
      <c r="E6739" s="1050"/>
      <c r="F6739" s="1050"/>
      <c r="G6739" s="1050"/>
    </row>
    <row r="6740" spans="1:7">
      <c r="A6740" s="1079"/>
      <c r="B6740" s="1050"/>
      <c r="C6740" s="1050"/>
      <c r="D6740" s="1050"/>
      <c r="E6740" s="1050"/>
      <c r="F6740" s="1050"/>
      <c r="G6740" s="1050"/>
    </row>
    <row r="6741" spans="1:7">
      <c r="A6741" s="1079"/>
      <c r="B6741" s="1050"/>
      <c r="C6741" s="1050"/>
      <c r="D6741" s="1050"/>
      <c r="E6741" s="1050"/>
      <c r="F6741" s="1050"/>
      <c r="G6741" s="1050"/>
    </row>
    <row r="6742" spans="1:7">
      <c r="A6742" s="1079"/>
      <c r="B6742" s="1050"/>
      <c r="C6742" s="1050"/>
      <c r="D6742" s="1050"/>
      <c r="E6742" s="1050"/>
      <c r="F6742" s="1050"/>
      <c r="G6742" s="1050"/>
    </row>
    <row r="6743" spans="1:7">
      <c r="A6743" s="1079"/>
      <c r="B6743" s="1050"/>
      <c r="C6743" s="1050"/>
      <c r="D6743" s="1050"/>
      <c r="E6743" s="1050"/>
      <c r="F6743" s="1050"/>
      <c r="G6743" s="1050"/>
    </row>
    <row r="6744" spans="1:7">
      <c r="A6744" s="1079"/>
      <c r="B6744" s="1050"/>
      <c r="C6744" s="1050"/>
      <c r="D6744" s="1050"/>
      <c r="E6744" s="1050"/>
      <c r="F6744" s="1050"/>
      <c r="G6744" s="1050"/>
    </row>
    <row r="6745" spans="1:7">
      <c r="A6745" s="1079"/>
      <c r="B6745" s="1050"/>
      <c r="C6745" s="1050"/>
      <c r="D6745" s="1050"/>
      <c r="E6745" s="1050"/>
      <c r="F6745" s="1050"/>
      <c r="G6745" s="1050"/>
    </row>
    <row r="6746" spans="1:7">
      <c r="A6746" s="1079"/>
      <c r="B6746" s="1050"/>
      <c r="C6746" s="1050"/>
      <c r="D6746" s="1050"/>
      <c r="E6746" s="1050"/>
      <c r="F6746" s="1050"/>
      <c r="G6746" s="1050"/>
    </row>
    <row r="6747" spans="1:7">
      <c r="A6747" s="1079"/>
      <c r="B6747" s="1050"/>
      <c r="C6747" s="1050"/>
      <c r="D6747" s="1050"/>
      <c r="E6747" s="1050"/>
      <c r="F6747" s="1050"/>
      <c r="G6747" s="1050"/>
    </row>
    <row r="6748" spans="1:7">
      <c r="A6748" s="1079"/>
      <c r="B6748" s="1050"/>
      <c r="C6748" s="1050"/>
      <c r="D6748" s="1050"/>
      <c r="E6748" s="1050"/>
      <c r="F6748" s="1050"/>
      <c r="G6748" s="1050"/>
    </row>
    <row r="6749" spans="1:7">
      <c r="A6749" s="1079"/>
      <c r="B6749" s="1050"/>
      <c r="C6749" s="1050"/>
      <c r="D6749" s="1050"/>
      <c r="E6749" s="1050"/>
      <c r="F6749" s="1050"/>
      <c r="G6749" s="1050"/>
    </row>
    <row r="6750" spans="1:7">
      <c r="A6750" s="1079"/>
      <c r="B6750" s="1050"/>
      <c r="C6750" s="1050"/>
      <c r="D6750" s="1050"/>
      <c r="E6750" s="1050"/>
      <c r="F6750" s="1050"/>
      <c r="G6750" s="1050"/>
    </row>
    <row r="6751" spans="1:7">
      <c r="A6751" s="1079"/>
      <c r="B6751" s="1050"/>
      <c r="C6751" s="1050"/>
      <c r="D6751" s="1050"/>
      <c r="E6751" s="1050"/>
      <c r="F6751" s="1050"/>
      <c r="G6751" s="1050"/>
    </row>
    <row r="6752" spans="1:7">
      <c r="A6752" s="1079"/>
      <c r="B6752" s="1050"/>
      <c r="C6752" s="1050"/>
      <c r="D6752" s="1050"/>
      <c r="E6752" s="1050"/>
      <c r="F6752" s="1050"/>
      <c r="G6752" s="1050"/>
    </row>
    <row r="6753" spans="1:7">
      <c r="A6753" s="1079"/>
      <c r="B6753" s="1050"/>
      <c r="C6753" s="1050"/>
      <c r="D6753" s="1050"/>
      <c r="E6753" s="1050"/>
      <c r="F6753" s="1050"/>
      <c r="G6753" s="1050"/>
    </row>
    <row r="6754" spans="1:7">
      <c r="A6754" s="1079"/>
      <c r="B6754" s="1050"/>
      <c r="C6754" s="1050"/>
      <c r="D6754" s="1050"/>
      <c r="E6754" s="1050"/>
      <c r="F6754" s="1050"/>
      <c r="G6754" s="1050"/>
    </row>
    <row r="6755" spans="1:7">
      <c r="A6755" s="1079"/>
      <c r="B6755" s="1050"/>
      <c r="C6755" s="1050"/>
      <c r="D6755" s="1050"/>
      <c r="E6755" s="1050"/>
      <c r="F6755" s="1050"/>
      <c r="G6755" s="1050"/>
    </row>
    <row r="6756" spans="1:7">
      <c r="A6756" s="1079"/>
      <c r="B6756" s="1050"/>
      <c r="C6756" s="1050"/>
      <c r="D6756" s="1050"/>
      <c r="E6756" s="1050"/>
      <c r="F6756" s="1050"/>
      <c r="G6756" s="1050"/>
    </row>
    <row r="6757" spans="1:7">
      <c r="A6757" s="1079"/>
      <c r="B6757" s="1050"/>
      <c r="C6757" s="1050"/>
      <c r="D6757" s="1050"/>
      <c r="E6757" s="1050"/>
      <c r="F6757" s="1050"/>
      <c r="G6757" s="1050"/>
    </row>
    <row r="6758" spans="1:7">
      <c r="A6758" s="1079"/>
      <c r="B6758" s="1050"/>
      <c r="C6758" s="1050"/>
      <c r="D6758" s="1050"/>
      <c r="E6758" s="1050"/>
      <c r="F6758" s="1050"/>
      <c r="G6758" s="1050"/>
    </row>
    <row r="6759" spans="1:7">
      <c r="A6759" s="1079"/>
      <c r="B6759" s="1050"/>
      <c r="C6759" s="1050"/>
      <c r="D6759" s="1050"/>
      <c r="E6759" s="1050"/>
      <c r="F6759" s="1050"/>
      <c r="G6759" s="1050"/>
    </row>
    <row r="6760" spans="1:7">
      <c r="A6760" s="1079"/>
      <c r="B6760" s="1050"/>
      <c r="C6760" s="1050"/>
      <c r="D6760" s="1050"/>
      <c r="E6760" s="1050"/>
      <c r="F6760" s="1050"/>
      <c r="G6760" s="1050"/>
    </row>
    <row r="6761" spans="1:7">
      <c r="A6761" s="1079"/>
      <c r="B6761" s="1050"/>
      <c r="C6761" s="1050"/>
      <c r="D6761" s="1050"/>
      <c r="E6761" s="1050"/>
      <c r="F6761" s="1050"/>
      <c r="G6761" s="1050"/>
    </row>
    <row r="6762" spans="1:7">
      <c r="A6762" s="1079"/>
      <c r="B6762" s="1050"/>
      <c r="C6762" s="1050"/>
      <c r="D6762" s="1050"/>
      <c r="E6762" s="1050"/>
      <c r="F6762" s="1050"/>
      <c r="G6762" s="1050"/>
    </row>
    <row r="6763" spans="1:7">
      <c r="A6763" s="1079"/>
      <c r="B6763" s="1050"/>
      <c r="C6763" s="1050"/>
      <c r="D6763" s="1050"/>
      <c r="E6763" s="1050"/>
      <c r="F6763" s="1050"/>
      <c r="G6763" s="1050"/>
    </row>
    <row r="6764" spans="1:7">
      <c r="A6764" s="1079"/>
      <c r="B6764" s="1050"/>
      <c r="C6764" s="1050"/>
      <c r="D6764" s="1050"/>
      <c r="E6764" s="1050"/>
      <c r="F6764" s="1050"/>
      <c r="G6764" s="1050"/>
    </row>
    <row r="6765" spans="1:7">
      <c r="A6765" s="1079"/>
      <c r="B6765" s="1050"/>
      <c r="C6765" s="1050"/>
      <c r="D6765" s="1050"/>
      <c r="E6765" s="1050"/>
      <c r="F6765" s="1050"/>
      <c r="G6765" s="1050"/>
    </row>
    <row r="6766" spans="1:7">
      <c r="A6766" s="1079"/>
      <c r="B6766" s="1050"/>
      <c r="C6766" s="1050"/>
      <c r="D6766" s="1050"/>
      <c r="E6766" s="1050"/>
      <c r="F6766" s="1050"/>
      <c r="G6766" s="1050"/>
    </row>
    <row r="6767" spans="1:7">
      <c r="A6767" s="1079"/>
      <c r="B6767" s="1050"/>
      <c r="C6767" s="1050"/>
      <c r="D6767" s="1050"/>
      <c r="E6767" s="1050"/>
      <c r="F6767" s="1050"/>
      <c r="G6767" s="1050"/>
    </row>
    <row r="6768" spans="1:7">
      <c r="A6768" s="1079"/>
      <c r="B6768" s="1050"/>
      <c r="C6768" s="1050"/>
      <c r="D6768" s="1050"/>
      <c r="E6768" s="1050"/>
      <c r="F6768" s="1050"/>
      <c r="G6768" s="1050"/>
    </row>
    <row r="6769" spans="1:7">
      <c r="A6769" s="1079"/>
      <c r="B6769" s="1050"/>
      <c r="C6769" s="1050"/>
      <c r="D6769" s="1050"/>
      <c r="E6769" s="1050"/>
      <c r="F6769" s="1050"/>
      <c r="G6769" s="1050"/>
    </row>
    <row r="6770" spans="1:7">
      <c r="A6770" s="1079"/>
      <c r="B6770" s="1050"/>
      <c r="C6770" s="1050"/>
      <c r="D6770" s="1050"/>
      <c r="E6770" s="1050"/>
      <c r="F6770" s="1050"/>
      <c r="G6770" s="1050"/>
    </row>
    <row r="6771" spans="1:7">
      <c r="A6771" s="1079"/>
      <c r="B6771" s="1050"/>
      <c r="C6771" s="1050"/>
      <c r="D6771" s="1050"/>
      <c r="E6771" s="1050"/>
      <c r="F6771" s="1050"/>
      <c r="G6771" s="1050"/>
    </row>
    <row r="6772" spans="1:7">
      <c r="A6772" s="1079"/>
      <c r="B6772" s="1050"/>
      <c r="C6772" s="1050"/>
      <c r="D6772" s="1050"/>
      <c r="E6772" s="1050"/>
      <c r="F6772" s="1050"/>
      <c r="G6772" s="1050"/>
    </row>
    <row r="6773" spans="1:7">
      <c r="A6773" s="1079"/>
      <c r="B6773" s="1050"/>
      <c r="C6773" s="1050"/>
      <c r="D6773" s="1050"/>
      <c r="E6773" s="1050"/>
      <c r="F6773" s="1050"/>
      <c r="G6773" s="1050"/>
    </row>
    <row r="6774" spans="1:7">
      <c r="A6774" s="1079"/>
      <c r="B6774" s="1050"/>
      <c r="C6774" s="1050"/>
      <c r="D6774" s="1050"/>
      <c r="E6774" s="1050"/>
      <c r="F6774" s="1050"/>
      <c r="G6774" s="1050"/>
    </row>
    <row r="6775" spans="1:7">
      <c r="A6775" s="1079"/>
      <c r="B6775" s="1050"/>
      <c r="C6775" s="1050"/>
      <c r="D6775" s="1050"/>
      <c r="E6775" s="1050"/>
      <c r="F6775" s="1050"/>
      <c r="G6775" s="1050"/>
    </row>
    <row r="6776" spans="1:7">
      <c r="A6776" s="1079"/>
      <c r="B6776" s="1050"/>
      <c r="C6776" s="1050"/>
      <c r="D6776" s="1050"/>
      <c r="E6776" s="1050"/>
      <c r="F6776" s="1050"/>
      <c r="G6776" s="1050"/>
    </row>
    <row r="6777" spans="1:7">
      <c r="A6777" s="1079"/>
      <c r="B6777" s="1050"/>
      <c r="C6777" s="1050"/>
      <c r="D6777" s="1050"/>
      <c r="E6777" s="1050"/>
      <c r="F6777" s="1050"/>
      <c r="G6777" s="1050"/>
    </row>
    <row r="6778" spans="1:7">
      <c r="A6778" s="1079"/>
      <c r="B6778" s="1050"/>
      <c r="C6778" s="1050"/>
      <c r="D6778" s="1050"/>
      <c r="E6778" s="1050"/>
      <c r="F6778" s="1050"/>
      <c r="G6778" s="1050"/>
    </row>
    <row r="6779" spans="1:7">
      <c r="A6779" s="1079"/>
      <c r="B6779" s="1050"/>
      <c r="C6779" s="1050"/>
      <c r="D6779" s="1050"/>
      <c r="E6779" s="1050"/>
      <c r="F6779" s="1050"/>
      <c r="G6779" s="1050"/>
    </row>
    <row r="6780" spans="1:7">
      <c r="A6780" s="1079"/>
      <c r="B6780" s="1050"/>
      <c r="C6780" s="1050"/>
      <c r="D6780" s="1050"/>
      <c r="E6780" s="1050"/>
      <c r="F6780" s="1050"/>
      <c r="G6780" s="1050"/>
    </row>
    <row r="6781" spans="1:7">
      <c r="A6781" s="1079"/>
      <c r="B6781" s="1050"/>
      <c r="C6781" s="1050"/>
      <c r="D6781" s="1050"/>
      <c r="E6781" s="1050"/>
      <c r="F6781" s="1050"/>
      <c r="G6781" s="1050"/>
    </row>
    <row r="6782" spans="1:7">
      <c r="A6782" s="1079"/>
      <c r="B6782" s="1050"/>
      <c r="C6782" s="1050"/>
      <c r="D6782" s="1050"/>
      <c r="E6782" s="1050"/>
      <c r="F6782" s="1050"/>
      <c r="G6782" s="1050"/>
    </row>
    <row r="6783" spans="1:7">
      <c r="A6783" s="1079"/>
      <c r="B6783" s="1050"/>
      <c r="C6783" s="1050"/>
      <c r="D6783" s="1050"/>
      <c r="E6783" s="1050"/>
      <c r="F6783" s="1050"/>
      <c r="G6783" s="1050"/>
    </row>
    <row r="6784" spans="1:7">
      <c r="A6784" s="1079"/>
      <c r="B6784" s="1050"/>
      <c r="C6784" s="1050"/>
      <c r="D6784" s="1050"/>
      <c r="E6784" s="1050"/>
      <c r="F6784" s="1050"/>
      <c r="G6784" s="1050"/>
    </row>
    <row r="6785" spans="1:7">
      <c r="A6785" s="1079"/>
      <c r="B6785" s="1050"/>
      <c r="C6785" s="1050"/>
      <c r="D6785" s="1050"/>
      <c r="E6785" s="1050"/>
      <c r="F6785" s="1050"/>
      <c r="G6785" s="1050"/>
    </row>
    <row r="6786" spans="1:7">
      <c r="A6786" s="1079"/>
      <c r="B6786" s="1050"/>
      <c r="C6786" s="1050"/>
      <c r="D6786" s="1050"/>
      <c r="E6786" s="1050"/>
      <c r="F6786" s="1050"/>
      <c r="G6786" s="1050"/>
    </row>
    <row r="6787" spans="1:7">
      <c r="A6787" s="1079"/>
      <c r="B6787" s="1050"/>
      <c r="C6787" s="1050"/>
      <c r="D6787" s="1050"/>
      <c r="E6787" s="1050"/>
      <c r="F6787" s="1050"/>
      <c r="G6787" s="1050"/>
    </row>
    <row r="6788" spans="1:7">
      <c r="A6788" s="1079"/>
      <c r="B6788" s="1050"/>
      <c r="C6788" s="1050"/>
      <c r="D6788" s="1050"/>
      <c r="E6788" s="1050"/>
      <c r="F6788" s="1050"/>
      <c r="G6788" s="1050"/>
    </row>
    <row r="6789" spans="1:7">
      <c r="A6789" s="1079"/>
      <c r="B6789" s="1050"/>
      <c r="C6789" s="1050"/>
      <c r="D6789" s="1050"/>
      <c r="E6789" s="1050"/>
      <c r="F6789" s="1050"/>
      <c r="G6789" s="1050"/>
    </row>
    <row r="6790" spans="1:7">
      <c r="A6790" s="1079"/>
      <c r="B6790" s="1050"/>
      <c r="C6790" s="1050"/>
      <c r="D6790" s="1050"/>
      <c r="E6790" s="1050"/>
      <c r="F6790" s="1050"/>
      <c r="G6790" s="1050"/>
    </row>
    <row r="6791" spans="1:7">
      <c r="A6791" s="1079"/>
      <c r="B6791" s="1050"/>
      <c r="C6791" s="1050"/>
      <c r="D6791" s="1050"/>
      <c r="E6791" s="1050"/>
      <c r="F6791" s="1050"/>
      <c r="G6791" s="1050"/>
    </row>
    <row r="6792" spans="1:7">
      <c r="A6792" s="1079"/>
      <c r="B6792" s="1050"/>
      <c r="C6792" s="1050"/>
      <c r="D6792" s="1050"/>
      <c r="E6792" s="1050"/>
      <c r="F6792" s="1050"/>
      <c r="G6792" s="1050"/>
    </row>
    <row r="6793" spans="1:7">
      <c r="A6793" s="1079"/>
      <c r="B6793" s="1050"/>
      <c r="C6793" s="1050"/>
      <c r="D6793" s="1050"/>
      <c r="E6793" s="1050"/>
      <c r="F6793" s="1050"/>
      <c r="G6793" s="1050"/>
    </row>
    <row r="6794" spans="1:7">
      <c r="A6794" s="1079"/>
      <c r="B6794" s="1050"/>
      <c r="C6794" s="1050"/>
      <c r="D6794" s="1050"/>
      <c r="E6794" s="1050"/>
      <c r="F6794" s="1050"/>
      <c r="G6794" s="1050"/>
    </row>
    <row r="6795" spans="1:7">
      <c r="A6795" s="1079"/>
      <c r="B6795" s="1050"/>
      <c r="C6795" s="1050"/>
      <c r="D6795" s="1050"/>
      <c r="E6795" s="1050"/>
      <c r="F6795" s="1050"/>
      <c r="G6795" s="1050"/>
    </row>
    <row r="6796" spans="1:7">
      <c r="A6796" s="1079"/>
      <c r="B6796" s="1050"/>
      <c r="C6796" s="1050"/>
      <c r="D6796" s="1050"/>
      <c r="E6796" s="1050"/>
      <c r="F6796" s="1050"/>
      <c r="G6796" s="1050"/>
    </row>
    <row r="6797" spans="1:7">
      <c r="A6797" s="1079"/>
      <c r="B6797" s="1050"/>
      <c r="C6797" s="1050"/>
      <c r="D6797" s="1050"/>
      <c r="E6797" s="1050"/>
      <c r="F6797" s="1050"/>
      <c r="G6797" s="1050"/>
    </row>
    <row r="6798" spans="1:7">
      <c r="A6798" s="1079"/>
      <c r="B6798" s="1050"/>
      <c r="C6798" s="1050"/>
      <c r="D6798" s="1050"/>
      <c r="E6798" s="1050"/>
      <c r="F6798" s="1050"/>
      <c r="G6798" s="1050"/>
    </row>
    <row r="6799" spans="1:7">
      <c r="A6799" s="1079"/>
      <c r="B6799" s="1050"/>
      <c r="C6799" s="1050"/>
      <c r="D6799" s="1050"/>
      <c r="E6799" s="1050"/>
      <c r="F6799" s="1050"/>
      <c r="G6799" s="1050"/>
    </row>
    <row r="6800" spans="1:7">
      <c r="A6800" s="1079"/>
      <c r="B6800" s="1050"/>
      <c r="C6800" s="1050"/>
      <c r="D6800" s="1050"/>
      <c r="E6800" s="1050"/>
      <c r="F6800" s="1050"/>
      <c r="G6800" s="1050"/>
    </row>
    <row r="6801" spans="1:7">
      <c r="A6801" s="1079"/>
      <c r="B6801" s="1050"/>
      <c r="C6801" s="1050"/>
      <c r="D6801" s="1050"/>
      <c r="E6801" s="1050"/>
      <c r="F6801" s="1050"/>
      <c r="G6801" s="1050"/>
    </row>
    <row r="6802" spans="1:7">
      <c r="A6802" s="1079"/>
      <c r="B6802" s="1050"/>
      <c r="C6802" s="1050"/>
      <c r="D6802" s="1050"/>
      <c r="E6802" s="1050"/>
      <c r="F6802" s="1050"/>
      <c r="G6802" s="1050"/>
    </row>
    <row r="6803" spans="1:7">
      <c r="A6803" s="1079"/>
      <c r="B6803" s="1050"/>
      <c r="C6803" s="1050"/>
      <c r="D6803" s="1050"/>
      <c r="E6803" s="1050"/>
      <c r="F6803" s="1050"/>
      <c r="G6803" s="1050"/>
    </row>
    <row r="6804" spans="1:7">
      <c r="A6804" s="1079"/>
      <c r="B6804" s="1050"/>
      <c r="C6804" s="1050"/>
      <c r="D6804" s="1050"/>
      <c r="E6804" s="1050"/>
      <c r="F6804" s="1050"/>
      <c r="G6804" s="1050"/>
    </row>
    <row r="6805" spans="1:7">
      <c r="A6805" s="1079"/>
      <c r="B6805" s="1050"/>
      <c r="C6805" s="1050"/>
      <c r="D6805" s="1050"/>
      <c r="E6805" s="1050"/>
      <c r="F6805" s="1050"/>
      <c r="G6805" s="1050"/>
    </row>
    <row r="6806" spans="1:7">
      <c r="A6806" s="1079"/>
      <c r="B6806" s="1050"/>
      <c r="C6806" s="1050"/>
      <c r="D6806" s="1050"/>
      <c r="E6806" s="1050"/>
      <c r="F6806" s="1050"/>
      <c r="G6806" s="1050"/>
    </row>
    <row r="6807" spans="1:7">
      <c r="A6807" s="1079"/>
      <c r="B6807" s="1050"/>
      <c r="C6807" s="1050"/>
      <c r="D6807" s="1050"/>
      <c r="E6807" s="1050"/>
      <c r="F6807" s="1050"/>
      <c r="G6807" s="1050"/>
    </row>
    <row r="6808" spans="1:7">
      <c r="A6808" s="1079"/>
      <c r="B6808" s="1050"/>
      <c r="C6808" s="1050"/>
      <c r="D6808" s="1050"/>
      <c r="E6808" s="1050"/>
      <c r="F6808" s="1050"/>
      <c r="G6808" s="1050"/>
    </row>
    <row r="6809" spans="1:7">
      <c r="A6809" s="1079"/>
      <c r="B6809" s="1050"/>
      <c r="C6809" s="1050"/>
      <c r="D6809" s="1050"/>
      <c r="E6809" s="1050"/>
      <c r="F6809" s="1050"/>
      <c r="G6809" s="1050"/>
    </row>
    <row r="6810" spans="1:7">
      <c r="A6810" s="1079"/>
      <c r="B6810" s="1050"/>
      <c r="C6810" s="1050"/>
      <c r="D6810" s="1050"/>
      <c r="E6810" s="1050"/>
      <c r="F6810" s="1050"/>
      <c r="G6810" s="1050"/>
    </row>
    <row r="6811" spans="1:7">
      <c r="A6811" s="1079"/>
      <c r="B6811" s="1050"/>
      <c r="C6811" s="1050"/>
      <c r="D6811" s="1050"/>
      <c r="E6811" s="1050"/>
      <c r="F6811" s="1050"/>
      <c r="G6811" s="1050"/>
    </row>
    <row r="6812" spans="1:7">
      <c r="A6812" s="1079"/>
      <c r="B6812" s="1050"/>
      <c r="C6812" s="1050"/>
      <c r="D6812" s="1050"/>
      <c r="E6812" s="1050"/>
      <c r="F6812" s="1050"/>
      <c r="G6812" s="1050"/>
    </row>
    <row r="6813" spans="1:7">
      <c r="A6813" s="1079"/>
      <c r="B6813" s="1050"/>
      <c r="C6813" s="1050"/>
      <c r="D6813" s="1050"/>
      <c r="E6813" s="1050"/>
      <c r="F6813" s="1050"/>
      <c r="G6813" s="1050"/>
    </row>
    <row r="6814" spans="1:7">
      <c r="A6814" s="1079"/>
      <c r="B6814" s="1050"/>
      <c r="C6814" s="1050"/>
      <c r="D6814" s="1050"/>
      <c r="E6814" s="1050"/>
      <c r="F6814" s="1050"/>
      <c r="G6814" s="1050"/>
    </row>
    <row r="6815" spans="1:7">
      <c r="A6815" s="1079"/>
      <c r="B6815" s="1050"/>
      <c r="C6815" s="1050"/>
      <c r="D6815" s="1050"/>
      <c r="E6815" s="1050"/>
      <c r="F6815" s="1050"/>
      <c r="G6815" s="1050"/>
    </row>
    <row r="6816" spans="1:7">
      <c r="A6816" s="1079"/>
      <c r="B6816" s="1050"/>
      <c r="C6816" s="1050"/>
      <c r="D6816" s="1050"/>
      <c r="E6816" s="1050"/>
      <c r="F6816" s="1050"/>
      <c r="G6816" s="1050"/>
    </row>
    <row r="6817" spans="1:7">
      <c r="A6817" s="1079"/>
      <c r="B6817" s="1050"/>
      <c r="C6817" s="1050"/>
      <c r="D6817" s="1050"/>
      <c r="E6817" s="1050"/>
      <c r="F6817" s="1050"/>
      <c r="G6817" s="1050"/>
    </row>
    <row r="6818" spans="1:7">
      <c r="A6818" s="1079"/>
      <c r="B6818" s="1050"/>
      <c r="C6818" s="1050"/>
      <c r="D6818" s="1050"/>
      <c r="E6818" s="1050"/>
      <c r="F6818" s="1050"/>
      <c r="G6818" s="1050"/>
    </row>
    <row r="6819" spans="1:7">
      <c r="A6819" s="1079"/>
      <c r="B6819" s="1050"/>
      <c r="C6819" s="1050"/>
      <c r="D6819" s="1050"/>
      <c r="E6819" s="1050"/>
      <c r="F6819" s="1050"/>
      <c r="G6819" s="1050"/>
    </row>
    <row r="6820" spans="1:7">
      <c r="A6820" s="1079"/>
      <c r="B6820" s="1050"/>
      <c r="C6820" s="1050"/>
      <c r="D6820" s="1050"/>
      <c r="E6820" s="1050"/>
      <c r="F6820" s="1050"/>
      <c r="G6820" s="1050"/>
    </row>
    <row r="6821" spans="1:7">
      <c r="A6821" s="1079"/>
      <c r="B6821" s="1050"/>
      <c r="C6821" s="1050"/>
      <c r="D6821" s="1050"/>
      <c r="E6821" s="1050"/>
      <c r="F6821" s="1050"/>
      <c r="G6821" s="1050"/>
    </row>
    <row r="6822" spans="1:7">
      <c r="A6822" s="1079"/>
      <c r="B6822" s="1050"/>
      <c r="C6822" s="1050"/>
      <c r="D6822" s="1050"/>
      <c r="E6822" s="1050"/>
      <c r="F6822" s="1050"/>
      <c r="G6822" s="1050"/>
    </row>
    <row r="6823" spans="1:7">
      <c r="A6823" s="1079"/>
      <c r="B6823" s="1050"/>
      <c r="C6823" s="1050"/>
      <c r="D6823" s="1050"/>
      <c r="E6823" s="1050"/>
      <c r="F6823" s="1050"/>
      <c r="G6823" s="1050"/>
    </row>
    <row r="6824" spans="1:7">
      <c r="A6824" s="1079"/>
      <c r="B6824" s="1050"/>
      <c r="C6824" s="1050"/>
      <c r="D6824" s="1050"/>
      <c r="E6824" s="1050"/>
      <c r="F6824" s="1050"/>
      <c r="G6824" s="1050"/>
    </row>
    <row r="6825" spans="1:7">
      <c r="A6825" s="1079"/>
      <c r="B6825" s="1050"/>
      <c r="C6825" s="1050"/>
      <c r="D6825" s="1050"/>
      <c r="E6825" s="1050"/>
      <c r="F6825" s="1050"/>
      <c r="G6825" s="1050"/>
    </row>
    <row r="6826" spans="1:7">
      <c r="A6826" s="1079"/>
      <c r="B6826" s="1050"/>
      <c r="C6826" s="1050"/>
      <c r="D6826" s="1050"/>
      <c r="E6826" s="1050"/>
      <c r="F6826" s="1050"/>
      <c r="G6826" s="1050"/>
    </row>
    <row r="6827" spans="1:7">
      <c r="A6827" s="1079"/>
      <c r="B6827" s="1050"/>
      <c r="C6827" s="1050"/>
      <c r="D6827" s="1050"/>
      <c r="E6827" s="1050"/>
      <c r="F6827" s="1050"/>
      <c r="G6827" s="1050"/>
    </row>
    <row r="6828" spans="1:7">
      <c r="A6828" s="1079"/>
      <c r="B6828" s="1050"/>
      <c r="C6828" s="1050"/>
      <c r="D6828" s="1050"/>
      <c r="E6828" s="1050"/>
      <c r="F6828" s="1050"/>
      <c r="G6828" s="1050"/>
    </row>
    <row r="6829" spans="1:7">
      <c r="A6829" s="1079"/>
      <c r="B6829" s="1050"/>
      <c r="C6829" s="1050"/>
      <c r="D6829" s="1050"/>
      <c r="E6829" s="1050"/>
      <c r="F6829" s="1050"/>
      <c r="G6829" s="1050"/>
    </row>
    <row r="6830" spans="1:7">
      <c r="A6830" s="1079"/>
      <c r="B6830" s="1050"/>
      <c r="C6830" s="1050"/>
      <c r="D6830" s="1050"/>
      <c r="E6830" s="1050"/>
      <c r="F6830" s="1050"/>
      <c r="G6830" s="1050"/>
    </row>
    <row r="6831" spans="1:7">
      <c r="A6831" s="1079"/>
      <c r="B6831" s="1050"/>
      <c r="C6831" s="1050"/>
      <c r="D6831" s="1050"/>
      <c r="E6831" s="1050"/>
      <c r="F6831" s="1050"/>
      <c r="G6831" s="1050"/>
    </row>
    <row r="6832" spans="1:7">
      <c r="A6832" s="1079"/>
      <c r="B6832" s="1050"/>
      <c r="C6832" s="1050"/>
      <c r="D6832" s="1050"/>
      <c r="E6832" s="1050"/>
      <c r="F6832" s="1050"/>
      <c r="G6832" s="1050"/>
    </row>
    <row r="6833" spans="1:7">
      <c r="A6833" s="1079"/>
      <c r="B6833" s="1050"/>
      <c r="C6833" s="1050"/>
      <c r="D6833" s="1050"/>
      <c r="E6833" s="1050"/>
      <c r="F6833" s="1050"/>
      <c r="G6833" s="1050"/>
    </row>
    <row r="6834" spans="1:7">
      <c r="A6834" s="1079"/>
      <c r="B6834" s="1050"/>
      <c r="C6834" s="1050"/>
      <c r="D6834" s="1050"/>
      <c r="E6834" s="1050"/>
      <c r="F6834" s="1050"/>
      <c r="G6834" s="1050"/>
    </row>
    <row r="6835" spans="1:7">
      <c r="A6835" s="1079"/>
      <c r="B6835" s="1050"/>
      <c r="C6835" s="1050"/>
      <c r="D6835" s="1050"/>
      <c r="E6835" s="1050"/>
      <c r="F6835" s="1050"/>
      <c r="G6835" s="1050"/>
    </row>
    <row r="6836" spans="1:7">
      <c r="A6836" s="1079"/>
      <c r="B6836" s="1050"/>
      <c r="C6836" s="1050"/>
      <c r="D6836" s="1050"/>
      <c r="E6836" s="1050"/>
      <c r="F6836" s="1050"/>
      <c r="G6836" s="1050"/>
    </row>
    <row r="6837" spans="1:7">
      <c r="A6837" s="1079"/>
      <c r="B6837" s="1050"/>
      <c r="C6837" s="1050"/>
      <c r="D6837" s="1050"/>
      <c r="E6837" s="1050"/>
      <c r="F6837" s="1050"/>
      <c r="G6837" s="1050"/>
    </row>
    <row r="6838" spans="1:7">
      <c r="A6838" s="1079"/>
      <c r="B6838" s="1050"/>
      <c r="C6838" s="1050"/>
      <c r="D6838" s="1050"/>
      <c r="E6838" s="1050"/>
      <c r="F6838" s="1050"/>
      <c r="G6838" s="1050"/>
    </row>
    <row r="6839" spans="1:7">
      <c r="A6839" s="1079"/>
      <c r="B6839" s="1050"/>
      <c r="C6839" s="1050"/>
      <c r="D6839" s="1050"/>
      <c r="E6839" s="1050"/>
      <c r="F6839" s="1050"/>
      <c r="G6839" s="1050"/>
    </row>
    <row r="6840" spans="1:7">
      <c r="A6840" s="1079"/>
      <c r="B6840" s="1050"/>
      <c r="C6840" s="1050"/>
      <c r="D6840" s="1050"/>
      <c r="E6840" s="1050"/>
      <c r="F6840" s="1050"/>
      <c r="G6840" s="1050"/>
    </row>
    <row r="6841" spans="1:7">
      <c r="A6841" s="1079"/>
      <c r="B6841" s="1050"/>
      <c r="C6841" s="1050"/>
      <c r="D6841" s="1050"/>
      <c r="E6841" s="1050"/>
      <c r="F6841" s="1050"/>
      <c r="G6841" s="1050"/>
    </row>
    <row r="6842" spans="1:7">
      <c r="A6842" s="1079"/>
      <c r="B6842" s="1050"/>
      <c r="C6842" s="1050"/>
      <c r="D6842" s="1050"/>
      <c r="E6842" s="1050"/>
      <c r="F6842" s="1050"/>
      <c r="G6842" s="1050"/>
    </row>
    <row r="6843" spans="1:7">
      <c r="A6843" s="1079"/>
      <c r="B6843" s="1050"/>
      <c r="C6843" s="1050"/>
      <c r="D6843" s="1050"/>
      <c r="E6843" s="1050"/>
      <c r="F6843" s="1050"/>
      <c r="G6843" s="1050"/>
    </row>
    <row r="6844" spans="1:7">
      <c r="A6844" s="1079"/>
      <c r="B6844" s="1050"/>
      <c r="C6844" s="1050"/>
      <c r="D6844" s="1050"/>
      <c r="E6844" s="1050"/>
      <c r="F6844" s="1050"/>
      <c r="G6844" s="1050"/>
    </row>
    <row r="6845" spans="1:7">
      <c r="A6845" s="1079"/>
      <c r="B6845" s="1050"/>
      <c r="C6845" s="1050"/>
      <c r="D6845" s="1050"/>
      <c r="E6845" s="1050"/>
      <c r="F6845" s="1050"/>
      <c r="G6845" s="1050"/>
    </row>
    <row r="6846" spans="1:7">
      <c r="A6846" s="1079"/>
      <c r="B6846" s="1050"/>
      <c r="C6846" s="1050"/>
      <c r="D6846" s="1050"/>
      <c r="E6846" s="1050"/>
      <c r="F6846" s="1050"/>
      <c r="G6846" s="1050"/>
    </row>
    <row r="6847" spans="1:7">
      <c r="A6847" s="1079"/>
      <c r="B6847" s="1050"/>
      <c r="C6847" s="1050"/>
      <c r="D6847" s="1050"/>
      <c r="E6847" s="1050"/>
      <c r="F6847" s="1050"/>
      <c r="G6847" s="1050"/>
    </row>
    <row r="6848" spans="1:7">
      <c r="A6848" s="1079"/>
      <c r="B6848" s="1050"/>
      <c r="C6848" s="1050"/>
      <c r="D6848" s="1050"/>
      <c r="E6848" s="1050"/>
      <c r="F6848" s="1050"/>
      <c r="G6848" s="1050"/>
    </row>
    <row r="6849" spans="1:7">
      <c r="A6849" s="1079"/>
      <c r="B6849" s="1050"/>
      <c r="C6849" s="1050"/>
      <c r="D6849" s="1050"/>
      <c r="E6849" s="1050"/>
      <c r="F6849" s="1050"/>
      <c r="G6849" s="1050"/>
    </row>
    <row r="6850" spans="1:7">
      <c r="A6850" s="1079"/>
      <c r="B6850" s="1050"/>
      <c r="C6850" s="1050"/>
      <c r="D6850" s="1050"/>
      <c r="E6850" s="1050"/>
      <c r="F6850" s="1050"/>
      <c r="G6850" s="1050"/>
    </row>
    <row r="6851" spans="1:7">
      <c r="A6851" s="1079"/>
      <c r="B6851" s="1050"/>
      <c r="C6851" s="1050"/>
      <c r="D6851" s="1050"/>
      <c r="E6851" s="1050"/>
      <c r="F6851" s="1050"/>
      <c r="G6851" s="1050"/>
    </row>
    <row r="6852" spans="1:7">
      <c r="A6852" s="1079"/>
      <c r="B6852" s="1050"/>
      <c r="C6852" s="1050"/>
      <c r="D6852" s="1050"/>
      <c r="E6852" s="1050"/>
      <c r="F6852" s="1050"/>
      <c r="G6852" s="1050"/>
    </row>
    <row r="6853" spans="1:7">
      <c r="A6853" s="1079"/>
      <c r="B6853" s="1050"/>
      <c r="C6853" s="1050"/>
      <c r="D6853" s="1050"/>
      <c r="E6853" s="1050"/>
      <c r="F6853" s="1050"/>
      <c r="G6853" s="1050"/>
    </row>
    <row r="6854" spans="1:7">
      <c r="A6854" s="1079"/>
      <c r="B6854" s="1050"/>
      <c r="C6854" s="1050"/>
      <c r="D6854" s="1050"/>
      <c r="E6854" s="1050"/>
      <c r="F6854" s="1050"/>
      <c r="G6854" s="1050"/>
    </row>
    <row r="6855" spans="1:7">
      <c r="A6855" s="1079"/>
      <c r="B6855" s="1050"/>
      <c r="C6855" s="1050"/>
      <c r="D6855" s="1050"/>
      <c r="E6855" s="1050"/>
      <c r="F6855" s="1050"/>
      <c r="G6855" s="1050"/>
    </row>
    <row r="6856" spans="1:7">
      <c r="A6856" s="1079"/>
      <c r="B6856" s="1050"/>
      <c r="C6856" s="1050"/>
      <c r="D6856" s="1050"/>
      <c r="E6856" s="1050"/>
      <c r="F6856" s="1050"/>
      <c r="G6856" s="1050"/>
    </row>
    <row r="6857" spans="1:7">
      <c r="A6857" s="1079"/>
      <c r="B6857" s="1050"/>
      <c r="C6857" s="1050"/>
      <c r="D6857" s="1050"/>
      <c r="E6857" s="1050"/>
      <c r="F6857" s="1050"/>
      <c r="G6857" s="1050"/>
    </row>
    <row r="6858" spans="1:7">
      <c r="A6858" s="1079"/>
      <c r="B6858" s="1050"/>
      <c r="C6858" s="1050"/>
      <c r="D6858" s="1050"/>
      <c r="E6858" s="1050"/>
      <c r="F6858" s="1050"/>
      <c r="G6858" s="1050"/>
    </row>
    <row r="6859" spans="1:7">
      <c r="A6859" s="1079"/>
      <c r="B6859" s="1050"/>
      <c r="C6859" s="1050"/>
      <c r="D6859" s="1050"/>
      <c r="E6859" s="1050"/>
      <c r="F6859" s="1050"/>
      <c r="G6859" s="1050"/>
    </row>
    <row r="6860" spans="1:7">
      <c r="A6860" s="1079"/>
      <c r="B6860" s="1050"/>
      <c r="C6860" s="1050"/>
      <c r="D6860" s="1050"/>
      <c r="E6860" s="1050"/>
      <c r="F6860" s="1050"/>
      <c r="G6860" s="1050"/>
    </row>
    <row r="6861" spans="1:7">
      <c r="A6861" s="1079"/>
      <c r="B6861" s="1050"/>
      <c r="C6861" s="1050"/>
      <c r="D6861" s="1050"/>
      <c r="E6861" s="1050"/>
      <c r="F6861" s="1050"/>
      <c r="G6861" s="1050"/>
    </row>
    <row r="6862" spans="1:7">
      <c r="A6862" s="1079"/>
      <c r="B6862" s="1050"/>
      <c r="C6862" s="1050"/>
      <c r="D6862" s="1050"/>
      <c r="E6862" s="1050"/>
      <c r="F6862" s="1050"/>
      <c r="G6862" s="1050"/>
    </row>
    <row r="6863" spans="1:7">
      <c r="A6863" s="1079"/>
      <c r="B6863" s="1050"/>
      <c r="C6863" s="1050"/>
      <c r="D6863" s="1050"/>
      <c r="E6863" s="1050"/>
      <c r="F6863" s="1050"/>
      <c r="G6863" s="1050"/>
    </row>
    <row r="6864" spans="1:7">
      <c r="A6864" s="1079"/>
      <c r="B6864" s="1050"/>
      <c r="C6864" s="1050"/>
      <c r="D6864" s="1050"/>
      <c r="E6864" s="1050"/>
      <c r="F6864" s="1050"/>
      <c r="G6864" s="1050"/>
    </row>
    <row r="6865" spans="1:7">
      <c r="A6865" s="1079"/>
      <c r="B6865" s="1050"/>
      <c r="C6865" s="1050"/>
      <c r="D6865" s="1050"/>
      <c r="E6865" s="1050"/>
      <c r="F6865" s="1050"/>
      <c r="G6865" s="1050"/>
    </row>
    <row r="6866" spans="1:7">
      <c r="A6866" s="1079"/>
      <c r="B6866" s="1050"/>
      <c r="C6866" s="1050"/>
      <c r="D6866" s="1050"/>
      <c r="E6866" s="1050"/>
      <c r="F6866" s="1050"/>
      <c r="G6866" s="1050"/>
    </row>
    <row r="6867" spans="1:7">
      <c r="A6867" s="1079"/>
      <c r="B6867" s="1050"/>
      <c r="C6867" s="1050"/>
      <c r="D6867" s="1050"/>
      <c r="E6867" s="1050"/>
      <c r="F6867" s="1050"/>
      <c r="G6867" s="1050"/>
    </row>
    <row r="6868" spans="1:7">
      <c r="A6868" s="1079"/>
      <c r="B6868" s="1050"/>
      <c r="C6868" s="1050"/>
      <c r="D6868" s="1050"/>
      <c r="E6868" s="1050"/>
      <c r="F6868" s="1050"/>
      <c r="G6868" s="1050"/>
    </row>
    <row r="6869" spans="1:7">
      <c r="A6869" s="1079"/>
      <c r="B6869" s="1050"/>
      <c r="C6869" s="1050"/>
      <c r="D6869" s="1050"/>
      <c r="E6869" s="1050"/>
      <c r="F6869" s="1050"/>
      <c r="G6869" s="1050"/>
    </row>
    <row r="6870" spans="1:7">
      <c r="A6870" s="1079"/>
      <c r="B6870" s="1050"/>
      <c r="C6870" s="1050"/>
      <c r="D6870" s="1050"/>
      <c r="E6870" s="1050"/>
      <c r="F6870" s="1050"/>
      <c r="G6870" s="1050"/>
    </row>
    <row r="6871" spans="1:7">
      <c r="A6871" s="1079"/>
      <c r="B6871" s="1050"/>
      <c r="C6871" s="1050"/>
      <c r="D6871" s="1050"/>
      <c r="E6871" s="1050"/>
      <c r="F6871" s="1050"/>
      <c r="G6871" s="1050"/>
    </row>
    <row r="6872" spans="1:7">
      <c r="A6872" s="1079"/>
      <c r="B6872" s="1050"/>
      <c r="C6872" s="1050"/>
      <c r="D6872" s="1050"/>
      <c r="E6872" s="1050"/>
      <c r="F6872" s="1050"/>
      <c r="G6872" s="1050"/>
    </row>
    <row r="6873" spans="1:7">
      <c r="A6873" s="1079"/>
      <c r="B6873" s="1050"/>
      <c r="C6873" s="1050"/>
      <c r="D6873" s="1050"/>
      <c r="E6873" s="1050"/>
      <c r="F6873" s="1050"/>
      <c r="G6873" s="1050"/>
    </row>
    <row r="6874" spans="1:7">
      <c r="A6874" s="1079"/>
      <c r="B6874" s="1050"/>
      <c r="C6874" s="1050"/>
      <c r="D6874" s="1050"/>
      <c r="E6874" s="1050"/>
      <c r="F6874" s="1050"/>
      <c r="G6874" s="1050"/>
    </row>
    <row r="6875" spans="1:7">
      <c r="A6875" s="1079"/>
      <c r="B6875" s="1050"/>
      <c r="C6875" s="1050"/>
      <c r="D6875" s="1050"/>
      <c r="E6875" s="1050"/>
      <c r="F6875" s="1050"/>
      <c r="G6875" s="1050"/>
    </row>
    <row r="6876" spans="1:7">
      <c r="A6876" s="1079"/>
      <c r="B6876" s="1050"/>
      <c r="C6876" s="1050"/>
      <c r="D6876" s="1050"/>
      <c r="E6876" s="1050"/>
      <c r="F6876" s="1050"/>
      <c r="G6876" s="1050"/>
    </row>
    <row r="6877" spans="1:7">
      <c r="A6877" s="1079"/>
      <c r="B6877" s="1050"/>
      <c r="C6877" s="1050"/>
      <c r="D6877" s="1050"/>
      <c r="E6877" s="1050"/>
      <c r="F6877" s="1050"/>
      <c r="G6877" s="1050"/>
    </row>
    <row r="6878" spans="1:7">
      <c r="A6878" s="1079"/>
      <c r="B6878" s="1050"/>
      <c r="C6878" s="1050"/>
      <c r="D6878" s="1050"/>
      <c r="E6878" s="1050"/>
      <c r="F6878" s="1050"/>
      <c r="G6878" s="1050"/>
    </row>
    <row r="6879" spans="1:7">
      <c r="A6879" s="1079"/>
      <c r="B6879" s="1050"/>
      <c r="C6879" s="1050"/>
      <c r="D6879" s="1050"/>
      <c r="E6879" s="1050"/>
      <c r="F6879" s="1050"/>
      <c r="G6879" s="1050"/>
    </row>
    <row r="6880" spans="1:7">
      <c r="A6880" s="1079"/>
      <c r="B6880" s="1050"/>
      <c r="C6880" s="1050"/>
      <c r="D6880" s="1050"/>
      <c r="E6880" s="1050"/>
      <c r="F6880" s="1050"/>
      <c r="G6880" s="1050"/>
    </row>
    <row r="6881" spans="1:7">
      <c r="A6881" s="1079"/>
      <c r="B6881" s="1050"/>
      <c r="C6881" s="1050"/>
      <c r="D6881" s="1050"/>
      <c r="E6881" s="1050"/>
      <c r="F6881" s="1050"/>
      <c r="G6881" s="1050"/>
    </row>
    <row r="6882" spans="1:7">
      <c r="A6882" s="1079"/>
      <c r="B6882" s="1050"/>
      <c r="C6882" s="1050"/>
      <c r="D6882" s="1050"/>
      <c r="E6882" s="1050"/>
      <c r="F6882" s="1050"/>
      <c r="G6882" s="1050"/>
    </row>
    <row r="6883" spans="1:7">
      <c r="A6883" s="1079"/>
      <c r="B6883" s="1050"/>
      <c r="C6883" s="1050"/>
      <c r="D6883" s="1050"/>
      <c r="E6883" s="1050"/>
      <c r="F6883" s="1050"/>
      <c r="G6883" s="1050"/>
    </row>
    <row r="6884" spans="1:7">
      <c r="A6884" s="1079"/>
      <c r="B6884" s="1050"/>
      <c r="C6884" s="1050"/>
      <c r="D6884" s="1050"/>
      <c r="E6884" s="1050"/>
      <c r="F6884" s="1050"/>
      <c r="G6884" s="1050"/>
    </row>
    <row r="6885" spans="1:7">
      <c r="A6885" s="1079"/>
      <c r="B6885" s="1050"/>
      <c r="C6885" s="1050"/>
      <c r="D6885" s="1050"/>
      <c r="E6885" s="1050"/>
      <c r="F6885" s="1050"/>
      <c r="G6885" s="1050"/>
    </row>
    <row r="6886" spans="1:7">
      <c r="A6886" s="1079"/>
      <c r="B6886" s="1050"/>
      <c r="C6886" s="1050"/>
      <c r="D6886" s="1050"/>
      <c r="E6886" s="1050"/>
      <c r="F6886" s="1050"/>
      <c r="G6886" s="1050"/>
    </row>
    <row r="6887" spans="1:7">
      <c r="A6887" s="1079"/>
      <c r="B6887" s="1050"/>
      <c r="C6887" s="1050"/>
      <c r="D6887" s="1050"/>
      <c r="E6887" s="1050"/>
      <c r="F6887" s="1050"/>
      <c r="G6887" s="1050"/>
    </row>
    <row r="6888" spans="1:7">
      <c r="A6888" s="1079"/>
      <c r="B6888" s="1050"/>
      <c r="C6888" s="1050"/>
      <c r="D6888" s="1050"/>
      <c r="E6888" s="1050"/>
      <c r="F6888" s="1050"/>
      <c r="G6888" s="1050"/>
    </row>
    <row r="6889" spans="1:7">
      <c r="A6889" s="1079"/>
      <c r="B6889" s="1050"/>
      <c r="C6889" s="1050"/>
      <c r="D6889" s="1050"/>
      <c r="E6889" s="1050"/>
      <c r="F6889" s="1050"/>
      <c r="G6889" s="1050"/>
    </row>
    <row r="6890" spans="1:7">
      <c r="A6890" s="1079"/>
      <c r="B6890" s="1050"/>
      <c r="C6890" s="1050"/>
      <c r="D6890" s="1050"/>
      <c r="E6890" s="1050"/>
      <c r="F6890" s="1050"/>
      <c r="G6890" s="1050"/>
    </row>
    <row r="6891" spans="1:7">
      <c r="A6891" s="1079"/>
      <c r="B6891" s="1050"/>
      <c r="C6891" s="1050"/>
      <c r="D6891" s="1050"/>
      <c r="E6891" s="1050"/>
      <c r="F6891" s="1050"/>
      <c r="G6891" s="1050"/>
    </row>
    <row r="6892" spans="1:7">
      <c r="A6892" s="1079"/>
      <c r="B6892" s="1050"/>
      <c r="C6892" s="1050"/>
      <c r="D6892" s="1050"/>
      <c r="E6892" s="1050"/>
      <c r="F6892" s="1050"/>
      <c r="G6892" s="1050"/>
    </row>
    <row r="6893" spans="1:7">
      <c r="A6893" s="1079"/>
      <c r="B6893" s="1050"/>
      <c r="C6893" s="1050"/>
      <c r="D6893" s="1050"/>
      <c r="E6893" s="1050"/>
      <c r="F6893" s="1050"/>
      <c r="G6893" s="1050"/>
    </row>
    <row r="6894" spans="1:7">
      <c r="A6894" s="1079"/>
      <c r="B6894" s="1050"/>
      <c r="C6894" s="1050"/>
      <c r="D6894" s="1050"/>
      <c r="E6894" s="1050"/>
      <c r="F6894" s="1050"/>
      <c r="G6894" s="1050"/>
    </row>
    <row r="6895" spans="1:7">
      <c r="A6895" s="1079"/>
      <c r="B6895" s="1050"/>
      <c r="C6895" s="1050"/>
      <c r="D6895" s="1050"/>
      <c r="E6895" s="1050"/>
      <c r="F6895" s="1050"/>
      <c r="G6895" s="1050"/>
    </row>
    <row r="6896" spans="1:7">
      <c r="A6896" s="1079"/>
      <c r="B6896" s="1050"/>
      <c r="C6896" s="1050"/>
      <c r="D6896" s="1050"/>
      <c r="E6896" s="1050"/>
      <c r="F6896" s="1050"/>
      <c r="G6896" s="1050"/>
    </row>
    <row r="6897" spans="1:7">
      <c r="A6897" s="1079"/>
      <c r="B6897" s="1050"/>
      <c r="C6897" s="1050"/>
      <c r="D6897" s="1050"/>
      <c r="E6897" s="1050"/>
      <c r="F6897" s="1050"/>
      <c r="G6897" s="1050"/>
    </row>
    <row r="6898" spans="1:7">
      <c r="A6898" s="1079"/>
      <c r="B6898" s="1050"/>
      <c r="C6898" s="1050"/>
      <c r="D6898" s="1050"/>
      <c r="E6898" s="1050"/>
      <c r="F6898" s="1050"/>
      <c r="G6898" s="1050"/>
    </row>
    <row r="6899" spans="1:7">
      <c r="A6899" s="1079"/>
      <c r="B6899" s="1050"/>
      <c r="C6899" s="1050"/>
      <c r="D6899" s="1050"/>
      <c r="E6899" s="1050"/>
      <c r="F6899" s="1050"/>
      <c r="G6899" s="1050"/>
    </row>
    <row r="6900" spans="1:7">
      <c r="A6900" s="1079"/>
      <c r="B6900" s="1050"/>
      <c r="C6900" s="1050"/>
      <c r="D6900" s="1050"/>
      <c r="E6900" s="1050"/>
      <c r="F6900" s="1050"/>
      <c r="G6900" s="1050"/>
    </row>
    <row r="6901" spans="1:7">
      <c r="A6901" s="1079"/>
      <c r="B6901" s="1050"/>
      <c r="C6901" s="1050"/>
      <c r="D6901" s="1050"/>
      <c r="E6901" s="1050"/>
      <c r="F6901" s="1050"/>
      <c r="G6901" s="1050"/>
    </row>
    <row r="6902" spans="1:7">
      <c r="A6902" s="1079"/>
      <c r="B6902" s="1050"/>
      <c r="C6902" s="1050"/>
      <c r="D6902" s="1050"/>
      <c r="E6902" s="1050"/>
      <c r="F6902" s="1050"/>
      <c r="G6902" s="1050"/>
    </row>
    <row r="6903" spans="1:7">
      <c r="A6903" s="1079"/>
      <c r="B6903" s="1050"/>
      <c r="C6903" s="1050"/>
      <c r="D6903" s="1050"/>
      <c r="E6903" s="1050"/>
      <c r="F6903" s="1050"/>
      <c r="G6903" s="1050"/>
    </row>
    <row r="6904" spans="1:7">
      <c r="A6904" s="1079"/>
      <c r="B6904" s="1050"/>
      <c r="C6904" s="1050"/>
      <c r="D6904" s="1050"/>
      <c r="E6904" s="1050"/>
      <c r="F6904" s="1050"/>
      <c r="G6904" s="1050"/>
    </row>
    <row r="6905" spans="1:7">
      <c r="A6905" s="1079"/>
      <c r="B6905" s="1050"/>
      <c r="C6905" s="1050"/>
      <c r="D6905" s="1050"/>
      <c r="E6905" s="1050"/>
      <c r="F6905" s="1050"/>
      <c r="G6905" s="1050"/>
    </row>
    <row r="6906" spans="1:7">
      <c r="A6906" s="1079"/>
      <c r="B6906" s="1050"/>
      <c r="C6906" s="1050"/>
      <c r="D6906" s="1050"/>
      <c r="E6906" s="1050"/>
      <c r="F6906" s="1050"/>
      <c r="G6906" s="1050"/>
    </row>
    <row r="6907" spans="1:7">
      <c r="A6907" s="1079"/>
      <c r="B6907" s="1050"/>
      <c r="C6907" s="1050"/>
      <c r="D6907" s="1050"/>
      <c r="E6907" s="1050"/>
      <c r="F6907" s="1050"/>
      <c r="G6907" s="1050"/>
    </row>
    <row r="6908" spans="1:7">
      <c r="A6908" s="1079"/>
      <c r="B6908" s="1050"/>
      <c r="C6908" s="1050"/>
      <c r="D6908" s="1050"/>
      <c r="E6908" s="1050"/>
      <c r="F6908" s="1050"/>
      <c r="G6908" s="1050"/>
    </row>
    <row r="6909" spans="1:7">
      <c r="A6909" s="1079"/>
      <c r="B6909" s="1050"/>
      <c r="C6909" s="1050"/>
      <c r="D6909" s="1050"/>
      <c r="E6909" s="1050"/>
      <c r="F6909" s="1050"/>
      <c r="G6909" s="1050"/>
    </row>
    <row r="6910" spans="1:7">
      <c r="A6910" s="1079"/>
      <c r="B6910" s="1050"/>
      <c r="C6910" s="1050"/>
      <c r="D6910" s="1050"/>
      <c r="E6910" s="1050"/>
      <c r="F6910" s="1050"/>
      <c r="G6910" s="1050"/>
    </row>
    <row r="6911" spans="1:7">
      <c r="A6911" s="1079"/>
      <c r="B6911" s="1050"/>
      <c r="C6911" s="1050"/>
      <c r="D6911" s="1050"/>
      <c r="E6911" s="1050"/>
      <c r="F6911" s="1050"/>
      <c r="G6911" s="1050"/>
    </row>
    <row r="6912" spans="1:7">
      <c r="A6912" s="1079"/>
      <c r="B6912" s="1050"/>
      <c r="C6912" s="1050"/>
      <c r="D6912" s="1050"/>
      <c r="E6912" s="1050"/>
      <c r="F6912" s="1050"/>
      <c r="G6912" s="1050"/>
    </row>
    <row r="6913" spans="1:7">
      <c r="A6913" s="1079"/>
      <c r="B6913" s="1050"/>
      <c r="C6913" s="1050"/>
      <c r="D6913" s="1050"/>
      <c r="E6913" s="1050"/>
      <c r="F6913" s="1050"/>
      <c r="G6913" s="1050"/>
    </row>
    <row r="6914" spans="1:7">
      <c r="A6914" s="1079"/>
      <c r="B6914" s="1050"/>
      <c r="C6914" s="1050"/>
      <c r="D6914" s="1050"/>
      <c r="E6914" s="1050"/>
      <c r="F6914" s="1050"/>
      <c r="G6914" s="1050"/>
    </row>
    <row r="6915" spans="1:7">
      <c r="A6915" s="1079"/>
      <c r="B6915" s="1050"/>
      <c r="C6915" s="1050"/>
      <c r="D6915" s="1050"/>
      <c r="E6915" s="1050"/>
      <c r="F6915" s="1050"/>
      <c r="G6915" s="1050"/>
    </row>
    <row r="6916" spans="1:7">
      <c r="A6916" s="1079"/>
      <c r="B6916" s="1050"/>
      <c r="C6916" s="1050"/>
      <c r="D6916" s="1050"/>
      <c r="E6916" s="1050"/>
      <c r="F6916" s="1050"/>
      <c r="G6916" s="1050"/>
    </row>
    <row r="6917" spans="1:7">
      <c r="A6917" s="1079"/>
      <c r="B6917" s="1050"/>
      <c r="C6917" s="1050"/>
      <c r="D6917" s="1050"/>
      <c r="E6917" s="1050"/>
      <c r="F6917" s="1050"/>
      <c r="G6917" s="1050"/>
    </row>
    <row r="6918" spans="1:7">
      <c r="A6918" s="1079"/>
      <c r="B6918" s="1050"/>
      <c r="C6918" s="1050"/>
      <c r="D6918" s="1050"/>
      <c r="E6918" s="1050"/>
      <c r="F6918" s="1050"/>
      <c r="G6918" s="1050"/>
    </row>
    <row r="6919" spans="1:7">
      <c r="A6919" s="1079"/>
      <c r="B6919" s="1050"/>
      <c r="C6919" s="1050"/>
      <c r="D6919" s="1050"/>
      <c r="E6919" s="1050"/>
      <c r="F6919" s="1050"/>
      <c r="G6919" s="1050"/>
    </row>
    <row r="6920" spans="1:7">
      <c r="A6920" s="1079"/>
      <c r="B6920" s="1050"/>
      <c r="C6920" s="1050"/>
      <c r="D6920" s="1050"/>
      <c r="E6920" s="1050"/>
      <c r="F6920" s="1050"/>
      <c r="G6920" s="1050"/>
    </row>
    <row r="6921" spans="1:7">
      <c r="A6921" s="1079"/>
      <c r="B6921" s="1050"/>
      <c r="C6921" s="1050"/>
      <c r="D6921" s="1050"/>
      <c r="E6921" s="1050"/>
      <c r="F6921" s="1050"/>
      <c r="G6921" s="1050"/>
    </row>
    <row r="6922" spans="1:7">
      <c r="A6922" s="1079"/>
      <c r="B6922" s="1050"/>
      <c r="C6922" s="1050"/>
      <c r="D6922" s="1050"/>
      <c r="E6922" s="1050"/>
      <c r="F6922" s="1050"/>
      <c r="G6922" s="1050"/>
    </row>
    <row r="6923" spans="1:7">
      <c r="A6923" s="1079"/>
      <c r="B6923" s="1050"/>
      <c r="C6923" s="1050"/>
      <c r="D6923" s="1050"/>
      <c r="E6923" s="1050"/>
      <c r="F6923" s="1050"/>
      <c r="G6923" s="1050"/>
    </row>
    <row r="6924" spans="1:7">
      <c r="A6924" s="1079"/>
      <c r="B6924" s="1050"/>
      <c r="C6924" s="1050"/>
      <c r="D6924" s="1050"/>
      <c r="E6924" s="1050"/>
      <c r="F6924" s="1050"/>
      <c r="G6924" s="1050"/>
    </row>
    <row r="6925" spans="1:7">
      <c r="A6925" s="1079"/>
      <c r="B6925" s="1050"/>
      <c r="C6925" s="1050"/>
      <c r="D6925" s="1050"/>
      <c r="E6925" s="1050"/>
      <c r="F6925" s="1050"/>
      <c r="G6925" s="1050"/>
    </row>
    <row r="6926" spans="1:7">
      <c r="A6926" s="1079"/>
      <c r="B6926" s="1050"/>
      <c r="C6926" s="1050"/>
      <c r="D6926" s="1050"/>
      <c r="E6926" s="1050"/>
      <c r="F6926" s="1050"/>
      <c r="G6926" s="1050"/>
    </row>
    <row r="6927" spans="1:7">
      <c r="A6927" s="1079"/>
      <c r="B6927" s="1050"/>
      <c r="C6927" s="1050"/>
      <c r="D6927" s="1050"/>
      <c r="E6927" s="1050"/>
      <c r="F6927" s="1050"/>
      <c r="G6927" s="1050"/>
    </row>
    <row r="6928" spans="1:7">
      <c r="A6928" s="1079"/>
      <c r="B6928" s="1050"/>
      <c r="C6928" s="1050"/>
      <c r="D6928" s="1050"/>
      <c r="E6928" s="1050"/>
      <c r="F6928" s="1050"/>
      <c r="G6928" s="1050"/>
    </row>
    <row r="6929" spans="1:7">
      <c r="A6929" s="1079"/>
      <c r="B6929" s="1050"/>
      <c r="C6929" s="1050"/>
      <c r="D6929" s="1050"/>
      <c r="E6929" s="1050"/>
      <c r="F6929" s="1050"/>
      <c r="G6929" s="1050"/>
    </row>
    <row r="6930" spans="1:7">
      <c r="A6930" s="1079"/>
      <c r="B6930" s="1050"/>
      <c r="C6930" s="1050"/>
      <c r="D6930" s="1050"/>
      <c r="E6930" s="1050"/>
      <c r="F6930" s="1050"/>
      <c r="G6930" s="1050"/>
    </row>
    <row r="6931" spans="1:7">
      <c r="A6931" s="1079"/>
      <c r="B6931" s="1050"/>
      <c r="C6931" s="1050"/>
      <c r="D6931" s="1050"/>
      <c r="E6931" s="1050"/>
      <c r="F6931" s="1050"/>
      <c r="G6931" s="1050"/>
    </row>
    <row r="6932" spans="1:7">
      <c r="A6932" s="1079"/>
      <c r="B6932" s="1050"/>
      <c r="C6932" s="1050"/>
      <c r="D6932" s="1050"/>
      <c r="E6932" s="1050"/>
      <c r="F6932" s="1050"/>
      <c r="G6932" s="1050"/>
    </row>
    <row r="6933" spans="1:7">
      <c r="A6933" s="1079"/>
      <c r="B6933" s="1050"/>
      <c r="C6933" s="1050"/>
      <c r="D6933" s="1050"/>
      <c r="E6933" s="1050"/>
      <c r="F6933" s="1050"/>
      <c r="G6933" s="1050"/>
    </row>
    <row r="6934" spans="1:7">
      <c r="A6934" s="1079"/>
      <c r="B6934" s="1050"/>
      <c r="C6934" s="1050"/>
      <c r="D6934" s="1050"/>
      <c r="E6934" s="1050"/>
      <c r="F6934" s="1050"/>
      <c r="G6934" s="1050"/>
    </row>
    <row r="6935" spans="1:7">
      <c r="A6935" s="1079"/>
      <c r="B6935" s="1050"/>
      <c r="C6935" s="1050"/>
      <c r="D6935" s="1050"/>
      <c r="E6935" s="1050"/>
      <c r="F6935" s="1050"/>
      <c r="G6935" s="1050"/>
    </row>
    <row r="6936" spans="1:7">
      <c r="A6936" s="1079"/>
      <c r="B6936" s="1050"/>
      <c r="C6936" s="1050"/>
      <c r="D6936" s="1050"/>
      <c r="E6936" s="1050"/>
      <c r="F6936" s="1050"/>
      <c r="G6936" s="1050"/>
    </row>
    <row r="6937" spans="1:7">
      <c r="A6937" s="1079"/>
      <c r="B6937" s="1050"/>
      <c r="C6937" s="1050"/>
      <c r="D6937" s="1050"/>
      <c r="E6937" s="1050"/>
      <c r="F6937" s="1050"/>
      <c r="G6937" s="1050"/>
    </row>
    <row r="6938" spans="1:7">
      <c r="A6938" s="1079"/>
      <c r="B6938" s="1050"/>
      <c r="C6938" s="1050"/>
      <c r="D6938" s="1050"/>
      <c r="E6938" s="1050"/>
      <c r="F6938" s="1050"/>
      <c r="G6938" s="1050"/>
    </row>
    <row r="6939" spans="1:7">
      <c r="A6939" s="1079"/>
      <c r="B6939" s="1050"/>
      <c r="C6939" s="1050"/>
      <c r="D6939" s="1050"/>
      <c r="E6939" s="1050"/>
      <c r="F6939" s="1050"/>
      <c r="G6939" s="1050"/>
    </row>
    <row r="6940" spans="1:7">
      <c r="A6940" s="1079"/>
      <c r="B6940" s="1050"/>
      <c r="C6940" s="1050"/>
      <c r="D6940" s="1050"/>
      <c r="E6940" s="1050"/>
      <c r="F6940" s="1050"/>
      <c r="G6940" s="1050"/>
    </row>
    <row r="6941" spans="1:7">
      <c r="A6941" s="1079"/>
      <c r="B6941" s="1050"/>
      <c r="C6941" s="1050"/>
      <c r="D6941" s="1050"/>
      <c r="E6941" s="1050"/>
      <c r="F6941" s="1050"/>
      <c r="G6941" s="1050"/>
    </row>
    <row r="6942" spans="1:7">
      <c r="A6942" s="1079"/>
      <c r="B6942" s="1050"/>
      <c r="C6942" s="1050"/>
      <c r="D6942" s="1050"/>
      <c r="E6942" s="1050"/>
      <c r="F6942" s="1050"/>
      <c r="G6942" s="1050"/>
    </row>
    <row r="6943" spans="1:7">
      <c r="A6943" s="1079"/>
      <c r="B6943" s="1050"/>
      <c r="C6943" s="1050"/>
      <c r="D6943" s="1050"/>
      <c r="E6943" s="1050"/>
      <c r="F6943" s="1050"/>
      <c r="G6943" s="1050"/>
    </row>
    <row r="6944" spans="1:7">
      <c r="A6944" s="1079"/>
      <c r="B6944" s="1050"/>
      <c r="C6944" s="1050"/>
      <c r="D6944" s="1050"/>
      <c r="E6944" s="1050"/>
      <c r="F6944" s="1050"/>
      <c r="G6944" s="1050"/>
    </row>
    <row r="6945" spans="1:7">
      <c r="A6945" s="1079"/>
      <c r="B6945" s="1050"/>
      <c r="C6945" s="1050"/>
      <c r="D6945" s="1050"/>
      <c r="E6945" s="1050"/>
      <c r="F6945" s="1050"/>
      <c r="G6945" s="1050"/>
    </row>
    <row r="6946" spans="1:7">
      <c r="A6946" s="1079"/>
      <c r="B6946" s="1050"/>
      <c r="C6946" s="1050"/>
      <c r="D6946" s="1050"/>
      <c r="E6946" s="1050"/>
      <c r="F6946" s="1050"/>
      <c r="G6946" s="1050"/>
    </row>
    <row r="6947" spans="1:7">
      <c r="A6947" s="1079"/>
      <c r="B6947" s="1050"/>
      <c r="C6947" s="1050"/>
      <c r="D6947" s="1050"/>
      <c r="E6947" s="1050"/>
      <c r="F6947" s="1050"/>
      <c r="G6947" s="1050"/>
    </row>
    <row r="6948" spans="1:7">
      <c r="A6948" s="1079"/>
      <c r="B6948" s="1050"/>
      <c r="C6948" s="1050"/>
      <c r="D6948" s="1050"/>
      <c r="E6948" s="1050"/>
      <c r="F6948" s="1050"/>
      <c r="G6948" s="1050"/>
    </row>
    <row r="6949" spans="1:7">
      <c r="A6949" s="1079"/>
      <c r="B6949" s="1050"/>
      <c r="C6949" s="1050"/>
      <c r="D6949" s="1050"/>
      <c r="E6949" s="1050"/>
      <c r="F6949" s="1050"/>
      <c r="G6949" s="1050"/>
    </row>
    <row r="6950" spans="1:7">
      <c r="A6950" s="1079"/>
      <c r="B6950" s="1050"/>
      <c r="C6950" s="1050"/>
      <c r="D6950" s="1050"/>
      <c r="E6950" s="1050"/>
      <c r="F6950" s="1050"/>
      <c r="G6950" s="1050"/>
    </row>
    <row r="6951" spans="1:7">
      <c r="A6951" s="1079"/>
      <c r="B6951" s="1050"/>
      <c r="C6951" s="1050"/>
      <c r="D6951" s="1050"/>
      <c r="E6951" s="1050"/>
      <c r="F6951" s="1050"/>
      <c r="G6951" s="1050"/>
    </row>
    <row r="6952" spans="1:7">
      <c r="A6952" s="1079"/>
      <c r="B6952" s="1050"/>
      <c r="C6952" s="1050"/>
      <c r="D6952" s="1050"/>
      <c r="E6952" s="1050"/>
      <c r="F6952" s="1050"/>
      <c r="G6952" s="1050"/>
    </row>
    <row r="6953" spans="1:7">
      <c r="A6953" s="1079"/>
      <c r="B6953" s="1050"/>
      <c r="C6953" s="1050"/>
      <c r="D6953" s="1050"/>
      <c r="E6953" s="1050"/>
      <c r="F6953" s="1050"/>
      <c r="G6953" s="1050"/>
    </row>
    <row r="6954" spans="1:7">
      <c r="A6954" s="1079"/>
      <c r="B6954" s="1050"/>
      <c r="C6954" s="1050"/>
      <c r="D6954" s="1050"/>
      <c r="E6954" s="1050"/>
      <c r="F6954" s="1050"/>
      <c r="G6954" s="1050"/>
    </row>
    <row r="6955" spans="1:7">
      <c r="A6955" s="1079"/>
      <c r="B6955" s="1050"/>
      <c r="C6955" s="1050"/>
      <c r="D6955" s="1050"/>
      <c r="E6955" s="1050"/>
      <c r="F6955" s="1050"/>
      <c r="G6955" s="1050"/>
    </row>
    <row r="6956" spans="1:7">
      <c r="A6956" s="1079"/>
      <c r="B6956" s="1050"/>
      <c r="C6956" s="1050"/>
      <c r="D6956" s="1050"/>
      <c r="E6956" s="1050"/>
      <c r="F6956" s="1050"/>
      <c r="G6956" s="1050"/>
    </row>
    <row r="6957" spans="1:7">
      <c r="A6957" s="1079"/>
      <c r="B6957" s="1050"/>
      <c r="C6957" s="1050"/>
      <c r="D6957" s="1050"/>
      <c r="E6957" s="1050"/>
      <c r="F6957" s="1050"/>
      <c r="G6957" s="1050"/>
    </row>
    <row r="6958" spans="1:7">
      <c r="A6958" s="1079"/>
      <c r="B6958" s="1050"/>
      <c r="C6958" s="1050"/>
      <c r="D6958" s="1050"/>
      <c r="E6958" s="1050"/>
      <c r="F6958" s="1050"/>
      <c r="G6958" s="1050"/>
    </row>
    <row r="6959" spans="1:7">
      <c r="A6959" s="1079"/>
      <c r="B6959" s="1050"/>
      <c r="C6959" s="1050"/>
      <c r="D6959" s="1050"/>
      <c r="E6959" s="1050"/>
      <c r="F6959" s="1050"/>
      <c r="G6959" s="1050"/>
    </row>
    <row r="6960" spans="1:7">
      <c r="A6960" s="1079"/>
      <c r="B6960" s="1050"/>
      <c r="C6960" s="1050"/>
      <c r="D6960" s="1050"/>
      <c r="E6960" s="1050"/>
      <c r="F6960" s="1050"/>
      <c r="G6960" s="1050"/>
    </row>
    <row r="6961" spans="1:7">
      <c r="A6961" s="1079"/>
      <c r="B6961" s="1050"/>
      <c r="C6961" s="1050"/>
      <c r="D6961" s="1050"/>
      <c r="E6961" s="1050"/>
      <c r="F6961" s="1050"/>
      <c r="G6961" s="1050"/>
    </row>
    <row r="6962" spans="1:7">
      <c r="A6962" s="1079"/>
      <c r="B6962" s="1050"/>
      <c r="C6962" s="1050"/>
      <c r="D6962" s="1050"/>
      <c r="E6962" s="1050"/>
      <c r="F6962" s="1050"/>
      <c r="G6962" s="1050"/>
    </row>
    <row r="6963" spans="1:7">
      <c r="A6963" s="1079"/>
      <c r="B6963" s="1050"/>
      <c r="C6963" s="1050"/>
      <c r="D6963" s="1050"/>
      <c r="E6963" s="1050"/>
      <c r="F6963" s="1050"/>
      <c r="G6963" s="1050"/>
    </row>
    <row r="6964" spans="1:7">
      <c r="A6964" s="1079"/>
      <c r="B6964" s="1050"/>
      <c r="C6964" s="1050"/>
      <c r="D6964" s="1050"/>
      <c r="E6964" s="1050"/>
      <c r="F6964" s="1050"/>
      <c r="G6964" s="1050"/>
    </row>
    <row r="6965" spans="1:7">
      <c r="A6965" s="1079"/>
      <c r="B6965" s="1050"/>
      <c r="C6965" s="1050"/>
      <c r="D6965" s="1050"/>
      <c r="E6965" s="1050"/>
      <c r="F6965" s="1050"/>
      <c r="G6965" s="1050"/>
    </row>
    <row r="6966" spans="1:7">
      <c r="A6966" s="1079"/>
      <c r="B6966" s="1050"/>
      <c r="C6966" s="1050"/>
      <c r="D6966" s="1050"/>
      <c r="E6966" s="1050"/>
      <c r="F6966" s="1050"/>
      <c r="G6966" s="1050"/>
    </row>
    <row r="6967" spans="1:7">
      <c r="A6967" s="1079"/>
      <c r="B6967" s="1050"/>
      <c r="C6967" s="1050"/>
      <c r="D6967" s="1050"/>
      <c r="E6967" s="1050"/>
      <c r="F6967" s="1050"/>
      <c r="G6967" s="1050"/>
    </row>
    <row r="6968" spans="1:7">
      <c r="A6968" s="1079"/>
      <c r="B6968" s="1050"/>
      <c r="C6968" s="1050"/>
      <c r="D6968" s="1050"/>
      <c r="E6968" s="1050"/>
      <c r="F6968" s="1050"/>
      <c r="G6968" s="1050"/>
    </row>
    <row r="6969" spans="1:7">
      <c r="A6969" s="1079"/>
      <c r="B6969" s="1050"/>
      <c r="C6969" s="1050"/>
      <c r="D6969" s="1050"/>
      <c r="E6969" s="1050"/>
      <c r="F6969" s="1050"/>
      <c r="G6969" s="1050"/>
    </row>
    <row r="6970" spans="1:7">
      <c r="A6970" s="1079"/>
      <c r="B6970" s="1050"/>
      <c r="C6970" s="1050"/>
      <c r="D6970" s="1050"/>
      <c r="E6970" s="1050"/>
      <c r="F6970" s="1050"/>
      <c r="G6970" s="1050"/>
    </row>
    <row r="6971" spans="1:7">
      <c r="A6971" s="1079"/>
      <c r="B6971" s="1050"/>
      <c r="C6971" s="1050"/>
      <c r="D6971" s="1050"/>
      <c r="E6971" s="1050"/>
      <c r="F6971" s="1050"/>
      <c r="G6971" s="1050"/>
    </row>
    <row r="6972" spans="1:7">
      <c r="A6972" s="1079"/>
      <c r="B6972" s="1050"/>
      <c r="C6972" s="1050"/>
      <c r="D6972" s="1050"/>
      <c r="E6972" s="1050"/>
      <c r="F6972" s="1050"/>
      <c r="G6972" s="1050"/>
    </row>
    <row r="6973" spans="1:7">
      <c r="A6973" s="1079"/>
      <c r="B6973" s="1050"/>
      <c r="C6973" s="1050"/>
      <c r="D6973" s="1050"/>
      <c r="E6973" s="1050"/>
      <c r="F6973" s="1050"/>
      <c r="G6973" s="1050"/>
    </row>
    <row r="6974" spans="1:7">
      <c r="A6974" s="1079"/>
      <c r="B6974" s="1050"/>
      <c r="C6974" s="1050"/>
      <c r="D6974" s="1050"/>
      <c r="E6974" s="1050"/>
      <c r="F6974" s="1050"/>
      <c r="G6974" s="1050"/>
    </row>
    <row r="6975" spans="1:7">
      <c r="A6975" s="1079"/>
      <c r="B6975" s="1050"/>
      <c r="C6975" s="1050"/>
      <c r="D6975" s="1050"/>
      <c r="E6975" s="1050"/>
      <c r="F6975" s="1050"/>
      <c r="G6975" s="1050"/>
    </row>
    <row r="6976" spans="1:7">
      <c r="A6976" s="1079"/>
      <c r="B6976" s="1050"/>
      <c r="C6976" s="1050"/>
      <c r="D6976" s="1050"/>
      <c r="E6976" s="1050"/>
      <c r="F6976" s="1050"/>
      <c r="G6976" s="1050"/>
    </row>
    <row r="6977" spans="1:7">
      <c r="A6977" s="1079"/>
      <c r="B6977" s="1050"/>
      <c r="C6977" s="1050"/>
      <c r="D6977" s="1050"/>
      <c r="E6977" s="1050"/>
      <c r="F6977" s="1050"/>
      <c r="G6977" s="1050"/>
    </row>
    <row r="6978" spans="1:7">
      <c r="A6978" s="1079"/>
      <c r="B6978" s="1050"/>
      <c r="C6978" s="1050"/>
      <c r="D6978" s="1050"/>
      <c r="E6978" s="1050"/>
      <c r="F6978" s="1050"/>
      <c r="G6978" s="1050"/>
    </row>
    <row r="6979" spans="1:7">
      <c r="A6979" s="1079"/>
      <c r="B6979" s="1050"/>
      <c r="C6979" s="1050"/>
      <c r="D6979" s="1050"/>
      <c r="E6979" s="1050"/>
      <c r="F6979" s="1050"/>
      <c r="G6979" s="1050"/>
    </row>
    <row r="6980" spans="1:7">
      <c r="A6980" s="1079"/>
      <c r="B6980" s="1050"/>
      <c r="C6980" s="1050"/>
      <c r="D6980" s="1050"/>
      <c r="E6980" s="1050"/>
      <c r="F6980" s="1050"/>
      <c r="G6980" s="1050"/>
    </row>
    <row r="6981" spans="1:7">
      <c r="A6981" s="1079"/>
      <c r="B6981" s="1050"/>
      <c r="C6981" s="1050"/>
      <c r="D6981" s="1050"/>
      <c r="E6981" s="1050"/>
      <c r="F6981" s="1050"/>
      <c r="G6981" s="1050"/>
    </row>
    <row r="6982" spans="1:7">
      <c r="A6982" s="1079"/>
      <c r="B6982" s="1050"/>
      <c r="C6982" s="1050"/>
      <c r="D6982" s="1050"/>
      <c r="E6982" s="1050"/>
      <c r="F6982" s="1050"/>
      <c r="G6982" s="1050"/>
    </row>
    <row r="6983" spans="1:7">
      <c r="A6983" s="1079"/>
      <c r="B6983" s="1050"/>
      <c r="C6983" s="1050"/>
      <c r="D6983" s="1050"/>
      <c r="E6983" s="1050"/>
      <c r="F6983" s="1050"/>
      <c r="G6983" s="1050"/>
    </row>
    <row r="6984" spans="1:7">
      <c r="A6984" s="1079"/>
      <c r="B6984" s="1050"/>
      <c r="C6984" s="1050"/>
      <c r="D6984" s="1050"/>
      <c r="E6984" s="1050"/>
      <c r="F6984" s="1050"/>
      <c r="G6984" s="1050"/>
    </row>
    <row r="6985" spans="1:7">
      <c r="A6985" s="1079"/>
      <c r="B6985" s="1050"/>
      <c r="C6985" s="1050"/>
      <c r="D6985" s="1050"/>
      <c r="E6985" s="1050"/>
      <c r="F6985" s="1050"/>
      <c r="G6985" s="1050"/>
    </row>
    <row r="6986" spans="1:7">
      <c r="A6986" s="1079"/>
      <c r="B6986" s="1050"/>
      <c r="C6986" s="1050"/>
      <c r="D6986" s="1050"/>
      <c r="E6986" s="1050"/>
      <c r="F6986" s="1050"/>
      <c r="G6986" s="1050"/>
    </row>
    <row r="6987" spans="1:7">
      <c r="A6987" s="1079"/>
      <c r="B6987" s="1050"/>
      <c r="C6987" s="1050"/>
      <c r="D6987" s="1050"/>
      <c r="E6987" s="1050"/>
      <c r="F6987" s="1050"/>
      <c r="G6987" s="1050"/>
    </row>
    <row r="6988" spans="1:7">
      <c r="A6988" s="1079"/>
      <c r="B6988" s="1050"/>
      <c r="C6988" s="1050"/>
      <c r="D6988" s="1050"/>
      <c r="E6988" s="1050"/>
      <c r="F6988" s="1050"/>
      <c r="G6988" s="1050"/>
    </row>
    <row r="6989" spans="1:7">
      <c r="A6989" s="1079"/>
      <c r="B6989" s="1050"/>
      <c r="C6989" s="1050"/>
      <c r="D6989" s="1050"/>
      <c r="E6989" s="1050"/>
      <c r="F6989" s="1050"/>
      <c r="G6989" s="1050"/>
    </row>
    <row r="6990" spans="1:7">
      <c r="A6990" s="1079"/>
      <c r="B6990" s="1050"/>
      <c r="C6990" s="1050"/>
      <c r="D6990" s="1050"/>
      <c r="E6990" s="1050"/>
      <c r="F6990" s="1050"/>
      <c r="G6990" s="1050"/>
    </row>
    <row r="6991" spans="1:7">
      <c r="A6991" s="1079"/>
      <c r="B6991" s="1050"/>
      <c r="C6991" s="1050"/>
      <c r="D6991" s="1050"/>
      <c r="E6991" s="1050"/>
      <c r="F6991" s="1050"/>
      <c r="G6991" s="1050"/>
    </row>
    <row r="6992" spans="1:7">
      <c r="A6992" s="1079"/>
      <c r="B6992" s="1050"/>
      <c r="C6992" s="1050"/>
      <c r="D6992" s="1050"/>
      <c r="E6992" s="1050"/>
      <c r="F6992" s="1050"/>
      <c r="G6992" s="1050"/>
    </row>
    <row r="6993" spans="1:7">
      <c r="A6993" s="1079"/>
      <c r="B6993" s="1050"/>
      <c r="C6993" s="1050"/>
      <c r="D6993" s="1050"/>
      <c r="E6993" s="1050"/>
      <c r="F6993" s="1050"/>
      <c r="G6993" s="1050"/>
    </row>
    <row r="6994" spans="1:7">
      <c r="A6994" s="1079"/>
      <c r="B6994" s="1050"/>
      <c r="C6994" s="1050"/>
      <c r="D6994" s="1050"/>
      <c r="E6994" s="1050"/>
      <c r="F6994" s="1050"/>
      <c r="G6994" s="1050"/>
    </row>
    <row r="6995" spans="1:7">
      <c r="A6995" s="1079"/>
      <c r="B6995" s="1050"/>
      <c r="C6995" s="1050"/>
      <c r="D6995" s="1050"/>
      <c r="E6995" s="1050"/>
      <c r="F6995" s="1050"/>
      <c r="G6995" s="1050"/>
    </row>
    <row r="6996" spans="1:7">
      <c r="A6996" s="1079"/>
      <c r="B6996" s="1050"/>
      <c r="C6996" s="1050"/>
      <c r="D6996" s="1050"/>
      <c r="E6996" s="1050"/>
      <c r="F6996" s="1050"/>
      <c r="G6996" s="1050"/>
    </row>
    <row r="6997" spans="1:7">
      <c r="A6997" s="1079"/>
      <c r="B6997" s="1050"/>
      <c r="C6997" s="1050"/>
      <c r="D6997" s="1050"/>
      <c r="E6997" s="1050"/>
      <c r="F6997" s="1050"/>
      <c r="G6997" s="1050"/>
    </row>
    <row r="6998" spans="1:7">
      <c r="A6998" s="1079"/>
      <c r="B6998" s="1050"/>
      <c r="C6998" s="1050"/>
      <c r="D6998" s="1050"/>
      <c r="E6998" s="1050"/>
      <c r="F6998" s="1050"/>
      <c r="G6998" s="1050"/>
    </row>
    <row r="6999" spans="1:7">
      <c r="A6999" s="1079"/>
      <c r="B6999" s="1050"/>
      <c r="C6999" s="1050"/>
      <c r="D6999" s="1050"/>
      <c r="E6999" s="1050"/>
      <c r="F6999" s="1050"/>
      <c r="G6999" s="1050"/>
    </row>
    <row r="7000" spans="1:7">
      <c r="A7000" s="1079"/>
      <c r="B7000" s="1050"/>
      <c r="C7000" s="1050"/>
      <c r="D7000" s="1050"/>
      <c r="E7000" s="1050"/>
      <c r="F7000" s="1050"/>
      <c r="G7000" s="1050"/>
    </row>
    <row r="7001" spans="1:7">
      <c r="A7001" s="1079"/>
      <c r="B7001" s="1050"/>
      <c r="C7001" s="1050"/>
      <c r="D7001" s="1050"/>
      <c r="E7001" s="1050"/>
      <c r="F7001" s="1050"/>
      <c r="G7001" s="1050"/>
    </row>
    <row r="7002" spans="1:7">
      <c r="A7002" s="1079"/>
      <c r="B7002" s="1050"/>
      <c r="C7002" s="1050"/>
      <c r="D7002" s="1050"/>
      <c r="E7002" s="1050"/>
      <c r="F7002" s="1050"/>
      <c r="G7002" s="1050"/>
    </row>
    <row r="7003" spans="1:7">
      <c r="A7003" s="1079"/>
      <c r="B7003" s="1050"/>
      <c r="C7003" s="1050"/>
      <c r="D7003" s="1050"/>
      <c r="E7003" s="1050"/>
      <c r="F7003" s="1050"/>
      <c r="G7003" s="1050"/>
    </row>
    <row r="7004" spans="1:7">
      <c r="A7004" s="1079"/>
      <c r="B7004" s="1050"/>
      <c r="C7004" s="1050"/>
      <c r="D7004" s="1050"/>
      <c r="E7004" s="1050"/>
      <c r="F7004" s="1050"/>
      <c r="G7004" s="1050"/>
    </row>
    <row r="7005" spans="1:7">
      <c r="A7005" s="1079"/>
      <c r="B7005" s="1050"/>
      <c r="C7005" s="1050"/>
      <c r="D7005" s="1050"/>
      <c r="E7005" s="1050"/>
      <c r="F7005" s="1050"/>
      <c r="G7005" s="1050"/>
    </row>
    <row r="7006" spans="1:7">
      <c r="A7006" s="1079"/>
      <c r="B7006" s="1050"/>
      <c r="C7006" s="1050"/>
      <c r="D7006" s="1050"/>
      <c r="E7006" s="1050"/>
      <c r="F7006" s="1050"/>
      <c r="G7006" s="1050"/>
    </row>
    <row r="7007" spans="1:7">
      <c r="A7007" s="1079"/>
      <c r="B7007" s="1050"/>
      <c r="C7007" s="1050"/>
      <c r="D7007" s="1050"/>
      <c r="E7007" s="1050"/>
      <c r="F7007" s="1050"/>
      <c r="G7007" s="1050"/>
    </row>
    <row r="7008" spans="1:7">
      <c r="A7008" s="1079"/>
      <c r="B7008" s="1050"/>
      <c r="C7008" s="1050"/>
      <c r="D7008" s="1050"/>
      <c r="E7008" s="1050"/>
      <c r="F7008" s="1050"/>
      <c r="G7008" s="1050"/>
    </row>
    <row r="7009" spans="1:7">
      <c r="A7009" s="1079"/>
      <c r="B7009" s="1050"/>
      <c r="C7009" s="1050"/>
      <c r="D7009" s="1050"/>
      <c r="E7009" s="1050"/>
      <c r="F7009" s="1050"/>
      <c r="G7009" s="1050"/>
    </row>
    <row r="7010" spans="1:7">
      <c r="A7010" s="1079"/>
      <c r="B7010" s="1050"/>
      <c r="C7010" s="1050"/>
      <c r="D7010" s="1050"/>
      <c r="E7010" s="1050"/>
      <c r="F7010" s="1050"/>
      <c r="G7010" s="1050"/>
    </row>
    <row r="7011" spans="1:7">
      <c r="A7011" s="1079"/>
      <c r="B7011" s="1050"/>
      <c r="C7011" s="1050"/>
      <c r="D7011" s="1050"/>
      <c r="E7011" s="1050"/>
      <c r="F7011" s="1050"/>
      <c r="G7011" s="1050"/>
    </row>
    <row r="7012" spans="1:7">
      <c r="A7012" s="1079"/>
      <c r="B7012" s="1050"/>
      <c r="C7012" s="1050"/>
      <c r="D7012" s="1050"/>
      <c r="E7012" s="1050"/>
      <c r="F7012" s="1050"/>
      <c r="G7012" s="1050"/>
    </row>
    <row r="7013" spans="1:7">
      <c r="A7013" s="1079"/>
      <c r="B7013" s="1050"/>
      <c r="C7013" s="1050"/>
      <c r="D7013" s="1050"/>
      <c r="E7013" s="1050"/>
      <c r="F7013" s="1050"/>
      <c r="G7013" s="1050"/>
    </row>
    <row r="7014" spans="1:7">
      <c r="A7014" s="1079"/>
      <c r="B7014" s="1050"/>
      <c r="C7014" s="1050"/>
      <c r="D7014" s="1050"/>
      <c r="E7014" s="1050"/>
      <c r="F7014" s="1050"/>
      <c r="G7014" s="1050"/>
    </row>
    <row r="7015" spans="1:7">
      <c r="A7015" s="1079"/>
      <c r="B7015" s="1050"/>
      <c r="C7015" s="1050"/>
      <c r="D7015" s="1050"/>
      <c r="E7015" s="1050"/>
      <c r="F7015" s="1050"/>
      <c r="G7015" s="1050"/>
    </row>
    <row r="7016" spans="1:7">
      <c r="A7016" s="1079"/>
      <c r="B7016" s="1050"/>
      <c r="C7016" s="1050"/>
      <c r="D7016" s="1050"/>
      <c r="E7016" s="1050"/>
      <c r="F7016" s="1050"/>
      <c r="G7016" s="1050"/>
    </row>
    <row r="7017" spans="1:7">
      <c r="A7017" s="1079"/>
      <c r="B7017" s="1050"/>
      <c r="C7017" s="1050"/>
      <c r="D7017" s="1050"/>
      <c r="E7017" s="1050"/>
      <c r="F7017" s="1050"/>
      <c r="G7017" s="1050"/>
    </row>
    <row r="7018" spans="1:7">
      <c r="A7018" s="1079"/>
      <c r="B7018" s="1050"/>
      <c r="C7018" s="1050"/>
      <c r="D7018" s="1050"/>
      <c r="E7018" s="1050"/>
      <c r="F7018" s="1050"/>
      <c r="G7018" s="1050"/>
    </row>
    <row r="7019" spans="1:7">
      <c r="A7019" s="1079"/>
      <c r="B7019" s="1050"/>
      <c r="C7019" s="1050"/>
      <c r="D7019" s="1050"/>
      <c r="E7019" s="1050"/>
      <c r="F7019" s="1050"/>
      <c r="G7019" s="1050"/>
    </row>
    <row r="7020" spans="1:7">
      <c r="A7020" s="1079"/>
      <c r="B7020" s="1050"/>
      <c r="C7020" s="1050"/>
      <c r="D7020" s="1050"/>
      <c r="E7020" s="1050"/>
      <c r="F7020" s="1050"/>
      <c r="G7020" s="1050"/>
    </row>
    <row r="7021" spans="1:7">
      <c r="A7021" s="1079"/>
      <c r="B7021" s="1050"/>
      <c r="C7021" s="1050"/>
      <c r="D7021" s="1050"/>
      <c r="E7021" s="1050"/>
      <c r="F7021" s="1050"/>
      <c r="G7021" s="1050"/>
    </row>
    <row r="7022" spans="1:7">
      <c r="A7022" s="1079"/>
      <c r="B7022" s="1050"/>
      <c r="C7022" s="1050"/>
      <c r="D7022" s="1050"/>
      <c r="E7022" s="1050"/>
      <c r="F7022" s="1050"/>
      <c r="G7022" s="1050"/>
    </row>
    <row r="7023" spans="1:7">
      <c r="A7023" s="1079"/>
      <c r="B7023" s="1050"/>
      <c r="C7023" s="1050"/>
      <c r="D7023" s="1050"/>
      <c r="E7023" s="1050"/>
      <c r="F7023" s="1050"/>
      <c r="G7023" s="1050"/>
    </row>
    <row r="7024" spans="1:7">
      <c r="A7024" s="1079"/>
      <c r="B7024" s="1050"/>
      <c r="C7024" s="1050"/>
      <c r="D7024" s="1050"/>
      <c r="E7024" s="1050"/>
      <c r="F7024" s="1050"/>
      <c r="G7024" s="1050"/>
    </row>
    <row r="7025" spans="1:7">
      <c r="A7025" s="1079"/>
      <c r="B7025" s="1050"/>
      <c r="C7025" s="1050"/>
      <c r="D7025" s="1050"/>
      <c r="E7025" s="1050"/>
      <c r="F7025" s="1050"/>
      <c r="G7025" s="1050"/>
    </row>
    <row r="7026" spans="1:7">
      <c r="A7026" s="1079"/>
      <c r="B7026" s="1050"/>
      <c r="C7026" s="1050"/>
      <c r="D7026" s="1050"/>
      <c r="E7026" s="1050"/>
      <c r="F7026" s="1050"/>
      <c r="G7026" s="1050"/>
    </row>
    <row r="7027" spans="1:7">
      <c r="A7027" s="1079"/>
      <c r="B7027" s="1050"/>
      <c r="C7027" s="1050"/>
      <c r="D7027" s="1050"/>
      <c r="E7027" s="1050"/>
      <c r="F7027" s="1050"/>
      <c r="G7027" s="1050"/>
    </row>
    <row r="7028" spans="1:7">
      <c r="A7028" s="1079"/>
      <c r="B7028" s="1050"/>
      <c r="C7028" s="1050"/>
      <c r="D7028" s="1050"/>
      <c r="E7028" s="1050"/>
      <c r="F7028" s="1050"/>
      <c r="G7028" s="1050"/>
    </row>
    <row r="7029" spans="1:7">
      <c r="A7029" s="1079"/>
      <c r="B7029" s="1050"/>
      <c r="C7029" s="1050"/>
      <c r="D7029" s="1050"/>
      <c r="E7029" s="1050"/>
      <c r="F7029" s="1050"/>
      <c r="G7029" s="1050"/>
    </row>
    <row r="7030" spans="1:7">
      <c r="A7030" s="1079"/>
      <c r="B7030" s="1050"/>
      <c r="C7030" s="1050"/>
      <c r="D7030" s="1050"/>
      <c r="E7030" s="1050"/>
      <c r="F7030" s="1050"/>
      <c r="G7030" s="1050"/>
    </row>
    <row r="7031" spans="1:7">
      <c r="A7031" s="1079"/>
      <c r="B7031" s="1050"/>
      <c r="C7031" s="1050"/>
      <c r="D7031" s="1050"/>
      <c r="E7031" s="1050"/>
      <c r="F7031" s="1050"/>
      <c r="G7031" s="1050"/>
    </row>
    <row r="7032" spans="1:7">
      <c r="A7032" s="1079"/>
      <c r="B7032" s="1050"/>
      <c r="C7032" s="1050"/>
      <c r="D7032" s="1050"/>
      <c r="E7032" s="1050"/>
      <c r="F7032" s="1050"/>
      <c r="G7032" s="1050"/>
    </row>
    <row r="7033" spans="1:7">
      <c r="A7033" s="1079"/>
      <c r="B7033" s="1050"/>
      <c r="C7033" s="1050"/>
      <c r="D7033" s="1050"/>
      <c r="E7033" s="1050"/>
      <c r="F7033" s="1050"/>
      <c r="G7033" s="1050"/>
    </row>
    <row r="7034" spans="1:7">
      <c r="A7034" s="1079"/>
      <c r="B7034" s="1050"/>
      <c r="C7034" s="1050"/>
      <c r="D7034" s="1050"/>
      <c r="E7034" s="1050"/>
      <c r="F7034" s="1050"/>
      <c r="G7034" s="1050"/>
    </row>
    <row r="7035" spans="1:7">
      <c r="A7035" s="1079"/>
      <c r="B7035" s="1050"/>
      <c r="C7035" s="1050"/>
      <c r="D7035" s="1050"/>
      <c r="E7035" s="1050"/>
      <c r="F7035" s="1050"/>
      <c r="G7035" s="1050"/>
    </row>
    <row r="7036" spans="1:7">
      <c r="A7036" s="1079"/>
      <c r="B7036" s="1050"/>
      <c r="C7036" s="1050"/>
      <c r="D7036" s="1050"/>
      <c r="E7036" s="1050"/>
      <c r="F7036" s="1050"/>
      <c r="G7036" s="1050"/>
    </row>
    <row r="7037" spans="1:7">
      <c r="A7037" s="1079"/>
      <c r="B7037" s="1050"/>
      <c r="C7037" s="1050"/>
      <c r="D7037" s="1050"/>
      <c r="E7037" s="1050"/>
      <c r="F7037" s="1050"/>
      <c r="G7037" s="1050"/>
    </row>
    <row r="7038" spans="1:7">
      <c r="A7038" s="1079"/>
      <c r="B7038" s="1050"/>
      <c r="C7038" s="1050"/>
      <c r="D7038" s="1050"/>
      <c r="E7038" s="1050"/>
      <c r="F7038" s="1050"/>
      <c r="G7038" s="1050"/>
    </row>
    <row r="7039" spans="1:7">
      <c r="A7039" s="1079"/>
      <c r="B7039" s="1050"/>
      <c r="C7039" s="1050"/>
      <c r="D7039" s="1050"/>
      <c r="E7039" s="1050"/>
      <c r="F7039" s="1050"/>
      <c r="G7039" s="1050"/>
    </row>
    <row r="7040" spans="1:7">
      <c r="A7040" s="1079"/>
      <c r="B7040" s="1050"/>
      <c r="C7040" s="1050"/>
      <c r="D7040" s="1050"/>
      <c r="E7040" s="1050"/>
      <c r="F7040" s="1050"/>
      <c r="G7040" s="1050"/>
    </row>
    <row r="7041" spans="1:7">
      <c r="A7041" s="1079"/>
      <c r="B7041" s="1050"/>
      <c r="C7041" s="1050"/>
      <c r="D7041" s="1050"/>
      <c r="E7041" s="1050"/>
      <c r="F7041" s="1050"/>
      <c r="G7041" s="1050"/>
    </row>
    <row r="7042" spans="1:7">
      <c r="A7042" s="1079"/>
      <c r="B7042" s="1050"/>
      <c r="C7042" s="1050"/>
      <c r="D7042" s="1050"/>
      <c r="E7042" s="1050"/>
      <c r="F7042" s="1050"/>
      <c r="G7042" s="1050"/>
    </row>
    <row r="7043" spans="1:7">
      <c r="A7043" s="1079"/>
      <c r="B7043" s="1050"/>
      <c r="C7043" s="1050"/>
      <c r="D7043" s="1050"/>
      <c r="E7043" s="1050"/>
      <c r="F7043" s="1050"/>
      <c r="G7043" s="1050"/>
    </row>
    <row r="7044" spans="1:7">
      <c r="A7044" s="1079"/>
      <c r="B7044" s="1050"/>
      <c r="C7044" s="1050"/>
      <c r="D7044" s="1050"/>
      <c r="E7044" s="1050"/>
      <c r="F7044" s="1050"/>
      <c r="G7044" s="1050"/>
    </row>
    <row r="7045" spans="1:7">
      <c r="A7045" s="1079"/>
      <c r="B7045" s="1050"/>
      <c r="C7045" s="1050"/>
      <c r="D7045" s="1050"/>
      <c r="E7045" s="1050"/>
      <c r="F7045" s="1050"/>
      <c r="G7045" s="1050"/>
    </row>
    <row r="7046" spans="1:7">
      <c r="A7046" s="1079"/>
      <c r="B7046" s="1050"/>
      <c r="C7046" s="1050"/>
      <c r="D7046" s="1050"/>
      <c r="E7046" s="1050"/>
      <c r="F7046" s="1050"/>
      <c r="G7046" s="1050"/>
    </row>
    <row r="7047" spans="1:7">
      <c r="A7047" s="1079"/>
      <c r="B7047" s="1050"/>
      <c r="C7047" s="1050"/>
      <c r="D7047" s="1050"/>
      <c r="E7047" s="1050"/>
      <c r="F7047" s="1050"/>
      <c r="G7047" s="1050"/>
    </row>
    <row r="7048" spans="1:7">
      <c r="A7048" s="1079"/>
      <c r="B7048" s="1050"/>
      <c r="C7048" s="1050"/>
      <c r="D7048" s="1050"/>
      <c r="E7048" s="1050"/>
      <c r="F7048" s="1050"/>
      <c r="G7048" s="1050"/>
    </row>
    <row r="7049" spans="1:7">
      <c r="A7049" s="1079"/>
      <c r="B7049" s="1050"/>
      <c r="C7049" s="1050"/>
      <c r="D7049" s="1050"/>
      <c r="E7049" s="1050"/>
      <c r="F7049" s="1050"/>
      <c r="G7049" s="1050"/>
    </row>
    <row r="7050" spans="1:7">
      <c r="A7050" s="1079"/>
      <c r="B7050" s="1050"/>
      <c r="C7050" s="1050"/>
      <c r="D7050" s="1050"/>
      <c r="E7050" s="1050"/>
      <c r="F7050" s="1050"/>
      <c r="G7050" s="1050"/>
    </row>
    <row r="7051" spans="1:7">
      <c r="A7051" s="1079"/>
      <c r="B7051" s="1050"/>
      <c r="C7051" s="1050"/>
      <c r="D7051" s="1050"/>
      <c r="E7051" s="1050"/>
      <c r="F7051" s="1050"/>
      <c r="G7051" s="1050"/>
    </row>
    <row r="7052" spans="1:7">
      <c r="A7052" s="1079"/>
      <c r="B7052" s="1050"/>
      <c r="C7052" s="1050"/>
      <c r="D7052" s="1050"/>
      <c r="E7052" s="1050"/>
      <c r="F7052" s="1050"/>
      <c r="G7052" s="1050"/>
    </row>
    <row r="7053" spans="1:7">
      <c r="A7053" s="1079"/>
      <c r="B7053" s="1050"/>
      <c r="C7053" s="1050"/>
      <c r="D7053" s="1050"/>
      <c r="E7053" s="1050"/>
      <c r="F7053" s="1050"/>
      <c r="G7053" s="1050"/>
    </row>
    <row r="7054" spans="1:7">
      <c r="A7054" s="1079"/>
      <c r="B7054" s="1050"/>
      <c r="C7054" s="1050"/>
      <c r="D7054" s="1050"/>
      <c r="E7054" s="1050"/>
      <c r="F7054" s="1050"/>
      <c r="G7054" s="1050"/>
    </row>
    <row r="7055" spans="1:7">
      <c r="A7055" s="1079"/>
      <c r="B7055" s="1050"/>
      <c r="C7055" s="1050"/>
      <c r="D7055" s="1050"/>
      <c r="E7055" s="1050"/>
      <c r="F7055" s="1050"/>
      <c r="G7055" s="1050"/>
    </row>
    <row r="7056" spans="1:7">
      <c r="A7056" s="1079"/>
      <c r="B7056" s="1050"/>
      <c r="C7056" s="1050"/>
      <c r="D7056" s="1050"/>
      <c r="E7056" s="1050"/>
      <c r="F7056" s="1050"/>
      <c r="G7056" s="1050"/>
    </row>
    <row r="7057" spans="1:7">
      <c r="A7057" s="1079"/>
      <c r="B7057" s="1050"/>
      <c r="C7057" s="1050"/>
      <c r="D7057" s="1050"/>
      <c r="E7057" s="1050"/>
      <c r="F7057" s="1050"/>
      <c r="G7057" s="1050"/>
    </row>
    <row r="7058" spans="1:7">
      <c r="A7058" s="1079"/>
      <c r="B7058" s="1050"/>
      <c r="C7058" s="1050"/>
      <c r="D7058" s="1050"/>
      <c r="E7058" s="1050"/>
      <c r="F7058" s="1050"/>
      <c r="G7058" s="1050"/>
    </row>
    <row r="7059" spans="1:7">
      <c r="A7059" s="1079"/>
      <c r="B7059" s="1050"/>
      <c r="C7059" s="1050"/>
      <c r="D7059" s="1050"/>
      <c r="E7059" s="1050"/>
      <c r="F7059" s="1050"/>
      <c r="G7059" s="1050"/>
    </row>
    <row r="7060" spans="1:7">
      <c r="A7060" s="1079"/>
      <c r="B7060" s="1050"/>
      <c r="C7060" s="1050"/>
      <c r="D7060" s="1050"/>
      <c r="E7060" s="1050"/>
      <c r="F7060" s="1050"/>
      <c r="G7060" s="1050"/>
    </row>
    <row r="7061" spans="1:7">
      <c r="A7061" s="1079"/>
      <c r="B7061" s="1050"/>
      <c r="C7061" s="1050"/>
      <c r="D7061" s="1050"/>
      <c r="E7061" s="1050"/>
      <c r="F7061" s="1050"/>
      <c r="G7061" s="1050"/>
    </row>
    <row r="7062" spans="1:7">
      <c r="A7062" s="1079"/>
      <c r="B7062" s="1050"/>
      <c r="C7062" s="1050"/>
      <c r="D7062" s="1050"/>
      <c r="E7062" s="1050"/>
      <c r="F7062" s="1050"/>
      <c r="G7062" s="1050"/>
    </row>
    <row r="7063" spans="1:7">
      <c r="A7063" s="1079"/>
      <c r="B7063" s="1050"/>
      <c r="C7063" s="1050"/>
      <c r="D7063" s="1050"/>
      <c r="E7063" s="1050"/>
      <c r="F7063" s="1050"/>
      <c r="G7063" s="1050"/>
    </row>
    <row r="7064" spans="1:7">
      <c r="A7064" s="1079"/>
      <c r="B7064" s="1050"/>
      <c r="C7064" s="1050"/>
      <c r="D7064" s="1050"/>
      <c r="E7064" s="1050"/>
      <c r="F7064" s="1050"/>
      <c r="G7064" s="1050"/>
    </row>
    <row r="7065" spans="1:7">
      <c r="A7065" s="1079"/>
      <c r="B7065" s="1050"/>
      <c r="C7065" s="1050"/>
      <c r="D7065" s="1050"/>
      <c r="E7065" s="1050"/>
      <c r="F7065" s="1050"/>
      <c r="G7065" s="1050"/>
    </row>
    <row r="7066" spans="1:7">
      <c r="A7066" s="1079"/>
      <c r="B7066" s="1050"/>
      <c r="C7066" s="1050"/>
      <c r="D7066" s="1050"/>
      <c r="E7066" s="1050"/>
      <c r="F7066" s="1050"/>
      <c r="G7066" s="1050"/>
    </row>
    <row r="7067" spans="1:7">
      <c r="A7067" s="1079"/>
      <c r="B7067" s="1050"/>
      <c r="C7067" s="1050"/>
      <c r="D7067" s="1050"/>
      <c r="E7067" s="1050"/>
      <c r="F7067" s="1050"/>
      <c r="G7067" s="1050"/>
    </row>
    <row r="7068" spans="1:7">
      <c r="A7068" s="1079"/>
      <c r="B7068" s="1050"/>
      <c r="C7068" s="1050"/>
      <c r="D7068" s="1050"/>
      <c r="E7068" s="1050"/>
      <c r="F7068" s="1050"/>
      <c r="G7068" s="1050"/>
    </row>
    <row r="7069" spans="1:7">
      <c r="A7069" s="1079"/>
      <c r="B7069" s="1050"/>
      <c r="C7069" s="1050"/>
      <c r="D7069" s="1050"/>
      <c r="E7069" s="1050"/>
      <c r="F7069" s="1050"/>
      <c r="G7069" s="1050"/>
    </row>
    <row r="7070" spans="1:7">
      <c r="A7070" s="1079"/>
      <c r="B7070" s="1050"/>
      <c r="C7070" s="1050"/>
      <c r="D7070" s="1050"/>
      <c r="E7070" s="1050"/>
      <c r="F7070" s="1050"/>
      <c r="G7070" s="1050"/>
    </row>
    <row r="7071" spans="1:7">
      <c r="A7071" s="1079"/>
      <c r="B7071" s="1050"/>
      <c r="C7071" s="1050"/>
      <c r="D7071" s="1050"/>
      <c r="E7071" s="1050"/>
      <c r="F7071" s="1050"/>
      <c r="G7071" s="1050"/>
    </row>
    <row r="7072" spans="1:7">
      <c r="A7072" s="1079"/>
      <c r="B7072" s="1050"/>
      <c r="C7072" s="1050"/>
      <c r="D7072" s="1050"/>
      <c r="E7072" s="1050"/>
      <c r="F7072" s="1050"/>
      <c r="G7072" s="1050"/>
    </row>
    <row r="7073" spans="1:7">
      <c r="A7073" s="1079"/>
      <c r="B7073" s="1050"/>
      <c r="C7073" s="1050"/>
      <c r="D7073" s="1050"/>
      <c r="E7073" s="1050"/>
      <c r="F7073" s="1050"/>
      <c r="G7073" s="1050"/>
    </row>
    <row r="7074" spans="1:7">
      <c r="A7074" s="1079"/>
      <c r="B7074" s="1050"/>
      <c r="C7074" s="1050"/>
      <c r="D7074" s="1050"/>
      <c r="E7074" s="1050"/>
      <c r="F7074" s="1050"/>
      <c r="G7074" s="1050"/>
    </row>
    <row r="7075" spans="1:7">
      <c r="A7075" s="1079"/>
      <c r="B7075" s="1050"/>
      <c r="C7075" s="1050"/>
      <c r="D7075" s="1050"/>
      <c r="E7075" s="1050"/>
      <c r="F7075" s="1050"/>
      <c r="G7075" s="1050"/>
    </row>
    <row r="7076" spans="1:7">
      <c r="A7076" s="1079"/>
      <c r="B7076" s="1050"/>
      <c r="C7076" s="1050"/>
      <c r="D7076" s="1050"/>
      <c r="E7076" s="1050"/>
      <c r="F7076" s="1050"/>
      <c r="G7076" s="1050"/>
    </row>
    <row r="7077" spans="1:7">
      <c r="A7077" s="1079"/>
      <c r="B7077" s="1050"/>
      <c r="C7077" s="1050"/>
      <c r="D7077" s="1050"/>
      <c r="E7077" s="1050"/>
      <c r="F7077" s="1050"/>
      <c r="G7077" s="1050"/>
    </row>
    <row r="7078" spans="1:7">
      <c r="A7078" s="1079"/>
      <c r="B7078" s="1050"/>
      <c r="C7078" s="1050"/>
      <c r="D7078" s="1050"/>
      <c r="E7078" s="1050"/>
      <c r="F7078" s="1050"/>
      <c r="G7078" s="1050"/>
    </row>
    <row r="7079" spans="1:7">
      <c r="A7079" s="1079"/>
      <c r="B7079" s="1050"/>
      <c r="C7079" s="1050"/>
      <c r="D7079" s="1050"/>
      <c r="E7079" s="1050"/>
      <c r="F7079" s="1050"/>
      <c r="G7079" s="1050"/>
    </row>
    <row r="7080" spans="1:7">
      <c r="A7080" s="1079"/>
      <c r="B7080" s="1050"/>
      <c r="C7080" s="1050"/>
      <c r="D7080" s="1050"/>
      <c r="E7080" s="1050"/>
      <c r="F7080" s="1050"/>
      <c r="G7080" s="1050"/>
    </row>
    <row r="7081" spans="1:7">
      <c r="A7081" s="1079"/>
      <c r="B7081" s="1050"/>
      <c r="C7081" s="1050"/>
      <c r="D7081" s="1050"/>
      <c r="E7081" s="1050"/>
      <c r="F7081" s="1050"/>
      <c r="G7081" s="1050"/>
    </row>
    <row r="7082" spans="1:7">
      <c r="A7082" s="1079"/>
      <c r="B7082" s="1050"/>
      <c r="C7082" s="1050"/>
      <c r="D7082" s="1050"/>
      <c r="E7082" s="1050"/>
      <c r="F7082" s="1050"/>
      <c r="G7082" s="1050"/>
    </row>
    <row r="7083" spans="1:7">
      <c r="A7083" s="1079"/>
      <c r="B7083" s="1050"/>
      <c r="C7083" s="1050"/>
      <c r="D7083" s="1050"/>
      <c r="E7083" s="1050"/>
      <c r="F7083" s="1050"/>
      <c r="G7083" s="1050"/>
    </row>
    <row r="7084" spans="1:7">
      <c r="A7084" s="1079"/>
      <c r="B7084" s="1050"/>
      <c r="C7084" s="1050"/>
      <c r="D7084" s="1050"/>
      <c r="E7084" s="1050"/>
      <c r="F7084" s="1050"/>
      <c r="G7084" s="1050"/>
    </row>
    <row r="7085" spans="1:7">
      <c r="A7085" s="1079"/>
      <c r="B7085" s="1050"/>
      <c r="C7085" s="1050"/>
      <c r="D7085" s="1050"/>
      <c r="E7085" s="1050"/>
      <c r="F7085" s="1050"/>
      <c r="G7085" s="1050"/>
    </row>
    <row r="7086" spans="1:7">
      <c r="A7086" s="1079"/>
      <c r="B7086" s="1050"/>
      <c r="C7086" s="1050"/>
      <c r="D7086" s="1050"/>
      <c r="E7086" s="1050"/>
      <c r="F7086" s="1050"/>
      <c r="G7086" s="1050"/>
    </row>
    <row r="7087" spans="1:7">
      <c r="A7087" s="1079"/>
      <c r="B7087" s="1050"/>
      <c r="C7087" s="1050"/>
      <c r="D7087" s="1050"/>
      <c r="E7087" s="1050"/>
      <c r="F7087" s="1050"/>
      <c r="G7087" s="1050"/>
    </row>
    <row r="7088" spans="1:7">
      <c r="A7088" s="1079"/>
      <c r="B7088" s="1050"/>
      <c r="C7088" s="1050"/>
      <c r="D7088" s="1050"/>
      <c r="E7088" s="1050"/>
      <c r="F7088" s="1050"/>
      <c r="G7088" s="1050"/>
    </row>
    <row r="7089" spans="1:7">
      <c r="A7089" s="1079"/>
      <c r="B7089" s="1050"/>
      <c r="C7089" s="1050"/>
      <c r="D7089" s="1050"/>
      <c r="E7089" s="1050"/>
      <c r="F7089" s="1050"/>
      <c r="G7089" s="1050"/>
    </row>
    <row r="7090" spans="1:7">
      <c r="A7090" s="1079"/>
      <c r="B7090" s="1050"/>
      <c r="C7090" s="1050"/>
      <c r="D7090" s="1050"/>
      <c r="E7090" s="1050"/>
      <c r="F7090" s="1050"/>
      <c r="G7090" s="1050"/>
    </row>
    <row r="7091" spans="1:7">
      <c r="A7091" s="1079"/>
      <c r="B7091" s="1050"/>
      <c r="C7091" s="1050"/>
      <c r="D7091" s="1050"/>
      <c r="E7091" s="1050"/>
      <c r="F7091" s="1050"/>
      <c r="G7091" s="1050"/>
    </row>
    <row r="7092" spans="1:7">
      <c r="A7092" s="1079"/>
      <c r="B7092" s="1050"/>
      <c r="C7092" s="1050"/>
      <c r="D7092" s="1050"/>
      <c r="E7092" s="1050"/>
      <c r="F7092" s="1050"/>
      <c r="G7092" s="1050"/>
    </row>
    <row r="7093" spans="1:7">
      <c r="A7093" s="1079"/>
      <c r="B7093" s="1050"/>
      <c r="C7093" s="1050"/>
      <c r="D7093" s="1050"/>
      <c r="E7093" s="1050"/>
      <c r="F7093" s="1050"/>
      <c r="G7093" s="1050"/>
    </row>
    <row r="7094" spans="1:7">
      <c r="A7094" s="1079"/>
      <c r="B7094" s="1050"/>
      <c r="C7094" s="1050"/>
      <c r="D7094" s="1050"/>
      <c r="E7094" s="1050"/>
      <c r="F7094" s="1050"/>
      <c r="G7094" s="1050"/>
    </row>
    <row r="7095" spans="1:7">
      <c r="A7095" s="1079"/>
      <c r="B7095" s="1050"/>
      <c r="C7095" s="1050"/>
      <c r="D7095" s="1050"/>
      <c r="E7095" s="1050"/>
      <c r="F7095" s="1050"/>
      <c r="G7095" s="1050"/>
    </row>
    <row r="7096" spans="1:7">
      <c r="A7096" s="1079"/>
      <c r="B7096" s="1050"/>
      <c r="C7096" s="1050"/>
      <c r="D7096" s="1050"/>
      <c r="E7096" s="1050"/>
      <c r="F7096" s="1050"/>
      <c r="G7096" s="1050"/>
    </row>
    <row r="7097" spans="1:7">
      <c r="A7097" s="1079"/>
      <c r="B7097" s="1050"/>
      <c r="C7097" s="1050"/>
      <c r="D7097" s="1050"/>
      <c r="E7097" s="1050"/>
      <c r="F7097" s="1050"/>
      <c r="G7097" s="1050"/>
    </row>
    <row r="7098" spans="1:7">
      <c r="A7098" s="1079"/>
      <c r="B7098" s="1050"/>
      <c r="C7098" s="1050"/>
      <c r="D7098" s="1050"/>
      <c r="E7098" s="1050"/>
      <c r="F7098" s="1050"/>
      <c r="G7098" s="1050"/>
    </row>
    <row r="7099" spans="1:7">
      <c r="A7099" s="1079"/>
      <c r="B7099" s="1050"/>
      <c r="C7099" s="1050"/>
      <c r="D7099" s="1050"/>
      <c r="E7099" s="1050"/>
      <c r="F7099" s="1050"/>
      <c r="G7099" s="1050"/>
    </row>
    <row r="7100" spans="1:7">
      <c r="A7100" s="1079"/>
      <c r="B7100" s="1050"/>
      <c r="C7100" s="1050"/>
      <c r="D7100" s="1050"/>
      <c r="E7100" s="1050"/>
      <c r="F7100" s="1050"/>
      <c r="G7100" s="1050"/>
    </row>
    <row r="7101" spans="1:7">
      <c r="A7101" s="1079"/>
      <c r="B7101" s="1050"/>
      <c r="C7101" s="1050"/>
      <c r="D7101" s="1050"/>
      <c r="E7101" s="1050"/>
      <c r="F7101" s="1050"/>
      <c r="G7101" s="1050"/>
    </row>
    <row r="7102" spans="1:7">
      <c r="A7102" s="1079"/>
      <c r="B7102" s="1050"/>
      <c r="C7102" s="1050"/>
      <c r="D7102" s="1050"/>
      <c r="E7102" s="1050"/>
      <c r="F7102" s="1050"/>
      <c r="G7102" s="1050"/>
    </row>
    <row r="7103" spans="1:7">
      <c r="A7103" s="1079"/>
      <c r="B7103" s="1050"/>
      <c r="C7103" s="1050"/>
      <c r="D7103" s="1050"/>
      <c r="E7103" s="1050"/>
      <c r="F7103" s="1050"/>
      <c r="G7103" s="1050"/>
    </row>
    <row r="7104" spans="1:7">
      <c r="A7104" s="1079"/>
      <c r="B7104" s="1050"/>
      <c r="C7104" s="1050"/>
      <c r="D7104" s="1050"/>
      <c r="E7104" s="1050"/>
      <c r="F7104" s="1050"/>
      <c r="G7104" s="1050"/>
    </row>
    <row r="7105" spans="1:7">
      <c r="A7105" s="1079"/>
      <c r="B7105" s="1050"/>
      <c r="C7105" s="1050"/>
      <c r="D7105" s="1050"/>
      <c r="E7105" s="1050"/>
      <c r="F7105" s="1050"/>
      <c r="G7105" s="1050"/>
    </row>
    <row r="7106" spans="1:7">
      <c r="A7106" s="1079"/>
      <c r="B7106" s="1050"/>
      <c r="C7106" s="1050"/>
      <c r="D7106" s="1050"/>
      <c r="E7106" s="1050"/>
      <c r="F7106" s="1050"/>
      <c r="G7106" s="1050"/>
    </row>
    <row r="7107" spans="1:7">
      <c r="A7107" s="1079"/>
      <c r="B7107" s="1050"/>
      <c r="C7107" s="1050"/>
      <c r="D7107" s="1050"/>
      <c r="E7107" s="1050"/>
      <c r="F7107" s="1050"/>
      <c r="G7107" s="1050"/>
    </row>
    <row r="7108" spans="1:7">
      <c r="A7108" s="1079"/>
      <c r="B7108" s="1050"/>
      <c r="C7108" s="1050"/>
      <c r="D7108" s="1050"/>
      <c r="E7108" s="1050"/>
      <c r="F7108" s="1050"/>
      <c r="G7108" s="1050"/>
    </row>
    <row r="7109" spans="1:7">
      <c r="A7109" s="1079"/>
      <c r="B7109" s="1050"/>
      <c r="C7109" s="1050"/>
      <c r="D7109" s="1050"/>
      <c r="E7109" s="1050"/>
      <c r="F7109" s="1050"/>
      <c r="G7109" s="1050"/>
    </row>
    <row r="7110" spans="1:7">
      <c r="A7110" s="1079"/>
      <c r="B7110" s="1050"/>
      <c r="C7110" s="1050"/>
      <c r="D7110" s="1050"/>
      <c r="E7110" s="1050"/>
      <c r="F7110" s="1050"/>
      <c r="G7110" s="1050"/>
    </row>
    <row r="7111" spans="1:7">
      <c r="A7111" s="1079"/>
      <c r="B7111" s="1050"/>
      <c r="C7111" s="1050"/>
      <c r="D7111" s="1050"/>
      <c r="E7111" s="1050"/>
      <c r="F7111" s="1050"/>
      <c r="G7111" s="1050"/>
    </row>
    <row r="7112" spans="1:7">
      <c r="A7112" s="1079"/>
      <c r="B7112" s="1050"/>
      <c r="C7112" s="1050"/>
      <c r="D7112" s="1050"/>
      <c r="E7112" s="1050"/>
      <c r="F7112" s="1050"/>
      <c r="G7112" s="1050"/>
    </row>
    <row r="7113" spans="1:7">
      <c r="A7113" s="1079"/>
      <c r="B7113" s="1050"/>
      <c r="C7113" s="1050"/>
      <c r="D7113" s="1050"/>
      <c r="E7113" s="1050"/>
      <c r="F7113" s="1050"/>
      <c r="G7113" s="1050"/>
    </row>
    <row r="7114" spans="1:7">
      <c r="A7114" s="1079"/>
      <c r="B7114" s="1050"/>
      <c r="C7114" s="1050"/>
      <c r="D7114" s="1050"/>
      <c r="E7114" s="1050"/>
      <c r="F7114" s="1050"/>
      <c r="G7114" s="1050"/>
    </row>
    <row r="7115" spans="1:7">
      <c r="A7115" s="1079"/>
      <c r="B7115" s="1050"/>
      <c r="C7115" s="1050"/>
      <c r="D7115" s="1050"/>
      <c r="E7115" s="1050"/>
      <c r="F7115" s="1050"/>
      <c r="G7115" s="1050"/>
    </row>
    <row r="7116" spans="1:7">
      <c r="A7116" s="1079"/>
      <c r="B7116" s="1050"/>
      <c r="C7116" s="1050"/>
      <c r="D7116" s="1050"/>
      <c r="E7116" s="1050"/>
      <c r="F7116" s="1050"/>
      <c r="G7116" s="1050"/>
    </row>
    <row r="7117" spans="1:7">
      <c r="A7117" s="1079"/>
      <c r="B7117" s="1050"/>
      <c r="C7117" s="1050"/>
      <c r="D7117" s="1050"/>
      <c r="E7117" s="1050"/>
      <c r="F7117" s="1050"/>
      <c r="G7117" s="1050"/>
    </row>
    <row r="7118" spans="1:7">
      <c r="A7118" s="1079"/>
      <c r="B7118" s="1050"/>
      <c r="C7118" s="1050"/>
      <c r="D7118" s="1050"/>
      <c r="E7118" s="1050"/>
      <c r="F7118" s="1050"/>
      <c r="G7118" s="1050"/>
    </row>
    <row r="7119" spans="1:7">
      <c r="A7119" s="1079"/>
      <c r="B7119" s="1050"/>
      <c r="C7119" s="1050"/>
      <c r="D7119" s="1050"/>
      <c r="E7119" s="1050"/>
      <c r="F7119" s="1050"/>
      <c r="G7119" s="1050"/>
    </row>
    <row r="7120" spans="1:7">
      <c r="A7120" s="1079"/>
      <c r="B7120" s="1050"/>
      <c r="C7120" s="1050"/>
      <c r="D7120" s="1050"/>
      <c r="E7120" s="1050"/>
      <c r="F7120" s="1050"/>
      <c r="G7120" s="1050"/>
    </row>
    <row r="7121" spans="1:7">
      <c r="A7121" s="1079"/>
      <c r="B7121" s="1050"/>
      <c r="C7121" s="1050"/>
      <c r="D7121" s="1050"/>
      <c r="E7121" s="1050"/>
      <c r="F7121" s="1050"/>
      <c r="G7121" s="1050"/>
    </row>
    <row r="7122" spans="1:7">
      <c r="A7122" s="1079"/>
      <c r="B7122" s="1050"/>
      <c r="C7122" s="1050"/>
      <c r="D7122" s="1050"/>
      <c r="E7122" s="1050"/>
      <c r="F7122" s="1050"/>
      <c r="G7122" s="1050"/>
    </row>
    <row r="7123" spans="1:7">
      <c r="A7123" s="1079"/>
      <c r="B7123" s="1050"/>
      <c r="C7123" s="1050"/>
      <c r="D7123" s="1050"/>
      <c r="E7123" s="1050"/>
      <c r="F7123" s="1050"/>
      <c r="G7123" s="1050"/>
    </row>
    <row r="7124" spans="1:7">
      <c r="A7124" s="1079"/>
      <c r="B7124" s="1050"/>
      <c r="C7124" s="1050"/>
      <c r="D7124" s="1050"/>
      <c r="E7124" s="1050"/>
      <c r="F7124" s="1050"/>
      <c r="G7124" s="1050"/>
    </row>
    <row r="7125" spans="1:7">
      <c r="A7125" s="1079"/>
      <c r="B7125" s="1050"/>
      <c r="C7125" s="1050"/>
      <c r="D7125" s="1050"/>
      <c r="E7125" s="1050"/>
      <c r="F7125" s="1050"/>
      <c r="G7125" s="1050"/>
    </row>
    <row r="7126" spans="1:7">
      <c r="A7126" s="1079"/>
      <c r="B7126" s="1050"/>
      <c r="C7126" s="1050"/>
      <c r="D7126" s="1050"/>
      <c r="E7126" s="1050"/>
      <c r="F7126" s="1050"/>
      <c r="G7126" s="1050"/>
    </row>
    <row r="7127" spans="1:7">
      <c r="A7127" s="1079"/>
      <c r="B7127" s="1050"/>
      <c r="C7127" s="1050"/>
      <c r="D7127" s="1050"/>
      <c r="E7127" s="1050"/>
      <c r="F7127" s="1050"/>
      <c r="G7127" s="1050"/>
    </row>
    <row r="7128" spans="1:7">
      <c r="A7128" s="1079"/>
      <c r="B7128" s="1050"/>
      <c r="C7128" s="1050"/>
      <c r="D7128" s="1050"/>
      <c r="E7128" s="1050"/>
      <c r="F7128" s="1050"/>
      <c r="G7128" s="1050"/>
    </row>
    <row r="7129" spans="1:7">
      <c r="A7129" s="1079"/>
      <c r="B7129" s="1050"/>
      <c r="C7129" s="1050"/>
      <c r="D7129" s="1050"/>
      <c r="E7129" s="1050"/>
      <c r="F7129" s="1050"/>
      <c r="G7129" s="1050"/>
    </row>
    <row r="7130" spans="1:7">
      <c r="A7130" s="1079"/>
      <c r="B7130" s="1050"/>
      <c r="C7130" s="1050"/>
      <c r="D7130" s="1050"/>
      <c r="E7130" s="1050"/>
      <c r="F7130" s="1050"/>
      <c r="G7130" s="1050"/>
    </row>
    <row r="7131" spans="1:7">
      <c r="A7131" s="1079"/>
      <c r="B7131" s="1050"/>
      <c r="C7131" s="1050"/>
      <c r="D7131" s="1050"/>
      <c r="E7131" s="1050"/>
      <c r="F7131" s="1050"/>
      <c r="G7131" s="1050"/>
    </row>
    <row r="7132" spans="1:7">
      <c r="A7132" s="1079"/>
      <c r="B7132" s="1050"/>
      <c r="C7132" s="1050"/>
      <c r="D7132" s="1050"/>
      <c r="E7132" s="1050"/>
      <c r="F7132" s="1050"/>
      <c r="G7132" s="1050"/>
    </row>
    <row r="7133" spans="1:7">
      <c r="A7133" s="1079"/>
      <c r="B7133" s="1050"/>
      <c r="C7133" s="1050"/>
      <c r="D7133" s="1050"/>
      <c r="E7133" s="1050"/>
      <c r="F7133" s="1050"/>
      <c r="G7133" s="1050"/>
    </row>
    <row r="7134" spans="1:7">
      <c r="A7134" s="1079"/>
      <c r="B7134" s="1050"/>
      <c r="C7134" s="1050"/>
      <c r="D7134" s="1050"/>
      <c r="E7134" s="1050"/>
      <c r="F7134" s="1050"/>
      <c r="G7134" s="1050"/>
    </row>
    <row r="7135" spans="1:7">
      <c r="A7135" s="1079"/>
      <c r="B7135" s="1050"/>
      <c r="C7135" s="1050"/>
      <c r="D7135" s="1050"/>
      <c r="E7135" s="1050"/>
      <c r="F7135" s="1050"/>
      <c r="G7135" s="1050"/>
    </row>
    <row r="7136" spans="1:7">
      <c r="A7136" s="1079"/>
      <c r="B7136" s="1050"/>
      <c r="C7136" s="1050"/>
      <c r="D7136" s="1050"/>
      <c r="E7136" s="1050"/>
      <c r="F7136" s="1050"/>
      <c r="G7136" s="1050"/>
    </row>
    <row r="7137" spans="1:7">
      <c r="A7137" s="1079"/>
      <c r="B7137" s="1050"/>
      <c r="C7137" s="1050"/>
      <c r="D7137" s="1050"/>
      <c r="E7137" s="1050"/>
      <c r="F7137" s="1050"/>
      <c r="G7137" s="1050"/>
    </row>
    <row r="7138" spans="1:7">
      <c r="A7138" s="1079"/>
      <c r="B7138" s="1050"/>
      <c r="C7138" s="1050"/>
      <c r="D7138" s="1050"/>
      <c r="E7138" s="1050"/>
      <c r="F7138" s="1050"/>
      <c r="G7138" s="1050"/>
    </row>
    <row r="7139" spans="1:7">
      <c r="A7139" s="1079"/>
      <c r="B7139" s="1050"/>
      <c r="C7139" s="1050"/>
      <c r="D7139" s="1050"/>
      <c r="E7139" s="1050"/>
      <c r="F7139" s="1050"/>
      <c r="G7139" s="1050"/>
    </row>
    <row r="7140" spans="1:7">
      <c r="A7140" s="1079"/>
      <c r="B7140" s="1050"/>
      <c r="C7140" s="1050"/>
      <c r="D7140" s="1050"/>
      <c r="E7140" s="1050"/>
      <c r="F7140" s="1050"/>
      <c r="G7140" s="1050"/>
    </row>
    <row r="7141" spans="1:7">
      <c r="A7141" s="1079"/>
      <c r="B7141" s="1050"/>
      <c r="C7141" s="1050"/>
      <c r="D7141" s="1050"/>
      <c r="E7141" s="1050"/>
      <c r="F7141" s="1050"/>
      <c r="G7141" s="1050"/>
    </row>
    <row r="7142" spans="1:7">
      <c r="A7142" s="1079"/>
      <c r="B7142" s="1050"/>
      <c r="C7142" s="1050"/>
      <c r="D7142" s="1050"/>
      <c r="E7142" s="1050"/>
      <c r="F7142" s="1050"/>
      <c r="G7142" s="1050"/>
    </row>
    <row r="7143" spans="1:7">
      <c r="A7143" s="1079"/>
      <c r="B7143" s="1050"/>
      <c r="C7143" s="1050"/>
      <c r="D7143" s="1050"/>
      <c r="E7143" s="1050"/>
      <c r="F7143" s="1050"/>
      <c r="G7143" s="1050"/>
    </row>
    <row r="7144" spans="1:7">
      <c r="A7144" s="1079"/>
      <c r="B7144" s="1050"/>
      <c r="C7144" s="1050"/>
      <c r="D7144" s="1050"/>
      <c r="E7144" s="1050"/>
      <c r="F7144" s="1050"/>
      <c r="G7144" s="1050"/>
    </row>
    <row r="7145" spans="1:7">
      <c r="A7145" s="1079"/>
      <c r="B7145" s="1050"/>
      <c r="C7145" s="1050"/>
      <c r="D7145" s="1050"/>
      <c r="E7145" s="1050"/>
      <c r="F7145" s="1050"/>
      <c r="G7145" s="1050"/>
    </row>
    <row r="7146" spans="1:7">
      <c r="A7146" s="1079"/>
      <c r="B7146" s="1050"/>
      <c r="C7146" s="1050"/>
      <c r="D7146" s="1050"/>
      <c r="E7146" s="1050"/>
      <c r="F7146" s="1050"/>
      <c r="G7146" s="1050"/>
    </row>
    <row r="7147" spans="1:7">
      <c r="A7147" s="1079"/>
      <c r="B7147" s="1050"/>
      <c r="C7147" s="1050"/>
      <c r="D7147" s="1050"/>
      <c r="E7147" s="1050"/>
      <c r="F7147" s="1050"/>
      <c r="G7147" s="1050"/>
    </row>
    <row r="7148" spans="1:7">
      <c r="A7148" s="1079"/>
      <c r="B7148" s="1050"/>
      <c r="C7148" s="1050"/>
      <c r="D7148" s="1050"/>
      <c r="E7148" s="1050"/>
      <c r="F7148" s="1050"/>
      <c r="G7148" s="1050"/>
    </row>
    <row r="7149" spans="1:7">
      <c r="A7149" s="1079"/>
      <c r="B7149" s="1050"/>
      <c r="C7149" s="1050"/>
      <c r="D7149" s="1050"/>
      <c r="E7149" s="1050"/>
      <c r="F7149" s="1050"/>
      <c r="G7149" s="1050"/>
    </row>
    <row r="7150" spans="1:7">
      <c r="A7150" s="1079"/>
      <c r="B7150" s="1050"/>
      <c r="C7150" s="1050"/>
      <c r="D7150" s="1050"/>
      <c r="E7150" s="1050"/>
      <c r="F7150" s="1050"/>
      <c r="G7150" s="1050"/>
    </row>
    <row r="7151" spans="1:7">
      <c r="A7151" s="1079"/>
      <c r="B7151" s="1050"/>
      <c r="C7151" s="1050"/>
      <c r="D7151" s="1050"/>
      <c r="E7151" s="1050"/>
      <c r="F7151" s="1050"/>
      <c r="G7151" s="1050"/>
    </row>
    <row r="7152" spans="1:7">
      <c r="A7152" s="1079"/>
      <c r="B7152" s="1050"/>
      <c r="C7152" s="1050"/>
      <c r="D7152" s="1050"/>
      <c r="E7152" s="1050"/>
      <c r="F7152" s="1050"/>
      <c r="G7152" s="1050"/>
    </row>
    <row r="7153" spans="1:7">
      <c r="A7153" s="1079"/>
      <c r="B7153" s="1050"/>
      <c r="C7153" s="1050"/>
      <c r="D7153" s="1050"/>
      <c r="E7153" s="1050"/>
      <c r="F7153" s="1050"/>
      <c r="G7153" s="1050"/>
    </row>
    <row r="7154" spans="1:7">
      <c r="A7154" s="1079"/>
      <c r="B7154" s="1050"/>
      <c r="C7154" s="1050"/>
      <c r="D7154" s="1050"/>
      <c r="E7154" s="1050"/>
      <c r="F7154" s="1050"/>
      <c r="G7154" s="1050"/>
    </row>
    <row r="7155" spans="1:7">
      <c r="A7155" s="1079"/>
      <c r="B7155" s="1050"/>
      <c r="C7155" s="1050"/>
      <c r="D7155" s="1050"/>
      <c r="E7155" s="1050"/>
      <c r="F7155" s="1050"/>
      <c r="G7155" s="1050"/>
    </row>
    <row r="7156" spans="1:7">
      <c r="A7156" s="1079"/>
      <c r="B7156" s="1050"/>
      <c r="C7156" s="1050"/>
      <c r="D7156" s="1050"/>
      <c r="E7156" s="1050"/>
      <c r="F7156" s="1050"/>
      <c r="G7156" s="1050"/>
    </row>
    <row r="7157" spans="1:7">
      <c r="A7157" s="1079"/>
      <c r="B7157" s="1050"/>
      <c r="C7157" s="1050"/>
      <c r="D7157" s="1050"/>
      <c r="E7157" s="1050"/>
      <c r="F7157" s="1050"/>
      <c r="G7157" s="1050"/>
    </row>
    <row r="7158" spans="1:7">
      <c r="A7158" s="1079"/>
      <c r="B7158" s="1050"/>
      <c r="C7158" s="1050"/>
      <c r="D7158" s="1050"/>
      <c r="E7158" s="1050"/>
      <c r="F7158" s="1050"/>
      <c r="G7158" s="1050"/>
    </row>
    <row r="7159" spans="1:7">
      <c r="A7159" s="1079"/>
      <c r="B7159" s="1050"/>
      <c r="C7159" s="1050"/>
      <c r="D7159" s="1050"/>
      <c r="E7159" s="1050"/>
      <c r="F7159" s="1050"/>
      <c r="G7159" s="1050"/>
    </row>
    <row r="7160" spans="1:7">
      <c r="A7160" s="1079"/>
      <c r="B7160" s="1050"/>
      <c r="C7160" s="1050"/>
      <c r="D7160" s="1050"/>
      <c r="E7160" s="1050"/>
      <c r="F7160" s="1050"/>
      <c r="G7160" s="1050"/>
    </row>
    <row r="7161" spans="1:7">
      <c r="A7161" s="1079"/>
      <c r="B7161" s="1050"/>
      <c r="C7161" s="1050"/>
      <c r="D7161" s="1050"/>
      <c r="E7161" s="1050"/>
      <c r="F7161" s="1050"/>
      <c r="G7161" s="1050"/>
    </row>
    <row r="7162" spans="1:7">
      <c r="A7162" s="1079"/>
      <c r="B7162" s="1050"/>
      <c r="C7162" s="1050"/>
      <c r="D7162" s="1050"/>
      <c r="E7162" s="1050"/>
      <c r="F7162" s="1050"/>
      <c r="G7162" s="1050"/>
    </row>
    <row r="7163" spans="1:7">
      <c r="A7163" s="1079"/>
      <c r="B7163" s="1050"/>
      <c r="C7163" s="1050"/>
      <c r="D7163" s="1050"/>
      <c r="E7163" s="1050"/>
      <c r="F7163" s="1050"/>
      <c r="G7163" s="1050"/>
    </row>
    <row r="7164" spans="1:7">
      <c r="A7164" s="1079"/>
      <c r="B7164" s="1050"/>
      <c r="C7164" s="1050"/>
      <c r="D7164" s="1050"/>
      <c r="E7164" s="1050"/>
      <c r="F7164" s="1050"/>
      <c r="G7164" s="1050"/>
    </row>
    <row r="7165" spans="1:7">
      <c r="A7165" s="1079"/>
      <c r="B7165" s="1050"/>
      <c r="C7165" s="1050"/>
      <c r="D7165" s="1050"/>
      <c r="E7165" s="1050"/>
      <c r="F7165" s="1050"/>
      <c r="G7165" s="1050"/>
    </row>
    <row r="7166" spans="1:7">
      <c r="A7166" s="1079"/>
      <c r="B7166" s="1050"/>
      <c r="C7166" s="1050"/>
      <c r="D7166" s="1050"/>
      <c r="E7166" s="1050"/>
      <c r="F7166" s="1050"/>
      <c r="G7166" s="1050"/>
    </row>
    <row r="7167" spans="1:7">
      <c r="A7167" s="1079"/>
      <c r="B7167" s="1050"/>
      <c r="C7167" s="1050"/>
      <c r="D7167" s="1050"/>
      <c r="E7167" s="1050"/>
      <c r="F7167" s="1050"/>
      <c r="G7167" s="1050"/>
    </row>
    <row r="7168" spans="1:7">
      <c r="A7168" s="1079"/>
      <c r="B7168" s="1050"/>
      <c r="C7168" s="1050"/>
      <c r="D7168" s="1050"/>
      <c r="E7168" s="1050"/>
      <c r="F7168" s="1050"/>
      <c r="G7168" s="1050"/>
    </row>
    <row r="7169" spans="1:7">
      <c r="A7169" s="1079"/>
      <c r="B7169" s="1050"/>
      <c r="C7169" s="1050"/>
      <c r="D7169" s="1050"/>
      <c r="E7169" s="1050"/>
      <c r="F7169" s="1050"/>
      <c r="G7169" s="1050"/>
    </row>
    <row r="7170" spans="1:7">
      <c r="A7170" s="1079"/>
      <c r="B7170" s="1050"/>
      <c r="C7170" s="1050"/>
      <c r="D7170" s="1050"/>
      <c r="E7170" s="1050"/>
      <c r="F7170" s="1050"/>
      <c r="G7170" s="1050"/>
    </row>
    <row r="7171" spans="1:7">
      <c r="A7171" s="1079"/>
      <c r="B7171" s="1050"/>
      <c r="C7171" s="1050"/>
      <c r="D7171" s="1050"/>
      <c r="E7171" s="1050"/>
      <c r="F7171" s="1050"/>
      <c r="G7171" s="1050"/>
    </row>
    <row r="7172" spans="1:7">
      <c r="A7172" s="1079"/>
      <c r="B7172" s="1050"/>
      <c r="C7172" s="1050"/>
      <c r="D7172" s="1050"/>
      <c r="E7172" s="1050"/>
      <c r="F7172" s="1050"/>
      <c r="G7172" s="1050"/>
    </row>
    <row r="7173" spans="1:7">
      <c r="A7173" s="1079"/>
      <c r="B7173" s="1050"/>
      <c r="C7173" s="1050"/>
      <c r="D7173" s="1050"/>
      <c r="E7173" s="1050"/>
      <c r="F7173" s="1050"/>
      <c r="G7173" s="1050"/>
    </row>
    <row r="7174" spans="1:7">
      <c r="A7174" s="1079"/>
      <c r="B7174" s="1050"/>
      <c r="C7174" s="1050"/>
      <c r="D7174" s="1050"/>
      <c r="E7174" s="1050"/>
      <c r="F7174" s="1050"/>
      <c r="G7174" s="1050"/>
    </row>
    <row r="7175" spans="1:7">
      <c r="A7175" s="1079"/>
      <c r="B7175" s="1050"/>
      <c r="C7175" s="1050"/>
      <c r="D7175" s="1050"/>
      <c r="E7175" s="1050"/>
      <c r="F7175" s="1050"/>
      <c r="G7175" s="1050"/>
    </row>
    <row r="7176" spans="1:7">
      <c r="A7176" s="1079"/>
      <c r="B7176" s="1050"/>
      <c r="C7176" s="1050"/>
      <c r="D7176" s="1050"/>
      <c r="E7176" s="1050"/>
      <c r="F7176" s="1050"/>
      <c r="G7176" s="1050"/>
    </row>
    <row r="7177" spans="1:7">
      <c r="A7177" s="1079"/>
      <c r="B7177" s="1050"/>
      <c r="C7177" s="1050"/>
      <c r="D7177" s="1050"/>
      <c r="E7177" s="1050"/>
      <c r="F7177" s="1050"/>
      <c r="G7177" s="1050"/>
    </row>
    <row r="7178" spans="1:7">
      <c r="A7178" s="1079"/>
      <c r="B7178" s="1050"/>
      <c r="C7178" s="1050"/>
      <c r="D7178" s="1050"/>
      <c r="E7178" s="1050"/>
      <c r="F7178" s="1050"/>
      <c r="G7178" s="1050"/>
    </row>
    <row r="7179" spans="1:7">
      <c r="A7179" s="1079"/>
      <c r="B7179" s="1050"/>
      <c r="C7179" s="1050"/>
      <c r="D7179" s="1050"/>
      <c r="E7179" s="1050"/>
      <c r="F7179" s="1050"/>
      <c r="G7179" s="1050"/>
    </row>
    <row r="7180" spans="1:7">
      <c r="A7180" s="1079"/>
      <c r="B7180" s="1050"/>
      <c r="C7180" s="1050"/>
      <c r="D7180" s="1050"/>
      <c r="E7180" s="1050"/>
      <c r="F7180" s="1050"/>
      <c r="G7180" s="1050"/>
    </row>
    <row r="7181" spans="1:7">
      <c r="A7181" s="1079"/>
      <c r="B7181" s="1050"/>
      <c r="C7181" s="1050"/>
      <c r="D7181" s="1050"/>
      <c r="E7181" s="1050"/>
      <c r="F7181" s="1050"/>
      <c r="G7181" s="1050"/>
    </row>
    <row r="7182" spans="1:7">
      <c r="A7182" s="1079"/>
      <c r="B7182" s="1050"/>
      <c r="C7182" s="1050"/>
      <c r="D7182" s="1050"/>
      <c r="E7182" s="1050"/>
      <c r="F7182" s="1050"/>
      <c r="G7182" s="1050"/>
    </row>
    <row r="7183" spans="1:7">
      <c r="A7183" s="1079"/>
      <c r="B7183" s="1050"/>
      <c r="C7183" s="1050"/>
      <c r="D7183" s="1050"/>
      <c r="E7183" s="1050"/>
      <c r="F7183" s="1050"/>
      <c r="G7183" s="1050"/>
    </row>
    <row r="7184" spans="1:7">
      <c r="A7184" s="1079"/>
      <c r="B7184" s="1050"/>
      <c r="C7184" s="1050"/>
      <c r="D7184" s="1050"/>
      <c r="E7184" s="1050"/>
      <c r="F7184" s="1050"/>
      <c r="G7184" s="1050"/>
    </row>
    <row r="7185" spans="1:7">
      <c r="A7185" s="1079"/>
      <c r="B7185" s="1050"/>
      <c r="C7185" s="1050"/>
      <c r="D7185" s="1050"/>
      <c r="E7185" s="1050"/>
      <c r="F7185" s="1050"/>
      <c r="G7185" s="1050"/>
    </row>
    <row r="7186" spans="1:7">
      <c r="A7186" s="1079"/>
      <c r="B7186" s="1050"/>
      <c r="C7186" s="1050"/>
      <c r="D7186" s="1050"/>
      <c r="E7186" s="1050"/>
      <c r="F7186" s="1050"/>
      <c r="G7186" s="1050"/>
    </row>
    <row r="7187" spans="1:7">
      <c r="A7187" s="1079"/>
      <c r="B7187" s="1050"/>
      <c r="C7187" s="1050"/>
      <c r="D7187" s="1050"/>
      <c r="E7187" s="1050"/>
      <c r="F7187" s="1050"/>
      <c r="G7187" s="1050"/>
    </row>
    <row r="7188" spans="1:7">
      <c r="A7188" s="1079"/>
      <c r="B7188" s="1050"/>
      <c r="C7188" s="1050"/>
      <c r="D7188" s="1050"/>
      <c r="E7188" s="1050"/>
      <c r="F7188" s="1050"/>
      <c r="G7188" s="1050"/>
    </row>
    <row r="7189" spans="1:7">
      <c r="A7189" s="1079"/>
      <c r="B7189" s="1050"/>
      <c r="C7189" s="1050"/>
      <c r="D7189" s="1050"/>
      <c r="E7189" s="1050"/>
      <c r="F7189" s="1050"/>
      <c r="G7189" s="1050"/>
    </row>
    <row r="7190" spans="1:7">
      <c r="A7190" s="1079"/>
      <c r="B7190" s="1050"/>
      <c r="C7190" s="1050"/>
      <c r="D7190" s="1050"/>
      <c r="E7190" s="1050"/>
      <c r="F7190" s="1050"/>
      <c r="G7190" s="1050"/>
    </row>
    <row r="7191" spans="1:7">
      <c r="A7191" s="1079"/>
      <c r="B7191" s="1050"/>
      <c r="C7191" s="1050"/>
      <c r="D7191" s="1050"/>
      <c r="E7191" s="1050"/>
      <c r="F7191" s="1050"/>
      <c r="G7191" s="1050"/>
    </row>
    <row r="7192" spans="1:7">
      <c r="A7192" s="1079"/>
      <c r="B7192" s="1050"/>
      <c r="C7192" s="1050"/>
      <c r="D7192" s="1050"/>
      <c r="E7192" s="1050"/>
      <c r="F7192" s="1050"/>
      <c r="G7192" s="1050"/>
    </row>
    <row r="7193" spans="1:7">
      <c r="A7193" s="1079"/>
      <c r="B7193" s="1050"/>
      <c r="C7193" s="1050"/>
      <c r="D7193" s="1050"/>
      <c r="E7193" s="1050"/>
      <c r="F7193" s="1050"/>
      <c r="G7193" s="1050"/>
    </row>
    <row r="7194" spans="1:7">
      <c r="A7194" s="1079"/>
      <c r="B7194" s="1050"/>
      <c r="C7194" s="1050"/>
      <c r="D7194" s="1050"/>
      <c r="E7194" s="1050"/>
      <c r="F7194" s="1050"/>
      <c r="G7194" s="1050"/>
    </row>
    <row r="7195" spans="1:7">
      <c r="A7195" s="1079"/>
      <c r="B7195" s="1050"/>
      <c r="C7195" s="1050"/>
      <c r="D7195" s="1050"/>
      <c r="E7195" s="1050"/>
      <c r="F7195" s="1050"/>
      <c r="G7195" s="1050"/>
    </row>
    <row r="7196" spans="1:7">
      <c r="A7196" s="1079"/>
      <c r="B7196" s="1050"/>
      <c r="C7196" s="1050"/>
      <c r="D7196" s="1050"/>
      <c r="E7196" s="1050"/>
      <c r="F7196" s="1050"/>
      <c r="G7196" s="1050"/>
    </row>
    <row r="7197" spans="1:7">
      <c r="A7197" s="1079"/>
      <c r="B7197" s="1050"/>
      <c r="C7197" s="1050"/>
      <c r="D7197" s="1050"/>
      <c r="E7197" s="1050"/>
      <c r="F7197" s="1050"/>
      <c r="G7197" s="1050"/>
    </row>
    <row r="7198" spans="1:7">
      <c r="A7198" s="1079"/>
      <c r="B7198" s="1050"/>
      <c r="C7198" s="1050"/>
      <c r="D7198" s="1050"/>
      <c r="E7198" s="1050"/>
      <c r="F7198" s="1050"/>
      <c r="G7198" s="1050"/>
    </row>
    <row r="7199" spans="1:7">
      <c r="A7199" s="1079"/>
      <c r="B7199" s="1050"/>
      <c r="C7199" s="1050"/>
      <c r="D7199" s="1050"/>
      <c r="E7199" s="1050"/>
      <c r="F7199" s="1050"/>
      <c r="G7199" s="1050"/>
    </row>
    <row r="7200" spans="1:7">
      <c r="A7200" s="1079"/>
      <c r="B7200" s="1050"/>
      <c r="C7200" s="1050"/>
      <c r="D7200" s="1050"/>
      <c r="E7200" s="1050"/>
      <c r="F7200" s="1050"/>
      <c r="G7200" s="1050"/>
    </row>
    <row r="7201" spans="1:7">
      <c r="A7201" s="1079"/>
      <c r="B7201" s="1050"/>
      <c r="C7201" s="1050"/>
      <c r="D7201" s="1050"/>
      <c r="E7201" s="1050"/>
      <c r="F7201" s="1050"/>
      <c r="G7201" s="1050"/>
    </row>
    <row r="7202" spans="1:7">
      <c r="A7202" s="1079"/>
      <c r="B7202" s="1050"/>
      <c r="C7202" s="1050"/>
      <c r="D7202" s="1050"/>
      <c r="E7202" s="1050"/>
      <c r="F7202" s="1050"/>
      <c r="G7202" s="1050"/>
    </row>
    <row r="7203" spans="1:7">
      <c r="A7203" s="1079"/>
      <c r="B7203" s="1050"/>
      <c r="C7203" s="1050"/>
      <c r="D7203" s="1050"/>
      <c r="E7203" s="1050"/>
      <c r="F7203" s="1050"/>
      <c r="G7203" s="1050"/>
    </row>
    <row r="7204" spans="1:7">
      <c r="A7204" s="1079"/>
      <c r="B7204" s="1050"/>
      <c r="C7204" s="1050"/>
      <c r="D7204" s="1050"/>
      <c r="E7204" s="1050"/>
      <c r="F7204" s="1050"/>
      <c r="G7204" s="1050"/>
    </row>
    <row r="7205" spans="1:7">
      <c r="A7205" s="1079"/>
      <c r="B7205" s="1050"/>
      <c r="C7205" s="1050"/>
      <c r="D7205" s="1050"/>
      <c r="E7205" s="1050"/>
      <c r="F7205" s="1050"/>
      <c r="G7205" s="1050"/>
    </row>
    <row r="7206" spans="1:7">
      <c r="A7206" s="1079"/>
      <c r="B7206" s="1050"/>
      <c r="C7206" s="1050"/>
      <c r="D7206" s="1050"/>
      <c r="E7206" s="1050"/>
      <c r="F7206" s="1050"/>
      <c r="G7206" s="1050"/>
    </row>
    <row r="7207" spans="1:7">
      <c r="A7207" s="1079"/>
      <c r="B7207" s="1050"/>
      <c r="C7207" s="1050"/>
      <c r="D7207" s="1050"/>
      <c r="E7207" s="1050"/>
      <c r="F7207" s="1050"/>
      <c r="G7207" s="1050"/>
    </row>
    <row r="7208" spans="1:7">
      <c r="A7208" s="1079"/>
      <c r="B7208" s="1050"/>
      <c r="C7208" s="1050"/>
      <c r="D7208" s="1050"/>
      <c r="E7208" s="1050"/>
      <c r="F7208" s="1050"/>
      <c r="G7208" s="1050"/>
    </row>
    <row r="7209" spans="1:7">
      <c r="A7209" s="1079"/>
      <c r="B7209" s="1050"/>
      <c r="C7209" s="1050"/>
      <c r="D7209" s="1050"/>
      <c r="E7209" s="1050"/>
      <c r="F7209" s="1050"/>
      <c r="G7209" s="1050"/>
    </row>
    <row r="7210" spans="1:7">
      <c r="A7210" s="1079"/>
      <c r="B7210" s="1050"/>
      <c r="C7210" s="1050"/>
      <c r="D7210" s="1050"/>
      <c r="E7210" s="1050"/>
      <c r="F7210" s="1050"/>
      <c r="G7210" s="1050"/>
    </row>
    <row r="7211" spans="1:7">
      <c r="A7211" s="1079"/>
      <c r="B7211" s="1050"/>
      <c r="C7211" s="1050"/>
      <c r="D7211" s="1050"/>
      <c r="E7211" s="1050"/>
      <c r="F7211" s="1050"/>
      <c r="G7211" s="1050"/>
    </row>
    <row r="7212" spans="1:7">
      <c r="A7212" s="1079"/>
      <c r="B7212" s="1050"/>
      <c r="C7212" s="1050"/>
      <c r="D7212" s="1050"/>
      <c r="E7212" s="1050"/>
      <c r="F7212" s="1050"/>
      <c r="G7212" s="1050"/>
    </row>
    <row r="7213" spans="1:7">
      <c r="A7213" s="1079"/>
      <c r="B7213" s="1050"/>
      <c r="C7213" s="1050"/>
      <c r="D7213" s="1050"/>
      <c r="E7213" s="1050"/>
      <c r="F7213" s="1050"/>
      <c r="G7213" s="1050"/>
    </row>
    <row r="7214" spans="1:7">
      <c r="A7214" s="1079"/>
      <c r="B7214" s="1050"/>
      <c r="C7214" s="1050"/>
      <c r="D7214" s="1050"/>
      <c r="E7214" s="1050"/>
      <c r="F7214" s="1050"/>
      <c r="G7214" s="1050"/>
    </row>
    <row r="7215" spans="1:7">
      <c r="A7215" s="1079"/>
      <c r="B7215" s="1050"/>
      <c r="C7215" s="1050"/>
      <c r="D7215" s="1050"/>
      <c r="E7215" s="1050"/>
      <c r="F7215" s="1050"/>
      <c r="G7215" s="1050"/>
    </row>
    <row r="7216" spans="1:7">
      <c r="A7216" s="1079"/>
      <c r="B7216" s="1050"/>
      <c r="C7216" s="1050"/>
      <c r="D7216" s="1050"/>
      <c r="E7216" s="1050"/>
      <c r="F7216" s="1050"/>
      <c r="G7216" s="1050"/>
    </row>
    <row r="7217" spans="1:7">
      <c r="A7217" s="1079"/>
      <c r="B7217" s="1050"/>
      <c r="C7217" s="1050"/>
      <c r="D7217" s="1050"/>
      <c r="E7217" s="1050"/>
      <c r="F7217" s="1050"/>
      <c r="G7217" s="1050"/>
    </row>
    <row r="7218" spans="1:7">
      <c r="A7218" s="1079"/>
      <c r="B7218" s="1050"/>
      <c r="C7218" s="1050"/>
      <c r="D7218" s="1050"/>
      <c r="E7218" s="1050"/>
      <c r="F7218" s="1050"/>
      <c r="G7218" s="1050"/>
    </row>
    <row r="7219" spans="1:7">
      <c r="A7219" s="1079"/>
      <c r="B7219" s="1050"/>
      <c r="C7219" s="1050"/>
      <c r="D7219" s="1050"/>
      <c r="E7219" s="1050"/>
      <c r="F7219" s="1050"/>
      <c r="G7219" s="1050"/>
    </row>
    <row r="7220" spans="1:7">
      <c r="A7220" s="1079"/>
      <c r="B7220" s="1050"/>
      <c r="C7220" s="1050"/>
      <c r="D7220" s="1050"/>
      <c r="E7220" s="1050"/>
      <c r="F7220" s="1050"/>
      <c r="G7220" s="1050"/>
    </row>
    <row r="7221" spans="1:7">
      <c r="A7221" s="1079"/>
      <c r="B7221" s="1050"/>
      <c r="C7221" s="1050"/>
      <c r="D7221" s="1050"/>
      <c r="E7221" s="1050"/>
      <c r="F7221" s="1050"/>
      <c r="G7221" s="1050"/>
    </row>
    <row r="7222" spans="1:7">
      <c r="A7222" s="1079"/>
      <c r="B7222" s="1050"/>
      <c r="C7222" s="1050"/>
      <c r="D7222" s="1050"/>
      <c r="E7222" s="1050"/>
      <c r="F7222" s="1050"/>
      <c r="G7222" s="1050"/>
    </row>
    <row r="7223" spans="1:7">
      <c r="A7223" s="1079"/>
      <c r="B7223" s="1050"/>
      <c r="C7223" s="1050"/>
      <c r="D7223" s="1050"/>
      <c r="E7223" s="1050"/>
      <c r="F7223" s="1050"/>
      <c r="G7223" s="1050"/>
    </row>
    <row r="7224" spans="1:7">
      <c r="A7224" s="1079"/>
      <c r="B7224" s="1050"/>
      <c r="C7224" s="1050"/>
      <c r="D7224" s="1050"/>
      <c r="E7224" s="1050"/>
      <c r="F7224" s="1050"/>
      <c r="G7224" s="1050"/>
    </row>
    <row r="7225" spans="1:7">
      <c r="A7225" s="1079"/>
      <c r="B7225" s="1050"/>
      <c r="C7225" s="1050"/>
      <c r="D7225" s="1050"/>
      <c r="E7225" s="1050"/>
      <c r="F7225" s="1050"/>
      <c r="G7225" s="1050"/>
    </row>
    <row r="7226" spans="1:7">
      <c r="A7226" s="1079"/>
      <c r="B7226" s="1050"/>
      <c r="C7226" s="1050"/>
      <c r="D7226" s="1050"/>
      <c r="E7226" s="1050"/>
      <c r="F7226" s="1050"/>
      <c r="G7226" s="1050"/>
    </row>
    <row r="7227" spans="1:7">
      <c r="A7227" s="1079"/>
      <c r="B7227" s="1050"/>
      <c r="C7227" s="1050"/>
      <c r="D7227" s="1050"/>
      <c r="E7227" s="1050"/>
      <c r="F7227" s="1050"/>
      <c r="G7227" s="1050"/>
    </row>
    <row r="7228" spans="1:7">
      <c r="A7228" s="1079"/>
      <c r="B7228" s="1050"/>
      <c r="C7228" s="1050"/>
      <c r="D7228" s="1050"/>
      <c r="E7228" s="1050"/>
      <c r="F7228" s="1050"/>
      <c r="G7228" s="1050"/>
    </row>
    <row r="7229" spans="1:7">
      <c r="A7229" s="1079"/>
      <c r="B7229" s="1050"/>
      <c r="C7229" s="1050"/>
      <c r="D7229" s="1050"/>
      <c r="E7229" s="1050"/>
      <c r="F7229" s="1050"/>
      <c r="G7229" s="1050"/>
    </row>
    <row r="7230" spans="1:7">
      <c r="A7230" s="1079"/>
      <c r="B7230" s="1050"/>
      <c r="C7230" s="1050"/>
      <c r="D7230" s="1050"/>
      <c r="E7230" s="1050"/>
      <c r="F7230" s="1050"/>
      <c r="G7230" s="1050"/>
    </row>
    <row r="7231" spans="1:7">
      <c r="A7231" s="1079"/>
      <c r="B7231" s="1050"/>
      <c r="C7231" s="1050"/>
      <c r="D7231" s="1050"/>
      <c r="E7231" s="1050"/>
      <c r="F7231" s="1050"/>
      <c r="G7231" s="1050"/>
    </row>
    <row r="7232" spans="1:7">
      <c r="A7232" s="1079"/>
      <c r="B7232" s="1050"/>
      <c r="C7232" s="1050"/>
      <c r="D7232" s="1050"/>
      <c r="E7232" s="1050"/>
      <c r="F7232" s="1050"/>
      <c r="G7232" s="1050"/>
    </row>
    <row r="7233" spans="1:7">
      <c r="A7233" s="1079"/>
      <c r="B7233" s="1050"/>
      <c r="C7233" s="1050"/>
      <c r="D7233" s="1050"/>
      <c r="E7233" s="1050"/>
      <c r="F7233" s="1050"/>
      <c r="G7233" s="1050"/>
    </row>
    <row r="7234" spans="1:7">
      <c r="A7234" s="1079"/>
      <c r="B7234" s="1050"/>
      <c r="C7234" s="1050"/>
      <c r="D7234" s="1050"/>
      <c r="E7234" s="1050"/>
      <c r="F7234" s="1050"/>
      <c r="G7234" s="1050"/>
    </row>
    <row r="7235" spans="1:7">
      <c r="A7235" s="1079"/>
      <c r="B7235" s="1050"/>
      <c r="C7235" s="1050"/>
      <c r="D7235" s="1050"/>
      <c r="E7235" s="1050"/>
      <c r="F7235" s="1050"/>
      <c r="G7235" s="1050"/>
    </row>
    <row r="7236" spans="1:7">
      <c r="A7236" s="1079"/>
      <c r="B7236" s="1050"/>
      <c r="C7236" s="1050"/>
      <c r="D7236" s="1050"/>
      <c r="E7236" s="1050"/>
      <c r="F7236" s="1050"/>
      <c r="G7236" s="1050"/>
    </row>
    <row r="7237" spans="1:7">
      <c r="A7237" s="1079"/>
      <c r="B7237" s="1050"/>
      <c r="C7237" s="1050"/>
      <c r="D7237" s="1050"/>
      <c r="E7237" s="1050"/>
      <c r="F7237" s="1050"/>
      <c r="G7237" s="1050"/>
    </row>
    <row r="7238" spans="1:7">
      <c r="A7238" s="1079"/>
      <c r="B7238" s="1050"/>
      <c r="C7238" s="1050"/>
      <c r="D7238" s="1050"/>
      <c r="E7238" s="1050"/>
      <c r="F7238" s="1050"/>
      <c r="G7238" s="1050"/>
    </row>
    <row r="7239" spans="1:7">
      <c r="A7239" s="1079"/>
      <c r="B7239" s="1050"/>
      <c r="C7239" s="1050"/>
      <c r="D7239" s="1050"/>
      <c r="E7239" s="1050"/>
      <c r="F7239" s="1050"/>
      <c r="G7239" s="1050"/>
    </row>
    <row r="7240" spans="1:7">
      <c r="A7240" s="1079"/>
      <c r="B7240" s="1050"/>
      <c r="C7240" s="1050"/>
      <c r="D7240" s="1050"/>
      <c r="E7240" s="1050"/>
      <c r="F7240" s="1050"/>
      <c r="G7240" s="1050"/>
    </row>
    <row r="7241" spans="1:7">
      <c r="A7241" s="1079"/>
      <c r="B7241" s="1050"/>
      <c r="C7241" s="1050"/>
      <c r="D7241" s="1050"/>
      <c r="E7241" s="1050"/>
      <c r="F7241" s="1050"/>
      <c r="G7241" s="1050"/>
    </row>
    <row r="7242" spans="1:7">
      <c r="A7242" s="1079"/>
      <c r="B7242" s="1050"/>
      <c r="C7242" s="1050"/>
      <c r="D7242" s="1050"/>
      <c r="E7242" s="1050"/>
      <c r="F7242" s="1050"/>
      <c r="G7242" s="1050"/>
    </row>
    <row r="7243" spans="1:7">
      <c r="A7243" s="1079"/>
      <c r="B7243" s="1050"/>
      <c r="C7243" s="1050"/>
      <c r="D7243" s="1050"/>
      <c r="E7243" s="1050"/>
      <c r="F7243" s="1050"/>
      <c r="G7243" s="1050"/>
    </row>
    <row r="7244" spans="1:7">
      <c r="A7244" s="1079"/>
      <c r="B7244" s="1050"/>
      <c r="C7244" s="1050"/>
      <c r="D7244" s="1050"/>
      <c r="E7244" s="1050"/>
      <c r="F7244" s="1050"/>
      <c r="G7244" s="1050"/>
    </row>
    <row r="7245" spans="1:7">
      <c r="A7245" s="1079"/>
      <c r="B7245" s="1050"/>
      <c r="C7245" s="1050"/>
      <c r="D7245" s="1050"/>
      <c r="E7245" s="1050"/>
      <c r="F7245" s="1050"/>
      <c r="G7245" s="1050"/>
    </row>
    <row r="7246" spans="1:7">
      <c r="A7246" s="1079"/>
      <c r="B7246" s="1050"/>
      <c r="C7246" s="1050"/>
      <c r="D7246" s="1050"/>
      <c r="E7246" s="1050"/>
      <c r="F7246" s="1050"/>
      <c r="G7246" s="1050"/>
    </row>
    <row r="7247" spans="1:7">
      <c r="A7247" s="1079"/>
      <c r="B7247" s="1050"/>
      <c r="C7247" s="1050"/>
      <c r="D7247" s="1050"/>
      <c r="E7247" s="1050"/>
      <c r="F7247" s="1050"/>
      <c r="G7247" s="1050"/>
    </row>
    <row r="7248" spans="1:7">
      <c r="A7248" s="1079"/>
      <c r="B7248" s="1050"/>
      <c r="C7248" s="1050"/>
      <c r="D7248" s="1050"/>
      <c r="E7248" s="1050"/>
      <c r="F7248" s="1050"/>
      <c r="G7248" s="1050"/>
    </row>
    <row r="7249" spans="1:7">
      <c r="A7249" s="1079"/>
      <c r="B7249" s="1050"/>
      <c r="C7249" s="1050"/>
      <c r="D7249" s="1050"/>
      <c r="E7249" s="1050"/>
      <c r="F7249" s="1050"/>
      <c r="G7249" s="1050"/>
    </row>
    <row r="7250" spans="1:7">
      <c r="A7250" s="1079"/>
      <c r="B7250" s="1050"/>
      <c r="C7250" s="1050"/>
      <c r="D7250" s="1050"/>
      <c r="E7250" s="1050"/>
      <c r="F7250" s="1050"/>
      <c r="G7250" s="1050"/>
    </row>
    <row r="7251" spans="1:7">
      <c r="A7251" s="1079"/>
      <c r="B7251" s="1050"/>
      <c r="C7251" s="1050"/>
      <c r="D7251" s="1050"/>
      <c r="E7251" s="1050"/>
      <c r="F7251" s="1050"/>
      <c r="G7251" s="1050"/>
    </row>
    <row r="7252" spans="1:7">
      <c r="A7252" s="1079"/>
      <c r="B7252" s="1050"/>
      <c r="C7252" s="1050"/>
      <c r="D7252" s="1050"/>
      <c r="E7252" s="1050"/>
      <c r="F7252" s="1050"/>
      <c r="G7252" s="1050"/>
    </row>
    <row r="7253" spans="1:7">
      <c r="A7253" s="1079"/>
      <c r="B7253" s="1050"/>
      <c r="C7253" s="1050"/>
      <c r="D7253" s="1050"/>
      <c r="E7253" s="1050"/>
      <c r="F7253" s="1050"/>
      <c r="G7253" s="1050"/>
    </row>
    <row r="7254" spans="1:7">
      <c r="A7254" s="1079"/>
      <c r="B7254" s="1050"/>
      <c r="C7254" s="1050"/>
      <c r="D7254" s="1050"/>
      <c r="E7254" s="1050"/>
      <c r="F7254" s="1050"/>
      <c r="G7254" s="1050"/>
    </row>
    <row r="7255" spans="1:7">
      <c r="A7255" s="1079"/>
      <c r="B7255" s="1050"/>
      <c r="C7255" s="1050"/>
      <c r="D7255" s="1050"/>
      <c r="E7255" s="1050"/>
      <c r="F7255" s="1050"/>
      <c r="G7255" s="1050"/>
    </row>
    <row r="7256" spans="1:7">
      <c r="A7256" s="1079"/>
      <c r="B7256" s="1050"/>
      <c r="C7256" s="1050"/>
      <c r="D7256" s="1050"/>
      <c r="E7256" s="1050"/>
      <c r="F7256" s="1050"/>
      <c r="G7256" s="1050"/>
    </row>
    <row r="7257" spans="1:7">
      <c r="A7257" s="1079"/>
      <c r="B7257" s="1050"/>
      <c r="C7257" s="1050"/>
      <c r="D7257" s="1050"/>
      <c r="E7257" s="1050"/>
      <c r="F7257" s="1050"/>
      <c r="G7257" s="1050"/>
    </row>
    <row r="7258" spans="1:7">
      <c r="A7258" s="1079"/>
      <c r="B7258" s="1050"/>
      <c r="C7258" s="1050"/>
      <c r="D7258" s="1050"/>
      <c r="E7258" s="1050"/>
      <c r="F7258" s="1050"/>
      <c r="G7258" s="1050"/>
    </row>
    <row r="7259" spans="1:7">
      <c r="A7259" s="1079"/>
      <c r="B7259" s="1050"/>
      <c r="C7259" s="1050"/>
      <c r="D7259" s="1050"/>
      <c r="E7259" s="1050"/>
      <c r="F7259" s="1050"/>
      <c r="G7259" s="1050"/>
    </row>
    <row r="7260" spans="1:7">
      <c r="A7260" s="1079"/>
      <c r="B7260" s="1050"/>
      <c r="C7260" s="1050"/>
      <c r="D7260" s="1050"/>
      <c r="E7260" s="1050"/>
      <c r="F7260" s="1050"/>
      <c r="G7260" s="1050"/>
    </row>
    <row r="7261" spans="1:7">
      <c r="A7261" s="1079"/>
      <c r="B7261" s="1050"/>
      <c r="C7261" s="1050"/>
      <c r="D7261" s="1050"/>
      <c r="E7261" s="1050"/>
      <c r="F7261" s="1050"/>
      <c r="G7261" s="1050"/>
    </row>
    <row r="7262" spans="1:7">
      <c r="A7262" s="1079"/>
      <c r="B7262" s="1050"/>
      <c r="C7262" s="1050"/>
      <c r="D7262" s="1050"/>
      <c r="E7262" s="1050"/>
      <c r="F7262" s="1050"/>
      <c r="G7262" s="1050"/>
    </row>
    <row r="7263" spans="1:7">
      <c r="A7263" s="1079"/>
      <c r="B7263" s="1050"/>
      <c r="C7263" s="1050"/>
      <c r="D7263" s="1050"/>
      <c r="E7263" s="1050"/>
      <c r="F7263" s="1050"/>
      <c r="G7263" s="1050"/>
    </row>
    <row r="7264" spans="1:7">
      <c r="A7264" s="1079"/>
      <c r="B7264" s="1050"/>
      <c r="C7264" s="1050"/>
      <c r="D7264" s="1050"/>
      <c r="E7264" s="1050"/>
      <c r="F7264" s="1050"/>
      <c r="G7264" s="1050"/>
    </row>
    <row r="7265" spans="1:7">
      <c r="A7265" s="1079"/>
      <c r="B7265" s="1050"/>
      <c r="C7265" s="1050"/>
      <c r="D7265" s="1050"/>
      <c r="E7265" s="1050"/>
      <c r="F7265" s="1050"/>
      <c r="G7265" s="1050"/>
    </row>
    <row r="7266" spans="1:7">
      <c r="A7266" s="1079"/>
      <c r="B7266" s="1050"/>
      <c r="C7266" s="1050"/>
      <c r="D7266" s="1050"/>
      <c r="E7266" s="1050"/>
      <c r="F7266" s="1050"/>
      <c r="G7266" s="1050"/>
    </row>
    <row r="7267" spans="1:7">
      <c r="A7267" s="1079"/>
      <c r="B7267" s="1050"/>
      <c r="C7267" s="1050"/>
      <c r="D7267" s="1050"/>
      <c r="E7267" s="1050"/>
      <c r="F7267" s="1050"/>
      <c r="G7267" s="1050"/>
    </row>
    <row r="7268" spans="1:7">
      <c r="A7268" s="1079"/>
      <c r="B7268" s="1050"/>
      <c r="C7268" s="1050"/>
      <c r="D7268" s="1050"/>
      <c r="E7268" s="1050"/>
      <c r="F7268" s="1050"/>
      <c r="G7268" s="1050"/>
    </row>
    <row r="7269" spans="1:7">
      <c r="A7269" s="1079"/>
      <c r="B7269" s="1050"/>
      <c r="C7269" s="1050"/>
      <c r="D7269" s="1050"/>
      <c r="E7269" s="1050"/>
      <c r="F7269" s="1050"/>
      <c r="G7269" s="1050"/>
    </row>
    <row r="7270" spans="1:7">
      <c r="A7270" s="1079"/>
      <c r="B7270" s="1050"/>
      <c r="C7270" s="1050"/>
      <c r="D7270" s="1050"/>
      <c r="E7270" s="1050"/>
      <c r="F7270" s="1050"/>
      <c r="G7270" s="1050"/>
    </row>
    <row r="7271" spans="1:7">
      <c r="A7271" s="1079"/>
      <c r="B7271" s="1050"/>
      <c r="C7271" s="1050"/>
      <c r="D7271" s="1050"/>
      <c r="E7271" s="1050"/>
      <c r="F7271" s="1050"/>
      <c r="G7271" s="1050"/>
    </row>
    <row r="7272" spans="1:7">
      <c r="A7272" s="1079"/>
      <c r="B7272" s="1050"/>
      <c r="C7272" s="1050"/>
      <c r="D7272" s="1050"/>
      <c r="E7272" s="1050"/>
      <c r="F7272" s="1050"/>
      <c r="G7272" s="1050"/>
    </row>
    <row r="7273" spans="1:7">
      <c r="A7273" s="1079"/>
      <c r="B7273" s="1050"/>
      <c r="C7273" s="1050"/>
      <c r="D7273" s="1050"/>
      <c r="E7273" s="1050"/>
      <c r="F7273" s="1050"/>
      <c r="G7273" s="1050"/>
    </row>
    <row r="7274" spans="1:7">
      <c r="A7274" s="1079"/>
      <c r="B7274" s="1050"/>
      <c r="C7274" s="1050"/>
      <c r="D7274" s="1050"/>
      <c r="E7274" s="1050"/>
      <c r="F7274" s="1050"/>
      <c r="G7274" s="1050"/>
    </row>
    <row r="7275" spans="1:7">
      <c r="A7275" s="1079"/>
      <c r="B7275" s="1050"/>
      <c r="C7275" s="1050"/>
      <c r="D7275" s="1050"/>
      <c r="E7275" s="1050"/>
      <c r="F7275" s="1050"/>
      <c r="G7275" s="1050"/>
    </row>
    <row r="7276" spans="1:7">
      <c r="A7276" s="1079"/>
      <c r="B7276" s="1050"/>
      <c r="C7276" s="1050"/>
      <c r="D7276" s="1050"/>
      <c r="E7276" s="1050"/>
      <c r="F7276" s="1050"/>
      <c r="G7276" s="1050"/>
    </row>
    <row r="7277" spans="1:7">
      <c r="A7277" s="1079"/>
      <c r="B7277" s="1050"/>
      <c r="C7277" s="1050"/>
      <c r="D7277" s="1050"/>
      <c r="E7277" s="1050"/>
      <c r="F7277" s="1050"/>
      <c r="G7277" s="1050"/>
    </row>
    <row r="7278" spans="1:7">
      <c r="A7278" s="1079"/>
      <c r="B7278" s="1050"/>
      <c r="C7278" s="1050"/>
      <c r="D7278" s="1050"/>
      <c r="E7278" s="1050"/>
      <c r="F7278" s="1050"/>
      <c r="G7278" s="1050"/>
    </row>
    <row r="7279" spans="1:7">
      <c r="A7279" s="1079"/>
      <c r="B7279" s="1050"/>
      <c r="C7279" s="1050"/>
      <c r="D7279" s="1050"/>
      <c r="E7279" s="1050"/>
      <c r="F7279" s="1050"/>
      <c r="G7279" s="1050"/>
    </row>
    <row r="7280" spans="1:7">
      <c r="A7280" s="1079"/>
      <c r="B7280" s="1050"/>
      <c r="C7280" s="1050"/>
      <c r="D7280" s="1050"/>
      <c r="E7280" s="1050"/>
      <c r="F7280" s="1050"/>
      <c r="G7280" s="1050"/>
    </row>
    <row r="7281" spans="1:7">
      <c r="A7281" s="1079"/>
      <c r="B7281" s="1050"/>
      <c r="C7281" s="1050"/>
      <c r="D7281" s="1050"/>
      <c r="E7281" s="1050"/>
      <c r="F7281" s="1050"/>
      <c r="G7281" s="1050"/>
    </row>
    <row r="7282" spans="1:7">
      <c r="A7282" s="1079"/>
      <c r="B7282" s="1050"/>
      <c r="C7282" s="1050"/>
      <c r="D7282" s="1050"/>
      <c r="E7282" s="1050"/>
      <c r="F7282" s="1050"/>
      <c r="G7282" s="1050"/>
    </row>
    <row r="7283" spans="1:7">
      <c r="A7283" s="1079"/>
      <c r="B7283" s="1050"/>
      <c r="C7283" s="1050"/>
      <c r="D7283" s="1050"/>
      <c r="E7283" s="1050"/>
      <c r="F7283" s="1050"/>
      <c r="G7283" s="1050"/>
    </row>
    <row r="7284" spans="1:7">
      <c r="A7284" s="1079"/>
      <c r="B7284" s="1050"/>
      <c r="C7284" s="1050"/>
      <c r="D7284" s="1050"/>
      <c r="E7284" s="1050"/>
      <c r="F7284" s="1050"/>
      <c r="G7284" s="1050"/>
    </row>
    <row r="7285" spans="1:7">
      <c r="A7285" s="1079"/>
      <c r="B7285" s="1050"/>
      <c r="C7285" s="1050"/>
      <c r="D7285" s="1050"/>
      <c r="E7285" s="1050"/>
      <c r="F7285" s="1050"/>
      <c r="G7285" s="1050"/>
    </row>
    <row r="7286" spans="1:7">
      <c r="A7286" s="1079"/>
      <c r="B7286" s="1050"/>
      <c r="C7286" s="1050"/>
      <c r="D7286" s="1050"/>
      <c r="E7286" s="1050"/>
      <c r="F7286" s="1050"/>
      <c r="G7286" s="1050"/>
    </row>
    <row r="7287" spans="1:7">
      <c r="A7287" s="1079"/>
      <c r="B7287" s="1050"/>
      <c r="C7287" s="1050"/>
      <c r="D7287" s="1050"/>
      <c r="E7287" s="1050"/>
      <c r="F7287" s="1050"/>
      <c r="G7287" s="1050"/>
    </row>
    <row r="7288" spans="1:7">
      <c r="A7288" s="1079"/>
      <c r="B7288" s="1050"/>
      <c r="C7288" s="1050"/>
      <c r="D7288" s="1050"/>
      <c r="E7288" s="1050"/>
      <c r="F7288" s="1050"/>
      <c r="G7288" s="1050"/>
    </row>
    <row r="7289" spans="1:7">
      <c r="A7289" s="1079"/>
      <c r="B7289" s="1050"/>
      <c r="C7289" s="1050"/>
      <c r="D7289" s="1050"/>
      <c r="E7289" s="1050"/>
      <c r="F7289" s="1050"/>
      <c r="G7289" s="1050"/>
    </row>
    <row r="7290" spans="1:7">
      <c r="A7290" s="1079"/>
      <c r="B7290" s="1050"/>
      <c r="C7290" s="1050"/>
      <c r="D7290" s="1050"/>
      <c r="E7290" s="1050"/>
      <c r="F7290" s="1050"/>
      <c r="G7290" s="1050"/>
    </row>
    <row r="7291" spans="1:7">
      <c r="A7291" s="1079"/>
      <c r="B7291" s="1050"/>
      <c r="C7291" s="1050"/>
      <c r="D7291" s="1050"/>
      <c r="E7291" s="1050"/>
      <c r="F7291" s="1050"/>
      <c r="G7291" s="1050"/>
    </row>
    <row r="7292" spans="1:7">
      <c r="A7292" s="1079"/>
      <c r="B7292" s="1050"/>
      <c r="C7292" s="1050"/>
      <c r="D7292" s="1050"/>
      <c r="E7292" s="1050"/>
      <c r="F7292" s="1050"/>
      <c r="G7292" s="1050"/>
    </row>
    <row r="7293" spans="1:7">
      <c r="A7293" s="1079"/>
      <c r="B7293" s="1050"/>
      <c r="C7293" s="1050"/>
      <c r="D7293" s="1050"/>
      <c r="E7293" s="1050"/>
      <c r="F7293" s="1050"/>
      <c r="G7293" s="1050"/>
    </row>
    <row r="7294" spans="1:7">
      <c r="A7294" s="1079"/>
      <c r="B7294" s="1050"/>
      <c r="C7294" s="1050"/>
      <c r="D7294" s="1050"/>
      <c r="E7294" s="1050"/>
      <c r="F7294" s="1050"/>
      <c r="G7294" s="1050"/>
    </row>
    <row r="7295" spans="1:7">
      <c r="A7295" s="1079"/>
      <c r="B7295" s="1050"/>
      <c r="C7295" s="1050"/>
      <c r="D7295" s="1050"/>
      <c r="E7295" s="1050"/>
      <c r="F7295" s="1050"/>
      <c r="G7295" s="1050"/>
    </row>
    <row r="7296" spans="1:7">
      <c r="A7296" s="1079"/>
      <c r="B7296" s="1050"/>
      <c r="C7296" s="1050"/>
      <c r="D7296" s="1050"/>
      <c r="E7296" s="1050"/>
      <c r="F7296" s="1050"/>
      <c r="G7296" s="1050"/>
    </row>
    <row r="7297" spans="1:7">
      <c r="A7297" s="1079"/>
      <c r="B7297" s="1050"/>
      <c r="C7297" s="1050"/>
      <c r="D7297" s="1050"/>
      <c r="E7297" s="1050"/>
      <c r="F7297" s="1050"/>
      <c r="G7297" s="1050"/>
    </row>
    <row r="7298" spans="1:7">
      <c r="A7298" s="1079"/>
      <c r="B7298" s="1050"/>
      <c r="C7298" s="1050"/>
      <c r="D7298" s="1050"/>
      <c r="E7298" s="1050"/>
      <c r="F7298" s="1050"/>
      <c r="G7298" s="1050"/>
    </row>
    <row r="7299" spans="1:7">
      <c r="A7299" s="1079"/>
      <c r="B7299" s="1050"/>
      <c r="C7299" s="1050"/>
      <c r="D7299" s="1050"/>
      <c r="E7299" s="1050"/>
      <c r="F7299" s="1050"/>
      <c r="G7299" s="1050"/>
    </row>
    <row r="7300" spans="1:7">
      <c r="A7300" s="1079"/>
      <c r="B7300" s="1050"/>
      <c r="C7300" s="1050"/>
      <c r="D7300" s="1050"/>
      <c r="E7300" s="1050"/>
      <c r="F7300" s="1050"/>
      <c r="G7300" s="1050"/>
    </row>
    <row r="7301" spans="1:7">
      <c r="A7301" s="1079"/>
      <c r="B7301" s="1050"/>
      <c r="C7301" s="1050"/>
      <c r="D7301" s="1050"/>
      <c r="E7301" s="1050"/>
      <c r="F7301" s="1050"/>
      <c r="G7301" s="1050"/>
    </row>
    <row r="7302" spans="1:7">
      <c r="A7302" s="1079"/>
      <c r="B7302" s="1050"/>
      <c r="C7302" s="1050"/>
      <c r="D7302" s="1050"/>
      <c r="E7302" s="1050"/>
      <c r="F7302" s="1050"/>
      <c r="G7302" s="1050"/>
    </row>
    <row r="7303" spans="1:7">
      <c r="A7303" s="1079"/>
      <c r="B7303" s="1050"/>
      <c r="C7303" s="1050"/>
      <c r="D7303" s="1050"/>
      <c r="E7303" s="1050"/>
      <c r="F7303" s="1050"/>
      <c r="G7303" s="1050"/>
    </row>
    <row r="7304" spans="1:7">
      <c r="A7304" s="1079"/>
      <c r="B7304" s="1050"/>
      <c r="C7304" s="1050"/>
      <c r="D7304" s="1050"/>
      <c r="E7304" s="1050"/>
      <c r="F7304" s="1050"/>
      <c r="G7304" s="1050"/>
    </row>
    <row r="7305" spans="1:7">
      <c r="A7305" s="1079"/>
      <c r="B7305" s="1050"/>
      <c r="C7305" s="1050"/>
      <c r="D7305" s="1050"/>
      <c r="E7305" s="1050"/>
      <c r="F7305" s="1050"/>
      <c r="G7305" s="1050"/>
    </row>
    <row r="7306" spans="1:7">
      <c r="A7306" s="1079"/>
      <c r="B7306" s="1050"/>
      <c r="C7306" s="1050"/>
      <c r="D7306" s="1050"/>
      <c r="E7306" s="1050"/>
      <c r="F7306" s="1050"/>
      <c r="G7306" s="1050"/>
    </row>
    <row r="7307" spans="1:7">
      <c r="A7307" s="1079"/>
      <c r="B7307" s="1050"/>
      <c r="C7307" s="1050"/>
      <c r="D7307" s="1050"/>
      <c r="E7307" s="1050"/>
      <c r="F7307" s="1050"/>
      <c r="G7307" s="1050"/>
    </row>
    <row r="7308" spans="1:7">
      <c r="A7308" s="1079"/>
      <c r="B7308" s="1050"/>
      <c r="C7308" s="1050"/>
      <c r="D7308" s="1050"/>
      <c r="E7308" s="1050"/>
      <c r="F7308" s="1050"/>
      <c r="G7308" s="1050"/>
    </row>
    <row r="7309" spans="1:7">
      <c r="A7309" s="1079"/>
      <c r="B7309" s="1050"/>
      <c r="C7309" s="1050"/>
      <c r="D7309" s="1050"/>
      <c r="E7309" s="1050"/>
      <c r="F7309" s="1050"/>
      <c r="G7309" s="1050"/>
    </row>
    <row r="7310" spans="1:7">
      <c r="A7310" s="1079"/>
      <c r="B7310" s="1050"/>
      <c r="C7310" s="1050"/>
      <c r="D7310" s="1050"/>
      <c r="E7310" s="1050"/>
      <c r="F7310" s="1050"/>
      <c r="G7310" s="1050"/>
    </row>
    <row r="7311" spans="1:7">
      <c r="A7311" s="1079"/>
      <c r="B7311" s="1050"/>
      <c r="C7311" s="1050"/>
      <c r="D7311" s="1050"/>
      <c r="E7311" s="1050"/>
      <c r="F7311" s="1050"/>
      <c r="G7311" s="1050"/>
    </row>
    <row r="7312" spans="1:7">
      <c r="A7312" s="1079"/>
      <c r="B7312" s="1050"/>
      <c r="C7312" s="1050"/>
      <c r="D7312" s="1050"/>
      <c r="E7312" s="1050"/>
      <c r="F7312" s="1050"/>
      <c r="G7312" s="1050"/>
    </row>
    <row r="7313" spans="1:7">
      <c r="A7313" s="1079"/>
      <c r="B7313" s="1050"/>
      <c r="C7313" s="1050"/>
      <c r="D7313" s="1050"/>
      <c r="E7313" s="1050"/>
      <c r="F7313" s="1050"/>
      <c r="G7313" s="1050"/>
    </row>
    <row r="7314" spans="1:7">
      <c r="A7314" s="1079"/>
      <c r="B7314" s="1050"/>
      <c r="C7314" s="1050"/>
      <c r="D7314" s="1050"/>
      <c r="E7314" s="1050"/>
      <c r="F7314" s="1050"/>
      <c r="G7314" s="1050"/>
    </row>
    <row r="7315" spans="1:7">
      <c r="A7315" s="1079"/>
      <c r="B7315" s="1050"/>
      <c r="C7315" s="1050"/>
      <c r="D7315" s="1050"/>
      <c r="E7315" s="1050"/>
      <c r="F7315" s="1050"/>
      <c r="G7315" s="1050"/>
    </row>
    <row r="7316" spans="1:7">
      <c r="A7316" s="1079"/>
      <c r="B7316" s="1050"/>
      <c r="C7316" s="1050"/>
      <c r="D7316" s="1050"/>
      <c r="E7316" s="1050"/>
      <c r="F7316" s="1050"/>
      <c r="G7316" s="1050"/>
    </row>
    <row r="7317" spans="1:7">
      <c r="A7317" s="1079"/>
      <c r="B7317" s="1050"/>
      <c r="C7317" s="1050"/>
      <c r="D7317" s="1050"/>
      <c r="E7317" s="1050"/>
      <c r="F7317" s="1050"/>
      <c r="G7317" s="1050"/>
    </row>
    <row r="7318" spans="1:7">
      <c r="A7318" s="1079"/>
      <c r="B7318" s="1050"/>
      <c r="C7318" s="1050"/>
      <c r="D7318" s="1050"/>
      <c r="E7318" s="1050"/>
      <c r="F7318" s="1050"/>
      <c r="G7318" s="1050"/>
    </row>
    <row r="7319" spans="1:7">
      <c r="A7319" s="1079"/>
      <c r="B7319" s="1050"/>
      <c r="C7319" s="1050"/>
      <c r="D7319" s="1050"/>
      <c r="E7319" s="1050"/>
      <c r="F7319" s="1050"/>
      <c r="G7319" s="1050"/>
    </row>
    <row r="7320" spans="1:7">
      <c r="A7320" s="1079"/>
      <c r="B7320" s="1050"/>
      <c r="C7320" s="1050"/>
      <c r="D7320" s="1050"/>
      <c r="E7320" s="1050"/>
      <c r="F7320" s="1050"/>
      <c r="G7320" s="1050"/>
    </row>
    <row r="7321" spans="1:7">
      <c r="A7321" s="1079"/>
      <c r="B7321" s="1050"/>
      <c r="C7321" s="1050"/>
      <c r="D7321" s="1050"/>
      <c r="E7321" s="1050"/>
      <c r="F7321" s="1050"/>
      <c r="G7321" s="1050"/>
    </row>
    <row r="7322" spans="1:7">
      <c r="A7322" s="1079"/>
      <c r="B7322" s="1050"/>
      <c r="C7322" s="1050"/>
      <c r="D7322" s="1050"/>
      <c r="E7322" s="1050"/>
      <c r="F7322" s="1050"/>
      <c r="G7322" s="1050"/>
    </row>
    <row r="7323" spans="1:7">
      <c r="A7323" s="1079"/>
      <c r="B7323" s="1050"/>
      <c r="C7323" s="1050"/>
      <c r="D7323" s="1050"/>
      <c r="E7323" s="1050"/>
      <c r="F7323" s="1050"/>
      <c r="G7323" s="1050"/>
    </row>
    <row r="7324" spans="1:7">
      <c r="A7324" s="1079"/>
      <c r="B7324" s="1050"/>
      <c r="C7324" s="1050"/>
      <c r="D7324" s="1050"/>
      <c r="E7324" s="1050"/>
      <c r="F7324" s="1050"/>
      <c r="G7324" s="1050"/>
    </row>
    <row r="7325" spans="1:7">
      <c r="A7325" s="1079"/>
      <c r="B7325" s="1050"/>
      <c r="C7325" s="1050"/>
      <c r="D7325" s="1050"/>
      <c r="E7325" s="1050"/>
      <c r="F7325" s="1050"/>
      <c r="G7325" s="1050"/>
    </row>
    <row r="7326" spans="1:7">
      <c r="A7326" s="1079"/>
      <c r="B7326" s="1050"/>
      <c r="C7326" s="1050"/>
      <c r="D7326" s="1050"/>
      <c r="E7326" s="1050"/>
      <c r="F7326" s="1050"/>
      <c r="G7326" s="1050"/>
    </row>
    <row r="7327" spans="1:7">
      <c r="A7327" s="1079"/>
      <c r="B7327" s="1050"/>
      <c r="C7327" s="1050"/>
      <c r="D7327" s="1050"/>
      <c r="E7327" s="1050"/>
      <c r="F7327" s="1050"/>
      <c r="G7327" s="1050"/>
    </row>
    <row r="7328" spans="1:7">
      <c r="A7328" s="1079"/>
      <c r="B7328" s="1050"/>
      <c r="C7328" s="1050"/>
      <c r="D7328" s="1050"/>
      <c r="E7328" s="1050"/>
      <c r="F7328" s="1050"/>
      <c r="G7328" s="1050"/>
    </row>
    <row r="7329" spans="1:7">
      <c r="A7329" s="1079"/>
      <c r="B7329" s="1050"/>
      <c r="C7329" s="1050"/>
      <c r="D7329" s="1050"/>
      <c r="E7329" s="1050"/>
      <c r="F7329" s="1050"/>
      <c r="G7329" s="1050"/>
    </row>
    <row r="7330" spans="1:7">
      <c r="A7330" s="1079"/>
      <c r="B7330" s="1050"/>
      <c r="C7330" s="1050"/>
      <c r="D7330" s="1050"/>
      <c r="E7330" s="1050"/>
      <c r="F7330" s="1050"/>
      <c r="G7330" s="1050"/>
    </row>
    <row r="7331" spans="1:7">
      <c r="A7331" s="1079"/>
      <c r="B7331" s="1050"/>
      <c r="C7331" s="1050"/>
      <c r="D7331" s="1050"/>
      <c r="E7331" s="1050"/>
      <c r="F7331" s="1050"/>
      <c r="G7331" s="1050"/>
    </row>
    <row r="7332" spans="1:7">
      <c r="A7332" s="1079"/>
      <c r="B7332" s="1050"/>
      <c r="C7332" s="1050"/>
      <c r="D7332" s="1050"/>
      <c r="E7332" s="1050"/>
      <c r="F7332" s="1050"/>
      <c r="G7332" s="1050"/>
    </row>
    <row r="7333" spans="1:7">
      <c r="A7333" s="1079"/>
      <c r="B7333" s="1050"/>
      <c r="C7333" s="1050"/>
      <c r="D7333" s="1050"/>
      <c r="E7333" s="1050"/>
      <c r="F7333" s="1050"/>
      <c r="G7333" s="1050"/>
    </row>
    <row r="7334" spans="1:7">
      <c r="A7334" s="1079"/>
      <c r="B7334" s="1050"/>
      <c r="C7334" s="1050"/>
      <c r="D7334" s="1050"/>
      <c r="E7334" s="1050"/>
      <c r="F7334" s="1050"/>
      <c r="G7334" s="1050"/>
    </row>
    <row r="7335" spans="1:7">
      <c r="A7335" s="1079"/>
      <c r="B7335" s="1050"/>
      <c r="C7335" s="1050"/>
      <c r="D7335" s="1050"/>
      <c r="E7335" s="1050"/>
      <c r="F7335" s="1050"/>
      <c r="G7335" s="1050"/>
    </row>
    <row r="7336" spans="1:7">
      <c r="A7336" s="1079"/>
      <c r="B7336" s="1050"/>
      <c r="C7336" s="1050"/>
      <c r="D7336" s="1050"/>
      <c r="E7336" s="1050"/>
      <c r="F7336" s="1050"/>
      <c r="G7336" s="1050"/>
    </row>
    <row r="7337" spans="1:7">
      <c r="A7337" s="1079"/>
      <c r="B7337" s="1050"/>
      <c r="C7337" s="1050"/>
      <c r="D7337" s="1050"/>
      <c r="E7337" s="1050"/>
      <c r="F7337" s="1050"/>
      <c r="G7337" s="1050"/>
    </row>
    <row r="7338" spans="1:7">
      <c r="A7338" s="1079"/>
      <c r="B7338" s="1050"/>
      <c r="C7338" s="1050"/>
      <c r="D7338" s="1050"/>
      <c r="E7338" s="1050"/>
      <c r="F7338" s="1050"/>
      <c r="G7338" s="1050"/>
    </row>
    <row r="7339" spans="1:7">
      <c r="A7339" s="1079"/>
      <c r="B7339" s="1050"/>
      <c r="C7339" s="1050"/>
      <c r="D7339" s="1050"/>
      <c r="E7339" s="1050"/>
      <c r="F7339" s="1050"/>
      <c r="G7339" s="1050"/>
    </row>
    <row r="7340" spans="1:7">
      <c r="A7340" s="1079"/>
      <c r="B7340" s="1050"/>
      <c r="C7340" s="1050"/>
      <c r="D7340" s="1050"/>
      <c r="E7340" s="1050"/>
      <c r="F7340" s="1050"/>
      <c r="G7340" s="1050"/>
    </row>
    <row r="7341" spans="1:7">
      <c r="A7341" s="1079"/>
      <c r="B7341" s="1050"/>
      <c r="C7341" s="1050"/>
      <c r="D7341" s="1050"/>
      <c r="E7341" s="1050"/>
      <c r="F7341" s="1050"/>
      <c r="G7341" s="1050"/>
    </row>
    <row r="7342" spans="1:7">
      <c r="A7342" s="1079"/>
      <c r="B7342" s="1050"/>
      <c r="C7342" s="1050"/>
      <c r="D7342" s="1050"/>
      <c r="E7342" s="1050"/>
      <c r="F7342" s="1050"/>
      <c r="G7342" s="1050"/>
    </row>
    <row r="7343" spans="1:7">
      <c r="A7343" s="1079"/>
      <c r="B7343" s="1050"/>
      <c r="C7343" s="1050"/>
      <c r="D7343" s="1050"/>
      <c r="E7343" s="1050"/>
      <c r="F7343" s="1050"/>
      <c r="G7343" s="1050"/>
    </row>
    <row r="7344" spans="1:7">
      <c r="A7344" s="1079"/>
      <c r="B7344" s="1050"/>
      <c r="C7344" s="1050"/>
      <c r="D7344" s="1050"/>
      <c r="E7344" s="1050"/>
      <c r="F7344" s="1050"/>
      <c r="G7344" s="1050"/>
    </row>
    <row r="7345" spans="1:7">
      <c r="A7345" s="1079"/>
      <c r="B7345" s="1050"/>
      <c r="C7345" s="1050"/>
      <c r="D7345" s="1050"/>
      <c r="E7345" s="1050"/>
      <c r="F7345" s="1050"/>
      <c r="G7345" s="1050"/>
    </row>
    <row r="7346" spans="1:7">
      <c r="A7346" s="1079"/>
      <c r="B7346" s="1050"/>
      <c r="C7346" s="1050"/>
      <c r="D7346" s="1050"/>
      <c r="E7346" s="1050"/>
      <c r="F7346" s="1050"/>
      <c r="G7346" s="1050"/>
    </row>
    <row r="7347" spans="1:7">
      <c r="A7347" s="1079"/>
      <c r="B7347" s="1050"/>
      <c r="C7347" s="1050"/>
      <c r="D7347" s="1050"/>
      <c r="E7347" s="1050"/>
      <c r="F7347" s="1050"/>
      <c r="G7347" s="1050"/>
    </row>
    <row r="7348" spans="1:7">
      <c r="A7348" s="1079"/>
      <c r="B7348" s="1050"/>
      <c r="C7348" s="1050"/>
      <c r="D7348" s="1050"/>
      <c r="E7348" s="1050"/>
      <c r="F7348" s="1050"/>
      <c r="G7348" s="1050"/>
    </row>
    <row r="7349" spans="1:7">
      <c r="A7349" s="1079"/>
      <c r="B7349" s="1050"/>
      <c r="C7349" s="1050"/>
      <c r="D7349" s="1050"/>
      <c r="E7349" s="1050"/>
      <c r="F7349" s="1050"/>
      <c r="G7349" s="1050"/>
    </row>
    <row r="7350" spans="1:7">
      <c r="A7350" s="1079"/>
      <c r="B7350" s="1050"/>
      <c r="C7350" s="1050"/>
      <c r="D7350" s="1050"/>
      <c r="E7350" s="1050"/>
      <c r="F7350" s="1050"/>
      <c r="G7350" s="1050"/>
    </row>
    <row r="7351" spans="1:7">
      <c r="A7351" s="1079"/>
      <c r="B7351" s="1050"/>
      <c r="C7351" s="1050"/>
      <c r="D7351" s="1050"/>
      <c r="E7351" s="1050"/>
      <c r="F7351" s="1050"/>
      <c r="G7351" s="1050"/>
    </row>
    <row r="7352" spans="1:7">
      <c r="A7352" s="1079"/>
      <c r="B7352" s="1050"/>
      <c r="C7352" s="1050"/>
      <c r="D7352" s="1050"/>
      <c r="E7352" s="1050"/>
      <c r="F7352" s="1050"/>
      <c r="G7352" s="1050"/>
    </row>
    <row r="7353" spans="1:7">
      <c r="A7353" s="1079"/>
      <c r="B7353" s="1050"/>
      <c r="C7353" s="1050"/>
      <c r="D7353" s="1050"/>
      <c r="E7353" s="1050"/>
      <c r="F7353" s="1050"/>
      <c r="G7353" s="1050"/>
    </row>
    <row r="7354" spans="1:7">
      <c r="A7354" s="1079"/>
      <c r="B7354" s="1050"/>
      <c r="C7354" s="1050"/>
      <c r="D7354" s="1050"/>
      <c r="E7354" s="1050"/>
      <c r="F7354" s="1050"/>
      <c r="G7354" s="1050"/>
    </row>
    <row r="7355" spans="1:7">
      <c r="A7355" s="1079"/>
      <c r="B7355" s="1050"/>
      <c r="C7355" s="1050"/>
      <c r="D7355" s="1050"/>
      <c r="E7355" s="1050"/>
      <c r="F7355" s="1050"/>
      <c r="G7355" s="1050"/>
    </row>
    <row r="7356" spans="1:7">
      <c r="A7356" s="1079"/>
      <c r="B7356" s="1050"/>
      <c r="C7356" s="1050"/>
      <c r="D7356" s="1050"/>
      <c r="E7356" s="1050"/>
      <c r="F7356" s="1050"/>
      <c r="G7356" s="1050"/>
    </row>
    <row r="7357" spans="1:7">
      <c r="A7357" s="1079"/>
      <c r="B7357" s="1050"/>
      <c r="C7357" s="1050"/>
      <c r="D7357" s="1050"/>
      <c r="E7357" s="1050"/>
      <c r="F7357" s="1050"/>
      <c r="G7357" s="1050"/>
    </row>
    <row r="7358" spans="1:7">
      <c r="A7358" s="1079"/>
      <c r="B7358" s="1050"/>
      <c r="C7358" s="1050"/>
      <c r="D7358" s="1050"/>
      <c r="E7358" s="1050"/>
      <c r="F7358" s="1050"/>
      <c r="G7358" s="1050"/>
    </row>
    <row r="7359" spans="1:7">
      <c r="A7359" s="1079"/>
      <c r="B7359" s="1050"/>
      <c r="C7359" s="1050"/>
      <c r="D7359" s="1050"/>
      <c r="E7359" s="1050"/>
      <c r="F7359" s="1050"/>
      <c r="G7359" s="1050"/>
    </row>
    <row r="7360" spans="1:7">
      <c r="A7360" s="1079"/>
      <c r="B7360" s="1050"/>
      <c r="C7360" s="1050"/>
      <c r="D7360" s="1050"/>
      <c r="E7360" s="1050"/>
      <c r="F7360" s="1050"/>
      <c r="G7360" s="1050"/>
    </row>
    <row r="7361" spans="1:7">
      <c r="A7361" s="1079"/>
      <c r="B7361" s="1050"/>
      <c r="C7361" s="1050"/>
      <c r="D7361" s="1050"/>
      <c r="E7361" s="1050"/>
      <c r="F7361" s="1050"/>
      <c r="G7361" s="1050"/>
    </row>
    <row r="7362" spans="1:7">
      <c r="A7362" s="1079"/>
      <c r="B7362" s="1050"/>
      <c r="C7362" s="1050"/>
      <c r="D7362" s="1050"/>
      <c r="E7362" s="1050"/>
      <c r="F7362" s="1050"/>
      <c r="G7362" s="1050"/>
    </row>
    <row r="7363" spans="1:7">
      <c r="A7363" s="1079"/>
      <c r="B7363" s="1050"/>
      <c r="C7363" s="1050"/>
      <c r="D7363" s="1050"/>
      <c r="E7363" s="1050"/>
      <c r="F7363" s="1050"/>
      <c r="G7363" s="1050"/>
    </row>
    <row r="7364" spans="1:7">
      <c r="A7364" s="1079"/>
      <c r="B7364" s="1050"/>
      <c r="C7364" s="1050"/>
      <c r="D7364" s="1050"/>
      <c r="E7364" s="1050"/>
      <c r="F7364" s="1050"/>
      <c r="G7364" s="1050"/>
    </row>
    <row r="7365" spans="1:7">
      <c r="A7365" s="1079"/>
      <c r="B7365" s="1050"/>
      <c r="C7365" s="1050"/>
      <c r="D7365" s="1050"/>
      <c r="E7365" s="1050"/>
      <c r="F7365" s="1050"/>
      <c r="G7365" s="1050"/>
    </row>
    <row r="7366" spans="1:7">
      <c r="A7366" s="1079"/>
      <c r="B7366" s="1050"/>
      <c r="C7366" s="1050"/>
      <c r="D7366" s="1050"/>
      <c r="E7366" s="1050"/>
      <c r="F7366" s="1050"/>
      <c r="G7366" s="1050"/>
    </row>
    <row r="7367" spans="1:7">
      <c r="A7367" s="1079"/>
      <c r="B7367" s="1050"/>
      <c r="C7367" s="1050"/>
      <c r="D7367" s="1050"/>
      <c r="E7367" s="1050"/>
      <c r="F7367" s="1050"/>
      <c r="G7367" s="1050"/>
    </row>
    <row r="7368" spans="1:7">
      <c r="A7368" s="1079"/>
      <c r="B7368" s="1050"/>
      <c r="C7368" s="1050"/>
      <c r="D7368" s="1050"/>
      <c r="E7368" s="1050"/>
      <c r="F7368" s="1050"/>
      <c r="G7368" s="1050"/>
    </row>
    <row r="7369" spans="1:7">
      <c r="A7369" s="1079"/>
      <c r="B7369" s="1050"/>
      <c r="C7369" s="1050"/>
      <c r="D7369" s="1050"/>
      <c r="E7369" s="1050"/>
      <c r="F7369" s="1050"/>
      <c r="G7369" s="1050"/>
    </row>
    <row r="7370" spans="1:7">
      <c r="A7370" s="1079"/>
      <c r="B7370" s="1050"/>
      <c r="C7370" s="1050"/>
      <c r="D7370" s="1050"/>
      <c r="E7370" s="1050"/>
      <c r="F7370" s="1050"/>
      <c r="G7370" s="1050"/>
    </row>
    <row r="7371" spans="1:7">
      <c r="A7371" s="1079"/>
      <c r="B7371" s="1050"/>
      <c r="C7371" s="1050"/>
      <c r="D7371" s="1050"/>
      <c r="E7371" s="1050"/>
      <c r="F7371" s="1050"/>
      <c r="G7371" s="1050"/>
    </row>
    <row r="7372" spans="1:7">
      <c r="A7372" s="1079"/>
      <c r="B7372" s="1050"/>
      <c r="C7372" s="1050"/>
      <c r="D7372" s="1050"/>
      <c r="E7372" s="1050"/>
      <c r="F7372" s="1050"/>
      <c r="G7372" s="1050"/>
    </row>
    <row r="7373" spans="1:7">
      <c r="A7373" s="1079"/>
      <c r="B7373" s="1050"/>
      <c r="C7373" s="1050"/>
      <c r="D7373" s="1050"/>
      <c r="E7373" s="1050"/>
      <c r="F7373" s="1050"/>
      <c r="G7373" s="1050"/>
    </row>
    <row r="7374" spans="1:7">
      <c r="A7374" s="1079"/>
      <c r="B7374" s="1050"/>
      <c r="C7374" s="1050"/>
      <c r="D7374" s="1050"/>
      <c r="E7374" s="1050"/>
      <c r="F7374" s="1050"/>
      <c r="G7374" s="1050"/>
    </row>
    <row r="7375" spans="1:7">
      <c r="A7375" s="1079"/>
      <c r="B7375" s="1050"/>
      <c r="C7375" s="1050"/>
      <c r="D7375" s="1050"/>
      <c r="E7375" s="1050"/>
      <c r="F7375" s="1050"/>
      <c r="G7375" s="1050"/>
    </row>
    <row r="7376" spans="1:7">
      <c r="A7376" s="1079"/>
      <c r="B7376" s="1050"/>
      <c r="C7376" s="1050"/>
      <c r="D7376" s="1050"/>
      <c r="E7376" s="1050"/>
      <c r="F7376" s="1050"/>
      <c r="G7376" s="1050"/>
    </row>
    <row r="7377" spans="1:7">
      <c r="A7377" s="1079"/>
      <c r="B7377" s="1050"/>
      <c r="C7377" s="1050"/>
      <c r="D7377" s="1050"/>
      <c r="E7377" s="1050"/>
      <c r="F7377" s="1050"/>
      <c r="G7377" s="1050"/>
    </row>
    <row r="7378" spans="1:7">
      <c r="A7378" s="1079"/>
      <c r="B7378" s="1050"/>
      <c r="C7378" s="1050"/>
      <c r="D7378" s="1050"/>
      <c r="E7378" s="1050"/>
      <c r="F7378" s="1050"/>
      <c r="G7378" s="1050"/>
    </row>
    <row r="7379" spans="1:7">
      <c r="A7379" s="1079"/>
      <c r="B7379" s="1050"/>
      <c r="C7379" s="1050"/>
      <c r="D7379" s="1050"/>
      <c r="E7379" s="1050"/>
      <c r="F7379" s="1050"/>
      <c r="G7379" s="1050"/>
    </row>
    <row r="7380" spans="1:7">
      <c r="A7380" s="1079"/>
      <c r="B7380" s="1050"/>
      <c r="C7380" s="1050"/>
      <c r="D7380" s="1050"/>
      <c r="E7380" s="1050"/>
      <c r="F7380" s="1050"/>
      <c r="G7380" s="1050"/>
    </row>
    <row r="7381" spans="1:7">
      <c r="A7381" s="1079"/>
      <c r="B7381" s="1050"/>
      <c r="C7381" s="1050"/>
      <c r="D7381" s="1050"/>
      <c r="E7381" s="1050"/>
      <c r="F7381" s="1050"/>
      <c r="G7381" s="1050"/>
    </row>
    <row r="7382" spans="1:7">
      <c r="A7382" s="1079"/>
      <c r="B7382" s="1050"/>
      <c r="C7382" s="1050"/>
      <c r="D7382" s="1050"/>
      <c r="E7382" s="1050"/>
      <c r="F7382" s="1050"/>
      <c r="G7382" s="1050"/>
    </row>
    <row r="7383" spans="1:7">
      <c r="A7383" s="1079"/>
      <c r="B7383" s="1050"/>
      <c r="C7383" s="1050"/>
      <c r="D7383" s="1050"/>
      <c r="E7383" s="1050"/>
      <c r="F7383" s="1050"/>
      <c r="G7383" s="1050"/>
    </row>
    <row r="7384" spans="1:7">
      <c r="A7384" s="1079"/>
      <c r="B7384" s="1050"/>
      <c r="C7384" s="1050"/>
      <c r="D7384" s="1050"/>
      <c r="E7384" s="1050"/>
      <c r="F7384" s="1050"/>
      <c r="G7384" s="1050"/>
    </row>
    <row r="7385" spans="1:7">
      <c r="A7385" s="1079"/>
      <c r="B7385" s="1050"/>
      <c r="C7385" s="1050"/>
      <c r="D7385" s="1050"/>
      <c r="E7385" s="1050"/>
      <c r="F7385" s="1050"/>
      <c r="G7385" s="1050"/>
    </row>
    <row r="7386" spans="1:7">
      <c r="A7386" s="1079"/>
      <c r="B7386" s="1050"/>
      <c r="C7386" s="1050"/>
      <c r="D7386" s="1050"/>
      <c r="E7386" s="1050"/>
      <c r="F7386" s="1050"/>
      <c r="G7386" s="1050"/>
    </row>
    <row r="7387" spans="1:7">
      <c r="A7387" s="1079"/>
      <c r="B7387" s="1050"/>
      <c r="C7387" s="1050"/>
      <c r="D7387" s="1050"/>
      <c r="E7387" s="1050"/>
      <c r="F7387" s="1050"/>
      <c r="G7387" s="1050"/>
    </row>
    <row r="7388" spans="1:7">
      <c r="A7388" s="1079"/>
      <c r="B7388" s="1050"/>
      <c r="C7388" s="1050"/>
      <c r="D7388" s="1050"/>
      <c r="E7388" s="1050"/>
      <c r="F7388" s="1050"/>
      <c r="G7388" s="1050"/>
    </row>
    <row r="7389" spans="1:7">
      <c r="A7389" s="1079"/>
      <c r="B7389" s="1050"/>
      <c r="C7389" s="1050"/>
      <c r="D7389" s="1050"/>
      <c r="E7389" s="1050"/>
      <c r="F7389" s="1050"/>
      <c r="G7389" s="1050"/>
    </row>
    <row r="7390" spans="1:7">
      <c r="A7390" s="1079"/>
      <c r="B7390" s="1050"/>
      <c r="C7390" s="1050"/>
      <c r="D7390" s="1050"/>
      <c r="E7390" s="1050"/>
      <c r="F7390" s="1050"/>
      <c r="G7390" s="1050"/>
    </row>
    <row r="7391" spans="1:7">
      <c r="A7391" s="1079"/>
      <c r="B7391" s="1050"/>
      <c r="C7391" s="1050"/>
      <c r="D7391" s="1050"/>
      <c r="E7391" s="1050"/>
      <c r="F7391" s="1050"/>
      <c r="G7391" s="1050"/>
    </row>
    <row r="7392" spans="1:7">
      <c r="A7392" s="1079"/>
      <c r="B7392" s="1050"/>
      <c r="C7392" s="1050"/>
      <c r="D7392" s="1050"/>
      <c r="E7392" s="1050"/>
      <c r="F7392" s="1050"/>
      <c r="G7392" s="1050"/>
    </row>
    <row r="7393" spans="1:7">
      <c r="A7393" s="1079"/>
      <c r="B7393" s="1050"/>
      <c r="C7393" s="1050"/>
      <c r="D7393" s="1050"/>
      <c r="E7393" s="1050"/>
      <c r="F7393" s="1050"/>
      <c r="G7393" s="1050"/>
    </row>
    <row r="7394" spans="1:7">
      <c r="A7394" s="1079"/>
      <c r="B7394" s="1050"/>
      <c r="C7394" s="1050"/>
      <c r="D7394" s="1050"/>
      <c r="E7394" s="1050"/>
      <c r="F7394" s="1050"/>
      <c r="G7394" s="1050"/>
    </row>
    <row r="7395" spans="1:7">
      <c r="A7395" s="1079"/>
      <c r="B7395" s="1050"/>
      <c r="C7395" s="1050"/>
      <c r="D7395" s="1050"/>
      <c r="E7395" s="1050"/>
      <c r="F7395" s="1050"/>
      <c r="G7395" s="1050"/>
    </row>
    <row r="7396" spans="1:7">
      <c r="A7396" s="1079"/>
      <c r="B7396" s="1050"/>
      <c r="C7396" s="1050"/>
      <c r="D7396" s="1050"/>
      <c r="E7396" s="1050"/>
      <c r="F7396" s="1050"/>
      <c r="G7396" s="1050"/>
    </row>
    <row r="7397" spans="1:7">
      <c r="A7397" s="1079"/>
      <c r="B7397" s="1050"/>
      <c r="C7397" s="1050"/>
      <c r="D7397" s="1050"/>
      <c r="E7397" s="1050"/>
      <c r="F7397" s="1050"/>
      <c r="G7397" s="1050"/>
    </row>
    <row r="7398" spans="1:7">
      <c r="A7398" s="1079"/>
      <c r="B7398" s="1050"/>
      <c r="C7398" s="1050"/>
      <c r="D7398" s="1050"/>
      <c r="E7398" s="1050"/>
      <c r="F7398" s="1050"/>
      <c r="G7398" s="1050"/>
    </row>
    <row r="7399" spans="1:7">
      <c r="A7399" s="1079"/>
      <c r="B7399" s="1050"/>
      <c r="C7399" s="1050"/>
      <c r="D7399" s="1050"/>
      <c r="E7399" s="1050"/>
      <c r="F7399" s="1050"/>
      <c r="G7399" s="1050"/>
    </row>
    <row r="7400" spans="1:7">
      <c r="A7400" s="1079"/>
      <c r="B7400" s="1050"/>
      <c r="C7400" s="1050"/>
      <c r="D7400" s="1050"/>
      <c r="E7400" s="1050"/>
      <c r="F7400" s="1050"/>
      <c r="G7400" s="1050"/>
    </row>
    <row r="7401" spans="1:7">
      <c r="A7401" s="1079"/>
      <c r="B7401" s="1050"/>
      <c r="C7401" s="1050"/>
      <c r="D7401" s="1050"/>
      <c r="E7401" s="1050"/>
      <c r="F7401" s="1050"/>
      <c r="G7401" s="1050"/>
    </row>
    <row r="7402" spans="1:7">
      <c r="A7402" s="1079"/>
      <c r="B7402" s="1050"/>
      <c r="C7402" s="1050"/>
      <c r="D7402" s="1050"/>
      <c r="E7402" s="1050"/>
      <c r="F7402" s="1050"/>
      <c r="G7402" s="1050"/>
    </row>
    <row r="7403" spans="1:7">
      <c r="A7403" s="1079"/>
      <c r="B7403" s="1050"/>
      <c r="C7403" s="1050"/>
      <c r="D7403" s="1050"/>
      <c r="E7403" s="1050"/>
      <c r="F7403" s="1050"/>
      <c r="G7403" s="1050"/>
    </row>
    <row r="7404" spans="1:7">
      <c r="A7404" s="1079"/>
      <c r="B7404" s="1050"/>
      <c r="C7404" s="1050"/>
      <c r="D7404" s="1050"/>
      <c r="E7404" s="1050"/>
      <c r="F7404" s="1050"/>
      <c r="G7404" s="1050"/>
    </row>
    <row r="7405" spans="1:7">
      <c r="A7405" s="1079"/>
      <c r="B7405" s="1050"/>
      <c r="C7405" s="1050"/>
      <c r="D7405" s="1050"/>
      <c r="E7405" s="1050"/>
      <c r="F7405" s="1050"/>
      <c r="G7405" s="1050"/>
    </row>
    <row r="7406" spans="1:7">
      <c r="A7406" s="1079"/>
      <c r="B7406" s="1050"/>
      <c r="C7406" s="1050"/>
      <c r="D7406" s="1050"/>
      <c r="E7406" s="1050"/>
      <c r="F7406" s="1050"/>
      <c r="G7406" s="1050"/>
    </row>
    <row r="7407" spans="1:7">
      <c r="A7407" s="1079"/>
      <c r="B7407" s="1050"/>
      <c r="C7407" s="1050"/>
      <c r="D7407" s="1050"/>
      <c r="E7407" s="1050"/>
      <c r="F7407" s="1050"/>
      <c r="G7407" s="1050"/>
    </row>
    <row r="7408" spans="1:7">
      <c r="A7408" s="1079"/>
      <c r="B7408" s="1050"/>
      <c r="C7408" s="1050"/>
      <c r="D7408" s="1050"/>
      <c r="E7408" s="1050"/>
      <c r="F7408" s="1050"/>
      <c r="G7408" s="1050"/>
    </row>
    <row r="7409" spans="1:7">
      <c r="A7409" s="1079"/>
      <c r="B7409" s="1050"/>
      <c r="C7409" s="1050"/>
      <c r="D7409" s="1050"/>
      <c r="E7409" s="1050"/>
      <c r="F7409" s="1050"/>
      <c r="G7409" s="1050"/>
    </row>
    <row r="7410" spans="1:7">
      <c r="A7410" s="1079"/>
      <c r="B7410" s="1050"/>
      <c r="C7410" s="1050"/>
      <c r="D7410" s="1050"/>
      <c r="E7410" s="1050"/>
      <c r="F7410" s="1050"/>
      <c r="G7410" s="1050"/>
    </row>
    <row r="7411" spans="1:7">
      <c r="A7411" s="1079"/>
      <c r="B7411" s="1050"/>
      <c r="C7411" s="1050"/>
      <c r="D7411" s="1050"/>
      <c r="E7411" s="1050"/>
      <c r="F7411" s="1050"/>
      <c r="G7411" s="1050"/>
    </row>
    <row r="7412" spans="1:7">
      <c r="A7412" s="1079"/>
      <c r="B7412" s="1050"/>
      <c r="C7412" s="1050"/>
      <c r="D7412" s="1050"/>
      <c r="E7412" s="1050"/>
      <c r="F7412" s="1050"/>
      <c r="G7412" s="1050"/>
    </row>
    <row r="7413" spans="1:7">
      <c r="A7413" s="1079"/>
      <c r="B7413" s="1050"/>
      <c r="C7413" s="1050"/>
      <c r="D7413" s="1050"/>
      <c r="E7413" s="1050"/>
      <c r="F7413" s="1050"/>
      <c r="G7413" s="1050"/>
    </row>
    <row r="7414" spans="1:7">
      <c r="A7414" s="1079"/>
      <c r="B7414" s="1050"/>
      <c r="C7414" s="1050"/>
      <c r="D7414" s="1050"/>
      <c r="E7414" s="1050"/>
      <c r="F7414" s="1050"/>
      <c r="G7414" s="1050"/>
    </row>
    <row r="7415" spans="1:7">
      <c r="A7415" s="1079"/>
      <c r="B7415" s="1050"/>
      <c r="C7415" s="1050"/>
      <c r="D7415" s="1050"/>
      <c r="E7415" s="1050"/>
      <c r="F7415" s="1050"/>
      <c r="G7415" s="1050"/>
    </row>
    <row r="7416" spans="1:7">
      <c r="A7416" s="1079"/>
      <c r="B7416" s="1050"/>
      <c r="C7416" s="1050"/>
      <c r="D7416" s="1050"/>
      <c r="E7416" s="1050"/>
      <c r="F7416" s="1050"/>
      <c r="G7416" s="1050"/>
    </row>
    <row r="7417" spans="1:7">
      <c r="A7417" s="1079"/>
      <c r="B7417" s="1050"/>
      <c r="C7417" s="1050"/>
      <c r="D7417" s="1050"/>
      <c r="E7417" s="1050"/>
      <c r="F7417" s="1050"/>
      <c r="G7417" s="1050"/>
    </row>
    <row r="7418" spans="1:7">
      <c r="A7418" s="1079"/>
      <c r="B7418" s="1050"/>
      <c r="C7418" s="1050"/>
      <c r="D7418" s="1050"/>
      <c r="E7418" s="1050"/>
      <c r="F7418" s="1050"/>
      <c r="G7418" s="1050"/>
    </row>
    <row r="7419" spans="1:7">
      <c r="A7419" s="1079"/>
      <c r="B7419" s="1050"/>
      <c r="C7419" s="1050"/>
      <c r="D7419" s="1050"/>
      <c r="E7419" s="1050"/>
      <c r="F7419" s="1050"/>
      <c r="G7419" s="1050"/>
    </row>
    <row r="7420" spans="1:7">
      <c r="A7420" s="1079"/>
      <c r="B7420" s="1050"/>
      <c r="C7420" s="1050"/>
      <c r="D7420" s="1050"/>
      <c r="E7420" s="1050"/>
      <c r="F7420" s="1050"/>
      <c r="G7420" s="1050"/>
    </row>
    <row r="7421" spans="1:7">
      <c r="A7421" s="1079"/>
      <c r="B7421" s="1050"/>
      <c r="C7421" s="1050"/>
      <c r="D7421" s="1050"/>
      <c r="E7421" s="1050"/>
      <c r="F7421" s="1050"/>
      <c r="G7421" s="1050"/>
    </row>
    <row r="7422" spans="1:7">
      <c r="A7422" s="1079"/>
      <c r="B7422" s="1050"/>
      <c r="C7422" s="1050"/>
      <c r="D7422" s="1050"/>
      <c r="E7422" s="1050"/>
      <c r="F7422" s="1050"/>
      <c r="G7422" s="1050"/>
    </row>
    <row r="7423" spans="1:7">
      <c r="A7423" s="1079"/>
      <c r="B7423" s="1050"/>
      <c r="C7423" s="1050"/>
      <c r="D7423" s="1050"/>
      <c r="E7423" s="1050"/>
      <c r="F7423" s="1050"/>
      <c r="G7423" s="1050"/>
    </row>
    <row r="7424" spans="1:7">
      <c r="A7424" s="1079"/>
      <c r="B7424" s="1050"/>
      <c r="C7424" s="1050"/>
      <c r="D7424" s="1050"/>
      <c r="E7424" s="1050"/>
      <c r="F7424" s="1050"/>
      <c r="G7424" s="1050"/>
    </row>
    <row r="7425" spans="1:7">
      <c r="A7425" s="1079"/>
      <c r="B7425" s="1050"/>
      <c r="C7425" s="1050"/>
      <c r="D7425" s="1050"/>
      <c r="E7425" s="1050"/>
      <c r="F7425" s="1050"/>
      <c r="G7425" s="1050"/>
    </row>
    <row r="7426" spans="1:7">
      <c r="A7426" s="1079"/>
      <c r="B7426" s="1050"/>
      <c r="C7426" s="1050"/>
      <c r="D7426" s="1050"/>
      <c r="E7426" s="1050"/>
      <c r="F7426" s="1050"/>
      <c r="G7426" s="1050"/>
    </row>
    <row r="7427" spans="1:7">
      <c r="A7427" s="1079"/>
      <c r="B7427" s="1050"/>
      <c r="C7427" s="1050"/>
      <c r="D7427" s="1050"/>
      <c r="E7427" s="1050"/>
      <c r="F7427" s="1050"/>
      <c r="G7427" s="1050"/>
    </row>
    <row r="7428" spans="1:7">
      <c r="A7428" s="1079"/>
      <c r="B7428" s="1050"/>
      <c r="C7428" s="1050"/>
      <c r="D7428" s="1050"/>
      <c r="E7428" s="1050"/>
      <c r="F7428" s="1050"/>
      <c r="G7428" s="1050"/>
    </row>
    <row r="7429" spans="1:7">
      <c r="A7429" s="1079"/>
      <c r="B7429" s="1050"/>
      <c r="C7429" s="1050"/>
      <c r="D7429" s="1050"/>
      <c r="E7429" s="1050"/>
      <c r="F7429" s="1050"/>
      <c r="G7429" s="1050"/>
    </row>
    <row r="7430" spans="1:7">
      <c r="A7430" s="1079"/>
      <c r="B7430" s="1050"/>
      <c r="C7430" s="1050"/>
      <c r="D7430" s="1050"/>
      <c r="E7430" s="1050"/>
      <c r="F7430" s="1050"/>
      <c r="G7430" s="1050"/>
    </row>
    <row r="7431" spans="1:7">
      <c r="A7431" s="1079"/>
      <c r="B7431" s="1050"/>
      <c r="C7431" s="1050"/>
      <c r="D7431" s="1050"/>
      <c r="E7431" s="1050"/>
      <c r="F7431" s="1050"/>
      <c r="G7431" s="1050"/>
    </row>
    <row r="7432" spans="1:7">
      <c r="A7432" s="1079"/>
      <c r="B7432" s="1050"/>
      <c r="C7432" s="1050"/>
      <c r="D7432" s="1050"/>
      <c r="E7432" s="1050"/>
      <c r="F7432" s="1050"/>
      <c r="G7432" s="1050"/>
    </row>
    <row r="7433" spans="1:7">
      <c r="A7433" s="1079"/>
      <c r="B7433" s="1050"/>
      <c r="C7433" s="1050"/>
      <c r="D7433" s="1050"/>
      <c r="E7433" s="1050"/>
      <c r="F7433" s="1050"/>
      <c r="G7433" s="1050"/>
    </row>
    <row r="7434" spans="1:7">
      <c r="A7434" s="1079"/>
      <c r="B7434" s="1050"/>
      <c r="C7434" s="1050"/>
      <c r="D7434" s="1050"/>
      <c r="E7434" s="1050"/>
      <c r="F7434" s="1050"/>
      <c r="G7434" s="1050"/>
    </row>
    <row r="7435" spans="1:7">
      <c r="A7435" s="1079"/>
      <c r="B7435" s="1050"/>
      <c r="C7435" s="1050"/>
      <c r="D7435" s="1050"/>
      <c r="E7435" s="1050"/>
      <c r="F7435" s="1050"/>
      <c r="G7435" s="1050"/>
    </row>
    <row r="7436" spans="1:7">
      <c r="A7436" s="1079"/>
      <c r="B7436" s="1050"/>
      <c r="C7436" s="1050"/>
      <c r="D7436" s="1050"/>
      <c r="E7436" s="1050"/>
      <c r="F7436" s="1050"/>
      <c r="G7436" s="1050"/>
    </row>
    <row r="7437" spans="1:7">
      <c r="A7437" s="1079"/>
      <c r="B7437" s="1050"/>
      <c r="C7437" s="1050"/>
      <c r="D7437" s="1050"/>
      <c r="E7437" s="1050"/>
      <c r="F7437" s="1050"/>
      <c r="G7437" s="1050"/>
    </row>
    <row r="7438" spans="1:7">
      <c r="A7438" s="1079"/>
      <c r="B7438" s="1050"/>
      <c r="C7438" s="1050"/>
      <c r="D7438" s="1050"/>
      <c r="E7438" s="1050"/>
      <c r="F7438" s="1050"/>
      <c r="G7438" s="1050"/>
    </row>
    <row r="7439" spans="1:7">
      <c r="A7439" s="1079"/>
      <c r="B7439" s="1050"/>
      <c r="C7439" s="1050"/>
      <c r="D7439" s="1050"/>
      <c r="E7439" s="1050"/>
      <c r="F7439" s="1050"/>
      <c r="G7439" s="1050"/>
    </row>
    <row r="7440" spans="1:7">
      <c r="A7440" s="1079"/>
      <c r="B7440" s="1050"/>
      <c r="C7440" s="1050"/>
      <c r="D7440" s="1050"/>
      <c r="E7440" s="1050"/>
      <c r="F7440" s="1050"/>
      <c r="G7440" s="1050"/>
    </row>
    <row r="7441" spans="1:7">
      <c r="A7441" s="1079"/>
      <c r="B7441" s="1050"/>
      <c r="C7441" s="1050"/>
      <c r="D7441" s="1050"/>
      <c r="E7441" s="1050"/>
      <c r="F7441" s="1050"/>
      <c r="G7441" s="1050"/>
    </row>
    <row r="7442" spans="1:7">
      <c r="A7442" s="1079"/>
      <c r="B7442" s="1050"/>
      <c r="C7442" s="1050"/>
      <c r="D7442" s="1050"/>
      <c r="E7442" s="1050"/>
      <c r="F7442" s="1050"/>
      <c r="G7442" s="1050"/>
    </row>
    <row r="7443" spans="1:7">
      <c r="A7443" s="1079"/>
      <c r="B7443" s="1050"/>
      <c r="C7443" s="1050"/>
      <c r="D7443" s="1050"/>
      <c r="E7443" s="1050"/>
      <c r="F7443" s="1050"/>
      <c r="G7443" s="1050"/>
    </row>
    <row r="7444" spans="1:7">
      <c r="A7444" s="1079"/>
      <c r="B7444" s="1050"/>
      <c r="C7444" s="1050"/>
      <c r="D7444" s="1050"/>
      <c r="E7444" s="1050"/>
      <c r="F7444" s="1050"/>
      <c r="G7444" s="1050"/>
    </row>
    <row r="7445" spans="1:7">
      <c r="A7445" s="1079"/>
      <c r="B7445" s="1050"/>
      <c r="C7445" s="1050"/>
      <c r="D7445" s="1050"/>
      <c r="E7445" s="1050"/>
      <c r="F7445" s="1050"/>
      <c r="G7445" s="1050"/>
    </row>
    <row r="7446" spans="1:7">
      <c r="A7446" s="1079"/>
      <c r="B7446" s="1050"/>
      <c r="C7446" s="1050"/>
      <c r="D7446" s="1050"/>
      <c r="E7446" s="1050"/>
      <c r="F7446" s="1050"/>
      <c r="G7446" s="1050"/>
    </row>
    <row r="7447" spans="1:7">
      <c r="A7447" s="1079"/>
      <c r="B7447" s="1050"/>
      <c r="C7447" s="1050"/>
      <c r="D7447" s="1050"/>
      <c r="E7447" s="1050"/>
      <c r="F7447" s="1050"/>
      <c r="G7447" s="1050"/>
    </row>
    <row r="7448" spans="1:7">
      <c r="A7448" s="1079"/>
      <c r="B7448" s="1050"/>
      <c r="C7448" s="1050"/>
      <c r="D7448" s="1050"/>
      <c r="E7448" s="1050"/>
      <c r="F7448" s="1050"/>
      <c r="G7448" s="1050"/>
    </row>
    <row r="7449" spans="1:7">
      <c r="A7449" s="1079"/>
      <c r="B7449" s="1050"/>
      <c r="C7449" s="1050"/>
      <c r="D7449" s="1050"/>
      <c r="E7449" s="1050"/>
      <c r="F7449" s="1050"/>
      <c r="G7449" s="1050"/>
    </row>
    <row r="7450" spans="1:7">
      <c r="A7450" s="1079"/>
      <c r="B7450" s="1050"/>
      <c r="C7450" s="1050"/>
      <c r="D7450" s="1050"/>
      <c r="E7450" s="1050"/>
      <c r="F7450" s="1050"/>
      <c r="G7450" s="1050"/>
    </row>
    <row r="7451" spans="1:7">
      <c r="A7451" s="1079"/>
      <c r="B7451" s="1050"/>
      <c r="C7451" s="1050"/>
      <c r="D7451" s="1050"/>
      <c r="E7451" s="1050"/>
      <c r="F7451" s="1050"/>
      <c r="G7451" s="1050"/>
    </row>
    <row r="7452" spans="1:7">
      <c r="A7452" s="1079"/>
      <c r="B7452" s="1050"/>
      <c r="C7452" s="1050"/>
      <c r="D7452" s="1050"/>
      <c r="E7452" s="1050"/>
      <c r="F7452" s="1050"/>
      <c r="G7452" s="1050"/>
    </row>
    <row r="7453" spans="1:7">
      <c r="A7453" s="1079"/>
      <c r="B7453" s="1050"/>
      <c r="C7453" s="1050"/>
      <c r="D7453" s="1050"/>
      <c r="E7453" s="1050"/>
      <c r="F7453" s="1050"/>
      <c r="G7453" s="1050"/>
    </row>
    <row r="7454" spans="1:7">
      <c r="A7454" s="1079"/>
      <c r="B7454" s="1050"/>
      <c r="C7454" s="1050"/>
      <c r="D7454" s="1050"/>
      <c r="E7454" s="1050"/>
      <c r="F7454" s="1050"/>
      <c r="G7454" s="1050"/>
    </row>
    <row r="7455" spans="1:7">
      <c r="A7455" s="1079"/>
      <c r="B7455" s="1050"/>
      <c r="C7455" s="1050"/>
      <c r="D7455" s="1050"/>
      <c r="E7455" s="1050"/>
      <c r="F7455" s="1050"/>
      <c r="G7455" s="1050"/>
    </row>
    <row r="7456" spans="1:7">
      <c r="A7456" s="1079"/>
      <c r="B7456" s="1050"/>
      <c r="C7456" s="1050"/>
      <c r="D7456" s="1050"/>
      <c r="E7456" s="1050"/>
      <c r="F7456" s="1050"/>
      <c r="G7456" s="1050"/>
    </row>
    <row r="7457" spans="1:7">
      <c r="A7457" s="1079"/>
      <c r="B7457" s="1050"/>
      <c r="C7457" s="1050"/>
      <c r="D7457" s="1050"/>
      <c r="E7457" s="1050"/>
      <c r="F7457" s="1050"/>
      <c r="G7457" s="1050"/>
    </row>
    <row r="7458" spans="1:7">
      <c r="A7458" s="1079"/>
      <c r="B7458" s="1050"/>
      <c r="C7458" s="1050"/>
      <c r="D7458" s="1050"/>
      <c r="E7458" s="1050"/>
      <c r="F7458" s="1050"/>
      <c r="G7458" s="1050"/>
    </row>
    <row r="7459" spans="1:7">
      <c r="A7459" s="1079"/>
      <c r="B7459" s="1050"/>
      <c r="C7459" s="1050"/>
      <c r="D7459" s="1050"/>
      <c r="E7459" s="1050"/>
      <c r="F7459" s="1050"/>
      <c r="G7459" s="1050"/>
    </row>
    <row r="7460" spans="1:7">
      <c r="A7460" s="1079"/>
      <c r="B7460" s="1050"/>
      <c r="C7460" s="1050"/>
      <c r="D7460" s="1050"/>
      <c r="E7460" s="1050"/>
      <c r="F7460" s="1050"/>
      <c r="G7460" s="1050"/>
    </row>
    <row r="7461" spans="1:7">
      <c r="A7461" s="1079"/>
      <c r="B7461" s="1050"/>
      <c r="C7461" s="1050"/>
      <c r="D7461" s="1050"/>
      <c r="E7461" s="1050"/>
      <c r="F7461" s="1050"/>
      <c r="G7461" s="1050"/>
    </row>
    <row r="7462" spans="1:7">
      <c r="A7462" s="1079"/>
      <c r="B7462" s="1050"/>
      <c r="C7462" s="1050"/>
      <c r="D7462" s="1050"/>
      <c r="E7462" s="1050"/>
      <c r="F7462" s="1050"/>
      <c r="G7462" s="1050"/>
    </row>
    <row r="7463" spans="1:7">
      <c r="A7463" s="1079"/>
      <c r="B7463" s="1050"/>
      <c r="C7463" s="1050"/>
      <c r="D7463" s="1050"/>
      <c r="E7463" s="1050"/>
      <c r="F7463" s="1050"/>
      <c r="G7463" s="1050"/>
    </row>
    <row r="7464" spans="1:7">
      <c r="A7464" s="1079"/>
      <c r="B7464" s="1050"/>
      <c r="C7464" s="1050"/>
      <c r="D7464" s="1050"/>
      <c r="E7464" s="1050"/>
      <c r="F7464" s="1050"/>
      <c r="G7464" s="1050"/>
    </row>
    <row r="7465" spans="1:7">
      <c r="A7465" s="1079"/>
      <c r="B7465" s="1050"/>
      <c r="C7465" s="1050"/>
      <c r="D7465" s="1050"/>
      <c r="E7465" s="1050"/>
      <c r="F7465" s="1050"/>
      <c r="G7465" s="1050"/>
    </row>
    <row r="7466" spans="1:7">
      <c r="A7466" s="1079"/>
      <c r="B7466" s="1050"/>
      <c r="C7466" s="1050"/>
      <c r="D7466" s="1050"/>
      <c r="E7466" s="1050"/>
      <c r="F7466" s="1050"/>
      <c r="G7466" s="1050"/>
    </row>
    <row r="7467" spans="1:7">
      <c r="A7467" s="1079"/>
      <c r="B7467" s="1050"/>
      <c r="C7467" s="1050"/>
      <c r="D7467" s="1050"/>
      <c r="E7467" s="1050"/>
      <c r="F7467" s="1050"/>
      <c r="G7467" s="1050"/>
    </row>
    <row r="7468" spans="1:7">
      <c r="A7468" s="1079"/>
      <c r="B7468" s="1050"/>
      <c r="C7468" s="1050"/>
      <c r="D7468" s="1050"/>
      <c r="E7468" s="1050"/>
      <c r="F7468" s="1050"/>
      <c r="G7468" s="1050"/>
    </row>
    <row r="7469" spans="1:7">
      <c r="A7469" s="1079"/>
      <c r="B7469" s="1050"/>
      <c r="C7469" s="1050"/>
      <c r="D7469" s="1050"/>
      <c r="E7469" s="1050"/>
      <c r="F7469" s="1050"/>
      <c r="G7469" s="1050"/>
    </row>
    <row r="7470" spans="1:7">
      <c r="A7470" s="1079"/>
      <c r="B7470" s="1050"/>
      <c r="C7470" s="1050"/>
      <c r="D7470" s="1050"/>
      <c r="E7470" s="1050"/>
      <c r="F7470" s="1050"/>
      <c r="G7470" s="1050"/>
    </row>
    <row r="7471" spans="1:7">
      <c r="A7471" s="1079"/>
      <c r="B7471" s="1050"/>
      <c r="C7471" s="1050"/>
      <c r="D7471" s="1050"/>
      <c r="E7471" s="1050"/>
      <c r="F7471" s="1050"/>
      <c r="G7471" s="1050"/>
    </row>
    <row r="7472" spans="1:7">
      <c r="A7472" s="1079"/>
      <c r="B7472" s="1050"/>
      <c r="C7472" s="1050"/>
      <c r="D7472" s="1050"/>
      <c r="E7472" s="1050"/>
      <c r="F7472" s="1050"/>
      <c r="G7472" s="1050"/>
    </row>
    <row r="7473" spans="1:7">
      <c r="A7473" s="1079"/>
      <c r="B7473" s="1050"/>
      <c r="C7473" s="1050"/>
      <c r="D7473" s="1050"/>
      <c r="E7473" s="1050"/>
      <c r="F7473" s="1050"/>
      <c r="G7473" s="1050"/>
    </row>
    <row r="7474" spans="1:7">
      <c r="A7474" s="1079"/>
      <c r="B7474" s="1050"/>
      <c r="C7474" s="1050"/>
      <c r="D7474" s="1050"/>
      <c r="E7474" s="1050"/>
      <c r="F7474" s="1050"/>
      <c r="G7474" s="1050"/>
    </row>
    <row r="7475" spans="1:7">
      <c r="A7475" s="1079"/>
      <c r="B7475" s="1050"/>
      <c r="C7475" s="1050"/>
      <c r="D7475" s="1050"/>
      <c r="E7475" s="1050"/>
      <c r="F7475" s="1050"/>
      <c r="G7475" s="1050"/>
    </row>
    <row r="7476" spans="1:7">
      <c r="A7476" s="1079"/>
      <c r="B7476" s="1050"/>
      <c r="C7476" s="1050"/>
      <c r="D7476" s="1050"/>
      <c r="E7476" s="1050"/>
      <c r="F7476" s="1050"/>
      <c r="G7476" s="1050"/>
    </row>
    <row r="7477" spans="1:7">
      <c r="A7477" s="1079"/>
      <c r="B7477" s="1050"/>
      <c r="C7477" s="1050"/>
      <c r="D7477" s="1050"/>
      <c r="E7477" s="1050"/>
      <c r="F7477" s="1050"/>
      <c r="G7477" s="1050"/>
    </row>
    <row r="7478" spans="1:7">
      <c r="A7478" s="1079"/>
      <c r="B7478" s="1050"/>
      <c r="C7478" s="1050"/>
      <c r="D7478" s="1050"/>
      <c r="E7478" s="1050"/>
      <c r="F7478" s="1050"/>
      <c r="G7478" s="1050"/>
    </row>
    <row r="7479" spans="1:7">
      <c r="A7479" s="1079"/>
      <c r="B7479" s="1050"/>
      <c r="C7479" s="1050"/>
      <c r="D7479" s="1050"/>
      <c r="E7479" s="1050"/>
      <c r="F7479" s="1050"/>
      <c r="G7479" s="1050"/>
    </row>
    <row r="7480" spans="1:7">
      <c r="A7480" s="1079"/>
      <c r="B7480" s="1050"/>
      <c r="C7480" s="1050"/>
      <c r="D7480" s="1050"/>
      <c r="E7480" s="1050"/>
      <c r="F7480" s="1050"/>
      <c r="G7480" s="1050"/>
    </row>
    <row r="7481" spans="1:7">
      <c r="A7481" s="1079"/>
      <c r="B7481" s="1050"/>
      <c r="C7481" s="1050"/>
      <c r="D7481" s="1050"/>
      <c r="E7481" s="1050"/>
      <c r="F7481" s="1050"/>
      <c r="G7481" s="1050"/>
    </row>
    <row r="7482" spans="1:7">
      <c r="A7482" s="1079"/>
      <c r="B7482" s="1050"/>
      <c r="C7482" s="1050"/>
      <c r="D7482" s="1050"/>
      <c r="E7482" s="1050"/>
      <c r="F7482" s="1050"/>
      <c r="G7482" s="1050"/>
    </row>
    <row r="7483" spans="1:7">
      <c r="A7483" s="1079"/>
      <c r="B7483" s="1050"/>
      <c r="C7483" s="1050"/>
      <c r="D7483" s="1050"/>
      <c r="E7483" s="1050"/>
      <c r="F7483" s="1050"/>
      <c r="G7483" s="1050"/>
    </row>
    <row r="7484" spans="1:7">
      <c r="A7484" s="1079"/>
      <c r="B7484" s="1050"/>
      <c r="C7484" s="1050"/>
      <c r="D7484" s="1050"/>
      <c r="E7484" s="1050"/>
      <c r="F7484" s="1050"/>
      <c r="G7484" s="1050"/>
    </row>
    <row r="7485" spans="1:7">
      <c r="A7485" s="1079"/>
      <c r="B7485" s="1050"/>
      <c r="C7485" s="1050"/>
      <c r="D7485" s="1050"/>
      <c r="E7485" s="1050"/>
      <c r="F7485" s="1050"/>
      <c r="G7485" s="1050"/>
    </row>
    <row r="7486" spans="1:7">
      <c r="A7486" s="1079"/>
      <c r="B7486" s="1050"/>
      <c r="C7486" s="1050"/>
      <c r="D7486" s="1050"/>
      <c r="E7486" s="1050"/>
      <c r="F7486" s="1050"/>
      <c r="G7486" s="1050"/>
    </row>
    <row r="7487" spans="1:7">
      <c r="A7487" s="1079"/>
      <c r="B7487" s="1050"/>
      <c r="C7487" s="1050"/>
      <c r="D7487" s="1050"/>
      <c r="E7487" s="1050"/>
      <c r="F7487" s="1050"/>
      <c r="G7487" s="1050"/>
    </row>
    <row r="7488" spans="1:7">
      <c r="A7488" s="1079"/>
      <c r="B7488" s="1050"/>
      <c r="C7488" s="1050"/>
      <c r="D7488" s="1050"/>
      <c r="E7488" s="1050"/>
      <c r="F7488" s="1050"/>
      <c r="G7488" s="1050"/>
    </row>
    <row r="7489" spans="1:7">
      <c r="A7489" s="1079"/>
      <c r="B7489" s="1050"/>
      <c r="C7489" s="1050"/>
      <c r="D7489" s="1050"/>
      <c r="E7489" s="1050"/>
      <c r="F7489" s="1050"/>
      <c r="G7489" s="1050"/>
    </row>
    <row r="7490" spans="1:7">
      <c r="A7490" s="1079"/>
      <c r="B7490" s="1050"/>
      <c r="C7490" s="1050"/>
      <c r="D7490" s="1050"/>
      <c r="E7490" s="1050"/>
      <c r="F7490" s="1050"/>
      <c r="G7490" s="1050"/>
    </row>
    <row r="7491" spans="1:7">
      <c r="A7491" s="1079"/>
      <c r="B7491" s="1050"/>
      <c r="C7491" s="1050"/>
      <c r="D7491" s="1050"/>
      <c r="E7491" s="1050"/>
      <c r="F7491" s="1050"/>
      <c r="G7491" s="1050"/>
    </row>
    <row r="7492" spans="1:7">
      <c r="A7492" s="1079"/>
      <c r="B7492" s="1050"/>
      <c r="C7492" s="1050"/>
      <c r="D7492" s="1050"/>
      <c r="E7492" s="1050"/>
      <c r="F7492" s="1050"/>
      <c r="G7492" s="1050"/>
    </row>
    <row r="7493" spans="1:7">
      <c r="A7493" s="1079"/>
      <c r="B7493" s="1050"/>
      <c r="C7493" s="1050"/>
      <c r="D7493" s="1050"/>
      <c r="E7493" s="1050"/>
      <c r="F7493" s="1050"/>
      <c r="G7493" s="1050"/>
    </row>
    <row r="7494" spans="1:7">
      <c r="A7494" s="1079"/>
      <c r="B7494" s="1050"/>
      <c r="C7494" s="1050"/>
      <c r="D7494" s="1050"/>
      <c r="E7494" s="1050"/>
      <c r="F7494" s="1050"/>
      <c r="G7494" s="1050"/>
    </row>
    <row r="7495" spans="1:7">
      <c r="A7495" s="1079"/>
      <c r="B7495" s="1050"/>
      <c r="C7495" s="1050"/>
      <c r="D7495" s="1050"/>
      <c r="E7495" s="1050"/>
      <c r="F7495" s="1050"/>
      <c r="G7495" s="1050"/>
    </row>
    <row r="7496" spans="1:7">
      <c r="A7496" s="1079"/>
      <c r="B7496" s="1050"/>
      <c r="C7496" s="1050"/>
      <c r="D7496" s="1050"/>
      <c r="E7496" s="1050"/>
      <c r="F7496" s="1050"/>
      <c r="G7496" s="1050"/>
    </row>
    <row r="7497" spans="1:7">
      <c r="A7497" s="1079"/>
      <c r="B7497" s="1050"/>
      <c r="C7497" s="1050"/>
      <c r="D7497" s="1050"/>
      <c r="E7497" s="1050"/>
      <c r="F7497" s="1050"/>
      <c r="G7497" s="1050"/>
    </row>
    <row r="7498" spans="1:7">
      <c r="A7498" s="1079"/>
      <c r="B7498" s="1050"/>
      <c r="C7498" s="1050"/>
      <c r="D7498" s="1050"/>
      <c r="E7498" s="1050"/>
      <c r="F7498" s="1050"/>
      <c r="G7498" s="1050"/>
    </row>
    <row r="7499" spans="1:7">
      <c r="A7499" s="1079"/>
      <c r="B7499" s="1050"/>
      <c r="C7499" s="1050"/>
      <c r="D7499" s="1050"/>
      <c r="E7499" s="1050"/>
      <c r="F7499" s="1050"/>
      <c r="G7499" s="1050"/>
    </row>
    <row r="7500" spans="1:7">
      <c r="A7500" s="1079"/>
      <c r="B7500" s="1050"/>
      <c r="C7500" s="1050"/>
      <c r="D7500" s="1050"/>
      <c r="E7500" s="1050"/>
      <c r="F7500" s="1050"/>
      <c r="G7500" s="1050"/>
    </row>
    <row r="7501" spans="1:7">
      <c r="A7501" s="1079"/>
      <c r="B7501" s="1050"/>
      <c r="C7501" s="1050"/>
      <c r="D7501" s="1050"/>
      <c r="E7501" s="1050"/>
      <c r="F7501" s="1050"/>
      <c r="G7501" s="1050"/>
    </row>
    <row r="7502" spans="1:7">
      <c r="A7502" s="1079"/>
      <c r="B7502" s="1050"/>
      <c r="C7502" s="1050"/>
      <c r="D7502" s="1050"/>
      <c r="E7502" s="1050"/>
      <c r="F7502" s="1050"/>
      <c r="G7502" s="1050"/>
    </row>
    <row r="7503" spans="1:7">
      <c r="A7503" s="1079"/>
      <c r="B7503" s="1050"/>
      <c r="C7503" s="1050"/>
      <c r="D7503" s="1050"/>
      <c r="E7503" s="1050"/>
      <c r="F7503" s="1050"/>
      <c r="G7503" s="1050"/>
    </row>
    <row r="7504" spans="1:7">
      <c r="A7504" s="1079"/>
      <c r="B7504" s="1050"/>
      <c r="C7504" s="1050"/>
      <c r="D7504" s="1050"/>
      <c r="E7504" s="1050"/>
      <c r="F7504" s="1050"/>
      <c r="G7504" s="1050"/>
    </row>
    <row r="7505" spans="1:7">
      <c r="A7505" s="1079"/>
      <c r="B7505" s="1050"/>
      <c r="C7505" s="1050"/>
      <c r="D7505" s="1050"/>
      <c r="E7505" s="1050"/>
      <c r="F7505" s="1050"/>
      <c r="G7505" s="1050"/>
    </row>
    <row r="7506" spans="1:7">
      <c r="A7506" s="1079"/>
      <c r="B7506" s="1050"/>
      <c r="C7506" s="1050"/>
      <c r="D7506" s="1050"/>
      <c r="E7506" s="1050"/>
      <c r="F7506" s="1050"/>
      <c r="G7506" s="1050"/>
    </row>
    <row r="7507" spans="1:7">
      <c r="A7507" s="1079"/>
      <c r="B7507" s="1050"/>
      <c r="C7507" s="1050"/>
      <c r="D7507" s="1050"/>
      <c r="E7507" s="1050"/>
      <c r="F7507" s="1050"/>
      <c r="G7507" s="1050"/>
    </row>
    <row r="7508" spans="1:7">
      <c r="A7508" s="1079"/>
      <c r="B7508" s="1050"/>
      <c r="C7508" s="1050"/>
      <c r="D7508" s="1050"/>
      <c r="E7508" s="1050"/>
      <c r="F7508" s="1050"/>
      <c r="G7508" s="1050"/>
    </row>
    <row r="7509" spans="1:7">
      <c r="A7509" s="1079"/>
      <c r="B7509" s="1050"/>
      <c r="C7509" s="1050"/>
      <c r="D7509" s="1050"/>
      <c r="E7509" s="1050"/>
      <c r="F7509" s="1050"/>
      <c r="G7509" s="1050"/>
    </row>
    <row r="7510" spans="1:7">
      <c r="A7510" s="1079"/>
      <c r="B7510" s="1050"/>
      <c r="C7510" s="1050"/>
      <c r="D7510" s="1050"/>
      <c r="E7510" s="1050"/>
      <c r="F7510" s="1050"/>
      <c r="G7510" s="1050"/>
    </row>
    <row r="7511" spans="1:7">
      <c r="A7511" s="1079"/>
      <c r="B7511" s="1050"/>
      <c r="C7511" s="1050"/>
      <c r="D7511" s="1050"/>
      <c r="E7511" s="1050"/>
      <c r="F7511" s="1050"/>
      <c r="G7511" s="1050"/>
    </row>
    <row r="7512" spans="1:7">
      <c r="A7512" s="1079"/>
      <c r="B7512" s="1050"/>
      <c r="C7512" s="1050"/>
      <c r="D7512" s="1050"/>
      <c r="E7512" s="1050"/>
      <c r="F7512" s="1050"/>
      <c r="G7512" s="1050"/>
    </row>
    <row r="7513" spans="1:7">
      <c r="A7513" s="1079"/>
      <c r="B7513" s="1050"/>
      <c r="C7513" s="1050"/>
      <c r="D7513" s="1050"/>
      <c r="E7513" s="1050"/>
      <c r="F7513" s="1050"/>
      <c r="G7513" s="1050"/>
    </row>
    <row r="7514" spans="1:7">
      <c r="A7514" s="1079"/>
      <c r="B7514" s="1050"/>
      <c r="C7514" s="1050"/>
      <c r="D7514" s="1050"/>
      <c r="E7514" s="1050"/>
      <c r="F7514" s="1050"/>
      <c r="G7514" s="1050"/>
    </row>
    <row r="7515" spans="1:7">
      <c r="A7515" s="1079"/>
      <c r="B7515" s="1050"/>
      <c r="C7515" s="1050"/>
      <c r="D7515" s="1050"/>
      <c r="E7515" s="1050"/>
      <c r="F7515" s="1050"/>
      <c r="G7515" s="1050"/>
    </row>
    <row r="7516" spans="1:7">
      <c r="A7516" s="1079"/>
      <c r="B7516" s="1050"/>
      <c r="C7516" s="1050"/>
      <c r="D7516" s="1050"/>
      <c r="E7516" s="1050"/>
      <c r="F7516" s="1050"/>
      <c r="G7516" s="1050"/>
    </row>
    <row r="7517" spans="1:7">
      <c r="A7517" s="1079"/>
      <c r="B7517" s="1050"/>
      <c r="C7517" s="1050"/>
      <c r="D7517" s="1050"/>
      <c r="E7517" s="1050"/>
      <c r="F7517" s="1050"/>
      <c r="G7517" s="1050"/>
    </row>
    <row r="7518" spans="1:7">
      <c r="A7518" s="1079"/>
      <c r="B7518" s="1050"/>
      <c r="C7518" s="1050"/>
      <c r="D7518" s="1050"/>
      <c r="E7518" s="1050"/>
      <c r="F7518" s="1050"/>
      <c r="G7518" s="1050"/>
    </row>
    <row r="7519" spans="1:7">
      <c r="A7519" s="1079"/>
      <c r="B7519" s="1050"/>
      <c r="C7519" s="1050"/>
      <c r="D7519" s="1050"/>
      <c r="E7519" s="1050"/>
      <c r="F7519" s="1050"/>
      <c r="G7519" s="1050"/>
    </row>
    <row r="7520" spans="1:7">
      <c r="A7520" s="1079"/>
      <c r="B7520" s="1050"/>
      <c r="C7520" s="1050"/>
      <c r="D7520" s="1050"/>
      <c r="E7520" s="1050"/>
      <c r="F7520" s="1050"/>
      <c r="G7520" s="1050"/>
    </row>
    <row r="7521" spans="1:7">
      <c r="A7521" s="1079"/>
      <c r="B7521" s="1050"/>
      <c r="C7521" s="1050"/>
      <c r="D7521" s="1050"/>
      <c r="E7521" s="1050"/>
      <c r="F7521" s="1050"/>
      <c r="G7521" s="1050"/>
    </row>
    <row r="7522" spans="1:7">
      <c r="A7522" s="1079"/>
      <c r="B7522" s="1050"/>
      <c r="C7522" s="1050"/>
      <c r="D7522" s="1050"/>
      <c r="E7522" s="1050"/>
      <c r="F7522" s="1050"/>
      <c r="G7522" s="1050"/>
    </row>
    <row r="7523" spans="1:7">
      <c r="A7523" s="1079"/>
      <c r="B7523" s="1050"/>
      <c r="C7523" s="1050"/>
      <c r="D7523" s="1050"/>
      <c r="E7523" s="1050"/>
      <c r="F7523" s="1050"/>
      <c r="G7523" s="1050"/>
    </row>
    <row r="7524" spans="1:7">
      <c r="A7524" s="1079"/>
      <c r="B7524" s="1050"/>
      <c r="C7524" s="1050"/>
      <c r="D7524" s="1050"/>
      <c r="E7524" s="1050"/>
      <c r="F7524" s="1050"/>
      <c r="G7524" s="1050"/>
    </row>
    <row r="7525" spans="1:7">
      <c r="A7525" s="1079"/>
      <c r="B7525" s="1050"/>
      <c r="C7525" s="1050"/>
      <c r="D7525" s="1050"/>
      <c r="E7525" s="1050"/>
      <c r="F7525" s="1050"/>
      <c r="G7525" s="1050"/>
    </row>
    <row r="7526" spans="1:7">
      <c r="A7526" s="1079"/>
      <c r="B7526" s="1050"/>
      <c r="C7526" s="1050"/>
      <c r="D7526" s="1050"/>
      <c r="E7526" s="1050"/>
      <c r="F7526" s="1050"/>
      <c r="G7526" s="1050"/>
    </row>
    <row r="7527" spans="1:7">
      <c r="A7527" s="1079"/>
      <c r="B7527" s="1050"/>
      <c r="C7527" s="1050"/>
      <c r="D7527" s="1050"/>
      <c r="E7527" s="1050"/>
      <c r="F7527" s="1050"/>
      <c r="G7527" s="1050"/>
    </row>
    <row r="7528" spans="1:7">
      <c r="A7528" s="1079"/>
      <c r="B7528" s="1050"/>
      <c r="C7528" s="1050"/>
      <c r="D7528" s="1050"/>
      <c r="E7528" s="1050"/>
      <c r="F7528" s="1050"/>
      <c r="G7528" s="1050"/>
    </row>
    <row r="7529" spans="1:7">
      <c r="A7529" s="1079"/>
      <c r="B7529" s="1050"/>
      <c r="C7529" s="1050"/>
      <c r="D7529" s="1050"/>
      <c r="E7529" s="1050"/>
      <c r="F7529" s="1050"/>
      <c r="G7529" s="1050"/>
    </row>
    <row r="7530" spans="1:7">
      <c r="A7530" s="1079"/>
      <c r="B7530" s="1050"/>
      <c r="C7530" s="1050"/>
      <c r="D7530" s="1050"/>
      <c r="E7530" s="1050"/>
      <c r="F7530" s="1050"/>
      <c r="G7530" s="1050"/>
    </row>
    <row r="7531" spans="1:7">
      <c r="A7531" s="1079"/>
      <c r="B7531" s="1050"/>
      <c r="C7531" s="1050"/>
      <c r="D7531" s="1050"/>
      <c r="E7531" s="1050"/>
      <c r="F7531" s="1050"/>
      <c r="G7531" s="1050"/>
    </row>
    <row r="7532" spans="1:7">
      <c r="A7532" s="1079"/>
      <c r="B7532" s="1050"/>
      <c r="C7532" s="1050"/>
      <c r="D7532" s="1050"/>
      <c r="E7532" s="1050"/>
      <c r="F7532" s="1050"/>
      <c r="G7532" s="1050"/>
    </row>
    <row r="7533" spans="1:7">
      <c r="A7533" s="1079"/>
      <c r="B7533" s="1050"/>
      <c r="C7533" s="1050"/>
      <c r="D7533" s="1050"/>
      <c r="E7533" s="1050"/>
      <c r="F7533" s="1050"/>
      <c r="G7533" s="1050"/>
    </row>
    <row r="7534" spans="1:7">
      <c r="A7534" s="1079"/>
      <c r="B7534" s="1050"/>
      <c r="C7534" s="1050"/>
      <c r="D7534" s="1050"/>
      <c r="E7534" s="1050"/>
      <c r="F7534" s="1050"/>
      <c r="G7534" s="1050"/>
    </row>
    <row r="7535" spans="1:7">
      <c r="A7535" s="1079"/>
      <c r="B7535" s="1050"/>
      <c r="C7535" s="1050"/>
      <c r="D7535" s="1050"/>
      <c r="E7535" s="1050"/>
      <c r="F7535" s="1050"/>
      <c r="G7535" s="1050"/>
    </row>
    <row r="7536" spans="1:7">
      <c r="A7536" s="1079"/>
      <c r="B7536" s="1050"/>
      <c r="C7536" s="1050"/>
      <c r="D7536" s="1050"/>
      <c r="E7536" s="1050"/>
      <c r="F7536" s="1050"/>
      <c r="G7536" s="1050"/>
    </row>
    <row r="7537" spans="1:7">
      <c r="A7537" s="1079"/>
      <c r="B7537" s="1050"/>
      <c r="C7537" s="1050"/>
      <c r="D7537" s="1050"/>
      <c r="E7537" s="1050"/>
      <c r="F7537" s="1050"/>
      <c r="G7537" s="1050"/>
    </row>
    <row r="7538" spans="1:7">
      <c r="A7538" s="1079"/>
      <c r="B7538" s="1050"/>
      <c r="C7538" s="1050"/>
      <c r="D7538" s="1050"/>
      <c r="E7538" s="1050"/>
      <c r="F7538" s="1050"/>
      <c r="G7538" s="1050"/>
    </row>
    <row r="7539" spans="1:7">
      <c r="A7539" s="1079"/>
      <c r="B7539" s="1050"/>
      <c r="C7539" s="1050"/>
      <c r="D7539" s="1050"/>
      <c r="E7539" s="1050"/>
      <c r="F7539" s="1050"/>
      <c r="G7539" s="1050"/>
    </row>
    <row r="7540" spans="1:7">
      <c r="A7540" s="1079"/>
      <c r="B7540" s="1050"/>
      <c r="C7540" s="1050"/>
      <c r="D7540" s="1050"/>
      <c r="E7540" s="1050"/>
      <c r="F7540" s="1050"/>
      <c r="G7540" s="1050"/>
    </row>
    <row r="7541" spans="1:7">
      <c r="A7541" s="1079"/>
      <c r="B7541" s="1050"/>
      <c r="C7541" s="1050"/>
      <c r="D7541" s="1050"/>
      <c r="E7541" s="1050"/>
      <c r="F7541" s="1050"/>
      <c r="G7541" s="1050"/>
    </row>
    <row r="7542" spans="1:7">
      <c r="A7542" s="1079"/>
      <c r="B7542" s="1050"/>
      <c r="C7542" s="1050"/>
      <c r="D7542" s="1050"/>
      <c r="E7542" s="1050"/>
      <c r="F7542" s="1050"/>
      <c r="G7542" s="1050"/>
    </row>
    <row r="7543" spans="1:7">
      <c r="A7543" s="1079"/>
      <c r="B7543" s="1050"/>
      <c r="C7543" s="1050"/>
      <c r="D7543" s="1050"/>
      <c r="E7543" s="1050"/>
      <c r="F7543" s="1050"/>
      <c r="G7543" s="1050"/>
    </row>
    <row r="7544" spans="1:7">
      <c r="A7544" s="1079"/>
      <c r="B7544" s="1050"/>
      <c r="C7544" s="1050"/>
      <c r="D7544" s="1050"/>
      <c r="E7544" s="1050"/>
      <c r="F7544" s="1050"/>
      <c r="G7544" s="1050"/>
    </row>
    <row r="7545" spans="1:7">
      <c r="A7545" s="1079"/>
      <c r="B7545" s="1050"/>
      <c r="C7545" s="1050"/>
      <c r="D7545" s="1050"/>
      <c r="E7545" s="1050"/>
      <c r="F7545" s="1050"/>
      <c r="G7545" s="1050"/>
    </row>
    <row r="7546" spans="1:7">
      <c r="A7546" s="1079"/>
      <c r="B7546" s="1050"/>
      <c r="C7546" s="1050"/>
      <c r="D7546" s="1050"/>
      <c r="E7546" s="1050"/>
      <c r="F7546" s="1050"/>
      <c r="G7546" s="1050"/>
    </row>
    <row r="7547" spans="1:7">
      <c r="A7547" s="1079"/>
      <c r="B7547" s="1050"/>
      <c r="C7547" s="1050"/>
      <c r="D7547" s="1050"/>
      <c r="E7547" s="1050"/>
      <c r="F7547" s="1050"/>
      <c r="G7547" s="1050"/>
    </row>
    <row r="7548" spans="1:7">
      <c r="A7548" s="1079"/>
      <c r="B7548" s="1050"/>
      <c r="C7548" s="1050"/>
      <c r="D7548" s="1050"/>
      <c r="E7548" s="1050"/>
      <c r="F7548" s="1050"/>
      <c r="G7548" s="1050"/>
    </row>
    <row r="7549" spans="1:7">
      <c r="A7549" s="1079"/>
      <c r="B7549" s="1050"/>
      <c r="C7549" s="1050"/>
      <c r="D7549" s="1050"/>
      <c r="E7549" s="1050"/>
      <c r="F7549" s="1050"/>
      <c r="G7549" s="1050"/>
    </row>
    <row r="7550" spans="1:7">
      <c r="A7550" s="1079"/>
      <c r="B7550" s="1050"/>
      <c r="C7550" s="1050"/>
      <c r="D7550" s="1050"/>
      <c r="E7550" s="1050"/>
      <c r="F7550" s="1050"/>
      <c r="G7550" s="1050"/>
    </row>
    <row r="7551" spans="1:7">
      <c r="A7551" s="1079"/>
      <c r="B7551" s="1050"/>
      <c r="C7551" s="1050"/>
      <c r="D7551" s="1050"/>
      <c r="E7551" s="1050"/>
      <c r="F7551" s="1050"/>
      <c r="G7551" s="1050"/>
    </row>
    <row r="7552" spans="1:7">
      <c r="A7552" s="1079"/>
      <c r="B7552" s="1050"/>
      <c r="C7552" s="1050"/>
      <c r="D7552" s="1050"/>
      <c r="E7552" s="1050"/>
      <c r="F7552" s="1050"/>
      <c r="G7552" s="1050"/>
    </row>
    <row r="7553" spans="1:7">
      <c r="A7553" s="1079"/>
      <c r="B7553" s="1050"/>
      <c r="C7553" s="1050"/>
      <c r="D7553" s="1050"/>
      <c r="E7553" s="1050"/>
      <c r="F7553" s="1050"/>
      <c r="G7553" s="1050"/>
    </row>
    <row r="7554" spans="1:7">
      <c r="A7554" s="1079"/>
      <c r="B7554" s="1050"/>
      <c r="C7554" s="1050"/>
      <c r="D7554" s="1050"/>
      <c r="E7554" s="1050"/>
      <c r="F7554" s="1050"/>
      <c r="G7554" s="1050"/>
    </row>
    <row r="7555" spans="1:7">
      <c r="A7555" s="1079"/>
      <c r="B7555" s="1050"/>
      <c r="C7555" s="1050"/>
      <c r="D7555" s="1050"/>
      <c r="E7555" s="1050"/>
      <c r="F7555" s="1050"/>
      <c r="G7555" s="1050"/>
    </row>
    <row r="7556" spans="1:7">
      <c r="A7556" s="1079"/>
      <c r="B7556" s="1050"/>
      <c r="C7556" s="1050"/>
      <c r="D7556" s="1050"/>
      <c r="E7556" s="1050"/>
      <c r="F7556" s="1050"/>
      <c r="G7556" s="1050"/>
    </row>
    <row r="7557" spans="1:7">
      <c r="A7557" s="1079"/>
      <c r="B7557" s="1050"/>
      <c r="C7557" s="1050"/>
      <c r="D7557" s="1050"/>
      <c r="E7557" s="1050"/>
      <c r="F7557" s="1050"/>
      <c r="G7557" s="1050"/>
    </row>
    <row r="7558" spans="1:7">
      <c r="A7558" s="1079"/>
      <c r="B7558" s="1050"/>
      <c r="C7558" s="1050"/>
      <c r="D7558" s="1050"/>
      <c r="E7558" s="1050"/>
      <c r="F7558" s="1050"/>
      <c r="G7558" s="1050"/>
    </row>
    <row r="7559" spans="1:7">
      <c r="A7559" s="1079"/>
      <c r="B7559" s="1050"/>
      <c r="C7559" s="1050"/>
      <c r="D7559" s="1050"/>
      <c r="E7559" s="1050"/>
      <c r="F7559" s="1050"/>
      <c r="G7559" s="1050"/>
    </row>
    <row r="7560" spans="1:7">
      <c r="A7560" s="1079"/>
      <c r="B7560" s="1050"/>
      <c r="C7560" s="1050"/>
      <c r="D7560" s="1050"/>
      <c r="E7560" s="1050"/>
      <c r="F7560" s="1050"/>
      <c r="G7560" s="1050"/>
    </row>
    <row r="7561" spans="1:7">
      <c r="A7561" s="1079"/>
      <c r="B7561" s="1050"/>
      <c r="C7561" s="1050"/>
      <c r="D7561" s="1050"/>
      <c r="E7561" s="1050"/>
      <c r="F7561" s="1050"/>
      <c r="G7561" s="1050"/>
    </row>
    <row r="7562" spans="1:7">
      <c r="A7562" s="1079"/>
      <c r="B7562" s="1050"/>
      <c r="C7562" s="1050"/>
      <c r="D7562" s="1050"/>
      <c r="E7562" s="1050"/>
      <c r="F7562" s="1050"/>
      <c r="G7562" s="1050"/>
    </row>
    <row r="7563" spans="1:7">
      <c r="A7563" s="1079"/>
      <c r="B7563" s="1050"/>
      <c r="C7563" s="1050"/>
      <c r="D7563" s="1050"/>
      <c r="E7563" s="1050"/>
      <c r="F7563" s="1050"/>
      <c r="G7563" s="1050"/>
    </row>
    <row r="7564" spans="1:7">
      <c r="A7564" s="1079"/>
      <c r="B7564" s="1050"/>
      <c r="C7564" s="1050"/>
      <c r="D7564" s="1050"/>
      <c r="E7564" s="1050"/>
      <c r="F7564" s="1050"/>
      <c r="G7564" s="1050"/>
    </row>
    <row r="7565" spans="1:7">
      <c r="A7565" s="1079"/>
      <c r="B7565" s="1050"/>
      <c r="C7565" s="1050"/>
      <c r="D7565" s="1050"/>
      <c r="E7565" s="1050"/>
      <c r="F7565" s="1050"/>
      <c r="G7565" s="1050"/>
    </row>
    <row r="7566" spans="1:7">
      <c r="A7566" s="1079"/>
      <c r="B7566" s="1050"/>
      <c r="C7566" s="1050"/>
      <c r="D7566" s="1050"/>
      <c r="E7566" s="1050"/>
      <c r="F7566" s="1050"/>
      <c r="G7566" s="1050"/>
    </row>
    <row r="7567" spans="1:7">
      <c r="A7567" s="1079"/>
      <c r="B7567" s="1050"/>
      <c r="C7567" s="1050"/>
      <c r="D7567" s="1050"/>
      <c r="E7567" s="1050"/>
      <c r="F7567" s="1050"/>
      <c r="G7567" s="1050"/>
    </row>
    <row r="7568" spans="1:7">
      <c r="A7568" s="1079"/>
      <c r="B7568" s="1050"/>
      <c r="C7568" s="1050"/>
      <c r="D7568" s="1050"/>
      <c r="E7568" s="1050"/>
      <c r="F7568" s="1050"/>
      <c r="G7568" s="1050"/>
    </row>
    <row r="7569" spans="1:7">
      <c r="A7569" s="1079"/>
      <c r="B7569" s="1050"/>
      <c r="C7569" s="1050"/>
      <c r="D7569" s="1050"/>
      <c r="E7569" s="1050"/>
      <c r="F7569" s="1050"/>
      <c r="G7569" s="1050"/>
    </row>
    <row r="7570" spans="1:7">
      <c r="A7570" s="1079"/>
      <c r="B7570" s="1050"/>
      <c r="C7570" s="1050"/>
      <c r="D7570" s="1050"/>
      <c r="E7570" s="1050"/>
      <c r="F7570" s="1050"/>
      <c r="G7570" s="1050"/>
    </row>
    <row r="7571" spans="1:7">
      <c r="A7571" s="1079"/>
      <c r="B7571" s="1050"/>
      <c r="C7571" s="1050"/>
      <c r="D7571" s="1050"/>
      <c r="E7571" s="1050"/>
      <c r="F7571" s="1050"/>
      <c r="G7571" s="1050"/>
    </row>
    <row r="7572" spans="1:7">
      <c r="A7572" s="1079"/>
      <c r="B7572" s="1050"/>
      <c r="C7572" s="1050"/>
      <c r="D7572" s="1050"/>
      <c r="E7572" s="1050"/>
      <c r="F7572" s="1050"/>
      <c r="G7572" s="1050"/>
    </row>
    <row r="7573" spans="1:7">
      <c r="A7573" s="1079"/>
      <c r="B7573" s="1050"/>
      <c r="C7573" s="1050"/>
      <c r="D7573" s="1050"/>
      <c r="E7573" s="1050"/>
      <c r="F7573" s="1050"/>
      <c r="G7573" s="1050"/>
    </row>
    <row r="7574" spans="1:7">
      <c r="A7574" s="1079"/>
      <c r="B7574" s="1050"/>
      <c r="C7574" s="1050"/>
      <c r="D7574" s="1050"/>
      <c r="E7574" s="1050"/>
      <c r="F7574" s="1050"/>
      <c r="G7574" s="1050"/>
    </row>
    <row r="7575" spans="1:7">
      <c r="A7575" s="1079"/>
      <c r="B7575" s="1050"/>
      <c r="C7575" s="1050"/>
      <c r="D7575" s="1050"/>
      <c r="E7575" s="1050"/>
      <c r="F7575" s="1050"/>
      <c r="G7575" s="1050"/>
    </row>
    <row r="7576" spans="1:7">
      <c r="A7576" s="1079"/>
      <c r="B7576" s="1050"/>
      <c r="C7576" s="1050"/>
      <c r="D7576" s="1050"/>
      <c r="E7576" s="1050"/>
      <c r="F7576" s="1050"/>
      <c r="G7576" s="1050"/>
    </row>
    <row r="7577" spans="1:7">
      <c r="A7577" s="1079"/>
      <c r="B7577" s="1050"/>
      <c r="C7577" s="1050"/>
      <c r="D7577" s="1050"/>
      <c r="E7577" s="1050"/>
      <c r="F7577" s="1050"/>
      <c r="G7577" s="1050"/>
    </row>
    <row r="7578" spans="1:7">
      <c r="A7578" s="1079"/>
      <c r="B7578" s="1050"/>
      <c r="C7578" s="1050"/>
      <c r="D7578" s="1050"/>
      <c r="E7578" s="1050"/>
      <c r="F7578" s="1050"/>
      <c r="G7578" s="1050"/>
    </row>
    <row r="7579" spans="1:7">
      <c r="A7579" s="1079"/>
      <c r="B7579" s="1050"/>
      <c r="C7579" s="1050"/>
      <c r="D7579" s="1050"/>
      <c r="E7579" s="1050"/>
      <c r="F7579" s="1050"/>
      <c r="G7579" s="1050"/>
    </row>
    <row r="7580" spans="1:7">
      <c r="A7580" s="1079"/>
      <c r="B7580" s="1050"/>
      <c r="C7580" s="1050"/>
      <c r="D7580" s="1050"/>
      <c r="E7580" s="1050"/>
      <c r="F7580" s="1050"/>
      <c r="G7580" s="1050"/>
    </row>
    <row r="7581" spans="1:7">
      <c r="A7581" s="1079"/>
      <c r="B7581" s="1050"/>
      <c r="C7581" s="1050"/>
      <c r="D7581" s="1050"/>
      <c r="E7581" s="1050"/>
      <c r="F7581" s="1050"/>
      <c r="G7581" s="1050"/>
    </row>
    <row r="7582" spans="1:7">
      <c r="A7582" s="1079"/>
      <c r="B7582" s="1050"/>
      <c r="C7582" s="1050"/>
      <c r="D7582" s="1050"/>
      <c r="E7582" s="1050"/>
      <c r="F7582" s="1050"/>
      <c r="G7582" s="1050"/>
    </row>
    <row r="7583" spans="1:7">
      <c r="A7583" s="1079"/>
      <c r="B7583" s="1050"/>
      <c r="C7583" s="1050"/>
      <c r="D7583" s="1050"/>
      <c r="E7583" s="1050"/>
      <c r="F7583" s="1050"/>
      <c r="G7583" s="1050"/>
    </row>
    <row r="7584" spans="1:7">
      <c r="A7584" s="1079"/>
      <c r="B7584" s="1050"/>
      <c r="C7584" s="1050"/>
      <c r="D7584" s="1050"/>
      <c r="E7584" s="1050"/>
      <c r="F7584" s="1050"/>
      <c r="G7584" s="1050"/>
    </row>
    <row r="7585" spans="1:7">
      <c r="A7585" s="1079"/>
      <c r="B7585" s="1050"/>
      <c r="C7585" s="1050"/>
      <c r="D7585" s="1050"/>
      <c r="E7585" s="1050"/>
      <c r="F7585" s="1050"/>
      <c r="G7585" s="1050"/>
    </row>
    <row r="7586" spans="1:7">
      <c r="A7586" s="1079"/>
      <c r="B7586" s="1050"/>
      <c r="C7586" s="1050"/>
      <c r="D7586" s="1050"/>
      <c r="E7586" s="1050"/>
      <c r="F7586" s="1050"/>
      <c r="G7586" s="1050"/>
    </row>
    <row r="7587" spans="1:7">
      <c r="A7587" s="1079"/>
      <c r="B7587" s="1050"/>
      <c r="C7587" s="1050"/>
      <c r="D7587" s="1050"/>
      <c r="E7587" s="1050"/>
      <c r="F7587" s="1050"/>
      <c r="G7587" s="1050"/>
    </row>
    <row r="7588" spans="1:7">
      <c r="A7588" s="1079"/>
      <c r="B7588" s="1050"/>
      <c r="C7588" s="1050"/>
      <c r="D7588" s="1050"/>
      <c r="E7588" s="1050"/>
      <c r="F7588" s="1050"/>
      <c r="G7588" s="1050"/>
    </row>
    <row r="7589" spans="1:7">
      <c r="A7589" s="1079"/>
      <c r="B7589" s="1050"/>
      <c r="C7589" s="1050"/>
      <c r="D7589" s="1050"/>
      <c r="E7589" s="1050"/>
      <c r="F7589" s="1050"/>
      <c r="G7589" s="1050"/>
    </row>
    <row r="7590" spans="1:7">
      <c r="A7590" s="1079"/>
      <c r="B7590" s="1050"/>
      <c r="C7590" s="1050"/>
      <c r="D7590" s="1050"/>
      <c r="E7590" s="1050"/>
      <c r="F7590" s="1050"/>
      <c r="G7590" s="1050"/>
    </row>
    <row r="7591" spans="1:7">
      <c r="A7591" s="1079"/>
      <c r="B7591" s="1050"/>
      <c r="C7591" s="1050"/>
      <c r="D7591" s="1050"/>
      <c r="E7591" s="1050"/>
      <c r="F7591" s="1050"/>
      <c r="G7591" s="1050"/>
    </row>
    <row r="7592" spans="1:7">
      <c r="A7592" s="1079"/>
      <c r="B7592" s="1050"/>
      <c r="C7592" s="1050"/>
      <c r="D7592" s="1050"/>
      <c r="E7592" s="1050"/>
      <c r="F7592" s="1050"/>
      <c r="G7592" s="1050"/>
    </row>
    <row r="7593" spans="1:7">
      <c r="A7593" s="1079"/>
      <c r="B7593" s="1050"/>
      <c r="C7593" s="1050"/>
      <c r="D7593" s="1050"/>
      <c r="E7593" s="1050"/>
      <c r="F7593" s="1050"/>
      <c r="G7593" s="1050"/>
    </row>
    <row r="7594" spans="1:7">
      <c r="A7594" s="1079"/>
      <c r="B7594" s="1050"/>
      <c r="C7594" s="1050"/>
      <c r="D7594" s="1050"/>
      <c r="E7594" s="1050"/>
      <c r="F7594" s="1050"/>
      <c r="G7594" s="1050"/>
    </row>
    <row r="7595" spans="1:7">
      <c r="A7595" s="1079"/>
      <c r="B7595" s="1050"/>
      <c r="C7595" s="1050"/>
      <c r="D7595" s="1050"/>
      <c r="E7595" s="1050"/>
      <c r="F7595" s="1050"/>
      <c r="G7595" s="1050"/>
    </row>
    <row r="7596" spans="1:7">
      <c r="A7596" s="1079"/>
      <c r="B7596" s="1050"/>
      <c r="C7596" s="1050"/>
      <c r="D7596" s="1050"/>
      <c r="E7596" s="1050"/>
      <c r="F7596" s="1050"/>
      <c r="G7596" s="1050"/>
    </row>
    <row r="7597" spans="1:7">
      <c r="A7597" s="1079"/>
      <c r="B7597" s="1050"/>
      <c r="C7597" s="1050"/>
      <c r="D7597" s="1050"/>
      <c r="E7597" s="1050"/>
      <c r="F7597" s="1050"/>
      <c r="G7597" s="1050"/>
    </row>
    <row r="7598" spans="1:7">
      <c r="A7598" s="1079"/>
      <c r="B7598" s="1050"/>
      <c r="C7598" s="1050"/>
      <c r="D7598" s="1050"/>
      <c r="E7598" s="1050"/>
      <c r="F7598" s="1050"/>
      <c r="G7598" s="1050"/>
    </row>
    <row r="7599" spans="1:7">
      <c r="A7599" s="1079"/>
      <c r="B7599" s="1050"/>
      <c r="C7599" s="1050"/>
      <c r="D7599" s="1050"/>
      <c r="E7599" s="1050"/>
      <c r="F7599" s="1050"/>
      <c r="G7599" s="1050"/>
    </row>
    <row r="7600" spans="1:7">
      <c r="A7600" s="1079"/>
      <c r="B7600" s="1050"/>
      <c r="C7600" s="1050"/>
      <c r="D7600" s="1050"/>
      <c r="E7600" s="1050"/>
      <c r="F7600" s="1050"/>
      <c r="G7600" s="1050"/>
    </row>
    <row r="7601" spans="1:7">
      <c r="A7601" s="1079"/>
      <c r="B7601" s="1050"/>
      <c r="C7601" s="1050"/>
      <c r="D7601" s="1050"/>
      <c r="E7601" s="1050"/>
      <c r="F7601" s="1050"/>
      <c r="G7601" s="1050"/>
    </row>
    <row r="7602" spans="1:7">
      <c r="A7602" s="1079"/>
      <c r="B7602" s="1050"/>
      <c r="C7602" s="1050"/>
      <c r="D7602" s="1050"/>
      <c r="E7602" s="1050"/>
      <c r="F7602" s="1050"/>
      <c r="G7602" s="1050"/>
    </row>
    <row r="7603" spans="1:7">
      <c r="A7603" s="1079"/>
      <c r="B7603" s="1050"/>
      <c r="C7603" s="1050"/>
      <c r="D7603" s="1050"/>
      <c r="E7603" s="1050"/>
      <c r="F7603" s="1050"/>
      <c r="G7603" s="1050"/>
    </row>
    <row r="7604" spans="1:7">
      <c r="A7604" s="1079"/>
      <c r="B7604" s="1050"/>
      <c r="C7604" s="1050"/>
      <c r="D7604" s="1050"/>
      <c r="E7604" s="1050"/>
      <c r="F7604" s="1050"/>
      <c r="G7604" s="1050"/>
    </row>
    <row r="7605" spans="1:7">
      <c r="A7605" s="1079"/>
      <c r="B7605" s="1050"/>
      <c r="C7605" s="1050"/>
      <c r="D7605" s="1050"/>
      <c r="E7605" s="1050"/>
      <c r="F7605" s="1050"/>
      <c r="G7605" s="1050"/>
    </row>
    <row r="7606" spans="1:7">
      <c r="A7606" s="1079"/>
      <c r="B7606" s="1050"/>
      <c r="C7606" s="1050"/>
      <c r="D7606" s="1050"/>
      <c r="E7606" s="1050"/>
      <c r="F7606" s="1050"/>
      <c r="G7606" s="1050"/>
    </row>
    <row r="7607" spans="1:7">
      <c r="A7607" s="1079"/>
      <c r="B7607" s="1050"/>
      <c r="C7607" s="1050"/>
      <c r="D7607" s="1050"/>
      <c r="E7607" s="1050"/>
      <c r="F7607" s="1050"/>
      <c r="G7607" s="1050"/>
    </row>
    <row r="7608" spans="1:7">
      <c r="A7608" s="1079"/>
      <c r="B7608" s="1050"/>
      <c r="C7608" s="1050"/>
      <c r="D7608" s="1050"/>
      <c r="E7608" s="1050"/>
      <c r="F7608" s="1050"/>
      <c r="G7608" s="1050"/>
    </row>
    <row r="7609" spans="1:7">
      <c r="A7609" s="1079"/>
      <c r="B7609" s="1050"/>
      <c r="C7609" s="1050"/>
      <c r="D7609" s="1050"/>
      <c r="E7609" s="1050"/>
      <c r="F7609" s="1050"/>
      <c r="G7609" s="1050"/>
    </row>
    <row r="7610" spans="1:7">
      <c r="A7610" s="1079"/>
      <c r="B7610" s="1050"/>
      <c r="C7610" s="1050"/>
      <c r="D7610" s="1050"/>
      <c r="E7610" s="1050"/>
      <c r="F7610" s="1050"/>
      <c r="G7610" s="1050"/>
    </row>
    <row r="7611" spans="1:7">
      <c r="A7611" s="1079"/>
      <c r="B7611" s="1050"/>
      <c r="C7611" s="1050"/>
      <c r="D7611" s="1050"/>
      <c r="E7611" s="1050"/>
      <c r="F7611" s="1050"/>
      <c r="G7611" s="1050"/>
    </row>
    <row r="7612" spans="1:7">
      <c r="A7612" s="1079"/>
      <c r="B7612" s="1050"/>
      <c r="C7612" s="1050"/>
      <c r="D7612" s="1050"/>
      <c r="E7612" s="1050"/>
      <c r="F7612" s="1050"/>
      <c r="G7612" s="1050"/>
    </row>
    <row r="7613" spans="1:7">
      <c r="A7613" s="1079"/>
      <c r="B7613" s="1050"/>
      <c r="C7613" s="1050"/>
      <c r="D7613" s="1050"/>
      <c r="E7613" s="1050"/>
      <c r="F7613" s="1050"/>
      <c r="G7613" s="1050"/>
    </row>
    <row r="7614" spans="1:7">
      <c r="A7614" s="1079"/>
      <c r="B7614" s="1050"/>
      <c r="C7614" s="1050"/>
      <c r="D7614" s="1050"/>
      <c r="E7614" s="1050"/>
      <c r="F7614" s="1050"/>
      <c r="G7614" s="1050"/>
    </row>
    <row r="7615" spans="1:7">
      <c r="A7615" s="1079"/>
      <c r="B7615" s="1050"/>
      <c r="C7615" s="1050"/>
      <c r="D7615" s="1050"/>
      <c r="E7615" s="1050"/>
      <c r="F7615" s="1050"/>
      <c r="G7615" s="1050"/>
    </row>
    <row r="7616" spans="1:7">
      <c r="A7616" s="1079"/>
      <c r="B7616" s="1050"/>
      <c r="C7616" s="1050"/>
      <c r="D7616" s="1050"/>
      <c r="E7616" s="1050"/>
      <c r="F7616" s="1050"/>
      <c r="G7616" s="1050"/>
    </row>
    <row r="7617" spans="1:7">
      <c r="A7617" s="1079"/>
      <c r="B7617" s="1050"/>
      <c r="C7617" s="1050"/>
      <c r="D7617" s="1050"/>
      <c r="E7617" s="1050"/>
      <c r="F7617" s="1050"/>
      <c r="G7617" s="1050"/>
    </row>
    <row r="7618" spans="1:7">
      <c r="A7618" s="1079"/>
      <c r="B7618" s="1050"/>
      <c r="C7618" s="1050"/>
      <c r="D7618" s="1050"/>
      <c r="E7618" s="1050"/>
      <c r="F7618" s="1050"/>
      <c r="G7618" s="1050"/>
    </row>
    <row r="7619" spans="1:7">
      <c r="A7619" s="1079"/>
      <c r="B7619" s="1050"/>
      <c r="C7619" s="1050"/>
      <c r="D7619" s="1050"/>
      <c r="E7619" s="1050"/>
      <c r="F7619" s="1050"/>
      <c r="G7619" s="1050"/>
    </row>
    <row r="7620" spans="1:7">
      <c r="A7620" s="1079"/>
      <c r="B7620" s="1050"/>
      <c r="C7620" s="1050"/>
      <c r="D7620" s="1050"/>
      <c r="E7620" s="1050"/>
      <c r="F7620" s="1050"/>
      <c r="G7620" s="1050"/>
    </row>
    <row r="7621" spans="1:7">
      <c r="A7621" s="1079"/>
      <c r="B7621" s="1050"/>
      <c r="C7621" s="1050"/>
      <c r="D7621" s="1050"/>
      <c r="E7621" s="1050"/>
      <c r="F7621" s="1050"/>
      <c r="G7621" s="1050"/>
    </row>
    <row r="7622" spans="1:7">
      <c r="A7622" s="1079"/>
      <c r="B7622" s="1050"/>
      <c r="C7622" s="1050"/>
      <c r="D7622" s="1050"/>
      <c r="E7622" s="1050"/>
      <c r="F7622" s="1050"/>
      <c r="G7622" s="1050"/>
    </row>
    <row r="7623" spans="1:7">
      <c r="A7623" s="1079"/>
      <c r="B7623" s="1050"/>
      <c r="C7623" s="1050"/>
      <c r="D7623" s="1050"/>
      <c r="E7623" s="1050"/>
      <c r="F7623" s="1050"/>
      <c r="G7623" s="1050"/>
    </row>
    <row r="7624" spans="1:7">
      <c r="A7624" s="1079"/>
      <c r="B7624" s="1050"/>
      <c r="C7624" s="1050"/>
      <c r="D7624" s="1050"/>
      <c r="E7624" s="1050"/>
      <c r="F7624" s="1050"/>
      <c r="G7624" s="1050"/>
    </row>
    <row r="7625" spans="1:7">
      <c r="A7625" s="1079"/>
      <c r="B7625" s="1050"/>
      <c r="C7625" s="1050"/>
      <c r="D7625" s="1050"/>
      <c r="E7625" s="1050"/>
      <c r="F7625" s="1050"/>
      <c r="G7625" s="1050"/>
    </row>
    <row r="7626" spans="1:7">
      <c r="A7626" s="1079"/>
      <c r="B7626" s="1050"/>
      <c r="C7626" s="1050"/>
      <c r="D7626" s="1050"/>
      <c r="E7626" s="1050"/>
      <c r="F7626" s="1050"/>
      <c r="G7626" s="1050"/>
    </row>
    <row r="7627" spans="1:7">
      <c r="A7627" s="1079"/>
      <c r="B7627" s="1050"/>
      <c r="C7627" s="1050"/>
      <c r="D7627" s="1050"/>
      <c r="E7627" s="1050"/>
      <c r="F7627" s="1050"/>
      <c r="G7627" s="1050"/>
    </row>
    <row r="7628" spans="1:7">
      <c r="A7628" s="1079"/>
      <c r="B7628" s="1050"/>
      <c r="C7628" s="1050"/>
      <c r="D7628" s="1050"/>
      <c r="E7628" s="1050"/>
      <c r="F7628" s="1050"/>
      <c r="G7628" s="1050"/>
    </row>
    <row r="7629" spans="1:7">
      <c r="A7629" s="1079"/>
      <c r="B7629" s="1050"/>
      <c r="C7629" s="1050"/>
      <c r="D7629" s="1050"/>
      <c r="E7629" s="1050"/>
      <c r="F7629" s="1050"/>
      <c r="G7629" s="1050"/>
    </row>
    <row r="7630" spans="1:7">
      <c r="A7630" s="1079"/>
      <c r="B7630" s="1050"/>
      <c r="C7630" s="1050"/>
      <c r="D7630" s="1050"/>
      <c r="E7630" s="1050"/>
      <c r="F7630" s="1050"/>
      <c r="G7630" s="1050"/>
    </row>
    <row r="7631" spans="1:7">
      <c r="A7631" s="1079"/>
      <c r="B7631" s="1050"/>
      <c r="C7631" s="1050"/>
      <c r="D7631" s="1050"/>
      <c r="E7631" s="1050"/>
      <c r="F7631" s="1050"/>
      <c r="G7631" s="1050"/>
    </row>
    <row r="7632" spans="1:7">
      <c r="A7632" s="1079"/>
      <c r="B7632" s="1050"/>
      <c r="C7632" s="1050"/>
      <c r="D7632" s="1050"/>
      <c r="E7632" s="1050"/>
      <c r="F7632" s="1050"/>
      <c r="G7632" s="1050"/>
    </row>
    <row r="7633" spans="1:7">
      <c r="A7633" s="1079"/>
      <c r="B7633" s="1050"/>
      <c r="C7633" s="1050"/>
      <c r="D7633" s="1050"/>
      <c r="E7633" s="1050"/>
      <c r="F7633" s="1050"/>
      <c r="G7633" s="1050"/>
    </row>
    <row r="7634" spans="1:7">
      <c r="A7634" s="1079"/>
      <c r="B7634" s="1050"/>
      <c r="C7634" s="1050"/>
      <c r="D7634" s="1050"/>
      <c r="E7634" s="1050"/>
      <c r="F7634" s="1050"/>
      <c r="G7634" s="1050"/>
    </row>
    <row r="7635" spans="1:7">
      <c r="A7635" s="1079"/>
      <c r="B7635" s="1050"/>
      <c r="C7635" s="1050"/>
      <c r="D7635" s="1050"/>
      <c r="E7635" s="1050"/>
      <c r="F7635" s="1050"/>
      <c r="G7635" s="1050"/>
    </row>
    <row r="7636" spans="1:7">
      <c r="A7636" s="1079"/>
      <c r="B7636" s="1050"/>
      <c r="C7636" s="1050"/>
      <c r="D7636" s="1050"/>
      <c r="E7636" s="1050"/>
      <c r="F7636" s="1050"/>
      <c r="G7636" s="1050"/>
    </row>
    <row r="7637" spans="1:7">
      <c r="A7637" s="1079"/>
      <c r="B7637" s="1050"/>
      <c r="C7637" s="1050"/>
      <c r="D7637" s="1050"/>
      <c r="E7637" s="1050"/>
      <c r="F7637" s="1050"/>
      <c r="G7637" s="1050"/>
    </row>
    <row r="7638" spans="1:7">
      <c r="A7638" s="1079"/>
      <c r="B7638" s="1050"/>
      <c r="C7638" s="1050"/>
      <c r="D7638" s="1050"/>
      <c r="E7638" s="1050"/>
      <c r="F7638" s="1050"/>
      <c r="G7638" s="1050"/>
    </row>
    <row r="7639" spans="1:7">
      <c r="A7639" s="1079"/>
      <c r="B7639" s="1050"/>
      <c r="C7639" s="1050"/>
      <c r="D7639" s="1050"/>
      <c r="E7639" s="1050"/>
      <c r="F7639" s="1050"/>
      <c r="G7639" s="1050"/>
    </row>
    <row r="7640" spans="1:7">
      <c r="A7640" s="1079"/>
      <c r="B7640" s="1050"/>
      <c r="C7640" s="1050"/>
      <c r="D7640" s="1050"/>
      <c r="E7640" s="1050"/>
      <c r="F7640" s="1050"/>
      <c r="G7640" s="1050"/>
    </row>
    <row r="7641" spans="1:7">
      <c r="A7641" s="1079"/>
      <c r="B7641" s="1050"/>
      <c r="C7641" s="1050"/>
      <c r="D7641" s="1050"/>
      <c r="E7641" s="1050"/>
      <c r="F7641" s="1050"/>
      <c r="G7641" s="1050"/>
    </row>
    <row r="7642" spans="1:7">
      <c r="A7642" s="1079"/>
      <c r="B7642" s="1050"/>
      <c r="C7642" s="1050"/>
      <c r="D7642" s="1050"/>
      <c r="E7642" s="1050"/>
      <c r="F7642" s="1050"/>
      <c r="G7642" s="1050"/>
    </row>
    <row r="7643" spans="1:7">
      <c r="A7643" s="1079"/>
      <c r="B7643" s="1050"/>
      <c r="C7643" s="1050"/>
      <c r="D7643" s="1050"/>
      <c r="E7643" s="1050"/>
      <c r="F7643" s="1050"/>
      <c r="G7643" s="1050"/>
    </row>
    <row r="7644" spans="1:7">
      <c r="A7644" s="1079"/>
      <c r="B7644" s="1050"/>
      <c r="C7644" s="1050"/>
      <c r="D7644" s="1050"/>
      <c r="E7644" s="1050"/>
      <c r="F7644" s="1050"/>
      <c r="G7644" s="1050"/>
    </row>
    <row r="7645" spans="1:7">
      <c r="A7645" s="1079"/>
      <c r="B7645" s="1050"/>
      <c r="C7645" s="1050"/>
      <c r="D7645" s="1050"/>
      <c r="E7645" s="1050"/>
      <c r="F7645" s="1050"/>
      <c r="G7645" s="1050"/>
    </row>
    <row r="7646" spans="1:7">
      <c r="A7646" s="1079"/>
      <c r="B7646" s="1050"/>
      <c r="C7646" s="1050"/>
      <c r="D7646" s="1050"/>
      <c r="E7646" s="1050"/>
      <c r="F7646" s="1050"/>
      <c r="G7646" s="1050"/>
    </row>
    <row r="7647" spans="1:7">
      <c r="A7647" s="1079"/>
      <c r="B7647" s="1050"/>
      <c r="C7647" s="1050"/>
      <c r="D7647" s="1050"/>
      <c r="E7647" s="1050"/>
      <c r="F7647" s="1050"/>
      <c r="G7647" s="1050"/>
    </row>
    <row r="7648" spans="1:7">
      <c r="A7648" s="1079"/>
      <c r="B7648" s="1050"/>
      <c r="C7648" s="1050"/>
      <c r="D7648" s="1050"/>
      <c r="E7648" s="1050"/>
      <c r="F7648" s="1050"/>
      <c r="G7648" s="1050"/>
    </row>
    <row r="7649" spans="1:7">
      <c r="A7649" s="1079"/>
      <c r="B7649" s="1050"/>
      <c r="C7649" s="1050"/>
      <c r="D7649" s="1050"/>
      <c r="E7649" s="1050"/>
      <c r="F7649" s="1050"/>
      <c r="G7649" s="1050"/>
    </row>
    <row r="7650" spans="1:7">
      <c r="A7650" s="1079"/>
      <c r="B7650" s="1050"/>
      <c r="C7650" s="1050"/>
      <c r="D7650" s="1050"/>
      <c r="E7650" s="1050"/>
      <c r="F7650" s="1050"/>
      <c r="G7650" s="1050"/>
    </row>
    <row r="7651" spans="1:7">
      <c r="A7651" s="1079"/>
      <c r="B7651" s="1050"/>
      <c r="C7651" s="1050"/>
      <c r="D7651" s="1050"/>
      <c r="E7651" s="1050"/>
      <c r="F7651" s="1050"/>
      <c r="G7651" s="1050"/>
    </row>
    <row r="7652" spans="1:7">
      <c r="A7652" s="1079"/>
      <c r="B7652" s="1050"/>
      <c r="C7652" s="1050"/>
      <c r="D7652" s="1050"/>
      <c r="E7652" s="1050"/>
      <c r="F7652" s="1050"/>
      <c r="G7652" s="1050"/>
    </row>
    <row r="7653" spans="1:7">
      <c r="A7653" s="1079"/>
      <c r="B7653" s="1050"/>
      <c r="C7653" s="1050"/>
      <c r="D7653" s="1050"/>
      <c r="E7653" s="1050"/>
      <c r="F7653" s="1050"/>
      <c r="G7653" s="1050"/>
    </row>
    <row r="7654" spans="1:7">
      <c r="A7654" s="1079"/>
      <c r="B7654" s="1050"/>
      <c r="C7654" s="1050"/>
      <c r="D7654" s="1050"/>
      <c r="E7654" s="1050"/>
      <c r="F7654" s="1050"/>
      <c r="G7654" s="1050"/>
    </row>
    <row r="7655" spans="1:7">
      <c r="A7655" s="1079"/>
      <c r="B7655" s="1050"/>
      <c r="C7655" s="1050"/>
      <c r="D7655" s="1050"/>
      <c r="E7655" s="1050"/>
      <c r="F7655" s="1050"/>
      <c r="G7655" s="1050"/>
    </row>
    <row r="7656" spans="1:7">
      <c r="A7656" s="1079"/>
      <c r="B7656" s="1050"/>
      <c r="C7656" s="1050"/>
      <c r="D7656" s="1050"/>
      <c r="E7656" s="1050"/>
      <c r="F7656" s="1050"/>
      <c r="G7656" s="1050"/>
    </row>
    <row r="7657" spans="1:7">
      <c r="A7657" s="1079"/>
      <c r="B7657" s="1050"/>
      <c r="C7657" s="1050"/>
      <c r="D7657" s="1050"/>
      <c r="E7657" s="1050"/>
      <c r="F7657" s="1050"/>
      <c r="G7657" s="1050"/>
    </row>
    <row r="7658" spans="1:7">
      <c r="A7658" s="1079"/>
      <c r="B7658" s="1050"/>
      <c r="C7658" s="1050"/>
      <c r="D7658" s="1050"/>
      <c r="E7658" s="1050"/>
      <c r="F7658" s="1050"/>
      <c r="G7658" s="1050"/>
    </row>
    <row r="7659" spans="1:7">
      <c r="A7659" s="1079"/>
      <c r="B7659" s="1050"/>
      <c r="C7659" s="1050"/>
      <c r="D7659" s="1050"/>
      <c r="E7659" s="1050"/>
      <c r="F7659" s="1050"/>
      <c r="G7659" s="1050"/>
    </row>
    <row r="7660" spans="1:7">
      <c r="A7660" s="1079"/>
      <c r="B7660" s="1050"/>
      <c r="C7660" s="1050"/>
      <c r="D7660" s="1050"/>
      <c r="E7660" s="1050"/>
      <c r="F7660" s="1050"/>
      <c r="G7660" s="1050"/>
    </row>
    <row r="7661" spans="1:7">
      <c r="A7661" s="1079"/>
      <c r="B7661" s="1050"/>
      <c r="C7661" s="1050"/>
      <c r="D7661" s="1050"/>
      <c r="E7661" s="1050"/>
      <c r="F7661" s="1050"/>
      <c r="G7661" s="1050"/>
    </row>
    <row r="7662" spans="1:7">
      <c r="A7662" s="1079"/>
      <c r="B7662" s="1050"/>
      <c r="C7662" s="1050"/>
      <c r="D7662" s="1050"/>
      <c r="E7662" s="1050"/>
      <c r="F7662" s="1050"/>
      <c r="G7662" s="1050"/>
    </row>
    <row r="7663" spans="1:7">
      <c r="A7663" s="1079"/>
      <c r="B7663" s="1050"/>
      <c r="C7663" s="1050"/>
      <c r="D7663" s="1050"/>
      <c r="E7663" s="1050"/>
      <c r="F7663" s="1050"/>
      <c r="G7663" s="1050"/>
    </row>
    <row r="7664" spans="1:7">
      <c r="A7664" s="1079"/>
      <c r="B7664" s="1050"/>
      <c r="C7664" s="1050"/>
      <c r="D7664" s="1050"/>
      <c r="E7664" s="1050"/>
      <c r="F7664" s="1050"/>
      <c r="G7664" s="1050"/>
    </row>
    <row r="7665" spans="1:7">
      <c r="A7665" s="1079"/>
      <c r="B7665" s="1050"/>
      <c r="C7665" s="1050"/>
      <c r="D7665" s="1050"/>
      <c r="E7665" s="1050"/>
      <c r="F7665" s="1050"/>
      <c r="G7665" s="1050"/>
    </row>
    <row r="7666" spans="1:7">
      <c r="A7666" s="1079"/>
      <c r="B7666" s="1050"/>
      <c r="C7666" s="1050"/>
      <c r="D7666" s="1050"/>
      <c r="E7666" s="1050"/>
      <c r="F7666" s="1050"/>
      <c r="G7666" s="1050"/>
    </row>
    <row r="7667" spans="1:7">
      <c r="A7667" s="1079"/>
      <c r="B7667" s="1050"/>
      <c r="C7667" s="1050"/>
      <c r="D7667" s="1050"/>
      <c r="E7667" s="1050"/>
      <c r="F7667" s="1050"/>
      <c r="G7667" s="1050"/>
    </row>
    <row r="7668" spans="1:7">
      <c r="A7668" s="1079"/>
      <c r="B7668" s="1050"/>
      <c r="C7668" s="1050"/>
      <c r="D7668" s="1050"/>
      <c r="E7668" s="1050"/>
      <c r="F7668" s="1050"/>
      <c r="G7668" s="1050"/>
    </row>
    <row r="7669" spans="1:7">
      <c r="A7669" s="1079"/>
      <c r="B7669" s="1050"/>
      <c r="C7669" s="1050"/>
      <c r="D7669" s="1050"/>
      <c r="E7669" s="1050"/>
      <c r="F7669" s="1050"/>
      <c r="G7669" s="1050"/>
    </row>
    <row r="7670" spans="1:7">
      <c r="A7670" s="1079"/>
      <c r="B7670" s="1050"/>
      <c r="C7670" s="1050"/>
      <c r="D7670" s="1050"/>
      <c r="E7670" s="1050"/>
      <c r="F7670" s="1050"/>
      <c r="G7670" s="1050"/>
    </row>
    <row r="7671" spans="1:7">
      <c r="A7671" s="1079"/>
      <c r="B7671" s="1050"/>
      <c r="C7671" s="1050"/>
      <c r="D7671" s="1050"/>
      <c r="E7671" s="1050"/>
      <c r="F7671" s="1050"/>
      <c r="G7671" s="1050"/>
    </row>
    <row r="7672" spans="1:7">
      <c r="A7672" s="1079"/>
      <c r="B7672" s="1050"/>
      <c r="C7672" s="1050"/>
      <c r="D7672" s="1050"/>
      <c r="E7672" s="1050"/>
      <c r="F7672" s="1050"/>
      <c r="G7672" s="1050"/>
    </row>
    <row r="7673" spans="1:7">
      <c r="A7673" s="1079"/>
      <c r="B7673" s="1050"/>
      <c r="C7673" s="1050"/>
      <c r="D7673" s="1050"/>
      <c r="E7673" s="1050"/>
      <c r="F7673" s="1050"/>
      <c r="G7673" s="1050"/>
    </row>
    <row r="7674" spans="1:7">
      <c r="A7674" s="1079"/>
      <c r="B7674" s="1050"/>
      <c r="C7674" s="1050"/>
      <c r="D7674" s="1050"/>
      <c r="E7674" s="1050"/>
      <c r="F7674" s="1050"/>
      <c r="G7674" s="1050"/>
    </row>
    <row r="7675" spans="1:7">
      <c r="A7675" s="1079"/>
      <c r="B7675" s="1050"/>
      <c r="C7675" s="1050"/>
      <c r="D7675" s="1050"/>
      <c r="E7675" s="1050"/>
      <c r="F7675" s="1050"/>
      <c r="G7675" s="1050"/>
    </row>
    <row r="7676" spans="1:7">
      <c r="A7676" s="1079"/>
      <c r="B7676" s="1050"/>
      <c r="C7676" s="1050"/>
      <c r="D7676" s="1050"/>
      <c r="E7676" s="1050"/>
      <c r="F7676" s="1050"/>
      <c r="G7676" s="1050"/>
    </row>
    <row r="7677" spans="1:7">
      <c r="A7677" s="1079"/>
      <c r="B7677" s="1050"/>
      <c r="C7677" s="1050"/>
      <c r="D7677" s="1050"/>
      <c r="E7677" s="1050"/>
      <c r="F7677" s="1050"/>
      <c r="G7677" s="1050"/>
    </row>
    <row r="7678" spans="1:7">
      <c r="A7678" s="1079"/>
      <c r="B7678" s="1050"/>
      <c r="C7678" s="1050"/>
      <c r="D7678" s="1050"/>
      <c r="E7678" s="1050"/>
      <c r="F7678" s="1050"/>
      <c r="G7678" s="1050"/>
    </row>
    <row r="7679" spans="1:7">
      <c r="A7679" s="1079"/>
      <c r="B7679" s="1050"/>
      <c r="C7679" s="1050"/>
      <c r="D7679" s="1050"/>
      <c r="E7679" s="1050"/>
      <c r="F7679" s="1050"/>
      <c r="G7679" s="1050"/>
    </row>
    <row r="7680" spans="1:7">
      <c r="A7680" s="1079"/>
      <c r="B7680" s="1050"/>
      <c r="C7680" s="1050"/>
      <c r="D7680" s="1050"/>
      <c r="E7680" s="1050"/>
      <c r="F7680" s="1050"/>
      <c r="G7680" s="1050"/>
    </row>
    <row r="7681" spans="1:7">
      <c r="A7681" s="1079"/>
      <c r="B7681" s="1050"/>
      <c r="C7681" s="1050"/>
      <c r="D7681" s="1050"/>
      <c r="E7681" s="1050"/>
      <c r="F7681" s="1050"/>
      <c r="G7681" s="1050"/>
    </row>
    <row r="7682" spans="1:7">
      <c r="A7682" s="1079"/>
      <c r="B7682" s="1050"/>
      <c r="C7682" s="1050"/>
      <c r="D7682" s="1050"/>
      <c r="E7682" s="1050"/>
      <c r="F7682" s="1050"/>
      <c r="G7682" s="1050"/>
    </row>
    <row r="7683" spans="1:7">
      <c r="A7683" s="1079"/>
      <c r="B7683" s="1050"/>
      <c r="C7683" s="1050"/>
      <c r="D7683" s="1050"/>
      <c r="E7683" s="1050"/>
      <c r="F7683" s="1050"/>
      <c r="G7683" s="1050"/>
    </row>
    <row r="7684" spans="1:7">
      <c r="A7684" s="1079"/>
      <c r="B7684" s="1050"/>
      <c r="C7684" s="1050"/>
      <c r="D7684" s="1050"/>
      <c r="E7684" s="1050"/>
      <c r="F7684" s="1050"/>
      <c r="G7684" s="1050"/>
    </row>
    <row r="7685" spans="1:7">
      <c r="A7685" s="1079"/>
      <c r="B7685" s="1050"/>
      <c r="C7685" s="1050"/>
      <c r="D7685" s="1050"/>
      <c r="E7685" s="1050"/>
      <c r="F7685" s="1050"/>
      <c r="G7685" s="1050"/>
    </row>
    <row r="7686" spans="1:7">
      <c r="A7686" s="1079"/>
      <c r="B7686" s="1050"/>
      <c r="C7686" s="1050"/>
      <c r="D7686" s="1050"/>
      <c r="E7686" s="1050"/>
      <c r="F7686" s="1050"/>
      <c r="G7686" s="1050"/>
    </row>
    <row r="7687" spans="1:7">
      <c r="A7687" s="1079"/>
      <c r="B7687" s="1050"/>
      <c r="C7687" s="1050"/>
      <c r="D7687" s="1050"/>
      <c r="E7687" s="1050"/>
      <c r="F7687" s="1050"/>
      <c r="G7687" s="1050"/>
    </row>
    <row r="7688" spans="1:7">
      <c r="A7688" s="1079"/>
      <c r="B7688" s="1050"/>
      <c r="C7688" s="1050"/>
      <c r="D7688" s="1050"/>
      <c r="E7688" s="1050"/>
      <c r="F7688" s="1050"/>
      <c r="G7688" s="1050"/>
    </row>
    <row r="7689" spans="1:7">
      <c r="A7689" s="1079"/>
      <c r="B7689" s="1050"/>
      <c r="C7689" s="1050"/>
      <c r="D7689" s="1050"/>
      <c r="E7689" s="1050"/>
      <c r="F7689" s="1050"/>
      <c r="G7689" s="1050"/>
    </row>
    <row r="7690" spans="1:7">
      <c r="A7690" s="1079"/>
      <c r="B7690" s="1050"/>
      <c r="C7690" s="1050"/>
      <c r="D7690" s="1050"/>
      <c r="E7690" s="1050"/>
      <c r="F7690" s="1050"/>
      <c r="G7690" s="1050"/>
    </row>
    <row r="7691" spans="1:7">
      <c r="A7691" s="1079"/>
      <c r="B7691" s="1050"/>
      <c r="C7691" s="1050"/>
      <c r="D7691" s="1050"/>
      <c r="E7691" s="1050"/>
      <c r="F7691" s="1050"/>
      <c r="G7691" s="1050"/>
    </row>
    <row r="7692" spans="1:7">
      <c r="A7692" s="1079"/>
      <c r="B7692" s="1050"/>
      <c r="C7692" s="1050"/>
      <c r="D7692" s="1050"/>
      <c r="E7692" s="1050"/>
      <c r="F7692" s="1050"/>
      <c r="G7692" s="1050"/>
    </row>
    <row r="7693" spans="1:7">
      <c r="A7693" s="1079"/>
      <c r="B7693" s="1050"/>
      <c r="C7693" s="1050"/>
      <c r="D7693" s="1050"/>
      <c r="E7693" s="1050"/>
      <c r="F7693" s="1050"/>
      <c r="G7693" s="1050"/>
    </row>
    <row r="7694" spans="1:7">
      <c r="A7694" s="1079"/>
      <c r="B7694" s="1050"/>
      <c r="C7694" s="1050"/>
      <c r="D7694" s="1050"/>
      <c r="E7694" s="1050"/>
      <c r="F7694" s="1050"/>
      <c r="G7694" s="1050"/>
    </row>
    <row r="7695" spans="1:7">
      <c r="A7695" s="1079"/>
      <c r="B7695" s="1050"/>
      <c r="C7695" s="1050"/>
      <c r="D7695" s="1050"/>
      <c r="E7695" s="1050"/>
      <c r="F7695" s="1050"/>
      <c r="G7695" s="1050"/>
    </row>
    <row r="7696" spans="1:7">
      <c r="A7696" s="1079"/>
      <c r="B7696" s="1050"/>
      <c r="C7696" s="1050"/>
      <c r="D7696" s="1050"/>
      <c r="E7696" s="1050"/>
      <c r="F7696" s="1050"/>
      <c r="G7696" s="1050"/>
    </row>
    <row r="7697" spans="1:7">
      <c r="A7697" s="1079"/>
      <c r="B7697" s="1050"/>
      <c r="C7697" s="1050"/>
      <c r="D7697" s="1050"/>
      <c r="E7697" s="1050"/>
      <c r="F7697" s="1050"/>
      <c r="G7697" s="1050"/>
    </row>
    <row r="7698" spans="1:7">
      <c r="A7698" s="1079"/>
      <c r="B7698" s="1050"/>
      <c r="C7698" s="1050"/>
      <c r="D7698" s="1050"/>
      <c r="E7698" s="1050"/>
      <c r="F7698" s="1050"/>
      <c r="G7698" s="1050"/>
    </row>
    <row r="7699" spans="1:7">
      <c r="A7699" s="1079"/>
      <c r="B7699" s="1050"/>
      <c r="C7699" s="1050"/>
      <c r="D7699" s="1050"/>
      <c r="E7699" s="1050"/>
      <c r="F7699" s="1050"/>
      <c r="G7699" s="1050"/>
    </row>
    <row r="7700" spans="1:7">
      <c r="A7700" s="1079"/>
      <c r="B7700" s="1050"/>
      <c r="C7700" s="1050"/>
      <c r="D7700" s="1050"/>
      <c r="E7700" s="1050"/>
      <c r="F7700" s="1050"/>
      <c r="G7700" s="1050"/>
    </row>
    <row r="7701" spans="1:7">
      <c r="A7701" s="1079"/>
      <c r="B7701" s="1050"/>
      <c r="C7701" s="1050"/>
      <c r="D7701" s="1050"/>
      <c r="E7701" s="1050"/>
      <c r="F7701" s="1050"/>
      <c r="G7701" s="1050"/>
    </row>
    <row r="7702" spans="1:7">
      <c r="A7702" s="1079"/>
      <c r="B7702" s="1050"/>
      <c r="C7702" s="1050"/>
      <c r="D7702" s="1050"/>
      <c r="E7702" s="1050"/>
      <c r="F7702" s="1050"/>
      <c r="G7702" s="1050"/>
    </row>
    <row r="7703" spans="1:7">
      <c r="A7703" s="1079"/>
      <c r="B7703" s="1050"/>
      <c r="C7703" s="1050"/>
      <c r="D7703" s="1050"/>
      <c r="E7703" s="1050"/>
      <c r="F7703" s="1050"/>
      <c r="G7703" s="1050"/>
    </row>
    <row r="7704" spans="1:7">
      <c r="A7704" s="1079"/>
      <c r="B7704" s="1050"/>
      <c r="C7704" s="1050"/>
      <c r="D7704" s="1050"/>
      <c r="E7704" s="1050"/>
      <c r="F7704" s="1050"/>
      <c r="G7704" s="1050"/>
    </row>
    <row r="7705" spans="1:7">
      <c r="A7705" s="1079"/>
      <c r="B7705" s="1050"/>
      <c r="C7705" s="1050"/>
      <c r="D7705" s="1050"/>
      <c r="E7705" s="1050"/>
      <c r="F7705" s="1050"/>
      <c r="G7705" s="1050"/>
    </row>
    <row r="7706" spans="1:7">
      <c r="A7706" s="1079"/>
      <c r="B7706" s="1050"/>
      <c r="C7706" s="1050"/>
      <c r="D7706" s="1050"/>
      <c r="E7706" s="1050"/>
      <c r="F7706" s="1050"/>
      <c r="G7706" s="1050"/>
    </row>
    <row r="7707" spans="1:7">
      <c r="A7707" s="1079"/>
      <c r="B7707" s="1050"/>
      <c r="C7707" s="1050"/>
      <c r="D7707" s="1050"/>
      <c r="E7707" s="1050"/>
      <c r="F7707" s="1050"/>
      <c r="G7707" s="1050"/>
    </row>
    <row r="7708" spans="1:7">
      <c r="A7708" s="1079"/>
      <c r="B7708" s="1050"/>
      <c r="C7708" s="1050"/>
      <c r="D7708" s="1050"/>
      <c r="E7708" s="1050"/>
      <c r="F7708" s="1050"/>
      <c r="G7708" s="1050"/>
    </row>
    <row r="7709" spans="1:7">
      <c r="A7709" s="1079"/>
      <c r="B7709" s="1050"/>
      <c r="C7709" s="1050"/>
      <c r="D7709" s="1050"/>
      <c r="E7709" s="1050"/>
      <c r="F7709" s="1050"/>
      <c r="G7709" s="1050"/>
    </row>
    <row r="7710" spans="1:7">
      <c r="A7710" s="1079"/>
      <c r="B7710" s="1050"/>
      <c r="C7710" s="1050"/>
      <c r="D7710" s="1050"/>
      <c r="E7710" s="1050"/>
      <c r="F7710" s="1050"/>
      <c r="G7710" s="1050"/>
    </row>
    <row r="7711" spans="1:7">
      <c r="A7711" s="1079"/>
      <c r="B7711" s="1050"/>
      <c r="C7711" s="1050"/>
      <c r="D7711" s="1050"/>
      <c r="E7711" s="1050"/>
      <c r="F7711" s="1050"/>
      <c r="G7711" s="1050"/>
    </row>
    <row r="7712" spans="1:7">
      <c r="A7712" s="1079"/>
      <c r="B7712" s="1050"/>
      <c r="C7712" s="1050"/>
      <c r="D7712" s="1050"/>
      <c r="E7712" s="1050"/>
      <c r="F7712" s="1050"/>
      <c r="G7712" s="1050"/>
    </row>
    <row r="7713" spans="1:7">
      <c r="A7713" s="1079"/>
      <c r="B7713" s="1050"/>
      <c r="C7713" s="1050"/>
      <c r="D7713" s="1050"/>
      <c r="E7713" s="1050"/>
      <c r="F7713" s="1050"/>
      <c r="G7713" s="1050"/>
    </row>
    <row r="7714" spans="1:7">
      <c r="A7714" s="1079"/>
      <c r="B7714" s="1050"/>
      <c r="C7714" s="1050"/>
      <c r="D7714" s="1050"/>
      <c r="E7714" s="1050"/>
      <c r="F7714" s="1050"/>
      <c r="G7714" s="1050"/>
    </row>
    <row r="7715" spans="1:7">
      <c r="A7715" s="1079"/>
      <c r="B7715" s="1050"/>
      <c r="C7715" s="1050"/>
      <c r="D7715" s="1050"/>
      <c r="E7715" s="1050"/>
      <c r="F7715" s="1050"/>
      <c r="G7715" s="1050"/>
    </row>
    <row r="7716" spans="1:7">
      <c r="A7716" s="1079"/>
      <c r="B7716" s="1050"/>
      <c r="C7716" s="1050"/>
      <c r="D7716" s="1050"/>
      <c r="E7716" s="1050"/>
      <c r="F7716" s="1050"/>
      <c r="G7716" s="1050"/>
    </row>
    <row r="7717" spans="1:7">
      <c r="A7717" s="1079"/>
      <c r="B7717" s="1050"/>
      <c r="C7717" s="1050"/>
      <c r="D7717" s="1050"/>
      <c r="E7717" s="1050"/>
      <c r="F7717" s="1050"/>
      <c r="G7717" s="1050"/>
    </row>
    <row r="7718" spans="1:7">
      <c r="A7718" s="1079"/>
      <c r="B7718" s="1050"/>
      <c r="C7718" s="1050"/>
      <c r="D7718" s="1050"/>
      <c r="E7718" s="1050"/>
      <c r="F7718" s="1050"/>
      <c r="G7718" s="1050"/>
    </row>
    <row r="7719" spans="1:7">
      <c r="A7719" s="1079"/>
      <c r="B7719" s="1050"/>
      <c r="C7719" s="1050"/>
      <c r="D7719" s="1050"/>
      <c r="E7719" s="1050"/>
      <c r="F7719" s="1050"/>
      <c r="G7719" s="1050"/>
    </row>
    <row r="7720" spans="1:7">
      <c r="A7720" s="1079"/>
      <c r="B7720" s="1050"/>
      <c r="C7720" s="1050"/>
      <c r="D7720" s="1050"/>
      <c r="E7720" s="1050"/>
      <c r="F7720" s="1050"/>
      <c r="G7720" s="1050"/>
    </row>
    <row r="7721" spans="1:7">
      <c r="A7721" s="1079"/>
      <c r="B7721" s="1050"/>
      <c r="C7721" s="1050"/>
      <c r="D7721" s="1050"/>
      <c r="E7721" s="1050"/>
      <c r="F7721" s="1050"/>
      <c r="G7721" s="1050"/>
    </row>
    <row r="7722" spans="1:7">
      <c r="A7722" s="1079"/>
      <c r="B7722" s="1050"/>
      <c r="C7722" s="1050"/>
      <c r="D7722" s="1050"/>
      <c r="E7722" s="1050"/>
      <c r="F7722" s="1050"/>
      <c r="G7722" s="1050"/>
    </row>
    <row r="7723" spans="1:7">
      <c r="A7723" s="1079"/>
      <c r="B7723" s="1050"/>
      <c r="C7723" s="1050"/>
      <c r="D7723" s="1050"/>
      <c r="E7723" s="1050"/>
      <c r="F7723" s="1050"/>
      <c r="G7723" s="1050"/>
    </row>
    <row r="7724" spans="1:7">
      <c r="A7724" s="1079"/>
      <c r="B7724" s="1050"/>
      <c r="C7724" s="1050"/>
      <c r="D7724" s="1050"/>
      <c r="E7724" s="1050"/>
      <c r="F7724" s="1050"/>
      <c r="G7724" s="1050"/>
    </row>
    <row r="7725" spans="1:7">
      <c r="A7725" s="1079"/>
      <c r="B7725" s="1050"/>
      <c r="C7725" s="1050"/>
      <c r="D7725" s="1050"/>
      <c r="E7725" s="1050"/>
      <c r="F7725" s="1050"/>
      <c r="G7725" s="1050"/>
    </row>
    <row r="7726" spans="1:7">
      <c r="A7726" s="1079"/>
      <c r="B7726" s="1050"/>
      <c r="C7726" s="1050"/>
      <c r="D7726" s="1050"/>
      <c r="E7726" s="1050"/>
      <c r="F7726" s="1050"/>
      <c r="G7726" s="1050"/>
    </row>
    <row r="7727" spans="1:7">
      <c r="A7727" s="1079"/>
      <c r="B7727" s="1050"/>
      <c r="C7727" s="1050"/>
      <c r="D7727" s="1050"/>
      <c r="E7727" s="1050"/>
      <c r="F7727" s="1050"/>
      <c r="G7727" s="1050"/>
    </row>
    <row r="7728" spans="1:7">
      <c r="A7728" s="1079"/>
      <c r="B7728" s="1050"/>
      <c r="C7728" s="1050"/>
      <c r="D7728" s="1050"/>
      <c r="E7728" s="1050"/>
      <c r="F7728" s="1050"/>
      <c r="G7728" s="1050"/>
    </row>
    <row r="7729" spans="1:7">
      <c r="A7729" s="1079"/>
      <c r="B7729" s="1050"/>
      <c r="C7729" s="1050"/>
      <c r="D7729" s="1050"/>
      <c r="E7729" s="1050"/>
      <c r="F7729" s="1050"/>
      <c r="G7729" s="1050"/>
    </row>
    <row r="7730" spans="1:7">
      <c r="A7730" s="1079"/>
      <c r="B7730" s="1050"/>
      <c r="C7730" s="1050"/>
      <c r="D7730" s="1050"/>
      <c r="E7730" s="1050"/>
      <c r="F7730" s="1050"/>
      <c r="G7730" s="1050"/>
    </row>
    <row r="7731" spans="1:7">
      <c r="A7731" s="1079"/>
      <c r="B7731" s="1050"/>
      <c r="C7731" s="1050"/>
      <c r="D7731" s="1050"/>
      <c r="E7731" s="1050"/>
      <c r="F7731" s="1050"/>
      <c r="G7731" s="1050"/>
    </row>
    <row r="7732" spans="1:7">
      <c r="A7732" s="1079"/>
      <c r="B7732" s="1050"/>
      <c r="C7732" s="1050"/>
      <c r="D7732" s="1050"/>
      <c r="E7732" s="1050"/>
      <c r="F7732" s="1050"/>
      <c r="G7732" s="1050"/>
    </row>
    <row r="7733" spans="1:7">
      <c r="A7733" s="1079"/>
      <c r="B7733" s="1050"/>
      <c r="C7733" s="1050"/>
      <c r="D7733" s="1050"/>
      <c r="E7733" s="1050"/>
      <c r="F7733" s="1050"/>
      <c r="G7733" s="1050"/>
    </row>
    <row r="7734" spans="1:7">
      <c r="A7734" s="1079"/>
      <c r="B7734" s="1050"/>
      <c r="C7734" s="1050"/>
      <c r="D7734" s="1050"/>
      <c r="E7734" s="1050"/>
      <c r="F7734" s="1050"/>
      <c r="G7734" s="1050"/>
    </row>
    <row r="7735" spans="1:7">
      <c r="A7735" s="1079"/>
      <c r="B7735" s="1050"/>
      <c r="C7735" s="1050"/>
      <c r="D7735" s="1050"/>
      <c r="E7735" s="1050"/>
      <c r="F7735" s="1050"/>
      <c r="G7735" s="1050"/>
    </row>
    <row r="7736" spans="1:7">
      <c r="A7736" s="1079"/>
      <c r="B7736" s="1050"/>
      <c r="C7736" s="1050"/>
      <c r="D7736" s="1050"/>
      <c r="E7736" s="1050"/>
      <c r="F7736" s="1050"/>
      <c r="G7736" s="1050"/>
    </row>
    <row r="7737" spans="1:7">
      <c r="A7737" s="1079"/>
      <c r="B7737" s="1050"/>
      <c r="C7737" s="1050"/>
      <c r="D7737" s="1050"/>
      <c r="E7737" s="1050"/>
      <c r="F7737" s="1050"/>
      <c r="G7737" s="1050"/>
    </row>
    <row r="7738" spans="1:7">
      <c r="A7738" s="1079"/>
      <c r="B7738" s="1050"/>
      <c r="C7738" s="1050"/>
      <c r="D7738" s="1050"/>
      <c r="E7738" s="1050"/>
      <c r="F7738" s="1050"/>
      <c r="G7738" s="1050"/>
    </row>
    <row r="7739" spans="1:7">
      <c r="A7739" s="1079"/>
      <c r="B7739" s="1050"/>
      <c r="C7739" s="1050"/>
      <c r="D7739" s="1050"/>
      <c r="E7739" s="1050"/>
      <c r="F7739" s="1050"/>
      <c r="G7739" s="1050"/>
    </row>
    <row r="7740" spans="1:7">
      <c r="A7740" s="1079"/>
      <c r="B7740" s="1050"/>
      <c r="C7740" s="1050"/>
      <c r="D7740" s="1050"/>
      <c r="E7740" s="1050"/>
      <c r="F7740" s="1050"/>
      <c r="G7740" s="1050"/>
    </row>
    <row r="7741" spans="1:7">
      <c r="A7741" s="1079"/>
      <c r="B7741" s="1050"/>
      <c r="C7741" s="1050"/>
      <c r="D7741" s="1050"/>
      <c r="E7741" s="1050"/>
      <c r="F7741" s="1050"/>
      <c r="G7741" s="1050"/>
    </row>
    <row r="7742" spans="1:7">
      <c r="A7742" s="1079"/>
      <c r="B7742" s="1050"/>
      <c r="C7742" s="1050"/>
      <c r="D7742" s="1050"/>
      <c r="E7742" s="1050"/>
      <c r="F7742" s="1050"/>
      <c r="G7742" s="1050"/>
    </row>
    <row r="7743" spans="1:7">
      <c r="A7743" s="1079"/>
      <c r="B7743" s="1050"/>
      <c r="C7743" s="1050"/>
      <c r="D7743" s="1050"/>
      <c r="E7743" s="1050"/>
      <c r="F7743" s="1050"/>
      <c r="G7743" s="1050"/>
    </row>
    <row r="7744" spans="1:7">
      <c r="A7744" s="1079"/>
      <c r="B7744" s="1050"/>
      <c r="C7744" s="1050"/>
      <c r="D7744" s="1050"/>
      <c r="E7744" s="1050"/>
      <c r="F7744" s="1050"/>
      <c r="G7744" s="1050"/>
    </row>
    <row r="7745" spans="1:7">
      <c r="A7745" s="1079"/>
      <c r="B7745" s="1050"/>
      <c r="C7745" s="1050"/>
      <c r="D7745" s="1050"/>
      <c r="E7745" s="1050"/>
      <c r="F7745" s="1050"/>
      <c r="G7745" s="1050"/>
    </row>
    <row r="7746" spans="1:7">
      <c r="A7746" s="1079"/>
      <c r="B7746" s="1050"/>
      <c r="C7746" s="1050"/>
      <c r="D7746" s="1050"/>
      <c r="E7746" s="1050"/>
      <c r="F7746" s="1050"/>
      <c r="G7746" s="1050"/>
    </row>
    <row r="7747" spans="1:7">
      <c r="A7747" s="1079"/>
      <c r="B7747" s="1050"/>
      <c r="C7747" s="1050"/>
      <c r="D7747" s="1050"/>
      <c r="E7747" s="1050"/>
      <c r="F7747" s="1050"/>
      <c r="G7747" s="1050"/>
    </row>
    <row r="7748" spans="1:7">
      <c r="A7748" s="1079"/>
      <c r="B7748" s="1050"/>
      <c r="C7748" s="1050"/>
      <c r="D7748" s="1050"/>
      <c r="E7748" s="1050"/>
      <c r="F7748" s="1050"/>
      <c r="G7748" s="1050"/>
    </row>
    <row r="7749" spans="1:7">
      <c r="A7749" s="1079"/>
      <c r="B7749" s="1050"/>
      <c r="C7749" s="1050"/>
      <c r="D7749" s="1050"/>
      <c r="E7749" s="1050"/>
      <c r="F7749" s="1050"/>
      <c r="G7749" s="1050"/>
    </row>
    <row r="7750" spans="1:7">
      <c r="A7750" s="1079"/>
      <c r="B7750" s="1050"/>
      <c r="C7750" s="1050"/>
      <c r="D7750" s="1050"/>
      <c r="E7750" s="1050"/>
      <c r="F7750" s="1050"/>
      <c r="G7750" s="1050"/>
    </row>
    <row r="7751" spans="1:7">
      <c r="A7751" s="1079"/>
      <c r="B7751" s="1050"/>
      <c r="C7751" s="1050"/>
      <c r="D7751" s="1050"/>
      <c r="E7751" s="1050"/>
      <c r="F7751" s="1050"/>
      <c r="G7751" s="1050"/>
    </row>
    <row r="7752" spans="1:7">
      <c r="A7752" s="1079"/>
      <c r="B7752" s="1050"/>
      <c r="C7752" s="1050"/>
      <c r="D7752" s="1050"/>
      <c r="E7752" s="1050"/>
      <c r="F7752" s="1050"/>
      <c r="G7752" s="1050"/>
    </row>
    <row r="7753" spans="1:7">
      <c r="A7753" s="1079"/>
      <c r="B7753" s="1050"/>
      <c r="C7753" s="1050"/>
      <c r="D7753" s="1050"/>
      <c r="E7753" s="1050"/>
      <c r="F7753" s="1050"/>
      <c r="G7753" s="1050"/>
    </row>
    <row r="7754" spans="1:7">
      <c r="A7754" s="1079"/>
      <c r="B7754" s="1050"/>
      <c r="C7754" s="1050"/>
      <c r="D7754" s="1050"/>
      <c r="E7754" s="1050"/>
      <c r="F7754" s="1050"/>
      <c r="G7754" s="1050"/>
    </row>
    <row r="7755" spans="1:7">
      <c r="A7755" s="1079"/>
      <c r="B7755" s="1050"/>
      <c r="C7755" s="1050"/>
      <c r="D7755" s="1050"/>
      <c r="E7755" s="1050"/>
      <c r="F7755" s="1050"/>
      <c r="G7755" s="1050"/>
    </row>
    <row r="7756" spans="1:7">
      <c r="A7756" s="1079"/>
      <c r="B7756" s="1050"/>
      <c r="C7756" s="1050"/>
      <c r="D7756" s="1050"/>
      <c r="E7756" s="1050"/>
      <c r="F7756" s="1050"/>
      <c r="G7756" s="1050"/>
    </row>
    <row r="7757" spans="1:7">
      <c r="A7757" s="1079"/>
      <c r="B7757" s="1050"/>
      <c r="C7757" s="1050"/>
      <c r="D7757" s="1050"/>
      <c r="E7757" s="1050"/>
      <c r="F7757" s="1050"/>
      <c r="G7757" s="1050"/>
    </row>
    <row r="7758" spans="1:7">
      <c r="A7758" s="1079"/>
      <c r="B7758" s="1050"/>
      <c r="C7758" s="1050"/>
      <c r="D7758" s="1050"/>
      <c r="E7758" s="1050"/>
      <c r="F7758" s="1050"/>
      <c r="G7758" s="1050"/>
    </row>
    <row r="7759" spans="1:7">
      <c r="A7759" s="1079"/>
      <c r="B7759" s="1050"/>
      <c r="C7759" s="1050"/>
      <c r="D7759" s="1050"/>
      <c r="E7759" s="1050"/>
      <c r="F7759" s="1050"/>
      <c r="G7759" s="1050"/>
    </row>
    <row r="7760" spans="1:7">
      <c r="A7760" s="1079"/>
      <c r="B7760" s="1050"/>
      <c r="C7760" s="1050"/>
      <c r="D7760" s="1050"/>
      <c r="E7760" s="1050"/>
      <c r="F7760" s="1050"/>
      <c r="G7760" s="1050"/>
    </row>
    <row r="7761" spans="1:7">
      <c r="A7761" s="1079"/>
      <c r="B7761" s="1050"/>
      <c r="C7761" s="1050"/>
      <c r="D7761" s="1050"/>
      <c r="E7761" s="1050"/>
      <c r="F7761" s="1050"/>
      <c r="G7761" s="1050"/>
    </row>
    <row r="7762" spans="1:7">
      <c r="A7762" s="1079"/>
      <c r="B7762" s="1050"/>
      <c r="C7762" s="1050"/>
      <c r="D7762" s="1050"/>
      <c r="E7762" s="1050"/>
      <c r="F7762" s="1050"/>
      <c r="G7762" s="1050"/>
    </row>
    <row r="7763" spans="1:7">
      <c r="A7763" s="1079"/>
      <c r="B7763" s="1050"/>
      <c r="C7763" s="1050"/>
      <c r="D7763" s="1050"/>
      <c r="E7763" s="1050"/>
      <c r="F7763" s="1050"/>
      <c r="G7763" s="1050"/>
    </row>
    <row r="7764" spans="1:7">
      <c r="A7764" s="1079"/>
      <c r="B7764" s="1050"/>
      <c r="C7764" s="1050"/>
      <c r="D7764" s="1050"/>
      <c r="E7764" s="1050"/>
      <c r="F7764" s="1050"/>
      <c r="G7764" s="1050"/>
    </row>
    <row r="7765" spans="1:7">
      <c r="A7765" s="1079"/>
      <c r="B7765" s="1050"/>
      <c r="C7765" s="1050"/>
      <c r="D7765" s="1050"/>
      <c r="E7765" s="1050"/>
      <c r="F7765" s="1050"/>
      <c r="G7765" s="1050"/>
    </row>
    <row r="7766" spans="1:7">
      <c r="A7766" s="1079"/>
      <c r="B7766" s="1050"/>
      <c r="C7766" s="1050"/>
      <c r="D7766" s="1050"/>
      <c r="E7766" s="1050"/>
      <c r="F7766" s="1050"/>
      <c r="G7766" s="1050"/>
    </row>
    <row r="7767" spans="1:7">
      <c r="A7767" s="1079"/>
      <c r="B7767" s="1050"/>
      <c r="C7767" s="1050"/>
      <c r="D7767" s="1050"/>
      <c r="E7767" s="1050"/>
      <c r="F7767" s="1050"/>
      <c r="G7767" s="1050"/>
    </row>
    <row r="7768" spans="1:7">
      <c r="A7768" s="1079"/>
      <c r="B7768" s="1050"/>
      <c r="C7768" s="1050"/>
      <c r="D7768" s="1050"/>
      <c r="E7768" s="1050"/>
      <c r="F7768" s="1050"/>
      <c r="G7768" s="1050"/>
    </row>
    <row r="7769" spans="1:7">
      <c r="A7769" s="1079"/>
      <c r="B7769" s="1050"/>
      <c r="C7769" s="1050"/>
      <c r="D7769" s="1050"/>
      <c r="E7769" s="1050"/>
      <c r="F7769" s="1050"/>
      <c r="G7769" s="1050"/>
    </row>
    <row r="7770" spans="1:7">
      <c r="A7770" s="1079"/>
      <c r="B7770" s="1050"/>
      <c r="C7770" s="1050"/>
      <c r="D7770" s="1050"/>
      <c r="E7770" s="1050"/>
      <c r="F7770" s="1050"/>
      <c r="G7770" s="1050"/>
    </row>
    <row r="7771" spans="1:7">
      <c r="A7771" s="1079"/>
      <c r="B7771" s="1050"/>
      <c r="C7771" s="1050"/>
      <c r="D7771" s="1050"/>
      <c r="E7771" s="1050"/>
      <c r="F7771" s="1050"/>
      <c r="G7771" s="1050"/>
    </row>
    <row r="7772" spans="1:7">
      <c r="A7772" s="1079"/>
      <c r="B7772" s="1050"/>
      <c r="C7772" s="1050"/>
      <c r="D7772" s="1050"/>
      <c r="E7772" s="1050"/>
      <c r="F7772" s="1050"/>
      <c r="G7772" s="1050"/>
    </row>
    <row r="7773" spans="1:7">
      <c r="A7773" s="1079"/>
      <c r="B7773" s="1050"/>
      <c r="C7773" s="1050"/>
      <c r="D7773" s="1050"/>
      <c r="E7773" s="1050"/>
      <c r="F7773" s="1050"/>
      <c r="G7773" s="1050"/>
    </row>
    <row r="7774" spans="1:7">
      <c r="A7774" s="1079"/>
      <c r="B7774" s="1050"/>
      <c r="C7774" s="1050"/>
      <c r="D7774" s="1050"/>
      <c r="E7774" s="1050"/>
      <c r="F7774" s="1050"/>
      <c r="G7774" s="1050"/>
    </row>
    <row r="7775" spans="1:7">
      <c r="A7775" s="1079"/>
      <c r="B7775" s="1050"/>
      <c r="C7775" s="1050"/>
      <c r="D7775" s="1050"/>
      <c r="E7775" s="1050"/>
      <c r="F7775" s="1050"/>
      <c r="G7775" s="1050"/>
    </row>
    <row r="7776" spans="1:7">
      <c r="A7776" s="1079"/>
      <c r="B7776" s="1050"/>
      <c r="C7776" s="1050"/>
      <c r="D7776" s="1050"/>
      <c r="E7776" s="1050"/>
      <c r="F7776" s="1050"/>
      <c r="G7776" s="1050"/>
    </row>
    <row r="7777" spans="1:7">
      <c r="A7777" s="1079"/>
      <c r="B7777" s="1050"/>
      <c r="C7777" s="1050"/>
      <c r="D7777" s="1050"/>
      <c r="E7777" s="1050"/>
      <c r="F7777" s="1050"/>
      <c r="G7777" s="1050"/>
    </row>
    <row r="7778" spans="1:7">
      <c r="A7778" s="1079"/>
      <c r="B7778" s="1050"/>
      <c r="C7778" s="1050"/>
      <c r="D7778" s="1050"/>
      <c r="E7778" s="1050"/>
      <c r="F7778" s="1050"/>
      <c r="G7778" s="1050"/>
    </row>
    <row r="7779" spans="1:7">
      <c r="A7779" s="1079"/>
      <c r="B7779" s="1050"/>
      <c r="C7779" s="1050"/>
      <c r="D7779" s="1050"/>
      <c r="E7779" s="1050"/>
      <c r="F7779" s="1050"/>
      <c r="G7779" s="1050"/>
    </row>
    <row r="7780" spans="1:7">
      <c r="A7780" s="1079"/>
      <c r="B7780" s="1050"/>
      <c r="C7780" s="1050"/>
      <c r="D7780" s="1050"/>
      <c r="E7780" s="1050"/>
      <c r="F7780" s="1050"/>
      <c r="G7780" s="1050"/>
    </row>
    <row r="7781" spans="1:7">
      <c r="A7781" s="1079"/>
      <c r="B7781" s="1050"/>
      <c r="C7781" s="1050"/>
      <c r="D7781" s="1050"/>
      <c r="E7781" s="1050"/>
      <c r="F7781" s="1050"/>
      <c r="G7781" s="1050"/>
    </row>
    <row r="7782" spans="1:7">
      <c r="A7782" s="1079"/>
      <c r="B7782" s="1050"/>
      <c r="C7782" s="1050"/>
      <c r="D7782" s="1050"/>
      <c r="E7782" s="1050"/>
      <c r="F7782" s="1050"/>
      <c r="G7782" s="1050"/>
    </row>
    <row r="7783" spans="1:7">
      <c r="A7783" s="1079"/>
      <c r="B7783" s="1050"/>
      <c r="C7783" s="1050"/>
      <c r="D7783" s="1050"/>
      <c r="E7783" s="1050"/>
      <c r="F7783" s="1050"/>
      <c r="G7783" s="1050"/>
    </row>
    <row r="7784" spans="1:7">
      <c r="A7784" s="1079"/>
      <c r="B7784" s="1050"/>
      <c r="C7784" s="1050"/>
      <c r="D7784" s="1050"/>
      <c r="E7784" s="1050"/>
      <c r="F7784" s="1050"/>
      <c r="G7784" s="1050"/>
    </row>
    <row r="7785" spans="1:7">
      <c r="A7785" s="1079"/>
      <c r="B7785" s="1050"/>
      <c r="C7785" s="1050"/>
      <c r="D7785" s="1050"/>
      <c r="E7785" s="1050"/>
      <c r="F7785" s="1050"/>
      <c r="G7785" s="1050"/>
    </row>
    <row r="7786" spans="1:7">
      <c r="A7786" s="1079"/>
      <c r="B7786" s="1050"/>
      <c r="C7786" s="1050"/>
      <c r="D7786" s="1050"/>
      <c r="E7786" s="1050"/>
      <c r="F7786" s="1050"/>
      <c r="G7786" s="1050"/>
    </row>
    <row r="7787" spans="1:7">
      <c r="A7787" s="1079"/>
      <c r="B7787" s="1050"/>
      <c r="C7787" s="1050"/>
      <c r="D7787" s="1050"/>
      <c r="E7787" s="1050"/>
      <c r="F7787" s="1050"/>
      <c r="G7787" s="1050"/>
    </row>
    <row r="7788" spans="1:7">
      <c r="A7788" s="1079"/>
      <c r="B7788" s="1050"/>
      <c r="C7788" s="1050"/>
      <c r="D7788" s="1050"/>
      <c r="E7788" s="1050"/>
      <c r="F7788" s="1050"/>
      <c r="G7788" s="1050"/>
    </row>
    <row r="7789" spans="1:7">
      <c r="A7789" s="1079"/>
      <c r="B7789" s="1050"/>
      <c r="C7789" s="1050"/>
      <c r="D7789" s="1050"/>
      <c r="E7789" s="1050"/>
      <c r="F7789" s="1050"/>
      <c r="G7789" s="1050"/>
    </row>
    <row r="7790" spans="1:7">
      <c r="A7790" s="1079"/>
      <c r="B7790" s="1050"/>
      <c r="C7790" s="1050"/>
      <c r="D7790" s="1050"/>
      <c r="E7790" s="1050"/>
      <c r="F7790" s="1050"/>
      <c r="G7790" s="1050"/>
    </row>
    <row r="7791" spans="1:7">
      <c r="A7791" s="1079"/>
      <c r="B7791" s="1050"/>
      <c r="C7791" s="1050"/>
      <c r="D7791" s="1050"/>
      <c r="E7791" s="1050"/>
      <c r="F7791" s="1050"/>
      <c r="G7791" s="1050"/>
    </row>
    <row r="7792" spans="1:7">
      <c r="A7792" s="1079"/>
      <c r="B7792" s="1050"/>
      <c r="C7792" s="1050"/>
      <c r="D7792" s="1050"/>
      <c r="E7792" s="1050"/>
      <c r="F7792" s="1050"/>
      <c r="G7792" s="1050"/>
    </row>
    <row r="7793" spans="1:7">
      <c r="A7793" s="1079"/>
      <c r="B7793" s="1050"/>
      <c r="C7793" s="1050"/>
      <c r="D7793" s="1050"/>
      <c r="E7793" s="1050"/>
      <c r="F7793" s="1050"/>
      <c r="G7793" s="1050"/>
    </row>
    <row r="7794" spans="1:7">
      <c r="A7794" s="1079"/>
      <c r="B7794" s="1050"/>
      <c r="C7794" s="1050"/>
      <c r="D7794" s="1050"/>
      <c r="E7794" s="1050"/>
      <c r="F7794" s="1050"/>
      <c r="G7794" s="1050"/>
    </row>
    <row r="7795" spans="1:7">
      <c r="A7795" s="1079"/>
      <c r="B7795" s="1050"/>
      <c r="C7795" s="1050"/>
      <c r="D7795" s="1050"/>
      <c r="E7795" s="1050"/>
      <c r="F7795" s="1050"/>
      <c r="G7795" s="1050"/>
    </row>
    <row r="7796" spans="1:7">
      <c r="A7796" s="1079"/>
      <c r="B7796" s="1050"/>
      <c r="C7796" s="1050"/>
      <c r="D7796" s="1050"/>
      <c r="E7796" s="1050"/>
      <c r="F7796" s="1050"/>
      <c r="G7796" s="1050"/>
    </row>
    <row r="7797" spans="1:7">
      <c r="A7797" s="1079"/>
      <c r="B7797" s="1050"/>
      <c r="C7797" s="1050"/>
      <c r="D7797" s="1050"/>
      <c r="E7797" s="1050"/>
      <c r="F7797" s="1050"/>
      <c r="G7797" s="1050"/>
    </row>
    <row r="7798" spans="1:7">
      <c r="A7798" s="1079"/>
      <c r="B7798" s="1050"/>
      <c r="C7798" s="1050"/>
      <c r="D7798" s="1050"/>
      <c r="E7798" s="1050"/>
      <c r="F7798" s="1050"/>
      <c r="G7798" s="1050"/>
    </row>
    <row r="7799" spans="1:7">
      <c r="A7799" s="1079"/>
      <c r="B7799" s="1050"/>
      <c r="C7799" s="1050"/>
      <c r="D7799" s="1050"/>
      <c r="E7799" s="1050"/>
      <c r="F7799" s="1050"/>
      <c r="G7799" s="1050"/>
    </row>
    <row r="7800" spans="1:7">
      <c r="A7800" s="1079"/>
      <c r="B7800" s="1050"/>
      <c r="C7800" s="1050"/>
      <c r="D7800" s="1050"/>
      <c r="E7800" s="1050"/>
      <c r="F7800" s="1050"/>
      <c r="G7800" s="1050"/>
    </row>
    <row r="7801" spans="1:7">
      <c r="A7801" s="1079"/>
      <c r="B7801" s="1050"/>
      <c r="C7801" s="1050"/>
      <c r="D7801" s="1050"/>
      <c r="E7801" s="1050"/>
      <c r="F7801" s="1050"/>
      <c r="G7801" s="1050"/>
    </row>
    <row r="7802" spans="1:7">
      <c r="A7802" s="1079"/>
      <c r="B7802" s="1050"/>
      <c r="C7802" s="1050"/>
      <c r="D7802" s="1050"/>
      <c r="E7802" s="1050"/>
      <c r="F7802" s="1050"/>
      <c r="G7802" s="1050"/>
    </row>
    <row r="7803" spans="1:7">
      <c r="A7803" s="1079"/>
      <c r="B7803" s="1050"/>
      <c r="C7803" s="1050"/>
      <c r="D7803" s="1050"/>
      <c r="E7803" s="1050"/>
      <c r="F7803" s="1050"/>
      <c r="G7803" s="1050"/>
    </row>
    <row r="7804" spans="1:7">
      <c r="A7804" s="1079"/>
      <c r="B7804" s="1050"/>
      <c r="C7804" s="1050"/>
      <c r="D7804" s="1050"/>
      <c r="E7804" s="1050"/>
      <c r="F7804" s="1050"/>
      <c r="G7804" s="1050"/>
    </row>
    <row r="7805" spans="1:7">
      <c r="A7805" s="1079"/>
      <c r="B7805" s="1050"/>
      <c r="C7805" s="1050"/>
      <c r="D7805" s="1050"/>
      <c r="E7805" s="1050"/>
      <c r="F7805" s="1050"/>
      <c r="G7805" s="1050"/>
    </row>
    <row r="7806" spans="1:7">
      <c r="A7806" s="1079"/>
      <c r="B7806" s="1050"/>
      <c r="C7806" s="1050"/>
      <c r="D7806" s="1050"/>
      <c r="E7806" s="1050"/>
      <c r="F7806" s="1050"/>
      <c r="G7806" s="1050"/>
    </row>
    <row r="7807" spans="1:7">
      <c r="A7807" s="1079"/>
      <c r="B7807" s="1050"/>
      <c r="C7807" s="1050"/>
      <c r="D7807" s="1050"/>
      <c r="E7807" s="1050"/>
      <c r="F7807" s="1050"/>
      <c r="G7807" s="1050"/>
    </row>
    <row r="7808" spans="1:7">
      <c r="A7808" s="1079"/>
      <c r="B7808" s="1050"/>
      <c r="C7808" s="1050"/>
      <c r="D7808" s="1050"/>
      <c r="E7808" s="1050"/>
      <c r="F7808" s="1050"/>
      <c r="G7808" s="1050"/>
    </row>
    <row r="7809" spans="1:7">
      <c r="A7809" s="1079"/>
      <c r="B7809" s="1050"/>
      <c r="C7809" s="1050"/>
      <c r="D7809" s="1050"/>
      <c r="E7809" s="1050"/>
      <c r="F7809" s="1050"/>
      <c r="G7809" s="1050"/>
    </row>
    <row r="7810" spans="1:7">
      <c r="A7810" s="1079"/>
      <c r="B7810" s="1050"/>
      <c r="C7810" s="1050"/>
      <c r="D7810" s="1050"/>
      <c r="E7810" s="1050"/>
      <c r="F7810" s="1050"/>
      <c r="G7810" s="1050"/>
    </row>
    <row r="7811" spans="1:7">
      <c r="A7811" s="1079"/>
      <c r="B7811" s="1050"/>
      <c r="C7811" s="1050"/>
      <c r="D7811" s="1050"/>
      <c r="E7811" s="1050"/>
      <c r="F7811" s="1050"/>
      <c r="G7811" s="1050"/>
    </row>
    <row r="7812" spans="1:7">
      <c r="A7812" s="1079"/>
      <c r="B7812" s="1050"/>
      <c r="C7812" s="1050"/>
      <c r="D7812" s="1050"/>
      <c r="E7812" s="1050"/>
      <c r="F7812" s="1050"/>
      <c r="G7812" s="1050"/>
    </row>
    <row r="7813" spans="1:7">
      <c r="A7813" s="1079"/>
      <c r="B7813" s="1050"/>
      <c r="C7813" s="1050"/>
      <c r="D7813" s="1050"/>
      <c r="E7813" s="1050"/>
      <c r="F7813" s="1050"/>
      <c r="G7813" s="1050"/>
    </row>
    <row r="7814" spans="1:7">
      <c r="A7814" s="1079"/>
      <c r="B7814" s="1050"/>
      <c r="C7814" s="1050"/>
      <c r="D7814" s="1050"/>
      <c r="E7814" s="1050"/>
      <c r="F7814" s="1050"/>
      <c r="G7814" s="1050"/>
    </row>
    <row r="7815" spans="1:7">
      <c r="A7815" s="1079"/>
      <c r="B7815" s="1050"/>
      <c r="C7815" s="1050"/>
      <c r="D7815" s="1050"/>
      <c r="E7815" s="1050"/>
      <c r="F7815" s="1050"/>
      <c r="G7815" s="1050"/>
    </row>
    <row r="7816" spans="1:7">
      <c r="A7816" s="1079"/>
      <c r="B7816" s="1050"/>
      <c r="C7816" s="1050"/>
      <c r="D7816" s="1050"/>
      <c r="E7816" s="1050"/>
      <c r="F7816" s="1050"/>
      <c r="G7816" s="1050"/>
    </row>
    <row r="7817" spans="1:7">
      <c r="A7817" s="1079"/>
      <c r="B7817" s="1050"/>
      <c r="C7817" s="1050"/>
      <c r="D7817" s="1050"/>
      <c r="E7817" s="1050"/>
      <c r="F7817" s="1050"/>
      <c r="G7817" s="1050"/>
    </row>
    <row r="7818" spans="1:7">
      <c r="A7818" s="1079"/>
      <c r="B7818" s="1050"/>
      <c r="C7818" s="1050"/>
      <c r="D7818" s="1050"/>
      <c r="E7818" s="1050"/>
      <c r="F7818" s="1050"/>
      <c r="G7818" s="1050"/>
    </row>
    <row r="7819" spans="1:7">
      <c r="A7819" s="1079"/>
      <c r="B7819" s="1050"/>
      <c r="C7819" s="1050"/>
      <c r="D7819" s="1050"/>
      <c r="E7819" s="1050"/>
      <c r="F7819" s="1050"/>
      <c r="G7819" s="1050"/>
    </row>
    <row r="7820" spans="1:7">
      <c r="A7820" s="1079"/>
      <c r="B7820" s="1050"/>
      <c r="C7820" s="1050"/>
      <c r="D7820" s="1050"/>
      <c r="E7820" s="1050"/>
      <c r="F7820" s="1050"/>
      <c r="G7820" s="1050"/>
    </row>
    <row r="7821" spans="1:7">
      <c r="A7821" s="1079"/>
      <c r="B7821" s="1050"/>
      <c r="C7821" s="1050"/>
      <c r="D7821" s="1050"/>
      <c r="E7821" s="1050"/>
      <c r="F7821" s="1050"/>
      <c r="G7821" s="1050"/>
    </row>
    <row r="7822" spans="1:7">
      <c r="A7822" s="1079"/>
      <c r="B7822" s="1050"/>
      <c r="C7822" s="1050"/>
      <c r="D7822" s="1050"/>
      <c r="E7822" s="1050"/>
      <c r="F7822" s="1050"/>
      <c r="G7822" s="1050"/>
    </row>
    <row r="7823" spans="1:7">
      <c r="A7823" s="1079"/>
      <c r="B7823" s="1050"/>
      <c r="C7823" s="1050"/>
      <c r="D7823" s="1050"/>
      <c r="E7823" s="1050"/>
      <c r="F7823" s="1050"/>
      <c r="G7823" s="1050"/>
    </row>
    <row r="7824" spans="1:7">
      <c r="A7824" s="1079"/>
      <c r="B7824" s="1050"/>
      <c r="C7824" s="1050"/>
      <c r="D7824" s="1050"/>
      <c r="E7824" s="1050"/>
      <c r="F7824" s="1050"/>
      <c r="G7824" s="1050"/>
    </row>
    <row r="7825" spans="1:7">
      <c r="A7825" s="1079"/>
      <c r="B7825" s="1050"/>
      <c r="C7825" s="1050"/>
      <c r="D7825" s="1050"/>
      <c r="E7825" s="1050"/>
      <c r="F7825" s="1050"/>
      <c r="G7825" s="1050"/>
    </row>
    <row r="7826" spans="1:7">
      <c r="A7826" s="1079"/>
      <c r="B7826" s="1050"/>
      <c r="C7826" s="1050"/>
      <c r="D7826" s="1050"/>
      <c r="E7826" s="1050"/>
      <c r="F7826" s="1050"/>
      <c r="G7826" s="1050"/>
    </row>
    <row r="7827" spans="1:7">
      <c r="A7827" s="1079"/>
      <c r="B7827" s="1050"/>
      <c r="C7827" s="1050"/>
      <c r="D7827" s="1050"/>
      <c r="E7827" s="1050"/>
      <c r="F7827" s="1050"/>
      <c r="G7827" s="1050"/>
    </row>
    <row r="7828" spans="1:7">
      <c r="A7828" s="1079"/>
      <c r="B7828" s="1050"/>
      <c r="C7828" s="1050"/>
      <c r="D7828" s="1050"/>
      <c r="E7828" s="1050"/>
      <c r="F7828" s="1050"/>
      <c r="G7828" s="1050"/>
    </row>
    <row r="7829" spans="1:7">
      <c r="A7829" s="1079"/>
      <c r="B7829" s="1050"/>
      <c r="C7829" s="1050"/>
      <c r="D7829" s="1050"/>
      <c r="E7829" s="1050"/>
      <c r="F7829" s="1050"/>
      <c r="G7829" s="1050"/>
    </row>
    <row r="7830" spans="1:7">
      <c r="A7830" s="1079"/>
      <c r="B7830" s="1050"/>
      <c r="C7830" s="1050"/>
      <c r="D7830" s="1050"/>
      <c r="E7830" s="1050"/>
      <c r="F7830" s="1050"/>
      <c r="G7830" s="1050"/>
    </row>
    <row r="7831" spans="1:7">
      <c r="A7831" s="1079"/>
      <c r="B7831" s="1050"/>
      <c r="C7831" s="1050"/>
      <c r="D7831" s="1050"/>
      <c r="E7831" s="1050"/>
      <c r="F7831" s="1050"/>
      <c r="G7831" s="1050"/>
    </row>
    <row r="7832" spans="1:7">
      <c r="A7832" s="1079"/>
      <c r="B7832" s="1050"/>
      <c r="C7832" s="1050"/>
      <c r="D7832" s="1050"/>
      <c r="E7832" s="1050"/>
      <c r="F7832" s="1050"/>
      <c r="G7832" s="1050"/>
    </row>
    <row r="7833" spans="1:7">
      <c r="A7833" s="1079"/>
      <c r="B7833" s="1050"/>
      <c r="C7833" s="1050"/>
      <c r="D7833" s="1050"/>
      <c r="E7833" s="1050"/>
      <c r="F7833" s="1050"/>
      <c r="G7833" s="1050"/>
    </row>
    <row r="7834" spans="1:7">
      <c r="A7834" s="1079"/>
      <c r="B7834" s="1050"/>
      <c r="C7834" s="1050"/>
      <c r="D7834" s="1050"/>
      <c r="E7834" s="1050"/>
      <c r="F7834" s="1050"/>
      <c r="G7834" s="1050"/>
    </row>
    <row r="7835" spans="1:7">
      <c r="A7835" s="1079"/>
      <c r="B7835" s="1050"/>
      <c r="C7835" s="1050"/>
      <c r="D7835" s="1050"/>
      <c r="E7835" s="1050"/>
      <c r="F7835" s="1050"/>
      <c r="G7835" s="1050"/>
    </row>
    <row r="7836" spans="1:7">
      <c r="A7836" s="1079"/>
      <c r="B7836" s="1050"/>
      <c r="C7836" s="1050"/>
      <c r="D7836" s="1050"/>
      <c r="E7836" s="1050"/>
      <c r="F7836" s="1050"/>
      <c r="G7836" s="1050"/>
    </row>
    <row r="7837" spans="1:7">
      <c r="A7837" s="1079"/>
      <c r="B7837" s="1050"/>
      <c r="C7837" s="1050"/>
      <c r="D7837" s="1050"/>
      <c r="E7837" s="1050"/>
      <c r="F7837" s="1050"/>
      <c r="G7837" s="1050"/>
    </row>
    <row r="7838" spans="1:7">
      <c r="A7838" s="1079"/>
      <c r="B7838" s="1050"/>
      <c r="C7838" s="1050"/>
      <c r="D7838" s="1050"/>
      <c r="E7838" s="1050"/>
      <c r="F7838" s="1050"/>
      <c r="G7838" s="1050"/>
    </row>
    <row r="7839" spans="1:7">
      <c r="A7839" s="1079"/>
      <c r="B7839" s="1050"/>
      <c r="C7839" s="1050"/>
      <c r="D7839" s="1050"/>
      <c r="E7839" s="1050"/>
      <c r="F7839" s="1050"/>
      <c r="G7839" s="1050"/>
    </row>
    <row r="7840" spans="1:7">
      <c r="A7840" s="1079"/>
      <c r="B7840" s="1050"/>
      <c r="C7840" s="1050"/>
      <c r="D7840" s="1050"/>
      <c r="E7840" s="1050"/>
      <c r="F7840" s="1050"/>
      <c r="G7840" s="1050"/>
    </row>
    <row r="7841" spans="1:7">
      <c r="A7841" s="1079"/>
      <c r="B7841" s="1050"/>
      <c r="C7841" s="1050"/>
      <c r="D7841" s="1050"/>
      <c r="E7841" s="1050"/>
      <c r="F7841" s="1050"/>
      <c r="G7841" s="1050"/>
    </row>
    <row r="7842" spans="1:7">
      <c r="A7842" s="1079"/>
      <c r="B7842" s="1050"/>
      <c r="C7842" s="1050"/>
      <c r="D7842" s="1050"/>
      <c r="E7842" s="1050"/>
      <c r="F7842" s="1050"/>
      <c r="G7842" s="1050"/>
    </row>
    <row r="7843" spans="1:7">
      <c r="A7843" s="1079"/>
      <c r="B7843" s="1050"/>
      <c r="C7843" s="1050"/>
      <c r="D7843" s="1050"/>
      <c r="E7843" s="1050"/>
      <c r="F7843" s="1050"/>
      <c r="G7843" s="1050"/>
    </row>
    <row r="7844" spans="1:7">
      <c r="A7844" s="1079"/>
      <c r="B7844" s="1050"/>
      <c r="C7844" s="1050"/>
      <c r="D7844" s="1050"/>
      <c r="E7844" s="1050"/>
      <c r="F7844" s="1050"/>
      <c r="G7844" s="1050"/>
    </row>
    <row r="7845" spans="1:7">
      <c r="A7845" s="1079"/>
      <c r="B7845" s="1050"/>
      <c r="C7845" s="1050"/>
      <c r="D7845" s="1050"/>
      <c r="E7845" s="1050"/>
      <c r="F7845" s="1050"/>
      <c r="G7845" s="1050"/>
    </row>
    <row r="7846" spans="1:7">
      <c r="A7846" s="1079"/>
      <c r="B7846" s="1050"/>
      <c r="C7846" s="1050"/>
      <c r="D7846" s="1050"/>
      <c r="E7846" s="1050"/>
      <c r="F7846" s="1050"/>
      <c r="G7846" s="1050"/>
    </row>
    <row r="7847" spans="1:7">
      <c r="A7847" s="1079"/>
      <c r="B7847" s="1050"/>
      <c r="C7847" s="1050"/>
      <c r="D7847" s="1050"/>
      <c r="E7847" s="1050"/>
      <c r="F7847" s="1050"/>
      <c r="G7847" s="1050"/>
    </row>
    <row r="7848" spans="1:7">
      <c r="A7848" s="1079"/>
      <c r="B7848" s="1050"/>
      <c r="C7848" s="1050"/>
      <c r="D7848" s="1050"/>
      <c r="E7848" s="1050"/>
      <c r="F7848" s="1050"/>
      <c r="G7848" s="1050"/>
    </row>
    <row r="7849" spans="1:7">
      <c r="A7849" s="1079"/>
      <c r="B7849" s="1050"/>
      <c r="C7849" s="1050"/>
      <c r="D7849" s="1050"/>
      <c r="E7849" s="1050"/>
      <c r="F7849" s="1050"/>
      <c r="G7849" s="1050"/>
    </row>
    <row r="7850" spans="1:7">
      <c r="A7850" s="1079"/>
      <c r="B7850" s="1050"/>
      <c r="C7850" s="1050"/>
      <c r="D7850" s="1050"/>
      <c r="E7850" s="1050"/>
      <c r="F7850" s="1050"/>
      <c r="G7850" s="1050"/>
    </row>
    <row r="7851" spans="1:7">
      <c r="A7851" s="1079"/>
      <c r="B7851" s="1050"/>
      <c r="C7851" s="1050"/>
      <c r="D7851" s="1050"/>
      <c r="E7851" s="1050"/>
      <c r="F7851" s="1050"/>
      <c r="G7851" s="1050"/>
    </row>
    <row r="7852" spans="1:7">
      <c r="A7852" s="1079"/>
      <c r="B7852" s="1050"/>
      <c r="C7852" s="1050"/>
      <c r="D7852" s="1050"/>
      <c r="E7852" s="1050"/>
      <c r="F7852" s="1050"/>
      <c r="G7852" s="1050"/>
    </row>
    <row r="7853" spans="1:7">
      <c r="A7853" s="1079"/>
      <c r="B7853" s="1050"/>
      <c r="C7853" s="1050"/>
      <c r="D7853" s="1050"/>
      <c r="E7853" s="1050"/>
      <c r="F7853" s="1050"/>
      <c r="G7853" s="1050"/>
    </row>
    <row r="7854" spans="1:7">
      <c r="A7854" s="1079"/>
      <c r="B7854" s="1050"/>
      <c r="C7854" s="1050"/>
      <c r="D7854" s="1050"/>
      <c r="E7854" s="1050"/>
      <c r="F7854" s="1050"/>
      <c r="G7854" s="1050"/>
    </row>
    <row r="7855" spans="1:7">
      <c r="A7855" s="1079"/>
      <c r="B7855" s="1050"/>
      <c r="C7855" s="1050"/>
      <c r="D7855" s="1050"/>
      <c r="E7855" s="1050"/>
      <c r="F7855" s="1050"/>
      <c r="G7855" s="1050"/>
    </row>
    <row r="7856" spans="1:7">
      <c r="A7856" s="1079"/>
      <c r="B7856" s="1050"/>
      <c r="C7856" s="1050"/>
      <c r="D7856" s="1050"/>
      <c r="E7856" s="1050"/>
      <c r="F7856" s="1050"/>
      <c r="G7856" s="1050"/>
    </row>
    <row r="7857" spans="1:7">
      <c r="A7857" s="1079"/>
      <c r="B7857" s="1050"/>
      <c r="C7857" s="1050"/>
      <c r="D7857" s="1050"/>
      <c r="E7857" s="1050"/>
      <c r="F7857" s="1050"/>
      <c r="G7857" s="1050"/>
    </row>
    <row r="7858" spans="1:7">
      <c r="A7858" s="1079"/>
      <c r="B7858" s="1050"/>
      <c r="C7858" s="1050"/>
      <c r="D7858" s="1050"/>
      <c r="E7858" s="1050"/>
      <c r="F7858" s="1050"/>
      <c r="G7858" s="1050"/>
    </row>
    <row r="7859" spans="1:7">
      <c r="A7859" s="1079"/>
      <c r="B7859" s="1050"/>
      <c r="C7859" s="1050"/>
      <c r="D7859" s="1050"/>
      <c r="E7859" s="1050"/>
      <c r="F7859" s="1050"/>
      <c r="G7859" s="1050"/>
    </row>
    <row r="7860" spans="1:7">
      <c r="A7860" s="1079"/>
      <c r="B7860" s="1050"/>
      <c r="C7860" s="1050"/>
      <c r="D7860" s="1050"/>
      <c r="E7860" s="1050"/>
      <c r="F7860" s="1050"/>
      <c r="G7860" s="1050"/>
    </row>
    <row r="7861" spans="1:7">
      <c r="A7861" s="1079"/>
      <c r="B7861" s="1050"/>
      <c r="C7861" s="1050"/>
      <c r="D7861" s="1050"/>
      <c r="E7861" s="1050"/>
      <c r="F7861" s="1050"/>
      <c r="G7861" s="1050"/>
    </row>
    <row r="7862" spans="1:7">
      <c r="A7862" s="1079"/>
      <c r="B7862" s="1050"/>
      <c r="C7862" s="1050"/>
      <c r="D7862" s="1050"/>
      <c r="E7862" s="1050"/>
      <c r="F7862" s="1050"/>
      <c r="G7862" s="1050"/>
    </row>
    <row r="7863" spans="1:7">
      <c r="A7863" s="1079"/>
      <c r="B7863" s="1050"/>
      <c r="C7863" s="1050"/>
      <c r="D7863" s="1050"/>
      <c r="E7863" s="1050"/>
      <c r="F7863" s="1050"/>
      <c r="G7863" s="1050"/>
    </row>
    <row r="7864" spans="1:7">
      <c r="A7864" s="1079"/>
      <c r="B7864" s="1050"/>
      <c r="C7864" s="1050"/>
      <c r="D7864" s="1050"/>
      <c r="E7864" s="1050"/>
      <c r="F7864" s="1050"/>
      <c r="G7864" s="1050"/>
    </row>
    <row r="7865" spans="1:7">
      <c r="A7865" s="1079"/>
      <c r="B7865" s="1050"/>
      <c r="C7865" s="1050"/>
      <c r="D7865" s="1050"/>
      <c r="E7865" s="1050"/>
      <c r="F7865" s="1050"/>
      <c r="G7865" s="1050"/>
    </row>
    <row r="7866" spans="1:7">
      <c r="A7866" s="1079"/>
      <c r="B7866" s="1050"/>
      <c r="C7866" s="1050"/>
      <c r="D7866" s="1050"/>
      <c r="E7866" s="1050"/>
      <c r="F7866" s="1050"/>
      <c r="G7866" s="1050"/>
    </row>
    <row r="7867" spans="1:7">
      <c r="A7867" s="1079"/>
      <c r="B7867" s="1050"/>
      <c r="C7867" s="1050"/>
      <c r="D7867" s="1050"/>
      <c r="E7867" s="1050"/>
      <c r="F7867" s="1050"/>
      <c r="G7867" s="1050"/>
    </row>
    <row r="7868" spans="1:7">
      <c r="A7868" s="1079"/>
      <c r="B7868" s="1050"/>
      <c r="C7868" s="1050"/>
      <c r="D7868" s="1050"/>
      <c r="E7868" s="1050"/>
      <c r="F7868" s="1050"/>
      <c r="G7868" s="1050"/>
    </row>
    <row r="7869" spans="1:7">
      <c r="A7869" s="1079"/>
      <c r="B7869" s="1050"/>
      <c r="C7869" s="1050"/>
      <c r="D7869" s="1050"/>
      <c r="E7869" s="1050"/>
      <c r="F7869" s="1050"/>
      <c r="G7869" s="1050"/>
    </row>
    <row r="7870" spans="1:7">
      <c r="A7870" s="1079"/>
      <c r="B7870" s="1050"/>
      <c r="C7870" s="1050"/>
      <c r="D7870" s="1050"/>
      <c r="E7870" s="1050"/>
      <c r="F7870" s="1050"/>
      <c r="G7870" s="1050"/>
    </row>
    <row r="7871" spans="1:7">
      <c r="A7871" s="1079"/>
      <c r="B7871" s="1050"/>
      <c r="C7871" s="1050"/>
      <c r="D7871" s="1050"/>
      <c r="E7871" s="1050"/>
      <c r="F7871" s="1050"/>
      <c r="G7871" s="1050"/>
    </row>
    <row r="7872" spans="1:7">
      <c r="A7872" s="1079"/>
      <c r="B7872" s="1050"/>
      <c r="C7872" s="1050"/>
      <c r="D7872" s="1050"/>
      <c r="E7872" s="1050"/>
      <c r="F7872" s="1050"/>
      <c r="G7872" s="1050"/>
    </row>
    <row r="7873" spans="1:7">
      <c r="A7873" s="1079"/>
      <c r="B7873" s="1050"/>
      <c r="C7873" s="1050"/>
      <c r="D7873" s="1050"/>
      <c r="E7873" s="1050"/>
      <c r="F7873" s="1050"/>
      <c r="G7873" s="1050"/>
    </row>
    <row r="7874" spans="1:7">
      <c r="A7874" s="1079"/>
      <c r="B7874" s="1050"/>
      <c r="C7874" s="1050"/>
      <c r="D7874" s="1050"/>
      <c r="E7874" s="1050"/>
      <c r="F7874" s="1050"/>
      <c r="G7874" s="1050"/>
    </row>
    <row r="7875" spans="1:7">
      <c r="A7875" s="1079"/>
      <c r="B7875" s="1050"/>
      <c r="C7875" s="1050"/>
      <c r="D7875" s="1050"/>
      <c r="E7875" s="1050"/>
      <c r="F7875" s="1050"/>
      <c r="G7875" s="1050"/>
    </row>
    <row r="7876" spans="1:7">
      <c r="A7876" s="1079"/>
      <c r="B7876" s="1050"/>
      <c r="C7876" s="1050"/>
      <c r="D7876" s="1050"/>
      <c r="E7876" s="1050"/>
      <c r="F7876" s="1050"/>
      <c r="G7876" s="1050"/>
    </row>
    <row r="7877" spans="1:7">
      <c r="A7877" s="1079"/>
      <c r="B7877" s="1050"/>
      <c r="C7877" s="1050"/>
      <c r="D7877" s="1050"/>
      <c r="E7877" s="1050"/>
      <c r="F7877" s="1050"/>
      <c r="G7877" s="1050"/>
    </row>
    <row r="7878" spans="1:7">
      <c r="A7878" s="1079"/>
      <c r="B7878" s="1050"/>
      <c r="C7878" s="1050"/>
      <c r="D7878" s="1050"/>
      <c r="E7878" s="1050"/>
      <c r="F7878" s="1050"/>
      <c r="G7878" s="1050"/>
    </row>
    <row r="7879" spans="1:7">
      <c r="A7879" s="1079"/>
      <c r="B7879" s="1050"/>
      <c r="C7879" s="1050"/>
      <c r="D7879" s="1050"/>
      <c r="E7879" s="1050"/>
      <c r="F7879" s="1050"/>
      <c r="G7879" s="1050"/>
    </row>
    <row r="7880" spans="1:7">
      <c r="A7880" s="1079"/>
      <c r="B7880" s="1050"/>
      <c r="C7880" s="1050"/>
      <c r="D7880" s="1050"/>
      <c r="E7880" s="1050"/>
      <c r="F7880" s="1050"/>
      <c r="G7880" s="1050"/>
    </row>
    <row r="7881" spans="1:7">
      <c r="A7881" s="1079"/>
      <c r="B7881" s="1050"/>
      <c r="C7881" s="1050"/>
      <c r="D7881" s="1050"/>
      <c r="E7881" s="1050"/>
      <c r="F7881" s="1050"/>
      <c r="G7881" s="1050"/>
    </row>
    <row r="7882" spans="1:7">
      <c r="A7882" s="1079"/>
      <c r="B7882" s="1050"/>
      <c r="C7882" s="1050"/>
      <c r="D7882" s="1050"/>
      <c r="E7882" s="1050"/>
      <c r="F7882" s="1050"/>
      <c r="G7882" s="1050"/>
    </row>
    <row r="7883" spans="1:7">
      <c r="A7883" s="1079"/>
      <c r="B7883" s="1050"/>
      <c r="C7883" s="1050"/>
      <c r="D7883" s="1050"/>
      <c r="E7883" s="1050"/>
      <c r="F7883" s="1050"/>
      <c r="G7883" s="1050"/>
    </row>
    <row r="7884" spans="1:7">
      <c r="A7884" s="1079"/>
      <c r="B7884" s="1050"/>
      <c r="C7884" s="1050"/>
      <c r="D7884" s="1050"/>
      <c r="E7884" s="1050"/>
      <c r="F7884" s="1050"/>
      <c r="G7884" s="1050"/>
    </row>
    <row r="7885" spans="1:7">
      <c r="A7885" s="1079"/>
      <c r="B7885" s="1050"/>
      <c r="C7885" s="1050"/>
      <c r="D7885" s="1050"/>
      <c r="E7885" s="1050"/>
      <c r="F7885" s="1050"/>
      <c r="G7885" s="1050"/>
    </row>
    <row r="7886" spans="1:7">
      <c r="A7886" s="1079"/>
      <c r="B7886" s="1050"/>
      <c r="C7886" s="1050"/>
      <c r="D7886" s="1050"/>
      <c r="E7886" s="1050"/>
      <c r="F7886" s="1050"/>
      <c r="G7886" s="1050"/>
    </row>
    <row r="7887" spans="1:7">
      <c r="A7887" s="1079"/>
      <c r="B7887" s="1050"/>
      <c r="C7887" s="1050"/>
      <c r="D7887" s="1050"/>
      <c r="E7887" s="1050"/>
      <c r="F7887" s="1050"/>
      <c r="G7887" s="1050"/>
    </row>
    <row r="7888" spans="1:7">
      <c r="A7888" s="1079"/>
      <c r="B7888" s="1050"/>
      <c r="C7888" s="1050"/>
      <c r="D7888" s="1050"/>
      <c r="E7888" s="1050"/>
      <c r="F7888" s="1050"/>
      <c r="G7888" s="1050"/>
    </row>
    <row r="7889" spans="1:7">
      <c r="A7889" s="1079"/>
      <c r="B7889" s="1050"/>
      <c r="C7889" s="1050"/>
      <c r="D7889" s="1050"/>
      <c r="E7889" s="1050"/>
      <c r="F7889" s="1050"/>
      <c r="G7889" s="1050"/>
    </row>
    <row r="7890" spans="1:7">
      <c r="A7890" s="1079"/>
      <c r="B7890" s="1050"/>
      <c r="C7890" s="1050"/>
      <c r="D7890" s="1050"/>
      <c r="E7890" s="1050"/>
      <c r="F7890" s="1050"/>
      <c r="G7890" s="1050"/>
    </row>
    <row r="7891" spans="1:7">
      <c r="A7891" s="1079"/>
      <c r="B7891" s="1050"/>
      <c r="C7891" s="1050"/>
      <c r="D7891" s="1050"/>
      <c r="E7891" s="1050"/>
      <c r="F7891" s="1050"/>
      <c r="G7891" s="1050"/>
    </row>
    <row r="7892" spans="1:7">
      <c r="A7892" s="1079"/>
      <c r="B7892" s="1050"/>
      <c r="C7892" s="1050"/>
      <c r="D7892" s="1050"/>
      <c r="E7892" s="1050"/>
      <c r="F7892" s="1050"/>
      <c r="G7892" s="1050"/>
    </row>
    <row r="7893" spans="1:7">
      <c r="A7893" s="1079"/>
      <c r="B7893" s="1050"/>
      <c r="C7893" s="1050"/>
      <c r="D7893" s="1050"/>
      <c r="E7893" s="1050"/>
      <c r="F7893" s="1050"/>
      <c r="G7893" s="1050"/>
    </row>
    <row r="7894" spans="1:7">
      <c r="A7894" s="1079"/>
      <c r="B7894" s="1050"/>
      <c r="C7894" s="1050"/>
      <c r="D7894" s="1050"/>
      <c r="E7894" s="1050"/>
      <c r="F7894" s="1050"/>
      <c r="G7894" s="1050"/>
    </row>
    <row r="7895" spans="1:7">
      <c r="A7895" s="1079"/>
      <c r="B7895" s="1050"/>
      <c r="C7895" s="1050"/>
      <c r="D7895" s="1050"/>
      <c r="E7895" s="1050"/>
      <c r="F7895" s="1050"/>
      <c r="G7895" s="1050"/>
    </row>
    <row r="7896" spans="1:7">
      <c r="A7896" s="1079"/>
      <c r="B7896" s="1050"/>
      <c r="C7896" s="1050"/>
      <c r="D7896" s="1050"/>
      <c r="E7896" s="1050"/>
      <c r="F7896" s="1050"/>
      <c r="G7896" s="1050"/>
    </row>
    <row r="7897" spans="1:7">
      <c r="A7897" s="1079"/>
      <c r="B7897" s="1050"/>
      <c r="C7897" s="1050"/>
      <c r="D7897" s="1050"/>
      <c r="E7897" s="1050"/>
      <c r="F7897" s="1050"/>
      <c r="G7897" s="1050"/>
    </row>
    <row r="7898" spans="1:7">
      <c r="A7898" s="1079"/>
      <c r="B7898" s="1050"/>
      <c r="C7898" s="1050"/>
      <c r="D7898" s="1050"/>
      <c r="E7898" s="1050"/>
      <c r="F7898" s="1050"/>
      <c r="G7898" s="1050"/>
    </row>
    <row r="7899" spans="1:7">
      <c r="A7899" s="1079"/>
      <c r="B7899" s="1050"/>
      <c r="C7899" s="1050"/>
      <c r="D7899" s="1050"/>
      <c r="E7899" s="1050"/>
      <c r="F7899" s="1050"/>
      <c r="G7899" s="1050"/>
    </row>
    <row r="7900" spans="1:7">
      <c r="A7900" s="1079"/>
      <c r="B7900" s="1050"/>
      <c r="C7900" s="1050"/>
      <c r="D7900" s="1050"/>
      <c r="E7900" s="1050"/>
      <c r="F7900" s="1050"/>
      <c r="G7900" s="1050"/>
    </row>
    <row r="7901" spans="1:7">
      <c r="A7901" s="1079"/>
      <c r="B7901" s="1050"/>
      <c r="C7901" s="1050"/>
      <c r="D7901" s="1050"/>
      <c r="E7901" s="1050"/>
      <c r="F7901" s="1050"/>
      <c r="G7901" s="1050"/>
    </row>
    <row r="7902" spans="1:7">
      <c r="A7902" s="1079"/>
      <c r="B7902" s="1050"/>
      <c r="C7902" s="1050"/>
      <c r="D7902" s="1050"/>
      <c r="E7902" s="1050"/>
      <c r="F7902" s="1050"/>
      <c r="G7902" s="1050"/>
    </row>
    <row r="7903" spans="1:7">
      <c r="A7903" s="1079"/>
      <c r="B7903" s="1050"/>
      <c r="C7903" s="1050"/>
      <c r="D7903" s="1050"/>
      <c r="E7903" s="1050"/>
      <c r="F7903" s="1050"/>
      <c r="G7903" s="1050"/>
    </row>
    <row r="7904" spans="1:7">
      <c r="A7904" s="1079"/>
      <c r="B7904" s="1050"/>
      <c r="C7904" s="1050"/>
      <c r="D7904" s="1050"/>
      <c r="E7904" s="1050"/>
      <c r="F7904" s="1050"/>
      <c r="G7904" s="1050"/>
    </row>
    <row r="7905" spans="1:7">
      <c r="A7905" s="1079"/>
      <c r="B7905" s="1050"/>
      <c r="C7905" s="1050"/>
      <c r="D7905" s="1050"/>
      <c r="E7905" s="1050"/>
      <c r="F7905" s="1050"/>
      <c r="G7905" s="1050"/>
    </row>
    <row r="7906" spans="1:7">
      <c r="A7906" s="1079"/>
      <c r="B7906" s="1050"/>
      <c r="C7906" s="1050"/>
      <c r="D7906" s="1050"/>
      <c r="E7906" s="1050"/>
      <c r="F7906" s="1050"/>
      <c r="G7906" s="1050"/>
    </row>
    <row r="7907" spans="1:7">
      <c r="A7907" s="1079"/>
      <c r="B7907" s="1050"/>
      <c r="C7907" s="1050"/>
      <c r="D7907" s="1050"/>
      <c r="E7907" s="1050"/>
      <c r="F7907" s="1050"/>
      <c r="G7907" s="1050"/>
    </row>
    <row r="7908" spans="1:7">
      <c r="A7908" s="1079"/>
      <c r="B7908" s="1050"/>
      <c r="C7908" s="1050"/>
      <c r="D7908" s="1050"/>
      <c r="E7908" s="1050"/>
      <c r="F7908" s="1050"/>
      <c r="G7908" s="1050"/>
    </row>
    <row r="7909" spans="1:7">
      <c r="A7909" s="1079"/>
      <c r="B7909" s="1050"/>
      <c r="C7909" s="1050"/>
      <c r="D7909" s="1050"/>
      <c r="E7909" s="1050"/>
      <c r="F7909" s="1050"/>
      <c r="G7909" s="1050"/>
    </row>
    <row r="7910" spans="1:7">
      <c r="A7910" s="1079"/>
      <c r="B7910" s="1050"/>
      <c r="C7910" s="1050"/>
      <c r="D7910" s="1050"/>
      <c r="E7910" s="1050"/>
      <c r="F7910" s="1050"/>
      <c r="G7910" s="1050"/>
    </row>
    <row r="7911" spans="1:7">
      <c r="A7911" s="1079"/>
      <c r="B7911" s="1050"/>
      <c r="C7911" s="1050"/>
      <c r="D7911" s="1050"/>
      <c r="E7911" s="1050"/>
      <c r="F7911" s="1050"/>
      <c r="G7911" s="1050"/>
    </row>
    <row r="7912" spans="1:7">
      <c r="A7912" s="1079"/>
      <c r="B7912" s="1050"/>
      <c r="C7912" s="1050"/>
      <c r="D7912" s="1050"/>
      <c r="E7912" s="1050"/>
      <c r="F7912" s="1050"/>
      <c r="G7912" s="1050"/>
    </row>
    <row r="7913" spans="1:7">
      <c r="A7913" s="1079"/>
      <c r="B7913" s="1050"/>
      <c r="C7913" s="1050"/>
      <c r="D7913" s="1050"/>
      <c r="E7913" s="1050"/>
      <c r="F7913" s="1050"/>
      <c r="G7913" s="1050"/>
    </row>
    <row r="7914" spans="1:7">
      <c r="A7914" s="1079"/>
      <c r="B7914" s="1050"/>
      <c r="C7914" s="1050"/>
      <c r="D7914" s="1050"/>
      <c r="E7914" s="1050"/>
      <c r="F7914" s="1050"/>
      <c r="G7914" s="1050"/>
    </row>
    <row r="7915" spans="1:7">
      <c r="A7915" s="1079"/>
      <c r="B7915" s="1050"/>
      <c r="C7915" s="1050"/>
      <c r="D7915" s="1050"/>
      <c r="E7915" s="1050"/>
      <c r="F7915" s="1050"/>
      <c r="G7915" s="1050"/>
    </row>
    <row r="7916" spans="1:7">
      <c r="A7916" s="1079"/>
      <c r="B7916" s="1050"/>
      <c r="C7916" s="1050"/>
      <c r="D7916" s="1050"/>
      <c r="E7916" s="1050"/>
      <c r="F7916" s="1050"/>
      <c r="G7916" s="1050"/>
    </row>
    <row r="7917" spans="1:7">
      <c r="A7917" s="1079"/>
      <c r="B7917" s="1050"/>
      <c r="C7917" s="1050"/>
      <c r="D7917" s="1050"/>
      <c r="E7917" s="1050"/>
      <c r="F7917" s="1050"/>
      <c r="G7917" s="1050"/>
    </row>
    <row r="7918" spans="1:7">
      <c r="A7918" s="1079"/>
      <c r="B7918" s="1050"/>
      <c r="C7918" s="1050"/>
      <c r="D7918" s="1050"/>
      <c r="E7918" s="1050"/>
      <c r="F7918" s="1050"/>
      <c r="G7918" s="1050"/>
    </row>
    <row r="7919" spans="1:7">
      <c r="A7919" s="1079"/>
      <c r="B7919" s="1050"/>
      <c r="C7919" s="1050"/>
      <c r="D7919" s="1050"/>
      <c r="E7919" s="1050"/>
      <c r="F7919" s="1050"/>
      <c r="G7919" s="1050"/>
    </row>
    <row r="7920" spans="1:7">
      <c r="A7920" s="1079"/>
      <c r="B7920" s="1050"/>
      <c r="C7920" s="1050"/>
      <c r="D7920" s="1050"/>
      <c r="E7920" s="1050"/>
      <c r="F7920" s="1050"/>
      <c r="G7920" s="1050"/>
    </row>
    <row r="7921" spans="1:7">
      <c r="A7921" s="1079"/>
      <c r="B7921" s="1050"/>
      <c r="C7921" s="1050"/>
      <c r="D7921" s="1050"/>
      <c r="E7921" s="1050"/>
      <c r="F7921" s="1050"/>
      <c r="G7921" s="1050"/>
    </row>
    <row r="7922" spans="1:7">
      <c r="A7922" s="1079"/>
      <c r="B7922" s="1050"/>
      <c r="C7922" s="1050"/>
      <c r="D7922" s="1050"/>
      <c r="E7922" s="1050"/>
      <c r="F7922" s="1050"/>
      <c r="G7922" s="1050"/>
    </row>
    <row r="7923" spans="1:7">
      <c r="A7923" s="1079"/>
      <c r="B7923" s="1050"/>
      <c r="C7923" s="1050"/>
      <c r="D7923" s="1050"/>
      <c r="E7923" s="1050"/>
      <c r="F7923" s="1050"/>
      <c r="G7923" s="1050"/>
    </row>
    <row r="7924" spans="1:7">
      <c r="A7924" s="1079"/>
      <c r="B7924" s="1050"/>
      <c r="C7924" s="1050"/>
      <c r="D7924" s="1050"/>
      <c r="E7924" s="1050"/>
      <c r="F7924" s="1050"/>
      <c r="G7924" s="1050"/>
    </row>
    <row r="7925" spans="1:7">
      <c r="A7925" s="1079"/>
      <c r="B7925" s="1050"/>
      <c r="C7925" s="1050"/>
      <c r="D7925" s="1050"/>
      <c r="E7925" s="1050"/>
      <c r="F7925" s="1050"/>
      <c r="G7925" s="1050"/>
    </row>
    <row r="7926" spans="1:7">
      <c r="A7926" s="1079"/>
      <c r="B7926" s="1050"/>
      <c r="C7926" s="1050"/>
      <c r="D7926" s="1050"/>
      <c r="E7926" s="1050"/>
      <c r="F7926" s="1050"/>
      <c r="G7926" s="1050"/>
    </row>
    <row r="7927" spans="1:7">
      <c r="A7927" s="1079"/>
      <c r="B7927" s="1050"/>
      <c r="C7927" s="1050"/>
      <c r="D7927" s="1050"/>
      <c r="E7927" s="1050"/>
      <c r="F7927" s="1050"/>
      <c r="G7927" s="1050"/>
    </row>
    <row r="7928" spans="1:7">
      <c r="A7928" s="1079"/>
      <c r="B7928" s="1050"/>
      <c r="C7928" s="1050"/>
      <c r="D7928" s="1050"/>
      <c r="E7928" s="1050"/>
      <c r="F7928" s="1050"/>
      <c r="G7928" s="1050"/>
    </row>
    <row r="7929" spans="1:7">
      <c r="A7929" s="1079"/>
      <c r="B7929" s="1050"/>
      <c r="C7929" s="1050"/>
      <c r="D7929" s="1050"/>
      <c r="E7929" s="1050"/>
      <c r="F7929" s="1050"/>
      <c r="G7929" s="1050"/>
    </row>
    <row r="7930" spans="1:7">
      <c r="A7930" s="1079"/>
      <c r="B7930" s="1050"/>
      <c r="C7930" s="1050"/>
      <c r="D7930" s="1050"/>
      <c r="E7930" s="1050"/>
      <c r="F7930" s="1050"/>
      <c r="G7930" s="1050"/>
    </row>
    <row r="7931" spans="1:7">
      <c r="A7931" s="1079"/>
      <c r="B7931" s="1050"/>
      <c r="C7931" s="1050"/>
      <c r="D7931" s="1050"/>
      <c r="E7931" s="1050"/>
      <c r="F7931" s="1050"/>
      <c r="G7931" s="1050"/>
    </row>
    <row r="7932" spans="1:7">
      <c r="A7932" s="1079"/>
      <c r="B7932" s="1050"/>
      <c r="C7932" s="1050"/>
      <c r="D7932" s="1050"/>
      <c r="E7932" s="1050"/>
      <c r="F7932" s="1050"/>
      <c r="G7932" s="1050"/>
    </row>
    <row r="7933" spans="1:7">
      <c r="A7933" s="1079"/>
      <c r="B7933" s="1050"/>
      <c r="C7933" s="1050"/>
      <c r="D7933" s="1050"/>
      <c r="E7933" s="1050"/>
      <c r="F7933" s="1050"/>
      <c r="G7933" s="1050"/>
    </row>
    <row r="7934" spans="1:7">
      <c r="A7934" s="1079"/>
      <c r="B7934" s="1050"/>
      <c r="C7934" s="1050"/>
      <c r="D7934" s="1050"/>
      <c r="E7934" s="1050"/>
      <c r="F7934" s="1050"/>
      <c r="G7934" s="1050"/>
    </row>
    <row r="7935" spans="1:7">
      <c r="A7935" s="1079"/>
      <c r="B7935" s="1050"/>
      <c r="C7935" s="1050"/>
      <c r="D7935" s="1050"/>
      <c r="E7935" s="1050"/>
      <c r="F7935" s="1050"/>
      <c r="G7935" s="1050"/>
    </row>
    <row r="7936" spans="1:7">
      <c r="A7936" s="1079"/>
      <c r="B7936" s="1050"/>
      <c r="C7936" s="1050"/>
      <c r="D7936" s="1050"/>
      <c r="E7936" s="1050"/>
      <c r="F7936" s="1050"/>
      <c r="G7936" s="1050"/>
    </row>
    <row r="7937" spans="1:7">
      <c r="A7937" s="1079"/>
      <c r="B7937" s="1050"/>
      <c r="C7937" s="1050"/>
      <c r="D7937" s="1050"/>
      <c r="E7937" s="1050"/>
      <c r="F7937" s="1050"/>
      <c r="G7937" s="1050"/>
    </row>
    <row r="7938" spans="1:7">
      <c r="A7938" s="1079"/>
      <c r="B7938" s="1050"/>
      <c r="C7938" s="1050"/>
      <c r="D7938" s="1050"/>
      <c r="E7938" s="1050"/>
      <c r="F7938" s="1050"/>
      <c r="G7938" s="1050"/>
    </row>
    <row r="7939" spans="1:7">
      <c r="A7939" s="1079"/>
      <c r="B7939" s="1050"/>
      <c r="C7939" s="1050"/>
      <c r="D7939" s="1050"/>
      <c r="E7939" s="1050"/>
      <c r="F7939" s="1050"/>
      <c r="G7939" s="1050"/>
    </row>
    <row r="7940" spans="1:7">
      <c r="A7940" s="1079"/>
      <c r="B7940" s="1050"/>
      <c r="C7940" s="1050"/>
      <c r="D7940" s="1050"/>
      <c r="E7940" s="1050"/>
      <c r="F7940" s="1050"/>
      <c r="G7940" s="1050"/>
    </row>
    <row r="7941" spans="1:7">
      <c r="A7941" s="1079"/>
      <c r="B7941" s="1050"/>
      <c r="C7941" s="1050"/>
      <c r="D7941" s="1050"/>
      <c r="E7941" s="1050"/>
      <c r="F7941" s="1050"/>
      <c r="G7941" s="1050"/>
    </row>
    <row r="7942" spans="1:7">
      <c r="A7942" s="1079"/>
      <c r="B7942" s="1050"/>
      <c r="C7942" s="1050"/>
      <c r="D7942" s="1050"/>
      <c r="E7942" s="1050"/>
      <c r="F7942" s="1050"/>
      <c r="G7942" s="1050"/>
    </row>
    <row r="7943" spans="1:7">
      <c r="A7943" s="1079"/>
      <c r="B7943" s="1050"/>
      <c r="C7943" s="1050"/>
      <c r="D7943" s="1050"/>
      <c r="E7943" s="1050"/>
      <c r="F7943" s="1050"/>
      <c r="G7943" s="1050"/>
    </row>
    <row r="7944" spans="1:7">
      <c r="A7944" s="1079"/>
      <c r="B7944" s="1050"/>
      <c r="C7944" s="1050"/>
      <c r="D7944" s="1050"/>
      <c r="E7944" s="1050"/>
      <c r="F7944" s="1050"/>
      <c r="G7944" s="1050"/>
    </row>
    <row r="7945" spans="1:7">
      <c r="A7945" s="1079"/>
      <c r="B7945" s="1050"/>
      <c r="C7945" s="1050"/>
      <c r="D7945" s="1050"/>
      <c r="E7945" s="1050"/>
      <c r="F7945" s="1050"/>
      <c r="G7945" s="1050"/>
    </row>
    <row r="7946" spans="1:7">
      <c r="A7946" s="1079"/>
      <c r="B7946" s="1050"/>
      <c r="C7946" s="1050"/>
      <c r="D7946" s="1050"/>
      <c r="E7946" s="1050"/>
      <c r="F7946" s="1050"/>
      <c r="G7946" s="1050"/>
    </row>
    <row r="7947" spans="1:7">
      <c r="A7947" s="1079"/>
      <c r="B7947" s="1050"/>
      <c r="C7947" s="1050"/>
      <c r="D7947" s="1050"/>
      <c r="E7947" s="1050"/>
      <c r="F7947" s="1050"/>
      <c r="G7947" s="1050"/>
    </row>
    <row r="7948" spans="1:7">
      <c r="A7948" s="1079"/>
      <c r="B7948" s="1050"/>
      <c r="C7948" s="1050"/>
      <c r="D7948" s="1050"/>
      <c r="E7948" s="1050"/>
      <c r="F7948" s="1050"/>
      <c r="G7948" s="1050"/>
    </row>
    <row r="7949" spans="1:7">
      <c r="A7949" s="1079"/>
      <c r="B7949" s="1050"/>
      <c r="C7949" s="1050"/>
      <c r="D7949" s="1050"/>
      <c r="E7949" s="1050"/>
      <c r="F7949" s="1050"/>
      <c r="G7949" s="1050"/>
    </row>
    <row r="7950" spans="1:7">
      <c r="A7950" s="1079"/>
      <c r="B7950" s="1050"/>
      <c r="C7950" s="1050"/>
      <c r="D7950" s="1050"/>
      <c r="E7950" s="1050"/>
      <c r="F7950" s="1050"/>
      <c r="G7950" s="1050"/>
    </row>
    <row r="7951" spans="1:7">
      <c r="A7951" s="1079"/>
      <c r="B7951" s="1050"/>
      <c r="C7951" s="1050"/>
      <c r="D7951" s="1050"/>
      <c r="E7951" s="1050"/>
      <c r="F7951" s="1050"/>
      <c r="G7951" s="1050"/>
    </row>
    <row r="7952" spans="1:7">
      <c r="A7952" s="1079"/>
      <c r="B7952" s="1050"/>
      <c r="C7952" s="1050"/>
      <c r="D7952" s="1050"/>
      <c r="E7952" s="1050"/>
      <c r="F7952" s="1050"/>
      <c r="G7952" s="1050"/>
    </row>
    <row r="7953" spans="1:7">
      <c r="A7953" s="1079"/>
      <c r="B7953" s="1050"/>
      <c r="C7953" s="1050"/>
      <c r="D7953" s="1050"/>
      <c r="E7953" s="1050"/>
      <c r="F7953" s="1050"/>
      <c r="G7953" s="1050"/>
    </row>
    <row r="7954" spans="1:7">
      <c r="A7954" s="1079"/>
      <c r="B7954" s="1050"/>
      <c r="C7954" s="1050"/>
      <c r="D7954" s="1050"/>
      <c r="E7954" s="1050"/>
      <c r="F7954" s="1050"/>
      <c r="G7954" s="1050"/>
    </row>
    <row r="7955" spans="1:7">
      <c r="A7955" s="1079"/>
      <c r="B7955" s="1050"/>
      <c r="C7955" s="1050"/>
      <c r="D7955" s="1050"/>
      <c r="E7955" s="1050"/>
      <c r="F7955" s="1050"/>
      <c r="G7955" s="1050"/>
    </row>
    <row r="7956" spans="1:7">
      <c r="A7956" s="1079"/>
      <c r="B7956" s="1050"/>
      <c r="C7956" s="1050"/>
      <c r="D7956" s="1050"/>
      <c r="E7956" s="1050"/>
      <c r="F7956" s="1050"/>
      <c r="G7956" s="1050"/>
    </row>
    <row r="7957" spans="1:7">
      <c r="A7957" s="1079"/>
      <c r="B7957" s="1050"/>
      <c r="C7957" s="1050"/>
      <c r="D7957" s="1050"/>
      <c r="E7957" s="1050"/>
      <c r="F7957" s="1050"/>
      <c r="G7957" s="1050"/>
    </row>
    <row r="7958" spans="1:7">
      <c r="A7958" s="1079"/>
      <c r="B7958" s="1050"/>
      <c r="C7958" s="1050"/>
      <c r="D7958" s="1050"/>
      <c r="E7958" s="1050"/>
      <c r="F7958" s="1050"/>
      <c r="G7958" s="1050"/>
    </row>
    <row r="7959" spans="1:7">
      <c r="A7959" s="1079"/>
      <c r="B7959" s="1050"/>
      <c r="C7959" s="1050"/>
      <c r="D7959" s="1050"/>
      <c r="E7959" s="1050"/>
      <c r="F7959" s="1050"/>
      <c r="G7959" s="1050"/>
    </row>
    <row r="7960" spans="1:7">
      <c r="A7960" s="1079"/>
      <c r="B7960" s="1050"/>
      <c r="C7960" s="1050"/>
      <c r="D7960" s="1050"/>
      <c r="E7960" s="1050"/>
      <c r="F7960" s="1050"/>
      <c r="G7960" s="1050"/>
    </row>
    <row r="7961" spans="1:7">
      <c r="A7961" s="1079"/>
      <c r="B7961" s="1050"/>
      <c r="C7961" s="1050"/>
      <c r="D7961" s="1050"/>
      <c r="E7961" s="1050"/>
      <c r="F7961" s="1050"/>
      <c r="G7961" s="1050"/>
    </row>
    <row r="7962" spans="1:7">
      <c r="A7962" s="1079"/>
      <c r="B7962" s="1050"/>
      <c r="C7962" s="1050"/>
      <c r="D7962" s="1050"/>
      <c r="E7962" s="1050"/>
      <c r="F7962" s="1050"/>
      <c r="G7962" s="1050"/>
    </row>
    <row r="7963" spans="1:7">
      <c r="A7963" s="1079"/>
      <c r="B7963" s="1050"/>
      <c r="C7963" s="1050"/>
      <c r="D7963" s="1050"/>
      <c r="E7963" s="1050"/>
      <c r="F7963" s="1050"/>
      <c r="G7963" s="1050"/>
    </row>
    <row r="7964" spans="1:7">
      <c r="A7964" s="1079"/>
      <c r="B7964" s="1050"/>
      <c r="C7964" s="1050"/>
      <c r="D7964" s="1050"/>
      <c r="E7964" s="1050"/>
      <c r="F7964" s="1050"/>
      <c r="G7964" s="1050"/>
    </row>
    <row r="7965" spans="1:7">
      <c r="A7965" s="1079"/>
      <c r="B7965" s="1050"/>
      <c r="C7965" s="1050"/>
      <c r="D7965" s="1050"/>
      <c r="E7965" s="1050"/>
      <c r="F7965" s="1050"/>
      <c r="G7965" s="1050"/>
    </row>
    <row r="7966" spans="1:7">
      <c r="A7966" s="1079"/>
      <c r="B7966" s="1050"/>
      <c r="C7966" s="1050"/>
      <c r="D7966" s="1050"/>
      <c r="E7966" s="1050"/>
      <c r="F7966" s="1050"/>
      <c r="G7966" s="1050"/>
    </row>
    <row r="7967" spans="1:7">
      <c r="A7967" s="1079"/>
      <c r="B7967" s="1050"/>
      <c r="C7967" s="1050"/>
      <c r="D7967" s="1050"/>
      <c r="E7967" s="1050"/>
      <c r="F7967" s="1050"/>
      <c r="G7967" s="1050"/>
    </row>
    <row r="7968" spans="1:7">
      <c r="A7968" s="1079"/>
      <c r="B7968" s="1050"/>
      <c r="C7968" s="1050"/>
      <c r="D7968" s="1050"/>
      <c r="E7968" s="1050"/>
      <c r="F7968" s="1050"/>
      <c r="G7968" s="1050"/>
    </row>
    <row r="7969" spans="1:7">
      <c r="A7969" s="1079"/>
      <c r="B7969" s="1050"/>
      <c r="C7969" s="1050"/>
      <c r="D7969" s="1050"/>
      <c r="E7969" s="1050"/>
      <c r="F7969" s="1050"/>
      <c r="G7969" s="1050"/>
    </row>
    <row r="7970" spans="1:7">
      <c r="A7970" s="1079"/>
      <c r="B7970" s="1050"/>
      <c r="C7970" s="1050"/>
      <c r="D7970" s="1050"/>
      <c r="E7970" s="1050"/>
      <c r="F7970" s="1050"/>
      <c r="G7970" s="1050"/>
    </row>
    <row r="7971" spans="1:7">
      <c r="A7971" s="1079"/>
      <c r="B7971" s="1050"/>
      <c r="C7971" s="1050"/>
      <c r="D7971" s="1050"/>
      <c r="E7971" s="1050"/>
      <c r="F7971" s="1050"/>
      <c r="G7971" s="1050"/>
    </row>
    <row r="7972" spans="1:7">
      <c r="A7972" s="1079"/>
      <c r="B7972" s="1050"/>
      <c r="C7972" s="1050"/>
      <c r="D7972" s="1050"/>
      <c r="E7972" s="1050"/>
      <c r="F7972" s="1050"/>
      <c r="G7972" s="1050"/>
    </row>
    <row r="7973" spans="1:7">
      <c r="A7973" s="1079"/>
      <c r="B7973" s="1050"/>
      <c r="C7973" s="1050"/>
      <c r="D7973" s="1050"/>
      <c r="E7973" s="1050"/>
      <c r="F7973" s="1050"/>
      <c r="G7973" s="1050"/>
    </row>
    <row r="7974" spans="1:7">
      <c r="A7974" s="1079"/>
      <c r="B7974" s="1050"/>
      <c r="C7974" s="1050"/>
      <c r="D7974" s="1050"/>
      <c r="E7974" s="1050"/>
      <c r="F7974" s="1050"/>
      <c r="G7974" s="1050"/>
    </row>
    <row r="7975" spans="1:7">
      <c r="A7975" s="1079"/>
      <c r="B7975" s="1050"/>
      <c r="C7975" s="1050"/>
      <c r="D7975" s="1050"/>
      <c r="E7975" s="1050"/>
      <c r="F7975" s="1050"/>
      <c r="G7975" s="1050"/>
    </row>
    <row r="7976" spans="1:7">
      <c r="A7976" s="1079"/>
      <c r="B7976" s="1050"/>
      <c r="C7976" s="1050"/>
      <c r="D7976" s="1050"/>
      <c r="E7976" s="1050"/>
      <c r="F7976" s="1050"/>
      <c r="G7976" s="1050"/>
    </row>
    <row r="7977" spans="1:7">
      <c r="A7977" s="1079"/>
      <c r="B7977" s="1050"/>
      <c r="C7977" s="1050"/>
      <c r="D7977" s="1050"/>
      <c r="E7977" s="1050"/>
      <c r="F7977" s="1050"/>
      <c r="G7977" s="1050"/>
    </row>
    <row r="7978" spans="1:7">
      <c r="A7978" s="1079"/>
      <c r="B7978" s="1050"/>
      <c r="C7978" s="1050"/>
      <c r="D7978" s="1050"/>
      <c r="E7978" s="1050"/>
      <c r="F7978" s="1050"/>
      <c r="G7978" s="1050"/>
    </row>
    <row r="7979" spans="1:7">
      <c r="A7979" s="1079"/>
      <c r="B7979" s="1050"/>
      <c r="C7979" s="1050"/>
      <c r="D7979" s="1050"/>
      <c r="E7979" s="1050"/>
      <c r="F7979" s="1050"/>
      <c r="G7979" s="1050"/>
    </row>
    <row r="7980" spans="1:7">
      <c r="A7980" s="1079"/>
      <c r="B7980" s="1050"/>
      <c r="C7980" s="1050"/>
      <c r="D7980" s="1050"/>
      <c r="E7980" s="1050"/>
      <c r="F7980" s="1050"/>
      <c r="G7980" s="1050"/>
    </row>
    <row r="7981" spans="1:7">
      <c r="A7981" s="1079"/>
      <c r="B7981" s="1050"/>
      <c r="C7981" s="1050"/>
      <c r="D7981" s="1050"/>
      <c r="E7981" s="1050"/>
      <c r="F7981" s="1050"/>
      <c r="G7981" s="1050"/>
    </row>
    <row r="7982" spans="1:7">
      <c r="A7982" s="1079"/>
      <c r="B7982" s="1050"/>
      <c r="C7982" s="1050"/>
      <c r="D7982" s="1050"/>
      <c r="E7982" s="1050"/>
      <c r="F7982" s="1050"/>
      <c r="G7982" s="1050"/>
    </row>
    <row r="7983" spans="1:7">
      <c r="A7983" s="1079"/>
      <c r="B7983" s="1050"/>
      <c r="C7983" s="1050"/>
      <c r="D7983" s="1050"/>
      <c r="E7983" s="1050"/>
      <c r="F7983" s="1050"/>
      <c r="G7983" s="1050"/>
    </row>
    <row r="7984" spans="1:7">
      <c r="A7984" s="1079"/>
      <c r="B7984" s="1050"/>
      <c r="C7984" s="1050"/>
      <c r="D7984" s="1050"/>
      <c r="E7984" s="1050"/>
      <c r="F7984" s="1050"/>
      <c r="G7984" s="1050"/>
    </row>
    <row r="7985" spans="1:7">
      <c r="A7985" s="1079"/>
      <c r="B7985" s="1050"/>
      <c r="C7985" s="1050"/>
      <c r="D7985" s="1050"/>
      <c r="E7985" s="1050"/>
      <c r="F7985" s="1050"/>
      <c r="G7985" s="1050"/>
    </row>
    <row r="7986" spans="1:7">
      <c r="A7986" s="1079"/>
      <c r="B7986" s="1050"/>
      <c r="C7986" s="1050"/>
      <c r="D7986" s="1050"/>
      <c r="E7986" s="1050"/>
      <c r="F7986" s="1050"/>
      <c r="G7986" s="1050"/>
    </row>
    <row r="7987" spans="1:7">
      <c r="A7987" s="1079"/>
      <c r="B7987" s="1050"/>
      <c r="C7987" s="1050"/>
      <c r="D7987" s="1050"/>
      <c r="E7987" s="1050"/>
      <c r="F7987" s="1050"/>
      <c r="G7987" s="1050"/>
    </row>
    <row r="7988" spans="1:7">
      <c r="A7988" s="1079"/>
      <c r="B7988" s="1050"/>
      <c r="C7988" s="1050"/>
      <c r="D7988" s="1050"/>
      <c r="E7988" s="1050"/>
      <c r="F7988" s="1050"/>
      <c r="G7988" s="1050"/>
    </row>
    <row r="7989" spans="1:7">
      <c r="A7989" s="1079"/>
      <c r="B7989" s="1050"/>
      <c r="C7989" s="1050"/>
      <c r="D7989" s="1050"/>
      <c r="E7989" s="1050"/>
      <c r="F7989" s="1050"/>
      <c r="G7989" s="1050"/>
    </row>
    <row r="7990" spans="1:7">
      <c r="A7990" s="1079"/>
      <c r="B7990" s="1050"/>
      <c r="C7990" s="1050"/>
      <c r="D7990" s="1050"/>
      <c r="E7990" s="1050"/>
      <c r="F7990" s="1050"/>
      <c r="G7990" s="1050"/>
    </row>
    <row r="7991" spans="1:7">
      <c r="A7991" s="1079"/>
      <c r="B7991" s="1050"/>
      <c r="C7991" s="1050"/>
      <c r="D7991" s="1050"/>
      <c r="E7991" s="1050"/>
      <c r="F7991" s="1050"/>
      <c r="G7991" s="1050"/>
    </row>
    <row r="7992" spans="1:7">
      <c r="A7992" s="1079"/>
      <c r="B7992" s="1050"/>
      <c r="C7992" s="1050"/>
      <c r="D7992" s="1050"/>
      <c r="E7992" s="1050"/>
      <c r="F7992" s="1050"/>
      <c r="G7992" s="1050"/>
    </row>
    <row r="7993" spans="1:7">
      <c r="A7993" s="1079"/>
      <c r="B7993" s="1050"/>
      <c r="C7993" s="1050"/>
      <c r="D7993" s="1050"/>
      <c r="E7993" s="1050"/>
      <c r="F7993" s="1050"/>
      <c r="G7993" s="1050"/>
    </row>
    <row r="7994" spans="1:7">
      <c r="A7994" s="1079"/>
      <c r="B7994" s="1050"/>
      <c r="C7994" s="1050"/>
      <c r="D7994" s="1050"/>
      <c r="E7994" s="1050"/>
      <c r="F7994" s="1050"/>
      <c r="G7994" s="1050"/>
    </row>
    <row r="7995" spans="1:7">
      <c r="A7995" s="1079"/>
      <c r="B7995" s="1050"/>
      <c r="C7995" s="1050"/>
      <c r="D7995" s="1050"/>
      <c r="E7995" s="1050"/>
      <c r="F7995" s="1050"/>
      <c r="G7995" s="1050"/>
    </row>
    <row r="7996" spans="1:7">
      <c r="A7996" s="1079"/>
      <c r="B7996" s="1050"/>
      <c r="C7996" s="1050"/>
      <c r="D7996" s="1050"/>
      <c r="E7996" s="1050"/>
      <c r="F7996" s="1050"/>
      <c r="G7996" s="1050"/>
    </row>
    <row r="7997" spans="1:7">
      <c r="A7997" s="1079"/>
      <c r="B7997" s="1050"/>
      <c r="C7997" s="1050"/>
      <c r="D7997" s="1050"/>
      <c r="E7997" s="1050"/>
      <c r="F7997" s="1050"/>
      <c r="G7997" s="1050"/>
    </row>
    <row r="7998" spans="1:7">
      <c r="A7998" s="1079"/>
      <c r="B7998" s="1050"/>
      <c r="C7998" s="1050"/>
      <c r="D7998" s="1050"/>
      <c r="E7998" s="1050"/>
      <c r="F7998" s="1050"/>
      <c r="G7998" s="1050"/>
    </row>
    <row r="7999" spans="1:7">
      <c r="A7999" s="1079"/>
      <c r="B7999" s="1050"/>
      <c r="C7999" s="1050"/>
      <c r="D7999" s="1050"/>
      <c r="E7999" s="1050"/>
      <c r="F7999" s="1050"/>
      <c r="G7999" s="1050"/>
    </row>
    <row r="8000" spans="1:7">
      <c r="A8000" s="1079"/>
      <c r="B8000" s="1050"/>
      <c r="C8000" s="1050"/>
      <c r="D8000" s="1050"/>
      <c r="E8000" s="1050"/>
      <c r="F8000" s="1050"/>
      <c r="G8000" s="1050"/>
    </row>
    <row r="8001" spans="1:7">
      <c r="A8001" s="1079"/>
      <c r="B8001" s="1050"/>
      <c r="C8001" s="1050"/>
      <c r="D8001" s="1050"/>
      <c r="E8001" s="1050"/>
      <c r="F8001" s="1050"/>
      <c r="G8001" s="1050"/>
    </row>
    <row r="8002" spans="1:7">
      <c r="A8002" s="1079"/>
      <c r="B8002" s="1050"/>
      <c r="C8002" s="1050"/>
      <c r="D8002" s="1050"/>
      <c r="E8002" s="1050"/>
      <c r="F8002" s="1050"/>
      <c r="G8002" s="1050"/>
    </row>
    <row r="8003" spans="1:7">
      <c r="A8003" s="1079"/>
      <c r="B8003" s="1050"/>
      <c r="C8003" s="1050"/>
      <c r="D8003" s="1050"/>
      <c r="E8003" s="1050"/>
      <c r="F8003" s="1050"/>
      <c r="G8003" s="1050"/>
    </row>
    <row r="8004" spans="1:7">
      <c r="A8004" s="1079"/>
      <c r="B8004" s="1050"/>
      <c r="C8004" s="1050"/>
      <c r="D8004" s="1050"/>
      <c r="E8004" s="1050"/>
      <c r="F8004" s="1050"/>
      <c r="G8004" s="1050"/>
    </row>
    <row r="8005" spans="1:7">
      <c r="A8005" s="1079"/>
      <c r="B8005" s="1050"/>
      <c r="C8005" s="1050"/>
      <c r="D8005" s="1050"/>
      <c r="E8005" s="1050"/>
      <c r="F8005" s="1050"/>
      <c r="G8005" s="1050"/>
    </row>
    <row r="8006" spans="1:7">
      <c r="A8006" s="1079"/>
      <c r="B8006" s="1050"/>
      <c r="C8006" s="1050"/>
      <c r="D8006" s="1050"/>
      <c r="E8006" s="1050"/>
      <c r="F8006" s="1050"/>
      <c r="G8006" s="1050"/>
    </row>
    <row r="8007" spans="1:7">
      <c r="A8007" s="1079"/>
      <c r="B8007" s="1050"/>
      <c r="C8007" s="1050"/>
      <c r="D8007" s="1050"/>
      <c r="E8007" s="1050"/>
      <c r="F8007" s="1050"/>
      <c r="G8007" s="1050"/>
    </row>
    <row r="8008" spans="1:7">
      <c r="A8008" s="1079"/>
      <c r="B8008" s="1050"/>
      <c r="C8008" s="1050"/>
      <c r="D8008" s="1050"/>
      <c r="E8008" s="1050"/>
      <c r="F8008" s="1050"/>
      <c r="G8008" s="1050"/>
    </row>
    <row r="8009" spans="1:7">
      <c r="A8009" s="1079"/>
      <c r="B8009" s="1050"/>
      <c r="C8009" s="1050"/>
      <c r="D8009" s="1050"/>
      <c r="E8009" s="1050"/>
      <c r="F8009" s="1050"/>
      <c r="G8009" s="1050"/>
    </row>
    <row r="8010" spans="1:7">
      <c r="A8010" s="1079"/>
      <c r="B8010" s="1050"/>
      <c r="C8010" s="1050"/>
      <c r="D8010" s="1050"/>
      <c r="E8010" s="1050"/>
      <c r="F8010" s="1050"/>
      <c r="G8010" s="1050"/>
    </row>
    <row r="8011" spans="1:7">
      <c r="A8011" s="1079"/>
      <c r="B8011" s="1050"/>
      <c r="C8011" s="1050"/>
      <c r="D8011" s="1050"/>
      <c r="E8011" s="1050"/>
      <c r="F8011" s="1050"/>
      <c r="G8011" s="1050"/>
    </row>
    <row r="8012" spans="1:7">
      <c r="A8012" s="1079"/>
      <c r="B8012" s="1050"/>
      <c r="C8012" s="1050"/>
      <c r="D8012" s="1050"/>
      <c r="E8012" s="1050"/>
      <c r="F8012" s="1050"/>
      <c r="G8012" s="1050"/>
    </row>
    <row r="8013" spans="1:7">
      <c r="A8013" s="1079"/>
      <c r="B8013" s="1050"/>
      <c r="C8013" s="1050"/>
      <c r="D8013" s="1050"/>
      <c r="E8013" s="1050"/>
      <c r="F8013" s="1050"/>
      <c r="G8013" s="1050"/>
    </row>
    <row r="8014" spans="1:7">
      <c r="A8014" s="1079"/>
      <c r="B8014" s="1050"/>
      <c r="C8014" s="1050"/>
      <c r="D8014" s="1050"/>
      <c r="E8014" s="1050"/>
      <c r="F8014" s="1050"/>
      <c r="G8014" s="1050"/>
    </row>
    <row r="8015" spans="1:7">
      <c r="A8015" s="1079"/>
      <c r="B8015" s="1050"/>
      <c r="C8015" s="1050"/>
      <c r="D8015" s="1050"/>
      <c r="E8015" s="1050"/>
      <c r="F8015" s="1050"/>
      <c r="G8015" s="1050"/>
    </row>
    <row r="8016" spans="1:7">
      <c r="A8016" s="1079"/>
      <c r="B8016" s="1050"/>
      <c r="C8016" s="1050"/>
      <c r="D8016" s="1050"/>
      <c r="E8016" s="1050"/>
      <c r="F8016" s="1050"/>
      <c r="G8016" s="1050"/>
    </row>
    <row r="8017" spans="1:7">
      <c r="A8017" s="1079"/>
      <c r="B8017" s="1050"/>
      <c r="C8017" s="1050"/>
      <c r="D8017" s="1050"/>
      <c r="E8017" s="1050"/>
      <c r="F8017" s="1050"/>
      <c r="G8017" s="1050"/>
    </row>
    <row r="8018" spans="1:7">
      <c r="A8018" s="1079"/>
      <c r="B8018" s="1050"/>
      <c r="C8018" s="1050"/>
      <c r="D8018" s="1050"/>
      <c r="E8018" s="1050"/>
      <c r="F8018" s="1050"/>
      <c r="G8018" s="1050"/>
    </row>
    <row r="8019" spans="1:7">
      <c r="A8019" s="1079"/>
      <c r="B8019" s="1050"/>
      <c r="C8019" s="1050"/>
      <c r="D8019" s="1050"/>
      <c r="E8019" s="1050"/>
      <c r="F8019" s="1050"/>
      <c r="G8019" s="1050"/>
    </row>
    <row r="8020" spans="1:7">
      <c r="A8020" s="1079"/>
      <c r="B8020" s="1050"/>
      <c r="C8020" s="1050"/>
      <c r="D8020" s="1050"/>
      <c r="E8020" s="1050"/>
      <c r="F8020" s="1050"/>
      <c r="G8020" s="1050"/>
    </row>
    <row r="8021" spans="1:7">
      <c r="A8021" s="1079"/>
      <c r="B8021" s="1050"/>
      <c r="C8021" s="1050"/>
      <c r="D8021" s="1050"/>
      <c r="E8021" s="1050"/>
      <c r="F8021" s="1050"/>
      <c r="G8021" s="1050"/>
    </row>
    <row r="8022" spans="1:7">
      <c r="A8022" s="1079"/>
      <c r="B8022" s="1050"/>
      <c r="C8022" s="1050"/>
      <c r="D8022" s="1050"/>
      <c r="E8022" s="1050"/>
      <c r="F8022" s="1050"/>
      <c r="G8022" s="1050"/>
    </row>
    <row r="8023" spans="1:7">
      <c r="A8023" s="1079"/>
      <c r="B8023" s="1050"/>
      <c r="C8023" s="1050"/>
      <c r="D8023" s="1050"/>
      <c r="E8023" s="1050"/>
      <c r="F8023" s="1050"/>
      <c r="G8023" s="1050"/>
    </row>
    <row r="8024" spans="1:7">
      <c r="A8024" s="1079"/>
      <c r="B8024" s="1050"/>
      <c r="C8024" s="1050"/>
      <c r="D8024" s="1050"/>
      <c r="E8024" s="1050"/>
      <c r="F8024" s="1050"/>
      <c r="G8024" s="1050"/>
    </row>
    <row r="8025" spans="1:7">
      <c r="A8025" s="1079"/>
      <c r="B8025" s="1050"/>
      <c r="C8025" s="1050"/>
      <c r="D8025" s="1050"/>
      <c r="E8025" s="1050"/>
      <c r="F8025" s="1050"/>
      <c r="G8025" s="1050"/>
    </row>
    <row r="8026" spans="1:7">
      <c r="A8026" s="1079"/>
      <c r="B8026" s="1050"/>
      <c r="C8026" s="1050"/>
      <c r="D8026" s="1050"/>
      <c r="E8026" s="1050"/>
      <c r="F8026" s="1050"/>
      <c r="G8026" s="1050"/>
    </row>
    <row r="8027" spans="1:7">
      <c r="A8027" s="1079"/>
      <c r="B8027" s="1050"/>
      <c r="C8027" s="1050"/>
      <c r="D8027" s="1050"/>
      <c r="E8027" s="1050"/>
      <c r="F8027" s="1050"/>
      <c r="G8027" s="1050"/>
    </row>
    <row r="8028" spans="1:7">
      <c r="A8028" s="1079"/>
      <c r="B8028" s="1050"/>
      <c r="C8028" s="1050"/>
      <c r="D8028" s="1050"/>
      <c r="E8028" s="1050"/>
      <c r="F8028" s="1050"/>
      <c r="G8028" s="1050"/>
    </row>
    <row r="8029" spans="1:7">
      <c r="A8029" s="1079"/>
      <c r="B8029" s="1050"/>
      <c r="C8029" s="1050"/>
      <c r="D8029" s="1050"/>
      <c r="E8029" s="1050"/>
      <c r="F8029" s="1050"/>
      <c r="G8029" s="1050"/>
    </row>
    <row r="8030" spans="1:7">
      <c r="A8030" s="1079"/>
      <c r="B8030" s="1050"/>
      <c r="C8030" s="1050"/>
      <c r="D8030" s="1050"/>
      <c r="E8030" s="1050"/>
      <c r="F8030" s="1050"/>
      <c r="G8030" s="1050"/>
    </row>
    <row r="8031" spans="1:7">
      <c r="A8031" s="1079"/>
      <c r="B8031" s="1050"/>
      <c r="C8031" s="1050"/>
      <c r="D8031" s="1050"/>
      <c r="E8031" s="1050"/>
      <c r="F8031" s="1050"/>
      <c r="G8031" s="1050"/>
    </row>
    <row r="8032" spans="1:7">
      <c r="A8032" s="1079"/>
      <c r="B8032" s="1050"/>
      <c r="C8032" s="1050"/>
      <c r="D8032" s="1050"/>
      <c r="E8032" s="1050"/>
      <c r="F8032" s="1050"/>
      <c r="G8032" s="1050"/>
    </row>
    <row r="8033" spans="1:7">
      <c r="A8033" s="1079"/>
      <c r="B8033" s="1050"/>
      <c r="C8033" s="1050"/>
      <c r="D8033" s="1050"/>
      <c r="E8033" s="1050"/>
      <c r="F8033" s="1050"/>
      <c r="G8033" s="1050"/>
    </row>
    <row r="8034" spans="1:7">
      <c r="A8034" s="1079"/>
      <c r="B8034" s="1050"/>
      <c r="C8034" s="1050"/>
      <c r="D8034" s="1050"/>
      <c r="E8034" s="1050"/>
      <c r="F8034" s="1050"/>
      <c r="G8034" s="1050"/>
    </row>
    <row r="8035" spans="1:7">
      <c r="A8035" s="1079"/>
      <c r="B8035" s="1050"/>
      <c r="C8035" s="1050"/>
      <c r="D8035" s="1050"/>
      <c r="E8035" s="1050"/>
      <c r="F8035" s="1050"/>
      <c r="G8035" s="1050"/>
    </row>
    <row r="8036" spans="1:7">
      <c r="A8036" s="1079"/>
      <c r="B8036" s="1050"/>
      <c r="C8036" s="1050"/>
      <c r="D8036" s="1050"/>
      <c r="E8036" s="1050"/>
      <c r="F8036" s="1050"/>
      <c r="G8036" s="1050"/>
    </row>
    <row r="8037" spans="1:7">
      <c r="A8037" s="1079"/>
      <c r="B8037" s="1050"/>
      <c r="C8037" s="1050"/>
      <c r="D8037" s="1050"/>
      <c r="E8037" s="1050"/>
      <c r="F8037" s="1050"/>
      <c r="G8037" s="1050"/>
    </row>
    <row r="8038" spans="1:7">
      <c r="A8038" s="1079"/>
      <c r="B8038" s="1050"/>
      <c r="C8038" s="1050"/>
      <c r="D8038" s="1050"/>
      <c r="E8038" s="1050"/>
      <c r="F8038" s="1050"/>
      <c r="G8038" s="1050"/>
    </row>
    <row r="8039" spans="1:7">
      <c r="A8039" s="1079"/>
      <c r="B8039" s="1050"/>
      <c r="C8039" s="1050"/>
      <c r="D8039" s="1050"/>
      <c r="E8039" s="1050"/>
      <c r="F8039" s="1050"/>
      <c r="G8039" s="1050"/>
    </row>
    <row r="8040" spans="1:7">
      <c r="A8040" s="1079"/>
      <c r="B8040" s="1050"/>
      <c r="C8040" s="1050"/>
      <c r="D8040" s="1050"/>
      <c r="E8040" s="1050"/>
      <c r="F8040" s="1050"/>
      <c r="G8040" s="1050"/>
    </row>
    <row r="8041" spans="1:7">
      <c r="A8041" s="1079"/>
      <c r="B8041" s="1050"/>
      <c r="C8041" s="1050"/>
      <c r="D8041" s="1050"/>
      <c r="E8041" s="1050"/>
      <c r="F8041" s="1050"/>
      <c r="G8041" s="1050"/>
    </row>
    <row r="8042" spans="1:7">
      <c r="A8042" s="1079"/>
      <c r="B8042" s="1050"/>
      <c r="C8042" s="1050"/>
      <c r="D8042" s="1050"/>
      <c r="E8042" s="1050"/>
      <c r="F8042" s="1050"/>
      <c r="G8042" s="1050"/>
    </row>
    <row r="8043" spans="1:7">
      <c r="A8043" s="1079"/>
      <c r="B8043" s="1050"/>
      <c r="C8043" s="1050"/>
      <c r="D8043" s="1050"/>
      <c r="E8043" s="1050"/>
      <c r="F8043" s="1050"/>
      <c r="G8043" s="1050"/>
    </row>
    <row r="8044" spans="1:7">
      <c r="A8044" s="1079"/>
      <c r="B8044" s="1050"/>
      <c r="C8044" s="1050"/>
      <c r="D8044" s="1050"/>
      <c r="E8044" s="1050"/>
      <c r="F8044" s="1050"/>
      <c r="G8044" s="1050"/>
    </row>
    <row r="8045" spans="1:7">
      <c r="A8045" s="1079"/>
      <c r="B8045" s="1050"/>
      <c r="C8045" s="1050"/>
      <c r="D8045" s="1050"/>
      <c r="E8045" s="1050"/>
      <c r="F8045" s="1050"/>
      <c r="G8045" s="1050"/>
    </row>
    <row r="8046" spans="1:7">
      <c r="A8046" s="1079"/>
      <c r="B8046" s="1050"/>
      <c r="C8046" s="1050"/>
      <c r="D8046" s="1050"/>
      <c r="E8046" s="1050"/>
      <c r="F8046" s="1050"/>
      <c r="G8046" s="1050"/>
    </row>
    <row r="8047" spans="1:7">
      <c r="A8047" s="1079"/>
      <c r="B8047" s="1050"/>
      <c r="C8047" s="1050"/>
      <c r="D8047" s="1050"/>
      <c r="E8047" s="1050"/>
      <c r="F8047" s="1050"/>
      <c r="G8047" s="1050"/>
    </row>
    <row r="8048" spans="1:7">
      <c r="A8048" s="1079"/>
      <c r="B8048" s="1050"/>
      <c r="C8048" s="1050"/>
      <c r="D8048" s="1050"/>
      <c r="E8048" s="1050"/>
      <c r="F8048" s="1050"/>
      <c r="G8048" s="1050"/>
    </row>
    <row r="8049" spans="1:7">
      <c r="A8049" s="1079"/>
      <c r="B8049" s="1050"/>
      <c r="C8049" s="1050"/>
      <c r="D8049" s="1050"/>
      <c r="E8049" s="1050"/>
      <c r="F8049" s="1050"/>
      <c r="G8049" s="1050"/>
    </row>
    <row r="8050" spans="1:7">
      <c r="A8050" s="1079"/>
      <c r="B8050" s="1050"/>
      <c r="C8050" s="1050"/>
      <c r="D8050" s="1050"/>
      <c r="E8050" s="1050"/>
      <c r="F8050" s="1050"/>
      <c r="G8050" s="1050"/>
    </row>
    <row r="8051" spans="1:7">
      <c r="A8051" s="1079"/>
      <c r="B8051" s="1050"/>
      <c r="C8051" s="1050"/>
      <c r="D8051" s="1050"/>
      <c r="E8051" s="1050"/>
      <c r="F8051" s="1050"/>
      <c r="G8051" s="1050"/>
    </row>
    <row r="8052" spans="1:7">
      <c r="A8052" s="1079"/>
      <c r="B8052" s="1050"/>
      <c r="C8052" s="1050"/>
      <c r="D8052" s="1050"/>
      <c r="E8052" s="1050"/>
      <c r="F8052" s="1050"/>
      <c r="G8052" s="1050"/>
    </row>
    <row r="8053" spans="1:7">
      <c r="A8053" s="1079"/>
      <c r="B8053" s="1050"/>
      <c r="C8053" s="1050"/>
      <c r="D8053" s="1050"/>
      <c r="E8053" s="1050"/>
      <c r="F8053" s="1050"/>
      <c r="G8053" s="1050"/>
    </row>
    <row r="8054" spans="1:7">
      <c r="A8054" s="1079"/>
      <c r="B8054" s="1050"/>
      <c r="C8054" s="1050"/>
      <c r="D8054" s="1050"/>
      <c r="E8054" s="1050"/>
      <c r="F8054" s="1050"/>
      <c r="G8054" s="1050"/>
    </row>
    <row r="8055" spans="1:7">
      <c r="A8055" s="1079"/>
      <c r="B8055" s="1050"/>
      <c r="C8055" s="1050"/>
      <c r="D8055" s="1050"/>
      <c r="E8055" s="1050"/>
      <c r="F8055" s="1050"/>
      <c r="G8055" s="1050"/>
    </row>
    <row r="8056" spans="1:7">
      <c r="A8056" s="1079"/>
      <c r="B8056" s="1050"/>
      <c r="C8056" s="1050"/>
      <c r="D8056" s="1050"/>
      <c r="E8056" s="1050"/>
      <c r="F8056" s="1050"/>
      <c r="G8056" s="1050"/>
    </row>
    <row r="8057" spans="1:7">
      <c r="A8057" s="1079"/>
      <c r="B8057" s="1050"/>
      <c r="C8057" s="1050"/>
      <c r="D8057" s="1050"/>
      <c r="E8057" s="1050"/>
      <c r="F8057" s="1050"/>
      <c r="G8057" s="1050"/>
    </row>
    <row r="8058" spans="1:7">
      <c r="A8058" s="1079"/>
      <c r="B8058" s="1050"/>
      <c r="C8058" s="1050"/>
      <c r="D8058" s="1050"/>
      <c r="E8058" s="1050"/>
      <c r="F8058" s="1050"/>
      <c r="G8058" s="1050"/>
    </row>
    <row r="8059" spans="1:7">
      <c r="A8059" s="1079"/>
      <c r="B8059" s="1050"/>
      <c r="C8059" s="1050"/>
      <c r="D8059" s="1050"/>
      <c r="E8059" s="1050"/>
      <c r="F8059" s="1050"/>
      <c r="G8059" s="1050"/>
    </row>
    <row r="8060" spans="1:7">
      <c r="A8060" s="1079"/>
      <c r="B8060" s="1050"/>
      <c r="C8060" s="1050"/>
      <c r="D8060" s="1050"/>
      <c r="E8060" s="1050"/>
      <c r="F8060" s="1050"/>
      <c r="G8060" s="1050"/>
    </row>
    <row r="8061" spans="1:7">
      <c r="A8061" s="1079"/>
      <c r="B8061" s="1050"/>
      <c r="C8061" s="1050"/>
      <c r="D8061" s="1050"/>
      <c r="E8061" s="1050"/>
      <c r="F8061" s="1050"/>
      <c r="G8061" s="1050"/>
    </row>
    <row r="8062" spans="1:7">
      <c r="A8062" s="1079"/>
      <c r="B8062" s="1050"/>
      <c r="C8062" s="1050"/>
      <c r="D8062" s="1050"/>
      <c r="E8062" s="1050"/>
      <c r="F8062" s="1050"/>
      <c r="G8062" s="1050"/>
    </row>
    <row r="8063" spans="1:7">
      <c r="A8063" s="1079"/>
      <c r="B8063" s="1050"/>
      <c r="C8063" s="1050"/>
      <c r="D8063" s="1050"/>
      <c r="E8063" s="1050"/>
      <c r="F8063" s="1050"/>
      <c r="G8063" s="1050"/>
    </row>
    <row r="8064" spans="1:7">
      <c r="A8064" s="1079"/>
      <c r="B8064" s="1050"/>
      <c r="C8064" s="1050"/>
      <c r="D8064" s="1050"/>
      <c r="E8064" s="1050"/>
      <c r="F8064" s="1050"/>
      <c r="G8064" s="1050"/>
    </row>
    <row r="8065" spans="1:7">
      <c r="A8065" s="1079"/>
      <c r="B8065" s="1050"/>
      <c r="C8065" s="1050"/>
      <c r="D8065" s="1050"/>
      <c r="E8065" s="1050"/>
      <c r="F8065" s="1050"/>
      <c r="G8065" s="1050"/>
    </row>
    <row r="8066" spans="1:7">
      <c r="A8066" s="1079"/>
      <c r="B8066" s="1050"/>
      <c r="C8066" s="1050"/>
      <c r="D8066" s="1050"/>
      <c r="E8066" s="1050"/>
      <c r="F8066" s="1050"/>
      <c r="G8066" s="1050"/>
    </row>
    <row r="8067" spans="1:7">
      <c r="A8067" s="1079"/>
      <c r="B8067" s="1050"/>
      <c r="C8067" s="1050"/>
      <c r="D8067" s="1050"/>
      <c r="E8067" s="1050"/>
      <c r="F8067" s="1050"/>
      <c r="G8067" s="1050"/>
    </row>
    <row r="8068" spans="1:7">
      <c r="A8068" s="1079"/>
      <c r="B8068" s="1050"/>
      <c r="C8068" s="1050"/>
      <c r="D8068" s="1050"/>
      <c r="E8068" s="1050"/>
      <c r="F8068" s="1050"/>
      <c r="G8068" s="1050"/>
    </row>
    <row r="8069" spans="1:7">
      <c r="A8069" s="1079"/>
      <c r="B8069" s="1050"/>
      <c r="C8069" s="1050"/>
      <c r="D8069" s="1050"/>
      <c r="E8069" s="1050"/>
      <c r="F8069" s="1050"/>
      <c r="G8069" s="1050"/>
    </row>
    <row r="8070" spans="1:7">
      <c r="A8070" s="1079"/>
      <c r="B8070" s="1050"/>
      <c r="C8070" s="1050"/>
      <c r="D8070" s="1050"/>
      <c r="E8070" s="1050"/>
      <c r="F8070" s="1050"/>
      <c r="G8070" s="1050"/>
    </row>
    <row r="8071" spans="1:7">
      <c r="A8071" s="1079"/>
      <c r="B8071" s="1050"/>
      <c r="C8071" s="1050"/>
      <c r="D8071" s="1050"/>
      <c r="E8071" s="1050"/>
      <c r="F8071" s="1050"/>
      <c r="G8071" s="1050"/>
    </row>
    <row r="8072" spans="1:7">
      <c r="A8072" s="1079"/>
      <c r="B8072" s="1050"/>
      <c r="C8072" s="1050"/>
      <c r="D8072" s="1050"/>
      <c r="E8072" s="1050"/>
      <c r="F8072" s="1050"/>
      <c r="G8072" s="1050"/>
    </row>
    <row r="8073" spans="1:7">
      <c r="A8073" s="1079"/>
      <c r="B8073" s="1050"/>
      <c r="C8073" s="1050"/>
      <c r="D8073" s="1050"/>
      <c r="E8073" s="1050"/>
      <c r="F8073" s="1050"/>
      <c r="G8073" s="1050"/>
    </row>
    <row r="8074" spans="1:7">
      <c r="A8074" s="1079"/>
      <c r="B8074" s="1050"/>
      <c r="C8074" s="1050"/>
      <c r="D8074" s="1050"/>
      <c r="E8074" s="1050"/>
      <c r="F8074" s="1050"/>
      <c r="G8074" s="1050"/>
    </row>
    <row r="8075" spans="1:7">
      <c r="A8075" s="1079"/>
      <c r="B8075" s="1050"/>
      <c r="C8075" s="1050"/>
      <c r="D8075" s="1050"/>
      <c r="E8075" s="1050"/>
      <c r="F8075" s="1050"/>
      <c r="G8075" s="1050"/>
    </row>
    <row r="8076" spans="1:7">
      <c r="A8076" s="1079"/>
      <c r="B8076" s="1050"/>
      <c r="C8076" s="1050"/>
      <c r="D8076" s="1050"/>
      <c r="E8076" s="1050"/>
      <c r="F8076" s="1050"/>
      <c r="G8076" s="1050"/>
    </row>
    <row r="8077" spans="1:7">
      <c r="A8077" s="1079"/>
      <c r="B8077" s="1050"/>
      <c r="C8077" s="1050"/>
      <c r="D8077" s="1050"/>
      <c r="E8077" s="1050"/>
      <c r="F8077" s="1050"/>
      <c r="G8077" s="1050"/>
    </row>
    <row r="8078" spans="1:7">
      <c r="A8078" s="1079"/>
      <c r="B8078" s="1050"/>
      <c r="C8078" s="1050"/>
      <c r="D8078" s="1050"/>
      <c r="E8078" s="1050"/>
      <c r="F8078" s="1050"/>
      <c r="G8078" s="1050"/>
    </row>
    <row r="8079" spans="1:7">
      <c r="A8079" s="1079"/>
      <c r="B8079" s="1050"/>
      <c r="C8079" s="1050"/>
      <c r="D8079" s="1050"/>
      <c r="E8079" s="1050"/>
      <c r="F8079" s="1050"/>
      <c r="G8079" s="1050"/>
    </row>
    <row r="8080" spans="1:7">
      <c r="A8080" s="1079"/>
      <c r="B8080" s="1050"/>
      <c r="C8080" s="1050"/>
      <c r="D8080" s="1050"/>
      <c r="E8080" s="1050"/>
      <c r="F8080" s="1050"/>
      <c r="G8080" s="1050"/>
    </row>
    <row r="8081" spans="1:7">
      <c r="A8081" s="1079"/>
      <c r="B8081" s="1050"/>
      <c r="C8081" s="1050"/>
      <c r="D8081" s="1050"/>
      <c r="E8081" s="1050"/>
      <c r="F8081" s="1050"/>
      <c r="G8081" s="1050"/>
    </row>
    <row r="8082" spans="1:7">
      <c r="A8082" s="1079"/>
      <c r="B8082" s="1050"/>
      <c r="C8082" s="1050"/>
      <c r="D8082" s="1050"/>
      <c r="E8082" s="1050"/>
      <c r="F8082" s="1050"/>
      <c r="G8082" s="1050"/>
    </row>
    <row r="8083" spans="1:7">
      <c r="A8083" s="1079"/>
      <c r="B8083" s="1050"/>
      <c r="C8083" s="1050"/>
      <c r="D8083" s="1050"/>
      <c r="E8083" s="1050"/>
      <c r="F8083" s="1050"/>
      <c r="G8083" s="1050"/>
    </row>
    <row r="8084" spans="1:7">
      <c r="A8084" s="1079"/>
      <c r="B8084" s="1050"/>
      <c r="C8084" s="1050"/>
      <c r="D8084" s="1050"/>
      <c r="E8084" s="1050"/>
      <c r="F8084" s="1050"/>
      <c r="G8084" s="1050"/>
    </row>
    <row r="8085" spans="1:7">
      <c r="A8085" s="1079"/>
      <c r="B8085" s="1050"/>
      <c r="C8085" s="1050"/>
      <c r="D8085" s="1050"/>
      <c r="E8085" s="1050"/>
      <c r="F8085" s="1050"/>
      <c r="G8085" s="1050"/>
    </row>
    <row r="8086" spans="1:7">
      <c r="A8086" s="1079"/>
      <c r="B8086" s="1050"/>
      <c r="C8086" s="1050"/>
      <c r="D8086" s="1050"/>
      <c r="E8086" s="1050"/>
      <c r="F8086" s="1050"/>
      <c r="G8086" s="1050"/>
    </row>
    <row r="8087" spans="1:7">
      <c r="A8087" s="1079"/>
      <c r="B8087" s="1050"/>
      <c r="C8087" s="1050"/>
      <c r="D8087" s="1050"/>
      <c r="E8087" s="1050"/>
      <c r="F8087" s="1050"/>
      <c r="G8087" s="1050"/>
    </row>
    <row r="8088" spans="1:7">
      <c r="A8088" s="1079"/>
      <c r="B8088" s="1050"/>
      <c r="C8088" s="1050"/>
      <c r="D8088" s="1050"/>
      <c r="E8088" s="1050"/>
      <c r="F8088" s="1050"/>
      <c r="G8088" s="1050"/>
    </row>
    <row r="8089" spans="1:7">
      <c r="A8089" s="1079"/>
      <c r="B8089" s="1050"/>
      <c r="C8089" s="1050"/>
      <c r="D8089" s="1050"/>
      <c r="E8089" s="1050"/>
      <c r="F8089" s="1050"/>
      <c r="G8089" s="1050"/>
    </row>
    <row r="8090" spans="1:7">
      <c r="A8090" s="1079"/>
      <c r="B8090" s="1050"/>
      <c r="C8090" s="1050"/>
      <c r="D8090" s="1050"/>
      <c r="E8090" s="1050"/>
      <c r="F8090" s="1050"/>
      <c r="G8090" s="1050"/>
    </row>
    <row r="8091" spans="1:7">
      <c r="A8091" s="1079"/>
      <c r="B8091" s="1050"/>
      <c r="C8091" s="1050"/>
      <c r="D8091" s="1050"/>
      <c r="E8091" s="1050"/>
      <c r="F8091" s="1050"/>
      <c r="G8091" s="1050"/>
    </row>
    <row r="8092" spans="1:7">
      <c r="A8092" s="1079"/>
      <c r="B8092" s="1050"/>
      <c r="C8092" s="1050"/>
      <c r="D8092" s="1050"/>
      <c r="E8092" s="1050"/>
      <c r="F8092" s="1050"/>
      <c r="G8092" s="1050"/>
    </row>
    <row r="8093" spans="1:7">
      <c r="A8093" s="1079"/>
      <c r="B8093" s="1050"/>
      <c r="C8093" s="1050"/>
      <c r="D8093" s="1050"/>
      <c r="E8093" s="1050"/>
      <c r="F8093" s="1050"/>
      <c r="G8093" s="1050"/>
    </row>
    <row r="8094" spans="1:7">
      <c r="A8094" s="1079"/>
      <c r="B8094" s="1050"/>
      <c r="C8094" s="1050"/>
      <c r="D8094" s="1050"/>
      <c r="E8094" s="1050"/>
      <c r="F8094" s="1050"/>
      <c r="G8094" s="1050"/>
    </row>
    <row r="8095" spans="1:7">
      <c r="A8095" s="1079"/>
      <c r="B8095" s="1050"/>
      <c r="C8095" s="1050"/>
      <c r="D8095" s="1050"/>
      <c r="E8095" s="1050"/>
      <c r="F8095" s="1050"/>
      <c r="G8095" s="1050"/>
    </row>
    <row r="8096" spans="1:7">
      <c r="A8096" s="1079"/>
      <c r="B8096" s="1050"/>
      <c r="C8096" s="1050"/>
      <c r="D8096" s="1050"/>
      <c r="E8096" s="1050"/>
      <c r="F8096" s="1050"/>
      <c r="G8096" s="1050"/>
    </row>
    <row r="8097" spans="1:7">
      <c r="A8097" s="1079"/>
      <c r="B8097" s="1050"/>
      <c r="C8097" s="1050"/>
      <c r="D8097" s="1050"/>
      <c r="E8097" s="1050"/>
      <c r="F8097" s="1050"/>
      <c r="G8097" s="1050"/>
    </row>
    <row r="8098" spans="1:7">
      <c r="A8098" s="1079"/>
      <c r="B8098" s="1050"/>
      <c r="C8098" s="1050"/>
      <c r="D8098" s="1050"/>
      <c r="E8098" s="1050"/>
      <c r="F8098" s="1050"/>
      <c r="G8098" s="1050"/>
    </row>
    <row r="8099" spans="1:7">
      <c r="A8099" s="1079"/>
      <c r="B8099" s="1050"/>
      <c r="C8099" s="1050"/>
      <c r="D8099" s="1050"/>
      <c r="E8099" s="1050"/>
      <c r="F8099" s="1050"/>
      <c r="G8099" s="1050"/>
    </row>
    <row r="8100" spans="1:7">
      <c r="A8100" s="1079"/>
      <c r="B8100" s="1050"/>
      <c r="C8100" s="1050"/>
      <c r="D8100" s="1050"/>
      <c r="E8100" s="1050"/>
      <c r="F8100" s="1050"/>
      <c r="G8100" s="1050"/>
    </row>
    <row r="8101" spans="1:7">
      <c r="A8101" s="1079"/>
      <c r="B8101" s="1050"/>
      <c r="C8101" s="1050"/>
      <c r="D8101" s="1050"/>
      <c r="E8101" s="1050"/>
      <c r="F8101" s="1050"/>
      <c r="G8101" s="1050"/>
    </row>
    <row r="8102" spans="1:7">
      <c r="A8102" s="1079"/>
      <c r="B8102" s="1050"/>
      <c r="C8102" s="1050"/>
      <c r="D8102" s="1050"/>
      <c r="E8102" s="1050"/>
      <c r="F8102" s="1050"/>
      <c r="G8102" s="1050"/>
    </row>
    <row r="8103" spans="1:7">
      <c r="A8103" s="1079"/>
      <c r="B8103" s="1050"/>
      <c r="C8103" s="1050"/>
      <c r="D8103" s="1050"/>
      <c r="E8103" s="1050"/>
      <c r="F8103" s="1050"/>
      <c r="G8103" s="1050"/>
    </row>
    <row r="8104" spans="1:7">
      <c r="A8104" s="1079"/>
      <c r="B8104" s="1050"/>
      <c r="C8104" s="1050"/>
      <c r="D8104" s="1050"/>
      <c r="E8104" s="1050"/>
      <c r="F8104" s="1050"/>
      <c r="G8104" s="1050"/>
    </row>
    <row r="8105" spans="1:7">
      <c r="A8105" s="1079"/>
      <c r="B8105" s="1050"/>
      <c r="C8105" s="1050"/>
      <c r="D8105" s="1050"/>
      <c r="E8105" s="1050"/>
      <c r="F8105" s="1050"/>
      <c r="G8105" s="1050"/>
    </row>
    <row r="8106" spans="1:7">
      <c r="A8106" s="1079"/>
      <c r="B8106" s="1050"/>
      <c r="C8106" s="1050"/>
      <c r="D8106" s="1050"/>
      <c r="E8106" s="1050"/>
      <c r="F8106" s="1050"/>
      <c r="G8106" s="1050"/>
    </row>
    <row r="8107" spans="1:7">
      <c r="A8107" s="1079"/>
      <c r="B8107" s="1050"/>
      <c r="C8107" s="1050"/>
      <c r="D8107" s="1050"/>
      <c r="E8107" s="1050"/>
      <c r="F8107" s="1050"/>
      <c r="G8107" s="1050"/>
    </row>
    <row r="8108" spans="1:7">
      <c r="A8108" s="1079"/>
      <c r="B8108" s="1050"/>
      <c r="C8108" s="1050"/>
      <c r="D8108" s="1050"/>
      <c r="E8108" s="1050"/>
      <c r="F8108" s="1050"/>
      <c r="G8108" s="1050"/>
    </row>
    <row r="8109" spans="1:7">
      <c r="A8109" s="1079"/>
      <c r="B8109" s="1050"/>
      <c r="C8109" s="1050"/>
      <c r="D8109" s="1050"/>
      <c r="E8109" s="1050"/>
      <c r="F8109" s="1050"/>
      <c r="G8109" s="1050"/>
    </row>
    <row r="8110" spans="1:7">
      <c r="A8110" s="1079"/>
      <c r="B8110" s="1050"/>
      <c r="C8110" s="1050"/>
      <c r="D8110" s="1050"/>
      <c r="E8110" s="1050"/>
      <c r="F8110" s="1050"/>
      <c r="G8110" s="1050"/>
    </row>
    <row r="8111" spans="1:7">
      <c r="A8111" s="1079"/>
      <c r="B8111" s="1050"/>
      <c r="C8111" s="1050"/>
      <c r="D8111" s="1050"/>
      <c r="E8111" s="1050"/>
      <c r="F8111" s="1050"/>
      <c r="G8111" s="1050"/>
    </row>
    <row r="8112" spans="1:7">
      <c r="A8112" s="1079"/>
      <c r="B8112" s="1050"/>
      <c r="C8112" s="1050"/>
      <c r="D8112" s="1050"/>
      <c r="E8112" s="1050"/>
      <c r="F8112" s="1050"/>
      <c r="G8112" s="1050"/>
    </row>
    <row r="8113" spans="1:7">
      <c r="A8113" s="1079"/>
      <c r="B8113" s="1050"/>
      <c r="C8113" s="1050"/>
      <c r="D8113" s="1050"/>
      <c r="E8113" s="1050"/>
      <c r="F8113" s="1050"/>
      <c r="G8113" s="1050"/>
    </row>
    <row r="8114" spans="1:7">
      <c r="A8114" s="1079"/>
      <c r="B8114" s="1050"/>
      <c r="C8114" s="1050"/>
      <c r="D8114" s="1050"/>
      <c r="E8114" s="1050"/>
      <c r="F8114" s="1050"/>
      <c r="G8114" s="1050"/>
    </row>
    <row r="8115" spans="1:7">
      <c r="A8115" s="1079"/>
      <c r="B8115" s="1050"/>
      <c r="C8115" s="1050"/>
      <c r="D8115" s="1050"/>
      <c r="E8115" s="1050"/>
      <c r="F8115" s="1050"/>
      <c r="G8115" s="1050"/>
    </row>
    <row r="8116" spans="1:7">
      <c r="A8116" s="1079"/>
      <c r="B8116" s="1050"/>
      <c r="C8116" s="1050"/>
      <c r="D8116" s="1050"/>
      <c r="E8116" s="1050"/>
      <c r="F8116" s="1050"/>
      <c r="G8116" s="1050"/>
    </row>
    <row r="8117" spans="1:7">
      <c r="A8117" s="1079"/>
      <c r="B8117" s="1050"/>
      <c r="C8117" s="1050"/>
      <c r="D8117" s="1050"/>
      <c r="E8117" s="1050"/>
      <c r="F8117" s="1050"/>
      <c r="G8117" s="1050"/>
    </row>
    <row r="8118" spans="1:7">
      <c r="A8118" s="1079"/>
      <c r="B8118" s="1050"/>
      <c r="C8118" s="1050"/>
      <c r="D8118" s="1050"/>
      <c r="E8118" s="1050"/>
      <c r="F8118" s="1050"/>
      <c r="G8118" s="1050"/>
    </row>
    <row r="8119" spans="1:7">
      <c r="A8119" s="1079"/>
      <c r="B8119" s="1050"/>
      <c r="C8119" s="1050"/>
      <c r="D8119" s="1050"/>
      <c r="E8119" s="1050"/>
      <c r="F8119" s="1050"/>
      <c r="G8119" s="1050"/>
    </row>
    <row r="8120" spans="1:7">
      <c r="A8120" s="1079"/>
      <c r="B8120" s="1050"/>
      <c r="C8120" s="1050"/>
      <c r="D8120" s="1050"/>
      <c r="E8120" s="1050"/>
      <c r="F8120" s="1050"/>
      <c r="G8120" s="1050"/>
    </row>
    <row r="8121" spans="1:7">
      <c r="A8121" s="1079"/>
      <c r="B8121" s="1050"/>
      <c r="C8121" s="1050"/>
      <c r="D8121" s="1050"/>
      <c r="E8121" s="1050"/>
      <c r="F8121" s="1050"/>
      <c r="G8121" s="1050"/>
    </row>
    <row r="8122" spans="1:7">
      <c r="A8122" s="1079"/>
      <c r="B8122" s="1050"/>
      <c r="C8122" s="1050"/>
      <c r="D8122" s="1050"/>
      <c r="E8122" s="1050"/>
      <c r="F8122" s="1050"/>
      <c r="G8122" s="1050"/>
    </row>
    <row r="8123" spans="1:7">
      <c r="A8123" s="1079"/>
      <c r="B8123" s="1050"/>
      <c r="C8123" s="1050"/>
      <c r="D8123" s="1050"/>
      <c r="E8123" s="1050"/>
      <c r="F8123" s="1050"/>
      <c r="G8123" s="1050"/>
    </row>
    <row r="8124" spans="1:7">
      <c r="A8124" s="1079"/>
      <c r="B8124" s="1050"/>
      <c r="C8124" s="1050"/>
      <c r="D8124" s="1050"/>
      <c r="E8124" s="1050"/>
      <c r="F8124" s="1050"/>
      <c r="G8124" s="1050"/>
    </row>
    <row r="8125" spans="1:7">
      <c r="A8125" s="1079"/>
      <c r="B8125" s="1050"/>
      <c r="C8125" s="1050"/>
      <c r="D8125" s="1050"/>
      <c r="E8125" s="1050"/>
      <c r="F8125" s="1050"/>
      <c r="G8125" s="1050"/>
    </row>
    <row r="8126" spans="1:7">
      <c r="A8126" s="1079"/>
      <c r="B8126" s="1050"/>
      <c r="C8126" s="1050"/>
      <c r="D8126" s="1050"/>
      <c r="E8126" s="1050"/>
      <c r="F8126" s="1050"/>
      <c r="G8126" s="1050"/>
    </row>
    <row r="8127" spans="1:7">
      <c r="A8127" s="1079"/>
      <c r="B8127" s="1050"/>
      <c r="C8127" s="1050"/>
      <c r="D8127" s="1050"/>
      <c r="E8127" s="1050"/>
      <c r="F8127" s="1050"/>
      <c r="G8127" s="1050"/>
    </row>
    <row r="8128" spans="1:7">
      <c r="A8128" s="1079"/>
      <c r="B8128" s="1050"/>
      <c r="C8128" s="1050"/>
      <c r="D8128" s="1050"/>
      <c r="E8128" s="1050"/>
      <c r="F8128" s="1050"/>
      <c r="G8128" s="1050"/>
    </row>
    <row r="8129" spans="1:7">
      <c r="A8129" s="1079"/>
      <c r="B8129" s="1050"/>
      <c r="C8129" s="1050"/>
      <c r="D8129" s="1050"/>
      <c r="E8129" s="1050"/>
      <c r="F8129" s="1050"/>
      <c r="G8129" s="1050"/>
    </row>
    <row r="8130" spans="1:7">
      <c r="A8130" s="1079"/>
      <c r="B8130" s="1050"/>
      <c r="C8130" s="1050"/>
      <c r="D8130" s="1050"/>
      <c r="E8130" s="1050"/>
      <c r="F8130" s="1050"/>
      <c r="G8130" s="1050"/>
    </row>
    <row r="8131" spans="1:7">
      <c r="A8131" s="1079"/>
      <c r="B8131" s="1050"/>
      <c r="C8131" s="1050"/>
      <c r="D8131" s="1050"/>
      <c r="E8131" s="1050"/>
      <c r="F8131" s="1050"/>
      <c r="G8131" s="1050"/>
    </row>
    <row r="8132" spans="1:7">
      <c r="A8132" s="1079"/>
      <c r="B8132" s="1050"/>
      <c r="C8132" s="1050"/>
      <c r="D8132" s="1050"/>
      <c r="E8132" s="1050"/>
      <c r="F8132" s="1050"/>
      <c r="G8132" s="1050"/>
    </row>
    <row r="8133" spans="1:7">
      <c r="A8133" s="1079"/>
      <c r="B8133" s="1050"/>
      <c r="C8133" s="1050"/>
      <c r="D8133" s="1050"/>
      <c r="E8133" s="1050"/>
      <c r="F8133" s="1050"/>
      <c r="G8133" s="1050"/>
    </row>
    <row r="8134" spans="1:7">
      <c r="A8134" s="1079"/>
      <c r="B8134" s="1050"/>
      <c r="C8134" s="1050"/>
      <c r="D8134" s="1050"/>
      <c r="E8134" s="1050"/>
      <c r="F8134" s="1050"/>
      <c r="G8134" s="1050"/>
    </row>
    <row r="8135" spans="1:7">
      <c r="A8135" s="1079"/>
      <c r="B8135" s="1050"/>
      <c r="C8135" s="1050"/>
      <c r="D8135" s="1050"/>
      <c r="E8135" s="1050"/>
      <c r="F8135" s="1050"/>
      <c r="G8135" s="1050"/>
    </row>
    <row r="8136" spans="1:7">
      <c r="A8136" s="1079"/>
      <c r="B8136" s="1050"/>
      <c r="C8136" s="1050"/>
      <c r="D8136" s="1050"/>
      <c r="E8136" s="1050"/>
      <c r="F8136" s="1050"/>
      <c r="G8136" s="1050"/>
    </row>
    <row r="8137" spans="1:7">
      <c r="A8137" s="1079"/>
      <c r="B8137" s="1050"/>
      <c r="C8137" s="1050"/>
      <c r="D8137" s="1050"/>
      <c r="E8137" s="1050"/>
      <c r="F8137" s="1050"/>
      <c r="G8137" s="1050"/>
    </row>
    <row r="8138" spans="1:7">
      <c r="A8138" s="1079"/>
      <c r="B8138" s="1050"/>
      <c r="C8138" s="1050"/>
      <c r="D8138" s="1050"/>
      <c r="E8138" s="1050"/>
      <c r="F8138" s="1050"/>
      <c r="G8138" s="1050"/>
    </row>
    <row r="8139" spans="1:7">
      <c r="A8139" s="1079"/>
      <c r="B8139" s="1050"/>
      <c r="C8139" s="1050"/>
      <c r="D8139" s="1050"/>
      <c r="E8139" s="1050"/>
      <c r="F8139" s="1050"/>
      <c r="G8139" s="1050"/>
    </row>
    <row r="8140" spans="1:7">
      <c r="A8140" s="1079"/>
      <c r="B8140" s="1050"/>
      <c r="C8140" s="1050"/>
      <c r="D8140" s="1050"/>
      <c r="E8140" s="1050"/>
      <c r="F8140" s="1050"/>
      <c r="G8140" s="1050"/>
    </row>
    <row r="8141" spans="1:7">
      <c r="A8141" s="1079"/>
      <c r="B8141" s="1050"/>
      <c r="C8141" s="1050"/>
      <c r="D8141" s="1050"/>
      <c r="E8141" s="1050"/>
      <c r="F8141" s="1050"/>
      <c r="G8141" s="1050"/>
    </row>
    <row r="8142" spans="1:7">
      <c r="A8142" s="1079"/>
      <c r="B8142" s="1050"/>
      <c r="C8142" s="1050"/>
      <c r="D8142" s="1050"/>
      <c r="E8142" s="1050"/>
      <c r="F8142" s="1050"/>
      <c r="G8142" s="1050"/>
    </row>
    <row r="8143" spans="1:7">
      <c r="A8143" s="1079"/>
      <c r="B8143" s="1050"/>
      <c r="C8143" s="1050"/>
      <c r="D8143" s="1050"/>
      <c r="E8143" s="1050"/>
      <c r="F8143" s="1050"/>
      <c r="G8143" s="1050"/>
    </row>
    <row r="8144" spans="1:7">
      <c r="A8144" s="1079"/>
      <c r="B8144" s="1050"/>
      <c r="C8144" s="1050"/>
      <c r="D8144" s="1050"/>
      <c r="E8144" s="1050"/>
      <c r="F8144" s="1050"/>
      <c r="G8144" s="1050"/>
    </row>
    <row r="8145" spans="1:7">
      <c r="A8145" s="1079"/>
      <c r="B8145" s="1050"/>
      <c r="C8145" s="1050"/>
      <c r="D8145" s="1050"/>
      <c r="E8145" s="1050"/>
      <c r="F8145" s="1050"/>
      <c r="G8145" s="1050"/>
    </row>
    <row r="8146" spans="1:7">
      <c r="A8146" s="1079"/>
      <c r="B8146" s="1050"/>
      <c r="C8146" s="1050"/>
      <c r="D8146" s="1050"/>
      <c r="E8146" s="1050"/>
      <c r="F8146" s="1050"/>
      <c r="G8146" s="1050"/>
    </row>
    <row r="8147" spans="1:7">
      <c r="A8147" s="1079"/>
      <c r="B8147" s="1050"/>
      <c r="C8147" s="1050"/>
      <c r="D8147" s="1050"/>
      <c r="E8147" s="1050"/>
      <c r="F8147" s="1050"/>
      <c r="G8147" s="1050"/>
    </row>
    <row r="8148" spans="1:7">
      <c r="A8148" s="1079"/>
      <c r="B8148" s="1050"/>
      <c r="C8148" s="1050"/>
      <c r="D8148" s="1050"/>
      <c r="E8148" s="1050"/>
      <c r="F8148" s="1050"/>
      <c r="G8148" s="1050"/>
    </row>
    <row r="8149" spans="1:7">
      <c r="A8149" s="1079"/>
      <c r="B8149" s="1050"/>
      <c r="C8149" s="1050"/>
      <c r="D8149" s="1050"/>
      <c r="E8149" s="1050"/>
      <c r="F8149" s="1050"/>
      <c r="G8149" s="1050"/>
    </row>
    <row r="8150" spans="1:7">
      <c r="A8150" s="1079"/>
      <c r="B8150" s="1050"/>
      <c r="C8150" s="1050"/>
      <c r="D8150" s="1050"/>
      <c r="E8150" s="1050"/>
      <c r="F8150" s="1050"/>
      <c r="G8150" s="1050"/>
    </row>
    <row r="8151" spans="1:7">
      <c r="A8151" s="1079"/>
      <c r="B8151" s="1050"/>
      <c r="C8151" s="1050"/>
      <c r="D8151" s="1050"/>
      <c r="E8151" s="1050"/>
      <c r="F8151" s="1050"/>
      <c r="G8151" s="1050"/>
    </row>
    <row r="8152" spans="1:7">
      <c r="A8152" s="1079"/>
      <c r="B8152" s="1050"/>
      <c r="C8152" s="1050"/>
      <c r="D8152" s="1050"/>
      <c r="E8152" s="1050"/>
      <c r="F8152" s="1050"/>
      <c r="G8152" s="1050"/>
    </row>
    <row r="8153" spans="1:7">
      <c r="A8153" s="1079"/>
      <c r="B8153" s="1050"/>
      <c r="C8153" s="1050"/>
      <c r="D8153" s="1050"/>
      <c r="E8153" s="1050"/>
      <c r="F8153" s="1050"/>
      <c r="G8153" s="1050"/>
    </row>
    <row r="8154" spans="1:7">
      <c r="A8154" s="1079"/>
      <c r="B8154" s="1050"/>
      <c r="C8154" s="1050"/>
      <c r="D8154" s="1050"/>
      <c r="E8154" s="1050"/>
      <c r="F8154" s="1050"/>
      <c r="G8154" s="1050"/>
    </row>
    <row r="8155" spans="1:7">
      <c r="A8155" s="1079"/>
      <c r="B8155" s="1050"/>
      <c r="C8155" s="1050"/>
      <c r="D8155" s="1050"/>
      <c r="E8155" s="1050"/>
      <c r="F8155" s="1050"/>
      <c r="G8155" s="1050"/>
    </row>
    <row r="8156" spans="1:7">
      <c r="A8156" s="1079"/>
      <c r="B8156" s="1050"/>
      <c r="C8156" s="1050"/>
      <c r="D8156" s="1050"/>
      <c r="E8156" s="1050"/>
      <c r="F8156" s="1050"/>
      <c r="G8156" s="1050"/>
    </row>
    <row r="8157" spans="1:7">
      <c r="A8157" s="1079"/>
      <c r="B8157" s="1050"/>
      <c r="C8157" s="1050"/>
      <c r="D8157" s="1050"/>
      <c r="E8157" s="1050"/>
      <c r="F8157" s="1050"/>
      <c r="G8157" s="1050"/>
    </row>
    <row r="8158" spans="1:7">
      <c r="A8158" s="1079"/>
      <c r="B8158" s="1050"/>
      <c r="C8158" s="1050"/>
      <c r="D8158" s="1050"/>
      <c r="E8158" s="1050"/>
      <c r="F8158" s="1050"/>
      <c r="G8158" s="1050"/>
    </row>
    <row r="8159" spans="1:7">
      <c r="A8159" s="1079"/>
      <c r="B8159" s="1050"/>
      <c r="C8159" s="1050"/>
      <c r="D8159" s="1050"/>
      <c r="E8159" s="1050"/>
      <c r="F8159" s="1050"/>
      <c r="G8159" s="1050"/>
    </row>
    <row r="8160" spans="1:7">
      <c r="A8160" s="1079"/>
      <c r="B8160" s="1050"/>
      <c r="C8160" s="1050"/>
      <c r="D8160" s="1050"/>
      <c r="E8160" s="1050"/>
      <c r="F8160" s="1050"/>
      <c r="G8160" s="1050"/>
    </row>
    <row r="8161" spans="1:7">
      <c r="A8161" s="1079"/>
      <c r="B8161" s="1050"/>
      <c r="C8161" s="1050"/>
      <c r="D8161" s="1050"/>
      <c r="E8161" s="1050"/>
      <c r="F8161" s="1050"/>
      <c r="G8161" s="1050"/>
    </row>
    <row r="8162" spans="1:7">
      <c r="A8162" s="1079"/>
      <c r="B8162" s="1050"/>
      <c r="C8162" s="1050"/>
      <c r="D8162" s="1050"/>
      <c r="E8162" s="1050"/>
      <c r="F8162" s="1050"/>
      <c r="G8162" s="1050"/>
    </row>
    <row r="8163" spans="1:7">
      <c r="A8163" s="1079"/>
      <c r="B8163" s="1050"/>
      <c r="C8163" s="1050"/>
      <c r="D8163" s="1050"/>
      <c r="E8163" s="1050"/>
      <c r="F8163" s="1050"/>
      <c r="G8163" s="1050"/>
    </row>
    <row r="8164" spans="1:7">
      <c r="A8164" s="1079"/>
      <c r="B8164" s="1050"/>
      <c r="C8164" s="1050"/>
      <c r="D8164" s="1050"/>
      <c r="E8164" s="1050"/>
      <c r="F8164" s="1050"/>
      <c r="G8164" s="1050"/>
    </row>
    <row r="8165" spans="1:7">
      <c r="A8165" s="1079"/>
      <c r="B8165" s="1050"/>
      <c r="C8165" s="1050"/>
      <c r="D8165" s="1050"/>
      <c r="E8165" s="1050"/>
      <c r="F8165" s="1050"/>
      <c r="G8165" s="1050"/>
    </row>
    <row r="8166" spans="1:7">
      <c r="A8166" s="1079"/>
      <c r="B8166" s="1050"/>
      <c r="C8166" s="1050"/>
      <c r="D8166" s="1050"/>
      <c r="E8166" s="1050"/>
      <c r="F8166" s="1050"/>
      <c r="G8166" s="1050"/>
    </row>
    <row r="8167" spans="1:7">
      <c r="A8167" s="1079"/>
      <c r="B8167" s="1050"/>
      <c r="C8167" s="1050"/>
      <c r="D8167" s="1050"/>
      <c r="E8167" s="1050"/>
      <c r="F8167" s="1050"/>
      <c r="G8167" s="1050"/>
    </row>
    <row r="8168" spans="1:7">
      <c r="A8168" s="1079"/>
      <c r="B8168" s="1050"/>
      <c r="C8168" s="1050"/>
      <c r="D8168" s="1050"/>
      <c r="E8168" s="1050"/>
      <c r="F8168" s="1050"/>
      <c r="G8168" s="1050"/>
    </row>
    <row r="8169" spans="1:7">
      <c r="A8169" s="1079"/>
      <c r="B8169" s="1050"/>
      <c r="C8169" s="1050"/>
      <c r="D8169" s="1050"/>
      <c r="E8169" s="1050"/>
      <c r="F8169" s="1050"/>
      <c r="G8169" s="1050"/>
    </row>
    <row r="8170" spans="1:7">
      <c r="A8170" s="1079"/>
      <c r="B8170" s="1050"/>
      <c r="C8170" s="1050"/>
      <c r="D8170" s="1050"/>
      <c r="E8170" s="1050"/>
      <c r="F8170" s="1050"/>
      <c r="G8170" s="1050"/>
    </row>
    <row r="8171" spans="1:7">
      <c r="A8171" s="1079"/>
      <c r="B8171" s="1050"/>
      <c r="C8171" s="1050"/>
      <c r="D8171" s="1050"/>
      <c r="E8171" s="1050"/>
      <c r="F8171" s="1050"/>
      <c r="G8171" s="1050"/>
    </row>
    <row r="8172" spans="1:7">
      <c r="A8172" s="1079"/>
      <c r="B8172" s="1050"/>
      <c r="C8172" s="1050"/>
      <c r="D8172" s="1050"/>
      <c r="E8172" s="1050"/>
      <c r="F8172" s="1050"/>
      <c r="G8172" s="1050"/>
    </row>
    <row r="8173" spans="1:7">
      <c r="A8173" s="1079"/>
      <c r="B8173" s="1050"/>
      <c r="C8173" s="1050"/>
      <c r="D8173" s="1050"/>
      <c r="E8173" s="1050"/>
      <c r="F8173" s="1050"/>
      <c r="G8173" s="1050"/>
    </row>
    <row r="8174" spans="1:7">
      <c r="A8174" s="1079"/>
      <c r="B8174" s="1050"/>
      <c r="C8174" s="1050"/>
      <c r="D8174" s="1050"/>
      <c r="E8174" s="1050"/>
      <c r="F8174" s="1050"/>
      <c r="G8174" s="1050"/>
    </row>
    <row r="8175" spans="1:7">
      <c r="A8175" s="1079"/>
      <c r="B8175" s="1050"/>
      <c r="C8175" s="1050"/>
      <c r="D8175" s="1050"/>
      <c r="E8175" s="1050"/>
      <c r="F8175" s="1050"/>
      <c r="G8175" s="1050"/>
    </row>
    <row r="8176" spans="1:7">
      <c r="A8176" s="1079"/>
      <c r="B8176" s="1050"/>
      <c r="C8176" s="1050"/>
      <c r="D8176" s="1050"/>
      <c r="E8176" s="1050"/>
      <c r="F8176" s="1050"/>
      <c r="G8176" s="1050"/>
    </row>
    <row r="8177" spans="1:7">
      <c r="A8177" s="1079"/>
      <c r="B8177" s="1050"/>
      <c r="C8177" s="1050"/>
      <c r="D8177" s="1050"/>
      <c r="E8177" s="1050"/>
      <c r="F8177" s="1050"/>
      <c r="G8177" s="1050"/>
    </row>
    <row r="8178" spans="1:7">
      <c r="A8178" s="1079"/>
      <c r="B8178" s="1050"/>
      <c r="C8178" s="1050"/>
      <c r="D8178" s="1050"/>
      <c r="E8178" s="1050"/>
      <c r="F8178" s="1050"/>
      <c r="G8178" s="1050"/>
    </row>
    <row r="8179" spans="1:7">
      <c r="A8179" s="1079"/>
      <c r="B8179" s="1050"/>
      <c r="C8179" s="1050"/>
      <c r="D8179" s="1050"/>
      <c r="E8179" s="1050"/>
      <c r="F8179" s="1050"/>
      <c r="G8179" s="1050"/>
    </row>
    <row r="8180" spans="1:7">
      <c r="A8180" s="1079"/>
      <c r="B8180" s="1050"/>
      <c r="C8180" s="1050"/>
      <c r="D8180" s="1050"/>
      <c r="E8180" s="1050"/>
      <c r="F8180" s="1050"/>
      <c r="G8180" s="1050"/>
    </row>
    <row r="8181" spans="1:7">
      <c r="A8181" s="1079"/>
      <c r="B8181" s="1050"/>
      <c r="C8181" s="1050"/>
      <c r="D8181" s="1050"/>
      <c r="E8181" s="1050"/>
      <c r="F8181" s="1050"/>
      <c r="G8181" s="1050"/>
    </row>
    <row r="8182" spans="1:7">
      <c r="A8182" s="1079"/>
      <c r="B8182" s="1050"/>
      <c r="C8182" s="1050"/>
      <c r="D8182" s="1050"/>
      <c r="E8182" s="1050"/>
      <c r="F8182" s="1050"/>
      <c r="G8182" s="1050"/>
    </row>
    <row r="8183" spans="1:7">
      <c r="A8183" s="1079"/>
      <c r="B8183" s="1050"/>
      <c r="C8183" s="1050"/>
      <c r="D8183" s="1050"/>
      <c r="E8183" s="1050"/>
      <c r="F8183" s="1050"/>
      <c r="G8183" s="1050"/>
    </row>
    <row r="8184" spans="1:7">
      <c r="A8184" s="1079"/>
      <c r="B8184" s="1050"/>
      <c r="C8184" s="1050"/>
      <c r="D8184" s="1050"/>
      <c r="E8184" s="1050"/>
      <c r="F8184" s="1050"/>
      <c r="G8184" s="1050"/>
    </row>
    <row r="8185" spans="1:7">
      <c r="A8185" s="1079"/>
      <c r="B8185" s="1050"/>
      <c r="C8185" s="1050"/>
      <c r="D8185" s="1050"/>
      <c r="E8185" s="1050"/>
      <c r="F8185" s="1050"/>
      <c r="G8185" s="1050"/>
    </row>
    <row r="8186" spans="1:7">
      <c r="A8186" s="1079"/>
      <c r="B8186" s="1050"/>
      <c r="C8186" s="1050"/>
      <c r="D8186" s="1050"/>
      <c r="E8186" s="1050"/>
      <c r="F8186" s="1050"/>
      <c r="G8186" s="1050"/>
    </row>
    <row r="8187" spans="1:7">
      <c r="A8187" s="1079"/>
      <c r="B8187" s="1050"/>
      <c r="C8187" s="1050"/>
      <c r="D8187" s="1050"/>
      <c r="E8187" s="1050"/>
      <c r="F8187" s="1050"/>
      <c r="G8187" s="1050"/>
    </row>
    <row r="8188" spans="1:7">
      <c r="A8188" s="1079"/>
      <c r="B8188" s="1050"/>
      <c r="C8188" s="1050"/>
      <c r="D8188" s="1050"/>
      <c r="E8188" s="1050"/>
      <c r="F8188" s="1050"/>
      <c r="G8188" s="1050"/>
    </row>
    <row r="8189" spans="1:7">
      <c r="A8189" s="1079"/>
      <c r="B8189" s="1050"/>
      <c r="C8189" s="1050"/>
      <c r="D8189" s="1050"/>
      <c r="E8189" s="1050"/>
      <c r="F8189" s="1050"/>
      <c r="G8189" s="1050"/>
    </row>
    <row r="8190" spans="1:7">
      <c r="A8190" s="1079"/>
      <c r="B8190" s="1050"/>
      <c r="C8190" s="1050"/>
      <c r="D8190" s="1050"/>
      <c r="E8190" s="1050"/>
      <c r="F8190" s="1050"/>
      <c r="G8190" s="1050"/>
    </row>
    <row r="8191" spans="1:7">
      <c r="A8191" s="1079"/>
      <c r="B8191" s="1050"/>
      <c r="C8191" s="1050"/>
      <c r="D8191" s="1050"/>
      <c r="E8191" s="1050"/>
      <c r="F8191" s="1050"/>
      <c r="G8191" s="1050"/>
    </row>
    <row r="8192" spans="1:7">
      <c r="A8192" s="1079"/>
      <c r="B8192" s="1050"/>
      <c r="C8192" s="1050"/>
      <c r="D8192" s="1050"/>
      <c r="E8192" s="1050"/>
      <c r="F8192" s="1050"/>
      <c r="G8192" s="1050"/>
    </row>
    <row r="8193" spans="1:7">
      <c r="A8193" s="1079"/>
      <c r="B8193" s="1050"/>
      <c r="C8193" s="1050"/>
      <c r="D8193" s="1050"/>
      <c r="E8193" s="1050"/>
      <c r="F8193" s="1050"/>
      <c r="G8193" s="1050"/>
    </row>
    <row r="8194" spans="1:7">
      <c r="A8194" s="1079"/>
      <c r="B8194" s="1050"/>
      <c r="C8194" s="1050"/>
      <c r="D8194" s="1050"/>
      <c r="E8194" s="1050"/>
      <c r="F8194" s="1050"/>
      <c r="G8194" s="1050"/>
    </row>
    <row r="8195" spans="1:7">
      <c r="A8195" s="1079"/>
      <c r="B8195" s="1050"/>
      <c r="C8195" s="1050"/>
      <c r="D8195" s="1050"/>
      <c r="E8195" s="1050"/>
      <c r="F8195" s="1050"/>
      <c r="G8195" s="1050"/>
    </row>
    <row r="8196" spans="1:7">
      <c r="A8196" s="1079"/>
      <c r="B8196" s="1050"/>
      <c r="C8196" s="1050"/>
      <c r="D8196" s="1050"/>
      <c r="E8196" s="1050"/>
      <c r="F8196" s="1050"/>
      <c r="G8196" s="1050"/>
    </row>
    <row r="8197" spans="1:7">
      <c r="A8197" s="1079"/>
      <c r="B8197" s="1050"/>
      <c r="C8197" s="1050"/>
      <c r="D8197" s="1050"/>
      <c r="E8197" s="1050"/>
      <c r="F8197" s="1050"/>
      <c r="G8197" s="1050"/>
    </row>
    <row r="8198" spans="1:7">
      <c r="A8198" s="1079"/>
      <c r="B8198" s="1050"/>
      <c r="C8198" s="1050"/>
      <c r="D8198" s="1050"/>
      <c r="E8198" s="1050"/>
      <c r="F8198" s="1050"/>
      <c r="G8198" s="1050"/>
    </row>
    <row r="8199" spans="1:7">
      <c r="A8199" s="1079"/>
      <c r="B8199" s="1050"/>
      <c r="C8199" s="1050"/>
      <c r="D8199" s="1050"/>
      <c r="E8199" s="1050"/>
      <c r="F8199" s="1050"/>
      <c r="G8199" s="1050"/>
    </row>
    <row r="8200" spans="1:7">
      <c r="A8200" s="1079"/>
      <c r="B8200" s="1050"/>
      <c r="C8200" s="1050"/>
      <c r="D8200" s="1050"/>
      <c r="E8200" s="1050"/>
      <c r="F8200" s="1050"/>
      <c r="G8200" s="1050"/>
    </row>
    <row r="8201" spans="1:7">
      <c r="A8201" s="1079"/>
      <c r="B8201" s="1050"/>
      <c r="C8201" s="1050"/>
      <c r="D8201" s="1050"/>
      <c r="E8201" s="1050"/>
      <c r="F8201" s="1050"/>
      <c r="G8201" s="1050"/>
    </row>
    <row r="8202" spans="1:7">
      <c r="A8202" s="1079"/>
      <c r="B8202" s="1050"/>
      <c r="C8202" s="1050"/>
      <c r="D8202" s="1050"/>
      <c r="E8202" s="1050"/>
      <c r="F8202" s="1050"/>
      <c r="G8202" s="1050"/>
    </row>
    <row r="8203" spans="1:7">
      <c r="A8203" s="1079"/>
      <c r="B8203" s="1050"/>
      <c r="C8203" s="1050"/>
      <c r="D8203" s="1050"/>
      <c r="E8203" s="1050"/>
      <c r="F8203" s="1050"/>
      <c r="G8203" s="1050"/>
    </row>
    <row r="8204" spans="1:7">
      <c r="A8204" s="1079"/>
      <c r="B8204" s="1050"/>
      <c r="C8204" s="1050"/>
      <c r="D8204" s="1050"/>
      <c r="E8204" s="1050"/>
      <c r="F8204" s="1050"/>
      <c r="G8204" s="1050"/>
    </row>
    <row r="8205" spans="1:7">
      <c r="A8205" s="1079"/>
      <c r="B8205" s="1050"/>
      <c r="C8205" s="1050"/>
      <c r="D8205" s="1050"/>
      <c r="E8205" s="1050"/>
      <c r="F8205" s="1050"/>
      <c r="G8205" s="1050"/>
    </row>
    <row r="8206" spans="1:7">
      <c r="A8206" s="1079"/>
      <c r="B8206" s="1050"/>
      <c r="C8206" s="1050"/>
      <c r="D8206" s="1050"/>
      <c r="E8206" s="1050"/>
      <c r="F8206" s="1050"/>
      <c r="G8206" s="1050"/>
    </row>
    <row r="8207" spans="1:7">
      <c r="A8207" s="1079"/>
      <c r="B8207" s="1050"/>
      <c r="C8207" s="1050"/>
      <c r="D8207" s="1050"/>
      <c r="E8207" s="1050"/>
      <c r="F8207" s="1050"/>
      <c r="G8207" s="1050"/>
    </row>
    <row r="8208" spans="1:7">
      <c r="A8208" s="1079"/>
      <c r="B8208" s="1050"/>
      <c r="C8208" s="1050"/>
      <c r="D8208" s="1050"/>
      <c r="E8208" s="1050"/>
      <c r="F8208" s="1050"/>
      <c r="G8208" s="1050"/>
    </row>
    <row r="8209" spans="1:7">
      <c r="A8209" s="1079"/>
      <c r="B8209" s="1050"/>
      <c r="C8209" s="1050"/>
      <c r="D8209" s="1050"/>
      <c r="E8209" s="1050"/>
      <c r="F8209" s="1050"/>
      <c r="G8209" s="1050"/>
    </row>
    <row r="8210" spans="1:7">
      <c r="A8210" s="1079"/>
      <c r="B8210" s="1050"/>
      <c r="C8210" s="1050"/>
      <c r="D8210" s="1050"/>
      <c r="E8210" s="1050"/>
      <c r="F8210" s="1050"/>
      <c r="G8210" s="1050"/>
    </row>
    <row r="8211" spans="1:7">
      <c r="A8211" s="1079"/>
      <c r="B8211" s="1050"/>
      <c r="C8211" s="1050"/>
      <c r="D8211" s="1050"/>
      <c r="E8211" s="1050"/>
      <c r="F8211" s="1050"/>
      <c r="G8211" s="1050"/>
    </row>
    <row r="8212" spans="1:7">
      <c r="A8212" s="1079"/>
      <c r="B8212" s="1050"/>
      <c r="C8212" s="1050"/>
      <c r="D8212" s="1050"/>
      <c r="E8212" s="1050"/>
      <c r="F8212" s="1050"/>
      <c r="G8212" s="1050"/>
    </row>
    <row r="8213" spans="1:7">
      <c r="A8213" s="1079"/>
      <c r="B8213" s="1050"/>
      <c r="C8213" s="1050"/>
      <c r="D8213" s="1050"/>
      <c r="E8213" s="1050"/>
      <c r="F8213" s="1050"/>
      <c r="G8213" s="1050"/>
    </row>
    <row r="8214" spans="1:7">
      <c r="A8214" s="1079"/>
      <c r="B8214" s="1050"/>
      <c r="C8214" s="1050"/>
      <c r="D8214" s="1050"/>
      <c r="E8214" s="1050"/>
      <c r="F8214" s="1050"/>
      <c r="G8214" s="1050"/>
    </row>
    <row r="8215" spans="1:7">
      <c r="A8215" s="1079"/>
      <c r="B8215" s="1050"/>
      <c r="C8215" s="1050"/>
      <c r="D8215" s="1050"/>
      <c r="E8215" s="1050"/>
      <c r="F8215" s="1050"/>
      <c r="G8215" s="1050"/>
    </row>
    <row r="8216" spans="1:7">
      <c r="A8216" s="1079"/>
      <c r="B8216" s="1050"/>
      <c r="C8216" s="1050"/>
      <c r="D8216" s="1050"/>
      <c r="E8216" s="1050"/>
      <c r="F8216" s="1050"/>
      <c r="G8216" s="1050"/>
    </row>
    <row r="8217" spans="1:7">
      <c r="A8217" s="1079"/>
      <c r="B8217" s="1050"/>
      <c r="C8217" s="1050"/>
      <c r="D8217" s="1050"/>
      <c r="E8217" s="1050"/>
      <c r="F8217" s="1050"/>
      <c r="G8217" s="1050"/>
    </row>
    <row r="8218" spans="1:7">
      <c r="A8218" s="1079"/>
      <c r="B8218" s="1050"/>
      <c r="C8218" s="1050"/>
      <c r="D8218" s="1050"/>
      <c r="E8218" s="1050"/>
      <c r="F8218" s="1050"/>
      <c r="G8218" s="1050"/>
    </row>
    <row r="8219" spans="1:7">
      <c r="A8219" s="1079"/>
      <c r="B8219" s="1050"/>
      <c r="C8219" s="1050"/>
      <c r="D8219" s="1050"/>
      <c r="E8219" s="1050"/>
      <c r="F8219" s="1050"/>
      <c r="G8219" s="1050"/>
    </row>
    <row r="8220" spans="1:7">
      <c r="A8220" s="1079"/>
      <c r="B8220" s="1050"/>
      <c r="C8220" s="1050"/>
      <c r="D8220" s="1050"/>
      <c r="E8220" s="1050"/>
      <c r="F8220" s="1050"/>
      <c r="G8220" s="1050"/>
    </row>
    <row r="8221" spans="1:7">
      <c r="A8221" s="1079"/>
      <c r="B8221" s="1050"/>
      <c r="C8221" s="1050"/>
      <c r="D8221" s="1050"/>
      <c r="E8221" s="1050"/>
      <c r="F8221" s="1050"/>
      <c r="G8221" s="1050"/>
    </row>
    <row r="8222" spans="1:7">
      <c r="A8222" s="1079"/>
      <c r="B8222" s="1050"/>
      <c r="C8222" s="1050"/>
      <c r="D8222" s="1050"/>
      <c r="E8222" s="1050"/>
      <c r="F8222" s="1050"/>
      <c r="G8222" s="1050"/>
    </row>
    <row r="8223" spans="1:7">
      <c r="A8223" s="1079"/>
      <c r="B8223" s="1050"/>
      <c r="C8223" s="1050"/>
      <c r="D8223" s="1050"/>
      <c r="E8223" s="1050"/>
      <c r="F8223" s="1050"/>
      <c r="G8223" s="1050"/>
    </row>
    <row r="8224" spans="1:7">
      <c r="A8224" s="1079"/>
      <c r="B8224" s="1050"/>
      <c r="C8224" s="1050"/>
      <c r="D8224" s="1050"/>
      <c r="E8224" s="1050"/>
      <c r="F8224" s="1050"/>
      <c r="G8224" s="1050"/>
    </row>
    <row r="8225" spans="1:7">
      <c r="A8225" s="1079"/>
      <c r="B8225" s="1050"/>
      <c r="C8225" s="1050"/>
      <c r="D8225" s="1050"/>
      <c r="E8225" s="1050"/>
      <c r="F8225" s="1050"/>
      <c r="G8225" s="1050"/>
    </row>
    <row r="8226" spans="1:7">
      <c r="A8226" s="1079"/>
      <c r="B8226" s="1050"/>
      <c r="C8226" s="1050"/>
      <c r="D8226" s="1050"/>
      <c r="E8226" s="1050"/>
      <c r="F8226" s="1050"/>
      <c r="G8226" s="1050"/>
    </row>
    <row r="8227" spans="1:7">
      <c r="A8227" s="1079"/>
      <c r="B8227" s="1050"/>
      <c r="C8227" s="1050"/>
      <c r="D8227" s="1050"/>
      <c r="E8227" s="1050"/>
      <c r="F8227" s="1050"/>
      <c r="G8227" s="1050"/>
    </row>
    <row r="8228" spans="1:7">
      <c r="A8228" s="1079"/>
      <c r="B8228" s="1050"/>
      <c r="C8228" s="1050"/>
      <c r="D8228" s="1050"/>
      <c r="E8228" s="1050"/>
      <c r="F8228" s="1050"/>
      <c r="G8228" s="1050"/>
    </row>
    <row r="8229" spans="1:7">
      <c r="A8229" s="1079"/>
      <c r="B8229" s="1050"/>
      <c r="C8229" s="1050"/>
      <c r="D8229" s="1050"/>
      <c r="E8229" s="1050"/>
      <c r="F8229" s="1050"/>
      <c r="G8229" s="1050"/>
    </row>
    <row r="8230" spans="1:7">
      <c r="A8230" s="1079"/>
      <c r="B8230" s="1050"/>
      <c r="C8230" s="1050"/>
      <c r="D8230" s="1050"/>
      <c r="E8230" s="1050"/>
      <c r="F8230" s="1050"/>
      <c r="G8230" s="1050"/>
    </row>
    <row r="8231" spans="1:7">
      <c r="A8231" s="1079"/>
      <c r="B8231" s="1050"/>
      <c r="C8231" s="1050"/>
      <c r="D8231" s="1050"/>
      <c r="E8231" s="1050"/>
      <c r="F8231" s="1050"/>
      <c r="G8231" s="1050"/>
    </row>
    <row r="8232" spans="1:7">
      <c r="A8232" s="1079"/>
      <c r="B8232" s="1050"/>
      <c r="C8232" s="1050"/>
      <c r="D8232" s="1050"/>
      <c r="E8232" s="1050"/>
      <c r="F8232" s="1050"/>
      <c r="G8232" s="1050"/>
    </row>
    <row r="8233" spans="1:7">
      <c r="A8233" s="1079"/>
      <c r="B8233" s="1050"/>
      <c r="C8233" s="1050"/>
      <c r="D8233" s="1050"/>
      <c r="E8233" s="1050"/>
      <c r="F8233" s="1050"/>
      <c r="G8233" s="1050"/>
    </row>
    <row r="8234" spans="1:7">
      <c r="A8234" s="1079"/>
      <c r="B8234" s="1050"/>
      <c r="C8234" s="1050"/>
      <c r="D8234" s="1050"/>
      <c r="E8234" s="1050"/>
      <c r="F8234" s="1050"/>
      <c r="G8234" s="1050"/>
    </row>
    <row r="8235" spans="1:7">
      <c r="A8235" s="1079"/>
      <c r="B8235" s="1050"/>
      <c r="C8235" s="1050"/>
      <c r="D8235" s="1050"/>
      <c r="E8235" s="1050"/>
      <c r="F8235" s="1050"/>
      <c r="G8235" s="1050"/>
    </row>
    <row r="8236" spans="1:7">
      <c r="A8236" s="1079"/>
      <c r="B8236" s="1050"/>
      <c r="C8236" s="1050"/>
      <c r="D8236" s="1050"/>
      <c r="E8236" s="1050"/>
      <c r="F8236" s="1050"/>
      <c r="G8236" s="1050"/>
    </row>
    <row r="8237" spans="1:7">
      <c r="A8237" s="1079"/>
      <c r="B8237" s="1050"/>
      <c r="C8237" s="1050"/>
      <c r="D8237" s="1050"/>
      <c r="E8237" s="1050"/>
      <c r="F8237" s="1050"/>
      <c r="G8237" s="1050"/>
    </row>
    <row r="8238" spans="1:7">
      <c r="A8238" s="1079"/>
      <c r="B8238" s="1050"/>
      <c r="C8238" s="1050"/>
      <c r="D8238" s="1050"/>
      <c r="E8238" s="1050"/>
      <c r="F8238" s="1050"/>
      <c r="G8238" s="1050"/>
    </row>
    <row r="8239" spans="1:7">
      <c r="A8239" s="1079"/>
      <c r="B8239" s="1050"/>
      <c r="C8239" s="1050"/>
      <c r="D8239" s="1050"/>
      <c r="E8239" s="1050"/>
      <c r="F8239" s="1050"/>
      <c r="G8239" s="1050"/>
    </row>
    <row r="8240" spans="1:7">
      <c r="A8240" s="1079"/>
      <c r="B8240" s="1050"/>
      <c r="C8240" s="1050"/>
      <c r="D8240" s="1050"/>
      <c r="E8240" s="1050"/>
      <c r="F8240" s="1050"/>
      <c r="G8240" s="1050"/>
    </row>
    <row r="8241" spans="1:7">
      <c r="A8241" s="1079"/>
      <c r="B8241" s="1050"/>
      <c r="C8241" s="1050"/>
      <c r="D8241" s="1050"/>
      <c r="E8241" s="1050"/>
      <c r="F8241" s="1050"/>
      <c r="G8241" s="1050"/>
    </row>
    <row r="8242" spans="1:7">
      <c r="A8242" s="1079"/>
      <c r="B8242" s="1050"/>
      <c r="C8242" s="1050"/>
      <c r="D8242" s="1050"/>
      <c r="E8242" s="1050"/>
      <c r="F8242" s="1050"/>
      <c r="G8242" s="1050"/>
    </row>
    <row r="8243" spans="1:7">
      <c r="A8243" s="1079"/>
      <c r="B8243" s="1050"/>
      <c r="C8243" s="1050"/>
      <c r="D8243" s="1050"/>
      <c r="E8243" s="1050"/>
      <c r="F8243" s="1050"/>
      <c r="G8243" s="1050"/>
    </row>
    <row r="8244" spans="1:7">
      <c r="A8244" s="1079"/>
      <c r="B8244" s="1050"/>
      <c r="C8244" s="1050"/>
      <c r="D8244" s="1050"/>
      <c r="E8244" s="1050"/>
      <c r="F8244" s="1050"/>
      <c r="G8244" s="1050"/>
    </row>
    <row r="8245" spans="1:7">
      <c r="A8245" s="1079"/>
      <c r="B8245" s="1050"/>
      <c r="C8245" s="1050"/>
      <c r="D8245" s="1050"/>
      <c r="E8245" s="1050"/>
      <c r="F8245" s="1050"/>
      <c r="G8245" s="1050"/>
    </row>
    <row r="8246" spans="1:7">
      <c r="A8246" s="1079"/>
      <c r="B8246" s="1050"/>
      <c r="C8246" s="1050"/>
      <c r="D8246" s="1050"/>
      <c r="E8246" s="1050"/>
      <c r="F8246" s="1050"/>
      <c r="G8246" s="1050"/>
    </row>
    <row r="8247" spans="1:7">
      <c r="A8247" s="1079"/>
      <c r="B8247" s="1050"/>
      <c r="C8247" s="1050"/>
      <c r="D8247" s="1050"/>
      <c r="E8247" s="1050"/>
      <c r="F8247" s="1050"/>
      <c r="G8247" s="1050"/>
    </row>
    <row r="8248" spans="1:7">
      <c r="A8248" s="1079"/>
      <c r="B8248" s="1050"/>
      <c r="C8248" s="1050"/>
      <c r="D8248" s="1050"/>
      <c r="E8248" s="1050"/>
      <c r="F8248" s="1050"/>
      <c r="G8248" s="1050"/>
    </row>
    <row r="8249" spans="1:7">
      <c r="A8249" s="1079"/>
      <c r="B8249" s="1050"/>
      <c r="C8249" s="1050"/>
      <c r="D8249" s="1050"/>
      <c r="E8249" s="1050"/>
      <c r="F8249" s="1050"/>
      <c r="G8249" s="1050"/>
    </row>
    <row r="8250" spans="1:7">
      <c r="A8250" s="1079"/>
      <c r="B8250" s="1050"/>
      <c r="C8250" s="1050"/>
      <c r="D8250" s="1050"/>
      <c r="E8250" s="1050"/>
      <c r="F8250" s="1050"/>
      <c r="G8250" s="1050"/>
    </row>
    <row r="8251" spans="1:7">
      <c r="A8251" s="1079"/>
      <c r="B8251" s="1050"/>
      <c r="C8251" s="1050"/>
      <c r="D8251" s="1050"/>
      <c r="E8251" s="1050"/>
      <c r="F8251" s="1050"/>
      <c r="G8251" s="1050"/>
    </row>
    <row r="8252" spans="1:7">
      <c r="A8252" s="1079"/>
      <c r="B8252" s="1050"/>
      <c r="C8252" s="1050"/>
      <c r="D8252" s="1050"/>
      <c r="E8252" s="1050"/>
      <c r="F8252" s="1050"/>
      <c r="G8252" s="1050"/>
    </row>
    <row r="8253" spans="1:7">
      <c r="A8253" s="1079"/>
      <c r="B8253" s="1050"/>
      <c r="C8253" s="1050"/>
      <c r="D8253" s="1050"/>
      <c r="E8253" s="1050"/>
      <c r="F8253" s="1050"/>
      <c r="G8253" s="1050"/>
    </row>
    <row r="8254" spans="1:7">
      <c r="A8254" s="1079"/>
      <c r="B8254" s="1050"/>
      <c r="C8254" s="1050"/>
      <c r="D8254" s="1050"/>
      <c r="E8254" s="1050"/>
      <c r="F8254" s="1050"/>
      <c r="G8254" s="1050"/>
    </row>
    <row r="8255" spans="1:7">
      <c r="A8255" s="1079"/>
      <c r="B8255" s="1050"/>
      <c r="C8255" s="1050"/>
      <c r="D8255" s="1050"/>
      <c r="E8255" s="1050"/>
      <c r="F8255" s="1050"/>
      <c r="G8255" s="1050"/>
    </row>
    <row r="8256" spans="1:7">
      <c r="A8256" s="1079"/>
      <c r="B8256" s="1050"/>
      <c r="C8256" s="1050"/>
      <c r="D8256" s="1050"/>
      <c r="E8256" s="1050"/>
      <c r="F8256" s="1050"/>
      <c r="G8256" s="1050"/>
    </row>
    <row r="8257" spans="1:7">
      <c r="A8257" s="1079"/>
      <c r="B8257" s="1050"/>
      <c r="C8257" s="1050"/>
      <c r="D8257" s="1050"/>
      <c r="E8257" s="1050"/>
      <c r="F8257" s="1050"/>
      <c r="G8257" s="1050"/>
    </row>
    <row r="8258" spans="1:7">
      <c r="A8258" s="1079"/>
      <c r="B8258" s="1050"/>
      <c r="C8258" s="1050"/>
      <c r="D8258" s="1050"/>
      <c r="E8258" s="1050"/>
      <c r="F8258" s="1050"/>
      <c r="G8258" s="1050"/>
    </row>
    <row r="8259" spans="1:7">
      <c r="A8259" s="1079"/>
      <c r="B8259" s="1050"/>
      <c r="C8259" s="1050"/>
      <c r="D8259" s="1050"/>
      <c r="E8259" s="1050"/>
      <c r="F8259" s="1050"/>
      <c r="G8259" s="1050"/>
    </row>
    <row r="8260" spans="1:7">
      <c r="A8260" s="1079"/>
      <c r="B8260" s="1050"/>
      <c r="C8260" s="1050"/>
      <c r="D8260" s="1050"/>
      <c r="E8260" s="1050"/>
      <c r="F8260" s="1050"/>
      <c r="G8260" s="1050"/>
    </row>
    <row r="8261" spans="1:7">
      <c r="A8261" s="1079"/>
      <c r="B8261" s="1050"/>
      <c r="C8261" s="1050"/>
      <c r="D8261" s="1050"/>
      <c r="E8261" s="1050"/>
      <c r="F8261" s="1050"/>
      <c r="G8261" s="1050"/>
    </row>
    <row r="8262" spans="1:7">
      <c r="A8262" s="1079"/>
      <c r="B8262" s="1050"/>
      <c r="C8262" s="1050"/>
      <c r="D8262" s="1050"/>
      <c r="E8262" s="1050"/>
      <c r="F8262" s="1050"/>
      <c r="G8262" s="1050"/>
    </row>
    <row r="8263" spans="1:7">
      <c r="A8263" s="1079"/>
      <c r="B8263" s="1050"/>
      <c r="C8263" s="1050"/>
      <c r="D8263" s="1050"/>
      <c r="E8263" s="1050"/>
      <c r="F8263" s="1050"/>
      <c r="G8263" s="1050"/>
    </row>
    <row r="8264" spans="1:7">
      <c r="A8264" s="1079"/>
      <c r="B8264" s="1050"/>
      <c r="C8264" s="1050"/>
      <c r="D8264" s="1050"/>
      <c r="E8264" s="1050"/>
      <c r="F8264" s="1050"/>
      <c r="G8264" s="1050"/>
    </row>
    <row r="8265" spans="1:7">
      <c r="A8265" s="1079"/>
      <c r="B8265" s="1050"/>
      <c r="C8265" s="1050"/>
      <c r="D8265" s="1050"/>
      <c r="E8265" s="1050"/>
      <c r="F8265" s="1050"/>
      <c r="G8265" s="1050"/>
    </row>
    <row r="8266" spans="1:7">
      <c r="A8266" s="1079"/>
      <c r="B8266" s="1050"/>
      <c r="C8266" s="1050"/>
      <c r="D8266" s="1050"/>
      <c r="E8266" s="1050"/>
      <c r="F8266" s="1050"/>
      <c r="G8266" s="1050"/>
    </row>
    <row r="8267" spans="1:7">
      <c r="A8267" s="1079"/>
      <c r="B8267" s="1050"/>
      <c r="C8267" s="1050"/>
      <c r="D8267" s="1050"/>
      <c r="E8267" s="1050"/>
      <c r="F8267" s="1050"/>
      <c r="G8267" s="1050"/>
    </row>
    <row r="8268" spans="1:7">
      <c r="A8268" s="1079"/>
      <c r="B8268" s="1050"/>
      <c r="C8268" s="1050"/>
      <c r="D8268" s="1050"/>
      <c r="E8268" s="1050"/>
      <c r="F8268" s="1050"/>
      <c r="G8268" s="1050"/>
    </row>
    <row r="8269" spans="1:7">
      <c r="A8269" s="1079"/>
      <c r="B8269" s="1050"/>
      <c r="C8269" s="1050"/>
      <c r="D8269" s="1050"/>
      <c r="E8269" s="1050"/>
      <c r="F8269" s="1050"/>
      <c r="G8269" s="1050"/>
    </row>
    <row r="8270" spans="1:7">
      <c r="A8270" s="1079"/>
      <c r="B8270" s="1050"/>
      <c r="C8270" s="1050"/>
      <c r="D8270" s="1050"/>
      <c r="E8270" s="1050"/>
      <c r="F8270" s="1050"/>
      <c r="G8270" s="1050"/>
    </row>
    <row r="8271" spans="1:7">
      <c r="A8271" s="1079"/>
      <c r="B8271" s="1050"/>
      <c r="C8271" s="1050"/>
      <c r="D8271" s="1050"/>
      <c r="E8271" s="1050"/>
      <c r="F8271" s="1050"/>
      <c r="G8271" s="1050"/>
    </row>
    <row r="8272" spans="1:7">
      <c r="A8272" s="1079"/>
      <c r="B8272" s="1050"/>
      <c r="C8272" s="1050"/>
      <c r="D8272" s="1050"/>
      <c r="E8272" s="1050"/>
      <c r="F8272" s="1050"/>
      <c r="G8272" s="1050"/>
    </row>
    <row r="8273" spans="1:7">
      <c r="A8273" s="1079"/>
      <c r="B8273" s="1050"/>
      <c r="C8273" s="1050"/>
      <c r="D8273" s="1050"/>
      <c r="E8273" s="1050"/>
      <c r="F8273" s="1050"/>
      <c r="G8273" s="1050"/>
    </row>
    <row r="8274" spans="1:7">
      <c r="A8274" s="1079"/>
      <c r="B8274" s="1050"/>
      <c r="C8274" s="1050"/>
      <c r="D8274" s="1050"/>
      <c r="E8274" s="1050"/>
      <c r="F8274" s="1050"/>
      <c r="G8274" s="1050"/>
    </row>
    <row r="8275" spans="1:7">
      <c r="A8275" s="1079"/>
      <c r="B8275" s="1050"/>
      <c r="C8275" s="1050"/>
      <c r="D8275" s="1050"/>
      <c r="E8275" s="1050"/>
      <c r="F8275" s="1050"/>
      <c r="G8275" s="1050"/>
    </row>
    <row r="8276" spans="1:7">
      <c r="A8276" s="1079"/>
      <c r="B8276" s="1050"/>
      <c r="C8276" s="1050"/>
      <c r="D8276" s="1050"/>
      <c r="E8276" s="1050"/>
      <c r="F8276" s="1050"/>
      <c r="G8276" s="1050"/>
    </row>
    <row r="8277" spans="1:7">
      <c r="A8277" s="1079"/>
      <c r="B8277" s="1050"/>
      <c r="C8277" s="1050"/>
      <c r="D8277" s="1050"/>
      <c r="E8277" s="1050"/>
      <c r="F8277" s="1050"/>
      <c r="G8277" s="1050"/>
    </row>
    <row r="8278" spans="1:7">
      <c r="A8278" s="1079"/>
      <c r="B8278" s="1050"/>
      <c r="C8278" s="1050"/>
      <c r="D8278" s="1050"/>
      <c r="E8278" s="1050"/>
      <c r="F8278" s="1050"/>
      <c r="G8278" s="1050"/>
    </row>
    <row r="8279" spans="1:7">
      <c r="A8279" s="1079"/>
      <c r="B8279" s="1050"/>
      <c r="C8279" s="1050"/>
      <c r="D8279" s="1050"/>
      <c r="E8279" s="1050"/>
      <c r="F8279" s="1050"/>
      <c r="G8279" s="1050"/>
    </row>
    <row r="8280" spans="1:7">
      <c r="A8280" s="1079"/>
      <c r="B8280" s="1050"/>
      <c r="C8280" s="1050"/>
      <c r="D8280" s="1050"/>
      <c r="E8280" s="1050"/>
      <c r="F8280" s="1050"/>
      <c r="G8280" s="1050"/>
    </row>
    <row r="8281" spans="1:7">
      <c r="A8281" s="1079"/>
      <c r="B8281" s="1050"/>
      <c r="C8281" s="1050"/>
      <c r="D8281" s="1050"/>
      <c r="E8281" s="1050"/>
      <c r="F8281" s="1050"/>
      <c r="G8281" s="1050"/>
    </row>
    <row r="8282" spans="1:7">
      <c r="A8282" s="1079"/>
      <c r="B8282" s="1050"/>
      <c r="C8282" s="1050"/>
      <c r="D8282" s="1050"/>
      <c r="E8282" s="1050"/>
      <c r="F8282" s="1050"/>
      <c r="G8282" s="1050"/>
    </row>
    <row r="8283" spans="1:7">
      <c r="A8283" s="1079"/>
      <c r="B8283" s="1050"/>
      <c r="C8283" s="1050"/>
      <c r="D8283" s="1050"/>
      <c r="E8283" s="1050"/>
      <c r="F8283" s="1050"/>
      <c r="G8283" s="1050"/>
    </row>
    <row r="8284" spans="1:7">
      <c r="A8284" s="1079"/>
      <c r="B8284" s="1050"/>
      <c r="C8284" s="1050"/>
      <c r="D8284" s="1050"/>
      <c r="E8284" s="1050"/>
      <c r="F8284" s="1050"/>
      <c r="G8284" s="1050"/>
    </row>
    <row r="8285" spans="1:7">
      <c r="A8285" s="1079"/>
      <c r="B8285" s="1050"/>
      <c r="C8285" s="1050"/>
      <c r="D8285" s="1050"/>
      <c r="E8285" s="1050"/>
      <c r="F8285" s="1050"/>
      <c r="G8285" s="1050"/>
    </row>
    <row r="8286" spans="1:7">
      <c r="A8286" s="1079"/>
      <c r="B8286" s="1050"/>
      <c r="C8286" s="1050"/>
      <c r="D8286" s="1050"/>
      <c r="E8286" s="1050"/>
      <c r="F8286" s="1050"/>
      <c r="G8286" s="1050"/>
    </row>
    <row r="8287" spans="1:7">
      <c r="A8287" s="1079"/>
      <c r="B8287" s="1050"/>
      <c r="C8287" s="1050"/>
      <c r="D8287" s="1050"/>
      <c r="E8287" s="1050"/>
      <c r="F8287" s="1050"/>
      <c r="G8287" s="1050"/>
    </row>
    <row r="8288" spans="1:7">
      <c r="A8288" s="1079"/>
      <c r="B8288" s="1050"/>
      <c r="C8288" s="1050"/>
      <c r="D8288" s="1050"/>
      <c r="E8288" s="1050"/>
      <c r="F8288" s="1050"/>
      <c r="G8288" s="1050"/>
    </row>
    <row r="8289" spans="1:7">
      <c r="A8289" s="1079"/>
      <c r="B8289" s="1050"/>
      <c r="C8289" s="1050"/>
      <c r="D8289" s="1050"/>
      <c r="E8289" s="1050"/>
      <c r="F8289" s="1050"/>
      <c r="G8289" s="1050"/>
    </row>
    <row r="8290" spans="1:7">
      <c r="A8290" s="1079"/>
      <c r="B8290" s="1050"/>
      <c r="C8290" s="1050"/>
      <c r="D8290" s="1050"/>
      <c r="E8290" s="1050"/>
      <c r="F8290" s="1050"/>
      <c r="G8290" s="1050"/>
    </row>
    <row r="8291" spans="1:7">
      <c r="A8291" s="1079"/>
      <c r="B8291" s="1050"/>
      <c r="C8291" s="1050"/>
      <c r="D8291" s="1050"/>
      <c r="E8291" s="1050"/>
      <c r="F8291" s="1050"/>
      <c r="G8291" s="1050"/>
    </row>
    <row r="8292" spans="1:7">
      <c r="A8292" s="1079"/>
      <c r="B8292" s="1050"/>
      <c r="C8292" s="1050"/>
      <c r="D8292" s="1050"/>
      <c r="E8292" s="1050"/>
      <c r="F8292" s="1050"/>
      <c r="G8292" s="1050"/>
    </row>
    <row r="8293" spans="1:7">
      <c r="A8293" s="1079"/>
      <c r="B8293" s="1050"/>
      <c r="C8293" s="1050"/>
      <c r="D8293" s="1050"/>
      <c r="E8293" s="1050"/>
      <c r="F8293" s="1050"/>
      <c r="G8293" s="1050"/>
    </row>
    <row r="8294" spans="1:7">
      <c r="A8294" s="1079"/>
      <c r="B8294" s="1050"/>
      <c r="C8294" s="1050"/>
      <c r="D8294" s="1050"/>
      <c r="E8294" s="1050"/>
      <c r="F8294" s="1050"/>
      <c r="G8294" s="1050"/>
    </row>
    <row r="8295" spans="1:7">
      <c r="A8295" s="1079"/>
      <c r="B8295" s="1050"/>
      <c r="C8295" s="1050"/>
      <c r="D8295" s="1050"/>
      <c r="E8295" s="1050"/>
      <c r="F8295" s="1050"/>
      <c r="G8295" s="1050"/>
    </row>
    <row r="8296" spans="1:7">
      <c r="A8296" s="1079"/>
      <c r="B8296" s="1050"/>
      <c r="C8296" s="1050"/>
      <c r="D8296" s="1050"/>
      <c r="E8296" s="1050"/>
      <c r="F8296" s="1050"/>
      <c r="G8296" s="1050"/>
    </row>
    <row r="8297" spans="1:7">
      <c r="A8297" s="1079"/>
      <c r="B8297" s="1050"/>
      <c r="C8297" s="1050"/>
      <c r="D8297" s="1050"/>
      <c r="E8297" s="1050"/>
      <c r="F8297" s="1050"/>
      <c r="G8297" s="1050"/>
    </row>
    <row r="8298" spans="1:7">
      <c r="A8298" s="1079"/>
      <c r="B8298" s="1050"/>
      <c r="C8298" s="1050"/>
      <c r="D8298" s="1050"/>
      <c r="E8298" s="1050"/>
      <c r="F8298" s="1050"/>
      <c r="G8298" s="1050"/>
    </row>
    <row r="8299" spans="1:7">
      <c r="A8299" s="1079"/>
      <c r="B8299" s="1050"/>
      <c r="C8299" s="1050"/>
      <c r="D8299" s="1050"/>
      <c r="E8299" s="1050"/>
      <c r="F8299" s="1050"/>
      <c r="G8299" s="1050"/>
    </row>
    <row r="8300" spans="1:7">
      <c r="A8300" s="1079"/>
      <c r="B8300" s="1050"/>
      <c r="C8300" s="1050"/>
      <c r="D8300" s="1050"/>
      <c r="E8300" s="1050"/>
      <c r="F8300" s="1050"/>
      <c r="G8300" s="1050"/>
    </row>
    <row r="8301" spans="1:7">
      <c r="A8301" s="1079"/>
      <c r="B8301" s="1050"/>
      <c r="C8301" s="1050"/>
      <c r="D8301" s="1050"/>
      <c r="E8301" s="1050"/>
      <c r="F8301" s="1050"/>
      <c r="G8301" s="1050"/>
    </row>
    <row r="8302" spans="1:7">
      <c r="A8302" s="1079"/>
      <c r="B8302" s="1050"/>
      <c r="C8302" s="1050"/>
      <c r="D8302" s="1050"/>
      <c r="E8302" s="1050"/>
      <c r="F8302" s="1050"/>
      <c r="G8302" s="1050"/>
    </row>
    <row r="8303" spans="1:7">
      <c r="A8303" s="1079"/>
      <c r="B8303" s="1050"/>
      <c r="C8303" s="1050"/>
      <c r="D8303" s="1050"/>
      <c r="E8303" s="1050"/>
      <c r="F8303" s="1050"/>
      <c r="G8303" s="1050"/>
    </row>
    <row r="8304" spans="1:7">
      <c r="A8304" s="1079"/>
      <c r="B8304" s="1050"/>
      <c r="C8304" s="1050"/>
      <c r="D8304" s="1050"/>
      <c r="E8304" s="1050"/>
      <c r="F8304" s="1050"/>
      <c r="G8304" s="1050"/>
    </row>
    <row r="8305" spans="1:7">
      <c r="A8305" s="1079"/>
      <c r="B8305" s="1050"/>
      <c r="C8305" s="1050"/>
      <c r="D8305" s="1050"/>
      <c r="E8305" s="1050"/>
      <c r="F8305" s="1050"/>
      <c r="G8305" s="1050"/>
    </row>
    <row r="8306" spans="1:7">
      <c r="A8306" s="1079"/>
      <c r="B8306" s="1050"/>
      <c r="C8306" s="1050"/>
      <c r="D8306" s="1050"/>
      <c r="E8306" s="1050"/>
      <c r="F8306" s="1050"/>
      <c r="G8306" s="1050"/>
    </row>
    <row r="8307" spans="1:7">
      <c r="A8307" s="1079"/>
      <c r="B8307" s="1050"/>
      <c r="C8307" s="1050"/>
      <c r="D8307" s="1050"/>
      <c r="E8307" s="1050"/>
      <c r="F8307" s="1050"/>
      <c r="G8307" s="1050"/>
    </row>
    <row r="8308" spans="1:7">
      <c r="A8308" s="1079"/>
      <c r="B8308" s="1050"/>
      <c r="C8308" s="1050"/>
      <c r="D8308" s="1050"/>
      <c r="E8308" s="1050"/>
      <c r="F8308" s="1050"/>
      <c r="G8308" s="1050"/>
    </row>
    <row r="8309" spans="1:7">
      <c r="A8309" s="1079"/>
      <c r="B8309" s="1050"/>
      <c r="C8309" s="1050"/>
      <c r="D8309" s="1050"/>
      <c r="E8309" s="1050"/>
      <c r="F8309" s="1050"/>
      <c r="G8309" s="1050"/>
    </row>
    <row r="8310" spans="1:7">
      <c r="A8310" s="1079"/>
      <c r="B8310" s="1050"/>
      <c r="C8310" s="1050"/>
      <c r="D8310" s="1050"/>
      <c r="E8310" s="1050"/>
      <c r="F8310" s="1050"/>
      <c r="G8310" s="1050"/>
    </row>
    <row r="8311" spans="1:7">
      <c r="A8311" s="1079"/>
      <c r="B8311" s="1050"/>
      <c r="C8311" s="1050"/>
      <c r="D8311" s="1050"/>
      <c r="E8311" s="1050"/>
      <c r="F8311" s="1050"/>
      <c r="G8311" s="1050"/>
    </row>
    <row r="8312" spans="1:7">
      <c r="A8312" s="1079"/>
      <c r="B8312" s="1050"/>
      <c r="C8312" s="1050"/>
      <c r="D8312" s="1050"/>
      <c r="E8312" s="1050"/>
      <c r="F8312" s="1050"/>
      <c r="G8312" s="1050"/>
    </row>
    <row r="8313" spans="1:7">
      <c r="A8313" s="1079"/>
      <c r="B8313" s="1050"/>
      <c r="C8313" s="1050"/>
      <c r="D8313" s="1050"/>
      <c r="E8313" s="1050"/>
      <c r="F8313" s="1050"/>
      <c r="G8313" s="1050"/>
    </row>
    <row r="8314" spans="1:7">
      <c r="A8314" s="1079"/>
      <c r="B8314" s="1050"/>
      <c r="C8314" s="1050"/>
      <c r="D8314" s="1050"/>
      <c r="E8314" s="1050"/>
      <c r="F8314" s="1050"/>
      <c r="G8314" s="1050"/>
    </row>
    <row r="8315" spans="1:7">
      <c r="A8315" s="1079"/>
      <c r="B8315" s="1050"/>
      <c r="C8315" s="1050"/>
      <c r="D8315" s="1050"/>
      <c r="E8315" s="1050"/>
      <c r="F8315" s="1050"/>
      <c r="G8315" s="1050"/>
    </row>
    <row r="8316" spans="1:7">
      <c r="A8316" s="1079"/>
      <c r="B8316" s="1050"/>
      <c r="C8316" s="1050"/>
      <c r="D8316" s="1050"/>
      <c r="E8316" s="1050"/>
      <c r="F8316" s="1050"/>
      <c r="G8316" s="1050"/>
    </row>
    <row r="8317" spans="1:7">
      <c r="A8317" s="1079"/>
      <c r="B8317" s="1050"/>
      <c r="C8317" s="1050"/>
      <c r="D8317" s="1050"/>
      <c r="E8317" s="1050"/>
      <c r="F8317" s="1050"/>
      <c r="G8317" s="1050"/>
    </row>
    <row r="8318" spans="1:7">
      <c r="A8318" s="1079"/>
      <c r="B8318" s="1050"/>
      <c r="C8318" s="1050"/>
      <c r="D8318" s="1050"/>
      <c r="E8318" s="1050"/>
      <c r="F8318" s="1050"/>
      <c r="G8318" s="1050"/>
    </row>
    <row r="8319" spans="1:7">
      <c r="A8319" s="1079"/>
      <c r="B8319" s="1050"/>
      <c r="C8319" s="1050"/>
      <c r="D8319" s="1050"/>
      <c r="E8319" s="1050"/>
      <c r="F8319" s="1050"/>
      <c r="G8319" s="1050"/>
    </row>
    <row r="8320" spans="1:7">
      <c r="A8320" s="1079"/>
      <c r="B8320" s="1050"/>
      <c r="C8320" s="1050"/>
      <c r="D8320" s="1050"/>
      <c r="E8320" s="1050"/>
      <c r="F8320" s="1050"/>
      <c r="G8320" s="1050"/>
    </row>
    <row r="8321" spans="1:7">
      <c r="A8321" s="1079"/>
      <c r="B8321" s="1050"/>
      <c r="C8321" s="1050"/>
      <c r="D8321" s="1050"/>
      <c r="E8321" s="1050"/>
      <c r="F8321" s="1050"/>
      <c r="G8321" s="1050"/>
    </row>
    <row r="8322" spans="1:7">
      <c r="A8322" s="1079"/>
      <c r="B8322" s="1050"/>
      <c r="C8322" s="1050"/>
      <c r="D8322" s="1050"/>
      <c r="E8322" s="1050"/>
      <c r="F8322" s="1050"/>
      <c r="G8322" s="1050"/>
    </row>
    <row r="8323" spans="1:7">
      <c r="A8323" s="1079"/>
      <c r="B8323" s="1050"/>
      <c r="C8323" s="1050"/>
      <c r="D8323" s="1050"/>
      <c r="E8323" s="1050"/>
      <c r="F8323" s="1050"/>
      <c r="G8323" s="1050"/>
    </row>
    <row r="8324" spans="1:7">
      <c r="A8324" s="1079"/>
      <c r="B8324" s="1050"/>
      <c r="C8324" s="1050"/>
      <c r="D8324" s="1050"/>
      <c r="E8324" s="1050"/>
      <c r="F8324" s="1050"/>
      <c r="G8324" s="1050"/>
    </row>
    <row r="8325" spans="1:7">
      <c r="A8325" s="1079"/>
      <c r="B8325" s="1050"/>
      <c r="C8325" s="1050"/>
      <c r="D8325" s="1050"/>
      <c r="E8325" s="1050"/>
      <c r="F8325" s="1050"/>
      <c r="G8325" s="1050"/>
    </row>
    <row r="8326" spans="1:7">
      <c r="A8326" s="1079"/>
      <c r="B8326" s="1050"/>
      <c r="C8326" s="1050"/>
      <c r="D8326" s="1050"/>
      <c r="E8326" s="1050"/>
      <c r="F8326" s="1050"/>
      <c r="G8326" s="1050"/>
    </row>
    <row r="8327" spans="1:7">
      <c r="A8327" s="1079"/>
      <c r="B8327" s="1050"/>
      <c r="C8327" s="1050"/>
      <c r="D8327" s="1050"/>
      <c r="E8327" s="1050"/>
      <c r="F8327" s="1050"/>
      <c r="G8327" s="1050"/>
    </row>
    <row r="8328" spans="1:7">
      <c r="A8328" s="1079"/>
      <c r="B8328" s="1050"/>
      <c r="C8328" s="1050"/>
      <c r="D8328" s="1050"/>
      <c r="E8328" s="1050"/>
      <c r="F8328" s="1050"/>
      <c r="G8328" s="1050"/>
    </row>
    <row r="8329" spans="1:7">
      <c r="A8329" s="1079"/>
      <c r="B8329" s="1050"/>
      <c r="C8329" s="1050"/>
      <c r="D8329" s="1050"/>
      <c r="E8329" s="1050"/>
      <c r="F8329" s="1050"/>
      <c r="G8329" s="1050"/>
    </row>
    <row r="8330" spans="1:7">
      <c r="A8330" s="1079"/>
      <c r="B8330" s="1050"/>
      <c r="C8330" s="1050"/>
      <c r="D8330" s="1050"/>
      <c r="E8330" s="1050"/>
      <c r="F8330" s="1050"/>
      <c r="G8330" s="1050"/>
    </row>
    <row r="8331" spans="1:7">
      <c r="A8331" s="1079"/>
      <c r="B8331" s="1050"/>
      <c r="C8331" s="1050"/>
      <c r="D8331" s="1050"/>
      <c r="E8331" s="1050"/>
      <c r="F8331" s="1050"/>
      <c r="G8331" s="1050"/>
    </row>
    <row r="8332" spans="1:7">
      <c r="A8332" s="1079"/>
      <c r="B8332" s="1050"/>
      <c r="C8332" s="1050"/>
      <c r="D8332" s="1050"/>
      <c r="E8332" s="1050"/>
      <c r="F8332" s="1050"/>
      <c r="G8332" s="1050"/>
    </row>
    <row r="8333" spans="1:7">
      <c r="A8333" s="1079"/>
      <c r="B8333" s="1050"/>
      <c r="C8333" s="1050"/>
      <c r="D8333" s="1050"/>
      <c r="E8333" s="1050"/>
      <c r="F8333" s="1050"/>
      <c r="G8333" s="1050"/>
    </row>
    <row r="8334" spans="1:7">
      <c r="A8334" s="1079"/>
      <c r="B8334" s="1050"/>
      <c r="C8334" s="1050"/>
      <c r="D8334" s="1050"/>
      <c r="E8334" s="1050"/>
      <c r="F8334" s="1050"/>
      <c r="G8334" s="1050"/>
    </row>
    <row r="8335" spans="1:7">
      <c r="A8335" s="1079"/>
      <c r="B8335" s="1050"/>
      <c r="C8335" s="1050"/>
      <c r="D8335" s="1050"/>
      <c r="E8335" s="1050"/>
      <c r="F8335" s="1050"/>
      <c r="G8335" s="1050"/>
    </row>
    <row r="8336" spans="1:7">
      <c r="A8336" s="1079"/>
      <c r="B8336" s="1050"/>
      <c r="C8336" s="1050"/>
      <c r="D8336" s="1050"/>
      <c r="E8336" s="1050"/>
      <c r="F8336" s="1050"/>
      <c r="G8336" s="1050"/>
    </row>
    <row r="8337" spans="1:7">
      <c r="A8337" s="1079"/>
      <c r="B8337" s="1050"/>
      <c r="C8337" s="1050"/>
      <c r="D8337" s="1050"/>
      <c r="E8337" s="1050"/>
      <c r="F8337" s="1050"/>
      <c r="G8337" s="1050"/>
    </row>
    <row r="8338" spans="1:7">
      <c r="A8338" s="1079"/>
      <c r="B8338" s="1050"/>
      <c r="C8338" s="1050"/>
      <c r="D8338" s="1050"/>
      <c r="E8338" s="1050"/>
      <c r="F8338" s="1050"/>
      <c r="G8338" s="1050"/>
    </row>
    <row r="8339" spans="1:7">
      <c r="A8339" s="1079"/>
      <c r="B8339" s="1050"/>
      <c r="C8339" s="1050"/>
      <c r="D8339" s="1050"/>
      <c r="E8339" s="1050"/>
      <c r="F8339" s="1050"/>
      <c r="G8339" s="1050"/>
    </row>
    <row r="8340" spans="1:7">
      <c r="A8340" s="1079"/>
      <c r="B8340" s="1050"/>
      <c r="C8340" s="1050"/>
      <c r="D8340" s="1050"/>
      <c r="E8340" s="1050"/>
      <c r="F8340" s="1050"/>
      <c r="G8340" s="1050"/>
    </row>
    <row r="8341" spans="1:7">
      <c r="A8341" s="1079"/>
      <c r="B8341" s="1050"/>
      <c r="C8341" s="1050"/>
      <c r="D8341" s="1050"/>
      <c r="E8341" s="1050"/>
      <c r="F8341" s="1050"/>
      <c r="G8341" s="1050"/>
    </row>
    <row r="8342" spans="1:7">
      <c r="A8342" s="1079"/>
      <c r="B8342" s="1050"/>
      <c r="C8342" s="1050"/>
      <c r="D8342" s="1050"/>
      <c r="E8342" s="1050"/>
      <c r="F8342" s="1050"/>
      <c r="G8342" s="1050"/>
    </row>
    <row r="8343" spans="1:7">
      <c r="A8343" s="1079"/>
      <c r="B8343" s="1050"/>
      <c r="C8343" s="1050"/>
      <c r="D8343" s="1050"/>
      <c r="E8343" s="1050"/>
      <c r="F8343" s="1050"/>
      <c r="G8343" s="1050"/>
    </row>
    <row r="8344" spans="1:7">
      <c r="A8344" s="1079"/>
      <c r="B8344" s="1050"/>
      <c r="C8344" s="1050"/>
      <c r="D8344" s="1050"/>
      <c r="E8344" s="1050"/>
      <c r="F8344" s="1050"/>
      <c r="G8344" s="1050"/>
    </row>
    <row r="8345" spans="1:7">
      <c r="A8345" s="1079"/>
      <c r="B8345" s="1050"/>
      <c r="C8345" s="1050"/>
      <c r="D8345" s="1050"/>
      <c r="E8345" s="1050"/>
      <c r="F8345" s="1050"/>
      <c r="G8345" s="1050"/>
    </row>
    <row r="8346" spans="1:7">
      <c r="A8346" s="1079"/>
      <c r="B8346" s="1050"/>
      <c r="C8346" s="1050"/>
      <c r="D8346" s="1050"/>
      <c r="E8346" s="1050"/>
      <c r="F8346" s="1050"/>
      <c r="G8346" s="1050"/>
    </row>
    <row r="8347" spans="1:7">
      <c r="A8347" s="1079"/>
      <c r="B8347" s="1050"/>
      <c r="C8347" s="1050"/>
      <c r="D8347" s="1050"/>
      <c r="E8347" s="1050"/>
      <c r="F8347" s="1050"/>
      <c r="G8347" s="1050"/>
    </row>
    <row r="8348" spans="1:7">
      <c r="A8348" s="1079"/>
      <c r="B8348" s="1050"/>
      <c r="C8348" s="1050"/>
      <c r="D8348" s="1050"/>
      <c r="E8348" s="1050"/>
      <c r="F8348" s="1050"/>
      <c r="G8348" s="1050"/>
    </row>
    <row r="8349" spans="1:7">
      <c r="A8349" s="1079"/>
      <c r="B8349" s="1050"/>
      <c r="C8349" s="1050"/>
      <c r="D8349" s="1050"/>
      <c r="E8349" s="1050"/>
      <c r="F8349" s="1050"/>
      <c r="G8349" s="1050"/>
    </row>
    <row r="8350" spans="1:7">
      <c r="A8350" s="1079"/>
      <c r="B8350" s="1050"/>
      <c r="C8350" s="1050"/>
      <c r="D8350" s="1050"/>
      <c r="E8350" s="1050"/>
      <c r="F8350" s="1050"/>
      <c r="G8350" s="1050"/>
    </row>
    <row r="8351" spans="1:7">
      <c r="A8351" s="1079"/>
      <c r="B8351" s="1050"/>
      <c r="C8351" s="1050"/>
      <c r="D8351" s="1050"/>
      <c r="E8351" s="1050"/>
      <c r="F8351" s="1050"/>
      <c r="G8351" s="1050"/>
    </row>
    <row r="8352" spans="1:7">
      <c r="A8352" s="1079"/>
      <c r="B8352" s="1050"/>
      <c r="C8352" s="1050"/>
      <c r="D8352" s="1050"/>
      <c r="E8352" s="1050"/>
      <c r="F8352" s="1050"/>
      <c r="G8352" s="1050"/>
    </row>
    <row r="8353" spans="1:7">
      <c r="A8353" s="1079"/>
      <c r="B8353" s="1050"/>
      <c r="C8353" s="1050"/>
      <c r="D8353" s="1050"/>
      <c r="E8353" s="1050"/>
      <c r="F8353" s="1050"/>
      <c r="G8353" s="1050"/>
    </row>
    <row r="8354" spans="1:7">
      <c r="A8354" s="1079"/>
      <c r="B8354" s="1050"/>
      <c r="C8354" s="1050"/>
      <c r="D8354" s="1050"/>
      <c r="E8354" s="1050"/>
      <c r="F8354" s="1050"/>
      <c r="G8354" s="1050"/>
    </row>
    <row r="8355" spans="1:7">
      <c r="A8355" s="1079"/>
      <c r="B8355" s="1050"/>
      <c r="C8355" s="1050"/>
      <c r="D8355" s="1050"/>
      <c r="E8355" s="1050"/>
      <c r="F8355" s="1050"/>
      <c r="G8355" s="1050"/>
    </row>
    <row r="8356" spans="1:7">
      <c r="A8356" s="1079"/>
      <c r="B8356" s="1050"/>
      <c r="C8356" s="1050"/>
      <c r="D8356" s="1050"/>
      <c r="E8356" s="1050"/>
      <c r="F8356" s="1050"/>
      <c r="G8356" s="1050"/>
    </row>
    <row r="8357" spans="1:7">
      <c r="A8357" s="1079"/>
      <c r="B8357" s="1050"/>
      <c r="C8357" s="1050"/>
      <c r="D8357" s="1050"/>
      <c r="E8357" s="1050"/>
      <c r="F8357" s="1050"/>
      <c r="G8357" s="1050"/>
    </row>
    <row r="8358" spans="1:7">
      <c r="A8358" s="1079"/>
      <c r="B8358" s="1050"/>
      <c r="C8358" s="1050"/>
      <c r="D8358" s="1050"/>
      <c r="E8358" s="1050"/>
      <c r="F8358" s="1050"/>
      <c r="G8358" s="1050"/>
    </row>
    <row r="8359" spans="1:7">
      <c r="A8359" s="1079"/>
      <c r="B8359" s="1050"/>
      <c r="C8359" s="1050"/>
      <c r="D8359" s="1050"/>
      <c r="E8359" s="1050"/>
      <c r="F8359" s="1050"/>
      <c r="G8359" s="1050"/>
    </row>
    <row r="8360" spans="1:7">
      <c r="A8360" s="1079"/>
      <c r="B8360" s="1050"/>
      <c r="C8360" s="1050"/>
      <c r="D8360" s="1050"/>
      <c r="E8360" s="1050"/>
      <c r="F8360" s="1050"/>
      <c r="G8360" s="1050"/>
    </row>
    <row r="8361" spans="1:7">
      <c r="A8361" s="1079"/>
      <c r="B8361" s="1050"/>
      <c r="C8361" s="1050"/>
      <c r="D8361" s="1050"/>
      <c r="E8361" s="1050"/>
      <c r="F8361" s="1050"/>
      <c r="G8361" s="1050"/>
    </row>
    <row r="8362" spans="1:7">
      <c r="A8362" s="1079"/>
      <c r="B8362" s="1050"/>
      <c r="C8362" s="1050"/>
      <c r="D8362" s="1050"/>
      <c r="E8362" s="1050"/>
      <c r="F8362" s="1050"/>
      <c r="G8362" s="1050"/>
    </row>
    <row r="8363" spans="1:7">
      <c r="A8363" s="1079"/>
      <c r="B8363" s="1050"/>
      <c r="C8363" s="1050"/>
      <c r="D8363" s="1050"/>
      <c r="E8363" s="1050"/>
      <c r="F8363" s="1050"/>
      <c r="G8363" s="1050"/>
    </row>
    <row r="8364" spans="1:7">
      <c r="A8364" s="1079"/>
      <c r="B8364" s="1050"/>
      <c r="C8364" s="1050"/>
      <c r="D8364" s="1050"/>
      <c r="E8364" s="1050"/>
      <c r="F8364" s="1050"/>
      <c r="G8364" s="1050"/>
    </row>
    <row r="8365" spans="1:7">
      <c r="A8365" s="1079"/>
      <c r="B8365" s="1050"/>
      <c r="C8365" s="1050"/>
      <c r="D8365" s="1050"/>
      <c r="E8365" s="1050"/>
      <c r="F8365" s="1050"/>
      <c r="G8365" s="1050"/>
    </row>
    <row r="8366" spans="1:7">
      <c r="A8366" s="1079"/>
      <c r="B8366" s="1050"/>
      <c r="C8366" s="1050"/>
      <c r="D8366" s="1050"/>
      <c r="E8366" s="1050"/>
      <c r="F8366" s="1050"/>
      <c r="G8366" s="1050"/>
    </row>
    <row r="8367" spans="1:7">
      <c r="A8367" s="1079"/>
      <c r="B8367" s="1050"/>
      <c r="C8367" s="1050"/>
      <c r="D8367" s="1050"/>
      <c r="E8367" s="1050"/>
      <c r="F8367" s="1050"/>
      <c r="G8367" s="1050"/>
    </row>
    <row r="8368" spans="1:7">
      <c r="A8368" s="1079"/>
      <c r="B8368" s="1050"/>
      <c r="C8368" s="1050"/>
      <c r="D8368" s="1050"/>
      <c r="E8368" s="1050"/>
      <c r="F8368" s="1050"/>
      <c r="G8368" s="1050"/>
    </row>
    <row r="8369" spans="1:7">
      <c r="A8369" s="1079"/>
      <c r="B8369" s="1050"/>
      <c r="C8369" s="1050"/>
      <c r="D8369" s="1050"/>
      <c r="E8369" s="1050"/>
      <c r="F8369" s="1050"/>
      <c r="G8369" s="1050"/>
    </row>
    <row r="8370" spans="1:7">
      <c r="A8370" s="1079"/>
      <c r="B8370" s="1050"/>
      <c r="C8370" s="1050"/>
      <c r="D8370" s="1050"/>
      <c r="E8370" s="1050"/>
      <c r="F8370" s="1050"/>
      <c r="G8370" s="1050"/>
    </row>
    <row r="8371" spans="1:7">
      <c r="A8371" s="1079"/>
      <c r="B8371" s="1050"/>
      <c r="C8371" s="1050"/>
      <c r="D8371" s="1050"/>
      <c r="E8371" s="1050"/>
      <c r="F8371" s="1050"/>
      <c r="G8371" s="1050"/>
    </row>
    <row r="8372" spans="1:7">
      <c r="A8372" s="1079"/>
      <c r="B8372" s="1050"/>
      <c r="C8372" s="1050"/>
      <c r="D8372" s="1050"/>
      <c r="E8372" s="1050"/>
      <c r="F8372" s="1050"/>
      <c r="G8372" s="1050"/>
    </row>
    <row r="8373" spans="1:7">
      <c r="A8373" s="1079"/>
      <c r="B8373" s="1050"/>
      <c r="C8373" s="1050"/>
      <c r="D8373" s="1050"/>
      <c r="E8373" s="1050"/>
      <c r="F8373" s="1050"/>
      <c r="G8373" s="1050"/>
    </row>
    <row r="8374" spans="1:7">
      <c r="A8374" s="1079"/>
      <c r="B8374" s="1050"/>
      <c r="C8374" s="1050"/>
      <c r="D8374" s="1050"/>
      <c r="E8374" s="1050"/>
      <c r="F8374" s="1050"/>
      <c r="G8374" s="1050"/>
    </row>
    <row r="8375" spans="1:7">
      <c r="A8375" s="1079"/>
      <c r="B8375" s="1050"/>
      <c r="C8375" s="1050"/>
      <c r="D8375" s="1050"/>
      <c r="E8375" s="1050"/>
      <c r="F8375" s="1050"/>
      <c r="G8375" s="1050"/>
    </row>
    <row r="8376" spans="1:7">
      <c r="A8376" s="1079"/>
      <c r="B8376" s="1050"/>
      <c r="C8376" s="1050"/>
      <c r="D8376" s="1050"/>
      <c r="E8376" s="1050"/>
      <c r="F8376" s="1050"/>
      <c r="G8376" s="1050"/>
    </row>
    <row r="8377" spans="1:7">
      <c r="A8377" s="1079"/>
      <c r="B8377" s="1050"/>
      <c r="C8377" s="1050"/>
      <c r="D8377" s="1050"/>
      <c r="E8377" s="1050"/>
      <c r="F8377" s="1050"/>
      <c r="G8377" s="1050"/>
    </row>
    <row r="8378" spans="1:7">
      <c r="A8378" s="1079"/>
      <c r="B8378" s="1050"/>
      <c r="C8378" s="1050"/>
      <c r="D8378" s="1050"/>
      <c r="E8378" s="1050"/>
      <c r="F8378" s="1050"/>
      <c r="G8378" s="1050"/>
    </row>
    <row r="8379" spans="1:7">
      <c r="A8379" s="1079"/>
      <c r="B8379" s="1050"/>
      <c r="C8379" s="1050"/>
      <c r="D8379" s="1050"/>
      <c r="E8379" s="1050"/>
      <c r="F8379" s="1050"/>
      <c r="G8379" s="1050"/>
    </row>
    <row r="8380" spans="1:7">
      <c r="A8380" s="1079"/>
      <c r="B8380" s="1050"/>
      <c r="C8380" s="1050"/>
      <c r="D8380" s="1050"/>
      <c r="E8380" s="1050"/>
      <c r="F8380" s="1050"/>
      <c r="G8380" s="1050"/>
    </row>
    <row r="8381" spans="1:7">
      <c r="A8381" s="1079"/>
      <c r="B8381" s="1050"/>
      <c r="C8381" s="1050"/>
      <c r="D8381" s="1050"/>
      <c r="E8381" s="1050"/>
      <c r="F8381" s="1050"/>
      <c r="G8381" s="1050"/>
    </row>
    <row r="8382" spans="1:7">
      <c r="A8382" s="1079"/>
      <c r="B8382" s="1050"/>
      <c r="C8382" s="1050"/>
      <c r="D8382" s="1050"/>
      <c r="E8382" s="1050"/>
      <c r="F8382" s="1050"/>
      <c r="G8382" s="1050"/>
    </row>
    <row r="8383" spans="1:7">
      <c r="A8383" s="1079"/>
      <c r="B8383" s="1050"/>
      <c r="C8383" s="1050"/>
      <c r="D8383" s="1050"/>
      <c r="E8383" s="1050"/>
      <c r="F8383" s="1050"/>
      <c r="G8383" s="1050"/>
    </row>
    <row r="8384" spans="1:7">
      <c r="A8384" s="1079"/>
      <c r="B8384" s="1050"/>
      <c r="C8384" s="1050"/>
      <c r="D8384" s="1050"/>
      <c r="E8384" s="1050"/>
      <c r="F8384" s="1050"/>
      <c r="G8384" s="1050"/>
    </row>
    <row r="8385" spans="1:7">
      <c r="A8385" s="1079"/>
      <c r="B8385" s="1050"/>
      <c r="C8385" s="1050"/>
      <c r="D8385" s="1050"/>
      <c r="E8385" s="1050"/>
      <c r="F8385" s="1050"/>
      <c r="G8385" s="1050"/>
    </row>
    <row r="8386" spans="1:7">
      <c r="A8386" s="1079"/>
      <c r="B8386" s="1050"/>
      <c r="C8386" s="1050"/>
      <c r="D8386" s="1050"/>
      <c r="E8386" s="1050"/>
      <c r="F8386" s="1050"/>
      <c r="G8386" s="1050"/>
    </row>
    <row r="8387" spans="1:7">
      <c r="A8387" s="1079"/>
      <c r="B8387" s="1050"/>
      <c r="C8387" s="1050"/>
      <c r="D8387" s="1050"/>
      <c r="E8387" s="1050"/>
      <c r="F8387" s="1050"/>
      <c r="G8387" s="1050"/>
    </row>
    <row r="8388" spans="1:7">
      <c r="A8388" s="1079"/>
      <c r="B8388" s="1050"/>
      <c r="C8388" s="1050"/>
      <c r="D8388" s="1050"/>
      <c r="E8388" s="1050"/>
      <c r="F8388" s="1050"/>
      <c r="G8388" s="1050"/>
    </row>
    <row r="8389" spans="1:7">
      <c r="A8389" s="1079"/>
      <c r="B8389" s="1050"/>
      <c r="C8389" s="1050"/>
      <c r="D8389" s="1050"/>
      <c r="E8389" s="1050"/>
      <c r="F8389" s="1050"/>
      <c r="G8389" s="1050"/>
    </row>
    <row r="8390" spans="1:7">
      <c r="A8390" s="1079"/>
      <c r="B8390" s="1050"/>
      <c r="C8390" s="1050"/>
      <c r="D8390" s="1050"/>
      <c r="E8390" s="1050"/>
      <c r="F8390" s="1050"/>
      <c r="G8390" s="1050"/>
    </row>
    <row r="8391" spans="1:7">
      <c r="A8391" s="1079"/>
      <c r="B8391" s="1050"/>
      <c r="C8391" s="1050"/>
      <c r="D8391" s="1050"/>
      <c r="E8391" s="1050"/>
      <c r="F8391" s="1050"/>
      <c r="G8391" s="1050"/>
    </row>
    <row r="8392" spans="1:7">
      <c r="A8392" s="1079"/>
      <c r="B8392" s="1050"/>
      <c r="C8392" s="1050"/>
      <c r="D8392" s="1050"/>
      <c r="E8392" s="1050"/>
      <c r="F8392" s="1050"/>
      <c r="G8392" s="1050"/>
    </row>
    <row r="8393" spans="1:7">
      <c r="A8393" s="1079"/>
      <c r="B8393" s="1050"/>
      <c r="C8393" s="1050"/>
      <c r="D8393" s="1050"/>
      <c r="E8393" s="1050"/>
      <c r="F8393" s="1050"/>
      <c r="G8393" s="1050"/>
    </row>
    <row r="8394" spans="1:7">
      <c r="A8394" s="1079"/>
      <c r="B8394" s="1050"/>
      <c r="C8394" s="1050"/>
      <c r="D8394" s="1050"/>
      <c r="E8394" s="1050"/>
      <c r="F8394" s="1050"/>
      <c r="G8394" s="1050"/>
    </row>
    <row r="8395" spans="1:7">
      <c r="A8395" s="1079"/>
      <c r="B8395" s="1050"/>
      <c r="C8395" s="1050"/>
      <c r="D8395" s="1050"/>
      <c r="E8395" s="1050"/>
      <c r="F8395" s="1050"/>
      <c r="G8395" s="1050"/>
    </row>
    <row r="8396" spans="1:7">
      <c r="A8396" s="1079"/>
      <c r="B8396" s="1050"/>
      <c r="C8396" s="1050"/>
      <c r="D8396" s="1050"/>
      <c r="E8396" s="1050"/>
      <c r="F8396" s="1050"/>
      <c r="G8396" s="1050"/>
    </row>
    <row r="8397" spans="1:7">
      <c r="A8397" s="1079"/>
      <c r="B8397" s="1050"/>
      <c r="C8397" s="1050"/>
      <c r="D8397" s="1050"/>
      <c r="E8397" s="1050"/>
      <c r="F8397" s="1050"/>
      <c r="G8397" s="1050"/>
    </row>
    <row r="8398" spans="1:7">
      <c r="A8398" s="1079"/>
      <c r="B8398" s="1050"/>
      <c r="C8398" s="1050"/>
      <c r="D8398" s="1050"/>
      <c r="E8398" s="1050"/>
      <c r="F8398" s="1050"/>
      <c r="G8398" s="1050"/>
    </row>
    <row r="8399" spans="1:7">
      <c r="A8399" s="1079"/>
      <c r="B8399" s="1050"/>
      <c r="C8399" s="1050"/>
      <c r="D8399" s="1050"/>
      <c r="E8399" s="1050"/>
      <c r="F8399" s="1050"/>
      <c r="G8399" s="1050"/>
    </row>
    <row r="8400" spans="1:7">
      <c r="A8400" s="1079"/>
      <c r="B8400" s="1050"/>
      <c r="C8400" s="1050"/>
      <c r="D8400" s="1050"/>
      <c r="E8400" s="1050"/>
      <c r="F8400" s="1050"/>
      <c r="G8400" s="1050"/>
    </row>
    <row r="8401" spans="1:7">
      <c r="A8401" s="1079"/>
      <c r="B8401" s="1050"/>
      <c r="C8401" s="1050"/>
      <c r="D8401" s="1050"/>
      <c r="E8401" s="1050"/>
      <c r="F8401" s="1050"/>
      <c r="G8401" s="1050"/>
    </row>
    <row r="8402" spans="1:7">
      <c r="A8402" s="1079"/>
      <c r="B8402" s="1050"/>
      <c r="C8402" s="1050"/>
      <c r="D8402" s="1050"/>
      <c r="E8402" s="1050"/>
      <c r="F8402" s="1050"/>
      <c r="G8402" s="1050"/>
    </row>
    <row r="8403" spans="1:7">
      <c r="A8403" s="1079"/>
      <c r="B8403" s="1050"/>
      <c r="C8403" s="1050"/>
      <c r="D8403" s="1050"/>
      <c r="E8403" s="1050"/>
      <c r="F8403" s="1050"/>
      <c r="G8403" s="1050"/>
    </row>
    <row r="8404" spans="1:7">
      <c r="A8404" s="1079"/>
      <c r="B8404" s="1050"/>
      <c r="C8404" s="1050"/>
      <c r="D8404" s="1050"/>
      <c r="E8404" s="1050"/>
      <c r="F8404" s="1050"/>
      <c r="G8404" s="1050"/>
    </row>
    <row r="8405" spans="1:7">
      <c r="A8405" s="1079"/>
      <c r="B8405" s="1050"/>
      <c r="C8405" s="1050"/>
      <c r="D8405" s="1050"/>
      <c r="E8405" s="1050"/>
      <c r="F8405" s="1050"/>
      <c r="G8405" s="1050"/>
    </row>
    <row r="8406" spans="1:7">
      <c r="A8406" s="1079"/>
      <c r="B8406" s="1050"/>
      <c r="C8406" s="1050"/>
      <c r="D8406" s="1050"/>
      <c r="E8406" s="1050"/>
      <c r="F8406" s="1050"/>
      <c r="G8406" s="1050"/>
    </row>
    <row r="8407" spans="1:7">
      <c r="A8407" s="1079"/>
      <c r="B8407" s="1050"/>
      <c r="C8407" s="1050"/>
      <c r="D8407" s="1050"/>
      <c r="E8407" s="1050"/>
      <c r="F8407" s="1050"/>
      <c r="G8407" s="1050"/>
    </row>
    <row r="8408" spans="1:7">
      <c r="A8408" s="1079"/>
      <c r="B8408" s="1050"/>
      <c r="C8408" s="1050"/>
      <c r="D8408" s="1050"/>
      <c r="E8408" s="1050"/>
      <c r="F8408" s="1050"/>
      <c r="G8408" s="1050"/>
    </row>
    <row r="8409" spans="1:7">
      <c r="A8409" s="1079"/>
      <c r="B8409" s="1050"/>
      <c r="C8409" s="1050"/>
      <c r="D8409" s="1050"/>
      <c r="E8409" s="1050"/>
      <c r="F8409" s="1050"/>
      <c r="G8409" s="1050"/>
    </row>
    <row r="8410" spans="1:7">
      <c r="A8410" s="1079"/>
      <c r="B8410" s="1050"/>
      <c r="C8410" s="1050"/>
      <c r="D8410" s="1050"/>
      <c r="E8410" s="1050"/>
      <c r="F8410" s="1050"/>
      <c r="G8410" s="1050"/>
    </row>
    <row r="8411" spans="1:7">
      <c r="A8411" s="1079"/>
      <c r="B8411" s="1050"/>
      <c r="C8411" s="1050"/>
      <c r="D8411" s="1050"/>
      <c r="E8411" s="1050"/>
      <c r="F8411" s="1050"/>
      <c r="G8411" s="1050"/>
    </row>
    <row r="8412" spans="1:7">
      <c r="A8412" s="1079"/>
      <c r="B8412" s="1050"/>
      <c r="C8412" s="1050"/>
      <c r="D8412" s="1050"/>
      <c r="E8412" s="1050"/>
      <c r="F8412" s="1050"/>
      <c r="G8412" s="1050"/>
    </row>
    <row r="8413" spans="1:7">
      <c r="A8413" s="1079"/>
      <c r="B8413" s="1050"/>
      <c r="C8413" s="1050"/>
      <c r="D8413" s="1050"/>
      <c r="E8413" s="1050"/>
      <c r="F8413" s="1050"/>
      <c r="G8413" s="1050"/>
    </row>
    <row r="8414" spans="1:7">
      <c r="A8414" s="1079"/>
      <c r="B8414" s="1050"/>
      <c r="C8414" s="1050"/>
      <c r="D8414" s="1050"/>
      <c r="E8414" s="1050"/>
      <c r="F8414" s="1050"/>
      <c r="G8414" s="1050"/>
    </row>
    <row r="8415" spans="1:7">
      <c r="A8415" s="1079"/>
      <c r="B8415" s="1050"/>
      <c r="C8415" s="1050"/>
      <c r="D8415" s="1050"/>
      <c r="E8415" s="1050"/>
      <c r="F8415" s="1050"/>
      <c r="G8415" s="1050"/>
    </row>
    <row r="8416" spans="1:7">
      <c r="A8416" s="1079"/>
      <c r="B8416" s="1050"/>
      <c r="C8416" s="1050"/>
      <c r="D8416" s="1050"/>
      <c r="E8416" s="1050"/>
      <c r="F8416" s="1050"/>
      <c r="G8416" s="1050"/>
    </row>
    <row r="8417" spans="1:7">
      <c r="A8417" s="1079"/>
      <c r="B8417" s="1050"/>
      <c r="C8417" s="1050"/>
      <c r="D8417" s="1050"/>
      <c r="E8417" s="1050"/>
      <c r="F8417" s="1050"/>
      <c r="G8417" s="1050"/>
    </row>
    <row r="8418" spans="1:7">
      <c r="A8418" s="1079"/>
      <c r="B8418" s="1050"/>
      <c r="C8418" s="1050"/>
      <c r="D8418" s="1050"/>
      <c r="E8418" s="1050"/>
      <c r="F8418" s="1050"/>
      <c r="G8418" s="1050"/>
    </row>
    <row r="8419" spans="1:7">
      <c r="A8419" s="1079"/>
      <c r="B8419" s="1050"/>
      <c r="C8419" s="1050"/>
      <c r="D8419" s="1050"/>
      <c r="E8419" s="1050"/>
      <c r="F8419" s="1050"/>
      <c r="G8419" s="1050"/>
    </row>
    <row r="8420" spans="1:7">
      <c r="A8420" s="1079"/>
      <c r="B8420" s="1050"/>
      <c r="C8420" s="1050"/>
      <c r="D8420" s="1050"/>
      <c r="E8420" s="1050"/>
      <c r="F8420" s="1050"/>
      <c r="G8420" s="1050"/>
    </row>
    <row r="8421" spans="1:7">
      <c r="A8421" s="1079"/>
      <c r="B8421" s="1050"/>
      <c r="C8421" s="1050"/>
      <c r="D8421" s="1050"/>
      <c r="E8421" s="1050"/>
      <c r="F8421" s="1050"/>
      <c r="G8421" s="1050"/>
    </row>
    <row r="8422" spans="1:7">
      <c r="A8422" s="1079"/>
      <c r="B8422" s="1050"/>
      <c r="C8422" s="1050"/>
      <c r="D8422" s="1050"/>
      <c r="E8422" s="1050"/>
      <c r="F8422" s="1050"/>
      <c r="G8422" s="1050"/>
    </row>
    <row r="8423" spans="1:7">
      <c r="A8423" s="1079"/>
      <c r="B8423" s="1050"/>
      <c r="C8423" s="1050"/>
      <c r="D8423" s="1050"/>
      <c r="E8423" s="1050"/>
      <c r="F8423" s="1050"/>
      <c r="G8423" s="1050"/>
    </row>
    <row r="8424" spans="1:7">
      <c r="A8424" s="1079"/>
      <c r="B8424" s="1050"/>
      <c r="C8424" s="1050"/>
      <c r="D8424" s="1050"/>
      <c r="E8424" s="1050"/>
      <c r="F8424" s="1050"/>
      <c r="G8424" s="1050"/>
    </row>
    <row r="8425" spans="1:7">
      <c r="A8425" s="1079"/>
      <c r="B8425" s="1050"/>
      <c r="C8425" s="1050"/>
      <c r="D8425" s="1050"/>
      <c r="E8425" s="1050"/>
      <c r="F8425" s="1050"/>
      <c r="G8425" s="1050"/>
    </row>
    <row r="8426" spans="1:7">
      <c r="A8426" s="1079"/>
      <c r="B8426" s="1050"/>
      <c r="C8426" s="1050"/>
      <c r="D8426" s="1050"/>
      <c r="E8426" s="1050"/>
      <c r="F8426" s="1050"/>
      <c r="G8426" s="1050"/>
    </row>
    <row r="8427" spans="1:7">
      <c r="A8427" s="1079"/>
      <c r="B8427" s="1050"/>
      <c r="C8427" s="1050"/>
      <c r="D8427" s="1050"/>
      <c r="E8427" s="1050"/>
      <c r="F8427" s="1050"/>
      <c r="G8427" s="1050"/>
    </row>
    <row r="8428" spans="1:7">
      <c r="A8428" s="1079"/>
      <c r="B8428" s="1050"/>
      <c r="C8428" s="1050"/>
      <c r="D8428" s="1050"/>
      <c r="E8428" s="1050"/>
      <c r="F8428" s="1050"/>
      <c r="G8428" s="1050"/>
    </row>
    <row r="8429" spans="1:7">
      <c r="A8429" s="1079"/>
      <c r="B8429" s="1050"/>
      <c r="C8429" s="1050"/>
      <c r="D8429" s="1050"/>
      <c r="E8429" s="1050"/>
      <c r="F8429" s="1050"/>
      <c r="G8429" s="1050"/>
    </row>
    <row r="8430" spans="1:7">
      <c r="A8430" s="1079"/>
      <c r="B8430" s="1050"/>
      <c r="C8430" s="1050"/>
      <c r="D8430" s="1050"/>
      <c r="E8430" s="1050"/>
      <c r="F8430" s="1050"/>
      <c r="G8430" s="1050"/>
    </row>
    <row r="8431" spans="1:7">
      <c r="A8431" s="1079"/>
      <c r="B8431" s="1050"/>
      <c r="C8431" s="1050"/>
      <c r="D8431" s="1050"/>
      <c r="E8431" s="1050"/>
      <c r="F8431" s="1050"/>
      <c r="G8431" s="1050"/>
    </row>
    <row r="8432" spans="1:7">
      <c r="A8432" s="1079"/>
      <c r="B8432" s="1050"/>
      <c r="C8432" s="1050"/>
      <c r="D8432" s="1050"/>
      <c r="E8432" s="1050"/>
      <c r="F8432" s="1050"/>
      <c r="G8432" s="1050"/>
    </row>
    <row r="8433" spans="1:7">
      <c r="A8433" s="1079"/>
      <c r="B8433" s="1050"/>
      <c r="C8433" s="1050"/>
      <c r="D8433" s="1050"/>
      <c r="E8433" s="1050"/>
      <c r="F8433" s="1050"/>
      <c r="G8433" s="1050"/>
    </row>
    <row r="8434" spans="1:7">
      <c r="A8434" s="1079"/>
      <c r="B8434" s="1050"/>
      <c r="C8434" s="1050"/>
      <c r="D8434" s="1050"/>
      <c r="E8434" s="1050"/>
      <c r="F8434" s="1050"/>
      <c r="G8434" s="1050"/>
    </row>
    <row r="8435" spans="1:7">
      <c r="A8435" s="1079"/>
      <c r="B8435" s="1050"/>
      <c r="C8435" s="1050"/>
      <c r="D8435" s="1050"/>
      <c r="E8435" s="1050"/>
      <c r="F8435" s="1050"/>
      <c r="G8435" s="1050"/>
    </row>
    <row r="8436" spans="1:7">
      <c r="A8436" s="1079"/>
      <c r="B8436" s="1050"/>
      <c r="C8436" s="1050"/>
      <c r="D8436" s="1050"/>
      <c r="E8436" s="1050"/>
      <c r="F8436" s="1050"/>
      <c r="G8436" s="1050"/>
    </row>
    <row r="8437" spans="1:7">
      <c r="A8437" s="1079"/>
      <c r="B8437" s="1050"/>
      <c r="C8437" s="1050"/>
      <c r="D8437" s="1050"/>
      <c r="E8437" s="1050"/>
      <c r="F8437" s="1050"/>
      <c r="G8437" s="1050"/>
    </row>
    <row r="8438" spans="1:7">
      <c r="A8438" s="1079"/>
      <c r="B8438" s="1050"/>
      <c r="C8438" s="1050"/>
      <c r="D8438" s="1050"/>
      <c r="E8438" s="1050"/>
      <c r="F8438" s="1050"/>
      <c r="G8438" s="1050"/>
    </row>
    <row r="8439" spans="1:7">
      <c r="A8439" s="1079"/>
      <c r="B8439" s="1050"/>
      <c r="C8439" s="1050"/>
      <c r="D8439" s="1050"/>
      <c r="E8439" s="1050"/>
      <c r="F8439" s="1050"/>
      <c r="G8439" s="1050"/>
    </row>
    <row r="8440" spans="1:7">
      <c r="A8440" s="1079"/>
      <c r="B8440" s="1050"/>
      <c r="C8440" s="1050"/>
      <c r="D8440" s="1050"/>
      <c r="E8440" s="1050"/>
      <c r="F8440" s="1050"/>
      <c r="G8440" s="1050"/>
    </row>
    <row r="8441" spans="1:7">
      <c r="A8441" s="1079"/>
      <c r="B8441" s="1050"/>
      <c r="C8441" s="1050"/>
      <c r="D8441" s="1050"/>
      <c r="E8441" s="1050"/>
      <c r="F8441" s="1050"/>
      <c r="G8441" s="1050"/>
    </row>
    <row r="8442" spans="1:7">
      <c r="A8442" s="1079"/>
      <c r="B8442" s="1050"/>
      <c r="C8442" s="1050"/>
      <c r="D8442" s="1050"/>
      <c r="E8442" s="1050"/>
      <c r="F8442" s="1050"/>
      <c r="G8442" s="1050"/>
    </row>
    <row r="8443" spans="1:7">
      <c r="A8443" s="1079"/>
      <c r="B8443" s="1050"/>
      <c r="C8443" s="1050"/>
      <c r="D8443" s="1050"/>
      <c r="E8443" s="1050"/>
      <c r="F8443" s="1050"/>
      <c r="G8443" s="1050"/>
    </row>
    <row r="8444" spans="1:7">
      <c r="A8444" s="1079"/>
      <c r="B8444" s="1050"/>
      <c r="C8444" s="1050"/>
      <c r="D8444" s="1050"/>
      <c r="E8444" s="1050"/>
      <c r="F8444" s="1050"/>
      <c r="G8444" s="1050"/>
    </row>
    <row r="8445" spans="1:7">
      <c r="A8445" s="1079"/>
      <c r="B8445" s="1050"/>
      <c r="C8445" s="1050"/>
      <c r="D8445" s="1050"/>
      <c r="E8445" s="1050"/>
      <c r="F8445" s="1050"/>
      <c r="G8445" s="1050"/>
    </row>
    <row r="8446" spans="1:7">
      <c r="A8446" s="1079"/>
      <c r="B8446" s="1050"/>
      <c r="C8446" s="1050"/>
      <c r="D8446" s="1050"/>
      <c r="E8446" s="1050"/>
      <c r="F8446" s="1050"/>
      <c r="G8446" s="1050"/>
    </row>
    <row r="8447" spans="1:7">
      <c r="A8447" s="1079"/>
      <c r="B8447" s="1050"/>
      <c r="C8447" s="1050"/>
      <c r="D8447" s="1050"/>
      <c r="E8447" s="1050"/>
      <c r="F8447" s="1050"/>
      <c r="G8447" s="1050"/>
    </row>
    <row r="8448" spans="1:7">
      <c r="A8448" s="1079"/>
      <c r="B8448" s="1050"/>
      <c r="C8448" s="1050"/>
      <c r="D8448" s="1050"/>
      <c r="E8448" s="1050"/>
      <c r="F8448" s="1050"/>
      <c r="G8448" s="1050"/>
    </row>
    <row r="8449" spans="1:7">
      <c r="A8449" s="1079"/>
      <c r="B8449" s="1050"/>
      <c r="C8449" s="1050"/>
      <c r="D8449" s="1050"/>
      <c r="E8449" s="1050"/>
      <c r="F8449" s="1050"/>
      <c r="G8449" s="1050"/>
    </row>
    <row r="8450" spans="1:7">
      <c r="A8450" s="1079"/>
      <c r="B8450" s="1050"/>
      <c r="C8450" s="1050"/>
      <c r="D8450" s="1050"/>
      <c r="E8450" s="1050"/>
      <c r="F8450" s="1050"/>
      <c r="G8450" s="1050"/>
    </row>
    <row r="8451" spans="1:7">
      <c r="A8451" s="1079"/>
      <c r="B8451" s="1050"/>
      <c r="C8451" s="1050"/>
      <c r="D8451" s="1050"/>
      <c r="E8451" s="1050"/>
      <c r="F8451" s="1050"/>
      <c r="G8451" s="1050"/>
    </row>
    <row r="8452" spans="1:7">
      <c r="A8452" s="1079"/>
      <c r="B8452" s="1050"/>
      <c r="C8452" s="1050"/>
      <c r="D8452" s="1050"/>
      <c r="E8452" s="1050"/>
      <c r="F8452" s="1050"/>
      <c r="G8452" s="1050"/>
    </row>
    <row r="8453" spans="1:7">
      <c r="A8453" s="1079"/>
      <c r="B8453" s="1050"/>
      <c r="C8453" s="1050"/>
      <c r="D8453" s="1050"/>
      <c r="E8453" s="1050"/>
      <c r="F8453" s="1050"/>
      <c r="G8453" s="1050"/>
    </row>
    <row r="8454" spans="1:7">
      <c r="A8454" s="1079"/>
      <c r="B8454" s="1050"/>
      <c r="C8454" s="1050"/>
      <c r="D8454" s="1050"/>
      <c r="E8454" s="1050"/>
      <c r="F8454" s="1050"/>
      <c r="G8454" s="1050"/>
    </row>
    <row r="8455" spans="1:7">
      <c r="A8455" s="1079"/>
      <c r="B8455" s="1050"/>
      <c r="C8455" s="1050"/>
      <c r="D8455" s="1050"/>
      <c r="E8455" s="1050"/>
      <c r="F8455" s="1050"/>
      <c r="G8455" s="1050"/>
    </row>
    <row r="8456" spans="1:7">
      <c r="A8456" s="1079"/>
      <c r="B8456" s="1050"/>
      <c r="C8456" s="1050"/>
      <c r="D8456" s="1050"/>
      <c r="E8456" s="1050"/>
      <c r="F8456" s="1050"/>
      <c r="G8456" s="1050"/>
    </row>
    <row r="8457" spans="1:7">
      <c r="A8457" s="1079"/>
      <c r="B8457" s="1050"/>
      <c r="C8457" s="1050"/>
      <c r="D8457" s="1050"/>
      <c r="E8457" s="1050"/>
      <c r="F8457" s="1050"/>
      <c r="G8457" s="1050"/>
    </row>
    <row r="8458" spans="1:7">
      <c r="A8458" s="1079"/>
      <c r="B8458" s="1050"/>
      <c r="C8458" s="1050"/>
      <c r="D8458" s="1050"/>
      <c r="E8458" s="1050"/>
      <c r="F8458" s="1050"/>
      <c r="G8458" s="1050"/>
    </row>
    <row r="8459" spans="1:7">
      <c r="A8459" s="1079"/>
      <c r="B8459" s="1050"/>
      <c r="C8459" s="1050"/>
      <c r="D8459" s="1050"/>
      <c r="E8459" s="1050"/>
      <c r="F8459" s="1050"/>
      <c r="G8459" s="1050"/>
    </row>
    <row r="8460" spans="1:7">
      <c r="A8460" s="1079"/>
      <c r="B8460" s="1050"/>
      <c r="C8460" s="1050"/>
      <c r="D8460" s="1050"/>
      <c r="E8460" s="1050"/>
      <c r="F8460" s="1050"/>
      <c r="G8460" s="1050"/>
    </row>
    <row r="8461" spans="1:7">
      <c r="A8461" s="1079"/>
      <c r="B8461" s="1050"/>
      <c r="C8461" s="1050"/>
      <c r="D8461" s="1050"/>
      <c r="E8461" s="1050"/>
      <c r="F8461" s="1050"/>
      <c r="G8461" s="1050"/>
    </row>
    <row r="8462" spans="1:7">
      <c r="A8462" s="1079"/>
      <c r="B8462" s="1050"/>
      <c r="C8462" s="1050"/>
      <c r="D8462" s="1050"/>
      <c r="E8462" s="1050"/>
      <c r="F8462" s="1050"/>
      <c r="G8462" s="1050"/>
    </row>
    <row r="8463" spans="1:7">
      <c r="A8463" s="1079"/>
      <c r="B8463" s="1050"/>
      <c r="C8463" s="1050"/>
      <c r="D8463" s="1050"/>
      <c r="E8463" s="1050"/>
      <c r="F8463" s="1050"/>
      <c r="G8463" s="1050"/>
    </row>
    <row r="8464" spans="1:7">
      <c r="A8464" s="1079"/>
      <c r="B8464" s="1050"/>
      <c r="C8464" s="1050"/>
      <c r="D8464" s="1050"/>
      <c r="E8464" s="1050"/>
      <c r="F8464" s="1050"/>
      <c r="G8464" s="1050"/>
    </row>
    <row r="8465" spans="1:7">
      <c r="A8465" s="1079"/>
      <c r="B8465" s="1050"/>
      <c r="C8465" s="1050"/>
      <c r="D8465" s="1050"/>
      <c r="E8465" s="1050"/>
      <c r="F8465" s="1050"/>
      <c r="G8465" s="1050"/>
    </row>
    <row r="8466" spans="1:7">
      <c r="A8466" s="1079"/>
      <c r="B8466" s="1050"/>
      <c r="C8466" s="1050"/>
      <c r="D8466" s="1050"/>
      <c r="E8466" s="1050"/>
      <c r="F8466" s="1050"/>
      <c r="G8466" s="1050"/>
    </row>
    <row r="8467" spans="1:7">
      <c r="A8467" s="1079"/>
      <c r="B8467" s="1050"/>
      <c r="C8467" s="1050"/>
      <c r="D8467" s="1050"/>
      <c r="E8467" s="1050"/>
      <c r="F8467" s="1050"/>
      <c r="G8467" s="1050"/>
    </row>
    <row r="8468" spans="1:7">
      <c r="A8468" s="1079"/>
      <c r="B8468" s="1050"/>
      <c r="C8468" s="1050"/>
      <c r="D8468" s="1050"/>
      <c r="E8468" s="1050"/>
      <c r="F8468" s="1050"/>
      <c r="G8468" s="1050"/>
    </row>
    <row r="8469" spans="1:7">
      <c r="A8469" s="1079"/>
      <c r="B8469" s="1050"/>
      <c r="C8469" s="1050"/>
      <c r="D8469" s="1050"/>
      <c r="E8469" s="1050"/>
      <c r="F8469" s="1050"/>
      <c r="G8469" s="1050"/>
    </row>
    <row r="8470" spans="1:7">
      <c r="A8470" s="1079"/>
      <c r="B8470" s="1050"/>
      <c r="C8470" s="1050"/>
      <c r="D8470" s="1050"/>
      <c r="E8470" s="1050"/>
      <c r="F8470" s="1050"/>
      <c r="G8470" s="1050"/>
    </row>
    <row r="8471" spans="1:7">
      <c r="A8471" s="1079"/>
      <c r="B8471" s="1050"/>
      <c r="C8471" s="1050"/>
      <c r="D8471" s="1050"/>
      <c r="E8471" s="1050"/>
      <c r="F8471" s="1050"/>
      <c r="G8471" s="1050"/>
    </row>
    <row r="8472" spans="1:7">
      <c r="A8472" s="1079"/>
      <c r="B8472" s="1050"/>
      <c r="C8472" s="1050"/>
      <c r="D8472" s="1050"/>
      <c r="E8472" s="1050"/>
      <c r="F8472" s="1050"/>
      <c r="G8472" s="1050"/>
    </row>
    <row r="8473" spans="1:7">
      <c r="A8473" s="1079"/>
      <c r="B8473" s="1050"/>
      <c r="C8473" s="1050"/>
      <c r="D8473" s="1050"/>
      <c r="E8473" s="1050"/>
      <c r="F8473" s="1050"/>
      <c r="G8473" s="1050"/>
    </row>
    <row r="8474" spans="1:7">
      <c r="A8474" s="1079"/>
      <c r="B8474" s="1050"/>
      <c r="C8474" s="1050"/>
      <c r="D8474" s="1050"/>
      <c r="E8474" s="1050"/>
      <c r="F8474" s="1050"/>
      <c r="G8474" s="1050"/>
    </row>
    <row r="8475" spans="1:7">
      <c r="A8475" s="1079"/>
      <c r="B8475" s="1050"/>
      <c r="C8475" s="1050"/>
      <c r="D8475" s="1050"/>
      <c r="E8475" s="1050"/>
      <c r="F8475" s="1050"/>
      <c r="G8475" s="1050"/>
    </row>
    <row r="8476" spans="1:7">
      <c r="A8476" s="1079"/>
      <c r="B8476" s="1050"/>
      <c r="C8476" s="1050"/>
      <c r="D8476" s="1050"/>
      <c r="E8476" s="1050"/>
      <c r="F8476" s="1050"/>
      <c r="G8476" s="1050"/>
    </row>
    <row r="8477" spans="1:7">
      <c r="A8477" s="1079"/>
      <c r="B8477" s="1050"/>
      <c r="C8477" s="1050"/>
      <c r="D8477" s="1050"/>
      <c r="E8477" s="1050"/>
      <c r="F8477" s="1050"/>
      <c r="G8477" s="1050"/>
    </row>
    <row r="8478" spans="1:7">
      <c r="A8478" s="1079"/>
      <c r="B8478" s="1050"/>
      <c r="C8478" s="1050"/>
      <c r="D8478" s="1050"/>
      <c r="E8478" s="1050"/>
      <c r="F8478" s="1050"/>
      <c r="G8478" s="1050"/>
    </row>
    <row r="8479" spans="1:7">
      <c r="A8479" s="1079"/>
      <c r="B8479" s="1050"/>
      <c r="C8479" s="1050"/>
      <c r="D8479" s="1050"/>
      <c r="E8479" s="1050"/>
      <c r="F8479" s="1050"/>
      <c r="G8479" s="1050"/>
    </row>
    <row r="8480" spans="1:7">
      <c r="A8480" s="1079"/>
      <c r="B8480" s="1050"/>
      <c r="C8480" s="1050"/>
      <c r="D8480" s="1050"/>
      <c r="E8480" s="1050"/>
      <c r="F8480" s="1050"/>
      <c r="G8480" s="1050"/>
    </row>
    <row r="8481" spans="1:7">
      <c r="A8481" s="1079"/>
      <c r="B8481" s="1050"/>
      <c r="C8481" s="1050"/>
      <c r="D8481" s="1050"/>
      <c r="E8481" s="1050"/>
      <c r="F8481" s="1050"/>
      <c r="G8481" s="1050"/>
    </row>
    <row r="8482" spans="1:7">
      <c r="A8482" s="1079"/>
      <c r="B8482" s="1050"/>
      <c r="C8482" s="1050"/>
      <c r="D8482" s="1050"/>
      <c r="E8482" s="1050"/>
      <c r="F8482" s="1050"/>
      <c r="G8482" s="1050"/>
    </row>
    <row r="8483" spans="1:7">
      <c r="A8483" s="1079"/>
      <c r="B8483" s="1050"/>
      <c r="C8483" s="1050"/>
      <c r="D8483" s="1050"/>
      <c r="E8483" s="1050"/>
      <c r="F8483" s="1050"/>
      <c r="G8483" s="1050"/>
    </row>
    <row r="8484" spans="1:7">
      <c r="A8484" s="1079"/>
      <c r="B8484" s="1050"/>
      <c r="C8484" s="1050"/>
      <c r="D8484" s="1050"/>
      <c r="E8484" s="1050"/>
      <c r="F8484" s="1050"/>
      <c r="G8484" s="1050"/>
    </row>
    <row r="8485" spans="1:7">
      <c r="A8485" s="1079"/>
      <c r="B8485" s="1050"/>
      <c r="C8485" s="1050"/>
      <c r="D8485" s="1050"/>
      <c r="E8485" s="1050"/>
      <c r="F8485" s="1050"/>
      <c r="G8485" s="1050"/>
    </row>
    <row r="8486" spans="1:7">
      <c r="A8486" s="1079"/>
      <c r="B8486" s="1050"/>
      <c r="C8486" s="1050"/>
      <c r="D8486" s="1050"/>
      <c r="E8486" s="1050"/>
      <c r="F8486" s="1050"/>
      <c r="G8486" s="1050"/>
    </row>
    <row r="8487" spans="1:7">
      <c r="A8487" s="1079"/>
      <c r="B8487" s="1050"/>
      <c r="C8487" s="1050"/>
      <c r="D8487" s="1050"/>
      <c r="E8487" s="1050"/>
      <c r="F8487" s="1050"/>
      <c r="G8487" s="1050"/>
    </row>
    <row r="8488" spans="1:7">
      <c r="A8488" s="1079"/>
      <c r="B8488" s="1050"/>
      <c r="C8488" s="1050"/>
      <c r="D8488" s="1050"/>
      <c r="E8488" s="1050"/>
      <c r="F8488" s="1050"/>
      <c r="G8488" s="1050"/>
    </row>
    <row r="8489" spans="1:7">
      <c r="A8489" s="1079"/>
      <c r="B8489" s="1050"/>
      <c r="C8489" s="1050"/>
      <c r="D8489" s="1050"/>
      <c r="E8489" s="1050"/>
      <c r="F8489" s="1050"/>
      <c r="G8489" s="1050"/>
    </row>
    <row r="8490" spans="1:7">
      <c r="A8490" s="1079"/>
      <c r="B8490" s="1050"/>
      <c r="C8490" s="1050"/>
      <c r="D8490" s="1050"/>
      <c r="E8490" s="1050"/>
      <c r="F8490" s="1050"/>
      <c r="G8490" s="1050"/>
    </row>
    <row r="8491" spans="1:7">
      <c r="A8491" s="1079"/>
      <c r="B8491" s="1050"/>
      <c r="C8491" s="1050"/>
      <c r="D8491" s="1050"/>
      <c r="E8491" s="1050"/>
      <c r="F8491" s="1050"/>
      <c r="G8491" s="1050"/>
    </row>
    <row r="8492" spans="1:7">
      <c r="A8492" s="1079"/>
      <c r="B8492" s="1050"/>
      <c r="C8492" s="1050"/>
      <c r="D8492" s="1050"/>
      <c r="E8492" s="1050"/>
      <c r="F8492" s="1050"/>
      <c r="G8492" s="1050"/>
    </row>
    <row r="8493" spans="1:7">
      <c r="A8493" s="1079"/>
      <c r="B8493" s="1050"/>
      <c r="C8493" s="1050"/>
      <c r="D8493" s="1050"/>
      <c r="E8493" s="1050"/>
      <c r="F8493" s="1050"/>
      <c r="G8493" s="1050"/>
    </row>
    <row r="8494" spans="1:7">
      <c r="A8494" s="1079"/>
      <c r="B8494" s="1050"/>
      <c r="C8494" s="1050"/>
      <c r="D8494" s="1050"/>
      <c r="E8494" s="1050"/>
      <c r="F8494" s="1050"/>
      <c r="G8494" s="1050"/>
    </row>
    <row r="8495" spans="1:7">
      <c r="A8495" s="1079"/>
      <c r="B8495" s="1050"/>
      <c r="C8495" s="1050"/>
      <c r="D8495" s="1050"/>
      <c r="E8495" s="1050"/>
      <c r="F8495" s="1050"/>
      <c r="G8495" s="1050"/>
    </row>
    <row r="8496" spans="1:7">
      <c r="A8496" s="1079"/>
      <c r="B8496" s="1050"/>
      <c r="C8496" s="1050"/>
      <c r="D8496" s="1050"/>
      <c r="E8496" s="1050"/>
      <c r="F8496" s="1050"/>
      <c r="G8496" s="1050"/>
    </row>
    <row r="8497" spans="1:7">
      <c r="A8497" s="1079"/>
      <c r="B8497" s="1050"/>
      <c r="C8497" s="1050"/>
      <c r="D8497" s="1050"/>
      <c r="E8497" s="1050"/>
      <c r="F8497" s="1050"/>
      <c r="G8497" s="1050"/>
    </row>
    <row r="8498" spans="1:7">
      <c r="A8498" s="1079"/>
      <c r="B8498" s="1050"/>
      <c r="C8498" s="1050"/>
      <c r="D8498" s="1050"/>
      <c r="E8498" s="1050"/>
      <c r="F8498" s="1050"/>
      <c r="G8498" s="1050"/>
    </row>
    <row r="8499" spans="1:7">
      <c r="A8499" s="1079"/>
      <c r="B8499" s="1050"/>
      <c r="C8499" s="1050"/>
      <c r="D8499" s="1050"/>
      <c r="E8499" s="1050"/>
      <c r="F8499" s="1050"/>
      <c r="G8499" s="1050"/>
    </row>
    <row r="8500" spans="1:7">
      <c r="A8500" s="1079"/>
      <c r="B8500" s="1050"/>
      <c r="C8500" s="1050"/>
      <c r="D8500" s="1050"/>
      <c r="E8500" s="1050"/>
      <c r="F8500" s="1050"/>
      <c r="G8500" s="1050"/>
    </row>
    <row r="8501" spans="1:7">
      <c r="A8501" s="1079"/>
      <c r="B8501" s="1050"/>
      <c r="C8501" s="1050"/>
      <c r="D8501" s="1050"/>
      <c r="E8501" s="1050"/>
      <c r="F8501" s="1050"/>
      <c r="G8501" s="1050"/>
    </row>
    <row r="8502" spans="1:7">
      <c r="A8502" s="1079"/>
      <c r="B8502" s="1050"/>
      <c r="C8502" s="1050"/>
      <c r="D8502" s="1050"/>
      <c r="E8502" s="1050"/>
      <c r="F8502" s="1050"/>
      <c r="G8502" s="1050"/>
    </row>
    <row r="8503" spans="1:7">
      <c r="A8503" s="1079"/>
      <c r="B8503" s="1050"/>
      <c r="C8503" s="1050"/>
      <c r="D8503" s="1050"/>
      <c r="E8503" s="1050"/>
      <c r="F8503" s="1050"/>
      <c r="G8503" s="1050"/>
    </row>
    <row r="8504" spans="1:7">
      <c r="A8504" s="1079"/>
      <c r="B8504" s="1050"/>
      <c r="C8504" s="1050"/>
      <c r="D8504" s="1050"/>
      <c r="E8504" s="1050"/>
      <c r="F8504" s="1050"/>
      <c r="G8504" s="1050"/>
    </row>
    <row r="8505" spans="1:7">
      <c r="A8505" s="1079"/>
      <c r="B8505" s="1050"/>
      <c r="C8505" s="1050"/>
      <c r="D8505" s="1050"/>
      <c r="E8505" s="1050"/>
      <c r="F8505" s="1050"/>
      <c r="G8505" s="1050"/>
    </row>
    <row r="8506" spans="1:7">
      <c r="A8506" s="1079"/>
      <c r="B8506" s="1050"/>
      <c r="C8506" s="1050"/>
      <c r="D8506" s="1050"/>
      <c r="E8506" s="1050"/>
      <c r="F8506" s="1050"/>
      <c r="G8506" s="1050"/>
    </row>
    <row r="8507" spans="1:7">
      <c r="A8507" s="1079"/>
      <c r="B8507" s="1050"/>
      <c r="C8507" s="1050"/>
      <c r="D8507" s="1050"/>
      <c r="E8507" s="1050"/>
      <c r="F8507" s="1050"/>
      <c r="G8507" s="1050"/>
    </row>
    <row r="8508" spans="1:7">
      <c r="A8508" s="1079"/>
      <c r="B8508" s="1050"/>
      <c r="C8508" s="1050"/>
      <c r="D8508" s="1050"/>
      <c r="E8508" s="1050"/>
      <c r="F8508" s="1050"/>
      <c r="G8508" s="1050"/>
    </row>
    <row r="8509" spans="1:7">
      <c r="A8509" s="1079"/>
      <c r="B8509" s="1050"/>
      <c r="C8509" s="1050"/>
      <c r="D8509" s="1050"/>
      <c r="E8509" s="1050"/>
      <c r="F8509" s="1050"/>
      <c r="G8509" s="1050"/>
    </row>
    <row r="8510" spans="1:7">
      <c r="A8510" s="1079"/>
      <c r="B8510" s="1050"/>
      <c r="C8510" s="1050"/>
      <c r="D8510" s="1050"/>
      <c r="E8510" s="1050"/>
      <c r="F8510" s="1050"/>
      <c r="G8510" s="1050"/>
    </row>
    <row r="8511" spans="1:7">
      <c r="A8511" s="1079"/>
      <c r="B8511" s="1050"/>
      <c r="C8511" s="1050"/>
      <c r="D8511" s="1050"/>
      <c r="E8511" s="1050"/>
      <c r="F8511" s="1050"/>
      <c r="G8511" s="1050"/>
    </row>
    <row r="8512" spans="1:7">
      <c r="A8512" s="1079"/>
      <c r="B8512" s="1050"/>
      <c r="C8512" s="1050"/>
      <c r="D8512" s="1050"/>
      <c r="E8512" s="1050"/>
      <c r="F8512" s="1050"/>
      <c r="G8512" s="1050"/>
    </row>
    <row r="8513" spans="1:7">
      <c r="A8513" s="1079"/>
      <c r="B8513" s="1050"/>
      <c r="C8513" s="1050"/>
      <c r="D8513" s="1050"/>
      <c r="E8513" s="1050"/>
      <c r="F8513" s="1050"/>
      <c r="G8513" s="1050"/>
    </row>
    <row r="8514" spans="1:7">
      <c r="A8514" s="1079"/>
      <c r="B8514" s="1050"/>
      <c r="C8514" s="1050"/>
      <c r="D8514" s="1050"/>
      <c r="E8514" s="1050"/>
      <c r="F8514" s="1050"/>
      <c r="G8514" s="1050"/>
    </row>
    <row r="8515" spans="1:7">
      <c r="A8515" s="1079"/>
      <c r="B8515" s="1050"/>
      <c r="C8515" s="1050"/>
      <c r="D8515" s="1050"/>
      <c r="E8515" s="1050"/>
      <c r="F8515" s="1050"/>
      <c r="G8515" s="1050"/>
    </row>
    <row r="8516" spans="1:7">
      <c r="A8516" s="1079"/>
      <c r="B8516" s="1050"/>
      <c r="C8516" s="1050"/>
      <c r="D8516" s="1050"/>
      <c r="E8516" s="1050"/>
      <c r="F8516" s="1050"/>
      <c r="G8516" s="1050"/>
    </row>
    <row r="8517" spans="1:7">
      <c r="A8517" s="1079"/>
      <c r="B8517" s="1050"/>
      <c r="C8517" s="1050"/>
      <c r="D8517" s="1050"/>
      <c r="E8517" s="1050"/>
      <c r="F8517" s="1050"/>
      <c r="G8517" s="1050"/>
    </row>
    <row r="8518" spans="1:7">
      <c r="A8518" s="1079"/>
      <c r="B8518" s="1050"/>
      <c r="C8518" s="1050"/>
      <c r="D8518" s="1050"/>
      <c r="E8518" s="1050"/>
      <c r="F8518" s="1050"/>
      <c r="G8518" s="1050"/>
    </row>
    <row r="8519" spans="1:7">
      <c r="A8519" s="1079"/>
      <c r="B8519" s="1050"/>
      <c r="C8519" s="1050"/>
      <c r="D8519" s="1050"/>
      <c r="E8519" s="1050"/>
      <c r="F8519" s="1050"/>
      <c r="G8519" s="1050"/>
    </row>
    <row r="8520" spans="1:7">
      <c r="A8520" s="1079"/>
      <c r="B8520" s="1050"/>
      <c r="C8520" s="1050"/>
      <c r="D8520" s="1050"/>
      <c r="E8520" s="1050"/>
      <c r="F8520" s="1050"/>
      <c r="G8520" s="1050"/>
    </row>
    <row r="8521" spans="1:7">
      <c r="A8521" s="1079"/>
      <c r="B8521" s="1050"/>
      <c r="C8521" s="1050"/>
      <c r="D8521" s="1050"/>
      <c r="E8521" s="1050"/>
      <c r="F8521" s="1050"/>
      <c r="G8521" s="1050"/>
    </row>
    <row r="8522" spans="1:7">
      <c r="A8522" s="1079"/>
      <c r="B8522" s="1050"/>
      <c r="C8522" s="1050"/>
      <c r="D8522" s="1050"/>
      <c r="E8522" s="1050"/>
      <c r="F8522" s="1050"/>
      <c r="G8522" s="1050"/>
    </row>
    <row r="8523" spans="1:7">
      <c r="A8523" s="1079"/>
      <c r="B8523" s="1050"/>
      <c r="C8523" s="1050"/>
      <c r="D8523" s="1050"/>
      <c r="E8523" s="1050"/>
      <c r="F8523" s="1050"/>
      <c r="G8523" s="1050"/>
    </row>
    <row r="8524" spans="1:7">
      <c r="A8524" s="1079"/>
      <c r="B8524" s="1050"/>
      <c r="C8524" s="1050"/>
      <c r="D8524" s="1050"/>
      <c r="E8524" s="1050"/>
      <c r="F8524" s="1050"/>
      <c r="G8524" s="1050"/>
    </row>
    <row r="8525" spans="1:7">
      <c r="A8525" s="1079"/>
      <c r="B8525" s="1050"/>
      <c r="C8525" s="1050"/>
      <c r="D8525" s="1050"/>
      <c r="E8525" s="1050"/>
      <c r="F8525" s="1050"/>
      <c r="G8525" s="1050"/>
    </row>
    <row r="8526" spans="1:7">
      <c r="A8526" s="1079"/>
      <c r="B8526" s="1050"/>
      <c r="C8526" s="1050"/>
      <c r="D8526" s="1050"/>
      <c r="E8526" s="1050"/>
      <c r="F8526" s="1050"/>
      <c r="G8526" s="1050"/>
    </row>
    <row r="8527" spans="1:7">
      <c r="A8527" s="1079"/>
      <c r="B8527" s="1050"/>
      <c r="C8527" s="1050"/>
      <c r="D8527" s="1050"/>
      <c r="E8527" s="1050"/>
      <c r="F8527" s="1050"/>
      <c r="G8527" s="1050"/>
    </row>
    <row r="8528" spans="1:7">
      <c r="A8528" s="1079"/>
      <c r="B8528" s="1050"/>
      <c r="C8528" s="1050"/>
      <c r="D8528" s="1050"/>
      <c r="E8528" s="1050"/>
      <c r="F8528" s="1050"/>
      <c r="G8528" s="1050"/>
    </row>
    <row r="8529" spans="1:7">
      <c r="A8529" s="1079"/>
      <c r="B8529" s="1050"/>
      <c r="C8529" s="1050"/>
      <c r="D8529" s="1050"/>
      <c r="E8529" s="1050"/>
      <c r="F8529" s="1050"/>
      <c r="G8529" s="1050"/>
    </row>
    <row r="8530" spans="1:7">
      <c r="A8530" s="1079"/>
      <c r="B8530" s="1050"/>
      <c r="C8530" s="1050"/>
      <c r="D8530" s="1050"/>
      <c r="E8530" s="1050"/>
      <c r="F8530" s="1050"/>
      <c r="G8530" s="1050"/>
    </row>
    <row r="8531" spans="1:7">
      <c r="A8531" s="1079"/>
      <c r="B8531" s="1050"/>
      <c r="C8531" s="1050"/>
      <c r="D8531" s="1050"/>
      <c r="E8531" s="1050"/>
      <c r="F8531" s="1050"/>
      <c r="G8531" s="1050"/>
    </row>
    <row r="8532" spans="1:7">
      <c r="A8532" s="1079"/>
      <c r="B8532" s="1050"/>
      <c r="C8532" s="1050"/>
      <c r="D8532" s="1050"/>
      <c r="E8532" s="1050"/>
      <c r="F8532" s="1050"/>
      <c r="G8532" s="1050"/>
    </row>
    <row r="8533" spans="1:7">
      <c r="A8533" s="1079"/>
      <c r="B8533" s="1050"/>
      <c r="C8533" s="1050"/>
      <c r="D8533" s="1050"/>
      <c r="E8533" s="1050"/>
      <c r="F8533" s="1050"/>
      <c r="G8533" s="1050"/>
    </row>
    <row r="8534" spans="1:7">
      <c r="A8534" s="1079"/>
      <c r="B8534" s="1050"/>
      <c r="C8534" s="1050"/>
      <c r="D8534" s="1050"/>
      <c r="E8534" s="1050"/>
      <c r="F8534" s="1050"/>
      <c r="G8534" s="1050"/>
    </row>
    <row r="8535" spans="1:7">
      <c r="A8535" s="1079"/>
      <c r="B8535" s="1050"/>
      <c r="C8535" s="1050"/>
      <c r="D8535" s="1050"/>
      <c r="E8535" s="1050"/>
      <c r="F8535" s="1050"/>
      <c r="G8535" s="1050"/>
    </row>
    <row r="8536" spans="1:7">
      <c r="A8536" s="1079"/>
      <c r="B8536" s="1050"/>
      <c r="C8536" s="1050"/>
      <c r="D8536" s="1050"/>
      <c r="E8536" s="1050"/>
      <c r="F8536" s="1050"/>
      <c r="G8536" s="1050"/>
    </row>
    <row r="8537" spans="1:7">
      <c r="A8537" s="1079"/>
      <c r="B8537" s="1050"/>
      <c r="C8537" s="1050"/>
      <c r="D8537" s="1050"/>
      <c r="E8537" s="1050"/>
      <c r="F8537" s="1050"/>
      <c r="G8537" s="1050"/>
    </row>
    <row r="8538" spans="1:7">
      <c r="A8538" s="1079"/>
      <c r="B8538" s="1050"/>
      <c r="C8538" s="1050"/>
      <c r="D8538" s="1050"/>
      <c r="E8538" s="1050"/>
      <c r="F8538" s="1050"/>
      <c r="G8538" s="1050"/>
    </row>
    <row r="8539" spans="1:7">
      <c r="A8539" s="1079"/>
      <c r="B8539" s="1050"/>
      <c r="C8539" s="1050"/>
      <c r="D8539" s="1050"/>
      <c r="E8539" s="1050"/>
      <c r="F8539" s="1050"/>
      <c r="G8539" s="1050"/>
    </row>
    <row r="8540" spans="1:7">
      <c r="A8540" s="1079"/>
      <c r="B8540" s="1050"/>
      <c r="C8540" s="1050"/>
      <c r="D8540" s="1050"/>
      <c r="E8540" s="1050"/>
      <c r="F8540" s="1050"/>
      <c r="G8540" s="1050"/>
    </row>
    <row r="8541" spans="1:7">
      <c r="A8541" s="1079"/>
      <c r="B8541" s="1050"/>
      <c r="C8541" s="1050"/>
      <c r="D8541" s="1050"/>
      <c r="E8541" s="1050"/>
      <c r="F8541" s="1050"/>
      <c r="G8541" s="1050"/>
    </row>
    <row r="8542" spans="1:7">
      <c r="A8542" s="1079"/>
      <c r="B8542" s="1050"/>
      <c r="C8542" s="1050"/>
      <c r="D8542" s="1050"/>
      <c r="E8542" s="1050"/>
      <c r="F8542" s="1050"/>
      <c r="G8542" s="1050"/>
    </row>
    <row r="8543" spans="1:7">
      <c r="A8543" s="1079"/>
      <c r="B8543" s="1050"/>
      <c r="C8543" s="1050"/>
      <c r="D8543" s="1050"/>
      <c r="E8543" s="1050"/>
      <c r="F8543" s="1050"/>
      <c r="G8543" s="1050"/>
    </row>
    <row r="8544" spans="1:7">
      <c r="A8544" s="1079"/>
      <c r="B8544" s="1050"/>
      <c r="C8544" s="1050"/>
      <c r="D8544" s="1050"/>
      <c r="E8544" s="1050"/>
      <c r="F8544" s="1050"/>
      <c r="G8544" s="1050"/>
    </row>
    <row r="8545" spans="1:7">
      <c r="A8545" s="1079"/>
      <c r="B8545" s="1050"/>
      <c r="C8545" s="1050"/>
      <c r="D8545" s="1050"/>
      <c r="E8545" s="1050"/>
      <c r="F8545" s="1050"/>
      <c r="G8545" s="1050"/>
    </row>
    <row r="8546" spans="1:7">
      <c r="A8546" s="1079"/>
      <c r="B8546" s="1050"/>
      <c r="C8546" s="1050"/>
      <c r="D8546" s="1050"/>
      <c r="E8546" s="1050"/>
      <c r="F8546" s="1050"/>
      <c r="G8546" s="1050"/>
    </row>
    <row r="8547" spans="1:7">
      <c r="A8547" s="1079"/>
      <c r="B8547" s="1050"/>
      <c r="C8547" s="1050"/>
      <c r="D8547" s="1050"/>
      <c r="E8547" s="1050"/>
      <c r="F8547" s="1050"/>
      <c r="G8547" s="1050"/>
    </row>
    <row r="8548" spans="1:7">
      <c r="A8548" s="1079"/>
      <c r="B8548" s="1050"/>
      <c r="C8548" s="1050"/>
      <c r="D8548" s="1050"/>
      <c r="E8548" s="1050"/>
      <c r="F8548" s="1050"/>
      <c r="G8548" s="1050"/>
    </row>
    <row r="8549" spans="1:7">
      <c r="A8549" s="1079"/>
      <c r="B8549" s="1050"/>
      <c r="C8549" s="1050"/>
      <c r="D8549" s="1050"/>
      <c r="E8549" s="1050"/>
      <c r="F8549" s="1050"/>
      <c r="G8549" s="1050"/>
    </row>
    <row r="8550" spans="1:7">
      <c r="A8550" s="1079"/>
      <c r="B8550" s="1050"/>
      <c r="C8550" s="1050"/>
      <c r="D8550" s="1050"/>
      <c r="E8550" s="1050"/>
      <c r="F8550" s="1050"/>
      <c r="G8550" s="1050"/>
    </row>
    <row r="8551" spans="1:7">
      <c r="A8551" s="1079"/>
      <c r="B8551" s="1050"/>
      <c r="C8551" s="1050"/>
      <c r="D8551" s="1050"/>
      <c r="E8551" s="1050"/>
      <c r="F8551" s="1050"/>
      <c r="G8551" s="1050"/>
    </row>
    <row r="8552" spans="1:7">
      <c r="A8552" s="1079"/>
      <c r="B8552" s="1050"/>
      <c r="C8552" s="1050"/>
      <c r="D8552" s="1050"/>
      <c r="E8552" s="1050"/>
      <c r="F8552" s="1050"/>
      <c r="G8552" s="1050"/>
    </row>
    <row r="8553" spans="1:7">
      <c r="A8553" s="1079"/>
      <c r="B8553" s="1050"/>
      <c r="C8553" s="1050"/>
      <c r="D8553" s="1050"/>
      <c r="E8553" s="1050"/>
      <c r="F8553" s="1050"/>
      <c r="G8553" s="1050"/>
    </row>
    <row r="8554" spans="1:7">
      <c r="A8554" s="1079"/>
      <c r="B8554" s="1050"/>
      <c r="C8554" s="1050"/>
      <c r="D8554" s="1050"/>
      <c r="E8554" s="1050"/>
      <c r="F8554" s="1050"/>
      <c r="G8554" s="1050"/>
    </row>
    <row r="8555" spans="1:7">
      <c r="A8555" s="1079"/>
      <c r="B8555" s="1050"/>
      <c r="C8555" s="1050"/>
      <c r="D8555" s="1050"/>
      <c r="E8555" s="1050"/>
      <c r="F8555" s="1050"/>
      <c r="G8555" s="1050"/>
    </row>
    <row r="8556" spans="1:7">
      <c r="A8556" s="1079"/>
      <c r="B8556" s="1050"/>
      <c r="C8556" s="1050"/>
      <c r="D8556" s="1050"/>
      <c r="E8556" s="1050"/>
      <c r="F8556" s="1050"/>
      <c r="G8556" s="1050"/>
    </row>
    <row r="8557" spans="1:7">
      <c r="A8557" s="1079"/>
      <c r="B8557" s="1050"/>
      <c r="C8557" s="1050"/>
      <c r="D8557" s="1050"/>
      <c r="E8557" s="1050"/>
      <c r="F8557" s="1050"/>
      <c r="G8557" s="1050"/>
    </row>
    <row r="8558" spans="1:7">
      <c r="A8558" s="1079"/>
      <c r="B8558" s="1050"/>
      <c r="C8558" s="1050"/>
      <c r="D8558" s="1050"/>
      <c r="E8558" s="1050"/>
      <c r="F8558" s="1050"/>
      <c r="G8558" s="1050"/>
    </row>
    <row r="8559" spans="1:7">
      <c r="A8559" s="1079"/>
      <c r="B8559" s="1050"/>
      <c r="C8559" s="1050"/>
      <c r="D8559" s="1050"/>
      <c r="E8559" s="1050"/>
      <c r="F8559" s="1050"/>
      <c r="G8559" s="1050"/>
    </row>
    <row r="8560" spans="1:7">
      <c r="A8560" s="1079"/>
      <c r="B8560" s="1050"/>
      <c r="C8560" s="1050"/>
      <c r="D8560" s="1050"/>
      <c r="E8560" s="1050"/>
      <c r="F8560" s="1050"/>
      <c r="G8560" s="1050"/>
    </row>
    <row r="8561" spans="1:7">
      <c r="A8561" s="1079"/>
      <c r="B8561" s="1050"/>
      <c r="C8561" s="1050"/>
      <c r="D8561" s="1050"/>
      <c r="E8561" s="1050"/>
      <c r="F8561" s="1050"/>
      <c r="G8561" s="1050"/>
    </row>
    <row r="8562" spans="1:7">
      <c r="A8562" s="1079"/>
      <c r="B8562" s="1050"/>
      <c r="C8562" s="1050"/>
      <c r="D8562" s="1050"/>
      <c r="E8562" s="1050"/>
      <c r="F8562" s="1050"/>
      <c r="G8562" s="1050"/>
    </row>
    <row r="8563" spans="1:7">
      <c r="A8563" s="1079"/>
      <c r="B8563" s="1050"/>
      <c r="C8563" s="1050"/>
      <c r="D8563" s="1050"/>
      <c r="E8563" s="1050"/>
      <c r="F8563" s="1050"/>
      <c r="G8563" s="1050"/>
    </row>
    <row r="8564" spans="1:7">
      <c r="A8564" s="1079"/>
      <c r="B8564" s="1050"/>
      <c r="C8564" s="1050"/>
      <c r="D8564" s="1050"/>
      <c r="E8564" s="1050"/>
      <c r="F8564" s="1050"/>
      <c r="G8564" s="1050"/>
    </row>
    <row r="8565" spans="1:7">
      <c r="A8565" s="1079"/>
      <c r="B8565" s="1050"/>
      <c r="C8565" s="1050"/>
      <c r="D8565" s="1050"/>
      <c r="E8565" s="1050"/>
      <c r="F8565" s="1050"/>
      <c r="G8565" s="1050"/>
    </row>
    <row r="8566" spans="1:7">
      <c r="A8566" s="1079"/>
      <c r="B8566" s="1050"/>
      <c r="C8566" s="1050"/>
      <c r="D8566" s="1050"/>
      <c r="E8566" s="1050"/>
      <c r="F8566" s="1050"/>
      <c r="G8566" s="1050"/>
    </row>
    <row r="8567" spans="1:7">
      <c r="A8567" s="1079"/>
      <c r="B8567" s="1050"/>
      <c r="C8567" s="1050"/>
      <c r="D8567" s="1050"/>
      <c r="E8567" s="1050"/>
      <c r="F8567" s="1050"/>
      <c r="G8567" s="1050"/>
    </row>
    <row r="8568" spans="1:7">
      <c r="A8568" s="1079"/>
      <c r="B8568" s="1050"/>
      <c r="C8568" s="1050"/>
      <c r="D8568" s="1050"/>
      <c r="E8568" s="1050"/>
      <c r="F8568" s="1050"/>
      <c r="G8568" s="1050"/>
    </row>
    <row r="8569" spans="1:7">
      <c r="A8569" s="1079"/>
      <c r="B8569" s="1050"/>
      <c r="C8569" s="1050"/>
      <c r="D8569" s="1050"/>
      <c r="E8569" s="1050"/>
      <c r="F8569" s="1050"/>
      <c r="G8569" s="1050"/>
    </row>
    <row r="8570" spans="1:7">
      <c r="A8570" s="1079"/>
      <c r="B8570" s="1050"/>
      <c r="C8570" s="1050"/>
      <c r="D8570" s="1050"/>
      <c r="E8570" s="1050"/>
      <c r="F8570" s="1050"/>
      <c r="G8570" s="1050"/>
    </row>
    <row r="8571" spans="1:7">
      <c r="A8571" s="1079"/>
      <c r="B8571" s="1050"/>
      <c r="C8571" s="1050"/>
      <c r="D8571" s="1050"/>
      <c r="E8571" s="1050"/>
      <c r="F8571" s="1050"/>
      <c r="G8571" s="1050"/>
    </row>
    <row r="8572" spans="1:7">
      <c r="A8572" s="1079"/>
      <c r="B8572" s="1050"/>
      <c r="C8572" s="1050"/>
      <c r="D8572" s="1050"/>
      <c r="E8572" s="1050"/>
      <c r="F8572" s="1050"/>
      <c r="G8572" s="1050"/>
    </row>
    <row r="8573" spans="1:7">
      <c r="A8573" s="1079"/>
      <c r="B8573" s="1050"/>
      <c r="C8573" s="1050"/>
      <c r="D8573" s="1050"/>
      <c r="E8573" s="1050"/>
      <c r="F8573" s="1050"/>
      <c r="G8573" s="1050"/>
    </row>
    <row r="8574" spans="1:7">
      <c r="A8574" s="1079"/>
      <c r="B8574" s="1050"/>
      <c r="C8574" s="1050"/>
      <c r="D8574" s="1050"/>
      <c r="E8574" s="1050"/>
      <c r="F8574" s="1050"/>
      <c r="G8574" s="1050"/>
    </row>
    <row r="8575" spans="1:7">
      <c r="A8575" s="1079"/>
      <c r="B8575" s="1050"/>
      <c r="C8575" s="1050"/>
      <c r="D8575" s="1050"/>
      <c r="E8575" s="1050"/>
      <c r="F8575" s="1050"/>
      <c r="G8575" s="1050"/>
    </row>
    <row r="8576" spans="1:7">
      <c r="A8576" s="1079"/>
      <c r="B8576" s="1050"/>
      <c r="C8576" s="1050"/>
      <c r="D8576" s="1050"/>
      <c r="E8576" s="1050"/>
      <c r="F8576" s="1050"/>
      <c r="G8576" s="1050"/>
    </row>
    <row r="8577" spans="1:7">
      <c r="A8577" s="1079"/>
      <c r="B8577" s="1050"/>
      <c r="C8577" s="1050"/>
      <c r="D8577" s="1050"/>
      <c r="E8577" s="1050"/>
      <c r="F8577" s="1050"/>
      <c r="G8577" s="1050"/>
    </row>
    <row r="8578" spans="1:7">
      <c r="A8578" s="1079"/>
      <c r="B8578" s="1050"/>
      <c r="C8578" s="1050"/>
      <c r="D8578" s="1050"/>
      <c r="E8578" s="1050"/>
      <c r="F8578" s="1050"/>
      <c r="G8578" s="1050"/>
    </row>
    <row r="8579" spans="1:7">
      <c r="A8579" s="1079"/>
      <c r="B8579" s="1050"/>
      <c r="C8579" s="1050"/>
      <c r="D8579" s="1050"/>
      <c r="E8579" s="1050"/>
      <c r="F8579" s="1050"/>
      <c r="G8579" s="1050"/>
    </row>
    <row r="8580" spans="1:7">
      <c r="A8580" s="1079"/>
      <c r="B8580" s="1050"/>
      <c r="C8580" s="1050"/>
      <c r="D8580" s="1050"/>
      <c r="E8580" s="1050"/>
      <c r="F8580" s="1050"/>
      <c r="G8580" s="1050"/>
    </row>
    <row r="8581" spans="1:7">
      <c r="A8581" s="1079"/>
      <c r="B8581" s="1050"/>
      <c r="C8581" s="1050"/>
      <c r="D8581" s="1050"/>
      <c r="E8581" s="1050"/>
      <c r="F8581" s="1050"/>
      <c r="G8581" s="1050"/>
    </row>
    <row r="8582" spans="1:7">
      <c r="A8582" s="1079"/>
      <c r="B8582" s="1050"/>
      <c r="C8582" s="1050"/>
      <c r="D8582" s="1050"/>
      <c r="E8582" s="1050"/>
      <c r="F8582" s="1050"/>
      <c r="G8582" s="1050"/>
    </row>
    <row r="8583" spans="1:7">
      <c r="A8583" s="1079"/>
      <c r="B8583" s="1050"/>
      <c r="C8583" s="1050"/>
      <c r="D8583" s="1050"/>
      <c r="E8583" s="1050"/>
      <c r="F8583" s="1050"/>
      <c r="G8583" s="1050"/>
    </row>
    <row r="8584" spans="1:7">
      <c r="A8584" s="1079"/>
      <c r="B8584" s="1050"/>
      <c r="C8584" s="1050"/>
      <c r="D8584" s="1050"/>
      <c r="E8584" s="1050"/>
      <c r="F8584" s="1050"/>
      <c r="G8584" s="1050"/>
    </row>
    <row r="8585" spans="1:7">
      <c r="A8585" s="1079"/>
      <c r="B8585" s="1050"/>
      <c r="C8585" s="1050"/>
      <c r="D8585" s="1050"/>
      <c r="E8585" s="1050"/>
      <c r="F8585" s="1050"/>
      <c r="G8585" s="1050"/>
    </row>
    <row r="8586" spans="1:7">
      <c r="A8586" s="1079"/>
      <c r="B8586" s="1050"/>
      <c r="C8586" s="1050"/>
      <c r="D8586" s="1050"/>
      <c r="E8586" s="1050"/>
      <c r="F8586" s="1050"/>
      <c r="G8586" s="1050"/>
    </row>
    <row r="8587" spans="1:7">
      <c r="A8587" s="1079"/>
      <c r="B8587" s="1050"/>
      <c r="C8587" s="1050"/>
      <c r="D8587" s="1050"/>
      <c r="E8587" s="1050"/>
      <c r="F8587" s="1050"/>
      <c r="G8587" s="1050"/>
    </row>
    <row r="8588" spans="1:7">
      <c r="A8588" s="1079"/>
      <c r="B8588" s="1050"/>
      <c r="C8588" s="1050"/>
      <c r="D8588" s="1050"/>
      <c r="E8588" s="1050"/>
      <c r="F8588" s="1050"/>
      <c r="G8588" s="1050"/>
    </row>
    <row r="8589" spans="1:7">
      <c r="A8589" s="1079"/>
      <c r="B8589" s="1050"/>
      <c r="C8589" s="1050"/>
      <c r="D8589" s="1050"/>
      <c r="E8589" s="1050"/>
      <c r="F8589" s="1050"/>
      <c r="G8589" s="1050"/>
    </row>
    <row r="8590" spans="1:7">
      <c r="A8590" s="1079"/>
      <c r="B8590" s="1050"/>
      <c r="C8590" s="1050"/>
      <c r="D8590" s="1050"/>
      <c r="E8590" s="1050"/>
      <c r="F8590" s="1050"/>
      <c r="G8590" s="1050"/>
    </row>
    <row r="8591" spans="1:7">
      <c r="A8591" s="1079"/>
      <c r="B8591" s="1050"/>
      <c r="C8591" s="1050"/>
      <c r="D8591" s="1050"/>
      <c r="E8591" s="1050"/>
      <c r="F8591" s="1050"/>
      <c r="G8591" s="1050"/>
    </row>
    <row r="8592" spans="1:7">
      <c r="A8592" s="1079"/>
      <c r="B8592" s="1050"/>
      <c r="C8592" s="1050"/>
      <c r="D8592" s="1050"/>
      <c r="E8592" s="1050"/>
      <c r="F8592" s="1050"/>
      <c r="G8592" s="1050"/>
    </row>
    <row r="8593" spans="1:7">
      <c r="A8593" s="1079"/>
      <c r="B8593" s="1050"/>
      <c r="C8593" s="1050"/>
      <c r="D8593" s="1050"/>
      <c r="E8593" s="1050"/>
      <c r="F8593" s="1050"/>
      <c r="G8593" s="1050"/>
    </row>
    <row r="8594" spans="1:7">
      <c r="A8594" s="1079"/>
      <c r="B8594" s="1050"/>
      <c r="C8594" s="1050"/>
      <c r="D8594" s="1050"/>
      <c r="E8594" s="1050"/>
      <c r="F8594" s="1050"/>
      <c r="G8594" s="1050"/>
    </row>
    <row r="8595" spans="1:7">
      <c r="A8595" s="1079"/>
      <c r="B8595" s="1050"/>
      <c r="C8595" s="1050"/>
      <c r="D8595" s="1050"/>
      <c r="E8595" s="1050"/>
      <c r="F8595" s="1050"/>
      <c r="G8595" s="1050"/>
    </row>
    <row r="8596" spans="1:7">
      <c r="A8596" s="1079"/>
      <c r="B8596" s="1050"/>
      <c r="C8596" s="1050"/>
      <c r="D8596" s="1050"/>
      <c r="E8596" s="1050"/>
      <c r="F8596" s="1050"/>
      <c r="G8596" s="1050"/>
    </row>
    <row r="8597" spans="1:7">
      <c r="A8597" s="1079"/>
      <c r="B8597" s="1050"/>
      <c r="C8597" s="1050"/>
      <c r="D8597" s="1050"/>
      <c r="E8597" s="1050"/>
      <c r="F8597" s="1050"/>
      <c r="G8597" s="1050"/>
    </row>
    <row r="8598" spans="1:7">
      <c r="A8598" s="1079"/>
      <c r="B8598" s="1050"/>
      <c r="C8598" s="1050"/>
      <c r="D8598" s="1050"/>
      <c r="E8598" s="1050"/>
      <c r="F8598" s="1050"/>
      <c r="G8598" s="1050"/>
    </row>
    <row r="8599" spans="1:7">
      <c r="A8599" s="1079"/>
      <c r="B8599" s="1050"/>
      <c r="C8599" s="1050"/>
      <c r="D8599" s="1050"/>
      <c r="E8599" s="1050"/>
      <c r="F8599" s="1050"/>
      <c r="G8599" s="1050"/>
    </row>
    <row r="8600" spans="1:7">
      <c r="A8600" s="1079"/>
      <c r="B8600" s="1050"/>
      <c r="C8600" s="1050"/>
      <c r="D8600" s="1050"/>
      <c r="E8600" s="1050"/>
      <c r="F8600" s="1050"/>
      <c r="G8600" s="1050"/>
    </row>
    <row r="8601" spans="1:7">
      <c r="A8601" s="1079"/>
      <c r="B8601" s="1050"/>
      <c r="C8601" s="1050"/>
      <c r="D8601" s="1050"/>
      <c r="E8601" s="1050"/>
      <c r="F8601" s="1050"/>
      <c r="G8601" s="1050"/>
    </row>
    <row r="8602" spans="1:7">
      <c r="A8602" s="1079"/>
      <c r="B8602" s="1050"/>
      <c r="C8602" s="1050"/>
      <c r="D8602" s="1050"/>
      <c r="E8602" s="1050"/>
      <c r="F8602" s="1050"/>
      <c r="G8602" s="1050"/>
    </row>
    <row r="8603" spans="1:7">
      <c r="A8603" s="1079"/>
      <c r="B8603" s="1050"/>
      <c r="C8603" s="1050"/>
      <c r="D8603" s="1050"/>
      <c r="E8603" s="1050"/>
      <c r="F8603" s="1050"/>
      <c r="G8603" s="1050"/>
    </row>
    <row r="8604" spans="1:7">
      <c r="A8604" s="1079"/>
      <c r="B8604" s="1050"/>
      <c r="C8604" s="1050"/>
      <c r="D8604" s="1050"/>
      <c r="E8604" s="1050"/>
      <c r="F8604" s="1050"/>
      <c r="G8604" s="1050"/>
    </row>
    <row r="8605" spans="1:7">
      <c r="A8605" s="1079"/>
      <c r="B8605" s="1050"/>
      <c r="C8605" s="1050"/>
      <c r="D8605" s="1050"/>
      <c r="E8605" s="1050"/>
      <c r="F8605" s="1050"/>
      <c r="G8605" s="1050"/>
    </row>
    <row r="8606" spans="1:7">
      <c r="A8606" s="1079"/>
      <c r="B8606" s="1050"/>
      <c r="C8606" s="1050"/>
      <c r="D8606" s="1050"/>
      <c r="E8606" s="1050"/>
      <c r="F8606" s="1050"/>
      <c r="G8606" s="1050"/>
    </row>
    <row r="8607" spans="1:7">
      <c r="A8607" s="1079"/>
      <c r="B8607" s="1050"/>
      <c r="C8607" s="1050"/>
      <c r="D8607" s="1050"/>
      <c r="E8607" s="1050"/>
      <c r="F8607" s="1050"/>
      <c r="G8607" s="1050"/>
    </row>
    <row r="8608" spans="1:7">
      <c r="A8608" s="1079"/>
      <c r="B8608" s="1050"/>
      <c r="C8608" s="1050"/>
      <c r="D8608" s="1050"/>
      <c r="E8608" s="1050"/>
      <c r="F8608" s="1050"/>
      <c r="G8608" s="1050"/>
    </row>
    <row r="8609" spans="1:7">
      <c r="A8609" s="1079"/>
      <c r="B8609" s="1050"/>
      <c r="C8609" s="1050"/>
      <c r="D8609" s="1050"/>
      <c r="E8609" s="1050"/>
      <c r="F8609" s="1050"/>
      <c r="G8609" s="1050"/>
    </row>
    <row r="8610" spans="1:7">
      <c r="A8610" s="1079"/>
      <c r="B8610" s="1050"/>
      <c r="C8610" s="1050"/>
      <c r="D8610" s="1050"/>
      <c r="E8610" s="1050"/>
      <c r="F8610" s="1050"/>
      <c r="G8610" s="1050"/>
    </row>
    <row r="8611" spans="1:7">
      <c r="A8611" s="1079"/>
      <c r="B8611" s="1050"/>
      <c r="C8611" s="1050"/>
      <c r="D8611" s="1050"/>
      <c r="E8611" s="1050"/>
      <c r="F8611" s="1050"/>
      <c r="G8611" s="1050"/>
    </row>
    <row r="8612" spans="1:7">
      <c r="A8612" s="1079"/>
      <c r="B8612" s="1050"/>
      <c r="C8612" s="1050"/>
      <c r="D8612" s="1050"/>
      <c r="E8612" s="1050"/>
      <c r="F8612" s="1050"/>
      <c r="G8612" s="1050"/>
    </row>
    <row r="8613" spans="1:7">
      <c r="A8613" s="1079"/>
      <c r="B8613" s="1050"/>
      <c r="C8613" s="1050"/>
      <c r="D8613" s="1050"/>
      <c r="E8613" s="1050"/>
      <c r="F8613" s="1050"/>
      <c r="G8613" s="1050"/>
    </row>
    <row r="8614" spans="1:7">
      <c r="A8614" s="1079"/>
      <c r="B8614" s="1050"/>
      <c r="C8614" s="1050"/>
      <c r="D8614" s="1050"/>
      <c r="E8614" s="1050"/>
      <c r="F8614" s="1050"/>
      <c r="G8614" s="1050"/>
    </row>
    <row r="8615" spans="1:7">
      <c r="A8615" s="1079"/>
      <c r="B8615" s="1050"/>
      <c r="C8615" s="1050"/>
      <c r="D8615" s="1050"/>
      <c r="E8615" s="1050"/>
      <c r="F8615" s="1050"/>
      <c r="G8615" s="1050"/>
    </row>
    <row r="8616" spans="1:7">
      <c r="A8616" s="1079"/>
      <c r="B8616" s="1050"/>
      <c r="C8616" s="1050"/>
      <c r="D8616" s="1050"/>
      <c r="E8616" s="1050"/>
      <c r="F8616" s="1050"/>
      <c r="G8616" s="1050"/>
    </row>
    <row r="8617" spans="1:7">
      <c r="A8617" s="1079"/>
      <c r="B8617" s="1050"/>
      <c r="C8617" s="1050"/>
      <c r="D8617" s="1050"/>
      <c r="E8617" s="1050"/>
      <c r="F8617" s="1050"/>
      <c r="G8617" s="1050"/>
    </row>
    <row r="8618" spans="1:7">
      <c r="A8618" s="1079"/>
      <c r="B8618" s="1050"/>
      <c r="C8618" s="1050"/>
      <c r="D8618" s="1050"/>
      <c r="E8618" s="1050"/>
      <c r="F8618" s="1050"/>
      <c r="G8618" s="1050"/>
    </row>
    <row r="8619" spans="1:7">
      <c r="A8619" s="1079"/>
      <c r="B8619" s="1050"/>
      <c r="C8619" s="1050"/>
      <c r="D8619" s="1050"/>
      <c r="E8619" s="1050"/>
      <c r="F8619" s="1050"/>
      <c r="G8619" s="1050"/>
    </row>
    <row r="8620" spans="1:7">
      <c r="A8620" s="1079"/>
      <c r="B8620" s="1050"/>
      <c r="C8620" s="1050"/>
      <c r="D8620" s="1050"/>
      <c r="E8620" s="1050"/>
      <c r="F8620" s="1050"/>
      <c r="G8620" s="1050"/>
    </row>
    <row r="8621" spans="1:7">
      <c r="A8621" s="1079"/>
      <c r="B8621" s="1050"/>
      <c r="C8621" s="1050"/>
      <c r="D8621" s="1050"/>
      <c r="E8621" s="1050"/>
      <c r="F8621" s="1050"/>
      <c r="G8621" s="1050"/>
    </row>
    <row r="8622" spans="1:7">
      <c r="A8622" s="1079"/>
      <c r="B8622" s="1050"/>
      <c r="C8622" s="1050"/>
      <c r="D8622" s="1050"/>
      <c r="E8622" s="1050"/>
      <c r="F8622" s="1050"/>
      <c r="G8622" s="1050"/>
    </row>
    <row r="8623" spans="1:7">
      <c r="A8623" s="1079"/>
      <c r="B8623" s="1050"/>
      <c r="C8623" s="1050"/>
      <c r="D8623" s="1050"/>
      <c r="E8623" s="1050"/>
      <c r="F8623" s="1050"/>
      <c r="G8623" s="1050"/>
    </row>
    <row r="8624" spans="1:7">
      <c r="A8624" s="1079"/>
      <c r="B8624" s="1050"/>
      <c r="C8624" s="1050"/>
      <c r="D8624" s="1050"/>
      <c r="E8624" s="1050"/>
      <c r="F8624" s="1050"/>
      <c r="G8624" s="1050"/>
    </row>
    <row r="8625" spans="1:7">
      <c r="A8625" s="1079"/>
      <c r="B8625" s="1050"/>
      <c r="C8625" s="1050"/>
      <c r="D8625" s="1050"/>
      <c r="E8625" s="1050"/>
      <c r="F8625" s="1050"/>
      <c r="G8625" s="1050"/>
    </row>
    <row r="8626" spans="1:7">
      <c r="A8626" s="1079"/>
      <c r="B8626" s="1050"/>
      <c r="C8626" s="1050"/>
      <c r="D8626" s="1050"/>
      <c r="E8626" s="1050"/>
      <c r="F8626" s="1050"/>
      <c r="G8626" s="1050"/>
    </row>
    <row r="8627" spans="1:7">
      <c r="A8627" s="1079"/>
      <c r="B8627" s="1050"/>
      <c r="C8627" s="1050"/>
      <c r="D8627" s="1050"/>
      <c r="E8627" s="1050"/>
      <c r="F8627" s="1050"/>
      <c r="G8627" s="1050"/>
    </row>
    <row r="8628" spans="1:7">
      <c r="A8628" s="1079"/>
      <c r="B8628" s="1050"/>
      <c r="C8628" s="1050"/>
      <c r="D8628" s="1050"/>
      <c r="E8628" s="1050"/>
      <c r="F8628" s="1050"/>
      <c r="G8628" s="1050"/>
    </row>
    <row r="8629" spans="1:7">
      <c r="A8629" s="1079"/>
      <c r="B8629" s="1050"/>
      <c r="C8629" s="1050"/>
      <c r="D8629" s="1050"/>
      <c r="E8629" s="1050"/>
      <c r="F8629" s="1050"/>
      <c r="G8629" s="1050"/>
    </row>
    <row r="8630" spans="1:7">
      <c r="A8630" s="1079"/>
      <c r="B8630" s="1050"/>
      <c r="C8630" s="1050"/>
      <c r="D8630" s="1050"/>
      <c r="E8630" s="1050"/>
      <c r="F8630" s="1050"/>
      <c r="G8630" s="1050"/>
    </row>
    <row r="8631" spans="1:7">
      <c r="A8631" s="1079"/>
      <c r="B8631" s="1050"/>
      <c r="C8631" s="1050"/>
      <c r="D8631" s="1050"/>
      <c r="E8631" s="1050"/>
      <c r="F8631" s="1050"/>
      <c r="G8631" s="1050"/>
    </row>
    <row r="8632" spans="1:7">
      <c r="A8632" s="1079"/>
      <c r="B8632" s="1050"/>
      <c r="C8632" s="1050"/>
      <c r="D8632" s="1050"/>
      <c r="E8632" s="1050"/>
      <c r="F8632" s="1050"/>
      <c r="G8632" s="1050"/>
    </row>
    <row r="8633" spans="1:7">
      <c r="A8633" s="1079"/>
      <c r="B8633" s="1050"/>
      <c r="C8633" s="1050"/>
      <c r="D8633" s="1050"/>
      <c r="E8633" s="1050"/>
      <c r="F8633" s="1050"/>
      <c r="G8633" s="1050"/>
    </row>
    <row r="8634" spans="1:7">
      <c r="A8634" s="1079"/>
      <c r="B8634" s="1050"/>
      <c r="C8634" s="1050"/>
      <c r="D8634" s="1050"/>
      <c r="E8634" s="1050"/>
      <c r="F8634" s="1050"/>
      <c r="G8634" s="1050"/>
    </row>
    <row r="8635" spans="1:7">
      <c r="A8635" s="1079"/>
      <c r="B8635" s="1050"/>
      <c r="C8635" s="1050"/>
      <c r="D8635" s="1050"/>
      <c r="E8635" s="1050"/>
      <c r="F8635" s="1050"/>
      <c r="G8635" s="1050"/>
    </row>
    <row r="8636" spans="1:7">
      <c r="A8636" s="1079"/>
      <c r="B8636" s="1050"/>
      <c r="C8636" s="1050"/>
      <c r="D8636" s="1050"/>
      <c r="E8636" s="1050"/>
      <c r="F8636" s="1050"/>
      <c r="G8636" s="1050"/>
    </row>
    <row r="8637" spans="1:7">
      <c r="A8637" s="1079"/>
      <c r="B8637" s="1050"/>
      <c r="C8637" s="1050"/>
      <c r="D8637" s="1050"/>
      <c r="E8637" s="1050"/>
      <c r="F8637" s="1050"/>
      <c r="G8637" s="1050"/>
    </row>
    <row r="8638" spans="1:7">
      <c r="A8638" s="1079"/>
      <c r="B8638" s="1050"/>
      <c r="C8638" s="1050"/>
      <c r="D8638" s="1050"/>
      <c r="E8638" s="1050"/>
      <c r="F8638" s="1050"/>
      <c r="G8638" s="1050"/>
    </row>
    <row r="8639" spans="1:7">
      <c r="A8639" s="1079"/>
      <c r="B8639" s="1050"/>
      <c r="C8639" s="1050"/>
      <c r="D8639" s="1050"/>
      <c r="E8639" s="1050"/>
      <c r="F8639" s="1050"/>
      <c r="G8639" s="1050"/>
    </row>
    <row r="8640" spans="1:7">
      <c r="A8640" s="1079"/>
      <c r="B8640" s="1050"/>
      <c r="C8640" s="1050"/>
      <c r="D8640" s="1050"/>
      <c r="E8640" s="1050"/>
      <c r="F8640" s="1050"/>
      <c r="G8640" s="1050"/>
    </row>
    <row r="8641" spans="1:7">
      <c r="A8641" s="1079"/>
      <c r="B8641" s="1050"/>
      <c r="C8641" s="1050"/>
      <c r="D8641" s="1050"/>
      <c r="E8641" s="1050"/>
      <c r="F8641" s="1050"/>
      <c r="G8641" s="1050"/>
    </row>
    <row r="8642" spans="1:7">
      <c r="A8642" s="1079"/>
      <c r="B8642" s="1050"/>
      <c r="C8642" s="1050"/>
      <c r="D8642" s="1050"/>
      <c r="E8642" s="1050"/>
      <c r="F8642" s="1050"/>
      <c r="G8642" s="1050"/>
    </row>
    <row r="8643" spans="1:7">
      <c r="A8643" s="1079"/>
      <c r="B8643" s="1050"/>
      <c r="C8643" s="1050"/>
      <c r="D8643" s="1050"/>
      <c r="E8643" s="1050"/>
      <c r="F8643" s="1050"/>
      <c r="G8643" s="1050"/>
    </row>
    <row r="8644" spans="1:7">
      <c r="A8644" s="1079"/>
      <c r="B8644" s="1050"/>
      <c r="C8644" s="1050"/>
      <c r="D8644" s="1050"/>
      <c r="E8644" s="1050"/>
      <c r="F8644" s="1050"/>
      <c r="G8644" s="1050"/>
    </row>
    <row r="8645" spans="1:7">
      <c r="A8645" s="1079"/>
      <c r="B8645" s="1050"/>
      <c r="C8645" s="1050"/>
      <c r="D8645" s="1050"/>
      <c r="E8645" s="1050"/>
      <c r="F8645" s="1050"/>
      <c r="G8645" s="1050"/>
    </row>
    <row r="8646" spans="1:7">
      <c r="A8646" s="1079"/>
      <c r="B8646" s="1050"/>
      <c r="C8646" s="1050"/>
      <c r="D8646" s="1050"/>
      <c r="E8646" s="1050"/>
      <c r="F8646" s="1050"/>
      <c r="G8646" s="1050"/>
    </row>
    <row r="8647" spans="1:7">
      <c r="A8647" s="1079"/>
      <c r="B8647" s="1050"/>
      <c r="C8647" s="1050"/>
      <c r="D8647" s="1050"/>
      <c r="E8647" s="1050"/>
      <c r="F8647" s="1050"/>
      <c r="G8647" s="1050"/>
    </row>
    <row r="8648" spans="1:7">
      <c r="A8648" s="1079"/>
      <c r="B8648" s="1050"/>
      <c r="C8648" s="1050"/>
      <c r="D8648" s="1050"/>
      <c r="E8648" s="1050"/>
      <c r="F8648" s="1050"/>
      <c r="G8648" s="1050"/>
    </row>
    <row r="8649" spans="1:7">
      <c r="A8649" s="1079"/>
      <c r="B8649" s="1050"/>
      <c r="C8649" s="1050"/>
      <c r="D8649" s="1050"/>
      <c r="E8649" s="1050"/>
      <c r="F8649" s="1050"/>
      <c r="G8649" s="1050"/>
    </row>
    <row r="8650" spans="1:7">
      <c r="A8650" s="1079"/>
      <c r="B8650" s="1050"/>
      <c r="C8650" s="1050"/>
      <c r="D8650" s="1050"/>
      <c r="E8650" s="1050"/>
      <c r="F8650" s="1050"/>
      <c r="G8650" s="1050"/>
    </row>
    <row r="8651" spans="1:7">
      <c r="A8651" s="1079"/>
      <c r="B8651" s="1050"/>
      <c r="C8651" s="1050"/>
      <c r="D8651" s="1050"/>
      <c r="E8651" s="1050"/>
      <c r="F8651" s="1050"/>
      <c r="G8651" s="1050"/>
    </row>
    <row r="8652" spans="1:7">
      <c r="A8652" s="1079"/>
      <c r="B8652" s="1050"/>
      <c r="C8652" s="1050"/>
      <c r="D8652" s="1050"/>
      <c r="E8652" s="1050"/>
      <c r="F8652" s="1050"/>
      <c r="G8652" s="1050"/>
    </row>
    <row r="8653" spans="1:7">
      <c r="A8653" s="1079"/>
      <c r="B8653" s="1050"/>
      <c r="C8653" s="1050"/>
      <c r="D8653" s="1050"/>
      <c r="E8653" s="1050"/>
      <c r="F8653" s="1050"/>
      <c r="G8653" s="1050"/>
    </row>
    <row r="8654" spans="1:7">
      <c r="A8654" s="1079"/>
      <c r="B8654" s="1050"/>
      <c r="C8654" s="1050"/>
      <c r="D8654" s="1050"/>
      <c r="E8654" s="1050"/>
      <c r="F8654" s="1050"/>
      <c r="G8654" s="1050"/>
    </row>
    <row r="8655" spans="1:7">
      <c r="A8655" s="1079"/>
      <c r="B8655" s="1050"/>
      <c r="C8655" s="1050"/>
      <c r="D8655" s="1050"/>
      <c r="E8655" s="1050"/>
      <c r="F8655" s="1050"/>
      <c r="G8655" s="1050"/>
    </row>
    <row r="8656" spans="1:7">
      <c r="A8656" s="1079"/>
      <c r="B8656" s="1050"/>
      <c r="C8656" s="1050"/>
      <c r="D8656" s="1050"/>
      <c r="E8656" s="1050"/>
      <c r="F8656" s="1050"/>
      <c r="G8656" s="1050"/>
    </row>
    <row r="8657" spans="1:7">
      <c r="A8657" s="1079"/>
      <c r="B8657" s="1050"/>
      <c r="C8657" s="1050"/>
      <c r="D8657" s="1050"/>
      <c r="E8657" s="1050"/>
      <c r="F8657" s="1050"/>
      <c r="G8657" s="1050"/>
    </row>
    <row r="8658" spans="1:7">
      <c r="A8658" s="1079"/>
      <c r="B8658" s="1050"/>
      <c r="C8658" s="1050"/>
      <c r="D8658" s="1050"/>
      <c r="E8658" s="1050"/>
      <c r="F8658" s="1050"/>
      <c r="G8658" s="1050"/>
    </row>
    <row r="8659" spans="1:7">
      <c r="A8659" s="1079"/>
      <c r="B8659" s="1050"/>
      <c r="C8659" s="1050"/>
      <c r="D8659" s="1050"/>
      <c r="E8659" s="1050"/>
      <c r="F8659" s="1050"/>
      <c r="G8659" s="1050"/>
    </row>
    <row r="8660" spans="1:7">
      <c r="A8660" s="1079"/>
      <c r="B8660" s="1050"/>
      <c r="C8660" s="1050"/>
      <c r="D8660" s="1050"/>
      <c r="E8660" s="1050"/>
      <c r="F8660" s="1050"/>
      <c r="G8660" s="1050"/>
    </row>
    <row r="8661" spans="1:7">
      <c r="A8661" s="1079"/>
      <c r="B8661" s="1050"/>
      <c r="C8661" s="1050"/>
      <c r="D8661" s="1050"/>
      <c r="E8661" s="1050"/>
      <c r="F8661" s="1050"/>
      <c r="G8661" s="1050"/>
    </row>
    <row r="8662" spans="1:7">
      <c r="A8662" s="1079"/>
      <c r="B8662" s="1050"/>
      <c r="C8662" s="1050"/>
      <c r="D8662" s="1050"/>
      <c r="E8662" s="1050"/>
      <c r="F8662" s="1050"/>
      <c r="G8662" s="1050"/>
    </row>
    <row r="8663" spans="1:7">
      <c r="A8663" s="1079"/>
      <c r="B8663" s="1050"/>
      <c r="C8663" s="1050"/>
      <c r="D8663" s="1050"/>
      <c r="E8663" s="1050"/>
      <c r="F8663" s="1050"/>
      <c r="G8663" s="1050"/>
    </row>
    <row r="8664" spans="1:7">
      <c r="A8664" s="1079"/>
      <c r="B8664" s="1050"/>
      <c r="C8664" s="1050"/>
      <c r="D8664" s="1050"/>
      <c r="E8664" s="1050"/>
      <c r="F8664" s="1050"/>
      <c r="G8664" s="1050"/>
    </row>
    <row r="8665" spans="1:7">
      <c r="A8665" s="1079"/>
      <c r="B8665" s="1050"/>
      <c r="C8665" s="1050"/>
      <c r="D8665" s="1050"/>
      <c r="E8665" s="1050"/>
      <c r="F8665" s="1050"/>
      <c r="G8665" s="1050"/>
    </row>
    <row r="8666" spans="1:7">
      <c r="A8666" s="1079"/>
      <c r="B8666" s="1050"/>
      <c r="C8666" s="1050"/>
      <c r="D8666" s="1050"/>
      <c r="E8666" s="1050"/>
      <c r="F8666" s="1050"/>
      <c r="G8666" s="1050"/>
    </row>
    <row r="8667" spans="1:7">
      <c r="A8667" s="1079"/>
      <c r="B8667" s="1050"/>
      <c r="C8667" s="1050"/>
      <c r="D8667" s="1050"/>
      <c r="E8667" s="1050"/>
      <c r="F8667" s="1050"/>
      <c r="G8667" s="1050"/>
    </row>
    <row r="8668" spans="1:7">
      <c r="A8668" s="1079"/>
      <c r="B8668" s="1050"/>
      <c r="C8668" s="1050"/>
      <c r="D8668" s="1050"/>
      <c r="E8668" s="1050"/>
      <c r="F8668" s="1050"/>
      <c r="G8668" s="1050"/>
    </row>
    <row r="8669" spans="1:7">
      <c r="A8669" s="1079"/>
      <c r="B8669" s="1050"/>
      <c r="C8669" s="1050"/>
      <c r="D8669" s="1050"/>
      <c r="E8669" s="1050"/>
      <c r="F8669" s="1050"/>
      <c r="G8669" s="1050"/>
    </row>
    <row r="8670" spans="1:7">
      <c r="A8670" s="1079"/>
      <c r="B8670" s="1050"/>
      <c r="C8670" s="1050"/>
      <c r="D8670" s="1050"/>
      <c r="E8670" s="1050"/>
      <c r="F8670" s="1050"/>
      <c r="G8670" s="1050"/>
    </row>
    <row r="8671" spans="1:7">
      <c r="A8671" s="1079"/>
      <c r="B8671" s="1050"/>
      <c r="C8671" s="1050"/>
      <c r="D8671" s="1050"/>
      <c r="E8671" s="1050"/>
      <c r="F8671" s="1050"/>
      <c r="G8671" s="1050"/>
    </row>
    <row r="8672" spans="1:7">
      <c r="A8672" s="1079"/>
      <c r="B8672" s="1050"/>
      <c r="C8672" s="1050"/>
      <c r="D8672" s="1050"/>
      <c r="E8672" s="1050"/>
      <c r="F8672" s="1050"/>
      <c r="G8672" s="1050"/>
    </row>
    <row r="8673" spans="1:7">
      <c r="A8673" s="1079"/>
      <c r="B8673" s="1050"/>
      <c r="C8673" s="1050"/>
      <c r="D8673" s="1050"/>
      <c r="E8673" s="1050"/>
      <c r="F8673" s="1050"/>
      <c r="G8673" s="1050"/>
    </row>
    <row r="8674" spans="1:7">
      <c r="A8674" s="1079"/>
      <c r="B8674" s="1050"/>
      <c r="C8674" s="1050"/>
      <c r="D8674" s="1050"/>
      <c r="E8674" s="1050"/>
      <c r="F8674" s="1050"/>
      <c r="G8674" s="1050"/>
    </row>
    <row r="8675" spans="1:7">
      <c r="A8675" s="1079"/>
      <c r="B8675" s="1050"/>
      <c r="C8675" s="1050"/>
      <c r="D8675" s="1050"/>
      <c r="E8675" s="1050"/>
      <c r="F8675" s="1050"/>
      <c r="G8675" s="1050"/>
    </row>
    <row r="8676" spans="1:7">
      <c r="A8676" s="1079"/>
      <c r="B8676" s="1050"/>
      <c r="C8676" s="1050"/>
      <c r="D8676" s="1050"/>
      <c r="E8676" s="1050"/>
      <c r="F8676" s="1050"/>
      <c r="G8676" s="1050"/>
    </row>
    <row r="8677" spans="1:7">
      <c r="A8677" s="1079"/>
      <c r="B8677" s="1050"/>
      <c r="C8677" s="1050"/>
      <c r="D8677" s="1050"/>
      <c r="E8677" s="1050"/>
      <c r="F8677" s="1050"/>
      <c r="G8677" s="1050"/>
    </row>
    <row r="8678" spans="1:7">
      <c r="A8678" s="1079"/>
      <c r="B8678" s="1050"/>
      <c r="C8678" s="1050"/>
      <c r="D8678" s="1050"/>
      <c r="E8678" s="1050"/>
      <c r="F8678" s="1050"/>
      <c r="G8678" s="1050"/>
    </row>
    <row r="8679" spans="1:7">
      <c r="A8679" s="1079"/>
      <c r="B8679" s="1050"/>
      <c r="C8679" s="1050"/>
      <c r="D8679" s="1050"/>
      <c r="E8679" s="1050"/>
      <c r="F8679" s="1050"/>
      <c r="G8679" s="1050"/>
    </row>
    <row r="8680" spans="1:7">
      <c r="A8680" s="1079"/>
      <c r="B8680" s="1050"/>
      <c r="C8680" s="1050"/>
      <c r="D8680" s="1050"/>
      <c r="E8680" s="1050"/>
      <c r="F8680" s="1050"/>
      <c r="G8680" s="1050"/>
    </row>
    <row r="8681" spans="1:7">
      <c r="A8681" s="1079"/>
      <c r="B8681" s="1050"/>
      <c r="C8681" s="1050"/>
      <c r="D8681" s="1050"/>
      <c r="E8681" s="1050"/>
      <c r="F8681" s="1050"/>
      <c r="G8681" s="1050"/>
    </row>
    <row r="8682" spans="1:7">
      <c r="A8682" s="1079"/>
      <c r="B8682" s="1050"/>
      <c r="C8682" s="1050"/>
      <c r="D8682" s="1050"/>
      <c r="E8682" s="1050"/>
      <c r="F8682" s="1050"/>
      <c r="G8682" s="1050"/>
    </row>
    <row r="8683" spans="1:7">
      <c r="A8683" s="1079"/>
      <c r="B8683" s="1050"/>
      <c r="C8683" s="1050"/>
      <c r="D8683" s="1050"/>
      <c r="E8683" s="1050"/>
      <c r="F8683" s="1050"/>
      <c r="G8683" s="1050"/>
    </row>
    <row r="8684" spans="1:7">
      <c r="A8684" s="1079"/>
      <c r="B8684" s="1050"/>
      <c r="C8684" s="1050"/>
      <c r="D8684" s="1050"/>
      <c r="E8684" s="1050"/>
      <c r="F8684" s="1050"/>
      <c r="G8684" s="1050"/>
    </row>
    <row r="8685" spans="1:7">
      <c r="A8685" s="1079"/>
      <c r="B8685" s="1050"/>
      <c r="C8685" s="1050"/>
      <c r="D8685" s="1050"/>
      <c r="E8685" s="1050"/>
      <c r="F8685" s="1050"/>
      <c r="G8685" s="1050"/>
    </row>
    <row r="8686" spans="1:7">
      <c r="A8686" s="1079"/>
      <c r="B8686" s="1050"/>
      <c r="C8686" s="1050"/>
      <c r="D8686" s="1050"/>
      <c r="E8686" s="1050"/>
      <c r="F8686" s="1050"/>
      <c r="G8686" s="1050"/>
    </row>
    <row r="8687" spans="1:7">
      <c r="A8687" s="1079"/>
      <c r="B8687" s="1050"/>
      <c r="C8687" s="1050"/>
      <c r="D8687" s="1050"/>
      <c r="E8687" s="1050"/>
      <c r="F8687" s="1050"/>
      <c r="G8687" s="1050"/>
    </row>
    <row r="8688" spans="1:7">
      <c r="A8688" s="1079"/>
      <c r="B8688" s="1050"/>
      <c r="C8688" s="1050"/>
      <c r="D8688" s="1050"/>
      <c r="E8688" s="1050"/>
      <c r="F8688" s="1050"/>
      <c r="G8688" s="1050"/>
    </row>
    <row r="8689" spans="1:7">
      <c r="A8689" s="1079"/>
      <c r="B8689" s="1050"/>
      <c r="C8689" s="1050"/>
      <c r="D8689" s="1050"/>
      <c r="E8689" s="1050"/>
      <c r="F8689" s="1050"/>
      <c r="G8689" s="1050"/>
    </row>
    <row r="8690" spans="1:7">
      <c r="A8690" s="1079"/>
      <c r="B8690" s="1050"/>
      <c r="C8690" s="1050"/>
      <c r="D8690" s="1050"/>
      <c r="E8690" s="1050"/>
      <c r="F8690" s="1050"/>
      <c r="G8690" s="1050"/>
    </row>
    <row r="8691" spans="1:7">
      <c r="A8691" s="1079"/>
      <c r="B8691" s="1050"/>
      <c r="C8691" s="1050"/>
      <c r="D8691" s="1050"/>
      <c r="E8691" s="1050"/>
      <c r="F8691" s="1050"/>
      <c r="G8691" s="1050"/>
    </row>
    <row r="8692" spans="1:7">
      <c r="A8692" s="1079"/>
      <c r="B8692" s="1050"/>
      <c r="C8692" s="1050"/>
      <c r="D8692" s="1050"/>
      <c r="E8692" s="1050"/>
      <c r="F8692" s="1050"/>
      <c r="G8692" s="1050"/>
    </row>
    <row r="8693" spans="1:7">
      <c r="A8693" s="1079"/>
      <c r="B8693" s="1050"/>
      <c r="C8693" s="1050"/>
      <c r="D8693" s="1050"/>
      <c r="E8693" s="1050"/>
      <c r="F8693" s="1050"/>
      <c r="G8693" s="1050"/>
    </row>
    <row r="8694" spans="1:7">
      <c r="A8694" s="1079"/>
      <c r="B8694" s="1050"/>
      <c r="C8694" s="1050"/>
      <c r="D8694" s="1050"/>
      <c r="E8694" s="1050"/>
      <c r="F8694" s="1050"/>
      <c r="G8694" s="1050"/>
    </row>
    <row r="8695" spans="1:7">
      <c r="A8695" s="1079"/>
      <c r="B8695" s="1050"/>
      <c r="C8695" s="1050"/>
      <c r="D8695" s="1050"/>
      <c r="E8695" s="1050"/>
      <c r="F8695" s="1050"/>
      <c r="G8695" s="1050"/>
    </row>
    <row r="8696" spans="1:7">
      <c r="A8696" s="1079"/>
      <c r="B8696" s="1050"/>
      <c r="C8696" s="1050"/>
      <c r="D8696" s="1050"/>
      <c r="E8696" s="1050"/>
      <c r="F8696" s="1050"/>
      <c r="G8696" s="1050"/>
    </row>
    <row r="8697" spans="1:7">
      <c r="A8697" s="1079"/>
      <c r="B8697" s="1050"/>
      <c r="C8697" s="1050"/>
      <c r="D8697" s="1050"/>
      <c r="E8697" s="1050"/>
      <c r="F8697" s="1050"/>
      <c r="G8697" s="1050"/>
    </row>
    <row r="8698" spans="1:7">
      <c r="A8698" s="1079"/>
      <c r="B8698" s="1050"/>
      <c r="C8698" s="1050"/>
      <c r="D8698" s="1050"/>
      <c r="E8698" s="1050"/>
      <c r="F8698" s="1050"/>
      <c r="G8698" s="1050"/>
    </row>
    <row r="8699" spans="1:7">
      <c r="A8699" s="1079"/>
      <c r="B8699" s="1050"/>
      <c r="C8699" s="1050"/>
      <c r="D8699" s="1050"/>
      <c r="E8699" s="1050"/>
      <c r="F8699" s="1050"/>
      <c r="G8699" s="1050"/>
    </row>
    <row r="8700" spans="1:7">
      <c r="A8700" s="1079"/>
      <c r="B8700" s="1050"/>
      <c r="C8700" s="1050"/>
      <c r="D8700" s="1050"/>
      <c r="E8700" s="1050"/>
      <c r="F8700" s="1050"/>
      <c r="G8700" s="1050"/>
    </row>
    <row r="8701" spans="1:7">
      <c r="A8701" s="1079"/>
      <c r="B8701" s="1050"/>
      <c r="C8701" s="1050"/>
      <c r="D8701" s="1050"/>
      <c r="E8701" s="1050"/>
      <c r="F8701" s="1050"/>
      <c r="G8701" s="1050"/>
    </row>
    <row r="8702" spans="1:7">
      <c r="A8702" s="1079"/>
      <c r="B8702" s="1050"/>
      <c r="C8702" s="1050"/>
      <c r="D8702" s="1050"/>
      <c r="E8702" s="1050"/>
      <c r="F8702" s="1050"/>
      <c r="G8702" s="1050"/>
    </row>
    <row r="8703" spans="1:7">
      <c r="A8703" s="1079"/>
      <c r="B8703" s="1050"/>
      <c r="C8703" s="1050"/>
      <c r="D8703" s="1050"/>
      <c r="E8703" s="1050"/>
      <c r="F8703" s="1050"/>
      <c r="G8703" s="1050"/>
    </row>
    <row r="8704" spans="1:7">
      <c r="A8704" s="1079"/>
      <c r="B8704" s="1050"/>
      <c r="C8704" s="1050"/>
      <c r="D8704" s="1050"/>
      <c r="E8704" s="1050"/>
      <c r="F8704" s="1050"/>
      <c r="G8704" s="1050"/>
    </row>
    <row r="8705" spans="1:7">
      <c r="A8705" s="1079"/>
      <c r="B8705" s="1050"/>
      <c r="C8705" s="1050"/>
      <c r="D8705" s="1050"/>
      <c r="E8705" s="1050"/>
      <c r="F8705" s="1050"/>
      <c r="G8705" s="1050"/>
    </row>
    <row r="8706" spans="1:7">
      <c r="A8706" s="1079"/>
      <c r="B8706" s="1050"/>
      <c r="C8706" s="1050"/>
      <c r="D8706" s="1050"/>
      <c r="E8706" s="1050"/>
      <c r="F8706" s="1050"/>
      <c r="G8706" s="1050"/>
    </row>
    <row r="8707" spans="1:7">
      <c r="A8707" s="1079"/>
      <c r="B8707" s="1050"/>
      <c r="C8707" s="1050"/>
      <c r="D8707" s="1050"/>
      <c r="E8707" s="1050"/>
      <c r="F8707" s="1050"/>
      <c r="G8707" s="1050"/>
    </row>
    <row r="8708" spans="1:7">
      <c r="A8708" s="1079"/>
      <c r="B8708" s="1050"/>
      <c r="C8708" s="1050"/>
      <c r="D8708" s="1050"/>
      <c r="E8708" s="1050"/>
      <c r="F8708" s="1050"/>
      <c r="G8708" s="1050"/>
    </row>
    <row r="8709" spans="1:7">
      <c r="A8709" s="1079"/>
      <c r="B8709" s="1050"/>
      <c r="C8709" s="1050"/>
      <c r="D8709" s="1050"/>
      <c r="E8709" s="1050"/>
      <c r="F8709" s="1050"/>
      <c r="G8709" s="1050"/>
    </row>
    <row r="8710" spans="1:7">
      <c r="A8710" s="1079"/>
      <c r="B8710" s="1050"/>
      <c r="C8710" s="1050"/>
      <c r="D8710" s="1050"/>
      <c r="E8710" s="1050"/>
      <c r="F8710" s="1050"/>
      <c r="G8710" s="1050"/>
    </row>
    <row r="8711" spans="1:7">
      <c r="A8711" s="1079"/>
      <c r="B8711" s="1050"/>
      <c r="C8711" s="1050"/>
      <c r="D8711" s="1050"/>
      <c r="E8711" s="1050"/>
      <c r="F8711" s="1050"/>
      <c r="G8711" s="1050"/>
    </row>
    <row r="8712" spans="1:7">
      <c r="A8712" s="1079"/>
      <c r="B8712" s="1050"/>
      <c r="C8712" s="1050"/>
      <c r="D8712" s="1050"/>
      <c r="E8712" s="1050"/>
      <c r="F8712" s="1050"/>
      <c r="G8712" s="1050"/>
    </row>
    <row r="8713" spans="1:7">
      <c r="A8713" s="1079"/>
      <c r="B8713" s="1050"/>
      <c r="C8713" s="1050"/>
      <c r="D8713" s="1050"/>
      <c r="E8713" s="1050"/>
      <c r="F8713" s="1050"/>
      <c r="G8713" s="1050"/>
    </row>
    <row r="8714" spans="1:7">
      <c r="A8714" s="1079"/>
      <c r="B8714" s="1050"/>
      <c r="C8714" s="1050"/>
      <c r="D8714" s="1050"/>
      <c r="E8714" s="1050"/>
      <c r="F8714" s="1050"/>
      <c r="G8714" s="1050"/>
    </row>
    <row r="8715" spans="1:7">
      <c r="A8715" s="1079"/>
      <c r="B8715" s="1050"/>
      <c r="C8715" s="1050"/>
      <c r="D8715" s="1050"/>
      <c r="E8715" s="1050"/>
      <c r="F8715" s="1050"/>
      <c r="G8715" s="1050"/>
    </row>
    <row r="8716" spans="1:7">
      <c r="A8716" s="1079"/>
      <c r="B8716" s="1050"/>
      <c r="C8716" s="1050"/>
      <c r="D8716" s="1050"/>
      <c r="E8716" s="1050"/>
      <c r="F8716" s="1050"/>
      <c r="G8716" s="1050"/>
    </row>
    <row r="8717" spans="1:7">
      <c r="A8717" s="1079"/>
      <c r="B8717" s="1050"/>
      <c r="C8717" s="1050"/>
      <c r="D8717" s="1050"/>
      <c r="E8717" s="1050"/>
      <c r="F8717" s="1050"/>
      <c r="G8717" s="1050"/>
    </row>
    <row r="8718" spans="1:7">
      <c r="A8718" s="1079"/>
      <c r="B8718" s="1050"/>
      <c r="C8718" s="1050"/>
      <c r="D8718" s="1050"/>
      <c r="E8718" s="1050"/>
      <c r="F8718" s="1050"/>
      <c r="G8718" s="1050"/>
    </row>
    <row r="8719" spans="1:7">
      <c r="A8719" s="1079"/>
      <c r="B8719" s="1050"/>
      <c r="C8719" s="1050"/>
      <c r="D8719" s="1050"/>
      <c r="E8719" s="1050"/>
      <c r="F8719" s="1050"/>
      <c r="G8719" s="1050"/>
    </row>
    <row r="8720" spans="1:7">
      <c r="A8720" s="1079"/>
      <c r="B8720" s="1050"/>
      <c r="C8720" s="1050"/>
      <c r="D8720" s="1050"/>
      <c r="E8720" s="1050"/>
      <c r="F8720" s="1050"/>
      <c r="G8720" s="1050"/>
    </row>
    <row r="8721" spans="1:7">
      <c r="A8721" s="1079"/>
      <c r="B8721" s="1050"/>
      <c r="C8721" s="1050"/>
      <c r="D8721" s="1050"/>
      <c r="E8721" s="1050"/>
      <c r="F8721" s="1050"/>
      <c r="G8721" s="1050"/>
    </row>
    <row r="8722" spans="1:7">
      <c r="A8722" s="1079"/>
      <c r="B8722" s="1050"/>
      <c r="C8722" s="1050"/>
      <c r="D8722" s="1050"/>
      <c r="E8722" s="1050"/>
      <c r="F8722" s="1050"/>
      <c r="G8722" s="1050"/>
    </row>
    <row r="8723" spans="1:7">
      <c r="A8723" s="1079"/>
      <c r="B8723" s="1050"/>
      <c r="C8723" s="1050"/>
      <c r="D8723" s="1050"/>
      <c r="E8723" s="1050"/>
      <c r="F8723" s="1050"/>
      <c r="G8723" s="1050"/>
    </row>
    <row r="8724" spans="1:7">
      <c r="A8724" s="1079"/>
      <c r="B8724" s="1050"/>
      <c r="C8724" s="1050"/>
      <c r="D8724" s="1050"/>
      <c r="E8724" s="1050"/>
      <c r="F8724" s="1050"/>
      <c r="G8724" s="1050"/>
    </row>
    <row r="8725" spans="1:7">
      <c r="A8725" s="1079"/>
      <c r="B8725" s="1050"/>
      <c r="C8725" s="1050"/>
      <c r="D8725" s="1050"/>
      <c r="E8725" s="1050"/>
      <c r="F8725" s="1050"/>
      <c r="G8725" s="1050"/>
    </row>
    <row r="8726" spans="1:7">
      <c r="A8726" s="1079"/>
      <c r="B8726" s="1050"/>
      <c r="C8726" s="1050"/>
      <c r="D8726" s="1050"/>
      <c r="E8726" s="1050"/>
      <c r="F8726" s="1050"/>
      <c r="G8726" s="1050"/>
    </row>
    <row r="8727" spans="1:7">
      <c r="A8727" s="1079"/>
      <c r="B8727" s="1050"/>
      <c r="C8727" s="1050"/>
      <c r="D8727" s="1050"/>
      <c r="E8727" s="1050"/>
      <c r="F8727" s="1050"/>
      <c r="G8727" s="1050"/>
    </row>
    <row r="8728" spans="1:7">
      <c r="A8728" s="1079"/>
      <c r="B8728" s="1050"/>
      <c r="C8728" s="1050"/>
      <c r="D8728" s="1050"/>
      <c r="E8728" s="1050"/>
      <c r="F8728" s="1050"/>
      <c r="G8728" s="1050"/>
    </row>
    <row r="8729" spans="1:7">
      <c r="A8729" s="1079"/>
      <c r="B8729" s="1050"/>
      <c r="C8729" s="1050"/>
      <c r="D8729" s="1050"/>
      <c r="E8729" s="1050"/>
      <c r="F8729" s="1050"/>
      <c r="G8729" s="1050"/>
    </row>
    <row r="8730" spans="1:7">
      <c r="A8730" s="1079"/>
      <c r="B8730" s="1050"/>
      <c r="C8730" s="1050"/>
      <c r="D8730" s="1050"/>
      <c r="E8730" s="1050"/>
      <c r="F8730" s="1050"/>
      <c r="G8730" s="1050"/>
    </row>
    <row r="8731" spans="1:7">
      <c r="A8731" s="1079"/>
      <c r="B8731" s="1050"/>
      <c r="C8731" s="1050"/>
      <c r="D8731" s="1050"/>
      <c r="E8731" s="1050"/>
      <c r="F8731" s="1050"/>
      <c r="G8731" s="1050"/>
    </row>
    <row r="8732" spans="1:7">
      <c r="A8732" s="1079"/>
      <c r="B8732" s="1050"/>
      <c r="C8732" s="1050"/>
      <c r="D8732" s="1050"/>
      <c r="E8732" s="1050"/>
      <c r="F8732" s="1050"/>
      <c r="G8732" s="1050"/>
    </row>
    <row r="8733" spans="1:7">
      <c r="A8733" s="1079"/>
      <c r="B8733" s="1050"/>
      <c r="C8733" s="1050"/>
      <c r="D8733" s="1050"/>
      <c r="E8733" s="1050"/>
      <c r="F8733" s="1050"/>
      <c r="G8733" s="1050"/>
    </row>
    <row r="8734" spans="1:7">
      <c r="A8734" s="1079"/>
      <c r="B8734" s="1050"/>
      <c r="C8734" s="1050"/>
      <c r="D8734" s="1050"/>
      <c r="E8734" s="1050"/>
      <c r="F8734" s="1050"/>
      <c r="G8734" s="1050"/>
    </row>
    <row r="8735" spans="1:7">
      <c r="A8735" s="1079"/>
      <c r="B8735" s="1050"/>
      <c r="C8735" s="1050"/>
      <c r="D8735" s="1050"/>
      <c r="E8735" s="1050"/>
      <c r="F8735" s="1050"/>
      <c r="G8735" s="1050"/>
    </row>
    <row r="8736" spans="1:7">
      <c r="A8736" s="1079"/>
      <c r="B8736" s="1050"/>
      <c r="C8736" s="1050"/>
      <c r="D8736" s="1050"/>
      <c r="E8736" s="1050"/>
      <c r="F8736" s="1050"/>
      <c r="G8736" s="1050"/>
    </row>
    <row r="8737" spans="1:7">
      <c r="A8737" s="1079"/>
      <c r="B8737" s="1050"/>
      <c r="C8737" s="1050"/>
      <c r="D8737" s="1050"/>
      <c r="E8737" s="1050"/>
      <c r="F8737" s="1050"/>
      <c r="G8737" s="1050"/>
    </row>
    <row r="8738" spans="1:7">
      <c r="A8738" s="1079"/>
      <c r="B8738" s="1050"/>
      <c r="C8738" s="1050"/>
      <c r="D8738" s="1050"/>
      <c r="E8738" s="1050"/>
      <c r="F8738" s="1050"/>
      <c r="G8738" s="1050"/>
    </row>
    <row r="8739" spans="1:7">
      <c r="A8739" s="1079"/>
      <c r="B8739" s="1050"/>
      <c r="C8739" s="1050"/>
      <c r="D8739" s="1050"/>
      <c r="E8739" s="1050"/>
      <c r="F8739" s="1050"/>
      <c r="G8739" s="1050"/>
    </row>
    <row r="8740" spans="1:7">
      <c r="A8740" s="1079"/>
      <c r="B8740" s="1050"/>
      <c r="C8740" s="1050"/>
      <c r="D8740" s="1050"/>
      <c r="E8740" s="1050"/>
      <c r="F8740" s="1050"/>
      <c r="G8740" s="1050"/>
    </row>
    <row r="8741" spans="1:7">
      <c r="A8741" s="1079"/>
      <c r="B8741" s="1050"/>
      <c r="C8741" s="1050"/>
      <c r="D8741" s="1050"/>
      <c r="E8741" s="1050"/>
      <c r="F8741" s="1050"/>
      <c r="G8741" s="1050"/>
    </row>
    <row r="8742" spans="1:7">
      <c r="A8742" s="1079"/>
      <c r="B8742" s="1050"/>
      <c r="C8742" s="1050"/>
      <c r="D8742" s="1050"/>
      <c r="E8742" s="1050"/>
      <c r="F8742" s="1050"/>
      <c r="G8742" s="1050"/>
    </row>
    <row r="8743" spans="1:7">
      <c r="A8743" s="1079"/>
      <c r="B8743" s="1050"/>
      <c r="C8743" s="1050"/>
      <c r="D8743" s="1050"/>
      <c r="E8743" s="1050"/>
      <c r="F8743" s="1050"/>
      <c r="G8743" s="1050"/>
    </row>
    <row r="8744" spans="1:7">
      <c r="A8744" s="1079"/>
      <c r="B8744" s="1050"/>
      <c r="C8744" s="1050"/>
      <c r="D8744" s="1050"/>
      <c r="E8744" s="1050"/>
      <c r="F8744" s="1050"/>
      <c r="G8744" s="1050"/>
    </row>
    <row r="8745" spans="1:7">
      <c r="A8745" s="1079"/>
      <c r="B8745" s="1050"/>
      <c r="C8745" s="1050"/>
      <c r="D8745" s="1050"/>
      <c r="E8745" s="1050"/>
      <c r="F8745" s="1050"/>
      <c r="G8745" s="1050"/>
    </row>
    <row r="8746" spans="1:7">
      <c r="A8746" s="1079"/>
      <c r="B8746" s="1050"/>
      <c r="C8746" s="1050"/>
      <c r="D8746" s="1050"/>
      <c r="E8746" s="1050"/>
      <c r="F8746" s="1050"/>
      <c r="G8746" s="1050"/>
    </row>
    <row r="8747" spans="1:7">
      <c r="A8747" s="1079"/>
      <c r="B8747" s="1050"/>
      <c r="C8747" s="1050"/>
      <c r="D8747" s="1050"/>
      <c r="E8747" s="1050"/>
      <c r="F8747" s="1050"/>
      <c r="G8747" s="1050"/>
    </row>
    <row r="8748" spans="1:7">
      <c r="A8748" s="1079"/>
      <c r="B8748" s="1050"/>
      <c r="C8748" s="1050"/>
      <c r="D8748" s="1050"/>
      <c r="E8748" s="1050"/>
      <c r="F8748" s="1050"/>
      <c r="G8748" s="1050"/>
    </row>
    <row r="8749" spans="1:7">
      <c r="A8749" s="1079"/>
      <c r="B8749" s="1050"/>
      <c r="C8749" s="1050"/>
      <c r="D8749" s="1050"/>
      <c r="E8749" s="1050"/>
      <c r="F8749" s="1050"/>
      <c r="G8749" s="1050"/>
    </row>
    <row r="8750" spans="1:7">
      <c r="A8750" s="1079"/>
      <c r="B8750" s="1050"/>
      <c r="C8750" s="1050"/>
      <c r="D8750" s="1050"/>
      <c r="E8750" s="1050"/>
      <c r="F8750" s="1050"/>
      <c r="G8750" s="1050"/>
    </row>
    <row r="8751" spans="1:7">
      <c r="A8751" s="1079"/>
      <c r="B8751" s="1050"/>
      <c r="C8751" s="1050"/>
      <c r="D8751" s="1050"/>
      <c r="E8751" s="1050"/>
      <c r="F8751" s="1050"/>
      <c r="G8751" s="1050"/>
    </row>
    <row r="8752" spans="1:7">
      <c r="A8752" s="1079"/>
      <c r="B8752" s="1050"/>
      <c r="C8752" s="1050"/>
      <c r="D8752" s="1050"/>
      <c r="E8752" s="1050"/>
      <c r="F8752" s="1050"/>
      <c r="G8752" s="1050"/>
    </row>
    <row r="8753" spans="1:7">
      <c r="A8753" s="1079"/>
      <c r="B8753" s="1050"/>
      <c r="C8753" s="1050"/>
      <c r="D8753" s="1050"/>
      <c r="E8753" s="1050"/>
      <c r="F8753" s="1050"/>
      <c r="G8753" s="1050"/>
    </row>
    <row r="8754" spans="1:7">
      <c r="A8754" s="1079"/>
      <c r="B8754" s="1050"/>
      <c r="C8754" s="1050"/>
      <c r="D8754" s="1050"/>
      <c r="E8754" s="1050"/>
      <c r="F8754" s="1050"/>
      <c r="G8754" s="1050"/>
    </row>
    <row r="8755" spans="1:7">
      <c r="A8755" s="1079"/>
      <c r="B8755" s="1050"/>
      <c r="C8755" s="1050"/>
      <c r="D8755" s="1050"/>
      <c r="E8755" s="1050"/>
      <c r="F8755" s="1050"/>
      <c r="G8755" s="1050"/>
    </row>
    <row r="8756" spans="1:7">
      <c r="A8756" s="1079"/>
      <c r="B8756" s="1050"/>
      <c r="C8756" s="1050"/>
      <c r="D8756" s="1050"/>
      <c r="E8756" s="1050"/>
      <c r="F8756" s="1050"/>
      <c r="G8756" s="1050"/>
    </row>
    <row r="8757" spans="1:7">
      <c r="A8757" s="1079"/>
      <c r="B8757" s="1050"/>
      <c r="C8757" s="1050"/>
      <c r="D8757" s="1050"/>
      <c r="E8757" s="1050"/>
      <c r="F8757" s="1050"/>
      <c r="G8757" s="1050"/>
    </row>
    <row r="8758" spans="1:7">
      <c r="A8758" s="1079"/>
      <c r="B8758" s="1050"/>
      <c r="C8758" s="1050"/>
      <c r="D8758" s="1050"/>
      <c r="E8758" s="1050"/>
      <c r="F8758" s="1050"/>
      <c r="G8758" s="1050"/>
    </row>
    <row r="8759" spans="1:7">
      <c r="A8759" s="1079"/>
      <c r="B8759" s="1050"/>
      <c r="C8759" s="1050"/>
      <c r="D8759" s="1050"/>
      <c r="E8759" s="1050"/>
      <c r="F8759" s="1050"/>
      <c r="G8759" s="1050"/>
    </row>
    <row r="8760" spans="1:7">
      <c r="A8760" s="1079"/>
      <c r="B8760" s="1050"/>
      <c r="C8760" s="1050"/>
      <c r="D8760" s="1050"/>
      <c r="E8760" s="1050"/>
      <c r="F8760" s="1050"/>
      <c r="G8760" s="1050"/>
    </row>
    <row r="8761" spans="1:7">
      <c r="A8761" s="1079"/>
      <c r="B8761" s="1050"/>
      <c r="C8761" s="1050"/>
      <c r="D8761" s="1050"/>
      <c r="E8761" s="1050"/>
      <c r="F8761" s="1050"/>
      <c r="G8761" s="1050"/>
    </row>
    <row r="8762" spans="1:7">
      <c r="A8762" s="1079"/>
      <c r="B8762" s="1050"/>
      <c r="C8762" s="1050"/>
      <c r="D8762" s="1050"/>
      <c r="E8762" s="1050"/>
      <c r="F8762" s="1050"/>
      <c r="G8762" s="1050"/>
    </row>
    <row r="8763" spans="1:7">
      <c r="A8763" s="1079"/>
      <c r="B8763" s="1050"/>
      <c r="C8763" s="1050"/>
      <c r="D8763" s="1050"/>
      <c r="E8763" s="1050"/>
      <c r="F8763" s="1050"/>
      <c r="G8763" s="1050"/>
    </row>
    <row r="8764" spans="1:7">
      <c r="A8764" s="1079"/>
      <c r="B8764" s="1050"/>
      <c r="C8764" s="1050"/>
      <c r="D8764" s="1050"/>
      <c r="E8764" s="1050"/>
      <c r="F8764" s="1050"/>
      <c r="G8764" s="1050"/>
    </row>
    <row r="8765" spans="1:7">
      <c r="A8765" s="1079"/>
      <c r="B8765" s="1050"/>
      <c r="C8765" s="1050"/>
      <c r="D8765" s="1050"/>
      <c r="E8765" s="1050"/>
      <c r="F8765" s="1050"/>
      <c r="G8765" s="1050"/>
    </row>
    <row r="8766" spans="1:7">
      <c r="A8766" s="1079"/>
      <c r="B8766" s="1050"/>
      <c r="C8766" s="1050"/>
      <c r="D8766" s="1050"/>
      <c r="E8766" s="1050"/>
      <c r="F8766" s="1050"/>
      <c r="G8766" s="1050"/>
    </row>
    <row r="8767" spans="1:7">
      <c r="A8767" s="1079"/>
      <c r="B8767" s="1050"/>
      <c r="C8767" s="1050"/>
      <c r="D8767" s="1050"/>
      <c r="E8767" s="1050"/>
      <c r="F8767" s="1050"/>
      <c r="G8767" s="1050"/>
    </row>
    <row r="8768" spans="1:7">
      <c r="A8768" s="1079"/>
      <c r="B8768" s="1050"/>
      <c r="C8768" s="1050"/>
      <c r="D8768" s="1050"/>
      <c r="E8768" s="1050"/>
      <c r="F8768" s="1050"/>
      <c r="G8768" s="1050"/>
    </row>
    <row r="8769" spans="1:7">
      <c r="A8769" s="1079"/>
      <c r="B8769" s="1050"/>
      <c r="C8769" s="1050"/>
      <c r="D8769" s="1050"/>
      <c r="E8769" s="1050"/>
      <c r="F8769" s="1050"/>
      <c r="G8769" s="1050"/>
    </row>
    <row r="8770" spans="1:7">
      <c r="A8770" s="1079"/>
      <c r="B8770" s="1050"/>
      <c r="C8770" s="1050"/>
      <c r="D8770" s="1050"/>
      <c r="E8770" s="1050"/>
      <c r="F8770" s="1050"/>
      <c r="G8770" s="1050"/>
    </row>
    <row r="8771" spans="1:7">
      <c r="A8771" s="1079"/>
      <c r="B8771" s="1050"/>
      <c r="C8771" s="1050"/>
      <c r="D8771" s="1050"/>
      <c r="E8771" s="1050"/>
      <c r="F8771" s="1050"/>
      <c r="G8771" s="1050"/>
    </row>
    <row r="8772" spans="1:7">
      <c r="A8772" s="1079"/>
      <c r="B8772" s="1050"/>
      <c r="C8772" s="1050"/>
      <c r="D8772" s="1050"/>
      <c r="E8772" s="1050"/>
      <c r="F8772" s="1050"/>
      <c r="G8772" s="1050"/>
    </row>
    <row r="8773" spans="1:7">
      <c r="A8773" s="1079"/>
      <c r="B8773" s="1050"/>
      <c r="C8773" s="1050"/>
      <c r="D8773" s="1050"/>
      <c r="E8773" s="1050"/>
      <c r="F8773" s="1050"/>
      <c r="G8773" s="1050"/>
    </row>
    <row r="8774" spans="1:7">
      <c r="A8774" s="1079"/>
      <c r="B8774" s="1050"/>
      <c r="C8774" s="1050"/>
      <c r="D8774" s="1050"/>
      <c r="E8774" s="1050"/>
      <c r="F8774" s="1050"/>
      <c r="G8774" s="1050"/>
    </row>
    <row r="8775" spans="1:7">
      <c r="A8775" s="1079"/>
      <c r="B8775" s="1050"/>
      <c r="C8775" s="1050"/>
      <c r="D8775" s="1050"/>
      <c r="E8775" s="1050"/>
      <c r="F8775" s="1050"/>
      <c r="G8775" s="1050"/>
    </row>
    <row r="8776" spans="1:7">
      <c r="A8776" s="1079"/>
      <c r="B8776" s="1050"/>
      <c r="C8776" s="1050"/>
      <c r="D8776" s="1050"/>
      <c r="E8776" s="1050"/>
      <c r="F8776" s="1050"/>
      <c r="G8776" s="1050"/>
    </row>
    <row r="8777" spans="1:7">
      <c r="A8777" s="1079"/>
      <c r="B8777" s="1050"/>
      <c r="C8777" s="1050"/>
      <c r="D8777" s="1050"/>
      <c r="E8777" s="1050"/>
      <c r="F8777" s="1050"/>
      <c r="G8777" s="1050"/>
    </row>
    <row r="8778" spans="1:7">
      <c r="A8778" s="1079"/>
      <c r="B8778" s="1050"/>
      <c r="C8778" s="1050"/>
      <c r="D8778" s="1050"/>
      <c r="E8778" s="1050"/>
      <c r="F8778" s="1050"/>
      <c r="G8778" s="1050"/>
    </row>
    <row r="8779" spans="1:7">
      <c r="A8779" s="1079"/>
      <c r="B8779" s="1050"/>
      <c r="C8779" s="1050"/>
      <c r="D8779" s="1050"/>
      <c r="E8779" s="1050"/>
      <c r="F8779" s="1050"/>
      <c r="G8779" s="1050"/>
    </row>
    <row r="8780" spans="1:7">
      <c r="A8780" s="1079"/>
      <c r="B8780" s="1050"/>
      <c r="C8780" s="1050"/>
      <c r="D8780" s="1050"/>
      <c r="E8780" s="1050"/>
      <c r="F8780" s="1050"/>
      <c r="G8780" s="1050"/>
    </row>
    <row r="8781" spans="1:7">
      <c r="A8781" s="1079"/>
      <c r="B8781" s="1050"/>
      <c r="C8781" s="1050"/>
      <c r="D8781" s="1050"/>
      <c r="E8781" s="1050"/>
      <c r="F8781" s="1050"/>
      <c r="G8781" s="1050"/>
    </row>
    <row r="8782" spans="1:7">
      <c r="A8782" s="1079"/>
      <c r="B8782" s="1050"/>
      <c r="C8782" s="1050"/>
      <c r="D8782" s="1050"/>
      <c r="E8782" s="1050"/>
      <c r="F8782" s="1050"/>
      <c r="G8782" s="1050"/>
    </row>
    <row r="8783" spans="1:7">
      <c r="A8783" s="1079"/>
      <c r="B8783" s="1050"/>
      <c r="C8783" s="1050"/>
      <c r="D8783" s="1050"/>
      <c r="E8783" s="1050"/>
      <c r="F8783" s="1050"/>
      <c r="G8783" s="1050"/>
    </row>
    <row r="8784" spans="1:7">
      <c r="A8784" s="1079"/>
      <c r="B8784" s="1050"/>
      <c r="C8784" s="1050"/>
      <c r="D8784" s="1050"/>
      <c r="E8784" s="1050"/>
      <c r="F8784" s="1050"/>
      <c r="G8784" s="1050"/>
    </row>
    <row r="8785" spans="1:7">
      <c r="A8785" s="1079"/>
      <c r="B8785" s="1050"/>
      <c r="C8785" s="1050"/>
      <c r="D8785" s="1050"/>
      <c r="E8785" s="1050"/>
      <c r="F8785" s="1050"/>
      <c r="G8785" s="1050"/>
    </row>
    <row r="8786" spans="1:7">
      <c r="A8786" s="1079"/>
      <c r="B8786" s="1050"/>
      <c r="C8786" s="1050"/>
      <c r="D8786" s="1050"/>
      <c r="E8786" s="1050"/>
      <c r="F8786" s="1050"/>
      <c r="G8786" s="1050"/>
    </row>
    <row r="8787" spans="1:7">
      <c r="A8787" s="1079"/>
      <c r="B8787" s="1050"/>
      <c r="C8787" s="1050"/>
      <c r="D8787" s="1050"/>
      <c r="E8787" s="1050"/>
      <c r="F8787" s="1050"/>
      <c r="G8787" s="1050"/>
    </row>
    <row r="8788" spans="1:7">
      <c r="A8788" s="1079"/>
      <c r="B8788" s="1050"/>
      <c r="C8788" s="1050"/>
      <c r="D8788" s="1050"/>
      <c r="E8788" s="1050"/>
      <c r="F8788" s="1050"/>
      <c r="G8788" s="1050"/>
    </row>
    <row r="8789" spans="1:7">
      <c r="A8789" s="1079"/>
      <c r="B8789" s="1050"/>
      <c r="C8789" s="1050"/>
      <c r="D8789" s="1050"/>
      <c r="E8789" s="1050"/>
      <c r="F8789" s="1050"/>
      <c r="G8789" s="1050"/>
    </row>
    <row r="8790" spans="1:7">
      <c r="A8790" s="1079"/>
      <c r="B8790" s="1050"/>
      <c r="C8790" s="1050"/>
      <c r="D8790" s="1050"/>
      <c r="E8790" s="1050"/>
      <c r="F8790" s="1050"/>
      <c r="G8790" s="1050"/>
    </row>
    <row r="8791" spans="1:7">
      <c r="A8791" s="1079"/>
      <c r="B8791" s="1050"/>
      <c r="C8791" s="1050"/>
      <c r="D8791" s="1050"/>
      <c r="E8791" s="1050"/>
      <c r="F8791" s="1050"/>
      <c r="G8791" s="1050"/>
    </row>
    <row r="8792" spans="1:7">
      <c r="A8792" s="1079"/>
      <c r="B8792" s="1050"/>
      <c r="C8792" s="1050"/>
      <c r="D8792" s="1050"/>
      <c r="E8792" s="1050"/>
      <c r="F8792" s="1050"/>
      <c r="G8792" s="1050"/>
    </row>
    <row r="8793" spans="1:7">
      <c r="A8793" s="1079"/>
      <c r="B8793" s="1050"/>
      <c r="C8793" s="1050"/>
      <c r="D8793" s="1050"/>
      <c r="E8793" s="1050"/>
      <c r="F8793" s="1050"/>
      <c r="G8793" s="1050"/>
    </row>
    <row r="8794" spans="1:7">
      <c r="A8794" s="1079"/>
      <c r="B8794" s="1050"/>
      <c r="C8794" s="1050"/>
      <c r="D8794" s="1050"/>
      <c r="E8794" s="1050"/>
      <c r="F8794" s="1050"/>
      <c r="G8794" s="1050"/>
    </row>
    <row r="8795" spans="1:7">
      <c r="A8795" s="1079"/>
      <c r="B8795" s="1050"/>
      <c r="C8795" s="1050"/>
      <c r="D8795" s="1050"/>
      <c r="E8795" s="1050"/>
      <c r="F8795" s="1050"/>
      <c r="G8795" s="1050"/>
    </row>
    <row r="8796" spans="1:7">
      <c r="A8796" s="1079"/>
      <c r="B8796" s="1050"/>
      <c r="C8796" s="1050"/>
      <c r="D8796" s="1050"/>
      <c r="E8796" s="1050"/>
      <c r="F8796" s="1050"/>
      <c r="G8796" s="1050"/>
    </row>
    <row r="8797" spans="1:7">
      <c r="A8797" s="1079"/>
      <c r="B8797" s="1050"/>
      <c r="C8797" s="1050"/>
      <c r="D8797" s="1050"/>
      <c r="E8797" s="1050"/>
      <c r="F8797" s="1050"/>
      <c r="G8797" s="1050"/>
    </row>
    <row r="8798" spans="1:7">
      <c r="A8798" s="1079"/>
      <c r="B8798" s="1050"/>
      <c r="C8798" s="1050"/>
      <c r="D8798" s="1050"/>
      <c r="E8798" s="1050"/>
      <c r="F8798" s="1050"/>
      <c r="G8798" s="1050"/>
    </row>
    <row r="8799" spans="1:7">
      <c r="A8799" s="1079"/>
      <c r="B8799" s="1050"/>
      <c r="C8799" s="1050"/>
      <c r="D8799" s="1050"/>
      <c r="E8799" s="1050"/>
      <c r="F8799" s="1050"/>
      <c r="G8799" s="1050"/>
    </row>
    <row r="8800" spans="1:7">
      <c r="A8800" s="1079"/>
      <c r="B8800" s="1050"/>
      <c r="C8800" s="1050"/>
      <c r="D8800" s="1050"/>
      <c r="E8800" s="1050"/>
      <c r="F8800" s="1050"/>
      <c r="G8800" s="1050"/>
    </row>
    <row r="8801" spans="1:7">
      <c r="A8801" s="1079"/>
      <c r="B8801" s="1050"/>
      <c r="C8801" s="1050"/>
      <c r="D8801" s="1050"/>
      <c r="E8801" s="1050"/>
      <c r="F8801" s="1050"/>
      <c r="G8801" s="1050"/>
    </row>
    <row r="8802" spans="1:7">
      <c r="A8802" s="1079"/>
      <c r="B8802" s="1050"/>
      <c r="C8802" s="1050"/>
      <c r="D8802" s="1050"/>
      <c r="E8802" s="1050"/>
      <c r="F8802" s="1050"/>
      <c r="G8802" s="1050"/>
    </row>
    <row r="8803" spans="1:7">
      <c r="A8803" s="1079"/>
      <c r="B8803" s="1050"/>
      <c r="C8803" s="1050"/>
      <c r="D8803" s="1050"/>
      <c r="E8803" s="1050"/>
      <c r="F8803" s="1050"/>
      <c r="G8803" s="1050"/>
    </row>
    <row r="8804" spans="1:7">
      <c r="A8804" s="1079"/>
      <c r="B8804" s="1050"/>
      <c r="C8804" s="1050"/>
      <c r="D8804" s="1050"/>
      <c r="E8804" s="1050"/>
      <c r="F8804" s="1050"/>
      <c r="G8804" s="1050"/>
    </row>
    <row r="8805" spans="1:7">
      <c r="A8805" s="1079"/>
      <c r="B8805" s="1050"/>
      <c r="C8805" s="1050"/>
      <c r="D8805" s="1050"/>
      <c r="E8805" s="1050"/>
      <c r="F8805" s="1050"/>
      <c r="G8805" s="1050"/>
    </row>
    <row r="8806" spans="1:7">
      <c r="A8806" s="1079"/>
      <c r="B8806" s="1050"/>
      <c r="C8806" s="1050"/>
      <c r="D8806" s="1050"/>
      <c r="E8806" s="1050"/>
      <c r="F8806" s="1050"/>
      <c r="G8806" s="1050"/>
    </row>
    <row r="8807" spans="1:7">
      <c r="A8807" s="1079"/>
      <c r="B8807" s="1050"/>
      <c r="C8807" s="1050"/>
      <c r="D8807" s="1050"/>
      <c r="E8807" s="1050"/>
      <c r="F8807" s="1050"/>
      <c r="G8807" s="1050"/>
    </row>
    <row r="8808" spans="1:7">
      <c r="A8808" s="1079"/>
      <c r="B8808" s="1050"/>
      <c r="C8808" s="1050"/>
      <c r="D8808" s="1050"/>
      <c r="E8808" s="1050"/>
      <c r="F8808" s="1050"/>
      <c r="G8808" s="1050"/>
    </row>
    <row r="8809" spans="1:7">
      <c r="A8809" s="1079"/>
      <c r="B8809" s="1050"/>
      <c r="C8809" s="1050"/>
      <c r="D8809" s="1050"/>
      <c r="E8809" s="1050"/>
      <c r="F8809" s="1050"/>
      <c r="G8809" s="1050"/>
    </row>
    <row r="8810" spans="1:7">
      <c r="A8810" s="1079"/>
      <c r="B8810" s="1050"/>
      <c r="C8810" s="1050"/>
      <c r="D8810" s="1050"/>
      <c r="E8810" s="1050"/>
      <c r="F8810" s="1050"/>
      <c r="G8810" s="1050"/>
    </row>
    <row r="8811" spans="1:7">
      <c r="A8811" s="1079"/>
      <c r="B8811" s="1050"/>
      <c r="C8811" s="1050"/>
      <c r="D8811" s="1050"/>
      <c r="E8811" s="1050"/>
      <c r="F8811" s="1050"/>
      <c r="G8811" s="1050"/>
    </row>
    <row r="8812" spans="1:7">
      <c r="A8812" s="1079"/>
      <c r="B8812" s="1050"/>
      <c r="C8812" s="1050"/>
      <c r="D8812" s="1050"/>
      <c r="E8812" s="1050"/>
      <c r="F8812" s="1050"/>
      <c r="G8812" s="1050"/>
    </row>
    <row r="8813" spans="1:7">
      <c r="A8813" s="1079"/>
      <c r="B8813" s="1050"/>
      <c r="C8813" s="1050"/>
      <c r="D8813" s="1050"/>
      <c r="E8813" s="1050"/>
      <c r="F8813" s="1050"/>
      <c r="G8813" s="1050"/>
    </row>
    <row r="8814" spans="1:7">
      <c r="A8814" s="1079"/>
      <c r="B8814" s="1050"/>
      <c r="C8814" s="1050"/>
      <c r="D8814" s="1050"/>
      <c r="E8814" s="1050"/>
      <c r="F8814" s="1050"/>
      <c r="G8814" s="1050"/>
    </row>
    <row r="8815" spans="1:7">
      <c r="A8815" s="1079"/>
      <c r="B8815" s="1050"/>
      <c r="C8815" s="1050"/>
      <c r="D8815" s="1050"/>
      <c r="E8815" s="1050"/>
      <c r="F8815" s="1050"/>
      <c r="G8815" s="1050"/>
    </row>
    <row r="8816" spans="1:7">
      <c r="A8816" s="1079"/>
      <c r="B8816" s="1050"/>
      <c r="C8816" s="1050"/>
      <c r="D8816" s="1050"/>
      <c r="E8816" s="1050"/>
      <c r="F8816" s="1050"/>
      <c r="G8816" s="1050"/>
    </row>
    <row r="8817" spans="1:7">
      <c r="A8817" s="1079"/>
      <c r="B8817" s="1050"/>
      <c r="C8817" s="1050"/>
      <c r="D8817" s="1050"/>
      <c r="E8817" s="1050"/>
      <c r="F8817" s="1050"/>
      <c r="G8817" s="1050"/>
    </row>
    <row r="8818" spans="1:7">
      <c r="A8818" s="1079"/>
      <c r="B8818" s="1050"/>
      <c r="C8818" s="1050"/>
      <c r="D8818" s="1050"/>
      <c r="E8818" s="1050"/>
      <c r="F8818" s="1050"/>
      <c r="G8818" s="1050"/>
    </row>
    <row r="8819" spans="1:7">
      <c r="A8819" s="1079"/>
      <c r="B8819" s="1050"/>
      <c r="C8819" s="1050"/>
      <c r="D8819" s="1050"/>
      <c r="E8819" s="1050"/>
      <c r="F8819" s="1050"/>
      <c r="G8819" s="1050"/>
    </row>
    <row r="8820" spans="1:7">
      <c r="A8820" s="1079"/>
      <c r="B8820" s="1050"/>
      <c r="C8820" s="1050"/>
      <c r="D8820" s="1050"/>
      <c r="E8820" s="1050"/>
      <c r="F8820" s="1050"/>
      <c r="G8820" s="1050"/>
    </row>
    <row r="8821" spans="1:7">
      <c r="A8821" s="1079"/>
      <c r="B8821" s="1050"/>
      <c r="C8821" s="1050"/>
      <c r="D8821" s="1050"/>
      <c r="E8821" s="1050"/>
      <c r="F8821" s="1050"/>
      <c r="G8821" s="1050"/>
    </row>
    <row r="8822" spans="1:7">
      <c r="A8822" s="1079"/>
      <c r="B8822" s="1050"/>
      <c r="C8822" s="1050"/>
      <c r="D8822" s="1050"/>
      <c r="E8822" s="1050"/>
      <c r="F8822" s="1050"/>
      <c r="G8822" s="1050"/>
    </row>
    <row r="8823" spans="1:7">
      <c r="A8823" s="1079"/>
      <c r="B8823" s="1050"/>
      <c r="C8823" s="1050"/>
      <c r="D8823" s="1050"/>
      <c r="E8823" s="1050"/>
      <c r="F8823" s="1050"/>
      <c r="G8823" s="1050"/>
    </row>
    <row r="8824" spans="1:7">
      <c r="A8824" s="1079"/>
      <c r="B8824" s="1050"/>
      <c r="C8824" s="1050"/>
      <c r="D8824" s="1050"/>
      <c r="E8824" s="1050"/>
      <c r="F8824" s="1050"/>
      <c r="G8824" s="1050"/>
    </row>
    <row r="8825" spans="1:7">
      <c r="A8825" s="1079"/>
      <c r="B8825" s="1050"/>
      <c r="C8825" s="1050"/>
      <c r="D8825" s="1050"/>
      <c r="E8825" s="1050"/>
      <c r="F8825" s="1050"/>
      <c r="G8825" s="1050"/>
    </row>
    <row r="8826" spans="1:7">
      <c r="A8826" s="1079"/>
      <c r="B8826" s="1050"/>
      <c r="C8826" s="1050"/>
      <c r="D8826" s="1050"/>
      <c r="E8826" s="1050"/>
      <c r="F8826" s="1050"/>
      <c r="G8826" s="1050"/>
    </row>
    <row r="8827" spans="1:7">
      <c r="A8827" s="1079"/>
      <c r="B8827" s="1050"/>
      <c r="C8827" s="1050"/>
      <c r="D8827" s="1050"/>
      <c r="E8827" s="1050"/>
      <c r="F8827" s="1050"/>
      <c r="G8827" s="1050"/>
    </row>
    <row r="8828" spans="1:7">
      <c r="A8828" s="1079"/>
      <c r="B8828" s="1050"/>
      <c r="C8828" s="1050"/>
      <c r="D8828" s="1050"/>
      <c r="E8828" s="1050"/>
      <c r="F8828" s="1050"/>
      <c r="G8828" s="1050"/>
    </row>
    <row r="8829" spans="1:7">
      <c r="A8829" s="1079"/>
      <c r="B8829" s="1050"/>
      <c r="C8829" s="1050"/>
      <c r="D8829" s="1050"/>
      <c r="E8829" s="1050"/>
      <c r="F8829" s="1050"/>
      <c r="G8829" s="1050"/>
    </row>
    <row r="8830" spans="1:7">
      <c r="A8830" s="1079"/>
      <c r="B8830" s="1050"/>
      <c r="C8830" s="1050"/>
      <c r="D8830" s="1050"/>
      <c r="E8830" s="1050"/>
      <c r="F8830" s="1050"/>
      <c r="G8830" s="1050"/>
    </row>
    <row r="8831" spans="1:7">
      <c r="A8831" s="1079"/>
      <c r="B8831" s="1050"/>
      <c r="C8831" s="1050"/>
      <c r="D8831" s="1050"/>
      <c r="E8831" s="1050"/>
      <c r="F8831" s="1050"/>
      <c r="G8831" s="1050"/>
    </row>
    <row r="8832" spans="1:7">
      <c r="A8832" s="1079"/>
      <c r="B8832" s="1050"/>
      <c r="C8832" s="1050"/>
      <c r="D8832" s="1050"/>
      <c r="E8832" s="1050"/>
      <c r="F8832" s="1050"/>
      <c r="G8832" s="1050"/>
    </row>
    <row r="8833" spans="1:7">
      <c r="A8833" s="1079"/>
      <c r="B8833" s="1050"/>
      <c r="C8833" s="1050"/>
      <c r="D8833" s="1050"/>
      <c r="E8833" s="1050"/>
      <c r="F8833" s="1050"/>
      <c r="G8833" s="1050"/>
    </row>
    <row r="8834" spans="1:7">
      <c r="A8834" s="1079"/>
      <c r="B8834" s="1050"/>
      <c r="C8834" s="1050"/>
      <c r="D8834" s="1050"/>
      <c r="E8834" s="1050"/>
      <c r="F8834" s="1050"/>
      <c r="G8834" s="1050"/>
    </row>
    <row r="8835" spans="1:7">
      <c r="A8835" s="1079"/>
      <c r="B8835" s="1050"/>
      <c r="C8835" s="1050"/>
      <c r="D8835" s="1050"/>
      <c r="E8835" s="1050"/>
      <c r="F8835" s="1050"/>
      <c r="G8835" s="1050"/>
    </row>
    <row r="8836" spans="1:7">
      <c r="A8836" s="1079"/>
      <c r="B8836" s="1050"/>
      <c r="C8836" s="1050"/>
      <c r="D8836" s="1050"/>
      <c r="E8836" s="1050"/>
      <c r="F8836" s="1050"/>
      <c r="G8836" s="1050"/>
    </row>
    <row r="8837" spans="1:7">
      <c r="A8837" s="1079"/>
      <c r="B8837" s="1050"/>
      <c r="C8837" s="1050"/>
      <c r="D8837" s="1050"/>
      <c r="E8837" s="1050"/>
      <c r="F8837" s="1050"/>
      <c r="G8837" s="1050"/>
    </row>
    <row r="8838" spans="1:7">
      <c r="A8838" s="1079"/>
      <c r="B8838" s="1050"/>
      <c r="C8838" s="1050"/>
      <c r="D8838" s="1050"/>
      <c r="E8838" s="1050"/>
      <c r="F8838" s="1050"/>
      <c r="G8838" s="1050"/>
    </row>
    <row r="8839" spans="1:7">
      <c r="A8839" s="1079"/>
      <c r="B8839" s="1050"/>
      <c r="C8839" s="1050"/>
      <c r="D8839" s="1050"/>
      <c r="E8839" s="1050"/>
      <c r="F8839" s="1050"/>
      <c r="G8839" s="1050"/>
    </row>
    <row r="8840" spans="1:7">
      <c r="A8840" s="1079"/>
      <c r="B8840" s="1050"/>
      <c r="C8840" s="1050"/>
      <c r="D8840" s="1050"/>
      <c r="E8840" s="1050"/>
      <c r="F8840" s="1050"/>
      <c r="G8840" s="1050"/>
    </row>
    <row r="8841" spans="1:7">
      <c r="A8841" s="1079"/>
      <c r="B8841" s="1050"/>
      <c r="C8841" s="1050"/>
      <c r="D8841" s="1050"/>
      <c r="E8841" s="1050"/>
      <c r="F8841" s="1050"/>
      <c r="G8841" s="1050"/>
    </row>
    <row r="8842" spans="1:7">
      <c r="A8842" s="1079"/>
      <c r="B8842" s="1050"/>
      <c r="C8842" s="1050"/>
      <c r="D8842" s="1050"/>
      <c r="E8842" s="1050"/>
      <c r="F8842" s="1050"/>
      <c r="G8842" s="1050"/>
    </row>
    <row r="8843" spans="1:7">
      <c r="A8843" s="1079"/>
      <c r="B8843" s="1050"/>
      <c r="C8843" s="1050"/>
      <c r="D8843" s="1050"/>
      <c r="E8843" s="1050"/>
      <c r="F8843" s="1050"/>
      <c r="G8843" s="1050"/>
    </row>
    <row r="8844" spans="1:7">
      <c r="A8844" s="1079"/>
      <c r="B8844" s="1050"/>
      <c r="C8844" s="1050"/>
      <c r="D8844" s="1050"/>
      <c r="E8844" s="1050"/>
      <c r="F8844" s="1050"/>
      <c r="G8844" s="1050"/>
    </row>
    <row r="8845" spans="1:7">
      <c r="A8845" s="1079"/>
      <c r="B8845" s="1050"/>
      <c r="C8845" s="1050"/>
      <c r="D8845" s="1050"/>
      <c r="E8845" s="1050"/>
      <c r="F8845" s="1050"/>
      <c r="G8845" s="1050"/>
    </row>
    <row r="8846" spans="1:7">
      <c r="A8846" s="1079"/>
      <c r="B8846" s="1050"/>
      <c r="C8846" s="1050"/>
      <c r="D8846" s="1050"/>
      <c r="E8846" s="1050"/>
      <c r="F8846" s="1050"/>
      <c r="G8846" s="1050"/>
    </row>
    <row r="8847" spans="1:7">
      <c r="A8847" s="1079"/>
      <c r="B8847" s="1050"/>
      <c r="C8847" s="1050"/>
      <c r="D8847" s="1050"/>
      <c r="E8847" s="1050"/>
      <c r="F8847" s="1050"/>
      <c r="G8847" s="1050"/>
    </row>
    <row r="8848" spans="1:7">
      <c r="A8848" s="1079"/>
      <c r="B8848" s="1050"/>
      <c r="C8848" s="1050"/>
      <c r="D8848" s="1050"/>
      <c r="E8848" s="1050"/>
      <c r="F8848" s="1050"/>
      <c r="G8848" s="1050"/>
    </row>
    <row r="8849" spans="1:7">
      <c r="A8849" s="1079"/>
      <c r="B8849" s="1050"/>
      <c r="C8849" s="1050"/>
      <c r="D8849" s="1050"/>
      <c r="E8849" s="1050"/>
      <c r="F8849" s="1050"/>
      <c r="G8849" s="1050"/>
    </row>
    <row r="8850" spans="1:7">
      <c r="A8850" s="1079"/>
      <c r="B8850" s="1050"/>
      <c r="C8850" s="1050"/>
      <c r="D8850" s="1050"/>
      <c r="E8850" s="1050"/>
      <c r="F8850" s="1050"/>
      <c r="G8850" s="1050"/>
    </row>
    <row r="8851" spans="1:7">
      <c r="A8851" s="1079"/>
      <c r="B8851" s="1050"/>
      <c r="C8851" s="1050"/>
      <c r="D8851" s="1050"/>
      <c r="E8851" s="1050"/>
      <c r="F8851" s="1050"/>
      <c r="G8851" s="1050"/>
    </row>
    <row r="8852" spans="1:7">
      <c r="A8852" s="1079"/>
      <c r="B8852" s="1050"/>
      <c r="C8852" s="1050"/>
      <c r="D8852" s="1050"/>
      <c r="E8852" s="1050"/>
      <c r="F8852" s="1050"/>
      <c r="G8852" s="1050"/>
    </row>
    <row r="8853" spans="1:7">
      <c r="A8853" s="1079"/>
      <c r="B8853" s="1050"/>
      <c r="C8853" s="1050"/>
      <c r="D8853" s="1050"/>
      <c r="E8853" s="1050"/>
      <c r="F8853" s="1050"/>
      <c r="G8853" s="1050"/>
    </row>
    <row r="8854" spans="1:7">
      <c r="A8854" s="1079"/>
      <c r="B8854" s="1050"/>
      <c r="C8854" s="1050"/>
      <c r="D8854" s="1050"/>
      <c r="E8854" s="1050"/>
      <c r="F8854" s="1050"/>
      <c r="G8854" s="1050"/>
    </row>
    <row r="8855" spans="1:7">
      <c r="A8855" s="1079"/>
      <c r="B8855" s="1050"/>
      <c r="C8855" s="1050"/>
      <c r="D8855" s="1050"/>
      <c r="E8855" s="1050"/>
      <c r="F8855" s="1050"/>
      <c r="G8855" s="1050"/>
    </row>
    <row r="8856" spans="1:7">
      <c r="A8856" s="1079"/>
      <c r="B8856" s="1050"/>
      <c r="C8856" s="1050"/>
      <c r="D8856" s="1050"/>
      <c r="E8856" s="1050"/>
      <c r="F8856" s="1050"/>
      <c r="G8856" s="1050"/>
    </row>
    <row r="8857" spans="1:7">
      <c r="A8857" s="1079"/>
      <c r="B8857" s="1050"/>
      <c r="C8857" s="1050"/>
      <c r="D8857" s="1050"/>
      <c r="E8857" s="1050"/>
      <c r="F8857" s="1050"/>
      <c r="G8857" s="1050"/>
    </row>
    <row r="8858" spans="1:7">
      <c r="A8858" s="1079"/>
      <c r="B8858" s="1050"/>
      <c r="C8858" s="1050"/>
      <c r="D8858" s="1050"/>
      <c r="E8858" s="1050"/>
      <c r="F8858" s="1050"/>
      <c r="G8858" s="1050"/>
    </row>
    <row r="8859" spans="1:7">
      <c r="A8859" s="1079"/>
      <c r="B8859" s="1050"/>
      <c r="C8859" s="1050"/>
      <c r="D8859" s="1050"/>
      <c r="E8859" s="1050"/>
      <c r="F8859" s="1050"/>
      <c r="G8859" s="1050"/>
    </row>
    <row r="8860" spans="1:7">
      <c r="A8860" s="1079"/>
      <c r="B8860" s="1050"/>
      <c r="C8860" s="1050"/>
      <c r="D8860" s="1050"/>
      <c r="E8860" s="1050"/>
      <c r="F8860" s="1050"/>
      <c r="G8860" s="1050"/>
    </row>
    <row r="8861" spans="1:7">
      <c r="A8861" s="1079"/>
      <c r="B8861" s="1050"/>
      <c r="C8861" s="1050"/>
      <c r="D8861" s="1050"/>
      <c r="E8861" s="1050"/>
      <c r="F8861" s="1050"/>
      <c r="G8861" s="1050"/>
    </row>
    <row r="8862" spans="1:7">
      <c r="A8862" s="1079"/>
      <c r="B8862" s="1050"/>
      <c r="C8862" s="1050"/>
      <c r="D8862" s="1050"/>
      <c r="E8862" s="1050"/>
      <c r="F8862" s="1050"/>
      <c r="G8862" s="1050"/>
    </row>
    <row r="8863" spans="1:7">
      <c r="A8863" s="1079"/>
      <c r="B8863" s="1050"/>
      <c r="C8863" s="1050"/>
      <c r="D8863" s="1050"/>
      <c r="E8863" s="1050"/>
      <c r="F8863" s="1050"/>
      <c r="G8863" s="1050"/>
    </row>
    <row r="8864" spans="1:7">
      <c r="A8864" s="1079"/>
      <c r="B8864" s="1050"/>
      <c r="C8864" s="1050"/>
      <c r="D8864" s="1050"/>
      <c r="E8864" s="1050"/>
      <c r="F8864" s="1050"/>
      <c r="G8864" s="1050"/>
    </row>
    <row r="8865" spans="1:7">
      <c r="A8865" s="1079"/>
      <c r="B8865" s="1050"/>
      <c r="C8865" s="1050"/>
      <c r="D8865" s="1050"/>
      <c r="E8865" s="1050"/>
      <c r="F8865" s="1050"/>
      <c r="G8865" s="1050"/>
    </row>
    <row r="8866" spans="1:7">
      <c r="A8866" s="1079"/>
      <c r="B8866" s="1050"/>
      <c r="C8866" s="1050"/>
      <c r="D8866" s="1050"/>
      <c r="E8866" s="1050"/>
      <c r="F8866" s="1050"/>
      <c r="G8866" s="1050"/>
    </row>
    <row r="8867" spans="1:7">
      <c r="A8867" s="1079"/>
      <c r="B8867" s="1050"/>
      <c r="C8867" s="1050"/>
      <c r="D8867" s="1050"/>
      <c r="E8867" s="1050"/>
      <c r="F8867" s="1050"/>
      <c r="G8867" s="1050"/>
    </row>
    <row r="8868" spans="1:7">
      <c r="A8868" s="1079"/>
      <c r="B8868" s="1050"/>
      <c r="C8868" s="1050"/>
      <c r="D8868" s="1050"/>
      <c r="E8868" s="1050"/>
      <c r="F8868" s="1050"/>
      <c r="G8868" s="1050"/>
    </row>
    <row r="8869" spans="1:7">
      <c r="A8869" s="1079"/>
      <c r="B8869" s="1050"/>
      <c r="C8869" s="1050"/>
      <c r="D8869" s="1050"/>
      <c r="E8869" s="1050"/>
      <c r="F8869" s="1050"/>
      <c r="G8869" s="1050"/>
    </row>
    <row r="8870" spans="1:7">
      <c r="A8870" s="1079"/>
      <c r="B8870" s="1050"/>
      <c r="C8870" s="1050"/>
      <c r="D8870" s="1050"/>
      <c r="E8870" s="1050"/>
      <c r="F8870" s="1050"/>
      <c r="G8870" s="1050"/>
    </row>
    <row r="8871" spans="1:7">
      <c r="A8871" s="1079"/>
      <c r="B8871" s="1050"/>
      <c r="C8871" s="1050"/>
      <c r="D8871" s="1050"/>
      <c r="E8871" s="1050"/>
      <c r="F8871" s="1050"/>
      <c r="G8871" s="1050"/>
    </row>
    <row r="8872" spans="1:7">
      <c r="A8872" s="1079"/>
      <c r="B8872" s="1050"/>
      <c r="C8872" s="1050"/>
      <c r="D8872" s="1050"/>
      <c r="E8872" s="1050"/>
      <c r="F8872" s="1050"/>
      <c r="G8872" s="1050"/>
    </row>
    <row r="8873" spans="1:7">
      <c r="A8873" s="1079"/>
      <c r="B8873" s="1050"/>
      <c r="C8873" s="1050"/>
      <c r="D8873" s="1050"/>
      <c r="E8873" s="1050"/>
      <c r="F8873" s="1050"/>
      <c r="G8873" s="1050"/>
    </row>
    <row r="8874" spans="1:7">
      <c r="A8874" s="1079"/>
      <c r="B8874" s="1050"/>
      <c r="C8874" s="1050"/>
      <c r="D8874" s="1050"/>
      <c r="E8874" s="1050"/>
      <c r="F8874" s="1050"/>
      <c r="G8874" s="1050"/>
    </row>
    <row r="8875" spans="1:7">
      <c r="A8875" s="1079"/>
      <c r="B8875" s="1050"/>
      <c r="C8875" s="1050"/>
      <c r="D8875" s="1050"/>
      <c r="E8875" s="1050"/>
      <c r="F8875" s="1050"/>
      <c r="G8875" s="1050"/>
    </row>
    <row r="8876" spans="1:7">
      <c r="A8876" s="1079"/>
      <c r="B8876" s="1050"/>
      <c r="C8876" s="1050"/>
      <c r="D8876" s="1050"/>
      <c r="E8876" s="1050"/>
      <c r="F8876" s="1050"/>
      <c r="G8876" s="1050"/>
    </row>
    <row r="8877" spans="1:7">
      <c r="A8877" s="1079"/>
      <c r="B8877" s="1050"/>
      <c r="C8877" s="1050"/>
      <c r="D8877" s="1050"/>
      <c r="E8877" s="1050"/>
      <c r="F8877" s="1050"/>
      <c r="G8877" s="1050"/>
    </row>
    <row r="8878" spans="1:7">
      <c r="A8878" s="1079"/>
      <c r="B8878" s="1050"/>
      <c r="C8878" s="1050"/>
      <c r="D8878" s="1050"/>
      <c r="E8878" s="1050"/>
      <c r="F8878" s="1050"/>
      <c r="G8878" s="1050"/>
    </row>
    <row r="8879" spans="1:7">
      <c r="A8879" s="1079"/>
      <c r="B8879" s="1050"/>
      <c r="C8879" s="1050"/>
      <c r="D8879" s="1050"/>
      <c r="E8879" s="1050"/>
      <c r="F8879" s="1050"/>
      <c r="G8879" s="1050"/>
    </row>
    <row r="8880" spans="1:7">
      <c r="A8880" s="1079"/>
      <c r="B8880" s="1050"/>
      <c r="C8880" s="1050"/>
      <c r="D8880" s="1050"/>
      <c r="E8880" s="1050"/>
      <c r="F8880" s="1050"/>
      <c r="G8880" s="1050"/>
    </row>
    <row r="8881" spans="1:7">
      <c r="A8881" s="1079"/>
      <c r="B8881" s="1050"/>
      <c r="C8881" s="1050"/>
      <c r="D8881" s="1050"/>
      <c r="E8881" s="1050"/>
      <c r="F8881" s="1050"/>
      <c r="G8881" s="1050"/>
    </row>
    <row r="8882" spans="1:7">
      <c r="A8882" s="1079"/>
      <c r="B8882" s="1050"/>
      <c r="C8882" s="1050"/>
      <c r="D8882" s="1050"/>
      <c r="E8882" s="1050"/>
      <c r="F8882" s="1050"/>
      <c r="G8882" s="1050"/>
    </row>
    <row r="8883" spans="1:7">
      <c r="A8883" s="1079"/>
      <c r="B8883" s="1050"/>
      <c r="C8883" s="1050"/>
      <c r="D8883" s="1050"/>
      <c r="E8883" s="1050"/>
      <c r="F8883" s="1050"/>
      <c r="G8883" s="1050"/>
    </row>
    <row r="8884" spans="1:7">
      <c r="A8884" s="1079"/>
      <c r="B8884" s="1050"/>
      <c r="C8884" s="1050"/>
      <c r="D8884" s="1050"/>
      <c r="E8884" s="1050"/>
      <c r="F8884" s="1050"/>
      <c r="G8884" s="1050"/>
    </row>
    <row r="8885" spans="1:7">
      <c r="A8885" s="1079"/>
      <c r="B8885" s="1050"/>
      <c r="C8885" s="1050"/>
      <c r="D8885" s="1050"/>
      <c r="E8885" s="1050"/>
      <c r="F8885" s="1050"/>
      <c r="G8885" s="1050"/>
    </row>
    <row r="8886" spans="1:7">
      <c r="A8886" s="1079"/>
      <c r="B8886" s="1050"/>
      <c r="C8886" s="1050"/>
      <c r="D8886" s="1050"/>
      <c r="E8886" s="1050"/>
      <c r="F8886" s="1050"/>
      <c r="G8886" s="1050"/>
    </row>
    <row r="8887" spans="1:7">
      <c r="A8887" s="1079"/>
      <c r="B8887" s="1050"/>
      <c r="C8887" s="1050"/>
      <c r="D8887" s="1050"/>
      <c r="E8887" s="1050"/>
      <c r="F8887" s="1050"/>
      <c r="G8887" s="1050"/>
    </row>
    <row r="8888" spans="1:7">
      <c r="A8888" s="1079"/>
      <c r="B8888" s="1050"/>
      <c r="C8888" s="1050"/>
      <c r="D8888" s="1050"/>
      <c r="E8888" s="1050"/>
      <c r="F8888" s="1050"/>
      <c r="G8888" s="1050"/>
    </row>
    <row r="8889" spans="1:7">
      <c r="A8889" s="1079"/>
      <c r="B8889" s="1050"/>
      <c r="C8889" s="1050"/>
      <c r="D8889" s="1050"/>
      <c r="E8889" s="1050"/>
      <c r="F8889" s="1050"/>
      <c r="G8889" s="1050"/>
    </row>
    <row r="8890" spans="1:7">
      <c r="A8890" s="1079"/>
      <c r="B8890" s="1050"/>
      <c r="C8890" s="1050"/>
      <c r="D8890" s="1050"/>
      <c r="E8890" s="1050"/>
      <c r="F8890" s="1050"/>
      <c r="G8890" s="1050"/>
    </row>
    <row r="8891" spans="1:7">
      <c r="A8891" s="1079"/>
      <c r="B8891" s="1050"/>
      <c r="C8891" s="1050"/>
      <c r="D8891" s="1050"/>
      <c r="E8891" s="1050"/>
      <c r="F8891" s="1050"/>
      <c r="G8891" s="1050"/>
    </row>
    <row r="8892" spans="1:7">
      <c r="A8892" s="1079"/>
      <c r="B8892" s="1050"/>
      <c r="C8892" s="1050"/>
      <c r="D8892" s="1050"/>
      <c r="E8892" s="1050"/>
      <c r="F8892" s="1050"/>
      <c r="G8892" s="1050"/>
    </row>
    <row r="8893" spans="1:7">
      <c r="A8893" s="1079"/>
      <c r="B8893" s="1050"/>
      <c r="C8893" s="1050"/>
      <c r="D8893" s="1050"/>
      <c r="E8893" s="1050"/>
      <c r="F8893" s="1050"/>
      <c r="G8893" s="1050"/>
    </row>
    <row r="8894" spans="1:7">
      <c r="A8894" s="1079"/>
      <c r="B8894" s="1050"/>
      <c r="C8894" s="1050"/>
      <c r="D8894" s="1050"/>
      <c r="E8894" s="1050"/>
      <c r="F8894" s="1050"/>
      <c r="G8894" s="1050"/>
    </row>
    <row r="8895" spans="1:7">
      <c r="A8895" s="1079"/>
      <c r="B8895" s="1050"/>
      <c r="C8895" s="1050"/>
      <c r="D8895" s="1050"/>
      <c r="E8895" s="1050"/>
      <c r="F8895" s="1050"/>
      <c r="G8895" s="1050"/>
    </row>
    <row r="8896" spans="1:7">
      <c r="A8896" s="1079"/>
      <c r="B8896" s="1050"/>
      <c r="C8896" s="1050"/>
      <c r="D8896" s="1050"/>
      <c r="E8896" s="1050"/>
      <c r="F8896" s="1050"/>
      <c r="G8896" s="1050"/>
    </row>
    <row r="8897" spans="1:7">
      <c r="A8897" s="1079"/>
      <c r="B8897" s="1050"/>
      <c r="C8897" s="1050"/>
      <c r="D8897" s="1050"/>
      <c r="E8897" s="1050"/>
      <c r="F8897" s="1050"/>
      <c r="G8897" s="1050"/>
    </row>
    <row r="8898" spans="1:7">
      <c r="A8898" s="1079"/>
      <c r="B8898" s="1050"/>
      <c r="C8898" s="1050"/>
      <c r="D8898" s="1050"/>
      <c r="E8898" s="1050"/>
      <c r="F8898" s="1050"/>
      <c r="G8898" s="1050"/>
    </row>
    <row r="8899" spans="1:7">
      <c r="A8899" s="1079"/>
      <c r="B8899" s="1050"/>
      <c r="C8899" s="1050"/>
      <c r="D8899" s="1050"/>
      <c r="E8899" s="1050"/>
      <c r="F8899" s="1050"/>
      <c r="G8899" s="1050"/>
    </row>
    <row r="8900" spans="1:7">
      <c r="A8900" s="1079"/>
      <c r="B8900" s="1050"/>
      <c r="C8900" s="1050"/>
      <c r="D8900" s="1050"/>
      <c r="E8900" s="1050"/>
      <c r="F8900" s="1050"/>
      <c r="G8900" s="1050"/>
    </row>
    <row r="8901" spans="1:7">
      <c r="A8901" s="1079"/>
      <c r="B8901" s="1050"/>
      <c r="C8901" s="1050"/>
      <c r="D8901" s="1050"/>
      <c r="E8901" s="1050"/>
      <c r="F8901" s="1050"/>
      <c r="G8901" s="1050"/>
    </row>
    <row r="8902" spans="1:7">
      <c r="A8902" s="1079"/>
      <c r="B8902" s="1050"/>
      <c r="C8902" s="1050"/>
      <c r="D8902" s="1050"/>
      <c r="E8902" s="1050"/>
      <c r="F8902" s="1050"/>
      <c r="G8902" s="1050"/>
    </row>
    <row r="8903" spans="1:7">
      <c r="A8903" s="1079"/>
      <c r="B8903" s="1050"/>
      <c r="C8903" s="1050"/>
      <c r="D8903" s="1050"/>
      <c r="E8903" s="1050"/>
      <c r="F8903" s="1050"/>
      <c r="G8903" s="1050"/>
    </row>
    <row r="8904" spans="1:7">
      <c r="A8904" s="1079"/>
      <c r="B8904" s="1050"/>
      <c r="C8904" s="1050"/>
      <c r="D8904" s="1050"/>
      <c r="E8904" s="1050"/>
      <c r="F8904" s="1050"/>
      <c r="G8904" s="1050"/>
    </row>
    <row r="8905" spans="1:7">
      <c r="A8905" s="1079"/>
      <c r="B8905" s="1050"/>
      <c r="C8905" s="1050"/>
      <c r="D8905" s="1050"/>
      <c r="E8905" s="1050"/>
      <c r="F8905" s="1050"/>
      <c r="G8905" s="1050"/>
    </row>
    <row r="8906" spans="1:7">
      <c r="A8906" s="1079"/>
      <c r="B8906" s="1050"/>
      <c r="C8906" s="1050"/>
      <c r="D8906" s="1050"/>
      <c r="E8906" s="1050"/>
      <c r="F8906" s="1050"/>
      <c r="G8906" s="1050"/>
    </row>
    <row r="8907" spans="1:7">
      <c r="A8907" s="1079"/>
      <c r="B8907" s="1050"/>
      <c r="C8907" s="1050"/>
      <c r="D8907" s="1050"/>
      <c r="E8907" s="1050"/>
      <c r="F8907" s="1050"/>
      <c r="G8907" s="1050"/>
    </row>
    <row r="8908" spans="1:7">
      <c r="A8908" s="1079"/>
      <c r="B8908" s="1050"/>
      <c r="C8908" s="1050"/>
      <c r="D8908" s="1050"/>
      <c r="E8908" s="1050"/>
      <c r="F8908" s="1050"/>
      <c r="G8908" s="1050"/>
    </row>
    <row r="8909" spans="1:7">
      <c r="A8909" s="1079"/>
      <c r="B8909" s="1050"/>
      <c r="C8909" s="1050"/>
      <c r="D8909" s="1050"/>
      <c r="E8909" s="1050"/>
      <c r="F8909" s="1050"/>
      <c r="G8909" s="1050"/>
    </row>
    <row r="8910" spans="1:7">
      <c r="A8910" s="1079"/>
      <c r="B8910" s="1050"/>
      <c r="C8910" s="1050"/>
      <c r="D8910" s="1050"/>
      <c r="E8910" s="1050"/>
      <c r="F8910" s="1050"/>
      <c r="G8910" s="1050"/>
    </row>
    <row r="8911" spans="1:7">
      <c r="A8911" s="1079"/>
      <c r="B8911" s="1050"/>
      <c r="C8911" s="1050"/>
      <c r="D8911" s="1050"/>
      <c r="E8911" s="1050"/>
      <c r="F8911" s="1050"/>
      <c r="G8911" s="1050"/>
    </row>
    <row r="8912" spans="1:7">
      <c r="A8912" s="1079"/>
      <c r="B8912" s="1050"/>
      <c r="C8912" s="1050"/>
      <c r="D8912" s="1050"/>
      <c r="E8912" s="1050"/>
      <c r="F8912" s="1050"/>
      <c r="G8912" s="1050"/>
    </row>
    <row r="8913" spans="1:7">
      <c r="A8913" s="1079"/>
      <c r="B8913" s="1050"/>
      <c r="C8913" s="1050"/>
      <c r="D8913" s="1050"/>
      <c r="E8913" s="1050"/>
      <c r="F8913" s="1050"/>
      <c r="G8913" s="1050"/>
    </row>
    <row r="8914" spans="1:7">
      <c r="A8914" s="1079"/>
      <c r="B8914" s="1050"/>
      <c r="C8914" s="1050"/>
      <c r="D8914" s="1050"/>
      <c r="E8914" s="1050"/>
      <c r="F8914" s="1050"/>
      <c r="G8914" s="1050"/>
    </row>
    <row r="8915" spans="1:7">
      <c r="A8915" s="1079"/>
      <c r="B8915" s="1050"/>
      <c r="C8915" s="1050"/>
      <c r="D8915" s="1050"/>
      <c r="E8915" s="1050"/>
      <c r="F8915" s="1050"/>
      <c r="G8915" s="1050"/>
    </row>
    <row r="8916" spans="1:7">
      <c r="A8916" s="1079"/>
      <c r="B8916" s="1050"/>
      <c r="C8916" s="1050"/>
      <c r="D8916" s="1050"/>
      <c r="E8916" s="1050"/>
      <c r="F8916" s="1050"/>
      <c r="G8916" s="1050"/>
    </row>
    <row r="8917" spans="1:7">
      <c r="A8917" s="1079"/>
      <c r="B8917" s="1050"/>
      <c r="C8917" s="1050"/>
      <c r="D8917" s="1050"/>
      <c r="E8917" s="1050"/>
      <c r="F8917" s="1050"/>
      <c r="G8917" s="1050"/>
    </row>
    <row r="8918" spans="1:7">
      <c r="A8918" s="1079"/>
      <c r="B8918" s="1050"/>
      <c r="C8918" s="1050"/>
      <c r="D8918" s="1050"/>
      <c r="E8918" s="1050"/>
      <c r="F8918" s="1050"/>
      <c r="G8918" s="1050"/>
    </row>
    <row r="8919" spans="1:7">
      <c r="A8919" s="1079"/>
      <c r="B8919" s="1050"/>
      <c r="C8919" s="1050"/>
      <c r="D8919" s="1050"/>
      <c r="E8919" s="1050"/>
      <c r="F8919" s="1050"/>
      <c r="G8919" s="1050"/>
    </row>
    <row r="8920" spans="1:7">
      <c r="A8920" s="1079"/>
      <c r="B8920" s="1050"/>
      <c r="C8920" s="1050"/>
      <c r="D8920" s="1050"/>
      <c r="E8920" s="1050"/>
      <c r="F8920" s="1050"/>
      <c r="G8920" s="1050"/>
    </row>
    <row r="8921" spans="1:7">
      <c r="A8921" s="1079"/>
      <c r="B8921" s="1050"/>
      <c r="C8921" s="1050"/>
      <c r="D8921" s="1050"/>
      <c r="E8921" s="1050"/>
      <c r="F8921" s="1050"/>
      <c r="G8921" s="1050"/>
    </row>
    <row r="8922" spans="1:7">
      <c r="A8922" s="1079"/>
      <c r="B8922" s="1050"/>
      <c r="C8922" s="1050"/>
      <c r="D8922" s="1050"/>
      <c r="E8922" s="1050"/>
      <c r="F8922" s="1050"/>
      <c r="G8922" s="1050"/>
    </row>
    <row r="8923" spans="1:7">
      <c r="A8923" s="1079"/>
      <c r="B8923" s="1050"/>
      <c r="C8923" s="1050"/>
      <c r="D8923" s="1050"/>
      <c r="E8923" s="1050"/>
      <c r="F8923" s="1050"/>
      <c r="G8923" s="1050"/>
    </row>
    <row r="8924" spans="1:7">
      <c r="A8924" s="1079"/>
      <c r="B8924" s="1050"/>
      <c r="C8924" s="1050"/>
      <c r="D8924" s="1050"/>
      <c r="E8924" s="1050"/>
      <c r="F8924" s="1050"/>
      <c r="G8924" s="1050"/>
    </row>
    <row r="8925" spans="1:7">
      <c r="A8925" s="1079"/>
      <c r="B8925" s="1050"/>
      <c r="C8925" s="1050"/>
      <c r="D8925" s="1050"/>
      <c r="E8925" s="1050"/>
      <c r="F8925" s="1050"/>
      <c r="G8925" s="1050"/>
    </row>
    <row r="8926" spans="1:7">
      <c r="A8926" s="1079"/>
      <c r="B8926" s="1050"/>
      <c r="C8926" s="1050"/>
      <c r="D8926" s="1050"/>
      <c r="E8926" s="1050"/>
      <c r="F8926" s="1050"/>
      <c r="G8926" s="1050"/>
    </row>
    <row r="8927" spans="1:7">
      <c r="A8927" s="1079"/>
      <c r="B8927" s="1050"/>
      <c r="C8927" s="1050"/>
      <c r="D8927" s="1050"/>
      <c r="E8927" s="1050"/>
      <c r="F8927" s="1050"/>
      <c r="G8927" s="1050"/>
    </row>
    <row r="8928" spans="1:7">
      <c r="A8928" s="1079"/>
      <c r="B8928" s="1050"/>
      <c r="C8928" s="1050"/>
      <c r="D8928" s="1050"/>
      <c r="E8928" s="1050"/>
      <c r="F8928" s="1050"/>
      <c r="G8928" s="1050"/>
    </row>
    <row r="8929" spans="1:7">
      <c r="A8929" s="1079"/>
      <c r="B8929" s="1050"/>
      <c r="C8929" s="1050"/>
      <c r="D8929" s="1050"/>
      <c r="E8929" s="1050"/>
      <c r="F8929" s="1050"/>
      <c r="G8929" s="1050"/>
    </row>
    <row r="8930" spans="1:7">
      <c r="A8930" s="1079"/>
      <c r="B8930" s="1050"/>
      <c r="C8930" s="1050"/>
      <c r="D8930" s="1050"/>
      <c r="E8930" s="1050"/>
      <c r="F8930" s="1050"/>
      <c r="G8930" s="1050"/>
    </row>
    <row r="8931" spans="1:7">
      <c r="A8931" s="1079"/>
      <c r="B8931" s="1050"/>
      <c r="C8931" s="1050"/>
      <c r="D8931" s="1050"/>
      <c r="E8931" s="1050"/>
      <c r="F8931" s="1050"/>
      <c r="G8931" s="1050"/>
    </row>
    <row r="8932" spans="1:7">
      <c r="A8932" s="1079"/>
      <c r="B8932" s="1050"/>
      <c r="C8932" s="1050"/>
      <c r="D8932" s="1050"/>
      <c r="E8932" s="1050"/>
      <c r="F8932" s="1050"/>
      <c r="G8932" s="1050"/>
    </row>
    <row r="8933" spans="1:7">
      <c r="A8933" s="1079"/>
      <c r="B8933" s="1050"/>
      <c r="C8933" s="1050"/>
      <c r="D8933" s="1050"/>
      <c r="E8933" s="1050"/>
      <c r="F8933" s="1050"/>
      <c r="G8933" s="1050"/>
    </row>
    <row r="8934" spans="1:7">
      <c r="A8934" s="1079"/>
      <c r="B8934" s="1050"/>
      <c r="C8934" s="1050"/>
      <c r="D8934" s="1050"/>
      <c r="E8934" s="1050"/>
      <c r="F8934" s="1050"/>
      <c r="G8934" s="1050"/>
    </row>
    <row r="8935" spans="1:7">
      <c r="A8935" s="1079"/>
      <c r="B8935" s="1050"/>
      <c r="C8935" s="1050"/>
      <c r="D8935" s="1050"/>
      <c r="E8935" s="1050"/>
      <c r="F8935" s="1050"/>
      <c r="G8935" s="1050"/>
    </row>
    <row r="8936" spans="1:7">
      <c r="A8936" s="1079"/>
      <c r="B8936" s="1050"/>
      <c r="C8936" s="1050"/>
      <c r="D8936" s="1050"/>
      <c r="E8936" s="1050"/>
      <c r="F8936" s="1050"/>
      <c r="G8936" s="1050"/>
    </row>
    <row r="8937" spans="1:7">
      <c r="A8937" s="1079"/>
      <c r="B8937" s="1050"/>
      <c r="C8937" s="1050"/>
      <c r="D8937" s="1050"/>
      <c r="E8937" s="1050"/>
      <c r="F8937" s="1050"/>
      <c r="G8937" s="1050"/>
    </row>
    <row r="8938" spans="1:7">
      <c r="A8938" s="1079"/>
      <c r="B8938" s="1050"/>
      <c r="C8938" s="1050"/>
      <c r="D8938" s="1050"/>
      <c r="E8938" s="1050"/>
      <c r="F8938" s="1050"/>
      <c r="G8938" s="1050"/>
    </row>
    <row r="8939" spans="1:7">
      <c r="A8939" s="1079"/>
      <c r="B8939" s="1050"/>
      <c r="C8939" s="1050"/>
      <c r="D8939" s="1050"/>
      <c r="E8939" s="1050"/>
      <c r="F8939" s="1050"/>
      <c r="G8939" s="1050"/>
    </row>
    <row r="8940" spans="1:7">
      <c r="A8940" s="1079"/>
      <c r="B8940" s="1050"/>
      <c r="C8940" s="1050"/>
      <c r="D8940" s="1050"/>
      <c r="E8940" s="1050"/>
      <c r="F8940" s="1050"/>
      <c r="G8940" s="1050"/>
    </row>
    <row r="8941" spans="1:7">
      <c r="A8941" s="1079"/>
      <c r="B8941" s="1050"/>
      <c r="C8941" s="1050"/>
      <c r="D8941" s="1050"/>
      <c r="E8941" s="1050"/>
      <c r="F8941" s="1050"/>
      <c r="G8941" s="1050"/>
    </row>
    <row r="8942" spans="1:7">
      <c r="A8942" s="1079"/>
      <c r="B8942" s="1050"/>
      <c r="C8942" s="1050"/>
      <c r="D8942" s="1050"/>
      <c r="E8942" s="1050"/>
      <c r="F8942" s="1050"/>
      <c r="G8942" s="1050"/>
    </row>
    <row r="8943" spans="1:7">
      <c r="A8943" s="1079"/>
      <c r="B8943" s="1050"/>
      <c r="C8943" s="1050"/>
      <c r="D8943" s="1050"/>
      <c r="E8943" s="1050"/>
      <c r="F8943" s="1050"/>
      <c r="G8943" s="1050"/>
    </row>
    <row r="8944" spans="1:7">
      <c r="A8944" s="1079"/>
      <c r="B8944" s="1050"/>
      <c r="C8944" s="1050"/>
      <c r="D8944" s="1050"/>
      <c r="E8944" s="1050"/>
      <c r="F8944" s="1050"/>
      <c r="G8944" s="1050"/>
    </row>
    <row r="8945" spans="1:7">
      <c r="A8945" s="1079"/>
      <c r="B8945" s="1050"/>
      <c r="C8945" s="1050"/>
      <c r="D8945" s="1050"/>
      <c r="E8945" s="1050"/>
      <c r="F8945" s="1050"/>
      <c r="G8945" s="1050"/>
    </row>
    <row r="8946" spans="1:7">
      <c r="A8946" s="1079"/>
      <c r="B8946" s="1050"/>
      <c r="C8946" s="1050"/>
      <c r="D8946" s="1050"/>
      <c r="E8946" s="1050"/>
      <c r="F8946" s="1050"/>
      <c r="G8946" s="1050"/>
    </row>
    <row r="8947" spans="1:7">
      <c r="A8947" s="1079"/>
      <c r="B8947" s="1050"/>
      <c r="C8947" s="1050"/>
      <c r="D8947" s="1050"/>
      <c r="E8947" s="1050"/>
      <c r="F8947" s="1050"/>
      <c r="G8947" s="1050"/>
    </row>
    <row r="8948" spans="1:7">
      <c r="A8948" s="1079"/>
      <c r="B8948" s="1050"/>
      <c r="C8948" s="1050"/>
      <c r="D8948" s="1050"/>
      <c r="E8948" s="1050"/>
      <c r="F8948" s="1050"/>
      <c r="G8948" s="1050"/>
    </row>
    <row r="8949" spans="1:7">
      <c r="A8949" s="1079"/>
      <c r="B8949" s="1050"/>
      <c r="C8949" s="1050"/>
      <c r="D8949" s="1050"/>
      <c r="E8949" s="1050"/>
      <c r="F8949" s="1050"/>
      <c r="G8949" s="1050"/>
    </row>
    <row r="8950" spans="1:7">
      <c r="A8950" s="1079"/>
      <c r="B8950" s="1050"/>
      <c r="C8950" s="1050"/>
      <c r="D8950" s="1050"/>
      <c r="E8950" s="1050"/>
      <c r="F8950" s="1050"/>
      <c r="G8950" s="1050"/>
    </row>
    <row r="8951" spans="1:7">
      <c r="A8951" s="1079"/>
      <c r="B8951" s="1050"/>
      <c r="C8951" s="1050"/>
      <c r="D8951" s="1050"/>
      <c r="E8951" s="1050"/>
      <c r="F8951" s="1050"/>
      <c r="G8951" s="1050"/>
    </row>
    <row r="8952" spans="1:7">
      <c r="A8952" s="1079"/>
      <c r="B8952" s="1050"/>
      <c r="C8952" s="1050"/>
      <c r="D8952" s="1050"/>
      <c r="E8952" s="1050"/>
      <c r="F8952" s="1050"/>
      <c r="G8952" s="1050"/>
    </row>
    <row r="8953" spans="1:7">
      <c r="A8953" s="1079"/>
      <c r="B8953" s="1050"/>
      <c r="C8953" s="1050"/>
      <c r="D8953" s="1050"/>
      <c r="E8953" s="1050"/>
      <c r="F8953" s="1050"/>
      <c r="G8953" s="1050"/>
    </row>
    <row r="8954" spans="1:7">
      <c r="A8954" s="1079"/>
      <c r="B8954" s="1050"/>
      <c r="C8954" s="1050"/>
      <c r="D8954" s="1050"/>
      <c r="E8954" s="1050"/>
      <c r="F8954" s="1050"/>
      <c r="G8954" s="1050"/>
    </row>
    <row r="8955" spans="1:7">
      <c r="A8955" s="1079"/>
      <c r="B8955" s="1050"/>
      <c r="C8955" s="1050"/>
      <c r="D8955" s="1050"/>
      <c r="E8955" s="1050"/>
      <c r="F8955" s="1050"/>
      <c r="G8955" s="1050"/>
    </row>
    <row r="8956" spans="1:7">
      <c r="A8956" s="1079"/>
      <c r="B8956" s="1050"/>
      <c r="C8956" s="1050"/>
      <c r="D8956" s="1050"/>
      <c r="E8956" s="1050"/>
      <c r="F8956" s="1050"/>
      <c r="G8956" s="1050"/>
    </row>
    <row r="8957" spans="1:7">
      <c r="A8957" s="1079"/>
      <c r="B8957" s="1050"/>
      <c r="C8957" s="1050"/>
      <c r="D8957" s="1050"/>
      <c r="E8957" s="1050"/>
      <c r="F8957" s="1050"/>
      <c r="G8957" s="1050"/>
    </row>
    <row r="8958" spans="1:7">
      <c r="A8958" s="1079"/>
      <c r="B8958" s="1050"/>
      <c r="C8958" s="1050"/>
      <c r="D8958" s="1050"/>
      <c r="E8958" s="1050"/>
      <c r="F8958" s="1050"/>
      <c r="G8958" s="1050"/>
    </row>
    <row r="8959" spans="1:7">
      <c r="A8959" s="1079"/>
      <c r="B8959" s="1050"/>
      <c r="C8959" s="1050"/>
      <c r="D8959" s="1050"/>
      <c r="E8959" s="1050"/>
      <c r="F8959" s="1050"/>
      <c r="G8959" s="1050"/>
    </row>
    <row r="8960" spans="1:7">
      <c r="A8960" s="1079"/>
      <c r="B8960" s="1050"/>
      <c r="C8960" s="1050"/>
      <c r="D8960" s="1050"/>
      <c r="E8960" s="1050"/>
      <c r="F8960" s="1050"/>
      <c r="G8960" s="1050"/>
    </row>
    <row r="8961" spans="1:7">
      <c r="A8961" s="1079"/>
      <c r="B8961" s="1050"/>
      <c r="C8961" s="1050"/>
      <c r="D8961" s="1050"/>
      <c r="E8961" s="1050"/>
      <c r="F8961" s="1050"/>
      <c r="G8961" s="1050"/>
    </row>
    <row r="8962" spans="1:7">
      <c r="A8962" s="1079"/>
      <c r="B8962" s="1050"/>
      <c r="C8962" s="1050"/>
      <c r="D8962" s="1050"/>
      <c r="E8962" s="1050"/>
      <c r="F8962" s="1050"/>
      <c r="G8962" s="1050"/>
    </row>
    <row r="8963" spans="1:7">
      <c r="A8963" s="1079"/>
      <c r="B8963" s="1050"/>
      <c r="C8963" s="1050"/>
      <c r="D8963" s="1050"/>
      <c r="E8963" s="1050"/>
      <c r="F8963" s="1050"/>
      <c r="G8963" s="1050"/>
    </row>
    <row r="8964" spans="1:7">
      <c r="A8964" s="1079"/>
      <c r="B8964" s="1050"/>
      <c r="C8964" s="1050"/>
      <c r="D8964" s="1050"/>
      <c r="E8964" s="1050"/>
      <c r="F8964" s="1050"/>
      <c r="G8964" s="1050"/>
    </row>
    <row r="8965" spans="1:7">
      <c r="A8965" s="1079"/>
      <c r="B8965" s="1050"/>
      <c r="C8965" s="1050"/>
      <c r="D8965" s="1050"/>
      <c r="E8965" s="1050"/>
      <c r="F8965" s="1050"/>
      <c r="G8965" s="1050"/>
    </row>
    <row r="8966" spans="1:7">
      <c r="A8966" s="1079"/>
      <c r="B8966" s="1050"/>
      <c r="C8966" s="1050"/>
      <c r="D8966" s="1050"/>
      <c r="E8966" s="1050"/>
      <c r="F8966" s="1050"/>
      <c r="G8966" s="1050"/>
    </row>
    <row r="8967" spans="1:7">
      <c r="A8967" s="1079"/>
      <c r="B8967" s="1050"/>
      <c r="C8967" s="1050"/>
      <c r="D8967" s="1050"/>
      <c r="E8967" s="1050"/>
      <c r="F8967" s="1050"/>
      <c r="G8967" s="1050"/>
    </row>
    <row r="8968" spans="1:7">
      <c r="A8968" s="1079"/>
      <c r="B8968" s="1050"/>
      <c r="C8968" s="1050"/>
      <c r="D8968" s="1050"/>
      <c r="E8968" s="1050"/>
      <c r="F8968" s="1050"/>
      <c r="G8968" s="1050"/>
    </row>
    <row r="8969" spans="1:7">
      <c r="A8969" s="1079"/>
      <c r="B8969" s="1050"/>
      <c r="C8969" s="1050"/>
      <c r="D8969" s="1050"/>
      <c r="E8969" s="1050"/>
      <c r="F8969" s="1050"/>
      <c r="G8969" s="1050"/>
    </row>
    <row r="8970" spans="1:7">
      <c r="A8970" s="1079"/>
      <c r="B8970" s="1050"/>
      <c r="C8970" s="1050"/>
      <c r="D8970" s="1050"/>
      <c r="E8970" s="1050"/>
      <c r="F8970" s="1050"/>
      <c r="G8970" s="1050"/>
    </row>
    <row r="8971" spans="1:7">
      <c r="A8971" s="1079"/>
      <c r="B8971" s="1050"/>
      <c r="C8971" s="1050"/>
      <c r="D8971" s="1050"/>
      <c r="E8971" s="1050"/>
      <c r="F8971" s="1050"/>
      <c r="G8971" s="1050"/>
    </row>
    <row r="8972" spans="1:7">
      <c r="A8972" s="1079"/>
      <c r="B8972" s="1050"/>
      <c r="C8972" s="1050"/>
      <c r="D8972" s="1050"/>
      <c r="E8972" s="1050"/>
      <c r="F8972" s="1050"/>
      <c r="G8972" s="1050"/>
    </row>
    <row r="8973" spans="1:7">
      <c r="A8973" s="1079"/>
      <c r="B8973" s="1050"/>
      <c r="C8973" s="1050"/>
      <c r="D8973" s="1050"/>
      <c r="E8973" s="1050"/>
      <c r="F8973" s="1050"/>
      <c r="G8973" s="1050"/>
    </row>
    <row r="8974" spans="1:7">
      <c r="A8974" s="1079"/>
      <c r="B8974" s="1050"/>
      <c r="C8974" s="1050"/>
      <c r="D8974" s="1050"/>
      <c r="E8974" s="1050"/>
      <c r="F8974" s="1050"/>
      <c r="G8974" s="1050"/>
    </row>
    <row r="8975" spans="1:7">
      <c r="A8975" s="1079"/>
      <c r="B8975" s="1050"/>
      <c r="C8975" s="1050"/>
      <c r="D8975" s="1050"/>
      <c r="E8975" s="1050"/>
      <c r="F8975" s="1050"/>
      <c r="G8975" s="1050"/>
    </row>
    <row r="8976" spans="1:7">
      <c r="A8976" s="1079"/>
      <c r="B8976" s="1050"/>
      <c r="C8976" s="1050"/>
      <c r="D8976" s="1050"/>
      <c r="E8976" s="1050"/>
      <c r="F8976" s="1050"/>
      <c r="G8976" s="1050"/>
    </row>
    <row r="8977" spans="1:7">
      <c r="A8977" s="1079"/>
      <c r="B8977" s="1050"/>
      <c r="C8977" s="1050"/>
      <c r="D8977" s="1050"/>
      <c r="E8977" s="1050"/>
      <c r="F8977" s="1050"/>
      <c r="G8977" s="1050"/>
    </row>
    <row r="8978" spans="1:7">
      <c r="A8978" s="1079"/>
      <c r="B8978" s="1050"/>
      <c r="C8978" s="1050"/>
      <c r="D8978" s="1050"/>
      <c r="E8978" s="1050"/>
      <c r="F8978" s="1050"/>
      <c r="G8978" s="1050"/>
    </row>
    <row r="8979" spans="1:7">
      <c r="A8979" s="1079"/>
      <c r="B8979" s="1050"/>
      <c r="C8979" s="1050"/>
      <c r="D8979" s="1050"/>
      <c r="E8979" s="1050"/>
      <c r="F8979" s="1050"/>
      <c r="G8979" s="1050"/>
    </row>
    <row r="8980" spans="1:7">
      <c r="A8980" s="1079"/>
      <c r="B8980" s="1050"/>
      <c r="C8980" s="1050"/>
      <c r="D8980" s="1050"/>
      <c r="E8980" s="1050"/>
      <c r="F8980" s="1050"/>
      <c r="G8980" s="1050"/>
    </row>
    <row r="8981" spans="1:7">
      <c r="A8981" s="1079"/>
      <c r="B8981" s="1050"/>
      <c r="C8981" s="1050"/>
      <c r="D8981" s="1050"/>
      <c r="E8981" s="1050"/>
      <c r="F8981" s="1050"/>
      <c r="G8981" s="1050"/>
    </row>
    <row r="8982" spans="1:7">
      <c r="A8982" s="1079"/>
      <c r="B8982" s="1050"/>
      <c r="C8982" s="1050"/>
      <c r="D8982" s="1050"/>
      <c r="E8982" s="1050"/>
      <c r="F8982" s="1050"/>
      <c r="G8982" s="1050"/>
    </row>
    <row r="8983" spans="1:7">
      <c r="A8983" s="1079"/>
      <c r="B8983" s="1050"/>
      <c r="C8983" s="1050"/>
      <c r="D8983" s="1050"/>
      <c r="E8983" s="1050"/>
      <c r="F8983" s="1050"/>
      <c r="G8983" s="1050"/>
    </row>
    <row r="8984" spans="1:7">
      <c r="A8984" s="1079"/>
      <c r="B8984" s="1050"/>
      <c r="C8984" s="1050"/>
      <c r="D8984" s="1050"/>
      <c r="E8984" s="1050"/>
      <c r="F8984" s="1050"/>
      <c r="G8984" s="1050"/>
    </row>
    <row r="8985" spans="1:7">
      <c r="A8985" s="1079"/>
      <c r="B8985" s="1050"/>
      <c r="C8985" s="1050"/>
      <c r="D8985" s="1050"/>
      <c r="E8985" s="1050"/>
      <c r="F8985" s="1050"/>
      <c r="G8985" s="1050"/>
    </row>
    <row r="8986" spans="1:7">
      <c r="A8986" s="1079"/>
      <c r="B8986" s="1050"/>
      <c r="C8986" s="1050"/>
      <c r="D8986" s="1050"/>
      <c r="E8986" s="1050"/>
      <c r="F8986" s="1050"/>
      <c r="G8986" s="1050"/>
    </row>
    <row r="8987" spans="1:7">
      <c r="A8987" s="1079"/>
      <c r="B8987" s="1050"/>
      <c r="C8987" s="1050"/>
      <c r="D8987" s="1050"/>
      <c r="E8987" s="1050"/>
      <c r="F8987" s="1050"/>
      <c r="G8987" s="1050"/>
    </row>
    <row r="8988" spans="1:7">
      <c r="A8988" s="1079"/>
      <c r="B8988" s="1050"/>
      <c r="C8988" s="1050"/>
      <c r="D8988" s="1050"/>
      <c r="E8988" s="1050"/>
      <c r="F8988" s="1050"/>
      <c r="G8988" s="1050"/>
    </row>
    <row r="8989" spans="1:7">
      <c r="A8989" s="1079"/>
      <c r="B8989" s="1050"/>
      <c r="C8989" s="1050"/>
      <c r="D8989" s="1050"/>
      <c r="E8989" s="1050"/>
      <c r="F8989" s="1050"/>
      <c r="G8989" s="1050"/>
    </row>
    <row r="8990" spans="1:7">
      <c r="A8990" s="1079"/>
      <c r="B8990" s="1050"/>
      <c r="C8990" s="1050"/>
      <c r="D8990" s="1050"/>
      <c r="E8990" s="1050"/>
      <c r="F8990" s="1050"/>
      <c r="G8990" s="1050"/>
    </row>
    <row r="8991" spans="1:7">
      <c r="A8991" s="1079"/>
      <c r="B8991" s="1050"/>
      <c r="C8991" s="1050"/>
      <c r="D8991" s="1050"/>
      <c r="E8991" s="1050"/>
      <c r="F8991" s="1050"/>
      <c r="G8991" s="1050"/>
    </row>
    <row r="8992" spans="1:7">
      <c r="A8992" s="1079"/>
      <c r="B8992" s="1050"/>
      <c r="C8992" s="1050"/>
      <c r="D8992" s="1050"/>
      <c r="E8992" s="1050"/>
      <c r="F8992" s="1050"/>
      <c r="G8992" s="1050"/>
    </row>
    <row r="8993" spans="1:7">
      <c r="A8993" s="1079"/>
      <c r="B8993" s="1050"/>
      <c r="C8993" s="1050"/>
      <c r="D8993" s="1050"/>
      <c r="E8993" s="1050"/>
      <c r="F8993" s="1050"/>
      <c r="G8993" s="1050"/>
    </row>
    <row r="8994" spans="1:7">
      <c r="A8994" s="1079"/>
      <c r="B8994" s="1050"/>
      <c r="C8994" s="1050"/>
      <c r="D8994" s="1050"/>
      <c r="E8994" s="1050"/>
      <c r="F8994" s="1050"/>
      <c r="G8994" s="1050"/>
    </row>
    <row r="8995" spans="1:7">
      <c r="A8995" s="1079"/>
      <c r="B8995" s="1050"/>
      <c r="C8995" s="1050"/>
      <c r="D8995" s="1050"/>
      <c r="E8995" s="1050"/>
      <c r="F8995" s="1050"/>
      <c r="G8995" s="1050"/>
    </row>
    <row r="8996" spans="1:7">
      <c r="A8996" s="1079"/>
      <c r="B8996" s="1050"/>
      <c r="C8996" s="1050"/>
      <c r="D8996" s="1050"/>
      <c r="E8996" s="1050"/>
      <c r="F8996" s="1050"/>
      <c r="G8996" s="1050"/>
    </row>
    <row r="8997" spans="1:7">
      <c r="A8997" s="1079"/>
      <c r="B8997" s="1050"/>
      <c r="C8997" s="1050"/>
      <c r="D8997" s="1050"/>
      <c r="E8997" s="1050"/>
      <c r="F8997" s="1050"/>
      <c r="G8997" s="1050"/>
    </row>
    <row r="8998" spans="1:7">
      <c r="A8998" s="1079"/>
      <c r="B8998" s="1050"/>
      <c r="C8998" s="1050"/>
      <c r="D8998" s="1050"/>
      <c r="E8998" s="1050"/>
      <c r="F8998" s="1050"/>
      <c r="G8998" s="1050"/>
    </row>
    <row r="8999" spans="1:7">
      <c r="A8999" s="1079"/>
      <c r="B8999" s="1050"/>
      <c r="C8999" s="1050"/>
      <c r="D8999" s="1050"/>
      <c r="E8999" s="1050"/>
      <c r="F8999" s="1050"/>
      <c r="G8999" s="1050"/>
    </row>
    <row r="9000" spans="1:7">
      <c r="A9000" s="1079"/>
      <c r="B9000" s="1050"/>
      <c r="C9000" s="1050"/>
      <c r="D9000" s="1050"/>
      <c r="E9000" s="1050"/>
      <c r="F9000" s="1050"/>
      <c r="G9000" s="1050"/>
    </row>
    <row r="9001" spans="1:7">
      <c r="A9001" s="1079"/>
      <c r="B9001" s="1050"/>
      <c r="C9001" s="1050"/>
      <c r="D9001" s="1050"/>
      <c r="E9001" s="1050"/>
      <c r="F9001" s="1050"/>
      <c r="G9001" s="1050"/>
    </row>
    <row r="9002" spans="1:7">
      <c r="A9002" s="1079"/>
      <c r="B9002" s="1050"/>
      <c r="C9002" s="1050"/>
      <c r="D9002" s="1050"/>
      <c r="E9002" s="1050"/>
      <c r="F9002" s="1050"/>
      <c r="G9002" s="1050"/>
    </row>
    <row r="9003" spans="1:7">
      <c r="A9003" s="1079"/>
      <c r="B9003" s="1050"/>
      <c r="C9003" s="1050"/>
      <c r="D9003" s="1050"/>
      <c r="E9003" s="1050"/>
      <c r="F9003" s="1050"/>
      <c r="G9003" s="1050"/>
    </row>
    <row r="9004" spans="1:7">
      <c r="A9004" s="1079"/>
      <c r="B9004" s="1050"/>
      <c r="C9004" s="1050"/>
      <c r="D9004" s="1050"/>
      <c r="E9004" s="1050"/>
      <c r="F9004" s="1050"/>
      <c r="G9004" s="1050"/>
    </row>
    <row r="9005" spans="1:7">
      <c r="A9005" s="1079"/>
      <c r="B9005" s="1050"/>
      <c r="C9005" s="1050"/>
      <c r="D9005" s="1050"/>
      <c r="E9005" s="1050"/>
      <c r="F9005" s="1050"/>
      <c r="G9005" s="1050"/>
    </row>
    <row r="9006" spans="1:7">
      <c r="A9006" s="1079"/>
      <c r="B9006" s="1050"/>
      <c r="C9006" s="1050"/>
      <c r="D9006" s="1050"/>
      <c r="E9006" s="1050"/>
      <c r="F9006" s="1050"/>
      <c r="G9006" s="1050"/>
    </row>
    <row r="9007" spans="1:7">
      <c r="A9007" s="1079"/>
      <c r="B9007" s="1050"/>
      <c r="C9007" s="1050"/>
      <c r="D9007" s="1050"/>
      <c r="E9007" s="1050"/>
      <c r="F9007" s="1050"/>
      <c r="G9007" s="1050"/>
    </row>
    <row r="9008" spans="1:7">
      <c r="A9008" s="1079"/>
      <c r="B9008" s="1050"/>
      <c r="C9008" s="1050"/>
      <c r="D9008" s="1050"/>
      <c r="E9008" s="1050"/>
      <c r="F9008" s="1050"/>
      <c r="G9008" s="1050"/>
    </row>
    <row r="9009" spans="1:7">
      <c r="A9009" s="1079"/>
      <c r="B9009" s="1050"/>
      <c r="C9009" s="1050"/>
      <c r="D9009" s="1050"/>
      <c r="E9009" s="1050"/>
      <c r="F9009" s="1050"/>
      <c r="G9009" s="1050"/>
    </row>
    <row r="9010" spans="1:7">
      <c r="A9010" s="1079"/>
      <c r="B9010" s="1050"/>
      <c r="C9010" s="1050"/>
      <c r="D9010" s="1050"/>
      <c r="E9010" s="1050"/>
      <c r="F9010" s="1050"/>
      <c r="G9010" s="1050"/>
    </row>
    <row r="9011" spans="1:7">
      <c r="A9011" s="1079"/>
      <c r="B9011" s="1050"/>
      <c r="C9011" s="1050"/>
      <c r="D9011" s="1050"/>
      <c r="E9011" s="1050"/>
      <c r="F9011" s="1050"/>
      <c r="G9011" s="1050"/>
    </row>
    <row r="9012" spans="1:7">
      <c r="A9012" s="1079"/>
      <c r="B9012" s="1050"/>
      <c r="C9012" s="1050"/>
      <c r="D9012" s="1050"/>
      <c r="E9012" s="1050"/>
      <c r="F9012" s="1050"/>
      <c r="G9012" s="1050"/>
    </row>
    <row r="9013" spans="1:7">
      <c r="A9013" s="1079"/>
      <c r="B9013" s="1050"/>
      <c r="C9013" s="1050"/>
      <c r="D9013" s="1050"/>
      <c r="E9013" s="1050"/>
      <c r="F9013" s="1050"/>
      <c r="G9013" s="1050"/>
    </row>
    <row r="9014" spans="1:7">
      <c r="A9014" s="1079"/>
      <c r="B9014" s="1050"/>
      <c r="C9014" s="1050"/>
      <c r="D9014" s="1050"/>
      <c r="E9014" s="1050"/>
      <c r="F9014" s="1050"/>
      <c r="G9014" s="1050"/>
    </row>
    <row r="9015" spans="1:7">
      <c r="A9015" s="1079"/>
      <c r="B9015" s="1050"/>
      <c r="C9015" s="1050"/>
      <c r="D9015" s="1050"/>
      <c r="E9015" s="1050"/>
      <c r="F9015" s="1050"/>
      <c r="G9015" s="1050"/>
    </row>
    <row r="9016" spans="1:7">
      <c r="A9016" s="1079"/>
      <c r="B9016" s="1050"/>
      <c r="C9016" s="1050"/>
      <c r="D9016" s="1050"/>
      <c r="E9016" s="1050"/>
      <c r="F9016" s="1050"/>
      <c r="G9016" s="1050"/>
    </row>
    <row r="9017" spans="1:7">
      <c r="A9017" s="1079"/>
      <c r="B9017" s="1050"/>
      <c r="C9017" s="1050"/>
      <c r="D9017" s="1050"/>
      <c r="E9017" s="1050"/>
      <c r="F9017" s="1050"/>
      <c r="G9017" s="1050"/>
    </row>
    <row r="9018" spans="1:7">
      <c r="A9018" s="1079"/>
      <c r="B9018" s="1050"/>
      <c r="C9018" s="1050"/>
      <c r="D9018" s="1050"/>
      <c r="E9018" s="1050"/>
      <c r="F9018" s="1050"/>
      <c r="G9018" s="1050"/>
    </row>
    <row r="9019" spans="1:7">
      <c r="A9019" s="1079"/>
      <c r="B9019" s="1050"/>
      <c r="C9019" s="1050"/>
      <c r="D9019" s="1050"/>
      <c r="E9019" s="1050"/>
      <c r="F9019" s="1050"/>
      <c r="G9019" s="1050"/>
    </row>
    <row r="9020" spans="1:7">
      <c r="A9020" s="1079"/>
      <c r="B9020" s="1050"/>
      <c r="C9020" s="1050"/>
      <c r="D9020" s="1050"/>
      <c r="E9020" s="1050"/>
      <c r="F9020" s="1050"/>
      <c r="G9020" s="1050"/>
    </row>
    <row r="9021" spans="1:7">
      <c r="A9021" s="1079"/>
      <c r="B9021" s="1050"/>
      <c r="C9021" s="1050"/>
      <c r="D9021" s="1050"/>
      <c r="E9021" s="1050"/>
      <c r="F9021" s="1050"/>
      <c r="G9021" s="1050"/>
    </row>
    <row r="9022" spans="1:7">
      <c r="A9022" s="1079"/>
      <c r="B9022" s="1050"/>
      <c r="C9022" s="1050"/>
      <c r="D9022" s="1050"/>
      <c r="E9022" s="1050"/>
      <c r="F9022" s="1050"/>
      <c r="G9022" s="1050"/>
    </row>
    <row r="9023" spans="1:7">
      <c r="A9023" s="1079"/>
      <c r="B9023" s="1050"/>
      <c r="C9023" s="1050"/>
      <c r="D9023" s="1050"/>
      <c r="E9023" s="1050"/>
      <c r="F9023" s="1050"/>
      <c r="G9023" s="1050"/>
    </row>
    <row r="9024" spans="1:7">
      <c r="A9024" s="1079"/>
      <c r="B9024" s="1050"/>
      <c r="C9024" s="1050"/>
      <c r="D9024" s="1050"/>
      <c r="E9024" s="1050"/>
      <c r="F9024" s="1050"/>
      <c r="G9024" s="1050"/>
    </row>
    <row r="9025" spans="1:7">
      <c r="A9025" s="1079"/>
      <c r="B9025" s="1050"/>
      <c r="C9025" s="1050"/>
      <c r="D9025" s="1050"/>
      <c r="E9025" s="1050"/>
      <c r="F9025" s="1050"/>
      <c r="G9025" s="1050"/>
    </row>
    <row r="9026" spans="1:7">
      <c r="A9026" s="1079"/>
      <c r="B9026" s="1050"/>
      <c r="C9026" s="1050"/>
      <c r="D9026" s="1050"/>
      <c r="E9026" s="1050"/>
      <c r="F9026" s="1050"/>
      <c r="G9026" s="1050"/>
    </row>
    <row r="9027" spans="1:7">
      <c r="A9027" s="1079"/>
      <c r="B9027" s="1050"/>
      <c r="C9027" s="1050"/>
      <c r="D9027" s="1050"/>
      <c r="E9027" s="1050"/>
      <c r="F9027" s="1050"/>
      <c r="G9027" s="1050"/>
    </row>
    <row r="9028" spans="1:7">
      <c r="A9028" s="1079"/>
      <c r="B9028" s="1050"/>
      <c r="C9028" s="1050"/>
      <c r="D9028" s="1050"/>
      <c r="E9028" s="1050"/>
      <c r="F9028" s="1050"/>
      <c r="G9028" s="1050"/>
    </row>
    <row r="9029" spans="1:7">
      <c r="A9029" s="1079"/>
      <c r="B9029" s="1050"/>
      <c r="C9029" s="1050"/>
      <c r="D9029" s="1050"/>
      <c r="E9029" s="1050"/>
      <c r="F9029" s="1050"/>
      <c r="G9029" s="1050"/>
    </row>
    <row r="9030" spans="1:7">
      <c r="A9030" s="1079"/>
      <c r="B9030" s="1050"/>
      <c r="C9030" s="1050"/>
      <c r="D9030" s="1050"/>
      <c r="E9030" s="1050"/>
      <c r="F9030" s="1050"/>
      <c r="G9030" s="1050"/>
    </row>
    <row r="9031" spans="1:7">
      <c r="A9031" s="1079"/>
      <c r="B9031" s="1050"/>
      <c r="C9031" s="1050"/>
      <c r="D9031" s="1050"/>
      <c r="E9031" s="1050"/>
      <c r="F9031" s="1050"/>
      <c r="G9031" s="1050"/>
    </row>
    <row r="9032" spans="1:7">
      <c r="A9032" s="1079"/>
      <c r="B9032" s="1050"/>
      <c r="C9032" s="1050"/>
      <c r="D9032" s="1050"/>
      <c r="E9032" s="1050"/>
      <c r="F9032" s="1050"/>
      <c r="G9032" s="1050"/>
    </row>
    <row r="9033" spans="1:7">
      <c r="A9033" s="1079"/>
      <c r="B9033" s="1050"/>
      <c r="C9033" s="1050"/>
      <c r="D9033" s="1050"/>
      <c r="E9033" s="1050"/>
      <c r="F9033" s="1050"/>
      <c r="G9033" s="1050"/>
    </row>
    <row r="9034" spans="1:7">
      <c r="A9034" s="1079"/>
      <c r="B9034" s="1050"/>
      <c r="C9034" s="1050"/>
      <c r="D9034" s="1050"/>
      <c r="E9034" s="1050"/>
      <c r="F9034" s="1050"/>
      <c r="G9034" s="1050"/>
    </row>
    <row r="9035" spans="1:7">
      <c r="A9035" s="1079"/>
      <c r="B9035" s="1050"/>
      <c r="C9035" s="1050"/>
      <c r="D9035" s="1050"/>
      <c r="E9035" s="1050"/>
      <c r="F9035" s="1050"/>
      <c r="G9035" s="1050"/>
    </row>
    <row r="9036" spans="1:7">
      <c r="A9036" s="1079"/>
      <c r="B9036" s="1050"/>
      <c r="C9036" s="1050"/>
      <c r="D9036" s="1050"/>
      <c r="E9036" s="1050"/>
      <c r="F9036" s="1050"/>
      <c r="G9036" s="1050"/>
    </row>
    <row r="9037" spans="1:7">
      <c r="A9037" s="1079"/>
      <c r="B9037" s="1050"/>
      <c r="C9037" s="1050"/>
      <c r="D9037" s="1050"/>
      <c r="E9037" s="1050"/>
      <c r="F9037" s="1050"/>
      <c r="G9037" s="1050"/>
    </row>
    <row r="9038" spans="1:7">
      <c r="A9038" s="1079"/>
      <c r="B9038" s="1050"/>
      <c r="C9038" s="1050"/>
      <c r="D9038" s="1050"/>
      <c r="E9038" s="1050"/>
      <c r="F9038" s="1050"/>
      <c r="G9038" s="1050"/>
    </row>
    <row r="9039" spans="1:7">
      <c r="A9039" s="1079"/>
      <c r="B9039" s="1050"/>
      <c r="C9039" s="1050"/>
      <c r="D9039" s="1050"/>
      <c r="E9039" s="1050"/>
      <c r="F9039" s="1050"/>
      <c r="G9039" s="1050"/>
    </row>
    <row r="9040" spans="1:7">
      <c r="A9040" s="1079"/>
      <c r="B9040" s="1050"/>
      <c r="C9040" s="1050"/>
      <c r="D9040" s="1050"/>
      <c r="E9040" s="1050"/>
      <c r="F9040" s="1050"/>
      <c r="G9040" s="1050"/>
    </row>
    <row r="9041" spans="1:7">
      <c r="A9041" s="1079"/>
      <c r="B9041" s="1050"/>
      <c r="C9041" s="1050"/>
      <c r="D9041" s="1050"/>
      <c r="E9041" s="1050"/>
      <c r="F9041" s="1050"/>
      <c r="G9041" s="1050"/>
    </row>
    <row r="9042" spans="1:7">
      <c r="A9042" s="1079"/>
      <c r="B9042" s="1050"/>
      <c r="C9042" s="1050"/>
      <c r="D9042" s="1050"/>
      <c r="E9042" s="1050"/>
      <c r="F9042" s="1050"/>
      <c r="G9042" s="1050"/>
    </row>
    <row r="9043" spans="1:7">
      <c r="A9043" s="1079"/>
      <c r="B9043" s="1050"/>
      <c r="C9043" s="1050"/>
      <c r="D9043" s="1050"/>
      <c r="E9043" s="1050"/>
      <c r="F9043" s="1050"/>
      <c r="G9043" s="1050"/>
    </row>
    <row r="9044" spans="1:7">
      <c r="A9044" s="1079"/>
      <c r="B9044" s="1050"/>
      <c r="C9044" s="1050"/>
      <c r="D9044" s="1050"/>
      <c r="E9044" s="1050"/>
      <c r="F9044" s="1050"/>
      <c r="G9044" s="1050"/>
    </row>
    <row r="9045" spans="1:7">
      <c r="A9045" s="1079"/>
      <c r="B9045" s="1050"/>
      <c r="C9045" s="1050"/>
      <c r="D9045" s="1050"/>
      <c r="E9045" s="1050"/>
      <c r="F9045" s="1050"/>
      <c r="G9045" s="1050"/>
    </row>
    <row r="9046" spans="1:7">
      <c r="A9046" s="1079"/>
      <c r="B9046" s="1050"/>
      <c r="C9046" s="1050"/>
      <c r="D9046" s="1050"/>
      <c r="E9046" s="1050"/>
      <c r="F9046" s="1050"/>
      <c r="G9046" s="1050"/>
    </row>
    <row r="9047" spans="1:7">
      <c r="A9047" s="1079"/>
      <c r="B9047" s="1050"/>
      <c r="C9047" s="1050"/>
      <c r="D9047" s="1050"/>
      <c r="E9047" s="1050"/>
      <c r="F9047" s="1050"/>
      <c r="G9047" s="1050"/>
    </row>
    <row r="9048" spans="1:7">
      <c r="A9048" s="1079"/>
      <c r="B9048" s="1050"/>
      <c r="C9048" s="1050"/>
      <c r="D9048" s="1050"/>
      <c r="E9048" s="1050"/>
      <c r="F9048" s="1050"/>
      <c r="G9048" s="1050"/>
    </row>
    <row r="9049" spans="1:7">
      <c r="A9049" s="1079"/>
      <c r="B9049" s="1050"/>
      <c r="C9049" s="1050"/>
      <c r="D9049" s="1050"/>
      <c r="E9049" s="1050"/>
      <c r="F9049" s="1050"/>
      <c r="G9049" s="1050"/>
    </row>
    <row r="9050" spans="1:7">
      <c r="A9050" s="1079"/>
      <c r="B9050" s="1050"/>
      <c r="C9050" s="1050"/>
      <c r="D9050" s="1050"/>
      <c r="E9050" s="1050"/>
      <c r="F9050" s="1050"/>
      <c r="G9050" s="1050"/>
    </row>
    <row r="9051" spans="1:7">
      <c r="A9051" s="1079"/>
      <c r="B9051" s="1050"/>
      <c r="C9051" s="1050"/>
      <c r="D9051" s="1050"/>
      <c r="E9051" s="1050"/>
      <c r="F9051" s="1050"/>
      <c r="G9051" s="1050"/>
    </row>
    <row r="9052" spans="1:7">
      <c r="A9052" s="1079"/>
      <c r="B9052" s="1050"/>
      <c r="C9052" s="1050"/>
      <c r="D9052" s="1050"/>
      <c r="E9052" s="1050"/>
      <c r="F9052" s="1050"/>
      <c r="G9052" s="1050"/>
    </row>
    <row r="9053" spans="1:7">
      <c r="A9053" s="1079"/>
      <c r="B9053" s="1050"/>
      <c r="C9053" s="1050"/>
      <c r="D9053" s="1050"/>
      <c r="E9053" s="1050"/>
      <c r="F9053" s="1050"/>
      <c r="G9053" s="1050"/>
    </row>
    <row r="9054" spans="1:7">
      <c r="A9054" s="1079"/>
      <c r="B9054" s="1050"/>
      <c r="C9054" s="1050"/>
      <c r="D9054" s="1050"/>
      <c r="E9054" s="1050"/>
      <c r="F9054" s="1050"/>
      <c r="G9054" s="1050"/>
    </row>
    <row r="9055" spans="1:7">
      <c r="A9055" s="1079"/>
      <c r="B9055" s="1050"/>
      <c r="C9055" s="1050"/>
      <c r="D9055" s="1050"/>
      <c r="E9055" s="1050"/>
      <c r="F9055" s="1050"/>
      <c r="G9055" s="1050"/>
    </row>
    <row r="9056" spans="1:7">
      <c r="A9056" s="1079"/>
      <c r="B9056" s="1050"/>
      <c r="C9056" s="1050"/>
      <c r="D9056" s="1050"/>
      <c r="E9056" s="1050"/>
      <c r="F9056" s="1050"/>
      <c r="G9056" s="1050"/>
    </row>
    <row r="9057" spans="1:7">
      <c r="A9057" s="1079"/>
      <c r="B9057" s="1050"/>
      <c r="C9057" s="1050"/>
      <c r="D9057" s="1050"/>
      <c r="E9057" s="1050"/>
      <c r="F9057" s="1050"/>
      <c r="G9057" s="1050"/>
    </row>
    <row r="9058" spans="1:7">
      <c r="A9058" s="1079"/>
      <c r="B9058" s="1050"/>
      <c r="C9058" s="1050"/>
      <c r="D9058" s="1050"/>
      <c r="E9058" s="1050"/>
      <c r="F9058" s="1050"/>
      <c r="G9058" s="1050"/>
    </row>
    <row r="9059" spans="1:7">
      <c r="A9059" s="1079"/>
      <c r="B9059" s="1050"/>
      <c r="C9059" s="1050"/>
      <c r="D9059" s="1050"/>
      <c r="E9059" s="1050"/>
      <c r="F9059" s="1050"/>
      <c r="G9059" s="1050"/>
    </row>
    <row r="9060" spans="1:7">
      <c r="A9060" s="1079"/>
      <c r="B9060" s="1050"/>
      <c r="C9060" s="1050"/>
      <c r="D9060" s="1050"/>
      <c r="E9060" s="1050"/>
      <c r="F9060" s="1050"/>
      <c r="G9060" s="1050"/>
    </row>
    <row r="9061" spans="1:7">
      <c r="A9061" s="1079"/>
      <c r="B9061" s="1050"/>
      <c r="C9061" s="1050"/>
      <c r="D9061" s="1050"/>
      <c r="E9061" s="1050"/>
      <c r="F9061" s="1050"/>
      <c r="G9061" s="1050"/>
    </row>
    <row r="9062" spans="1:7">
      <c r="A9062" s="1079"/>
      <c r="B9062" s="1050"/>
      <c r="C9062" s="1050"/>
      <c r="D9062" s="1050"/>
      <c r="E9062" s="1050"/>
      <c r="F9062" s="1050"/>
      <c r="G9062" s="1050"/>
    </row>
    <row r="9063" spans="1:7">
      <c r="A9063" s="1079"/>
      <c r="B9063" s="1050"/>
      <c r="C9063" s="1050"/>
      <c r="D9063" s="1050"/>
      <c r="E9063" s="1050"/>
      <c r="F9063" s="1050"/>
      <c r="G9063" s="1050"/>
    </row>
    <row r="9064" spans="1:7">
      <c r="A9064" s="1079"/>
      <c r="B9064" s="1050"/>
      <c r="C9064" s="1050"/>
      <c r="D9064" s="1050"/>
      <c r="E9064" s="1050"/>
      <c r="F9064" s="1050"/>
      <c r="G9064" s="1050"/>
    </row>
    <row r="9065" spans="1:7">
      <c r="A9065" s="1079"/>
      <c r="B9065" s="1050"/>
      <c r="C9065" s="1050"/>
      <c r="D9065" s="1050"/>
      <c r="E9065" s="1050"/>
      <c r="F9065" s="1050"/>
      <c r="G9065" s="1050"/>
    </row>
    <row r="9066" spans="1:7">
      <c r="A9066" s="1079"/>
      <c r="B9066" s="1050"/>
      <c r="C9066" s="1050"/>
      <c r="D9066" s="1050"/>
      <c r="E9066" s="1050"/>
      <c r="F9066" s="1050"/>
      <c r="G9066" s="1050"/>
    </row>
    <row r="9067" spans="1:7">
      <c r="A9067" s="1079"/>
      <c r="B9067" s="1050"/>
      <c r="C9067" s="1050"/>
      <c r="D9067" s="1050"/>
      <c r="E9067" s="1050"/>
      <c r="F9067" s="1050"/>
      <c r="G9067" s="1050"/>
    </row>
    <row r="9068" spans="1:7">
      <c r="A9068" s="1079"/>
      <c r="B9068" s="1050"/>
      <c r="C9068" s="1050"/>
      <c r="D9068" s="1050"/>
      <c r="E9068" s="1050"/>
      <c r="F9068" s="1050"/>
      <c r="G9068" s="1050"/>
    </row>
    <row r="9069" spans="1:7">
      <c r="A9069" s="1079"/>
      <c r="B9069" s="1050"/>
      <c r="C9069" s="1050"/>
      <c r="D9069" s="1050"/>
      <c r="E9069" s="1050"/>
      <c r="F9069" s="1050"/>
      <c r="G9069" s="1050"/>
    </row>
    <row r="9070" spans="1:7">
      <c r="A9070" s="1079"/>
      <c r="B9070" s="1050"/>
      <c r="C9070" s="1050"/>
      <c r="D9070" s="1050"/>
      <c r="E9070" s="1050"/>
      <c r="F9070" s="1050"/>
      <c r="G9070" s="1050"/>
    </row>
    <row r="9071" spans="1:7">
      <c r="A9071" s="1079"/>
      <c r="B9071" s="1050"/>
      <c r="C9071" s="1050"/>
      <c r="D9071" s="1050"/>
      <c r="E9071" s="1050"/>
      <c r="F9071" s="1050"/>
      <c r="G9071" s="1050"/>
    </row>
    <row r="9072" spans="1:7">
      <c r="A9072" s="1079"/>
      <c r="B9072" s="1050"/>
      <c r="C9072" s="1050"/>
      <c r="D9072" s="1050"/>
      <c r="E9072" s="1050"/>
      <c r="F9072" s="1050"/>
      <c r="G9072" s="1050"/>
    </row>
    <row r="9073" spans="1:7">
      <c r="A9073" s="1079"/>
      <c r="B9073" s="1050"/>
      <c r="C9073" s="1050"/>
      <c r="D9073" s="1050"/>
      <c r="E9073" s="1050"/>
      <c r="F9073" s="1050"/>
      <c r="G9073" s="1050"/>
    </row>
    <row r="9074" spans="1:7">
      <c r="A9074" s="1079"/>
      <c r="B9074" s="1050"/>
      <c r="C9074" s="1050"/>
      <c r="D9074" s="1050"/>
      <c r="E9074" s="1050"/>
      <c r="F9074" s="1050"/>
      <c r="G9074" s="1050"/>
    </row>
    <row r="9075" spans="1:7">
      <c r="A9075" s="1079"/>
      <c r="B9075" s="1050"/>
      <c r="C9075" s="1050"/>
      <c r="D9075" s="1050"/>
      <c r="E9075" s="1050"/>
      <c r="F9075" s="1050"/>
      <c r="G9075" s="1050"/>
    </row>
    <row r="9076" spans="1:7">
      <c r="A9076" s="1079"/>
      <c r="B9076" s="1050"/>
      <c r="C9076" s="1050"/>
      <c r="D9076" s="1050"/>
      <c r="E9076" s="1050"/>
      <c r="F9076" s="1050"/>
      <c r="G9076" s="1050"/>
    </row>
    <row r="9077" spans="1:7">
      <c r="A9077" s="1079"/>
      <c r="B9077" s="1050"/>
      <c r="C9077" s="1050"/>
      <c r="D9077" s="1050"/>
      <c r="E9077" s="1050"/>
      <c r="F9077" s="1050"/>
      <c r="G9077" s="1050"/>
    </row>
    <row r="9078" spans="1:7">
      <c r="A9078" s="1079"/>
      <c r="B9078" s="1050"/>
      <c r="C9078" s="1050"/>
      <c r="D9078" s="1050"/>
      <c r="E9078" s="1050"/>
      <c r="F9078" s="1050"/>
      <c r="G9078" s="1050"/>
    </row>
    <row r="9079" spans="1:7">
      <c r="A9079" s="1079"/>
      <c r="B9079" s="1050"/>
      <c r="C9079" s="1050"/>
      <c r="D9079" s="1050"/>
      <c r="E9079" s="1050"/>
      <c r="F9079" s="1050"/>
      <c r="G9079" s="1050"/>
    </row>
    <row r="9080" spans="1:7">
      <c r="A9080" s="1079"/>
      <c r="B9080" s="1050"/>
      <c r="C9080" s="1050"/>
      <c r="D9080" s="1050"/>
      <c r="E9080" s="1050"/>
      <c r="F9080" s="1050"/>
      <c r="G9080" s="1050"/>
    </row>
    <row r="9081" spans="1:7">
      <c r="A9081" s="1079"/>
      <c r="B9081" s="1050"/>
      <c r="C9081" s="1050"/>
      <c r="D9081" s="1050"/>
      <c r="E9081" s="1050"/>
      <c r="F9081" s="1050"/>
      <c r="G9081" s="1050"/>
    </row>
    <row r="9082" spans="1:7">
      <c r="A9082" s="1079"/>
      <c r="B9082" s="1050"/>
      <c r="C9082" s="1050"/>
      <c r="D9082" s="1050"/>
      <c r="E9082" s="1050"/>
      <c r="F9082" s="1050"/>
      <c r="G9082" s="1050"/>
    </row>
    <row r="9083" spans="1:7">
      <c r="A9083" s="1079"/>
      <c r="B9083" s="1050"/>
      <c r="C9083" s="1050"/>
      <c r="D9083" s="1050"/>
      <c r="E9083" s="1050"/>
      <c r="F9083" s="1050"/>
      <c r="G9083" s="1050"/>
    </row>
    <row r="9084" spans="1:7">
      <c r="A9084" s="1079"/>
      <c r="B9084" s="1050"/>
      <c r="C9084" s="1050"/>
      <c r="D9084" s="1050"/>
      <c r="E9084" s="1050"/>
      <c r="F9084" s="1050"/>
      <c r="G9084" s="1050"/>
    </row>
    <row r="9085" spans="1:7">
      <c r="A9085" s="1079"/>
      <c r="B9085" s="1050"/>
      <c r="C9085" s="1050"/>
      <c r="D9085" s="1050"/>
      <c r="E9085" s="1050"/>
      <c r="F9085" s="1050"/>
      <c r="G9085" s="1050"/>
    </row>
    <row r="9086" spans="1:7">
      <c r="A9086" s="1079"/>
      <c r="B9086" s="1050"/>
      <c r="C9086" s="1050"/>
      <c r="D9086" s="1050"/>
      <c r="E9086" s="1050"/>
      <c r="F9086" s="1050"/>
      <c r="G9086" s="1050"/>
    </row>
    <row r="9087" spans="1:7">
      <c r="A9087" s="1079"/>
      <c r="B9087" s="1050"/>
      <c r="C9087" s="1050"/>
      <c r="D9087" s="1050"/>
      <c r="E9087" s="1050"/>
      <c r="F9087" s="1050"/>
      <c r="G9087" s="1050"/>
    </row>
    <row r="9088" spans="1:7">
      <c r="A9088" s="1079"/>
      <c r="B9088" s="1050"/>
      <c r="C9088" s="1050"/>
      <c r="D9088" s="1050"/>
      <c r="E9088" s="1050"/>
      <c r="F9088" s="1050"/>
      <c r="G9088" s="1050"/>
    </row>
    <row r="9089" spans="1:7">
      <c r="A9089" s="1079"/>
      <c r="B9089" s="1050"/>
      <c r="C9089" s="1050"/>
      <c r="D9089" s="1050"/>
      <c r="E9089" s="1050"/>
      <c r="F9089" s="1050"/>
      <c r="G9089" s="1050"/>
    </row>
    <row r="9090" spans="1:7">
      <c r="A9090" s="1079"/>
      <c r="B9090" s="1050"/>
      <c r="C9090" s="1050"/>
      <c r="D9090" s="1050"/>
      <c r="E9090" s="1050"/>
      <c r="F9090" s="1050"/>
      <c r="G9090" s="1050"/>
    </row>
    <row r="9091" spans="1:7">
      <c r="A9091" s="1079"/>
      <c r="B9091" s="1050"/>
      <c r="C9091" s="1050"/>
      <c r="D9091" s="1050"/>
      <c r="E9091" s="1050"/>
      <c r="F9091" s="1050"/>
      <c r="G9091" s="1050"/>
    </row>
    <row r="9092" spans="1:7">
      <c r="A9092" s="1079"/>
      <c r="B9092" s="1050"/>
      <c r="C9092" s="1050"/>
      <c r="D9092" s="1050"/>
      <c r="E9092" s="1050"/>
      <c r="F9092" s="1050"/>
      <c r="G9092" s="1050"/>
    </row>
    <row r="9093" spans="1:7">
      <c r="A9093" s="1079"/>
      <c r="B9093" s="1050"/>
      <c r="C9093" s="1050"/>
      <c r="D9093" s="1050"/>
      <c r="E9093" s="1050"/>
      <c r="F9093" s="1050"/>
      <c r="G9093" s="1050"/>
    </row>
    <row r="9094" spans="1:7">
      <c r="A9094" s="1079"/>
      <c r="B9094" s="1050"/>
      <c r="C9094" s="1050"/>
      <c r="D9094" s="1050"/>
      <c r="E9094" s="1050"/>
      <c r="F9094" s="1050"/>
      <c r="G9094" s="1050"/>
    </row>
    <row r="9095" spans="1:7">
      <c r="A9095" s="1079"/>
      <c r="B9095" s="1050"/>
      <c r="C9095" s="1050"/>
      <c r="D9095" s="1050"/>
      <c r="E9095" s="1050"/>
      <c r="F9095" s="1050"/>
      <c r="G9095" s="1050"/>
    </row>
    <row r="9096" spans="1:7">
      <c r="A9096" s="1079"/>
      <c r="B9096" s="1050"/>
      <c r="C9096" s="1050"/>
      <c r="D9096" s="1050"/>
      <c r="E9096" s="1050"/>
      <c r="F9096" s="1050"/>
      <c r="G9096" s="1050"/>
    </row>
    <row r="9097" spans="1:7">
      <c r="A9097" s="1079"/>
      <c r="B9097" s="1050"/>
      <c r="C9097" s="1050"/>
      <c r="D9097" s="1050"/>
      <c r="E9097" s="1050"/>
      <c r="F9097" s="1050"/>
      <c r="G9097" s="1050"/>
    </row>
    <row r="9098" spans="1:7">
      <c r="A9098" s="1079"/>
      <c r="B9098" s="1050"/>
      <c r="C9098" s="1050"/>
      <c r="D9098" s="1050"/>
      <c r="E9098" s="1050"/>
      <c r="F9098" s="1050"/>
      <c r="G9098" s="1050"/>
    </row>
    <row r="9099" spans="1:7">
      <c r="A9099" s="1079"/>
      <c r="B9099" s="1050"/>
      <c r="C9099" s="1050"/>
      <c r="D9099" s="1050"/>
      <c r="E9099" s="1050"/>
      <c r="F9099" s="1050"/>
      <c r="G9099" s="1050"/>
    </row>
    <row r="9100" spans="1:7">
      <c r="A9100" s="1079"/>
      <c r="B9100" s="1050"/>
      <c r="C9100" s="1050"/>
      <c r="D9100" s="1050"/>
      <c r="E9100" s="1050"/>
      <c r="F9100" s="1050"/>
      <c r="G9100" s="1050"/>
    </row>
    <row r="9101" spans="1:7">
      <c r="A9101" s="1079"/>
      <c r="B9101" s="1050"/>
      <c r="C9101" s="1050"/>
      <c r="D9101" s="1050"/>
      <c r="E9101" s="1050"/>
      <c r="F9101" s="1050"/>
      <c r="G9101" s="1050"/>
    </row>
    <row r="9102" spans="1:7">
      <c r="A9102" s="1079"/>
      <c r="B9102" s="1050"/>
      <c r="C9102" s="1050"/>
      <c r="D9102" s="1050"/>
      <c r="E9102" s="1050"/>
      <c r="F9102" s="1050"/>
      <c r="G9102" s="1050"/>
    </row>
    <row r="9103" spans="1:7">
      <c r="A9103" s="1079"/>
      <c r="B9103" s="1050"/>
      <c r="C9103" s="1050"/>
      <c r="D9103" s="1050"/>
      <c r="E9103" s="1050"/>
      <c r="F9103" s="1050"/>
      <c r="G9103" s="1050"/>
    </row>
    <row r="9104" spans="1:7">
      <c r="A9104" s="1079"/>
      <c r="B9104" s="1050"/>
      <c r="C9104" s="1050"/>
      <c r="D9104" s="1050"/>
      <c r="E9104" s="1050"/>
      <c r="F9104" s="1050"/>
      <c r="G9104" s="1050"/>
    </row>
    <row r="9105" spans="1:7">
      <c r="A9105" s="1079"/>
      <c r="B9105" s="1050"/>
      <c r="C9105" s="1050"/>
      <c r="D9105" s="1050"/>
      <c r="E9105" s="1050"/>
      <c r="F9105" s="1050"/>
      <c r="G9105" s="1050"/>
    </row>
    <row r="9106" spans="1:7">
      <c r="A9106" s="1079"/>
      <c r="B9106" s="1050"/>
      <c r="C9106" s="1050"/>
      <c r="D9106" s="1050"/>
      <c r="E9106" s="1050"/>
      <c r="F9106" s="1050"/>
      <c r="G9106" s="1050"/>
    </row>
    <row r="9107" spans="1:7">
      <c r="A9107" s="1079"/>
      <c r="B9107" s="1050"/>
      <c r="C9107" s="1050"/>
      <c r="D9107" s="1050"/>
      <c r="E9107" s="1050"/>
      <c r="F9107" s="1050"/>
      <c r="G9107" s="1050"/>
    </row>
    <row r="9108" spans="1:7">
      <c r="A9108" s="1079"/>
      <c r="B9108" s="1050"/>
      <c r="C9108" s="1050"/>
      <c r="D9108" s="1050"/>
      <c r="E9108" s="1050"/>
      <c r="F9108" s="1050"/>
      <c r="G9108" s="1050"/>
    </row>
    <row r="9109" spans="1:7">
      <c r="A9109" s="1079"/>
      <c r="B9109" s="1050"/>
      <c r="C9109" s="1050"/>
      <c r="D9109" s="1050"/>
      <c r="E9109" s="1050"/>
      <c r="F9109" s="1050"/>
      <c r="G9109" s="1050"/>
    </row>
    <row r="9110" spans="1:7">
      <c r="A9110" s="1079"/>
      <c r="B9110" s="1050"/>
      <c r="C9110" s="1050"/>
      <c r="D9110" s="1050"/>
      <c r="E9110" s="1050"/>
      <c r="F9110" s="1050"/>
      <c r="G9110" s="1050"/>
    </row>
    <row r="9111" spans="1:7">
      <c r="A9111" s="1079"/>
      <c r="B9111" s="1050"/>
      <c r="C9111" s="1050"/>
      <c r="D9111" s="1050"/>
      <c r="E9111" s="1050"/>
      <c r="F9111" s="1050"/>
      <c r="G9111" s="1050"/>
    </row>
    <row r="9112" spans="1:7">
      <c r="A9112" s="1079"/>
      <c r="B9112" s="1050"/>
      <c r="C9112" s="1050"/>
      <c r="D9112" s="1050"/>
      <c r="E9112" s="1050"/>
      <c r="F9112" s="1050"/>
      <c r="G9112" s="1050"/>
    </row>
    <row r="9113" spans="1:7">
      <c r="A9113" s="1079"/>
      <c r="B9113" s="1050"/>
      <c r="C9113" s="1050"/>
      <c r="D9113" s="1050"/>
      <c r="E9113" s="1050"/>
      <c r="F9113" s="1050"/>
      <c r="G9113" s="1050"/>
    </row>
    <row r="9114" spans="1:7">
      <c r="A9114" s="1079"/>
      <c r="B9114" s="1050"/>
      <c r="C9114" s="1050"/>
      <c r="D9114" s="1050"/>
      <c r="E9114" s="1050"/>
      <c r="F9114" s="1050"/>
      <c r="G9114" s="1050"/>
    </row>
    <row r="9115" spans="1:7">
      <c r="A9115" s="1079"/>
      <c r="B9115" s="1050"/>
      <c r="C9115" s="1050"/>
      <c r="D9115" s="1050"/>
      <c r="E9115" s="1050"/>
      <c r="F9115" s="1050"/>
      <c r="G9115" s="1050"/>
    </row>
    <row r="9116" spans="1:7">
      <c r="A9116" s="1079"/>
      <c r="B9116" s="1050"/>
      <c r="C9116" s="1050"/>
      <c r="D9116" s="1050"/>
      <c r="E9116" s="1050"/>
      <c r="F9116" s="1050"/>
      <c r="G9116" s="1050"/>
    </row>
    <row r="9117" spans="1:7">
      <c r="A9117" s="1079"/>
      <c r="B9117" s="1050"/>
      <c r="C9117" s="1050"/>
      <c r="D9117" s="1050"/>
      <c r="E9117" s="1050"/>
      <c r="F9117" s="1050"/>
      <c r="G9117" s="1050"/>
    </row>
    <row r="9118" spans="1:7">
      <c r="A9118" s="1079"/>
      <c r="B9118" s="1050"/>
      <c r="C9118" s="1050"/>
      <c r="D9118" s="1050"/>
      <c r="E9118" s="1050"/>
      <c r="F9118" s="1050"/>
      <c r="G9118" s="1050"/>
    </row>
    <row r="9119" spans="1:7">
      <c r="A9119" s="1079"/>
      <c r="B9119" s="1050"/>
      <c r="C9119" s="1050"/>
      <c r="D9119" s="1050"/>
      <c r="E9119" s="1050"/>
      <c r="F9119" s="1050"/>
      <c r="G9119" s="1050"/>
    </row>
    <row r="9120" spans="1:7">
      <c r="A9120" s="1079"/>
      <c r="B9120" s="1050"/>
      <c r="C9120" s="1050"/>
      <c r="D9120" s="1050"/>
      <c r="E9120" s="1050"/>
      <c r="F9120" s="1050"/>
      <c r="G9120" s="1050"/>
    </row>
    <row r="9121" spans="1:7">
      <c r="A9121" s="1079"/>
      <c r="B9121" s="1050"/>
      <c r="C9121" s="1050"/>
      <c r="D9121" s="1050"/>
      <c r="E9121" s="1050"/>
      <c r="F9121" s="1050"/>
      <c r="G9121" s="1050"/>
    </row>
    <row r="9122" spans="1:7">
      <c r="A9122" s="1079"/>
      <c r="B9122" s="1050"/>
      <c r="C9122" s="1050"/>
      <c r="D9122" s="1050"/>
      <c r="E9122" s="1050"/>
      <c r="F9122" s="1050"/>
      <c r="G9122" s="1050"/>
    </row>
    <row r="9123" spans="1:7">
      <c r="A9123" s="1079"/>
      <c r="B9123" s="1050"/>
      <c r="C9123" s="1050"/>
      <c r="D9123" s="1050"/>
      <c r="E9123" s="1050"/>
      <c r="F9123" s="1050"/>
      <c r="G9123" s="1050"/>
    </row>
    <row r="9124" spans="1:7">
      <c r="A9124" s="1079"/>
      <c r="B9124" s="1050"/>
      <c r="C9124" s="1050"/>
      <c r="D9124" s="1050"/>
      <c r="E9124" s="1050"/>
      <c r="F9124" s="1050"/>
      <c r="G9124" s="1050"/>
    </row>
    <row r="9125" spans="1:7">
      <c r="A9125" s="1079"/>
      <c r="B9125" s="1050"/>
      <c r="C9125" s="1050"/>
      <c r="D9125" s="1050"/>
      <c r="E9125" s="1050"/>
      <c r="F9125" s="1050"/>
      <c r="G9125" s="1050"/>
    </row>
    <row r="9126" spans="1:7">
      <c r="A9126" s="1079"/>
      <c r="B9126" s="1050"/>
      <c r="C9126" s="1050"/>
      <c r="D9126" s="1050"/>
      <c r="E9126" s="1050"/>
      <c r="F9126" s="1050"/>
      <c r="G9126" s="1050"/>
    </row>
    <row r="9127" spans="1:7">
      <c r="A9127" s="1079"/>
      <c r="B9127" s="1050"/>
      <c r="C9127" s="1050"/>
      <c r="D9127" s="1050"/>
      <c r="E9127" s="1050"/>
      <c r="F9127" s="1050"/>
      <c r="G9127" s="1050"/>
    </row>
    <row r="9128" spans="1:7">
      <c r="A9128" s="1079"/>
      <c r="B9128" s="1050"/>
      <c r="C9128" s="1050"/>
      <c r="D9128" s="1050"/>
      <c r="E9128" s="1050"/>
      <c r="F9128" s="1050"/>
      <c r="G9128" s="1050"/>
    </row>
    <row r="9129" spans="1:7">
      <c r="A9129" s="1079"/>
      <c r="B9129" s="1050"/>
      <c r="C9129" s="1050"/>
      <c r="D9129" s="1050"/>
      <c r="E9129" s="1050"/>
      <c r="F9129" s="1050"/>
      <c r="G9129" s="1050"/>
    </row>
    <row r="9130" spans="1:7">
      <c r="A9130" s="1079"/>
      <c r="B9130" s="1050"/>
      <c r="C9130" s="1050"/>
      <c r="D9130" s="1050"/>
      <c r="E9130" s="1050"/>
      <c r="F9130" s="1050"/>
      <c r="G9130" s="1050"/>
    </row>
    <row r="9131" spans="1:7">
      <c r="A9131" s="1079"/>
      <c r="B9131" s="1050"/>
      <c r="C9131" s="1050"/>
      <c r="D9131" s="1050"/>
      <c r="E9131" s="1050"/>
      <c r="F9131" s="1050"/>
      <c r="G9131" s="1050"/>
    </row>
    <row r="9132" spans="1:7">
      <c r="A9132" s="1079"/>
      <c r="B9132" s="1050"/>
      <c r="C9132" s="1050"/>
      <c r="D9132" s="1050"/>
      <c r="E9132" s="1050"/>
      <c r="F9132" s="1050"/>
      <c r="G9132" s="1050"/>
    </row>
    <row r="9133" spans="1:7">
      <c r="A9133" s="1079"/>
      <c r="B9133" s="1050"/>
      <c r="C9133" s="1050"/>
      <c r="D9133" s="1050"/>
      <c r="E9133" s="1050"/>
      <c r="F9133" s="1050"/>
      <c r="G9133" s="1050"/>
    </row>
    <row r="9134" spans="1:7">
      <c r="A9134" s="1079"/>
      <c r="B9134" s="1050"/>
      <c r="C9134" s="1050"/>
      <c r="D9134" s="1050"/>
      <c r="E9134" s="1050"/>
      <c r="F9134" s="1050"/>
      <c r="G9134" s="1050"/>
    </row>
    <row r="9135" spans="1:7">
      <c r="A9135" s="1079"/>
      <c r="B9135" s="1050"/>
      <c r="C9135" s="1050"/>
      <c r="D9135" s="1050"/>
      <c r="E9135" s="1050"/>
      <c r="F9135" s="1050"/>
      <c r="G9135" s="1050"/>
    </row>
    <row r="9136" spans="1:7">
      <c r="A9136" s="1079"/>
      <c r="B9136" s="1050"/>
      <c r="C9136" s="1050"/>
      <c r="D9136" s="1050"/>
      <c r="E9136" s="1050"/>
      <c r="F9136" s="1050"/>
      <c r="G9136" s="1050"/>
    </row>
    <row r="9137" spans="1:7">
      <c r="A9137" s="1079"/>
      <c r="B9137" s="1050"/>
      <c r="C9137" s="1050"/>
      <c r="D9137" s="1050"/>
      <c r="E9137" s="1050"/>
      <c r="F9137" s="1050"/>
      <c r="G9137" s="1050"/>
    </row>
    <row r="9138" spans="1:7">
      <c r="A9138" s="1079"/>
      <c r="B9138" s="1050"/>
      <c r="C9138" s="1050"/>
      <c r="D9138" s="1050"/>
      <c r="E9138" s="1050"/>
      <c r="F9138" s="1050"/>
      <c r="G9138" s="1050"/>
    </row>
    <row r="9139" spans="1:7">
      <c r="A9139" s="1079"/>
      <c r="B9139" s="1050"/>
      <c r="C9139" s="1050"/>
      <c r="D9139" s="1050"/>
      <c r="E9139" s="1050"/>
      <c r="F9139" s="1050"/>
      <c r="G9139" s="1050"/>
    </row>
    <row r="9140" spans="1:7">
      <c r="A9140" s="1079"/>
      <c r="B9140" s="1050"/>
      <c r="C9140" s="1050"/>
      <c r="D9140" s="1050"/>
      <c r="E9140" s="1050"/>
      <c r="F9140" s="1050"/>
      <c r="G9140" s="1050"/>
    </row>
    <row r="9141" spans="1:7">
      <c r="A9141" s="1079"/>
      <c r="B9141" s="1050"/>
      <c r="C9141" s="1050"/>
      <c r="D9141" s="1050"/>
      <c r="E9141" s="1050"/>
      <c r="F9141" s="1050"/>
      <c r="G9141" s="1050"/>
    </row>
    <row r="9142" spans="1:7">
      <c r="A9142" s="1079"/>
      <c r="B9142" s="1050"/>
      <c r="C9142" s="1050"/>
      <c r="D9142" s="1050"/>
      <c r="E9142" s="1050"/>
      <c r="F9142" s="1050"/>
      <c r="G9142" s="1050"/>
    </row>
    <row r="9143" spans="1:7">
      <c r="A9143" s="1079"/>
      <c r="B9143" s="1050"/>
      <c r="C9143" s="1050"/>
      <c r="D9143" s="1050"/>
      <c r="E9143" s="1050"/>
      <c r="F9143" s="1050"/>
      <c r="G9143" s="1050"/>
    </row>
    <row r="9144" spans="1:7">
      <c r="A9144" s="1079"/>
      <c r="B9144" s="1050"/>
      <c r="C9144" s="1050"/>
      <c r="D9144" s="1050"/>
      <c r="E9144" s="1050"/>
      <c r="F9144" s="1050"/>
      <c r="G9144" s="1050"/>
    </row>
    <row r="9145" spans="1:7">
      <c r="A9145" s="1079"/>
      <c r="B9145" s="1050"/>
      <c r="C9145" s="1050"/>
      <c r="D9145" s="1050"/>
      <c r="E9145" s="1050"/>
      <c r="F9145" s="1050"/>
      <c r="G9145" s="1050"/>
    </row>
    <row r="9146" spans="1:7">
      <c r="A9146" s="1079"/>
      <c r="B9146" s="1050"/>
      <c r="C9146" s="1050"/>
      <c r="D9146" s="1050"/>
      <c r="E9146" s="1050"/>
      <c r="F9146" s="1050"/>
      <c r="G9146" s="1050"/>
    </row>
    <row r="9147" spans="1:7">
      <c r="A9147" s="1079"/>
      <c r="B9147" s="1050"/>
      <c r="C9147" s="1050"/>
      <c r="D9147" s="1050"/>
      <c r="E9147" s="1050"/>
      <c r="F9147" s="1050"/>
      <c r="G9147" s="1050"/>
    </row>
    <row r="9148" spans="1:7">
      <c r="A9148" s="1079"/>
      <c r="B9148" s="1050"/>
      <c r="C9148" s="1050"/>
      <c r="D9148" s="1050"/>
      <c r="E9148" s="1050"/>
      <c r="F9148" s="1050"/>
      <c r="G9148" s="1050"/>
    </row>
    <row r="9149" spans="1:7">
      <c r="A9149" s="1079"/>
      <c r="B9149" s="1050"/>
      <c r="C9149" s="1050"/>
      <c r="D9149" s="1050"/>
      <c r="E9149" s="1050"/>
      <c r="F9149" s="1050"/>
      <c r="G9149" s="1050"/>
    </row>
    <row r="9150" spans="1:7">
      <c r="A9150" s="1079"/>
      <c r="B9150" s="1050"/>
      <c r="C9150" s="1050"/>
      <c r="D9150" s="1050"/>
      <c r="E9150" s="1050"/>
      <c r="F9150" s="1050"/>
      <c r="G9150" s="1050"/>
    </row>
    <row r="9151" spans="1:7">
      <c r="A9151" s="1079"/>
      <c r="B9151" s="1050"/>
      <c r="C9151" s="1050"/>
      <c r="D9151" s="1050"/>
      <c r="E9151" s="1050"/>
      <c r="F9151" s="1050"/>
      <c r="G9151" s="1050"/>
    </row>
    <row r="9152" spans="1:7">
      <c r="A9152" s="1079"/>
      <c r="B9152" s="1050"/>
      <c r="C9152" s="1050"/>
      <c r="D9152" s="1050"/>
      <c r="E9152" s="1050"/>
      <c r="F9152" s="1050"/>
      <c r="G9152" s="1050"/>
    </row>
    <row r="9153" spans="1:7">
      <c r="A9153" s="1079"/>
      <c r="B9153" s="1050"/>
      <c r="C9153" s="1050"/>
      <c r="D9153" s="1050"/>
      <c r="E9153" s="1050"/>
      <c r="F9153" s="1050"/>
      <c r="G9153" s="1050"/>
    </row>
    <row r="9154" spans="1:7">
      <c r="A9154" s="1079"/>
      <c r="B9154" s="1050"/>
      <c r="C9154" s="1050"/>
      <c r="D9154" s="1050"/>
      <c r="E9154" s="1050"/>
      <c r="F9154" s="1050"/>
      <c r="G9154" s="1050"/>
    </row>
    <row r="9155" spans="1:7">
      <c r="A9155" s="1079"/>
      <c r="B9155" s="1050"/>
      <c r="C9155" s="1050"/>
      <c r="D9155" s="1050"/>
      <c r="E9155" s="1050"/>
      <c r="F9155" s="1050"/>
      <c r="G9155" s="1050"/>
    </row>
    <row r="9156" spans="1:7">
      <c r="A9156" s="1079"/>
      <c r="B9156" s="1050"/>
      <c r="C9156" s="1050"/>
      <c r="D9156" s="1050"/>
      <c r="E9156" s="1050"/>
      <c r="F9156" s="1050"/>
      <c r="G9156" s="1050"/>
    </row>
    <row r="9157" spans="1:7">
      <c r="A9157" s="1079"/>
      <c r="B9157" s="1050"/>
      <c r="C9157" s="1050"/>
      <c r="D9157" s="1050"/>
      <c r="E9157" s="1050"/>
      <c r="F9157" s="1050"/>
      <c r="G9157" s="1050"/>
    </row>
    <row r="9158" spans="1:7">
      <c r="A9158" s="1079"/>
      <c r="B9158" s="1050"/>
      <c r="C9158" s="1050"/>
      <c r="D9158" s="1050"/>
      <c r="E9158" s="1050"/>
      <c r="F9158" s="1050"/>
      <c r="G9158" s="1050"/>
    </row>
    <row r="9159" spans="1:7">
      <c r="A9159" s="1079"/>
      <c r="B9159" s="1050"/>
      <c r="C9159" s="1050"/>
      <c r="D9159" s="1050"/>
      <c r="E9159" s="1050"/>
      <c r="F9159" s="1050"/>
      <c r="G9159" s="1050"/>
    </row>
    <row r="9160" spans="1:7">
      <c r="A9160" s="1079"/>
      <c r="B9160" s="1050"/>
      <c r="C9160" s="1050"/>
      <c r="D9160" s="1050"/>
      <c r="E9160" s="1050"/>
      <c r="F9160" s="1050"/>
      <c r="G9160" s="1050"/>
    </row>
    <row r="9161" spans="1:7">
      <c r="A9161" s="1079"/>
      <c r="B9161" s="1050"/>
      <c r="C9161" s="1050"/>
      <c r="D9161" s="1050"/>
      <c r="E9161" s="1050"/>
      <c r="F9161" s="1050"/>
      <c r="G9161" s="1050"/>
    </row>
    <row r="9162" spans="1:7">
      <c r="A9162" s="1079"/>
      <c r="B9162" s="1050"/>
      <c r="C9162" s="1050"/>
      <c r="D9162" s="1050"/>
      <c r="E9162" s="1050"/>
      <c r="F9162" s="1050"/>
      <c r="G9162" s="1050"/>
    </row>
    <row r="9163" spans="1:7">
      <c r="A9163" s="1079"/>
      <c r="B9163" s="1050"/>
      <c r="C9163" s="1050"/>
      <c r="D9163" s="1050"/>
      <c r="E9163" s="1050"/>
      <c r="F9163" s="1050"/>
      <c r="G9163" s="1050"/>
    </row>
    <row r="9164" spans="1:7">
      <c r="A9164" s="1079"/>
      <c r="B9164" s="1050"/>
      <c r="C9164" s="1050"/>
      <c r="D9164" s="1050"/>
      <c r="E9164" s="1050"/>
      <c r="F9164" s="1050"/>
      <c r="G9164" s="1050"/>
    </row>
    <row r="9165" spans="1:7">
      <c r="A9165" s="1079"/>
      <c r="B9165" s="1050"/>
      <c r="C9165" s="1050"/>
      <c r="D9165" s="1050"/>
      <c r="E9165" s="1050"/>
      <c r="F9165" s="1050"/>
      <c r="G9165" s="1050"/>
    </row>
    <row r="9166" spans="1:7">
      <c r="A9166" s="1079"/>
      <c r="B9166" s="1050"/>
      <c r="C9166" s="1050"/>
      <c r="D9166" s="1050"/>
      <c r="E9166" s="1050"/>
      <c r="F9166" s="1050"/>
      <c r="G9166" s="1050"/>
    </row>
    <row r="9167" spans="1:7">
      <c r="A9167" s="1079"/>
      <c r="B9167" s="1050"/>
      <c r="C9167" s="1050"/>
      <c r="D9167" s="1050"/>
      <c r="E9167" s="1050"/>
      <c r="F9167" s="1050"/>
      <c r="G9167" s="1050"/>
    </row>
    <row r="9168" spans="1:7">
      <c r="A9168" s="1079"/>
      <c r="B9168" s="1050"/>
      <c r="C9168" s="1050"/>
      <c r="D9168" s="1050"/>
      <c r="E9168" s="1050"/>
      <c r="F9168" s="1050"/>
      <c r="G9168" s="1050"/>
    </row>
    <row r="9169" spans="1:7">
      <c r="A9169" s="1079"/>
      <c r="B9169" s="1050"/>
      <c r="C9169" s="1050"/>
      <c r="D9169" s="1050"/>
      <c r="E9169" s="1050"/>
      <c r="F9169" s="1050"/>
      <c r="G9169" s="1050"/>
    </row>
    <row r="9170" spans="1:7">
      <c r="A9170" s="1079"/>
      <c r="B9170" s="1050"/>
      <c r="C9170" s="1050"/>
      <c r="D9170" s="1050"/>
      <c r="E9170" s="1050"/>
      <c r="F9170" s="1050"/>
      <c r="G9170" s="1050"/>
    </row>
    <row r="9171" spans="1:7">
      <c r="A9171" s="1079"/>
      <c r="B9171" s="1050"/>
      <c r="C9171" s="1050"/>
      <c r="D9171" s="1050"/>
      <c r="E9171" s="1050"/>
      <c r="F9171" s="1050"/>
      <c r="G9171" s="1050"/>
    </row>
    <row r="9172" spans="1:7">
      <c r="A9172" s="1079"/>
      <c r="B9172" s="1050"/>
      <c r="C9172" s="1050"/>
      <c r="D9172" s="1050"/>
      <c r="E9172" s="1050"/>
      <c r="F9172" s="1050"/>
      <c r="G9172" s="1050"/>
    </row>
    <row r="9173" spans="1:7">
      <c r="A9173" s="1079"/>
      <c r="B9173" s="1050"/>
      <c r="C9173" s="1050"/>
      <c r="D9173" s="1050"/>
      <c r="E9173" s="1050"/>
      <c r="F9173" s="1050"/>
      <c r="G9173" s="1050"/>
    </row>
    <row r="9174" spans="1:7">
      <c r="A9174" s="1079"/>
      <c r="B9174" s="1050"/>
      <c r="C9174" s="1050"/>
      <c r="D9174" s="1050"/>
      <c r="E9174" s="1050"/>
      <c r="F9174" s="1050"/>
      <c r="G9174" s="1050"/>
    </row>
    <row r="9175" spans="1:7">
      <c r="A9175" s="1079"/>
      <c r="B9175" s="1050"/>
      <c r="C9175" s="1050"/>
      <c r="D9175" s="1050"/>
      <c r="E9175" s="1050"/>
      <c r="F9175" s="1050"/>
      <c r="G9175" s="1050"/>
    </row>
    <row r="9176" spans="1:7">
      <c r="A9176" s="1079"/>
      <c r="B9176" s="1050"/>
      <c r="C9176" s="1050"/>
      <c r="D9176" s="1050"/>
      <c r="E9176" s="1050"/>
      <c r="F9176" s="1050"/>
      <c r="G9176" s="1050"/>
    </row>
    <row r="9177" spans="1:7">
      <c r="A9177" s="1079"/>
      <c r="B9177" s="1050"/>
      <c r="C9177" s="1050"/>
      <c r="D9177" s="1050"/>
      <c r="E9177" s="1050"/>
      <c r="F9177" s="1050"/>
      <c r="G9177" s="1050"/>
    </row>
    <row r="9178" spans="1:7">
      <c r="A9178" s="1079"/>
      <c r="B9178" s="1050"/>
      <c r="C9178" s="1050"/>
      <c r="D9178" s="1050"/>
      <c r="E9178" s="1050"/>
      <c r="F9178" s="1050"/>
      <c r="G9178" s="1050"/>
    </row>
    <row r="9179" spans="1:7">
      <c r="A9179" s="1079"/>
      <c r="B9179" s="1050"/>
      <c r="C9179" s="1050"/>
      <c r="D9179" s="1050"/>
      <c r="E9179" s="1050"/>
      <c r="F9179" s="1050"/>
      <c r="G9179" s="1050"/>
    </row>
    <row r="9180" spans="1:7">
      <c r="A9180" s="1079"/>
      <c r="B9180" s="1050"/>
      <c r="C9180" s="1050"/>
      <c r="D9180" s="1050"/>
      <c r="E9180" s="1050"/>
      <c r="F9180" s="1050"/>
      <c r="G9180" s="1050"/>
    </row>
    <row r="9181" spans="1:7">
      <c r="A9181" s="1079"/>
      <c r="B9181" s="1050"/>
      <c r="C9181" s="1050"/>
      <c r="D9181" s="1050"/>
      <c r="E9181" s="1050"/>
      <c r="F9181" s="1050"/>
      <c r="G9181" s="1050"/>
    </row>
    <row r="9182" spans="1:7">
      <c r="A9182" s="1079"/>
      <c r="B9182" s="1050"/>
      <c r="C9182" s="1050"/>
      <c r="D9182" s="1050"/>
      <c r="E9182" s="1050"/>
      <c r="F9182" s="1050"/>
      <c r="G9182" s="1050"/>
    </row>
    <row r="9183" spans="1:7">
      <c r="A9183" s="1079"/>
      <c r="B9183" s="1050"/>
      <c r="C9183" s="1050"/>
      <c r="D9183" s="1050"/>
      <c r="E9183" s="1050"/>
      <c r="F9183" s="1050"/>
      <c r="G9183" s="1050"/>
    </row>
    <row r="9184" spans="1:7">
      <c r="A9184" s="1079"/>
      <c r="B9184" s="1050"/>
      <c r="C9184" s="1050"/>
      <c r="D9184" s="1050"/>
      <c r="E9184" s="1050"/>
      <c r="F9184" s="1050"/>
      <c r="G9184" s="1050"/>
    </row>
    <row r="9185" spans="1:7">
      <c r="A9185" s="1079"/>
      <c r="B9185" s="1050"/>
      <c r="C9185" s="1050"/>
      <c r="D9185" s="1050"/>
      <c r="E9185" s="1050"/>
      <c r="F9185" s="1050"/>
      <c r="G9185" s="1050"/>
    </row>
    <row r="9186" spans="1:7">
      <c r="A9186" s="1079"/>
      <c r="B9186" s="1050"/>
      <c r="C9186" s="1050"/>
      <c r="D9186" s="1050"/>
      <c r="E9186" s="1050"/>
      <c r="F9186" s="1050"/>
      <c r="G9186" s="1050"/>
    </row>
    <row r="9187" spans="1:7">
      <c r="A9187" s="1079"/>
      <c r="B9187" s="1050"/>
      <c r="C9187" s="1050"/>
      <c r="D9187" s="1050"/>
      <c r="E9187" s="1050"/>
      <c r="F9187" s="1050"/>
      <c r="G9187" s="1050"/>
    </row>
    <row r="9188" spans="1:7">
      <c r="A9188" s="1079"/>
      <c r="B9188" s="1050"/>
      <c r="C9188" s="1050"/>
      <c r="D9188" s="1050"/>
      <c r="E9188" s="1050"/>
      <c r="F9188" s="1050"/>
      <c r="G9188" s="1050"/>
    </row>
    <row r="9189" spans="1:7">
      <c r="A9189" s="1079"/>
      <c r="B9189" s="1050"/>
      <c r="C9189" s="1050"/>
      <c r="D9189" s="1050"/>
      <c r="E9189" s="1050"/>
      <c r="F9189" s="1050"/>
      <c r="G9189" s="1050"/>
    </row>
    <row r="9190" spans="1:7">
      <c r="A9190" s="1079"/>
      <c r="B9190" s="1050"/>
      <c r="C9190" s="1050"/>
      <c r="D9190" s="1050"/>
      <c r="E9190" s="1050"/>
      <c r="F9190" s="1050"/>
      <c r="G9190" s="1050"/>
    </row>
    <row r="9191" spans="1:7">
      <c r="A9191" s="1079"/>
      <c r="B9191" s="1050"/>
      <c r="C9191" s="1050"/>
      <c r="D9191" s="1050"/>
      <c r="E9191" s="1050"/>
      <c r="F9191" s="1050"/>
      <c r="G9191" s="1050"/>
    </row>
    <row r="9192" spans="1:7">
      <c r="A9192" s="1079"/>
      <c r="B9192" s="1050"/>
      <c r="C9192" s="1050"/>
      <c r="D9192" s="1050"/>
      <c r="E9192" s="1050"/>
      <c r="F9192" s="1050"/>
      <c r="G9192" s="1050"/>
    </row>
    <row r="9193" spans="1:7">
      <c r="A9193" s="1079"/>
      <c r="B9193" s="1050"/>
      <c r="C9193" s="1050"/>
      <c r="D9193" s="1050"/>
      <c r="E9193" s="1050"/>
      <c r="F9193" s="1050"/>
      <c r="G9193" s="1050"/>
    </row>
    <row r="9194" spans="1:7">
      <c r="A9194" s="1079"/>
      <c r="B9194" s="1050"/>
      <c r="C9194" s="1050"/>
      <c r="D9194" s="1050"/>
      <c r="E9194" s="1050"/>
      <c r="F9194" s="1050"/>
      <c r="G9194" s="1050"/>
    </row>
    <row r="9195" spans="1:7">
      <c r="A9195" s="1079"/>
      <c r="B9195" s="1050"/>
      <c r="C9195" s="1050"/>
      <c r="D9195" s="1050"/>
      <c r="E9195" s="1050"/>
      <c r="F9195" s="1050"/>
      <c r="G9195" s="1050"/>
    </row>
    <row r="9196" spans="1:7">
      <c r="A9196" s="1079"/>
      <c r="B9196" s="1050"/>
      <c r="C9196" s="1050"/>
      <c r="D9196" s="1050"/>
      <c r="E9196" s="1050"/>
      <c r="F9196" s="1050"/>
      <c r="G9196" s="1050"/>
    </row>
    <row r="9197" spans="1:7">
      <c r="A9197" s="1079"/>
      <c r="B9197" s="1050"/>
      <c r="C9197" s="1050"/>
      <c r="D9197" s="1050"/>
      <c r="E9197" s="1050"/>
      <c r="F9197" s="1050"/>
      <c r="G9197" s="1050"/>
    </row>
    <row r="9198" spans="1:7">
      <c r="A9198" s="1079"/>
      <c r="B9198" s="1050"/>
      <c r="C9198" s="1050"/>
      <c r="D9198" s="1050"/>
      <c r="E9198" s="1050"/>
      <c r="F9198" s="1050"/>
      <c r="G9198" s="1050"/>
    </row>
    <row r="9199" spans="1:7">
      <c r="A9199" s="1079"/>
      <c r="B9199" s="1050"/>
      <c r="C9199" s="1050"/>
      <c r="D9199" s="1050"/>
      <c r="E9199" s="1050"/>
      <c r="F9199" s="1050"/>
      <c r="G9199" s="1050"/>
    </row>
    <row r="9200" spans="1:7">
      <c r="A9200" s="1079"/>
      <c r="B9200" s="1050"/>
      <c r="C9200" s="1050"/>
      <c r="D9200" s="1050"/>
      <c r="E9200" s="1050"/>
      <c r="F9200" s="1050"/>
      <c r="G9200" s="1050"/>
    </row>
    <row r="9201" spans="1:7">
      <c r="A9201" s="1079"/>
      <c r="B9201" s="1050"/>
      <c r="C9201" s="1050"/>
      <c r="D9201" s="1050"/>
      <c r="E9201" s="1050"/>
      <c r="F9201" s="1050"/>
      <c r="G9201" s="1050"/>
    </row>
    <row r="9202" spans="1:7">
      <c r="A9202" s="1079"/>
      <c r="B9202" s="1050"/>
      <c r="C9202" s="1050"/>
      <c r="D9202" s="1050"/>
      <c r="E9202" s="1050"/>
      <c r="F9202" s="1050"/>
      <c r="G9202" s="1050"/>
    </row>
    <row r="9203" spans="1:7">
      <c r="A9203" s="1079"/>
      <c r="B9203" s="1050"/>
      <c r="C9203" s="1050"/>
      <c r="D9203" s="1050"/>
      <c r="E9203" s="1050"/>
      <c r="F9203" s="1050"/>
      <c r="G9203" s="1050"/>
    </row>
    <row r="9204" spans="1:7">
      <c r="A9204" s="1079"/>
      <c r="B9204" s="1050"/>
      <c r="C9204" s="1050"/>
      <c r="D9204" s="1050"/>
      <c r="E9204" s="1050"/>
      <c r="F9204" s="1050"/>
      <c r="G9204" s="1050"/>
    </row>
    <row r="9205" spans="1:7">
      <c r="A9205" s="1079"/>
      <c r="B9205" s="1050"/>
      <c r="C9205" s="1050"/>
      <c r="D9205" s="1050"/>
      <c r="E9205" s="1050"/>
      <c r="F9205" s="1050"/>
      <c r="G9205" s="1050"/>
    </row>
    <row r="9206" spans="1:7">
      <c r="A9206" s="1079"/>
      <c r="B9206" s="1050"/>
      <c r="C9206" s="1050"/>
      <c r="D9206" s="1050"/>
      <c r="E9206" s="1050"/>
      <c r="F9206" s="1050"/>
      <c r="G9206" s="1050"/>
    </row>
    <row r="9207" spans="1:7">
      <c r="A9207" s="1079"/>
      <c r="B9207" s="1050"/>
      <c r="C9207" s="1050"/>
      <c r="D9207" s="1050"/>
      <c r="E9207" s="1050"/>
      <c r="F9207" s="1050"/>
      <c r="G9207" s="1050"/>
    </row>
    <row r="9208" spans="1:7">
      <c r="A9208" s="1079"/>
      <c r="B9208" s="1050"/>
      <c r="C9208" s="1050"/>
      <c r="D9208" s="1050"/>
      <c r="E9208" s="1050"/>
      <c r="F9208" s="1050"/>
      <c r="G9208" s="1050"/>
    </row>
    <row r="9209" spans="1:7">
      <c r="A9209" s="1079"/>
      <c r="B9209" s="1050"/>
      <c r="C9209" s="1050"/>
      <c r="D9209" s="1050"/>
      <c r="E9209" s="1050"/>
      <c r="F9209" s="1050"/>
      <c r="G9209" s="1050"/>
    </row>
    <row r="9210" spans="1:7">
      <c r="A9210" s="1079"/>
      <c r="B9210" s="1050"/>
      <c r="C9210" s="1050"/>
      <c r="D9210" s="1050"/>
      <c r="E9210" s="1050"/>
      <c r="F9210" s="1050"/>
      <c r="G9210" s="1050"/>
    </row>
    <row r="9211" spans="1:7">
      <c r="A9211" s="1079"/>
      <c r="B9211" s="1050"/>
      <c r="C9211" s="1050"/>
      <c r="D9211" s="1050"/>
      <c r="E9211" s="1050"/>
      <c r="F9211" s="1050"/>
      <c r="G9211" s="1050"/>
    </row>
    <row r="9212" spans="1:7">
      <c r="A9212" s="1079"/>
      <c r="B9212" s="1050"/>
      <c r="C9212" s="1050"/>
      <c r="D9212" s="1050"/>
      <c r="E9212" s="1050"/>
      <c r="F9212" s="1050"/>
      <c r="G9212" s="1050"/>
    </row>
    <row r="9213" spans="1:7">
      <c r="A9213" s="1079"/>
      <c r="B9213" s="1050"/>
      <c r="C9213" s="1050"/>
      <c r="D9213" s="1050"/>
      <c r="E9213" s="1050"/>
      <c r="F9213" s="1050"/>
      <c r="G9213" s="1050"/>
    </row>
    <row r="9214" spans="1:7">
      <c r="A9214" s="1079"/>
      <c r="B9214" s="1050"/>
      <c r="C9214" s="1050"/>
      <c r="D9214" s="1050"/>
      <c r="E9214" s="1050"/>
      <c r="F9214" s="1050"/>
      <c r="G9214" s="1050"/>
    </row>
    <row r="9215" spans="1:7">
      <c r="A9215" s="1079"/>
      <c r="B9215" s="1050"/>
      <c r="C9215" s="1050"/>
      <c r="D9215" s="1050"/>
      <c r="E9215" s="1050"/>
      <c r="F9215" s="1050"/>
      <c r="G9215" s="1050"/>
    </row>
    <row r="9216" spans="1:7">
      <c r="A9216" s="1079"/>
      <c r="B9216" s="1050"/>
      <c r="C9216" s="1050"/>
      <c r="D9216" s="1050"/>
      <c r="E9216" s="1050"/>
      <c r="F9216" s="1050"/>
      <c r="G9216" s="1050"/>
    </row>
    <row r="9217" spans="1:7">
      <c r="A9217" s="1079"/>
      <c r="B9217" s="1050"/>
      <c r="C9217" s="1050"/>
      <c r="D9217" s="1050"/>
      <c r="E9217" s="1050"/>
      <c r="F9217" s="1050"/>
      <c r="G9217" s="1050"/>
    </row>
    <row r="9218" spans="1:7">
      <c r="A9218" s="1079"/>
      <c r="B9218" s="1050"/>
      <c r="C9218" s="1050"/>
      <c r="D9218" s="1050"/>
      <c r="E9218" s="1050"/>
      <c r="F9218" s="1050"/>
      <c r="G9218" s="1050"/>
    </row>
    <row r="9219" spans="1:7">
      <c r="A9219" s="1079"/>
      <c r="B9219" s="1050"/>
      <c r="C9219" s="1050"/>
      <c r="D9219" s="1050"/>
      <c r="E9219" s="1050"/>
      <c r="F9219" s="1050"/>
      <c r="G9219" s="1050"/>
    </row>
    <row r="9220" spans="1:7">
      <c r="A9220" s="1079"/>
      <c r="B9220" s="1050"/>
      <c r="C9220" s="1050"/>
      <c r="D9220" s="1050"/>
      <c r="E9220" s="1050"/>
      <c r="F9220" s="1050"/>
      <c r="G9220" s="1050"/>
    </row>
    <row r="9221" spans="1:7">
      <c r="A9221" s="1079"/>
      <c r="B9221" s="1050"/>
      <c r="C9221" s="1050"/>
      <c r="D9221" s="1050"/>
      <c r="E9221" s="1050"/>
      <c r="F9221" s="1050"/>
      <c r="G9221" s="1050"/>
    </row>
    <row r="9222" spans="1:7">
      <c r="A9222" s="1079"/>
      <c r="B9222" s="1050"/>
      <c r="C9222" s="1050"/>
      <c r="D9222" s="1050"/>
      <c r="E9222" s="1050"/>
      <c r="F9222" s="1050"/>
      <c r="G9222" s="1050"/>
    </row>
    <row r="9223" spans="1:7">
      <c r="A9223" s="1079"/>
      <c r="B9223" s="1050"/>
      <c r="C9223" s="1050"/>
      <c r="D9223" s="1050"/>
      <c r="E9223" s="1050"/>
      <c r="F9223" s="1050"/>
      <c r="G9223" s="1050"/>
    </row>
    <row r="9224" spans="1:7">
      <c r="A9224" s="1079"/>
      <c r="B9224" s="1050"/>
      <c r="C9224" s="1050"/>
      <c r="D9224" s="1050"/>
      <c r="E9224" s="1050"/>
      <c r="F9224" s="1050"/>
      <c r="G9224" s="1050"/>
    </row>
    <row r="9225" spans="1:7">
      <c r="A9225" s="1079"/>
      <c r="B9225" s="1050"/>
      <c r="C9225" s="1050"/>
      <c r="D9225" s="1050"/>
      <c r="E9225" s="1050"/>
      <c r="F9225" s="1050"/>
      <c r="G9225" s="1050"/>
    </row>
    <row r="9226" spans="1:7">
      <c r="A9226" s="1079"/>
      <c r="B9226" s="1050"/>
      <c r="C9226" s="1050"/>
      <c r="D9226" s="1050"/>
      <c r="E9226" s="1050"/>
      <c r="F9226" s="1050"/>
      <c r="G9226" s="1050"/>
    </row>
    <row r="9227" spans="1:7">
      <c r="A9227" s="1079"/>
      <c r="B9227" s="1050"/>
      <c r="C9227" s="1050"/>
      <c r="D9227" s="1050"/>
      <c r="E9227" s="1050"/>
      <c r="F9227" s="1050"/>
      <c r="G9227" s="1050"/>
    </row>
    <row r="9228" spans="1:7">
      <c r="A9228" s="1079"/>
      <c r="B9228" s="1050"/>
      <c r="C9228" s="1050"/>
      <c r="D9228" s="1050"/>
      <c r="E9228" s="1050"/>
      <c r="F9228" s="1050"/>
      <c r="G9228" s="1050"/>
    </row>
    <row r="9229" spans="1:7">
      <c r="A9229" s="1079"/>
      <c r="B9229" s="1050"/>
      <c r="C9229" s="1050"/>
      <c r="D9229" s="1050"/>
      <c r="E9229" s="1050"/>
      <c r="F9229" s="1050"/>
      <c r="G9229" s="1050"/>
    </row>
    <row r="9230" spans="1:7">
      <c r="A9230" s="1079"/>
      <c r="B9230" s="1050"/>
      <c r="C9230" s="1050"/>
      <c r="D9230" s="1050"/>
      <c r="E9230" s="1050"/>
      <c r="F9230" s="1050"/>
      <c r="G9230" s="1050"/>
    </row>
    <row r="9231" spans="1:7">
      <c r="A9231" s="1079"/>
      <c r="B9231" s="1050"/>
      <c r="C9231" s="1050"/>
      <c r="D9231" s="1050"/>
      <c r="E9231" s="1050"/>
      <c r="F9231" s="1050"/>
      <c r="G9231" s="1050"/>
    </row>
    <row r="9232" spans="1:7">
      <c r="A9232" s="1079"/>
      <c r="B9232" s="1050"/>
      <c r="C9232" s="1050"/>
      <c r="D9232" s="1050"/>
      <c r="E9232" s="1050"/>
      <c r="F9232" s="1050"/>
      <c r="G9232" s="1050"/>
    </row>
    <row r="9233" spans="1:7">
      <c r="A9233" s="1079"/>
      <c r="B9233" s="1050"/>
      <c r="C9233" s="1050"/>
      <c r="D9233" s="1050"/>
      <c r="E9233" s="1050"/>
      <c r="F9233" s="1050"/>
      <c r="G9233" s="1050"/>
    </row>
    <row r="9234" spans="1:7">
      <c r="A9234" s="1079"/>
      <c r="B9234" s="1050"/>
      <c r="C9234" s="1050"/>
      <c r="D9234" s="1050"/>
      <c r="E9234" s="1050"/>
      <c r="F9234" s="1050"/>
      <c r="G9234" s="1050"/>
    </row>
    <row r="9235" spans="1:7">
      <c r="A9235" s="1079"/>
      <c r="B9235" s="1050"/>
      <c r="C9235" s="1050"/>
      <c r="D9235" s="1050"/>
      <c r="E9235" s="1050"/>
      <c r="F9235" s="1050"/>
      <c r="G9235" s="1050"/>
    </row>
    <row r="9236" spans="1:7">
      <c r="A9236" s="1079"/>
      <c r="B9236" s="1050"/>
      <c r="C9236" s="1050"/>
      <c r="D9236" s="1050"/>
      <c r="E9236" s="1050"/>
      <c r="F9236" s="1050"/>
      <c r="G9236" s="1050"/>
    </row>
    <row r="9237" spans="1:7">
      <c r="A9237" s="1079"/>
      <c r="B9237" s="1050"/>
      <c r="C9237" s="1050"/>
      <c r="D9237" s="1050"/>
      <c r="E9237" s="1050"/>
      <c r="F9237" s="1050"/>
      <c r="G9237" s="1050"/>
    </row>
    <row r="9238" spans="1:7">
      <c r="A9238" s="1079"/>
      <c r="B9238" s="1050"/>
      <c r="C9238" s="1050"/>
      <c r="D9238" s="1050"/>
      <c r="E9238" s="1050"/>
      <c r="F9238" s="1050"/>
      <c r="G9238" s="1050"/>
    </row>
    <row r="9239" spans="1:7">
      <c r="A9239" s="1079"/>
      <c r="B9239" s="1050"/>
      <c r="C9239" s="1050"/>
      <c r="D9239" s="1050"/>
      <c r="E9239" s="1050"/>
      <c r="F9239" s="1050"/>
      <c r="G9239" s="1050"/>
    </row>
    <row r="9240" spans="1:7">
      <c r="A9240" s="1079"/>
      <c r="B9240" s="1050"/>
      <c r="C9240" s="1050"/>
      <c r="D9240" s="1050"/>
      <c r="E9240" s="1050"/>
      <c r="F9240" s="1050"/>
      <c r="G9240" s="1050"/>
    </row>
    <row r="9241" spans="1:7">
      <c r="A9241" s="1079"/>
      <c r="B9241" s="1050"/>
      <c r="C9241" s="1050"/>
      <c r="D9241" s="1050"/>
      <c r="E9241" s="1050"/>
      <c r="F9241" s="1050"/>
      <c r="G9241" s="1050"/>
    </row>
    <row r="9242" spans="1:7">
      <c r="A9242" s="1079"/>
      <c r="B9242" s="1050"/>
      <c r="C9242" s="1050"/>
      <c r="D9242" s="1050"/>
      <c r="E9242" s="1050"/>
      <c r="F9242" s="1050"/>
      <c r="G9242" s="1050"/>
    </row>
    <row r="9243" spans="1:7">
      <c r="A9243" s="1079"/>
      <c r="B9243" s="1050"/>
      <c r="C9243" s="1050"/>
      <c r="D9243" s="1050"/>
      <c r="E9243" s="1050"/>
      <c r="F9243" s="1050"/>
      <c r="G9243" s="1050"/>
    </row>
    <row r="9244" spans="1:7">
      <c r="A9244" s="1079"/>
      <c r="B9244" s="1050"/>
      <c r="C9244" s="1050"/>
      <c r="D9244" s="1050"/>
      <c r="E9244" s="1050"/>
      <c r="F9244" s="1050"/>
      <c r="G9244" s="1050"/>
    </row>
    <row r="9245" spans="1:7">
      <c r="A9245" s="1079"/>
      <c r="B9245" s="1050"/>
      <c r="C9245" s="1050"/>
      <c r="D9245" s="1050"/>
      <c r="E9245" s="1050"/>
      <c r="F9245" s="1050"/>
      <c r="G9245" s="1050"/>
    </row>
    <row r="9246" spans="1:7">
      <c r="A9246" s="1079"/>
      <c r="B9246" s="1050"/>
      <c r="C9246" s="1050"/>
      <c r="D9246" s="1050"/>
      <c r="E9246" s="1050"/>
      <c r="F9246" s="1050"/>
      <c r="G9246" s="1050"/>
    </row>
    <row r="9247" spans="1:7">
      <c r="A9247" s="1079"/>
      <c r="B9247" s="1050"/>
      <c r="C9247" s="1050"/>
      <c r="D9247" s="1050"/>
      <c r="E9247" s="1050"/>
      <c r="F9247" s="1050"/>
      <c r="G9247" s="1050"/>
    </row>
    <row r="9248" spans="1:7">
      <c r="A9248" s="1079"/>
      <c r="B9248" s="1050"/>
      <c r="C9248" s="1050"/>
      <c r="D9248" s="1050"/>
      <c r="E9248" s="1050"/>
      <c r="F9248" s="1050"/>
      <c r="G9248" s="1050"/>
    </row>
    <row r="9249" spans="1:7">
      <c r="A9249" s="1079"/>
      <c r="B9249" s="1050"/>
      <c r="C9249" s="1050"/>
      <c r="D9249" s="1050"/>
      <c r="E9249" s="1050"/>
      <c r="F9249" s="1050"/>
      <c r="G9249" s="1050"/>
    </row>
    <row r="9250" spans="1:7">
      <c r="A9250" s="1079"/>
      <c r="B9250" s="1050"/>
      <c r="C9250" s="1050"/>
      <c r="D9250" s="1050"/>
      <c r="E9250" s="1050"/>
      <c r="F9250" s="1050"/>
      <c r="G9250" s="1050"/>
    </row>
    <row r="9251" spans="1:7">
      <c r="A9251" s="1079"/>
      <c r="B9251" s="1050"/>
      <c r="C9251" s="1050"/>
      <c r="D9251" s="1050"/>
      <c r="E9251" s="1050"/>
      <c r="F9251" s="1050"/>
      <c r="G9251" s="1050"/>
    </row>
    <row r="9252" spans="1:7">
      <c r="A9252" s="1079"/>
      <c r="B9252" s="1050"/>
      <c r="C9252" s="1050"/>
      <c r="D9252" s="1050"/>
      <c r="E9252" s="1050"/>
      <c r="F9252" s="1050"/>
      <c r="G9252" s="1050"/>
    </row>
    <row r="9253" spans="1:7">
      <c r="A9253" s="1079"/>
      <c r="B9253" s="1050"/>
      <c r="C9253" s="1050"/>
      <c r="D9253" s="1050"/>
      <c r="E9253" s="1050"/>
      <c r="F9253" s="1050"/>
      <c r="G9253" s="1050"/>
    </row>
    <row r="9254" spans="1:7">
      <c r="A9254" s="1079"/>
      <c r="B9254" s="1050"/>
      <c r="C9254" s="1050"/>
      <c r="D9254" s="1050"/>
      <c r="E9254" s="1050"/>
      <c r="F9254" s="1050"/>
      <c r="G9254" s="1050"/>
    </row>
    <row r="9255" spans="1:7">
      <c r="A9255" s="1079"/>
      <c r="B9255" s="1050"/>
      <c r="C9255" s="1050"/>
      <c r="D9255" s="1050"/>
      <c r="E9255" s="1050"/>
      <c r="F9255" s="1050"/>
      <c r="G9255" s="1050"/>
    </row>
    <row r="9256" spans="1:7">
      <c r="A9256" s="1079"/>
      <c r="B9256" s="1050"/>
      <c r="C9256" s="1050"/>
      <c r="D9256" s="1050"/>
      <c r="E9256" s="1050"/>
      <c r="F9256" s="1050"/>
      <c r="G9256" s="1050"/>
    </row>
    <row r="9257" spans="1:7">
      <c r="A9257" s="1079"/>
      <c r="B9257" s="1050"/>
      <c r="C9257" s="1050"/>
      <c r="D9257" s="1050"/>
      <c r="E9257" s="1050"/>
      <c r="F9257" s="1050"/>
      <c r="G9257" s="1050"/>
    </row>
    <row r="9258" spans="1:7">
      <c r="A9258" s="1079"/>
      <c r="B9258" s="1050"/>
      <c r="C9258" s="1050"/>
      <c r="D9258" s="1050"/>
      <c r="E9258" s="1050"/>
      <c r="F9258" s="1050"/>
      <c r="G9258" s="1050"/>
    </row>
    <row r="9259" spans="1:7">
      <c r="A9259" s="1079"/>
      <c r="B9259" s="1050"/>
      <c r="C9259" s="1050"/>
      <c r="D9259" s="1050"/>
      <c r="E9259" s="1050"/>
      <c r="F9259" s="1050"/>
      <c r="G9259" s="1050"/>
    </row>
    <row r="9260" spans="1:7">
      <c r="A9260" s="1079"/>
      <c r="B9260" s="1050"/>
      <c r="C9260" s="1050"/>
      <c r="D9260" s="1050"/>
      <c r="E9260" s="1050"/>
      <c r="F9260" s="1050"/>
      <c r="G9260" s="1050"/>
    </row>
    <row r="9261" spans="1:7">
      <c r="A9261" s="1079"/>
      <c r="B9261" s="1050"/>
      <c r="C9261" s="1050"/>
      <c r="D9261" s="1050"/>
      <c r="E9261" s="1050"/>
      <c r="F9261" s="1050"/>
      <c r="G9261" s="1050"/>
    </row>
    <row r="9262" spans="1:7">
      <c r="A9262" s="1079"/>
      <c r="B9262" s="1050"/>
      <c r="C9262" s="1050"/>
      <c r="D9262" s="1050"/>
      <c r="E9262" s="1050"/>
      <c r="F9262" s="1050"/>
      <c r="G9262" s="1050"/>
    </row>
    <row r="9263" spans="1:7">
      <c r="A9263" s="1079"/>
      <c r="B9263" s="1050"/>
      <c r="C9263" s="1050"/>
      <c r="D9263" s="1050"/>
      <c r="E9263" s="1050"/>
      <c r="F9263" s="1050"/>
      <c r="G9263" s="1050"/>
    </row>
    <row r="9264" spans="1:7">
      <c r="A9264" s="1079"/>
      <c r="B9264" s="1050"/>
      <c r="C9264" s="1050"/>
      <c r="D9264" s="1050"/>
      <c r="E9264" s="1050"/>
      <c r="F9264" s="1050"/>
      <c r="G9264" s="1050"/>
    </row>
    <row r="9265" spans="1:7">
      <c r="A9265" s="1079"/>
      <c r="B9265" s="1050"/>
      <c r="C9265" s="1050"/>
      <c r="D9265" s="1050"/>
      <c r="E9265" s="1050"/>
      <c r="F9265" s="1050"/>
      <c r="G9265" s="1050"/>
    </row>
    <row r="9266" spans="1:7">
      <c r="A9266" s="1079"/>
      <c r="B9266" s="1050"/>
      <c r="C9266" s="1050"/>
      <c r="D9266" s="1050"/>
      <c r="E9266" s="1050"/>
      <c r="F9266" s="1050"/>
      <c r="G9266" s="1050"/>
    </row>
    <row r="9267" spans="1:7">
      <c r="A9267" s="1079"/>
      <c r="B9267" s="1050"/>
      <c r="C9267" s="1050"/>
      <c r="D9267" s="1050"/>
      <c r="E9267" s="1050"/>
      <c r="F9267" s="1050"/>
      <c r="G9267" s="1050"/>
    </row>
    <row r="9268" spans="1:7">
      <c r="A9268" s="1079"/>
      <c r="B9268" s="1050"/>
      <c r="C9268" s="1050"/>
      <c r="D9268" s="1050"/>
      <c r="E9268" s="1050"/>
      <c r="F9268" s="1050"/>
      <c r="G9268" s="1050"/>
    </row>
    <row r="9269" spans="1:7">
      <c r="A9269" s="1079"/>
      <c r="B9269" s="1050"/>
      <c r="C9269" s="1050"/>
      <c r="D9269" s="1050"/>
      <c r="E9269" s="1050"/>
      <c r="F9269" s="1050"/>
      <c r="G9269" s="1050"/>
    </row>
    <row r="9270" spans="1:7">
      <c r="A9270" s="1079"/>
      <c r="B9270" s="1050"/>
      <c r="C9270" s="1050"/>
      <c r="D9270" s="1050"/>
      <c r="E9270" s="1050"/>
      <c r="F9270" s="1050"/>
      <c r="G9270" s="1050"/>
    </row>
    <row r="9271" spans="1:7">
      <c r="A9271" s="1079"/>
      <c r="B9271" s="1050"/>
      <c r="C9271" s="1050"/>
      <c r="D9271" s="1050"/>
      <c r="E9271" s="1050"/>
      <c r="F9271" s="1050"/>
      <c r="G9271" s="1050"/>
    </row>
    <row r="9272" spans="1:7">
      <c r="A9272" s="1079"/>
      <c r="B9272" s="1050"/>
      <c r="C9272" s="1050"/>
      <c r="D9272" s="1050"/>
      <c r="E9272" s="1050"/>
      <c r="F9272" s="1050"/>
      <c r="G9272" s="1050"/>
    </row>
    <row r="9273" spans="1:7">
      <c r="A9273" s="1079"/>
      <c r="B9273" s="1050"/>
      <c r="C9273" s="1050"/>
      <c r="D9273" s="1050"/>
      <c r="E9273" s="1050"/>
      <c r="F9273" s="1050"/>
      <c r="G9273" s="1050"/>
    </row>
    <row r="9274" spans="1:7">
      <c r="A9274" s="1079"/>
      <c r="B9274" s="1050"/>
      <c r="C9274" s="1050"/>
      <c r="D9274" s="1050"/>
      <c r="E9274" s="1050"/>
      <c r="F9274" s="1050"/>
      <c r="G9274" s="1050"/>
    </row>
    <row r="9275" spans="1:7">
      <c r="A9275" s="1079"/>
      <c r="B9275" s="1050"/>
      <c r="C9275" s="1050"/>
      <c r="D9275" s="1050"/>
      <c r="E9275" s="1050"/>
      <c r="F9275" s="1050"/>
      <c r="G9275" s="1050"/>
    </row>
    <row r="9276" spans="1:7">
      <c r="A9276" s="1079"/>
      <c r="B9276" s="1050"/>
      <c r="C9276" s="1050"/>
      <c r="D9276" s="1050"/>
      <c r="E9276" s="1050"/>
      <c r="F9276" s="1050"/>
      <c r="G9276" s="1050"/>
    </row>
    <row r="9277" spans="1:7">
      <c r="A9277" s="1079"/>
      <c r="B9277" s="1050"/>
      <c r="C9277" s="1050"/>
      <c r="D9277" s="1050"/>
      <c r="E9277" s="1050"/>
      <c r="F9277" s="1050"/>
      <c r="G9277" s="1050"/>
    </row>
    <row r="9278" spans="1:7">
      <c r="A9278" s="1079"/>
      <c r="B9278" s="1050"/>
      <c r="C9278" s="1050"/>
      <c r="D9278" s="1050"/>
      <c r="E9278" s="1050"/>
      <c r="F9278" s="1050"/>
      <c r="G9278" s="1050"/>
    </row>
    <row r="9279" spans="1:7">
      <c r="A9279" s="1079"/>
      <c r="B9279" s="1050"/>
      <c r="C9279" s="1050"/>
      <c r="D9279" s="1050"/>
      <c r="E9279" s="1050"/>
      <c r="F9279" s="1050"/>
      <c r="G9279" s="1050"/>
    </row>
    <row r="9280" spans="1:7">
      <c r="A9280" s="1079"/>
      <c r="B9280" s="1050"/>
      <c r="C9280" s="1050"/>
      <c r="D9280" s="1050"/>
      <c r="E9280" s="1050"/>
      <c r="F9280" s="1050"/>
      <c r="G9280" s="1050"/>
    </row>
    <row r="9281" spans="1:7">
      <c r="A9281" s="1079"/>
      <c r="B9281" s="1050"/>
      <c r="C9281" s="1050"/>
      <c r="D9281" s="1050"/>
      <c r="E9281" s="1050"/>
      <c r="F9281" s="1050"/>
      <c r="G9281" s="1050"/>
    </row>
    <row r="9282" spans="1:7">
      <c r="A9282" s="1079"/>
      <c r="B9282" s="1050"/>
      <c r="C9282" s="1050"/>
      <c r="D9282" s="1050"/>
      <c r="E9282" s="1050"/>
      <c r="F9282" s="1050"/>
      <c r="G9282" s="1050"/>
    </row>
    <row r="9283" spans="1:7">
      <c r="A9283" s="1079"/>
      <c r="B9283" s="1050"/>
      <c r="C9283" s="1050"/>
      <c r="D9283" s="1050"/>
      <c r="E9283" s="1050"/>
      <c r="F9283" s="1050"/>
      <c r="G9283" s="1050"/>
    </row>
    <row r="9284" spans="1:7">
      <c r="A9284" s="1079"/>
      <c r="B9284" s="1050"/>
      <c r="C9284" s="1050"/>
      <c r="D9284" s="1050"/>
      <c r="E9284" s="1050"/>
      <c r="F9284" s="1050"/>
      <c r="G9284" s="1050"/>
    </row>
    <row r="9285" spans="1:7">
      <c r="A9285" s="1079"/>
      <c r="B9285" s="1050"/>
      <c r="C9285" s="1050"/>
      <c r="D9285" s="1050"/>
      <c r="E9285" s="1050"/>
      <c r="F9285" s="1050"/>
      <c r="G9285" s="1050"/>
    </row>
    <row r="9286" spans="1:7">
      <c r="A9286" s="1079"/>
      <c r="B9286" s="1050"/>
      <c r="C9286" s="1050"/>
      <c r="D9286" s="1050"/>
      <c r="E9286" s="1050"/>
      <c r="F9286" s="1050"/>
      <c r="G9286" s="1050"/>
    </row>
    <row r="9287" spans="1:7">
      <c r="A9287" s="1079"/>
      <c r="B9287" s="1050"/>
      <c r="C9287" s="1050"/>
      <c r="D9287" s="1050"/>
      <c r="E9287" s="1050"/>
      <c r="F9287" s="1050"/>
      <c r="G9287" s="1050"/>
    </row>
    <row r="9288" spans="1:7">
      <c r="A9288" s="1079"/>
      <c r="B9288" s="1050"/>
      <c r="C9288" s="1050"/>
      <c r="D9288" s="1050"/>
      <c r="E9288" s="1050"/>
      <c r="F9288" s="1050"/>
      <c r="G9288" s="1050"/>
    </row>
    <row r="9289" spans="1:7">
      <c r="A9289" s="1079"/>
      <c r="B9289" s="1050"/>
      <c r="C9289" s="1050"/>
      <c r="D9289" s="1050"/>
      <c r="E9289" s="1050"/>
      <c r="F9289" s="1050"/>
      <c r="G9289" s="1050"/>
    </row>
    <row r="9290" spans="1:7">
      <c r="A9290" s="1079"/>
      <c r="B9290" s="1050"/>
      <c r="C9290" s="1050"/>
      <c r="D9290" s="1050"/>
      <c r="E9290" s="1050"/>
      <c r="F9290" s="1050"/>
      <c r="G9290" s="1050"/>
    </row>
    <row r="9291" spans="1:7">
      <c r="A9291" s="1079"/>
      <c r="B9291" s="1050"/>
      <c r="C9291" s="1050"/>
      <c r="D9291" s="1050"/>
      <c r="E9291" s="1050"/>
      <c r="F9291" s="1050"/>
      <c r="G9291" s="1050"/>
    </row>
    <row r="9292" spans="1:7">
      <c r="A9292" s="1079"/>
      <c r="B9292" s="1050"/>
      <c r="C9292" s="1050"/>
      <c r="D9292" s="1050"/>
      <c r="E9292" s="1050"/>
      <c r="F9292" s="1050"/>
      <c r="G9292" s="1050"/>
    </row>
    <row r="9293" spans="1:7">
      <c r="A9293" s="1079"/>
      <c r="B9293" s="1050"/>
      <c r="C9293" s="1050"/>
      <c r="D9293" s="1050"/>
      <c r="E9293" s="1050"/>
      <c r="F9293" s="1050"/>
      <c r="G9293" s="1050"/>
    </row>
    <row r="9294" spans="1:7">
      <c r="A9294" s="1079"/>
      <c r="B9294" s="1050"/>
      <c r="C9294" s="1050"/>
      <c r="D9294" s="1050"/>
      <c r="E9294" s="1050"/>
      <c r="F9294" s="1050"/>
      <c r="G9294" s="1050"/>
    </row>
    <row r="9295" spans="1:7">
      <c r="A9295" s="1079"/>
      <c r="B9295" s="1050"/>
      <c r="C9295" s="1050"/>
      <c r="D9295" s="1050"/>
      <c r="E9295" s="1050"/>
      <c r="F9295" s="1050"/>
      <c r="G9295" s="1050"/>
    </row>
    <row r="9296" spans="1:7">
      <c r="A9296" s="1079"/>
      <c r="B9296" s="1050"/>
      <c r="C9296" s="1050"/>
      <c r="D9296" s="1050"/>
      <c r="E9296" s="1050"/>
      <c r="F9296" s="1050"/>
      <c r="G9296" s="1050"/>
    </row>
    <row r="9297" spans="1:7">
      <c r="A9297" s="1079"/>
      <c r="B9297" s="1050"/>
      <c r="C9297" s="1050"/>
      <c r="D9297" s="1050"/>
      <c r="E9297" s="1050"/>
      <c r="F9297" s="1050"/>
      <c r="G9297" s="1050"/>
    </row>
    <row r="9298" spans="1:7">
      <c r="A9298" s="1079"/>
      <c r="B9298" s="1050"/>
      <c r="C9298" s="1050"/>
      <c r="D9298" s="1050"/>
      <c r="E9298" s="1050"/>
      <c r="F9298" s="1050"/>
      <c r="G9298" s="1050"/>
    </row>
    <row r="9299" spans="1:7">
      <c r="A9299" s="1079"/>
      <c r="B9299" s="1050"/>
      <c r="C9299" s="1050"/>
      <c r="D9299" s="1050"/>
      <c r="E9299" s="1050"/>
      <c r="F9299" s="1050"/>
      <c r="G9299" s="1050"/>
    </row>
    <row r="9300" spans="1:7">
      <c r="A9300" s="1079"/>
      <c r="B9300" s="1050"/>
      <c r="C9300" s="1050"/>
      <c r="D9300" s="1050"/>
      <c r="E9300" s="1050"/>
      <c r="F9300" s="1050"/>
      <c r="G9300" s="1050"/>
    </row>
    <row r="9301" spans="1:7">
      <c r="A9301" s="1079"/>
      <c r="B9301" s="1050"/>
      <c r="C9301" s="1050"/>
      <c r="D9301" s="1050"/>
      <c r="E9301" s="1050"/>
      <c r="F9301" s="1050"/>
      <c r="G9301" s="1050"/>
    </row>
    <row r="9302" spans="1:7">
      <c r="A9302" s="1079"/>
      <c r="B9302" s="1050"/>
      <c r="C9302" s="1050"/>
      <c r="D9302" s="1050"/>
      <c r="E9302" s="1050"/>
      <c r="F9302" s="1050"/>
      <c r="G9302" s="1050"/>
    </row>
    <row r="9303" spans="1:7">
      <c r="A9303" s="1079"/>
      <c r="B9303" s="1050"/>
      <c r="C9303" s="1050"/>
      <c r="D9303" s="1050"/>
      <c r="E9303" s="1050"/>
      <c r="F9303" s="1050"/>
      <c r="G9303" s="1050"/>
    </row>
    <row r="9304" spans="1:7">
      <c r="A9304" s="1079"/>
      <c r="B9304" s="1050"/>
      <c r="C9304" s="1050"/>
      <c r="D9304" s="1050"/>
      <c r="E9304" s="1050"/>
      <c r="F9304" s="1050"/>
      <c r="G9304" s="1050"/>
    </row>
    <row r="9305" spans="1:7">
      <c r="A9305" s="1079"/>
      <c r="B9305" s="1050"/>
      <c r="C9305" s="1050"/>
      <c r="D9305" s="1050"/>
      <c r="E9305" s="1050"/>
      <c r="F9305" s="1050"/>
      <c r="G9305" s="1050"/>
    </row>
    <row r="9306" spans="1:7">
      <c r="A9306" s="1079"/>
      <c r="B9306" s="1050"/>
      <c r="C9306" s="1050"/>
      <c r="D9306" s="1050"/>
      <c r="E9306" s="1050"/>
      <c r="F9306" s="1050"/>
      <c r="G9306" s="1050"/>
    </row>
    <row r="9307" spans="1:7">
      <c r="A9307" s="1079"/>
      <c r="B9307" s="1050"/>
      <c r="C9307" s="1050"/>
      <c r="D9307" s="1050"/>
      <c r="E9307" s="1050"/>
      <c r="F9307" s="1050"/>
      <c r="G9307" s="1050"/>
    </row>
    <row r="9308" spans="1:7">
      <c r="A9308" s="1079"/>
      <c r="B9308" s="1050"/>
      <c r="C9308" s="1050"/>
      <c r="D9308" s="1050"/>
      <c r="E9308" s="1050"/>
      <c r="F9308" s="1050"/>
      <c r="G9308" s="1050"/>
    </row>
    <row r="9309" spans="1:7">
      <c r="A9309" s="1079"/>
      <c r="B9309" s="1050"/>
      <c r="C9309" s="1050"/>
      <c r="D9309" s="1050"/>
      <c r="E9309" s="1050"/>
      <c r="F9309" s="1050"/>
      <c r="G9309" s="1050"/>
    </row>
    <row r="9310" spans="1:7">
      <c r="A9310" s="1079"/>
      <c r="B9310" s="1050"/>
      <c r="C9310" s="1050"/>
      <c r="D9310" s="1050"/>
      <c r="E9310" s="1050"/>
      <c r="F9310" s="1050"/>
      <c r="G9310" s="1050"/>
    </row>
    <row r="9311" spans="1:7">
      <c r="A9311" s="1079"/>
      <c r="B9311" s="1050"/>
      <c r="C9311" s="1050"/>
      <c r="D9311" s="1050"/>
      <c r="E9311" s="1050"/>
      <c r="F9311" s="1050"/>
      <c r="G9311" s="1050"/>
    </row>
    <row r="9312" spans="1:7">
      <c r="A9312" s="1079"/>
      <c r="B9312" s="1050"/>
      <c r="C9312" s="1050"/>
      <c r="D9312" s="1050"/>
      <c r="E9312" s="1050"/>
      <c r="F9312" s="1050"/>
      <c r="G9312" s="1050"/>
    </row>
    <row r="9313" spans="1:7">
      <c r="A9313" s="1079"/>
      <c r="B9313" s="1050"/>
      <c r="C9313" s="1050"/>
      <c r="D9313" s="1050"/>
      <c r="E9313" s="1050"/>
      <c r="F9313" s="1050"/>
      <c r="G9313" s="1050"/>
    </row>
    <row r="9314" spans="1:7">
      <c r="A9314" s="1079"/>
      <c r="B9314" s="1050"/>
      <c r="C9314" s="1050"/>
      <c r="D9314" s="1050"/>
      <c r="E9314" s="1050"/>
      <c r="F9314" s="1050"/>
      <c r="G9314" s="1050"/>
    </row>
    <row r="9315" spans="1:7">
      <c r="A9315" s="1079"/>
      <c r="B9315" s="1050"/>
      <c r="C9315" s="1050"/>
      <c r="D9315" s="1050"/>
      <c r="E9315" s="1050"/>
      <c r="F9315" s="1050"/>
      <c r="G9315" s="1050"/>
    </row>
    <row r="9316" spans="1:7">
      <c r="A9316" s="1079"/>
      <c r="B9316" s="1050"/>
      <c r="C9316" s="1050"/>
      <c r="D9316" s="1050"/>
      <c r="E9316" s="1050"/>
      <c r="F9316" s="1050"/>
      <c r="G9316" s="1050"/>
    </row>
    <row r="9317" spans="1:7">
      <c r="A9317" s="1079"/>
      <c r="B9317" s="1050"/>
      <c r="C9317" s="1050"/>
      <c r="D9317" s="1050"/>
      <c r="E9317" s="1050"/>
      <c r="F9317" s="1050"/>
      <c r="G9317" s="1050"/>
    </row>
    <row r="9318" spans="1:7">
      <c r="A9318" s="1079"/>
      <c r="B9318" s="1050"/>
      <c r="C9318" s="1050"/>
      <c r="D9318" s="1050"/>
      <c r="E9318" s="1050"/>
      <c r="F9318" s="1050"/>
      <c r="G9318" s="1050"/>
    </row>
    <row r="9319" spans="1:7">
      <c r="A9319" s="1079"/>
      <c r="B9319" s="1050"/>
      <c r="C9319" s="1050"/>
      <c r="D9319" s="1050"/>
      <c r="E9319" s="1050"/>
      <c r="F9319" s="1050"/>
      <c r="G9319" s="1050"/>
    </row>
    <row r="9320" spans="1:7">
      <c r="A9320" s="1079"/>
      <c r="B9320" s="1050"/>
      <c r="C9320" s="1050"/>
      <c r="D9320" s="1050"/>
      <c r="E9320" s="1050"/>
      <c r="F9320" s="1050"/>
      <c r="G9320" s="1050"/>
    </row>
    <row r="9321" spans="1:7">
      <c r="A9321" s="1079"/>
      <c r="B9321" s="1050"/>
      <c r="C9321" s="1050"/>
      <c r="D9321" s="1050"/>
      <c r="E9321" s="1050"/>
      <c r="F9321" s="1050"/>
      <c r="G9321" s="1050"/>
    </row>
    <row r="9322" spans="1:7">
      <c r="A9322" s="1079"/>
      <c r="B9322" s="1050"/>
      <c r="C9322" s="1050"/>
      <c r="D9322" s="1050"/>
      <c r="E9322" s="1050"/>
      <c r="F9322" s="1050"/>
      <c r="G9322" s="1050"/>
    </row>
    <row r="9323" spans="1:7">
      <c r="A9323" s="1079"/>
      <c r="B9323" s="1050"/>
      <c r="C9323" s="1050"/>
      <c r="D9323" s="1050"/>
      <c r="E9323" s="1050"/>
      <c r="F9323" s="1050"/>
      <c r="G9323" s="1050"/>
    </row>
    <row r="9324" spans="1:7">
      <c r="A9324" s="1079"/>
      <c r="B9324" s="1050"/>
      <c r="C9324" s="1050"/>
      <c r="D9324" s="1050"/>
      <c r="E9324" s="1050"/>
      <c r="F9324" s="1050"/>
      <c r="G9324" s="1050"/>
    </row>
    <row r="9325" spans="1:7">
      <c r="A9325" s="1079"/>
      <c r="B9325" s="1050"/>
      <c r="C9325" s="1050"/>
      <c r="D9325" s="1050"/>
      <c r="E9325" s="1050"/>
      <c r="F9325" s="1050"/>
      <c r="G9325" s="1050"/>
    </row>
    <row r="9326" spans="1:7">
      <c r="A9326" s="1079"/>
      <c r="B9326" s="1050"/>
      <c r="C9326" s="1050"/>
      <c r="D9326" s="1050"/>
      <c r="E9326" s="1050"/>
      <c r="F9326" s="1050"/>
      <c r="G9326" s="1050"/>
    </row>
    <row r="9327" spans="1:7">
      <c r="A9327" s="1079"/>
      <c r="B9327" s="1050"/>
      <c r="C9327" s="1050"/>
      <c r="D9327" s="1050"/>
      <c r="E9327" s="1050"/>
      <c r="F9327" s="1050"/>
      <c r="G9327" s="1050"/>
    </row>
    <row r="9328" spans="1:7">
      <c r="A9328" s="1079"/>
      <c r="B9328" s="1050"/>
      <c r="C9328" s="1050"/>
      <c r="D9328" s="1050"/>
      <c r="E9328" s="1050"/>
      <c r="F9328" s="1050"/>
      <c r="G9328" s="1050"/>
    </row>
    <row r="9329" spans="1:7">
      <c r="A9329" s="1079"/>
      <c r="B9329" s="1050"/>
      <c r="C9329" s="1050"/>
      <c r="D9329" s="1050"/>
      <c r="E9329" s="1050"/>
      <c r="F9329" s="1050"/>
      <c r="G9329" s="1050"/>
    </row>
    <row r="9330" spans="1:7">
      <c r="A9330" s="1079"/>
      <c r="B9330" s="1050"/>
      <c r="C9330" s="1050"/>
      <c r="D9330" s="1050"/>
      <c r="E9330" s="1050"/>
      <c r="F9330" s="1050"/>
      <c r="G9330" s="1050"/>
    </row>
    <row r="9331" spans="1:7">
      <c r="A9331" s="1079"/>
      <c r="B9331" s="1050"/>
      <c r="C9331" s="1050"/>
      <c r="D9331" s="1050"/>
      <c r="E9331" s="1050"/>
      <c r="F9331" s="1050"/>
      <c r="G9331" s="1050"/>
    </row>
    <row r="9332" spans="1:7">
      <c r="A9332" s="1079"/>
      <c r="B9332" s="1050"/>
      <c r="C9332" s="1050"/>
      <c r="D9332" s="1050"/>
      <c r="E9332" s="1050"/>
      <c r="F9332" s="1050"/>
      <c r="G9332" s="1050"/>
    </row>
    <row r="9333" spans="1:7">
      <c r="A9333" s="1079"/>
      <c r="B9333" s="1050"/>
      <c r="C9333" s="1050"/>
      <c r="D9333" s="1050"/>
      <c r="E9333" s="1050"/>
      <c r="F9333" s="1050"/>
      <c r="G9333" s="1050"/>
    </row>
    <row r="9334" spans="1:7">
      <c r="A9334" s="1079"/>
      <c r="B9334" s="1050"/>
      <c r="C9334" s="1050"/>
      <c r="D9334" s="1050"/>
      <c r="E9334" s="1050"/>
      <c r="F9334" s="1050"/>
      <c r="G9334" s="1050"/>
    </row>
    <row r="9335" spans="1:7">
      <c r="A9335" s="1079"/>
      <c r="B9335" s="1050"/>
      <c r="C9335" s="1050"/>
      <c r="D9335" s="1050"/>
      <c r="E9335" s="1050"/>
      <c r="F9335" s="1050"/>
      <c r="G9335" s="1050"/>
    </row>
    <row r="9336" spans="1:7">
      <c r="A9336" s="1079"/>
      <c r="B9336" s="1050"/>
      <c r="C9336" s="1050"/>
      <c r="D9336" s="1050"/>
      <c r="E9336" s="1050"/>
      <c r="F9336" s="1050"/>
      <c r="G9336" s="1050"/>
    </row>
    <row r="9337" spans="1:7">
      <c r="A9337" s="1079"/>
      <c r="B9337" s="1050"/>
      <c r="C9337" s="1050"/>
      <c r="D9337" s="1050"/>
      <c r="E9337" s="1050"/>
      <c r="F9337" s="1050"/>
      <c r="G9337" s="1050"/>
    </row>
    <row r="9338" spans="1:7">
      <c r="A9338" s="1079"/>
      <c r="B9338" s="1050"/>
      <c r="C9338" s="1050"/>
      <c r="D9338" s="1050"/>
      <c r="E9338" s="1050"/>
      <c r="F9338" s="1050"/>
      <c r="G9338" s="1050"/>
    </row>
    <row r="9339" spans="1:7">
      <c r="A9339" s="1079"/>
      <c r="B9339" s="1050"/>
      <c r="C9339" s="1050"/>
      <c r="D9339" s="1050"/>
      <c r="E9339" s="1050"/>
      <c r="F9339" s="1050"/>
      <c r="G9339" s="1050"/>
    </row>
    <row r="9340" spans="1:7">
      <c r="A9340" s="1079"/>
      <c r="B9340" s="1050"/>
      <c r="C9340" s="1050"/>
      <c r="D9340" s="1050"/>
      <c r="E9340" s="1050"/>
      <c r="F9340" s="1050"/>
      <c r="G9340" s="1050"/>
    </row>
    <row r="9341" spans="1:7">
      <c r="A9341" s="1079"/>
      <c r="B9341" s="1050"/>
      <c r="C9341" s="1050"/>
      <c r="D9341" s="1050"/>
      <c r="E9341" s="1050"/>
      <c r="F9341" s="1050"/>
      <c r="G9341" s="1050"/>
    </row>
    <row r="9342" spans="1:7">
      <c r="A9342" s="1079"/>
      <c r="B9342" s="1050"/>
      <c r="C9342" s="1050"/>
      <c r="D9342" s="1050"/>
      <c r="E9342" s="1050"/>
      <c r="F9342" s="1050"/>
      <c r="G9342" s="1050"/>
    </row>
    <row r="9343" spans="1:7">
      <c r="A9343" s="1079"/>
      <c r="B9343" s="1050"/>
      <c r="C9343" s="1050"/>
      <c r="D9343" s="1050"/>
      <c r="E9343" s="1050"/>
      <c r="F9343" s="1050"/>
      <c r="G9343" s="1050"/>
    </row>
    <row r="9344" spans="1:7">
      <c r="A9344" s="1079"/>
      <c r="B9344" s="1050"/>
      <c r="C9344" s="1050"/>
      <c r="D9344" s="1050"/>
      <c r="E9344" s="1050"/>
      <c r="F9344" s="1050"/>
      <c r="G9344" s="1050"/>
    </row>
    <row r="9345" spans="1:7">
      <c r="A9345" s="1079"/>
      <c r="B9345" s="1050"/>
      <c r="C9345" s="1050"/>
      <c r="D9345" s="1050"/>
      <c r="E9345" s="1050"/>
      <c r="F9345" s="1050"/>
      <c r="G9345" s="1050"/>
    </row>
    <row r="9346" spans="1:7">
      <c r="A9346" s="1079"/>
      <c r="B9346" s="1050"/>
      <c r="C9346" s="1050"/>
      <c r="D9346" s="1050"/>
      <c r="E9346" s="1050"/>
      <c r="F9346" s="1050"/>
      <c r="G9346" s="1050"/>
    </row>
    <row r="9347" spans="1:7">
      <c r="A9347" s="1079"/>
      <c r="B9347" s="1050"/>
      <c r="C9347" s="1050"/>
      <c r="D9347" s="1050"/>
      <c r="E9347" s="1050"/>
      <c r="F9347" s="1050"/>
      <c r="G9347" s="1050"/>
    </row>
    <row r="9348" spans="1:7">
      <c r="A9348" s="1079"/>
      <c r="B9348" s="1050"/>
      <c r="C9348" s="1050"/>
      <c r="D9348" s="1050"/>
      <c r="E9348" s="1050"/>
      <c r="F9348" s="1050"/>
      <c r="G9348" s="1050"/>
    </row>
    <row r="9349" spans="1:7">
      <c r="A9349" s="1079"/>
      <c r="B9349" s="1050"/>
      <c r="C9349" s="1050"/>
      <c r="D9349" s="1050"/>
      <c r="E9349" s="1050"/>
      <c r="F9349" s="1050"/>
      <c r="G9349" s="1050"/>
    </row>
    <row r="9350" spans="1:7">
      <c r="A9350" s="1079"/>
      <c r="B9350" s="1050"/>
      <c r="C9350" s="1050"/>
      <c r="D9350" s="1050"/>
      <c r="E9350" s="1050"/>
      <c r="F9350" s="1050"/>
      <c r="G9350" s="1050"/>
    </row>
    <row r="9351" spans="1:7">
      <c r="A9351" s="1079"/>
      <c r="B9351" s="1050"/>
      <c r="C9351" s="1050"/>
      <c r="D9351" s="1050"/>
      <c r="E9351" s="1050"/>
      <c r="F9351" s="1050"/>
      <c r="G9351" s="1050"/>
    </row>
    <row r="9352" spans="1:7">
      <c r="A9352" s="1079"/>
      <c r="B9352" s="1050"/>
      <c r="C9352" s="1050"/>
      <c r="D9352" s="1050"/>
      <c r="E9352" s="1050"/>
      <c r="F9352" s="1050"/>
      <c r="G9352" s="1050"/>
    </row>
    <row r="9353" spans="1:7">
      <c r="A9353" s="1079"/>
      <c r="B9353" s="1050"/>
      <c r="C9353" s="1050"/>
      <c r="D9353" s="1050"/>
      <c r="E9353" s="1050"/>
      <c r="F9353" s="1050"/>
      <c r="G9353" s="1050"/>
    </row>
    <row r="9354" spans="1:7">
      <c r="A9354" s="1079"/>
      <c r="B9354" s="1050"/>
      <c r="C9354" s="1050"/>
      <c r="D9354" s="1050"/>
      <c r="E9354" s="1050"/>
      <c r="F9354" s="1050"/>
      <c r="G9354" s="1050"/>
    </row>
    <row r="9355" spans="1:7">
      <c r="A9355" s="1079"/>
      <c r="B9355" s="1050"/>
      <c r="C9355" s="1050"/>
      <c r="D9355" s="1050"/>
      <c r="E9355" s="1050"/>
      <c r="F9355" s="1050"/>
      <c r="G9355" s="1050"/>
    </row>
    <row r="9356" spans="1:7">
      <c r="A9356" s="1079"/>
      <c r="B9356" s="1050"/>
      <c r="C9356" s="1050"/>
      <c r="D9356" s="1050"/>
      <c r="E9356" s="1050"/>
      <c r="F9356" s="1050"/>
      <c r="G9356" s="1050"/>
    </row>
    <row r="9357" spans="1:7">
      <c r="A9357" s="1079"/>
      <c r="B9357" s="1050"/>
      <c r="C9357" s="1050"/>
      <c r="D9357" s="1050"/>
      <c r="E9357" s="1050"/>
      <c r="F9357" s="1050"/>
      <c r="G9357" s="1050"/>
    </row>
    <row r="9358" spans="1:7">
      <c r="A9358" s="1079"/>
      <c r="B9358" s="1050"/>
      <c r="C9358" s="1050"/>
      <c r="D9358" s="1050"/>
      <c r="E9358" s="1050"/>
      <c r="F9358" s="1050"/>
      <c r="G9358" s="1050"/>
    </row>
    <row r="9359" spans="1:7">
      <c r="A9359" s="1079"/>
      <c r="B9359" s="1050"/>
      <c r="C9359" s="1050"/>
      <c r="D9359" s="1050"/>
      <c r="E9359" s="1050"/>
      <c r="F9359" s="1050"/>
      <c r="G9359" s="1050"/>
    </row>
    <row r="9360" spans="1:7">
      <c r="A9360" s="1079"/>
      <c r="B9360" s="1050"/>
      <c r="C9360" s="1050"/>
      <c r="D9360" s="1050"/>
      <c r="E9360" s="1050"/>
      <c r="F9360" s="1050"/>
      <c r="G9360" s="1050"/>
    </row>
    <row r="9361" spans="1:7">
      <c r="A9361" s="1079"/>
      <c r="B9361" s="1050"/>
      <c r="C9361" s="1050"/>
      <c r="D9361" s="1050"/>
      <c r="E9361" s="1050"/>
      <c r="F9361" s="1050"/>
      <c r="G9361" s="1050"/>
    </row>
    <row r="9362" spans="1:7">
      <c r="A9362" s="1079"/>
      <c r="B9362" s="1050"/>
      <c r="C9362" s="1050"/>
      <c r="D9362" s="1050"/>
      <c r="E9362" s="1050"/>
      <c r="F9362" s="1050"/>
      <c r="G9362" s="1050"/>
    </row>
    <row r="9363" spans="1:7">
      <c r="A9363" s="1079"/>
      <c r="B9363" s="1050"/>
      <c r="C9363" s="1050"/>
      <c r="D9363" s="1050"/>
      <c r="E9363" s="1050"/>
      <c r="F9363" s="1050"/>
      <c r="G9363" s="1050"/>
    </row>
    <row r="9364" spans="1:7">
      <c r="A9364" s="1079"/>
      <c r="B9364" s="1050"/>
      <c r="C9364" s="1050"/>
      <c r="D9364" s="1050"/>
      <c r="E9364" s="1050"/>
      <c r="F9364" s="1050"/>
      <c r="G9364" s="1050"/>
    </row>
    <row r="9365" spans="1:7">
      <c r="A9365" s="1079"/>
      <c r="B9365" s="1050"/>
      <c r="C9365" s="1050"/>
      <c r="D9365" s="1050"/>
      <c r="E9365" s="1050"/>
      <c r="F9365" s="1050"/>
      <c r="G9365" s="1050"/>
    </row>
    <row r="9366" spans="1:7">
      <c r="A9366" s="1079"/>
      <c r="B9366" s="1050"/>
      <c r="C9366" s="1050"/>
      <c r="D9366" s="1050"/>
      <c r="E9366" s="1050"/>
      <c r="F9366" s="1050"/>
      <c r="G9366" s="1050"/>
    </row>
    <row r="9367" spans="1:7">
      <c r="A9367" s="1079"/>
      <c r="B9367" s="1050"/>
      <c r="C9367" s="1050"/>
      <c r="D9367" s="1050"/>
      <c r="E9367" s="1050"/>
      <c r="F9367" s="1050"/>
      <c r="G9367" s="1050"/>
    </row>
    <row r="9368" spans="1:7">
      <c r="A9368" s="1079"/>
      <c r="B9368" s="1050"/>
      <c r="C9368" s="1050"/>
      <c r="D9368" s="1050"/>
      <c r="E9368" s="1050"/>
      <c r="F9368" s="1050"/>
      <c r="G9368" s="1050"/>
    </row>
    <row r="9369" spans="1:7">
      <c r="A9369" s="1079"/>
      <c r="B9369" s="1050"/>
      <c r="C9369" s="1050"/>
      <c r="D9369" s="1050"/>
      <c r="E9369" s="1050"/>
      <c r="F9369" s="1050"/>
      <c r="G9369" s="1050"/>
    </row>
    <row r="9370" spans="1:7">
      <c r="A9370" s="1079"/>
      <c r="B9370" s="1050"/>
      <c r="C9370" s="1050"/>
      <c r="D9370" s="1050"/>
      <c r="E9370" s="1050"/>
      <c r="F9370" s="1050"/>
      <c r="G9370" s="1050"/>
    </row>
    <row r="9371" spans="1:7">
      <c r="A9371" s="1079"/>
      <c r="B9371" s="1050"/>
      <c r="C9371" s="1050"/>
      <c r="D9371" s="1050"/>
      <c r="E9371" s="1050"/>
      <c r="F9371" s="1050"/>
      <c r="G9371" s="1050"/>
    </row>
    <row r="9372" spans="1:7">
      <c r="A9372" s="1079"/>
      <c r="B9372" s="1050"/>
      <c r="C9372" s="1050"/>
      <c r="D9372" s="1050"/>
      <c r="E9372" s="1050"/>
      <c r="F9372" s="1050"/>
      <c r="G9372" s="1050"/>
    </row>
    <row r="9373" spans="1:7">
      <c r="A9373" s="1079"/>
      <c r="B9373" s="1050"/>
      <c r="C9373" s="1050"/>
      <c r="D9373" s="1050"/>
      <c r="E9373" s="1050"/>
      <c r="F9373" s="1050"/>
      <c r="G9373" s="1050"/>
    </row>
    <row r="9374" spans="1:7">
      <c r="A9374" s="1079"/>
      <c r="B9374" s="1050"/>
      <c r="C9374" s="1050"/>
      <c r="D9374" s="1050"/>
      <c r="E9374" s="1050"/>
      <c r="F9374" s="1050"/>
      <c r="G9374" s="1050"/>
    </row>
    <row r="9375" spans="1:7">
      <c r="A9375" s="1079"/>
      <c r="B9375" s="1050"/>
      <c r="C9375" s="1050"/>
      <c r="D9375" s="1050"/>
      <c r="E9375" s="1050"/>
      <c r="F9375" s="1050"/>
      <c r="G9375" s="1050"/>
    </row>
    <row r="9376" spans="1:7">
      <c r="A9376" s="1079"/>
      <c r="B9376" s="1050"/>
      <c r="C9376" s="1050"/>
      <c r="D9376" s="1050"/>
      <c r="E9376" s="1050"/>
      <c r="F9376" s="1050"/>
      <c r="G9376" s="1050"/>
    </row>
    <row r="9377" spans="1:7">
      <c r="A9377" s="1079"/>
      <c r="B9377" s="1050"/>
      <c r="C9377" s="1050"/>
      <c r="D9377" s="1050"/>
      <c r="E9377" s="1050"/>
      <c r="F9377" s="1050"/>
      <c r="G9377" s="1050"/>
    </row>
    <row r="9378" spans="1:7">
      <c r="A9378" s="1079"/>
      <c r="B9378" s="1050"/>
      <c r="C9378" s="1050"/>
      <c r="D9378" s="1050"/>
      <c r="E9378" s="1050"/>
      <c r="F9378" s="1050"/>
      <c r="G9378" s="1050"/>
    </row>
    <row r="9379" spans="1:7">
      <c r="A9379" s="1079"/>
      <c r="B9379" s="1050"/>
      <c r="C9379" s="1050"/>
      <c r="D9379" s="1050"/>
      <c r="E9379" s="1050"/>
      <c r="F9379" s="1050"/>
      <c r="G9379" s="1050"/>
    </row>
    <row r="9380" spans="1:7">
      <c r="A9380" s="1079"/>
      <c r="B9380" s="1050"/>
      <c r="C9380" s="1050"/>
      <c r="D9380" s="1050"/>
      <c r="E9380" s="1050"/>
      <c r="F9380" s="1050"/>
      <c r="G9380" s="1050"/>
    </row>
    <row r="9381" spans="1:7">
      <c r="A9381" s="1079"/>
      <c r="B9381" s="1050"/>
      <c r="C9381" s="1050"/>
      <c r="D9381" s="1050"/>
      <c r="E9381" s="1050"/>
      <c r="F9381" s="1050"/>
      <c r="G9381" s="1050"/>
    </row>
    <row r="9382" spans="1:7">
      <c r="A9382" s="1079"/>
      <c r="B9382" s="1050"/>
      <c r="C9382" s="1050"/>
      <c r="D9382" s="1050"/>
      <c r="E9382" s="1050"/>
      <c r="F9382" s="1050"/>
      <c r="G9382" s="1050"/>
    </row>
    <row r="9383" spans="1:7">
      <c r="A9383" s="1079"/>
      <c r="B9383" s="1050"/>
      <c r="C9383" s="1050"/>
      <c r="D9383" s="1050"/>
      <c r="E9383" s="1050"/>
      <c r="F9383" s="1050"/>
      <c r="G9383" s="1050"/>
    </row>
    <row r="9384" spans="1:7">
      <c r="A9384" s="1079"/>
      <c r="B9384" s="1050"/>
      <c r="C9384" s="1050"/>
      <c r="D9384" s="1050"/>
      <c r="E9384" s="1050"/>
      <c r="F9384" s="1050"/>
      <c r="G9384" s="1050"/>
    </row>
    <row r="9385" spans="1:7">
      <c r="A9385" s="1079"/>
      <c r="B9385" s="1050"/>
      <c r="C9385" s="1050"/>
      <c r="D9385" s="1050"/>
      <c r="E9385" s="1050"/>
      <c r="F9385" s="1050"/>
      <c r="G9385" s="1050"/>
    </row>
    <row r="9386" spans="1:7">
      <c r="A9386" s="1079"/>
      <c r="B9386" s="1050"/>
      <c r="C9386" s="1050"/>
      <c r="D9386" s="1050"/>
      <c r="E9386" s="1050"/>
      <c r="F9386" s="1050"/>
      <c r="G9386" s="1050"/>
    </row>
    <row r="9387" spans="1:7">
      <c r="A9387" s="1079"/>
      <c r="B9387" s="1050"/>
      <c r="C9387" s="1050"/>
      <c r="D9387" s="1050"/>
      <c r="E9387" s="1050"/>
      <c r="F9387" s="1050"/>
      <c r="G9387" s="1050"/>
    </row>
    <row r="9388" spans="1:7">
      <c r="A9388" s="1079"/>
      <c r="B9388" s="1050"/>
      <c r="C9388" s="1050"/>
      <c r="D9388" s="1050"/>
      <c r="E9388" s="1050"/>
      <c r="F9388" s="1050"/>
      <c r="G9388" s="1050"/>
    </row>
    <row r="9389" spans="1:7">
      <c r="A9389" s="1079"/>
      <c r="B9389" s="1050"/>
      <c r="C9389" s="1050"/>
      <c r="D9389" s="1050"/>
      <c r="E9389" s="1050"/>
      <c r="F9389" s="1050"/>
      <c r="G9389" s="1050"/>
    </row>
    <row r="9390" spans="1:7">
      <c r="A9390" s="1079"/>
      <c r="B9390" s="1050"/>
      <c r="C9390" s="1050"/>
      <c r="D9390" s="1050"/>
      <c r="E9390" s="1050"/>
      <c r="F9390" s="1050"/>
      <c r="G9390" s="1050"/>
    </row>
    <row r="9391" spans="1:7">
      <c r="A9391" s="1079"/>
      <c r="B9391" s="1050"/>
      <c r="C9391" s="1050"/>
      <c r="D9391" s="1050"/>
      <c r="E9391" s="1050"/>
      <c r="F9391" s="1050"/>
      <c r="G9391" s="1050"/>
    </row>
    <row r="9392" spans="1:7">
      <c r="A9392" s="1079"/>
      <c r="B9392" s="1050"/>
      <c r="C9392" s="1050"/>
      <c r="D9392" s="1050"/>
      <c r="E9392" s="1050"/>
      <c r="F9392" s="1050"/>
      <c r="G9392" s="1050"/>
    </row>
    <row r="9393" spans="1:7">
      <c r="A9393" s="1079"/>
      <c r="B9393" s="1050"/>
      <c r="C9393" s="1050"/>
      <c r="D9393" s="1050"/>
      <c r="E9393" s="1050"/>
      <c r="F9393" s="1050"/>
      <c r="G9393" s="1050"/>
    </row>
    <row r="9394" spans="1:7">
      <c r="A9394" s="1079"/>
      <c r="B9394" s="1050"/>
      <c r="C9394" s="1050"/>
      <c r="D9394" s="1050"/>
      <c r="E9394" s="1050"/>
      <c r="F9394" s="1050"/>
      <c r="G9394" s="1050"/>
    </row>
    <row r="9395" spans="1:7">
      <c r="A9395" s="1079"/>
      <c r="B9395" s="1050"/>
      <c r="C9395" s="1050"/>
      <c r="D9395" s="1050"/>
      <c r="E9395" s="1050"/>
      <c r="F9395" s="1050"/>
      <c r="G9395" s="1050"/>
    </row>
    <row r="9396" spans="1:7">
      <c r="A9396" s="1079"/>
      <c r="B9396" s="1050"/>
      <c r="C9396" s="1050"/>
      <c r="D9396" s="1050"/>
      <c r="E9396" s="1050"/>
      <c r="F9396" s="1050"/>
      <c r="G9396" s="1050"/>
    </row>
    <row r="9397" spans="1:7">
      <c r="A9397" s="1079"/>
      <c r="B9397" s="1050"/>
      <c r="C9397" s="1050"/>
      <c r="D9397" s="1050"/>
      <c r="E9397" s="1050"/>
      <c r="F9397" s="1050"/>
      <c r="G9397" s="1050"/>
    </row>
    <row r="9398" spans="1:7">
      <c r="A9398" s="1079"/>
      <c r="B9398" s="1050"/>
      <c r="C9398" s="1050"/>
      <c r="D9398" s="1050"/>
      <c r="E9398" s="1050"/>
      <c r="F9398" s="1050"/>
      <c r="G9398" s="1050"/>
    </row>
    <row r="9399" spans="1:7">
      <c r="A9399" s="1079"/>
      <c r="B9399" s="1050"/>
      <c r="C9399" s="1050"/>
      <c r="D9399" s="1050"/>
      <c r="E9399" s="1050"/>
      <c r="F9399" s="1050"/>
      <c r="G9399" s="1050"/>
    </row>
    <row r="9400" spans="1:7">
      <c r="A9400" s="1079"/>
      <c r="B9400" s="1050"/>
      <c r="C9400" s="1050"/>
      <c r="D9400" s="1050"/>
      <c r="E9400" s="1050"/>
      <c r="F9400" s="1050"/>
      <c r="G9400" s="1050"/>
    </row>
    <row r="9401" spans="1:7">
      <c r="A9401" s="1079"/>
      <c r="B9401" s="1050"/>
      <c r="C9401" s="1050"/>
      <c r="D9401" s="1050"/>
      <c r="E9401" s="1050"/>
      <c r="F9401" s="1050"/>
      <c r="G9401" s="1050"/>
    </row>
    <row r="9402" spans="1:7">
      <c r="A9402" s="1079"/>
      <c r="B9402" s="1050"/>
      <c r="C9402" s="1050"/>
      <c r="D9402" s="1050"/>
      <c r="E9402" s="1050"/>
      <c r="F9402" s="1050"/>
      <c r="G9402" s="1050"/>
    </row>
    <row r="9403" spans="1:7">
      <c r="A9403" s="1079"/>
      <c r="B9403" s="1050"/>
      <c r="C9403" s="1050"/>
      <c r="D9403" s="1050"/>
      <c r="E9403" s="1050"/>
      <c r="F9403" s="1050"/>
      <c r="G9403" s="1050"/>
    </row>
    <row r="9404" spans="1:7">
      <c r="A9404" s="1079"/>
      <c r="B9404" s="1050"/>
      <c r="C9404" s="1050"/>
      <c r="D9404" s="1050"/>
      <c r="E9404" s="1050"/>
      <c r="F9404" s="1050"/>
      <c r="G9404" s="1050"/>
    </row>
    <row r="9405" spans="1:7">
      <c r="A9405" s="1079"/>
      <c r="B9405" s="1050"/>
      <c r="C9405" s="1050"/>
      <c r="D9405" s="1050"/>
      <c r="E9405" s="1050"/>
      <c r="F9405" s="1050"/>
      <c r="G9405" s="1050"/>
    </row>
    <row r="9406" spans="1:7">
      <c r="A9406" s="1079"/>
      <c r="B9406" s="1050"/>
      <c r="C9406" s="1050"/>
      <c r="D9406" s="1050"/>
      <c r="E9406" s="1050"/>
      <c r="F9406" s="1050"/>
      <c r="G9406" s="1050"/>
    </row>
    <row r="9407" spans="1:7">
      <c r="A9407" s="1079"/>
      <c r="B9407" s="1050"/>
      <c r="C9407" s="1050"/>
      <c r="D9407" s="1050"/>
      <c r="E9407" s="1050"/>
      <c r="F9407" s="1050"/>
      <c r="G9407" s="1050"/>
    </row>
    <row r="9408" spans="1:7">
      <c r="A9408" s="1079"/>
      <c r="B9408" s="1050"/>
      <c r="C9408" s="1050"/>
      <c r="D9408" s="1050"/>
      <c r="E9408" s="1050"/>
      <c r="F9408" s="1050"/>
      <c r="G9408" s="1050"/>
    </row>
    <row r="9409" spans="1:7">
      <c r="A9409" s="1079"/>
      <c r="B9409" s="1050"/>
      <c r="C9409" s="1050"/>
      <c r="D9409" s="1050"/>
      <c r="E9409" s="1050"/>
      <c r="F9409" s="1050"/>
      <c r="G9409" s="1050"/>
    </row>
    <row r="9410" spans="1:7">
      <c r="A9410" s="1079"/>
      <c r="B9410" s="1050"/>
      <c r="C9410" s="1050"/>
      <c r="D9410" s="1050"/>
      <c r="E9410" s="1050"/>
      <c r="F9410" s="1050"/>
      <c r="G9410" s="1050"/>
    </row>
    <row r="9411" spans="1:7">
      <c r="A9411" s="1079"/>
      <c r="B9411" s="1050"/>
      <c r="C9411" s="1050"/>
      <c r="D9411" s="1050"/>
      <c r="E9411" s="1050"/>
      <c r="F9411" s="1050"/>
      <c r="G9411" s="1050"/>
    </row>
    <row r="9412" spans="1:7">
      <c r="A9412" s="1079"/>
      <c r="B9412" s="1050"/>
      <c r="C9412" s="1050"/>
      <c r="D9412" s="1050"/>
      <c r="E9412" s="1050"/>
      <c r="F9412" s="1050"/>
      <c r="G9412" s="1050"/>
    </row>
    <row r="9413" spans="1:7">
      <c r="A9413" s="1079"/>
      <c r="B9413" s="1050"/>
      <c r="C9413" s="1050"/>
      <c r="D9413" s="1050"/>
      <c r="E9413" s="1050"/>
      <c r="F9413" s="1050"/>
      <c r="G9413" s="1050"/>
    </row>
    <row r="9414" spans="1:7">
      <c r="A9414" s="1079"/>
      <c r="B9414" s="1050"/>
      <c r="C9414" s="1050"/>
      <c r="D9414" s="1050"/>
      <c r="E9414" s="1050"/>
      <c r="F9414" s="1050"/>
      <c r="G9414" s="1050"/>
    </row>
    <row r="9415" spans="1:7">
      <c r="A9415" s="1079"/>
      <c r="B9415" s="1050"/>
      <c r="C9415" s="1050"/>
      <c r="D9415" s="1050"/>
      <c r="E9415" s="1050"/>
      <c r="F9415" s="1050"/>
      <c r="G9415" s="1050"/>
    </row>
    <row r="9416" spans="1:7">
      <c r="A9416" s="1079"/>
      <c r="B9416" s="1050"/>
      <c r="C9416" s="1050"/>
      <c r="D9416" s="1050"/>
      <c r="E9416" s="1050"/>
      <c r="F9416" s="1050"/>
      <c r="G9416" s="1050"/>
    </row>
    <row r="9417" spans="1:7">
      <c r="A9417" s="1079"/>
      <c r="B9417" s="1050"/>
      <c r="C9417" s="1050"/>
      <c r="D9417" s="1050"/>
      <c r="E9417" s="1050"/>
      <c r="F9417" s="1050"/>
      <c r="G9417" s="1050"/>
    </row>
    <row r="9418" spans="1:7">
      <c r="A9418" s="1079"/>
      <c r="B9418" s="1050"/>
      <c r="C9418" s="1050"/>
      <c r="D9418" s="1050"/>
      <c r="E9418" s="1050"/>
      <c r="F9418" s="1050"/>
      <c r="G9418" s="1050"/>
    </row>
    <row r="9419" spans="1:7">
      <c r="A9419" s="1079"/>
      <c r="B9419" s="1050"/>
      <c r="C9419" s="1050"/>
      <c r="D9419" s="1050"/>
      <c r="E9419" s="1050"/>
      <c r="F9419" s="1050"/>
      <c r="G9419" s="1050"/>
    </row>
    <row r="9420" spans="1:7">
      <c r="A9420" s="1079"/>
      <c r="B9420" s="1050"/>
      <c r="C9420" s="1050"/>
      <c r="D9420" s="1050"/>
      <c r="E9420" s="1050"/>
      <c r="F9420" s="1050"/>
      <c r="G9420" s="1050"/>
    </row>
    <row r="9421" spans="1:7">
      <c r="A9421" s="1079"/>
      <c r="B9421" s="1050"/>
      <c r="C9421" s="1050"/>
      <c r="D9421" s="1050"/>
      <c r="E9421" s="1050"/>
      <c r="F9421" s="1050"/>
      <c r="G9421" s="1050"/>
    </row>
    <row r="9422" spans="1:7">
      <c r="A9422" s="1079"/>
      <c r="B9422" s="1050"/>
      <c r="C9422" s="1050"/>
      <c r="D9422" s="1050"/>
      <c r="E9422" s="1050"/>
      <c r="F9422" s="1050"/>
      <c r="G9422" s="1050"/>
    </row>
    <row r="9423" spans="1:7">
      <c r="A9423" s="1079"/>
      <c r="B9423" s="1050"/>
      <c r="C9423" s="1050"/>
      <c r="D9423" s="1050"/>
      <c r="E9423" s="1050"/>
      <c r="F9423" s="1050"/>
      <c r="G9423" s="1050"/>
    </row>
    <row r="9424" spans="1:7">
      <c r="A9424" s="1079"/>
      <c r="B9424" s="1050"/>
      <c r="C9424" s="1050"/>
      <c r="D9424" s="1050"/>
      <c r="E9424" s="1050"/>
      <c r="F9424" s="1050"/>
      <c r="G9424" s="1050"/>
    </row>
    <row r="9425" spans="1:7">
      <c r="A9425" s="1079"/>
      <c r="B9425" s="1050"/>
      <c r="C9425" s="1050"/>
      <c r="D9425" s="1050"/>
      <c r="E9425" s="1050"/>
      <c r="F9425" s="1050"/>
      <c r="G9425" s="1050"/>
    </row>
    <row r="9426" spans="1:7">
      <c r="A9426" s="1079"/>
      <c r="B9426" s="1050"/>
      <c r="C9426" s="1050"/>
      <c r="D9426" s="1050"/>
      <c r="E9426" s="1050"/>
      <c r="F9426" s="1050"/>
      <c r="G9426" s="1050"/>
    </row>
    <row r="9427" spans="1:7">
      <c r="A9427" s="1079"/>
      <c r="B9427" s="1050"/>
      <c r="C9427" s="1050"/>
      <c r="D9427" s="1050"/>
      <c r="E9427" s="1050"/>
      <c r="F9427" s="1050"/>
      <c r="G9427" s="1050"/>
    </row>
    <row r="9428" spans="1:7">
      <c r="A9428" s="1079"/>
      <c r="B9428" s="1050"/>
      <c r="C9428" s="1050"/>
      <c r="D9428" s="1050"/>
      <c r="E9428" s="1050"/>
      <c r="F9428" s="1050"/>
      <c r="G9428" s="1050"/>
    </row>
    <row r="9429" spans="1:7">
      <c r="A9429" s="1079"/>
      <c r="B9429" s="1050"/>
      <c r="C9429" s="1050"/>
      <c r="D9429" s="1050"/>
      <c r="E9429" s="1050"/>
      <c r="F9429" s="1050"/>
      <c r="G9429" s="1050"/>
    </row>
    <row r="9430" spans="1:7">
      <c r="A9430" s="1079"/>
      <c r="B9430" s="1050"/>
      <c r="C9430" s="1050"/>
      <c r="D9430" s="1050"/>
      <c r="E9430" s="1050"/>
      <c r="F9430" s="1050"/>
      <c r="G9430" s="1050"/>
    </row>
    <row r="9431" spans="1:7">
      <c r="A9431" s="1079"/>
      <c r="B9431" s="1050"/>
      <c r="C9431" s="1050"/>
      <c r="D9431" s="1050"/>
      <c r="E9431" s="1050"/>
      <c r="F9431" s="1050"/>
      <c r="G9431" s="1050"/>
    </row>
    <row r="9432" spans="1:7">
      <c r="A9432" s="1079"/>
      <c r="B9432" s="1050"/>
      <c r="C9432" s="1050"/>
      <c r="D9432" s="1050"/>
      <c r="E9432" s="1050"/>
      <c r="F9432" s="1050"/>
      <c r="G9432" s="1050"/>
    </row>
    <row r="9433" spans="1:7">
      <c r="A9433" s="1079"/>
      <c r="B9433" s="1050"/>
      <c r="C9433" s="1050"/>
      <c r="D9433" s="1050"/>
      <c r="E9433" s="1050"/>
      <c r="F9433" s="1050"/>
      <c r="G9433" s="1050"/>
    </row>
    <row r="9434" spans="1:7">
      <c r="A9434" s="1079"/>
      <c r="B9434" s="1050"/>
      <c r="C9434" s="1050"/>
      <c r="D9434" s="1050"/>
      <c r="E9434" s="1050"/>
      <c r="F9434" s="1050"/>
      <c r="G9434" s="1050"/>
    </row>
    <row r="9435" spans="1:7">
      <c r="A9435" s="1079"/>
      <c r="B9435" s="1050"/>
      <c r="C9435" s="1050"/>
      <c r="D9435" s="1050"/>
      <c r="E9435" s="1050"/>
      <c r="F9435" s="1050"/>
      <c r="G9435" s="1050"/>
    </row>
    <row r="9436" spans="1:7">
      <c r="A9436" s="1079"/>
      <c r="B9436" s="1050"/>
      <c r="C9436" s="1050"/>
      <c r="D9436" s="1050"/>
      <c r="E9436" s="1050"/>
      <c r="F9436" s="1050"/>
      <c r="G9436" s="1050"/>
    </row>
    <row r="9437" spans="1:7">
      <c r="A9437" s="1079"/>
      <c r="B9437" s="1050"/>
      <c r="C9437" s="1050"/>
      <c r="D9437" s="1050"/>
      <c r="E9437" s="1050"/>
      <c r="F9437" s="1050"/>
      <c r="G9437" s="1050"/>
    </row>
    <row r="9438" spans="1:7">
      <c r="A9438" s="1079"/>
      <c r="B9438" s="1050"/>
      <c r="C9438" s="1050"/>
      <c r="D9438" s="1050"/>
      <c r="E9438" s="1050"/>
      <c r="F9438" s="1050"/>
      <c r="G9438" s="1050"/>
    </row>
    <row r="9439" spans="1:7">
      <c r="A9439" s="1079"/>
      <c r="B9439" s="1050"/>
      <c r="C9439" s="1050"/>
      <c r="D9439" s="1050"/>
      <c r="E9439" s="1050"/>
      <c r="F9439" s="1050"/>
      <c r="G9439" s="1050"/>
    </row>
    <row r="9440" spans="1:7">
      <c r="A9440" s="1079"/>
      <c r="B9440" s="1050"/>
      <c r="C9440" s="1050"/>
      <c r="D9440" s="1050"/>
      <c r="E9440" s="1050"/>
      <c r="F9440" s="1050"/>
      <c r="G9440" s="1050"/>
    </row>
    <row r="9441" spans="1:7">
      <c r="A9441" s="1079"/>
      <c r="B9441" s="1050"/>
      <c r="C9441" s="1050"/>
      <c r="D9441" s="1050"/>
      <c r="E9441" s="1050"/>
      <c r="F9441" s="1050"/>
      <c r="G9441" s="1050"/>
    </row>
    <row r="9442" spans="1:7">
      <c r="A9442" s="1079"/>
      <c r="B9442" s="1050"/>
      <c r="C9442" s="1050"/>
      <c r="D9442" s="1050"/>
      <c r="E9442" s="1050"/>
      <c r="F9442" s="1050"/>
      <c r="G9442" s="1050"/>
    </row>
    <row r="9443" spans="1:7">
      <c r="A9443" s="1079"/>
      <c r="B9443" s="1050"/>
      <c r="C9443" s="1050"/>
      <c r="D9443" s="1050"/>
      <c r="E9443" s="1050"/>
      <c r="F9443" s="1050"/>
      <c r="G9443" s="1050"/>
    </row>
    <row r="9444" spans="1:7">
      <c r="A9444" s="1079"/>
      <c r="B9444" s="1050"/>
      <c r="C9444" s="1050"/>
      <c r="D9444" s="1050"/>
      <c r="E9444" s="1050"/>
      <c r="F9444" s="1050"/>
      <c r="G9444" s="1050"/>
    </row>
    <row r="9445" spans="1:7">
      <c r="A9445" s="1079"/>
      <c r="B9445" s="1050"/>
      <c r="C9445" s="1050"/>
      <c r="D9445" s="1050"/>
      <c r="E9445" s="1050"/>
      <c r="F9445" s="1050"/>
      <c r="G9445" s="1050"/>
    </row>
    <row r="9446" spans="1:7">
      <c r="A9446" s="1079"/>
      <c r="B9446" s="1050"/>
      <c r="C9446" s="1050"/>
      <c r="D9446" s="1050"/>
      <c r="E9446" s="1050"/>
      <c r="F9446" s="1050"/>
      <c r="G9446" s="1050"/>
    </row>
    <row r="9447" spans="1:7">
      <c r="A9447" s="1079"/>
      <c r="B9447" s="1050"/>
      <c r="C9447" s="1050"/>
      <c r="D9447" s="1050"/>
      <c r="E9447" s="1050"/>
      <c r="F9447" s="1050"/>
      <c r="G9447" s="1050"/>
    </row>
    <row r="9448" spans="1:7">
      <c r="A9448" s="1079"/>
      <c r="B9448" s="1050"/>
      <c r="C9448" s="1050"/>
      <c r="D9448" s="1050"/>
      <c r="E9448" s="1050"/>
      <c r="F9448" s="1050"/>
      <c r="G9448" s="1050"/>
    </row>
    <row r="9449" spans="1:7">
      <c r="A9449" s="1079"/>
      <c r="B9449" s="1050"/>
      <c r="C9449" s="1050"/>
      <c r="D9449" s="1050"/>
      <c r="E9449" s="1050"/>
      <c r="F9449" s="1050"/>
      <c r="G9449" s="1050"/>
    </row>
    <row r="9450" spans="1:7">
      <c r="A9450" s="1079"/>
      <c r="B9450" s="1050"/>
      <c r="C9450" s="1050"/>
      <c r="D9450" s="1050"/>
      <c r="E9450" s="1050"/>
      <c r="F9450" s="1050"/>
      <c r="G9450" s="1050"/>
    </row>
    <row r="9451" spans="1:7">
      <c r="A9451" s="1079"/>
      <c r="B9451" s="1050"/>
      <c r="C9451" s="1050"/>
      <c r="D9451" s="1050"/>
      <c r="E9451" s="1050"/>
      <c r="F9451" s="1050"/>
      <c r="G9451" s="1050"/>
    </row>
    <row r="9452" spans="1:7">
      <c r="A9452" s="1079"/>
      <c r="B9452" s="1050"/>
      <c r="C9452" s="1050"/>
      <c r="D9452" s="1050"/>
      <c r="E9452" s="1050"/>
      <c r="F9452" s="1050"/>
      <c r="G9452" s="1050"/>
    </row>
    <row r="9453" spans="1:7">
      <c r="A9453" s="1079"/>
      <c r="B9453" s="1050"/>
      <c r="C9453" s="1050"/>
      <c r="D9453" s="1050"/>
      <c r="E9453" s="1050"/>
      <c r="F9453" s="1050"/>
      <c r="G9453" s="1050"/>
    </row>
    <row r="9454" spans="1:7">
      <c r="A9454" s="1079"/>
      <c r="B9454" s="1050"/>
      <c r="C9454" s="1050"/>
      <c r="D9454" s="1050"/>
      <c r="E9454" s="1050"/>
      <c r="F9454" s="1050"/>
      <c r="G9454" s="1050"/>
    </row>
    <row r="9455" spans="1:7">
      <c r="A9455" s="1079"/>
      <c r="B9455" s="1050"/>
      <c r="C9455" s="1050"/>
      <c r="D9455" s="1050"/>
      <c r="E9455" s="1050"/>
      <c r="F9455" s="1050"/>
      <c r="G9455" s="1050"/>
    </row>
    <row r="9456" spans="1:7">
      <c r="A9456" s="1079"/>
      <c r="B9456" s="1050"/>
      <c r="C9456" s="1050"/>
      <c r="D9456" s="1050"/>
      <c r="E9456" s="1050"/>
      <c r="F9456" s="1050"/>
      <c r="G9456" s="1050"/>
    </row>
    <row r="9457" spans="1:7">
      <c r="A9457" s="1079"/>
      <c r="B9457" s="1050"/>
      <c r="C9457" s="1050"/>
      <c r="D9457" s="1050"/>
      <c r="E9457" s="1050"/>
      <c r="F9457" s="1050"/>
      <c r="G9457" s="1050"/>
    </row>
    <row r="9458" spans="1:7">
      <c r="A9458" s="1079"/>
      <c r="B9458" s="1050"/>
      <c r="C9458" s="1050"/>
      <c r="D9458" s="1050"/>
      <c r="E9458" s="1050"/>
      <c r="F9458" s="1050"/>
      <c r="G9458" s="1050"/>
    </row>
    <row r="9459" spans="1:7">
      <c r="A9459" s="1079"/>
      <c r="B9459" s="1050"/>
      <c r="C9459" s="1050"/>
      <c r="D9459" s="1050"/>
      <c r="E9459" s="1050"/>
      <c r="F9459" s="1050"/>
      <c r="G9459" s="1050"/>
    </row>
    <row r="9460" spans="1:7">
      <c r="A9460" s="1079"/>
      <c r="B9460" s="1050"/>
      <c r="C9460" s="1050"/>
      <c r="D9460" s="1050"/>
      <c r="E9460" s="1050"/>
      <c r="F9460" s="1050"/>
      <c r="G9460" s="1050"/>
    </row>
    <row r="9461" spans="1:7">
      <c r="A9461" s="1079"/>
      <c r="B9461" s="1050"/>
      <c r="C9461" s="1050"/>
      <c r="D9461" s="1050"/>
      <c r="E9461" s="1050"/>
      <c r="F9461" s="1050"/>
      <c r="G9461" s="1050"/>
    </row>
    <row r="9462" spans="1:7">
      <c r="A9462" s="1079"/>
      <c r="B9462" s="1050"/>
      <c r="C9462" s="1050"/>
      <c r="D9462" s="1050"/>
      <c r="E9462" s="1050"/>
      <c r="F9462" s="1050"/>
      <c r="G9462" s="1050"/>
    </row>
    <row r="9463" spans="1:7">
      <c r="A9463" s="1079"/>
      <c r="B9463" s="1050"/>
      <c r="C9463" s="1050"/>
      <c r="D9463" s="1050"/>
      <c r="E9463" s="1050"/>
      <c r="F9463" s="1050"/>
      <c r="G9463" s="1050"/>
    </row>
    <row r="9464" spans="1:7">
      <c r="A9464" s="1079"/>
      <c r="B9464" s="1050"/>
      <c r="C9464" s="1050"/>
      <c r="D9464" s="1050"/>
      <c r="E9464" s="1050"/>
      <c r="F9464" s="1050"/>
      <c r="G9464" s="1050"/>
    </row>
    <row r="9465" spans="1:7">
      <c r="A9465" s="1079"/>
      <c r="B9465" s="1050"/>
      <c r="C9465" s="1050"/>
      <c r="D9465" s="1050"/>
      <c r="E9465" s="1050"/>
      <c r="F9465" s="1050"/>
      <c r="G9465" s="1050"/>
    </row>
    <row r="9466" spans="1:7">
      <c r="A9466" s="1079"/>
      <c r="B9466" s="1050"/>
      <c r="C9466" s="1050"/>
      <c r="D9466" s="1050"/>
      <c r="E9466" s="1050"/>
      <c r="F9466" s="1050"/>
      <c r="G9466" s="1050"/>
    </row>
    <row r="9467" spans="1:7">
      <c r="A9467" s="1079"/>
      <c r="B9467" s="1050"/>
      <c r="C9467" s="1050"/>
      <c r="D9467" s="1050"/>
      <c r="E9467" s="1050"/>
      <c r="F9467" s="1050"/>
      <c r="G9467" s="1050"/>
    </row>
    <row r="9468" spans="1:7">
      <c r="A9468" s="1079"/>
      <c r="B9468" s="1050"/>
      <c r="C9468" s="1050"/>
      <c r="D9468" s="1050"/>
      <c r="E9468" s="1050"/>
      <c r="F9468" s="1050"/>
      <c r="G9468" s="1050"/>
    </row>
    <row r="9469" spans="1:7">
      <c r="A9469" s="1079"/>
      <c r="B9469" s="1050"/>
      <c r="C9469" s="1050"/>
      <c r="D9469" s="1050"/>
      <c r="E9469" s="1050"/>
      <c r="F9469" s="1050"/>
      <c r="G9469" s="1050"/>
    </row>
    <row r="9470" spans="1:7">
      <c r="A9470" s="1079"/>
      <c r="B9470" s="1050"/>
      <c r="C9470" s="1050"/>
      <c r="D9470" s="1050"/>
      <c r="E9470" s="1050"/>
      <c r="F9470" s="1050"/>
      <c r="G9470" s="1050"/>
    </row>
    <row r="9471" spans="1:7">
      <c r="A9471" s="1079"/>
      <c r="B9471" s="1050"/>
      <c r="C9471" s="1050"/>
      <c r="D9471" s="1050"/>
      <c r="E9471" s="1050"/>
      <c r="F9471" s="1050"/>
      <c r="G9471" s="1050"/>
    </row>
    <row r="9472" spans="1:7">
      <c r="A9472" s="1079"/>
      <c r="B9472" s="1050"/>
      <c r="C9472" s="1050"/>
      <c r="D9472" s="1050"/>
      <c r="E9472" s="1050"/>
      <c r="F9472" s="1050"/>
      <c r="G9472" s="1050"/>
    </row>
    <row r="9473" spans="1:7">
      <c r="A9473" s="1079"/>
      <c r="B9473" s="1050"/>
      <c r="C9473" s="1050"/>
      <c r="D9473" s="1050"/>
      <c r="E9473" s="1050"/>
      <c r="F9473" s="1050"/>
      <c r="G9473" s="1050"/>
    </row>
    <row r="9474" spans="1:7">
      <c r="A9474" s="1079"/>
      <c r="B9474" s="1050"/>
      <c r="C9474" s="1050"/>
      <c r="D9474" s="1050"/>
      <c r="E9474" s="1050"/>
      <c r="F9474" s="1050"/>
      <c r="G9474" s="1050"/>
    </row>
    <row r="9475" spans="1:7">
      <c r="A9475" s="1079"/>
      <c r="B9475" s="1050"/>
      <c r="C9475" s="1050"/>
      <c r="D9475" s="1050"/>
      <c r="E9475" s="1050"/>
      <c r="F9475" s="1050"/>
      <c r="G9475" s="1050"/>
    </row>
    <row r="9476" spans="1:7">
      <c r="A9476" s="1079"/>
      <c r="B9476" s="1050"/>
      <c r="C9476" s="1050"/>
      <c r="D9476" s="1050"/>
      <c r="E9476" s="1050"/>
      <c r="F9476" s="1050"/>
      <c r="G9476" s="1050"/>
    </row>
    <row r="9477" spans="1:7">
      <c r="A9477" s="1079"/>
      <c r="B9477" s="1050"/>
      <c r="C9477" s="1050"/>
      <c r="D9477" s="1050"/>
      <c r="E9477" s="1050"/>
      <c r="F9477" s="1050"/>
      <c r="G9477" s="1050"/>
    </row>
    <row r="9478" spans="1:7">
      <c r="A9478" s="1079"/>
      <c r="B9478" s="1050"/>
      <c r="C9478" s="1050"/>
      <c r="D9478" s="1050"/>
      <c r="E9478" s="1050"/>
      <c r="F9478" s="1050"/>
      <c r="G9478" s="1050"/>
    </row>
    <row r="9479" spans="1:7">
      <c r="A9479" s="1079"/>
      <c r="B9479" s="1050"/>
      <c r="C9479" s="1050"/>
      <c r="D9479" s="1050"/>
      <c r="E9479" s="1050"/>
      <c r="F9479" s="1050"/>
      <c r="G9479" s="1050"/>
    </row>
    <row r="9480" spans="1:7">
      <c r="A9480" s="1079"/>
      <c r="B9480" s="1050"/>
      <c r="C9480" s="1050"/>
      <c r="D9480" s="1050"/>
      <c r="E9480" s="1050"/>
      <c r="F9480" s="1050"/>
      <c r="G9480" s="1050"/>
    </row>
    <row r="9481" spans="1:7">
      <c r="A9481" s="1079"/>
      <c r="B9481" s="1050"/>
      <c r="C9481" s="1050"/>
      <c r="D9481" s="1050"/>
      <c r="E9481" s="1050"/>
      <c r="F9481" s="1050"/>
      <c r="G9481" s="1050"/>
    </row>
    <row r="9482" spans="1:7">
      <c r="A9482" s="1079"/>
      <c r="B9482" s="1050"/>
      <c r="C9482" s="1050"/>
      <c r="D9482" s="1050"/>
      <c r="E9482" s="1050"/>
      <c r="F9482" s="1050"/>
      <c r="G9482" s="1050"/>
    </row>
    <row r="9483" spans="1:7">
      <c r="A9483" s="1079"/>
      <c r="B9483" s="1050"/>
      <c r="C9483" s="1050"/>
      <c r="D9483" s="1050"/>
      <c r="E9483" s="1050"/>
      <c r="F9483" s="1050"/>
      <c r="G9483" s="1050"/>
    </row>
    <row r="9484" spans="1:7">
      <c r="A9484" s="1079"/>
      <c r="B9484" s="1050"/>
      <c r="C9484" s="1050"/>
      <c r="D9484" s="1050"/>
      <c r="E9484" s="1050"/>
      <c r="F9484" s="1050"/>
      <c r="G9484" s="1050"/>
    </row>
    <row r="9485" spans="1:7">
      <c r="A9485" s="1079"/>
      <c r="B9485" s="1050"/>
      <c r="C9485" s="1050"/>
      <c r="D9485" s="1050"/>
      <c r="E9485" s="1050"/>
      <c r="F9485" s="1050"/>
      <c r="G9485" s="1050"/>
    </row>
    <row r="9486" spans="1:7">
      <c r="A9486" s="1079"/>
      <c r="B9486" s="1050"/>
      <c r="C9486" s="1050"/>
      <c r="D9486" s="1050"/>
      <c r="E9486" s="1050"/>
      <c r="F9486" s="1050"/>
      <c r="G9486" s="1050"/>
    </row>
    <row r="9487" spans="1:7">
      <c r="A9487" s="1079"/>
      <c r="B9487" s="1050"/>
      <c r="C9487" s="1050"/>
      <c r="D9487" s="1050"/>
      <c r="E9487" s="1050"/>
      <c r="F9487" s="1050"/>
      <c r="G9487" s="1050"/>
    </row>
    <row r="9488" spans="1:7">
      <c r="A9488" s="1079"/>
      <c r="B9488" s="1050"/>
      <c r="C9488" s="1050"/>
      <c r="D9488" s="1050"/>
      <c r="E9488" s="1050"/>
      <c r="F9488" s="1050"/>
      <c r="G9488" s="1050"/>
    </row>
    <row r="9489" spans="1:7">
      <c r="A9489" s="1079"/>
      <c r="B9489" s="1050"/>
      <c r="C9489" s="1050"/>
      <c r="D9489" s="1050"/>
      <c r="E9489" s="1050"/>
      <c r="F9489" s="1050"/>
      <c r="G9489" s="1050"/>
    </row>
    <row r="9490" spans="1:7">
      <c r="A9490" s="1079"/>
      <c r="B9490" s="1050"/>
      <c r="C9490" s="1050"/>
      <c r="D9490" s="1050"/>
      <c r="E9490" s="1050"/>
      <c r="F9490" s="1050"/>
      <c r="G9490" s="1050"/>
    </row>
    <row r="9491" spans="1:7">
      <c r="A9491" s="1079"/>
      <c r="B9491" s="1050"/>
      <c r="C9491" s="1050"/>
      <c r="D9491" s="1050"/>
      <c r="E9491" s="1050"/>
      <c r="F9491" s="1050"/>
      <c r="G9491" s="1050"/>
    </row>
    <row r="9492" spans="1:7">
      <c r="A9492" s="1079"/>
      <c r="B9492" s="1050"/>
      <c r="C9492" s="1050"/>
      <c r="D9492" s="1050"/>
      <c r="E9492" s="1050"/>
      <c r="F9492" s="1050"/>
      <c r="G9492" s="1050"/>
    </row>
    <row r="9493" spans="1:7">
      <c r="A9493" s="1079"/>
      <c r="B9493" s="1050"/>
      <c r="C9493" s="1050"/>
      <c r="D9493" s="1050"/>
      <c r="E9493" s="1050"/>
      <c r="F9493" s="1050"/>
      <c r="G9493" s="1050"/>
    </row>
    <row r="9494" spans="1:7">
      <c r="A9494" s="1079"/>
      <c r="B9494" s="1050"/>
      <c r="C9494" s="1050"/>
      <c r="D9494" s="1050"/>
      <c r="E9494" s="1050"/>
      <c r="F9494" s="1050"/>
      <c r="G9494" s="1050"/>
    </row>
    <row r="9495" spans="1:7">
      <c r="A9495" s="1079"/>
      <c r="B9495" s="1050"/>
      <c r="C9495" s="1050"/>
      <c r="D9495" s="1050"/>
      <c r="E9495" s="1050"/>
      <c r="F9495" s="1050"/>
      <c r="G9495" s="1050"/>
    </row>
    <row r="9496" spans="1:7">
      <c r="A9496" s="1079"/>
      <c r="B9496" s="1050"/>
      <c r="C9496" s="1050"/>
      <c r="D9496" s="1050"/>
      <c r="E9496" s="1050"/>
      <c r="F9496" s="1050"/>
      <c r="G9496" s="1050"/>
    </row>
    <row r="9497" spans="1:7">
      <c r="A9497" s="1079"/>
      <c r="B9497" s="1050"/>
      <c r="C9497" s="1050"/>
      <c r="D9497" s="1050"/>
      <c r="E9497" s="1050"/>
      <c r="F9497" s="1050"/>
      <c r="G9497" s="1050"/>
    </row>
    <row r="9498" spans="1:7">
      <c r="A9498" s="1079"/>
      <c r="B9498" s="1050"/>
      <c r="C9498" s="1050"/>
      <c r="D9498" s="1050"/>
      <c r="E9498" s="1050"/>
      <c r="F9498" s="1050"/>
      <c r="G9498" s="1050"/>
    </row>
    <row r="9499" spans="1:7">
      <c r="A9499" s="1079"/>
      <c r="B9499" s="1050"/>
      <c r="C9499" s="1050"/>
      <c r="D9499" s="1050"/>
      <c r="E9499" s="1050"/>
      <c r="F9499" s="1050"/>
      <c r="G9499" s="1050"/>
    </row>
    <row r="9500" spans="1:7">
      <c r="A9500" s="1079"/>
      <c r="B9500" s="1050"/>
      <c r="C9500" s="1050"/>
      <c r="D9500" s="1050"/>
      <c r="E9500" s="1050"/>
      <c r="F9500" s="1050"/>
      <c r="G9500" s="1050"/>
    </row>
    <row r="9501" spans="1:7">
      <c r="A9501" s="1079"/>
      <c r="B9501" s="1050"/>
      <c r="C9501" s="1050"/>
      <c r="D9501" s="1050"/>
      <c r="E9501" s="1050"/>
      <c r="F9501" s="1050"/>
      <c r="G9501" s="1050"/>
    </row>
    <row r="9502" spans="1:7">
      <c r="A9502" s="1079"/>
      <c r="B9502" s="1050"/>
      <c r="C9502" s="1050"/>
      <c r="D9502" s="1050"/>
      <c r="E9502" s="1050"/>
      <c r="F9502" s="1050"/>
      <c r="G9502" s="1050"/>
    </row>
    <row r="9503" spans="1:7">
      <c r="A9503" s="1079"/>
      <c r="B9503" s="1050"/>
      <c r="C9503" s="1050"/>
      <c r="D9503" s="1050"/>
      <c r="E9503" s="1050"/>
      <c r="F9503" s="1050"/>
      <c r="G9503" s="1050"/>
    </row>
    <row r="9504" spans="1:7">
      <c r="A9504" s="1079"/>
      <c r="B9504" s="1050"/>
      <c r="C9504" s="1050"/>
      <c r="D9504" s="1050"/>
      <c r="E9504" s="1050"/>
      <c r="F9504" s="1050"/>
      <c r="G9504" s="1050"/>
    </row>
    <row r="9505" spans="1:7">
      <c r="A9505" s="1079"/>
      <c r="B9505" s="1050"/>
      <c r="C9505" s="1050"/>
      <c r="D9505" s="1050"/>
      <c r="E9505" s="1050"/>
      <c r="F9505" s="1050"/>
      <c r="G9505" s="1050"/>
    </row>
    <row r="9506" spans="1:7">
      <c r="A9506" s="1079"/>
      <c r="B9506" s="1050"/>
      <c r="C9506" s="1050"/>
      <c r="D9506" s="1050"/>
      <c r="E9506" s="1050"/>
      <c r="F9506" s="1050"/>
      <c r="G9506" s="1050"/>
    </row>
    <row r="9507" spans="1:7">
      <c r="A9507" s="1079"/>
      <c r="B9507" s="1050"/>
      <c r="C9507" s="1050"/>
      <c r="D9507" s="1050"/>
      <c r="E9507" s="1050"/>
      <c r="F9507" s="1050"/>
      <c r="G9507" s="1050"/>
    </row>
    <row r="9508" spans="1:7">
      <c r="A9508" s="1079"/>
      <c r="B9508" s="1050"/>
      <c r="C9508" s="1050"/>
      <c r="D9508" s="1050"/>
      <c r="E9508" s="1050"/>
      <c r="F9508" s="1050"/>
      <c r="G9508" s="1050"/>
    </row>
    <row r="9509" spans="1:7">
      <c r="A9509" s="1079"/>
      <c r="B9509" s="1050"/>
      <c r="C9509" s="1050"/>
      <c r="D9509" s="1050"/>
      <c r="E9509" s="1050"/>
      <c r="F9509" s="1050"/>
      <c r="G9509" s="1050"/>
    </row>
    <row r="9510" spans="1:7">
      <c r="A9510" s="1079"/>
      <c r="B9510" s="1050"/>
      <c r="C9510" s="1050"/>
      <c r="D9510" s="1050"/>
      <c r="E9510" s="1050"/>
      <c r="F9510" s="1050"/>
      <c r="G9510" s="1050"/>
    </row>
    <row r="9511" spans="1:7">
      <c r="A9511" s="1079"/>
      <c r="B9511" s="1050"/>
      <c r="C9511" s="1050"/>
      <c r="D9511" s="1050"/>
      <c r="E9511" s="1050"/>
      <c r="F9511" s="1050"/>
      <c r="G9511" s="1050"/>
    </row>
    <row r="9512" spans="1:7">
      <c r="A9512" s="1079"/>
      <c r="B9512" s="1050"/>
      <c r="C9512" s="1050"/>
      <c r="D9512" s="1050"/>
      <c r="E9512" s="1050"/>
      <c r="F9512" s="1050"/>
      <c r="G9512" s="1050"/>
    </row>
    <row r="9513" spans="1:7">
      <c r="A9513" s="1079"/>
      <c r="B9513" s="1050"/>
      <c r="C9513" s="1050"/>
      <c r="D9513" s="1050"/>
      <c r="E9513" s="1050"/>
      <c r="F9513" s="1050"/>
      <c r="G9513" s="1050"/>
    </row>
    <row r="9514" spans="1:7">
      <c r="A9514" s="1079"/>
      <c r="B9514" s="1050"/>
      <c r="C9514" s="1050"/>
      <c r="D9514" s="1050"/>
      <c r="E9514" s="1050"/>
      <c r="F9514" s="1050"/>
      <c r="G9514" s="1050"/>
    </row>
    <row r="9515" spans="1:7">
      <c r="A9515" s="1079"/>
      <c r="B9515" s="1050"/>
      <c r="C9515" s="1050"/>
      <c r="D9515" s="1050"/>
      <c r="E9515" s="1050"/>
      <c r="F9515" s="1050"/>
      <c r="G9515" s="1050"/>
    </row>
    <row r="9516" spans="1:7">
      <c r="A9516" s="1079"/>
      <c r="B9516" s="1050"/>
      <c r="C9516" s="1050"/>
      <c r="D9516" s="1050"/>
      <c r="E9516" s="1050"/>
      <c r="F9516" s="1050"/>
      <c r="G9516" s="1050"/>
    </row>
    <row r="9517" spans="1:7">
      <c r="A9517" s="1079"/>
      <c r="B9517" s="1050"/>
      <c r="C9517" s="1050"/>
      <c r="D9517" s="1050"/>
      <c r="E9517" s="1050"/>
      <c r="F9517" s="1050"/>
      <c r="G9517" s="1050"/>
    </row>
    <row r="9518" spans="1:7">
      <c r="A9518" s="1079"/>
      <c r="B9518" s="1050"/>
      <c r="C9518" s="1050"/>
      <c r="D9518" s="1050"/>
      <c r="E9518" s="1050"/>
      <c r="F9518" s="1050"/>
      <c r="G9518" s="1050"/>
    </row>
    <row r="9519" spans="1:7">
      <c r="A9519" s="1079"/>
      <c r="B9519" s="1050"/>
      <c r="C9519" s="1050"/>
      <c r="D9519" s="1050"/>
      <c r="E9519" s="1050"/>
      <c r="F9519" s="1050"/>
      <c r="G9519" s="1050"/>
    </row>
    <row r="9520" spans="1:7">
      <c r="A9520" s="1079"/>
      <c r="B9520" s="1050"/>
      <c r="C9520" s="1050"/>
      <c r="D9520" s="1050"/>
      <c r="E9520" s="1050"/>
      <c r="F9520" s="1050"/>
      <c r="G9520" s="1050"/>
    </row>
    <row r="9521" spans="1:7">
      <c r="A9521" s="1079"/>
      <c r="B9521" s="1050"/>
      <c r="C9521" s="1050"/>
      <c r="D9521" s="1050"/>
      <c r="E9521" s="1050"/>
      <c r="F9521" s="1050"/>
      <c r="G9521" s="1050"/>
    </row>
    <row r="9522" spans="1:7">
      <c r="A9522" s="1079"/>
      <c r="B9522" s="1050"/>
      <c r="C9522" s="1050"/>
      <c r="D9522" s="1050"/>
      <c r="E9522" s="1050"/>
      <c r="F9522" s="1050"/>
      <c r="G9522" s="1050"/>
    </row>
    <row r="9523" spans="1:7">
      <c r="A9523" s="1079"/>
      <c r="B9523" s="1050"/>
      <c r="C9523" s="1050"/>
      <c r="D9523" s="1050"/>
      <c r="E9523" s="1050"/>
      <c r="F9523" s="1050"/>
      <c r="G9523" s="1050"/>
    </row>
    <row r="9524" spans="1:7">
      <c r="A9524" s="1079"/>
      <c r="B9524" s="1050"/>
      <c r="C9524" s="1050"/>
      <c r="D9524" s="1050"/>
      <c r="E9524" s="1050"/>
      <c r="F9524" s="1050"/>
      <c r="G9524" s="1050"/>
    </row>
    <row r="9525" spans="1:7">
      <c r="A9525" s="1079"/>
      <c r="B9525" s="1050"/>
      <c r="C9525" s="1050"/>
      <c r="D9525" s="1050"/>
      <c r="E9525" s="1050"/>
      <c r="F9525" s="1050"/>
      <c r="G9525" s="1050"/>
    </row>
    <row r="9526" spans="1:7">
      <c r="A9526" s="1079"/>
      <c r="B9526" s="1050"/>
      <c r="C9526" s="1050"/>
      <c r="D9526" s="1050"/>
      <c r="E9526" s="1050"/>
      <c r="F9526" s="1050"/>
      <c r="G9526" s="1050"/>
    </row>
    <row r="9527" spans="1:7">
      <c r="A9527" s="1079"/>
      <c r="B9527" s="1050"/>
      <c r="C9527" s="1050"/>
      <c r="D9527" s="1050"/>
      <c r="E9527" s="1050"/>
      <c r="F9527" s="1050"/>
      <c r="G9527" s="1050"/>
    </row>
    <row r="9528" spans="1:7">
      <c r="A9528" s="1079"/>
      <c r="B9528" s="1050"/>
      <c r="C9528" s="1050"/>
      <c r="D9528" s="1050"/>
      <c r="E9528" s="1050"/>
      <c r="F9528" s="1050"/>
      <c r="G9528" s="1050"/>
    </row>
    <row r="9529" spans="1:7">
      <c r="A9529" s="1079"/>
      <c r="B9529" s="1050"/>
      <c r="C9529" s="1050"/>
      <c r="D9529" s="1050"/>
      <c r="E9529" s="1050"/>
      <c r="F9529" s="1050"/>
      <c r="G9529" s="1050"/>
    </row>
    <row r="9530" spans="1:7">
      <c r="A9530" s="1079"/>
      <c r="B9530" s="1050"/>
      <c r="C9530" s="1050"/>
      <c r="D9530" s="1050"/>
      <c r="E9530" s="1050"/>
      <c r="F9530" s="1050"/>
      <c r="G9530" s="1050"/>
    </row>
    <row r="9531" spans="1:7">
      <c r="A9531" s="1079"/>
      <c r="B9531" s="1050"/>
      <c r="C9531" s="1050"/>
      <c r="D9531" s="1050"/>
      <c r="E9531" s="1050"/>
      <c r="F9531" s="1050"/>
      <c r="G9531" s="1050"/>
    </row>
    <row r="9532" spans="1:7">
      <c r="A9532" s="1079"/>
      <c r="B9532" s="1050"/>
      <c r="C9532" s="1050"/>
      <c r="D9532" s="1050"/>
      <c r="E9532" s="1050"/>
      <c r="F9532" s="1050"/>
      <c r="G9532" s="1050"/>
    </row>
    <row r="9533" spans="1:7">
      <c r="A9533" s="1079"/>
      <c r="B9533" s="1050"/>
      <c r="C9533" s="1050"/>
      <c r="D9533" s="1050"/>
      <c r="E9533" s="1050"/>
      <c r="F9533" s="1050"/>
      <c r="G9533" s="1050"/>
    </row>
    <row r="9534" spans="1:7">
      <c r="A9534" s="1079"/>
      <c r="B9534" s="1050"/>
      <c r="C9534" s="1050"/>
      <c r="D9534" s="1050"/>
      <c r="E9534" s="1050"/>
      <c r="F9534" s="1050"/>
      <c r="G9534" s="1050"/>
    </row>
    <row r="9535" spans="1:7">
      <c r="A9535" s="1079"/>
      <c r="B9535" s="1050"/>
      <c r="C9535" s="1050"/>
      <c r="D9535" s="1050"/>
      <c r="E9535" s="1050"/>
      <c r="F9535" s="1050"/>
      <c r="G9535" s="1050"/>
    </row>
    <row r="9536" spans="1:7">
      <c r="A9536" s="1079"/>
      <c r="B9536" s="1050"/>
      <c r="C9536" s="1050"/>
      <c r="D9536" s="1050"/>
      <c r="E9536" s="1050"/>
      <c r="F9536" s="1050"/>
      <c r="G9536" s="1050"/>
    </row>
    <row r="9537" spans="1:7">
      <c r="A9537" s="1079"/>
      <c r="B9537" s="1050"/>
      <c r="C9537" s="1050"/>
      <c r="D9537" s="1050"/>
      <c r="E9537" s="1050"/>
      <c r="F9537" s="1050"/>
      <c r="G9537" s="1050"/>
    </row>
    <row r="9538" spans="1:7">
      <c r="A9538" s="1079"/>
      <c r="B9538" s="1050"/>
      <c r="C9538" s="1050"/>
      <c r="D9538" s="1050"/>
      <c r="E9538" s="1050"/>
      <c r="F9538" s="1050"/>
      <c r="G9538" s="1050"/>
    </row>
    <row r="9539" spans="1:7">
      <c r="A9539" s="1079"/>
      <c r="B9539" s="1050"/>
      <c r="C9539" s="1050"/>
      <c r="D9539" s="1050"/>
      <c r="E9539" s="1050"/>
      <c r="F9539" s="1050"/>
      <c r="G9539" s="1050"/>
    </row>
    <row r="9540" spans="1:7">
      <c r="A9540" s="1079"/>
      <c r="B9540" s="1050"/>
      <c r="C9540" s="1050"/>
      <c r="D9540" s="1050"/>
      <c r="E9540" s="1050"/>
      <c r="F9540" s="1050"/>
      <c r="G9540" s="1050"/>
    </row>
    <row r="9541" spans="1:7">
      <c r="A9541" s="1079"/>
      <c r="B9541" s="1050"/>
      <c r="C9541" s="1050"/>
      <c r="D9541" s="1050"/>
      <c r="E9541" s="1050"/>
      <c r="F9541" s="1050"/>
      <c r="G9541" s="1050"/>
    </row>
    <row r="9542" spans="1:7">
      <c r="A9542" s="1079"/>
      <c r="B9542" s="1050"/>
      <c r="C9542" s="1050"/>
      <c r="D9542" s="1050"/>
      <c r="E9542" s="1050"/>
      <c r="F9542" s="1050"/>
      <c r="G9542" s="1050"/>
    </row>
    <row r="9543" spans="1:7">
      <c r="A9543" s="1079"/>
      <c r="B9543" s="1050"/>
      <c r="C9543" s="1050"/>
      <c r="D9543" s="1050"/>
      <c r="E9543" s="1050"/>
      <c r="F9543" s="1050"/>
      <c r="G9543" s="1050"/>
    </row>
    <row r="9544" spans="1:7">
      <c r="A9544" s="1079"/>
      <c r="B9544" s="1050"/>
      <c r="C9544" s="1050"/>
      <c r="D9544" s="1050"/>
      <c r="E9544" s="1050"/>
      <c r="F9544" s="1050"/>
      <c r="G9544" s="1050"/>
    </row>
    <row r="9545" spans="1:7">
      <c r="A9545" s="1079"/>
      <c r="B9545" s="1050"/>
      <c r="C9545" s="1050"/>
      <c r="D9545" s="1050"/>
      <c r="E9545" s="1050"/>
      <c r="F9545" s="1050"/>
      <c r="G9545" s="1050"/>
    </row>
    <row r="9546" spans="1:7">
      <c r="A9546" s="1079"/>
      <c r="B9546" s="1050"/>
      <c r="C9546" s="1050"/>
      <c r="D9546" s="1050"/>
      <c r="E9546" s="1050"/>
      <c r="F9546" s="1050"/>
      <c r="G9546" s="1050"/>
    </row>
    <row r="9547" spans="1:7">
      <c r="A9547" s="1079"/>
      <c r="B9547" s="1050"/>
      <c r="C9547" s="1050"/>
      <c r="D9547" s="1050"/>
      <c r="E9547" s="1050"/>
      <c r="F9547" s="1050"/>
      <c r="G9547" s="1050"/>
    </row>
    <row r="9548" spans="1:7">
      <c r="A9548" s="1079"/>
      <c r="B9548" s="1050"/>
      <c r="C9548" s="1050"/>
      <c r="D9548" s="1050"/>
      <c r="E9548" s="1050"/>
      <c r="F9548" s="1050"/>
      <c r="G9548" s="1050"/>
    </row>
    <row r="9549" spans="1:7">
      <c r="A9549" s="1079"/>
      <c r="B9549" s="1050"/>
      <c r="C9549" s="1050"/>
      <c r="D9549" s="1050"/>
      <c r="E9549" s="1050"/>
      <c r="F9549" s="1050"/>
      <c r="G9549" s="1050"/>
    </row>
    <row r="9550" spans="1:7">
      <c r="A9550" s="1079"/>
      <c r="B9550" s="1050"/>
      <c r="C9550" s="1050"/>
      <c r="D9550" s="1050"/>
      <c r="E9550" s="1050"/>
      <c r="F9550" s="1050"/>
      <c r="G9550" s="1050"/>
    </row>
    <row r="9551" spans="1:7">
      <c r="A9551" s="1079"/>
      <c r="B9551" s="1050"/>
      <c r="C9551" s="1050"/>
      <c r="D9551" s="1050"/>
      <c r="E9551" s="1050"/>
      <c r="F9551" s="1050"/>
      <c r="G9551" s="1050"/>
    </row>
    <row r="9552" spans="1:7">
      <c r="A9552" s="1079"/>
      <c r="B9552" s="1050"/>
      <c r="C9552" s="1050"/>
      <c r="D9552" s="1050"/>
      <c r="E9552" s="1050"/>
      <c r="F9552" s="1050"/>
      <c r="G9552" s="1050"/>
    </row>
    <row r="9553" spans="1:7">
      <c r="A9553" s="1079"/>
      <c r="B9553" s="1050"/>
      <c r="C9553" s="1050"/>
      <c r="D9553" s="1050"/>
      <c r="E9553" s="1050"/>
      <c r="F9553" s="1050"/>
      <c r="G9553" s="1050"/>
    </row>
    <row r="9554" spans="1:7">
      <c r="A9554" s="1079"/>
      <c r="B9554" s="1050"/>
      <c r="C9554" s="1050"/>
      <c r="D9554" s="1050"/>
      <c r="E9554" s="1050"/>
      <c r="F9554" s="1050"/>
      <c r="G9554" s="1050"/>
    </row>
    <row r="9555" spans="1:7">
      <c r="A9555" s="1079"/>
      <c r="B9555" s="1050"/>
      <c r="C9555" s="1050"/>
      <c r="D9555" s="1050"/>
      <c r="E9555" s="1050"/>
      <c r="F9555" s="1050"/>
      <c r="G9555" s="1050"/>
    </row>
    <row r="9556" spans="1:7">
      <c r="A9556" s="1079"/>
      <c r="B9556" s="1050"/>
      <c r="C9556" s="1050"/>
      <c r="D9556" s="1050"/>
      <c r="E9556" s="1050"/>
      <c r="F9556" s="1050"/>
      <c r="G9556" s="1050"/>
    </row>
    <row r="9557" spans="1:7">
      <c r="A9557" s="1079"/>
      <c r="B9557" s="1050"/>
      <c r="C9557" s="1050"/>
      <c r="D9557" s="1050"/>
      <c r="E9557" s="1050"/>
      <c r="F9557" s="1050"/>
      <c r="G9557" s="1050"/>
    </row>
    <row r="9558" spans="1:7">
      <c r="A9558" s="1079"/>
      <c r="B9558" s="1050"/>
      <c r="C9558" s="1050"/>
      <c r="D9558" s="1050"/>
      <c r="E9558" s="1050"/>
      <c r="F9558" s="1050"/>
      <c r="G9558" s="1050"/>
    </row>
    <row r="9559" spans="1:7">
      <c r="A9559" s="1079"/>
      <c r="B9559" s="1050"/>
      <c r="C9559" s="1050"/>
      <c r="D9559" s="1050"/>
      <c r="E9559" s="1050"/>
      <c r="F9559" s="1050"/>
      <c r="G9559" s="1050"/>
    </row>
    <row r="9560" spans="1:7">
      <c r="A9560" s="1079"/>
      <c r="B9560" s="1050"/>
      <c r="C9560" s="1050"/>
      <c r="D9560" s="1050"/>
      <c r="E9560" s="1050"/>
      <c r="F9560" s="1050"/>
      <c r="G9560" s="1050"/>
    </row>
    <row r="9561" spans="1:7">
      <c r="A9561" s="1079"/>
      <c r="B9561" s="1050"/>
      <c r="C9561" s="1050"/>
      <c r="D9561" s="1050"/>
      <c r="E9561" s="1050"/>
      <c r="F9561" s="1050"/>
      <c r="G9561" s="1050"/>
    </row>
    <row r="9562" spans="1:7">
      <c r="A9562" s="1079"/>
      <c r="B9562" s="1050"/>
      <c r="C9562" s="1050"/>
      <c r="D9562" s="1050"/>
      <c r="E9562" s="1050"/>
      <c r="F9562" s="1050"/>
      <c r="G9562" s="1050"/>
    </row>
    <row r="9563" spans="1:7">
      <c r="A9563" s="1079"/>
      <c r="B9563" s="1050"/>
      <c r="C9563" s="1050"/>
      <c r="D9563" s="1050"/>
      <c r="E9563" s="1050"/>
      <c r="F9563" s="1050"/>
      <c r="G9563" s="1050"/>
    </row>
    <row r="9564" spans="1:7">
      <c r="A9564" s="1079"/>
      <c r="B9564" s="1050"/>
      <c r="C9564" s="1050"/>
      <c r="D9564" s="1050"/>
      <c r="E9564" s="1050"/>
      <c r="F9564" s="1050"/>
      <c r="G9564" s="1050"/>
    </row>
    <row r="9565" spans="1:7">
      <c r="A9565" s="1079"/>
      <c r="B9565" s="1050"/>
      <c r="C9565" s="1050"/>
      <c r="D9565" s="1050"/>
      <c r="E9565" s="1050"/>
      <c r="F9565" s="1050"/>
      <c r="G9565" s="1050"/>
    </row>
    <row r="9566" spans="1:7">
      <c r="A9566" s="1079"/>
      <c r="B9566" s="1050"/>
      <c r="C9566" s="1050"/>
      <c r="D9566" s="1050"/>
      <c r="E9566" s="1050"/>
      <c r="F9566" s="1050"/>
      <c r="G9566" s="1050"/>
    </row>
    <row r="9567" spans="1:7">
      <c r="A9567" s="1079"/>
      <c r="B9567" s="1050"/>
      <c r="C9567" s="1050"/>
      <c r="D9567" s="1050"/>
      <c r="E9567" s="1050"/>
      <c r="F9567" s="1050"/>
      <c r="G9567" s="1050"/>
    </row>
    <row r="9568" spans="1:7">
      <c r="A9568" s="1079"/>
      <c r="B9568" s="1050"/>
      <c r="C9568" s="1050"/>
      <c r="D9568" s="1050"/>
      <c r="E9568" s="1050"/>
      <c r="F9568" s="1050"/>
      <c r="G9568" s="1050"/>
    </row>
    <row r="9569" spans="1:7">
      <c r="A9569" s="1079"/>
      <c r="B9569" s="1050"/>
      <c r="C9569" s="1050"/>
      <c r="D9569" s="1050"/>
      <c r="E9569" s="1050"/>
      <c r="F9569" s="1050"/>
      <c r="G9569" s="1050"/>
    </row>
    <row r="9570" spans="1:7">
      <c r="A9570" s="1079"/>
      <c r="B9570" s="1050"/>
      <c r="C9570" s="1050"/>
      <c r="D9570" s="1050"/>
      <c r="E9570" s="1050"/>
      <c r="F9570" s="1050"/>
      <c r="G9570" s="1050"/>
    </row>
    <row r="9571" spans="1:7">
      <c r="A9571" s="1079"/>
      <c r="B9571" s="1050"/>
      <c r="C9571" s="1050"/>
      <c r="D9571" s="1050"/>
      <c r="E9571" s="1050"/>
      <c r="F9571" s="1050"/>
      <c r="G9571" s="1050"/>
    </row>
    <row r="9572" spans="1:7">
      <c r="A9572" s="1079"/>
      <c r="B9572" s="1050"/>
      <c r="C9572" s="1050"/>
      <c r="D9572" s="1050"/>
      <c r="E9572" s="1050"/>
      <c r="F9572" s="1050"/>
      <c r="G9572" s="1050"/>
    </row>
    <row r="9573" spans="1:7">
      <c r="A9573" s="1079"/>
      <c r="B9573" s="1050"/>
      <c r="C9573" s="1050"/>
      <c r="D9573" s="1050"/>
      <c r="E9573" s="1050"/>
      <c r="F9573" s="1050"/>
      <c r="G9573" s="1050"/>
    </row>
    <row r="9574" spans="1:7">
      <c r="A9574" s="1079"/>
      <c r="B9574" s="1050"/>
      <c r="C9574" s="1050"/>
      <c r="D9574" s="1050"/>
      <c r="E9574" s="1050"/>
      <c r="F9574" s="1050"/>
      <c r="G9574" s="1050"/>
    </row>
    <row r="9575" spans="1:7">
      <c r="A9575" s="1079"/>
      <c r="B9575" s="1050"/>
      <c r="C9575" s="1050"/>
      <c r="D9575" s="1050"/>
      <c r="E9575" s="1050"/>
      <c r="F9575" s="1050"/>
      <c r="G9575" s="1050"/>
    </row>
    <row r="9576" spans="1:7">
      <c r="A9576" s="1079"/>
      <c r="B9576" s="1050"/>
      <c r="C9576" s="1050"/>
      <c r="D9576" s="1050"/>
      <c r="E9576" s="1050"/>
      <c r="F9576" s="1050"/>
      <c r="G9576" s="1050"/>
    </row>
    <row r="9577" spans="1:7">
      <c r="A9577" s="1079"/>
      <c r="B9577" s="1050"/>
      <c r="C9577" s="1050"/>
      <c r="D9577" s="1050"/>
      <c r="E9577" s="1050"/>
      <c r="F9577" s="1050"/>
      <c r="G9577" s="1050"/>
    </row>
    <row r="9578" spans="1:7">
      <c r="A9578" s="1079"/>
      <c r="B9578" s="1050"/>
      <c r="C9578" s="1050"/>
      <c r="D9578" s="1050"/>
      <c r="E9578" s="1050"/>
      <c r="F9578" s="1050"/>
      <c r="G9578" s="1050"/>
    </row>
    <row r="9579" spans="1:7">
      <c r="A9579" s="1079"/>
      <c r="B9579" s="1050"/>
      <c r="C9579" s="1050"/>
      <c r="D9579" s="1050"/>
      <c r="E9579" s="1050"/>
      <c r="F9579" s="1050"/>
      <c r="G9579" s="1050"/>
    </row>
    <row r="9580" spans="1:7">
      <c r="A9580" s="1079"/>
      <c r="B9580" s="1050"/>
      <c r="C9580" s="1050"/>
      <c r="D9580" s="1050"/>
      <c r="E9580" s="1050"/>
      <c r="F9580" s="1050"/>
      <c r="G9580" s="1050"/>
    </row>
    <row r="9581" spans="1:7">
      <c r="A9581" s="1079"/>
      <c r="B9581" s="1050"/>
      <c r="C9581" s="1050"/>
      <c r="D9581" s="1050"/>
      <c r="E9581" s="1050"/>
      <c r="F9581" s="1050"/>
      <c r="G9581" s="1050"/>
    </row>
    <row r="9582" spans="1:7">
      <c r="A9582" s="1079"/>
      <c r="B9582" s="1050"/>
      <c r="C9582" s="1050"/>
      <c r="D9582" s="1050"/>
      <c r="E9582" s="1050"/>
      <c r="F9582" s="1050"/>
      <c r="G9582" s="1050"/>
    </row>
    <row r="9583" spans="1:7">
      <c r="A9583" s="1079"/>
      <c r="B9583" s="1050"/>
      <c r="C9583" s="1050"/>
      <c r="D9583" s="1050"/>
      <c r="E9583" s="1050"/>
      <c r="F9583" s="1050"/>
      <c r="G9583" s="1050"/>
    </row>
    <row r="9584" spans="1:7">
      <c r="A9584" s="1079"/>
      <c r="B9584" s="1050"/>
      <c r="C9584" s="1050"/>
      <c r="D9584" s="1050"/>
      <c r="E9584" s="1050"/>
      <c r="F9584" s="1050"/>
      <c r="G9584" s="1050"/>
    </row>
    <row r="9585" spans="1:7">
      <c r="A9585" s="1079"/>
      <c r="B9585" s="1050"/>
      <c r="C9585" s="1050"/>
      <c r="D9585" s="1050"/>
      <c r="E9585" s="1050"/>
      <c r="F9585" s="1050"/>
      <c r="G9585" s="1050"/>
    </row>
    <row r="9586" spans="1:7">
      <c r="A9586" s="1079"/>
      <c r="B9586" s="1050"/>
      <c r="C9586" s="1050"/>
      <c r="D9586" s="1050"/>
      <c r="E9586" s="1050"/>
      <c r="F9586" s="1050"/>
      <c r="G9586" s="1050"/>
    </row>
    <row r="9587" spans="1:7">
      <c r="A9587" s="1079"/>
      <c r="B9587" s="1050"/>
      <c r="C9587" s="1050"/>
      <c r="D9587" s="1050"/>
      <c r="E9587" s="1050"/>
      <c r="F9587" s="1050"/>
      <c r="G9587" s="1050"/>
    </row>
    <row r="9588" spans="1:7">
      <c r="A9588" s="1079"/>
      <c r="B9588" s="1050"/>
      <c r="C9588" s="1050"/>
      <c r="D9588" s="1050"/>
      <c r="E9588" s="1050"/>
      <c r="F9588" s="1050"/>
      <c r="G9588" s="1050"/>
    </row>
    <row r="9589" spans="1:7">
      <c r="A9589" s="1079"/>
      <c r="B9589" s="1050"/>
      <c r="C9589" s="1050"/>
      <c r="D9589" s="1050"/>
      <c r="E9589" s="1050"/>
      <c r="F9589" s="1050"/>
      <c r="G9589" s="1050"/>
    </row>
    <row r="9590" spans="1:7">
      <c r="A9590" s="1079"/>
      <c r="B9590" s="1050"/>
      <c r="C9590" s="1050"/>
      <c r="D9590" s="1050"/>
      <c r="E9590" s="1050"/>
      <c r="F9590" s="1050"/>
      <c r="G9590" s="1050"/>
    </row>
    <row r="9591" spans="1:7">
      <c r="A9591" s="1079"/>
      <c r="B9591" s="1050"/>
      <c r="C9591" s="1050"/>
      <c r="D9591" s="1050"/>
      <c r="E9591" s="1050"/>
      <c r="F9591" s="1050"/>
      <c r="G9591" s="1050"/>
    </row>
    <row r="9592" spans="1:7">
      <c r="A9592" s="1079"/>
      <c r="B9592" s="1050"/>
      <c r="C9592" s="1050"/>
      <c r="D9592" s="1050"/>
      <c r="E9592" s="1050"/>
      <c r="F9592" s="1050"/>
      <c r="G9592" s="1050"/>
    </row>
    <row r="9593" spans="1:7">
      <c r="A9593" s="1079"/>
      <c r="B9593" s="1050"/>
      <c r="C9593" s="1050"/>
      <c r="D9593" s="1050"/>
      <c r="E9593" s="1050"/>
      <c r="F9593" s="1050"/>
      <c r="G9593" s="1050"/>
    </row>
    <row r="9594" spans="1:7">
      <c r="A9594" s="1079"/>
      <c r="B9594" s="1050"/>
      <c r="C9594" s="1050"/>
      <c r="D9594" s="1050"/>
      <c r="E9594" s="1050"/>
      <c r="F9594" s="1050"/>
      <c r="G9594" s="1050"/>
    </row>
    <row r="9595" spans="1:7">
      <c r="A9595" s="1079"/>
      <c r="B9595" s="1050"/>
      <c r="C9595" s="1050"/>
      <c r="D9595" s="1050"/>
      <c r="E9595" s="1050"/>
      <c r="F9595" s="1050"/>
      <c r="G9595" s="1050"/>
    </row>
    <row r="9596" spans="1:7">
      <c r="A9596" s="1079"/>
      <c r="B9596" s="1050"/>
      <c r="C9596" s="1050"/>
      <c r="D9596" s="1050"/>
      <c r="E9596" s="1050"/>
      <c r="F9596" s="1050"/>
      <c r="G9596" s="1050"/>
    </row>
    <row r="9597" spans="1:7">
      <c r="A9597" s="1079"/>
      <c r="B9597" s="1050"/>
      <c r="C9597" s="1050"/>
      <c r="D9597" s="1050"/>
      <c r="E9597" s="1050"/>
      <c r="F9597" s="1050"/>
      <c r="G9597" s="1050"/>
    </row>
    <row r="9598" spans="1:7">
      <c r="A9598" s="1079"/>
      <c r="B9598" s="1050"/>
      <c r="C9598" s="1050"/>
      <c r="D9598" s="1050"/>
      <c r="E9598" s="1050"/>
      <c r="F9598" s="1050"/>
      <c r="G9598" s="1050"/>
    </row>
    <row r="9599" spans="1:7">
      <c r="A9599" s="1079"/>
      <c r="B9599" s="1050"/>
      <c r="C9599" s="1050"/>
      <c r="D9599" s="1050"/>
      <c r="E9599" s="1050"/>
      <c r="F9599" s="1050"/>
      <c r="G9599" s="1050"/>
    </row>
    <row r="9600" spans="1:7">
      <c r="A9600" s="1079"/>
      <c r="B9600" s="1050"/>
      <c r="C9600" s="1050"/>
      <c r="D9600" s="1050"/>
      <c r="E9600" s="1050"/>
      <c r="F9600" s="1050"/>
      <c r="G9600" s="1050"/>
    </row>
    <row r="9601" spans="1:7">
      <c r="A9601" s="1079"/>
      <c r="B9601" s="1050"/>
      <c r="C9601" s="1050"/>
      <c r="D9601" s="1050"/>
      <c r="E9601" s="1050"/>
      <c r="F9601" s="1050"/>
      <c r="G9601" s="1050"/>
    </row>
    <row r="9602" spans="1:7">
      <c r="A9602" s="1079"/>
      <c r="B9602" s="1050"/>
      <c r="C9602" s="1050"/>
      <c r="D9602" s="1050"/>
      <c r="E9602" s="1050"/>
      <c r="F9602" s="1050"/>
      <c r="G9602" s="1050"/>
    </row>
    <row r="9603" spans="1:7">
      <c r="A9603" s="1079"/>
      <c r="B9603" s="1050"/>
      <c r="C9603" s="1050"/>
      <c r="D9603" s="1050"/>
      <c r="E9603" s="1050"/>
      <c r="F9603" s="1050"/>
      <c r="G9603" s="1050"/>
    </row>
    <row r="9604" spans="1:7">
      <c r="A9604" s="1079"/>
      <c r="B9604" s="1050"/>
      <c r="C9604" s="1050"/>
      <c r="D9604" s="1050"/>
      <c r="E9604" s="1050"/>
      <c r="F9604" s="1050"/>
      <c r="G9604" s="1050"/>
    </row>
    <row r="9605" spans="1:7">
      <c r="A9605" s="1079"/>
      <c r="B9605" s="1050"/>
      <c r="C9605" s="1050"/>
      <c r="D9605" s="1050"/>
      <c r="E9605" s="1050"/>
      <c r="F9605" s="1050"/>
      <c r="G9605" s="1050"/>
    </row>
    <row r="9606" spans="1:7">
      <c r="A9606" s="1079"/>
      <c r="B9606" s="1050"/>
      <c r="C9606" s="1050"/>
      <c r="D9606" s="1050"/>
      <c r="E9606" s="1050"/>
      <c r="F9606" s="1050"/>
      <c r="G9606" s="1050"/>
    </row>
    <row r="9607" spans="1:7">
      <c r="A9607" s="1079"/>
      <c r="B9607" s="1050"/>
      <c r="C9607" s="1050"/>
      <c r="D9607" s="1050"/>
      <c r="E9607" s="1050"/>
      <c r="F9607" s="1050"/>
      <c r="G9607" s="1050"/>
    </row>
    <row r="9608" spans="1:7">
      <c r="A9608" s="1079"/>
      <c r="B9608" s="1050"/>
      <c r="C9608" s="1050"/>
      <c r="D9608" s="1050"/>
      <c r="E9608" s="1050"/>
      <c r="F9608" s="1050"/>
      <c r="G9608" s="1050"/>
    </row>
    <row r="9609" spans="1:7">
      <c r="A9609" s="1079"/>
      <c r="B9609" s="1050"/>
      <c r="C9609" s="1050"/>
      <c r="D9609" s="1050"/>
      <c r="E9609" s="1050"/>
      <c r="F9609" s="1050"/>
      <c r="G9609" s="1050"/>
    </row>
    <row r="9610" spans="1:7">
      <c r="A9610" s="1079"/>
      <c r="B9610" s="1050"/>
      <c r="C9610" s="1050"/>
      <c r="D9610" s="1050"/>
      <c r="E9610" s="1050"/>
      <c r="F9610" s="1050"/>
      <c r="G9610" s="1050"/>
    </row>
    <row r="9611" spans="1:7">
      <c r="A9611" s="1079"/>
      <c r="B9611" s="1050"/>
      <c r="C9611" s="1050"/>
      <c r="D9611" s="1050"/>
      <c r="E9611" s="1050"/>
      <c r="F9611" s="1050"/>
      <c r="G9611" s="1050"/>
    </row>
    <row r="9612" spans="1:7">
      <c r="A9612" s="1079"/>
      <c r="B9612" s="1050"/>
      <c r="C9612" s="1050"/>
      <c r="D9612" s="1050"/>
      <c r="E9612" s="1050"/>
      <c r="F9612" s="1050"/>
      <c r="G9612" s="1050"/>
    </row>
    <row r="9613" spans="1:7">
      <c r="A9613" s="1079"/>
      <c r="B9613" s="1050"/>
      <c r="C9613" s="1050"/>
      <c r="D9613" s="1050"/>
      <c r="E9613" s="1050"/>
      <c r="F9613" s="1050"/>
      <c r="G9613" s="1050"/>
    </row>
    <row r="9614" spans="1:7">
      <c r="A9614" s="1079"/>
      <c r="B9614" s="1050"/>
      <c r="C9614" s="1050"/>
      <c r="D9614" s="1050"/>
      <c r="E9614" s="1050"/>
      <c r="F9614" s="1050"/>
      <c r="G9614" s="1050"/>
    </row>
    <row r="9615" spans="1:7">
      <c r="A9615" s="1079"/>
      <c r="B9615" s="1050"/>
      <c r="C9615" s="1050"/>
      <c r="D9615" s="1050"/>
      <c r="E9615" s="1050"/>
      <c r="F9615" s="1050"/>
      <c r="G9615" s="1050"/>
    </row>
    <row r="9616" spans="1:7">
      <c r="A9616" s="1079"/>
      <c r="B9616" s="1050"/>
      <c r="C9616" s="1050"/>
      <c r="D9616" s="1050"/>
      <c r="E9616" s="1050"/>
      <c r="F9616" s="1050"/>
      <c r="G9616" s="1050"/>
    </row>
    <row r="9617" spans="1:7">
      <c r="A9617" s="1079"/>
      <c r="B9617" s="1050"/>
      <c r="C9617" s="1050"/>
      <c r="D9617" s="1050"/>
      <c r="E9617" s="1050"/>
      <c r="F9617" s="1050"/>
      <c r="G9617" s="1050"/>
    </row>
    <row r="9618" spans="1:7">
      <c r="A9618" s="1079"/>
      <c r="B9618" s="1050"/>
      <c r="C9618" s="1050"/>
      <c r="D9618" s="1050"/>
      <c r="E9618" s="1050"/>
      <c r="F9618" s="1050"/>
      <c r="G9618" s="1050"/>
    </row>
    <row r="9619" spans="1:7">
      <c r="A9619" s="1079"/>
      <c r="B9619" s="1050"/>
      <c r="C9619" s="1050"/>
      <c r="D9619" s="1050"/>
      <c r="E9619" s="1050"/>
      <c r="F9619" s="1050"/>
      <c r="G9619" s="1050"/>
    </row>
    <row r="9620" spans="1:7">
      <c r="A9620" s="1079"/>
      <c r="B9620" s="1050"/>
      <c r="C9620" s="1050"/>
      <c r="D9620" s="1050"/>
      <c r="E9620" s="1050"/>
      <c r="F9620" s="1050"/>
      <c r="G9620" s="1050"/>
    </row>
    <row r="9621" spans="1:7">
      <c r="A9621" s="1079"/>
      <c r="B9621" s="1050"/>
      <c r="C9621" s="1050"/>
      <c r="D9621" s="1050"/>
      <c r="E9621" s="1050"/>
      <c r="F9621" s="1050"/>
      <c r="G9621" s="1050"/>
    </row>
    <row r="9622" spans="1:7">
      <c r="A9622" s="1079"/>
      <c r="B9622" s="1050"/>
      <c r="C9622" s="1050"/>
      <c r="D9622" s="1050"/>
      <c r="E9622" s="1050"/>
      <c r="F9622" s="1050"/>
      <c r="G9622" s="1050"/>
    </row>
    <row r="9623" spans="1:7">
      <c r="A9623" s="1079"/>
      <c r="B9623" s="1050"/>
      <c r="C9623" s="1050"/>
      <c r="D9623" s="1050"/>
      <c r="E9623" s="1050"/>
      <c r="F9623" s="1050"/>
      <c r="G9623" s="1050"/>
    </row>
    <row r="9624" spans="1:7">
      <c r="A9624" s="1079"/>
      <c r="B9624" s="1050"/>
      <c r="C9624" s="1050"/>
      <c r="D9624" s="1050"/>
      <c r="E9624" s="1050"/>
      <c r="F9624" s="1050"/>
      <c r="G9624" s="1050"/>
    </row>
    <row r="9625" spans="1:7">
      <c r="A9625" s="1079"/>
      <c r="B9625" s="1050"/>
      <c r="C9625" s="1050"/>
      <c r="D9625" s="1050"/>
      <c r="E9625" s="1050"/>
      <c r="F9625" s="1050"/>
      <c r="G9625" s="1050"/>
    </row>
    <row r="9626" spans="1:7">
      <c r="A9626" s="1079"/>
      <c r="B9626" s="1050"/>
      <c r="C9626" s="1050"/>
      <c r="D9626" s="1050"/>
      <c r="E9626" s="1050"/>
      <c r="F9626" s="1050"/>
      <c r="G9626" s="1050"/>
    </row>
    <row r="9627" spans="1:7">
      <c r="A9627" s="1079"/>
      <c r="B9627" s="1050"/>
      <c r="C9627" s="1050"/>
      <c r="D9627" s="1050"/>
      <c r="E9627" s="1050"/>
      <c r="F9627" s="1050"/>
      <c r="G9627" s="1050"/>
    </row>
    <row r="9628" spans="1:7">
      <c r="A9628" s="1079"/>
      <c r="B9628" s="1050"/>
      <c r="C9628" s="1050"/>
      <c r="D9628" s="1050"/>
      <c r="E9628" s="1050"/>
      <c r="F9628" s="1050"/>
      <c r="G9628" s="1050"/>
    </row>
    <row r="9629" spans="1:7">
      <c r="A9629" s="1079"/>
      <c r="B9629" s="1050"/>
      <c r="C9629" s="1050"/>
      <c r="D9629" s="1050"/>
      <c r="E9629" s="1050"/>
      <c r="F9629" s="1050"/>
      <c r="G9629" s="1050"/>
    </row>
    <row r="9630" spans="1:7">
      <c r="A9630" s="1079"/>
      <c r="B9630" s="1050"/>
      <c r="C9630" s="1050"/>
      <c r="D9630" s="1050"/>
      <c r="E9630" s="1050"/>
      <c r="F9630" s="1050"/>
      <c r="G9630" s="1050"/>
    </row>
    <row r="9631" spans="1:7">
      <c r="A9631" s="1079"/>
      <c r="B9631" s="1050"/>
      <c r="C9631" s="1050"/>
      <c r="D9631" s="1050"/>
      <c r="E9631" s="1050"/>
      <c r="F9631" s="1050"/>
      <c r="G9631" s="1050"/>
    </row>
    <row r="9632" spans="1:7">
      <c r="A9632" s="1079"/>
      <c r="B9632" s="1050"/>
      <c r="C9632" s="1050"/>
      <c r="D9632" s="1050"/>
      <c r="E9632" s="1050"/>
      <c r="F9632" s="1050"/>
      <c r="G9632" s="1050"/>
    </row>
    <row r="9633" spans="1:7">
      <c r="A9633" s="1079"/>
      <c r="B9633" s="1050"/>
      <c r="C9633" s="1050"/>
      <c r="D9633" s="1050"/>
      <c r="E9633" s="1050"/>
      <c r="F9633" s="1050"/>
      <c r="G9633" s="1050"/>
    </row>
    <row r="9634" spans="1:7">
      <c r="A9634" s="1079"/>
      <c r="B9634" s="1050"/>
      <c r="C9634" s="1050"/>
      <c r="D9634" s="1050"/>
      <c r="E9634" s="1050"/>
      <c r="F9634" s="1050"/>
      <c r="G9634" s="1050"/>
    </row>
    <row r="9635" spans="1:7">
      <c r="A9635" s="1079"/>
      <c r="B9635" s="1050"/>
      <c r="C9635" s="1050"/>
      <c r="D9635" s="1050"/>
      <c r="E9635" s="1050"/>
      <c r="F9635" s="1050"/>
      <c r="G9635" s="1050"/>
    </row>
    <row r="9636" spans="1:7">
      <c r="A9636" s="1079"/>
      <c r="B9636" s="1050"/>
      <c r="C9636" s="1050"/>
      <c r="D9636" s="1050"/>
      <c r="E9636" s="1050"/>
      <c r="F9636" s="1050"/>
      <c r="G9636" s="1050"/>
    </row>
    <row r="9637" spans="1:7">
      <c r="A9637" s="1079"/>
      <c r="B9637" s="1050"/>
      <c r="C9637" s="1050"/>
      <c r="D9637" s="1050"/>
      <c r="E9637" s="1050"/>
      <c r="F9637" s="1050"/>
      <c r="G9637" s="1050"/>
    </row>
    <row r="9638" spans="1:7">
      <c r="A9638" s="1079"/>
      <c r="B9638" s="1050"/>
      <c r="C9638" s="1050"/>
      <c r="D9638" s="1050"/>
      <c r="E9638" s="1050"/>
      <c r="F9638" s="1050"/>
      <c r="G9638" s="1050"/>
    </row>
    <row r="9639" spans="1:7">
      <c r="A9639" s="1079"/>
      <c r="B9639" s="1050"/>
      <c r="C9639" s="1050"/>
      <c r="D9639" s="1050"/>
      <c r="E9639" s="1050"/>
      <c r="F9639" s="1050"/>
      <c r="G9639" s="1050"/>
    </row>
    <row r="9640" spans="1:7">
      <c r="A9640" s="1079"/>
      <c r="B9640" s="1050"/>
      <c r="C9640" s="1050"/>
      <c r="D9640" s="1050"/>
      <c r="E9640" s="1050"/>
      <c r="F9640" s="1050"/>
      <c r="G9640" s="1050"/>
    </row>
    <row r="9641" spans="1:7">
      <c r="A9641" s="1079"/>
      <c r="B9641" s="1050"/>
      <c r="C9641" s="1050"/>
      <c r="D9641" s="1050"/>
      <c r="E9641" s="1050"/>
      <c r="F9641" s="1050"/>
      <c r="G9641" s="1050"/>
    </row>
    <row r="9642" spans="1:7">
      <c r="A9642" s="1079"/>
      <c r="B9642" s="1050"/>
      <c r="C9642" s="1050"/>
      <c r="D9642" s="1050"/>
      <c r="E9642" s="1050"/>
      <c r="F9642" s="1050"/>
      <c r="G9642" s="1050"/>
    </row>
    <row r="9643" spans="1:7">
      <c r="A9643" s="1079"/>
      <c r="B9643" s="1050"/>
      <c r="C9643" s="1050"/>
      <c r="D9643" s="1050"/>
      <c r="E9643" s="1050"/>
      <c r="F9643" s="1050"/>
      <c r="G9643" s="1050"/>
    </row>
    <row r="9644" spans="1:7">
      <c r="A9644" s="1079"/>
      <c r="B9644" s="1050"/>
      <c r="C9644" s="1050"/>
      <c r="D9644" s="1050"/>
      <c r="E9644" s="1050"/>
      <c r="F9644" s="1050"/>
      <c r="G9644" s="1050"/>
    </row>
    <row r="9645" spans="1:7">
      <c r="A9645" s="1079"/>
      <c r="B9645" s="1050"/>
      <c r="C9645" s="1050"/>
      <c r="D9645" s="1050"/>
      <c r="E9645" s="1050"/>
      <c r="F9645" s="1050"/>
      <c r="G9645" s="1050"/>
    </row>
    <row r="9646" spans="1:7">
      <c r="A9646" s="1079"/>
      <c r="B9646" s="1050"/>
      <c r="C9646" s="1050"/>
      <c r="D9646" s="1050"/>
      <c r="E9646" s="1050"/>
      <c r="F9646" s="1050"/>
      <c r="G9646" s="1050"/>
    </row>
    <row r="9647" spans="1:7">
      <c r="A9647" s="1079"/>
      <c r="B9647" s="1050"/>
      <c r="C9647" s="1050"/>
      <c r="D9647" s="1050"/>
      <c r="E9647" s="1050"/>
      <c r="F9647" s="1050"/>
      <c r="G9647" s="1050"/>
    </row>
    <row r="9648" spans="1:7">
      <c r="A9648" s="1079"/>
      <c r="B9648" s="1050"/>
      <c r="C9648" s="1050"/>
      <c r="D9648" s="1050"/>
      <c r="E9648" s="1050"/>
      <c r="F9648" s="1050"/>
      <c r="G9648" s="1050"/>
    </row>
    <row r="9649" spans="1:7">
      <c r="A9649" s="1079"/>
      <c r="B9649" s="1050"/>
      <c r="C9649" s="1050"/>
      <c r="D9649" s="1050"/>
      <c r="E9649" s="1050"/>
      <c r="F9649" s="1050"/>
      <c r="G9649" s="1050"/>
    </row>
    <row r="9650" spans="1:7">
      <c r="A9650" s="1079"/>
      <c r="B9650" s="1050"/>
      <c r="C9650" s="1050"/>
      <c r="D9650" s="1050"/>
      <c r="E9650" s="1050"/>
      <c r="F9650" s="1050"/>
      <c r="G9650" s="1050"/>
    </row>
    <row r="9651" spans="1:7">
      <c r="A9651" s="1079"/>
      <c r="B9651" s="1050"/>
      <c r="C9651" s="1050"/>
      <c r="D9651" s="1050"/>
      <c r="E9651" s="1050"/>
      <c r="F9651" s="1050"/>
      <c r="G9651" s="1050"/>
    </row>
    <row r="9652" spans="1:7">
      <c r="A9652" s="1079"/>
      <c r="B9652" s="1050"/>
      <c r="C9652" s="1050"/>
      <c r="D9652" s="1050"/>
      <c r="E9652" s="1050"/>
      <c r="F9652" s="1050"/>
      <c r="G9652" s="1050"/>
    </row>
    <row r="9653" spans="1:7">
      <c r="A9653" s="1079"/>
      <c r="B9653" s="1050"/>
      <c r="C9653" s="1050"/>
      <c r="D9653" s="1050"/>
      <c r="E9653" s="1050"/>
      <c r="F9653" s="1050"/>
      <c r="G9653" s="1050"/>
    </row>
    <row r="9654" spans="1:7">
      <c r="A9654" s="1079"/>
      <c r="B9654" s="1050"/>
      <c r="C9654" s="1050"/>
      <c r="D9654" s="1050"/>
      <c r="E9654" s="1050"/>
      <c r="F9654" s="1050"/>
      <c r="G9654" s="1050"/>
    </row>
    <row r="9655" spans="1:7">
      <c r="A9655" s="1079"/>
      <c r="B9655" s="1050"/>
      <c r="C9655" s="1050"/>
      <c r="D9655" s="1050"/>
      <c r="E9655" s="1050"/>
      <c r="F9655" s="1050"/>
      <c r="G9655" s="1050"/>
    </row>
    <row r="9656" spans="1:7">
      <c r="A9656" s="1079"/>
      <c r="B9656" s="1050"/>
      <c r="C9656" s="1050"/>
      <c r="D9656" s="1050"/>
      <c r="E9656" s="1050"/>
      <c r="F9656" s="1050"/>
      <c r="G9656" s="1050"/>
    </row>
    <row r="9657" spans="1:7">
      <c r="A9657" s="1079"/>
      <c r="B9657" s="1050"/>
      <c r="C9657" s="1050"/>
      <c r="D9657" s="1050"/>
      <c r="E9657" s="1050"/>
      <c r="F9657" s="1050"/>
      <c r="G9657" s="1050"/>
    </row>
    <row r="9658" spans="1:7">
      <c r="A9658" s="1079"/>
      <c r="B9658" s="1050"/>
      <c r="C9658" s="1050"/>
      <c r="D9658" s="1050"/>
      <c r="E9658" s="1050"/>
      <c r="F9658" s="1050"/>
      <c r="G9658" s="1050"/>
    </row>
    <row r="9659" spans="1:7">
      <c r="A9659" s="1079"/>
      <c r="B9659" s="1050"/>
      <c r="C9659" s="1050"/>
      <c r="D9659" s="1050"/>
      <c r="E9659" s="1050"/>
      <c r="F9659" s="1050"/>
      <c r="G9659" s="1050"/>
    </row>
    <row r="9660" spans="1:7">
      <c r="A9660" s="1079"/>
      <c r="B9660" s="1050"/>
      <c r="C9660" s="1050"/>
      <c r="D9660" s="1050"/>
      <c r="E9660" s="1050"/>
      <c r="F9660" s="1050"/>
      <c r="G9660" s="1050"/>
    </row>
    <row r="9661" spans="1:7">
      <c r="A9661" s="1079"/>
      <c r="B9661" s="1050"/>
      <c r="C9661" s="1050"/>
      <c r="D9661" s="1050"/>
      <c r="E9661" s="1050"/>
      <c r="F9661" s="1050"/>
      <c r="G9661" s="1050"/>
    </row>
    <row r="9662" spans="1:7">
      <c r="A9662" s="1079"/>
      <c r="B9662" s="1050"/>
      <c r="C9662" s="1050"/>
      <c r="D9662" s="1050"/>
      <c r="E9662" s="1050"/>
      <c r="F9662" s="1050"/>
      <c r="G9662" s="1050"/>
    </row>
    <row r="9663" spans="1:7">
      <c r="A9663" s="1079"/>
      <c r="B9663" s="1050"/>
      <c r="C9663" s="1050"/>
      <c r="D9663" s="1050"/>
      <c r="E9663" s="1050"/>
      <c r="F9663" s="1050"/>
      <c r="G9663" s="1050"/>
    </row>
    <row r="9664" spans="1:7">
      <c r="A9664" s="1079"/>
      <c r="B9664" s="1050"/>
      <c r="C9664" s="1050"/>
      <c r="D9664" s="1050"/>
      <c r="E9664" s="1050"/>
      <c r="F9664" s="1050"/>
      <c r="G9664" s="1050"/>
    </row>
    <row r="9665" spans="1:7">
      <c r="A9665" s="1079"/>
      <c r="B9665" s="1050"/>
      <c r="C9665" s="1050"/>
      <c r="D9665" s="1050"/>
      <c r="E9665" s="1050"/>
      <c r="F9665" s="1050"/>
      <c r="G9665" s="1050"/>
    </row>
    <row r="9666" spans="1:7">
      <c r="A9666" s="1079"/>
      <c r="B9666" s="1050"/>
      <c r="C9666" s="1050"/>
      <c r="D9666" s="1050"/>
      <c r="E9666" s="1050"/>
      <c r="F9666" s="1050"/>
      <c r="G9666" s="1050"/>
    </row>
    <row r="9667" spans="1:7">
      <c r="A9667" s="1079"/>
      <c r="B9667" s="1050"/>
      <c r="C9667" s="1050"/>
      <c r="D9667" s="1050"/>
      <c r="E9667" s="1050"/>
      <c r="F9667" s="1050"/>
      <c r="G9667" s="1050"/>
    </row>
    <row r="9668" spans="1:7">
      <c r="A9668" s="1079"/>
      <c r="B9668" s="1050"/>
      <c r="C9668" s="1050"/>
      <c r="D9668" s="1050"/>
      <c r="E9668" s="1050"/>
      <c r="F9668" s="1050"/>
      <c r="G9668" s="1050"/>
    </row>
    <row r="9669" spans="1:7">
      <c r="A9669" s="1079"/>
      <c r="B9669" s="1050"/>
      <c r="C9669" s="1050"/>
      <c r="D9669" s="1050"/>
      <c r="E9669" s="1050"/>
      <c r="F9669" s="1050"/>
      <c r="G9669" s="1050"/>
    </row>
    <row r="9670" spans="1:7">
      <c r="A9670" s="1079"/>
      <c r="B9670" s="1050"/>
      <c r="C9670" s="1050"/>
      <c r="D9670" s="1050"/>
      <c r="E9670" s="1050"/>
      <c r="F9670" s="1050"/>
      <c r="G9670" s="1050"/>
    </row>
    <row r="9671" spans="1:7">
      <c r="A9671" s="1079"/>
      <c r="B9671" s="1050"/>
      <c r="C9671" s="1050"/>
      <c r="D9671" s="1050"/>
      <c r="E9671" s="1050"/>
      <c r="F9671" s="1050"/>
      <c r="G9671" s="1050"/>
    </row>
    <row r="9672" spans="1:7">
      <c r="A9672" s="1079"/>
      <c r="B9672" s="1050"/>
      <c r="C9672" s="1050"/>
      <c r="D9672" s="1050"/>
      <c r="E9672" s="1050"/>
      <c r="F9672" s="1050"/>
      <c r="G9672" s="1050"/>
    </row>
    <row r="9673" spans="1:7">
      <c r="A9673" s="1079"/>
      <c r="B9673" s="1050"/>
      <c r="C9673" s="1050"/>
      <c r="D9673" s="1050"/>
      <c r="E9673" s="1050"/>
      <c r="F9673" s="1050"/>
      <c r="G9673" s="1050"/>
    </row>
    <row r="9674" spans="1:7">
      <c r="A9674" s="1079"/>
      <c r="B9674" s="1050"/>
      <c r="C9674" s="1050"/>
      <c r="D9674" s="1050"/>
      <c r="E9674" s="1050"/>
      <c r="F9674" s="1050"/>
      <c r="G9674" s="1050"/>
    </row>
    <row r="9675" spans="1:7">
      <c r="A9675" s="1079"/>
      <c r="B9675" s="1050"/>
      <c r="C9675" s="1050"/>
      <c r="D9675" s="1050"/>
      <c r="E9675" s="1050"/>
      <c r="F9675" s="1050"/>
      <c r="G9675" s="1050"/>
    </row>
    <row r="9676" spans="1:7">
      <c r="A9676" s="1079"/>
      <c r="B9676" s="1050"/>
      <c r="C9676" s="1050"/>
      <c r="D9676" s="1050"/>
      <c r="E9676" s="1050"/>
      <c r="F9676" s="1050"/>
      <c r="G9676" s="1050"/>
    </row>
    <row r="9677" spans="1:7">
      <c r="A9677" s="1079"/>
      <c r="B9677" s="1050"/>
      <c r="C9677" s="1050"/>
      <c r="D9677" s="1050"/>
      <c r="E9677" s="1050"/>
      <c r="F9677" s="1050"/>
      <c r="G9677" s="1050"/>
    </row>
    <row r="9678" spans="1:7">
      <c r="A9678" s="1079"/>
      <c r="B9678" s="1050"/>
      <c r="C9678" s="1050"/>
      <c r="D9678" s="1050"/>
      <c r="E9678" s="1050"/>
      <c r="F9678" s="1050"/>
      <c r="G9678" s="1050"/>
    </row>
    <row r="9679" spans="1:7">
      <c r="A9679" s="1079"/>
      <c r="B9679" s="1050"/>
      <c r="C9679" s="1050"/>
      <c r="D9679" s="1050"/>
      <c r="E9679" s="1050"/>
      <c r="F9679" s="1050"/>
      <c r="G9679" s="1050"/>
    </row>
    <row r="9680" spans="1:7">
      <c r="A9680" s="1079"/>
      <c r="B9680" s="1050"/>
      <c r="C9680" s="1050"/>
      <c r="D9680" s="1050"/>
      <c r="E9680" s="1050"/>
      <c r="F9680" s="1050"/>
      <c r="G9680" s="1050"/>
    </row>
    <row r="9681" spans="1:7">
      <c r="A9681" s="1079"/>
      <c r="B9681" s="1050"/>
      <c r="C9681" s="1050"/>
      <c r="D9681" s="1050"/>
      <c r="E9681" s="1050"/>
      <c r="F9681" s="1050"/>
      <c r="G9681" s="1050"/>
    </row>
    <row r="9682" spans="1:7">
      <c r="A9682" s="1079"/>
      <c r="B9682" s="1050"/>
      <c r="C9682" s="1050"/>
      <c r="D9682" s="1050"/>
      <c r="E9682" s="1050"/>
      <c r="F9682" s="1050"/>
      <c r="G9682" s="1050"/>
    </row>
    <row r="9683" spans="1:7">
      <c r="A9683" s="1079"/>
      <c r="B9683" s="1050"/>
      <c r="C9683" s="1050"/>
      <c r="D9683" s="1050"/>
      <c r="E9683" s="1050"/>
      <c r="F9683" s="1050"/>
      <c r="G9683" s="1050"/>
    </row>
    <row r="9684" spans="1:7">
      <c r="A9684" s="1079"/>
      <c r="B9684" s="1050"/>
      <c r="C9684" s="1050"/>
      <c r="D9684" s="1050"/>
      <c r="E9684" s="1050"/>
      <c r="F9684" s="1050"/>
      <c r="G9684" s="1050"/>
    </row>
    <row r="9685" spans="1:7">
      <c r="A9685" s="1079"/>
      <c r="B9685" s="1050"/>
      <c r="C9685" s="1050"/>
      <c r="D9685" s="1050"/>
      <c r="E9685" s="1050"/>
      <c r="F9685" s="1050"/>
      <c r="G9685" s="1050"/>
    </row>
    <row r="9686" spans="1:7">
      <c r="A9686" s="1079"/>
      <c r="B9686" s="1050"/>
      <c r="C9686" s="1050"/>
      <c r="D9686" s="1050"/>
      <c r="E9686" s="1050"/>
      <c r="F9686" s="1050"/>
      <c r="G9686" s="1050"/>
    </row>
    <row r="9687" spans="1:7">
      <c r="A9687" s="1079"/>
      <c r="B9687" s="1050"/>
      <c r="C9687" s="1050"/>
      <c r="D9687" s="1050"/>
      <c r="E9687" s="1050"/>
      <c r="F9687" s="1050"/>
      <c r="G9687" s="1050"/>
    </row>
    <row r="9688" spans="1:7">
      <c r="A9688" s="1079"/>
      <c r="B9688" s="1050"/>
      <c r="C9688" s="1050"/>
      <c r="D9688" s="1050"/>
      <c r="E9688" s="1050"/>
      <c r="F9688" s="1050"/>
      <c r="G9688" s="1050"/>
    </row>
    <row r="9689" spans="1:7">
      <c r="A9689" s="1079"/>
      <c r="B9689" s="1050"/>
      <c r="C9689" s="1050"/>
      <c r="D9689" s="1050"/>
      <c r="E9689" s="1050"/>
      <c r="F9689" s="1050"/>
      <c r="G9689" s="1050"/>
    </row>
    <row r="9690" spans="1:7">
      <c r="A9690" s="1079"/>
      <c r="B9690" s="1050"/>
      <c r="C9690" s="1050"/>
      <c r="D9690" s="1050"/>
      <c r="E9690" s="1050"/>
      <c r="F9690" s="1050"/>
      <c r="G9690" s="1050"/>
    </row>
    <row r="9691" spans="1:7">
      <c r="A9691" s="1079"/>
      <c r="B9691" s="1050"/>
      <c r="C9691" s="1050"/>
      <c r="D9691" s="1050"/>
      <c r="E9691" s="1050"/>
      <c r="F9691" s="1050"/>
      <c r="G9691" s="1050"/>
    </row>
    <row r="9692" spans="1:7">
      <c r="A9692" s="1079"/>
      <c r="B9692" s="1050"/>
      <c r="C9692" s="1050"/>
      <c r="D9692" s="1050"/>
      <c r="E9692" s="1050"/>
      <c r="F9692" s="1050"/>
      <c r="G9692" s="1050"/>
    </row>
    <row r="9693" spans="1:7">
      <c r="A9693" s="1079"/>
      <c r="B9693" s="1050"/>
      <c r="C9693" s="1050"/>
      <c r="D9693" s="1050"/>
      <c r="E9693" s="1050"/>
      <c r="F9693" s="1050"/>
      <c r="G9693" s="1050"/>
    </row>
    <row r="9694" spans="1:7">
      <c r="A9694" s="1079"/>
      <c r="B9694" s="1050"/>
      <c r="C9694" s="1050"/>
      <c r="D9694" s="1050"/>
      <c r="E9694" s="1050"/>
      <c r="F9694" s="1050"/>
      <c r="G9694" s="1050"/>
    </row>
    <row r="9695" spans="1:7">
      <c r="A9695" s="1079"/>
      <c r="B9695" s="1050"/>
      <c r="C9695" s="1050"/>
      <c r="D9695" s="1050"/>
      <c r="E9695" s="1050"/>
      <c r="F9695" s="1050"/>
      <c r="G9695" s="1050"/>
    </row>
    <row r="9696" spans="1:7">
      <c r="A9696" s="1079"/>
      <c r="B9696" s="1050"/>
      <c r="C9696" s="1050"/>
      <c r="D9696" s="1050"/>
      <c r="E9696" s="1050"/>
      <c r="F9696" s="1050"/>
      <c r="G9696" s="1050"/>
    </row>
    <row r="9697" spans="1:7">
      <c r="A9697" s="1079"/>
      <c r="B9697" s="1050"/>
      <c r="C9697" s="1050"/>
      <c r="D9697" s="1050"/>
      <c r="E9697" s="1050"/>
      <c r="F9697" s="1050"/>
      <c r="G9697" s="1050"/>
    </row>
    <row r="9698" spans="1:7">
      <c r="A9698" s="1079"/>
      <c r="B9698" s="1050"/>
      <c r="C9698" s="1050"/>
      <c r="D9698" s="1050"/>
      <c r="E9698" s="1050"/>
      <c r="F9698" s="1050"/>
      <c r="G9698" s="1050"/>
    </row>
    <row r="9699" spans="1:7">
      <c r="A9699" s="1079"/>
      <c r="B9699" s="1050"/>
      <c r="C9699" s="1050"/>
      <c r="D9699" s="1050"/>
      <c r="E9699" s="1050"/>
      <c r="F9699" s="1050"/>
      <c r="G9699" s="1050"/>
    </row>
    <row r="9700" spans="1:7">
      <c r="A9700" s="1079"/>
      <c r="B9700" s="1050"/>
      <c r="C9700" s="1050"/>
      <c r="D9700" s="1050"/>
      <c r="E9700" s="1050"/>
      <c r="F9700" s="1050"/>
      <c r="G9700" s="1050"/>
    </row>
    <row r="9701" spans="1:7">
      <c r="A9701" s="1079"/>
      <c r="B9701" s="1050"/>
      <c r="C9701" s="1050"/>
      <c r="D9701" s="1050"/>
      <c r="E9701" s="1050"/>
      <c r="F9701" s="1050"/>
      <c r="G9701" s="1050"/>
    </row>
    <row r="9702" spans="1:7">
      <c r="A9702" s="1079"/>
      <c r="B9702" s="1050"/>
      <c r="C9702" s="1050"/>
      <c r="D9702" s="1050"/>
      <c r="E9702" s="1050"/>
      <c r="F9702" s="1050"/>
      <c r="G9702" s="1050"/>
    </row>
    <row r="9703" spans="1:7">
      <c r="A9703" s="1079"/>
      <c r="B9703" s="1050"/>
      <c r="C9703" s="1050"/>
      <c r="D9703" s="1050"/>
      <c r="E9703" s="1050"/>
      <c r="F9703" s="1050"/>
      <c r="G9703" s="1050"/>
    </row>
    <row r="9704" spans="1:7">
      <c r="A9704" s="1079"/>
      <c r="B9704" s="1050"/>
      <c r="C9704" s="1050"/>
      <c r="D9704" s="1050"/>
      <c r="E9704" s="1050"/>
      <c r="F9704" s="1050"/>
      <c r="G9704" s="1050"/>
    </row>
    <row r="9705" spans="1:7">
      <c r="A9705" s="1079"/>
      <c r="B9705" s="1050"/>
      <c r="C9705" s="1050"/>
      <c r="D9705" s="1050"/>
      <c r="E9705" s="1050"/>
      <c r="F9705" s="1050"/>
      <c r="G9705" s="1050"/>
    </row>
    <row r="9706" spans="1:7">
      <c r="A9706" s="1079"/>
      <c r="B9706" s="1050"/>
      <c r="C9706" s="1050"/>
      <c r="D9706" s="1050"/>
      <c r="E9706" s="1050"/>
      <c r="F9706" s="1050"/>
      <c r="G9706" s="1050"/>
    </row>
    <row r="9707" spans="1:7">
      <c r="A9707" s="1079"/>
      <c r="B9707" s="1050"/>
      <c r="C9707" s="1050"/>
      <c r="D9707" s="1050"/>
      <c r="E9707" s="1050"/>
      <c r="F9707" s="1050"/>
      <c r="G9707" s="1050"/>
    </row>
    <row r="9708" spans="1:7">
      <c r="A9708" s="1079"/>
      <c r="B9708" s="1050"/>
      <c r="C9708" s="1050"/>
      <c r="D9708" s="1050"/>
      <c r="E9708" s="1050"/>
      <c r="F9708" s="1050"/>
      <c r="G9708" s="1050"/>
    </row>
    <row r="9709" spans="1:7">
      <c r="A9709" s="1079"/>
      <c r="B9709" s="1050"/>
      <c r="C9709" s="1050"/>
      <c r="D9709" s="1050"/>
      <c r="E9709" s="1050"/>
      <c r="F9709" s="1050"/>
      <c r="G9709" s="1050"/>
    </row>
    <row r="9710" spans="1:7">
      <c r="A9710" s="1079"/>
      <c r="B9710" s="1050"/>
      <c r="C9710" s="1050"/>
      <c r="D9710" s="1050"/>
      <c r="E9710" s="1050"/>
      <c r="F9710" s="1050"/>
      <c r="G9710" s="1050"/>
    </row>
    <row r="9711" spans="1:7">
      <c r="A9711" s="1079"/>
      <c r="B9711" s="1050"/>
      <c r="C9711" s="1050"/>
      <c r="D9711" s="1050"/>
      <c r="E9711" s="1050"/>
      <c r="F9711" s="1050"/>
      <c r="G9711" s="1050"/>
    </row>
    <row r="9712" spans="1:7">
      <c r="A9712" s="1079"/>
      <c r="B9712" s="1050"/>
      <c r="C9712" s="1050"/>
      <c r="D9712" s="1050"/>
      <c r="E9712" s="1050"/>
      <c r="F9712" s="1050"/>
      <c r="G9712" s="1050"/>
    </row>
    <row r="9713" spans="1:7">
      <c r="A9713" s="1079"/>
      <c r="B9713" s="1050"/>
      <c r="C9713" s="1050"/>
      <c r="D9713" s="1050"/>
      <c r="E9713" s="1050"/>
      <c r="F9713" s="1050"/>
      <c r="G9713" s="1050"/>
    </row>
    <row r="9714" spans="1:7">
      <c r="A9714" s="1079"/>
      <c r="B9714" s="1050"/>
      <c r="C9714" s="1050"/>
      <c r="D9714" s="1050"/>
      <c r="E9714" s="1050"/>
      <c r="F9714" s="1050"/>
      <c r="G9714" s="1050"/>
    </row>
    <row r="9715" spans="1:7">
      <c r="A9715" s="1079"/>
      <c r="B9715" s="1050"/>
      <c r="C9715" s="1050"/>
      <c r="D9715" s="1050"/>
      <c r="E9715" s="1050"/>
      <c r="F9715" s="1050"/>
      <c r="G9715" s="1050"/>
    </row>
    <row r="9716" spans="1:7">
      <c r="A9716" s="1079"/>
      <c r="B9716" s="1050"/>
      <c r="C9716" s="1050"/>
      <c r="D9716" s="1050"/>
      <c r="E9716" s="1050"/>
      <c r="F9716" s="1050"/>
      <c r="G9716" s="1050"/>
    </row>
    <row r="9717" spans="1:7">
      <c r="A9717" s="1079"/>
      <c r="B9717" s="1050"/>
      <c r="C9717" s="1050"/>
      <c r="D9717" s="1050"/>
      <c r="E9717" s="1050"/>
      <c r="F9717" s="1050"/>
      <c r="G9717" s="1050"/>
    </row>
    <row r="9718" spans="1:7">
      <c r="A9718" s="1079"/>
      <c r="B9718" s="1050"/>
      <c r="C9718" s="1050"/>
      <c r="D9718" s="1050"/>
      <c r="E9718" s="1050"/>
      <c r="F9718" s="1050"/>
      <c r="G9718" s="1050"/>
    </row>
    <row r="9719" spans="1:7">
      <c r="A9719" s="1079"/>
      <c r="B9719" s="1050"/>
      <c r="C9719" s="1050"/>
      <c r="D9719" s="1050"/>
      <c r="E9719" s="1050"/>
      <c r="F9719" s="1050"/>
      <c r="G9719" s="1050"/>
    </row>
    <row r="9720" spans="1:7">
      <c r="A9720" s="1079"/>
      <c r="B9720" s="1050"/>
      <c r="C9720" s="1050"/>
      <c r="D9720" s="1050"/>
      <c r="E9720" s="1050"/>
      <c r="F9720" s="1050"/>
      <c r="G9720" s="1050"/>
    </row>
    <row r="9721" spans="1:7">
      <c r="A9721" s="1079"/>
      <c r="B9721" s="1050"/>
      <c r="C9721" s="1050"/>
      <c r="D9721" s="1050"/>
      <c r="E9721" s="1050"/>
      <c r="F9721" s="1050"/>
      <c r="G9721" s="1050"/>
    </row>
    <row r="9722" spans="1:7">
      <c r="A9722" s="1079"/>
      <c r="B9722" s="1050"/>
      <c r="C9722" s="1050"/>
      <c r="D9722" s="1050"/>
      <c r="E9722" s="1050"/>
      <c r="F9722" s="1050"/>
      <c r="G9722" s="1050"/>
    </row>
    <row r="9723" spans="1:7">
      <c r="A9723" s="1079"/>
      <c r="B9723" s="1050"/>
      <c r="C9723" s="1050"/>
      <c r="D9723" s="1050"/>
      <c r="E9723" s="1050"/>
      <c r="F9723" s="1050"/>
      <c r="G9723" s="1050"/>
    </row>
    <row r="9724" spans="1:7">
      <c r="A9724" s="1079"/>
      <c r="B9724" s="1050"/>
      <c r="C9724" s="1050"/>
      <c r="D9724" s="1050"/>
      <c r="E9724" s="1050"/>
      <c r="F9724" s="1050"/>
      <c r="G9724" s="1050"/>
    </row>
    <row r="9725" spans="1:7">
      <c r="A9725" s="1079"/>
      <c r="B9725" s="1050"/>
      <c r="C9725" s="1050"/>
      <c r="D9725" s="1050"/>
      <c r="E9725" s="1050"/>
      <c r="F9725" s="1050"/>
      <c r="G9725" s="1050"/>
    </row>
    <row r="9726" spans="1:7">
      <c r="A9726" s="1079"/>
      <c r="B9726" s="1050"/>
      <c r="C9726" s="1050"/>
      <c r="D9726" s="1050"/>
      <c r="E9726" s="1050"/>
      <c r="F9726" s="1050"/>
      <c r="G9726" s="1050"/>
    </row>
    <row r="9727" spans="1:7">
      <c r="A9727" s="1079"/>
      <c r="B9727" s="1050"/>
      <c r="C9727" s="1050"/>
      <c r="D9727" s="1050"/>
      <c r="E9727" s="1050"/>
      <c r="F9727" s="1050"/>
      <c r="G9727" s="1050"/>
    </row>
    <row r="9728" spans="1:7">
      <c r="A9728" s="1079"/>
      <c r="B9728" s="1050"/>
      <c r="C9728" s="1050"/>
      <c r="D9728" s="1050"/>
      <c r="E9728" s="1050"/>
      <c r="F9728" s="1050"/>
      <c r="G9728" s="1050"/>
    </row>
    <row r="9729" spans="1:7">
      <c r="A9729" s="1079"/>
      <c r="B9729" s="1050"/>
      <c r="C9729" s="1050"/>
      <c r="D9729" s="1050"/>
      <c r="E9729" s="1050"/>
      <c r="F9729" s="1050"/>
      <c r="G9729" s="1050"/>
    </row>
    <row r="9730" spans="1:7">
      <c r="A9730" s="1079"/>
      <c r="B9730" s="1050"/>
      <c r="C9730" s="1050"/>
      <c r="D9730" s="1050"/>
      <c r="E9730" s="1050"/>
      <c r="F9730" s="1050"/>
      <c r="G9730" s="1050"/>
    </row>
    <row r="9731" spans="1:7">
      <c r="A9731" s="1079"/>
      <c r="B9731" s="1050"/>
      <c r="C9731" s="1050"/>
      <c r="D9731" s="1050"/>
      <c r="E9731" s="1050"/>
      <c r="F9731" s="1050"/>
      <c r="G9731" s="1050"/>
    </row>
    <row r="9732" spans="1:7">
      <c r="A9732" s="1079"/>
      <c r="B9732" s="1050"/>
      <c r="C9732" s="1050"/>
      <c r="D9732" s="1050"/>
      <c r="E9732" s="1050"/>
      <c r="F9732" s="1050"/>
      <c r="G9732" s="1050"/>
    </row>
    <row r="9733" spans="1:7">
      <c r="A9733" s="1079"/>
      <c r="B9733" s="1050"/>
      <c r="C9733" s="1050"/>
      <c r="D9733" s="1050"/>
      <c r="E9733" s="1050"/>
      <c r="F9733" s="1050"/>
      <c r="G9733" s="1050"/>
    </row>
    <row r="9734" spans="1:7">
      <c r="A9734" s="1079"/>
      <c r="B9734" s="1050"/>
      <c r="C9734" s="1050"/>
      <c r="D9734" s="1050"/>
      <c r="E9734" s="1050"/>
      <c r="F9734" s="1050"/>
      <c r="G9734" s="1050"/>
    </row>
    <row r="9735" spans="1:7">
      <c r="A9735" s="1079"/>
      <c r="B9735" s="1050"/>
      <c r="C9735" s="1050"/>
      <c r="D9735" s="1050"/>
      <c r="E9735" s="1050"/>
      <c r="F9735" s="1050"/>
      <c r="G9735" s="1050"/>
    </row>
    <row r="9736" spans="1:7">
      <c r="A9736" s="1079"/>
      <c r="B9736" s="1050"/>
      <c r="C9736" s="1050"/>
      <c r="D9736" s="1050"/>
      <c r="E9736" s="1050"/>
      <c r="F9736" s="1050"/>
      <c r="G9736" s="1050"/>
    </row>
    <row r="9737" spans="1:7">
      <c r="A9737" s="1079"/>
      <c r="B9737" s="1050"/>
      <c r="C9737" s="1050"/>
      <c r="D9737" s="1050"/>
      <c r="E9737" s="1050"/>
      <c r="F9737" s="1050"/>
      <c r="G9737" s="1050"/>
    </row>
    <row r="9738" spans="1:7">
      <c r="A9738" s="1079"/>
      <c r="B9738" s="1050"/>
      <c r="C9738" s="1050"/>
      <c r="D9738" s="1050"/>
      <c r="E9738" s="1050"/>
      <c r="F9738" s="1050"/>
      <c r="G9738" s="1050"/>
    </row>
    <row r="9739" spans="1:7">
      <c r="A9739" s="1079"/>
      <c r="B9739" s="1050"/>
      <c r="C9739" s="1050"/>
      <c r="D9739" s="1050"/>
      <c r="E9739" s="1050"/>
      <c r="F9739" s="1050"/>
      <c r="G9739" s="1050"/>
    </row>
    <row r="9740" spans="1:7">
      <c r="A9740" s="1079"/>
      <c r="B9740" s="1050"/>
      <c r="C9740" s="1050"/>
      <c r="D9740" s="1050"/>
      <c r="E9740" s="1050"/>
      <c r="F9740" s="1050"/>
      <c r="G9740" s="1050"/>
    </row>
    <row r="9741" spans="1:7">
      <c r="A9741" s="1079"/>
      <c r="B9741" s="1050"/>
      <c r="C9741" s="1050"/>
      <c r="D9741" s="1050"/>
      <c r="E9741" s="1050"/>
      <c r="F9741" s="1050"/>
      <c r="G9741" s="1050"/>
    </row>
    <row r="9742" spans="1:7">
      <c r="A9742" s="1079"/>
      <c r="B9742" s="1050"/>
      <c r="C9742" s="1050"/>
      <c r="D9742" s="1050"/>
      <c r="E9742" s="1050"/>
      <c r="F9742" s="1050"/>
      <c r="G9742" s="1050"/>
    </row>
    <row r="9743" spans="1:7">
      <c r="A9743" s="1079"/>
      <c r="B9743" s="1050"/>
      <c r="C9743" s="1050"/>
      <c r="D9743" s="1050"/>
      <c r="E9743" s="1050"/>
      <c r="F9743" s="1050"/>
      <c r="G9743" s="1050"/>
    </row>
    <row r="9744" spans="1:7">
      <c r="A9744" s="1079"/>
      <c r="B9744" s="1050"/>
      <c r="C9744" s="1050"/>
      <c r="D9744" s="1050"/>
      <c r="E9744" s="1050"/>
      <c r="F9744" s="1050"/>
      <c r="G9744" s="1050"/>
    </row>
    <row r="9745" spans="1:7">
      <c r="A9745" s="1079"/>
      <c r="B9745" s="1050"/>
      <c r="C9745" s="1050"/>
      <c r="D9745" s="1050"/>
      <c r="E9745" s="1050"/>
      <c r="F9745" s="1050"/>
      <c r="G9745" s="1050"/>
    </row>
    <row r="9746" spans="1:7">
      <c r="A9746" s="1079"/>
      <c r="B9746" s="1050"/>
      <c r="C9746" s="1050"/>
      <c r="D9746" s="1050"/>
      <c r="E9746" s="1050"/>
      <c r="F9746" s="1050"/>
      <c r="G9746" s="1050"/>
    </row>
    <row r="9747" spans="1:7">
      <c r="A9747" s="1079"/>
      <c r="B9747" s="1050"/>
      <c r="C9747" s="1050"/>
      <c r="D9747" s="1050"/>
      <c r="E9747" s="1050"/>
      <c r="F9747" s="1050"/>
      <c r="G9747" s="1050"/>
    </row>
    <row r="9748" spans="1:7">
      <c r="A9748" s="1079"/>
      <c r="B9748" s="1050"/>
      <c r="C9748" s="1050"/>
      <c r="D9748" s="1050"/>
      <c r="E9748" s="1050"/>
      <c r="F9748" s="1050"/>
      <c r="G9748" s="1050"/>
    </row>
    <row r="9749" spans="1:7">
      <c r="A9749" s="1079"/>
      <c r="B9749" s="1050"/>
      <c r="C9749" s="1050"/>
      <c r="D9749" s="1050"/>
      <c r="E9749" s="1050"/>
      <c r="F9749" s="1050"/>
      <c r="G9749" s="1050"/>
    </row>
    <row r="9750" spans="1:7">
      <c r="A9750" s="1079"/>
      <c r="B9750" s="1050"/>
      <c r="C9750" s="1050"/>
      <c r="D9750" s="1050"/>
      <c r="E9750" s="1050"/>
      <c r="F9750" s="1050"/>
      <c r="G9750" s="1050"/>
    </row>
    <row r="9751" spans="1:7">
      <c r="A9751" s="1079"/>
      <c r="B9751" s="1050"/>
      <c r="C9751" s="1050"/>
      <c r="D9751" s="1050"/>
      <c r="E9751" s="1050"/>
      <c r="F9751" s="1050"/>
      <c r="G9751" s="1050"/>
    </row>
    <row r="9752" spans="1:7">
      <c r="A9752" s="1079"/>
      <c r="B9752" s="1050"/>
      <c r="C9752" s="1050"/>
      <c r="D9752" s="1050"/>
      <c r="E9752" s="1050"/>
      <c r="F9752" s="1050"/>
      <c r="G9752" s="1050"/>
    </row>
    <row r="9753" spans="1:7">
      <c r="A9753" s="1079"/>
      <c r="B9753" s="1050"/>
      <c r="C9753" s="1050"/>
      <c r="D9753" s="1050"/>
      <c r="E9753" s="1050"/>
      <c r="F9753" s="1050"/>
      <c r="G9753" s="1050"/>
    </row>
    <row r="9754" spans="1:7">
      <c r="A9754" s="1079"/>
      <c r="B9754" s="1050"/>
      <c r="C9754" s="1050"/>
      <c r="D9754" s="1050"/>
      <c r="E9754" s="1050"/>
      <c r="F9754" s="1050"/>
      <c r="G9754" s="1050"/>
    </row>
    <row r="9755" spans="1:7">
      <c r="A9755" s="1079"/>
      <c r="B9755" s="1050"/>
      <c r="C9755" s="1050"/>
      <c r="D9755" s="1050"/>
      <c r="E9755" s="1050"/>
      <c r="F9755" s="1050"/>
      <c r="G9755" s="1050"/>
    </row>
    <row r="9756" spans="1:7">
      <c r="A9756" s="1079"/>
      <c r="B9756" s="1050"/>
      <c r="C9756" s="1050"/>
      <c r="D9756" s="1050"/>
      <c r="E9756" s="1050"/>
      <c r="F9756" s="1050"/>
      <c r="G9756" s="1050"/>
    </row>
    <row r="9757" spans="1:7">
      <c r="A9757" s="1079"/>
      <c r="B9757" s="1050"/>
      <c r="C9757" s="1050"/>
      <c r="D9757" s="1050"/>
      <c r="E9757" s="1050"/>
      <c r="F9757" s="1050"/>
      <c r="G9757" s="1050"/>
    </row>
    <row r="9758" spans="1:7">
      <c r="A9758" s="1079"/>
      <c r="B9758" s="1050"/>
      <c r="C9758" s="1050"/>
      <c r="D9758" s="1050"/>
      <c r="E9758" s="1050"/>
      <c r="F9758" s="1050"/>
      <c r="G9758" s="1050"/>
    </row>
    <row r="9759" spans="1:7">
      <c r="A9759" s="1079"/>
      <c r="B9759" s="1050"/>
      <c r="C9759" s="1050"/>
      <c r="D9759" s="1050"/>
      <c r="E9759" s="1050"/>
      <c r="F9759" s="1050"/>
      <c r="G9759" s="1050"/>
    </row>
    <row r="9760" spans="1:7">
      <c r="A9760" s="1079"/>
      <c r="B9760" s="1050"/>
      <c r="C9760" s="1050"/>
      <c r="D9760" s="1050"/>
      <c r="E9760" s="1050"/>
      <c r="F9760" s="1050"/>
      <c r="G9760" s="1050"/>
    </row>
    <row r="9761" spans="1:7">
      <c r="A9761" s="1079"/>
      <c r="B9761" s="1050"/>
      <c r="C9761" s="1050"/>
      <c r="D9761" s="1050"/>
      <c r="E9761" s="1050"/>
      <c r="F9761" s="1050"/>
      <c r="G9761" s="1050"/>
    </row>
    <row r="9762" spans="1:7">
      <c r="A9762" s="1079"/>
      <c r="B9762" s="1050"/>
      <c r="C9762" s="1050"/>
      <c r="D9762" s="1050"/>
      <c r="E9762" s="1050"/>
      <c r="F9762" s="1050"/>
      <c r="G9762" s="1050"/>
    </row>
    <row r="9763" spans="1:7">
      <c r="A9763" s="1079"/>
      <c r="B9763" s="1050"/>
      <c r="C9763" s="1050"/>
      <c r="D9763" s="1050"/>
      <c r="E9763" s="1050"/>
      <c r="F9763" s="1050"/>
      <c r="G9763" s="1050"/>
    </row>
    <row r="9764" spans="1:7">
      <c r="A9764" s="1079"/>
      <c r="B9764" s="1050"/>
      <c r="C9764" s="1050"/>
      <c r="D9764" s="1050"/>
      <c r="E9764" s="1050"/>
      <c r="F9764" s="1050"/>
      <c r="G9764" s="1050"/>
    </row>
    <row r="9765" spans="1:7">
      <c r="A9765" s="1079"/>
      <c r="B9765" s="1050"/>
      <c r="C9765" s="1050"/>
      <c r="D9765" s="1050"/>
      <c r="E9765" s="1050"/>
      <c r="F9765" s="1050"/>
      <c r="G9765" s="1050"/>
    </row>
    <row r="9766" spans="1:7">
      <c r="A9766" s="1079"/>
      <c r="B9766" s="1050"/>
      <c r="C9766" s="1050"/>
      <c r="D9766" s="1050"/>
      <c r="E9766" s="1050"/>
      <c r="F9766" s="1050"/>
      <c r="G9766" s="1050"/>
    </row>
    <row r="9767" spans="1:7">
      <c r="A9767" s="1079"/>
      <c r="B9767" s="1050"/>
      <c r="C9767" s="1050"/>
      <c r="D9767" s="1050"/>
      <c r="E9767" s="1050"/>
      <c r="F9767" s="1050"/>
      <c r="G9767" s="1050"/>
    </row>
    <row r="9768" spans="1:7">
      <c r="A9768" s="1079"/>
      <c r="B9768" s="1050"/>
      <c r="C9768" s="1050"/>
      <c r="D9768" s="1050"/>
      <c r="E9768" s="1050"/>
      <c r="F9768" s="1050"/>
      <c r="G9768" s="1050"/>
    </row>
    <row r="9769" spans="1:7">
      <c r="A9769" s="1079"/>
      <c r="B9769" s="1050"/>
      <c r="C9769" s="1050"/>
      <c r="D9769" s="1050"/>
      <c r="E9769" s="1050"/>
      <c r="F9769" s="1050"/>
      <c r="G9769" s="1050"/>
    </row>
    <row r="9770" spans="1:7">
      <c r="A9770" s="1079"/>
      <c r="B9770" s="1050"/>
      <c r="C9770" s="1050"/>
      <c r="D9770" s="1050"/>
      <c r="E9770" s="1050"/>
      <c r="F9770" s="1050"/>
      <c r="G9770" s="1050"/>
    </row>
    <row r="9771" spans="1:7">
      <c r="A9771" s="1079"/>
      <c r="B9771" s="1050"/>
      <c r="C9771" s="1050"/>
      <c r="D9771" s="1050"/>
      <c r="E9771" s="1050"/>
      <c r="F9771" s="1050"/>
      <c r="G9771" s="1050"/>
    </row>
    <row r="9772" spans="1:7">
      <c r="A9772" s="1079"/>
      <c r="B9772" s="1050"/>
      <c r="C9772" s="1050"/>
      <c r="D9772" s="1050"/>
      <c r="E9772" s="1050"/>
      <c r="F9772" s="1050"/>
      <c r="G9772" s="1050"/>
    </row>
    <row r="9773" spans="1:7">
      <c r="A9773" s="1079"/>
      <c r="B9773" s="1050"/>
      <c r="C9773" s="1050"/>
      <c r="D9773" s="1050"/>
      <c r="E9773" s="1050"/>
      <c r="F9773" s="1050"/>
      <c r="G9773" s="1050"/>
    </row>
    <row r="9774" spans="1:7">
      <c r="A9774" s="1079"/>
      <c r="B9774" s="1050"/>
      <c r="C9774" s="1050"/>
      <c r="D9774" s="1050"/>
      <c r="E9774" s="1050"/>
      <c r="F9774" s="1050"/>
      <c r="G9774" s="1050"/>
    </row>
    <row r="9775" spans="1:7">
      <c r="A9775" s="1079"/>
      <c r="B9775" s="1050"/>
      <c r="C9775" s="1050"/>
      <c r="D9775" s="1050"/>
      <c r="E9775" s="1050"/>
      <c r="F9775" s="1050"/>
      <c r="G9775" s="1050"/>
    </row>
    <row r="9776" spans="1:7">
      <c r="A9776" s="1079"/>
      <c r="B9776" s="1050"/>
      <c r="C9776" s="1050"/>
      <c r="D9776" s="1050"/>
      <c r="E9776" s="1050"/>
      <c r="F9776" s="1050"/>
      <c r="G9776" s="1050"/>
    </row>
    <row r="9777" spans="1:7">
      <c r="A9777" s="1079"/>
      <c r="B9777" s="1050"/>
      <c r="C9777" s="1050"/>
      <c r="D9777" s="1050"/>
      <c r="E9777" s="1050"/>
      <c r="F9777" s="1050"/>
      <c r="G9777" s="1050"/>
    </row>
    <row r="9778" spans="1:7">
      <c r="A9778" s="1079"/>
      <c r="B9778" s="1050"/>
      <c r="C9778" s="1050"/>
      <c r="D9778" s="1050"/>
      <c r="E9778" s="1050"/>
      <c r="F9778" s="1050"/>
      <c r="G9778" s="1050"/>
    </row>
    <row r="9779" spans="1:7">
      <c r="A9779" s="1079"/>
      <c r="B9779" s="1050"/>
      <c r="C9779" s="1050"/>
      <c r="D9779" s="1050"/>
      <c r="E9779" s="1050"/>
      <c r="F9779" s="1050"/>
      <c r="G9779" s="1050"/>
    </row>
    <row r="9780" spans="1:7">
      <c r="A9780" s="1079"/>
      <c r="B9780" s="1050"/>
      <c r="C9780" s="1050"/>
      <c r="D9780" s="1050"/>
      <c r="E9780" s="1050"/>
      <c r="F9780" s="1050"/>
      <c r="G9780" s="1050"/>
    </row>
    <row r="9781" spans="1:7">
      <c r="A9781" s="1079"/>
      <c r="B9781" s="1050"/>
      <c r="C9781" s="1050"/>
      <c r="D9781" s="1050"/>
      <c r="E9781" s="1050"/>
      <c r="F9781" s="1050"/>
      <c r="G9781" s="1050"/>
    </row>
    <row r="9782" spans="1:7">
      <c r="A9782" s="1079"/>
      <c r="B9782" s="1050"/>
      <c r="C9782" s="1050"/>
      <c r="D9782" s="1050"/>
      <c r="E9782" s="1050"/>
      <c r="F9782" s="1050"/>
      <c r="G9782" s="1050"/>
    </row>
    <row r="9783" spans="1:7">
      <c r="A9783" s="1079"/>
      <c r="B9783" s="1050"/>
      <c r="C9783" s="1050"/>
      <c r="D9783" s="1050"/>
      <c r="E9783" s="1050"/>
      <c r="F9783" s="1050"/>
      <c r="G9783" s="1050"/>
    </row>
    <row r="9784" spans="1:7">
      <c r="A9784" s="1079"/>
      <c r="B9784" s="1050"/>
      <c r="C9784" s="1050"/>
      <c r="D9784" s="1050"/>
      <c r="E9784" s="1050"/>
      <c r="F9784" s="1050"/>
      <c r="G9784" s="1050"/>
    </row>
    <row r="9785" spans="1:7">
      <c r="A9785" s="1079"/>
      <c r="B9785" s="1050"/>
      <c r="C9785" s="1050"/>
      <c r="D9785" s="1050"/>
      <c r="E9785" s="1050"/>
      <c r="F9785" s="1050"/>
      <c r="G9785" s="1050"/>
    </row>
    <row r="9786" spans="1:7">
      <c r="A9786" s="1079"/>
      <c r="B9786" s="1050"/>
      <c r="C9786" s="1050"/>
      <c r="D9786" s="1050"/>
      <c r="E9786" s="1050"/>
      <c r="F9786" s="1050"/>
      <c r="G9786" s="1050"/>
    </row>
    <row r="9787" spans="1:7">
      <c r="A9787" s="1079"/>
      <c r="B9787" s="1050"/>
      <c r="C9787" s="1050"/>
      <c r="D9787" s="1050"/>
      <c r="E9787" s="1050"/>
      <c r="F9787" s="1050"/>
      <c r="G9787" s="1050"/>
    </row>
    <row r="9788" spans="1:7">
      <c r="A9788" s="1079"/>
      <c r="B9788" s="1050"/>
      <c r="C9788" s="1050"/>
      <c r="D9788" s="1050"/>
      <c r="E9788" s="1050"/>
      <c r="F9788" s="1050"/>
      <c r="G9788" s="1050"/>
    </row>
    <row r="9789" spans="1:7">
      <c r="A9789" s="1079"/>
      <c r="B9789" s="1050"/>
      <c r="C9789" s="1050"/>
      <c r="D9789" s="1050"/>
      <c r="E9789" s="1050"/>
      <c r="F9789" s="1050"/>
      <c r="G9789" s="1050"/>
    </row>
    <row r="9790" spans="1:7">
      <c r="A9790" s="1079"/>
      <c r="B9790" s="1050"/>
      <c r="C9790" s="1050"/>
      <c r="D9790" s="1050"/>
      <c r="E9790" s="1050"/>
      <c r="F9790" s="1050"/>
      <c r="G9790" s="1050"/>
    </row>
    <row r="9791" spans="1:7">
      <c r="A9791" s="1079"/>
      <c r="B9791" s="1050"/>
      <c r="C9791" s="1050"/>
      <c r="D9791" s="1050"/>
      <c r="E9791" s="1050"/>
      <c r="F9791" s="1050"/>
      <c r="G9791" s="1050"/>
    </row>
    <row r="9792" spans="1:7">
      <c r="A9792" s="1079"/>
      <c r="B9792" s="1050"/>
      <c r="C9792" s="1050"/>
      <c r="D9792" s="1050"/>
      <c r="E9792" s="1050"/>
      <c r="F9792" s="1050"/>
      <c r="G9792" s="1050"/>
    </row>
    <row r="9793" spans="1:7">
      <c r="A9793" s="1079"/>
      <c r="B9793" s="1050"/>
      <c r="C9793" s="1050"/>
      <c r="D9793" s="1050"/>
      <c r="E9793" s="1050"/>
      <c r="F9793" s="1050"/>
      <c r="G9793" s="1050"/>
    </row>
    <row r="9794" spans="1:7">
      <c r="A9794" s="1079"/>
      <c r="B9794" s="1050"/>
      <c r="C9794" s="1050"/>
      <c r="D9794" s="1050"/>
      <c r="E9794" s="1050"/>
      <c r="F9794" s="1050"/>
      <c r="G9794" s="1050"/>
    </row>
    <row r="9795" spans="1:7">
      <c r="A9795" s="1079"/>
      <c r="B9795" s="1050"/>
      <c r="C9795" s="1050"/>
      <c r="D9795" s="1050"/>
      <c r="E9795" s="1050"/>
      <c r="F9795" s="1050"/>
      <c r="G9795" s="1050"/>
    </row>
    <row r="9796" spans="1:7">
      <c r="A9796" s="1079"/>
      <c r="B9796" s="1050"/>
      <c r="C9796" s="1050"/>
      <c r="D9796" s="1050"/>
      <c r="E9796" s="1050"/>
      <c r="F9796" s="1050"/>
      <c r="G9796" s="1050"/>
    </row>
    <row r="9797" spans="1:7">
      <c r="A9797" s="1079"/>
      <c r="B9797" s="1050"/>
      <c r="C9797" s="1050"/>
      <c r="D9797" s="1050"/>
      <c r="E9797" s="1050"/>
      <c r="F9797" s="1050"/>
      <c r="G9797" s="1050"/>
    </row>
    <row r="9798" spans="1:7">
      <c r="A9798" s="1079"/>
      <c r="B9798" s="1050"/>
      <c r="C9798" s="1050"/>
      <c r="D9798" s="1050"/>
      <c r="E9798" s="1050"/>
      <c r="F9798" s="1050"/>
      <c r="G9798" s="1050"/>
    </row>
    <row r="9799" spans="1:7">
      <c r="A9799" s="1079"/>
      <c r="B9799" s="1050"/>
      <c r="C9799" s="1050"/>
      <c r="D9799" s="1050"/>
      <c r="E9799" s="1050"/>
      <c r="F9799" s="1050"/>
      <c r="G9799" s="1050"/>
    </row>
    <row r="9800" spans="1:7">
      <c r="A9800" s="1079"/>
      <c r="B9800" s="1050"/>
      <c r="C9800" s="1050"/>
      <c r="D9800" s="1050"/>
      <c r="E9800" s="1050"/>
      <c r="F9800" s="1050"/>
      <c r="G9800" s="1050"/>
    </row>
    <row r="9801" spans="1:7">
      <c r="A9801" s="1079"/>
      <c r="B9801" s="1050"/>
      <c r="C9801" s="1050"/>
      <c r="D9801" s="1050"/>
      <c r="E9801" s="1050"/>
      <c r="F9801" s="1050"/>
      <c r="G9801" s="1050"/>
    </row>
    <row r="9802" spans="1:7">
      <c r="A9802" s="1079"/>
      <c r="B9802" s="1050"/>
      <c r="C9802" s="1050"/>
      <c r="D9802" s="1050"/>
      <c r="E9802" s="1050"/>
      <c r="F9802" s="1050"/>
      <c r="G9802" s="1050"/>
    </row>
    <row r="9803" spans="1:7">
      <c r="A9803" s="1079"/>
      <c r="B9803" s="1050"/>
      <c r="C9803" s="1050"/>
      <c r="D9803" s="1050"/>
      <c r="E9803" s="1050"/>
      <c r="F9803" s="1050"/>
      <c r="G9803" s="1050"/>
    </row>
    <row r="9804" spans="1:7">
      <c r="A9804" s="1079"/>
      <c r="B9804" s="1050"/>
      <c r="C9804" s="1050"/>
      <c r="D9804" s="1050"/>
      <c r="E9804" s="1050"/>
      <c r="F9804" s="1050"/>
      <c r="G9804" s="1050"/>
    </row>
    <row r="9805" spans="1:7">
      <c r="A9805" s="1079"/>
      <c r="B9805" s="1050"/>
      <c r="C9805" s="1050"/>
      <c r="D9805" s="1050"/>
      <c r="E9805" s="1050"/>
      <c r="F9805" s="1050"/>
      <c r="G9805" s="1050"/>
    </row>
    <row r="9806" spans="1:7">
      <c r="A9806" s="1079"/>
      <c r="B9806" s="1050"/>
      <c r="C9806" s="1050"/>
      <c r="D9806" s="1050"/>
      <c r="E9806" s="1050"/>
      <c r="F9806" s="1050"/>
      <c r="G9806" s="1050"/>
    </row>
    <row r="9807" spans="1:7">
      <c r="A9807" s="1079"/>
      <c r="B9807" s="1050"/>
      <c r="C9807" s="1050"/>
      <c r="D9807" s="1050"/>
      <c r="E9807" s="1050"/>
      <c r="F9807" s="1050"/>
      <c r="G9807" s="1050"/>
    </row>
    <row r="9808" spans="1:7">
      <c r="A9808" s="1079"/>
      <c r="B9808" s="1050"/>
      <c r="C9808" s="1050"/>
      <c r="D9808" s="1050"/>
      <c r="E9808" s="1050"/>
      <c r="F9808" s="1050"/>
      <c r="G9808" s="1050"/>
    </row>
    <row r="9809" spans="1:7">
      <c r="A9809" s="1079"/>
      <c r="B9809" s="1050"/>
      <c r="C9809" s="1050"/>
      <c r="D9809" s="1050"/>
      <c r="E9809" s="1050"/>
      <c r="F9809" s="1050"/>
      <c r="G9809" s="1050"/>
    </row>
    <row r="9810" spans="1:7">
      <c r="A9810" s="1079"/>
      <c r="B9810" s="1050"/>
      <c r="C9810" s="1050"/>
      <c r="D9810" s="1050"/>
      <c r="E9810" s="1050"/>
      <c r="F9810" s="1050"/>
      <c r="G9810" s="1050"/>
    </row>
    <row r="9811" spans="1:7">
      <c r="A9811" s="1079"/>
      <c r="B9811" s="1050"/>
      <c r="C9811" s="1050"/>
      <c r="D9811" s="1050"/>
      <c r="E9811" s="1050"/>
      <c r="F9811" s="1050"/>
      <c r="G9811" s="1050"/>
    </row>
    <row r="9812" spans="1:7">
      <c r="A9812" s="1079"/>
      <c r="B9812" s="1050"/>
      <c r="C9812" s="1050"/>
      <c r="D9812" s="1050"/>
      <c r="E9812" s="1050"/>
      <c r="F9812" s="1050"/>
      <c r="G9812" s="1050"/>
    </row>
    <row r="9813" spans="1:7">
      <c r="A9813" s="1079"/>
      <c r="B9813" s="1050"/>
      <c r="C9813" s="1050"/>
      <c r="D9813" s="1050"/>
      <c r="E9813" s="1050"/>
      <c r="F9813" s="1050"/>
      <c r="G9813" s="1050"/>
    </row>
    <row r="9814" spans="1:7">
      <c r="A9814" s="1079"/>
      <c r="B9814" s="1050"/>
      <c r="C9814" s="1050"/>
      <c r="D9814" s="1050"/>
      <c r="E9814" s="1050"/>
      <c r="F9814" s="1050"/>
      <c r="G9814" s="1050"/>
    </row>
    <row r="9815" spans="1:7">
      <c r="A9815" s="1079"/>
      <c r="B9815" s="1050"/>
      <c r="C9815" s="1050"/>
      <c r="D9815" s="1050"/>
      <c r="E9815" s="1050"/>
      <c r="F9815" s="1050"/>
      <c r="G9815" s="1050"/>
    </row>
    <row r="9816" spans="1:7">
      <c r="A9816" s="1079"/>
      <c r="B9816" s="1050"/>
      <c r="C9816" s="1050"/>
      <c r="D9816" s="1050"/>
      <c r="E9816" s="1050"/>
      <c r="F9816" s="1050"/>
      <c r="G9816" s="1050"/>
    </row>
    <row r="9817" spans="1:7">
      <c r="A9817" s="1079"/>
      <c r="B9817" s="1050"/>
      <c r="C9817" s="1050"/>
      <c r="D9817" s="1050"/>
      <c r="E9817" s="1050"/>
      <c r="F9817" s="1050"/>
      <c r="G9817" s="1050"/>
    </row>
    <row r="9818" spans="1:7">
      <c r="A9818" s="1079"/>
      <c r="B9818" s="1050"/>
      <c r="C9818" s="1050"/>
      <c r="D9818" s="1050"/>
      <c r="E9818" s="1050"/>
      <c r="F9818" s="1050"/>
      <c r="G9818" s="1050"/>
    </row>
    <row r="9819" spans="1:7">
      <c r="A9819" s="1079"/>
      <c r="B9819" s="1050"/>
      <c r="C9819" s="1050"/>
      <c r="D9819" s="1050"/>
      <c r="E9819" s="1050"/>
      <c r="F9819" s="1050"/>
      <c r="G9819" s="1050"/>
    </row>
    <row r="9820" spans="1:7">
      <c r="A9820" s="1079"/>
      <c r="B9820" s="1050"/>
      <c r="C9820" s="1050"/>
      <c r="D9820" s="1050"/>
      <c r="E9820" s="1050"/>
      <c r="F9820" s="1050"/>
      <c r="G9820" s="1050"/>
    </row>
    <row r="9821" spans="1:7">
      <c r="A9821" s="1079"/>
      <c r="B9821" s="1050"/>
      <c r="C9821" s="1050"/>
      <c r="D9821" s="1050"/>
      <c r="E9821" s="1050"/>
      <c r="F9821" s="1050"/>
      <c r="G9821" s="1050"/>
    </row>
    <row r="9822" spans="1:7">
      <c r="A9822" s="1079"/>
      <c r="B9822" s="1050"/>
      <c r="C9822" s="1050"/>
      <c r="D9822" s="1050"/>
      <c r="E9822" s="1050"/>
      <c r="F9822" s="1050"/>
      <c r="G9822" s="1050"/>
    </row>
    <row r="9823" spans="1:7">
      <c r="A9823" s="1079"/>
      <c r="B9823" s="1050"/>
      <c r="C9823" s="1050"/>
      <c r="D9823" s="1050"/>
      <c r="E9823" s="1050"/>
      <c r="F9823" s="1050"/>
      <c r="G9823" s="1050"/>
    </row>
    <row r="9824" spans="1:7">
      <c r="A9824" s="1079"/>
      <c r="B9824" s="1050"/>
      <c r="C9824" s="1050"/>
      <c r="D9824" s="1050"/>
      <c r="E9824" s="1050"/>
      <c r="F9824" s="1050"/>
      <c r="G9824" s="1050"/>
    </row>
    <row r="9825" spans="1:7">
      <c r="A9825" s="1079"/>
      <c r="B9825" s="1050"/>
      <c r="C9825" s="1050"/>
      <c r="D9825" s="1050"/>
      <c r="E9825" s="1050"/>
      <c r="F9825" s="1050"/>
      <c r="G9825" s="1050"/>
    </row>
    <row r="9826" spans="1:7">
      <c r="A9826" s="1079"/>
      <c r="B9826" s="1050"/>
      <c r="C9826" s="1050"/>
      <c r="D9826" s="1050"/>
      <c r="E9826" s="1050"/>
      <c r="F9826" s="1050"/>
      <c r="G9826" s="1050"/>
    </row>
    <row r="9827" spans="1:7">
      <c r="A9827" s="1079"/>
      <c r="B9827" s="1050"/>
      <c r="C9827" s="1050"/>
      <c r="D9827" s="1050"/>
      <c r="E9827" s="1050"/>
      <c r="F9827" s="1050"/>
      <c r="G9827" s="1050"/>
    </row>
    <row r="9828" spans="1:7">
      <c r="A9828" s="1079"/>
      <c r="B9828" s="1050"/>
      <c r="C9828" s="1050"/>
      <c r="D9828" s="1050"/>
      <c r="E9828" s="1050"/>
      <c r="F9828" s="1050"/>
      <c r="G9828" s="1050"/>
    </row>
    <row r="9829" spans="1:7">
      <c r="A9829" s="1079"/>
      <c r="B9829" s="1050"/>
      <c r="C9829" s="1050"/>
      <c r="D9829" s="1050"/>
      <c r="E9829" s="1050"/>
      <c r="F9829" s="1050"/>
      <c r="G9829" s="1050"/>
    </row>
    <row r="9830" spans="1:7">
      <c r="A9830" s="1079"/>
      <c r="B9830" s="1050"/>
      <c r="C9830" s="1050"/>
      <c r="D9830" s="1050"/>
      <c r="E9830" s="1050"/>
      <c r="F9830" s="1050"/>
      <c r="G9830" s="1050"/>
    </row>
    <row r="9831" spans="1:7">
      <c r="A9831" s="1079"/>
      <c r="B9831" s="1050"/>
      <c r="C9831" s="1050"/>
      <c r="D9831" s="1050"/>
      <c r="E9831" s="1050"/>
      <c r="F9831" s="1050"/>
      <c r="G9831" s="1050"/>
    </row>
    <row r="9832" spans="1:7">
      <c r="A9832" s="1079"/>
      <c r="B9832" s="1050"/>
      <c r="C9832" s="1050"/>
      <c r="D9832" s="1050"/>
      <c r="E9832" s="1050"/>
      <c r="F9832" s="1050"/>
      <c r="G9832" s="1050"/>
    </row>
    <row r="9833" spans="1:7">
      <c r="A9833" s="1079"/>
      <c r="B9833" s="1050"/>
      <c r="C9833" s="1050"/>
      <c r="D9833" s="1050"/>
      <c r="E9833" s="1050"/>
      <c r="F9833" s="1050"/>
      <c r="G9833" s="1050"/>
    </row>
    <row r="9834" spans="1:7">
      <c r="A9834" s="1079"/>
      <c r="B9834" s="1050"/>
      <c r="C9834" s="1050"/>
      <c r="D9834" s="1050"/>
      <c r="E9834" s="1050"/>
      <c r="F9834" s="1050"/>
      <c r="G9834" s="1050"/>
    </row>
    <row r="9835" spans="1:7">
      <c r="A9835" s="1079"/>
      <c r="B9835" s="1050"/>
      <c r="C9835" s="1050"/>
      <c r="D9835" s="1050"/>
      <c r="E9835" s="1050"/>
      <c r="F9835" s="1050"/>
      <c r="G9835" s="1050"/>
    </row>
    <row r="9836" spans="1:7">
      <c r="A9836" s="1079"/>
      <c r="B9836" s="1050"/>
      <c r="C9836" s="1050"/>
      <c r="D9836" s="1050"/>
      <c r="E9836" s="1050"/>
      <c r="F9836" s="1050"/>
      <c r="G9836" s="1050"/>
    </row>
    <row r="9837" spans="1:7">
      <c r="A9837" s="1079"/>
      <c r="B9837" s="1050"/>
      <c r="C9837" s="1050"/>
      <c r="D9837" s="1050"/>
      <c r="E9837" s="1050"/>
      <c r="F9837" s="1050"/>
      <c r="G9837" s="1050"/>
    </row>
    <row r="9838" spans="1:7">
      <c r="A9838" s="1079"/>
      <c r="B9838" s="1050"/>
      <c r="C9838" s="1050"/>
      <c r="D9838" s="1050"/>
      <c r="E9838" s="1050"/>
      <c r="F9838" s="1050"/>
      <c r="G9838" s="1050"/>
    </row>
    <row r="9839" spans="1:7">
      <c r="A9839" s="1079"/>
      <c r="B9839" s="1050"/>
      <c r="C9839" s="1050"/>
      <c r="D9839" s="1050"/>
      <c r="E9839" s="1050"/>
      <c r="F9839" s="1050"/>
      <c r="G9839" s="1050"/>
    </row>
    <row r="9840" spans="1:7">
      <c r="A9840" s="1079"/>
      <c r="B9840" s="1050"/>
      <c r="C9840" s="1050"/>
      <c r="D9840" s="1050"/>
      <c r="E9840" s="1050"/>
      <c r="F9840" s="1050"/>
      <c r="G9840" s="1050"/>
    </row>
    <row r="9841" spans="1:7">
      <c r="A9841" s="1079"/>
      <c r="B9841" s="1050"/>
      <c r="C9841" s="1050"/>
      <c r="D9841" s="1050"/>
      <c r="E9841" s="1050"/>
      <c r="F9841" s="1050"/>
      <c r="G9841" s="1050"/>
    </row>
    <row r="9842" spans="1:7">
      <c r="A9842" s="1079"/>
      <c r="B9842" s="1050"/>
      <c r="C9842" s="1050"/>
      <c r="D9842" s="1050"/>
      <c r="E9842" s="1050"/>
      <c r="F9842" s="1050"/>
      <c r="G9842" s="1050"/>
    </row>
    <row r="9843" spans="1:7">
      <c r="A9843" s="1079"/>
      <c r="B9843" s="1050"/>
      <c r="C9843" s="1050"/>
      <c r="D9843" s="1050"/>
      <c r="E9843" s="1050"/>
      <c r="F9843" s="1050"/>
      <c r="G9843" s="1050"/>
    </row>
    <row r="9844" spans="1:7">
      <c r="A9844" s="1079"/>
      <c r="B9844" s="1050"/>
      <c r="C9844" s="1050"/>
      <c r="D9844" s="1050"/>
      <c r="E9844" s="1050"/>
      <c r="F9844" s="1050"/>
      <c r="G9844" s="1050"/>
    </row>
    <row r="9845" spans="1:7">
      <c r="A9845" s="1079"/>
      <c r="B9845" s="1050"/>
      <c r="C9845" s="1050"/>
      <c r="D9845" s="1050"/>
      <c r="E9845" s="1050"/>
      <c r="F9845" s="1050"/>
      <c r="G9845" s="1050"/>
    </row>
    <row r="9846" spans="1:7">
      <c r="A9846" s="1079"/>
      <c r="B9846" s="1050"/>
      <c r="C9846" s="1050"/>
      <c r="D9846" s="1050"/>
      <c r="E9846" s="1050"/>
      <c r="F9846" s="1050"/>
      <c r="G9846" s="1050"/>
    </row>
    <row r="9847" spans="1:7">
      <c r="A9847" s="1079"/>
      <c r="B9847" s="1050"/>
      <c r="C9847" s="1050"/>
      <c r="D9847" s="1050"/>
      <c r="E9847" s="1050"/>
      <c r="F9847" s="1050"/>
      <c r="G9847" s="1050"/>
    </row>
    <row r="9848" spans="1:7">
      <c r="A9848" s="1079"/>
      <c r="B9848" s="1050"/>
      <c r="C9848" s="1050"/>
      <c r="D9848" s="1050"/>
      <c r="E9848" s="1050"/>
      <c r="F9848" s="1050"/>
      <c r="G9848" s="1050"/>
    </row>
    <row r="9849" spans="1:7">
      <c r="A9849" s="1079"/>
      <c r="B9849" s="1050"/>
      <c r="C9849" s="1050"/>
      <c r="D9849" s="1050"/>
      <c r="E9849" s="1050"/>
      <c r="F9849" s="1050"/>
      <c r="G9849" s="1050"/>
    </row>
    <row r="9850" spans="1:7">
      <c r="A9850" s="1079"/>
      <c r="B9850" s="1050"/>
      <c r="C9850" s="1050"/>
      <c r="D9850" s="1050"/>
      <c r="E9850" s="1050"/>
      <c r="F9850" s="1050"/>
      <c r="G9850" s="1050"/>
    </row>
    <row r="9851" spans="1:7">
      <c r="A9851" s="1079"/>
      <c r="B9851" s="1050"/>
      <c r="C9851" s="1050"/>
      <c r="D9851" s="1050"/>
      <c r="E9851" s="1050"/>
      <c r="F9851" s="1050"/>
      <c r="G9851" s="1050"/>
    </row>
    <row r="9852" spans="1:7">
      <c r="A9852" s="1079"/>
      <c r="B9852" s="1050"/>
      <c r="C9852" s="1050"/>
      <c r="D9852" s="1050"/>
      <c r="E9852" s="1050"/>
      <c r="F9852" s="1050"/>
      <c r="G9852" s="1050"/>
    </row>
    <row r="9853" spans="1:7">
      <c r="A9853" s="1079"/>
      <c r="B9853" s="1050"/>
      <c r="C9853" s="1050"/>
      <c r="D9853" s="1050"/>
      <c r="E9853" s="1050"/>
      <c r="F9853" s="1050"/>
      <c r="G9853" s="1050"/>
    </row>
    <row r="9854" spans="1:7">
      <c r="A9854" s="1079"/>
      <c r="B9854" s="1050"/>
      <c r="C9854" s="1050"/>
      <c r="D9854" s="1050"/>
      <c r="E9854" s="1050"/>
      <c r="F9854" s="1050"/>
      <c r="G9854" s="1050"/>
    </row>
    <row r="9855" spans="1:7">
      <c r="A9855" s="1079"/>
      <c r="B9855" s="1050"/>
      <c r="C9855" s="1050"/>
      <c r="D9855" s="1050"/>
      <c r="E9855" s="1050"/>
      <c r="F9855" s="1050"/>
      <c r="G9855" s="1050"/>
    </row>
    <row r="9856" spans="1:7">
      <c r="A9856" s="1079"/>
      <c r="B9856" s="1050"/>
      <c r="C9856" s="1050"/>
      <c r="D9856" s="1050"/>
      <c r="E9856" s="1050"/>
      <c r="F9856" s="1050"/>
      <c r="G9856" s="1050"/>
    </row>
    <row r="9857" spans="1:7">
      <c r="A9857" s="1079"/>
      <c r="B9857" s="1050"/>
      <c r="C9857" s="1050"/>
      <c r="D9857" s="1050"/>
      <c r="E9857" s="1050"/>
      <c r="F9857" s="1050"/>
      <c r="G9857" s="1050"/>
    </row>
    <row r="9858" spans="1:7">
      <c r="A9858" s="1079"/>
      <c r="B9858" s="1050"/>
      <c r="C9858" s="1050"/>
      <c r="D9858" s="1050"/>
      <c r="E9858" s="1050"/>
      <c r="F9858" s="1050"/>
      <c r="G9858" s="1050"/>
    </row>
    <row r="9859" spans="1:7">
      <c r="A9859" s="1079"/>
      <c r="B9859" s="1050"/>
      <c r="C9859" s="1050"/>
      <c r="D9859" s="1050"/>
      <c r="E9859" s="1050"/>
      <c r="F9859" s="1050"/>
      <c r="G9859" s="1050"/>
    </row>
    <row r="9860" spans="1:7">
      <c r="A9860" s="1079"/>
      <c r="B9860" s="1050"/>
      <c r="C9860" s="1050"/>
      <c r="D9860" s="1050"/>
      <c r="E9860" s="1050"/>
      <c r="F9860" s="1050"/>
      <c r="G9860" s="1050"/>
    </row>
    <row r="9861" spans="1:7">
      <c r="A9861" s="1079"/>
      <c r="B9861" s="1050"/>
      <c r="C9861" s="1050"/>
      <c r="D9861" s="1050"/>
      <c r="E9861" s="1050"/>
      <c r="F9861" s="1050"/>
      <c r="G9861" s="1050"/>
    </row>
    <row r="9862" spans="1:7">
      <c r="A9862" s="1079"/>
      <c r="B9862" s="1050"/>
      <c r="C9862" s="1050"/>
      <c r="D9862" s="1050"/>
      <c r="E9862" s="1050"/>
      <c r="F9862" s="1050"/>
      <c r="G9862" s="1050"/>
    </row>
    <row r="9863" spans="1:7">
      <c r="A9863" s="1079"/>
      <c r="B9863" s="1050"/>
      <c r="C9863" s="1050"/>
      <c r="D9863" s="1050"/>
      <c r="E9863" s="1050"/>
      <c r="F9863" s="1050"/>
      <c r="G9863" s="1050"/>
    </row>
    <row r="9864" spans="1:7">
      <c r="A9864" s="1079"/>
      <c r="B9864" s="1050"/>
      <c r="C9864" s="1050"/>
      <c r="D9864" s="1050"/>
      <c r="E9864" s="1050"/>
      <c r="F9864" s="1050"/>
      <c r="G9864" s="1050"/>
    </row>
    <row r="9865" spans="1:7">
      <c r="A9865" s="1079"/>
      <c r="B9865" s="1050"/>
      <c r="C9865" s="1050"/>
      <c r="D9865" s="1050"/>
      <c r="E9865" s="1050"/>
      <c r="F9865" s="1050"/>
      <c r="G9865" s="1050"/>
    </row>
    <row r="9866" spans="1:7">
      <c r="A9866" s="1079"/>
      <c r="B9866" s="1050"/>
      <c r="C9866" s="1050"/>
      <c r="D9866" s="1050"/>
      <c r="E9866" s="1050"/>
      <c r="F9866" s="1050"/>
      <c r="G9866" s="1050"/>
    </row>
    <row r="9867" spans="1:7">
      <c r="A9867" s="1079"/>
      <c r="B9867" s="1050"/>
      <c r="C9867" s="1050"/>
      <c r="D9867" s="1050"/>
      <c r="E9867" s="1050"/>
      <c r="F9867" s="1050"/>
      <c r="G9867" s="1050"/>
    </row>
    <row r="9868" spans="1:7">
      <c r="A9868" s="1079"/>
      <c r="B9868" s="1050"/>
      <c r="C9868" s="1050"/>
      <c r="D9868" s="1050"/>
      <c r="E9868" s="1050"/>
      <c r="F9868" s="1050"/>
      <c r="G9868" s="1050"/>
    </row>
    <row r="9869" spans="1:7">
      <c r="A9869" s="1079"/>
      <c r="B9869" s="1050"/>
      <c r="C9869" s="1050"/>
      <c r="D9869" s="1050"/>
      <c r="E9869" s="1050"/>
      <c r="F9869" s="1050"/>
      <c r="G9869" s="1050"/>
    </row>
    <row r="9870" spans="1:7">
      <c r="A9870" s="1079"/>
      <c r="B9870" s="1050"/>
      <c r="C9870" s="1050"/>
      <c r="D9870" s="1050"/>
      <c r="E9870" s="1050"/>
      <c r="F9870" s="1050"/>
      <c r="G9870" s="1050"/>
    </row>
    <row r="9871" spans="1:7">
      <c r="A9871" s="1079"/>
      <c r="B9871" s="1050"/>
      <c r="C9871" s="1050"/>
      <c r="D9871" s="1050"/>
      <c r="E9871" s="1050"/>
      <c r="F9871" s="1050"/>
      <c r="G9871" s="1050"/>
    </row>
    <row r="9872" spans="1:7">
      <c r="A9872" s="1079"/>
      <c r="B9872" s="1050"/>
      <c r="C9872" s="1050"/>
      <c r="D9872" s="1050"/>
      <c r="E9872" s="1050"/>
      <c r="F9872" s="1050"/>
      <c r="G9872" s="1050"/>
    </row>
    <row r="9873" spans="1:7">
      <c r="A9873" s="1079"/>
      <c r="B9873" s="1050"/>
      <c r="C9873" s="1050"/>
      <c r="D9873" s="1050"/>
      <c r="E9873" s="1050"/>
      <c r="F9873" s="1050"/>
      <c r="G9873" s="1050"/>
    </row>
    <row r="9874" spans="1:7">
      <c r="A9874" s="1079"/>
      <c r="B9874" s="1050"/>
      <c r="C9874" s="1050"/>
      <c r="D9874" s="1050"/>
      <c r="E9874" s="1050"/>
      <c r="F9874" s="1050"/>
      <c r="G9874" s="1050"/>
    </row>
    <row r="9875" spans="1:7">
      <c r="A9875" s="1079"/>
      <c r="B9875" s="1050"/>
      <c r="C9875" s="1050"/>
      <c r="D9875" s="1050"/>
      <c r="E9875" s="1050"/>
      <c r="F9875" s="1050"/>
      <c r="G9875" s="1050"/>
    </row>
    <row r="9876" spans="1:7">
      <c r="A9876" s="1079"/>
      <c r="B9876" s="1050"/>
      <c r="C9876" s="1050"/>
      <c r="D9876" s="1050"/>
      <c r="E9876" s="1050"/>
      <c r="F9876" s="1050"/>
      <c r="G9876" s="1050"/>
    </row>
    <row r="9877" spans="1:7">
      <c r="A9877" s="1079"/>
      <c r="B9877" s="1050"/>
      <c r="C9877" s="1050"/>
      <c r="D9877" s="1050"/>
      <c r="E9877" s="1050"/>
      <c r="F9877" s="1050"/>
      <c r="G9877" s="1050"/>
    </row>
    <row r="9878" spans="1:7">
      <c r="A9878" s="1079"/>
      <c r="B9878" s="1050"/>
      <c r="C9878" s="1050"/>
      <c r="D9878" s="1050"/>
      <c r="E9878" s="1050"/>
      <c r="F9878" s="1050"/>
      <c r="G9878" s="1050"/>
    </row>
    <row r="9879" spans="1:7">
      <c r="A9879" s="1079"/>
      <c r="B9879" s="1050"/>
      <c r="C9879" s="1050"/>
      <c r="D9879" s="1050"/>
      <c r="E9879" s="1050"/>
      <c r="F9879" s="1050"/>
      <c r="G9879" s="1050"/>
    </row>
    <row r="9880" spans="1:7">
      <c r="A9880" s="1079"/>
      <c r="B9880" s="1050"/>
      <c r="C9880" s="1050"/>
      <c r="D9880" s="1050"/>
      <c r="E9880" s="1050"/>
      <c r="F9880" s="1050"/>
      <c r="G9880" s="1050"/>
    </row>
    <row r="9881" spans="1:7">
      <c r="A9881" s="1079"/>
      <c r="B9881" s="1050"/>
      <c r="C9881" s="1050"/>
      <c r="D9881" s="1050"/>
      <c r="E9881" s="1050"/>
      <c r="F9881" s="1050"/>
      <c r="G9881" s="1050"/>
    </row>
    <row r="9882" spans="1:7">
      <c r="A9882" s="1079"/>
      <c r="B9882" s="1050"/>
      <c r="C9882" s="1050"/>
      <c r="D9882" s="1050"/>
      <c r="E9882" s="1050"/>
      <c r="F9882" s="1050"/>
      <c r="G9882" s="1050"/>
    </row>
    <row r="9883" spans="1:7">
      <c r="A9883" s="1079"/>
      <c r="B9883" s="1050"/>
      <c r="C9883" s="1050"/>
      <c r="D9883" s="1050"/>
      <c r="E9883" s="1050"/>
      <c r="F9883" s="1050"/>
      <c r="G9883" s="1050"/>
    </row>
    <row r="9884" spans="1:7">
      <c r="A9884" s="1079"/>
      <c r="B9884" s="1050"/>
      <c r="C9884" s="1050"/>
      <c r="D9884" s="1050"/>
      <c r="E9884" s="1050"/>
      <c r="F9884" s="1050"/>
      <c r="G9884" s="1050"/>
    </row>
    <row r="9885" spans="1:7">
      <c r="A9885" s="1079"/>
      <c r="B9885" s="1050"/>
      <c r="C9885" s="1050"/>
      <c r="D9885" s="1050"/>
      <c r="E9885" s="1050"/>
      <c r="F9885" s="1050"/>
      <c r="G9885" s="1050"/>
    </row>
    <row r="9886" spans="1:7">
      <c r="A9886" s="1079"/>
      <c r="B9886" s="1050"/>
      <c r="C9886" s="1050"/>
      <c r="D9886" s="1050"/>
      <c r="E9886" s="1050"/>
      <c r="F9886" s="1050"/>
      <c r="G9886" s="1050"/>
    </row>
    <row r="9887" spans="1:7">
      <c r="A9887" s="1079"/>
      <c r="B9887" s="1050"/>
      <c r="C9887" s="1050"/>
      <c r="D9887" s="1050"/>
      <c r="E9887" s="1050"/>
      <c r="F9887" s="1050"/>
      <c r="G9887" s="1050"/>
    </row>
    <row r="9888" spans="1:7">
      <c r="A9888" s="1079"/>
      <c r="B9888" s="1050"/>
      <c r="C9888" s="1050"/>
      <c r="D9888" s="1050"/>
      <c r="E9888" s="1050"/>
      <c r="F9888" s="1050"/>
      <c r="G9888" s="1050"/>
    </row>
    <row r="9889" spans="1:7">
      <c r="A9889" s="1079"/>
      <c r="B9889" s="1050"/>
      <c r="C9889" s="1050"/>
      <c r="D9889" s="1050"/>
      <c r="E9889" s="1050"/>
      <c r="F9889" s="1050"/>
      <c r="G9889" s="1050"/>
    </row>
    <row r="9890" spans="1:7">
      <c r="A9890" s="1079"/>
      <c r="B9890" s="1050"/>
      <c r="C9890" s="1050"/>
      <c r="D9890" s="1050"/>
      <c r="E9890" s="1050"/>
      <c r="F9890" s="1050"/>
      <c r="G9890" s="1050"/>
    </row>
    <row r="9891" spans="1:7">
      <c r="A9891" s="1079"/>
      <c r="B9891" s="1050"/>
      <c r="C9891" s="1050"/>
      <c r="D9891" s="1050"/>
      <c r="E9891" s="1050"/>
      <c r="F9891" s="1050"/>
      <c r="G9891" s="1050"/>
    </row>
    <row r="9892" spans="1:7">
      <c r="A9892" s="1079"/>
      <c r="B9892" s="1050"/>
      <c r="C9892" s="1050"/>
      <c r="D9892" s="1050"/>
      <c r="E9892" s="1050"/>
      <c r="F9892" s="1050"/>
      <c r="G9892" s="1050"/>
    </row>
    <row r="9893" spans="1:7">
      <c r="A9893" s="1079"/>
      <c r="B9893" s="1050"/>
      <c r="C9893" s="1050"/>
      <c r="D9893" s="1050"/>
      <c r="E9893" s="1050"/>
      <c r="F9893" s="1050"/>
      <c r="G9893" s="1050"/>
    </row>
    <row r="9894" spans="1:7">
      <c r="A9894" s="1079"/>
      <c r="B9894" s="1050"/>
      <c r="C9894" s="1050"/>
      <c r="D9894" s="1050"/>
      <c r="E9894" s="1050"/>
      <c r="F9894" s="1050"/>
      <c r="G9894" s="1050"/>
    </row>
    <row r="9895" spans="1:7">
      <c r="A9895" s="1079"/>
      <c r="B9895" s="1050"/>
      <c r="C9895" s="1050"/>
      <c r="D9895" s="1050"/>
      <c r="E9895" s="1050"/>
      <c r="F9895" s="1050"/>
      <c r="G9895" s="1050"/>
    </row>
    <row r="9896" spans="1:7">
      <c r="A9896" s="1079"/>
      <c r="B9896" s="1050"/>
      <c r="C9896" s="1050"/>
      <c r="D9896" s="1050"/>
      <c r="E9896" s="1050"/>
      <c r="F9896" s="1050"/>
      <c r="G9896" s="1050"/>
    </row>
    <row r="9897" spans="1:7">
      <c r="A9897" s="1079"/>
      <c r="B9897" s="1050"/>
      <c r="C9897" s="1050"/>
      <c r="D9897" s="1050"/>
      <c r="E9897" s="1050"/>
      <c r="F9897" s="1050"/>
      <c r="G9897" s="1050"/>
    </row>
    <row r="9898" spans="1:7">
      <c r="A9898" s="1079"/>
      <c r="B9898" s="1050"/>
      <c r="C9898" s="1050"/>
      <c r="D9898" s="1050"/>
      <c r="E9898" s="1050"/>
      <c r="F9898" s="1050"/>
      <c r="G9898" s="1050"/>
    </row>
    <row r="9899" spans="1:7">
      <c r="A9899" s="1079"/>
      <c r="B9899" s="1050"/>
      <c r="C9899" s="1050"/>
      <c r="D9899" s="1050"/>
      <c r="E9899" s="1050"/>
      <c r="F9899" s="1050"/>
      <c r="G9899" s="1050"/>
    </row>
    <row r="9900" spans="1:7">
      <c r="A9900" s="1079"/>
      <c r="B9900" s="1050"/>
      <c r="C9900" s="1050"/>
      <c r="D9900" s="1050"/>
      <c r="E9900" s="1050"/>
      <c r="F9900" s="1050"/>
      <c r="G9900" s="1050"/>
    </row>
    <row r="9901" spans="1:7">
      <c r="A9901" s="1079"/>
      <c r="B9901" s="1050"/>
      <c r="C9901" s="1050"/>
      <c r="D9901" s="1050"/>
      <c r="E9901" s="1050"/>
      <c r="F9901" s="1050"/>
      <c r="G9901" s="1050"/>
    </row>
    <row r="9902" spans="1:7">
      <c r="A9902" s="1079"/>
      <c r="B9902" s="1050"/>
      <c r="C9902" s="1050"/>
      <c r="D9902" s="1050"/>
      <c r="E9902" s="1050"/>
      <c r="F9902" s="1050"/>
      <c r="G9902" s="1050"/>
    </row>
    <row r="9903" spans="1:7">
      <c r="A9903" s="1079"/>
      <c r="B9903" s="1050"/>
      <c r="C9903" s="1050"/>
      <c r="D9903" s="1050"/>
      <c r="E9903" s="1050"/>
      <c r="F9903" s="1050"/>
      <c r="G9903" s="1050"/>
    </row>
    <row r="9904" spans="1:7">
      <c r="A9904" s="1079"/>
      <c r="B9904" s="1050"/>
      <c r="C9904" s="1050"/>
      <c r="D9904" s="1050"/>
      <c r="E9904" s="1050"/>
      <c r="F9904" s="1050"/>
      <c r="G9904" s="1050"/>
    </row>
    <row r="9905" spans="1:7">
      <c r="A9905" s="1079"/>
      <c r="B9905" s="1050"/>
      <c r="C9905" s="1050"/>
      <c r="D9905" s="1050"/>
      <c r="E9905" s="1050"/>
      <c r="F9905" s="1050"/>
      <c r="G9905" s="1050"/>
    </row>
    <row r="9906" spans="1:7">
      <c r="A9906" s="1079"/>
      <c r="B9906" s="1050"/>
      <c r="C9906" s="1050"/>
      <c r="D9906" s="1050"/>
      <c r="E9906" s="1050"/>
      <c r="F9906" s="1050"/>
      <c r="G9906" s="1050"/>
    </row>
    <row r="9907" spans="1:7">
      <c r="A9907" s="1079"/>
      <c r="B9907" s="1050"/>
      <c r="C9907" s="1050"/>
      <c r="D9907" s="1050"/>
      <c r="E9907" s="1050"/>
      <c r="F9907" s="1050"/>
      <c r="G9907" s="1050"/>
    </row>
    <row r="9908" spans="1:7">
      <c r="A9908" s="1079"/>
      <c r="B9908" s="1050"/>
      <c r="C9908" s="1050"/>
      <c r="D9908" s="1050"/>
      <c r="E9908" s="1050"/>
      <c r="F9908" s="1050"/>
      <c r="G9908" s="1050"/>
    </row>
    <row r="9909" spans="1:7">
      <c r="A9909" s="1079"/>
      <c r="B9909" s="1050"/>
      <c r="C9909" s="1050"/>
      <c r="D9909" s="1050"/>
      <c r="E9909" s="1050"/>
      <c r="F9909" s="1050"/>
      <c r="G9909" s="1050"/>
    </row>
    <row r="9910" spans="1:7">
      <c r="A9910" s="1079"/>
      <c r="B9910" s="1050"/>
      <c r="C9910" s="1050"/>
      <c r="D9910" s="1050"/>
      <c r="E9910" s="1050"/>
      <c r="F9910" s="1050"/>
      <c r="G9910" s="1050"/>
    </row>
    <row r="9911" spans="1:7">
      <c r="A9911" s="1079"/>
      <c r="B9911" s="1050"/>
      <c r="C9911" s="1050"/>
      <c r="D9911" s="1050"/>
      <c r="E9911" s="1050"/>
      <c r="F9911" s="1050"/>
      <c r="G9911" s="1050"/>
    </row>
    <row r="9912" spans="1:7">
      <c r="A9912" s="1079"/>
      <c r="B9912" s="1050"/>
      <c r="C9912" s="1050"/>
      <c r="D9912" s="1050"/>
      <c r="E9912" s="1050"/>
      <c r="F9912" s="1050"/>
      <c r="G9912" s="1050"/>
    </row>
    <row r="9913" spans="1:7">
      <c r="A9913" s="1079"/>
      <c r="B9913" s="1050"/>
      <c r="C9913" s="1050"/>
      <c r="D9913" s="1050"/>
      <c r="E9913" s="1050"/>
      <c r="F9913" s="1050"/>
      <c r="G9913" s="1050"/>
    </row>
    <row r="9914" spans="1:7">
      <c r="A9914" s="1079"/>
      <c r="B9914" s="1050"/>
      <c r="C9914" s="1050"/>
      <c r="D9914" s="1050"/>
      <c r="E9914" s="1050"/>
      <c r="F9914" s="1050"/>
      <c r="G9914" s="1050"/>
    </row>
    <row r="9915" spans="1:7">
      <c r="A9915" s="1079"/>
      <c r="B9915" s="1050"/>
      <c r="C9915" s="1050"/>
      <c r="D9915" s="1050"/>
      <c r="E9915" s="1050"/>
      <c r="F9915" s="1050"/>
      <c r="G9915" s="1050"/>
    </row>
    <row r="9916" spans="1:7">
      <c r="A9916" s="1079"/>
      <c r="B9916" s="1050"/>
      <c r="C9916" s="1050"/>
      <c r="D9916" s="1050"/>
      <c r="E9916" s="1050"/>
      <c r="F9916" s="1050"/>
      <c r="G9916" s="1050"/>
    </row>
    <row r="9917" spans="1:7">
      <c r="A9917" s="1079"/>
      <c r="B9917" s="1050"/>
      <c r="C9917" s="1050"/>
      <c r="D9917" s="1050"/>
      <c r="E9917" s="1050"/>
      <c r="F9917" s="1050"/>
      <c r="G9917" s="1050"/>
    </row>
    <row r="9918" spans="1:7">
      <c r="A9918" s="1079"/>
      <c r="B9918" s="1050"/>
      <c r="C9918" s="1050"/>
      <c r="D9918" s="1050"/>
      <c r="E9918" s="1050"/>
      <c r="F9918" s="1050"/>
      <c r="G9918" s="1050"/>
    </row>
    <row r="9919" spans="1:7">
      <c r="A9919" s="1079"/>
      <c r="B9919" s="1050"/>
      <c r="C9919" s="1050"/>
      <c r="D9919" s="1050"/>
      <c r="E9919" s="1050"/>
      <c r="F9919" s="1050"/>
      <c r="G9919" s="1050"/>
    </row>
    <row r="9920" spans="1:7">
      <c r="A9920" s="1079"/>
      <c r="B9920" s="1050"/>
      <c r="C9920" s="1050"/>
      <c r="D9920" s="1050"/>
      <c r="E9920" s="1050"/>
      <c r="F9920" s="1050"/>
      <c r="G9920" s="1050"/>
    </row>
    <row r="9921" spans="1:7">
      <c r="A9921" s="1079"/>
      <c r="B9921" s="1050"/>
      <c r="C9921" s="1050"/>
      <c r="D9921" s="1050"/>
      <c r="E9921" s="1050"/>
      <c r="F9921" s="1050"/>
      <c r="G9921" s="1050"/>
    </row>
    <row r="9922" spans="1:7">
      <c r="A9922" s="1079"/>
      <c r="B9922" s="1050"/>
      <c r="C9922" s="1050"/>
      <c r="D9922" s="1050"/>
      <c r="E9922" s="1050"/>
      <c r="F9922" s="1050"/>
      <c r="G9922" s="1050"/>
    </row>
    <row r="9923" spans="1:7">
      <c r="A9923" s="1079"/>
      <c r="B9923" s="1050"/>
      <c r="C9923" s="1050"/>
      <c r="D9923" s="1050"/>
      <c r="E9923" s="1050"/>
      <c r="F9923" s="1050"/>
      <c r="G9923" s="1050"/>
    </row>
    <row r="9924" spans="1:7">
      <c r="A9924" s="1079"/>
      <c r="B9924" s="1050"/>
      <c r="C9924" s="1050"/>
      <c r="D9924" s="1050"/>
      <c r="E9924" s="1050"/>
      <c r="F9924" s="1050"/>
      <c r="G9924" s="1050"/>
    </row>
    <row r="9925" spans="1:7">
      <c r="A9925" s="1079"/>
      <c r="B9925" s="1050"/>
      <c r="C9925" s="1050"/>
      <c r="D9925" s="1050"/>
      <c r="E9925" s="1050"/>
      <c r="F9925" s="1050"/>
      <c r="G9925" s="1050"/>
    </row>
    <row r="9926" spans="1:7">
      <c r="A9926" s="1079"/>
      <c r="B9926" s="1050"/>
      <c r="C9926" s="1050"/>
      <c r="D9926" s="1050"/>
      <c r="E9926" s="1050"/>
      <c r="F9926" s="1050"/>
      <c r="G9926" s="1050"/>
    </row>
    <row r="9927" spans="1:7">
      <c r="A9927" s="1079"/>
      <c r="B9927" s="1050"/>
      <c r="C9927" s="1050"/>
      <c r="D9927" s="1050"/>
      <c r="E9927" s="1050"/>
      <c r="F9927" s="1050"/>
      <c r="G9927" s="1050"/>
    </row>
    <row r="9928" spans="1:7">
      <c r="A9928" s="1079"/>
      <c r="B9928" s="1050"/>
      <c r="C9928" s="1050"/>
      <c r="D9928" s="1050"/>
      <c r="E9928" s="1050"/>
      <c r="F9928" s="1050"/>
      <c r="G9928" s="1050"/>
    </row>
    <row r="9929" spans="1:7">
      <c r="A9929" s="1079"/>
      <c r="B9929" s="1050"/>
      <c r="C9929" s="1050"/>
      <c r="D9929" s="1050"/>
      <c r="E9929" s="1050"/>
      <c r="F9929" s="1050"/>
      <c r="G9929" s="1050"/>
    </row>
    <row r="9930" spans="1:7">
      <c r="A9930" s="1079"/>
      <c r="B9930" s="1050"/>
      <c r="C9930" s="1050"/>
      <c r="D9930" s="1050"/>
      <c r="E9930" s="1050"/>
      <c r="F9930" s="1050"/>
      <c r="G9930" s="1050"/>
    </row>
    <row r="9931" spans="1:7">
      <c r="A9931" s="1079"/>
      <c r="B9931" s="1050"/>
      <c r="C9931" s="1050"/>
      <c r="D9931" s="1050"/>
      <c r="E9931" s="1050"/>
      <c r="F9931" s="1050"/>
      <c r="G9931" s="1050"/>
    </row>
    <row r="9932" spans="1:7">
      <c r="A9932" s="1079"/>
      <c r="B9932" s="1050"/>
      <c r="C9932" s="1050"/>
      <c r="D9932" s="1050"/>
      <c r="E9932" s="1050"/>
      <c r="F9932" s="1050"/>
      <c r="G9932" s="1050"/>
    </row>
    <row r="9933" spans="1:7">
      <c r="A9933" s="1079"/>
      <c r="B9933" s="1050"/>
      <c r="C9933" s="1050"/>
      <c r="D9933" s="1050"/>
      <c r="E9933" s="1050"/>
      <c r="F9933" s="1050"/>
      <c r="G9933" s="1050"/>
    </row>
    <row r="9934" spans="1:7">
      <c r="A9934" s="1079"/>
      <c r="B9934" s="1050"/>
      <c r="C9934" s="1050"/>
      <c r="D9934" s="1050"/>
      <c r="E9934" s="1050"/>
      <c r="F9934" s="1050"/>
      <c r="G9934" s="1050"/>
    </row>
    <row r="9935" spans="1:7">
      <c r="A9935" s="1079"/>
      <c r="B9935" s="1050"/>
      <c r="C9935" s="1050"/>
      <c r="D9935" s="1050"/>
      <c r="E9935" s="1050"/>
      <c r="F9935" s="1050"/>
      <c r="G9935" s="1050"/>
    </row>
    <row r="9936" spans="1:7">
      <c r="A9936" s="1079"/>
      <c r="B9936" s="1050"/>
      <c r="C9936" s="1050"/>
      <c r="D9936" s="1050"/>
      <c r="E9936" s="1050"/>
      <c r="F9936" s="1050"/>
      <c r="G9936" s="1050"/>
    </row>
    <row r="9937" spans="1:7">
      <c r="A9937" s="1079"/>
      <c r="B9937" s="1050"/>
      <c r="C9937" s="1050"/>
      <c r="D9937" s="1050"/>
      <c r="E9937" s="1050"/>
      <c r="F9937" s="1050"/>
      <c r="G9937" s="1050"/>
    </row>
    <row r="9938" spans="1:7">
      <c r="A9938" s="1079"/>
      <c r="B9938" s="1050"/>
      <c r="C9938" s="1050"/>
      <c r="D9938" s="1050"/>
      <c r="E9938" s="1050"/>
      <c r="F9938" s="1050"/>
      <c r="G9938" s="1050"/>
    </row>
    <row r="9939" spans="1:7">
      <c r="A9939" s="1079"/>
      <c r="B9939" s="1050"/>
      <c r="C9939" s="1050"/>
      <c r="D9939" s="1050"/>
      <c r="E9939" s="1050"/>
      <c r="F9939" s="1050"/>
      <c r="G9939" s="1050"/>
    </row>
    <row r="9940" spans="1:7">
      <c r="A9940" s="1079"/>
      <c r="B9940" s="1050"/>
      <c r="C9940" s="1050"/>
      <c r="D9940" s="1050"/>
      <c r="E9940" s="1050"/>
      <c r="F9940" s="1050"/>
      <c r="G9940" s="1050"/>
    </row>
    <row r="9941" spans="1:7">
      <c r="A9941" s="1079"/>
      <c r="B9941" s="1050"/>
      <c r="C9941" s="1050"/>
      <c r="D9941" s="1050"/>
      <c r="E9941" s="1050"/>
      <c r="F9941" s="1050"/>
      <c r="G9941" s="1050"/>
    </row>
    <row r="9942" spans="1:7">
      <c r="A9942" s="1079"/>
      <c r="B9942" s="1050"/>
      <c r="C9942" s="1050"/>
      <c r="D9942" s="1050"/>
      <c r="E9942" s="1050"/>
      <c r="F9942" s="1050"/>
      <c r="G9942" s="1050"/>
    </row>
    <row r="9943" spans="1:7">
      <c r="A9943" s="1079"/>
      <c r="B9943" s="1050"/>
      <c r="C9943" s="1050"/>
      <c r="D9943" s="1050"/>
      <c r="E9943" s="1050"/>
      <c r="F9943" s="1050"/>
      <c r="G9943" s="1050"/>
    </row>
    <row r="9944" spans="1:7">
      <c r="A9944" s="1079"/>
      <c r="B9944" s="1050"/>
      <c r="C9944" s="1050"/>
      <c r="D9944" s="1050"/>
      <c r="E9944" s="1050"/>
      <c r="F9944" s="1050"/>
      <c r="G9944" s="1050"/>
    </row>
    <row r="9945" spans="1:7">
      <c r="A9945" s="1079"/>
      <c r="B9945" s="1050"/>
      <c r="C9945" s="1050"/>
      <c r="D9945" s="1050"/>
      <c r="E9945" s="1050"/>
      <c r="F9945" s="1050"/>
      <c r="G9945" s="1050"/>
    </row>
    <row r="9946" spans="1:7">
      <c r="A9946" s="1079"/>
      <c r="B9946" s="1050"/>
      <c r="C9946" s="1050"/>
      <c r="D9946" s="1050"/>
      <c r="E9946" s="1050"/>
      <c r="F9946" s="1050"/>
      <c r="G9946" s="1050"/>
    </row>
    <row r="9947" spans="1:7">
      <c r="A9947" s="1079"/>
      <c r="B9947" s="1050"/>
      <c r="C9947" s="1050"/>
      <c r="D9947" s="1050"/>
      <c r="E9947" s="1050"/>
      <c r="F9947" s="1050"/>
      <c r="G9947" s="1050"/>
    </row>
    <row r="9948" spans="1:7">
      <c r="A9948" s="1079"/>
      <c r="B9948" s="1050"/>
      <c r="C9948" s="1050"/>
      <c r="D9948" s="1050"/>
      <c r="E9948" s="1050"/>
      <c r="F9948" s="1050"/>
      <c r="G9948" s="1050"/>
    </row>
    <row r="9949" spans="1:7">
      <c r="A9949" s="1079"/>
      <c r="B9949" s="1050"/>
      <c r="C9949" s="1050"/>
      <c r="D9949" s="1050"/>
      <c r="E9949" s="1050"/>
      <c r="F9949" s="1050"/>
      <c r="G9949" s="1050"/>
    </row>
    <row r="9950" spans="1:7">
      <c r="A9950" s="1079"/>
      <c r="B9950" s="1050"/>
      <c r="C9950" s="1050"/>
      <c r="D9950" s="1050"/>
      <c r="E9950" s="1050"/>
      <c r="F9950" s="1050"/>
      <c r="G9950" s="1050"/>
    </row>
    <row r="9951" spans="1:7">
      <c r="A9951" s="1079"/>
      <c r="B9951" s="1050"/>
      <c r="C9951" s="1050"/>
      <c r="D9951" s="1050"/>
      <c r="E9951" s="1050"/>
      <c r="F9951" s="1050"/>
      <c r="G9951" s="1050"/>
    </row>
    <row r="9952" spans="1:7">
      <c r="A9952" s="1079"/>
      <c r="B9952" s="1050"/>
      <c r="C9952" s="1050"/>
      <c r="D9952" s="1050"/>
      <c r="E9952" s="1050"/>
      <c r="F9952" s="1050"/>
      <c r="G9952" s="1050"/>
    </row>
    <row r="9953" spans="1:7">
      <c r="A9953" s="1079"/>
      <c r="B9953" s="1050"/>
      <c r="C9953" s="1050"/>
      <c r="D9953" s="1050"/>
      <c r="E9953" s="1050"/>
      <c r="F9953" s="1050"/>
      <c r="G9953" s="1050"/>
    </row>
    <row r="9954" spans="1:7">
      <c r="A9954" s="1079"/>
      <c r="B9954" s="1050"/>
      <c r="C9954" s="1050"/>
      <c r="D9954" s="1050"/>
      <c r="E9954" s="1050"/>
      <c r="F9954" s="1050"/>
      <c r="G9954" s="1050"/>
    </row>
    <row r="9955" spans="1:7">
      <c r="A9955" s="1079"/>
      <c r="B9955" s="1050"/>
      <c r="C9955" s="1050"/>
      <c r="D9955" s="1050"/>
      <c r="E9955" s="1050"/>
      <c r="F9955" s="1050"/>
      <c r="G9955" s="1050"/>
    </row>
    <row r="9956" spans="1:7">
      <c r="A9956" s="1079"/>
      <c r="B9956" s="1050"/>
      <c r="C9956" s="1050"/>
      <c r="D9956" s="1050"/>
      <c r="E9956" s="1050"/>
      <c r="F9956" s="1050"/>
      <c r="G9956" s="1050"/>
    </row>
    <row r="9957" spans="1:7">
      <c r="A9957" s="1079"/>
      <c r="B9957" s="1050"/>
      <c r="C9957" s="1050"/>
      <c r="D9957" s="1050"/>
      <c r="E9957" s="1050"/>
      <c r="F9957" s="1050"/>
      <c r="G9957" s="1050"/>
    </row>
    <row r="9958" spans="1:7">
      <c r="A9958" s="1079"/>
      <c r="B9958" s="1050"/>
      <c r="C9958" s="1050"/>
      <c r="D9958" s="1050"/>
      <c r="E9958" s="1050"/>
      <c r="F9958" s="1050"/>
      <c r="G9958" s="1050"/>
    </row>
    <row r="9959" spans="1:7">
      <c r="A9959" s="1079"/>
      <c r="B9959" s="1050"/>
      <c r="C9959" s="1050"/>
      <c r="D9959" s="1050"/>
      <c r="E9959" s="1050"/>
      <c r="F9959" s="1050"/>
      <c r="G9959" s="1050"/>
    </row>
    <row r="9960" spans="1:7">
      <c r="A9960" s="1079"/>
      <c r="B9960" s="1050"/>
      <c r="C9960" s="1050"/>
      <c r="D9960" s="1050"/>
      <c r="E9960" s="1050"/>
      <c r="F9960" s="1050"/>
      <c r="G9960" s="1050"/>
    </row>
    <row r="9961" spans="1:7">
      <c r="A9961" s="1079"/>
      <c r="B9961" s="1050"/>
      <c r="C9961" s="1050"/>
      <c r="D9961" s="1050"/>
      <c r="E9961" s="1050"/>
      <c r="F9961" s="1050"/>
      <c r="G9961" s="1050"/>
    </row>
    <row r="9962" spans="1:7">
      <c r="A9962" s="1079"/>
      <c r="B9962" s="1050"/>
      <c r="C9962" s="1050"/>
      <c r="D9962" s="1050"/>
      <c r="E9962" s="1050"/>
      <c r="F9962" s="1050"/>
      <c r="G9962" s="1050"/>
    </row>
    <row r="9963" spans="1:7">
      <c r="A9963" s="1079"/>
      <c r="B9963" s="1050"/>
      <c r="C9963" s="1050"/>
      <c r="D9963" s="1050"/>
      <c r="E9963" s="1050"/>
      <c r="F9963" s="1050"/>
      <c r="G9963" s="1050"/>
    </row>
    <row r="9964" spans="1:7">
      <c r="A9964" s="1079"/>
      <c r="B9964" s="1050"/>
      <c r="C9964" s="1050"/>
      <c r="D9964" s="1050"/>
      <c r="E9964" s="1050"/>
      <c r="F9964" s="1050"/>
      <c r="G9964" s="1050"/>
    </row>
    <row r="9965" spans="1:7">
      <c r="A9965" s="1079"/>
      <c r="B9965" s="1050"/>
      <c r="C9965" s="1050"/>
      <c r="D9965" s="1050"/>
      <c r="E9965" s="1050"/>
      <c r="F9965" s="1050"/>
      <c r="G9965" s="1050"/>
    </row>
    <row r="9966" spans="1:7">
      <c r="A9966" s="1079"/>
      <c r="B9966" s="1050"/>
      <c r="C9966" s="1050"/>
      <c r="D9966" s="1050"/>
      <c r="E9966" s="1050"/>
      <c r="F9966" s="1050"/>
      <c r="G9966" s="1050"/>
    </row>
    <row r="9967" spans="1:7">
      <c r="A9967" s="1079"/>
      <c r="B9967" s="1050"/>
      <c r="C9967" s="1050"/>
      <c r="D9967" s="1050"/>
      <c r="E9967" s="1050"/>
      <c r="F9967" s="1050"/>
      <c r="G9967" s="1050"/>
    </row>
    <row r="9968" spans="1:7">
      <c r="A9968" s="1079"/>
      <c r="B9968" s="1050"/>
      <c r="C9968" s="1050"/>
      <c r="D9968" s="1050"/>
      <c r="E9968" s="1050"/>
      <c r="F9968" s="1050"/>
      <c r="G9968" s="1050"/>
    </row>
    <row r="9969" spans="1:7">
      <c r="A9969" s="1079"/>
      <c r="B9969" s="1050"/>
      <c r="C9969" s="1050"/>
      <c r="D9969" s="1050"/>
      <c r="E9969" s="1050"/>
      <c r="F9969" s="1050"/>
      <c r="G9969" s="1050"/>
    </row>
    <row r="9970" spans="1:7">
      <c r="A9970" s="1079"/>
      <c r="B9970" s="1050"/>
      <c r="C9970" s="1050"/>
      <c r="D9970" s="1050"/>
      <c r="E9970" s="1050"/>
      <c r="F9970" s="1050"/>
      <c r="G9970" s="1050"/>
    </row>
    <row r="9971" spans="1:7">
      <c r="A9971" s="1079"/>
      <c r="B9971" s="1050"/>
      <c r="C9971" s="1050"/>
      <c r="D9971" s="1050"/>
      <c r="E9971" s="1050"/>
      <c r="F9971" s="1050"/>
      <c r="G9971" s="1050"/>
    </row>
    <row r="9972" spans="1:7">
      <c r="A9972" s="1079"/>
      <c r="B9972" s="1050"/>
      <c r="C9972" s="1050"/>
      <c r="D9972" s="1050"/>
      <c r="E9972" s="1050"/>
      <c r="F9972" s="1050"/>
      <c r="G9972" s="1050"/>
    </row>
    <row r="9973" spans="1:7">
      <c r="A9973" s="1079"/>
      <c r="B9973" s="1050"/>
      <c r="C9973" s="1050"/>
      <c r="D9973" s="1050"/>
      <c r="E9973" s="1050"/>
      <c r="F9973" s="1050"/>
      <c r="G9973" s="1050"/>
    </row>
    <row r="9974" spans="1:7">
      <c r="A9974" s="1079"/>
      <c r="B9974" s="1050"/>
      <c r="C9974" s="1050"/>
      <c r="D9974" s="1050"/>
      <c r="E9974" s="1050"/>
      <c r="F9974" s="1050"/>
      <c r="G9974" s="1050"/>
    </row>
    <row r="9975" spans="1:7">
      <c r="A9975" s="1079"/>
      <c r="B9975" s="1050"/>
      <c r="C9975" s="1050"/>
      <c r="D9975" s="1050"/>
      <c r="E9975" s="1050"/>
      <c r="F9975" s="1050"/>
      <c r="G9975" s="1050"/>
    </row>
    <row r="9976" spans="1:7">
      <c r="A9976" s="1079"/>
      <c r="B9976" s="1050"/>
      <c r="C9976" s="1050"/>
      <c r="D9976" s="1050"/>
      <c r="E9976" s="1050"/>
      <c r="F9976" s="1050"/>
      <c r="G9976" s="1050"/>
    </row>
    <row r="9977" spans="1:7">
      <c r="A9977" s="1079"/>
      <c r="B9977" s="1050"/>
      <c r="C9977" s="1050"/>
      <c r="D9977" s="1050"/>
      <c r="E9977" s="1050"/>
      <c r="F9977" s="1050"/>
      <c r="G9977" s="1050"/>
    </row>
    <row r="9978" spans="1:7">
      <c r="A9978" s="1079"/>
      <c r="B9978" s="1050"/>
      <c r="C9978" s="1050"/>
      <c r="D9978" s="1050"/>
      <c r="E9978" s="1050"/>
      <c r="F9978" s="1050"/>
      <c r="G9978" s="1050"/>
    </row>
    <row r="9979" spans="1:7">
      <c r="A9979" s="1079"/>
      <c r="B9979" s="1050"/>
      <c r="C9979" s="1050"/>
      <c r="D9979" s="1050"/>
      <c r="E9979" s="1050"/>
      <c r="F9979" s="1050"/>
      <c r="G9979" s="1050"/>
    </row>
    <row r="9980" spans="1:7">
      <c r="A9980" s="1079"/>
      <c r="B9980" s="1050"/>
      <c r="C9980" s="1050"/>
      <c r="D9980" s="1050"/>
      <c r="E9980" s="1050"/>
      <c r="F9980" s="1050"/>
      <c r="G9980" s="1050"/>
    </row>
    <row r="9981" spans="1:7">
      <c r="A9981" s="1079"/>
      <c r="B9981" s="1050"/>
      <c r="C9981" s="1050"/>
      <c r="D9981" s="1050"/>
      <c r="E9981" s="1050"/>
      <c r="F9981" s="1050"/>
      <c r="G9981" s="1050"/>
    </row>
    <row r="9982" spans="1:7">
      <c r="A9982" s="1079"/>
      <c r="B9982" s="1050"/>
      <c r="C9982" s="1050"/>
      <c r="D9982" s="1050"/>
      <c r="E9982" s="1050"/>
      <c r="F9982" s="1050"/>
      <c r="G9982" s="1050"/>
    </row>
    <row r="9983" spans="1:7">
      <c r="A9983" s="1079"/>
      <c r="B9983" s="1050"/>
      <c r="C9983" s="1050"/>
      <c r="D9983" s="1050"/>
      <c r="E9983" s="1050"/>
      <c r="F9983" s="1050"/>
      <c r="G9983" s="1050"/>
    </row>
    <row r="9984" spans="1:7">
      <c r="A9984" s="1079"/>
      <c r="B9984" s="1050"/>
      <c r="C9984" s="1050"/>
      <c r="D9984" s="1050"/>
      <c r="E9984" s="1050"/>
      <c r="F9984" s="1050"/>
      <c r="G9984" s="1050"/>
    </row>
    <row r="9985" spans="1:7">
      <c r="A9985" s="1079"/>
      <c r="B9985" s="1050"/>
      <c r="C9985" s="1050"/>
      <c r="D9985" s="1050"/>
      <c r="E9985" s="1050"/>
      <c r="F9985" s="1050"/>
      <c r="G9985" s="1050"/>
    </row>
    <row r="9986" spans="1:7">
      <c r="A9986" s="1079"/>
      <c r="B9986" s="1050"/>
      <c r="C9986" s="1050"/>
      <c r="D9986" s="1050"/>
      <c r="E9986" s="1050"/>
      <c r="F9986" s="1050"/>
      <c r="G9986" s="1050"/>
    </row>
    <row r="9987" spans="1:7">
      <c r="A9987" s="1079"/>
      <c r="B9987" s="1050"/>
      <c r="C9987" s="1050"/>
      <c r="D9987" s="1050"/>
      <c r="E9987" s="1050"/>
      <c r="F9987" s="1050"/>
      <c r="G9987" s="1050"/>
    </row>
    <row r="9988" spans="1:7">
      <c r="A9988" s="1079"/>
      <c r="B9988" s="1050"/>
      <c r="C9988" s="1050"/>
      <c r="D9988" s="1050"/>
      <c r="E9988" s="1050"/>
      <c r="F9988" s="1050"/>
      <c r="G9988" s="1050"/>
    </row>
    <row r="9989" spans="1:7">
      <c r="A9989" s="1079"/>
      <c r="B9989" s="1050"/>
      <c r="C9989" s="1050"/>
      <c r="D9989" s="1050"/>
      <c r="E9989" s="1050"/>
      <c r="F9989" s="1050"/>
      <c r="G9989" s="1050"/>
    </row>
    <row r="9990" spans="1:7">
      <c r="A9990" s="1079"/>
      <c r="B9990" s="1050"/>
      <c r="C9990" s="1050"/>
      <c r="D9990" s="1050"/>
      <c r="E9990" s="1050"/>
      <c r="F9990" s="1050"/>
      <c r="G9990" s="1050"/>
    </row>
    <row r="9991" spans="1:7">
      <c r="A9991" s="1079"/>
      <c r="B9991" s="1050"/>
      <c r="C9991" s="1050"/>
      <c r="D9991" s="1050"/>
      <c r="E9991" s="1050"/>
      <c r="F9991" s="1050"/>
      <c r="G9991" s="1050"/>
    </row>
    <row r="9992" spans="1:7">
      <c r="A9992" s="1079"/>
      <c r="B9992" s="1050"/>
      <c r="C9992" s="1050"/>
      <c r="D9992" s="1050"/>
      <c r="E9992" s="1050"/>
      <c r="F9992" s="1050"/>
      <c r="G9992" s="1050"/>
    </row>
    <row r="9993" spans="1:7">
      <c r="A9993" s="1079"/>
      <c r="B9993" s="1050"/>
      <c r="C9993" s="1050"/>
      <c r="D9993" s="1050"/>
      <c r="E9993" s="1050"/>
      <c r="F9993" s="1050"/>
      <c r="G9993" s="1050"/>
    </row>
    <row r="9994" spans="1:7">
      <c r="A9994" s="1079"/>
      <c r="B9994" s="1050"/>
      <c r="C9994" s="1050"/>
      <c r="D9994" s="1050"/>
      <c r="E9994" s="1050"/>
      <c r="F9994" s="1050"/>
      <c r="G9994" s="1050"/>
    </row>
    <row r="9995" spans="1:7">
      <c r="A9995" s="1079"/>
      <c r="B9995" s="1050"/>
      <c r="C9995" s="1050"/>
      <c r="D9995" s="1050"/>
      <c r="E9995" s="1050"/>
      <c r="F9995" s="1050"/>
      <c r="G9995" s="1050"/>
    </row>
    <row r="9996" spans="1:7">
      <c r="A9996" s="1079"/>
      <c r="B9996" s="1050"/>
      <c r="C9996" s="1050"/>
      <c r="D9996" s="1050"/>
      <c r="E9996" s="1050"/>
      <c r="F9996" s="1050"/>
      <c r="G9996" s="1050"/>
    </row>
    <row r="9997" spans="1:7">
      <c r="A9997" s="1079"/>
      <c r="B9997" s="1050"/>
      <c r="C9997" s="1050"/>
      <c r="D9997" s="1050"/>
      <c r="E9997" s="1050"/>
      <c r="F9997" s="1050"/>
      <c r="G9997" s="1050"/>
    </row>
    <row r="9998" spans="1:7">
      <c r="A9998" s="1079"/>
      <c r="B9998" s="1050"/>
      <c r="C9998" s="1050"/>
      <c r="D9998" s="1050"/>
      <c r="E9998" s="1050"/>
      <c r="F9998" s="1050"/>
      <c r="G9998" s="1050"/>
    </row>
    <row r="9999" spans="1:7">
      <c r="A9999" s="1079"/>
      <c r="B9999" s="1050"/>
      <c r="C9999" s="1050"/>
      <c r="D9999" s="1050"/>
      <c r="E9999" s="1050"/>
      <c r="F9999" s="1050"/>
      <c r="G9999" s="1050"/>
    </row>
    <row r="10000" spans="1:7">
      <c r="A10000" s="1079"/>
      <c r="B10000" s="1050"/>
      <c r="C10000" s="1050"/>
      <c r="D10000" s="1050"/>
      <c r="E10000" s="1050"/>
      <c r="F10000" s="1050"/>
      <c r="G10000" s="1050"/>
    </row>
    <row r="10001" spans="1:7">
      <c r="A10001" s="1079"/>
      <c r="B10001" s="1050"/>
      <c r="C10001" s="1050"/>
      <c r="D10001" s="1050"/>
      <c r="E10001" s="1050"/>
      <c r="F10001" s="1050"/>
      <c r="G10001" s="1050"/>
    </row>
    <row r="10002" spans="1:7">
      <c r="A10002" s="1079"/>
      <c r="B10002" s="1050"/>
      <c r="C10002" s="1050"/>
      <c r="D10002" s="1050"/>
      <c r="E10002" s="1050"/>
      <c r="F10002" s="1050"/>
      <c r="G10002" s="1050"/>
    </row>
    <row r="10003" spans="1:7">
      <c r="A10003" s="1079"/>
      <c r="B10003" s="1050"/>
      <c r="C10003" s="1050"/>
      <c r="D10003" s="1050"/>
      <c r="E10003" s="1050"/>
      <c r="F10003" s="1050"/>
      <c r="G10003" s="1050"/>
    </row>
    <row r="10004" spans="1:7">
      <c r="A10004" s="1079"/>
      <c r="B10004" s="1050"/>
      <c r="C10004" s="1050"/>
      <c r="D10004" s="1050"/>
      <c r="E10004" s="1050"/>
      <c r="F10004" s="1050"/>
      <c r="G10004" s="1050"/>
    </row>
    <row r="10005" spans="1:7">
      <c r="A10005" s="1079"/>
      <c r="B10005" s="1050"/>
      <c r="C10005" s="1050"/>
      <c r="D10005" s="1050"/>
      <c r="E10005" s="1050"/>
      <c r="F10005" s="1050"/>
      <c r="G10005" s="1050"/>
    </row>
    <row r="10006" spans="1:7">
      <c r="A10006" s="1079"/>
      <c r="B10006" s="1050"/>
      <c r="C10006" s="1050"/>
      <c r="D10006" s="1050"/>
      <c r="E10006" s="1050"/>
      <c r="F10006" s="1050"/>
      <c r="G10006" s="1050"/>
    </row>
    <row r="10007" spans="1:7">
      <c r="A10007" s="1079"/>
      <c r="B10007" s="1050"/>
      <c r="C10007" s="1050"/>
      <c r="D10007" s="1050"/>
      <c r="E10007" s="1050"/>
      <c r="F10007" s="1050"/>
      <c r="G10007" s="1050"/>
    </row>
    <row r="10008" spans="1:7">
      <c r="A10008" s="1079"/>
      <c r="B10008" s="1050"/>
      <c r="C10008" s="1050"/>
      <c r="D10008" s="1050"/>
      <c r="E10008" s="1050"/>
      <c r="F10008" s="1050"/>
      <c r="G10008" s="1050"/>
    </row>
    <row r="10009" spans="1:7">
      <c r="A10009" s="1079"/>
      <c r="B10009" s="1050"/>
      <c r="C10009" s="1050"/>
      <c r="D10009" s="1050"/>
      <c r="E10009" s="1050"/>
      <c r="F10009" s="1050"/>
      <c r="G10009" s="1050"/>
    </row>
    <row r="10010" spans="1:7">
      <c r="A10010" s="1079"/>
      <c r="B10010" s="1050"/>
      <c r="C10010" s="1050"/>
      <c r="D10010" s="1050"/>
      <c r="E10010" s="1050"/>
      <c r="F10010" s="1050"/>
      <c r="G10010" s="1050"/>
    </row>
    <row r="10011" spans="1:7">
      <c r="A10011" s="1079"/>
      <c r="B10011" s="1050"/>
      <c r="C10011" s="1050"/>
      <c r="D10011" s="1050"/>
      <c r="E10011" s="1050"/>
      <c r="F10011" s="1050"/>
      <c r="G10011" s="1050"/>
    </row>
    <row r="10012" spans="1:7">
      <c r="A10012" s="1079"/>
      <c r="B10012" s="1050"/>
      <c r="C10012" s="1050"/>
      <c r="D10012" s="1050"/>
      <c r="E10012" s="1050"/>
      <c r="F10012" s="1050"/>
      <c r="G10012" s="1050"/>
    </row>
    <row r="10013" spans="1:7">
      <c r="A10013" s="1079"/>
      <c r="B10013" s="1050"/>
      <c r="C10013" s="1050"/>
      <c r="D10013" s="1050"/>
      <c r="E10013" s="1050"/>
      <c r="F10013" s="1050"/>
      <c r="G10013" s="1050"/>
    </row>
    <row r="10014" spans="1:7">
      <c r="A10014" s="1079"/>
      <c r="B10014" s="1050"/>
      <c r="C10014" s="1050"/>
      <c r="D10014" s="1050"/>
      <c r="E10014" s="1050"/>
      <c r="F10014" s="1050"/>
      <c r="G10014" s="1050"/>
    </row>
    <row r="10015" spans="1:7">
      <c r="A10015" s="1079"/>
      <c r="B10015" s="1050"/>
      <c r="C10015" s="1050"/>
      <c r="D10015" s="1050"/>
      <c r="E10015" s="1050"/>
      <c r="F10015" s="1050"/>
      <c r="G10015" s="1050"/>
    </row>
    <row r="10016" spans="1:7">
      <c r="A10016" s="1079"/>
      <c r="B10016" s="1050"/>
      <c r="C10016" s="1050"/>
      <c r="D10016" s="1050"/>
      <c r="E10016" s="1050"/>
      <c r="F10016" s="1050"/>
      <c r="G10016" s="1050"/>
    </row>
    <row r="10017" spans="1:7">
      <c r="A10017" s="1079"/>
      <c r="B10017" s="1050"/>
      <c r="C10017" s="1050"/>
      <c r="D10017" s="1050"/>
      <c r="E10017" s="1050"/>
      <c r="F10017" s="1050"/>
      <c r="G10017" s="1050"/>
    </row>
    <row r="10018" spans="1:7">
      <c r="A10018" s="1079"/>
      <c r="B10018" s="1050"/>
      <c r="C10018" s="1050"/>
      <c r="D10018" s="1050"/>
      <c r="E10018" s="1050"/>
      <c r="F10018" s="1050"/>
      <c r="G10018" s="1050"/>
    </row>
    <row r="10019" spans="1:7">
      <c r="A10019" s="1079"/>
      <c r="B10019" s="1050"/>
      <c r="C10019" s="1050"/>
      <c r="D10019" s="1050"/>
      <c r="E10019" s="1050"/>
      <c r="F10019" s="1050"/>
      <c r="G10019" s="1050"/>
    </row>
    <row r="10020" spans="1:7">
      <c r="A10020" s="1079"/>
      <c r="B10020" s="1050"/>
      <c r="C10020" s="1050"/>
      <c r="D10020" s="1050"/>
      <c r="E10020" s="1050"/>
      <c r="F10020" s="1050"/>
      <c r="G10020" s="1050"/>
    </row>
    <row r="10021" spans="1:7">
      <c r="A10021" s="1079"/>
      <c r="B10021" s="1050"/>
      <c r="C10021" s="1050"/>
      <c r="D10021" s="1050"/>
      <c r="E10021" s="1050"/>
      <c r="F10021" s="1050"/>
      <c r="G10021" s="1050"/>
    </row>
    <row r="10022" spans="1:7">
      <c r="A10022" s="1079"/>
      <c r="B10022" s="1050"/>
      <c r="C10022" s="1050"/>
      <c r="D10022" s="1050"/>
      <c r="E10022" s="1050"/>
      <c r="F10022" s="1050"/>
      <c r="G10022" s="1050"/>
    </row>
    <row r="10023" spans="1:7">
      <c r="A10023" s="1079"/>
      <c r="B10023" s="1050"/>
      <c r="C10023" s="1050"/>
      <c r="D10023" s="1050"/>
      <c r="E10023" s="1050"/>
      <c r="F10023" s="1050"/>
      <c r="G10023" s="1050"/>
    </row>
    <row r="10024" spans="1:7">
      <c r="A10024" s="1079"/>
      <c r="B10024" s="1050"/>
      <c r="C10024" s="1050"/>
      <c r="D10024" s="1050"/>
      <c r="E10024" s="1050"/>
      <c r="F10024" s="1050"/>
      <c r="G10024" s="1050"/>
    </row>
    <row r="10025" spans="1:7">
      <c r="A10025" s="1079"/>
      <c r="B10025" s="1050"/>
      <c r="C10025" s="1050"/>
      <c r="D10025" s="1050"/>
      <c r="E10025" s="1050"/>
      <c r="F10025" s="1050"/>
      <c r="G10025" s="1050"/>
    </row>
    <row r="10026" spans="1:7">
      <c r="A10026" s="1079"/>
      <c r="B10026" s="1050"/>
      <c r="C10026" s="1050"/>
      <c r="D10026" s="1050"/>
      <c r="E10026" s="1050"/>
      <c r="F10026" s="1050"/>
      <c r="G10026" s="1050"/>
    </row>
    <row r="10027" spans="1:7">
      <c r="A10027" s="1079"/>
      <c r="B10027" s="1050"/>
      <c r="C10027" s="1050"/>
      <c r="D10027" s="1050"/>
      <c r="E10027" s="1050"/>
      <c r="F10027" s="1050"/>
      <c r="G10027" s="1050"/>
    </row>
    <row r="10028" spans="1:7">
      <c r="A10028" s="1079"/>
      <c r="B10028" s="1050"/>
      <c r="C10028" s="1050"/>
      <c r="D10028" s="1050"/>
      <c r="E10028" s="1050"/>
      <c r="F10028" s="1050"/>
      <c r="G10028" s="1050"/>
    </row>
    <row r="10029" spans="1:7">
      <c r="A10029" s="1079"/>
      <c r="B10029" s="1050"/>
      <c r="C10029" s="1050"/>
      <c r="D10029" s="1050"/>
      <c r="E10029" s="1050"/>
      <c r="F10029" s="1050"/>
      <c r="G10029" s="1050"/>
    </row>
    <row r="10030" spans="1:7">
      <c r="A10030" s="1079"/>
      <c r="B10030" s="1050"/>
      <c r="C10030" s="1050"/>
      <c r="D10030" s="1050"/>
      <c r="E10030" s="1050"/>
      <c r="F10030" s="1050"/>
      <c r="G10030" s="1050"/>
    </row>
    <row r="10031" spans="1:7">
      <c r="A10031" s="1079"/>
      <c r="B10031" s="1050"/>
      <c r="C10031" s="1050"/>
      <c r="D10031" s="1050"/>
      <c r="E10031" s="1050"/>
      <c r="F10031" s="1050"/>
      <c r="G10031" s="1050"/>
    </row>
    <row r="10032" spans="1:7">
      <c r="A10032" s="1079"/>
      <c r="B10032" s="1050"/>
      <c r="C10032" s="1050"/>
      <c r="D10032" s="1050"/>
      <c r="E10032" s="1050"/>
      <c r="F10032" s="1050"/>
      <c r="G10032" s="1050"/>
    </row>
    <row r="10033" spans="1:7">
      <c r="A10033" s="1079"/>
      <c r="B10033" s="1050"/>
      <c r="C10033" s="1050"/>
      <c r="D10033" s="1050"/>
      <c r="E10033" s="1050"/>
      <c r="F10033" s="1050"/>
      <c r="G10033" s="1050"/>
    </row>
    <row r="10034" spans="1:7">
      <c r="A10034" s="1079"/>
      <c r="B10034" s="1050"/>
      <c r="C10034" s="1050"/>
      <c r="D10034" s="1050"/>
      <c r="E10034" s="1050"/>
      <c r="F10034" s="1050"/>
      <c r="G10034" s="1050"/>
    </row>
    <row r="10035" spans="1:7">
      <c r="A10035" s="1079"/>
      <c r="B10035" s="1050"/>
      <c r="C10035" s="1050"/>
      <c r="D10035" s="1050"/>
      <c r="E10035" s="1050"/>
      <c r="F10035" s="1050"/>
      <c r="G10035" s="1050"/>
    </row>
    <row r="10036" spans="1:7">
      <c r="A10036" s="1079"/>
      <c r="B10036" s="1050"/>
      <c r="C10036" s="1050"/>
      <c r="D10036" s="1050"/>
      <c r="E10036" s="1050"/>
      <c r="F10036" s="1050"/>
      <c r="G10036" s="1050"/>
    </row>
    <row r="10037" spans="1:7">
      <c r="A10037" s="1079"/>
      <c r="B10037" s="1050"/>
      <c r="C10037" s="1050"/>
      <c r="D10037" s="1050"/>
      <c r="E10037" s="1050"/>
      <c r="F10037" s="1050"/>
      <c r="G10037" s="1050"/>
    </row>
    <row r="10038" spans="1:7">
      <c r="A10038" s="1079"/>
      <c r="B10038" s="1050"/>
      <c r="C10038" s="1050"/>
      <c r="D10038" s="1050"/>
      <c r="E10038" s="1050"/>
      <c r="F10038" s="1050"/>
      <c r="G10038" s="1050"/>
    </row>
    <row r="10039" spans="1:7">
      <c r="A10039" s="1079"/>
      <c r="B10039" s="1050"/>
      <c r="C10039" s="1050"/>
      <c r="D10039" s="1050"/>
      <c r="E10039" s="1050"/>
      <c r="F10039" s="1050"/>
      <c r="G10039" s="1050"/>
    </row>
    <row r="10040" spans="1:7">
      <c r="A10040" s="1079"/>
      <c r="B10040" s="1050"/>
      <c r="C10040" s="1050"/>
      <c r="D10040" s="1050"/>
      <c r="E10040" s="1050"/>
      <c r="F10040" s="1050"/>
      <c r="G10040" s="1050"/>
    </row>
    <row r="10041" spans="1:7">
      <c r="A10041" s="1079"/>
      <c r="B10041" s="1050"/>
      <c r="C10041" s="1050"/>
      <c r="D10041" s="1050"/>
      <c r="E10041" s="1050"/>
      <c r="F10041" s="1050"/>
      <c r="G10041" s="1050"/>
    </row>
    <row r="10042" spans="1:7">
      <c r="A10042" s="1079"/>
      <c r="B10042" s="1050"/>
      <c r="C10042" s="1050"/>
      <c r="D10042" s="1050"/>
      <c r="E10042" s="1050"/>
      <c r="F10042" s="1050"/>
      <c r="G10042" s="1050"/>
    </row>
    <row r="10043" spans="1:7">
      <c r="A10043" s="1079"/>
      <c r="B10043" s="1050"/>
      <c r="C10043" s="1050"/>
      <c r="D10043" s="1050"/>
      <c r="E10043" s="1050"/>
      <c r="F10043" s="1050"/>
      <c r="G10043" s="1050"/>
    </row>
    <row r="10044" spans="1:7">
      <c r="A10044" s="1079"/>
      <c r="B10044" s="1050"/>
      <c r="C10044" s="1050"/>
      <c r="D10044" s="1050"/>
      <c r="E10044" s="1050"/>
      <c r="F10044" s="1050"/>
      <c r="G10044" s="1050"/>
    </row>
    <row r="10045" spans="1:7">
      <c r="A10045" s="1079"/>
      <c r="B10045" s="1050"/>
      <c r="C10045" s="1050"/>
      <c r="D10045" s="1050"/>
      <c r="E10045" s="1050"/>
      <c r="F10045" s="1050"/>
      <c r="G10045" s="1050"/>
    </row>
    <row r="10046" spans="1:7">
      <c r="A10046" s="1079"/>
      <c r="B10046" s="1050"/>
      <c r="C10046" s="1050"/>
      <c r="D10046" s="1050"/>
      <c r="E10046" s="1050"/>
      <c r="F10046" s="1050"/>
      <c r="G10046" s="1050"/>
    </row>
    <row r="10047" spans="1:7">
      <c r="A10047" s="1079"/>
      <c r="B10047" s="1050"/>
      <c r="C10047" s="1050"/>
      <c r="D10047" s="1050"/>
      <c r="E10047" s="1050"/>
      <c r="F10047" s="1050"/>
      <c r="G10047" s="1050"/>
    </row>
    <row r="10048" spans="1:7">
      <c r="A10048" s="1079"/>
      <c r="B10048" s="1050"/>
      <c r="C10048" s="1050"/>
      <c r="D10048" s="1050"/>
      <c r="E10048" s="1050"/>
      <c r="F10048" s="1050"/>
      <c r="G10048" s="1050"/>
    </row>
    <row r="10049" spans="1:7">
      <c r="A10049" s="1079"/>
      <c r="B10049" s="1050"/>
      <c r="C10049" s="1050"/>
      <c r="D10049" s="1050"/>
      <c r="E10049" s="1050"/>
      <c r="F10049" s="1050"/>
      <c r="G10049" s="1050"/>
    </row>
    <row r="10050" spans="1:7">
      <c r="A10050" s="1079"/>
      <c r="B10050" s="1050"/>
      <c r="C10050" s="1050"/>
      <c r="D10050" s="1050"/>
      <c r="E10050" s="1050"/>
      <c r="F10050" s="1050"/>
      <c r="G10050" s="1050"/>
    </row>
    <row r="10051" spans="1:7">
      <c r="A10051" s="1079"/>
      <c r="B10051" s="1050"/>
      <c r="C10051" s="1050"/>
      <c r="D10051" s="1050"/>
      <c r="E10051" s="1050"/>
      <c r="F10051" s="1050"/>
      <c r="G10051" s="1050"/>
    </row>
    <row r="10052" spans="1:7">
      <c r="A10052" s="1079"/>
      <c r="B10052" s="1050"/>
      <c r="C10052" s="1050"/>
      <c r="D10052" s="1050"/>
      <c r="E10052" s="1050"/>
      <c r="F10052" s="1050"/>
      <c r="G10052" s="1050"/>
    </row>
    <row r="10053" spans="1:7">
      <c r="A10053" s="1079"/>
      <c r="B10053" s="1050"/>
      <c r="C10053" s="1050"/>
      <c r="D10053" s="1050"/>
      <c r="E10053" s="1050"/>
      <c r="F10053" s="1050"/>
      <c r="G10053" s="1050"/>
    </row>
    <row r="10054" spans="1:7">
      <c r="A10054" s="1079"/>
      <c r="B10054" s="1050"/>
      <c r="C10054" s="1050"/>
      <c r="D10054" s="1050"/>
      <c r="E10054" s="1050"/>
      <c r="F10054" s="1050"/>
      <c r="G10054" s="1050"/>
    </row>
    <row r="10055" spans="1:7">
      <c r="A10055" s="1079"/>
      <c r="B10055" s="1050"/>
      <c r="C10055" s="1050"/>
      <c r="D10055" s="1050"/>
      <c r="E10055" s="1050"/>
      <c r="F10055" s="1050"/>
      <c r="G10055" s="1050"/>
    </row>
    <row r="10056" spans="1:7">
      <c r="A10056" s="1079"/>
      <c r="B10056" s="1050"/>
      <c r="C10056" s="1050"/>
      <c r="D10056" s="1050"/>
      <c r="E10056" s="1050"/>
      <c r="F10056" s="1050"/>
      <c r="G10056" s="1050"/>
    </row>
    <row r="10057" spans="1:7">
      <c r="A10057" s="1079"/>
      <c r="B10057" s="1050"/>
      <c r="C10057" s="1050"/>
      <c r="D10057" s="1050"/>
      <c r="E10057" s="1050"/>
      <c r="F10057" s="1050"/>
      <c r="G10057" s="1050"/>
    </row>
    <row r="10058" spans="1:7">
      <c r="A10058" s="1079"/>
      <c r="B10058" s="1050"/>
      <c r="C10058" s="1050"/>
      <c r="D10058" s="1050"/>
      <c r="E10058" s="1050"/>
      <c r="F10058" s="1050"/>
      <c r="G10058" s="1050"/>
    </row>
    <row r="10059" spans="1:7">
      <c r="A10059" s="1079"/>
      <c r="B10059" s="1050"/>
      <c r="C10059" s="1050"/>
      <c r="D10059" s="1050"/>
      <c r="E10059" s="1050"/>
      <c r="F10059" s="1050"/>
      <c r="G10059" s="1050"/>
    </row>
    <row r="10060" spans="1:7">
      <c r="A10060" s="1079"/>
      <c r="B10060" s="1050"/>
      <c r="C10060" s="1050"/>
      <c r="D10060" s="1050"/>
      <c r="E10060" s="1050"/>
      <c r="F10060" s="1050"/>
      <c r="G10060" s="1050"/>
    </row>
    <row r="10061" spans="1:7">
      <c r="A10061" s="1079"/>
      <c r="B10061" s="1050"/>
      <c r="C10061" s="1050"/>
      <c r="D10061" s="1050"/>
      <c r="E10061" s="1050"/>
      <c r="F10061" s="1050"/>
      <c r="G10061" s="1050"/>
    </row>
    <row r="10062" spans="1:7">
      <c r="A10062" s="1079"/>
      <c r="B10062" s="1050"/>
      <c r="C10062" s="1050"/>
      <c r="D10062" s="1050"/>
      <c r="E10062" s="1050"/>
      <c r="F10062" s="1050"/>
      <c r="G10062" s="1050"/>
    </row>
    <row r="10063" spans="1:7">
      <c r="A10063" s="1079"/>
      <c r="B10063" s="1050"/>
      <c r="C10063" s="1050"/>
      <c r="D10063" s="1050"/>
      <c r="E10063" s="1050"/>
      <c r="F10063" s="1050"/>
      <c r="G10063" s="1050"/>
    </row>
    <row r="10064" spans="1:7">
      <c r="A10064" s="1079"/>
      <c r="B10064" s="1050"/>
      <c r="C10064" s="1050"/>
      <c r="D10064" s="1050"/>
      <c r="E10064" s="1050"/>
      <c r="F10064" s="1050"/>
      <c r="G10064" s="1050"/>
    </row>
    <row r="10065" spans="1:7">
      <c r="A10065" s="1079"/>
      <c r="B10065" s="1050"/>
      <c r="C10065" s="1050"/>
      <c r="D10065" s="1050"/>
      <c r="E10065" s="1050"/>
      <c r="F10065" s="1050"/>
      <c r="G10065" s="1050"/>
    </row>
    <row r="10066" spans="1:7">
      <c r="A10066" s="1079"/>
      <c r="B10066" s="1050"/>
      <c r="C10066" s="1050"/>
      <c r="D10066" s="1050"/>
      <c r="E10066" s="1050"/>
      <c r="F10066" s="1050"/>
      <c r="G10066" s="1050"/>
    </row>
    <row r="10067" spans="1:7">
      <c r="A10067" s="1079"/>
      <c r="B10067" s="1050"/>
      <c r="C10067" s="1050"/>
      <c r="D10067" s="1050"/>
      <c r="E10067" s="1050"/>
      <c r="F10067" s="1050"/>
      <c r="G10067" s="1050"/>
    </row>
    <row r="10068" spans="1:7">
      <c r="A10068" s="1079"/>
      <c r="B10068" s="1050"/>
      <c r="C10068" s="1050"/>
      <c r="D10068" s="1050"/>
      <c r="E10068" s="1050"/>
      <c r="F10068" s="1050"/>
      <c r="G10068" s="1050"/>
    </row>
    <row r="10069" spans="1:7">
      <c r="A10069" s="1079"/>
      <c r="B10069" s="1050"/>
      <c r="C10069" s="1050"/>
      <c r="D10069" s="1050"/>
      <c r="E10069" s="1050"/>
      <c r="F10069" s="1050"/>
      <c r="G10069" s="1050"/>
    </row>
    <row r="10070" spans="1:7">
      <c r="A10070" s="1079"/>
      <c r="B10070" s="1050"/>
      <c r="C10070" s="1050"/>
      <c r="D10070" s="1050"/>
      <c r="E10070" s="1050"/>
      <c r="F10070" s="1050"/>
      <c r="G10070" s="1050"/>
    </row>
    <row r="10071" spans="1:7">
      <c r="A10071" s="1079"/>
      <c r="B10071" s="1050"/>
      <c r="C10071" s="1050"/>
      <c r="D10071" s="1050"/>
      <c r="E10071" s="1050"/>
      <c r="F10071" s="1050"/>
      <c r="G10071" s="1050"/>
    </row>
    <row r="10072" spans="1:7">
      <c r="A10072" s="1079"/>
      <c r="B10072" s="1050"/>
      <c r="C10072" s="1050"/>
      <c r="D10072" s="1050"/>
      <c r="E10072" s="1050"/>
      <c r="F10072" s="1050"/>
      <c r="G10072" s="1050"/>
    </row>
    <row r="10073" spans="1:7">
      <c r="A10073" s="1079"/>
      <c r="B10073" s="1050"/>
      <c r="C10073" s="1050"/>
      <c r="D10073" s="1050"/>
      <c r="E10073" s="1050"/>
      <c r="F10073" s="1050"/>
      <c r="G10073" s="1050"/>
    </row>
    <row r="10074" spans="1:7">
      <c r="A10074" s="1079"/>
      <c r="B10074" s="1050"/>
      <c r="C10074" s="1050"/>
      <c r="D10074" s="1050"/>
      <c r="E10074" s="1050"/>
      <c r="F10074" s="1050"/>
      <c r="G10074" s="1050"/>
    </row>
    <row r="10075" spans="1:7">
      <c r="A10075" s="1079"/>
      <c r="B10075" s="1050"/>
      <c r="C10075" s="1050"/>
      <c r="D10075" s="1050"/>
      <c r="E10075" s="1050"/>
      <c r="F10075" s="1050"/>
      <c r="G10075" s="1050"/>
    </row>
    <row r="10076" spans="1:7">
      <c r="A10076" s="1079"/>
      <c r="B10076" s="1050"/>
      <c r="C10076" s="1050"/>
      <c r="D10076" s="1050"/>
      <c r="E10076" s="1050"/>
      <c r="F10076" s="1050"/>
      <c r="G10076" s="1050"/>
    </row>
    <row r="10077" spans="1:7">
      <c r="A10077" s="1079"/>
      <c r="B10077" s="1050"/>
      <c r="C10077" s="1050"/>
      <c r="D10077" s="1050"/>
      <c r="E10077" s="1050"/>
      <c r="F10077" s="1050"/>
      <c r="G10077" s="1050"/>
    </row>
    <row r="10078" spans="1:7">
      <c r="A10078" s="1079"/>
      <c r="B10078" s="1050"/>
      <c r="C10078" s="1050"/>
      <c r="D10078" s="1050"/>
      <c r="E10078" s="1050"/>
      <c r="F10078" s="1050"/>
      <c r="G10078" s="1050"/>
    </row>
    <row r="10079" spans="1:7">
      <c r="A10079" s="1079"/>
      <c r="B10079" s="1050"/>
      <c r="C10079" s="1050"/>
      <c r="D10079" s="1050"/>
      <c r="E10079" s="1050"/>
      <c r="F10079" s="1050"/>
      <c r="G10079" s="1050"/>
    </row>
    <row r="10080" spans="1:7">
      <c r="A10080" s="1079"/>
      <c r="B10080" s="1050"/>
      <c r="C10080" s="1050"/>
      <c r="D10080" s="1050"/>
      <c r="E10080" s="1050"/>
      <c r="F10080" s="1050"/>
      <c r="G10080" s="1050"/>
    </row>
    <row r="10081" spans="1:7">
      <c r="A10081" s="1079"/>
      <c r="B10081" s="1050"/>
      <c r="C10081" s="1050"/>
      <c r="D10081" s="1050"/>
      <c r="E10081" s="1050"/>
      <c r="F10081" s="1050"/>
      <c r="G10081" s="1050"/>
    </row>
    <row r="10082" spans="1:7">
      <c r="A10082" s="1079"/>
      <c r="B10082" s="1050"/>
      <c r="C10082" s="1050"/>
      <c r="D10082" s="1050"/>
      <c r="E10082" s="1050"/>
      <c r="F10082" s="1050"/>
      <c r="G10082" s="1050"/>
    </row>
    <row r="10083" spans="1:7">
      <c r="A10083" s="1079"/>
      <c r="B10083" s="1050"/>
      <c r="C10083" s="1050"/>
      <c r="D10083" s="1050"/>
      <c r="E10083" s="1050"/>
      <c r="F10083" s="1050"/>
      <c r="G10083" s="1050"/>
    </row>
    <row r="10084" spans="1:7">
      <c r="A10084" s="1079"/>
      <c r="B10084" s="1050"/>
      <c r="C10084" s="1050"/>
      <c r="D10084" s="1050"/>
      <c r="E10084" s="1050"/>
      <c r="F10084" s="1050"/>
      <c r="G10084" s="1050"/>
    </row>
    <row r="10085" spans="1:7">
      <c r="A10085" s="1079"/>
      <c r="B10085" s="1050"/>
      <c r="C10085" s="1050"/>
      <c r="D10085" s="1050"/>
      <c r="E10085" s="1050"/>
      <c r="F10085" s="1050"/>
      <c r="G10085" s="1050"/>
    </row>
    <row r="10086" spans="1:7">
      <c r="A10086" s="1079"/>
      <c r="B10086" s="1050"/>
      <c r="C10086" s="1050"/>
      <c r="D10086" s="1050"/>
      <c r="E10086" s="1050"/>
      <c r="F10086" s="1050"/>
      <c r="G10086" s="1050"/>
    </row>
    <row r="10087" spans="1:7">
      <c r="A10087" s="1079"/>
      <c r="B10087" s="1050"/>
      <c r="C10087" s="1050"/>
      <c r="D10087" s="1050"/>
      <c r="E10087" s="1050"/>
      <c r="F10087" s="1050"/>
      <c r="G10087" s="1050"/>
    </row>
    <row r="10088" spans="1:7">
      <c r="A10088" s="1079"/>
      <c r="B10088" s="1050"/>
      <c r="C10088" s="1050"/>
      <c r="D10088" s="1050"/>
      <c r="E10088" s="1050"/>
      <c r="F10088" s="1050"/>
      <c r="G10088" s="1050"/>
    </row>
    <row r="10089" spans="1:7">
      <c r="A10089" s="1079"/>
      <c r="B10089" s="1050"/>
      <c r="C10089" s="1050"/>
      <c r="D10089" s="1050"/>
      <c r="E10089" s="1050"/>
      <c r="F10089" s="1050"/>
      <c r="G10089" s="1050"/>
    </row>
    <row r="10090" spans="1:7">
      <c r="A10090" s="1079"/>
      <c r="B10090" s="1050"/>
      <c r="C10090" s="1050"/>
      <c r="D10090" s="1050"/>
      <c r="E10090" s="1050"/>
      <c r="F10090" s="1050"/>
      <c r="G10090" s="1050"/>
    </row>
    <row r="10091" spans="1:7">
      <c r="A10091" s="1079"/>
      <c r="B10091" s="1050"/>
      <c r="C10091" s="1050"/>
      <c r="D10091" s="1050"/>
      <c r="E10091" s="1050"/>
      <c r="F10091" s="1050"/>
      <c r="G10091" s="1050"/>
    </row>
    <row r="10092" spans="1:7">
      <c r="A10092" s="1079"/>
      <c r="B10092" s="1050"/>
      <c r="C10092" s="1050"/>
      <c r="D10092" s="1050"/>
      <c r="E10092" s="1050"/>
      <c r="F10092" s="1050"/>
      <c r="G10092" s="1050"/>
    </row>
    <row r="10093" spans="1:7">
      <c r="A10093" s="1079"/>
      <c r="B10093" s="1050"/>
      <c r="C10093" s="1050"/>
      <c r="D10093" s="1050"/>
      <c r="E10093" s="1050"/>
      <c r="F10093" s="1050"/>
      <c r="G10093" s="1050"/>
    </row>
    <row r="10094" spans="1:7">
      <c r="A10094" s="1079"/>
      <c r="B10094" s="1050"/>
      <c r="C10094" s="1050"/>
      <c r="D10094" s="1050"/>
      <c r="E10094" s="1050"/>
      <c r="F10094" s="1050"/>
      <c r="G10094" s="1050"/>
    </row>
    <row r="10095" spans="1:7">
      <c r="A10095" s="1079"/>
      <c r="B10095" s="1050"/>
      <c r="C10095" s="1050"/>
      <c r="D10095" s="1050"/>
      <c r="E10095" s="1050"/>
      <c r="F10095" s="1050"/>
      <c r="G10095" s="1050"/>
    </row>
    <row r="10096" spans="1:7">
      <c r="A10096" s="1079"/>
      <c r="B10096" s="1050"/>
      <c r="C10096" s="1050"/>
      <c r="D10096" s="1050"/>
      <c r="E10096" s="1050"/>
      <c r="F10096" s="1050"/>
      <c r="G10096" s="1050"/>
    </row>
    <row r="10097" spans="1:7">
      <c r="A10097" s="1079"/>
      <c r="B10097" s="1050"/>
      <c r="C10097" s="1050"/>
      <c r="D10097" s="1050"/>
      <c r="E10097" s="1050"/>
      <c r="F10097" s="1050"/>
      <c r="G10097" s="1050"/>
    </row>
    <row r="10098" spans="1:7">
      <c r="A10098" s="1079"/>
      <c r="B10098" s="1050"/>
      <c r="C10098" s="1050"/>
      <c r="D10098" s="1050"/>
      <c r="E10098" s="1050"/>
      <c r="F10098" s="1050"/>
      <c r="G10098" s="1050"/>
    </row>
    <row r="10099" spans="1:7">
      <c r="A10099" s="1079"/>
      <c r="B10099" s="1050"/>
      <c r="C10099" s="1050"/>
      <c r="D10099" s="1050"/>
      <c r="E10099" s="1050"/>
      <c r="F10099" s="1050"/>
      <c r="G10099" s="1050"/>
    </row>
    <row r="10100" spans="1:7">
      <c r="A10100" s="1079"/>
      <c r="B10100" s="1050"/>
      <c r="C10100" s="1050"/>
      <c r="D10100" s="1050"/>
      <c r="E10100" s="1050"/>
      <c r="F10100" s="1050"/>
      <c r="G10100" s="1050"/>
    </row>
    <row r="10101" spans="1:7">
      <c r="A10101" s="1079"/>
      <c r="B10101" s="1050"/>
      <c r="C10101" s="1050"/>
      <c r="D10101" s="1050"/>
      <c r="E10101" s="1050"/>
      <c r="F10101" s="1050"/>
      <c r="G10101" s="1050"/>
    </row>
    <row r="10102" spans="1:7">
      <c r="A10102" s="1079"/>
      <c r="B10102" s="1050"/>
      <c r="C10102" s="1050"/>
      <c r="D10102" s="1050"/>
      <c r="E10102" s="1050"/>
      <c r="F10102" s="1050"/>
      <c r="G10102" s="1050"/>
    </row>
    <row r="10103" spans="1:7">
      <c r="A10103" s="1079"/>
      <c r="B10103" s="1050"/>
      <c r="C10103" s="1050"/>
      <c r="D10103" s="1050"/>
      <c r="E10103" s="1050"/>
      <c r="F10103" s="1050"/>
      <c r="G10103" s="1050"/>
    </row>
    <row r="10104" spans="1:7">
      <c r="A10104" s="1079"/>
      <c r="B10104" s="1050"/>
      <c r="C10104" s="1050"/>
      <c r="D10104" s="1050"/>
      <c r="E10104" s="1050"/>
      <c r="F10104" s="1050"/>
      <c r="G10104" s="1050"/>
    </row>
    <row r="10105" spans="1:7">
      <c r="A10105" s="1079"/>
      <c r="B10105" s="1050"/>
      <c r="C10105" s="1050"/>
      <c r="D10105" s="1050"/>
      <c r="E10105" s="1050"/>
      <c r="F10105" s="1050"/>
      <c r="G10105" s="1050"/>
    </row>
    <row r="10106" spans="1:7">
      <c r="A10106" s="1079"/>
      <c r="B10106" s="1050"/>
      <c r="C10106" s="1050"/>
      <c r="D10106" s="1050"/>
      <c r="E10106" s="1050"/>
      <c r="F10106" s="1050"/>
      <c r="G10106" s="1050"/>
    </row>
    <row r="10107" spans="1:7">
      <c r="A10107" s="1079"/>
      <c r="B10107" s="1050"/>
      <c r="C10107" s="1050"/>
      <c r="D10107" s="1050"/>
      <c r="E10107" s="1050"/>
      <c r="F10107" s="1050"/>
      <c r="G10107" s="1050"/>
    </row>
    <row r="10108" spans="1:7">
      <c r="A10108" s="1079"/>
      <c r="B10108" s="1050"/>
      <c r="C10108" s="1050"/>
      <c r="D10108" s="1050"/>
      <c r="E10108" s="1050"/>
      <c r="F10108" s="1050"/>
      <c r="G10108" s="1050"/>
    </row>
    <row r="10109" spans="1:7">
      <c r="A10109" s="1079"/>
      <c r="B10109" s="1050"/>
      <c r="C10109" s="1050"/>
      <c r="D10109" s="1050"/>
      <c r="E10109" s="1050"/>
      <c r="F10109" s="1050"/>
      <c r="G10109" s="1050"/>
    </row>
    <row r="10110" spans="1:7">
      <c r="A10110" s="1079"/>
      <c r="B10110" s="1050"/>
      <c r="C10110" s="1050"/>
      <c r="D10110" s="1050"/>
      <c r="E10110" s="1050"/>
      <c r="F10110" s="1050"/>
      <c r="G10110" s="1050"/>
    </row>
    <row r="10111" spans="1:7">
      <c r="A10111" s="1079"/>
      <c r="B10111" s="1050"/>
      <c r="C10111" s="1050"/>
      <c r="D10111" s="1050"/>
      <c r="E10111" s="1050"/>
      <c r="F10111" s="1050"/>
      <c r="G10111" s="1050"/>
    </row>
    <row r="10112" spans="1:7">
      <c r="A10112" s="1079"/>
      <c r="B10112" s="1050"/>
      <c r="C10112" s="1050"/>
      <c r="D10112" s="1050"/>
      <c r="E10112" s="1050"/>
      <c r="F10112" s="1050"/>
      <c r="G10112" s="1050"/>
    </row>
    <row r="10113" spans="1:7">
      <c r="A10113" s="1079"/>
      <c r="B10113" s="1050"/>
      <c r="C10113" s="1050"/>
      <c r="D10113" s="1050"/>
      <c r="E10113" s="1050"/>
      <c r="F10113" s="1050"/>
      <c r="G10113" s="1050"/>
    </row>
    <row r="10114" spans="1:7">
      <c r="A10114" s="1079"/>
      <c r="B10114" s="1050"/>
      <c r="C10114" s="1050"/>
      <c r="D10114" s="1050"/>
      <c r="E10114" s="1050"/>
      <c r="F10114" s="1050"/>
      <c r="G10114" s="1050"/>
    </row>
    <row r="10115" spans="1:7">
      <c r="A10115" s="1079"/>
      <c r="B10115" s="1050"/>
      <c r="C10115" s="1050"/>
      <c r="D10115" s="1050"/>
      <c r="E10115" s="1050"/>
      <c r="F10115" s="1050"/>
      <c r="G10115" s="1050"/>
    </row>
    <row r="10116" spans="1:7">
      <c r="A10116" s="1079"/>
      <c r="B10116" s="1050"/>
      <c r="C10116" s="1050"/>
      <c r="D10116" s="1050"/>
      <c r="E10116" s="1050"/>
      <c r="F10116" s="1050"/>
      <c r="G10116" s="1050"/>
    </row>
    <row r="10117" spans="1:7">
      <c r="A10117" s="1079"/>
      <c r="B10117" s="1050"/>
      <c r="C10117" s="1050"/>
      <c r="D10117" s="1050"/>
      <c r="E10117" s="1050"/>
      <c r="F10117" s="1050"/>
      <c r="G10117" s="1050"/>
    </row>
    <row r="10118" spans="1:7">
      <c r="A10118" s="1079"/>
      <c r="B10118" s="1050"/>
      <c r="C10118" s="1050"/>
      <c r="D10118" s="1050"/>
      <c r="E10118" s="1050"/>
      <c r="F10118" s="1050"/>
      <c r="G10118" s="1050"/>
    </row>
    <row r="10119" spans="1:7">
      <c r="A10119" s="1079"/>
      <c r="B10119" s="1050"/>
      <c r="C10119" s="1050"/>
      <c r="D10119" s="1050"/>
      <c r="E10119" s="1050"/>
      <c r="F10119" s="1050"/>
      <c r="G10119" s="1050"/>
    </row>
    <row r="10120" spans="1:7">
      <c r="A10120" s="1079"/>
      <c r="B10120" s="1050"/>
      <c r="C10120" s="1050"/>
      <c r="D10120" s="1050"/>
      <c r="E10120" s="1050"/>
      <c r="F10120" s="1050"/>
      <c r="G10120" s="1050"/>
    </row>
    <row r="10121" spans="1:7">
      <c r="A10121" s="1079"/>
      <c r="B10121" s="1050"/>
      <c r="C10121" s="1050"/>
      <c r="D10121" s="1050"/>
      <c r="E10121" s="1050"/>
      <c r="F10121" s="1050"/>
      <c r="G10121" s="1050"/>
    </row>
    <row r="10122" spans="1:7">
      <c r="A10122" s="1079"/>
      <c r="B10122" s="1050"/>
      <c r="C10122" s="1050"/>
      <c r="D10122" s="1050"/>
      <c r="E10122" s="1050"/>
      <c r="F10122" s="1050"/>
      <c r="G10122" s="1050"/>
    </row>
    <row r="10123" spans="1:7">
      <c r="A10123" s="1079"/>
      <c r="B10123" s="1050"/>
      <c r="C10123" s="1050"/>
      <c r="D10123" s="1050"/>
      <c r="E10123" s="1050"/>
      <c r="F10123" s="1050"/>
      <c r="G10123" s="1050"/>
    </row>
    <row r="10124" spans="1:7">
      <c r="A10124" s="1079"/>
      <c r="B10124" s="1050"/>
      <c r="C10124" s="1050"/>
      <c r="D10124" s="1050"/>
      <c r="E10124" s="1050"/>
      <c r="F10124" s="1050"/>
      <c r="G10124" s="1050"/>
    </row>
    <row r="10125" spans="1:7">
      <c r="A10125" s="1079"/>
      <c r="B10125" s="1050"/>
      <c r="C10125" s="1050"/>
      <c r="D10125" s="1050"/>
      <c r="E10125" s="1050"/>
      <c r="F10125" s="1050"/>
      <c r="G10125" s="1050"/>
    </row>
    <row r="10126" spans="1:7">
      <c r="A10126" s="1079"/>
      <c r="B10126" s="1050"/>
      <c r="C10126" s="1050"/>
      <c r="D10126" s="1050"/>
      <c r="E10126" s="1050"/>
      <c r="F10126" s="1050"/>
      <c r="G10126" s="1050"/>
    </row>
    <row r="10127" spans="1:7">
      <c r="A10127" s="1079"/>
      <c r="B10127" s="1050"/>
      <c r="C10127" s="1050"/>
      <c r="D10127" s="1050"/>
      <c r="E10127" s="1050"/>
      <c r="F10127" s="1050"/>
      <c r="G10127" s="1050"/>
    </row>
    <row r="10128" spans="1:7">
      <c r="A10128" s="1079"/>
      <c r="B10128" s="1050"/>
      <c r="C10128" s="1050"/>
      <c r="D10128" s="1050"/>
      <c r="E10128" s="1050"/>
      <c r="F10128" s="1050"/>
      <c r="G10128" s="1050"/>
    </row>
    <row r="10129" spans="1:7">
      <c r="A10129" s="1079"/>
      <c r="B10129" s="1050"/>
      <c r="C10129" s="1050"/>
      <c r="D10129" s="1050"/>
      <c r="E10129" s="1050"/>
      <c r="F10129" s="1050"/>
      <c r="G10129" s="1050"/>
    </row>
    <row r="10130" spans="1:7">
      <c r="A10130" s="1079"/>
      <c r="B10130" s="1050"/>
      <c r="C10130" s="1050"/>
      <c r="D10130" s="1050"/>
      <c r="E10130" s="1050"/>
      <c r="F10130" s="1050"/>
      <c r="G10130" s="1050"/>
    </row>
    <row r="10131" spans="1:7">
      <c r="A10131" s="1079"/>
      <c r="B10131" s="1050"/>
      <c r="C10131" s="1050"/>
      <c r="D10131" s="1050"/>
      <c r="E10131" s="1050"/>
      <c r="F10131" s="1050"/>
      <c r="G10131" s="1050"/>
    </row>
    <row r="10132" spans="1:7">
      <c r="A10132" s="1079"/>
      <c r="B10132" s="1050"/>
      <c r="C10132" s="1050"/>
      <c r="D10132" s="1050"/>
      <c r="E10132" s="1050"/>
      <c r="F10132" s="1050"/>
      <c r="G10132" s="1050"/>
    </row>
    <row r="10133" spans="1:7">
      <c r="A10133" s="1079"/>
      <c r="B10133" s="1050"/>
      <c r="C10133" s="1050"/>
      <c r="D10133" s="1050"/>
      <c r="E10133" s="1050"/>
      <c r="F10133" s="1050"/>
      <c r="G10133" s="1050"/>
    </row>
    <row r="10134" spans="1:7">
      <c r="A10134" s="1079"/>
      <c r="B10134" s="1050"/>
      <c r="C10134" s="1050"/>
      <c r="D10134" s="1050"/>
      <c r="E10134" s="1050"/>
      <c r="F10134" s="1050"/>
      <c r="G10134" s="1050"/>
    </row>
    <row r="10135" spans="1:7">
      <c r="A10135" s="1079"/>
      <c r="B10135" s="1050"/>
      <c r="C10135" s="1050"/>
      <c r="D10135" s="1050"/>
      <c r="E10135" s="1050"/>
      <c r="F10135" s="1050"/>
      <c r="G10135" s="1050"/>
    </row>
    <row r="10136" spans="1:7">
      <c r="A10136" s="1079"/>
      <c r="B10136" s="1050"/>
      <c r="C10136" s="1050"/>
      <c r="D10136" s="1050"/>
      <c r="E10136" s="1050"/>
      <c r="F10136" s="1050"/>
      <c r="G10136" s="1050"/>
    </row>
    <row r="10137" spans="1:7">
      <c r="A10137" s="1079"/>
      <c r="B10137" s="1050"/>
      <c r="C10137" s="1050"/>
      <c r="D10137" s="1050"/>
      <c r="E10137" s="1050"/>
      <c r="F10137" s="1050"/>
      <c r="G10137" s="1050"/>
    </row>
    <row r="10138" spans="1:7">
      <c r="A10138" s="1079"/>
      <c r="B10138" s="1050"/>
      <c r="C10138" s="1050"/>
      <c r="D10138" s="1050"/>
      <c r="E10138" s="1050"/>
      <c r="F10138" s="1050"/>
      <c r="G10138" s="1050"/>
    </row>
    <row r="10139" spans="1:7">
      <c r="A10139" s="1079"/>
      <c r="B10139" s="1050"/>
      <c r="C10139" s="1050"/>
      <c r="D10139" s="1050"/>
      <c r="E10139" s="1050"/>
      <c r="F10139" s="1050"/>
      <c r="G10139" s="1050"/>
    </row>
    <row r="10140" spans="1:7">
      <c r="A10140" s="1079"/>
      <c r="B10140" s="1050"/>
      <c r="C10140" s="1050"/>
      <c r="D10140" s="1050"/>
      <c r="E10140" s="1050"/>
      <c r="F10140" s="1050"/>
      <c r="G10140" s="1050"/>
    </row>
    <row r="10141" spans="1:7">
      <c r="A10141" s="1079"/>
      <c r="B10141" s="1050"/>
      <c r="C10141" s="1050"/>
      <c r="D10141" s="1050"/>
      <c r="E10141" s="1050"/>
      <c r="F10141" s="1050"/>
      <c r="G10141" s="1050"/>
    </row>
    <row r="10142" spans="1:7">
      <c r="A10142" s="1079"/>
      <c r="B10142" s="1050"/>
      <c r="C10142" s="1050"/>
      <c r="D10142" s="1050"/>
      <c r="E10142" s="1050"/>
      <c r="F10142" s="1050"/>
      <c r="G10142" s="1050"/>
    </row>
    <row r="10143" spans="1:7">
      <c r="A10143" s="1079"/>
      <c r="B10143" s="1050"/>
      <c r="C10143" s="1050"/>
      <c r="D10143" s="1050"/>
      <c r="E10143" s="1050"/>
      <c r="F10143" s="1050"/>
      <c r="G10143" s="1050"/>
    </row>
    <row r="10144" spans="1:7">
      <c r="A10144" s="1079"/>
      <c r="B10144" s="1050"/>
      <c r="C10144" s="1050"/>
      <c r="D10144" s="1050"/>
      <c r="E10144" s="1050"/>
      <c r="F10144" s="1050"/>
      <c r="G10144" s="1050"/>
    </row>
    <row r="10145" spans="1:7">
      <c r="A10145" s="1079"/>
      <c r="B10145" s="1050"/>
      <c r="C10145" s="1050"/>
      <c r="D10145" s="1050"/>
      <c r="E10145" s="1050"/>
      <c r="F10145" s="1050"/>
      <c r="G10145" s="1050"/>
    </row>
    <row r="10146" spans="1:7">
      <c r="A10146" s="1079"/>
      <c r="B10146" s="1050"/>
      <c r="C10146" s="1050"/>
      <c r="D10146" s="1050"/>
      <c r="E10146" s="1050"/>
      <c r="F10146" s="1050"/>
      <c r="G10146" s="1050"/>
    </row>
    <row r="10147" spans="1:7">
      <c r="A10147" s="1079"/>
      <c r="B10147" s="1050"/>
      <c r="C10147" s="1050"/>
      <c r="D10147" s="1050"/>
      <c r="E10147" s="1050"/>
      <c r="F10147" s="1050"/>
      <c r="G10147" s="1050"/>
    </row>
    <row r="10148" spans="1:7">
      <c r="A10148" s="1079"/>
      <c r="B10148" s="1050"/>
      <c r="C10148" s="1050"/>
      <c r="D10148" s="1050"/>
      <c r="E10148" s="1050"/>
      <c r="F10148" s="1050"/>
      <c r="G10148" s="1050"/>
    </row>
    <row r="10149" spans="1:7">
      <c r="A10149" s="1079"/>
      <c r="B10149" s="1050"/>
      <c r="C10149" s="1050"/>
      <c r="D10149" s="1050"/>
      <c r="E10149" s="1050"/>
      <c r="F10149" s="1050"/>
      <c r="G10149" s="1050"/>
    </row>
    <row r="10150" spans="1:7">
      <c r="A10150" s="1079"/>
      <c r="B10150" s="1050"/>
      <c r="C10150" s="1050"/>
      <c r="D10150" s="1050"/>
      <c r="E10150" s="1050"/>
      <c r="F10150" s="1050"/>
      <c r="G10150" s="1050"/>
    </row>
    <row r="10151" spans="1:7">
      <c r="A10151" s="1079"/>
      <c r="B10151" s="1050"/>
      <c r="C10151" s="1050"/>
      <c r="D10151" s="1050"/>
      <c r="E10151" s="1050"/>
      <c r="F10151" s="1050"/>
      <c r="G10151" s="1050"/>
    </row>
    <row r="10152" spans="1:7">
      <c r="A10152" s="1079"/>
      <c r="B10152" s="1050"/>
      <c r="C10152" s="1050"/>
      <c r="D10152" s="1050"/>
      <c r="E10152" s="1050"/>
      <c r="F10152" s="1050"/>
      <c r="G10152" s="1050"/>
    </row>
    <row r="10153" spans="1:7">
      <c r="A10153" s="1079"/>
      <c r="B10153" s="1050"/>
      <c r="C10153" s="1050"/>
      <c r="D10153" s="1050"/>
      <c r="E10153" s="1050"/>
      <c r="F10153" s="1050"/>
      <c r="G10153" s="1050"/>
    </row>
    <row r="10154" spans="1:7">
      <c r="A10154" s="1079"/>
      <c r="B10154" s="1050"/>
      <c r="C10154" s="1050"/>
      <c r="D10154" s="1050"/>
      <c r="E10154" s="1050"/>
      <c r="F10154" s="1050"/>
      <c r="G10154" s="1050"/>
    </row>
    <row r="10155" spans="1:7">
      <c r="A10155" s="1079"/>
      <c r="B10155" s="1050"/>
      <c r="C10155" s="1050"/>
      <c r="D10155" s="1050"/>
      <c r="E10155" s="1050"/>
      <c r="F10155" s="1050"/>
      <c r="G10155" s="1050"/>
    </row>
    <row r="10156" spans="1:7">
      <c r="A10156" s="1079"/>
      <c r="B10156" s="1050"/>
      <c r="C10156" s="1050"/>
      <c r="D10156" s="1050"/>
      <c r="E10156" s="1050"/>
      <c r="F10156" s="1050"/>
      <c r="G10156" s="1050"/>
    </row>
    <row r="10157" spans="1:7">
      <c r="A10157" s="1079"/>
      <c r="B10157" s="1050"/>
      <c r="C10157" s="1050"/>
      <c r="D10157" s="1050"/>
      <c r="E10157" s="1050"/>
      <c r="F10157" s="1050"/>
      <c r="G10157" s="1050"/>
    </row>
    <row r="10158" spans="1:7">
      <c r="A10158" s="1079"/>
      <c r="B10158" s="1050"/>
      <c r="C10158" s="1050"/>
      <c r="D10158" s="1050"/>
      <c r="E10158" s="1050"/>
      <c r="F10158" s="1050"/>
      <c r="G10158" s="1050"/>
    </row>
    <row r="10159" spans="1:7">
      <c r="A10159" s="1079"/>
      <c r="B10159" s="1050"/>
      <c r="C10159" s="1050"/>
      <c r="D10159" s="1050"/>
      <c r="E10159" s="1050"/>
      <c r="F10159" s="1050"/>
      <c r="G10159" s="1050"/>
    </row>
    <row r="10160" spans="1:7">
      <c r="A10160" s="1079"/>
      <c r="B10160" s="1050"/>
      <c r="C10160" s="1050"/>
      <c r="D10160" s="1050"/>
      <c r="E10160" s="1050"/>
      <c r="F10160" s="1050"/>
      <c r="G10160" s="1050"/>
    </row>
    <row r="10161" spans="1:7">
      <c r="A10161" s="1079"/>
      <c r="B10161" s="1050"/>
      <c r="C10161" s="1050"/>
      <c r="D10161" s="1050"/>
      <c r="E10161" s="1050"/>
      <c r="F10161" s="1050"/>
      <c r="G10161" s="1050"/>
    </row>
    <row r="10162" spans="1:7">
      <c r="A10162" s="1079"/>
      <c r="B10162" s="1050"/>
      <c r="C10162" s="1050"/>
      <c r="D10162" s="1050"/>
      <c r="E10162" s="1050"/>
      <c r="F10162" s="1050"/>
      <c r="G10162" s="1050"/>
    </row>
    <row r="10163" spans="1:7">
      <c r="A10163" s="1079"/>
      <c r="B10163" s="1050"/>
      <c r="C10163" s="1050"/>
      <c r="D10163" s="1050"/>
      <c r="E10163" s="1050"/>
      <c r="F10163" s="1050"/>
      <c r="G10163" s="1050"/>
    </row>
    <row r="10164" spans="1:7">
      <c r="A10164" s="1079"/>
      <c r="B10164" s="1050"/>
      <c r="C10164" s="1050"/>
      <c r="D10164" s="1050"/>
      <c r="E10164" s="1050"/>
      <c r="F10164" s="1050"/>
      <c r="G10164" s="1050"/>
    </row>
    <row r="10165" spans="1:7">
      <c r="A10165" s="1079"/>
      <c r="B10165" s="1050"/>
      <c r="C10165" s="1050"/>
      <c r="D10165" s="1050"/>
      <c r="E10165" s="1050"/>
      <c r="F10165" s="1050"/>
      <c r="G10165" s="1050"/>
    </row>
    <row r="10166" spans="1:7">
      <c r="A10166" s="1079"/>
      <c r="B10166" s="1050"/>
      <c r="C10166" s="1050"/>
      <c r="D10166" s="1050"/>
      <c r="E10166" s="1050"/>
      <c r="F10166" s="1050"/>
      <c r="G10166" s="1050"/>
    </row>
    <row r="10167" spans="1:7">
      <c r="A10167" s="1079"/>
      <c r="B10167" s="1050"/>
      <c r="C10167" s="1050"/>
      <c r="D10167" s="1050"/>
      <c r="E10167" s="1050"/>
      <c r="F10167" s="1050"/>
      <c r="G10167" s="1050"/>
    </row>
    <row r="10168" spans="1:7">
      <c r="A10168" s="1079"/>
      <c r="B10168" s="1050"/>
      <c r="C10168" s="1050"/>
      <c r="D10168" s="1050"/>
      <c r="E10168" s="1050"/>
      <c r="F10168" s="1050"/>
      <c r="G10168" s="1050"/>
    </row>
    <row r="10169" spans="1:7">
      <c r="A10169" s="1079"/>
      <c r="B10169" s="1050"/>
      <c r="C10169" s="1050"/>
      <c r="D10169" s="1050"/>
      <c r="E10169" s="1050"/>
      <c r="F10169" s="1050"/>
      <c r="G10169" s="1050"/>
    </row>
    <row r="10170" spans="1:7">
      <c r="A10170" s="1079"/>
      <c r="B10170" s="1050"/>
      <c r="C10170" s="1050"/>
      <c r="D10170" s="1050"/>
      <c r="E10170" s="1050"/>
      <c r="F10170" s="1050"/>
      <c r="G10170" s="1050"/>
    </row>
    <row r="10171" spans="1:7">
      <c r="A10171" s="1079"/>
      <c r="B10171" s="1050"/>
      <c r="C10171" s="1050"/>
      <c r="D10171" s="1050"/>
      <c r="E10171" s="1050"/>
      <c r="F10171" s="1050"/>
      <c r="G10171" s="1050"/>
    </row>
    <row r="10172" spans="1:7">
      <c r="A10172" s="1079"/>
      <c r="B10172" s="1050"/>
      <c r="C10172" s="1050"/>
      <c r="D10172" s="1050"/>
      <c r="E10172" s="1050"/>
      <c r="F10172" s="1050"/>
      <c r="G10172" s="1050"/>
    </row>
    <row r="10173" spans="1:7">
      <c r="A10173" s="1079"/>
      <c r="B10173" s="1050"/>
      <c r="C10173" s="1050"/>
      <c r="D10173" s="1050"/>
      <c r="E10173" s="1050"/>
      <c r="F10173" s="1050"/>
      <c r="G10173" s="1050"/>
    </row>
    <row r="10174" spans="1:7">
      <c r="A10174" s="1079"/>
      <c r="B10174" s="1050"/>
      <c r="C10174" s="1050"/>
      <c r="D10174" s="1050"/>
      <c r="E10174" s="1050"/>
      <c r="F10174" s="1050"/>
      <c r="G10174" s="1050"/>
    </row>
    <row r="10175" spans="1:7">
      <c r="A10175" s="1079"/>
      <c r="B10175" s="1050"/>
      <c r="C10175" s="1050"/>
      <c r="D10175" s="1050"/>
      <c r="E10175" s="1050"/>
      <c r="F10175" s="1050"/>
      <c r="G10175" s="1050"/>
    </row>
    <row r="10176" spans="1:7">
      <c r="A10176" s="1079"/>
      <c r="B10176" s="1050"/>
      <c r="C10176" s="1050"/>
      <c r="D10176" s="1050"/>
      <c r="E10176" s="1050"/>
      <c r="F10176" s="1050"/>
      <c r="G10176" s="1050"/>
    </row>
    <row r="10177" spans="1:7">
      <c r="A10177" s="1079"/>
      <c r="B10177" s="1050"/>
      <c r="C10177" s="1050"/>
      <c r="D10177" s="1050"/>
      <c r="E10177" s="1050"/>
      <c r="F10177" s="1050"/>
      <c r="G10177" s="1050"/>
    </row>
    <row r="10178" spans="1:7">
      <c r="A10178" s="1079"/>
      <c r="B10178" s="1050"/>
      <c r="C10178" s="1050"/>
      <c r="D10178" s="1050"/>
      <c r="E10178" s="1050"/>
      <c r="F10178" s="1050"/>
      <c r="G10178" s="1050"/>
    </row>
    <row r="10179" spans="1:7">
      <c r="A10179" s="1079"/>
      <c r="B10179" s="1050"/>
      <c r="C10179" s="1050"/>
      <c r="D10179" s="1050"/>
      <c r="E10179" s="1050"/>
      <c r="F10179" s="1050"/>
      <c r="G10179" s="1050"/>
    </row>
    <row r="10180" spans="1:7">
      <c r="A10180" s="1079"/>
      <c r="B10180" s="1050"/>
      <c r="C10180" s="1050"/>
      <c r="D10180" s="1050"/>
      <c r="E10180" s="1050"/>
      <c r="F10180" s="1050"/>
      <c r="G10180" s="1050"/>
    </row>
    <row r="10181" spans="1:7">
      <c r="A10181" s="1079"/>
      <c r="B10181" s="1050"/>
      <c r="C10181" s="1050"/>
      <c r="D10181" s="1050"/>
      <c r="E10181" s="1050"/>
      <c r="F10181" s="1050"/>
      <c r="G10181" s="1050"/>
    </row>
    <row r="10182" spans="1:7">
      <c r="A10182" s="1079"/>
      <c r="B10182" s="1050"/>
      <c r="C10182" s="1050"/>
      <c r="D10182" s="1050"/>
      <c r="E10182" s="1050"/>
      <c r="F10182" s="1050"/>
      <c r="G10182" s="1050"/>
    </row>
    <row r="10183" spans="1:7">
      <c r="A10183" s="1079"/>
      <c r="B10183" s="1050"/>
      <c r="C10183" s="1050"/>
      <c r="D10183" s="1050"/>
      <c r="E10183" s="1050"/>
      <c r="F10183" s="1050"/>
      <c r="G10183" s="1050"/>
    </row>
    <row r="10184" spans="1:7">
      <c r="A10184" s="1079"/>
      <c r="B10184" s="1050"/>
      <c r="C10184" s="1050"/>
      <c r="D10184" s="1050"/>
      <c r="E10184" s="1050"/>
      <c r="F10184" s="1050"/>
      <c r="G10184" s="1050"/>
    </row>
    <row r="10185" spans="1:7">
      <c r="A10185" s="1079"/>
      <c r="B10185" s="1050"/>
      <c r="C10185" s="1050"/>
      <c r="D10185" s="1050"/>
      <c r="E10185" s="1050"/>
      <c r="F10185" s="1050"/>
      <c r="G10185" s="1050"/>
    </row>
    <row r="10186" spans="1:7">
      <c r="A10186" s="1079"/>
      <c r="B10186" s="1050"/>
      <c r="C10186" s="1050"/>
      <c r="D10186" s="1050"/>
      <c r="E10186" s="1050"/>
      <c r="F10186" s="1050"/>
      <c r="G10186" s="1050"/>
    </row>
    <row r="10187" spans="1:7">
      <c r="A10187" s="1079"/>
      <c r="B10187" s="1050"/>
      <c r="C10187" s="1050"/>
      <c r="D10187" s="1050"/>
      <c r="E10187" s="1050"/>
      <c r="F10187" s="1050"/>
      <c r="G10187" s="1050"/>
    </row>
    <row r="10188" spans="1:7">
      <c r="A10188" s="1079"/>
      <c r="B10188" s="1050"/>
      <c r="C10188" s="1050"/>
      <c r="D10188" s="1050"/>
      <c r="E10188" s="1050"/>
      <c r="F10188" s="1050"/>
      <c r="G10188" s="1050"/>
    </row>
    <row r="10189" spans="1:7">
      <c r="A10189" s="1079"/>
      <c r="B10189" s="1050"/>
      <c r="C10189" s="1050"/>
      <c r="D10189" s="1050"/>
      <c r="E10189" s="1050"/>
      <c r="F10189" s="1050"/>
      <c r="G10189" s="1050"/>
    </row>
    <row r="10190" spans="1:7">
      <c r="A10190" s="1079"/>
      <c r="B10190" s="1050"/>
      <c r="C10190" s="1050"/>
      <c r="D10190" s="1050"/>
      <c r="E10190" s="1050"/>
      <c r="F10190" s="1050"/>
      <c r="G10190" s="1050"/>
    </row>
    <row r="10191" spans="1:7">
      <c r="A10191" s="1079"/>
      <c r="B10191" s="1050"/>
      <c r="C10191" s="1050"/>
      <c r="D10191" s="1050"/>
      <c r="E10191" s="1050"/>
      <c r="F10191" s="1050"/>
      <c r="G10191" s="1050"/>
    </row>
    <row r="10192" spans="1:7">
      <c r="A10192" s="1079"/>
      <c r="B10192" s="1050"/>
      <c r="C10192" s="1050"/>
      <c r="D10192" s="1050"/>
      <c r="E10192" s="1050"/>
      <c r="F10192" s="1050"/>
      <c r="G10192" s="1050"/>
    </row>
    <row r="10193" spans="1:7">
      <c r="A10193" s="1079"/>
      <c r="B10193" s="1050"/>
      <c r="C10193" s="1050"/>
      <c r="D10193" s="1050"/>
      <c r="E10193" s="1050"/>
      <c r="F10193" s="1050"/>
      <c r="G10193" s="1050"/>
    </row>
    <row r="10194" spans="1:7">
      <c r="A10194" s="1079"/>
      <c r="B10194" s="1050"/>
      <c r="C10194" s="1050"/>
      <c r="D10194" s="1050"/>
      <c r="E10194" s="1050"/>
      <c r="F10194" s="1050"/>
      <c r="G10194" s="1050"/>
    </row>
    <row r="10195" spans="1:7">
      <c r="A10195" s="1079"/>
      <c r="B10195" s="1050"/>
      <c r="C10195" s="1050"/>
      <c r="D10195" s="1050"/>
      <c r="E10195" s="1050"/>
      <c r="F10195" s="1050"/>
      <c r="G10195" s="1050"/>
    </row>
    <row r="10196" spans="1:7">
      <c r="A10196" s="1079"/>
      <c r="B10196" s="1050"/>
      <c r="C10196" s="1050"/>
      <c r="D10196" s="1050"/>
      <c r="E10196" s="1050"/>
      <c r="F10196" s="1050"/>
      <c r="G10196" s="1050"/>
    </row>
    <row r="10197" spans="1:7">
      <c r="A10197" s="1079"/>
      <c r="B10197" s="1050"/>
      <c r="C10197" s="1050"/>
      <c r="D10197" s="1050"/>
      <c r="E10197" s="1050"/>
      <c r="F10197" s="1050"/>
      <c r="G10197" s="1050"/>
    </row>
    <row r="10198" spans="1:7">
      <c r="A10198" s="1079"/>
      <c r="B10198" s="1050"/>
      <c r="C10198" s="1050"/>
      <c r="D10198" s="1050"/>
      <c r="E10198" s="1050"/>
      <c r="F10198" s="1050"/>
      <c r="G10198" s="1050"/>
    </row>
    <row r="10199" spans="1:7">
      <c r="A10199" s="1079"/>
      <c r="B10199" s="1050"/>
      <c r="C10199" s="1050"/>
      <c r="D10199" s="1050"/>
      <c r="E10199" s="1050"/>
      <c r="F10199" s="1050"/>
      <c r="G10199" s="1050"/>
    </row>
    <row r="10200" spans="1:7">
      <c r="A10200" s="1079"/>
      <c r="B10200" s="1050"/>
      <c r="C10200" s="1050"/>
      <c r="D10200" s="1050"/>
      <c r="E10200" s="1050"/>
      <c r="F10200" s="1050"/>
      <c r="G10200" s="1050"/>
    </row>
    <row r="10201" spans="1:7">
      <c r="A10201" s="1079"/>
      <c r="B10201" s="1050"/>
      <c r="C10201" s="1050"/>
      <c r="D10201" s="1050"/>
      <c r="E10201" s="1050"/>
      <c r="F10201" s="1050"/>
      <c r="G10201" s="1050"/>
    </row>
    <row r="10202" spans="1:7">
      <c r="A10202" s="1079"/>
      <c r="B10202" s="1050"/>
      <c r="C10202" s="1050"/>
      <c r="D10202" s="1050"/>
      <c r="E10202" s="1050"/>
      <c r="F10202" s="1050"/>
      <c r="G10202" s="1050"/>
    </row>
    <row r="10203" spans="1:7">
      <c r="A10203" s="1079"/>
      <c r="B10203" s="1050"/>
      <c r="C10203" s="1050"/>
      <c r="D10203" s="1050"/>
      <c r="E10203" s="1050"/>
      <c r="F10203" s="1050"/>
      <c r="G10203" s="1050"/>
    </row>
    <row r="10204" spans="1:7">
      <c r="A10204" s="1079"/>
      <c r="B10204" s="1050"/>
      <c r="C10204" s="1050"/>
      <c r="D10204" s="1050"/>
      <c r="E10204" s="1050"/>
      <c r="F10204" s="1050"/>
      <c r="G10204" s="1050"/>
    </row>
    <row r="10205" spans="1:7">
      <c r="A10205" s="1079"/>
      <c r="B10205" s="1050"/>
      <c r="C10205" s="1050"/>
      <c r="D10205" s="1050"/>
      <c r="E10205" s="1050"/>
      <c r="F10205" s="1050"/>
      <c r="G10205" s="1050"/>
    </row>
    <row r="10206" spans="1:7">
      <c r="A10206" s="1079"/>
      <c r="B10206" s="1050"/>
      <c r="C10206" s="1050"/>
      <c r="D10206" s="1050"/>
      <c r="E10206" s="1050"/>
      <c r="F10206" s="1050"/>
      <c r="G10206" s="1050"/>
    </row>
    <row r="10207" spans="1:7">
      <c r="A10207" s="1079"/>
      <c r="B10207" s="1050"/>
      <c r="C10207" s="1050"/>
      <c r="D10207" s="1050"/>
      <c r="E10207" s="1050"/>
      <c r="F10207" s="1050"/>
      <c r="G10207" s="1050"/>
    </row>
    <row r="10208" spans="1:7">
      <c r="A10208" s="1079"/>
      <c r="B10208" s="1050"/>
      <c r="C10208" s="1050"/>
      <c r="D10208" s="1050"/>
      <c r="E10208" s="1050"/>
      <c r="F10208" s="1050"/>
      <c r="G10208" s="1050"/>
    </row>
    <row r="10209" spans="1:7">
      <c r="A10209" s="1079"/>
      <c r="B10209" s="1050"/>
      <c r="C10209" s="1050"/>
      <c r="D10209" s="1050"/>
      <c r="E10209" s="1050"/>
      <c r="F10209" s="1050"/>
      <c r="G10209" s="1050"/>
    </row>
    <row r="10210" spans="1:7">
      <c r="A10210" s="1079"/>
      <c r="B10210" s="1050"/>
      <c r="C10210" s="1050"/>
      <c r="D10210" s="1050"/>
      <c r="E10210" s="1050"/>
      <c r="F10210" s="1050"/>
      <c r="G10210" s="1050"/>
    </row>
    <row r="10211" spans="1:7">
      <c r="A10211" s="1079"/>
      <c r="B10211" s="1050"/>
      <c r="C10211" s="1050"/>
      <c r="D10211" s="1050"/>
      <c r="E10211" s="1050"/>
      <c r="F10211" s="1050"/>
      <c r="G10211" s="1050"/>
    </row>
    <row r="10212" spans="1:7">
      <c r="A10212" s="1079"/>
      <c r="B10212" s="1050"/>
      <c r="C10212" s="1050"/>
      <c r="D10212" s="1050"/>
      <c r="E10212" s="1050"/>
      <c r="F10212" s="1050"/>
      <c r="G10212" s="1050"/>
    </row>
    <row r="10213" spans="1:7">
      <c r="A10213" s="1079"/>
      <c r="B10213" s="1050"/>
      <c r="C10213" s="1050"/>
      <c r="D10213" s="1050"/>
      <c r="E10213" s="1050"/>
      <c r="F10213" s="1050"/>
      <c r="G10213" s="1050"/>
    </row>
    <row r="10214" spans="1:7">
      <c r="A10214" s="1079"/>
      <c r="B10214" s="1050"/>
      <c r="C10214" s="1050"/>
      <c r="D10214" s="1050"/>
      <c r="E10214" s="1050"/>
      <c r="F10214" s="1050"/>
      <c r="G10214" s="1050"/>
    </row>
    <row r="10215" spans="1:7">
      <c r="A10215" s="1079"/>
      <c r="B10215" s="1050"/>
      <c r="C10215" s="1050"/>
      <c r="D10215" s="1050"/>
      <c r="E10215" s="1050"/>
      <c r="F10215" s="1050"/>
      <c r="G10215" s="1050"/>
    </row>
    <row r="10216" spans="1:7">
      <c r="A10216" s="1079"/>
      <c r="B10216" s="1050"/>
      <c r="C10216" s="1050"/>
      <c r="D10216" s="1050"/>
      <c r="E10216" s="1050"/>
      <c r="F10216" s="1050"/>
      <c r="G10216" s="1050"/>
    </row>
    <row r="10217" spans="1:7">
      <c r="A10217" s="1079"/>
      <c r="B10217" s="1050"/>
      <c r="C10217" s="1050"/>
      <c r="D10217" s="1050"/>
      <c r="E10217" s="1050"/>
      <c r="F10217" s="1050"/>
      <c r="G10217" s="1050"/>
    </row>
    <row r="10218" spans="1:7">
      <c r="A10218" s="1079"/>
      <c r="B10218" s="1050"/>
      <c r="C10218" s="1050"/>
      <c r="D10218" s="1050"/>
      <c r="E10218" s="1050"/>
      <c r="F10218" s="1050"/>
      <c r="G10218" s="1050"/>
    </row>
    <row r="10219" spans="1:7">
      <c r="A10219" s="1079"/>
      <c r="B10219" s="1050"/>
      <c r="C10219" s="1050"/>
      <c r="D10219" s="1050"/>
      <c r="E10219" s="1050"/>
      <c r="F10219" s="1050"/>
      <c r="G10219" s="1050"/>
    </row>
    <row r="10220" spans="1:7">
      <c r="A10220" s="1079"/>
      <c r="B10220" s="1050"/>
      <c r="C10220" s="1050"/>
      <c r="D10220" s="1050"/>
      <c r="E10220" s="1050"/>
      <c r="F10220" s="1050"/>
      <c r="G10220" s="1050"/>
    </row>
    <row r="10221" spans="1:7">
      <c r="A10221" s="1079"/>
      <c r="B10221" s="1050"/>
      <c r="C10221" s="1050"/>
      <c r="D10221" s="1050"/>
      <c r="E10221" s="1050"/>
      <c r="F10221" s="1050"/>
      <c r="G10221" s="1050"/>
    </row>
    <row r="10222" spans="1:7">
      <c r="A10222" s="1079"/>
      <c r="B10222" s="1050"/>
      <c r="C10222" s="1050"/>
      <c r="D10222" s="1050"/>
      <c r="E10222" s="1050"/>
      <c r="F10222" s="1050"/>
      <c r="G10222" s="1050"/>
    </row>
    <row r="10223" spans="1:7">
      <c r="A10223" s="1079"/>
      <c r="B10223" s="1050"/>
      <c r="C10223" s="1050"/>
      <c r="D10223" s="1050"/>
      <c r="E10223" s="1050"/>
      <c r="F10223" s="1050"/>
      <c r="G10223" s="1050"/>
    </row>
    <row r="10224" spans="1:7">
      <c r="A10224" s="1079"/>
      <c r="B10224" s="1050"/>
      <c r="C10224" s="1050"/>
      <c r="D10224" s="1050"/>
      <c r="E10224" s="1050"/>
      <c r="F10224" s="1050"/>
      <c r="G10224" s="1050"/>
    </row>
    <row r="10225" spans="1:7">
      <c r="A10225" s="1079"/>
      <c r="B10225" s="1050"/>
      <c r="C10225" s="1050"/>
      <c r="D10225" s="1050"/>
      <c r="E10225" s="1050"/>
      <c r="F10225" s="1050"/>
      <c r="G10225" s="1050"/>
    </row>
    <row r="10226" spans="1:7">
      <c r="A10226" s="1079"/>
      <c r="B10226" s="1050"/>
      <c r="C10226" s="1050"/>
      <c r="D10226" s="1050"/>
      <c r="E10226" s="1050"/>
      <c r="F10226" s="1050"/>
      <c r="G10226" s="1050"/>
    </row>
    <row r="10227" spans="1:7">
      <c r="A10227" s="1079"/>
      <c r="B10227" s="1050"/>
      <c r="C10227" s="1050"/>
      <c r="D10227" s="1050"/>
      <c r="E10227" s="1050"/>
      <c r="F10227" s="1050"/>
      <c r="G10227" s="1050"/>
    </row>
    <row r="10228" spans="1:7">
      <c r="A10228" s="1079"/>
      <c r="B10228" s="1050"/>
      <c r="C10228" s="1050"/>
      <c r="D10228" s="1050"/>
      <c r="E10228" s="1050"/>
      <c r="F10228" s="1050"/>
      <c r="G10228" s="1050"/>
    </row>
    <row r="10229" spans="1:7">
      <c r="A10229" s="1079"/>
      <c r="B10229" s="1050"/>
      <c r="C10229" s="1050"/>
      <c r="D10229" s="1050"/>
      <c r="E10229" s="1050"/>
      <c r="F10229" s="1050"/>
      <c r="G10229" s="1050"/>
    </row>
    <row r="10230" spans="1:7">
      <c r="A10230" s="1079"/>
      <c r="B10230" s="1050"/>
      <c r="C10230" s="1050"/>
      <c r="D10230" s="1050"/>
      <c r="E10230" s="1050"/>
      <c r="F10230" s="1050"/>
      <c r="G10230" s="1050"/>
    </row>
    <row r="10231" spans="1:7">
      <c r="A10231" s="1079"/>
      <c r="B10231" s="1050"/>
      <c r="C10231" s="1050"/>
      <c r="D10231" s="1050"/>
      <c r="E10231" s="1050"/>
      <c r="F10231" s="1050"/>
      <c r="G10231" s="1050"/>
    </row>
    <row r="10232" spans="1:7">
      <c r="A10232" s="1079"/>
      <c r="B10232" s="1050"/>
      <c r="C10232" s="1050"/>
      <c r="D10232" s="1050"/>
      <c r="E10232" s="1050"/>
      <c r="F10232" s="1050"/>
      <c r="G10232" s="1050"/>
    </row>
    <row r="10233" spans="1:7">
      <c r="A10233" s="1079"/>
      <c r="B10233" s="1050"/>
      <c r="C10233" s="1050"/>
      <c r="D10233" s="1050"/>
      <c r="E10233" s="1050"/>
      <c r="F10233" s="1050"/>
      <c r="G10233" s="1050"/>
    </row>
    <row r="10234" spans="1:7">
      <c r="A10234" s="1079"/>
      <c r="B10234" s="1050"/>
      <c r="C10234" s="1050"/>
      <c r="D10234" s="1050"/>
      <c r="E10234" s="1050"/>
      <c r="F10234" s="1050"/>
      <c r="G10234" s="1050"/>
    </row>
    <row r="10235" spans="1:7">
      <c r="A10235" s="1079"/>
      <c r="B10235" s="1050"/>
      <c r="C10235" s="1050"/>
      <c r="D10235" s="1050"/>
      <c r="E10235" s="1050"/>
      <c r="F10235" s="1050"/>
      <c r="G10235" s="1050"/>
    </row>
    <row r="10236" spans="1:7">
      <c r="A10236" s="1079"/>
      <c r="B10236" s="1050"/>
      <c r="C10236" s="1050"/>
      <c r="D10236" s="1050"/>
      <c r="E10236" s="1050"/>
      <c r="F10236" s="1050"/>
      <c r="G10236" s="1050"/>
    </row>
    <row r="10237" spans="1:7">
      <c r="A10237" s="1079"/>
      <c r="B10237" s="1050"/>
      <c r="C10237" s="1050"/>
      <c r="D10237" s="1050"/>
      <c r="E10237" s="1050"/>
      <c r="F10237" s="1050"/>
      <c r="G10237" s="1050"/>
    </row>
    <row r="10238" spans="1:7">
      <c r="A10238" s="1079"/>
      <c r="B10238" s="1050"/>
      <c r="C10238" s="1050"/>
      <c r="D10238" s="1050"/>
      <c r="E10238" s="1050"/>
      <c r="F10238" s="1050"/>
      <c r="G10238" s="1050"/>
    </row>
    <row r="10239" spans="1:7">
      <c r="A10239" s="1079"/>
      <c r="B10239" s="1050"/>
      <c r="C10239" s="1050"/>
      <c r="D10239" s="1050"/>
      <c r="E10239" s="1050"/>
      <c r="F10239" s="1050"/>
      <c r="G10239" s="1050"/>
    </row>
    <row r="10240" spans="1:7">
      <c r="A10240" s="1079"/>
      <c r="B10240" s="1050"/>
      <c r="C10240" s="1050"/>
      <c r="D10240" s="1050"/>
      <c r="E10240" s="1050"/>
      <c r="F10240" s="1050"/>
      <c r="G10240" s="1050"/>
    </row>
    <row r="10241" spans="1:7">
      <c r="A10241" s="1079"/>
      <c r="B10241" s="1050"/>
      <c r="C10241" s="1050"/>
      <c r="D10241" s="1050"/>
      <c r="E10241" s="1050"/>
      <c r="F10241" s="1050"/>
      <c r="G10241" s="1050"/>
    </row>
    <row r="10242" spans="1:7">
      <c r="A10242" s="1079"/>
      <c r="B10242" s="1050"/>
      <c r="C10242" s="1050"/>
      <c r="D10242" s="1050"/>
      <c r="E10242" s="1050"/>
      <c r="F10242" s="1050"/>
      <c r="G10242" s="1050"/>
    </row>
    <row r="10243" spans="1:7">
      <c r="A10243" s="1079"/>
      <c r="B10243" s="1050"/>
      <c r="C10243" s="1050"/>
      <c r="D10243" s="1050"/>
      <c r="E10243" s="1050"/>
      <c r="F10243" s="1050"/>
      <c r="G10243" s="1050"/>
    </row>
    <row r="10244" spans="1:7">
      <c r="A10244" s="1079"/>
      <c r="B10244" s="1050"/>
      <c r="C10244" s="1050"/>
      <c r="D10244" s="1050"/>
      <c r="E10244" s="1050"/>
      <c r="F10244" s="1050"/>
      <c r="G10244" s="1050"/>
    </row>
    <row r="10245" spans="1:7">
      <c r="A10245" s="1079"/>
      <c r="B10245" s="1050"/>
      <c r="C10245" s="1050"/>
      <c r="D10245" s="1050"/>
      <c r="E10245" s="1050"/>
      <c r="F10245" s="1050"/>
      <c r="G10245" s="1050"/>
    </row>
    <row r="10246" spans="1:7">
      <c r="A10246" s="1079"/>
      <c r="B10246" s="1050"/>
      <c r="C10246" s="1050"/>
      <c r="D10246" s="1050"/>
      <c r="E10246" s="1050"/>
      <c r="F10246" s="1050"/>
      <c r="G10246" s="1050"/>
    </row>
    <row r="10247" spans="1:7">
      <c r="A10247" s="1079"/>
      <c r="B10247" s="1050"/>
      <c r="C10247" s="1050"/>
      <c r="D10247" s="1050"/>
      <c r="E10247" s="1050"/>
      <c r="F10247" s="1050"/>
      <c r="G10247" s="1050"/>
    </row>
    <row r="10248" spans="1:7">
      <c r="A10248" s="1079"/>
      <c r="B10248" s="1050"/>
      <c r="C10248" s="1050"/>
      <c r="D10248" s="1050"/>
      <c r="E10248" s="1050"/>
      <c r="F10248" s="1050"/>
      <c r="G10248" s="1050"/>
    </row>
    <row r="10249" spans="1:7">
      <c r="A10249" s="1079"/>
      <c r="B10249" s="1050"/>
      <c r="C10249" s="1050"/>
      <c r="D10249" s="1050"/>
      <c r="E10249" s="1050"/>
      <c r="F10249" s="1050"/>
      <c r="G10249" s="1050"/>
    </row>
    <row r="10250" spans="1:7">
      <c r="A10250" s="1079"/>
      <c r="B10250" s="1050"/>
      <c r="C10250" s="1050"/>
      <c r="D10250" s="1050"/>
      <c r="E10250" s="1050"/>
      <c r="F10250" s="1050"/>
      <c r="G10250" s="1050"/>
    </row>
    <row r="10251" spans="1:7">
      <c r="A10251" s="1079"/>
      <c r="B10251" s="1050"/>
      <c r="C10251" s="1050"/>
      <c r="D10251" s="1050"/>
      <c r="E10251" s="1050"/>
      <c r="F10251" s="1050"/>
      <c r="G10251" s="1050"/>
    </row>
    <row r="10252" spans="1:7">
      <c r="A10252" s="1079"/>
      <c r="B10252" s="1050"/>
      <c r="C10252" s="1050"/>
      <c r="D10252" s="1050"/>
      <c r="E10252" s="1050"/>
      <c r="F10252" s="1050"/>
      <c r="G10252" s="1050"/>
    </row>
    <row r="10253" spans="1:7">
      <c r="A10253" s="1079"/>
      <c r="B10253" s="1050"/>
      <c r="C10253" s="1050"/>
      <c r="D10253" s="1050"/>
      <c r="E10253" s="1050"/>
      <c r="F10253" s="1050"/>
      <c r="G10253" s="1050"/>
    </row>
    <row r="10254" spans="1:7">
      <c r="A10254" s="1079"/>
      <c r="B10254" s="1050"/>
      <c r="C10254" s="1050"/>
      <c r="D10254" s="1050"/>
      <c r="E10254" s="1050"/>
      <c r="F10254" s="1050"/>
      <c r="G10254" s="1050"/>
    </row>
    <row r="10255" spans="1:7">
      <c r="A10255" s="1079"/>
      <c r="B10255" s="1050"/>
      <c r="C10255" s="1050"/>
      <c r="D10255" s="1050"/>
      <c r="E10255" s="1050"/>
      <c r="F10255" s="1050"/>
      <c r="G10255" s="1050"/>
    </row>
    <row r="10256" spans="1:7">
      <c r="A10256" s="1079"/>
      <c r="B10256" s="1050"/>
      <c r="C10256" s="1050"/>
      <c r="D10256" s="1050"/>
      <c r="E10256" s="1050"/>
      <c r="F10256" s="1050"/>
      <c r="G10256" s="1050"/>
    </row>
    <row r="10257" spans="1:7">
      <c r="A10257" s="1079"/>
      <c r="B10257" s="1050"/>
      <c r="C10257" s="1050"/>
      <c r="D10257" s="1050"/>
      <c r="E10257" s="1050"/>
      <c r="F10257" s="1050"/>
      <c r="G10257" s="1050"/>
    </row>
    <row r="10258" spans="1:7">
      <c r="A10258" s="1079"/>
      <c r="B10258" s="1050"/>
      <c r="C10258" s="1050"/>
      <c r="D10258" s="1050"/>
      <c r="E10258" s="1050"/>
      <c r="F10258" s="1050"/>
      <c r="G10258" s="1050"/>
    </row>
    <row r="10259" spans="1:7">
      <c r="A10259" s="1079"/>
      <c r="B10259" s="1050"/>
      <c r="C10259" s="1050"/>
      <c r="D10259" s="1050"/>
      <c r="E10259" s="1050"/>
      <c r="F10259" s="1050"/>
      <c r="G10259" s="1050"/>
    </row>
    <row r="10260" spans="1:7">
      <c r="A10260" s="1079"/>
      <c r="B10260" s="1050"/>
      <c r="C10260" s="1050"/>
      <c r="D10260" s="1050"/>
      <c r="E10260" s="1050"/>
      <c r="F10260" s="1050"/>
      <c r="G10260" s="1050"/>
    </row>
    <row r="10261" spans="1:7">
      <c r="A10261" s="1079"/>
      <c r="B10261" s="1050"/>
      <c r="C10261" s="1050"/>
      <c r="D10261" s="1050"/>
      <c r="E10261" s="1050"/>
      <c r="F10261" s="1050"/>
      <c r="G10261" s="1050"/>
    </row>
    <row r="10262" spans="1:7">
      <c r="A10262" s="1079"/>
      <c r="B10262" s="1050"/>
      <c r="C10262" s="1050"/>
      <c r="D10262" s="1050"/>
      <c r="E10262" s="1050"/>
      <c r="F10262" s="1050"/>
      <c r="G10262" s="1050"/>
    </row>
    <row r="10263" spans="1:7">
      <c r="A10263" s="1079"/>
      <c r="B10263" s="1050"/>
      <c r="C10263" s="1050"/>
      <c r="D10263" s="1050"/>
      <c r="E10263" s="1050"/>
      <c r="F10263" s="1050"/>
      <c r="G10263" s="1050"/>
    </row>
    <row r="10264" spans="1:7">
      <c r="A10264" s="1079"/>
      <c r="B10264" s="1050"/>
      <c r="C10264" s="1050"/>
      <c r="D10264" s="1050"/>
      <c r="E10264" s="1050"/>
      <c r="F10264" s="1050"/>
      <c r="G10264" s="1050"/>
    </row>
    <row r="10265" spans="1:7">
      <c r="A10265" s="1079"/>
      <c r="B10265" s="1050"/>
      <c r="C10265" s="1050"/>
      <c r="D10265" s="1050"/>
      <c r="E10265" s="1050"/>
      <c r="F10265" s="1050"/>
      <c r="G10265" s="1050"/>
    </row>
    <row r="10266" spans="1:7">
      <c r="A10266" s="1079"/>
      <c r="B10266" s="1050"/>
      <c r="C10266" s="1050"/>
      <c r="D10266" s="1050"/>
      <c r="E10266" s="1050"/>
      <c r="F10266" s="1050"/>
      <c r="G10266" s="1050"/>
    </row>
    <row r="10267" spans="1:7">
      <c r="A10267" s="1079"/>
      <c r="B10267" s="1050"/>
      <c r="C10267" s="1050"/>
      <c r="D10267" s="1050"/>
      <c r="E10267" s="1050"/>
      <c r="F10267" s="1050"/>
      <c r="G10267" s="1050"/>
    </row>
    <row r="10268" spans="1:7">
      <c r="A10268" s="1079"/>
      <c r="B10268" s="1050"/>
      <c r="C10268" s="1050"/>
      <c r="D10268" s="1050"/>
      <c r="E10268" s="1050"/>
      <c r="F10268" s="1050"/>
      <c r="G10268" s="1050"/>
    </row>
    <row r="10269" spans="1:7">
      <c r="A10269" s="1079"/>
      <c r="B10269" s="1050"/>
      <c r="C10269" s="1050"/>
      <c r="D10269" s="1050"/>
      <c r="E10269" s="1050"/>
      <c r="F10269" s="1050"/>
      <c r="G10269" s="1050"/>
    </row>
    <row r="10270" spans="1:7">
      <c r="A10270" s="1079"/>
      <c r="B10270" s="1050"/>
      <c r="C10270" s="1050"/>
      <c r="D10270" s="1050"/>
      <c r="E10270" s="1050"/>
      <c r="F10270" s="1050"/>
      <c r="G10270" s="1050"/>
    </row>
    <row r="10271" spans="1:7">
      <c r="A10271" s="1079"/>
      <c r="B10271" s="1050"/>
      <c r="C10271" s="1050"/>
      <c r="D10271" s="1050"/>
      <c r="E10271" s="1050"/>
      <c r="F10271" s="1050"/>
      <c r="G10271" s="1050"/>
    </row>
    <row r="10272" spans="1:7">
      <c r="A10272" s="1079"/>
      <c r="B10272" s="1050"/>
      <c r="C10272" s="1050"/>
      <c r="D10272" s="1050"/>
      <c r="E10272" s="1050"/>
      <c r="F10272" s="1050"/>
      <c r="G10272" s="1050"/>
    </row>
    <row r="10273" spans="1:7">
      <c r="A10273" s="1079"/>
      <c r="B10273" s="1050"/>
      <c r="C10273" s="1050"/>
      <c r="D10273" s="1050"/>
      <c r="E10273" s="1050"/>
      <c r="F10273" s="1050"/>
      <c r="G10273" s="1050"/>
    </row>
    <row r="10274" spans="1:7">
      <c r="A10274" s="1079"/>
      <c r="B10274" s="1050"/>
      <c r="C10274" s="1050"/>
      <c r="D10274" s="1050"/>
      <c r="E10274" s="1050"/>
      <c r="F10274" s="1050"/>
      <c r="G10274" s="1050"/>
    </row>
    <row r="10275" spans="1:7">
      <c r="A10275" s="1079"/>
      <c r="B10275" s="1050"/>
      <c r="C10275" s="1050"/>
      <c r="D10275" s="1050"/>
      <c r="E10275" s="1050"/>
      <c r="F10275" s="1050"/>
      <c r="G10275" s="1050"/>
    </row>
    <row r="10276" spans="1:7">
      <c r="A10276" s="1079"/>
      <c r="B10276" s="1050"/>
      <c r="C10276" s="1050"/>
      <c r="D10276" s="1050"/>
      <c r="E10276" s="1050"/>
      <c r="F10276" s="1050"/>
      <c r="G10276" s="1050"/>
    </row>
    <row r="10277" spans="1:7">
      <c r="A10277" s="1079"/>
      <c r="B10277" s="1050"/>
      <c r="C10277" s="1050"/>
      <c r="D10277" s="1050"/>
      <c r="E10277" s="1050"/>
      <c r="F10277" s="1050"/>
      <c r="G10277" s="1050"/>
    </row>
    <row r="10278" spans="1:7">
      <c r="A10278" s="1079"/>
      <c r="B10278" s="1050"/>
      <c r="C10278" s="1050"/>
      <c r="D10278" s="1050"/>
      <c r="E10278" s="1050"/>
      <c r="F10278" s="1050"/>
      <c r="G10278" s="1050"/>
    </row>
    <row r="10279" spans="1:7">
      <c r="A10279" s="1079"/>
      <c r="B10279" s="1050"/>
      <c r="C10279" s="1050"/>
      <c r="D10279" s="1050"/>
      <c r="E10279" s="1050"/>
      <c r="F10279" s="1050"/>
      <c r="G10279" s="1050"/>
    </row>
    <row r="10280" spans="1:7">
      <c r="A10280" s="1079"/>
      <c r="B10280" s="1050"/>
      <c r="C10280" s="1050"/>
      <c r="D10280" s="1050"/>
      <c r="E10280" s="1050"/>
      <c r="F10280" s="1050"/>
      <c r="G10280" s="1050"/>
    </row>
    <row r="10281" spans="1:7">
      <c r="A10281" s="1079"/>
      <c r="B10281" s="1050"/>
      <c r="C10281" s="1050"/>
      <c r="D10281" s="1050"/>
      <c r="E10281" s="1050"/>
      <c r="F10281" s="1050"/>
      <c r="G10281" s="1050"/>
    </row>
    <row r="10282" spans="1:7">
      <c r="A10282" s="1079"/>
      <c r="B10282" s="1050"/>
      <c r="C10282" s="1050"/>
      <c r="D10282" s="1050"/>
      <c r="E10282" s="1050"/>
      <c r="F10282" s="1050"/>
      <c r="G10282" s="1050"/>
    </row>
    <row r="10283" spans="1:7">
      <c r="A10283" s="1079"/>
      <c r="B10283" s="1050"/>
      <c r="C10283" s="1050"/>
      <c r="D10283" s="1050"/>
      <c r="E10283" s="1050"/>
      <c r="F10283" s="1050"/>
      <c r="G10283" s="1050"/>
    </row>
    <row r="10284" spans="1:7">
      <c r="A10284" s="1079"/>
      <c r="B10284" s="1050"/>
      <c r="C10284" s="1050"/>
      <c r="D10284" s="1050"/>
      <c r="E10284" s="1050"/>
      <c r="F10284" s="1050"/>
      <c r="G10284" s="1050"/>
    </row>
    <row r="10285" spans="1:7">
      <c r="A10285" s="1079"/>
      <c r="B10285" s="1050"/>
      <c r="C10285" s="1050"/>
      <c r="D10285" s="1050"/>
      <c r="E10285" s="1050"/>
      <c r="F10285" s="1050"/>
      <c r="G10285" s="1050"/>
    </row>
    <row r="10286" spans="1:7">
      <c r="A10286" s="1079"/>
      <c r="B10286" s="1050"/>
      <c r="C10286" s="1050"/>
      <c r="D10286" s="1050"/>
      <c r="E10286" s="1050"/>
      <c r="F10286" s="1050"/>
      <c r="G10286" s="1050"/>
    </row>
    <row r="10287" spans="1:7">
      <c r="A10287" s="1079"/>
      <c r="B10287" s="1050"/>
      <c r="C10287" s="1050"/>
      <c r="D10287" s="1050"/>
      <c r="E10287" s="1050"/>
      <c r="F10287" s="1050"/>
      <c r="G10287" s="1050"/>
    </row>
    <row r="10288" spans="1:7">
      <c r="A10288" s="1079"/>
      <c r="B10288" s="1050"/>
      <c r="C10288" s="1050"/>
      <c r="D10288" s="1050"/>
      <c r="E10288" s="1050"/>
      <c r="F10288" s="1050"/>
      <c r="G10288" s="1050"/>
    </row>
    <row r="10289" spans="1:7">
      <c r="A10289" s="1079"/>
      <c r="B10289" s="1050"/>
      <c r="C10289" s="1050"/>
      <c r="D10289" s="1050"/>
      <c r="E10289" s="1050"/>
      <c r="F10289" s="1050"/>
      <c r="G10289" s="1050"/>
    </row>
    <row r="10290" spans="1:7">
      <c r="A10290" s="1079"/>
      <c r="B10290" s="1050"/>
      <c r="C10290" s="1050"/>
      <c r="D10290" s="1050"/>
      <c r="E10290" s="1050"/>
      <c r="F10290" s="1050"/>
      <c r="G10290" s="1050"/>
    </row>
    <row r="10291" spans="1:7">
      <c r="A10291" s="1079"/>
      <c r="B10291" s="1050"/>
      <c r="C10291" s="1050"/>
      <c r="D10291" s="1050"/>
      <c r="E10291" s="1050"/>
      <c r="F10291" s="1050"/>
      <c r="G10291" s="1050"/>
    </row>
    <row r="10292" spans="1:7">
      <c r="A10292" s="1079"/>
      <c r="B10292" s="1050"/>
      <c r="C10292" s="1050"/>
      <c r="D10292" s="1050"/>
      <c r="E10292" s="1050"/>
      <c r="F10292" s="1050"/>
      <c r="G10292" s="1050"/>
    </row>
    <row r="10293" spans="1:7">
      <c r="A10293" s="1079"/>
      <c r="B10293" s="1050"/>
      <c r="C10293" s="1050"/>
      <c r="D10293" s="1050"/>
      <c r="E10293" s="1050"/>
      <c r="F10293" s="1050"/>
      <c r="G10293" s="1050"/>
    </row>
    <row r="10294" spans="1:7">
      <c r="A10294" s="1079"/>
      <c r="B10294" s="1050"/>
      <c r="C10294" s="1050"/>
      <c r="D10294" s="1050"/>
      <c r="E10294" s="1050"/>
      <c r="F10294" s="1050"/>
      <c r="G10294" s="1050"/>
    </row>
    <row r="10295" spans="1:7">
      <c r="A10295" s="1079"/>
      <c r="B10295" s="1050"/>
      <c r="C10295" s="1050"/>
      <c r="D10295" s="1050"/>
      <c r="E10295" s="1050"/>
      <c r="F10295" s="1050"/>
      <c r="G10295" s="1050"/>
    </row>
    <row r="10296" spans="1:7">
      <c r="A10296" s="1079"/>
      <c r="B10296" s="1050"/>
      <c r="C10296" s="1050"/>
      <c r="D10296" s="1050"/>
      <c r="E10296" s="1050"/>
      <c r="F10296" s="1050"/>
      <c r="G10296" s="1050"/>
    </row>
    <row r="10297" spans="1:7">
      <c r="A10297" s="1079"/>
      <c r="B10297" s="1050"/>
      <c r="C10297" s="1050"/>
      <c r="D10297" s="1050"/>
      <c r="E10297" s="1050"/>
      <c r="F10297" s="1050"/>
      <c r="G10297" s="1050"/>
    </row>
    <row r="10298" spans="1:7">
      <c r="A10298" s="1079"/>
      <c r="B10298" s="1050"/>
      <c r="C10298" s="1050"/>
      <c r="D10298" s="1050"/>
      <c r="E10298" s="1050"/>
      <c r="F10298" s="1050"/>
      <c r="G10298" s="1050"/>
    </row>
    <row r="10299" spans="1:7">
      <c r="A10299" s="1079"/>
      <c r="B10299" s="1050"/>
      <c r="C10299" s="1050"/>
      <c r="D10299" s="1050"/>
      <c r="E10299" s="1050"/>
      <c r="F10299" s="1050"/>
      <c r="G10299" s="1050"/>
    </row>
    <row r="10300" spans="1:7">
      <c r="A10300" s="1079"/>
      <c r="B10300" s="1050"/>
      <c r="C10300" s="1050"/>
      <c r="D10300" s="1050"/>
      <c r="E10300" s="1050"/>
      <c r="F10300" s="1050"/>
      <c r="G10300" s="1050"/>
    </row>
    <row r="10301" spans="1:7">
      <c r="A10301" s="1079"/>
      <c r="B10301" s="1050"/>
      <c r="C10301" s="1050"/>
      <c r="D10301" s="1050"/>
      <c r="E10301" s="1050"/>
      <c r="F10301" s="1050"/>
      <c r="G10301" s="1050"/>
    </row>
    <row r="10302" spans="1:7">
      <c r="A10302" s="1079"/>
      <c r="B10302" s="1050"/>
      <c r="C10302" s="1050"/>
      <c r="D10302" s="1050"/>
      <c r="E10302" s="1050"/>
      <c r="F10302" s="1050"/>
      <c r="G10302" s="1050"/>
    </row>
    <row r="10303" spans="1:7">
      <c r="A10303" s="1079"/>
      <c r="B10303" s="1050"/>
      <c r="C10303" s="1050"/>
      <c r="D10303" s="1050"/>
      <c r="E10303" s="1050"/>
      <c r="F10303" s="1050"/>
      <c r="G10303" s="1050"/>
    </row>
    <row r="10304" spans="1:7">
      <c r="A10304" s="1079"/>
      <c r="B10304" s="1050"/>
      <c r="C10304" s="1050"/>
      <c r="D10304" s="1050"/>
      <c r="E10304" s="1050"/>
      <c r="F10304" s="1050"/>
      <c r="G10304" s="1050"/>
    </row>
    <row r="10305" spans="1:7">
      <c r="A10305" s="1079"/>
      <c r="B10305" s="1050"/>
      <c r="C10305" s="1050"/>
      <c r="D10305" s="1050"/>
      <c r="E10305" s="1050"/>
      <c r="F10305" s="1050"/>
      <c r="G10305" s="1050"/>
    </row>
    <row r="10306" spans="1:7">
      <c r="A10306" s="1079"/>
      <c r="B10306" s="1050"/>
      <c r="C10306" s="1050"/>
      <c r="D10306" s="1050"/>
      <c r="E10306" s="1050"/>
      <c r="F10306" s="1050"/>
      <c r="G10306" s="1050"/>
    </row>
    <row r="10307" spans="1:7">
      <c r="A10307" s="1079"/>
      <c r="B10307" s="1050"/>
      <c r="C10307" s="1050"/>
      <c r="D10307" s="1050"/>
      <c r="E10307" s="1050"/>
      <c r="F10307" s="1050"/>
      <c r="G10307" s="1050"/>
    </row>
    <row r="10308" spans="1:7">
      <c r="A10308" s="1079"/>
      <c r="B10308" s="1050"/>
      <c r="C10308" s="1050"/>
      <c r="D10308" s="1050"/>
      <c r="E10308" s="1050"/>
      <c r="F10308" s="1050"/>
      <c r="G10308" s="1050"/>
    </row>
    <row r="10309" spans="1:7">
      <c r="A10309" s="1079"/>
      <c r="B10309" s="1050"/>
      <c r="C10309" s="1050"/>
      <c r="D10309" s="1050"/>
      <c r="E10309" s="1050"/>
      <c r="F10309" s="1050"/>
      <c r="G10309" s="1050"/>
    </row>
    <row r="10310" spans="1:7">
      <c r="A10310" s="1079"/>
      <c r="B10310" s="1050"/>
      <c r="C10310" s="1050"/>
      <c r="D10310" s="1050"/>
      <c r="E10310" s="1050"/>
      <c r="F10310" s="1050"/>
      <c r="G10310" s="1050"/>
    </row>
    <row r="10311" spans="1:7">
      <c r="A10311" s="1079"/>
      <c r="B10311" s="1050"/>
      <c r="C10311" s="1050"/>
      <c r="D10311" s="1050"/>
      <c r="E10311" s="1050"/>
      <c r="F10311" s="1050"/>
      <c r="G10311" s="1050"/>
    </row>
    <row r="10312" spans="1:7">
      <c r="A10312" s="1079"/>
      <c r="B10312" s="1050"/>
      <c r="C10312" s="1050"/>
      <c r="D10312" s="1050"/>
      <c r="E10312" s="1050"/>
      <c r="F10312" s="1050"/>
      <c r="G10312" s="1050"/>
    </row>
    <row r="10313" spans="1:7">
      <c r="A10313" s="1079"/>
      <c r="B10313" s="1050"/>
      <c r="C10313" s="1050"/>
      <c r="D10313" s="1050"/>
      <c r="E10313" s="1050"/>
      <c r="F10313" s="1050"/>
      <c r="G10313" s="1050"/>
    </row>
    <row r="10314" spans="1:7">
      <c r="A10314" s="1079"/>
      <c r="B10314" s="1050"/>
      <c r="C10314" s="1050"/>
      <c r="D10314" s="1050"/>
      <c r="E10314" s="1050"/>
      <c r="F10314" s="1050"/>
      <c r="G10314" s="1050"/>
    </row>
    <row r="10315" spans="1:7">
      <c r="A10315" s="1079"/>
      <c r="B10315" s="1050"/>
      <c r="C10315" s="1050"/>
      <c r="D10315" s="1050"/>
      <c r="E10315" s="1050"/>
      <c r="F10315" s="1050"/>
      <c r="G10315" s="1050"/>
    </row>
    <row r="10316" spans="1:7">
      <c r="A10316" s="1079"/>
      <c r="B10316" s="1050"/>
      <c r="C10316" s="1050"/>
      <c r="D10316" s="1050"/>
      <c r="E10316" s="1050"/>
      <c r="F10316" s="1050"/>
      <c r="G10316" s="1050"/>
    </row>
    <row r="10317" spans="1:7">
      <c r="A10317" s="1079"/>
      <c r="B10317" s="1050"/>
      <c r="C10317" s="1050"/>
      <c r="D10317" s="1050"/>
      <c r="E10317" s="1050"/>
      <c r="F10317" s="1050"/>
      <c r="G10317" s="1050"/>
    </row>
    <row r="10318" spans="1:7">
      <c r="A10318" s="1079"/>
      <c r="B10318" s="1050"/>
      <c r="C10318" s="1050"/>
      <c r="D10318" s="1050"/>
      <c r="E10318" s="1050"/>
      <c r="F10318" s="1050"/>
      <c r="G10318" s="1050"/>
    </row>
    <row r="10319" spans="1:7">
      <c r="A10319" s="1079"/>
      <c r="B10319" s="1050"/>
      <c r="C10319" s="1050"/>
      <c r="D10319" s="1050"/>
      <c r="E10319" s="1050"/>
      <c r="F10319" s="1050"/>
      <c r="G10319" s="1050"/>
    </row>
    <row r="10320" spans="1:7">
      <c r="A10320" s="1079"/>
      <c r="B10320" s="1050"/>
      <c r="C10320" s="1050"/>
      <c r="D10320" s="1050"/>
      <c r="E10320" s="1050"/>
      <c r="F10320" s="1050"/>
      <c r="G10320" s="1050"/>
    </row>
    <row r="10321" spans="1:7">
      <c r="A10321" s="1079"/>
      <c r="B10321" s="1050"/>
      <c r="C10321" s="1050"/>
      <c r="D10321" s="1050"/>
      <c r="E10321" s="1050"/>
      <c r="F10321" s="1050"/>
      <c r="G10321" s="1050"/>
    </row>
    <row r="10322" spans="1:7">
      <c r="A10322" s="1079"/>
      <c r="B10322" s="1050"/>
      <c r="C10322" s="1050"/>
      <c r="D10322" s="1050"/>
      <c r="E10322" s="1050"/>
      <c r="F10322" s="1050"/>
      <c r="G10322" s="1050"/>
    </row>
    <row r="10323" spans="1:7">
      <c r="A10323" s="1079"/>
      <c r="B10323" s="1050"/>
      <c r="C10323" s="1050"/>
      <c r="D10323" s="1050"/>
      <c r="E10323" s="1050"/>
      <c r="F10323" s="1050"/>
      <c r="G10323" s="1050"/>
    </row>
    <row r="10324" spans="1:7">
      <c r="A10324" s="1079"/>
      <c r="B10324" s="1050"/>
      <c r="C10324" s="1050"/>
      <c r="D10324" s="1050"/>
      <c r="E10324" s="1050"/>
      <c r="F10324" s="1050"/>
      <c r="G10324" s="1050"/>
    </row>
    <row r="10325" spans="1:7">
      <c r="A10325" s="1079"/>
      <c r="B10325" s="1050"/>
      <c r="C10325" s="1050"/>
      <c r="D10325" s="1050"/>
      <c r="E10325" s="1050"/>
      <c r="F10325" s="1050"/>
      <c r="G10325" s="1050"/>
    </row>
    <row r="10326" spans="1:7">
      <c r="A10326" s="1079"/>
      <c r="B10326" s="1050"/>
      <c r="C10326" s="1050"/>
      <c r="D10326" s="1050"/>
      <c r="E10326" s="1050"/>
      <c r="F10326" s="1050"/>
      <c r="G10326" s="1050"/>
    </row>
    <row r="10327" spans="1:7">
      <c r="A10327" s="1079"/>
      <c r="B10327" s="1050"/>
      <c r="C10327" s="1050"/>
      <c r="D10327" s="1050"/>
      <c r="E10327" s="1050"/>
      <c r="F10327" s="1050"/>
      <c r="G10327" s="1050"/>
    </row>
    <row r="10328" spans="1:7">
      <c r="A10328" s="1079"/>
      <c r="B10328" s="1050"/>
      <c r="C10328" s="1050"/>
      <c r="D10328" s="1050"/>
      <c r="E10328" s="1050"/>
      <c r="F10328" s="1050"/>
      <c r="G10328" s="1050"/>
    </row>
    <row r="10329" spans="1:7">
      <c r="A10329" s="1079"/>
      <c r="B10329" s="1050"/>
      <c r="C10329" s="1050"/>
      <c r="D10329" s="1050"/>
      <c r="E10329" s="1050"/>
      <c r="F10329" s="1050"/>
      <c r="G10329" s="1050"/>
    </row>
    <row r="10330" spans="1:7">
      <c r="A10330" s="1079"/>
      <c r="B10330" s="1050"/>
      <c r="C10330" s="1050"/>
      <c r="D10330" s="1050"/>
      <c r="E10330" s="1050"/>
      <c r="F10330" s="1050"/>
      <c r="G10330" s="1050"/>
    </row>
    <row r="10331" spans="1:7">
      <c r="A10331" s="1079"/>
      <c r="B10331" s="1050"/>
      <c r="C10331" s="1050"/>
      <c r="D10331" s="1050"/>
      <c r="E10331" s="1050"/>
      <c r="F10331" s="1050"/>
      <c r="G10331" s="1050"/>
    </row>
    <row r="10332" spans="1:7">
      <c r="A10332" s="1079"/>
      <c r="B10332" s="1050"/>
      <c r="C10332" s="1050"/>
      <c r="D10332" s="1050"/>
      <c r="E10332" s="1050"/>
      <c r="F10332" s="1050"/>
      <c r="G10332" s="1050"/>
    </row>
    <row r="10333" spans="1:7">
      <c r="A10333" s="1079"/>
      <c r="B10333" s="1050"/>
      <c r="C10333" s="1050"/>
      <c r="D10333" s="1050"/>
      <c r="E10333" s="1050"/>
      <c r="F10333" s="1050"/>
      <c r="G10333" s="1050"/>
    </row>
    <row r="10334" spans="1:7">
      <c r="A10334" s="1079"/>
      <c r="B10334" s="1050"/>
      <c r="C10334" s="1050"/>
      <c r="D10334" s="1050"/>
      <c r="E10334" s="1050"/>
      <c r="F10334" s="1050"/>
      <c r="G10334" s="1050"/>
    </row>
    <row r="10335" spans="1:7">
      <c r="A10335" s="1079"/>
      <c r="B10335" s="1050"/>
      <c r="C10335" s="1050"/>
      <c r="D10335" s="1050"/>
      <c r="E10335" s="1050"/>
      <c r="F10335" s="1050"/>
      <c r="G10335" s="1050"/>
    </row>
    <row r="10336" spans="1:7">
      <c r="A10336" s="1079"/>
      <c r="B10336" s="1050"/>
      <c r="C10336" s="1050"/>
      <c r="D10336" s="1050"/>
      <c r="E10336" s="1050"/>
      <c r="F10336" s="1050"/>
      <c r="G10336" s="1050"/>
    </row>
    <row r="10337" spans="1:7">
      <c r="A10337" s="1079"/>
      <c r="B10337" s="1050"/>
      <c r="C10337" s="1050"/>
      <c r="D10337" s="1050"/>
      <c r="E10337" s="1050"/>
      <c r="F10337" s="1050"/>
      <c r="G10337" s="1050"/>
    </row>
    <row r="10338" spans="1:7">
      <c r="A10338" s="1079"/>
      <c r="B10338" s="1050"/>
      <c r="C10338" s="1050"/>
      <c r="D10338" s="1050"/>
      <c r="E10338" s="1050"/>
      <c r="F10338" s="1050"/>
      <c r="G10338" s="1050"/>
    </row>
    <row r="10339" spans="1:7">
      <c r="A10339" s="1079"/>
      <c r="B10339" s="1050"/>
      <c r="C10339" s="1050"/>
      <c r="D10339" s="1050"/>
      <c r="E10339" s="1050"/>
      <c r="F10339" s="1050"/>
      <c r="G10339" s="1050"/>
    </row>
    <row r="10340" spans="1:7">
      <c r="A10340" s="1079"/>
      <c r="B10340" s="1050"/>
      <c r="C10340" s="1050"/>
      <c r="D10340" s="1050"/>
      <c r="E10340" s="1050"/>
      <c r="F10340" s="1050"/>
      <c r="G10340" s="1050"/>
    </row>
    <row r="10341" spans="1:7">
      <c r="A10341" s="1079"/>
      <c r="B10341" s="1050"/>
      <c r="C10341" s="1050"/>
      <c r="D10341" s="1050"/>
      <c r="E10341" s="1050"/>
      <c r="F10341" s="1050"/>
      <c r="G10341" s="1050"/>
    </row>
    <row r="10342" spans="1:7">
      <c r="A10342" s="1079"/>
      <c r="B10342" s="1050"/>
      <c r="C10342" s="1050"/>
      <c r="D10342" s="1050"/>
      <c r="E10342" s="1050"/>
      <c r="F10342" s="1050"/>
      <c r="G10342" s="1050"/>
    </row>
    <row r="10343" spans="1:7">
      <c r="A10343" s="1079"/>
      <c r="B10343" s="1050"/>
      <c r="C10343" s="1050"/>
      <c r="D10343" s="1050"/>
      <c r="E10343" s="1050"/>
      <c r="F10343" s="1050"/>
      <c r="G10343" s="1050"/>
    </row>
    <row r="10344" spans="1:7">
      <c r="A10344" s="1079"/>
      <c r="B10344" s="1050"/>
      <c r="C10344" s="1050"/>
      <c r="D10344" s="1050"/>
      <c r="E10344" s="1050"/>
      <c r="F10344" s="1050"/>
      <c r="G10344" s="1050"/>
    </row>
    <row r="10345" spans="1:7">
      <c r="A10345" s="1079"/>
      <c r="B10345" s="1050"/>
      <c r="C10345" s="1050"/>
      <c r="D10345" s="1050"/>
      <c r="E10345" s="1050"/>
      <c r="F10345" s="1050"/>
      <c r="G10345" s="1050"/>
    </row>
    <row r="10346" spans="1:7">
      <c r="A10346" s="1079"/>
      <c r="B10346" s="1050"/>
      <c r="C10346" s="1050"/>
      <c r="D10346" s="1050"/>
      <c r="E10346" s="1050"/>
      <c r="F10346" s="1050"/>
      <c r="G10346" s="1050"/>
    </row>
    <row r="10347" spans="1:7">
      <c r="A10347" s="1079"/>
      <c r="B10347" s="1050"/>
      <c r="C10347" s="1050"/>
      <c r="D10347" s="1050"/>
      <c r="E10347" s="1050"/>
      <c r="F10347" s="1050"/>
      <c r="G10347" s="1050"/>
    </row>
    <row r="10348" spans="1:7">
      <c r="A10348" s="1079"/>
      <c r="B10348" s="1050"/>
      <c r="C10348" s="1050"/>
      <c r="D10348" s="1050"/>
      <c r="E10348" s="1050"/>
      <c r="F10348" s="1050"/>
      <c r="G10348" s="1050"/>
    </row>
    <row r="10349" spans="1:7">
      <c r="A10349" s="1079"/>
      <c r="B10349" s="1050"/>
      <c r="C10349" s="1050"/>
      <c r="D10349" s="1050"/>
      <c r="E10349" s="1050"/>
      <c r="F10349" s="1050"/>
      <c r="G10349" s="1050"/>
    </row>
    <row r="10350" spans="1:7">
      <c r="A10350" s="1079"/>
      <c r="B10350" s="1050"/>
      <c r="C10350" s="1050"/>
      <c r="D10350" s="1050"/>
      <c r="E10350" s="1050"/>
      <c r="F10350" s="1050"/>
      <c r="G10350" s="1050"/>
    </row>
    <row r="10351" spans="1:7">
      <c r="A10351" s="1079"/>
      <c r="B10351" s="1050"/>
      <c r="C10351" s="1050"/>
      <c r="D10351" s="1050"/>
      <c r="E10351" s="1050"/>
      <c r="F10351" s="1050"/>
      <c r="G10351" s="1050"/>
    </row>
    <row r="10352" spans="1:7">
      <c r="A10352" s="1079"/>
      <c r="B10352" s="1050"/>
      <c r="C10352" s="1050"/>
      <c r="D10352" s="1050"/>
      <c r="E10352" s="1050"/>
      <c r="F10352" s="1050"/>
      <c r="G10352" s="1050"/>
    </row>
    <row r="10353" spans="1:7">
      <c r="A10353" s="1079"/>
      <c r="B10353" s="1050"/>
      <c r="C10353" s="1050"/>
      <c r="D10353" s="1050"/>
      <c r="E10353" s="1050"/>
      <c r="F10353" s="1050"/>
      <c r="G10353" s="1050"/>
    </row>
    <row r="10354" spans="1:7">
      <c r="A10354" s="1079"/>
      <c r="B10354" s="1050"/>
      <c r="C10354" s="1050"/>
      <c r="D10354" s="1050"/>
      <c r="E10354" s="1050"/>
      <c r="F10354" s="1050"/>
      <c r="G10354" s="1050"/>
    </row>
    <row r="10355" spans="1:7">
      <c r="A10355" s="1079"/>
      <c r="B10355" s="1050"/>
      <c r="C10355" s="1050"/>
      <c r="D10355" s="1050"/>
      <c r="E10355" s="1050"/>
      <c r="F10355" s="1050"/>
      <c r="G10355" s="1050"/>
    </row>
    <row r="10356" spans="1:7">
      <c r="A10356" s="1079"/>
      <c r="B10356" s="1050"/>
      <c r="C10356" s="1050"/>
      <c r="D10356" s="1050"/>
      <c r="E10356" s="1050"/>
      <c r="F10356" s="1050"/>
      <c r="G10356" s="1050"/>
    </row>
    <row r="10357" spans="1:7">
      <c r="A10357" s="1079"/>
      <c r="B10357" s="1050"/>
      <c r="C10357" s="1050"/>
      <c r="D10357" s="1050"/>
      <c r="E10357" s="1050"/>
      <c r="F10357" s="1050"/>
      <c r="G10357" s="1050"/>
    </row>
    <row r="10358" spans="1:7">
      <c r="A10358" s="1079"/>
      <c r="B10358" s="1050"/>
      <c r="C10358" s="1050"/>
      <c r="D10358" s="1050"/>
      <c r="E10358" s="1050"/>
      <c r="F10358" s="1050"/>
      <c r="G10358" s="1050"/>
    </row>
    <row r="10359" spans="1:7">
      <c r="A10359" s="1079"/>
      <c r="B10359" s="1050"/>
      <c r="C10359" s="1050"/>
      <c r="D10359" s="1050"/>
      <c r="E10359" s="1050"/>
      <c r="F10359" s="1050"/>
      <c r="G10359" s="1050"/>
    </row>
    <row r="10360" spans="1:7">
      <c r="A10360" s="1079"/>
      <c r="B10360" s="1050"/>
      <c r="C10360" s="1050"/>
      <c r="D10360" s="1050"/>
      <c r="E10360" s="1050"/>
      <c r="F10360" s="1050"/>
      <c r="G10360" s="1050"/>
    </row>
    <row r="10361" spans="1:7">
      <c r="A10361" s="1079"/>
      <c r="B10361" s="1050"/>
      <c r="C10361" s="1050"/>
      <c r="D10361" s="1050"/>
      <c r="E10361" s="1050"/>
      <c r="F10361" s="1050"/>
      <c r="G10361" s="1050"/>
    </row>
    <row r="10362" spans="1:7">
      <c r="A10362" s="1079"/>
      <c r="B10362" s="1050"/>
      <c r="C10362" s="1050"/>
      <c r="D10362" s="1050"/>
      <c r="E10362" s="1050"/>
      <c r="F10362" s="1050"/>
      <c r="G10362" s="1050"/>
    </row>
    <row r="10363" spans="1:7">
      <c r="A10363" s="1079"/>
      <c r="B10363" s="1050"/>
      <c r="C10363" s="1050"/>
      <c r="D10363" s="1050"/>
      <c r="E10363" s="1050"/>
      <c r="F10363" s="1050"/>
      <c r="G10363" s="1050"/>
    </row>
    <row r="10364" spans="1:7">
      <c r="A10364" s="1079"/>
      <c r="B10364" s="1050"/>
      <c r="C10364" s="1050"/>
      <c r="D10364" s="1050"/>
      <c r="E10364" s="1050"/>
      <c r="F10364" s="1050"/>
      <c r="G10364" s="1050"/>
    </row>
    <row r="10365" spans="1:7">
      <c r="A10365" s="1079"/>
      <c r="B10365" s="1050"/>
      <c r="C10365" s="1050"/>
      <c r="D10365" s="1050"/>
      <c r="E10365" s="1050"/>
      <c r="F10365" s="1050"/>
      <c r="G10365" s="1050"/>
    </row>
    <row r="10366" spans="1:7">
      <c r="A10366" s="1079"/>
      <c r="B10366" s="1050"/>
      <c r="C10366" s="1050"/>
      <c r="D10366" s="1050"/>
      <c r="E10366" s="1050"/>
      <c r="F10366" s="1050"/>
      <c r="G10366" s="1050"/>
    </row>
    <row r="10367" spans="1:7">
      <c r="A10367" s="1079"/>
      <c r="B10367" s="1050"/>
      <c r="C10367" s="1050"/>
      <c r="D10367" s="1050"/>
      <c r="E10367" s="1050"/>
      <c r="F10367" s="1050"/>
      <c r="G10367" s="1050"/>
    </row>
    <row r="10368" spans="1:7">
      <c r="A10368" s="1079"/>
      <c r="B10368" s="1050"/>
      <c r="C10368" s="1050"/>
      <c r="D10368" s="1050"/>
      <c r="E10368" s="1050"/>
      <c r="F10368" s="1050"/>
      <c r="G10368" s="1050"/>
    </row>
    <row r="10369" spans="1:7">
      <c r="A10369" s="1079"/>
      <c r="B10369" s="1050"/>
      <c r="C10369" s="1050"/>
      <c r="D10369" s="1050"/>
      <c r="E10369" s="1050"/>
      <c r="F10369" s="1050"/>
      <c r="G10369" s="1050"/>
    </row>
    <row r="10370" spans="1:7">
      <c r="A10370" s="1079"/>
      <c r="B10370" s="1050"/>
      <c r="C10370" s="1050"/>
      <c r="D10370" s="1050"/>
      <c r="E10370" s="1050"/>
      <c r="F10370" s="1050"/>
      <c r="G10370" s="1050"/>
    </row>
    <row r="10371" spans="1:7">
      <c r="A10371" s="1079"/>
      <c r="B10371" s="1050"/>
      <c r="C10371" s="1050"/>
      <c r="D10371" s="1050"/>
      <c r="E10371" s="1050"/>
      <c r="F10371" s="1050"/>
      <c r="G10371" s="1050"/>
    </row>
    <row r="10372" spans="1:7">
      <c r="A10372" s="1079"/>
      <c r="B10372" s="1050"/>
      <c r="C10372" s="1050"/>
      <c r="D10372" s="1050"/>
      <c r="E10372" s="1050"/>
      <c r="F10372" s="1050"/>
      <c r="G10372" s="1050"/>
    </row>
    <row r="10373" spans="1:7">
      <c r="A10373" s="1079"/>
      <c r="B10373" s="1050"/>
      <c r="C10373" s="1050"/>
      <c r="D10373" s="1050"/>
      <c r="E10373" s="1050"/>
      <c r="F10373" s="1050"/>
      <c r="G10373" s="1050"/>
    </row>
    <row r="10374" spans="1:7">
      <c r="A10374" s="1079"/>
      <c r="B10374" s="1050"/>
      <c r="C10374" s="1050"/>
      <c r="D10374" s="1050"/>
      <c r="E10374" s="1050"/>
      <c r="F10374" s="1050"/>
      <c r="G10374" s="1050"/>
    </row>
    <row r="10375" spans="1:7">
      <c r="A10375" s="1079"/>
      <c r="B10375" s="1050"/>
      <c r="C10375" s="1050"/>
      <c r="D10375" s="1050"/>
      <c r="E10375" s="1050"/>
      <c r="F10375" s="1050"/>
      <c r="G10375" s="1050"/>
    </row>
    <row r="10376" spans="1:7">
      <c r="A10376" s="1079"/>
      <c r="B10376" s="1050"/>
      <c r="C10376" s="1050"/>
      <c r="D10376" s="1050"/>
      <c r="E10376" s="1050"/>
      <c r="F10376" s="1050"/>
      <c r="G10376" s="1050"/>
    </row>
    <row r="10377" spans="1:7">
      <c r="A10377" s="1079"/>
      <c r="B10377" s="1050"/>
      <c r="C10377" s="1050"/>
      <c r="D10377" s="1050"/>
      <c r="E10377" s="1050"/>
      <c r="F10377" s="1050"/>
      <c r="G10377" s="1050"/>
    </row>
    <row r="10378" spans="1:7">
      <c r="A10378" s="1079"/>
      <c r="B10378" s="1050"/>
      <c r="C10378" s="1050"/>
      <c r="D10378" s="1050"/>
      <c r="E10378" s="1050"/>
      <c r="F10378" s="1050"/>
      <c r="G10378" s="1050"/>
    </row>
    <row r="10379" spans="1:7">
      <c r="A10379" s="1079"/>
      <c r="B10379" s="1050"/>
      <c r="C10379" s="1050"/>
      <c r="D10379" s="1050"/>
      <c r="E10379" s="1050"/>
      <c r="F10379" s="1050"/>
      <c r="G10379" s="1050"/>
    </row>
    <row r="10380" spans="1:7">
      <c r="A10380" s="1079"/>
      <c r="B10380" s="1050"/>
      <c r="C10380" s="1050"/>
      <c r="D10380" s="1050"/>
      <c r="E10380" s="1050"/>
      <c r="F10380" s="1050"/>
      <c r="G10380" s="1050"/>
    </row>
    <row r="10381" spans="1:7">
      <c r="A10381" s="1079"/>
      <c r="B10381" s="1050"/>
      <c r="C10381" s="1050"/>
      <c r="D10381" s="1050"/>
      <c r="E10381" s="1050"/>
      <c r="F10381" s="1050"/>
      <c r="G10381" s="1050"/>
    </row>
    <row r="10382" spans="1:7">
      <c r="A10382" s="1079"/>
      <c r="B10382" s="1050"/>
      <c r="C10382" s="1050"/>
      <c r="D10382" s="1050"/>
      <c r="E10382" s="1050"/>
      <c r="F10382" s="1050"/>
      <c r="G10382" s="1050"/>
    </row>
    <row r="10383" spans="1:7">
      <c r="A10383" s="1079"/>
      <c r="B10383" s="1050"/>
      <c r="C10383" s="1050"/>
      <c r="D10383" s="1050"/>
      <c r="E10383" s="1050"/>
      <c r="F10383" s="1050"/>
      <c r="G10383" s="1050"/>
    </row>
    <row r="10384" spans="1:7">
      <c r="A10384" s="1079"/>
      <c r="B10384" s="1050"/>
      <c r="C10384" s="1050"/>
      <c r="D10384" s="1050"/>
      <c r="E10384" s="1050"/>
      <c r="F10384" s="1050"/>
      <c r="G10384" s="1050"/>
    </row>
    <row r="10385" spans="1:7">
      <c r="A10385" s="1079"/>
      <c r="B10385" s="1050"/>
      <c r="C10385" s="1050"/>
      <c r="D10385" s="1050"/>
      <c r="E10385" s="1050"/>
      <c r="F10385" s="1050"/>
      <c r="G10385" s="1050"/>
    </row>
    <row r="10386" spans="1:7">
      <c r="A10386" s="1079"/>
      <c r="B10386" s="1050"/>
      <c r="C10386" s="1050"/>
      <c r="D10386" s="1050"/>
      <c r="E10386" s="1050"/>
      <c r="F10386" s="1050"/>
      <c r="G10386" s="1050"/>
    </row>
    <row r="10387" spans="1:7">
      <c r="A10387" s="1079"/>
      <c r="B10387" s="1050"/>
      <c r="C10387" s="1050"/>
      <c r="D10387" s="1050"/>
      <c r="E10387" s="1050"/>
      <c r="F10387" s="1050"/>
      <c r="G10387" s="1050"/>
    </row>
    <row r="10388" spans="1:7">
      <c r="A10388" s="1079"/>
      <c r="B10388" s="1050"/>
      <c r="C10388" s="1050"/>
      <c r="D10388" s="1050"/>
      <c r="E10388" s="1050"/>
      <c r="F10388" s="1050"/>
      <c r="G10388" s="1050"/>
    </row>
    <row r="10389" spans="1:7">
      <c r="A10389" s="1079"/>
      <c r="B10389" s="1050"/>
      <c r="C10389" s="1050"/>
      <c r="D10389" s="1050"/>
      <c r="E10389" s="1050"/>
      <c r="F10389" s="1050"/>
      <c r="G10389" s="1050"/>
    </row>
    <row r="10390" spans="1:7">
      <c r="A10390" s="1079"/>
      <c r="B10390" s="1050"/>
      <c r="C10390" s="1050"/>
      <c r="D10390" s="1050"/>
      <c r="E10390" s="1050"/>
      <c r="F10390" s="1050"/>
      <c r="G10390" s="1050"/>
    </row>
    <row r="10391" spans="1:7">
      <c r="A10391" s="1079"/>
      <c r="B10391" s="1050"/>
      <c r="C10391" s="1050"/>
      <c r="D10391" s="1050"/>
      <c r="E10391" s="1050"/>
      <c r="F10391" s="1050"/>
      <c r="G10391" s="1050"/>
    </row>
    <row r="10392" spans="1:7">
      <c r="A10392" s="1079"/>
      <c r="B10392" s="1050"/>
      <c r="C10392" s="1050"/>
      <c r="D10392" s="1050"/>
      <c r="E10392" s="1050"/>
      <c r="F10392" s="1050"/>
      <c r="G10392" s="1050"/>
    </row>
    <row r="10393" spans="1:7">
      <c r="A10393" s="1079"/>
      <c r="B10393" s="1050"/>
      <c r="C10393" s="1050"/>
      <c r="D10393" s="1050"/>
      <c r="E10393" s="1050"/>
      <c r="F10393" s="1050"/>
      <c r="G10393" s="1050"/>
    </row>
    <row r="10394" spans="1:7">
      <c r="A10394" s="1079"/>
      <c r="B10394" s="1050"/>
      <c r="C10394" s="1050"/>
      <c r="D10394" s="1050"/>
      <c r="E10394" s="1050"/>
      <c r="F10394" s="1050"/>
      <c r="G10394" s="1050"/>
    </row>
    <row r="10395" spans="1:7">
      <c r="A10395" s="1079"/>
      <c r="B10395" s="1050"/>
      <c r="C10395" s="1050"/>
      <c r="D10395" s="1050"/>
      <c r="E10395" s="1050"/>
      <c r="F10395" s="1050"/>
      <c r="G10395" s="1050"/>
    </row>
    <row r="10396" spans="1:7">
      <c r="A10396" s="1079"/>
      <c r="B10396" s="1050"/>
      <c r="C10396" s="1050"/>
      <c r="D10396" s="1050"/>
      <c r="E10396" s="1050"/>
      <c r="F10396" s="1050"/>
      <c r="G10396" s="1050"/>
    </row>
    <row r="10397" spans="1:7">
      <c r="A10397" s="1079"/>
      <c r="B10397" s="1050"/>
      <c r="C10397" s="1050"/>
      <c r="D10397" s="1050"/>
      <c r="E10397" s="1050"/>
      <c r="F10397" s="1050"/>
      <c r="G10397" s="1050"/>
    </row>
    <row r="10398" spans="1:7">
      <c r="A10398" s="1079"/>
      <c r="B10398" s="1050"/>
      <c r="C10398" s="1050"/>
      <c r="D10398" s="1050"/>
      <c r="E10398" s="1050"/>
      <c r="F10398" s="1050"/>
      <c r="G10398" s="1050"/>
    </row>
    <row r="10399" spans="1:7">
      <c r="A10399" s="1079"/>
      <c r="B10399" s="1050"/>
      <c r="C10399" s="1050"/>
      <c r="D10399" s="1050"/>
      <c r="E10399" s="1050"/>
      <c r="F10399" s="1050"/>
      <c r="G10399" s="1050"/>
    </row>
    <row r="10400" spans="1:7">
      <c r="A10400" s="1079"/>
      <c r="B10400" s="1050"/>
      <c r="C10400" s="1050"/>
      <c r="D10400" s="1050"/>
      <c r="E10400" s="1050"/>
      <c r="F10400" s="1050"/>
      <c r="G10400" s="1050"/>
    </row>
    <row r="10401" spans="1:7">
      <c r="A10401" s="1079"/>
      <c r="B10401" s="1050"/>
      <c r="C10401" s="1050"/>
      <c r="D10401" s="1050"/>
      <c r="E10401" s="1050"/>
      <c r="F10401" s="1050"/>
      <c r="G10401" s="1050"/>
    </row>
    <row r="10402" spans="1:7">
      <c r="A10402" s="1079"/>
      <c r="B10402" s="1050"/>
      <c r="C10402" s="1050"/>
      <c r="D10402" s="1050"/>
      <c r="E10402" s="1050"/>
      <c r="F10402" s="1050"/>
      <c r="G10402" s="1050"/>
    </row>
    <row r="10403" spans="1:7">
      <c r="A10403" s="1079"/>
      <c r="B10403" s="1050"/>
      <c r="C10403" s="1050"/>
      <c r="D10403" s="1050"/>
      <c r="E10403" s="1050"/>
      <c r="F10403" s="1050"/>
      <c r="G10403" s="1050"/>
    </row>
    <row r="10404" spans="1:7">
      <c r="A10404" s="1079"/>
      <c r="B10404" s="1050"/>
      <c r="C10404" s="1050"/>
      <c r="D10404" s="1050"/>
      <c r="E10404" s="1050"/>
      <c r="F10404" s="1050"/>
      <c r="G10404" s="1050"/>
    </row>
    <row r="10405" spans="1:7">
      <c r="A10405" s="1079"/>
      <c r="B10405" s="1050"/>
      <c r="C10405" s="1050"/>
      <c r="D10405" s="1050"/>
      <c r="E10405" s="1050"/>
      <c r="F10405" s="1050"/>
      <c r="G10405" s="1050"/>
    </row>
    <row r="10406" spans="1:7">
      <c r="A10406" s="1079"/>
      <c r="B10406" s="1050"/>
      <c r="C10406" s="1050"/>
      <c r="D10406" s="1050"/>
      <c r="E10406" s="1050"/>
      <c r="F10406" s="1050"/>
      <c r="G10406" s="1050"/>
    </row>
    <row r="10407" spans="1:7">
      <c r="A10407" s="1079"/>
      <c r="B10407" s="1050"/>
      <c r="C10407" s="1050"/>
      <c r="D10407" s="1050"/>
      <c r="E10407" s="1050"/>
      <c r="F10407" s="1050"/>
      <c r="G10407" s="1050"/>
    </row>
    <row r="10408" spans="1:7">
      <c r="A10408" s="1079"/>
      <c r="B10408" s="1050"/>
      <c r="C10408" s="1050"/>
      <c r="D10408" s="1050"/>
      <c r="E10408" s="1050"/>
      <c r="F10408" s="1050"/>
      <c r="G10408" s="1050"/>
    </row>
    <row r="10409" spans="1:7">
      <c r="A10409" s="1079"/>
      <c r="B10409" s="1050"/>
      <c r="C10409" s="1050"/>
      <c r="D10409" s="1050"/>
      <c r="E10409" s="1050"/>
      <c r="F10409" s="1050"/>
      <c r="G10409" s="1050"/>
    </row>
    <row r="10410" spans="1:7">
      <c r="A10410" s="1079"/>
      <c r="B10410" s="1050"/>
      <c r="C10410" s="1050"/>
      <c r="D10410" s="1050"/>
      <c r="E10410" s="1050"/>
      <c r="F10410" s="1050"/>
      <c r="G10410" s="1050"/>
    </row>
    <row r="10411" spans="1:7">
      <c r="A10411" s="1079"/>
      <c r="B10411" s="1050"/>
      <c r="C10411" s="1050"/>
      <c r="D10411" s="1050"/>
      <c r="E10411" s="1050"/>
      <c r="F10411" s="1050"/>
      <c r="G10411" s="1050"/>
    </row>
    <row r="10412" spans="1:7">
      <c r="A10412" s="1079"/>
      <c r="B10412" s="1050"/>
      <c r="C10412" s="1050"/>
      <c r="D10412" s="1050"/>
      <c r="E10412" s="1050"/>
      <c r="F10412" s="1050"/>
      <c r="G10412" s="1050"/>
    </row>
    <row r="10413" spans="1:7">
      <c r="A10413" s="1079"/>
      <c r="B10413" s="1050"/>
      <c r="C10413" s="1050"/>
      <c r="D10413" s="1050"/>
      <c r="E10413" s="1050"/>
      <c r="F10413" s="1050"/>
      <c r="G10413" s="1050"/>
    </row>
    <row r="10414" spans="1:7">
      <c r="A10414" s="1079"/>
      <c r="B10414" s="1050"/>
      <c r="C10414" s="1050"/>
      <c r="D10414" s="1050"/>
      <c r="E10414" s="1050"/>
      <c r="F10414" s="1050"/>
      <c r="G10414" s="1050"/>
    </row>
    <row r="10415" spans="1:7">
      <c r="A10415" s="1079"/>
      <c r="B10415" s="1050"/>
      <c r="C10415" s="1050"/>
      <c r="D10415" s="1050"/>
      <c r="E10415" s="1050"/>
      <c r="F10415" s="1050"/>
      <c r="G10415" s="1050"/>
    </row>
    <row r="10416" spans="1:7">
      <c r="A10416" s="1079"/>
      <c r="B10416" s="1050"/>
      <c r="C10416" s="1050"/>
      <c r="D10416" s="1050"/>
      <c r="E10416" s="1050"/>
      <c r="F10416" s="1050"/>
      <c r="G10416" s="1050"/>
    </row>
    <row r="10417" spans="1:7">
      <c r="A10417" s="1079"/>
      <c r="B10417" s="1050"/>
      <c r="C10417" s="1050"/>
      <c r="D10417" s="1050"/>
      <c r="E10417" s="1050"/>
      <c r="F10417" s="1050"/>
      <c r="G10417" s="1050"/>
    </row>
    <row r="10418" spans="1:7">
      <c r="A10418" s="1079"/>
      <c r="B10418" s="1050"/>
      <c r="C10418" s="1050"/>
      <c r="D10418" s="1050"/>
      <c r="E10418" s="1050"/>
      <c r="F10418" s="1050"/>
      <c r="G10418" s="1050"/>
    </row>
    <row r="10419" spans="1:7">
      <c r="A10419" s="1079"/>
      <c r="B10419" s="1050"/>
      <c r="C10419" s="1050"/>
      <c r="D10419" s="1050"/>
      <c r="E10419" s="1050"/>
      <c r="F10419" s="1050"/>
      <c r="G10419" s="1050"/>
    </row>
    <row r="10420" spans="1:7">
      <c r="A10420" s="1079"/>
      <c r="B10420" s="1050"/>
      <c r="C10420" s="1050"/>
      <c r="D10420" s="1050"/>
      <c r="E10420" s="1050"/>
      <c r="F10420" s="1050"/>
      <c r="G10420" s="1050"/>
    </row>
    <row r="10421" spans="1:7">
      <c r="A10421" s="1079"/>
      <c r="B10421" s="1050"/>
      <c r="C10421" s="1050"/>
      <c r="D10421" s="1050"/>
      <c r="E10421" s="1050"/>
      <c r="F10421" s="1050"/>
      <c r="G10421" s="1050"/>
    </row>
    <row r="10422" spans="1:7">
      <c r="A10422" s="1079"/>
      <c r="B10422" s="1050"/>
      <c r="C10422" s="1050"/>
      <c r="D10422" s="1050"/>
      <c r="E10422" s="1050"/>
      <c r="F10422" s="1050"/>
      <c r="G10422" s="1050"/>
    </row>
    <row r="10423" spans="1:7">
      <c r="A10423" s="1079"/>
      <c r="B10423" s="1050"/>
      <c r="C10423" s="1050"/>
      <c r="D10423" s="1050"/>
      <c r="E10423" s="1050"/>
      <c r="F10423" s="1050"/>
      <c r="G10423" s="1050"/>
    </row>
    <row r="10424" spans="1:7">
      <c r="A10424" s="1079"/>
      <c r="B10424" s="1050"/>
      <c r="C10424" s="1050"/>
      <c r="D10424" s="1050"/>
      <c r="E10424" s="1050"/>
      <c r="F10424" s="1050"/>
      <c r="G10424" s="1050"/>
    </row>
    <row r="10425" spans="1:7">
      <c r="A10425" s="1079"/>
      <c r="B10425" s="1050"/>
      <c r="C10425" s="1050"/>
      <c r="D10425" s="1050"/>
      <c r="E10425" s="1050"/>
      <c r="F10425" s="1050"/>
      <c r="G10425" s="1050"/>
    </row>
    <row r="10426" spans="1:7">
      <c r="A10426" s="1079"/>
      <c r="B10426" s="1050"/>
      <c r="C10426" s="1050"/>
      <c r="D10426" s="1050"/>
      <c r="E10426" s="1050"/>
      <c r="F10426" s="1050"/>
      <c r="G10426" s="1050"/>
    </row>
    <row r="10427" spans="1:7">
      <c r="A10427" s="1079"/>
      <c r="B10427" s="1050"/>
      <c r="C10427" s="1050"/>
      <c r="D10427" s="1050"/>
      <c r="E10427" s="1050"/>
      <c r="F10427" s="1050"/>
      <c r="G10427" s="1050"/>
    </row>
    <row r="10428" spans="1:7">
      <c r="A10428" s="1079"/>
      <c r="B10428" s="1050"/>
      <c r="C10428" s="1050"/>
      <c r="D10428" s="1050"/>
      <c r="E10428" s="1050"/>
      <c r="F10428" s="1050"/>
      <c r="G10428" s="1050"/>
    </row>
    <row r="10429" spans="1:7">
      <c r="A10429" s="1079"/>
      <c r="B10429" s="1050"/>
      <c r="C10429" s="1050"/>
      <c r="D10429" s="1050"/>
      <c r="E10429" s="1050"/>
      <c r="F10429" s="1050"/>
      <c r="G10429" s="1050"/>
    </row>
    <row r="10430" spans="1:7">
      <c r="A10430" s="1079"/>
      <c r="B10430" s="1050"/>
      <c r="C10430" s="1050"/>
      <c r="D10430" s="1050"/>
      <c r="E10430" s="1050"/>
      <c r="F10430" s="1050"/>
      <c r="G10430" s="1050"/>
    </row>
    <row r="10431" spans="1:7">
      <c r="A10431" s="1079"/>
      <c r="B10431" s="1050"/>
      <c r="C10431" s="1050"/>
      <c r="D10431" s="1050"/>
      <c r="E10431" s="1050"/>
      <c r="F10431" s="1050"/>
      <c r="G10431" s="1050"/>
    </row>
    <row r="10432" spans="1:7">
      <c r="A10432" s="1079"/>
      <c r="B10432" s="1050"/>
      <c r="C10432" s="1050"/>
      <c r="D10432" s="1050"/>
      <c r="E10432" s="1050"/>
      <c r="F10432" s="1050"/>
      <c r="G10432" s="1050"/>
    </row>
    <row r="10433" spans="1:7">
      <c r="A10433" s="1079"/>
      <c r="B10433" s="1050"/>
      <c r="C10433" s="1050"/>
      <c r="D10433" s="1050"/>
      <c r="E10433" s="1050"/>
      <c r="F10433" s="1050"/>
      <c r="G10433" s="1050"/>
    </row>
    <row r="10434" spans="1:7">
      <c r="A10434" s="1079"/>
      <c r="B10434" s="1050"/>
      <c r="C10434" s="1050"/>
      <c r="D10434" s="1050"/>
      <c r="E10434" s="1050"/>
      <c r="F10434" s="1050"/>
      <c r="G10434" s="1050"/>
    </row>
    <row r="10435" spans="1:7">
      <c r="A10435" s="1079"/>
      <c r="B10435" s="1050"/>
      <c r="C10435" s="1050"/>
      <c r="D10435" s="1050"/>
      <c r="E10435" s="1050"/>
      <c r="F10435" s="1050"/>
      <c r="G10435" s="1050"/>
    </row>
    <row r="10436" spans="1:7">
      <c r="A10436" s="1079"/>
      <c r="B10436" s="1050"/>
      <c r="C10436" s="1050"/>
      <c r="D10436" s="1050"/>
      <c r="E10436" s="1050"/>
      <c r="F10436" s="1050"/>
      <c r="G10436" s="1050"/>
    </row>
    <row r="10437" spans="1:7">
      <c r="A10437" s="1079"/>
      <c r="B10437" s="1050"/>
      <c r="C10437" s="1050"/>
      <c r="D10437" s="1050"/>
      <c r="E10437" s="1050"/>
      <c r="F10437" s="1050"/>
      <c r="G10437" s="1050"/>
    </row>
    <row r="10438" spans="1:7">
      <c r="A10438" s="1079"/>
      <c r="B10438" s="1050"/>
      <c r="C10438" s="1050"/>
      <c r="D10438" s="1050"/>
      <c r="E10438" s="1050"/>
      <c r="F10438" s="1050"/>
      <c r="G10438" s="1050"/>
    </row>
    <row r="10439" spans="1:7">
      <c r="A10439" s="1079"/>
      <c r="B10439" s="1050"/>
      <c r="C10439" s="1050"/>
      <c r="D10439" s="1050"/>
      <c r="E10439" s="1050"/>
      <c r="F10439" s="1050"/>
      <c r="G10439" s="1050"/>
    </row>
    <row r="10440" spans="1:7">
      <c r="A10440" s="1079"/>
      <c r="B10440" s="1050"/>
      <c r="C10440" s="1050"/>
      <c r="D10440" s="1050"/>
      <c r="E10440" s="1050"/>
      <c r="F10440" s="1050"/>
      <c r="G10440" s="1050"/>
    </row>
    <row r="10441" spans="1:7">
      <c r="A10441" s="1079"/>
      <c r="B10441" s="1050"/>
      <c r="C10441" s="1050"/>
      <c r="D10441" s="1050"/>
      <c r="E10441" s="1050"/>
      <c r="F10441" s="1050"/>
      <c r="G10441" s="1050"/>
    </row>
    <row r="10442" spans="1:7">
      <c r="A10442" s="1079"/>
      <c r="B10442" s="1050"/>
      <c r="C10442" s="1050"/>
      <c r="D10442" s="1050"/>
      <c r="E10442" s="1050"/>
      <c r="F10442" s="1050"/>
      <c r="G10442" s="1050"/>
    </row>
    <row r="10443" spans="1:7">
      <c r="A10443" s="1079"/>
      <c r="B10443" s="1050"/>
      <c r="C10443" s="1050"/>
      <c r="D10443" s="1050"/>
      <c r="E10443" s="1050"/>
      <c r="F10443" s="1050"/>
      <c r="G10443" s="1050"/>
    </row>
    <row r="10444" spans="1:7">
      <c r="A10444" s="1079"/>
      <c r="B10444" s="1050"/>
      <c r="C10444" s="1050"/>
      <c r="D10444" s="1050"/>
      <c r="E10444" s="1050"/>
      <c r="F10444" s="1050"/>
      <c r="G10444" s="1050"/>
    </row>
    <row r="10445" spans="1:7">
      <c r="A10445" s="1079"/>
      <c r="B10445" s="1050"/>
      <c r="C10445" s="1050"/>
      <c r="D10445" s="1050"/>
      <c r="E10445" s="1050"/>
      <c r="F10445" s="1050"/>
      <c r="G10445" s="1050"/>
    </row>
    <row r="10446" spans="1:7">
      <c r="A10446" s="1079"/>
      <c r="B10446" s="1050"/>
      <c r="C10446" s="1050"/>
      <c r="D10446" s="1050"/>
      <c r="E10446" s="1050"/>
      <c r="F10446" s="1050"/>
      <c r="G10446" s="1050"/>
    </row>
    <row r="10447" spans="1:7">
      <c r="A10447" s="1079"/>
      <c r="B10447" s="1050"/>
      <c r="C10447" s="1050"/>
      <c r="D10447" s="1050"/>
      <c r="E10447" s="1050"/>
      <c r="F10447" s="1050"/>
      <c r="G10447" s="1050"/>
    </row>
    <row r="10448" spans="1:7">
      <c r="A10448" s="1079"/>
      <c r="B10448" s="1050"/>
      <c r="C10448" s="1050"/>
      <c r="D10448" s="1050"/>
      <c r="E10448" s="1050"/>
      <c r="F10448" s="1050"/>
      <c r="G10448" s="1050"/>
    </row>
    <row r="10449" spans="1:7">
      <c r="A10449" s="1079"/>
      <c r="B10449" s="1050"/>
      <c r="C10449" s="1050"/>
      <c r="D10449" s="1050"/>
      <c r="E10449" s="1050"/>
      <c r="F10449" s="1050"/>
      <c r="G10449" s="1050"/>
    </row>
    <row r="10450" spans="1:7">
      <c r="A10450" s="1079"/>
      <c r="B10450" s="1050"/>
      <c r="C10450" s="1050"/>
      <c r="D10450" s="1050"/>
      <c r="E10450" s="1050"/>
      <c r="F10450" s="1050"/>
      <c r="G10450" s="1050"/>
    </row>
    <row r="10451" spans="1:7">
      <c r="A10451" s="1079"/>
      <c r="B10451" s="1050"/>
      <c r="C10451" s="1050"/>
      <c r="D10451" s="1050"/>
      <c r="E10451" s="1050"/>
      <c r="F10451" s="1050"/>
      <c r="G10451" s="1050"/>
    </row>
    <row r="10452" spans="1:7">
      <c r="A10452" s="1079"/>
      <c r="B10452" s="1050"/>
      <c r="C10452" s="1050"/>
      <c r="D10452" s="1050"/>
      <c r="E10452" s="1050"/>
      <c r="F10452" s="1050"/>
      <c r="G10452" s="1050"/>
    </row>
    <row r="10453" spans="1:7">
      <c r="A10453" s="1079"/>
      <c r="B10453" s="1050"/>
      <c r="C10453" s="1050"/>
      <c r="D10453" s="1050"/>
      <c r="E10453" s="1050"/>
      <c r="F10453" s="1050"/>
      <c r="G10453" s="1050"/>
    </row>
    <row r="10454" spans="1:7">
      <c r="A10454" s="1079"/>
      <c r="B10454" s="1050"/>
      <c r="C10454" s="1050"/>
      <c r="D10454" s="1050"/>
      <c r="E10454" s="1050"/>
      <c r="F10454" s="1050"/>
      <c r="G10454" s="1050"/>
    </row>
    <row r="10455" spans="1:7">
      <c r="A10455" s="1079"/>
      <c r="B10455" s="1050"/>
      <c r="C10455" s="1050"/>
      <c r="D10455" s="1050"/>
      <c r="E10455" s="1050"/>
      <c r="F10455" s="1050"/>
      <c r="G10455" s="1050"/>
    </row>
    <row r="10456" spans="1:7">
      <c r="A10456" s="1079"/>
      <c r="B10456" s="1050"/>
      <c r="C10456" s="1050"/>
      <c r="D10456" s="1050"/>
      <c r="E10456" s="1050"/>
      <c r="F10456" s="1050"/>
      <c r="G10456" s="1050"/>
    </row>
    <row r="10457" spans="1:7">
      <c r="A10457" s="1079"/>
      <c r="B10457" s="1050"/>
      <c r="C10457" s="1050"/>
      <c r="D10457" s="1050"/>
      <c r="E10457" s="1050"/>
      <c r="F10457" s="1050"/>
      <c r="G10457" s="1050"/>
    </row>
    <row r="10458" spans="1:7">
      <c r="A10458" s="1079"/>
      <c r="B10458" s="1050"/>
      <c r="C10458" s="1050"/>
      <c r="D10458" s="1050"/>
      <c r="E10458" s="1050"/>
      <c r="F10458" s="1050"/>
      <c r="G10458" s="1050"/>
    </row>
    <row r="10459" spans="1:7">
      <c r="A10459" s="1079"/>
      <c r="B10459" s="1050"/>
      <c r="C10459" s="1050"/>
      <c r="D10459" s="1050"/>
      <c r="E10459" s="1050"/>
      <c r="F10459" s="1050"/>
      <c r="G10459" s="1050"/>
    </row>
    <row r="10460" spans="1:7">
      <c r="A10460" s="1079"/>
      <c r="B10460" s="1050"/>
      <c r="C10460" s="1050"/>
      <c r="D10460" s="1050"/>
      <c r="E10460" s="1050"/>
      <c r="F10460" s="1050"/>
      <c r="G10460" s="1050"/>
    </row>
    <row r="10461" spans="1:7">
      <c r="A10461" s="1079"/>
      <c r="B10461" s="1050"/>
      <c r="C10461" s="1050"/>
      <c r="D10461" s="1050"/>
      <c r="E10461" s="1050"/>
      <c r="F10461" s="1050"/>
      <c r="G10461" s="1050"/>
    </row>
    <row r="10462" spans="1:7">
      <c r="A10462" s="1079"/>
      <c r="B10462" s="1050"/>
      <c r="C10462" s="1050"/>
      <c r="D10462" s="1050"/>
      <c r="E10462" s="1050"/>
      <c r="F10462" s="1050"/>
      <c r="G10462" s="1050"/>
    </row>
    <row r="10463" spans="1:7">
      <c r="A10463" s="1079"/>
      <c r="B10463" s="1050"/>
      <c r="C10463" s="1050"/>
      <c r="D10463" s="1050"/>
      <c r="E10463" s="1050"/>
      <c r="F10463" s="1050"/>
      <c r="G10463" s="1050"/>
    </row>
    <row r="10464" spans="1:7">
      <c r="A10464" s="1079"/>
      <c r="B10464" s="1050"/>
      <c r="C10464" s="1050"/>
      <c r="D10464" s="1050"/>
      <c r="E10464" s="1050"/>
      <c r="F10464" s="1050"/>
      <c r="G10464" s="1050"/>
    </row>
    <row r="10465" spans="1:7">
      <c r="A10465" s="1079"/>
      <c r="B10465" s="1050"/>
      <c r="C10465" s="1050"/>
      <c r="D10465" s="1050"/>
      <c r="E10465" s="1050"/>
      <c r="F10465" s="1050"/>
      <c r="G10465" s="1050"/>
    </row>
    <row r="10466" spans="1:7">
      <c r="A10466" s="1079"/>
      <c r="B10466" s="1050"/>
      <c r="C10466" s="1050"/>
      <c r="D10466" s="1050"/>
      <c r="E10466" s="1050"/>
      <c r="F10466" s="1050"/>
      <c r="G10466" s="1050"/>
    </row>
    <row r="10467" spans="1:7">
      <c r="A10467" s="1079"/>
      <c r="B10467" s="1050"/>
      <c r="C10467" s="1050"/>
      <c r="D10467" s="1050"/>
      <c r="E10467" s="1050"/>
      <c r="F10467" s="1050"/>
      <c r="G10467" s="1050"/>
    </row>
    <row r="10468" spans="1:7">
      <c r="A10468" s="1079"/>
      <c r="B10468" s="1050"/>
      <c r="C10468" s="1050"/>
      <c r="D10468" s="1050"/>
      <c r="E10468" s="1050"/>
      <c r="F10468" s="1050"/>
      <c r="G10468" s="1050"/>
    </row>
    <row r="10469" spans="1:7">
      <c r="A10469" s="1079"/>
      <c r="B10469" s="1050"/>
      <c r="C10469" s="1050"/>
      <c r="D10469" s="1050"/>
      <c r="E10469" s="1050"/>
      <c r="F10469" s="1050"/>
      <c r="G10469" s="1050"/>
    </row>
    <row r="10470" spans="1:7">
      <c r="A10470" s="1079"/>
      <c r="B10470" s="1050"/>
      <c r="C10470" s="1050"/>
      <c r="D10470" s="1050"/>
      <c r="E10470" s="1050"/>
      <c r="F10470" s="1050"/>
      <c r="G10470" s="1050"/>
    </row>
    <row r="10471" spans="1:7">
      <c r="A10471" s="1079"/>
      <c r="B10471" s="1050"/>
      <c r="C10471" s="1050"/>
      <c r="D10471" s="1050"/>
      <c r="E10471" s="1050"/>
      <c r="F10471" s="1050"/>
      <c r="G10471" s="1050"/>
    </row>
    <row r="10472" spans="1:7">
      <c r="A10472" s="1079"/>
      <c r="B10472" s="1050"/>
      <c r="C10472" s="1050"/>
      <c r="D10472" s="1050"/>
      <c r="E10472" s="1050"/>
      <c r="F10472" s="1050"/>
      <c r="G10472" s="1050"/>
    </row>
    <row r="10473" spans="1:7">
      <c r="A10473" s="1079"/>
      <c r="B10473" s="1050"/>
      <c r="C10473" s="1050"/>
      <c r="D10473" s="1050"/>
      <c r="E10473" s="1050"/>
      <c r="F10473" s="1050"/>
      <c r="G10473" s="1050"/>
    </row>
    <row r="10474" spans="1:7">
      <c r="A10474" s="1079"/>
      <c r="B10474" s="1050"/>
      <c r="C10474" s="1050"/>
      <c r="D10474" s="1050"/>
      <c r="E10474" s="1050"/>
      <c r="F10474" s="1050"/>
      <c r="G10474" s="1050"/>
    </row>
    <row r="10475" spans="1:7">
      <c r="A10475" s="1079"/>
      <c r="B10475" s="1050"/>
      <c r="C10475" s="1050"/>
      <c r="D10475" s="1050"/>
      <c r="E10475" s="1050"/>
      <c r="F10475" s="1050"/>
      <c r="G10475" s="1050"/>
    </row>
    <row r="10476" spans="1:7">
      <c r="A10476" s="1079"/>
      <c r="B10476" s="1050"/>
      <c r="C10476" s="1050"/>
      <c r="D10476" s="1050"/>
      <c r="E10476" s="1050"/>
      <c r="F10476" s="1050"/>
      <c r="G10476" s="1050"/>
    </row>
    <row r="10477" spans="1:7">
      <c r="A10477" s="1079"/>
      <c r="B10477" s="1050"/>
      <c r="C10477" s="1050"/>
      <c r="D10477" s="1050"/>
      <c r="E10477" s="1050"/>
      <c r="F10477" s="1050"/>
      <c r="G10477" s="1050"/>
    </row>
    <row r="10478" spans="1:7">
      <c r="A10478" s="1079"/>
      <c r="B10478" s="1050"/>
      <c r="C10478" s="1050"/>
      <c r="D10478" s="1050"/>
      <c r="E10478" s="1050"/>
      <c r="F10478" s="1050"/>
      <c r="G10478" s="1050"/>
    </row>
    <row r="10479" spans="1:7">
      <c r="A10479" s="1079"/>
      <c r="B10479" s="1050"/>
      <c r="C10479" s="1050"/>
      <c r="D10479" s="1050"/>
      <c r="E10479" s="1050"/>
      <c r="F10479" s="1050"/>
      <c r="G10479" s="1050"/>
    </row>
    <row r="10480" spans="1:7">
      <c r="A10480" s="1079"/>
      <c r="B10480" s="1050"/>
      <c r="C10480" s="1050"/>
      <c r="D10480" s="1050"/>
      <c r="E10480" s="1050"/>
      <c r="F10480" s="1050"/>
      <c r="G10480" s="1050"/>
    </row>
    <row r="10481" spans="1:7">
      <c r="A10481" s="1079"/>
      <c r="B10481" s="1050"/>
      <c r="C10481" s="1050"/>
      <c r="D10481" s="1050"/>
      <c r="E10481" s="1050"/>
      <c r="F10481" s="1050"/>
      <c r="G10481" s="1050"/>
    </row>
    <row r="10482" spans="1:7">
      <c r="A10482" s="1079"/>
      <c r="B10482" s="1050"/>
      <c r="C10482" s="1050"/>
      <c r="D10482" s="1050"/>
      <c r="E10482" s="1050"/>
      <c r="F10482" s="1050"/>
      <c r="G10482" s="1050"/>
    </row>
    <row r="10483" spans="1:7">
      <c r="A10483" s="1079"/>
      <c r="B10483" s="1050"/>
      <c r="C10483" s="1050"/>
      <c r="D10483" s="1050"/>
      <c r="E10483" s="1050"/>
      <c r="F10483" s="1050"/>
      <c r="G10483" s="1050"/>
    </row>
    <row r="10484" spans="1:7">
      <c r="A10484" s="1079"/>
      <c r="B10484" s="1050"/>
      <c r="C10484" s="1050"/>
      <c r="D10484" s="1050"/>
      <c r="E10484" s="1050"/>
      <c r="F10484" s="1050"/>
      <c r="G10484" s="1050"/>
    </row>
    <row r="10485" spans="1:7">
      <c r="A10485" s="1079"/>
      <c r="B10485" s="1050"/>
      <c r="C10485" s="1050"/>
      <c r="D10485" s="1050"/>
      <c r="E10485" s="1050"/>
      <c r="F10485" s="1050"/>
      <c r="G10485" s="1050"/>
    </row>
    <row r="10486" spans="1:7">
      <c r="A10486" s="1079"/>
      <c r="B10486" s="1050"/>
      <c r="C10486" s="1050"/>
      <c r="D10486" s="1050"/>
      <c r="E10486" s="1050"/>
      <c r="F10486" s="1050"/>
      <c r="G10486" s="1050"/>
    </row>
    <row r="10487" spans="1:7">
      <c r="A10487" s="1079"/>
      <c r="B10487" s="1050"/>
      <c r="C10487" s="1050"/>
      <c r="D10487" s="1050"/>
      <c r="E10487" s="1050"/>
      <c r="F10487" s="1050"/>
      <c r="G10487" s="1050"/>
    </row>
    <row r="10488" spans="1:7">
      <c r="A10488" s="1079"/>
      <c r="B10488" s="1050"/>
      <c r="C10488" s="1050"/>
      <c r="D10488" s="1050"/>
      <c r="E10488" s="1050"/>
      <c r="F10488" s="1050"/>
      <c r="G10488" s="1050"/>
    </row>
    <row r="10489" spans="1:7">
      <c r="A10489" s="1079"/>
      <c r="B10489" s="1050"/>
      <c r="C10489" s="1050"/>
      <c r="D10489" s="1050"/>
      <c r="E10489" s="1050"/>
      <c r="F10489" s="1050"/>
      <c r="G10489" s="1050"/>
    </row>
    <row r="10490" spans="1:7">
      <c r="A10490" s="1079"/>
      <c r="B10490" s="1050"/>
      <c r="C10490" s="1050"/>
      <c r="D10490" s="1050"/>
      <c r="E10490" s="1050"/>
      <c r="F10490" s="1050"/>
      <c r="G10490" s="1050"/>
    </row>
    <row r="10491" spans="1:7">
      <c r="A10491" s="1079"/>
      <c r="B10491" s="1050"/>
      <c r="C10491" s="1050"/>
      <c r="D10491" s="1050"/>
      <c r="E10491" s="1050"/>
      <c r="F10491" s="1050"/>
      <c r="G10491" s="1050"/>
    </row>
    <row r="10492" spans="1:7">
      <c r="A10492" s="1079"/>
      <c r="B10492" s="1050"/>
      <c r="C10492" s="1050"/>
      <c r="D10492" s="1050"/>
      <c r="E10492" s="1050"/>
      <c r="F10492" s="1050"/>
      <c r="G10492" s="1050"/>
    </row>
    <row r="10493" spans="1:7">
      <c r="A10493" s="1079"/>
      <c r="B10493" s="1050"/>
      <c r="C10493" s="1050"/>
      <c r="D10493" s="1050"/>
      <c r="E10493" s="1050"/>
      <c r="F10493" s="1050"/>
      <c r="G10493" s="1050"/>
    </row>
    <row r="10494" spans="1:7">
      <c r="A10494" s="1079"/>
      <c r="B10494" s="1050"/>
      <c r="C10494" s="1050"/>
      <c r="D10494" s="1050"/>
      <c r="E10494" s="1050"/>
      <c r="F10494" s="1050"/>
      <c r="G10494" s="1050"/>
    </row>
    <row r="10495" spans="1:7">
      <c r="A10495" s="1079"/>
      <c r="B10495" s="1050"/>
      <c r="C10495" s="1050"/>
      <c r="D10495" s="1050"/>
      <c r="E10495" s="1050"/>
      <c r="F10495" s="1050"/>
      <c r="G10495" s="1050"/>
    </row>
    <row r="10496" spans="1:7">
      <c r="A10496" s="1079"/>
      <c r="B10496" s="1050"/>
      <c r="C10496" s="1050"/>
      <c r="D10496" s="1050"/>
      <c r="E10496" s="1050"/>
      <c r="F10496" s="1050"/>
      <c r="G10496" s="1050"/>
    </row>
    <row r="10497" spans="1:7">
      <c r="A10497" s="1079"/>
      <c r="B10497" s="1050"/>
      <c r="C10497" s="1050"/>
      <c r="D10497" s="1050"/>
      <c r="E10497" s="1050"/>
      <c r="F10497" s="1050"/>
      <c r="G10497" s="1050"/>
    </row>
    <row r="10498" spans="1:7">
      <c r="A10498" s="1079"/>
      <c r="B10498" s="1050"/>
      <c r="C10498" s="1050"/>
      <c r="D10498" s="1050"/>
      <c r="E10498" s="1050"/>
      <c r="F10498" s="1050"/>
      <c r="G10498" s="1050"/>
    </row>
    <row r="10499" spans="1:7">
      <c r="A10499" s="1079"/>
      <c r="B10499" s="1050"/>
      <c r="C10499" s="1050"/>
      <c r="D10499" s="1050"/>
      <c r="E10499" s="1050"/>
      <c r="F10499" s="1050"/>
      <c r="G10499" s="1050"/>
    </row>
    <row r="10500" spans="1:7">
      <c r="A10500" s="1079"/>
      <c r="B10500" s="1050"/>
      <c r="C10500" s="1050"/>
      <c r="D10500" s="1050"/>
      <c r="E10500" s="1050"/>
      <c r="F10500" s="1050"/>
      <c r="G10500" s="1050"/>
    </row>
    <row r="10501" spans="1:7">
      <c r="A10501" s="1079"/>
      <c r="B10501" s="1050"/>
      <c r="C10501" s="1050"/>
      <c r="D10501" s="1050"/>
      <c r="E10501" s="1050"/>
      <c r="F10501" s="1050"/>
      <c r="G10501" s="1050"/>
    </row>
    <row r="10502" spans="1:7">
      <c r="A10502" s="1079"/>
      <c r="B10502" s="1050"/>
      <c r="C10502" s="1050"/>
      <c r="D10502" s="1050"/>
      <c r="E10502" s="1050"/>
      <c r="F10502" s="1050"/>
      <c r="G10502" s="1050"/>
    </row>
    <row r="10503" spans="1:7">
      <c r="A10503" s="1079"/>
      <c r="B10503" s="1050"/>
      <c r="C10503" s="1050"/>
      <c r="D10503" s="1050"/>
      <c r="E10503" s="1050"/>
      <c r="F10503" s="1050"/>
      <c r="G10503" s="1050"/>
    </row>
    <row r="10504" spans="1:7">
      <c r="A10504" s="1079"/>
      <c r="B10504" s="1050"/>
      <c r="C10504" s="1050"/>
      <c r="D10504" s="1050"/>
      <c r="E10504" s="1050"/>
      <c r="F10504" s="1050"/>
      <c r="G10504" s="1050"/>
    </row>
    <row r="10505" spans="1:7">
      <c r="A10505" s="1079"/>
      <c r="B10505" s="1050"/>
      <c r="C10505" s="1050"/>
      <c r="D10505" s="1050"/>
      <c r="E10505" s="1050"/>
      <c r="F10505" s="1050"/>
      <c r="G10505" s="1050"/>
    </row>
    <row r="10506" spans="1:7">
      <c r="A10506" s="1079"/>
      <c r="B10506" s="1050"/>
      <c r="C10506" s="1050"/>
      <c r="D10506" s="1050"/>
      <c r="E10506" s="1050"/>
      <c r="F10506" s="1050"/>
      <c r="G10506" s="1050"/>
    </row>
    <row r="10507" spans="1:7">
      <c r="A10507" s="1079"/>
      <c r="B10507" s="1050"/>
      <c r="C10507" s="1050"/>
      <c r="D10507" s="1050"/>
      <c r="E10507" s="1050"/>
      <c r="F10507" s="1050"/>
      <c r="G10507" s="1050"/>
    </row>
    <row r="10508" spans="1:7">
      <c r="A10508" s="1079"/>
      <c r="B10508" s="1050"/>
      <c r="C10508" s="1050"/>
      <c r="D10508" s="1050"/>
      <c r="E10508" s="1050"/>
      <c r="F10508" s="1050"/>
      <c r="G10508" s="1050"/>
    </row>
    <row r="10509" spans="1:7">
      <c r="A10509" s="1079"/>
      <c r="B10509" s="1050"/>
      <c r="C10509" s="1050"/>
      <c r="D10509" s="1050"/>
      <c r="E10509" s="1050"/>
      <c r="F10509" s="1050"/>
      <c r="G10509" s="1050"/>
    </row>
    <row r="10510" spans="1:7">
      <c r="A10510" s="1079"/>
      <c r="B10510" s="1050"/>
      <c r="C10510" s="1050"/>
      <c r="D10510" s="1050"/>
      <c r="E10510" s="1050"/>
      <c r="F10510" s="1050"/>
      <c r="G10510" s="1050"/>
    </row>
    <row r="10511" spans="1:7">
      <c r="A10511" s="1079"/>
      <c r="B10511" s="1050"/>
      <c r="C10511" s="1050"/>
      <c r="D10511" s="1050"/>
      <c r="E10511" s="1050"/>
      <c r="F10511" s="1050"/>
      <c r="G10511" s="1050"/>
    </row>
    <row r="10512" spans="1:7">
      <c r="A10512" s="1079"/>
      <c r="B10512" s="1050"/>
      <c r="C10512" s="1050"/>
      <c r="D10512" s="1050"/>
      <c r="E10512" s="1050"/>
      <c r="F10512" s="1050"/>
      <c r="G10512" s="1050"/>
    </row>
    <row r="10513" spans="1:7">
      <c r="A10513" s="1079"/>
      <c r="B10513" s="1050"/>
      <c r="C10513" s="1050"/>
      <c r="D10513" s="1050"/>
      <c r="E10513" s="1050"/>
      <c r="F10513" s="1050"/>
      <c r="G10513" s="1050"/>
    </row>
    <row r="10514" spans="1:7">
      <c r="A10514" s="1079"/>
      <c r="B10514" s="1050"/>
      <c r="C10514" s="1050"/>
      <c r="D10514" s="1050"/>
      <c r="E10514" s="1050"/>
      <c r="F10514" s="1050"/>
      <c r="G10514" s="1050"/>
    </row>
    <row r="10515" spans="1:7">
      <c r="A10515" s="1079"/>
      <c r="B10515" s="1050"/>
      <c r="C10515" s="1050"/>
      <c r="D10515" s="1050"/>
      <c r="E10515" s="1050"/>
      <c r="F10515" s="1050"/>
      <c r="G10515" s="1050"/>
    </row>
    <row r="10516" spans="1:7">
      <c r="A10516" s="1079"/>
      <c r="B10516" s="1050"/>
      <c r="C10516" s="1050"/>
      <c r="D10516" s="1050"/>
      <c r="E10516" s="1050"/>
      <c r="F10516" s="1050"/>
      <c r="G10516" s="1050"/>
    </row>
    <row r="10517" spans="1:7">
      <c r="A10517" s="1079"/>
      <c r="B10517" s="1050"/>
      <c r="C10517" s="1050"/>
      <c r="D10517" s="1050"/>
      <c r="E10517" s="1050"/>
      <c r="F10517" s="1050"/>
      <c r="G10517" s="1050"/>
    </row>
    <row r="10518" spans="1:7">
      <c r="A10518" s="1079"/>
      <c r="B10518" s="1050"/>
      <c r="C10518" s="1050"/>
      <c r="D10518" s="1050"/>
      <c r="E10518" s="1050"/>
      <c r="F10518" s="1050"/>
      <c r="G10518" s="1050"/>
    </row>
    <row r="10519" spans="1:7">
      <c r="A10519" s="1079"/>
      <c r="B10519" s="1050"/>
      <c r="C10519" s="1050"/>
      <c r="D10519" s="1050"/>
      <c r="E10519" s="1050"/>
      <c r="F10519" s="1050"/>
      <c r="G10519" s="1050"/>
    </row>
    <row r="10520" spans="1:7">
      <c r="A10520" s="1079"/>
      <c r="B10520" s="1050"/>
      <c r="C10520" s="1050"/>
      <c r="D10520" s="1050"/>
      <c r="E10520" s="1050"/>
      <c r="F10520" s="1050"/>
      <c r="G10520" s="1050"/>
    </row>
    <row r="10521" spans="1:7">
      <c r="A10521" s="1079"/>
      <c r="B10521" s="1050"/>
      <c r="C10521" s="1050"/>
      <c r="D10521" s="1050"/>
      <c r="E10521" s="1050"/>
      <c r="F10521" s="1050"/>
      <c r="G10521" s="1050"/>
    </row>
    <row r="10522" spans="1:7">
      <c r="A10522" s="1079"/>
      <c r="B10522" s="1050"/>
      <c r="C10522" s="1050"/>
      <c r="D10522" s="1050"/>
      <c r="E10522" s="1050"/>
      <c r="F10522" s="1050"/>
      <c r="G10522" s="1050"/>
    </row>
    <row r="10523" spans="1:7">
      <c r="A10523" s="1079"/>
      <c r="B10523" s="1050"/>
      <c r="C10523" s="1050"/>
      <c r="D10523" s="1050"/>
      <c r="E10523" s="1050"/>
      <c r="F10523" s="1050"/>
      <c r="G10523" s="1050"/>
    </row>
    <row r="10524" spans="1:7">
      <c r="A10524" s="1079"/>
      <c r="B10524" s="1050"/>
      <c r="C10524" s="1050"/>
      <c r="D10524" s="1050"/>
      <c r="E10524" s="1050"/>
      <c r="F10524" s="1050"/>
      <c r="G10524" s="1050"/>
    </row>
    <row r="10525" spans="1:7">
      <c r="A10525" s="1079"/>
      <c r="B10525" s="1050"/>
      <c r="C10525" s="1050"/>
      <c r="D10525" s="1050"/>
      <c r="E10525" s="1050"/>
      <c r="F10525" s="1050"/>
      <c r="G10525" s="1050"/>
    </row>
    <row r="10526" spans="1:7">
      <c r="A10526" s="1079"/>
      <c r="B10526" s="1050"/>
      <c r="C10526" s="1050"/>
      <c r="D10526" s="1050"/>
      <c r="E10526" s="1050"/>
      <c r="F10526" s="1050"/>
      <c r="G10526" s="1050"/>
    </row>
    <row r="10527" spans="1:7">
      <c r="A10527" s="1079"/>
      <c r="B10527" s="1050"/>
      <c r="C10527" s="1050"/>
      <c r="D10527" s="1050"/>
      <c r="E10527" s="1050"/>
      <c r="F10527" s="1050"/>
      <c r="G10527" s="1050"/>
    </row>
    <row r="10528" spans="1:7">
      <c r="A10528" s="1079"/>
      <c r="B10528" s="1050"/>
      <c r="C10528" s="1050"/>
      <c r="D10528" s="1050"/>
      <c r="E10528" s="1050"/>
      <c r="F10528" s="1050"/>
      <c r="G10528" s="1050"/>
    </row>
    <row r="10529" spans="1:7">
      <c r="A10529" s="1079"/>
      <c r="B10529" s="1050"/>
      <c r="C10529" s="1050"/>
      <c r="D10529" s="1050"/>
      <c r="E10529" s="1050"/>
      <c r="F10529" s="1050"/>
      <c r="G10529" s="1050"/>
    </row>
    <row r="10530" spans="1:7">
      <c r="A10530" s="1079"/>
      <c r="B10530" s="1050"/>
      <c r="C10530" s="1050"/>
      <c r="D10530" s="1050"/>
      <c r="E10530" s="1050"/>
      <c r="F10530" s="1050"/>
      <c r="G10530" s="1050"/>
    </row>
    <row r="10531" spans="1:7">
      <c r="A10531" s="1079"/>
      <c r="B10531" s="1050"/>
      <c r="C10531" s="1050"/>
      <c r="D10531" s="1050"/>
      <c r="E10531" s="1050"/>
      <c r="F10531" s="1050"/>
      <c r="G10531" s="1050"/>
    </row>
    <row r="10532" spans="1:7">
      <c r="A10532" s="1079"/>
      <c r="B10532" s="1050"/>
      <c r="C10532" s="1050"/>
      <c r="D10532" s="1050"/>
      <c r="E10532" s="1050"/>
      <c r="F10532" s="1050"/>
      <c r="G10532" s="1050"/>
    </row>
    <row r="10533" spans="1:7">
      <c r="A10533" s="1079"/>
      <c r="B10533" s="1050"/>
      <c r="C10533" s="1050"/>
      <c r="D10533" s="1050"/>
      <c r="E10533" s="1050"/>
      <c r="F10533" s="1050"/>
      <c r="G10533" s="1050"/>
    </row>
    <row r="10534" spans="1:7">
      <c r="A10534" s="1079"/>
      <c r="B10534" s="1050"/>
      <c r="C10534" s="1050"/>
      <c r="D10534" s="1050"/>
      <c r="E10534" s="1050"/>
      <c r="F10534" s="1050"/>
      <c r="G10534" s="1050"/>
    </row>
    <row r="10535" spans="1:7">
      <c r="A10535" s="1079"/>
      <c r="B10535" s="1050"/>
      <c r="C10535" s="1050"/>
      <c r="D10535" s="1050"/>
      <c r="E10535" s="1050"/>
      <c r="F10535" s="1050"/>
      <c r="G10535" s="1050"/>
    </row>
    <row r="10536" spans="1:7">
      <c r="A10536" s="1079"/>
      <c r="B10536" s="1050"/>
      <c r="C10536" s="1050"/>
      <c r="D10536" s="1050"/>
      <c r="E10536" s="1050"/>
      <c r="F10536" s="1050"/>
      <c r="G10536" s="1050"/>
    </row>
    <row r="10537" spans="1:7">
      <c r="A10537" s="1079"/>
      <c r="B10537" s="1050"/>
      <c r="C10537" s="1050"/>
      <c r="D10537" s="1050"/>
      <c r="E10537" s="1050"/>
      <c r="F10537" s="1050"/>
      <c r="G10537" s="1050"/>
    </row>
    <row r="10538" spans="1:7">
      <c r="A10538" s="1079"/>
      <c r="B10538" s="1050"/>
      <c r="C10538" s="1050"/>
      <c r="D10538" s="1050"/>
      <c r="E10538" s="1050"/>
      <c r="F10538" s="1050"/>
      <c r="G10538" s="1050"/>
    </row>
    <row r="10539" spans="1:7">
      <c r="A10539" s="1079"/>
      <c r="B10539" s="1050"/>
      <c r="C10539" s="1050"/>
      <c r="D10539" s="1050"/>
      <c r="E10539" s="1050"/>
      <c r="F10539" s="1050"/>
      <c r="G10539" s="1050"/>
    </row>
    <row r="10540" spans="1:7">
      <c r="A10540" s="1079"/>
      <c r="B10540" s="1050"/>
      <c r="C10540" s="1050"/>
      <c r="D10540" s="1050"/>
      <c r="E10540" s="1050"/>
      <c r="F10540" s="1050"/>
      <c r="G10540" s="1050"/>
    </row>
    <row r="10541" spans="1:7">
      <c r="A10541" s="1079"/>
      <c r="B10541" s="1050"/>
      <c r="C10541" s="1050"/>
      <c r="D10541" s="1050"/>
      <c r="E10541" s="1050"/>
      <c r="F10541" s="1050"/>
      <c r="G10541" s="1050"/>
    </row>
    <row r="10542" spans="1:7">
      <c r="A10542" s="1079"/>
      <c r="B10542" s="1050"/>
      <c r="C10542" s="1050"/>
      <c r="D10542" s="1050"/>
      <c r="E10542" s="1050"/>
      <c r="F10542" s="1050"/>
      <c r="G10542" s="1050"/>
    </row>
    <row r="10543" spans="1:7">
      <c r="A10543" s="1079"/>
      <c r="B10543" s="1050"/>
      <c r="C10543" s="1050"/>
      <c r="D10543" s="1050"/>
      <c r="E10543" s="1050"/>
      <c r="F10543" s="1050"/>
      <c r="G10543" s="1050"/>
    </row>
    <row r="10544" spans="1:7">
      <c r="A10544" s="1079"/>
      <c r="B10544" s="1050"/>
      <c r="C10544" s="1050"/>
      <c r="D10544" s="1050"/>
      <c r="E10544" s="1050"/>
      <c r="F10544" s="1050"/>
      <c r="G10544" s="1050"/>
    </row>
    <row r="10545" spans="1:7">
      <c r="A10545" s="1079"/>
      <c r="B10545" s="1050"/>
      <c r="C10545" s="1050"/>
      <c r="D10545" s="1050"/>
      <c r="E10545" s="1050"/>
      <c r="F10545" s="1050"/>
      <c r="G10545" s="1050"/>
    </row>
    <row r="10546" spans="1:7">
      <c r="A10546" s="1079"/>
      <c r="B10546" s="1050"/>
      <c r="C10546" s="1050"/>
      <c r="D10546" s="1050"/>
      <c r="E10546" s="1050"/>
      <c r="F10546" s="1050"/>
      <c r="G10546" s="1050"/>
    </row>
    <row r="10547" spans="1:7">
      <c r="A10547" s="1079"/>
      <c r="B10547" s="1050"/>
      <c r="C10547" s="1050"/>
      <c r="D10547" s="1050"/>
      <c r="E10547" s="1050"/>
      <c r="F10547" s="1050"/>
      <c r="G10547" s="1050"/>
    </row>
    <row r="10548" spans="1:7">
      <c r="A10548" s="1079"/>
      <c r="B10548" s="1050"/>
      <c r="C10548" s="1050"/>
      <c r="D10548" s="1050"/>
      <c r="E10548" s="1050"/>
      <c r="F10548" s="1050"/>
      <c r="G10548" s="1050"/>
    </row>
    <row r="10549" spans="1:7">
      <c r="A10549" s="1079"/>
      <c r="B10549" s="1050"/>
      <c r="C10549" s="1050"/>
      <c r="D10549" s="1050"/>
      <c r="E10549" s="1050"/>
      <c r="F10549" s="1050"/>
      <c r="G10549" s="1050"/>
    </row>
    <row r="10550" spans="1:7">
      <c r="A10550" s="1079"/>
      <c r="B10550" s="1050"/>
      <c r="C10550" s="1050"/>
      <c r="D10550" s="1050"/>
      <c r="E10550" s="1050"/>
      <c r="F10550" s="1050"/>
      <c r="G10550" s="1050"/>
    </row>
    <row r="10551" spans="1:7">
      <c r="A10551" s="1079"/>
      <c r="B10551" s="1050"/>
      <c r="C10551" s="1050"/>
      <c r="D10551" s="1050"/>
      <c r="E10551" s="1050"/>
      <c r="F10551" s="1050"/>
      <c r="G10551" s="1050"/>
    </row>
    <row r="10552" spans="1:7">
      <c r="A10552" s="1079"/>
      <c r="B10552" s="1050"/>
      <c r="C10552" s="1050"/>
      <c r="D10552" s="1050"/>
      <c r="E10552" s="1050"/>
      <c r="F10552" s="1050"/>
      <c r="G10552" s="1050"/>
    </row>
    <row r="10553" spans="1:7">
      <c r="A10553" s="1079"/>
      <c r="B10553" s="1050"/>
      <c r="C10553" s="1050"/>
      <c r="D10553" s="1050"/>
      <c r="E10553" s="1050"/>
      <c r="F10553" s="1050"/>
      <c r="G10553" s="1050"/>
    </row>
    <row r="10554" spans="1:7">
      <c r="A10554" s="1079"/>
      <c r="B10554" s="1050"/>
      <c r="C10554" s="1050"/>
      <c r="D10554" s="1050"/>
      <c r="E10554" s="1050"/>
      <c r="F10554" s="1050"/>
      <c r="G10554" s="1050"/>
    </row>
    <row r="10555" spans="1:7">
      <c r="A10555" s="1079"/>
      <c r="B10555" s="1050"/>
      <c r="C10555" s="1050"/>
      <c r="D10555" s="1050"/>
      <c r="E10555" s="1050"/>
      <c r="F10555" s="1050"/>
      <c r="G10555" s="1050"/>
    </row>
    <row r="10556" spans="1:7">
      <c r="A10556" s="1079"/>
      <c r="B10556" s="1050"/>
      <c r="C10556" s="1050"/>
      <c r="D10556" s="1050"/>
      <c r="E10556" s="1050"/>
      <c r="F10556" s="1050"/>
      <c r="G10556" s="1050"/>
    </row>
    <row r="10557" spans="1:7">
      <c r="A10557" s="1079"/>
      <c r="B10557" s="1050"/>
      <c r="C10557" s="1050"/>
      <c r="D10557" s="1050"/>
      <c r="E10557" s="1050"/>
      <c r="F10557" s="1050"/>
      <c r="G10557" s="1050"/>
    </row>
    <row r="10558" spans="1:7">
      <c r="A10558" s="1079"/>
      <c r="B10558" s="1050"/>
      <c r="C10558" s="1050"/>
      <c r="D10558" s="1050"/>
      <c r="E10558" s="1050"/>
      <c r="F10558" s="1050"/>
      <c r="G10558" s="1050"/>
    </row>
    <row r="10559" spans="1:7">
      <c r="A10559" s="1079"/>
      <c r="B10559" s="1050"/>
      <c r="C10559" s="1050"/>
      <c r="D10559" s="1050"/>
      <c r="E10559" s="1050"/>
      <c r="F10559" s="1050"/>
      <c r="G10559" s="1050"/>
    </row>
    <row r="10560" spans="1:7">
      <c r="A10560" s="1079"/>
      <c r="B10560" s="1050"/>
      <c r="C10560" s="1050"/>
      <c r="D10560" s="1050"/>
      <c r="E10560" s="1050"/>
      <c r="F10560" s="1050"/>
      <c r="G10560" s="1050"/>
    </row>
    <row r="10561" spans="1:7">
      <c r="A10561" s="1079"/>
      <c r="B10561" s="1050"/>
      <c r="C10561" s="1050"/>
      <c r="D10561" s="1050"/>
      <c r="E10561" s="1050"/>
      <c r="F10561" s="1050"/>
      <c r="G10561" s="1050"/>
    </row>
    <row r="10562" spans="1:7">
      <c r="A10562" s="1079"/>
      <c r="B10562" s="1050"/>
      <c r="C10562" s="1050"/>
      <c r="D10562" s="1050"/>
      <c r="E10562" s="1050"/>
      <c r="F10562" s="1050"/>
      <c r="G10562" s="1050"/>
    </row>
    <row r="10563" spans="1:7">
      <c r="A10563" s="1079"/>
      <c r="B10563" s="1050"/>
      <c r="C10563" s="1050"/>
      <c r="D10563" s="1050"/>
      <c r="E10563" s="1050"/>
      <c r="F10563" s="1050"/>
      <c r="G10563" s="1050"/>
    </row>
    <row r="10564" spans="1:7">
      <c r="A10564" s="1079"/>
      <c r="B10564" s="1050"/>
      <c r="C10564" s="1050"/>
      <c r="D10564" s="1050"/>
      <c r="E10564" s="1050"/>
      <c r="F10564" s="1050"/>
      <c r="G10564" s="1050"/>
    </row>
    <row r="10565" spans="1:7">
      <c r="A10565" s="1079"/>
      <c r="B10565" s="1050"/>
      <c r="C10565" s="1050"/>
      <c r="D10565" s="1050"/>
      <c r="E10565" s="1050"/>
      <c r="F10565" s="1050"/>
      <c r="G10565" s="1050"/>
    </row>
    <row r="10566" spans="1:7">
      <c r="A10566" s="1079"/>
      <c r="B10566" s="1050"/>
      <c r="C10566" s="1050"/>
      <c r="D10566" s="1050"/>
      <c r="E10566" s="1050"/>
      <c r="F10566" s="1050"/>
      <c r="G10566" s="1050"/>
    </row>
    <row r="10567" spans="1:7">
      <c r="A10567" s="1079"/>
      <c r="B10567" s="1050"/>
      <c r="C10567" s="1050"/>
      <c r="D10567" s="1050"/>
      <c r="E10567" s="1050"/>
      <c r="F10567" s="1050"/>
      <c r="G10567" s="1050"/>
    </row>
    <row r="10568" spans="1:7">
      <c r="A10568" s="1079"/>
      <c r="B10568" s="1050"/>
      <c r="C10568" s="1050"/>
      <c r="D10568" s="1050"/>
      <c r="E10568" s="1050"/>
      <c r="F10568" s="1050"/>
      <c r="G10568" s="1050"/>
    </row>
    <row r="10569" spans="1:7">
      <c r="A10569" s="1079"/>
      <c r="B10569" s="1050"/>
      <c r="C10569" s="1050"/>
      <c r="D10569" s="1050"/>
      <c r="E10569" s="1050"/>
      <c r="F10569" s="1050"/>
      <c r="G10569" s="1050"/>
    </row>
    <row r="10570" spans="1:7">
      <c r="A10570" s="1079"/>
      <c r="B10570" s="1050"/>
      <c r="C10570" s="1050"/>
      <c r="D10570" s="1050"/>
      <c r="E10570" s="1050"/>
      <c r="F10570" s="1050"/>
      <c r="G10570" s="1050"/>
    </row>
    <row r="10571" spans="1:7">
      <c r="A10571" s="1079"/>
      <c r="B10571" s="1050"/>
      <c r="C10571" s="1050"/>
      <c r="D10571" s="1050"/>
      <c r="E10571" s="1050"/>
      <c r="F10571" s="1050"/>
      <c r="G10571" s="1050"/>
    </row>
    <row r="10572" spans="1:7">
      <c r="A10572" s="1079"/>
      <c r="B10572" s="1050"/>
      <c r="C10572" s="1050"/>
      <c r="D10572" s="1050"/>
      <c r="E10572" s="1050"/>
      <c r="F10572" s="1050"/>
      <c r="G10572" s="1050"/>
    </row>
    <row r="10573" spans="1:7">
      <c r="A10573" s="1079"/>
      <c r="B10573" s="1050"/>
      <c r="C10573" s="1050"/>
      <c r="D10573" s="1050"/>
      <c r="E10573" s="1050"/>
      <c r="F10573" s="1050"/>
      <c r="G10573" s="1050"/>
    </row>
    <row r="10574" spans="1:7">
      <c r="A10574" s="1079"/>
      <c r="B10574" s="1050"/>
      <c r="C10574" s="1050"/>
      <c r="D10574" s="1050"/>
      <c r="E10574" s="1050"/>
      <c r="F10574" s="1050"/>
      <c r="G10574" s="1050"/>
    </row>
    <row r="10575" spans="1:7">
      <c r="A10575" s="1079"/>
      <c r="B10575" s="1050"/>
      <c r="C10575" s="1050"/>
      <c r="D10575" s="1050"/>
      <c r="E10575" s="1050"/>
      <c r="F10575" s="1050"/>
      <c r="G10575" s="1050"/>
    </row>
    <row r="10576" spans="1:7">
      <c r="A10576" s="1079"/>
      <c r="B10576" s="1050"/>
      <c r="C10576" s="1050"/>
      <c r="D10576" s="1050"/>
      <c r="E10576" s="1050"/>
      <c r="F10576" s="1050"/>
      <c r="G10576" s="1050"/>
    </row>
    <row r="10577" spans="1:7">
      <c r="A10577" s="1079"/>
      <c r="B10577" s="1050"/>
      <c r="C10577" s="1050"/>
      <c r="D10577" s="1050"/>
      <c r="E10577" s="1050"/>
      <c r="F10577" s="1050"/>
      <c r="G10577" s="1050"/>
    </row>
    <row r="10578" spans="1:7">
      <c r="A10578" s="1079"/>
      <c r="B10578" s="1050"/>
      <c r="C10578" s="1050"/>
      <c r="D10578" s="1050"/>
      <c r="E10578" s="1050"/>
      <c r="F10578" s="1050"/>
      <c r="G10578" s="1050"/>
    </row>
    <row r="10579" spans="1:7">
      <c r="A10579" s="1079"/>
      <c r="B10579" s="1050"/>
      <c r="C10579" s="1050"/>
      <c r="D10579" s="1050"/>
      <c r="E10579" s="1050"/>
      <c r="F10579" s="1050"/>
      <c r="G10579" s="1050"/>
    </row>
    <row r="10580" spans="1:7">
      <c r="A10580" s="1079"/>
      <c r="B10580" s="1050"/>
      <c r="C10580" s="1050"/>
      <c r="D10580" s="1050"/>
      <c r="E10580" s="1050"/>
      <c r="F10580" s="1050"/>
      <c r="G10580" s="1050"/>
    </row>
    <row r="10581" spans="1:7">
      <c r="A10581" s="1079"/>
      <c r="B10581" s="1050"/>
      <c r="C10581" s="1050"/>
      <c r="D10581" s="1050"/>
      <c r="E10581" s="1050"/>
      <c r="F10581" s="1050"/>
      <c r="G10581" s="1050"/>
    </row>
    <row r="10582" spans="1:7">
      <c r="A10582" s="1079"/>
      <c r="B10582" s="1050"/>
      <c r="C10582" s="1050"/>
      <c r="D10582" s="1050"/>
      <c r="E10582" s="1050"/>
      <c r="F10582" s="1050"/>
      <c r="G10582" s="1050"/>
    </row>
    <row r="10583" spans="1:7">
      <c r="A10583" s="1079"/>
      <c r="B10583" s="1050"/>
      <c r="C10583" s="1050"/>
      <c r="D10583" s="1050"/>
      <c r="E10583" s="1050"/>
      <c r="F10583" s="1050"/>
      <c r="G10583" s="1050"/>
    </row>
    <row r="10584" spans="1:7">
      <c r="A10584" s="1079"/>
      <c r="B10584" s="1050"/>
      <c r="C10584" s="1050"/>
      <c r="D10584" s="1050"/>
      <c r="E10584" s="1050"/>
      <c r="F10584" s="1050"/>
      <c r="G10584" s="1050"/>
    </row>
    <row r="10585" spans="1:7">
      <c r="A10585" s="1079"/>
      <c r="B10585" s="1050"/>
      <c r="C10585" s="1050"/>
      <c r="D10585" s="1050"/>
      <c r="E10585" s="1050"/>
      <c r="F10585" s="1050"/>
      <c r="G10585" s="1050"/>
    </row>
    <row r="10586" spans="1:7">
      <c r="A10586" s="1079"/>
      <c r="B10586" s="1050"/>
      <c r="C10586" s="1050"/>
      <c r="D10586" s="1050"/>
      <c r="E10586" s="1050"/>
      <c r="F10586" s="1050"/>
      <c r="G10586" s="1050"/>
    </row>
    <row r="10587" spans="1:7">
      <c r="A10587" s="1079"/>
      <c r="B10587" s="1050"/>
      <c r="C10587" s="1050"/>
      <c r="D10587" s="1050"/>
      <c r="E10587" s="1050"/>
      <c r="F10587" s="1050"/>
      <c r="G10587" s="1050"/>
    </row>
    <row r="10588" spans="1:7">
      <c r="A10588" s="1079"/>
      <c r="B10588" s="1050"/>
      <c r="C10588" s="1050"/>
      <c r="D10588" s="1050"/>
      <c r="E10588" s="1050"/>
      <c r="F10588" s="1050"/>
      <c r="G10588" s="1050"/>
    </row>
    <row r="10589" spans="1:7">
      <c r="A10589" s="1079"/>
      <c r="B10589" s="1050"/>
      <c r="C10589" s="1050"/>
      <c r="D10589" s="1050"/>
      <c r="E10589" s="1050"/>
      <c r="F10589" s="1050"/>
      <c r="G10589" s="1050"/>
    </row>
    <row r="10590" spans="1:7">
      <c r="A10590" s="1079"/>
      <c r="B10590" s="1050"/>
      <c r="C10590" s="1050"/>
      <c r="D10590" s="1050"/>
      <c r="E10590" s="1050"/>
      <c r="F10590" s="1050"/>
      <c r="G10590" s="1050"/>
    </row>
    <row r="10591" spans="1:7">
      <c r="A10591" s="1079"/>
      <c r="B10591" s="1050"/>
      <c r="C10591" s="1050"/>
      <c r="D10591" s="1050"/>
      <c r="E10591" s="1050"/>
      <c r="F10591" s="1050"/>
      <c r="G10591" s="1050"/>
    </row>
    <row r="10592" spans="1:7">
      <c r="A10592" s="1079"/>
      <c r="B10592" s="1050"/>
      <c r="C10592" s="1050"/>
      <c r="D10592" s="1050"/>
      <c r="E10592" s="1050"/>
      <c r="F10592" s="1050"/>
      <c r="G10592" s="1050"/>
    </row>
    <row r="10593" spans="1:7">
      <c r="A10593" s="1079"/>
      <c r="B10593" s="1050"/>
      <c r="C10593" s="1050"/>
      <c r="D10593" s="1050"/>
      <c r="E10593" s="1050"/>
      <c r="F10593" s="1050"/>
      <c r="G10593" s="1050"/>
    </row>
    <row r="10594" spans="1:7">
      <c r="A10594" s="1079"/>
      <c r="B10594" s="1050"/>
      <c r="C10594" s="1050"/>
      <c r="D10594" s="1050"/>
      <c r="E10594" s="1050"/>
      <c r="F10594" s="1050"/>
      <c r="G10594" s="1050"/>
    </row>
    <row r="10595" spans="1:7">
      <c r="A10595" s="1079"/>
      <c r="B10595" s="1050"/>
      <c r="C10595" s="1050"/>
      <c r="D10595" s="1050"/>
      <c r="E10595" s="1050"/>
      <c r="F10595" s="1050"/>
      <c r="G10595" s="1050"/>
    </row>
    <row r="10596" spans="1:7">
      <c r="A10596" s="1079"/>
      <c r="B10596" s="1050"/>
      <c r="C10596" s="1050"/>
      <c r="D10596" s="1050"/>
      <c r="E10596" s="1050"/>
      <c r="F10596" s="1050"/>
      <c r="G10596" s="1050"/>
    </row>
    <row r="10597" spans="1:7">
      <c r="A10597" s="1079"/>
      <c r="B10597" s="1050"/>
      <c r="C10597" s="1050"/>
      <c r="D10597" s="1050"/>
      <c r="E10597" s="1050"/>
      <c r="F10597" s="1050"/>
      <c r="G10597" s="1050"/>
    </row>
    <row r="10598" spans="1:7">
      <c r="A10598" s="1079"/>
      <c r="B10598" s="1050"/>
      <c r="C10598" s="1050"/>
      <c r="D10598" s="1050"/>
      <c r="E10598" s="1050"/>
      <c r="F10598" s="1050"/>
      <c r="G10598" s="1050"/>
    </row>
    <row r="10599" spans="1:7">
      <c r="A10599" s="1079"/>
      <c r="B10599" s="1050"/>
      <c r="C10599" s="1050"/>
      <c r="D10599" s="1050"/>
      <c r="E10599" s="1050"/>
      <c r="F10599" s="1050"/>
      <c r="G10599" s="1050"/>
    </row>
    <row r="10600" spans="1:7">
      <c r="A10600" s="1079"/>
      <c r="B10600" s="1050"/>
      <c r="C10600" s="1050"/>
      <c r="D10600" s="1050"/>
      <c r="E10600" s="1050"/>
      <c r="F10600" s="1050"/>
      <c r="G10600" s="1050"/>
    </row>
    <row r="10601" spans="1:7">
      <c r="A10601" s="1079"/>
      <c r="B10601" s="1050"/>
      <c r="C10601" s="1050"/>
      <c r="D10601" s="1050"/>
      <c r="E10601" s="1050"/>
      <c r="F10601" s="1050"/>
      <c r="G10601" s="1050"/>
    </row>
    <row r="10602" spans="1:7">
      <c r="A10602" s="1079"/>
      <c r="B10602" s="1050"/>
      <c r="C10602" s="1050"/>
      <c r="D10602" s="1050"/>
      <c r="E10602" s="1050"/>
      <c r="F10602" s="1050"/>
      <c r="G10602" s="1050"/>
    </row>
    <row r="10603" spans="1:7">
      <c r="A10603" s="1079"/>
      <c r="B10603" s="1050"/>
      <c r="C10603" s="1050"/>
      <c r="D10603" s="1050"/>
      <c r="E10603" s="1050"/>
      <c r="F10603" s="1050"/>
      <c r="G10603" s="1050"/>
    </row>
    <row r="10604" spans="1:7">
      <c r="A10604" s="1079"/>
      <c r="B10604" s="1050"/>
      <c r="C10604" s="1050"/>
      <c r="D10604" s="1050"/>
      <c r="E10604" s="1050"/>
      <c r="F10604" s="1050"/>
      <c r="G10604" s="1050"/>
    </row>
    <row r="10605" spans="1:7">
      <c r="A10605" s="1079"/>
      <c r="B10605" s="1050"/>
      <c r="C10605" s="1050"/>
      <c r="D10605" s="1050"/>
      <c r="E10605" s="1050"/>
      <c r="F10605" s="1050"/>
      <c r="G10605" s="1050"/>
    </row>
    <row r="10606" spans="1:7">
      <c r="A10606" s="1079"/>
      <c r="B10606" s="1050"/>
      <c r="C10606" s="1050"/>
      <c r="D10606" s="1050"/>
      <c r="E10606" s="1050"/>
      <c r="F10606" s="1050"/>
      <c r="G10606" s="1050"/>
    </row>
    <row r="10607" spans="1:7">
      <c r="A10607" s="1079"/>
      <c r="B10607" s="1050"/>
      <c r="C10607" s="1050"/>
      <c r="D10607" s="1050"/>
      <c r="E10607" s="1050"/>
      <c r="F10607" s="1050"/>
      <c r="G10607" s="1050"/>
    </row>
    <row r="10608" spans="1:7">
      <c r="A10608" s="1079"/>
      <c r="B10608" s="1050"/>
      <c r="C10608" s="1050"/>
      <c r="D10608" s="1050"/>
      <c r="E10608" s="1050"/>
      <c r="F10608" s="1050"/>
      <c r="G10608" s="1050"/>
    </row>
    <row r="10609" spans="1:7">
      <c r="A10609" s="1079"/>
      <c r="B10609" s="1050"/>
      <c r="C10609" s="1050"/>
      <c r="D10609" s="1050"/>
      <c r="E10609" s="1050"/>
      <c r="F10609" s="1050"/>
      <c r="G10609" s="1050"/>
    </row>
    <row r="10610" spans="1:7">
      <c r="A10610" s="1079"/>
      <c r="B10610" s="1050"/>
      <c r="C10610" s="1050"/>
      <c r="D10610" s="1050"/>
      <c r="E10610" s="1050"/>
      <c r="F10610" s="1050"/>
      <c r="G10610" s="1050"/>
    </row>
    <row r="10611" spans="1:7">
      <c r="A10611" s="1079"/>
      <c r="B10611" s="1050"/>
      <c r="C10611" s="1050"/>
      <c r="D10611" s="1050"/>
      <c r="E10611" s="1050"/>
      <c r="F10611" s="1050"/>
      <c r="G10611" s="1050"/>
    </row>
    <row r="10612" spans="1:7">
      <c r="A10612" s="1079"/>
      <c r="B10612" s="1050"/>
      <c r="C10612" s="1050"/>
      <c r="D10612" s="1050"/>
      <c r="E10612" s="1050"/>
      <c r="F10612" s="1050"/>
      <c r="G10612" s="1050"/>
    </row>
    <row r="10613" spans="1:7">
      <c r="A10613" s="1079"/>
      <c r="B10613" s="1050"/>
      <c r="C10613" s="1050"/>
      <c r="D10613" s="1050"/>
      <c r="E10613" s="1050"/>
      <c r="F10613" s="1050"/>
      <c r="G10613" s="1050"/>
    </row>
    <row r="10614" spans="1:7">
      <c r="A10614" s="1079"/>
      <c r="B10614" s="1050"/>
      <c r="C10614" s="1050"/>
      <c r="D10614" s="1050"/>
      <c r="E10614" s="1050"/>
      <c r="F10614" s="1050"/>
      <c r="G10614" s="1050"/>
    </row>
    <row r="10615" spans="1:7">
      <c r="A10615" s="1079"/>
      <c r="B10615" s="1050"/>
      <c r="C10615" s="1050"/>
      <c r="D10615" s="1050"/>
      <c r="E10615" s="1050"/>
      <c r="F10615" s="1050"/>
      <c r="G10615" s="1050"/>
    </row>
    <row r="10616" spans="1:7">
      <c r="A10616" s="1079"/>
      <c r="B10616" s="1050"/>
      <c r="C10616" s="1050"/>
      <c r="D10616" s="1050"/>
      <c r="E10616" s="1050"/>
      <c r="F10616" s="1050"/>
      <c r="G10616" s="1050"/>
    </row>
    <row r="10617" spans="1:7">
      <c r="A10617" s="1079"/>
      <c r="B10617" s="1050"/>
      <c r="C10617" s="1050"/>
      <c r="D10617" s="1050"/>
      <c r="E10617" s="1050"/>
      <c r="F10617" s="1050"/>
      <c r="G10617" s="1050"/>
    </row>
    <row r="10618" spans="1:7">
      <c r="A10618" s="1079"/>
      <c r="B10618" s="1050"/>
      <c r="C10618" s="1050"/>
      <c r="D10618" s="1050"/>
      <c r="E10618" s="1050"/>
      <c r="F10618" s="1050"/>
      <c r="G10618" s="1050"/>
    </row>
    <row r="10619" spans="1:7">
      <c r="A10619" s="1079"/>
      <c r="B10619" s="1050"/>
      <c r="C10619" s="1050"/>
      <c r="D10619" s="1050"/>
      <c r="E10619" s="1050"/>
      <c r="F10619" s="1050"/>
      <c r="G10619" s="1050"/>
    </row>
    <row r="10620" spans="1:7">
      <c r="A10620" s="1079"/>
      <c r="B10620" s="1050"/>
      <c r="C10620" s="1050"/>
      <c r="D10620" s="1050"/>
      <c r="E10620" s="1050"/>
      <c r="F10620" s="1050"/>
      <c r="G10620" s="1050"/>
    </row>
    <row r="10621" spans="1:7">
      <c r="A10621" s="1079"/>
      <c r="B10621" s="1050"/>
      <c r="C10621" s="1050"/>
      <c r="D10621" s="1050"/>
      <c r="E10621" s="1050"/>
      <c r="F10621" s="1050"/>
      <c r="G10621" s="1050"/>
    </row>
    <row r="10622" spans="1:7">
      <c r="A10622" s="1079"/>
      <c r="B10622" s="1050"/>
      <c r="C10622" s="1050"/>
      <c r="D10622" s="1050"/>
      <c r="E10622" s="1050"/>
      <c r="F10622" s="1050"/>
      <c r="G10622" s="1050"/>
    </row>
    <row r="10623" spans="1:7">
      <c r="A10623" s="1079"/>
      <c r="B10623" s="1050"/>
      <c r="C10623" s="1050"/>
      <c r="D10623" s="1050"/>
      <c r="E10623" s="1050"/>
      <c r="F10623" s="1050"/>
      <c r="G10623" s="1050"/>
    </row>
    <row r="10624" spans="1:7">
      <c r="A10624" s="1079"/>
      <c r="B10624" s="1050"/>
      <c r="C10624" s="1050"/>
      <c r="D10624" s="1050"/>
      <c r="E10624" s="1050"/>
      <c r="F10624" s="1050"/>
      <c r="G10624" s="1050"/>
    </row>
    <row r="10625" spans="1:7">
      <c r="A10625" s="1079"/>
      <c r="B10625" s="1050"/>
      <c r="C10625" s="1050"/>
      <c r="D10625" s="1050"/>
      <c r="E10625" s="1050"/>
      <c r="F10625" s="1050"/>
      <c r="G10625" s="1050"/>
    </row>
    <row r="10626" spans="1:7">
      <c r="A10626" s="1079"/>
      <c r="B10626" s="1050"/>
      <c r="C10626" s="1050"/>
      <c r="D10626" s="1050"/>
      <c r="E10626" s="1050"/>
      <c r="F10626" s="1050"/>
      <c r="G10626" s="1050"/>
    </row>
    <row r="10627" spans="1:7">
      <c r="A10627" s="1079"/>
      <c r="B10627" s="1050"/>
      <c r="C10627" s="1050"/>
      <c r="D10627" s="1050"/>
      <c r="E10627" s="1050"/>
      <c r="F10627" s="1050"/>
      <c r="G10627" s="1050"/>
    </row>
    <row r="10628" spans="1:7">
      <c r="A10628" s="1079"/>
      <c r="B10628" s="1050"/>
      <c r="C10628" s="1050"/>
      <c r="D10628" s="1050"/>
      <c r="E10628" s="1050"/>
      <c r="F10628" s="1050"/>
      <c r="G10628" s="1050"/>
    </row>
    <row r="10629" spans="1:7">
      <c r="A10629" s="1079"/>
      <c r="B10629" s="1050"/>
      <c r="C10629" s="1050"/>
      <c r="D10629" s="1050"/>
      <c r="E10629" s="1050"/>
      <c r="F10629" s="1050"/>
      <c r="G10629" s="1050"/>
    </row>
    <row r="10630" spans="1:7">
      <c r="A10630" s="1079"/>
      <c r="B10630" s="1050"/>
      <c r="C10630" s="1050"/>
      <c r="D10630" s="1050"/>
      <c r="E10630" s="1050"/>
      <c r="F10630" s="1050"/>
      <c r="G10630" s="1050"/>
    </row>
    <row r="10631" spans="1:7">
      <c r="A10631" s="1079"/>
      <c r="B10631" s="1050"/>
      <c r="C10631" s="1050"/>
      <c r="D10631" s="1050"/>
      <c r="E10631" s="1050"/>
      <c r="F10631" s="1050"/>
      <c r="G10631" s="1050"/>
    </row>
    <row r="10632" spans="1:7">
      <c r="A10632" s="1079"/>
      <c r="B10632" s="1050"/>
      <c r="C10632" s="1050"/>
      <c r="D10632" s="1050"/>
      <c r="E10632" s="1050"/>
      <c r="F10632" s="1050"/>
      <c r="G10632" s="1050"/>
    </row>
    <row r="10633" spans="1:7">
      <c r="A10633" s="1079"/>
      <c r="B10633" s="1050"/>
      <c r="C10633" s="1050"/>
      <c r="D10633" s="1050"/>
      <c r="E10633" s="1050"/>
      <c r="F10633" s="1050"/>
      <c r="G10633" s="1050"/>
    </row>
    <row r="10634" spans="1:7">
      <c r="A10634" s="1079"/>
      <c r="B10634" s="1050"/>
      <c r="C10634" s="1050"/>
      <c r="D10634" s="1050"/>
      <c r="E10634" s="1050"/>
      <c r="F10634" s="1050"/>
      <c r="G10634" s="1050"/>
    </row>
    <row r="10635" spans="1:7">
      <c r="A10635" s="1079"/>
      <c r="B10635" s="1050"/>
      <c r="C10635" s="1050"/>
      <c r="D10635" s="1050"/>
      <c r="E10635" s="1050"/>
      <c r="F10635" s="1050"/>
      <c r="G10635" s="1050"/>
    </row>
    <row r="10636" spans="1:7">
      <c r="A10636" s="1079"/>
      <c r="B10636" s="1050"/>
      <c r="C10636" s="1050"/>
      <c r="D10636" s="1050"/>
      <c r="E10636" s="1050"/>
      <c r="F10636" s="1050"/>
      <c r="G10636" s="1050"/>
    </row>
    <row r="10637" spans="1:7">
      <c r="A10637" s="1079"/>
      <c r="B10637" s="1050"/>
      <c r="C10637" s="1050"/>
      <c r="D10637" s="1050"/>
      <c r="E10637" s="1050"/>
      <c r="F10637" s="1050"/>
      <c r="G10637" s="1050"/>
    </row>
    <row r="10638" spans="1:7">
      <c r="A10638" s="1079"/>
      <c r="B10638" s="1050"/>
      <c r="C10638" s="1050"/>
      <c r="D10638" s="1050"/>
      <c r="E10638" s="1050"/>
      <c r="F10638" s="1050"/>
      <c r="G10638" s="1050"/>
    </row>
    <row r="10639" spans="1:7">
      <c r="A10639" s="1079"/>
      <c r="B10639" s="1050"/>
      <c r="C10639" s="1050"/>
      <c r="D10639" s="1050"/>
      <c r="E10639" s="1050"/>
      <c r="F10639" s="1050"/>
      <c r="G10639" s="1050"/>
    </row>
    <row r="10640" spans="1:7">
      <c r="A10640" s="1079"/>
      <c r="B10640" s="1050"/>
      <c r="C10640" s="1050"/>
      <c r="D10640" s="1050"/>
      <c r="E10640" s="1050"/>
      <c r="F10640" s="1050"/>
      <c r="G10640" s="1050"/>
    </row>
    <row r="10641" spans="1:7">
      <c r="A10641" s="1079"/>
      <c r="B10641" s="1050"/>
      <c r="C10641" s="1050"/>
      <c r="D10641" s="1050"/>
      <c r="E10641" s="1050"/>
      <c r="F10641" s="1050"/>
      <c r="G10641" s="1050"/>
    </row>
    <row r="10642" spans="1:7">
      <c r="A10642" s="1079"/>
      <c r="B10642" s="1050"/>
      <c r="C10642" s="1050"/>
      <c r="D10642" s="1050"/>
      <c r="E10642" s="1050"/>
      <c r="F10642" s="1050"/>
      <c r="G10642" s="1050"/>
    </row>
    <row r="10643" spans="1:7">
      <c r="A10643" s="1079"/>
      <c r="B10643" s="1050"/>
      <c r="C10643" s="1050"/>
      <c r="D10643" s="1050"/>
      <c r="E10643" s="1050"/>
      <c r="F10643" s="1050"/>
      <c r="G10643" s="1050"/>
    </row>
    <row r="10644" spans="1:7">
      <c r="A10644" s="1079"/>
      <c r="B10644" s="1050"/>
      <c r="C10644" s="1050"/>
      <c r="D10644" s="1050"/>
      <c r="E10644" s="1050"/>
      <c r="F10644" s="1050"/>
      <c r="G10644" s="1050"/>
    </row>
    <row r="10645" spans="1:7">
      <c r="A10645" s="1079"/>
      <c r="B10645" s="1050"/>
      <c r="C10645" s="1050"/>
      <c r="D10645" s="1050"/>
      <c r="E10645" s="1050"/>
      <c r="F10645" s="1050"/>
      <c r="G10645" s="1050"/>
    </row>
    <row r="10646" spans="1:7">
      <c r="A10646" s="1079"/>
      <c r="B10646" s="1050"/>
      <c r="C10646" s="1050"/>
      <c r="D10646" s="1050"/>
      <c r="E10646" s="1050"/>
      <c r="F10646" s="1050"/>
      <c r="G10646" s="1050"/>
    </row>
    <row r="10647" spans="1:7">
      <c r="A10647" s="1079"/>
      <c r="B10647" s="1050"/>
      <c r="C10647" s="1050"/>
      <c r="D10647" s="1050"/>
      <c r="E10647" s="1050"/>
      <c r="F10647" s="1050"/>
      <c r="G10647" s="1050"/>
    </row>
    <row r="10648" spans="1:7">
      <c r="A10648" s="1079"/>
      <c r="B10648" s="1050"/>
      <c r="C10648" s="1050"/>
      <c r="D10648" s="1050"/>
      <c r="E10648" s="1050"/>
      <c r="F10648" s="1050"/>
      <c r="G10648" s="1050"/>
    </row>
    <row r="10649" spans="1:7">
      <c r="A10649" s="1079"/>
      <c r="B10649" s="1050"/>
      <c r="C10649" s="1050"/>
      <c r="D10649" s="1050"/>
      <c r="E10649" s="1050"/>
      <c r="F10649" s="1050"/>
      <c r="G10649" s="1050"/>
    </row>
    <row r="10650" spans="1:7">
      <c r="A10650" s="1079"/>
      <c r="B10650" s="1050"/>
      <c r="C10650" s="1050"/>
      <c r="D10650" s="1050"/>
      <c r="E10650" s="1050"/>
      <c r="F10650" s="1050"/>
      <c r="G10650" s="1050"/>
    </row>
    <row r="10651" spans="1:7">
      <c r="A10651" s="1079"/>
      <c r="B10651" s="1050"/>
      <c r="C10651" s="1050"/>
      <c r="D10651" s="1050"/>
      <c r="E10651" s="1050"/>
      <c r="F10651" s="1050"/>
      <c r="G10651" s="1050"/>
    </row>
    <row r="10652" spans="1:7">
      <c r="A10652" s="1079"/>
      <c r="B10652" s="1050"/>
      <c r="C10652" s="1050"/>
      <c r="D10652" s="1050"/>
      <c r="E10652" s="1050"/>
      <c r="F10652" s="1050"/>
      <c r="G10652" s="1050"/>
    </row>
    <row r="10653" spans="1:7">
      <c r="A10653" s="1079"/>
      <c r="B10653" s="1050"/>
      <c r="C10653" s="1050"/>
      <c r="D10653" s="1050"/>
      <c r="E10653" s="1050"/>
      <c r="F10653" s="1050"/>
      <c r="G10653" s="1050"/>
    </row>
    <row r="10654" spans="1:7">
      <c r="A10654" s="1079"/>
      <c r="B10654" s="1050"/>
      <c r="C10654" s="1050"/>
      <c r="D10654" s="1050"/>
      <c r="E10654" s="1050"/>
      <c r="F10654" s="1050"/>
      <c r="G10654" s="1050"/>
    </row>
    <row r="10655" spans="1:7">
      <c r="A10655" s="1079"/>
      <c r="B10655" s="1050"/>
      <c r="C10655" s="1050"/>
      <c r="D10655" s="1050"/>
      <c r="E10655" s="1050"/>
      <c r="F10655" s="1050"/>
      <c r="G10655" s="1050"/>
    </row>
    <row r="10656" spans="1:7">
      <c r="A10656" s="1079"/>
      <c r="B10656" s="1050"/>
      <c r="C10656" s="1050"/>
      <c r="D10656" s="1050"/>
      <c r="E10656" s="1050"/>
      <c r="F10656" s="1050"/>
      <c r="G10656" s="1050"/>
    </row>
    <row r="10657" spans="1:7">
      <c r="A10657" s="1079"/>
      <c r="B10657" s="1050"/>
      <c r="C10657" s="1050"/>
      <c r="D10657" s="1050"/>
      <c r="E10657" s="1050"/>
      <c r="F10657" s="1050"/>
      <c r="G10657" s="1050"/>
    </row>
    <row r="10658" spans="1:7">
      <c r="A10658" s="1079"/>
      <c r="B10658" s="1050"/>
      <c r="C10658" s="1050"/>
      <c r="D10658" s="1050"/>
      <c r="E10658" s="1050"/>
      <c r="F10658" s="1050"/>
      <c r="G10658" s="1050"/>
    </row>
    <row r="10659" spans="1:7">
      <c r="A10659" s="1079"/>
      <c r="B10659" s="1050"/>
      <c r="C10659" s="1050"/>
      <c r="D10659" s="1050"/>
      <c r="E10659" s="1050"/>
      <c r="F10659" s="1050"/>
      <c r="G10659" s="1050"/>
    </row>
    <row r="10660" spans="1:7">
      <c r="A10660" s="1079"/>
      <c r="B10660" s="1050"/>
      <c r="C10660" s="1050"/>
      <c r="D10660" s="1050"/>
      <c r="E10660" s="1050"/>
      <c r="F10660" s="1050"/>
      <c r="G10660" s="1050"/>
    </row>
    <row r="10661" spans="1:7">
      <c r="A10661" s="1079"/>
      <c r="B10661" s="1050"/>
      <c r="C10661" s="1050"/>
      <c r="D10661" s="1050"/>
      <c r="E10661" s="1050"/>
      <c r="F10661" s="1050"/>
      <c r="G10661" s="1050"/>
    </row>
    <row r="10662" spans="1:7">
      <c r="A10662" s="1079"/>
      <c r="B10662" s="1050"/>
      <c r="C10662" s="1050"/>
      <c r="D10662" s="1050"/>
      <c r="E10662" s="1050"/>
      <c r="F10662" s="1050"/>
      <c r="G10662" s="1050"/>
    </row>
    <row r="10663" spans="1:7">
      <c r="A10663" s="1079"/>
      <c r="B10663" s="1050"/>
      <c r="C10663" s="1050"/>
      <c r="D10663" s="1050"/>
      <c r="E10663" s="1050"/>
      <c r="F10663" s="1050"/>
      <c r="G10663" s="1050"/>
    </row>
    <row r="10664" spans="1:7">
      <c r="A10664" s="1079"/>
      <c r="B10664" s="1050"/>
      <c r="C10664" s="1050"/>
      <c r="D10664" s="1050"/>
      <c r="E10664" s="1050"/>
      <c r="F10664" s="1050"/>
      <c r="G10664" s="1050"/>
    </row>
    <row r="10665" spans="1:7">
      <c r="A10665" s="1079"/>
      <c r="B10665" s="1050"/>
      <c r="C10665" s="1050"/>
      <c r="D10665" s="1050"/>
      <c r="E10665" s="1050"/>
      <c r="F10665" s="1050"/>
      <c r="G10665" s="1050"/>
    </row>
    <row r="10666" spans="1:7">
      <c r="A10666" s="1079"/>
      <c r="B10666" s="1050"/>
      <c r="C10666" s="1050"/>
      <c r="D10666" s="1050"/>
      <c r="E10666" s="1050"/>
      <c r="F10666" s="1050"/>
      <c r="G10666" s="1050"/>
    </row>
    <row r="10667" spans="1:7">
      <c r="A10667" s="1079"/>
      <c r="B10667" s="1050"/>
      <c r="C10667" s="1050"/>
      <c r="D10667" s="1050"/>
      <c r="E10667" s="1050"/>
      <c r="F10667" s="1050"/>
      <c r="G10667" s="1050"/>
    </row>
    <row r="10668" spans="1:7">
      <c r="A10668" s="1079"/>
      <c r="B10668" s="1050"/>
      <c r="C10668" s="1050"/>
      <c r="D10668" s="1050"/>
      <c r="E10668" s="1050"/>
      <c r="F10668" s="1050"/>
      <c r="G10668" s="1050"/>
    </row>
    <row r="10669" spans="1:7">
      <c r="A10669" s="1079"/>
      <c r="B10669" s="1050"/>
      <c r="C10669" s="1050"/>
      <c r="D10669" s="1050"/>
      <c r="E10669" s="1050"/>
      <c r="F10669" s="1050"/>
      <c r="G10669" s="1050"/>
    </row>
    <row r="10670" spans="1:7">
      <c r="A10670" s="1079"/>
      <c r="B10670" s="1050"/>
      <c r="C10670" s="1050"/>
      <c r="D10670" s="1050"/>
      <c r="E10670" s="1050"/>
      <c r="F10670" s="1050"/>
      <c r="G10670" s="1050"/>
    </row>
    <row r="10671" spans="1:7">
      <c r="A10671" s="1079"/>
      <c r="B10671" s="1050"/>
      <c r="C10671" s="1050"/>
      <c r="D10671" s="1050"/>
      <c r="E10671" s="1050"/>
      <c r="F10671" s="1050"/>
      <c r="G10671" s="1050"/>
    </row>
    <row r="10672" spans="1:7">
      <c r="A10672" s="1079"/>
      <c r="B10672" s="1050"/>
      <c r="C10672" s="1050"/>
      <c r="D10672" s="1050"/>
      <c r="E10672" s="1050"/>
      <c r="F10672" s="1050"/>
      <c r="G10672" s="1050"/>
    </row>
    <row r="10673" spans="1:7">
      <c r="A10673" s="1079"/>
      <c r="B10673" s="1050"/>
      <c r="C10673" s="1050"/>
      <c r="D10673" s="1050"/>
      <c r="E10673" s="1050"/>
      <c r="F10673" s="1050"/>
      <c r="G10673" s="1050"/>
    </row>
    <row r="10674" spans="1:7">
      <c r="A10674" s="1079"/>
      <c r="B10674" s="1050"/>
      <c r="C10674" s="1050"/>
      <c r="D10674" s="1050"/>
      <c r="E10674" s="1050"/>
      <c r="F10674" s="1050"/>
      <c r="G10674" s="1050"/>
    </row>
    <row r="10675" spans="1:7">
      <c r="A10675" s="1079"/>
      <c r="B10675" s="1050"/>
      <c r="C10675" s="1050"/>
      <c r="D10675" s="1050"/>
      <c r="E10675" s="1050"/>
      <c r="F10675" s="1050"/>
      <c r="G10675" s="1050"/>
    </row>
    <row r="10676" spans="1:7">
      <c r="A10676" s="1079"/>
      <c r="B10676" s="1050"/>
      <c r="C10676" s="1050"/>
      <c r="D10676" s="1050"/>
      <c r="E10676" s="1050"/>
      <c r="F10676" s="1050"/>
      <c r="G10676" s="1050"/>
    </row>
    <row r="10677" spans="1:7">
      <c r="A10677" s="1079"/>
      <c r="B10677" s="1050"/>
      <c r="C10677" s="1050"/>
      <c r="D10677" s="1050"/>
      <c r="E10677" s="1050"/>
      <c r="F10677" s="1050"/>
      <c r="G10677" s="1050"/>
    </row>
    <row r="10678" spans="1:7">
      <c r="A10678" s="1079"/>
      <c r="B10678" s="1050"/>
      <c r="C10678" s="1050"/>
      <c r="D10678" s="1050"/>
      <c r="E10678" s="1050"/>
      <c r="F10678" s="1050"/>
      <c r="G10678" s="1050"/>
    </row>
    <row r="10679" spans="1:7">
      <c r="A10679" s="1079"/>
      <c r="B10679" s="1050"/>
      <c r="C10679" s="1050"/>
      <c r="D10679" s="1050"/>
      <c r="E10679" s="1050"/>
      <c r="F10679" s="1050"/>
      <c r="G10679" s="1050"/>
    </row>
    <row r="10680" spans="1:7">
      <c r="A10680" s="1079"/>
      <c r="B10680" s="1050"/>
      <c r="C10680" s="1050"/>
      <c r="D10680" s="1050"/>
      <c r="E10680" s="1050"/>
      <c r="F10680" s="1050"/>
      <c r="G10680" s="1050"/>
    </row>
    <row r="10681" spans="1:7">
      <c r="A10681" s="1079"/>
      <c r="B10681" s="1050"/>
      <c r="C10681" s="1050"/>
      <c r="D10681" s="1050"/>
      <c r="E10681" s="1050"/>
      <c r="F10681" s="1050"/>
      <c r="G10681" s="1050"/>
    </row>
    <row r="10682" spans="1:7">
      <c r="A10682" s="1079"/>
      <c r="B10682" s="1050"/>
      <c r="C10682" s="1050"/>
      <c r="D10682" s="1050"/>
      <c r="E10682" s="1050"/>
      <c r="F10682" s="1050"/>
      <c r="G10682" s="1050"/>
    </row>
    <row r="10683" spans="1:7">
      <c r="A10683" s="1079"/>
      <c r="B10683" s="1050"/>
      <c r="C10683" s="1050"/>
      <c r="D10683" s="1050"/>
      <c r="E10683" s="1050"/>
      <c r="F10683" s="1050"/>
      <c r="G10683" s="1050"/>
    </row>
    <row r="10684" spans="1:7">
      <c r="A10684" s="1079"/>
      <c r="B10684" s="1050"/>
      <c r="C10684" s="1050"/>
      <c r="D10684" s="1050"/>
      <c r="E10684" s="1050"/>
      <c r="F10684" s="1050"/>
      <c r="G10684" s="1050"/>
    </row>
    <row r="10685" spans="1:7">
      <c r="A10685" s="1079"/>
      <c r="B10685" s="1050"/>
      <c r="C10685" s="1050"/>
      <c r="D10685" s="1050"/>
      <c r="E10685" s="1050"/>
      <c r="F10685" s="1050"/>
      <c r="G10685" s="1050"/>
    </row>
    <row r="10686" spans="1:7">
      <c r="A10686" s="1079"/>
      <c r="B10686" s="1050"/>
      <c r="C10686" s="1050"/>
      <c r="D10686" s="1050"/>
      <c r="E10686" s="1050"/>
      <c r="F10686" s="1050"/>
      <c r="G10686" s="1050"/>
    </row>
    <row r="10687" spans="1:7">
      <c r="A10687" s="1079"/>
      <c r="B10687" s="1050"/>
      <c r="C10687" s="1050"/>
      <c r="D10687" s="1050"/>
      <c r="E10687" s="1050"/>
      <c r="F10687" s="1050"/>
      <c r="G10687" s="1050"/>
    </row>
    <row r="10688" spans="1:7">
      <c r="A10688" s="1079"/>
      <c r="B10688" s="1050"/>
      <c r="C10688" s="1050"/>
      <c r="D10688" s="1050"/>
      <c r="E10688" s="1050"/>
      <c r="F10688" s="1050"/>
      <c r="G10688" s="1050"/>
    </row>
    <row r="10689" spans="1:7">
      <c r="A10689" s="1079"/>
      <c r="B10689" s="1050"/>
      <c r="C10689" s="1050"/>
      <c r="D10689" s="1050"/>
      <c r="E10689" s="1050"/>
      <c r="F10689" s="1050"/>
      <c r="G10689" s="1050"/>
    </row>
    <row r="10690" spans="1:7">
      <c r="A10690" s="1079"/>
      <c r="B10690" s="1050"/>
      <c r="C10690" s="1050"/>
      <c r="D10690" s="1050"/>
      <c r="E10690" s="1050"/>
      <c r="F10690" s="1050"/>
      <c r="G10690" s="1050"/>
    </row>
    <row r="10691" spans="1:7">
      <c r="A10691" s="1079"/>
      <c r="B10691" s="1050"/>
      <c r="C10691" s="1050"/>
      <c r="D10691" s="1050"/>
      <c r="E10691" s="1050"/>
      <c r="F10691" s="1050"/>
      <c r="G10691" s="1050"/>
    </row>
    <row r="10692" spans="1:7">
      <c r="A10692" s="1079"/>
      <c r="B10692" s="1050"/>
      <c r="C10692" s="1050"/>
      <c r="D10692" s="1050"/>
      <c r="E10692" s="1050"/>
      <c r="F10692" s="1050"/>
      <c r="G10692" s="1050"/>
    </row>
    <row r="10693" spans="1:7">
      <c r="A10693" s="1079"/>
      <c r="B10693" s="1050"/>
      <c r="C10693" s="1050"/>
      <c r="D10693" s="1050"/>
      <c r="E10693" s="1050"/>
      <c r="F10693" s="1050"/>
      <c r="G10693" s="1050"/>
    </row>
    <row r="10694" spans="1:7">
      <c r="A10694" s="1079"/>
      <c r="B10694" s="1050"/>
      <c r="C10694" s="1050"/>
      <c r="D10694" s="1050"/>
      <c r="E10694" s="1050"/>
      <c r="F10694" s="1050"/>
      <c r="G10694" s="1050"/>
    </row>
    <row r="10695" spans="1:7">
      <c r="A10695" s="1079"/>
      <c r="B10695" s="1050"/>
      <c r="C10695" s="1050"/>
      <c r="D10695" s="1050"/>
      <c r="E10695" s="1050"/>
      <c r="F10695" s="1050"/>
      <c r="G10695" s="1050"/>
    </row>
    <row r="10696" spans="1:7">
      <c r="A10696" s="1079"/>
      <c r="B10696" s="1050"/>
      <c r="C10696" s="1050"/>
      <c r="D10696" s="1050"/>
      <c r="E10696" s="1050"/>
      <c r="F10696" s="1050"/>
      <c r="G10696" s="1050"/>
    </row>
    <row r="10697" spans="1:7">
      <c r="A10697" s="1079"/>
      <c r="B10697" s="1050"/>
      <c r="C10697" s="1050"/>
      <c r="D10697" s="1050"/>
      <c r="E10697" s="1050"/>
      <c r="F10697" s="1050"/>
      <c r="G10697" s="1050"/>
    </row>
    <row r="10698" spans="1:7">
      <c r="A10698" s="1079"/>
      <c r="B10698" s="1050"/>
      <c r="C10698" s="1050"/>
      <c r="D10698" s="1050"/>
      <c r="E10698" s="1050"/>
      <c r="F10698" s="1050"/>
      <c r="G10698" s="1050"/>
    </row>
    <row r="10699" spans="1:7">
      <c r="A10699" s="1079"/>
      <c r="B10699" s="1050"/>
      <c r="C10699" s="1050"/>
      <c r="D10699" s="1050"/>
      <c r="E10699" s="1050"/>
      <c r="F10699" s="1050"/>
      <c r="G10699" s="1050"/>
    </row>
    <row r="10700" spans="1:7">
      <c r="A10700" s="1079"/>
      <c r="B10700" s="1050"/>
      <c r="C10700" s="1050"/>
      <c r="D10700" s="1050"/>
      <c r="E10700" s="1050"/>
      <c r="F10700" s="1050"/>
      <c r="G10700" s="1050"/>
    </row>
    <row r="10701" spans="1:7">
      <c r="A10701" s="1079"/>
      <c r="B10701" s="1050"/>
      <c r="C10701" s="1050"/>
      <c r="D10701" s="1050"/>
      <c r="E10701" s="1050"/>
      <c r="F10701" s="1050"/>
      <c r="G10701" s="1050"/>
    </row>
    <row r="10702" spans="1:7">
      <c r="A10702" s="1079"/>
      <c r="B10702" s="1050"/>
      <c r="C10702" s="1050"/>
      <c r="D10702" s="1050"/>
      <c r="E10702" s="1050"/>
      <c r="F10702" s="1050"/>
      <c r="G10702" s="1050"/>
    </row>
    <row r="10703" spans="1:7">
      <c r="A10703" s="1079"/>
      <c r="B10703" s="1050"/>
      <c r="C10703" s="1050"/>
      <c r="D10703" s="1050"/>
      <c r="E10703" s="1050"/>
      <c r="F10703" s="1050"/>
      <c r="G10703" s="1050"/>
    </row>
    <row r="10704" spans="1:7">
      <c r="A10704" s="1079"/>
      <c r="B10704" s="1050"/>
      <c r="C10704" s="1050"/>
      <c r="D10704" s="1050"/>
      <c r="E10704" s="1050"/>
      <c r="F10704" s="1050"/>
      <c r="G10704" s="1050"/>
    </row>
    <row r="10705" spans="1:7">
      <c r="A10705" s="1079"/>
      <c r="B10705" s="1050"/>
      <c r="C10705" s="1050"/>
      <c r="D10705" s="1050"/>
      <c r="E10705" s="1050"/>
      <c r="F10705" s="1050"/>
      <c r="G10705" s="1050"/>
    </row>
    <row r="10706" spans="1:7">
      <c r="A10706" s="1079"/>
      <c r="B10706" s="1050"/>
      <c r="C10706" s="1050"/>
      <c r="D10706" s="1050"/>
      <c r="E10706" s="1050"/>
      <c r="F10706" s="1050"/>
      <c r="G10706" s="1050"/>
    </row>
    <row r="10707" spans="1:7">
      <c r="A10707" s="1079"/>
      <c r="B10707" s="1050"/>
      <c r="C10707" s="1050"/>
      <c r="D10707" s="1050"/>
      <c r="E10707" s="1050"/>
      <c r="F10707" s="1050"/>
      <c r="G10707" s="1050"/>
    </row>
    <row r="10708" spans="1:7">
      <c r="A10708" s="1079"/>
      <c r="B10708" s="1050"/>
      <c r="C10708" s="1050"/>
      <c r="D10708" s="1050"/>
      <c r="E10708" s="1050"/>
      <c r="F10708" s="1050"/>
      <c r="G10708" s="1050"/>
    </row>
    <row r="10709" spans="1:7">
      <c r="A10709" s="1079"/>
      <c r="B10709" s="1050"/>
      <c r="C10709" s="1050"/>
      <c r="D10709" s="1050"/>
      <c r="E10709" s="1050"/>
      <c r="F10709" s="1050"/>
      <c r="G10709" s="1050"/>
    </row>
    <row r="10710" spans="1:7">
      <c r="A10710" s="1079"/>
      <c r="B10710" s="1050"/>
      <c r="C10710" s="1050"/>
      <c r="D10710" s="1050"/>
      <c r="E10710" s="1050"/>
      <c r="F10710" s="1050"/>
      <c r="G10710" s="1050"/>
    </row>
    <row r="10711" spans="1:7">
      <c r="A10711" s="1079"/>
      <c r="B10711" s="1050"/>
      <c r="C10711" s="1050"/>
      <c r="D10711" s="1050"/>
      <c r="E10711" s="1050"/>
      <c r="F10711" s="1050"/>
      <c r="G10711" s="1050"/>
    </row>
    <row r="10712" spans="1:7">
      <c r="A10712" s="1079"/>
      <c r="B10712" s="1050"/>
      <c r="C10712" s="1050"/>
      <c r="D10712" s="1050"/>
      <c r="E10712" s="1050"/>
      <c r="F10712" s="1050"/>
      <c r="G10712" s="1050"/>
    </row>
    <row r="10713" spans="1:7">
      <c r="A10713" s="1079"/>
      <c r="B10713" s="1050"/>
      <c r="C10713" s="1050"/>
      <c r="D10713" s="1050"/>
      <c r="E10713" s="1050"/>
      <c r="F10713" s="1050"/>
      <c r="G10713" s="1050"/>
    </row>
    <row r="10714" spans="1:7">
      <c r="A10714" s="1079"/>
      <c r="B10714" s="1050"/>
      <c r="C10714" s="1050"/>
      <c r="D10714" s="1050"/>
      <c r="E10714" s="1050"/>
      <c r="F10714" s="1050"/>
      <c r="G10714" s="1050"/>
    </row>
    <row r="10715" spans="1:7">
      <c r="A10715" s="1079"/>
      <c r="B10715" s="1050"/>
      <c r="C10715" s="1050"/>
      <c r="D10715" s="1050"/>
      <c r="E10715" s="1050"/>
      <c r="F10715" s="1050"/>
      <c r="G10715" s="1050"/>
    </row>
    <row r="10716" spans="1:7">
      <c r="A10716" s="1079"/>
      <c r="B10716" s="1050"/>
      <c r="C10716" s="1050"/>
      <c r="D10716" s="1050"/>
      <c r="E10716" s="1050"/>
      <c r="F10716" s="1050"/>
      <c r="G10716" s="1050"/>
    </row>
    <row r="10717" spans="1:7">
      <c r="A10717" s="1079"/>
      <c r="B10717" s="1050"/>
      <c r="C10717" s="1050"/>
      <c r="D10717" s="1050"/>
      <c r="E10717" s="1050"/>
      <c r="F10717" s="1050"/>
      <c r="G10717" s="1050"/>
    </row>
    <row r="10718" spans="1:7">
      <c r="A10718" s="1079"/>
      <c r="B10718" s="1050"/>
      <c r="C10718" s="1050"/>
      <c r="D10718" s="1050"/>
      <c r="E10718" s="1050"/>
      <c r="F10718" s="1050"/>
      <c r="G10718" s="1050"/>
    </row>
    <row r="10719" spans="1:7">
      <c r="A10719" s="1079"/>
      <c r="B10719" s="1050"/>
      <c r="C10719" s="1050"/>
      <c r="D10719" s="1050"/>
      <c r="E10719" s="1050"/>
      <c r="F10719" s="1050"/>
      <c r="G10719" s="1050"/>
    </row>
    <row r="10720" spans="1:7">
      <c r="A10720" s="1079"/>
      <c r="B10720" s="1050"/>
      <c r="C10720" s="1050"/>
      <c r="D10720" s="1050"/>
      <c r="E10720" s="1050"/>
      <c r="F10720" s="1050"/>
      <c r="G10720" s="1050"/>
    </row>
    <row r="10721" spans="1:7">
      <c r="A10721" s="1079"/>
      <c r="B10721" s="1050"/>
      <c r="C10721" s="1050"/>
      <c r="D10721" s="1050"/>
      <c r="E10721" s="1050"/>
      <c r="F10721" s="1050"/>
      <c r="G10721" s="1050"/>
    </row>
    <row r="10722" spans="1:7">
      <c r="A10722" s="1079"/>
      <c r="B10722" s="1050"/>
      <c r="C10722" s="1050"/>
      <c r="D10722" s="1050"/>
      <c r="E10722" s="1050"/>
      <c r="F10722" s="1050"/>
      <c r="G10722" s="1050"/>
    </row>
    <row r="10723" spans="1:7">
      <c r="A10723" s="1079"/>
      <c r="B10723" s="1050"/>
      <c r="C10723" s="1050"/>
      <c r="D10723" s="1050"/>
      <c r="E10723" s="1050"/>
      <c r="F10723" s="1050"/>
      <c r="G10723" s="1050"/>
    </row>
    <row r="10724" spans="1:7">
      <c r="A10724" s="1079"/>
      <c r="B10724" s="1050"/>
      <c r="C10724" s="1050"/>
      <c r="D10724" s="1050"/>
      <c r="E10724" s="1050"/>
      <c r="F10724" s="1050"/>
      <c r="G10724" s="1050"/>
    </row>
    <row r="10725" spans="1:7">
      <c r="A10725" s="1079"/>
      <c r="B10725" s="1050"/>
      <c r="C10725" s="1050"/>
      <c r="D10725" s="1050"/>
      <c r="E10725" s="1050"/>
      <c r="F10725" s="1050"/>
      <c r="G10725" s="1050"/>
    </row>
    <row r="10726" spans="1:7">
      <c r="A10726" s="1079"/>
      <c r="B10726" s="1050"/>
      <c r="C10726" s="1050"/>
      <c r="D10726" s="1050"/>
      <c r="E10726" s="1050"/>
      <c r="F10726" s="1050"/>
      <c r="G10726" s="1050"/>
    </row>
    <row r="10727" spans="1:7">
      <c r="A10727" s="1079"/>
      <c r="B10727" s="1050"/>
      <c r="C10727" s="1050"/>
      <c r="D10727" s="1050"/>
      <c r="E10727" s="1050"/>
      <c r="F10727" s="1050"/>
      <c r="G10727" s="1050"/>
    </row>
    <row r="10728" spans="1:7">
      <c r="A10728" s="1079"/>
      <c r="B10728" s="1050"/>
      <c r="C10728" s="1050"/>
      <c r="D10728" s="1050"/>
      <c r="E10728" s="1050"/>
      <c r="F10728" s="1050"/>
      <c r="G10728" s="1050"/>
    </row>
    <row r="10729" spans="1:7">
      <c r="A10729" s="1079"/>
      <c r="B10729" s="1050"/>
      <c r="C10729" s="1050"/>
      <c r="D10729" s="1050"/>
      <c r="E10729" s="1050"/>
      <c r="F10729" s="1050"/>
      <c r="G10729" s="1050"/>
    </row>
    <row r="10730" spans="1:7">
      <c r="A10730" s="1079"/>
      <c r="B10730" s="1050"/>
      <c r="C10730" s="1050"/>
      <c r="D10730" s="1050"/>
      <c r="E10730" s="1050"/>
      <c r="F10730" s="1050"/>
      <c r="G10730" s="1050"/>
    </row>
    <row r="10731" spans="1:7">
      <c r="A10731" s="1079"/>
      <c r="B10731" s="1050"/>
      <c r="C10731" s="1050"/>
      <c r="D10731" s="1050"/>
      <c r="E10731" s="1050"/>
      <c r="F10731" s="1050"/>
      <c r="G10731" s="1050"/>
    </row>
    <row r="10732" spans="1:7">
      <c r="A10732" s="1079"/>
      <c r="B10732" s="1050"/>
      <c r="C10732" s="1050"/>
      <c r="D10732" s="1050"/>
      <c r="E10732" s="1050"/>
      <c r="F10732" s="1050"/>
      <c r="G10732" s="1050"/>
    </row>
    <row r="10733" spans="1:7">
      <c r="A10733" s="1079"/>
      <c r="B10733" s="1050"/>
      <c r="C10733" s="1050"/>
      <c r="D10733" s="1050"/>
      <c r="E10733" s="1050"/>
      <c r="F10733" s="1050"/>
      <c r="G10733" s="1050"/>
    </row>
    <row r="10734" spans="1:7">
      <c r="A10734" s="1079"/>
      <c r="B10734" s="1050"/>
      <c r="C10734" s="1050"/>
      <c r="D10734" s="1050"/>
      <c r="E10734" s="1050"/>
      <c r="F10734" s="1050"/>
      <c r="G10734" s="1050"/>
    </row>
    <row r="10735" spans="1:7">
      <c r="A10735" s="1079"/>
      <c r="B10735" s="1050"/>
      <c r="C10735" s="1050"/>
      <c r="D10735" s="1050"/>
      <c r="E10735" s="1050"/>
      <c r="F10735" s="1050"/>
      <c r="G10735" s="1050"/>
    </row>
    <row r="10736" spans="1:7">
      <c r="A10736" s="1079"/>
      <c r="B10736" s="1050"/>
      <c r="C10736" s="1050"/>
      <c r="D10736" s="1050"/>
      <c r="E10736" s="1050"/>
      <c r="F10736" s="1050"/>
      <c r="G10736" s="1050"/>
    </row>
    <row r="10737" spans="1:7">
      <c r="A10737" s="1079"/>
      <c r="B10737" s="1050"/>
      <c r="C10737" s="1050"/>
      <c r="D10737" s="1050"/>
      <c r="E10737" s="1050"/>
      <c r="F10737" s="1050"/>
      <c r="G10737" s="1050"/>
    </row>
    <row r="10738" spans="1:7">
      <c r="A10738" s="1079"/>
      <c r="B10738" s="1050"/>
      <c r="C10738" s="1050"/>
      <c r="D10738" s="1050"/>
      <c r="E10738" s="1050"/>
      <c r="F10738" s="1050"/>
      <c r="G10738" s="1050"/>
    </row>
    <row r="10739" spans="1:7">
      <c r="A10739" s="1079"/>
      <c r="B10739" s="1050"/>
      <c r="C10739" s="1050"/>
      <c r="D10739" s="1050"/>
      <c r="E10739" s="1050"/>
      <c r="F10739" s="1050"/>
      <c r="G10739" s="1050"/>
    </row>
    <row r="10740" spans="1:7">
      <c r="A10740" s="1079"/>
      <c r="B10740" s="1050"/>
      <c r="C10740" s="1050"/>
      <c r="D10740" s="1050"/>
      <c r="E10740" s="1050"/>
      <c r="F10740" s="1050"/>
      <c r="G10740" s="1050"/>
    </row>
    <row r="10741" spans="1:7">
      <c r="A10741" s="1079"/>
      <c r="B10741" s="1050"/>
      <c r="C10741" s="1050"/>
      <c r="D10741" s="1050"/>
      <c r="E10741" s="1050"/>
      <c r="F10741" s="1050"/>
      <c r="G10741" s="1050"/>
    </row>
    <row r="10742" spans="1:7">
      <c r="A10742" s="1079"/>
      <c r="B10742" s="1050"/>
      <c r="C10742" s="1050"/>
      <c r="D10742" s="1050"/>
      <c r="E10742" s="1050"/>
      <c r="F10742" s="1050"/>
      <c r="G10742" s="1050"/>
    </row>
    <row r="10743" spans="1:7">
      <c r="A10743" s="1079"/>
      <c r="B10743" s="1050"/>
      <c r="C10743" s="1050"/>
      <c r="D10743" s="1050"/>
      <c r="E10743" s="1050"/>
      <c r="F10743" s="1050"/>
      <c r="G10743" s="1050"/>
    </row>
    <row r="10744" spans="1:7">
      <c r="A10744" s="1079"/>
      <c r="B10744" s="1050"/>
      <c r="C10744" s="1050"/>
      <c r="D10744" s="1050"/>
      <c r="E10744" s="1050"/>
      <c r="F10744" s="1050"/>
      <c r="G10744" s="1050"/>
    </row>
    <row r="10745" spans="1:7">
      <c r="A10745" s="1079"/>
      <c r="B10745" s="1050"/>
      <c r="C10745" s="1050"/>
      <c r="D10745" s="1050"/>
      <c r="E10745" s="1050"/>
      <c r="F10745" s="1050"/>
      <c r="G10745" s="1050"/>
    </row>
    <row r="10746" spans="1:7">
      <c r="A10746" s="1079"/>
      <c r="B10746" s="1050"/>
      <c r="C10746" s="1050"/>
      <c r="D10746" s="1050"/>
      <c r="E10746" s="1050"/>
      <c r="F10746" s="1050"/>
      <c r="G10746" s="1050"/>
    </row>
    <row r="10747" spans="1:7">
      <c r="A10747" s="1079"/>
      <c r="B10747" s="1050"/>
      <c r="C10747" s="1050"/>
      <c r="D10747" s="1050"/>
      <c r="E10747" s="1050"/>
      <c r="F10747" s="1050"/>
      <c r="G10747" s="1050"/>
    </row>
    <row r="10748" spans="1:7">
      <c r="A10748" s="1079"/>
      <c r="B10748" s="1050"/>
      <c r="C10748" s="1050"/>
      <c r="D10748" s="1050"/>
      <c r="E10748" s="1050"/>
      <c r="F10748" s="1050"/>
      <c r="G10748" s="1050"/>
    </row>
    <row r="10749" spans="1:7">
      <c r="A10749" s="1079"/>
      <c r="B10749" s="1050"/>
      <c r="C10749" s="1050"/>
      <c r="D10749" s="1050"/>
      <c r="E10749" s="1050"/>
      <c r="F10749" s="1050"/>
      <c r="G10749" s="1050"/>
    </row>
    <row r="10750" spans="1:7">
      <c r="A10750" s="1079"/>
      <c r="B10750" s="1050"/>
      <c r="C10750" s="1050"/>
      <c r="D10750" s="1050"/>
      <c r="E10750" s="1050"/>
      <c r="F10750" s="1050"/>
      <c r="G10750" s="1050"/>
    </row>
    <row r="10751" spans="1:7">
      <c r="A10751" s="1079"/>
      <c r="B10751" s="1050"/>
      <c r="C10751" s="1050"/>
      <c r="D10751" s="1050"/>
      <c r="E10751" s="1050"/>
      <c r="F10751" s="1050"/>
      <c r="G10751" s="1050"/>
    </row>
    <row r="10752" spans="1:7">
      <c r="A10752" s="1079"/>
      <c r="B10752" s="1050"/>
      <c r="C10752" s="1050"/>
      <c r="D10752" s="1050"/>
      <c r="E10752" s="1050"/>
      <c r="F10752" s="1050"/>
      <c r="G10752" s="1050"/>
    </row>
    <row r="10753" spans="1:7">
      <c r="A10753" s="1079"/>
      <c r="B10753" s="1050"/>
      <c r="C10753" s="1050"/>
      <c r="D10753" s="1050"/>
      <c r="E10753" s="1050"/>
      <c r="F10753" s="1050"/>
      <c r="G10753" s="1050"/>
    </row>
    <row r="10754" spans="1:7">
      <c r="A10754" s="1079"/>
      <c r="B10754" s="1050"/>
      <c r="C10754" s="1050"/>
      <c r="D10754" s="1050"/>
      <c r="E10754" s="1050"/>
      <c r="F10754" s="1050"/>
      <c r="G10754" s="1050"/>
    </row>
    <row r="10755" spans="1:7">
      <c r="A10755" s="1079"/>
      <c r="B10755" s="1050"/>
      <c r="C10755" s="1050"/>
      <c r="D10755" s="1050"/>
      <c r="E10755" s="1050"/>
      <c r="F10755" s="1050"/>
      <c r="G10755" s="1050"/>
    </row>
    <row r="10756" spans="1:7">
      <c r="A10756" s="1079"/>
      <c r="B10756" s="1050"/>
      <c r="C10756" s="1050"/>
      <c r="D10756" s="1050"/>
      <c r="E10756" s="1050"/>
      <c r="F10756" s="1050"/>
      <c r="G10756" s="1050"/>
    </row>
    <row r="10757" spans="1:7">
      <c r="A10757" s="1079"/>
      <c r="B10757" s="1050"/>
      <c r="C10757" s="1050"/>
      <c r="D10757" s="1050"/>
      <c r="E10757" s="1050"/>
      <c r="F10757" s="1050"/>
      <c r="G10757" s="1050"/>
    </row>
    <row r="10758" spans="1:7">
      <c r="A10758" s="1079"/>
      <c r="B10758" s="1050"/>
      <c r="C10758" s="1050"/>
      <c r="D10758" s="1050"/>
      <c r="E10758" s="1050"/>
      <c r="F10758" s="1050"/>
      <c r="G10758" s="1050"/>
    </row>
    <row r="10759" spans="1:7">
      <c r="A10759" s="1079"/>
      <c r="B10759" s="1050"/>
      <c r="C10759" s="1050"/>
      <c r="D10759" s="1050"/>
      <c r="E10759" s="1050"/>
      <c r="F10759" s="1050"/>
      <c r="G10759" s="1050"/>
    </row>
    <row r="10760" spans="1:7">
      <c r="A10760" s="1079"/>
      <c r="B10760" s="1050"/>
      <c r="C10760" s="1050"/>
      <c r="D10760" s="1050"/>
      <c r="E10760" s="1050"/>
      <c r="F10760" s="1050"/>
      <c r="G10760" s="1050"/>
    </row>
    <row r="10761" spans="1:7">
      <c r="A10761" s="1079"/>
      <c r="B10761" s="1050"/>
      <c r="C10761" s="1050"/>
      <c r="D10761" s="1050"/>
      <c r="E10761" s="1050"/>
      <c r="F10761" s="1050"/>
      <c r="G10761" s="1050"/>
    </row>
    <row r="10762" spans="1:7">
      <c r="A10762" s="1079"/>
      <c r="B10762" s="1050"/>
      <c r="C10762" s="1050"/>
      <c r="D10762" s="1050"/>
      <c r="E10762" s="1050"/>
      <c r="F10762" s="1050"/>
      <c r="G10762" s="1050"/>
    </row>
    <row r="10763" spans="1:7">
      <c r="A10763" s="1079"/>
      <c r="B10763" s="1050"/>
      <c r="C10763" s="1050"/>
      <c r="D10763" s="1050"/>
      <c r="E10763" s="1050"/>
      <c r="F10763" s="1050"/>
      <c r="G10763" s="1050"/>
    </row>
    <row r="10764" spans="1:7">
      <c r="A10764" s="1079"/>
      <c r="B10764" s="1050"/>
      <c r="C10764" s="1050"/>
      <c r="D10764" s="1050"/>
      <c r="E10764" s="1050"/>
      <c r="F10764" s="1050"/>
      <c r="G10764" s="1050"/>
    </row>
    <row r="10765" spans="1:7">
      <c r="A10765" s="1079"/>
      <c r="B10765" s="1050"/>
      <c r="C10765" s="1050"/>
      <c r="D10765" s="1050"/>
      <c r="E10765" s="1050"/>
      <c r="F10765" s="1050"/>
      <c r="G10765" s="1050"/>
    </row>
    <row r="10766" spans="1:7">
      <c r="A10766" s="1079"/>
      <c r="B10766" s="1050"/>
      <c r="C10766" s="1050"/>
      <c r="D10766" s="1050"/>
      <c r="E10766" s="1050"/>
      <c r="F10766" s="1050"/>
      <c r="G10766" s="1050"/>
    </row>
    <row r="10767" spans="1:7">
      <c r="A10767" s="1079"/>
      <c r="B10767" s="1050"/>
      <c r="C10767" s="1050"/>
      <c r="D10767" s="1050"/>
      <c r="E10767" s="1050"/>
      <c r="F10767" s="1050"/>
      <c r="G10767" s="1050"/>
    </row>
    <row r="10768" spans="1:7">
      <c r="A10768" s="1079"/>
      <c r="B10768" s="1050"/>
      <c r="C10768" s="1050"/>
      <c r="D10768" s="1050"/>
      <c r="E10768" s="1050"/>
      <c r="F10768" s="1050"/>
      <c r="G10768" s="1050"/>
    </row>
    <row r="10769" spans="1:7">
      <c r="A10769" s="1079"/>
      <c r="B10769" s="1050"/>
      <c r="C10769" s="1050"/>
      <c r="D10769" s="1050"/>
      <c r="E10769" s="1050"/>
      <c r="F10769" s="1050"/>
      <c r="G10769" s="1050"/>
    </row>
    <row r="10770" spans="1:7">
      <c r="A10770" s="1079"/>
      <c r="B10770" s="1050"/>
      <c r="C10770" s="1050"/>
      <c r="D10770" s="1050"/>
      <c r="E10770" s="1050"/>
      <c r="F10770" s="1050"/>
      <c r="G10770" s="1050"/>
    </row>
    <row r="10771" spans="1:7">
      <c r="A10771" s="1079"/>
      <c r="B10771" s="1050"/>
      <c r="C10771" s="1050"/>
      <c r="D10771" s="1050"/>
      <c r="E10771" s="1050"/>
      <c r="F10771" s="1050"/>
      <c r="G10771" s="1050"/>
    </row>
    <row r="10772" spans="1:7">
      <c r="A10772" s="1079"/>
      <c r="B10772" s="1050"/>
      <c r="C10772" s="1050"/>
      <c r="D10772" s="1050"/>
      <c r="E10772" s="1050"/>
      <c r="F10772" s="1050"/>
      <c r="G10772" s="1050"/>
    </row>
    <row r="10773" spans="1:7">
      <c r="A10773" s="1079"/>
      <c r="B10773" s="1050"/>
      <c r="C10773" s="1050"/>
      <c r="D10773" s="1050"/>
      <c r="E10773" s="1050"/>
      <c r="F10773" s="1050"/>
      <c r="G10773" s="1050"/>
    </row>
    <row r="10774" spans="1:7">
      <c r="A10774" s="1079"/>
      <c r="B10774" s="1050"/>
      <c r="C10774" s="1050"/>
      <c r="D10774" s="1050"/>
      <c r="E10774" s="1050"/>
      <c r="F10774" s="1050"/>
      <c r="G10774" s="1050"/>
    </row>
    <row r="10775" spans="1:7">
      <c r="A10775" s="1079"/>
      <c r="B10775" s="1050"/>
      <c r="C10775" s="1050"/>
      <c r="D10775" s="1050"/>
      <c r="E10775" s="1050"/>
      <c r="F10775" s="1050"/>
      <c r="G10775" s="1050"/>
    </row>
    <row r="10776" spans="1:7">
      <c r="A10776" s="1079"/>
      <c r="B10776" s="1050"/>
      <c r="C10776" s="1050"/>
      <c r="D10776" s="1050"/>
      <c r="E10776" s="1050"/>
      <c r="F10776" s="1050"/>
      <c r="G10776" s="1050"/>
    </row>
    <row r="10777" spans="1:7">
      <c r="A10777" s="1079"/>
      <c r="B10777" s="1050"/>
      <c r="C10777" s="1050"/>
      <c r="D10777" s="1050"/>
      <c r="E10777" s="1050"/>
      <c r="F10777" s="1050"/>
      <c r="G10777" s="1050"/>
    </row>
    <row r="10778" spans="1:7">
      <c r="A10778" s="1079"/>
      <c r="B10778" s="1050"/>
      <c r="C10778" s="1050"/>
      <c r="D10778" s="1050"/>
      <c r="E10778" s="1050"/>
      <c r="F10778" s="1050"/>
      <c r="G10778" s="1050"/>
    </row>
    <row r="10779" spans="1:7">
      <c r="A10779" s="1079"/>
      <c r="B10779" s="1050"/>
      <c r="C10779" s="1050"/>
      <c r="D10779" s="1050"/>
      <c r="E10779" s="1050"/>
      <c r="F10779" s="1050"/>
      <c r="G10779" s="1050"/>
    </row>
    <row r="10780" spans="1:7">
      <c r="A10780" s="1079"/>
      <c r="B10780" s="1050"/>
      <c r="C10780" s="1050"/>
      <c r="D10780" s="1050"/>
      <c r="E10780" s="1050"/>
      <c r="F10780" s="1050"/>
      <c r="G10780" s="1050"/>
    </row>
    <row r="10781" spans="1:7">
      <c r="A10781" s="1079"/>
      <c r="B10781" s="1050"/>
      <c r="C10781" s="1050"/>
      <c r="D10781" s="1050"/>
      <c r="E10781" s="1050"/>
      <c r="F10781" s="1050"/>
      <c r="G10781" s="1050"/>
    </row>
    <row r="10782" spans="1:7">
      <c r="A10782" s="1079"/>
      <c r="B10782" s="1050"/>
      <c r="C10782" s="1050"/>
      <c r="D10782" s="1050"/>
      <c r="E10782" s="1050"/>
      <c r="F10782" s="1050"/>
      <c r="G10782" s="1050"/>
    </row>
    <row r="10783" spans="1:7">
      <c r="A10783" s="1079"/>
      <c r="B10783" s="1050"/>
      <c r="C10783" s="1050"/>
      <c r="D10783" s="1050"/>
      <c r="E10783" s="1050"/>
      <c r="F10783" s="1050"/>
      <c r="G10783" s="1050"/>
    </row>
    <row r="10784" spans="1:7">
      <c r="A10784" s="1079"/>
      <c r="B10784" s="1050"/>
      <c r="C10784" s="1050"/>
      <c r="D10784" s="1050"/>
      <c r="E10784" s="1050"/>
      <c r="F10784" s="1050"/>
      <c r="G10784" s="1050"/>
    </row>
    <row r="10785" spans="1:7">
      <c r="A10785" s="1079"/>
      <c r="B10785" s="1050"/>
      <c r="C10785" s="1050"/>
      <c r="D10785" s="1050"/>
      <c r="E10785" s="1050"/>
      <c r="F10785" s="1050"/>
      <c r="G10785" s="1050"/>
    </row>
    <row r="10786" spans="1:7">
      <c r="A10786" s="1079"/>
      <c r="B10786" s="1050"/>
      <c r="C10786" s="1050"/>
      <c r="D10786" s="1050"/>
      <c r="E10786" s="1050"/>
      <c r="F10786" s="1050"/>
      <c r="G10786" s="1050"/>
    </row>
    <row r="10787" spans="1:7">
      <c r="A10787" s="1079"/>
      <c r="B10787" s="1050"/>
      <c r="C10787" s="1050"/>
      <c r="D10787" s="1050"/>
      <c r="E10787" s="1050"/>
      <c r="F10787" s="1050"/>
      <c r="G10787" s="1050"/>
    </row>
    <row r="10788" spans="1:7">
      <c r="A10788" s="1079"/>
      <c r="B10788" s="1050"/>
      <c r="C10788" s="1050"/>
      <c r="D10788" s="1050"/>
      <c r="E10788" s="1050"/>
      <c r="F10788" s="1050"/>
      <c r="G10788" s="1050"/>
    </row>
    <row r="10789" spans="1:7">
      <c r="A10789" s="1079"/>
      <c r="B10789" s="1050"/>
      <c r="C10789" s="1050"/>
      <c r="D10789" s="1050"/>
      <c r="E10789" s="1050"/>
      <c r="F10789" s="1050"/>
      <c r="G10789" s="1050"/>
    </row>
    <row r="10790" spans="1:7">
      <c r="A10790" s="1079"/>
      <c r="B10790" s="1050"/>
      <c r="C10790" s="1050"/>
      <c r="D10790" s="1050"/>
      <c r="E10790" s="1050"/>
      <c r="F10790" s="1050"/>
      <c r="G10790" s="1050"/>
    </row>
    <row r="10791" spans="1:7">
      <c r="A10791" s="1079"/>
      <c r="B10791" s="1050"/>
      <c r="C10791" s="1050"/>
      <c r="D10791" s="1050"/>
      <c r="E10791" s="1050"/>
      <c r="F10791" s="1050"/>
      <c r="G10791" s="1050"/>
    </row>
    <row r="10792" spans="1:7">
      <c r="A10792" s="1079"/>
      <c r="B10792" s="1050"/>
      <c r="C10792" s="1050"/>
      <c r="D10792" s="1050"/>
      <c r="E10792" s="1050"/>
      <c r="F10792" s="1050"/>
      <c r="G10792" s="1050"/>
    </row>
    <row r="10793" spans="1:7">
      <c r="A10793" s="1079"/>
      <c r="B10793" s="1050"/>
      <c r="C10793" s="1050"/>
      <c r="D10793" s="1050"/>
      <c r="E10793" s="1050"/>
      <c r="F10793" s="1050"/>
      <c r="G10793" s="1050"/>
    </row>
    <row r="10794" spans="1:7">
      <c r="A10794" s="1079"/>
      <c r="B10794" s="1050"/>
      <c r="C10794" s="1050"/>
      <c r="D10794" s="1050"/>
      <c r="E10794" s="1050"/>
      <c r="F10794" s="1050"/>
      <c r="G10794" s="1050"/>
    </row>
    <row r="10795" spans="1:7">
      <c r="A10795" s="1079"/>
      <c r="B10795" s="1050"/>
      <c r="C10795" s="1050"/>
      <c r="D10795" s="1050"/>
      <c r="E10795" s="1050"/>
      <c r="F10795" s="1050"/>
      <c r="G10795" s="1050"/>
    </row>
    <row r="10796" spans="1:7">
      <c r="A10796" s="1079"/>
      <c r="B10796" s="1050"/>
      <c r="C10796" s="1050"/>
      <c r="D10796" s="1050"/>
      <c r="E10796" s="1050"/>
      <c r="F10796" s="1050"/>
      <c r="G10796" s="1050"/>
    </row>
    <row r="10797" spans="1:7">
      <c r="A10797" s="1079"/>
      <c r="B10797" s="1050"/>
      <c r="C10797" s="1050"/>
      <c r="D10797" s="1050"/>
      <c r="E10797" s="1050"/>
      <c r="F10797" s="1050"/>
      <c r="G10797" s="1050"/>
    </row>
    <row r="10798" spans="1:7">
      <c r="A10798" s="1079"/>
      <c r="B10798" s="1050"/>
      <c r="C10798" s="1050"/>
      <c r="D10798" s="1050"/>
      <c r="E10798" s="1050"/>
      <c r="F10798" s="1050"/>
      <c r="G10798" s="1050"/>
    </row>
    <row r="10799" spans="1:7">
      <c r="A10799" s="1079"/>
      <c r="B10799" s="1050"/>
      <c r="C10799" s="1050"/>
      <c r="D10799" s="1050"/>
      <c r="E10799" s="1050"/>
      <c r="F10799" s="1050"/>
      <c r="G10799" s="1050"/>
    </row>
    <row r="10800" spans="1:7">
      <c r="A10800" s="1079"/>
      <c r="B10800" s="1050"/>
      <c r="C10800" s="1050"/>
      <c r="D10800" s="1050"/>
      <c r="E10800" s="1050"/>
      <c r="F10800" s="1050"/>
      <c r="G10800" s="1050"/>
    </row>
    <row r="10801" spans="1:7">
      <c r="A10801" s="1079"/>
      <c r="B10801" s="1050"/>
      <c r="C10801" s="1050"/>
      <c r="D10801" s="1050"/>
      <c r="E10801" s="1050"/>
      <c r="F10801" s="1050"/>
      <c r="G10801" s="1050"/>
    </row>
    <row r="10802" spans="1:7">
      <c r="A10802" s="1079"/>
      <c r="B10802" s="1050"/>
      <c r="C10802" s="1050"/>
      <c r="D10802" s="1050"/>
      <c r="E10802" s="1050"/>
      <c r="F10802" s="1050"/>
      <c r="G10802" s="1050"/>
    </row>
    <row r="10803" spans="1:7">
      <c r="A10803" s="1079"/>
      <c r="B10803" s="1050"/>
      <c r="C10803" s="1050"/>
      <c r="D10803" s="1050"/>
      <c r="E10803" s="1050"/>
      <c r="F10803" s="1050"/>
      <c r="G10803" s="1050"/>
    </row>
    <row r="10804" spans="1:7">
      <c r="A10804" s="1079"/>
      <c r="B10804" s="1050"/>
      <c r="C10804" s="1050"/>
      <c r="D10804" s="1050"/>
      <c r="E10804" s="1050"/>
      <c r="F10804" s="1050"/>
      <c r="G10804" s="1050"/>
    </row>
    <row r="10805" spans="1:7">
      <c r="A10805" s="1079"/>
      <c r="B10805" s="1050"/>
      <c r="C10805" s="1050"/>
      <c r="D10805" s="1050"/>
      <c r="E10805" s="1050"/>
      <c r="F10805" s="1050"/>
      <c r="G10805" s="1050"/>
    </row>
    <row r="10806" spans="1:7">
      <c r="A10806" s="1079"/>
      <c r="B10806" s="1050"/>
      <c r="C10806" s="1050"/>
      <c r="D10806" s="1050"/>
      <c r="E10806" s="1050"/>
      <c r="F10806" s="1050"/>
      <c r="G10806" s="1050"/>
    </row>
    <row r="10807" spans="1:7">
      <c r="A10807" s="1079"/>
      <c r="B10807" s="1050"/>
      <c r="C10807" s="1050"/>
      <c r="D10807" s="1050"/>
      <c r="E10807" s="1050"/>
      <c r="F10807" s="1050"/>
      <c r="G10807" s="1050"/>
    </row>
    <row r="10808" spans="1:7">
      <c r="A10808" s="1079"/>
      <c r="B10808" s="1050"/>
      <c r="C10808" s="1050"/>
      <c r="D10808" s="1050"/>
      <c r="E10808" s="1050"/>
      <c r="F10808" s="1050"/>
      <c r="G10808" s="1050"/>
    </row>
    <row r="10809" spans="1:7">
      <c r="A10809" s="1079"/>
      <c r="B10809" s="1050"/>
      <c r="C10809" s="1050"/>
      <c r="D10809" s="1050"/>
      <c r="E10809" s="1050"/>
      <c r="F10809" s="1050"/>
      <c r="G10809" s="1050"/>
    </row>
    <row r="10810" spans="1:7">
      <c r="A10810" s="1079"/>
      <c r="B10810" s="1050"/>
      <c r="C10810" s="1050"/>
      <c r="D10810" s="1050"/>
      <c r="E10810" s="1050"/>
      <c r="F10810" s="1050"/>
      <c r="G10810" s="1050"/>
    </row>
    <row r="10811" spans="1:7">
      <c r="A10811" s="1079"/>
      <c r="B10811" s="1050"/>
      <c r="C10811" s="1050"/>
      <c r="D10811" s="1050"/>
      <c r="E10811" s="1050"/>
      <c r="F10811" s="1050"/>
      <c r="G10811" s="1050"/>
    </row>
    <row r="10812" spans="1:7">
      <c r="A10812" s="1079"/>
      <c r="B10812" s="1050"/>
      <c r="C10812" s="1050"/>
      <c r="D10812" s="1050"/>
      <c r="E10812" s="1050"/>
      <c r="F10812" s="1050"/>
      <c r="G10812" s="1050"/>
    </row>
    <row r="10813" spans="1:7">
      <c r="A10813" s="1079"/>
      <c r="B10813" s="1050"/>
      <c r="C10813" s="1050"/>
      <c r="D10813" s="1050"/>
      <c r="E10813" s="1050"/>
      <c r="F10813" s="1050"/>
      <c r="G10813" s="1050"/>
    </row>
    <row r="10814" spans="1:7">
      <c r="A10814" s="1079"/>
      <c r="B10814" s="1050"/>
      <c r="C10814" s="1050"/>
      <c r="D10814" s="1050"/>
      <c r="E10814" s="1050"/>
      <c r="F10814" s="1050"/>
      <c r="G10814" s="1050"/>
    </row>
    <row r="10815" spans="1:7">
      <c r="A10815" s="1079"/>
      <c r="B10815" s="1050"/>
      <c r="C10815" s="1050"/>
      <c r="D10815" s="1050"/>
      <c r="E10815" s="1050"/>
      <c r="F10815" s="1050"/>
      <c r="G10815" s="1050"/>
    </row>
    <row r="10816" spans="1:7">
      <c r="A10816" s="1079"/>
      <c r="B10816" s="1050"/>
      <c r="C10816" s="1050"/>
      <c r="D10816" s="1050"/>
      <c r="E10816" s="1050"/>
      <c r="F10816" s="1050"/>
      <c r="G10816" s="1050"/>
    </row>
    <row r="10817" spans="1:7">
      <c r="A10817" s="1079"/>
      <c r="B10817" s="1050"/>
      <c r="C10817" s="1050"/>
      <c r="D10817" s="1050"/>
      <c r="E10817" s="1050"/>
      <c r="F10817" s="1050"/>
      <c r="G10817" s="1050"/>
    </row>
    <row r="10818" spans="1:7">
      <c r="A10818" s="1079"/>
      <c r="B10818" s="1050"/>
      <c r="C10818" s="1050"/>
      <c r="D10818" s="1050"/>
      <c r="E10818" s="1050"/>
      <c r="F10818" s="1050"/>
      <c r="G10818" s="1050"/>
    </row>
    <row r="10819" spans="1:7">
      <c r="A10819" s="1079"/>
      <c r="B10819" s="1050"/>
      <c r="C10819" s="1050"/>
      <c r="D10819" s="1050"/>
      <c r="E10819" s="1050"/>
      <c r="F10819" s="1050"/>
      <c r="G10819" s="1050"/>
    </row>
    <row r="10820" spans="1:7">
      <c r="A10820" s="1079"/>
      <c r="B10820" s="1050"/>
      <c r="C10820" s="1050"/>
      <c r="D10820" s="1050"/>
      <c r="E10820" s="1050"/>
      <c r="F10820" s="1050"/>
      <c r="G10820" s="1050"/>
    </row>
    <row r="10821" spans="1:7">
      <c r="A10821" s="1079"/>
      <c r="B10821" s="1050"/>
      <c r="C10821" s="1050"/>
      <c r="D10821" s="1050"/>
      <c r="E10821" s="1050"/>
      <c r="F10821" s="1050"/>
      <c r="G10821" s="1050"/>
    </row>
    <row r="10822" spans="1:7">
      <c r="A10822" s="1079"/>
      <c r="B10822" s="1050"/>
      <c r="C10822" s="1050"/>
      <c r="D10822" s="1050"/>
      <c r="E10822" s="1050"/>
      <c r="F10822" s="1050"/>
      <c r="G10822" s="1050"/>
    </row>
    <row r="10823" spans="1:7">
      <c r="A10823" s="1079"/>
      <c r="B10823" s="1050"/>
      <c r="C10823" s="1050"/>
      <c r="D10823" s="1050"/>
      <c r="E10823" s="1050"/>
      <c r="F10823" s="1050"/>
      <c r="G10823" s="1050"/>
    </row>
    <row r="10824" spans="1:7">
      <c r="A10824" s="1079"/>
      <c r="B10824" s="1050"/>
      <c r="C10824" s="1050"/>
      <c r="D10824" s="1050"/>
      <c r="E10824" s="1050"/>
      <c r="F10824" s="1050"/>
      <c r="G10824" s="1050"/>
    </row>
    <row r="10825" spans="1:7">
      <c r="A10825" s="1079"/>
      <c r="B10825" s="1050"/>
      <c r="C10825" s="1050"/>
      <c r="D10825" s="1050"/>
      <c r="E10825" s="1050"/>
      <c r="F10825" s="1050"/>
      <c r="G10825" s="1050"/>
    </row>
    <row r="10826" spans="1:7">
      <c r="A10826" s="1079"/>
      <c r="B10826" s="1050"/>
      <c r="C10826" s="1050"/>
      <c r="D10826" s="1050"/>
      <c r="E10826" s="1050"/>
      <c r="F10826" s="1050"/>
      <c r="G10826" s="1050"/>
    </row>
    <row r="10827" spans="1:7">
      <c r="A10827" s="1079"/>
      <c r="B10827" s="1050"/>
      <c r="C10827" s="1050"/>
      <c r="D10827" s="1050"/>
      <c r="E10827" s="1050"/>
      <c r="F10827" s="1050"/>
      <c r="G10827" s="1050"/>
    </row>
    <row r="10828" spans="1:7">
      <c r="A10828" s="1079"/>
      <c r="B10828" s="1050"/>
      <c r="C10828" s="1050"/>
      <c r="D10828" s="1050"/>
      <c r="E10828" s="1050"/>
      <c r="F10828" s="1050"/>
      <c r="G10828" s="1050"/>
    </row>
    <row r="10829" spans="1:7">
      <c r="A10829" s="1079"/>
      <c r="B10829" s="1050"/>
      <c r="C10829" s="1050"/>
      <c r="D10829" s="1050"/>
      <c r="E10829" s="1050"/>
      <c r="F10829" s="1050"/>
      <c r="G10829" s="1050"/>
    </row>
    <row r="10830" spans="1:7">
      <c r="A10830" s="1079"/>
      <c r="B10830" s="1050"/>
      <c r="C10830" s="1050"/>
      <c r="D10830" s="1050"/>
      <c r="E10830" s="1050"/>
      <c r="F10830" s="1050"/>
      <c r="G10830" s="1050"/>
    </row>
    <row r="10831" spans="1:7">
      <c r="A10831" s="1079"/>
      <c r="B10831" s="1050"/>
      <c r="C10831" s="1050"/>
      <c r="D10831" s="1050"/>
      <c r="E10831" s="1050"/>
      <c r="F10831" s="1050"/>
      <c r="G10831" s="1050"/>
    </row>
    <row r="10832" spans="1:7">
      <c r="A10832" s="1079"/>
      <c r="B10832" s="1050"/>
      <c r="C10832" s="1050"/>
      <c r="D10832" s="1050"/>
      <c r="E10832" s="1050"/>
      <c r="F10832" s="1050"/>
      <c r="G10832" s="1050"/>
    </row>
    <row r="10833" spans="1:7">
      <c r="A10833" s="1079"/>
      <c r="B10833" s="1050"/>
      <c r="C10833" s="1050"/>
      <c r="D10833" s="1050"/>
      <c r="E10833" s="1050"/>
      <c r="F10833" s="1050"/>
      <c r="G10833" s="1050"/>
    </row>
    <row r="10834" spans="1:7">
      <c r="A10834" s="1079"/>
      <c r="B10834" s="1050"/>
      <c r="C10834" s="1050"/>
      <c r="D10834" s="1050"/>
      <c r="E10834" s="1050"/>
      <c r="F10834" s="1050"/>
      <c r="G10834" s="1050"/>
    </row>
    <row r="10835" spans="1:7">
      <c r="A10835" s="1079"/>
      <c r="B10835" s="1050"/>
      <c r="C10835" s="1050"/>
      <c r="D10835" s="1050"/>
      <c r="E10835" s="1050"/>
      <c r="F10835" s="1050"/>
      <c r="G10835" s="1050"/>
    </row>
    <row r="10836" spans="1:7">
      <c r="A10836" s="1079"/>
      <c r="B10836" s="1050"/>
      <c r="C10836" s="1050"/>
      <c r="D10836" s="1050"/>
      <c r="E10836" s="1050"/>
      <c r="F10836" s="1050"/>
      <c r="G10836" s="1050"/>
    </row>
    <row r="10837" spans="1:7">
      <c r="A10837" s="1079"/>
      <c r="B10837" s="1050"/>
      <c r="C10837" s="1050"/>
      <c r="D10837" s="1050"/>
      <c r="E10837" s="1050"/>
      <c r="F10837" s="1050"/>
      <c r="G10837" s="1050"/>
    </row>
    <row r="10838" spans="1:7">
      <c r="A10838" s="1079"/>
      <c r="B10838" s="1050"/>
      <c r="C10838" s="1050"/>
      <c r="D10838" s="1050"/>
      <c r="E10838" s="1050"/>
      <c r="F10838" s="1050"/>
      <c r="G10838" s="1050"/>
    </row>
    <row r="10839" spans="1:7">
      <c r="A10839" s="1079"/>
      <c r="B10839" s="1050"/>
      <c r="C10839" s="1050"/>
      <c r="D10839" s="1050"/>
      <c r="E10839" s="1050"/>
      <c r="F10839" s="1050"/>
      <c r="G10839" s="1050"/>
    </row>
    <row r="10840" spans="1:7">
      <c r="A10840" s="1079"/>
      <c r="B10840" s="1050"/>
      <c r="C10840" s="1050"/>
      <c r="D10840" s="1050"/>
      <c r="E10840" s="1050"/>
      <c r="F10840" s="1050"/>
      <c r="G10840" s="1050"/>
    </row>
    <row r="10841" spans="1:7">
      <c r="A10841" s="1079"/>
      <c r="B10841" s="1050"/>
      <c r="C10841" s="1050"/>
      <c r="D10841" s="1050"/>
      <c r="E10841" s="1050"/>
      <c r="F10841" s="1050"/>
      <c r="G10841" s="1050"/>
    </row>
    <row r="10842" spans="1:7">
      <c r="A10842" s="1079"/>
      <c r="B10842" s="1050"/>
      <c r="C10842" s="1050"/>
      <c r="D10842" s="1050"/>
      <c r="E10842" s="1050"/>
      <c r="F10842" s="1050"/>
      <c r="G10842" s="1050"/>
    </row>
    <row r="10843" spans="1:7">
      <c r="A10843" s="1079"/>
      <c r="B10843" s="1050"/>
      <c r="C10843" s="1050"/>
      <c r="D10843" s="1050"/>
      <c r="E10843" s="1050"/>
      <c r="F10843" s="1050"/>
      <c r="G10843" s="1050"/>
    </row>
    <row r="10844" spans="1:7">
      <c r="A10844" s="1079"/>
      <c r="B10844" s="1050"/>
      <c r="C10844" s="1050"/>
      <c r="D10844" s="1050"/>
      <c r="E10844" s="1050"/>
      <c r="F10844" s="1050"/>
      <c r="G10844" s="1050"/>
    </row>
    <row r="10845" spans="1:7">
      <c r="A10845" s="1079"/>
      <c r="B10845" s="1050"/>
      <c r="C10845" s="1050"/>
      <c r="D10845" s="1050"/>
      <c r="E10845" s="1050"/>
      <c r="F10845" s="1050"/>
      <c r="G10845" s="1050"/>
    </row>
    <row r="10846" spans="1:7">
      <c r="A10846" s="1079"/>
      <c r="B10846" s="1050"/>
      <c r="C10846" s="1050"/>
      <c r="D10846" s="1050"/>
      <c r="E10846" s="1050"/>
      <c r="F10846" s="1050"/>
      <c r="G10846" s="1050"/>
    </row>
    <row r="10847" spans="1:7">
      <c r="A10847" s="1079"/>
      <c r="B10847" s="1050"/>
      <c r="C10847" s="1050"/>
      <c r="D10847" s="1050"/>
      <c r="E10847" s="1050"/>
      <c r="F10847" s="1050"/>
      <c r="G10847" s="1050"/>
    </row>
    <row r="10848" spans="1:7">
      <c r="A10848" s="1079"/>
      <c r="B10848" s="1050"/>
      <c r="C10848" s="1050"/>
      <c r="D10848" s="1050"/>
      <c r="E10848" s="1050"/>
      <c r="F10848" s="1050"/>
      <c r="G10848" s="1050"/>
    </row>
    <row r="10849" spans="1:7">
      <c r="A10849" s="1079"/>
      <c r="B10849" s="1050"/>
      <c r="C10849" s="1050"/>
      <c r="D10849" s="1050"/>
      <c r="E10849" s="1050"/>
      <c r="F10849" s="1050"/>
      <c r="G10849" s="1050"/>
    </row>
    <row r="10850" spans="1:7">
      <c r="A10850" s="1079"/>
      <c r="B10850" s="1050"/>
      <c r="C10850" s="1050"/>
      <c r="D10850" s="1050"/>
      <c r="E10850" s="1050"/>
      <c r="F10850" s="1050"/>
      <c r="G10850" s="1050"/>
    </row>
    <row r="10851" spans="1:7">
      <c r="A10851" s="1079"/>
      <c r="B10851" s="1050"/>
      <c r="C10851" s="1050"/>
      <c r="D10851" s="1050"/>
      <c r="E10851" s="1050"/>
      <c r="F10851" s="1050"/>
      <c r="G10851" s="1050"/>
    </row>
    <row r="10852" spans="1:7">
      <c r="A10852" s="1079"/>
      <c r="B10852" s="1050"/>
      <c r="C10852" s="1050"/>
      <c r="D10852" s="1050"/>
      <c r="E10852" s="1050"/>
      <c r="F10852" s="1050"/>
      <c r="G10852" s="1050"/>
    </row>
    <row r="10853" spans="1:7">
      <c r="A10853" s="1079"/>
      <c r="B10853" s="1050"/>
      <c r="C10853" s="1050"/>
      <c r="D10853" s="1050"/>
      <c r="E10853" s="1050"/>
      <c r="F10853" s="1050"/>
      <c r="G10853" s="1050"/>
    </row>
    <row r="10854" spans="1:7">
      <c r="A10854" s="1079"/>
      <c r="B10854" s="1050"/>
      <c r="C10854" s="1050"/>
      <c r="D10854" s="1050"/>
      <c r="E10854" s="1050"/>
      <c r="F10854" s="1050"/>
      <c r="G10854" s="1050"/>
    </row>
    <row r="10855" spans="1:7">
      <c r="A10855" s="1079"/>
      <c r="B10855" s="1050"/>
      <c r="C10855" s="1050"/>
      <c r="D10855" s="1050"/>
      <c r="E10855" s="1050"/>
      <c r="F10855" s="1050"/>
      <c r="G10855" s="1050"/>
    </row>
    <row r="10856" spans="1:7">
      <c r="A10856" s="1079"/>
      <c r="B10856" s="1050"/>
      <c r="C10856" s="1050"/>
      <c r="D10856" s="1050"/>
      <c r="E10856" s="1050"/>
      <c r="F10856" s="1050"/>
      <c r="G10856" s="1050"/>
    </row>
    <row r="10857" spans="1:7">
      <c r="A10857" s="1079"/>
      <c r="B10857" s="1050"/>
      <c r="C10857" s="1050"/>
      <c r="D10857" s="1050"/>
      <c r="E10857" s="1050"/>
      <c r="F10857" s="1050"/>
      <c r="G10857" s="1050"/>
    </row>
    <row r="10858" spans="1:7">
      <c r="A10858" s="1079"/>
      <c r="B10858" s="1050"/>
      <c r="C10858" s="1050"/>
      <c r="D10858" s="1050"/>
      <c r="E10858" s="1050"/>
      <c r="F10858" s="1050"/>
      <c r="G10858" s="1050"/>
    </row>
    <row r="10859" spans="1:7">
      <c r="A10859" s="1079"/>
      <c r="B10859" s="1050"/>
      <c r="C10859" s="1050"/>
      <c r="D10859" s="1050"/>
      <c r="E10859" s="1050"/>
      <c r="F10859" s="1050"/>
      <c r="G10859" s="1050"/>
    </row>
    <row r="10860" spans="1:7">
      <c r="A10860" s="1079"/>
      <c r="B10860" s="1050"/>
      <c r="C10860" s="1050"/>
      <c r="D10860" s="1050"/>
      <c r="E10860" s="1050"/>
      <c r="F10860" s="1050"/>
      <c r="G10860" s="1050"/>
    </row>
    <row r="10861" spans="1:7">
      <c r="A10861" s="1079"/>
      <c r="B10861" s="1050"/>
      <c r="C10861" s="1050"/>
      <c r="D10861" s="1050"/>
      <c r="E10861" s="1050"/>
      <c r="F10861" s="1050"/>
      <c r="G10861" s="1050"/>
    </row>
    <row r="10862" spans="1:7">
      <c r="A10862" s="1079"/>
      <c r="B10862" s="1050"/>
      <c r="C10862" s="1050"/>
      <c r="D10862" s="1050"/>
      <c r="E10862" s="1050"/>
      <c r="F10862" s="1050"/>
      <c r="G10862" s="1050"/>
    </row>
    <row r="10863" spans="1:7">
      <c r="A10863" s="1079"/>
      <c r="B10863" s="1050"/>
      <c r="C10863" s="1050"/>
      <c r="D10863" s="1050"/>
      <c r="E10863" s="1050"/>
      <c r="F10863" s="1050"/>
      <c r="G10863" s="1050"/>
    </row>
    <row r="10864" spans="1:7">
      <c r="A10864" s="1079"/>
      <c r="B10864" s="1050"/>
      <c r="C10864" s="1050"/>
      <c r="D10864" s="1050"/>
      <c r="E10864" s="1050"/>
      <c r="F10864" s="1050"/>
      <c r="G10864" s="1050"/>
    </row>
    <row r="10865" spans="1:7">
      <c r="A10865" s="1079"/>
      <c r="B10865" s="1050"/>
      <c r="C10865" s="1050"/>
      <c r="D10865" s="1050"/>
      <c r="E10865" s="1050"/>
      <c r="F10865" s="1050"/>
      <c r="G10865" s="1050"/>
    </row>
    <row r="10866" spans="1:7">
      <c r="A10866" s="1079"/>
      <c r="B10866" s="1050"/>
      <c r="C10866" s="1050"/>
      <c r="D10866" s="1050"/>
      <c r="E10866" s="1050"/>
      <c r="F10866" s="1050"/>
      <c r="G10866" s="1050"/>
    </row>
    <row r="10867" spans="1:7">
      <c r="A10867" s="1079"/>
      <c r="B10867" s="1050"/>
      <c r="C10867" s="1050"/>
      <c r="D10867" s="1050"/>
      <c r="E10867" s="1050"/>
      <c r="F10867" s="1050"/>
      <c r="G10867" s="1050"/>
    </row>
    <row r="10868" spans="1:7">
      <c r="A10868" s="1079"/>
      <c r="B10868" s="1050"/>
      <c r="C10868" s="1050"/>
      <c r="D10868" s="1050"/>
      <c r="E10868" s="1050"/>
      <c r="F10868" s="1050"/>
      <c r="G10868" s="1050"/>
    </row>
    <row r="10869" spans="1:7">
      <c r="A10869" s="1079"/>
      <c r="B10869" s="1050"/>
      <c r="C10869" s="1050"/>
      <c r="D10869" s="1050"/>
      <c r="E10869" s="1050"/>
      <c r="F10869" s="1050"/>
      <c r="G10869" s="1050"/>
    </row>
    <row r="10870" spans="1:7">
      <c r="A10870" s="1079"/>
      <c r="B10870" s="1050"/>
      <c r="C10870" s="1050"/>
      <c r="D10870" s="1050"/>
      <c r="E10870" s="1050"/>
      <c r="F10870" s="1050"/>
      <c r="G10870" s="1050"/>
    </row>
    <row r="10871" spans="1:7">
      <c r="A10871" s="1079"/>
      <c r="B10871" s="1050"/>
      <c r="C10871" s="1050"/>
      <c r="D10871" s="1050"/>
      <c r="E10871" s="1050"/>
      <c r="F10871" s="1050"/>
      <c r="G10871" s="1050"/>
    </row>
    <row r="10872" spans="1:7">
      <c r="A10872" s="1079"/>
      <c r="B10872" s="1050"/>
      <c r="C10872" s="1050"/>
      <c r="D10872" s="1050"/>
      <c r="E10872" s="1050"/>
      <c r="F10872" s="1050"/>
      <c r="G10872" s="1050"/>
    </row>
    <row r="10873" spans="1:7">
      <c r="A10873" s="1079"/>
      <c r="B10873" s="1050"/>
      <c r="C10873" s="1050"/>
      <c r="D10873" s="1050"/>
      <c r="E10873" s="1050"/>
      <c r="F10873" s="1050"/>
      <c r="G10873" s="1050"/>
    </row>
    <row r="10874" spans="1:7">
      <c r="A10874" s="1079"/>
      <c r="B10874" s="1050"/>
      <c r="C10874" s="1050"/>
      <c r="D10874" s="1050"/>
      <c r="E10874" s="1050"/>
      <c r="F10874" s="1050"/>
      <c r="G10874" s="1050"/>
    </row>
    <row r="10875" spans="1:7">
      <c r="A10875" s="1079"/>
      <c r="B10875" s="1050"/>
      <c r="C10875" s="1050"/>
      <c r="D10875" s="1050"/>
      <c r="E10875" s="1050"/>
      <c r="F10875" s="1050"/>
      <c r="G10875" s="1050"/>
    </row>
    <row r="10876" spans="1:7">
      <c r="A10876" s="1079"/>
      <c r="B10876" s="1050"/>
      <c r="C10876" s="1050"/>
      <c r="D10876" s="1050"/>
      <c r="E10876" s="1050"/>
      <c r="F10876" s="1050"/>
      <c r="G10876" s="1050"/>
    </row>
    <row r="10877" spans="1:7">
      <c r="A10877" s="1079"/>
      <c r="B10877" s="1050"/>
      <c r="C10877" s="1050"/>
      <c r="D10877" s="1050"/>
      <c r="E10877" s="1050"/>
      <c r="F10877" s="1050"/>
      <c r="G10877" s="1050"/>
    </row>
    <row r="10878" spans="1:7">
      <c r="A10878" s="1079"/>
      <c r="B10878" s="1050"/>
      <c r="C10878" s="1050"/>
      <c r="D10878" s="1050"/>
      <c r="E10878" s="1050"/>
      <c r="F10878" s="1050"/>
      <c r="G10878" s="1050"/>
    </row>
    <row r="10879" spans="1:7">
      <c r="A10879" s="1079"/>
      <c r="B10879" s="1050"/>
      <c r="C10879" s="1050"/>
      <c r="D10879" s="1050"/>
      <c r="E10879" s="1050"/>
      <c r="F10879" s="1050"/>
      <c r="G10879" s="1050"/>
    </row>
    <row r="10880" spans="1:7">
      <c r="A10880" s="1079"/>
      <c r="B10880" s="1050"/>
      <c r="C10880" s="1050"/>
      <c r="D10880" s="1050"/>
      <c r="E10880" s="1050"/>
      <c r="F10880" s="1050"/>
      <c r="G10880" s="1050"/>
    </row>
    <row r="10881" spans="1:7">
      <c r="A10881" s="1079"/>
      <c r="B10881" s="1050"/>
      <c r="C10881" s="1050"/>
      <c r="D10881" s="1050"/>
      <c r="E10881" s="1050"/>
      <c r="F10881" s="1050"/>
      <c r="G10881" s="1050"/>
    </row>
    <row r="10882" spans="1:7">
      <c r="A10882" s="1079"/>
      <c r="B10882" s="1050"/>
      <c r="C10882" s="1050"/>
      <c r="D10882" s="1050"/>
      <c r="E10882" s="1050"/>
      <c r="F10882" s="1050"/>
      <c r="G10882" s="1050"/>
    </row>
    <row r="10883" spans="1:7">
      <c r="A10883" s="1079"/>
      <c r="B10883" s="1050"/>
      <c r="C10883" s="1050"/>
      <c r="D10883" s="1050"/>
      <c r="E10883" s="1050"/>
      <c r="F10883" s="1050"/>
      <c r="G10883" s="1050"/>
    </row>
    <row r="10884" spans="1:7">
      <c r="A10884" s="1079"/>
      <c r="B10884" s="1050"/>
      <c r="C10884" s="1050"/>
      <c r="D10884" s="1050"/>
      <c r="E10884" s="1050"/>
      <c r="F10884" s="1050"/>
      <c r="G10884" s="1050"/>
    </row>
    <row r="10885" spans="1:7">
      <c r="A10885" s="1079"/>
      <c r="B10885" s="1050"/>
      <c r="C10885" s="1050"/>
      <c r="D10885" s="1050"/>
      <c r="E10885" s="1050"/>
      <c r="F10885" s="1050"/>
      <c r="G10885" s="1050"/>
    </row>
    <row r="10886" spans="1:7">
      <c r="A10886" s="1079"/>
      <c r="B10886" s="1050"/>
      <c r="C10886" s="1050"/>
      <c r="D10886" s="1050"/>
      <c r="E10886" s="1050"/>
      <c r="F10886" s="1050"/>
      <c r="G10886" s="1050"/>
    </row>
    <row r="10887" spans="1:7">
      <c r="A10887" s="1079"/>
      <c r="B10887" s="1050"/>
      <c r="C10887" s="1050"/>
      <c r="D10887" s="1050"/>
      <c r="E10887" s="1050"/>
      <c r="F10887" s="1050"/>
      <c r="G10887" s="1050"/>
    </row>
    <row r="10888" spans="1:7">
      <c r="A10888" s="1079"/>
      <c r="B10888" s="1050"/>
      <c r="C10888" s="1050"/>
      <c r="D10888" s="1050"/>
      <c r="E10888" s="1050"/>
      <c r="F10888" s="1050"/>
      <c r="G10888" s="1050"/>
    </row>
    <row r="10889" spans="1:7">
      <c r="A10889" s="1079"/>
      <c r="B10889" s="1050"/>
      <c r="C10889" s="1050"/>
      <c r="D10889" s="1050"/>
      <c r="E10889" s="1050"/>
      <c r="F10889" s="1050"/>
      <c r="G10889" s="1050"/>
    </row>
    <row r="10890" spans="1:7">
      <c r="A10890" s="1079"/>
      <c r="B10890" s="1050"/>
      <c r="C10890" s="1050"/>
      <c r="D10890" s="1050"/>
      <c r="E10890" s="1050"/>
      <c r="F10890" s="1050"/>
      <c r="G10890" s="1050"/>
    </row>
    <row r="10891" spans="1:7">
      <c r="A10891" s="1079"/>
      <c r="B10891" s="1050"/>
      <c r="C10891" s="1050"/>
      <c r="D10891" s="1050"/>
      <c r="E10891" s="1050"/>
      <c r="F10891" s="1050"/>
      <c r="G10891" s="1050"/>
    </row>
    <row r="10892" spans="1:7">
      <c r="A10892" s="1079"/>
      <c r="B10892" s="1050"/>
      <c r="C10892" s="1050"/>
      <c r="D10892" s="1050"/>
      <c r="E10892" s="1050"/>
      <c r="F10892" s="1050"/>
      <c r="G10892" s="1050"/>
    </row>
    <row r="10893" spans="1:7">
      <c r="A10893" s="1079"/>
      <c r="B10893" s="1050"/>
      <c r="C10893" s="1050"/>
      <c r="D10893" s="1050"/>
      <c r="E10893" s="1050"/>
      <c r="F10893" s="1050"/>
      <c r="G10893" s="1050"/>
    </row>
    <row r="10894" spans="1:7">
      <c r="A10894" s="1079"/>
      <c r="B10894" s="1050"/>
      <c r="C10894" s="1050"/>
      <c r="D10894" s="1050"/>
      <c r="E10894" s="1050"/>
      <c r="F10894" s="1050"/>
      <c r="G10894" s="1050"/>
    </row>
    <row r="10895" spans="1:7">
      <c r="A10895" s="1079"/>
      <c r="B10895" s="1050"/>
      <c r="C10895" s="1050"/>
      <c r="D10895" s="1050"/>
      <c r="E10895" s="1050"/>
      <c r="F10895" s="1050"/>
      <c r="G10895" s="1050"/>
    </row>
    <row r="10896" spans="1:7">
      <c r="A10896" s="1079"/>
      <c r="B10896" s="1050"/>
      <c r="C10896" s="1050"/>
      <c r="D10896" s="1050"/>
      <c r="E10896" s="1050"/>
      <c r="F10896" s="1050"/>
      <c r="G10896" s="1050"/>
    </row>
    <row r="10897" spans="1:7">
      <c r="A10897" s="1079"/>
      <c r="B10897" s="1050"/>
      <c r="C10897" s="1050"/>
      <c r="D10897" s="1050"/>
      <c r="E10897" s="1050"/>
      <c r="F10897" s="1050"/>
      <c r="G10897" s="1050"/>
    </row>
    <row r="10898" spans="1:7">
      <c r="A10898" s="1079"/>
      <c r="B10898" s="1050"/>
      <c r="C10898" s="1050"/>
      <c r="D10898" s="1050"/>
      <c r="E10898" s="1050"/>
      <c r="F10898" s="1050"/>
      <c r="G10898" s="1050"/>
    </row>
    <row r="10899" spans="1:7">
      <c r="A10899" s="1079"/>
      <c r="B10899" s="1050"/>
      <c r="C10899" s="1050"/>
      <c r="D10899" s="1050"/>
      <c r="E10899" s="1050"/>
      <c r="F10899" s="1050"/>
      <c r="G10899" s="1050"/>
    </row>
    <row r="10900" spans="1:7">
      <c r="A10900" s="1079"/>
      <c r="B10900" s="1050"/>
      <c r="C10900" s="1050"/>
      <c r="D10900" s="1050"/>
      <c r="E10900" s="1050"/>
      <c r="F10900" s="1050"/>
      <c r="G10900" s="1050"/>
    </row>
    <row r="10901" spans="1:7">
      <c r="A10901" s="1079"/>
      <c r="B10901" s="1050"/>
      <c r="C10901" s="1050"/>
      <c r="D10901" s="1050"/>
      <c r="E10901" s="1050"/>
      <c r="F10901" s="1050"/>
      <c r="G10901" s="1050"/>
    </row>
    <row r="10902" spans="1:7">
      <c r="A10902" s="1079"/>
      <c r="B10902" s="1050"/>
      <c r="C10902" s="1050"/>
      <c r="D10902" s="1050"/>
      <c r="E10902" s="1050"/>
      <c r="F10902" s="1050"/>
      <c r="G10902" s="1050"/>
    </row>
    <row r="10903" spans="1:7">
      <c r="A10903" s="1079"/>
      <c r="B10903" s="1050"/>
      <c r="C10903" s="1050"/>
      <c r="D10903" s="1050"/>
      <c r="E10903" s="1050"/>
      <c r="F10903" s="1050"/>
      <c r="G10903" s="1050"/>
    </row>
    <row r="10904" spans="1:7">
      <c r="A10904" s="1079"/>
      <c r="B10904" s="1050"/>
      <c r="C10904" s="1050"/>
      <c r="D10904" s="1050"/>
      <c r="E10904" s="1050"/>
      <c r="F10904" s="1050"/>
      <c r="G10904" s="1050"/>
    </row>
    <row r="10905" spans="1:7">
      <c r="A10905" s="1079"/>
      <c r="B10905" s="1050"/>
      <c r="C10905" s="1050"/>
      <c r="D10905" s="1050"/>
      <c r="E10905" s="1050"/>
      <c r="F10905" s="1050"/>
      <c r="G10905" s="1050"/>
    </row>
    <row r="10906" spans="1:7">
      <c r="A10906" s="1079"/>
      <c r="B10906" s="1050"/>
      <c r="C10906" s="1050"/>
      <c r="D10906" s="1050"/>
      <c r="E10906" s="1050"/>
      <c r="F10906" s="1050"/>
      <c r="G10906" s="1050"/>
    </row>
    <row r="10907" spans="1:7">
      <c r="A10907" s="1079"/>
      <c r="B10907" s="1050"/>
      <c r="C10907" s="1050"/>
      <c r="D10907" s="1050"/>
      <c r="E10907" s="1050"/>
      <c r="F10907" s="1050"/>
      <c r="G10907" s="1050"/>
    </row>
    <row r="10908" spans="1:7">
      <c r="A10908" s="1079"/>
      <c r="B10908" s="1050"/>
      <c r="C10908" s="1050"/>
      <c r="D10908" s="1050"/>
      <c r="E10908" s="1050"/>
      <c r="F10908" s="1050"/>
      <c r="G10908" s="1050"/>
    </row>
    <row r="10909" spans="1:7">
      <c r="A10909" s="1079"/>
      <c r="B10909" s="1050"/>
      <c r="C10909" s="1050"/>
      <c r="D10909" s="1050"/>
      <c r="E10909" s="1050"/>
      <c r="F10909" s="1050"/>
      <c r="G10909" s="1050"/>
    </row>
    <row r="10910" spans="1:7">
      <c r="A10910" s="1079"/>
      <c r="B10910" s="1050"/>
      <c r="C10910" s="1050"/>
      <c r="D10910" s="1050"/>
      <c r="E10910" s="1050"/>
      <c r="F10910" s="1050"/>
      <c r="G10910" s="1050"/>
    </row>
    <row r="10911" spans="1:7">
      <c r="A10911" s="1079"/>
      <c r="B10911" s="1050"/>
      <c r="C10911" s="1050"/>
      <c r="D10911" s="1050"/>
      <c r="E10911" s="1050"/>
      <c r="F10911" s="1050"/>
      <c r="G10911" s="1050"/>
    </row>
    <row r="10912" spans="1:7">
      <c r="A10912" s="1079"/>
      <c r="B10912" s="1050"/>
      <c r="C10912" s="1050"/>
      <c r="D10912" s="1050"/>
      <c r="E10912" s="1050"/>
      <c r="F10912" s="1050"/>
      <c r="G10912" s="1050"/>
    </row>
    <row r="10913" spans="1:7">
      <c r="A10913" s="1079"/>
      <c r="B10913" s="1050"/>
      <c r="C10913" s="1050"/>
      <c r="D10913" s="1050"/>
      <c r="E10913" s="1050"/>
      <c r="F10913" s="1050"/>
      <c r="G10913" s="1050"/>
    </row>
    <row r="10914" spans="1:7">
      <c r="A10914" s="1079"/>
      <c r="B10914" s="1050"/>
      <c r="C10914" s="1050"/>
      <c r="D10914" s="1050"/>
      <c r="E10914" s="1050"/>
      <c r="F10914" s="1050"/>
      <c r="G10914" s="1050"/>
    </row>
    <row r="10915" spans="1:7">
      <c r="A10915" s="1079"/>
      <c r="B10915" s="1050"/>
      <c r="C10915" s="1050"/>
      <c r="D10915" s="1050"/>
      <c r="E10915" s="1050"/>
      <c r="F10915" s="1050"/>
      <c r="G10915" s="1050"/>
    </row>
    <row r="10916" spans="1:7">
      <c r="A10916" s="1079"/>
      <c r="B10916" s="1050"/>
      <c r="C10916" s="1050"/>
      <c r="D10916" s="1050"/>
      <c r="E10916" s="1050"/>
      <c r="F10916" s="1050"/>
      <c r="G10916" s="1050"/>
    </row>
    <row r="10917" spans="1:7">
      <c r="A10917" s="1079"/>
      <c r="B10917" s="1050"/>
      <c r="C10917" s="1050"/>
      <c r="D10917" s="1050"/>
      <c r="E10917" s="1050"/>
      <c r="F10917" s="1050"/>
      <c r="G10917" s="1050"/>
    </row>
    <row r="10918" spans="1:7">
      <c r="A10918" s="1079"/>
      <c r="B10918" s="1050"/>
      <c r="C10918" s="1050"/>
      <c r="D10918" s="1050"/>
      <c r="E10918" s="1050"/>
      <c r="F10918" s="1050"/>
      <c r="G10918" s="1050"/>
    </row>
    <row r="10919" spans="1:7">
      <c r="A10919" s="1079"/>
      <c r="B10919" s="1050"/>
      <c r="C10919" s="1050"/>
      <c r="D10919" s="1050"/>
      <c r="E10919" s="1050"/>
      <c r="F10919" s="1050"/>
      <c r="G10919" s="1050"/>
    </row>
    <row r="10920" spans="1:7">
      <c r="A10920" s="1079"/>
      <c r="B10920" s="1050"/>
      <c r="C10920" s="1050"/>
      <c r="D10920" s="1050"/>
      <c r="E10920" s="1050"/>
      <c r="F10920" s="1050"/>
      <c r="G10920" s="1050"/>
    </row>
    <row r="10921" spans="1:7">
      <c r="A10921" s="1079"/>
      <c r="B10921" s="1050"/>
      <c r="C10921" s="1050"/>
      <c r="D10921" s="1050"/>
      <c r="E10921" s="1050"/>
      <c r="F10921" s="1050"/>
      <c r="G10921" s="1050"/>
    </row>
    <row r="10922" spans="1:7">
      <c r="A10922" s="1079"/>
      <c r="B10922" s="1050"/>
      <c r="C10922" s="1050"/>
      <c r="D10922" s="1050"/>
      <c r="E10922" s="1050"/>
      <c r="F10922" s="1050"/>
      <c r="G10922" s="1050"/>
    </row>
    <row r="10923" spans="1:7">
      <c r="A10923" s="1079"/>
      <c r="B10923" s="1050"/>
      <c r="C10923" s="1050"/>
      <c r="D10923" s="1050"/>
      <c r="E10923" s="1050"/>
      <c r="F10923" s="1050"/>
      <c r="G10923" s="1050"/>
    </row>
    <row r="10924" spans="1:7">
      <c r="A10924" s="1079"/>
      <c r="B10924" s="1050"/>
      <c r="C10924" s="1050"/>
      <c r="D10924" s="1050"/>
      <c r="E10924" s="1050"/>
      <c r="F10924" s="1050"/>
      <c r="G10924" s="1050"/>
    </row>
    <row r="10925" spans="1:7">
      <c r="A10925" s="1079"/>
      <c r="B10925" s="1050"/>
      <c r="C10925" s="1050"/>
      <c r="D10925" s="1050"/>
      <c r="E10925" s="1050"/>
      <c r="F10925" s="1050"/>
      <c r="G10925" s="1050"/>
    </row>
    <row r="10926" spans="1:7">
      <c r="A10926" s="1079"/>
      <c r="B10926" s="1050"/>
      <c r="C10926" s="1050"/>
      <c r="D10926" s="1050"/>
      <c r="E10926" s="1050"/>
      <c r="F10926" s="1050"/>
      <c r="G10926" s="1050"/>
    </row>
    <row r="10927" spans="1:7">
      <c r="A10927" s="1079"/>
      <c r="B10927" s="1050"/>
      <c r="C10927" s="1050"/>
      <c r="D10927" s="1050"/>
      <c r="E10927" s="1050"/>
      <c r="F10927" s="1050"/>
      <c r="G10927" s="1050"/>
    </row>
    <row r="10928" spans="1:7">
      <c r="A10928" s="1079"/>
      <c r="B10928" s="1050"/>
      <c r="C10928" s="1050"/>
      <c r="D10928" s="1050"/>
      <c r="E10928" s="1050"/>
      <c r="F10928" s="1050"/>
      <c r="G10928" s="1050"/>
    </row>
    <row r="10929" spans="1:7">
      <c r="A10929" s="1079"/>
      <c r="B10929" s="1050"/>
      <c r="C10929" s="1050"/>
      <c r="D10929" s="1050"/>
      <c r="E10929" s="1050"/>
      <c r="F10929" s="1050"/>
      <c r="G10929" s="1050"/>
    </row>
    <row r="10930" spans="1:7">
      <c r="A10930" s="1079"/>
      <c r="B10930" s="1050"/>
      <c r="C10930" s="1050"/>
      <c r="D10930" s="1050"/>
      <c r="E10930" s="1050"/>
      <c r="F10930" s="1050"/>
      <c r="G10930" s="1050"/>
    </row>
    <row r="10931" spans="1:7">
      <c r="A10931" s="1079"/>
      <c r="B10931" s="1050"/>
      <c r="C10931" s="1050"/>
      <c r="D10931" s="1050"/>
      <c r="E10931" s="1050"/>
      <c r="F10931" s="1050"/>
      <c r="G10931" s="1050"/>
    </row>
    <row r="10932" spans="1:7">
      <c r="A10932" s="1079"/>
      <c r="B10932" s="1050"/>
      <c r="C10932" s="1050"/>
      <c r="D10932" s="1050"/>
      <c r="E10932" s="1050"/>
      <c r="F10932" s="1050"/>
      <c r="G10932" s="1050"/>
    </row>
    <row r="10933" spans="1:7">
      <c r="A10933" s="1079"/>
      <c r="B10933" s="1050"/>
      <c r="C10933" s="1050"/>
      <c r="D10933" s="1050"/>
      <c r="E10933" s="1050"/>
      <c r="F10933" s="1050"/>
      <c r="G10933" s="1050"/>
    </row>
    <row r="10934" spans="1:7">
      <c r="A10934" s="1079"/>
      <c r="B10934" s="1050"/>
      <c r="C10934" s="1050"/>
      <c r="D10934" s="1050"/>
      <c r="E10934" s="1050"/>
      <c r="F10934" s="1050"/>
      <c r="G10934" s="1050"/>
    </row>
    <row r="10935" spans="1:7">
      <c r="A10935" s="1079"/>
      <c r="B10935" s="1050"/>
      <c r="C10935" s="1050"/>
      <c r="D10935" s="1050"/>
      <c r="E10935" s="1050"/>
      <c r="F10935" s="1050"/>
      <c r="G10935" s="1050"/>
    </row>
    <row r="10936" spans="1:7">
      <c r="A10936" s="1079"/>
      <c r="B10936" s="1050"/>
      <c r="C10936" s="1050"/>
      <c r="D10936" s="1050"/>
      <c r="E10936" s="1050"/>
      <c r="F10936" s="1050"/>
      <c r="G10936" s="1050"/>
    </row>
    <row r="10937" spans="1:7">
      <c r="A10937" s="1079"/>
      <c r="B10937" s="1050"/>
      <c r="C10937" s="1050"/>
      <c r="D10937" s="1050"/>
      <c r="E10937" s="1050"/>
      <c r="F10937" s="1050"/>
      <c r="G10937" s="1050"/>
    </row>
    <row r="10938" spans="1:7">
      <c r="A10938" s="1079"/>
      <c r="B10938" s="1050"/>
      <c r="C10938" s="1050"/>
      <c r="D10938" s="1050"/>
      <c r="E10938" s="1050"/>
      <c r="F10938" s="1050"/>
      <c r="G10938" s="1050"/>
    </row>
    <row r="10939" spans="1:7">
      <c r="A10939" s="1079"/>
      <c r="B10939" s="1050"/>
      <c r="C10939" s="1050"/>
      <c r="D10939" s="1050"/>
      <c r="E10939" s="1050"/>
      <c r="F10939" s="1050"/>
      <c r="G10939" s="1050"/>
    </row>
    <row r="10940" spans="1:7">
      <c r="A10940" s="1079"/>
      <c r="B10940" s="1050"/>
      <c r="C10940" s="1050"/>
      <c r="D10940" s="1050"/>
      <c r="E10940" s="1050"/>
      <c r="F10940" s="1050"/>
      <c r="G10940" s="1050"/>
    </row>
    <row r="10941" spans="1:7">
      <c r="A10941" s="1079"/>
      <c r="B10941" s="1050"/>
      <c r="C10941" s="1050"/>
      <c r="D10941" s="1050"/>
      <c r="E10941" s="1050"/>
      <c r="F10941" s="1050"/>
      <c r="G10941" s="1050"/>
    </row>
    <row r="10942" spans="1:7">
      <c r="A10942" s="1079"/>
      <c r="B10942" s="1050"/>
      <c r="C10942" s="1050"/>
      <c r="D10942" s="1050"/>
      <c r="E10942" s="1050"/>
      <c r="F10942" s="1050"/>
      <c r="G10942" s="1050"/>
    </row>
    <row r="10943" spans="1:7">
      <c r="A10943" s="1079"/>
      <c r="B10943" s="1050"/>
      <c r="C10943" s="1050"/>
      <c r="D10943" s="1050"/>
      <c r="E10943" s="1050"/>
      <c r="F10943" s="1050"/>
      <c r="G10943" s="1050"/>
    </row>
    <row r="10944" spans="1:7">
      <c r="A10944" s="1079"/>
      <c r="B10944" s="1050"/>
      <c r="C10944" s="1050"/>
      <c r="D10944" s="1050"/>
      <c r="E10944" s="1050"/>
      <c r="F10944" s="1050"/>
      <c r="G10944" s="1050"/>
    </row>
    <row r="10945" spans="1:7">
      <c r="A10945" s="1079"/>
      <c r="B10945" s="1050"/>
      <c r="C10945" s="1050"/>
      <c r="D10945" s="1050"/>
      <c r="E10945" s="1050"/>
      <c r="F10945" s="1050"/>
      <c r="G10945" s="1050"/>
    </row>
    <row r="10946" spans="1:7">
      <c r="A10946" s="1079"/>
      <c r="B10946" s="1050"/>
      <c r="C10946" s="1050"/>
      <c r="D10946" s="1050"/>
      <c r="E10946" s="1050"/>
      <c r="F10946" s="1050"/>
      <c r="G10946" s="1050"/>
    </row>
    <row r="10947" spans="1:7">
      <c r="A10947" s="1079"/>
      <c r="B10947" s="1050"/>
      <c r="C10947" s="1050"/>
      <c r="D10947" s="1050"/>
      <c r="E10947" s="1050"/>
      <c r="F10947" s="1050"/>
      <c r="G10947" s="1050"/>
    </row>
    <row r="10948" spans="1:7">
      <c r="A10948" s="1079"/>
      <c r="B10948" s="1050"/>
      <c r="C10948" s="1050"/>
      <c r="D10948" s="1050"/>
      <c r="E10948" s="1050"/>
      <c r="F10948" s="1050"/>
      <c r="G10948" s="1050"/>
    </row>
    <row r="10949" spans="1:7">
      <c r="A10949" s="1079"/>
      <c r="B10949" s="1050"/>
      <c r="C10949" s="1050"/>
      <c r="D10949" s="1050"/>
      <c r="E10949" s="1050"/>
      <c r="F10949" s="1050"/>
      <c r="G10949" s="1050"/>
    </row>
    <row r="10950" spans="1:7">
      <c r="A10950" s="1079"/>
      <c r="B10950" s="1050"/>
      <c r="C10950" s="1050"/>
      <c r="D10950" s="1050"/>
      <c r="E10950" s="1050"/>
      <c r="F10950" s="1050"/>
      <c r="G10950" s="1050"/>
    </row>
    <row r="10951" spans="1:7">
      <c r="A10951" s="1079"/>
      <c r="B10951" s="1050"/>
      <c r="C10951" s="1050"/>
      <c r="D10951" s="1050"/>
      <c r="E10951" s="1050"/>
      <c r="F10951" s="1050"/>
      <c r="G10951" s="1050"/>
    </row>
    <row r="10952" spans="1:7">
      <c r="A10952" s="1079"/>
      <c r="B10952" s="1050"/>
      <c r="C10952" s="1050"/>
      <c r="D10952" s="1050"/>
      <c r="E10952" s="1050"/>
      <c r="F10952" s="1050"/>
      <c r="G10952" s="1050"/>
    </row>
    <row r="10953" spans="1:7">
      <c r="A10953" s="1079"/>
      <c r="B10953" s="1050"/>
      <c r="C10953" s="1050"/>
      <c r="D10953" s="1050"/>
      <c r="E10953" s="1050"/>
      <c r="F10953" s="1050"/>
      <c r="G10953" s="1050"/>
    </row>
    <row r="10954" spans="1:7">
      <c r="A10954" s="1079"/>
      <c r="B10954" s="1050"/>
      <c r="C10954" s="1050"/>
      <c r="D10954" s="1050"/>
      <c r="E10954" s="1050"/>
      <c r="F10954" s="1050"/>
      <c r="G10954" s="1050"/>
    </row>
    <row r="10955" spans="1:7">
      <c r="A10955" s="1079"/>
      <c r="B10955" s="1050"/>
      <c r="C10955" s="1050"/>
      <c r="D10955" s="1050"/>
      <c r="E10955" s="1050"/>
      <c r="F10955" s="1050"/>
      <c r="G10955" s="1050"/>
    </row>
    <row r="10956" spans="1:7">
      <c r="A10956" s="1079"/>
      <c r="B10956" s="1050"/>
      <c r="C10956" s="1050"/>
      <c r="D10956" s="1050"/>
      <c r="E10956" s="1050"/>
      <c r="F10956" s="1050"/>
      <c r="G10956" s="1050"/>
    </row>
    <row r="10957" spans="1:7">
      <c r="A10957" s="1079"/>
      <c r="B10957" s="1050"/>
      <c r="C10957" s="1050"/>
      <c r="D10957" s="1050"/>
      <c r="E10957" s="1050"/>
      <c r="F10957" s="1050"/>
      <c r="G10957" s="1050"/>
    </row>
    <row r="10958" spans="1:7">
      <c r="A10958" s="1079"/>
      <c r="B10958" s="1050"/>
      <c r="C10958" s="1050"/>
      <c r="D10958" s="1050"/>
      <c r="E10958" s="1050"/>
      <c r="F10958" s="1050"/>
      <c r="G10958" s="1050"/>
    </row>
    <row r="10959" spans="1:7">
      <c r="A10959" s="1079"/>
      <c r="B10959" s="1050"/>
      <c r="C10959" s="1050"/>
      <c r="D10959" s="1050"/>
      <c r="E10959" s="1050"/>
      <c r="F10959" s="1050"/>
      <c r="G10959" s="1050"/>
    </row>
    <row r="10960" spans="1:7">
      <c r="A10960" s="1079"/>
      <c r="B10960" s="1050"/>
      <c r="C10960" s="1050"/>
      <c r="D10960" s="1050"/>
      <c r="E10960" s="1050"/>
      <c r="F10960" s="1050"/>
      <c r="G10960" s="1050"/>
    </row>
    <row r="10961" spans="1:7">
      <c r="A10961" s="1079"/>
      <c r="B10961" s="1050"/>
      <c r="C10961" s="1050"/>
      <c r="D10961" s="1050"/>
      <c r="E10961" s="1050"/>
      <c r="F10961" s="1050"/>
      <c r="G10961" s="1050"/>
    </row>
    <row r="10962" spans="1:7">
      <c r="A10962" s="1079"/>
      <c r="B10962" s="1050"/>
      <c r="C10962" s="1050"/>
      <c r="D10962" s="1050"/>
      <c r="E10962" s="1050"/>
      <c r="F10962" s="1050"/>
      <c r="G10962" s="1050"/>
    </row>
    <row r="10963" spans="1:7">
      <c r="A10963" s="1079"/>
      <c r="B10963" s="1050"/>
      <c r="C10963" s="1050"/>
      <c r="D10963" s="1050"/>
      <c r="E10963" s="1050"/>
      <c r="F10963" s="1050"/>
      <c r="G10963" s="1050"/>
    </row>
    <row r="10964" spans="1:7">
      <c r="A10964" s="1079"/>
      <c r="B10964" s="1050"/>
      <c r="C10964" s="1050"/>
      <c r="D10964" s="1050"/>
      <c r="E10964" s="1050"/>
      <c r="F10964" s="1050"/>
      <c r="G10964" s="1050"/>
    </row>
    <row r="10965" spans="1:7">
      <c r="A10965" s="1079"/>
      <c r="B10965" s="1050"/>
      <c r="C10965" s="1050"/>
      <c r="D10965" s="1050"/>
      <c r="E10965" s="1050"/>
      <c r="F10965" s="1050"/>
      <c r="G10965" s="1050"/>
    </row>
    <row r="10966" spans="1:7">
      <c r="A10966" s="1079"/>
      <c r="B10966" s="1050"/>
      <c r="C10966" s="1050"/>
      <c r="D10966" s="1050"/>
      <c r="E10966" s="1050"/>
      <c r="F10966" s="1050"/>
      <c r="G10966" s="1050"/>
    </row>
    <row r="10967" spans="1:7">
      <c r="A10967" s="1079"/>
      <c r="B10967" s="1050"/>
      <c r="C10967" s="1050"/>
      <c r="D10967" s="1050"/>
      <c r="E10967" s="1050"/>
      <c r="F10967" s="1050"/>
      <c r="G10967" s="1050"/>
    </row>
    <row r="10968" spans="1:7">
      <c r="A10968" s="1079"/>
      <c r="B10968" s="1050"/>
      <c r="C10968" s="1050"/>
      <c r="D10968" s="1050"/>
      <c r="E10968" s="1050"/>
      <c r="F10968" s="1050"/>
      <c r="G10968" s="1050"/>
    </row>
    <row r="10969" spans="1:7">
      <c r="A10969" s="1079"/>
      <c r="B10969" s="1050"/>
      <c r="C10969" s="1050"/>
      <c r="D10969" s="1050"/>
      <c r="E10969" s="1050"/>
      <c r="F10969" s="1050"/>
      <c r="G10969" s="1050"/>
    </row>
    <row r="10970" spans="1:7">
      <c r="A10970" s="1079"/>
      <c r="B10970" s="1050"/>
      <c r="C10970" s="1050"/>
      <c r="D10970" s="1050"/>
      <c r="E10970" s="1050"/>
      <c r="F10970" s="1050"/>
      <c r="G10970" s="1050"/>
    </row>
    <row r="10971" spans="1:7">
      <c r="A10971" s="1079"/>
      <c r="B10971" s="1050"/>
      <c r="C10971" s="1050"/>
      <c r="D10971" s="1050"/>
      <c r="E10971" s="1050"/>
      <c r="F10971" s="1050"/>
      <c r="G10971" s="1050"/>
    </row>
    <row r="10972" spans="1:7">
      <c r="A10972" s="1079"/>
      <c r="B10972" s="1050"/>
      <c r="C10972" s="1050"/>
      <c r="D10972" s="1050"/>
      <c r="E10972" s="1050"/>
      <c r="F10972" s="1050"/>
      <c r="G10972" s="1050"/>
    </row>
    <row r="10973" spans="1:7">
      <c r="A10973" s="1079"/>
      <c r="B10973" s="1050"/>
      <c r="C10973" s="1050"/>
      <c r="D10973" s="1050"/>
      <c r="E10973" s="1050"/>
      <c r="F10973" s="1050"/>
      <c r="G10973" s="1050"/>
    </row>
    <row r="10974" spans="1:7">
      <c r="A10974" s="1079"/>
      <c r="B10974" s="1050"/>
      <c r="C10974" s="1050"/>
      <c r="D10974" s="1050"/>
      <c r="E10974" s="1050"/>
      <c r="F10974" s="1050"/>
      <c r="G10974" s="1050"/>
    </row>
    <row r="10975" spans="1:7">
      <c r="A10975" s="1079"/>
      <c r="B10975" s="1050"/>
      <c r="C10975" s="1050"/>
      <c r="D10975" s="1050"/>
      <c r="E10975" s="1050"/>
      <c r="F10975" s="1050"/>
      <c r="G10975" s="1050"/>
    </row>
    <row r="10976" spans="1:7">
      <c r="A10976" s="1079"/>
      <c r="B10976" s="1050"/>
      <c r="C10976" s="1050"/>
      <c r="D10976" s="1050"/>
      <c r="E10976" s="1050"/>
      <c r="F10976" s="1050"/>
      <c r="G10976" s="1050"/>
    </row>
    <row r="10977" spans="1:7">
      <c r="A10977" s="1079"/>
      <c r="B10977" s="1050"/>
      <c r="C10977" s="1050"/>
      <c r="D10977" s="1050"/>
      <c r="E10977" s="1050"/>
      <c r="F10977" s="1050"/>
      <c r="G10977" s="1050"/>
    </row>
    <row r="10978" spans="1:7">
      <c r="A10978" s="1079"/>
      <c r="B10978" s="1050"/>
      <c r="C10978" s="1050"/>
      <c r="D10978" s="1050"/>
      <c r="E10978" s="1050"/>
      <c r="F10978" s="1050"/>
      <c r="G10978" s="1050"/>
    </row>
    <row r="10979" spans="1:7">
      <c r="A10979" s="1079"/>
      <c r="B10979" s="1050"/>
      <c r="C10979" s="1050"/>
      <c r="D10979" s="1050"/>
      <c r="E10979" s="1050"/>
      <c r="F10979" s="1050"/>
      <c r="G10979" s="1050"/>
    </row>
    <row r="10980" spans="1:7">
      <c r="A10980" s="1079"/>
      <c r="B10980" s="1050"/>
      <c r="C10980" s="1050"/>
      <c r="D10980" s="1050"/>
      <c r="E10980" s="1050"/>
      <c r="F10980" s="1050"/>
      <c r="G10980" s="1050"/>
    </row>
    <row r="10981" spans="1:7">
      <c r="A10981" s="1079"/>
      <c r="B10981" s="1050"/>
      <c r="C10981" s="1050"/>
      <c r="D10981" s="1050"/>
      <c r="E10981" s="1050"/>
      <c r="F10981" s="1050"/>
      <c r="G10981" s="1050"/>
    </row>
    <row r="10982" spans="1:7">
      <c r="A10982" s="1079"/>
      <c r="B10982" s="1050"/>
      <c r="C10982" s="1050"/>
      <c r="D10982" s="1050"/>
      <c r="E10982" s="1050"/>
      <c r="F10982" s="1050"/>
      <c r="G10982" s="1050"/>
    </row>
    <row r="10983" spans="1:7">
      <c r="A10983" s="1079"/>
      <c r="B10983" s="1050"/>
      <c r="C10983" s="1050"/>
      <c r="D10983" s="1050"/>
      <c r="E10983" s="1050"/>
      <c r="F10983" s="1050"/>
      <c r="G10983" s="1050"/>
    </row>
    <row r="10984" spans="1:7">
      <c r="A10984" s="1079"/>
      <c r="B10984" s="1050"/>
      <c r="C10984" s="1050"/>
      <c r="D10984" s="1050"/>
      <c r="E10984" s="1050"/>
      <c r="F10984" s="1050"/>
      <c r="G10984" s="1050"/>
    </row>
    <row r="10985" spans="1:7">
      <c r="A10985" s="1079"/>
      <c r="B10985" s="1050"/>
      <c r="C10985" s="1050"/>
      <c r="D10985" s="1050"/>
      <c r="E10985" s="1050"/>
      <c r="F10985" s="1050"/>
      <c r="G10985" s="1050"/>
    </row>
    <row r="10986" spans="1:7">
      <c r="A10986" s="1079"/>
      <c r="B10986" s="1050"/>
      <c r="C10986" s="1050"/>
      <c r="D10986" s="1050"/>
      <c r="E10986" s="1050"/>
      <c r="F10986" s="1050"/>
      <c r="G10986" s="1050"/>
    </row>
    <row r="10987" spans="1:7">
      <c r="A10987" s="1079"/>
      <c r="B10987" s="1050"/>
      <c r="C10987" s="1050"/>
      <c r="D10987" s="1050"/>
      <c r="E10987" s="1050"/>
      <c r="F10987" s="1050"/>
      <c r="G10987" s="1050"/>
    </row>
    <row r="10988" spans="1:7">
      <c r="A10988" s="1079"/>
      <c r="B10988" s="1050"/>
      <c r="C10988" s="1050"/>
      <c r="D10988" s="1050"/>
      <c r="E10988" s="1050"/>
      <c r="F10988" s="1050"/>
      <c r="G10988" s="1050"/>
    </row>
    <row r="10989" spans="1:7">
      <c r="A10989" s="1079"/>
      <c r="B10989" s="1050"/>
      <c r="C10989" s="1050"/>
      <c r="D10989" s="1050"/>
      <c r="E10989" s="1050"/>
      <c r="F10989" s="1050"/>
      <c r="G10989" s="1050"/>
    </row>
    <row r="10990" spans="1:7">
      <c r="A10990" s="1079"/>
      <c r="B10990" s="1050"/>
      <c r="C10990" s="1050"/>
      <c r="D10990" s="1050"/>
      <c r="E10990" s="1050"/>
      <c r="F10990" s="1050"/>
      <c r="G10990" s="1050"/>
    </row>
    <row r="10991" spans="1:7">
      <c r="A10991" s="1079"/>
      <c r="B10991" s="1050"/>
      <c r="C10991" s="1050"/>
      <c r="D10991" s="1050"/>
      <c r="E10991" s="1050"/>
      <c r="F10991" s="1050"/>
      <c r="G10991" s="1050"/>
    </row>
    <row r="10992" spans="1:7">
      <c r="A10992" s="1079"/>
      <c r="B10992" s="1050"/>
      <c r="C10992" s="1050"/>
      <c r="D10992" s="1050"/>
      <c r="E10992" s="1050"/>
      <c r="F10992" s="1050"/>
      <c r="G10992" s="1050"/>
    </row>
    <row r="10993" spans="1:7">
      <c r="A10993" s="1079"/>
      <c r="B10993" s="1050"/>
      <c r="C10993" s="1050"/>
      <c r="D10993" s="1050"/>
      <c r="E10993" s="1050"/>
      <c r="F10993" s="1050"/>
      <c r="G10993" s="1050"/>
    </row>
    <row r="10994" spans="1:7">
      <c r="A10994" s="1079"/>
      <c r="B10994" s="1050"/>
      <c r="C10994" s="1050"/>
      <c r="D10994" s="1050"/>
      <c r="E10994" s="1050"/>
      <c r="F10994" s="1050"/>
      <c r="G10994" s="1050"/>
    </row>
    <row r="10995" spans="1:7">
      <c r="A10995" s="1079"/>
      <c r="B10995" s="1050"/>
      <c r="C10995" s="1050"/>
      <c r="D10995" s="1050"/>
      <c r="E10995" s="1050"/>
      <c r="F10995" s="1050"/>
      <c r="G10995" s="1050"/>
    </row>
    <row r="10996" spans="1:7">
      <c r="A10996" s="1079"/>
      <c r="B10996" s="1050"/>
      <c r="C10996" s="1050"/>
      <c r="D10996" s="1050"/>
      <c r="E10996" s="1050"/>
      <c r="F10996" s="1050"/>
      <c r="G10996" s="1050"/>
    </row>
    <row r="10997" spans="1:7">
      <c r="A10997" s="1079"/>
      <c r="B10997" s="1050"/>
      <c r="C10997" s="1050"/>
      <c r="D10997" s="1050"/>
      <c r="E10997" s="1050"/>
      <c r="F10997" s="1050"/>
      <c r="G10997" s="1050"/>
    </row>
    <row r="10998" spans="1:7">
      <c r="A10998" s="1079"/>
      <c r="B10998" s="1050"/>
      <c r="C10998" s="1050"/>
      <c r="D10998" s="1050"/>
      <c r="E10998" s="1050"/>
      <c r="F10998" s="1050"/>
      <c r="G10998" s="1050"/>
    </row>
    <row r="10999" spans="1:7">
      <c r="A10999" s="1079"/>
      <c r="B10999" s="1050"/>
      <c r="C10999" s="1050"/>
      <c r="D10999" s="1050"/>
      <c r="E10999" s="1050"/>
      <c r="F10999" s="1050"/>
      <c r="G10999" s="1050"/>
    </row>
    <row r="11000" spans="1:7">
      <c r="A11000" s="1079"/>
      <c r="B11000" s="1050"/>
      <c r="C11000" s="1050"/>
      <c r="D11000" s="1050"/>
      <c r="E11000" s="1050"/>
      <c r="F11000" s="1050"/>
      <c r="G11000" s="1050"/>
    </row>
    <row r="11001" spans="1:7">
      <c r="A11001" s="1079"/>
      <c r="B11001" s="1050"/>
      <c r="C11001" s="1050"/>
      <c r="D11001" s="1050"/>
      <c r="E11001" s="1050"/>
      <c r="F11001" s="1050"/>
      <c r="G11001" s="1050"/>
    </row>
    <row r="11002" spans="1:7">
      <c r="A11002" s="1079"/>
      <c r="B11002" s="1050"/>
      <c r="C11002" s="1050"/>
      <c r="D11002" s="1050"/>
      <c r="E11002" s="1050"/>
      <c r="F11002" s="1050"/>
      <c r="G11002" s="1050"/>
    </row>
    <row r="11003" spans="1:7">
      <c r="A11003" s="1079"/>
      <c r="B11003" s="1050"/>
      <c r="C11003" s="1050"/>
      <c r="D11003" s="1050"/>
      <c r="E11003" s="1050"/>
      <c r="F11003" s="1050"/>
      <c r="G11003" s="1050"/>
    </row>
    <row r="11004" spans="1:7">
      <c r="A11004" s="1079"/>
      <c r="B11004" s="1050"/>
      <c r="C11004" s="1050"/>
      <c r="D11004" s="1050"/>
      <c r="E11004" s="1050"/>
      <c r="F11004" s="1050"/>
      <c r="G11004" s="1050"/>
    </row>
    <row r="11005" spans="1:7">
      <c r="A11005" s="1079"/>
      <c r="B11005" s="1050"/>
      <c r="C11005" s="1050"/>
      <c r="D11005" s="1050"/>
      <c r="E11005" s="1050"/>
      <c r="F11005" s="1050"/>
      <c r="G11005" s="1050"/>
    </row>
    <row r="11006" spans="1:7">
      <c r="A11006" s="1079"/>
      <c r="B11006" s="1050"/>
      <c r="C11006" s="1050"/>
      <c r="D11006" s="1050"/>
      <c r="E11006" s="1050"/>
      <c r="F11006" s="1050"/>
      <c r="G11006" s="1050"/>
    </row>
    <row r="11007" spans="1:7">
      <c r="A11007" s="1079"/>
      <c r="B11007" s="1050"/>
      <c r="C11007" s="1050"/>
      <c r="D11007" s="1050"/>
      <c r="E11007" s="1050"/>
      <c r="F11007" s="1050"/>
      <c r="G11007" s="1050"/>
    </row>
    <row r="11008" spans="1:7">
      <c r="A11008" s="1079"/>
      <c r="B11008" s="1050"/>
      <c r="C11008" s="1050"/>
      <c r="D11008" s="1050"/>
      <c r="E11008" s="1050"/>
      <c r="F11008" s="1050"/>
      <c r="G11008" s="1050"/>
    </row>
    <row r="11009" spans="1:7">
      <c r="A11009" s="1079"/>
      <c r="B11009" s="1050"/>
      <c r="C11009" s="1050"/>
      <c r="D11009" s="1050"/>
      <c r="E11009" s="1050"/>
      <c r="F11009" s="1050"/>
      <c r="G11009" s="1050"/>
    </row>
    <row r="11010" spans="1:7">
      <c r="A11010" s="1079"/>
      <c r="B11010" s="1050"/>
      <c r="C11010" s="1050"/>
      <c r="D11010" s="1050"/>
      <c r="E11010" s="1050"/>
      <c r="F11010" s="1050"/>
      <c r="G11010" s="1050"/>
    </row>
    <row r="11011" spans="1:7">
      <c r="A11011" s="1079"/>
      <c r="B11011" s="1050"/>
      <c r="C11011" s="1050"/>
      <c r="D11011" s="1050"/>
      <c r="E11011" s="1050"/>
      <c r="F11011" s="1050"/>
      <c r="G11011" s="1050"/>
    </row>
    <row r="11012" spans="1:7">
      <c r="A11012" s="1079"/>
      <c r="B11012" s="1050"/>
      <c r="C11012" s="1050"/>
      <c r="D11012" s="1050"/>
      <c r="E11012" s="1050"/>
      <c r="F11012" s="1050"/>
      <c r="G11012" s="1050"/>
    </row>
    <row r="11013" spans="1:7">
      <c r="A11013" s="1079"/>
      <c r="B11013" s="1050"/>
      <c r="C11013" s="1050"/>
      <c r="D11013" s="1050"/>
      <c r="E11013" s="1050"/>
      <c r="F11013" s="1050"/>
      <c r="G11013" s="1050"/>
    </row>
    <row r="11014" spans="1:7">
      <c r="A11014" s="1079"/>
      <c r="B11014" s="1050"/>
      <c r="C11014" s="1050"/>
      <c r="D11014" s="1050"/>
      <c r="E11014" s="1050"/>
      <c r="F11014" s="1050"/>
      <c r="G11014" s="1050"/>
    </row>
    <row r="11015" spans="1:7">
      <c r="A11015" s="1079"/>
      <c r="B11015" s="1050"/>
      <c r="C11015" s="1050"/>
      <c r="D11015" s="1050"/>
      <c r="E11015" s="1050"/>
      <c r="F11015" s="1050"/>
      <c r="G11015" s="1050"/>
    </row>
    <row r="11016" spans="1:7">
      <c r="A11016" s="1079"/>
      <c r="B11016" s="1050"/>
      <c r="C11016" s="1050"/>
      <c r="D11016" s="1050"/>
      <c r="E11016" s="1050"/>
      <c r="F11016" s="1050"/>
      <c r="G11016" s="1050"/>
    </row>
    <row r="11017" spans="1:7">
      <c r="A11017" s="1079"/>
      <c r="B11017" s="1050"/>
      <c r="C11017" s="1050"/>
      <c r="D11017" s="1050"/>
      <c r="E11017" s="1050"/>
      <c r="F11017" s="1050"/>
      <c r="G11017" s="1050"/>
    </row>
    <row r="11018" spans="1:7">
      <c r="A11018" s="1079"/>
      <c r="B11018" s="1050"/>
      <c r="C11018" s="1050"/>
      <c r="D11018" s="1050"/>
      <c r="E11018" s="1050"/>
      <c r="F11018" s="1050"/>
      <c r="G11018" s="1050"/>
    </row>
    <row r="11019" spans="1:7">
      <c r="A11019" s="1079"/>
      <c r="B11019" s="1050"/>
      <c r="C11019" s="1050"/>
      <c r="D11019" s="1050"/>
      <c r="E11019" s="1050"/>
      <c r="F11019" s="1050"/>
      <c r="G11019" s="1050"/>
    </row>
    <row r="11020" spans="1:7">
      <c r="A11020" s="1079"/>
      <c r="B11020" s="1050"/>
      <c r="C11020" s="1050"/>
      <c r="D11020" s="1050"/>
      <c r="E11020" s="1050"/>
      <c r="F11020" s="1050"/>
      <c r="G11020" s="1050"/>
    </row>
    <row r="11021" spans="1:7">
      <c r="A11021" s="1079"/>
      <c r="B11021" s="1050"/>
      <c r="C11021" s="1050"/>
      <c r="D11021" s="1050"/>
      <c r="E11021" s="1050"/>
      <c r="F11021" s="1050"/>
      <c r="G11021" s="1050"/>
    </row>
    <row r="11022" spans="1:7">
      <c r="A11022" s="1079"/>
      <c r="B11022" s="1050"/>
      <c r="C11022" s="1050"/>
      <c r="D11022" s="1050"/>
      <c r="E11022" s="1050"/>
      <c r="F11022" s="1050"/>
      <c r="G11022" s="1050"/>
    </row>
    <row r="11023" spans="1:7">
      <c r="A11023" s="1079"/>
      <c r="B11023" s="1050"/>
      <c r="C11023" s="1050"/>
      <c r="D11023" s="1050"/>
      <c r="E11023" s="1050"/>
      <c r="F11023" s="1050"/>
      <c r="G11023" s="1050"/>
    </row>
    <row r="11024" spans="1:7">
      <c r="A11024" s="1079"/>
      <c r="B11024" s="1050"/>
      <c r="C11024" s="1050"/>
      <c r="D11024" s="1050"/>
      <c r="E11024" s="1050"/>
      <c r="F11024" s="1050"/>
      <c r="G11024" s="1050"/>
    </row>
    <row r="11025" spans="1:7">
      <c r="A11025" s="1079"/>
      <c r="B11025" s="1050"/>
      <c r="C11025" s="1050"/>
      <c r="D11025" s="1050"/>
      <c r="E11025" s="1050"/>
      <c r="F11025" s="1050"/>
      <c r="G11025" s="1050"/>
    </row>
    <row r="11026" spans="1:7">
      <c r="A11026" s="1079"/>
      <c r="B11026" s="1050"/>
      <c r="C11026" s="1050"/>
      <c r="D11026" s="1050"/>
      <c r="E11026" s="1050"/>
      <c r="F11026" s="1050"/>
      <c r="G11026" s="1050"/>
    </row>
    <row r="11027" spans="1:7">
      <c r="A11027" s="1079"/>
      <c r="B11027" s="1050"/>
      <c r="C11027" s="1050"/>
      <c r="D11027" s="1050"/>
      <c r="E11027" s="1050"/>
      <c r="F11027" s="1050"/>
      <c r="G11027" s="1050"/>
    </row>
    <row r="11028" spans="1:7">
      <c r="A11028" s="1079"/>
      <c r="B11028" s="1050"/>
      <c r="C11028" s="1050"/>
      <c r="D11028" s="1050"/>
      <c r="E11028" s="1050"/>
      <c r="F11028" s="1050"/>
      <c r="G11028" s="1050"/>
    </row>
    <row r="11029" spans="1:7">
      <c r="A11029" s="1079"/>
      <c r="B11029" s="1050"/>
      <c r="C11029" s="1050"/>
      <c r="D11029" s="1050"/>
      <c r="E11029" s="1050"/>
      <c r="F11029" s="1050"/>
      <c r="G11029" s="1050"/>
    </row>
    <row r="11030" spans="1:7">
      <c r="A11030" s="1079"/>
      <c r="B11030" s="1050"/>
      <c r="C11030" s="1050"/>
      <c r="D11030" s="1050"/>
      <c r="E11030" s="1050"/>
      <c r="F11030" s="1050"/>
      <c r="G11030" s="1050"/>
    </row>
    <row r="11031" spans="1:7">
      <c r="A11031" s="1079"/>
      <c r="B11031" s="1050"/>
      <c r="C11031" s="1050"/>
      <c r="D11031" s="1050"/>
      <c r="E11031" s="1050"/>
      <c r="F11031" s="1050"/>
      <c r="G11031" s="1050"/>
    </row>
    <row r="11032" spans="1:7">
      <c r="A11032" s="1079"/>
      <c r="B11032" s="1050"/>
      <c r="C11032" s="1050"/>
      <c r="D11032" s="1050"/>
      <c r="E11032" s="1050"/>
      <c r="F11032" s="1050"/>
      <c r="G11032" s="1050"/>
    </row>
    <row r="11033" spans="1:7">
      <c r="A11033" s="1079"/>
      <c r="B11033" s="1050"/>
      <c r="C11033" s="1050"/>
      <c r="D11033" s="1050"/>
      <c r="E11033" s="1050"/>
      <c r="F11033" s="1050"/>
      <c r="G11033" s="1050"/>
    </row>
    <row r="11034" spans="1:7">
      <c r="A11034" s="1079"/>
      <c r="B11034" s="1050"/>
      <c r="C11034" s="1050"/>
      <c r="D11034" s="1050"/>
      <c r="E11034" s="1050"/>
      <c r="F11034" s="1050"/>
      <c r="G11034" s="1050"/>
    </row>
    <row r="11035" spans="1:7">
      <c r="A11035" s="1079"/>
      <c r="B11035" s="1050"/>
      <c r="C11035" s="1050"/>
      <c r="D11035" s="1050"/>
      <c r="E11035" s="1050"/>
      <c r="F11035" s="1050"/>
      <c r="G11035" s="1050"/>
    </row>
    <row r="11036" spans="1:7">
      <c r="A11036" s="1079"/>
      <c r="B11036" s="1050"/>
      <c r="C11036" s="1050"/>
      <c r="D11036" s="1050"/>
      <c r="E11036" s="1050"/>
      <c r="F11036" s="1050"/>
      <c r="G11036" s="1050"/>
    </row>
    <row r="11037" spans="1:7">
      <c r="A11037" s="1079"/>
      <c r="B11037" s="1050"/>
      <c r="C11037" s="1050"/>
      <c r="D11037" s="1050"/>
      <c r="E11037" s="1050"/>
      <c r="F11037" s="1050"/>
      <c r="G11037" s="1050"/>
    </row>
    <row r="11038" spans="1:7">
      <c r="A11038" s="1079"/>
      <c r="B11038" s="1050"/>
      <c r="C11038" s="1050"/>
      <c r="D11038" s="1050"/>
      <c r="E11038" s="1050"/>
      <c r="F11038" s="1050"/>
      <c r="G11038" s="1050"/>
    </row>
    <row r="11039" spans="1:7">
      <c r="A11039" s="1079"/>
      <c r="B11039" s="1050"/>
      <c r="C11039" s="1050"/>
      <c r="D11039" s="1050"/>
      <c r="E11039" s="1050"/>
      <c r="F11039" s="1050"/>
      <c r="G11039" s="1050"/>
    </row>
    <row r="11040" spans="1:7">
      <c r="A11040" s="1079"/>
      <c r="B11040" s="1050"/>
      <c r="C11040" s="1050"/>
      <c r="D11040" s="1050"/>
      <c r="E11040" s="1050"/>
      <c r="F11040" s="1050"/>
      <c r="G11040" s="1050"/>
    </row>
    <row r="11041" spans="1:7">
      <c r="A11041" s="1079"/>
      <c r="B11041" s="1050"/>
      <c r="C11041" s="1050"/>
      <c r="D11041" s="1050"/>
      <c r="E11041" s="1050"/>
      <c r="F11041" s="1050"/>
      <c r="G11041" s="1050"/>
    </row>
    <row r="11042" spans="1:7">
      <c r="A11042" s="1079"/>
      <c r="B11042" s="1050"/>
      <c r="C11042" s="1050"/>
      <c r="D11042" s="1050"/>
      <c r="E11042" s="1050"/>
      <c r="F11042" s="1050"/>
      <c r="G11042" s="1050"/>
    </row>
    <row r="11043" spans="1:7">
      <c r="A11043" s="1079"/>
      <c r="B11043" s="1050"/>
      <c r="C11043" s="1050"/>
      <c r="D11043" s="1050"/>
      <c r="E11043" s="1050"/>
      <c r="F11043" s="1050"/>
      <c r="G11043" s="1050"/>
    </row>
    <row r="11044" spans="1:7">
      <c r="A11044" s="1079"/>
      <c r="B11044" s="1050"/>
      <c r="C11044" s="1050"/>
      <c r="D11044" s="1050"/>
      <c r="E11044" s="1050"/>
      <c r="F11044" s="1050"/>
      <c r="G11044" s="1050"/>
    </row>
    <row r="11045" spans="1:7">
      <c r="A11045" s="1079"/>
      <c r="B11045" s="1050"/>
      <c r="C11045" s="1050"/>
      <c r="D11045" s="1050"/>
      <c r="E11045" s="1050"/>
      <c r="F11045" s="1050"/>
      <c r="G11045" s="1050"/>
    </row>
    <row r="11046" spans="1:7">
      <c r="A11046" s="1079"/>
      <c r="B11046" s="1050"/>
      <c r="C11046" s="1050"/>
      <c r="D11046" s="1050"/>
      <c r="E11046" s="1050"/>
      <c r="F11046" s="1050"/>
      <c r="G11046" s="1050"/>
    </row>
    <row r="11047" spans="1:7">
      <c r="A11047" s="1079"/>
      <c r="B11047" s="1050"/>
      <c r="C11047" s="1050"/>
      <c r="D11047" s="1050"/>
      <c r="E11047" s="1050"/>
      <c r="F11047" s="1050"/>
      <c r="G11047" s="1050"/>
    </row>
    <row r="11048" spans="1:7">
      <c r="A11048" s="1079"/>
      <c r="B11048" s="1050"/>
      <c r="C11048" s="1050"/>
      <c r="D11048" s="1050"/>
      <c r="E11048" s="1050"/>
      <c r="F11048" s="1050"/>
      <c r="G11048" s="1050"/>
    </row>
    <row r="11049" spans="1:7">
      <c r="A11049" s="1079"/>
      <c r="B11049" s="1050"/>
      <c r="C11049" s="1050"/>
      <c r="D11049" s="1050"/>
      <c r="E11049" s="1050"/>
      <c r="F11049" s="1050"/>
      <c r="G11049" s="1050"/>
    </row>
    <row r="11050" spans="1:7">
      <c r="A11050" s="1079"/>
      <c r="B11050" s="1050"/>
      <c r="C11050" s="1050"/>
      <c r="D11050" s="1050"/>
      <c r="E11050" s="1050"/>
      <c r="F11050" s="1050"/>
      <c r="G11050" s="1050"/>
    </row>
    <row r="11051" spans="1:7">
      <c r="A11051" s="1079"/>
      <c r="B11051" s="1050"/>
      <c r="C11051" s="1050"/>
      <c r="D11051" s="1050"/>
      <c r="E11051" s="1050"/>
      <c r="F11051" s="1050"/>
      <c r="G11051" s="1050"/>
    </row>
    <row r="11052" spans="1:7">
      <c r="A11052" s="1079"/>
      <c r="B11052" s="1050"/>
      <c r="C11052" s="1050"/>
      <c r="D11052" s="1050"/>
      <c r="E11052" s="1050"/>
      <c r="F11052" s="1050"/>
      <c r="G11052" s="1050"/>
    </row>
    <row r="11053" spans="1:7">
      <c r="A11053" s="1079"/>
      <c r="B11053" s="1050"/>
      <c r="C11053" s="1050"/>
      <c r="D11053" s="1050"/>
      <c r="E11053" s="1050"/>
      <c r="F11053" s="1050"/>
      <c r="G11053" s="1050"/>
    </row>
    <row r="11054" spans="1:7">
      <c r="A11054" s="1079"/>
      <c r="B11054" s="1050"/>
      <c r="C11054" s="1050"/>
      <c r="D11054" s="1050"/>
      <c r="E11054" s="1050"/>
      <c r="F11054" s="1050"/>
      <c r="G11054" s="1050"/>
    </row>
    <row r="11055" spans="1:7">
      <c r="A11055" s="1079"/>
      <c r="B11055" s="1050"/>
      <c r="C11055" s="1050"/>
      <c r="D11055" s="1050"/>
      <c r="E11055" s="1050"/>
      <c r="F11055" s="1050"/>
      <c r="G11055" s="1050"/>
    </row>
    <row r="11056" spans="1:7">
      <c r="A11056" s="1079"/>
      <c r="B11056" s="1050"/>
      <c r="C11056" s="1050"/>
      <c r="D11056" s="1050"/>
      <c r="E11056" s="1050"/>
      <c r="F11056" s="1050"/>
      <c r="G11056" s="1050"/>
    </row>
    <row r="11057" spans="1:7">
      <c r="A11057" s="1079"/>
      <c r="B11057" s="1050"/>
      <c r="C11057" s="1050"/>
      <c r="D11057" s="1050"/>
      <c r="E11057" s="1050"/>
      <c r="F11057" s="1050"/>
      <c r="G11057" s="1050"/>
    </row>
    <row r="11058" spans="1:7">
      <c r="A11058" s="1079"/>
      <c r="B11058" s="1050"/>
      <c r="C11058" s="1050"/>
      <c r="D11058" s="1050"/>
      <c r="E11058" s="1050"/>
      <c r="F11058" s="1050"/>
      <c r="G11058" s="1050"/>
    </row>
    <row r="11059" spans="1:7">
      <c r="A11059" s="1079"/>
      <c r="B11059" s="1050"/>
      <c r="C11059" s="1050"/>
      <c r="D11059" s="1050"/>
      <c r="E11059" s="1050"/>
      <c r="F11059" s="1050"/>
      <c r="G11059" s="1050"/>
    </row>
    <row r="11060" spans="1:7">
      <c r="A11060" s="1079"/>
      <c r="B11060" s="1050"/>
      <c r="C11060" s="1050"/>
      <c r="D11060" s="1050"/>
      <c r="E11060" s="1050"/>
      <c r="F11060" s="1050"/>
      <c r="G11060" s="1050"/>
    </row>
    <row r="11061" spans="1:7">
      <c r="A11061" s="1079"/>
      <c r="B11061" s="1050"/>
      <c r="C11061" s="1050"/>
      <c r="D11061" s="1050"/>
      <c r="E11061" s="1050"/>
      <c r="F11061" s="1050"/>
      <c r="G11061" s="1050"/>
    </row>
    <row r="11062" spans="1:7">
      <c r="A11062" s="1079"/>
      <c r="B11062" s="1050"/>
      <c r="C11062" s="1050"/>
      <c r="D11062" s="1050"/>
      <c r="E11062" s="1050"/>
      <c r="F11062" s="1050"/>
      <c r="G11062" s="1050"/>
    </row>
    <row r="11063" spans="1:7">
      <c r="A11063" s="1079"/>
      <c r="B11063" s="1050"/>
      <c r="C11063" s="1050"/>
      <c r="D11063" s="1050"/>
      <c r="E11063" s="1050"/>
      <c r="F11063" s="1050"/>
      <c r="G11063" s="1050"/>
    </row>
    <row r="11064" spans="1:7">
      <c r="A11064" s="1079"/>
      <c r="B11064" s="1050"/>
      <c r="C11064" s="1050"/>
      <c r="D11064" s="1050"/>
      <c r="E11064" s="1050"/>
      <c r="F11064" s="1050"/>
      <c r="G11064" s="1050"/>
    </row>
    <row r="11065" spans="1:7">
      <c r="A11065" s="1079"/>
      <c r="B11065" s="1050"/>
      <c r="C11065" s="1050"/>
      <c r="D11065" s="1050"/>
      <c r="E11065" s="1050"/>
      <c r="F11065" s="1050"/>
      <c r="G11065" s="1050"/>
    </row>
    <row r="11066" spans="1:7">
      <c r="A11066" s="1079"/>
      <c r="B11066" s="1050"/>
      <c r="C11066" s="1050"/>
      <c r="D11066" s="1050"/>
      <c r="E11066" s="1050"/>
      <c r="F11066" s="1050"/>
      <c r="G11066" s="1050"/>
    </row>
    <row r="11067" spans="1:7">
      <c r="A11067" s="1079"/>
      <c r="B11067" s="1050"/>
      <c r="C11067" s="1050"/>
      <c r="D11067" s="1050"/>
      <c r="E11067" s="1050"/>
      <c r="F11067" s="1050"/>
      <c r="G11067" s="1050"/>
    </row>
    <row r="11068" spans="1:7">
      <c r="A11068" s="1079"/>
      <c r="B11068" s="1050"/>
      <c r="C11068" s="1050"/>
      <c r="D11068" s="1050"/>
      <c r="E11068" s="1050"/>
      <c r="F11068" s="1050"/>
      <c r="G11068" s="1050"/>
    </row>
    <row r="11069" spans="1:7">
      <c r="A11069" s="1079"/>
      <c r="B11069" s="1050"/>
      <c r="C11069" s="1050"/>
      <c r="D11069" s="1050"/>
      <c r="E11069" s="1050"/>
      <c r="F11069" s="1050"/>
      <c r="G11069" s="1050"/>
    </row>
    <row r="11070" spans="1:7">
      <c r="A11070" s="1079"/>
      <c r="B11070" s="1050"/>
      <c r="C11070" s="1050"/>
      <c r="D11070" s="1050"/>
      <c r="E11070" s="1050"/>
      <c r="F11070" s="1050"/>
      <c r="G11070" s="1050"/>
    </row>
    <row r="11071" spans="1:7">
      <c r="A11071" s="1079"/>
      <c r="B11071" s="1050"/>
      <c r="C11071" s="1050"/>
      <c r="D11071" s="1050"/>
      <c r="E11071" s="1050"/>
      <c r="F11071" s="1050"/>
      <c r="G11071" s="1050"/>
    </row>
    <row r="11072" spans="1:7">
      <c r="A11072" s="1079"/>
      <c r="B11072" s="1050"/>
      <c r="C11072" s="1050"/>
      <c r="D11072" s="1050"/>
      <c r="E11072" s="1050"/>
      <c r="F11072" s="1050"/>
      <c r="G11072" s="1050"/>
    </row>
    <row r="11073" spans="1:7">
      <c r="A11073" s="1079"/>
      <c r="B11073" s="1050"/>
      <c r="C11073" s="1050"/>
      <c r="D11073" s="1050"/>
      <c r="E11073" s="1050"/>
      <c r="F11073" s="1050"/>
      <c r="G11073" s="1050"/>
    </row>
    <row r="11074" spans="1:7">
      <c r="A11074" s="1079"/>
      <c r="B11074" s="1050"/>
      <c r="C11074" s="1050"/>
      <c r="D11074" s="1050"/>
      <c r="E11074" s="1050"/>
      <c r="F11074" s="1050"/>
      <c r="G11074" s="1050"/>
    </row>
    <row r="11075" spans="1:7">
      <c r="A11075" s="1079"/>
      <c r="B11075" s="1050"/>
      <c r="C11075" s="1050"/>
      <c r="D11075" s="1050"/>
      <c r="E11075" s="1050"/>
      <c r="F11075" s="1050"/>
      <c r="G11075" s="1050"/>
    </row>
    <row r="11076" spans="1:7">
      <c r="A11076" s="1079"/>
      <c r="B11076" s="1050"/>
      <c r="C11076" s="1050"/>
      <c r="D11076" s="1050"/>
      <c r="E11076" s="1050"/>
      <c r="F11076" s="1050"/>
      <c r="G11076" s="1050"/>
    </row>
    <row r="11077" spans="1:7">
      <c r="A11077" s="1079"/>
      <c r="B11077" s="1050"/>
      <c r="C11077" s="1050"/>
      <c r="D11077" s="1050"/>
      <c r="E11077" s="1050"/>
      <c r="F11077" s="1050"/>
      <c r="G11077" s="1050"/>
    </row>
    <row r="11078" spans="1:7">
      <c r="A11078" s="1079"/>
      <c r="B11078" s="1050"/>
      <c r="C11078" s="1050"/>
      <c r="D11078" s="1050"/>
      <c r="E11078" s="1050"/>
      <c r="F11078" s="1050"/>
      <c r="G11078" s="1050"/>
    </row>
    <row r="11079" spans="1:7">
      <c r="A11079" s="1079"/>
      <c r="B11079" s="1050"/>
      <c r="C11079" s="1050"/>
      <c r="D11079" s="1050"/>
      <c r="E11079" s="1050"/>
      <c r="F11079" s="1050"/>
      <c r="G11079" s="1050"/>
    </row>
    <row r="11080" spans="1:7">
      <c r="A11080" s="1079"/>
      <c r="B11080" s="1050"/>
      <c r="C11080" s="1050"/>
      <c r="D11080" s="1050"/>
      <c r="E11080" s="1050"/>
      <c r="F11080" s="1050"/>
      <c r="G11080" s="1050"/>
    </row>
    <row r="11081" spans="1:7">
      <c r="A11081" s="1079"/>
      <c r="B11081" s="1050"/>
      <c r="C11081" s="1050"/>
      <c r="D11081" s="1050"/>
      <c r="E11081" s="1050"/>
      <c r="F11081" s="1050"/>
      <c r="G11081" s="1050"/>
    </row>
    <row r="11082" spans="1:7">
      <c r="A11082" s="1079"/>
      <c r="B11082" s="1050"/>
      <c r="C11082" s="1050"/>
      <c r="D11082" s="1050"/>
      <c r="E11082" s="1050"/>
      <c r="F11082" s="1050"/>
      <c r="G11082" s="1050"/>
    </row>
    <row r="11083" spans="1:7">
      <c r="A11083" s="1079"/>
      <c r="B11083" s="1050"/>
      <c r="C11083" s="1050"/>
      <c r="D11083" s="1050"/>
      <c r="E11083" s="1050"/>
      <c r="F11083" s="1050"/>
      <c r="G11083" s="1050"/>
    </row>
    <row r="11084" spans="1:7">
      <c r="A11084" s="1079"/>
      <c r="B11084" s="1050"/>
      <c r="C11084" s="1050"/>
      <c r="D11084" s="1050"/>
      <c r="E11084" s="1050"/>
      <c r="F11084" s="1050"/>
      <c r="G11084" s="1050"/>
    </row>
    <row r="11085" spans="1:7">
      <c r="A11085" s="1079"/>
      <c r="B11085" s="1050"/>
      <c r="C11085" s="1050"/>
      <c r="D11085" s="1050"/>
      <c r="E11085" s="1050"/>
      <c r="F11085" s="1050"/>
      <c r="G11085" s="1050"/>
    </row>
    <row r="11086" spans="1:7">
      <c r="A11086" s="1079"/>
      <c r="B11086" s="1050"/>
      <c r="C11086" s="1050"/>
      <c r="D11086" s="1050"/>
      <c r="E11086" s="1050"/>
      <c r="F11086" s="1050"/>
      <c r="G11086" s="1050"/>
    </row>
    <row r="11087" spans="1:7">
      <c r="A11087" s="1079"/>
      <c r="B11087" s="1050"/>
      <c r="C11087" s="1050"/>
      <c r="D11087" s="1050"/>
      <c r="E11087" s="1050"/>
      <c r="F11087" s="1050"/>
      <c r="G11087" s="1050"/>
    </row>
    <row r="11088" spans="1:7">
      <c r="A11088" s="1079"/>
      <c r="B11088" s="1050"/>
      <c r="C11088" s="1050"/>
      <c r="D11088" s="1050"/>
      <c r="E11088" s="1050"/>
      <c r="F11088" s="1050"/>
      <c r="G11088" s="1050"/>
    </row>
    <row r="11089" spans="1:7">
      <c r="A11089" s="1079"/>
      <c r="B11089" s="1050"/>
      <c r="C11089" s="1050"/>
      <c r="D11089" s="1050"/>
      <c r="E11089" s="1050"/>
      <c r="F11089" s="1050"/>
      <c r="G11089" s="1050"/>
    </row>
    <row r="11090" spans="1:7">
      <c r="A11090" s="1079"/>
      <c r="B11090" s="1050"/>
      <c r="C11090" s="1050"/>
      <c r="D11090" s="1050"/>
      <c r="E11090" s="1050"/>
      <c r="F11090" s="1050"/>
      <c r="G11090" s="1050"/>
    </row>
    <row r="11091" spans="1:7">
      <c r="A11091" s="1079"/>
      <c r="B11091" s="1050"/>
      <c r="C11091" s="1050"/>
      <c r="D11091" s="1050"/>
      <c r="E11091" s="1050"/>
      <c r="F11091" s="1050"/>
      <c r="G11091" s="1050"/>
    </row>
    <row r="11092" spans="1:7">
      <c r="A11092" s="1079"/>
      <c r="B11092" s="1050"/>
      <c r="C11092" s="1050"/>
      <c r="D11092" s="1050"/>
      <c r="E11092" s="1050"/>
      <c r="F11092" s="1050"/>
      <c r="G11092" s="1050"/>
    </row>
    <row r="11093" spans="1:7">
      <c r="A11093" s="1079"/>
      <c r="B11093" s="1050"/>
      <c r="C11093" s="1050"/>
      <c r="D11093" s="1050"/>
      <c r="E11093" s="1050"/>
      <c r="F11093" s="1050"/>
      <c r="G11093" s="1050"/>
    </row>
    <row r="11094" spans="1:7">
      <c r="A11094" s="1079"/>
      <c r="B11094" s="1050"/>
      <c r="C11094" s="1050"/>
      <c r="D11094" s="1050"/>
      <c r="E11094" s="1050"/>
      <c r="F11094" s="1050"/>
      <c r="G11094" s="1050"/>
    </row>
    <row r="11095" spans="1:7">
      <c r="A11095" s="1079"/>
      <c r="B11095" s="1050"/>
      <c r="C11095" s="1050"/>
      <c r="D11095" s="1050"/>
      <c r="E11095" s="1050"/>
      <c r="F11095" s="1050"/>
      <c r="G11095" s="1050"/>
    </row>
    <row r="11096" spans="1:7">
      <c r="A11096" s="1079"/>
      <c r="B11096" s="1050"/>
      <c r="C11096" s="1050"/>
      <c r="D11096" s="1050"/>
      <c r="E11096" s="1050"/>
      <c r="F11096" s="1050"/>
      <c r="G11096" s="1050"/>
    </row>
    <row r="11097" spans="1:7">
      <c r="A11097" s="1079"/>
      <c r="B11097" s="1050"/>
      <c r="C11097" s="1050"/>
      <c r="D11097" s="1050"/>
      <c r="E11097" s="1050"/>
      <c r="F11097" s="1050"/>
      <c r="G11097" s="1050"/>
    </row>
    <row r="11098" spans="1:7">
      <c r="A11098" s="1079"/>
      <c r="B11098" s="1050"/>
      <c r="C11098" s="1050"/>
      <c r="D11098" s="1050"/>
      <c r="E11098" s="1050"/>
      <c r="F11098" s="1050"/>
      <c r="G11098" s="1050"/>
    </row>
    <row r="11099" spans="1:7">
      <c r="A11099" s="1079"/>
      <c r="B11099" s="1050"/>
      <c r="C11099" s="1050"/>
      <c r="D11099" s="1050"/>
      <c r="E11099" s="1050"/>
      <c r="F11099" s="1050"/>
      <c r="G11099" s="1050"/>
    </row>
    <row r="11100" spans="1:7">
      <c r="A11100" s="1079"/>
      <c r="B11100" s="1050"/>
      <c r="C11100" s="1050"/>
      <c r="D11100" s="1050"/>
      <c r="E11100" s="1050"/>
      <c r="F11100" s="1050"/>
      <c r="G11100" s="1050"/>
    </row>
    <row r="11101" spans="1:7">
      <c r="A11101" s="1079"/>
      <c r="B11101" s="1050"/>
      <c r="C11101" s="1050"/>
      <c r="D11101" s="1050"/>
      <c r="E11101" s="1050"/>
      <c r="F11101" s="1050"/>
      <c r="G11101" s="1050"/>
    </row>
    <row r="11102" spans="1:7">
      <c r="A11102" s="1079"/>
      <c r="B11102" s="1050"/>
      <c r="C11102" s="1050"/>
      <c r="D11102" s="1050"/>
      <c r="E11102" s="1050"/>
      <c r="F11102" s="1050"/>
      <c r="G11102" s="1050"/>
    </row>
    <row r="11103" spans="1:7">
      <c r="A11103" s="1079"/>
      <c r="B11103" s="1050"/>
      <c r="C11103" s="1050"/>
      <c r="D11103" s="1050"/>
      <c r="E11103" s="1050"/>
      <c r="F11103" s="1050"/>
      <c r="G11103" s="1050"/>
    </row>
    <row r="11104" spans="1:7">
      <c r="A11104" s="1079"/>
      <c r="B11104" s="1050"/>
      <c r="C11104" s="1050"/>
      <c r="D11104" s="1050"/>
      <c r="E11104" s="1050"/>
      <c r="F11104" s="1050"/>
      <c r="G11104" s="1050"/>
    </row>
    <row r="11105" spans="1:7">
      <c r="A11105" s="1079"/>
      <c r="B11105" s="1050"/>
      <c r="C11105" s="1050"/>
      <c r="D11105" s="1050"/>
      <c r="E11105" s="1050"/>
      <c r="F11105" s="1050"/>
      <c r="G11105" s="1050"/>
    </row>
    <row r="11106" spans="1:7">
      <c r="A11106" s="1079"/>
      <c r="B11106" s="1050"/>
      <c r="C11106" s="1050"/>
      <c r="D11106" s="1050"/>
      <c r="E11106" s="1050"/>
      <c r="F11106" s="1050"/>
      <c r="G11106" s="1050"/>
    </row>
    <row r="11107" spans="1:7">
      <c r="A11107" s="1079"/>
      <c r="B11107" s="1050"/>
      <c r="C11107" s="1050"/>
      <c r="D11107" s="1050"/>
      <c r="E11107" s="1050"/>
      <c r="F11107" s="1050"/>
      <c r="G11107" s="1050"/>
    </row>
    <row r="11108" spans="1:7">
      <c r="A11108" s="1079"/>
      <c r="B11108" s="1050"/>
      <c r="C11108" s="1050"/>
      <c r="D11108" s="1050"/>
      <c r="E11108" s="1050"/>
      <c r="F11108" s="1050"/>
      <c r="G11108" s="1050"/>
    </row>
    <row r="11109" spans="1:7">
      <c r="A11109" s="1079"/>
      <c r="B11109" s="1050"/>
      <c r="C11109" s="1050"/>
      <c r="D11109" s="1050"/>
      <c r="E11109" s="1050"/>
      <c r="F11109" s="1050"/>
      <c r="G11109" s="1050"/>
    </row>
    <row r="11110" spans="1:7">
      <c r="A11110" s="1079"/>
      <c r="B11110" s="1050"/>
      <c r="C11110" s="1050"/>
      <c r="D11110" s="1050"/>
      <c r="E11110" s="1050"/>
      <c r="F11110" s="1050"/>
      <c r="G11110" s="1050"/>
    </row>
    <row r="11111" spans="1:7">
      <c r="A11111" s="1079"/>
      <c r="B11111" s="1050"/>
      <c r="C11111" s="1050"/>
      <c r="D11111" s="1050"/>
      <c r="E11111" s="1050"/>
      <c r="F11111" s="1050"/>
      <c r="G11111" s="1050"/>
    </row>
    <row r="11112" spans="1:7">
      <c r="A11112" s="1079"/>
      <c r="B11112" s="1050"/>
      <c r="C11112" s="1050"/>
      <c r="D11112" s="1050"/>
      <c r="E11112" s="1050"/>
      <c r="F11112" s="1050"/>
      <c r="G11112" s="1050"/>
    </row>
    <row r="11113" spans="1:7">
      <c r="A11113" s="1079"/>
      <c r="B11113" s="1050"/>
      <c r="C11113" s="1050"/>
      <c r="D11113" s="1050"/>
      <c r="E11113" s="1050"/>
      <c r="F11113" s="1050"/>
      <c r="G11113" s="1050"/>
    </row>
    <row r="11114" spans="1:7">
      <c r="A11114" s="1079"/>
      <c r="B11114" s="1050"/>
      <c r="C11114" s="1050"/>
      <c r="D11114" s="1050"/>
      <c r="E11114" s="1050"/>
      <c r="F11114" s="1050"/>
      <c r="G11114" s="1050"/>
    </row>
    <row r="11115" spans="1:7">
      <c r="A11115" s="1079"/>
      <c r="B11115" s="1050"/>
      <c r="C11115" s="1050"/>
      <c r="D11115" s="1050"/>
      <c r="E11115" s="1050"/>
      <c r="F11115" s="1050"/>
      <c r="G11115" s="1050"/>
    </row>
    <row r="11116" spans="1:7">
      <c r="A11116" s="1079"/>
      <c r="B11116" s="1050"/>
      <c r="C11116" s="1050"/>
      <c r="D11116" s="1050"/>
      <c r="E11116" s="1050"/>
      <c r="F11116" s="1050"/>
      <c r="G11116" s="1050"/>
    </row>
    <row r="11117" spans="1:7">
      <c r="A11117" s="1079"/>
      <c r="B11117" s="1050"/>
      <c r="C11117" s="1050"/>
      <c r="D11117" s="1050"/>
      <c r="E11117" s="1050"/>
      <c r="F11117" s="1050"/>
      <c r="G11117" s="1050"/>
    </row>
    <row r="11118" spans="1:7">
      <c r="A11118" s="1079"/>
      <c r="B11118" s="1050"/>
      <c r="C11118" s="1050"/>
      <c r="D11118" s="1050"/>
      <c r="E11118" s="1050"/>
      <c r="F11118" s="1050"/>
      <c r="G11118" s="1050"/>
    </row>
    <row r="11119" spans="1:7">
      <c r="A11119" s="1079"/>
      <c r="B11119" s="1050"/>
      <c r="C11119" s="1050"/>
      <c r="D11119" s="1050"/>
      <c r="E11119" s="1050"/>
      <c r="F11119" s="1050"/>
      <c r="G11119" s="1050"/>
    </row>
    <row r="11120" spans="1:7">
      <c r="A11120" s="1079"/>
      <c r="B11120" s="1050"/>
      <c r="C11120" s="1050"/>
      <c r="D11120" s="1050"/>
      <c r="E11120" s="1050"/>
      <c r="F11120" s="1050"/>
      <c r="G11120" s="1050"/>
    </row>
    <row r="11121" spans="1:7">
      <c r="A11121" s="1079"/>
      <c r="B11121" s="1050"/>
      <c r="C11121" s="1050"/>
      <c r="D11121" s="1050"/>
      <c r="E11121" s="1050"/>
      <c r="F11121" s="1050"/>
      <c r="G11121" s="1050"/>
    </row>
    <row r="11122" spans="1:7">
      <c r="A11122" s="1079"/>
      <c r="B11122" s="1050"/>
      <c r="C11122" s="1050"/>
      <c r="D11122" s="1050"/>
      <c r="E11122" s="1050"/>
      <c r="F11122" s="1050"/>
      <c r="G11122" s="1050"/>
    </row>
    <row r="11123" spans="1:7">
      <c r="A11123" s="1079"/>
      <c r="B11123" s="1050"/>
      <c r="C11123" s="1050"/>
      <c r="D11123" s="1050"/>
      <c r="E11123" s="1050"/>
      <c r="F11123" s="1050"/>
      <c r="G11123" s="1050"/>
    </row>
    <row r="11124" spans="1:7">
      <c r="A11124" s="1079"/>
      <c r="B11124" s="1050"/>
      <c r="C11124" s="1050"/>
      <c r="D11124" s="1050"/>
      <c r="E11124" s="1050"/>
      <c r="F11124" s="1050"/>
      <c r="G11124" s="1050"/>
    </row>
    <row r="11125" spans="1:7">
      <c r="A11125" s="1079"/>
      <c r="B11125" s="1050"/>
      <c r="C11125" s="1050"/>
      <c r="D11125" s="1050"/>
      <c r="E11125" s="1050"/>
      <c r="F11125" s="1050"/>
      <c r="G11125" s="1050"/>
    </row>
    <row r="11126" spans="1:7">
      <c r="A11126" s="1079"/>
      <c r="B11126" s="1050"/>
      <c r="C11126" s="1050"/>
      <c r="D11126" s="1050"/>
      <c r="E11126" s="1050"/>
      <c r="F11126" s="1050"/>
      <c r="G11126" s="1050"/>
    </row>
    <row r="11127" spans="1:7">
      <c r="A11127" s="1079"/>
      <c r="B11127" s="1050"/>
      <c r="C11127" s="1050"/>
      <c r="D11127" s="1050"/>
      <c r="E11127" s="1050"/>
      <c r="F11127" s="1050"/>
      <c r="G11127" s="1050"/>
    </row>
    <row r="11128" spans="1:7">
      <c r="A11128" s="1079"/>
      <c r="B11128" s="1050"/>
      <c r="C11128" s="1050"/>
      <c r="D11128" s="1050"/>
      <c r="E11128" s="1050"/>
      <c r="F11128" s="1050"/>
      <c r="G11128" s="1050"/>
    </row>
    <row r="11129" spans="1:7">
      <c r="A11129" s="1079"/>
      <c r="B11129" s="1050"/>
      <c r="C11129" s="1050"/>
      <c r="D11129" s="1050"/>
      <c r="E11129" s="1050"/>
      <c r="F11129" s="1050"/>
      <c r="G11129" s="1050"/>
    </row>
    <row r="11130" spans="1:7">
      <c r="A11130" s="1079"/>
      <c r="B11130" s="1050"/>
      <c r="C11130" s="1050"/>
      <c r="D11130" s="1050"/>
      <c r="E11130" s="1050"/>
      <c r="F11130" s="1050"/>
      <c r="G11130" s="1050"/>
    </row>
    <row r="11131" spans="1:7">
      <c r="A11131" s="1079"/>
      <c r="B11131" s="1050"/>
      <c r="C11131" s="1050"/>
      <c r="D11131" s="1050"/>
      <c r="E11131" s="1050"/>
      <c r="F11131" s="1050"/>
      <c r="G11131" s="1050"/>
    </row>
    <row r="11132" spans="1:7">
      <c r="A11132" s="1079"/>
      <c r="B11132" s="1050"/>
      <c r="C11132" s="1050"/>
      <c r="D11132" s="1050"/>
      <c r="E11132" s="1050"/>
      <c r="F11132" s="1050"/>
      <c r="G11132" s="1050"/>
    </row>
    <row r="11133" spans="1:7">
      <c r="A11133" s="1079"/>
      <c r="B11133" s="1050"/>
      <c r="C11133" s="1050"/>
      <c r="D11133" s="1050"/>
      <c r="E11133" s="1050"/>
      <c r="F11133" s="1050"/>
      <c r="G11133" s="1050"/>
    </row>
    <row r="11134" spans="1:7">
      <c r="A11134" s="1079"/>
      <c r="B11134" s="1050"/>
      <c r="C11134" s="1050"/>
      <c r="D11134" s="1050"/>
      <c r="E11134" s="1050"/>
      <c r="F11134" s="1050"/>
      <c r="G11134" s="1050"/>
    </row>
    <row r="11135" spans="1:7">
      <c r="A11135" s="1079"/>
      <c r="B11135" s="1050"/>
      <c r="C11135" s="1050"/>
      <c r="D11135" s="1050"/>
      <c r="E11135" s="1050"/>
      <c r="F11135" s="1050"/>
      <c r="G11135" s="1050"/>
    </row>
    <row r="11136" spans="1:7">
      <c r="A11136" s="1079"/>
      <c r="B11136" s="1050"/>
      <c r="C11136" s="1050"/>
      <c r="D11136" s="1050"/>
      <c r="E11136" s="1050"/>
      <c r="F11136" s="1050"/>
      <c r="G11136" s="1050"/>
    </row>
    <row r="11137" spans="1:7">
      <c r="A11137" s="1079"/>
      <c r="B11137" s="1050"/>
      <c r="C11137" s="1050"/>
      <c r="D11137" s="1050"/>
      <c r="E11137" s="1050"/>
      <c r="F11137" s="1050"/>
      <c r="G11137" s="1050"/>
    </row>
    <row r="11138" spans="1:7">
      <c r="A11138" s="1079"/>
      <c r="B11138" s="1050"/>
      <c r="C11138" s="1050"/>
      <c r="D11138" s="1050"/>
      <c r="E11138" s="1050"/>
      <c r="F11138" s="1050"/>
      <c r="G11138" s="1050"/>
    </row>
    <row r="11139" spans="1:7">
      <c r="A11139" s="1079"/>
      <c r="B11139" s="1050"/>
      <c r="C11139" s="1050"/>
      <c r="D11139" s="1050"/>
      <c r="E11139" s="1050"/>
      <c r="F11139" s="1050"/>
      <c r="G11139" s="1050"/>
    </row>
    <row r="11140" spans="1:7">
      <c r="A11140" s="1079"/>
      <c r="B11140" s="1050"/>
      <c r="C11140" s="1050"/>
      <c r="D11140" s="1050"/>
      <c r="E11140" s="1050"/>
      <c r="F11140" s="1050"/>
      <c r="G11140" s="1050"/>
    </row>
    <row r="11141" spans="1:7">
      <c r="A11141" s="1079"/>
      <c r="B11141" s="1050"/>
      <c r="C11141" s="1050"/>
      <c r="D11141" s="1050"/>
      <c r="E11141" s="1050"/>
      <c r="F11141" s="1050"/>
      <c r="G11141" s="1050"/>
    </row>
    <row r="11142" spans="1:7">
      <c r="A11142" s="1079"/>
      <c r="B11142" s="1050"/>
      <c r="C11142" s="1050"/>
      <c r="D11142" s="1050"/>
      <c r="E11142" s="1050"/>
      <c r="F11142" s="1050"/>
      <c r="G11142" s="1050"/>
    </row>
    <row r="11143" spans="1:7">
      <c r="A11143" s="1079"/>
      <c r="B11143" s="1050"/>
      <c r="C11143" s="1050"/>
      <c r="D11143" s="1050"/>
      <c r="E11143" s="1050"/>
      <c r="F11143" s="1050"/>
      <c r="G11143" s="1050"/>
    </row>
    <row r="11144" spans="1:7">
      <c r="A11144" s="1079"/>
      <c r="B11144" s="1050"/>
      <c r="C11144" s="1050"/>
      <c r="D11144" s="1050"/>
      <c r="E11144" s="1050"/>
      <c r="F11144" s="1050"/>
      <c r="G11144" s="1050"/>
    </row>
    <row r="11145" spans="1:7">
      <c r="A11145" s="1079"/>
      <c r="B11145" s="1050"/>
      <c r="C11145" s="1050"/>
      <c r="D11145" s="1050"/>
      <c r="E11145" s="1050"/>
      <c r="F11145" s="1050"/>
      <c r="G11145" s="1050"/>
    </row>
    <row r="11146" spans="1:7">
      <c r="A11146" s="1079"/>
      <c r="B11146" s="1050"/>
      <c r="C11146" s="1050"/>
      <c r="D11146" s="1050"/>
      <c r="E11146" s="1050"/>
      <c r="F11146" s="1050"/>
      <c r="G11146" s="1050"/>
    </row>
    <row r="11147" spans="1:7">
      <c r="A11147" s="1079"/>
      <c r="B11147" s="1050"/>
      <c r="C11147" s="1050"/>
      <c r="D11147" s="1050"/>
      <c r="E11147" s="1050"/>
      <c r="F11147" s="1050"/>
      <c r="G11147" s="1050"/>
    </row>
    <row r="11148" spans="1:7">
      <c r="A11148" s="1079"/>
      <c r="B11148" s="1050"/>
      <c r="C11148" s="1050"/>
      <c r="D11148" s="1050"/>
      <c r="E11148" s="1050"/>
      <c r="F11148" s="1050"/>
      <c r="G11148" s="1050"/>
    </row>
    <row r="11149" spans="1:7">
      <c r="A11149" s="1079"/>
      <c r="B11149" s="1050"/>
      <c r="C11149" s="1050"/>
      <c r="D11149" s="1050"/>
      <c r="E11149" s="1050"/>
      <c r="F11149" s="1050"/>
      <c r="G11149" s="1050"/>
    </row>
    <row r="11150" spans="1:7">
      <c r="A11150" s="1079"/>
      <c r="B11150" s="1050"/>
      <c r="C11150" s="1050"/>
      <c r="D11150" s="1050"/>
      <c r="E11150" s="1050"/>
      <c r="F11150" s="1050"/>
      <c r="G11150" s="1050"/>
    </row>
    <row r="11151" spans="1:7">
      <c r="A11151" s="1079"/>
      <c r="B11151" s="1050"/>
      <c r="C11151" s="1050"/>
      <c r="D11151" s="1050"/>
      <c r="E11151" s="1050"/>
      <c r="F11151" s="1050"/>
      <c r="G11151" s="1050"/>
    </row>
    <row r="11152" spans="1:7">
      <c r="A11152" s="1079"/>
      <c r="B11152" s="1050"/>
      <c r="C11152" s="1050"/>
      <c r="D11152" s="1050"/>
      <c r="E11152" s="1050"/>
      <c r="F11152" s="1050"/>
      <c r="G11152" s="1050"/>
    </row>
    <row r="11153" spans="1:7">
      <c r="A11153" s="1079"/>
      <c r="B11153" s="1050"/>
      <c r="C11153" s="1050"/>
      <c r="D11153" s="1050"/>
      <c r="E11153" s="1050"/>
      <c r="F11153" s="1050"/>
      <c r="G11153" s="1050"/>
    </row>
    <row r="11154" spans="1:7">
      <c r="A11154" s="1079"/>
      <c r="B11154" s="1050"/>
      <c r="C11154" s="1050"/>
      <c r="D11154" s="1050"/>
      <c r="E11154" s="1050"/>
      <c r="F11154" s="1050"/>
      <c r="G11154" s="1050"/>
    </row>
    <row r="11155" spans="1:7">
      <c r="A11155" s="1079"/>
      <c r="B11155" s="1050"/>
      <c r="C11155" s="1050"/>
      <c r="D11155" s="1050"/>
      <c r="E11155" s="1050"/>
      <c r="F11155" s="1050"/>
      <c r="G11155" s="1050"/>
    </row>
    <row r="11156" spans="1:7">
      <c r="A11156" s="1079"/>
      <c r="B11156" s="1050"/>
      <c r="C11156" s="1050"/>
      <c r="D11156" s="1050"/>
      <c r="E11156" s="1050"/>
      <c r="F11156" s="1050"/>
      <c r="G11156" s="1050"/>
    </row>
    <row r="11157" spans="1:7">
      <c r="A11157" s="1079"/>
      <c r="B11157" s="1050"/>
      <c r="C11157" s="1050"/>
      <c r="D11157" s="1050"/>
      <c r="E11157" s="1050"/>
      <c r="F11157" s="1050"/>
      <c r="G11157" s="1050"/>
    </row>
    <row r="11158" spans="1:7">
      <c r="A11158" s="1079"/>
      <c r="B11158" s="1050"/>
      <c r="C11158" s="1050"/>
      <c r="D11158" s="1050"/>
      <c r="E11158" s="1050"/>
      <c r="F11158" s="1050"/>
      <c r="G11158" s="1050"/>
    </row>
    <row r="11159" spans="1:7">
      <c r="A11159" s="1079"/>
      <c r="B11159" s="1050"/>
      <c r="C11159" s="1050"/>
      <c r="D11159" s="1050"/>
      <c r="E11159" s="1050"/>
      <c r="F11159" s="1050"/>
      <c r="G11159" s="1050"/>
    </row>
    <row r="11160" spans="1:7">
      <c r="A11160" s="1079"/>
      <c r="B11160" s="1050"/>
      <c r="C11160" s="1050"/>
      <c r="D11160" s="1050"/>
      <c r="E11160" s="1050"/>
      <c r="F11160" s="1050"/>
      <c r="G11160" s="1050"/>
    </row>
    <row r="11161" spans="1:7">
      <c r="A11161" s="1079"/>
      <c r="B11161" s="1050"/>
      <c r="C11161" s="1050"/>
      <c r="D11161" s="1050"/>
      <c r="E11161" s="1050"/>
      <c r="F11161" s="1050"/>
      <c r="G11161" s="1050"/>
    </row>
    <row r="11162" spans="1:7">
      <c r="A11162" s="1079"/>
      <c r="B11162" s="1050"/>
      <c r="C11162" s="1050"/>
      <c r="D11162" s="1050"/>
      <c r="E11162" s="1050"/>
      <c r="F11162" s="1050"/>
      <c r="G11162" s="1050"/>
    </row>
    <row r="11163" spans="1:7">
      <c r="A11163" s="1079"/>
      <c r="B11163" s="1050"/>
      <c r="C11163" s="1050"/>
      <c r="D11163" s="1050"/>
      <c r="E11163" s="1050"/>
      <c r="F11163" s="1050"/>
      <c r="G11163" s="1050"/>
    </row>
    <row r="11164" spans="1:7">
      <c r="A11164" s="1079"/>
      <c r="B11164" s="1050"/>
      <c r="C11164" s="1050"/>
      <c r="D11164" s="1050"/>
      <c r="E11164" s="1050"/>
      <c r="F11164" s="1050"/>
      <c r="G11164" s="1050"/>
    </row>
    <row r="11165" spans="1:7">
      <c r="A11165" s="1079"/>
      <c r="B11165" s="1050"/>
      <c r="C11165" s="1050"/>
      <c r="D11165" s="1050"/>
      <c r="E11165" s="1050"/>
      <c r="F11165" s="1050"/>
      <c r="G11165" s="1050"/>
    </row>
    <row r="11166" spans="1:7">
      <c r="A11166" s="1079"/>
      <c r="B11166" s="1050"/>
      <c r="C11166" s="1050"/>
      <c r="D11166" s="1050"/>
      <c r="E11166" s="1050"/>
      <c r="F11166" s="1050"/>
      <c r="G11166" s="1050"/>
    </row>
    <row r="11167" spans="1:7">
      <c r="A11167" s="1079"/>
      <c r="B11167" s="1050"/>
      <c r="C11167" s="1050"/>
      <c r="D11167" s="1050"/>
      <c r="E11167" s="1050"/>
      <c r="F11167" s="1050"/>
      <c r="G11167" s="1050"/>
    </row>
    <row r="11168" spans="1:7">
      <c r="A11168" s="1079"/>
      <c r="B11168" s="1050"/>
      <c r="C11168" s="1050"/>
      <c r="D11168" s="1050"/>
      <c r="E11168" s="1050"/>
      <c r="F11168" s="1050"/>
      <c r="G11168" s="1050"/>
    </row>
    <row r="11169" spans="1:7">
      <c r="A11169" s="1079"/>
      <c r="B11169" s="1050"/>
      <c r="C11169" s="1050"/>
      <c r="D11169" s="1050"/>
      <c r="E11169" s="1050"/>
      <c r="F11169" s="1050"/>
      <c r="G11169" s="1050"/>
    </row>
    <row r="11170" spans="1:7">
      <c r="A11170" s="1079"/>
      <c r="B11170" s="1050"/>
      <c r="C11170" s="1050"/>
      <c r="D11170" s="1050"/>
      <c r="E11170" s="1050"/>
      <c r="F11170" s="1050"/>
      <c r="G11170" s="1050"/>
    </row>
    <row r="11171" spans="1:7">
      <c r="A11171" s="1079"/>
      <c r="B11171" s="1050"/>
      <c r="C11171" s="1050"/>
      <c r="D11171" s="1050"/>
      <c r="E11171" s="1050"/>
      <c r="F11171" s="1050"/>
      <c r="G11171" s="1050"/>
    </row>
    <row r="11172" spans="1:7">
      <c r="A11172" s="1079"/>
      <c r="B11172" s="1050"/>
      <c r="C11172" s="1050"/>
      <c r="D11172" s="1050"/>
      <c r="E11172" s="1050"/>
      <c r="F11172" s="1050"/>
      <c r="G11172" s="1050"/>
    </row>
    <row r="11173" spans="1:7">
      <c r="A11173" s="1079"/>
      <c r="B11173" s="1050"/>
      <c r="C11173" s="1050"/>
      <c r="D11173" s="1050"/>
      <c r="E11173" s="1050"/>
      <c r="F11173" s="1050"/>
      <c r="G11173" s="1050"/>
    </row>
    <row r="11174" spans="1:7">
      <c r="A11174" s="1079"/>
      <c r="B11174" s="1050"/>
      <c r="C11174" s="1050"/>
      <c r="D11174" s="1050"/>
      <c r="E11174" s="1050"/>
      <c r="F11174" s="1050"/>
      <c r="G11174" s="1050"/>
    </row>
    <row r="11175" spans="1:7">
      <c r="A11175" s="1079"/>
      <c r="B11175" s="1050"/>
      <c r="C11175" s="1050"/>
      <c r="D11175" s="1050"/>
      <c r="E11175" s="1050"/>
      <c r="F11175" s="1050"/>
      <c r="G11175" s="1050"/>
    </row>
    <row r="11176" spans="1:7">
      <c r="A11176" s="1079"/>
      <c r="B11176" s="1050"/>
      <c r="C11176" s="1050"/>
      <c r="D11176" s="1050"/>
      <c r="E11176" s="1050"/>
      <c r="F11176" s="1050"/>
      <c r="G11176" s="1050"/>
    </row>
    <row r="11177" spans="1:7">
      <c r="A11177" s="1079"/>
      <c r="B11177" s="1050"/>
      <c r="C11177" s="1050"/>
      <c r="D11177" s="1050"/>
      <c r="E11177" s="1050"/>
      <c r="F11177" s="1050"/>
      <c r="G11177" s="1050"/>
    </row>
    <row r="11178" spans="1:7">
      <c r="A11178" s="1079"/>
      <c r="B11178" s="1050"/>
      <c r="C11178" s="1050"/>
      <c r="D11178" s="1050"/>
      <c r="E11178" s="1050"/>
      <c r="F11178" s="1050"/>
      <c r="G11178" s="1050"/>
    </row>
    <row r="11179" spans="1:7">
      <c r="A11179" s="1079"/>
      <c r="B11179" s="1050"/>
      <c r="C11179" s="1050"/>
      <c r="D11179" s="1050"/>
      <c r="E11179" s="1050"/>
      <c r="F11179" s="1050"/>
      <c r="G11179" s="1050"/>
    </row>
    <row r="11180" spans="1:7">
      <c r="A11180" s="1079"/>
      <c r="B11180" s="1050"/>
      <c r="C11180" s="1050"/>
      <c r="D11180" s="1050"/>
      <c r="E11180" s="1050"/>
      <c r="F11180" s="1050"/>
      <c r="G11180" s="1050"/>
    </row>
    <row r="11181" spans="1:7">
      <c r="A11181" s="1079"/>
      <c r="B11181" s="1050"/>
      <c r="C11181" s="1050"/>
      <c r="D11181" s="1050"/>
      <c r="E11181" s="1050"/>
      <c r="F11181" s="1050"/>
      <c r="G11181" s="1050"/>
    </row>
    <row r="11182" spans="1:7">
      <c r="A11182" s="1079"/>
      <c r="B11182" s="1050"/>
      <c r="C11182" s="1050"/>
      <c r="D11182" s="1050"/>
      <c r="E11182" s="1050"/>
      <c r="F11182" s="1050"/>
      <c r="G11182" s="1050"/>
    </row>
    <row r="11183" spans="1:7">
      <c r="A11183" s="1079"/>
      <c r="B11183" s="1050"/>
      <c r="C11183" s="1050"/>
      <c r="D11183" s="1050"/>
      <c r="E11183" s="1050"/>
      <c r="F11183" s="1050"/>
      <c r="G11183" s="1050"/>
    </row>
    <row r="11184" spans="1:7">
      <c r="A11184" s="1079"/>
      <c r="B11184" s="1050"/>
      <c r="C11184" s="1050"/>
      <c r="D11184" s="1050"/>
      <c r="E11184" s="1050"/>
      <c r="F11184" s="1050"/>
      <c r="G11184" s="1050"/>
    </row>
    <row r="11185" spans="1:7">
      <c r="A11185" s="1079"/>
      <c r="B11185" s="1050"/>
      <c r="C11185" s="1050"/>
      <c r="D11185" s="1050"/>
      <c r="E11185" s="1050"/>
      <c r="F11185" s="1050"/>
      <c r="G11185" s="1050"/>
    </row>
    <row r="11186" spans="1:7">
      <c r="A11186" s="1079"/>
      <c r="B11186" s="1050"/>
      <c r="C11186" s="1050"/>
      <c r="D11186" s="1050"/>
      <c r="E11186" s="1050"/>
      <c r="F11186" s="1050"/>
      <c r="G11186" s="1050"/>
    </row>
    <row r="11187" spans="1:7">
      <c r="A11187" s="1079"/>
      <c r="B11187" s="1050"/>
      <c r="C11187" s="1050"/>
      <c r="D11187" s="1050"/>
      <c r="E11187" s="1050"/>
      <c r="F11187" s="1050"/>
      <c r="G11187" s="1050"/>
    </row>
    <row r="11188" spans="1:7">
      <c r="A11188" s="1079"/>
      <c r="B11188" s="1050"/>
      <c r="C11188" s="1050"/>
      <c r="D11188" s="1050"/>
      <c r="E11188" s="1050"/>
      <c r="F11188" s="1050"/>
      <c r="G11188" s="1050"/>
    </row>
    <row r="11189" spans="1:7">
      <c r="A11189" s="1079"/>
      <c r="B11189" s="1050"/>
      <c r="C11189" s="1050"/>
      <c r="D11189" s="1050"/>
      <c r="E11189" s="1050"/>
      <c r="F11189" s="1050"/>
      <c r="G11189" s="1050"/>
    </row>
    <row r="11190" spans="1:7">
      <c r="A11190" s="1079"/>
      <c r="B11190" s="1050"/>
      <c r="C11190" s="1050"/>
      <c r="D11190" s="1050"/>
      <c r="E11190" s="1050"/>
      <c r="F11190" s="1050"/>
      <c r="G11190" s="1050"/>
    </row>
    <row r="11191" spans="1:7">
      <c r="A11191" s="1079"/>
      <c r="B11191" s="1050"/>
      <c r="C11191" s="1050"/>
      <c r="D11191" s="1050"/>
      <c r="E11191" s="1050"/>
      <c r="F11191" s="1050"/>
      <c r="G11191" s="1050"/>
    </row>
    <row r="11192" spans="1:7">
      <c r="A11192" s="1079"/>
      <c r="B11192" s="1050"/>
      <c r="C11192" s="1050"/>
      <c r="D11192" s="1050"/>
      <c r="E11192" s="1050"/>
      <c r="F11192" s="1050"/>
      <c r="G11192" s="1050"/>
    </row>
    <row r="11193" spans="1:7">
      <c r="A11193" s="1079"/>
      <c r="B11193" s="1050"/>
      <c r="C11193" s="1050"/>
      <c r="D11193" s="1050"/>
      <c r="E11193" s="1050"/>
      <c r="F11193" s="1050"/>
      <c r="G11193" s="1050"/>
    </row>
    <row r="11194" spans="1:7">
      <c r="A11194" s="1079"/>
      <c r="B11194" s="1050"/>
      <c r="C11194" s="1050"/>
      <c r="D11194" s="1050"/>
      <c r="E11194" s="1050"/>
      <c r="F11194" s="1050"/>
      <c r="G11194" s="1050"/>
    </row>
    <row r="11195" spans="1:7">
      <c r="A11195" s="1079"/>
      <c r="B11195" s="1050"/>
      <c r="C11195" s="1050"/>
      <c r="D11195" s="1050"/>
      <c r="E11195" s="1050"/>
      <c r="F11195" s="1050"/>
      <c r="G11195" s="1050"/>
    </row>
    <row r="11196" spans="1:7">
      <c r="A11196" s="1079"/>
      <c r="B11196" s="1050"/>
      <c r="C11196" s="1050"/>
      <c r="D11196" s="1050"/>
      <c r="E11196" s="1050"/>
      <c r="F11196" s="1050"/>
      <c r="G11196" s="1050"/>
    </row>
    <row r="11197" spans="1:7">
      <c r="A11197" s="1079"/>
      <c r="B11197" s="1050"/>
      <c r="C11197" s="1050"/>
      <c r="D11197" s="1050"/>
      <c r="E11197" s="1050"/>
      <c r="F11197" s="1050"/>
      <c r="G11197" s="1050"/>
    </row>
    <row r="11198" spans="1:7">
      <c r="A11198" s="1079"/>
      <c r="B11198" s="1050"/>
      <c r="C11198" s="1050"/>
      <c r="D11198" s="1050"/>
      <c r="E11198" s="1050"/>
      <c r="F11198" s="1050"/>
      <c r="G11198" s="1050"/>
    </row>
    <row r="11199" spans="1:7">
      <c r="A11199" s="1079"/>
      <c r="B11199" s="1050"/>
      <c r="C11199" s="1050"/>
      <c r="D11199" s="1050"/>
      <c r="E11199" s="1050"/>
      <c r="F11199" s="1050"/>
      <c r="G11199" s="1050"/>
    </row>
    <row r="11200" spans="1:7">
      <c r="A11200" s="1079"/>
      <c r="B11200" s="1050"/>
      <c r="C11200" s="1050"/>
      <c r="D11200" s="1050"/>
      <c r="E11200" s="1050"/>
      <c r="F11200" s="1050"/>
      <c r="G11200" s="1050"/>
    </row>
    <row r="11201" spans="1:7">
      <c r="A11201" s="1079"/>
      <c r="B11201" s="1050"/>
      <c r="C11201" s="1050"/>
      <c r="D11201" s="1050"/>
      <c r="E11201" s="1050"/>
      <c r="F11201" s="1050"/>
      <c r="G11201" s="1050"/>
    </row>
    <row r="11202" spans="1:7">
      <c r="A11202" s="1079"/>
      <c r="B11202" s="1050"/>
      <c r="C11202" s="1050"/>
      <c r="D11202" s="1050"/>
      <c r="E11202" s="1050"/>
      <c r="F11202" s="1050"/>
      <c r="G11202" s="1050"/>
    </row>
    <row r="11203" spans="1:7">
      <c r="A11203" s="1079"/>
      <c r="B11203" s="1050"/>
      <c r="C11203" s="1050"/>
      <c r="D11203" s="1050"/>
      <c r="E11203" s="1050"/>
      <c r="F11203" s="1050"/>
      <c r="G11203" s="1050"/>
    </row>
    <row r="11204" spans="1:7">
      <c r="A11204" s="1079"/>
      <c r="B11204" s="1050"/>
      <c r="C11204" s="1050"/>
      <c r="D11204" s="1050"/>
      <c r="E11204" s="1050"/>
      <c r="F11204" s="1050"/>
      <c r="G11204" s="1050"/>
    </row>
    <row r="11205" spans="1:7">
      <c r="A11205" s="1079"/>
      <c r="B11205" s="1050"/>
      <c r="C11205" s="1050"/>
      <c r="D11205" s="1050"/>
      <c r="E11205" s="1050"/>
      <c r="F11205" s="1050"/>
      <c r="G11205" s="1050"/>
    </row>
    <row r="11206" spans="1:7">
      <c r="A11206" s="1079"/>
      <c r="B11206" s="1050"/>
      <c r="C11206" s="1050"/>
      <c r="D11206" s="1050"/>
      <c r="E11206" s="1050"/>
      <c r="F11206" s="1050"/>
      <c r="G11206" s="1050"/>
    </row>
    <row r="11207" spans="1:7">
      <c r="A11207" s="1079"/>
      <c r="B11207" s="1050"/>
      <c r="C11207" s="1050"/>
      <c r="D11207" s="1050"/>
      <c r="E11207" s="1050"/>
      <c r="F11207" s="1050"/>
      <c r="G11207" s="1050"/>
    </row>
    <row r="11208" spans="1:7">
      <c r="A11208" s="1079"/>
      <c r="B11208" s="1050"/>
      <c r="C11208" s="1050"/>
      <c r="D11208" s="1050"/>
      <c r="E11208" s="1050"/>
      <c r="F11208" s="1050"/>
      <c r="G11208" s="1050"/>
    </row>
    <row r="11209" spans="1:7">
      <c r="A11209" s="1079"/>
      <c r="B11209" s="1050"/>
      <c r="C11209" s="1050"/>
      <c r="D11209" s="1050"/>
      <c r="E11209" s="1050"/>
      <c r="F11209" s="1050"/>
      <c r="G11209" s="1050"/>
    </row>
    <row r="11210" spans="1:7">
      <c r="A11210" s="1079"/>
      <c r="B11210" s="1050"/>
      <c r="C11210" s="1050"/>
      <c r="D11210" s="1050"/>
      <c r="E11210" s="1050"/>
      <c r="F11210" s="1050"/>
      <c r="G11210" s="1050"/>
    </row>
    <row r="11211" spans="1:7">
      <c r="A11211" s="1079"/>
      <c r="B11211" s="1050"/>
      <c r="C11211" s="1050"/>
      <c r="D11211" s="1050"/>
      <c r="E11211" s="1050"/>
      <c r="F11211" s="1050"/>
      <c r="G11211" s="1050"/>
    </row>
    <row r="11212" spans="1:7">
      <c r="A11212" s="1079"/>
      <c r="B11212" s="1050"/>
      <c r="C11212" s="1050"/>
      <c r="D11212" s="1050"/>
      <c r="E11212" s="1050"/>
      <c r="F11212" s="1050"/>
      <c r="G11212" s="1050"/>
    </row>
    <row r="11213" spans="1:7">
      <c r="A11213" s="1079"/>
      <c r="B11213" s="1050"/>
      <c r="C11213" s="1050"/>
      <c r="D11213" s="1050"/>
      <c r="E11213" s="1050"/>
      <c r="F11213" s="1050"/>
      <c r="G11213" s="1050"/>
    </row>
    <row r="11214" spans="1:7">
      <c r="A11214" s="1079"/>
      <c r="B11214" s="1050"/>
      <c r="C11214" s="1050"/>
      <c r="D11214" s="1050"/>
      <c r="E11214" s="1050"/>
      <c r="F11214" s="1050"/>
      <c r="G11214" s="1050"/>
    </row>
    <row r="11215" spans="1:7">
      <c r="A11215" s="1079"/>
      <c r="B11215" s="1050"/>
      <c r="C11215" s="1050"/>
      <c r="D11215" s="1050"/>
      <c r="E11215" s="1050"/>
      <c r="F11215" s="1050"/>
      <c r="G11215" s="1050"/>
    </row>
    <row r="11216" spans="1:7">
      <c r="A11216" s="1079"/>
      <c r="B11216" s="1050"/>
      <c r="C11216" s="1050"/>
      <c r="D11216" s="1050"/>
      <c r="E11216" s="1050"/>
      <c r="F11216" s="1050"/>
      <c r="G11216" s="1050"/>
    </row>
    <row r="11217" spans="1:7">
      <c r="A11217" s="1079"/>
      <c r="B11217" s="1050"/>
      <c r="C11217" s="1050"/>
      <c r="D11217" s="1050"/>
      <c r="E11217" s="1050"/>
      <c r="F11217" s="1050"/>
      <c r="G11217" s="1050"/>
    </row>
    <row r="11218" spans="1:7">
      <c r="A11218" s="1079"/>
      <c r="B11218" s="1050"/>
      <c r="C11218" s="1050"/>
      <c r="D11218" s="1050"/>
      <c r="E11218" s="1050"/>
      <c r="F11218" s="1050"/>
      <c r="G11218" s="1050"/>
    </row>
    <row r="11219" spans="1:7">
      <c r="A11219" s="1079"/>
      <c r="B11219" s="1050"/>
      <c r="C11219" s="1050"/>
      <c r="D11219" s="1050"/>
      <c r="E11219" s="1050"/>
      <c r="F11219" s="1050"/>
      <c r="G11219" s="1050"/>
    </row>
    <row r="11220" spans="1:7">
      <c r="A11220" s="1079"/>
      <c r="B11220" s="1050"/>
      <c r="C11220" s="1050"/>
      <c r="D11220" s="1050"/>
      <c r="E11220" s="1050"/>
      <c r="F11220" s="1050"/>
      <c r="G11220" s="1050"/>
    </row>
    <row r="11221" spans="1:7">
      <c r="A11221" s="1079"/>
      <c r="B11221" s="1050"/>
      <c r="C11221" s="1050"/>
      <c r="D11221" s="1050"/>
      <c r="E11221" s="1050"/>
      <c r="F11221" s="1050"/>
      <c r="G11221" s="1050"/>
    </row>
    <row r="11222" spans="1:7">
      <c r="A11222" s="1079"/>
      <c r="B11222" s="1050"/>
      <c r="C11222" s="1050"/>
      <c r="D11222" s="1050"/>
      <c r="E11222" s="1050"/>
      <c r="F11222" s="1050"/>
      <c r="G11222" s="1050"/>
    </row>
    <row r="11223" spans="1:7">
      <c r="A11223" s="1079"/>
      <c r="B11223" s="1050"/>
      <c r="C11223" s="1050"/>
      <c r="D11223" s="1050"/>
      <c r="E11223" s="1050"/>
      <c r="F11223" s="1050"/>
      <c r="G11223" s="1050"/>
    </row>
    <row r="11224" spans="1:7">
      <c r="A11224" s="1079"/>
      <c r="B11224" s="1050"/>
      <c r="C11224" s="1050"/>
      <c r="D11224" s="1050"/>
      <c r="E11224" s="1050"/>
      <c r="F11224" s="1050"/>
      <c r="G11224" s="1050"/>
    </row>
    <row r="11225" spans="1:7">
      <c r="A11225" s="1079"/>
      <c r="B11225" s="1050"/>
      <c r="C11225" s="1050"/>
      <c r="D11225" s="1050"/>
      <c r="E11225" s="1050"/>
      <c r="F11225" s="1050"/>
      <c r="G11225" s="1050"/>
    </row>
    <row r="11226" spans="1:7">
      <c r="A11226" s="1079"/>
      <c r="B11226" s="1050"/>
      <c r="C11226" s="1050"/>
      <c r="D11226" s="1050"/>
      <c r="E11226" s="1050"/>
      <c r="F11226" s="1050"/>
      <c r="G11226" s="1050"/>
    </row>
    <row r="11227" spans="1:7">
      <c r="A11227" s="1079"/>
      <c r="B11227" s="1050"/>
      <c r="C11227" s="1050"/>
      <c r="D11227" s="1050"/>
      <c r="E11227" s="1050"/>
      <c r="F11227" s="1050"/>
      <c r="G11227" s="1050"/>
    </row>
    <row r="11228" spans="1:7">
      <c r="A11228" s="1079"/>
      <c r="B11228" s="1050"/>
      <c r="C11228" s="1050"/>
      <c r="D11228" s="1050"/>
      <c r="E11228" s="1050"/>
      <c r="F11228" s="1050"/>
      <c r="G11228" s="1050"/>
    </row>
    <row r="11229" spans="1:7">
      <c r="A11229" s="1079"/>
      <c r="B11229" s="1050"/>
      <c r="C11229" s="1050"/>
      <c r="D11229" s="1050"/>
      <c r="E11229" s="1050"/>
      <c r="F11229" s="1050"/>
      <c r="G11229" s="1050"/>
    </row>
    <row r="11230" spans="1:7">
      <c r="A11230" s="1079"/>
      <c r="B11230" s="1050"/>
      <c r="C11230" s="1050"/>
      <c r="D11230" s="1050"/>
      <c r="E11230" s="1050"/>
      <c r="F11230" s="1050"/>
      <c r="G11230" s="1050"/>
    </row>
    <row r="11231" spans="1:7">
      <c r="A11231" s="1079"/>
      <c r="B11231" s="1050"/>
      <c r="C11231" s="1050"/>
      <c r="D11231" s="1050"/>
      <c r="E11231" s="1050"/>
      <c r="F11231" s="1050"/>
      <c r="G11231" s="1050"/>
    </row>
    <row r="11232" spans="1:7">
      <c r="A11232" s="1079"/>
      <c r="B11232" s="1050"/>
      <c r="C11232" s="1050"/>
      <c r="D11232" s="1050"/>
      <c r="E11232" s="1050"/>
      <c r="F11232" s="1050"/>
      <c r="G11232" s="1050"/>
    </row>
    <row r="11233" spans="1:7">
      <c r="A11233" s="1079"/>
      <c r="B11233" s="1050"/>
      <c r="C11233" s="1050"/>
      <c r="D11233" s="1050"/>
      <c r="E11233" s="1050"/>
      <c r="F11233" s="1050"/>
      <c r="G11233" s="1050"/>
    </row>
    <row r="11234" spans="1:7">
      <c r="A11234" s="1079"/>
      <c r="B11234" s="1050"/>
      <c r="C11234" s="1050"/>
      <c r="D11234" s="1050"/>
      <c r="E11234" s="1050"/>
      <c r="F11234" s="1050"/>
      <c r="G11234" s="1050"/>
    </row>
    <row r="11235" spans="1:7">
      <c r="A11235" s="1079"/>
      <c r="B11235" s="1050"/>
      <c r="C11235" s="1050"/>
      <c r="D11235" s="1050"/>
      <c r="E11235" s="1050"/>
      <c r="F11235" s="1050"/>
      <c r="G11235" s="1050"/>
    </row>
    <row r="11236" spans="1:7">
      <c r="A11236" s="1079"/>
      <c r="B11236" s="1050"/>
      <c r="C11236" s="1050"/>
      <c r="D11236" s="1050"/>
      <c r="E11236" s="1050"/>
      <c r="F11236" s="1050"/>
      <c r="G11236" s="1050"/>
    </row>
    <row r="11237" spans="1:7">
      <c r="A11237" s="1079"/>
      <c r="B11237" s="1050"/>
      <c r="C11237" s="1050"/>
      <c r="D11237" s="1050"/>
      <c r="E11237" s="1050"/>
      <c r="F11237" s="1050"/>
      <c r="G11237" s="1050"/>
    </row>
    <row r="11238" spans="1:7">
      <c r="A11238" s="1079"/>
      <c r="B11238" s="1050"/>
      <c r="C11238" s="1050"/>
      <c r="D11238" s="1050"/>
      <c r="E11238" s="1050"/>
      <c r="F11238" s="1050"/>
      <c r="G11238" s="1050"/>
    </row>
    <row r="11239" spans="1:7">
      <c r="A11239" s="1079"/>
      <c r="B11239" s="1050"/>
      <c r="C11239" s="1050"/>
      <c r="D11239" s="1050"/>
      <c r="E11239" s="1050"/>
      <c r="F11239" s="1050"/>
      <c r="G11239" s="1050"/>
    </row>
    <row r="11240" spans="1:7">
      <c r="A11240" s="1079"/>
      <c r="B11240" s="1050"/>
      <c r="C11240" s="1050"/>
      <c r="D11240" s="1050"/>
      <c r="E11240" s="1050"/>
      <c r="F11240" s="1050"/>
      <c r="G11240" s="1050"/>
    </row>
    <row r="11241" spans="1:7">
      <c r="A11241" s="1079"/>
      <c r="B11241" s="1050"/>
      <c r="C11241" s="1050"/>
      <c r="D11241" s="1050"/>
      <c r="E11241" s="1050"/>
      <c r="F11241" s="1050"/>
      <c r="G11241" s="1050"/>
    </row>
    <row r="11242" spans="1:7">
      <c r="A11242" s="1079"/>
      <c r="B11242" s="1050"/>
      <c r="C11242" s="1050"/>
      <c r="D11242" s="1050"/>
      <c r="E11242" s="1050"/>
      <c r="F11242" s="1050"/>
      <c r="G11242" s="1050"/>
    </row>
    <row r="11243" spans="1:7">
      <c r="A11243" s="1079"/>
      <c r="B11243" s="1050"/>
      <c r="C11243" s="1050"/>
      <c r="D11243" s="1050"/>
      <c r="E11243" s="1050"/>
      <c r="F11243" s="1050"/>
      <c r="G11243" s="1050"/>
    </row>
    <row r="11244" spans="1:7">
      <c r="A11244" s="1079"/>
      <c r="B11244" s="1050"/>
      <c r="C11244" s="1050"/>
      <c r="D11244" s="1050"/>
      <c r="E11244" s="1050"/>
      <c r="F11244" s="1050"/>
      <c r="G11244" s="1050"/>
    </row>
    <row r="11245" spans="1:7">
      <c r="A11245" s="1079"/>
      <c r="B11245" s="1050"/>
      <c r="C11245" s="1050"/>
      <c r="D11245" s="1050"/>
      <c r="E11245" s="1050"/>
      <c r="F11245" s="1050"/>
      <c r="G11245" s="1050"/>
    </row>
    <row r="11246" spans="1:7">
      <c r="A11246" s="1079"/>
      <c r="B11246" s="1050"/>
      <c r="C11246" s="1050"/>
      <c r="D11246" s="1050"/>
      <c r="E11246" s="1050"/>
      <c r="F11246" s="1050"/>
      <c r="G11246" s="1050"/>
    </row>
    <row r="11247" spans="1:7">
      <c r="A11247" s="1079"/>
      <c r="B11247" s="1050"/>
      <c r="C11247" s="1050"/>
      <c r="D11247" s="1050"/>
      <c r="E11247" s="1050"/>
      <c r="F11247" s="1050"/>
      <c r="G11247" s="1050"/>
    </row>
    <row r="11248" spans="1:7">
      <c r="A11248" s="1079"/>
      <c r="B11248" s="1050"/>
      <c r="C11248" s="1050"/>
      <c r="D11248" s="1050"/>
      <c r="E11248" s="1050"/>
      <c r="F11248" s="1050"/>
      <c r="G11248" s="1050"/>
    </row>
    <row r="11249" spans="1:7">
      <c r="A11249" s="1079"/>
      <c r="B11249" s="1050"/>
      <c r="C11249" s="1050"/>
      <c r="D11249" s="1050"/>
      <c r="E11249" s="1050"/>
      <c r="F11249" s="1050"/>
      <c r="G11249" s="1050"/>
    </row>
    <row r="11250" spans="1:7">
      <c r="A11250" s="1079"/>
      <c r="B11250" s="1050"/>
      <c r="C11250" s="1050"/>
      <c r="D11250" s="1050"/>
      <c r="E11250" s="1050"/>
      <c r="F11250" s="1050"/>
      <c r="G11250" s="1050"/>
    </row>
    <row r="11251" spans="1:7">
      <c r="A11251" s="1079"/>
      <c r="B11251" s="1050"/>
      <c r="C11251" s="1050"/>
      <c r="D11251" s="1050"/>
      <c r="E11251" s="1050"/>
      <c r="F11251" s="1050"/>
      <c r="G11251" s="1050"/>
    </row>
    <row r="11252" spans="1:7">
      <c r="A11252" s="1079"/>
      <c r="B11252" s="1050"/>
      <c r="C11252" s="1050"/>
      <c r="D11252" s="1050"/>
      <c r="E11252" s="1050"/>
      <c r="F11252" s="1050"/>
      <c r="G11252" s="1050"/>
    </row>
    <row r="11253" spans="1:7">
      <c r="A11253" s="1079"/>
      <c r="B11253" s="1050"/>
      <c r="C11253" s="1050"/>
      <c r="D11253" s="1050"/>
      <c r="E11253" s="1050"/>
      <c r="F11253" s="1050"/>
      <c r="G11253" s="1050"/>
    </row>
    <row r="11254" spans="1:7">
      <c r="A11254" s="1079"/>
      <c r="B11254" s="1050"/>
      <c r="C11254" s="1050"/>
      <c r="D11254" s="1050"/>
      <c r="E11254" s="1050"/>
      <c r="F11254" s="1050"/>
      <c r="G11254" s="1050"/>
    </row>
    <row r="11255" spans="1:7">
      <c r="A11255" s="1079"/>
      <c r="B11255" s="1050"/>
      <c r="C11255" s="1050"/>
      <c r="D11255" s="1050"/>
      <c r="E11255" s="1050"/>
      <c r="F11255" s="1050"/>
      <c r="G11255" s="1050"/>
    </row>
    <row r="11256" spans="1:7">
      <c r="A11256" s="1079"/>
      <c r="B11256" s="1050"/>
      <c r="C11256" s="1050"/>
      <c r="D11256" s="1050"/>
      <c r="E11256" s="1050"/>
      <c r="F11256" s="1050"/>
      <c r="G11256" s="1050"/>
    </row>
    <row r="11257" spans="1:7">
      <c r="A11257" s="1079"/>
      <c r="B11257" s="1050"/>
      <c r="C11257" s="1050"/>
      <c r="D11257" s="1050"/>
      <c r="E11257" s="1050"/>
      <c r="F11257" s="1050"/>
      <c r="G11257" s="1050"/>
    </row>
    <row r="11258" spans="1:7">
      <c r="A11258" s="1079"/>
      <c r="B11258" s="1050"/>
      <c r="C11258" s="1050"/>
      <c r="D11258" s="1050"/>
      <c r="E11258" s="1050"/>
      <c r="F11258" s="1050"/>
      <c r="G11258" s="1050"/>
    </row>
    <row r="11259" spans="1:7">
      <c r="A11259" s="1079"/>
      <c r="B11259" s="1050"/>
      <c r="C11259" s="1050"/>
      <c r="D11259" s="1050"/>
      <c r="E11259" s="1050"/>
      <c r="F11259" s="1050"/>
      <c r="G11259" s="1050"/>
    </row>
    <row r="11260" spans="1:7">
      <c r="A11260" s="1079"/>
      <c r="B11260" s="1050"/>
      <c r="C11260" s="1050"/>
      <c r="D11260" s="1050"/>
      <c r="E11260" s="1050"/>
      <c r="F11260" s="1050"/>
      <c r="G11260" s="1050"/>
    </row>
    <row r="11261" spans="1:7">
      <c r="A11261" s="1079"/>
      <c r="B11261" s="1050"/>
      <c r="C11261" s="1050"/>
      <c r="D11261" s="1050"/>
      <c r="E11261" s="1050"/>
      <c r="F11261" s="1050"/>
      <c r="G11261" s="1050"/>
    </row>
    <row r="11262" spans="1:7">
      <c r="A11262" s="1079"/>
      <c r="B11262" s="1050"/>
      <c r="C11262" s="1050"/>
      <c r="D11262" s="1050"/>
      <c r="E11262" s="1050"/>
      <c r="F11262" s="1050"/>
      <c r="G11262" s="1050"/>
    </row>
    <row r="11263" spans="1:7">
      <c r="A11263" s="1079"/>
      <c r="B11263" s="1050"/>
      <c r="C11263" s="1050"/>
      <c r="D11263" s="1050"/>
      <c r="E11263" s="1050"/>
      <c r="F11263" s="1050"/>
      <c r="G11263" s="1050"/>
    </row>
    <row r="11264" spans="1:7">
      <c r="A11264" s="1079"/>
      <c r="B11264" s="1050"/>
      <c r="C11264" s="1050"/>
      <c r="D11264" s="1050"/>
      <c r="E11264" s="1050"/>
      <c r="F11264" s="1050"/>
      <c r="G11264" s="1050"/>
    </row>
    <row r="11265" spans="1:7">
      <c r="A11265" s="1079"/>
      <c r="B11265" s="1050"/>
      <c r="C11265" s="1050"/>
      <c r="D11265" s="1050"/>
      <c r="E11265" s="1050"/>
      <c r="F11265" s="1050"/>
      <c r="G11265" s="1050"/>
    </row>
    <row r="11266" spans="1:7">
      <c r="A11266" s="1079"/>
      <c r="B11266" s="1050"/>
      <c r="C11266" s="1050"/>
      <c r="D11266" s="1050"/>
      <c r="E11266" s="1050"/>
      <c r="F11266" s="1050"/>
      <c r="G11266" s="1050"/>
    </row>
    <row r="11267" spans="1:7">
      <c r="A11267" s="1079"/>
      <c r="B11267" s="1050"/>
      <c r="C11267" s="1050"/>
      <c r="D11267" s="1050"/>
      <c r="E11267" s="1050"/>
      <c r="F11267" s="1050"/>
      <c r="G11267" s="1050"/>
    </row>
    <row r="11268" spans="1:7">
      <c r="A11268" s="1079"/>
      <c r="B11268" s="1050"/>
      <c r="C11268" s="1050"/>
      <c r="D11268" s="1050"/>
      <c r="E11268" s="1050"/>
      <c r="F11268" s="1050"/>
      <c r="G11268" s="1050"/>
    </row>
    <row r="11269" spans="1:7">
      <c r="A11269" s="1079"/>
      <c r="B11269" s="1050"/>
      <c r="C11269" s="1050"/>
      <c r="D11269" s="1050"/>
      <c r="E11269" s="1050"/>
      <c r="F11269" s="1050"/>
      <c r="G11269" s="1050"/>
    </row>
    <row r="11270" spans="1:7">
      <c r="A11270" s="1079"/>
      <c r="B11270" s="1050"/>
      <c r="C11270" s="1050"/>
      <c r="D11270" s="1050"/>
      <c r="E11270" s="1050"/>
      <c r="F11270" s="1050"/>
      <c r="G11270" s="1050"/>
    </row>
    <row r="11271" spans="1:7">
      <c r="A11271" s="1079"/>
      <c r="B11271" s="1050"/>
      <c r="C11271" s="1050"/>
      <c r="D11271" s="1050"/>
      <c r="E11271" s="1050"/>
      <c r="F11271" s="1050"/>
      <c r="G11271" s="1050"/>
    </row>
    <row r="11272" spans="1:7">
      <c r="A11272" s="1079"/>
      <c r="B11272" s="1050"/>
      <c r="C11272" s="1050"/>
      <c r="D11272" s="1050"/>
      <c r="E11272" s="1050"/>
      <c r="F11272" s="1050"/>
      <c r="G11272" s="1050"/>
    </row>
    <row r="11273" spans="1:7">
      <c r="A11273" s="1079"/>
      <c r="B11273" s="1050"/>
      <c r="C11273" s="1050"/>
      <c r="D11273" s="1050"/>
      <c r="E11273" s="1050"/>
      <c r="F11273" s="1050"/>
      <c r="G11273" s="1050"/>
    </row>
    <row r="11274" spans="1:7">
      <c r="A11274" s="1079"/>
      <c r="B11274" s="1050"/>
      <c r="C11274" s="1050"/>
      <c r="D11274" s="1050"/>
      <c r="E11274" s="1050"/>
      <c r="F11274" s="1050"/>
      <c r="G11274" s="1050"/>
    </row>
    <row r="11275" spans="1:7">
      <c r="A11275" s="1079"/>
      <c r="B11275" s="1050"/>
      <c r="C11275" s="1050"/>
      <c r="D11275" s="1050"/>
      <c r="E11275" s="1050"/>
      <c r="F11275" s="1050"/>
      <c r="G11275" s="1050"/>
    </row>
    <row r="11276" spans="1:7">
      <c r="A11276" s="1079"/>
      <c r="B11276" s="1050"/>
      <c r="C11276" s="1050"/>
      <c r="D11276" s="1050"/>
      <c r="E11276" s="1050"/>
      <c r="F11276" s="1050"/>
      <c r="G11276" s="1050"/>
    </row>
    <row r="11277" spans="1:7">
      <c r="A11277" s="1079"/>
      <c r="B11277" s="1050"/>
      <c r="C11277" s="1050"/>
      <c r="D11277" s="1050"/>
      <c r="E11277" s="1050"/>
      <c r="F11277" s="1050"/>
      <c r="G11277" s="1050"/>
    </row>
    <row r="11278" spans="1:7">
      <c r="A11278" s="1079"/>
      <c r="B11278" s="1050"/>
      <c r="C11278" s="1050"/>
      <c r="D11278" s="1050"/>
      <c r="E11278" s="1050"/>
      <c r="F11278" s="1050"/>
      <c r="G11278" s="1050"/>
    </row>
    <row r="11279" spans="1:7">
      <c r="A11279" s="1079"/>
      <c r="B11279" s="1050"/>
      <c r="C11279" s="1050"/>
      <c r="D11279" s="1050"/>
      <c r="E11279" s="1050"/>
      <c r="F11279" s="1050"/>
      <c r="G11279" s="1050"/>
    </row>
    <row r="11280" spans="1:7">
      <c r="A11280" s="1079"/>
      <c r="B11280" s="1050"/>
      <c r="C11280" s="1050"/>
      <c r="D11280" s="1050"/>
      <c r="E11280" s="1050"/>
      <c r="F11280" s="1050"/>
      <c r="G11280" s="1050"/>
    </row>
    <row r="11281" spans="1:7">
      <c r="A11281" s="1079"/>
      <c r="B11281" s="1050"/>
      <c r="C11281" s="1050"/>
      <c r="D11281" s="1050"/>
      <c r="E11281" s="1050"/>
      <c r="F11281" s="1050"/>
      <c r="G11281" s="1050"/>
    </row>
    <row r="11282" spans="1:7">
      <c r="A11282" s="1079"/>
      <c r="B11282" s="1050"/>
      <c r="C11282" s="1050"/>
      <c r="D11282" s="1050"/>
      <c r="E11282" s="1050"/>
      <c r="F11282" s="1050"/>
      <c r="G11282" s="1050"/>
    </row>
    <row r="11283" spans="1:7">
      <c r="A11283" s="1079"/>
      <c r="B11283" s="1050"/>
      <c r="C11283" s="1050"/>
      <c r="D11283" s="1050"/>
      <c r="E11283" s="1050"/>
      <c r="F11283" s="1050"/>
      <c r="G11283" s="1050"/>
    </row>
    <row r="11284" spans="1:7">
      <c r="A11284" s="1079"/>
      <c r="B11284" s="1050"/>
      <c r="C11284" s="1050"/>
      <c r="D11284" s="1050"/>
      <c r="E11284" s="1050"/>
      <c r="F11284" s="1050"/>
      <c r="G11284" s="1050"/>
    </row>
    <row r="11285" spans="1:7">
      <c r="A11285" s="1079"/>
      <c r="B11285" s="1050"/>
      <c r="C11285" s="1050"/>
      <c r="D11285" s="1050"/>
      <c r="E11285" s="1050"/>
      <c r="F11285" s="1050"/>
      <c r="G11285" s="1050"/>
    </row>
    <row r="11286" spans="1:7">
      <c r="A11286" s="1079"/>
      <c r="B11286" s="1050"/>
      <c r="C11286" s="1050"/>
      <c r="D11286" s="1050"/>
      <c r="E11286" s="1050"/>
      <c r="F11286" s="1050"/>
      <c r="G11286" s="1050"/>
    </row>
    <row r="11287" spans="1:7">
      <c r="A11287" s="1079"/>
      <c r="B11287" s="1050"/>
      <c r="C11287" s="1050"/>
      <c r="D11287" s="1050"/>
      <c r="E11287" s="1050"/>
      <c r="F11287" s="1050"/>
      <c r="G11287" s="1050"/>
    </row>
    <row r="11288" spans="1:7">
      <c r="A11288" s="1079"/>
      <c r="B11288" s="1050"/>
      <c r="C11288" s="1050"/>
      <c r="D11288" s="1050"/>
      <c r="E11288" s="1050"/>
      <c r="F11288" s="1050"/>
      <c r="G11288" s="1050"/>
    </row>
    <row r="11289" spans="1:7">
      <c r="A11289" s="1079"/>
      <c r="B11289" s="1050"/>
      <c r="C11289" s="1050"/>
      <c r="D11289" s="1050"/>
      <c r="E11289" s="1050"/>
      <c r="F11289" s="1050"/>
      <c r="G11289" s="1050"/>
    </row>
    <row r="11290" spans="1:7">
      <c r="A11290" s="1079"/>
      <c r="B11290" s="1050"/>
      <c r="C11290" s="1050"/>
      <c r="D11290" s="1050"/>
      <c r="E11290" s="1050"/>
      <c r="F11290" s="1050"/>
      <c r="G11290" s="1050"/>
    </row>
    <row r="11291" spans="1:7">
      <c r="A11291" s="1079"/>
      <c r="B11291" s="1050"/>
      <c r="C11291" s="1050"/>
      <c r="D11291" s="1050"/>
      <c r="E11291" s="1050"/>
      <c r="F11291" s="1050"/>
      <c r="G11291" s="1050"/>
    </row>
    <row r="11292" spans="1:7">
      <c r="A11292" s="1079"/>
      <c r="B11292" s="1050"/>
      <c r="C11292" s="1050"/>
      <c r="D11292" s="1050"/>
      <c r="E11292" s="1050"/>
      <c r="F11292" s="1050"/>
      <c r="G11292" s="1050"/>
    </row>
    <row r="11293" spans="1:7">
      <c r="A11293" s="1079"/>
      <c r="B11293" s="1050"/>
      <c r="C11293" s="1050"/>
      <c r="D11293" s="1050"/>
      <c r="E11293" s="1050"/>
      <c r="F11293" s="1050"/>
      <c r="G11293" s="1050"/>
    </row>
    <row r="11294" spans="1:7">
      <c r="A11294" s="1079"/>
      <c r="B11294" s="1050"/>
      <c r="C11294" s="1050"/>
      <c r="D11294" s="1050"/>
      <c r="E11294" s="1050"/>
      <c r="F11294" s="1050"/>
      <c r="G11294" s="1050"/>
    </row>
    <row r="11295" spans="1:7">
      <c r="A11295" s="1079"/>
      <c r="B11295" s="1050"/>
      <c r="C11295" s="1050"/>
      <c r="D11295" s="1050"/>
      <c r="E11295" s="1050"/>
      <c r="F11295" s="1050"/>
      <c r="G11295" s="1050"/>
    </row>
    <row r="11296" spans="1:7">
      <c r="A11296" s="1079"/>
      <c r="B11296" s="1050"/>
      <c r="C11296" s="1050"/>
      <c r="D11296" s="1050"/>
      <c r="E11296" s="1050"/>
      <c r="F11296" s="1050"/>
      <c r="G11296" s="1050"/>
    </row>
    <row r="11297" spans="1:7">
      <c r="A11297" s="1079"/>
      <c r="B11297" s="1050"/>
      <c r="C11297" s="1050"/>
      <c r="D11297" s="1050"/>
      <c r="E11297" s="1050"/>
      <c r="F11297" s="1050"/>
      <c r="G11297" s="1050"/>
    </row>
    <row r="11298" spans="1:7">
      <c r="A11298" s="1079"/>
      <c r="B11298" s="1050"/>
      <c r="C11298" s="1050"/>
      <c r="D11298" s="1050"/>
      <c r="E11298" s="1050"/>
      <c r="F11298" s="1050"/>
      <c r="G11298" s="1050"/>
    </row>
    <row r="11299" spans="1:7">
      <c r="A11299" s="1079"/>
      <c r="B11299" s="1050"/>
      <c r="C11299" s="1050"/>
      <c r="D11299" s="1050"/>
      <c r="E11299" s="1050"/>
      <c r="F11299" s="1050"/>
      <c r="G11299" s="1050"/>
    </row>
    <row r="11300" spans="1:7">
      <c r="A11300" s="1079"/>
      <c r="B11300" s="1050"/>
      <c r="C11300" s="1050"/>
      <c r="D11300" s="1050"/>
      <c r="E11300" s="1050"/>
      <c r="F11300" s="1050"/>
      <c r="G11300" s="1050"/>
    </row>
    <row r="11301" spans="1:7">
      <c r="A11301" s="1079"/>
      <c r="B11301" s="1050"/>
      <c r="C11301" s="1050"/>
      <c r="D11301" s="1050"/>
      <c r="E11301" s="1050"/>
      <c r="F11301" s="1050"/>
      <c r="G11301" s="1050"/>
    </row>
    <row r="11302" spans="1:7">
      <c r="A11302" s="1079"/>
      <c r="B11302" s="1050"/>
      <c r="C11302" s="1050"/>
      <c r="D11302" s="1050"/>
      <c r="E11302" s="1050"/>
      <c r="F11302" s="1050"/>
      <c r="G11302" s="1050"/>
    </row>
    <row r="11303" spans="1:7">
      <c r="A11303" s="1079"/>
      <c r="B11303" s="1050"/>
      <c r="C11303" s="1050"/>
      <c r="D11303" s="1050"/>
      <c r="E11303" s="1050"/>
      <c r="F11303" s="1050"/>
      <c r="G11303" s="1050"/>
    </row>
    <row r="11304" spans="1:7">
      <c r="A11304" s="1079"/>
      <c r="B11304" s="1050"/>
      <c r="C11304" s="1050"/>
      <c r="D11304" s="1050"/>
      <c r="E11304" s="1050"/>
      <c r="F11304" s="1050"/>
      <c r="G11304" s="1050"/>
    </row>
    <row r="11305" spans="1:7">
      <c r="A11305" s="1079"/>
      <c r="B11305" s="1050"/>
      <c r="C11305" s="1050"/>
      <c r="D11305" s="1050"/>
      <c r="E11305" s="1050"/>
      <c r="F11305" s="1050"/>
      <c r="G11305" s="1050"/>
    </row>
    <row r="11306" spans="1:7">
      <c r="A11306" s="1079"/>
      <c r="B11306" s="1050"/>
      <c r="C11306" s="1050"/>
      <c r="D11306" s="1050"/>
      <c r="E11306" s="1050"/>
      <c r="F11306" s="1050"/>
      <c r="G11306" s="1050"/>
    </row>
    <row r="11307" spans="1:7">
      <c r="A11307" s="1079"/>
      <c r="B11307" s="1050"/>
      <c r="C11307" s="1050"/>
      <c r="D11307" s="1050"/>
      <c r="E11307" s="1050"/>
      <c r="F11307" s="1050"/>
      <c r="G11307" s="1050"/>
    </row>
    <row r="11308" spans="1:7">
      <c r="A11308" s="1079"/>
      <c r="B11308" s="1050"/>
      <c r="C11308" s="1050"/>
      <c r="D11308" s="1050"/>
      <c r="E11308" s="1050"/>
      <c r="F11308" s="1050"/>
      <c r="G11308" s="1050"/>
    </row>
    <row r="11309" spans="1:7">
      <c r="A11309" s="1079"/>
      <c r="B11309" s="1050"/>
      <c r="C11309" s="1050"/>
      <c r="D11309" s="1050"/>
      <c r="E11309" s="1050"/>
      <c r="F11309" s="1050"/>
      <c r="G11309" s="1050"/>
    </row>
    <row r="11310" spans="1:7">
      <c r="A11310" s="1079"/>
      <c r="B11310" s="1050"/>
      <c r="C11310" s="1050"/>
      <c r="D11310" s="1050"/>
      <c r="E11310" s="1050"/>
      <c r="F11310" s="1050"/>
      <c r="G11310" s="1050"/>
    </row>
    <row r="11311" spans="1:7">
      <c r="A11311" s="1079"/>
      <c r="B11311" s="1050"/>
      <c r="C11311" s="1050"/>
      <c r="D11311" s="1050"/>
      <c r="E11311" s="1050"/>
      <c r="F11311" s="1050"/>
      <c r="G11311" s="1050"/>
    </row>
    <row r="11312" spans="1:7">
      <c r="A11312" s="1079"/>
      <c r="B11312" s="1050"/>
      <c r="C11312" s="1050"/>
      <c r="D11312" s="1050"/>
      <c r="E11312" s="1050"/>
      <c r="F11312" s="1050"/>
      <c r="G11312" s="1050"/>
    </row>
    <row r="11313" spans="1:7">
      <c r="A11313" s="1079"/>
      <c r="B11313" s="1050"/>
      <c r="C11313" s="1050"/>
      <c r="D11313" s="1050"/>
      <c r="E11313" s="1050"/>
      <c r="F11313" s="1050"/>
      <c r="G11313" s="1050"/>
    </row>
    <row r="11314" spans="1:7">
      <c r="A11314" s="1079"/>
      <c r="B11314" s="1050"/>
      <c r="C11314" s="1050"/>
      <c r="D11314" s="1050"/>
      <c r="E11314" s="1050"/>
      <c r="F11314" s="1050"/>
      <c r="G11314" s="1050"/>
    </row>
    <row r="11315" spans="1:7">
      <c r="A11315" s="1079"/>
      <c r="B11315" s="1050"/>
      <c r="C11315" s="1050"/>
      <c r="D11315" s="1050"/>
      <c r="E11315" s="1050"/>
      <c r="F11315" s="1050"/>
      <c r="G11315" s="1050"/>
    </row>
    <row r="11316" spans="1:7">
      <c r="A11316" s="1079"/>
      <c r="B11316" s="1050"/>
      <c r="C11316" s="1050"/>
      <c r="D11316" s="1050"/>
      <c r="E11316" s="1050"/>
      <c r="F11316" s="1050"/>
      <c r="G11316" s="1050"/>
    </row>
    <row r="11317" spans="1:7">
      <c r="A11317" s="1079"/>
      <c r="B11317" s="1050"/>
      <c r="C11317" s="1050"/>
      <c r="D11317" s="1050"/>
      <c r="E11317" s="1050"/>
      <c r="F11317" s="1050"/>
      <c r="G11317" s="1050"/>
    </row>
    <row r="11318" spans="1:7">
      <c r="A11318" s="1079"/>
      <c r="B11318" s="1050"/>
      <c r="C11318" s="1050"/>
      <c r="D11318" s="1050"/>
      <c r="E11318" s="1050"/>
      <c r="F11318" s="1050"/>
      <c r="G11318" s="1050"/>
    </row>
    <row r="11319" spans="1:7">
      <c r="A11319" s="1079"/>
      <c r="B11319" s="1050"/>
      <c r="C11319" s="1050"/>
      <c r="D11319" s="1050"/>
      <c r="E11319" s="1050"/>
      <c r="F11319" s="1050"/>
      <c r="G11319" s="1050"/>
    </row>
    <row r="11320" spans="1:7">
      <c r="A11320" s="1079"/>
      <c r="B11320" s="1050"/>
      <c r="C11320" s="1050"/>
      <c r="D11320" s="1050"/>
      <c r="E11320" s="1050"/>
      <c r="F11320" s="1050"/>
      <c r="G11320" s="1050"/>
    </row>
    <row r="11321" spans="1:7">
      <c r="A11321" s="1079"/>
      <c r="B11321" s="1050"/>
      <c r="C11321" s="1050"/>
      <c r="D11321" s="1050"/>
      <c r="E11321" s="1050"/>
      <c r="F11321" s="1050"/>
      <c r="G11321" s="1050"/>
    </row>
    <row r="11322" spans="1:7">
      <c r="A11322" s="1079"/>
      <c r="B11322" s="1050"/>
      <c r="C11322" s="1050"/>
      <c r="D11322" s="1050"/>
      <c r="E11322" s="1050"/>
      <c r="F11322" s="1050"/>
      <c r="G11322" s="1050"/>
    </row>
    <row r="11323" spans="1:7">
      <c r="A11323" s="1079"/>
      <c r="B11323" s="1050"/>
      <c r="C11323" s="1050"/>
      <c r="D11323" s="1050"/>
      <c r="E11323" s="1050"/>
      <c r="F11323" s="1050"/>
      <c r="G11323" s="1050"/>
    </row>
    <row r="11324" spans="1:7">
      <c r="A11324" s="1079"/>
      <c r="B11324" s="1050"/>
      <c r="C11324" s="1050"/>
      <c r="D11324" s="1050"/>
      <c r="E11324" s="1050"/>
      <c r="F11324" s="1050"/>
      <c r="G11324" s="1050"/>
    </row>
    <row r="11325" spans="1:7">
      <c r="A11325" s="1079"/>
      <c r="B11325" s="1050"/>
      <c r="C11325" s="1050"/>
      <c r="D11325" s="1050"/>
      <c r="E11325" s="1050"/>
      <c r="F11325" s="1050"/>
      <c r="G11325" s="1050"/>
    </row>
    <row r="11326" spans="1:7">
      <c r="A11326" s="1079"/>
      <c r="B11326" s="1050"/>
      <c r="C11326" s="1050"/>
      <c r="D11326" s="1050"/>
      <c r="E11326" s="1050"/>
      <c r="F11326" s="1050"/>
      <c r="G11326" s="1050"/>
    </row>
    <row r="11327" spans="1:7">
      <c r="A11327" s="1079"/>
      <c r="B11327" s="1050"/>
      <c r="C11327" s="1050"/>
      <c r="D11327" s="1050"/>
      <c r="E11327" s="1050"/>
      <c r="F11327" s="1050"/>
      <c r="G11327" s="1050"/>
    </row>
    <row r="11328" spans="1:7">
      <c r="A11328" s="1079"/>
      <c r="B11328" s="1050"/>
      <c r="C11328" s="1050"/>
      <c r="D11328" s="1050"/>
      <c r="E11328" s="1050"/>
      <c r="F11328" s="1050"/>
      <c r="G11328" s="1050"/>
    </row>
    <row r="11329" spans="1:7">
      <c r="A11329" s="1079"/>
      <c r="B11329" s="1050"/>
      <c r="C11329" s="1050"/>
      <c r="D11329" s="1050"/>
      <c r="E11329" s="1050"/>
      <c r="F11329" s="1050"/>
      <c r="G11329" s="1050"/>
    </row>
    <row r="11330" spans="1:7">
      <c r="A11330" s="1079"/>
      <c r="B11330" s="1050"/>
      <c r="C11330" s="1050"/>
      <c r="D11330" s="1050"/>
      <c r="E11330" s="1050"/>
      <c r="F11330" s="1050"/>
      <c r="G11330" s="1050"/>
    </row>
    <row r="11331" spans="1:7">
      <c r="A11331" s="1079"/>
      <c r="B11331" s="1050"/>
      <c r="C11331" s="1050"/>
      <c r="D11331" s="1050"/>
      <c r="E11331" s="1050"/>
      <c r="F11331" s="1050"/>
      <c r="G11331" s="1050"/>
    </row>
    <row r="11332" spans="1:7">
      <c r="A11332" s="1079"/>
      <c r="B11332" s="1050"/>
      <c r="C11332" s="1050"/>
      <c r="D11332" s="1050"/>
      <c r="E11332" s="1050"/>
      <c r="F11332" s="1050"/>
      <c r="G11332" s="1050"/>
    </row>
    <row r="11333" spans="1:7">
      <c r="A11333" s="1079"/>
      <c r="B11333" s="1050"/>
      <c r="C11333" s="1050"/>
      <c r="D11333" s="1050"/>
      <c r="E11333" s="1050"/>
      <c r="F11333" s="1050"/>
      <c r="G11333" s="1050"/>
    </row>
    <row r="11334" spans="1:7">
      <c r="A11334" s="1079"/>
      <c r="B11334" s="1050"/>
      <c r="C11334" s="1050"/>
      <c r="D11334" s="1050"/>
      <c r="E11334" s="1050"/>
      <c r="F11334" s="1050"/>
      <c r="G11334" s="1050"/>
    </row>
    <row r="11335" spans="1:7">
      <c r="A11335" s="1079"/>
      <c r="B11335" s="1050"/>
      <c r="C11335" s="1050"/>
      <c r="D11335" s="1050"/>
      <c r="E11335" s="1050"/>
      <c r="F11335" s="1050"/>
      <c r="G11335" s="1050"/>
    </row>
    <row r="11336" spans="1:7">
      <c r="A11336" s="1079"/>
      <c r="B11336" s="1050"/>
      <c r="C11336" s="1050"/>
      <c r="D11336" s="1050"/>
      <c r="E11336" s="1050"/>
      <c r="F11336" s="1050"/>
      <c r="G11336" s="1050"/>
    </row>
    <row r="11337" spans="1:7">
      <c r="A11337" s="1079"/>
      <c r="B11337" s="1050"/>
      <c r="C11337" s="1050"/>
      <c r="D11337" s="1050"/>
      <c r="E11337" s="1050"/>
      <c r="F11337" s="1050"/>
      <c r="G11337" s="1050"/>
    </row>
    <row r="11338" spans="1:7">
      <c r="A11338" s="1079"/>
      <c r="B11338" s="1050"/>
      <c r="C11338" s="1050"/>
      <c r="D11338" s="1050"/>
      <c r="E11338" s="1050"/>
      <c r="F11338" s="1050"/>
      <c r="G11338" s="1050"/>
    </row>
    <row r="11339" spans="1:7">
      <c r="A11339" s="1079"/>
      <c r="B11339" s="1050"/>
      <c r="C11339" s="1050"/>
      <c r="D11339" s="1050"/>
      <c r="E11339" s="1050"/>
      <c r="F11339" s="1050"/>
      <c r="G11339" s="1050"/>
    </row>
    <row r="11340" spans="1:7">
      <c r="A11340" s="1079"/>
      <c r="B11340" s="1050"/>
      <c r="C11340" s="1050"/>
      <c r="D11340" s="1050"/>
      <c r="E11340" s="1050"/>
      <c r="F11340" s="1050"/>
      <c r="G11340" s="1050"/>
    </row>
    <row r="11341" spans="1:7">
      <c r="A11341" s="1079"/>
      <c r="B11341" s="1050"/>
      <c r="C11341" s="1050"/>
      <c r="D11341" s="1050"/>
      <c r="E11341" s="1050"/>
      <c r="F11341" s="1050"/>
      <c r="G11341" s="1050"/>
    </row>
    <row r="11342" spans="1:7">
      <c r="A11342" s="1079"/>
      <c r="B11342" s="1050"/>
      <c r="C11342" s="1050"/>
      <c r="D11342" s="1050"/>
      <c r="E11342" s="1050"/>
      <c r="F11342" s="1050"/>
      <c r="G11342" s="1050"/>
    </row>
    <row r="11343" spans="1:7">
      <c r="A11343" s="1079"/>
      <c r="B11343" s="1050"/>
      <c r="C11343" s="1050"/>
      <c r="D11343" s="1050"/>
      <c r="E11343" s="1050"/>
      <c r="F11343" s="1050"/>
      <c r="G11343" s="1050"/>
    </row>
    <row r="11344" spans="1:7">
      <c r="A11344" s="1079"/>
      <c r="B11344" s="1050"/>
      <c r="C11344" s="1050"/>
      <c r="D11344" s="1050"/>
      <c r="E11344" s="1050"/>
      <c r="F11344" s="1050"/>
      <c r="G11344" s="1050"/>
    </row>
    <row r="11345" spans="1:7">
      <c r="A11345" s="1079"/>
      <c r="B11345" s="1050"/>
      <c r="C11345" s="1050"/>
      <c r="D11345" s="1050"/>
      <c r="E11345" s="1050"/>
      <c r="F11345" s="1050"/>
      <c r="G11345" s="1050"/>
    </row>
    <row r="11346" spans="1:7">
      <c r="A11346" s="1079"/>
      <c r="B11346" s="1050"/>
      <c r="C11346" s="1050"/>
      <c r="D11346" s="1050"/>
      <c r="E11346" s="1050"/>
      <c r="F11346" s="1050"/>
      <c r="G11346" s="1050"/>
    </row>
    <row r="11347" spans="1:7">
      <c r="A11347" s="1079"/>
      <c r="B11347" s="1050"/>
      <c r="C11347" s="1050"/>
      <c r="D11347" s="1050"/>
      <c r="E11347" s="1050"/>
      <c r="F11347" s="1050"/>
      <c r="G11347" s="1050"/>
    </row>
    <row r="11348" spans="1:7">
      <c r="A11348" s="1079"/>
      <c r="B11348" s="1050"/>
      <c r="C11348" s="1050"/>
      <c r="D11348" s="1050"/>
      <c r="E11348" s="1050"/>
      <c r="F11348" s="1050"/>
      <c r="G11348" s="1050"/>
    </row>
    <row r="11349" spans="1:7">
      <c r="A11349" s="1079"/>
      <c r="B11349" s="1050"/>
      <c r="C11349" s="1050"/>
      <c r="D11349" s="1050"/>
      <c r="E11349" s="1050"/>
      <c r="F11349" s="1050"/>
      <c r="G11349" s="1050"/>
    </row>
    <row r="11350" spans="1:7">
      <c r="A11350" s="1079"/>
      <c r="B11350" s="1050"/>
      <c r="C11350" s="1050"/>
      <c r="D11350" s="1050"/>
      <c r="E11350" s="1050"/>
      <c r="F11350" s="1050"/>
      <c r="G11350" s="1050"/>
    </row>
    <row r="11351" spans="1:7">
      <c r="A11351" s="1079"/>
      <c r="B11351" s="1050"/>
      <c r="C11351" s="1050"/>
      <c r="D11351" s="1050"/>
      <c r="E11351" s="1050"/>
      <c r="F11351" s="1050"/>
      <c r="G11351" s="1050"/>
    </row>
    <row r="11352" spans="1:7">
      <c r="A11352" s="1079"/>
      <c r="B11352" s="1050"/>
      <c r="C11352" s="1050"/>
      <c r="D11352" s="1050"/>
      <c r="E11352" s="1050"/>
      <c r="F11352" s="1050"/>
      <c r="G11352" s="1050"/>
    </row>
    <row r="11353" spans="1:7">
      <c r="A11353" s="1079"/>
      <c r="B11353" s="1050"/>
      <c r="C11353" s="1050"/>
      <c r="D11353" s="1050"/>
      <c r="E11353" s="1050"/>
      <c r="F11353" s="1050"/>
      <c r="G11353" s="1050"/>
    </row>
    <row r="11354" spans="1:7">
      <c r="A11354" s="1079"/>
      <c r="B11354" s="1050"/>
      <c r="C11354" s="1050"/>
      <c r="D11354" s="1050"/>
      <c r="E11354" s="1050"/>
      <c r="F11354" s="1050"/>
      <c r="G11354" s="1050"/>
    </row>
    <row r="11355" spans="1:7">
      <c r="A11355" s="1079"/>
      <c r="B11355" s="1050"/>
      <c r="C11355" s="1050"/>
      <c r="D11355" s="1050"/>
      <c r="E11355" s="1050"/>
      <c r="F11355" s="1050"/>
      <c r="G11355" s="1050"/>
    </row>
    <row r="11356" spans="1:7">
      <c r="A11356" s="1079"/>
      <c r="B11356" s="1050"/>
      <c r="C11356" s="1050"/>
      <c r="D11356" s="1050"/>
      <c r="E11356" s="1050"/>
      <c r="F11356" s="1050"/>
      <c r="G11356" s="1050"/>
    </row>
    <row r="11357" spans="1:7">
      <c r="A11357" s="1079"/>
      <c r="B11357" s="1050"/>
      <c r="C11357" s="1050"/>
      <c r="D11357" s="1050"/>
      <c r="E11357" s="1050"/>
      <c r="F11357" s="1050"/>
      <c r="G11357" s="1050"/>
    </row>
    <row r="11358" spans="1:7">
      <c r="A11358" s="1079"/>
      <c r="B11358" s="1050"/>
      <c r="C11358" s="1050"/>
      <c r="D11358" s="1050"/>
      <c r="E11358" s="1050"/>
      <c r="F11358" s="1050"/>
      <c r="G11358" s="1050"/>
    </row>
    <row r="11359" spans="1:7">
      <c r="A11359" s="1079"/>
      <c r="B11359" s="1050"/>
      <c r="C11359" s="1050"/>
      <c r="D11359" s="1050"/>
      <c r="E11359" s="1050"/>
      <c r="F11359" s="1050"/>
      <c r="G11359" s="1050"/>
    </row>
    <row r="11360" spans="1:7">
      <c r="A11360" s="1079"/>
      <c r="B11360" s="1050"/>
      <c r="C11360" s="1050"/>
      <c r="D11360" s="1050"/>
      <c r="E11360" s="1050"/>
      <c r="F11360" s="1050"/>
      <c r="G11360" s="1050"/>
    </row>
    <row r="11361" spans="1:7">
      <c r="A11361" s="1079"/>
      <c r="B11361" s="1050"/>
      <c r="C11361" s="1050"/>
      <c r="D11361" s="1050"/>
      <c r="E11361" s="1050"/>
      <c r="F11361" s="1050"/>
      <c r="G11361" s="1050"/>
    </row>
    <row r="11362" spans="1:7">
      <c r="A11362" s="1079"/>
      <c r="B11362" s="1050"/>
      <c r="C11362" s="1050"/>
      <c r="D11362" s="1050"/>
      <c r="E11362" s="1050"/>
      <c r="F11362" s="1050"/>
      <c r="G11362" s="1050"/>
    </row>
    <row r="11363" spans="1:7">
      <c r="A11363" s="1079"/>
      <c r="B11363" s="1050"/>
      <c r="C11363" s="1050"/>
      <c r="D11363" s="1050"/>
      <c r="E11363" s="1050"/>
      <c r="F11363" s="1050"/>
      <c r="G11363" s="1050"/>
    </row>
    <row r="11364" spans="1:7">
      <c r="A11364" s="1079"/>
      <c r="B11364" s="1050"/>
      <c r="C11364" s="1050"/>
      <c r="D11364" s="1050"/>
      <c r="E11364" s="1050"/>
      <c r="F11364" s="1050"/>
      <c r="G11364" s="1050"/>
    </row>
    <row r="11365" spans="1:7">
      <c r="A11365" s="1079"/>
      <c r="B11365" s="1050"/>
      <c r="C11365" s="1050"/>
      <c r="D11365" s="1050"/>
      <c r="E11365" s="1050"/>
      <c r="F11365" s="1050"/>
      <c r="G11365" s="1050"/>
    </row>
    <row r="11366" spans="1:7">
      <c r="A11366" s="1079"/>
      <c r="B11366" s="1050"/>
      <c r="C11366" s="1050"/>
      <c r="D11366" s="1050"/>
      <c r="E11366" s="1050"/>
      <c r="F11366" s="1050"/>
      <c r="G11366" s="1050"/>
    </row>
    <row r="11367" spans="1:7">
      <c r="A11367" s="1079"/>
      <c r="B11367" s="1050"/>
      <c r="C11367" s="1050"/>
      <c r="D11367" s="1050"/>
      <c r="E11367" s="1050"/>
      <c r="F11367" s="1050"/>
      <c r="G11367" s="1050"/>
    </row>
    <row r="11368" spans="1:7">
      <c r="A11368" s="1079"/>
      <c r="B11368" s="1050"/>
      <c r="C11368" s="1050"/>
      <c r="D11368" s="1050"/>
      <c r="E11368" s="1050"/>
      <c r="F11368" s="1050"/>
      <c r="G11368" s="1050"/>
    </row>
    <row r="11369" spans="1:7">
      <c r="A11369" s="1079"/>
      <c r="B11369" s="1050"/>
      <c r="C11369" s="1050"/>
      <c r="D11369" s="1050"/>
      <c r="E11369" s="1050"/>
      <c r="F11369" s="1050"/>
      <c r="G11369" s="1050"/>
    </row>
    <row r="11370" spans="1:7">
      <c r="A11370" s="1079"/>
      <c r="B11370" s="1050"/>
      <c r="C11370" s="1050"/>
      <c r="D11370" s="1050"/>
      <c r="E11370" s="1050"/>
      <c r="F11370" s="1050"/>
      <c r="G11370" s="1050"/>
    </row>
    <row r="11371" spans="1:7">
      <c r="A11371" s="1079"/>
      <c r="B11371" s="1050"/>
      <c r="C11371" s="1050"/>
      <c r="D11371" s="1050"/>
      <c r="E11371" s="1050"/>
      <c r="F11371" s="1050"/>
      <c r="G11371" s="1050"/>
    </row>
    <row r="11372" spans="1:7">
      <c r="A11372" s="1079"/>
      <c r="B11372" s="1050"/>
      <c r="C11372" s="1050"/>
      <c r="D11372" s="1050"/>
      <c r="E11372" s="1050"/>
      <c r="F11372" s="1050"/>
      <c r="G11372" s="1050"/>
    </row>
    <row r="11373" spans="1:7">
      <c r="A11373" s="1079"/>
      <c r="B11373" s="1050"/>
      <c r="C11373" s="1050"/>
      <c r="D11373" s="1050"/>
      <c r="E11373" s="1050"/>
      <c r="F11373" s="1050"/>
      <c r="G11373" s="1050"/>
    </row>
    <row r="11374" spans="1:7">
      <c r="A11374" s="1079"/>
      <c r="B11374" s="1050"/>
      <c r="C11374" s="1050"/>
      <c r="D11374" s="1050"/>
      <c r="E11374" s="1050"/>
      <c r="F11374" s="1050"/>
      <c r="G11374" s="1050"/>
    </row>
    <row r="11375" spans="1:7">
      <c r="A11375" s="1079"/>
      <c r="B11375" s="1050"/>
      <c r="C11375" s="1050"/>
      <c r="D11375" s="1050"/>
      <c r="E11375" s="1050"/>
      <c r="F11375" s="1050"/>
      <c r="G11375" s="1050"/>
    </row>
    <row r="11376" spans="1:7">
      <c r="A11376" s="1079"/>
      <c r="B11376" s="1050"/>
      <c r="C11376" s="1050"/>
      <c r="D11376" s="1050"/>
      <c r="E11376" s="1050"/>
      <c r="F11376" s="1050"/>
      <c r="G11376" s="1050"/>
    </row>
    <row r="11377" spans="1:7">
      <c r="A11377" s="1079"/>
      <c r="B11377" s="1050"/>
      <c r="C11377" s="1050"/>
      <c r="D11377" s="1050"/>
      <c r="E11377" s="1050"/>
      <c r="F11377" s="1050"/>
      <c r="G11377" s="1050"/>
    </row>
    <row r="11378" spans="1:7">
      <c r="A11378" s="1079"/>
      <c r="B11378" s="1050"/>
      <c r="C11378" s="1050"/>
      <c r="D11378" s="1050"/>
      <c r="E11378" s="1050"/>
      <c r="F11378" s="1050"/>
      <c r="G11378" s="1050"/>
    </row>
    <row r="11379" spans="1:7">
      <c r="A11379" s="1079"/>
      <c r="B11379" s="1050"/>
      <c r="C11379" s="1050"/>
      <c r="D11379" s="1050"/>
      <c r="E11379" s="1050"/>
      <c r="F11379" s="1050"/>
      <c r="G11379" s="1050"/>
    </row>
    <row r="11380" spans="1:7">
      <c r="A11380" s="1079"/>
      <c r="B11380" s="1050"/>
      <c r="C11380" s="1050"/>
      <c r="D11380" s="1050"/>
      <c r="E11380" s="1050"/>
      <c r="F11380" s="1050"/>
      <c r="G11380" s="1050"/>
    </row>
    <row r="11381" spans="1:7">
      <c r="A11381" s="1079"/>
      <c r="B11381" s="1050"/>
      <c r="C11381" s="1050"/>
      <c r="D11381" s="1050"/>
      <c r="E11381" s="1050"/>
      <c r="F11381" s="1050"/>
      <c r="G11381" s="1050"/>
    </row>
    <row r="11382" spans="1:7">
      <c r="A11382" s="1079"/>
      <c r="B11382" s="1050"/>
      <c r="C11382" s="1050"/>
      <c r="D11382" s="1050"/>
      <c r="E11382" s="1050"/>
      <c r="F11382" s="1050"/>
      <c r="G11382" s="1050"/>
    </row>
    <row r="11383" spans="1:7">
      <c r="A11383" s="1079"/>
      <c r="B11383" s="1050"/>
      <c r="C11383" s="1050"/>
      <c r="D11383" s="1050"/>
      <c r="E11383" s="1050"/>
      <c r="F11383" s="1050"/>
      <c r="G11383" s="1050"/>
    </row>
    <row r="11384" spans="1:7">
      <c r="A11384" s="1079"/>
      <c r="B11384" s="1050"/>
      <c r="C11384" s="1050"/>
      <c r="D11384" s="1050"/>
      <c r="E11384" s="1050"/>
      <c r="F11384" s="1050"/>
      <c r="G11384" s="1050"/>
    </row>
    <row r="11385" spans="1:7">
      <c r="A11385" s="1079"/>
      <c r="B11385" s="1050"/>
      <c r="C11385" s="1050"/>
      <c r="D11385" s="1050"/>
      <c r="E11385" s="1050"/>
      <c r="F11385" s="1050"/>
      <c r="G11385" s="1050"/>
    </row>
    <row r="11386" spans="1:7">
      <c r="A11386" s="1079"/>
      <c r="B11386" s="1050"/>
      <c r="C11386" s="1050"/>
      <c r="D11386" s="1050"/>
      <c r="E11386" s="1050"/>
      <c r="F11386" s="1050"/>
      <c r="G11386" s="1050"/>
    </row>
    <row r="11387" spans="1:7">
      <c r="A11387" s="1079"/>
      <c r="B11387" s="1050"/>
      <c r="C11387" s="1050"/>
      <c r="D11387" s="1050"/>
      <c r="E11387" s="1050"/>
      <c r="F11387" s="1050"/>
      <c r="G11387" s="1050"/>
    </row>
    <row r="11388" spans="1:7">
      <c r="A11388" s="1079"/>
      <c r="B11388" s="1050"/>
      <c r="C11388" s="1050"/>
      <c r="D11388" s="1050"/>
      <c r="E11388" s="1050"/>
      <c r="F11388" s="1050"/>
      <c r="G11388" s="1050"/>
    </row>
    <row r="11389" spans="1:7">
      <c r="A11389" s="1079"/>
      <c r="B11389" s="1050"/>
      <c r="C11389" s="1050"/>
      <c r="D11389" s="1050"/>
      <c r="E11389" s="1050"/>
      <c r="F11389" s="1050"/>
      <c r="G11389" s="1050"/>
    </row>
    <row r="11390" spans="1:7">
      <c r="A11390" s="1079"/>
      <c r="B11390" s="1050"/>
      <c r="C11390" s="1050"/>
      <c r="D11390" s="1050"/>
      <c r="E11390" s="1050"/>
      <c r="F11390" s="1050"/>
      <c r="G11390" s="1050"/>
    </row>
    <row r="11391" spans="1:7">
      <c r="A11391" s="1079"/>
      <c r="B11391" s="1050"/>
      <c r="C11391" s="1050"/>
      <c r="D11391" s="1050"/>
      <c r="E11391" s="1050"/>
      <c r="F11391" s="1050"/>
      <c r="G11391" s="1050"/>
    </row>
    <row r="11392" spans="1:7">
      <c r="A11392" s="1079"/>
      <c r="B11392" s="1050"/>
      <c r="C11392" s="1050"/>
      <c r="D11392" s="1050"/>
      <c r="E11392" s="1050"/>
      <c r="F11392" s="1050"/>
      <c r="G11392" s="1050"/>
    </row>
    <row r="11393" spans="1:7">
      <c r="A11393" s="1079"/>
      <c r="B11393" s="1050"/>
      <c r="C11393" s="1050"/>
      <c r="D11393" s="1050"/>
      <c r="E11393" s="1050"/>
      <c r="F11393" s="1050"/>
      <c r="G11393" s="1050"/>
    </row>
    <row r="11394" spans="1:7">
      <c r="A11394" s="1079"/>
      <c r="B11394" s="1050"/>
      <c r="C11394" s="1050"/>
      <c r="D11394" s="1050"/>
      <c r="E11394" s="1050"/>
      <c r="F11394" s="1050"/>
      <c r="G11394" s="1050"/>
    </row>
    <row r="11395" spans="1:7">
      <c r="A11395" s="1079"/>
      <c r="B11395" s="1050"/>
      <c r="C11395" s="1050"/>
      <c r="D11395" s="1050"/>
      <c r="E11395" s="1050"/>
      <c r="F11395" s="1050"/>
      <c r="G11395" s="1050"/>
    </row>
    <row r="11396" spans="1:7">
      <c r="A11396" s="1079"/>
      <c r="B11396" s="1050"/>
      <c r="C11396" s="1050"/>
      <c r="D11396" s="1050"/>
      <c r="E11396" s="1050"/>
      <c r="F11396" s="1050"/>
      <c r="G11396" s="1050"/>
    </row>
    <row r="11397" spans="1:7">
      <c r="A11397" s="1079"/>
      <c r="B11397" s="1050"/>
      <c r="C11397" s="1050"/>
      <c r="D11397" s="1050"/>
      <c r="E11397" s="1050"/>
      <c r="F11397" s="1050"/>
      <c r="G11397" s="1050"/>
    </row>
    <row r="11398" spans="1:7">
      <c r="A11398" s="1079"/>
      <c r="B11398" s="1050"/>
      <c r="C11398" s="1050"/>
      <c r="D11398" s="1050"/>
      <c r="E11398" s="1050"/>
      <c r="F11398" s="1050"/>
      <c r="G11398" s="1050"/>
    </row>
    <row r="11399" spans="1:7">
      <c r="A11399" s="1079"/>
      <c r="B11399" s="1050"/>
      <c r="C11399" s="1050"/>
      <c r="D11399" s="1050"/>
      <c r="E11399" s="1050"/>
      <c r="F11399" s="1050"/>
      <c r="G11399" s="1050"/>
    </row>
    <row r="11400" spans="1:7">
      <c r="A11400" s="1079"/>
      <c r="B11400" s="1050"/>
      <c r="C11400" s="1050"/>
      <c r="D11400" s="1050"/>
      <c r="E11400" s="1050"/>
      <c r="F11400" s="1050"/>
      <c r="G11400" s="1050"/>
    </row>
    <row r="11401" spans="1:7">
      <c r="A11401" s="1079"/>
      <c r="B11401" s="1050"/>
      <c r="C11401" s="1050"/>
      <c r="D11401" s="1050"/>
      <c r="E11401" s="1050"/>
      <c r="F11401" s="1050"/>
      <c r="G11401" s="1050"/>
    </row>
    <row r="11402" spans="1:7">
      <c r="A11402" s="1079"/>
      <c r="B11402" s="1050"/>
      <c r="C11402" s="1050"/>
      <c r="D11402" s="1050"/>
      <c r="E11402" s="1050"/>
      <c r="F11402" s="1050"/>
      <c r="G11402" s="1050"/>
    </row>
    <row r="11403" spans="1:7">
      <c r="A11403" s="1079"/>
      <c r="B11403" s="1050"/>
      <c r="C11403" s="1050"/>
      <c r="D11403" s="1050"/>
      <c r="E11403" s="1050"/>
      <c r="F11403" s="1050"/>
      <c r="G11403" s="1050"/>
    </row>
    <row r="11404" spans="1:7">
      <c r="A11404" s="1079"/>
      <c r="B11404" s="1050"/>
      <c r="C11404" s="1050"/>
      <c r="D11404" s="1050"/>
      <c r="E11404" s="1050"/>
      <c r="F11404" s="1050"/>
      <c r="G11404" s="1050"/>
    </row>
    <row r="11405" spans="1:7">
      <c r="A11405" s="1079"/>
      <c r="B11405" s="1050"/>
      <c r="C11405" s="1050"/>
      <c r="D11405" s="1050"/>
      <c r="E11405" s="1050"/>
      <c r="F11405" s="1050"/>
      <c r="G11405" s="1050"/>
    </row>
    <row r="11406" spans="1:7">
      <c r="A11406" s="1079"/>
      <c r="B11406" s="1050"/>
      <c r="C11406" s="1050"/>
      <c r="D11406" s="1050"/>
      <c r="E11406" s="1050"/>
      <c r="F11406" s="1050"/>
      <c r="G11406" s="1050"/>
    </row>
    <row r="11407" spans="1:7">
      <c r="A11407" s="1079"/>
      <c r="B11407" s="1050"/>
      <c r="C11407" s="1050"/>
      <c r="D11407" s="1050"/>
      <c r="E11407" s="1050"/>
      <c r="F11407" s="1050"/>
      <c r="G11407" s="1050"/>
    </row>
    <row r="11408" spans="1:7">
      <c r="A11408" s="1079"/>
      <c r="B11408" s="1050"/>
      <c r="C11408" s="1050"/>
      <c r="D11408" s="1050"/>
      <c r="E11408" s="1050"/>
      <c r="F11408" s="1050"/>
      <c r="G11408" s="1050"/>
    </row>
    <row r="11409" spans="1:7">
      <c r="A11409" s="1079"/>
      <c r="B11409" s="1050"/>
      <c r="C11409" s="1050"/>
      <c r="D11409" s="1050"/>
      <c r="E11409" s="1050"/>
      <c r="F11409" s="1050"/>
      <c r="G11409" s="1050"/>
    </row>
    <row r="11410" spans="1:7">
      <c r="A11410" s="1079"/>
      <c r="B11410" s="1050"/>
      <c r="C11410" s="1050"/>
      <c r="D11410" s="1050"/>
      <c r="E11410" s="1050"/>
      <c r="F11410" s="1050"/>
      <c r="G11410" s="1050"/>
    </row>
    <row r="11411" spans="1:7">
      <c r="A11411" s="1079"/>
      <c r="B11411" s="1050"/>
      <c r="C11411" s="1050"/>
      <c r="D11411" s="1050"/>
      <c r="E11411" s="1050"/>
      <c r="F11411" s="1050"/>
      <c r="G11411" s="1050"/>
    </row>
    <row r="11412" spans="1:7">
      <c r="A11412" s="1079"/>
      <c r="B11412" s="1050"/>
      <c r="C11412" s="1050"/>
      <c r="D11412" s="1050"/>
      <c r="E11412" s="1050"/>
      <c r="F11412" s="1050"/>
      <c r="G11412" s="1050"/>
    </row>
    <row r="11413" spans="1:7">
      <c r="A11413" s="1079"/>
      <c r="B11413" s="1050"/>
      <c r="C11413" s="1050"/>
      <c r="D11413" s="1050"/>
      <c r="E11413" s="1050"/>
      <c r="F11413" s="1050"/>
      <c r="G11413" s="1050"/>
    </row>
    <row r="11414" spans="1:7">
      <c r="A11414" s="1079"/>
      <c r="B11414" s="1050"/>
      <c r="C11414" s="1050"/>
      <c r="D11414" s="1050"/>
      <c r="E11414" s="1050"/>
      <c r="F11414" s="1050"/>
      <c r="G11414" s="1050"/>
    </row>
    <row r="11415" spans="1:7">
      <c r="A11415" s="1079"/>
      <c r="B11415" s="1050"/>
      <c r="C11415" s="1050"/>
      <c r="D11415" s="1050"/>
      <c r="E11415" s="1050"/>
      <c r="F11415" s="1050"/>
      <c r="G11415" s="1050"/>
    </row>
    <row r="11416" spans="1:7">
      <c r="A11416" s="1079"/>
      <c r="B11416" s="1050"/>
      <c r="C11416" s="1050"/>
      <c r="D11416" s="1050"/>
      <c r="E11416" s="1050"/>
      <c r="F11416" s="1050"/>
      <c r="G11416" s="1050"/>
    </row>
    <row r="11417" spans="1:7">
      <c r="A11417" s="1079"/>
      <c r="B11417" s="1050"/>
      <c r="C11417" s="1050"/>
      <c r="D11417" s="1050"/>
      <c r="E11417" s="1050"/>
      <c r="F11417" s="1050"/>
      <c r="G11417" s="1050"/>
    </row>
    <row r="11418" spans="1:7">
      <c r="A11418" s="1079"/>
      <c r="B11418" s="1050"/>
      <c r="C11418" s="1050"/>
      <c r="D11418" s="1050"/>
      <c r="E11418" s="1050"/>
      <c r="F11418" s="1050"/>
      <c r="G11418" s="1050"/>
    </row>
    <row r="11419" spans="1:7">
      <c r="A11419" s="1079"/>
      <c r="B11419" s="1050"/>
      <c r="C11419" s="1050"/>
      <c r="D11419" s="1050"/>
      <c r="E11419" s="1050"/>
      <c r="F11419" s="1050"/>
      <c r="G11419" s="1050"/>
    </row>
    <row r="11420" spans="1:7">
      <c r="A11420" s="1079"/>
      <c r="B11420" s="1050"/>
      <c r="C11420" s="1050"/>
      <c r="D11420" s="1050"/>
      <c r="E11420" s="1050"/>
      <c r="F11420" s="1050"/>
      <c r="G11420" s="1050"/>
    </row>
    <row r="11421" spans="1:7">
      <c r="A11421" s="1079"/>
      <c r="B11421" s="1050"/>
      <c r="C11421" s="1050"/>
      <c r="D11421" s="1050"/>
      <c r="E11421" s="1050"/>
      <c r="F11421" s="1050"/>
      <c r="G11421" s="1050"/>
    </row>
    <row r="11422" spans="1:7">
      <c r="A11422" s="1079"/>
      <c r="B11422" s="1050"/>
      <c r="C11422" s="1050"/>
      <c r="D11422" s="1050"/>
      <c r="E11422" s="1050"/>
      <c r="F11422" s="1050"/>
      <c r="G11422" s="1050"/>
    </row>
    <row r="11423" spans="1:7">
      <c r="A11423" s="1079"/>
      <c r="B11423" s="1050"/>
      <c r="C11423" s="1050"/>
      <c r="D11423" s="1050"/>
      <c r="E11423" s="1050"/>
      <c r="F11423" s="1050"/>
      <c r="G11423" s="1050"/>
    </row>
    <row r="11424" spans="1:7">
      <c r="A11424" s="1079"/>
      <c r="B11424" s="1050"/>
      <c r="C11424" s="1050"/>
      <c r="D11424" s="1050"/>
      <c r="E11424" s="1050"/>
      <c r="F11424" s="1050"/>
      <c r="G11424" s="1050"/>
    </row>
    <row r="11425" spans="1:7">
      <c r="A11425" s="1079"/>
      <c r="B11425" s="1050"/>
      <c r="C11425" s="1050"/>
      <c r="D11425" s="1050"/>
      <c r="E11425" s="1050"/>
      <c r="F11425" s="1050"/>
      <c r="G11425" s="1050"/>
    </row>
    <row r="11426" spans="1:7">
      <c r="A11426" s="1079"/>
      <c r="B11426" s="1050"/>
      <c r="C11426" s="1050"/>
      <c r="D11426" s="1050"/>
      <c r="E11426" s="1050"/>
      <c r="F11426" s="1050"/>
      <c r="G11426" s="1050"/>
    </row>
    <row r="11427" spans="1:7">
      <c r="A11427" s="1079"/>
      <c r="B11427" s="1050"/>
      <c r="C11427" s="1050"/>
      <c r="D11427" s="1050"/>
      <c r="E11427" s="1050"/>
      <c r="F11427" s="1050"/>
      <c r="G11427" s="1050"/>
    </row>
    <row r="11428" spans="1:7">
      <c r="A11428" s="1079"/>
      <c r="B11428" s="1050"/>
      <c r="C11428" s="1050"/>
      <c r="D11428" s="1050"/>
      <c r="E11428" s="1050"/>
      <c r="F11428" s="1050"/>
      <c r="G11428" s="1050"/>
    </row>
    <row r="11429" spans="1:7">
      <c r="A11429" s="1079"/>
      <c r="B11429" s="1050"/>
      <c r="C11429" s="1050"/>
      <c r="D11429" s="1050"/>
      <c r="E11429" s="1050"/>
      <c r="F11429" s="1050"/>
      <c r="G11429" s="1050"/>
    </row>
    <row r="11430" spans="1:7">
      <c r="A11430" s="1079"/>
      <c r="B11430" s="1050"/>
      <c r="C11430" s="1050"/>
      <c r="D11430" s="1050"/>
      <c r="E11430" s="1050"/>
      <c r="F11430" s="1050"/>
      <c r="G11430" s="1050"/>
    </row>
    <row r="11431" spans="1:7">
      <c r="A11431" s="1079"/>
      <c r="B11431" s="1050"/>
      <c r="C11431" s="1050"/>
      <c r="D11431" s="1050"/>
      <c r="E11431" s="1050"/>
      <c r="F11431" s="1050"/>
      <c r="G11431" s="1050"/>
    </row>
    <row r="11432" spans="1:7">
      <c r="A11432" s="1079"/>
      <c r="B11432" s="1050"/>
      <c r="C11432" s="1050"/>
      <c r="D11432" s="1050"/>
      <c r="E11432" s="1050"/>
      <c r="F11432" s="1050"/>
      <c r="G11432" s="1050"/>
    </row>
    <row r="11433" spans="1:7">
      <c r="A11433" s="1079"/>
      <c r="B11433" s="1050"/>
      <c r="C11433" s="1050"/>
      <c r="D11433" s="1050"/>
      <c r="E11433" s="1050"/>
      <c r="F11433" s="1050"/>
      <c r="G11433" s="1050"/>
    </row>
    <row r="11434" spans="1:7">
      <c r="A11434" s="1079"/>
      <c r="B11434" s="1050"/>
      <c r="C11434" s="1050"/>
      <c r="D11434" s="1050"/>
      <c r="E11434" s="1050"/>
      <c r="F11434" s="1050"/>
      <c r="G11434" s="1050"/>
    </row>
    <row r="11435" spans="1:7">
      <c r="A11435" s="1079"/>
      <c r="B11435" s="1050"/>
      <c r="C11435" s="1050"/>
      <c r="D11435" s="1050"/>
      <c r="E11435" s="1050"/>
      <c r="F11435" s="1050"/>
      <c r="G11435" s="1050"/>
    </row>
    <row r="11436" spans="1:7">
      <c r="A11436" s="1079"/>
      <c r="B11436" s="1050"/>
      <c r="C11436" s="1050"/>
      <c r="D11436" s="1050"/>
      <c r="E11436" s="1050"/>
      <c r="F11436" s="1050"/>
      <c r="G11436" s="1050"/>
    </row>
    <row r="11437" spans="1:7">
      <c r="A11437" s="1079"/>
      <c r="B11437" s="1050"/>
      <c r="C11437" s="1050"/>
      <c r="D11437" s="1050"/>
      <c r="E11437" s="1050"/>
      <c r="F11437" s="1050"/>
      <c r="G11437" s="1050"/>
    </row>
    <row r="11438" spans="1:7">
      <c r="A11438" s="1079"/>
      <c r="B11438" s="1050"/>
      <c r="C11438" s="1050"/>
      <c r="D11438" s="1050"/>
      <c r="E11438" s="1050"/>
      <c r="F11438" s="1050"/>
      <c r="G11438" s="1050"/>
    </row>
    <row r="11439" spans="1:7">
      <c r="A11439" s="1079"/>
      <c r="B11439" s="1050"/>
      <c r="C11439" s="1050"/>
      <c r="D11439" s="1050"/>
      <c r="E11439" s="1050"/>
      <c r="F11439" s="1050"/>
      <c r="G11439" s="1050"/>
    </row>
    <row r="11440" spans="1:7">
      <c r="A11440" s="1079"/>
      <c r="B11440" s="1050"/>
      <c r="C11440" s="1050"/>
      <c r="D11440" s="1050"/>
      <c r="E11440" s="1050"/>
      <c r="F11440" s="1050"/>
      <c r="G11440" s="1050"/>
    </row>
    <row r="11441" spans="1:7">
      <c r="A11441" s="1079"/>
      <c r="B11441" s="1050"/>
      <c r="C11441" s="1050"/>
      <c r="D11441" s="1050"/>
      <c r="E11441" s="1050"/>
      <c r="F11441" s="1050"/>
      <c r="G11441" s="1050"/>
    </row>
    <row r="11442" spans="1:7">
      <c r="A11442" s="1079"/>
      <c r="B11442" s="1050"/>
      <c r="C11442" s="1050"/>
      <c r="D11442" s="1050"/>
      <c r="E11442" s="1050"/>
      <c r="F11442" s="1050"/>
      <c r="G11442" s="1050"/>
    </row>
    <row r="11443" spans="1:7">
      <c r="A11443" s="1079"/>
      <c r="B11443" s="1050"/>
      <c r="C11443" s="1050"/>
      <c r="D11443" s="1050"/>
      <c r="E11443" s="1050"/>
      <c r="F11443" s="1050"/>
      <c r="G11443" s="1050"/>
    </row>
    <row r="11444" spans="1:7">
      <c r="A11444" s="1079"/>
      <c r="B11444" s="1050"/>
      <c r="C11444" s="1050"/>
      <c r="D11444" s="1050"/>
      <c r="E11444" s="1050"/>
      <c r="F11444" s="1050"/>
      <c r="G11444" s="1050"/>
    </row>
    <row r="11445" spans="1:7">
      <c r="A11445" s="1079"/>
      <c r="B11445" s="1050"/>
      <c r="C11445" s="1050"/>
      <c r="D11445" s="1050"/>
      <c r="E11445" s="1050"/>
      <c r="F11445" s="1050"/>
      <c r="G11445" s="1050"/>
    </row>
    <row r="11446" spans="1:7">
      <c r="A11446" s="1079"/>
      <c r="B11446" s="1050"/>
      <c r="C11446" s="1050"/>
      <c r="D11446" s="1050"/>
      <c r="E11446" s="1050"/>
      <c r="F11446" s="1050"/>
      <c r="G11446" s="1050"/>
    </row>
    <row r="11447" spans="1:7">
      <c r="A11447" s="1079"/>
      <c r="B11447" s="1050"/>
      <c r="C11447" s="1050"/>
      <c r="D11447" s="1050"/>
      <c r="E11447" s="1050"/>
      <c r="F11447" s="1050"/>
      <c r="G11447" s="1050"/>
    </row>
    <row r="11448" spans="1:7">
      <c r="A11448" s="1079"/>
      <c r="B11448" s="1050"/>
      <c r="C11448" s="1050"/>
      <c r="D11448" s="1050"/>
      <c r="E11448" s="1050"/>
      <c r="F11448" s="1050"/>
      <c r="G11448" s="1050"/>
    </row>
    <row r="11449" spans="1:7">
      <c r="A11449" s="1079"/>
      <c r="B11449" s="1050"/>
      <c r="C11449" s="1050"/>
      <c r="D11449" s="1050"/>
      <c r="E11449" s="1050"/>
      <c r="F11449" s="1050"/>
      <c r="G11449" s="1050"/>
    </row>
    <row r="11450" spans="1:7">
      <c r="A11450" s="1079"/>
      <c r="B11450" s="1050"/>
      <c r="C11450" s="1050"/>
      <c r="D11450" s="1050"/>
      <c r="E11450" s="1050"/>
      <c r="F11450" s="1050"/>
      <c r="G11450" s="1050"/>
    </row>
    <row r="11451" spans="1:7">
      <c r="A11451" s="1079"/>
      <c r="B11451" s="1050"/>
      <c r="C11451" s="1050"/>
      <c r="D11451" s="1050"/>
      <c r="E11451" s="1050"/>
      <c r="F11451" s="1050"/>
      <c r="G11451" s="1050"/>
    </row>
    <row r="11452" spans="1:7">
      <c r="A11452" s="1079"/>
      <c r="B11452" s="1050"/>
      <c r="C11452" s="1050"/>
      <c r="D11452" s="1050"/>
      <c r="E11452" s="1050"/>
      <c r="F11452" s="1050"/>
      <c r="G11452" s="1050"/>
    </row>
    <row r="11453" spans="1:7">
      <c r="A11453" s="1079"/>
      <c r="B11453" s="1050"/>
      <c r="C11453" s="1050"/>
      <c r="D11453" s="1050"/>
      <c r="E11453" s="1050"/>
      <c r="F11453" s="1050"/>
      <c r="G11453" s="1050"/>
    </row>
    <row r="11454" spans="1:7">
      <c r="A11454" s="1079"/>
      <c r="B11454" s="1050"/>
      <c r="C11454" s="1050"/>
      <c r="D11454" s="1050"/>
      <c r="E11454" s="1050"/>
      <c r="F11454" s="1050"/>
      <c r="G11454" s="1050"/>
    </row>
    <row r="11455" spans="1:7">
      <c r="A11455" s="1079"/>
      <c r="B11455" s="1050"/>
      <c r="C11455" s="1050"/>
      <c r="D11455" s="1050"/>
      <c r="E11455" s="1050"/>
      <c r="F11455" s="1050"/>
      <c r="G11455" s="1050"/>
    </row>
    <row r="11456" spans="1:7">
      <c r="A11456" s="1079"/>
      <c r="B11456" s="1050"/>
      <c r="C11456" s="1050"/>
      <c r="D11456" s="1050"/>
      <c r="E11456" s="1050"/>
      <c r="F11456" s="1050"/>
      <c r="G11456" s="1050"/>
    </row>
    <row r="11457" spans="1:7">
      <c r="A11457" s="1079"/>
      <c r="B11457" s="1050"/>
      <c r="C11457" s="1050"/>
      <c r="D11457" s="1050"/>
      <c r="E11457" s="1050"/>
      <c r="F11457" s="1050"/>
      <c r="G11457" s="1050"/>
    </row>
    <row r="11458" spans="1:7">
      <c r="A11458" s="1079"/>
      <c r="B11458" s="1050"/>
      <c r="C11458" s="1050"/>
      <c r="D11458" s="1050"/>
      <c r="E11458" s="1050"/>
      <c r="F11458" s="1050"/>
      <c r="G11458" s="1050"/>
    </row>
    <row r="11459" spans="1:7">
      <c r="A11459" s="1079"/>
      <c r="B11459" s="1050"/>
      <c r="C11459" s="1050"/>
      <c r="D11459" s="1050"/>
      <c r="E11459" s="1050"/>
      <c r="F11459" s="1050"/>
      <c r="G11459" s="1050"/>
    </row>
    <row r="11460" spans="1:7">
      <c r="A11460" s="1079"/>
      <c r="B11460" s="1050"/>
      <c r="C11460" s="1050"/>
      <c r="D11460" s="1050"/>
      <c r="E11460" s="1050"/>
      <c r="F11460" s="1050"/>
      <c r="G11460" s="1050"/>
    </row>
    <row r="11461" spans="1:7">
      <c r="A11461" s="1079"/>
      <c r="B11461" s="1050"/>
      <c r="C11461" s="1050"/>
      <c r="D11461" s="1050"/>
      <c r="E11461" s="1050"/>
      <c r="F11461" s="1050"/>
      <c r="G11461" s="1050"/>
    </row>
    <row r="11462" spans="1:7">
      <c r="A11462" s="1079"/>
      <c r="B11462" s="1050"/>
      <c r="C11462" s="1050"/>
      <c r="D11462" s="1050"/>
      <c r="E11462" s="1050"/>
      <c r="F11462" s="1050"/>
      <c r="G11462" s="1050"/>
    </row>
    <row r="11463" spans="1:7">
      <c r="A11463" s="1079"/>
      <c r="B11463" s="1050"/>
      <c r="C11463" s="1050"/>
      <c r="D11463" s="1050"/>
      <c r="E11463" s="1050"/>
      <c r="F11463" s="1050"/>
      <c r="G11463" s="1050"/>
    </row>
    <row r="11464" spans="1:7">
      <c r="A11464" s="1079"/>
      <c r="B11464" s="1050"/>
      <c r="C11464" s="1050"/>
      <c r="D11464" s="1050"/>
      <c r="E11464" s="1050"/>
      <c r="F11464" s="1050"/>
      <c r="G11464" s="1050"/>
    </row>
    <row r="11465" spans="1:7">
      <c r="A11465" s="1079"/>
      <c r="B11465" s="1050"/>
      <c r="C11465" s="1050"/>
      <c r="D11465" s="1050"/>
      <c r="E11465" s="1050"/>
      <c r="F11465" s="1050"/>
      <c r="G11465" s="1050"/>
    </row>
    <row r="11466" spans="1:7">
      <c r="A11466" s="1079"/>
      <c r="B11466" s="1050"/>
      <c r="C11466" s="1050"/>
      <c r="D11466" s="1050"/>
      <c r="E11466" s="1050"/>
      <c r="F11466" s="1050"/>
      <c r="G11466" s="1050"/>
    </row>
    <row r="11467" spans="1:7">
      <c r="A11467" s="1079"/>
      <c r="B11467" s="1050"/>
      <c r="C11467" s="1050"/>
      <c r="D11467" s="1050"/>
      <c r="E11467" s="1050"/>
      <c r="F11467" s="1050"/>
      <c r="G11467" s="1050"/>
    </row>
    <row r="11468" spans="1:7">
      <c r="A11468" s="1079"/>
      <c r="B11468" s="1050"/>
      <c r="C11468" s="1050"/>
      <c r="D11468" s="1050"/>
      <c r="E11468" s="1050"/>
      <c r="F11468" s="1050"/>
      <c r="G11468" s="1050"/>
    </row>
    <row r="11469" spans="1:7">
      <c r="A11469" s="1079"/>
      <c r="B11469" s="1050"/>
      <c r="C11469" s="1050"/>
      <c r="D11469" s="1050"/>
      <c r="E11469" s="1050"/>
      <c r="F11469" s="1050"/>
      <c r="G11469" s="1050"/>
    </row>
    <row r="11470" spans="1:7">
      <c r="A11470" s="1079"/>
      <c r="B11470" s="1050"/>
      <c r="C11470" s="1050"/>
      <c r="D11470" s="1050"/>
      <c r="E11470" s="1050"/>
      <c r="F11470" s="1050"/>
      <c r="G11470" s="1050"/>
    </row>
    <row r="11471" spans="1:7">
      <c r="A11471" s="1079"/>
      <c r="B11471" s="1050"/>
      <c r="C11471" s="1050"/>
      <c r="D11471" s="1050"/>
      <c r="E11471" s="1050"/>
      <c r="F11471" s="1050"/>
      <c r="G11471" s="1050"/>
    </row>
    <row r="11472" spans="1:7">
      <c r="A11472" s="1079"/>
      <c r="B11472" s="1050"/>
      <c r="C11472" s="1050"/>
      <c r="D11472" s="1050"/>
      <c r="E11472" s="1050"/>
      <c r="F11472" s="1050"/>
      <c r="G11472" s="1050"/>
    </row>
    <row r="11473" spans="1:7">
      <c r="A11473" s="1079"/>
      <c r="B11473" s="1050"/>
      <c r="C11473" s="1050"/>
      <c r="D11473" s="1050"/>
      <c r="E11473" s="1050"/>
      <c r="F11473" s="1050"/>
      <c r="G11473" s="1050"/>
    </row>
    <row r="11474" spans="1:7">
      <c r="A11474" s="1079"/>
      <c r="B11474" s="1050"/>
      <c r="C11474" s="1050"/>
      <c r="D11474" s="1050"/>
      <c r="E11474" s="1050"/>
      <c r="F11474" s="1050"/>
      <c r="G11474" s="1050"/>
    </row>
    <row r="11475" spans="1:7">
      <c r="A11475" s="1079"/>
      <c r="B11475" s="1050"/>
      <c r="C11475" s="1050"/>
      <c r="D11475" s="1050"/>
      <c r="E11475" s="1050"/>
      <c r="F11475" s="1050"/>
      <c r="G11475" s="1050"/>
    </row>
    <row r="11476" spans="1:7">
      <c r="A11476" s="1079"/>
      <c r="B11476" s="1050"/>
      <c r="C11476" s="1050"/>
      <c r="D11476" s="1050"/>
      <c r="E11476" s="1050"/>
      <c r="F11476" s="1050"/>
      <c r="G11476" s="1050"/>
    </row>
    <row r="11477" spans="1:7">
      <c r="A11477" s="1079"/>
      <c r="B11477" s="1050"/>
      <c r="C11477" s="1050"/>
      <c r="D11477" s="1050"/>
      <c r="E11477" s="1050"/>
      <c r="F11477" s="1050"/>
      <c r="G11477" s="1050"/>
    </row>
    <row r="11478" spans="1:7">
      <c r="A11478" s="1079"/>
      <c r="B11478" s="1050"/>
      <c r="C11478" s="1050"/>
      <c r="D11478" s="1050"/>
      <c r="E11478" s="1050"/>
      <c r="F11478" s="1050"/>
      <c r="G11478" s="1050"/>
    </row>
    <row r="11479" spans="1:7">
      <c r="A11479" s="1079"/>
      <c r="B11479" s="1050"/>
      <c r="C11479" s="1050"/>
      <c r="D11479" s="1050"/>
      <c r="E11479" s="1050"/>
      <c r="F11479" s="1050"/>
      <c r="G11479" s="1050"/>
    </row>
    <row r="11480" spans="1:7">
      <c r="A11480" s="1079"/>
      <c r="B11480" s="1050"/>
      <c r="C11480" s="1050"/>
      <c r="D11480" s="1050"/>
      <c r="E11480" s="1050"/>
      <c r="F11480" s="1050"/>
      <c r="G11480" s="1050"/>
    </row>
    <row r="11481" spans="1:7">
      <c r="A11481" s="1079"/>
      <c r="B11481" s="1050"/>
      <c r="C11481" s="1050"/>
      <c r="D11481" s="1050"/>
      <c r="E11481" s="1050"/>
      <c r="F11481" s="1050"/>
      <c r="G11481" s="1050"/>
    </row>
    <row r="11482" spans="1:7">
      <c r="A11482" s="1079"/>
      <c r="B11482" s="1050"/>
      <c r="C11482" s="1050"/>
      <c r="D11482" s="1050"/>
      <c r="E11482" s="1050"/>
      <c r="F11482" s="1050"/>
      <c r="G11482" s="1050"/>
    </row>
    <row r="11483" spans="1:7">
      <c r="A11483" s="1079"/>
      <c r="B11483" s="1050"/>
      <c r="C11483" s="1050"/>
      <c r="D11483" s="1050"/>
      <c r="E11483" s="1050"/>
      <c r="F11483" s="1050"/>
      <c r="G11483" s="1050"/>
    </row>
    <row r="11484" spans="1:7">
      <c r="A11484" s="1079"/>
      <c r="B11484" s="1050"/>
      <c r="C11484" s="1050"/>
      <c r="D11484" s="1050"/>
      <c r="E11484" s="1050"/>
      <c r="F11484" s="1050"/>
      <c r="G11484" s="1050"/>
    </row>
    <row r="11485" spans="1:7">
      <c r="A11485" s="1079"/>
      <c r="B11485" s="1050"/>
      <c r="C11485" s="1050"/>
      <c r="D11485" s="1050"/>
      <c r="E11485" s="1050"/>
      <c r="F11485" s="1050"/>
      <c r="G11485" s="1050"/>
    </row>
    <row r="11486" spans="1:7">
      <c r="A11486" s="1079"/>
      <c r="B11486" s="1050"/>
      <c r="C11486" s="1050"/>
      <c r="D11486" s="1050"/>
      <c r="E11486" s="1050"/>
      <c r="F11486" s="1050"/>
      <c r="G11486" s="1050"/>
    </row>
    <row r="11487" spans="1:7">
      <c r="A11487" s="1079"/>
      <c r="B11487" s="1050"/>
      <c r="C11487" s="1050"/>
      <c r="D11487" s="1050"/>
      <c r="E11487" s="1050"/>
      <c r="F11487" s="1050"/>
      <c r="G11487" s="1050"/>
    </row>
    <row r="11488" spans="1:7">
      <c r="A11488" s="1079"/>
      <c r="B11488" s="1050"/>
      <c r="C11488" s="1050"/>
      <c r="D11488" s="1050"/>
      <c r="E11488" s="1050"/>
      <c r="F11488" s="1050"/>
      <c r="G11488" s="1050"/>
    </row>
    <row r="11489" spans="1:7">
      <c r="A11489" s="1079"/>
      <c r="B11489" s="1050"/>
      <c r="C11489" s="1050"/>
      <c r="D11489" s="1050"/>
      <c r="E11489" s="1050"/>
      <c r="F11489" s="1050"/>
      <c r="G11489" s="1050"/>
    </row>
    <row r="11490" spans="1:7">
      <c r="A11490" s="1079"/>
      <c r="B11490" s="1050"/>
      <c r="C11490" s="1050"/>
      <c r="D11490" s="1050"/>
      <c r="E11490" s="1050"/>
      <c r="F11490" s="1050"/>
      <c r="G11490" s="1050"/>
    </row>
    <row r="11491" spans="1:7">
      <c r="A11491" s="1079"/>
      <c r="B11491" s="1050"/>
      <c r="C11491" s="1050"/>
      <c r="D11491" s="1050"/>
      <c r="E11491" s="1050"/>
      <c r="F11491" s="1050"/>
      <c r="G11491" s="1050"/>
    </row>
    <row r="11492" spans="1:7">
      <c r="A11492" s="1079"/>
      <c r="B11492" s="1050"/>
      <c r="C11492" s="1050"/>
      <c r="D11492" s="1050"/>
      <c r="E11492" s="1050"/>
      <c r="F11492" s="1050"/>
      <c r="G11492" s="1050"/>
    </row>
    <row r="11493" spans="1:7">
      <c r="A11493" s="1079"/>
      <c r="B11493" s="1050"/>
      <c r="C11493" s="1050"/>
      <c r="D11493" s="1050"/>
      <c r="E11493" s="1050"/>
      <c r="F11493" s="1050"/>
      <c r="G11493" s="1050"/>
    </row>
    <row r="11494" spans="1:7">
      <c r="A11494" s="1079"/>
      <c r="B11494" s="1050"/>
      <c r="C11494" s="1050"/>
      <c r="D11494" s="1050"/>
      <c r="E11494" s="1050"/>
      <c r="F11494" s="1050"/>
      <c r="G11494" s="1050"/>
    </row>
    <row r="11495" spans="1:7">
      <c r="A11495" s="1079"/>
      <c r="B11495" s="1050"/>
      <c r="C11495" s="1050"/>
      <c r="D11495" s="1050"/>
      <c r="E11495" s="1050"/>
      <c r="F11495" s="1050"/>
      <c r="G11495" s="1050"/>
    </row>
    <row r="11496" spans="1:7">
      <c r="A11496" s="1079"/>
      <c r="B11496" s="1050"/>
      <c r="C11496" s="1050"/>
      <c r="D11496" s="1050"/>
      <c r="E11496" s="1050"/>
      <c r="F11496" s="1050"/>
      <c r="G11496" s="1050"/>
    </row>
    <row r="11497" spans="1:7">
      <c r="A11497" s="1079"/>
      <c r="B11497" s="1050"/>
      <c r="C11497" s="1050"/>
      <c r="D11497" s="1050"/>
      <c r="E11497" s="1050"/>
      <c r="F11497" s="1050"/>
      <c r="G11497" s="1050"/>
    </row>
    <row r="11498" spans="1:7">
      <c r="A11498" s="1079"/>
      <c r="B11498" s="1050"/>
      <c r="C11498" s="1050"/>
      <c r="D11498" s="1050"/>
      <c r="E11498" s="1050"/>
      <c r="F11498" s="1050"/>
      <c r="G11498" s="1050"/>
    </row>
    <row r="11499" spans="1:7">
      <c r="A11499" s="1079"/>
      <c r="B11499" s="1050"/>
      <c r="C11499" s="1050"/>
      <c r="D11499" s="1050"/>
      <c r="E11499" s="1050"/>
      <c r="F11499" s="1050"/>
      <c r="G11499" s="1050"/>
    </row>
    <row r="11500" spans="1:7">
      <c r="A11500" s="1079"/>
      <c r="B11500" s="1050"/>
      <c r="C11500" s="1050"/>
      <c r="D11500" s="1050"/>
      <c r="E11500" s="1050"/>
      <c r="F11500" s="1050"/>
      <c r="G11500" s="1050"/>
    </row>
    <row r="11501" spans="1:7">
      <c r="A11501" s="1079"/>
      <c r="B11501" s="1050"/>
      <c r="C11501" s="1050"/>
      <c r="D11501" s="1050"/>
      <c r="E11501" s="1050"/>
      <c r="F11501" s="1050"/>
      <c r="G11501" s="1050"/>
    </row>
    <row r="11502" spans="1:7">
      <c r="A11502" s="1079"/>
      <c r="B11502" s="1050"/>
      <c r="C11502" s="1050"/>
      <c r="D11502" s="1050"/>
      <c r="E11502" s="1050"/>
      <c r="F11502" s="1050"/>
      <c r="G11502" s="1050"/>
    </row>
    <row r="11503" spans="1:7">
      <c r="A11503" s="1079"/>
      <c r="B11503" s="1050"/>
      <c r="C11503" s="1050"/>
      <c r="D11503" s="1050"/>
      <c r="E11503" s="1050"/>
      <c r="F11503" s="1050"/>
      <c r="G11503" s="1050"/>
    </row>
    <row r="11504" spans="1:7">
      <c r="A11504" s="1079"/>
      <c r="B11504" s="1050"/>
      <c r="C11504" s="1050"/>
      <c r="D11504" s="1050"/>
      <c r="E11504" s="1050"/>
      <c r="F11504" s="1050"/>
      <c r="G11504" s="1050"/>
    </row>
    <row r="11505" spans="1:7">
      <c r="A11505" s="1079"/>
      <c r="B11505" s="1050"/>
      <c r="C11505" s="1050"/>
      <c r="D11505" s="1050"/>
      <c r="E11505" s="1050"/>
      <c r="F11505" s="1050"/>
      <c r="G11505" s="1050"/>
    </row>
    <row r="11506" spans="1:7">
      <c r="A11506" s="1079"/>
      <c r="B11506" s="1050"/>
      <c r="C11506" s="1050"/>
      <c r="D11506" s="1050"/>
      <c r="E11506" s="1050"/>
      <c r="F11506" s="1050"/>
      <c r="G11506" s="1050"/>
    </row>
    <row r="11507" spans="1:7">
      <c r="A11507" s="1079"/>
      <c r="B11507" s="1050"/>
      <c r="C11507" s="1050"/>
      <c r="D11507" s="1050"/>
      <c r="E11507" s="1050"/>
      <c r="F11507" s="1050"/>
      <c r="G11507" s="1050"/>
    </row>
    <row r="11508" spans="1:7">
      <c r="A11508" s="1079"/>
      <c r="B11508" s="1050"/>
      <c r="C11508" s="1050"/>
      <c r="D11508" s="1050"/>
      <c r="E11508" s="1050"/>
      <c r="F11508" s="1050"/>
      <c r="G11508" s="1050"/>
    </row>
    <row r="11509" spans="1:7">
      <c r="A11509" s="1079"/>
      <c r="B11509" s="1050"/>
      <c r="C11509" s="1050"/>
      <c r="D11509" s="1050"/>
      <c r="E11509" s="1050"/>
      <c r="F11509" s="1050"/>
      <c r="G11509" s="1050"/>
    </row>
    <row r="11510" spans="1:7">
      <c r="A11510" s="1079"/>
      <c r="B11510" s="1050"/>
      <c r="C11510" s="1050"/>
      <c r="D11510" s="1050"/>
      <c r="E11510" s="1050"/>
      <c r="F11510" s="1050"/>
      <c r="G11510" s="1050"/>
    </row>
    <row r="11511" spans="1:7">
      <c r="A11511" s="1079"/>
      <c r="B11511" s="1050"/>
      <c r="C11511" s="1050"/>
      <c r="D11511" s="1050"/>
      <c r="E11511" s="1050"/>
      <c r="F11511" s="1050"/>
      <c r="G11511" s="1050"/>
    </row>
    <row r="11512" spans="1:7">
      <c r="A11512" s="1079"/>
      <c r="B11512" s="1050"/>
      <c r="C11512" s="1050"/>
      <c r="D11512" s="1050"/>
      <c r="E11512" s="1050"/>
      <c r="F11512" s="1050"/>
      <c r="G11512" s="1050"/>
    </row>
    <row r="11513" spans="1:7">
      <c r="A11513" s="1079"/>
      <c r="B11513" s="1050"/>
      <c r="C11513" s="1050"/>
      <c r="D11513" s="1050"/>
      <c r="E11513" s="1050"/>
      <c r="F11513" s="1050"/>
      <c r="G11513" s="1050"/>
    </row>
    <row r="11514" spans="1:7">
      <c r="A11514" s="1079"/>
      <c r="B11514" s="1050"/>
      <c r="C11514" s="1050"/>
      <c r="D11514" s="1050"/>
      <c r="E11514" s="1050"/>
      <c r="F11514" s="1050"/>
      <c r="G11514" s="1050"/>
    </row>
    <row r="11515" spans="1:7">
      <c r="A11515" s="1079"/>
      <c r="B11515" s="1050"/>
      <c r="C11515" s="1050"/>
      <c r="D11515" s="1050"/>
      <c r="E11515" s="1050"/>
      <c r="F11515" s="1050"/>
      <c r="G11515" s="1050"/>
    </row>
    <row r="11516" spans="1:7">
      <c r="A11516" s="1079"/>
      <c r="B11516" s="1050"/>
      <c r="C11516" s="1050"/>
      <c r="D11516" s="1050"/>
      <c r="E11516" s="1050"/>
      <c r="F11516" s="1050"/>
      <c r="G11516" s="1050"/>
    </row>
    <row r="11517" spans="1:7">
      <c r="A11517" s="1079"/>
      <c r="B11517" s="1050"/>
      <c r="C11517" s="1050"/>
      <c r="D11517" s="1050"/>
      <c r="E11517" s="1050"/>
      <c r="F11517" s="1050"/>
      <c r="G11517" s="1050"/>
    </row>
    <row r="11518" spans="1:7">
      <c r="A11518" s="1079"/>
      <c r="B11518" s="1050"/>
      <c r="C11518" s="1050"/>
      <c r="D11518" s="1050"/>
      <c r="E11518" s="1050"/>
      <c r="F11518" s="1050"/>
      <c r="G11518" s="1050"/>
    </row>
    <row r="11519" spans="1:7">
      <c r="A11519" s="1079"/>
      <c r="B11519" s="1050"/>
      <c r="C11519" s="1050"/>
      <c r="D11519" s="1050"/>
      <c r="E11519" s="1050"/>
      <c r="F11519" s="1050"/>
      <c r="G11519" s="1050"/>
    </row>
    <row r="11520" spans="1:7">
      <c r="A11520" s="1079"/>
      <c r="B11520" s="1050"/>
      <c r="C11520" s="1050"/>
      <c r="D11520" s="1050"/>
      <c r="E11520" s="1050"/>
      <c r="F11520" s="1050"/>
      <c r="G11520" s="1050"/>
    </row>
    <row r="11521" spans="1:7">
      <c r="A11521" s="1079"/>
      <c r="B11521" s="1050"/>
      <c r="C11521" s="1050"/>
      <c r="D11521" s="1050"/>
      <c r="E11521" s="1050"/>
      <c r="F11521" s="1050"/>
      <c r="G11521" s="1050"/>
    </row>
    <row r="11522" spans="1:7">
      <c r="A11522" s="1079"/>
      <c r="B11522" s="1050"/>
      <c r="C11522" s="1050"/>
      <c r="D11522" s="1050"/>
      <c r="E11522" s="1050"/>
      <c r="F11522" s="1050"/>
      <c r="G11522" s="1050"/>
    </row>
    <row r="11523" spans="1:7">
      <c r="A11523" s="1079"/>
      <c r="B11523" s="1050"/>
      <c r="C11523" s="1050"/>
      <c r="D11523" s="1050"/>
      <c r="E11523" s="1050"/>
      <c r="F11523" s="1050"/>
      <c r="G11523" s="1050"/>
    </row>
    <row r="11524" spans="1:7">
      <c r="A11524" s="1079"/>
      <c r="B11524" s="1050"/>
      <c r="C11524" s="1050"/>
      <c r="D11524" s="1050"/>
      <c r="E11524" s="1050"/>
      <c r="F11524" s="1050"/>
      <c r="G11524" s="1050"/>
    </row>
    <row r="11525" spans="1:7">
      <c r="A11525" s="1079"/>
      <c r="B11525" s="1050"/>
      <c r="C11525" s="1050"/>
      <c r="D11525" s="1050"/>
      <c r="E11525" s="1050"/>
      <c r="F11525" s="1050"/>
      <c r="G11525" s="1050"/>
    </row>
    <row r="11526" spans="1:7">
      <c r="A11526" s="1079"/>
      <c r="B11526" s="1050"/>
      <c r="C11526" s="1050"/>
      <c r="D11526" s="1050"/>
      <c r="E11526" s="1050"/>
      <c r="F11526" s="1050"/>
      <c r="G11526" s="1050"/>
    </row>
    <row r="11527" spans="1:7">
      <c r="A11527" s="1079"/>
      <c r="B11527" s="1050"/>
      <c r="C11527" s="1050"/>
      <c r="D11527" s="1050"/>
      <c r="E11527" s="1050"/>
      <c r="F11527" s="1050"/>
      <c r="G11527" s="1050"/>
    </row>
    <row r="11528" spans="1:7">
      <c r="A11528" s="1079"/>
      <c r="B11528" s="1050"/>
      <c r="C11528" s="1050"/>
      <c r="D11528" s="1050"/>
      <c r="E11528" s="1050"/>
      <c r="F11528" s="1050"/>
      <c r="G11528" s="1050"/>
    </row>
    <row r="11529" spans="1:7">
      <c r="A11529" s="1079"/>
      <c r="B11529" s="1050"/>
      <c r="C11529" s="1050"/>
      <c r="D11529" s="1050"/>
      <c r="E11529" s="1050"/>
      <c r="F11529" s="1050"/>
      <c r="G11529" s="1050"/>
    </row>
    <row r="11530" spans="1:7">
      <c r="A11530" s="1079"/>
      <c r="B11530" s="1050"/>
      <c r="C11530" s="1050"/>
      <c r="D11530" s="1050"/>
      <c r="E11530" s="1050"/>
      <c r="F11530" s="1050"/>
      <c r="G11530" s="1050"/>
    </row>
    <row r="11531" spans="1:7">
      <c r="A11531" s="1079"/>
      <c r="B11531" s="1050"/>
      <c r="C11531" s="1050"/>
      <c r="D11531" s="1050"/>
      <c r="E11531" s="1050"/>
      <c r="F11531" s="1050"/>
      <c r="G11531" s="1050"/>
    </row>
    <row r="11532" spans="1:7">
      <c r="A11532" s="1079"/>
      <c r="B11532" s="1050"/>
      <c r="C11532" s="1050"/>
      <c r="D11532" s="1050"/>
      <c r="E11532" s="1050"/>
      <c r="F11532" s="1050"/>
      <c r="G11532" s="1050"/>
    </row>
    <row r="11533" spans="1:7">
      <c r="A11533" s="1079"/>
      <c r="B11533" s="1050"/>
      <c r="C11533" s="1050"/>
      <c r="D11533" s="1050"/>
      <c r="E11533" s="1050"/>
      <c r="F11533" s="1050"/>
      <c r="G11533" s="1050"/>
    </row>
    <row r="11534" spans="1:7">
      <c r="A11534" s="1079"/>
      <c r="B11534" s="1050"/>
      <c r="C11534" s="1050"/>
      <c r="D11534" s="1050"/>
      <c r="E11534" s="1050"/>
      <c r="F11534" s="1050"/>
      <c r="G11534" s="1050"/>
    </row>
    <row r="11535" spans="1:7">
      <c r="A11535" s="1079"/>
      <c r="B11535" s="1050"/>
      <c r="C11535" s="1050"/>
      <c r="D11535" s="1050"/>
      <c r="E11535" s="1050"/>
      <c r="F11535" s="1050"/>
      <c r="G11535" s="1050"/>
    </row>
    <row r="11536" spans="1:7">
      <c r="A11536" s="1079"/>
      <c r="B11536" s="1050"/>
      <c r="C11536" s="1050"/>
      <c r="D11536" s="1050"/>
      <c r="E11536" s="1050"/>
      <c r="F11536" s="1050"/>
      <c r="G11536" s="1050"/>
    </row>
    <row r="11537" spans="1:7">
      <c r="A11537" s="1079"/>
      <c r="B11537" s="1050"/>
      <c r="C11537" s="1050"/>
      <c r="D11537" s="1050"/>
      <c r="E11537" s="1050"/>
      <c r="F11537" s="1050"/>
      <c r="G11537" s="1050"/>
    </row>
    <row r="11538" spans="1:7">
      <c r="A11538" s="1079"/>
      <c r="B11538" s="1050"/>
      <c r="C11538" s="1050"/>
      <c r="D11538" s="1050"/>
      <c r="E11538" s="1050"/>
      <c r="F11538" s="1050"/>
      <c r="G11538" s="1050"/>
    </row>
    <row r="11539" spans="1:7">
      <c r="A11539" s="1079"/>
      <c r="B11539" s="1050"/>
      <c r="C11539" s="1050"/>
      <c r="D11539" s="1050"/>
      <c r="E11539" s="1050"/>
      <c r="F11539" s="1050"/>
      <c r="G11539" s="1050"/>
    </row>
    <row r="11540" spans="1:7">
      <c r="A11540" s="1079"/>
      <c r="B11540" s="1050"/>
      <c r="C11540" s="1050"/>
      <c r="D11540" s="1050"/>
      <c r="E11540" s="1050"/>
      <c r="F11540" s="1050"/>
      <c r="G11540" s="1050"/>
    </row>
    <row r="11541" spans="1:7">
      <c r="A11541" s="1079"/>
      <c r="B11541" s="1050"/>
      <c r="C11541" s="1050"/>
      <c r="D11541" s="1050"/>
      <c r="E11541" s="1050"/>
      <c r="F11541" s="1050"/>
      <c r="G11541" s="1050"/>
    </row>
    <row r="11542" spans="1:7">
      <c r="A11542" s="1079"/>
      <c r="B11542" s="1050"/>
      <c r="C11542" s="1050"/>
      <c r="D11542" s="1050"/>
      <c r="E11542" s="1050"/>
      <c r="F11542" s="1050"/>
      <c r="G11542" s="1050"/>
    </row>
    <row r="11543" spans="1:7">
      <c r="A11543" s="1079"/>
      <c r="B11543" s="1050"/>
      <c r="C11543" s="1050"/>
      <c r="D11543" s="1050"/>
      <c r="E11543" s="1050"/>
      <c r="F11543" s="1050"/>
      <c r="G11543" s="1050"/>
    </row>
    <row r="11544" spans="1:7">
      <c r="A11544" s="1079"/>
      <c r="B11544" s="1050"/>
      <c r="C11544" s="1050"/>
      <c r="D11544" s="1050"/>
      <c r="E11544" s="1050"/>
      <c r="F11544" s="1050"/>
      <c r="G11544" s="1050"/>
    </row>
    <row r="11545" spans="1:7">
      <c r="A11545" s="1079"/>
      <c r="B11545" s="1050"/>
      <c r="C11545" s="1050"/>
      <c r="D11545" s="1050"/>
      <c r="E11545" s="1050"/>
      <c r="F11545" s="1050"/>
      <c r="G11545" s="1050"/>
    </row>
    <row r="11546" spans="1:7">
      <c r="A11546" s="1079"/>
      <c r="B11546" s="1050"/>
      <c r="C11546" s="1050"/>
      <c r="D11546" s="1050"/>
      <c r="E11546" s="1050"/>
      <c r="F11546" s="1050"/>
      <c r="G11546" s="1050"/>
    </row>
    <row r="11547" spans="1:7">
      <c r="A11547" s="1079"/>
      <c r="B11547" s="1050"/>
      <c r="C11547" s="1050"/>
      <c r="D11547" s="1050"/>
      <c r="E11547" s="1050"/>
      <c r="F11547" s="1050"/>
      <c r="G11547" s="1050"/>
    </row>
    <row r="11548" spans="1:7">
      <c r="A11548" s="1079"/>
      <c r="B11548" s="1050"/>
      <c r="C11548" s="1050"/>
      <c r="D11548" s="1050"/>
      <c r="E11548" s="1050"/>
      <c r="F11548" s="1050"/>
      <c r="G11548" s="1050"/>
    </row>
    <row r="11549" spans="1:7">
      <c r="A11549" s="1079"/>
      <c r="B11549" s="1050"/>
      <c r="C11549" s="1050"/>
      <c r="D11549" s="1050"/>
      <c r="E11549" s="1050"/>
      <c r="F11549" s="1050"/>
      <c r="G11549" s="1050"/>
    </row>
    <row r="11550" spans="1:7">
      <c r="A11550" s="1079"/>
      <c r="B11550" s="1050"/>
      <c r="C11550" s="1050"/>
      <c r="D11550" s="1050"/>
      <c r="E11550" s="1050"/>
      <c r="F11550" s="1050"/>
      <c r="G11550" s="1050"/>
    </row>
    <row r="11551" spans="1:7">
      <c r="A11551" s="1079"/>
      <c r="B11551" s="1050"/>
      <c r="C11551" s="1050"/>
      <c r="D11551" s="1050"/>
      <c r="E11551" s="1050"/>
      <c r="F11551" s="1050"/>
      <c r="G11551" s="1050"/>
    </row>
    <row r="11552" spans="1:7">
      <c r="A11552" s="1079"/>
      <c r="B11552" s="1050"/>
      <c r="C11552" s="1050"/>
      <c r="D11552" s="1050"/>
      <c r="E11552" s="1050"/>
      <c r="F11552" s="1050"/>
      <c r="G11552" s="1050"/>
    </row>
    <row r="11553" spans="1:7">
      <c r="A11553" s="1079"/>
      <c r="B11553" s="1050"/>
      <c r="C11553" s="1050"/>
      <c r="D11553" s="1050"/>
      <c r="E11553" s="1050"/>
      <c r="F11553" s="1050"/>
      <c r="G11553" s="1050"/>
    </row>
    <row r="11554" spans="1:7">
      <c r="A11554" s="1079"/>
      <c r="B11554" s="1050"/>
      <c r="C11554" s="1050"/>
      <c r="D11554" s="1050"/>
      <c r="E11554" s="1050"/>
      <c r="F11554" s="1050"/>
      <c r="G11554" s="1050"/>
    </row>
    <row r="11555" spans="1:7">
      <c r="A11555" s="1079"/>
      <c r="B11555" s="1050"/>
      <c r="C11555" s="1050"/>
      <c r="D11555" s="1050"/>
      <c r="E11555" s="1050"/>
      <c r="F11555" s="1050"/>
      <c r="G11555" s="1050"/>
    </row>
    <row r="11556" spans="1:7">
      <c r="A11556" s="1079"/>
      <c r="B11556" s="1050"/>
      <c r="C11556" s="1050"/>
      <c r="D11556" s="1050"/>
      <c r="E11556" s="1050"/>
      <c r="F11556" s="1050"/>
      <c r="G11556" s="1050"/>
    </row>
    <row r="11557" spans="1:7">
      <c r="A11557" s="1079"/>
      <c r="B11557" s="1050"/>
      <c r="C11557" s="1050"/>
      <c r="D11557" s="1050"/>
      <c r="E11557" s="1050"/>
      <c r="F11557" s="1050"/>
      <c r="G11557" s="1050"/>
    </row>
    <row r="11558" spans="1:7">
      <c r="A11558" s="1079"/>
      <c r="B11558" s="1050"/>
      <c r="C11558" s="1050"/>
      <c r="D11558" s="1050"/>
      <c r="E11558" s="1050"/>
      <c r="F11558" s="1050"/>
      <c r="G11558" s="1050"/>
    </row>
    <row r="11559" spans="1:7">
      <c r="A11559" s="1079"/>
      <c r="B11559" s="1050"/>
      <c r="C11559" s="1050"/>
      <c r="D11559" s="1050"/>
      <c r="E11559" s="1050"/>
      <c r="F11559" s="1050"/>
      <c r="G11559" s="1050"/>
    </row>
    <row r="11560" spans="1:7">
      <c r="A11560" s="1079"/>
      <c r="B11560" s="1050"/>
      <c r="C11560" s="1050"/>
      <c r="D11560" s="1050"/>
      <c r="E11560" s="1050"/>
      <c r="F11560" s="1050"/>
      <c r="G11560" s="1050"/>
    </row>
    <row r="11561" spans="1:7">
      <c r="A11561" s="1079"/>
      <c r="B11561" s="1050"/>
      <c r="C11561" s="1050"/>
      <c r="D11561" s="1050"/>
      <c r="E11561" s="1050"/>
      <c r="F11561" s="1050"/>
      <c r="G11561" s="1050"/>
    </row>
    <row r="11562" spans="1:7">
      <c r="A11562" s="1079"/>
      <c r="B11562" s="1050"/>
      <c r="C11562" s="1050"/>
      <c r="D11562" s="1050"/>
      <c r="E11562" s="1050"/>
      <c r="F11562" s="1050"/>
      <c r="G11562" s="1050"/>
    </row>
    <row r="11563" spans="1:7">
      <c r="A11563" s="1079"/>
      <c r="B11563" s="1050"/>
      <c r="C11563" s="1050"/>
      <c r="D11563" s="1050"/>
      <c r="E11563" s="1050"/>
      <c r="F11563" s="1050"/>
      <c r="G11563" s="1050"/>
    </row>
    <row r="11564" spans="1:7">
      <c r="A11564" s="1079"/>
      <c r="B11564" s="1050"/>
      <c r="C11564" s="1050"/>
      <c r="D11564" s="1050"/>
      <c r="E11564" s="1050"/>
      <c r="F11564" s="1050"/>
      <c r="G11564" s="1050"/>
    </row>
    <row r="11565" spans="1:7">
      <c r="A11565" s="1079"/>
      <c r="B11565" s="1050"/>
      <c r="C11565" s="1050"/>
      <c r="D11565" s="1050"/>
      <c r="E11565" s="1050"/>
      <c r="F11565" s="1050"/>
      <c r="G11565" s="1050"/>
    </row>
    <row r="11566" spans="1:7">
      <c r="A11566" s="1079"/>
      <c r="B11566" s="1050"/>
      <c r="C11566" s="1050"/>
      <c r="D11566" s="1050"/>
      <c r="E11566" s="1050"/>
      <c r="F11566" s="1050"/>
      <c r="G11566" s="1050"/>
    </row>
    <row r="11567" spans="1:7">
      <c r="A11567" s="1079"/>
      <c r="B11567" s="1050"/>
      <c r="C11567" s="1050"/>
      <c r="D11567" s="1050"/>
      <c r="E11567" s="1050"/>
      <c r="F11567" s="1050"/>
      <c r="G11567" s="1050"/>
    </row>
    <row r="11568" spans="1:7">
      <c r="A11568" s="1079"/>
      <c r="B11568" s="1050"/>
      <c r="C11568" s="1050"/>
      <c r="D11568" s="1050"/>
      <c r="E11568" s="1050"/>
      <c r="F11568" s="1050"/>
      <c r="G11568" s="1050"/>
    </row>
    <row r="11569" spans="1:7">
      <c r="A11569" s="1079"/>
      <c r="B11569" s="1050"/>
      <c r="C11569" s="1050"/>
      <c r="D11569" s="1050"/>
      <c r="E11569" s="1050"/>
      <c r="F11569" s="1050"/>
      <c r="G11569" s="1050"/>
    </row>
    <row r="11570" spans="1:7">
      <c r="A11570" s="1079"/>
      <c r="B11570" s="1050"/>
      <c r="C11570" s="1050"/>
      <c r="D11570" s="1050"/>
      <c r="E11570" s="1050"/>
      <c r="F11570" s="1050"/>
      <c r="G11570" s="1050"/>
    </row>
    <row r="11571" spans="1:7">
      <c r="A11571" s="1079"/>
      <c r="B11571" s="1050"/>
      <c r="C11571" s="1050"/>
      <c r="D11571" s="1050"/>
      <c r="E11571" s="1050"/>
      <c r="F11571" s="1050"/>
      <c r="G11571" s="1050"/>
    </row>
    <row r="11572" spans="1:7">
      <c r="A11572" s="1079"/>
      <c r="B11572" s="1050"/>
      <c r="C11572" s="1050"/>
      <c r="D11572" s="1050"/>
      <c r="E11572" s="1050"/>
      <c r="F11572" s="1050"/>
      <c r="G11572" s="1050"/>
    </row>
    <row r="11573" spans="1:7">
      <c r="A11573" s="1079"/>
      <c r="B11573" s="1050"/>
      <c r="C11573" s="1050"/>
      <c r="D11573" s="1050"/>
      <c r="E11573" s="1050"/>
      <c r="F11573" s="1050"/>
      <c r="G11573" s="1050"/>
    </row>
    <row r="11574" spans="1:7">
      <c r="A11574" s="1079"/>
      <c r="B11574" s="1050"/>
      <c r="C11574" s="1050"/>
      <c r="D11574" s="1050"/>
      <c r="E11574" s="1050"/>
      <c r="F11574" s="1050"/>
      <c r="G11574" s="1050"/>
    </row>
    <row r="11575" spans="1:7">
      <c r="A11575" s="1079"/>
      <c r="B11575" s="1050"/>
      <c r="C11575" s="1050"/>
      <c r="D11575" s="1050"/>
      <c r="E11575" s="1050"/>
      <c r="F11575" s="1050"/>
      <c r="G11575" s="1050"/>
    </row>
    <row r="11576" spans="1:7">
      <c r="A11576" s="1079"/>
      <c r="B11576" s="1050"/>
      <c r="C11576" s="1050"/>
      <c r="D11576" s="1050"/>
      <c r="E11576" s="1050"/>
      <c r="F11576" s="1050"/>
      <c r="G11576" s="1050"/>
    </row>
    <row r="11577" spans="1:7">
      <c r="A11577" s="1079"/>
      <c r="B11577" s="1050"/>
      <c r="C11577" s="1050"/>
      <c r="D11577" s="1050"/>
      <c r="E11577" s="1050"/>
      <c r="F11577" s="1050"/>
      <c r="G11577" s="1050"/>
    </row>
    <row r="11578" spans="1:7">
      <c r="A11578" s="1079"/>
      <c r="B11578" s="1050"/>
      <c r="C11578" s="1050"/>
      <c r="D11578" s="1050"/>
      <c r="E11578" s="1050"/>
      <c r="F11578" s="1050"/>
      <c r="G11578" s="1050"/>
    </row>
    <row r="11579" spans="1:7">
      <c r="A11579" s="1079"/>
      <c r="B11579" s="1050"/>
      <c r="C11579" s="1050"/>
      <c r="D11579" s="1050"/>
      <c r="E11579" s="1050"/>
      <c r="F11579" s="1050"/>
      <c r="G11579" s="1050"/>
    </row>
    <row r="11580" spans="1:7">
      <c r="A11580" s="1079"/>
      <c r="B11580" s="1050"/>
      <c r="C11580" s="1050"/>
      <c r="D11580" s="1050"/>
      <c r="E11580" s="1050"/>
      <c r="F11580" s="1050"/>
      <c r="G11580" s="1050"/>
    </row>
    <row r="11581" spans="1:7">
      <c r="A11581" s="1079"/>
      <c r="B11581" s="1050"/>
      <c r="C11581" s="1050"/>
      <c r="D11581" s="1050"/>
      <c r="E11581" s="1050"/>
      <c r="F11581" s="1050"/>
      <c r="G11581" s="1050"/>
    </row>
    <row r="11582" spans="1:7">
      <c r="A11582" s="1079"/>
      <c r="B11582" s="1050"/>
      <c r="C11582" s="1050"/>
      <c r="D11582" s="1050"/>
      <c r="E11582" s="1050"/>
      <c r="F11582" s="1050"/>
      <c r="G11582" s="1050"/>
    </row>
    <row r="11583" spans="1:7">
      <c r="A11583" s="1079"/>
      <c r="B11583" s="1050"/>
      <c r="C11583" s="1050"/>
      <c r="D11583" s="1050"/>
      <c r="E11583" s="1050"/>
      <c r="F11583" s="1050"/>
      <c r="G11583" s="1050"/>
    </row>
    <row r="11584" spans="1:7">
      <c r="A11584" s="1079"/>
      <c r="B11584" s="1050"/>
      <c r="C11584" s="1050"/>
      <c r="D11584" s="1050"/>
      <c r="E11584" s="1050"/>
      <c r="F11584" s="1050"/>
      <c r="G11584" s="1050"/>
    </row>
    <row r="11585" spans="1:7">
      <c r="A11585" s="1079"/>
      <c r="B11585" s="1050"/>
      <c r="C11585" s="1050"/>
      <c r="D11585" s="1050"/>
      <c r="E11585" s="1050"/>
      <c r="F11585" s="1050"/>
      <c r="G11585" s="1050"/>
    </row>
    <row r="11586" spans="1:7">
      <c r="A11586" s="1079"/>
      <c r="B11586" s="1050"/>
      <c r="C11586" s="1050"/>
      <c r="D11586" s="1050"/>
      <c r="E11586" s="1050"/>
      <c r="F11586" s="1050"/>
      <c r="G11586" s="1050"/>
    </row>
    <row r="11587" spans="1:7">
      <c r="A11587" s="1079"/>
      <c r="B11587" s="1050"/>
      <c r="C11587" s="1050"/>
      <c r="D11587" s="1050"/>
      <c r="E11587" s="1050"/>
      <c r="F11587" s="1050"/>
      <c r="G11587" s="1050"/>
    </row>
    <row r="11588" spans="1:7">
      <c r="A11588" s="1079"/>
      <c r="B11588" s="1050"/>
      <c r="C11588" s="1050"/>
      <c r="D11588" s="1050"/>
      <c r="E11588" s="1050"/>
      <c r="F11588" s="1050"/>
      <c r="G11588" s="1050"/>
    </row>
    <row r="11589" spans="1:7">
      <c r="A11589" s="1079"/>
      <c r="B11589" s="1050"/>
      <c r="C11589" s="1050"/>
      <c r="D11589" s="1050"/>
      <c r="E11589" s="1050"/>
      <c r="F11589" s="1050"/>
      <c r="G11589" s="1050"/>
    </row>
    <row r="11590" spans="1:7">
      <c r="A11590" s="1079"/>
      <c r="B11590" s="1050"/>
      <c r="C11590" s="1050"/>
      <c r="D11590" s="1050"/>
      <c r="E11590" s="1050"/>
      <c r="F11590" s="1050"/>
      <c r="G11590" s="1050"/>
    </row>
    <row r="11591" spans="1:7">
      <c r="A11591" s="1079"/>
      <c r="B11591" s="1050"/>
      <c r="C11591" s="1050"/>
      <c r="D11591" s="1050"/>
      <c r="E11591" s="1050"/>
      <c r="F11591" s="1050"/>
      <c r="G11591" s="1050"/>
    </row>
    <row r="11592" spans="1:7">
      <c r="A11592" s="1079"/>
      <c r="B11592" s="1050"/>
      <c r="C11592" s="1050"/>
      <c r="D11592" s="1050"/>
      <c r="E11592" s="1050"/>
      <c r="F11592" s="1050"/>
      <c r="G11592" s="1050"/>
    </row>
    <row r="11593" spans="1:7">
      <c r="A11593" s="1079"/>
      <c r="B11593" s="1050"/>
      <c r="C11593" s="1050"/>
      <c r="D11593" s="1050"/>
      <c r="E11593" s="1050"/>
      <c r="F11593" s="1050"/>
      <c r="G11593" s="1050"/>
    </row>
    <row r="11594" spans="1:7">
      <c r="A11594" s="1079"/>
      <c r="B11594" s="1050"/>
      <c r="C11594" s="1050"/>
      <c r="D11594" s="1050"/>
      <c r="E11594" s="1050"/>
      <c r="F11594" s="1050"/>
      <c r="G11594" s="1050"/>
    </row>
    <row r="11595" spans="1:7">
      <c r="A11595" s="1079"/>
      <c r="B11595" s="1050"/>
      <c r="C11595" s="1050"/>
      <c r="D11595" s="1050"/>
      <c r="E11595" s="1050"/>
      <c r="F11595" s="1050"/>
      <c r="G11595" s="1050"/>
    </row>
    <row r="11596" spans="1:7">
      <c r="A11596" s="1079"/>
      <c r="B11596" s="1050"/>
      <c r="C11596" s="1050"/>
      <c r="D11596" s="1050"/>
      <c r="E11596" s="1050"/>
      <c r="F11596" s="1050"/>
      <c r="G11596" s="1050"/>
    </row>
    <row r="11597" spans="1:7">
      <c r="A11597" s="1079"/>
      <c r="B11597" s="1050"/>
      <c r="C11597" s="1050"/>
      <c r="D11597" s="1050"/>
      <c r="E11597" s="1050"/>
      <c r="F11597" s="1050"/>
      <c r="G11597" s="1050"/>
    </row>
    <row r="11598" spans="1:7">
      <c r="A11598" s="1079"/>
      <c r="B11598" s="1050"/>
      <c r="C11598" s="1050"/>
      <c r="D11598" s="1050"/>
      <c r="E11598" s="1050"/>
      <c r="F11598" s="1050"/>
      <c r="G11598" s="1050"/>
    </row>
    <row r="11599" spans="1:7">
      <c r="A11599" s="1079"/>
      <c r="B11599" s="1050"/>
      <c r="C11599" s="1050"/>
      <c r="D11599" s="1050"/>
      <c r="E11599" s="1050"/>
      <c r="F11599" s="1050"/>
      <c r="G11599" s="1050"/>
    </row>
    <row r="11600" spans="1:7">
      <c r="A11600" s="1079"/>
      <c r="B11600" s="1050"/>
      <c r="C11600" s="1050"/>
      <c r="D11600" s="1050"/>
      <c r="E11600" s="1050"/>
      <c r="F11600" s="1050"/>
      <c r="G11600" s="1050"/>
    </row>
    <row r="11601" spans="1:7">
      <c r="A11601" s="1079"/>
      <c r="B11601" s="1050"/>
      <c r="C11601" s="1050"/>
      <c r="D11601" s="1050"/>
      <c r="E11601" s="1050"/>
      <c r="F11601" s="1050"/>
      <c r="G11601" s="1050"/>
    </row>
    <row r="11602" spans="1:7">
      <c r="A11602" s="1079"/>
      <c r="B11602" s="1050"/>
      <c r="C11602" s="1050"/>
      <c r="D11602" s="1050"/>
      <c r="E11602" s="1050"/>
      <c r="F11602" s="1050"/>
      <c r="G11602" s="1050"/>
    </row>
    <row r="11603" spans="1:7">
      <c r="A11603" s="1079"/>
      <c r="B11603" s="1050"/>
      <c r="C11603" s="1050"/>
      <c r="D11603" s="1050"/>
      <c r="E11603" s="1050"/>
      <c r="F11603" s="1050"/>
      <c r="G11603" s="1050"/>
    </row>
    <row r="11604" spans="1:7">
      <c r="A11604" s="1079"/>
      <c r="B11604" s="1050"/>
      <c r="C11604" s="1050"/>
      <c r="D11604" s="1050"/>
      <c r="E11604" s="1050"/>
      <c r="F11604" s="1050"/>
      <c r="G11604" s="1050"/>
    </row>
    <row r="11605" spans="1:7">
      <c r="A11605" s="1079"/>
      <c r="B11605" s="1050"/>
      <c r="C11605" s="1050"/>
      <c r="D11605" s="1050"/>
      <c r="E11605" s="1050"/>
      <c r="F11605" s="1050"/>
      <c r="G11605" s="1050"/>
    </row>
    <row r="11606" spans="1:7">
      <c r="A11606" s="1079"/>
      <c r="B11606" s="1050"/>
      <c r="C11606" s="1050"/>
      <c r="D11606" s="1050"/>
      <c r="E11606" s="1050"/>
      <c r="F11606" s="1050"/>
      <c r="G11606" s="1050"/>
    </row>
    <row r="11607" spans="1:7">
      <c r="A11607" s="1079"/>
      <c r="B11607" s="1050"/>
      <c r="C11607" s="1050"/>
      <c r="D11607" s="1050"/>
      <c r="E11607" s="1050"/>
      <c r="F11607" s="1050"/>
      <c r="G11607" s="1050"/>
    </row>
    <row r="11608" spans="1:7">
      <c r="A11608" s="1079"/>
      <c r="B11608" s="1050"/>
      <c r="C11608" s="1050"/>
      <c r="D11608" s="1050"/>
      <c r="E11608" s="1050"/>
      <c r="F11608" s="1050"/>
      <c r="G11608" s="1050"/>
    </row>
    <row r="11609" spans="1:7">
      <c r="A11609" s="1079"/>
      <c r="B11609" s="1050"/>
      <c r="C11609" s="1050"/>
      <c r="D11609" s="1050"/>
      <c r="E11609" s="1050"/>
      <c r="F11609" s="1050"/>
      <c r="G11609" s="1050"/>
    </row>
    <row r="11610" spans="1:7">
      <c r="A11610" s="1079"/>
      <c r="B11610" s="1050"/>
      <c r="C11610" s="1050"/>
      <c r="D11610" s="1050"/>
      <c r="E11610" s="1050"/>
      <c r="F11610" s="1050"/>
      <c r="G11610" s="1050"/>
    </row>
    <row r="11611" spans="1:7">
      <c r="A11611" s="1079"/>
      <c r="B11611" s="1050"/>
      <c r="C11611" s="1050"/>
      <c r="D11611" s="1050"/>
      <c r="E11611" s="1050"/>
      <c r="F11611" s="1050"/>
      <c r="G11611" s="1050"/>
    </row>
    <row r="11612" spans="1:7">
      <c r="A11612" s="1079"/>
      <c r="B11612" s="1050"/>
      <c r="C11612" s="1050"/>
      <c r="D11612" s="1050"/>
      <c r="E11612" s="1050"/>
      <c r="F11612" s="1050"/>
      <c r="G11612" s="1050"/>
    </row>
    <row r="11613" spans="1:7">
      <c r="A11613" s="1079"/>
      <c r="B11613" s="1050"/>
      <c r="C11613" s="1050"/>
      <c r="D11613" s="1050"/>
      <c r="E11613" s="1050"/>
      <c r="F11613" s="1050"/>
      <c r="G11613" s="1050"/>
    </row>
    <row r="11614" spans="1:7">
      <c r="A11614" s="1079"/>
      <c r="B11614" s="1050"/>
      <c r="C11614" s="1050"/>
      <c r="D11614" s="1050"/>
      <c r="E11614" s="1050"/>
      <c r="F11614" s="1050"/>
      <c r="G11614" s="1050"/>
    </row>
    <row r="11615" spans="1:7">
      <c r="A11615" s="1079"/>
      <c r="B11615" s="1050"/>
      <c r="C11615" s="1050"/>
      <c r="D11615" s="1050"/>
      <c r="E11615" s="1050"/>
      <c r="F11615" s="1050"/>
      <c r="G11615" s="1050"/>
    </row>
    <row r="11616" spans="1:7">
      <c r="A11616" s="1079"/>
      <c r="B11616" s="1050"/>
      <c r="C11616" s="1050"/>
      <c r="D11616" s="1050"/>
      <c r="E11616" s="1050"/>
      <c r="F11616" s="1050"/>
      <c r="G11616" s="1050"/>
    </row>
    <row r="11617" spans="1:7">
      <c r="A11617" s="1079"/>
      <c r="B11617" s="1050"/>
      <c r="C11617" s="1050"/>
      <c r="D11617" s="1050"/>
      <c r="E11617" s="1050"/>
      <c r="F11617" s="1050"/>
      <c r="G11617" s="1050"/>
    </row>
    <row r="11618" spans="1:7">
      <c r="A11618" s="1079"/>
      <c r="B11618" s="1050"/>
      <c r="C11618" s="1050"/>
      <c r="D11618" s="1050"/>
      <c r="E11618" s="1050"/>
      <c r="F11618" s="1050"/>
      <c r="G11618" s="1050"/>
    </row>
    <row r="11619" spans="1:7">
      <c r="A11619" s="1079"/>
      <c r="B11619" s="1050"/>
      <c r="C11619" s="1050"/>
      <c r="D11619" s="1050"/>
      <c r="E11619" s="1050"/>
      <c r="F11619" s="1050"/>
      <c r="G11619" s="1050"/>
    </row>
    <row r="11620" spans="1:7">
      <c r="A11620" s="1079"/>
      <c r="B11620" s="1050"/>
      <c r="C11620" s="1050"/>
      <c r="D11620" s="1050"/>
      <c r="E11620" s="1050"/>
      <c r="F11620" s="1050"/>
      <c r="G11620" s="1050"/>
    </row>
    <row r="11621" spans="1:7">
      <c r="A11621" s="1079"/>
      <c r="B11621" s="1050"/>
      <c r="C11621" s="1050"/>
      <c r="D11621" s="1050"/>
      <c r="E11621" s="1050"/>
      <c r="F11621" s="1050"/>
      <c r="G11621" s="1050"/>
    </row>
    <row r="11622" spans="1:7">
      <c r="A11622" s="1079"/>
      <c r="B11622" s="1050"/>
      <c r="C11622" s="1050"/>
      <c r="D11622" s="1050"/>
      <c r="E11622" s="1050"/>
      <c r="F11622" s="1050"/>
      <c r="G11622" s="1050"/>
    </row>
    <row r="11623" spans="1:7">
      <c r="A11623" s="1079"/>
      <c r="B11623" s="1050"/>
      <c r="C11623" s="1050"/>
      <c r="D11623" s="1050"/>
      <c r="E11623" s="1050"/>
      <c r="F11623" s="1050"/>
      <c r="G11623" s="1050"/>
    </row>
    <row r="11624" spans="1:7">
      <c r="A11624" s="1079"/>
      <c r="B11624" s="1050"/>
      <c r="C11624" s="1050"/>
      <c r="D11624" s="1050"/>
      <c r="E11624" s="1050"/>
      <c r="F11624" s="1050"/>
      <c r="G11624" s="1050"/>
    </row>
    <row r="11625" spans="1:7">
      <c r="A11625" s="1079"/>
      <c r="B11625" s="1050"/>
      <c r="C11625" s="1050"/>
      <c r="D11625" s="1050"/>
      <c r="E11625" s="1050"/>
      <c r="F11625" s="1050"/>
      <c r="G11625" s="1050"/>
    </row>
    <row r="11626" spans="1:7">
      <c r="A11626" s="1079"/>
      <c r="B11626" s="1050"/>
      <c r="C11626" s="1050"/>
      <c r="D11626" s="1050"/>
      <c r="E11626" s="1050"/>
      <c r="F11626" s="1050"/>
      <c r="G11626" s="1050"/>
    </row>
    <row r="11627" spans="1:7">
      <c r="A11627" s="1079"/>
      <c r="B11627" s="1050"/>
      <c r="C11627" s="1050"/>
      <c r="D11627" s="1050"/>
      <c r="E11627" s="1050"/>
      <c r="F11627" s="1050"/>
      <c r="G11627" s="1050"/>
    </row>
    <row r="11628" spans="1:7">
      <c r="A11628" s="1079"/>
      <c r="B11628" s="1050"/>
      <c r="C11628" s="1050"/>
      <c r="D11628" s="1050"/>
      <c r="E11628" s="1050"/>
      <c r="F11628" s="1050"/>
      <c r="G11628" s="1050"/>
    </row>
    <row r="11629" spans="1:7">
      <c r="A11629" s="1079"/>
      <c r="B11629" s="1050"/>
      <c r="C11629" s="1050"/>
      <c r="D11629" s="1050"/>
      <c r="E11629" s="1050"/>
      <c r="F11629" s="1050"/>
      <c r="G11629" s="1050"/>
    </row>
    <row r="11630" spans="1:7">
      <c r="A11630" s="1079"/>
      <c r="B11630" s="1050"/>
      <c r="C11630" s="1050"/>
      <c r="D11630" s="1050"/>
      <c r="E11630" s="1050"/>
      <c r="F11630" s="1050"/>
      <c r="G11630" s="1050"/>
    </row>
    <row r="11631" spans="1:7">
      <c r="A11631" s="1079"/>
      <c r="B11631" s="1050"/>
      <c r="C11631" s="1050"/>
      <c r="D11631" s="1050"/>
      <c r="E11631" s="1050"/>
      <c r="F11631" s="1050"/>
      <c r="G11631" s="1050"/>
    </row>
    <row r="11632" spans="1:7">
      <c r="A11632" s="1079"/>
      <c r="B11632" s="1050"/>
      <c r="C11632" s="1050"/>
      <c r="D11632" s="1050"/>
      <c r="E11632" s="1050"/>
      <c r="F11632" s="1050"/>
      <c r="G11632" s="1050"/>
    </row>
    <row r="11633" spans="1:7">
      <c r="A11633" s="1079"/>
      <c r="B11633" s="1050"/>
      <c r="C11633" s="1050"/>
      <c r="D11633" s="1050"/>
      <c r="E11633" s="1050"/>
      <c r="F11633" s="1050"/>
      <c r="G11633" s="1050"/>
    </row>
    <row r="11634" spans="1:7">
      <c r="A11634" s="1079"/>
      <c r="B11634" s="1050"/>
      <c r="C11634" s="1050"/>
      <c r="D11634" s="1050"/>
      <c r="E11634" s="1050"/>
      <c r="F11634" s="1050"/>
      <c r="G11634" s="1050"/>
    </row>
    <row r="11635" spans="1:7">
      <c r="A11635" s="1079"/>
      <c r="B11635" s="1050"/>
      <c r="C11635" s="1050"/>
      <c r="D11635" s="1050"/>
      <c r="E11635" s="1050"/>
      <c r="F11635" s="1050"/>
      <c r="G11635" s="1050"/>
    </row>
    <row r="11636" spans="1:7">
      <c r="A11636" s="1079"/>
      <c r="B11636" s="1050"/>
      <c r="C11636" s="1050"/>
      <c r="D11636" s="1050"/>
      <c r="E11636" s="1050"/>
      <c r="F11636" s="1050"/>
      <c r="G11636" s="1050"/>
    </row>
    <row r="11637" spans="1:7">
      <c r="A11637" s="1079"/>
      <c r="B11637" s="1050"/>
      <c r="C11637" s="1050"/>
      <c r="D11637" s="1050"/>
      <c r="E11637" s="1050"/>
      <c r="F11637" s="1050"/>
      <c r="G11637" s="1050"/>
    </row>
    <row r="11638" spans="1:7">
      <c r="A11638" s="1079"/>
      <c r="B11638" s="1050"/>
      <c r="C11638" s="1050"/>
      <c r="D11638" s="1050"/>
      <c r="E11638" s="1050"/>
      <c r="F11638" s="1050"/>
      <c r="G11638" s="1050"/>
    </row>
    <row r="11639" spans="1:7">
      <c r="A11639" s="1079"/>
      <c r="B11639" s="1050"/>
      <c r="C11639" s="1050"/>
      <c r="D11639" s="1050"/>
      <c r="E11639" s="1050"/>
      <c r="F11639" s="1050"/>
      <c r="G11639" s="1050"/>
    </row>
    <row r="11640" spans="1:7">
      <c r="A11640" s="1079"/>
      <c r="B11640" s="1050"/>
      <c r="C11640" s="1050"/>
      <c r="D11640" s="1050"/>
      <c r="E11640" s="1050"/>
      <c r="F11640" s="1050"/>
      <c r="G11640" s="1050"/>
    </row>
    <row r="11641" spans="1:7">
      <c r="A11641" s="1079"/>
      <c r="B11641" s="1050"/>
      <c r="C11641" s="1050"/>
      <c r="D11641" s="1050"/>
      <c r="E11641" s="1050"/>
      <c r="F11641" s="1050"/>
      <c r="G11641" s="1050"/>
    </row>
    <row r="11642" spans="1:7">
      <c r="A11642" s="1079"/>
      <c r="B11642" s="1050"/>
      <c r="C11642" s="1050"/>
      <c r="D11642" s="1050"/>
      <c r="E11642" s="1050"/>
      <c r="F11642" s="1050"/>
      <c r="G11642" s="1050"/>
    </row>
    <row r="11643" spans="1:7">
      <c r="A11643" s="1079"/>
      <c r="B11643" s="1050"/>
      <c r="C11643" s="1050"/>
      <c r="D11643" s="1050"/>
      <c r="E11643" s="1050"/>
      <c r="F11643" s="1050"/>
      <c r="G11643" s="1050"/>
    </row>
    <row r="11644" spans="1:7">
      <c r="A11644" s="1079"/>
      <c r="B11644" s="1050"/>
      <c r="C11644" s="1050"/>
      <c r="D11644" s="1050"/>
      <c r="E11644" s="1050"/>
      <c r="F11644" s="1050"/>
      <c r="G11644" s="1050"/>
    </row>
    <row r="11645" spans="1:7">
      <c r="A11645" s="1079"/>
      <c r="B11645" s="1050"/>
      <c r="C11645" s="1050"/>
      <c r="D11645" s="1050"/>
      <c r="E11645" s="1050"/>
      <c r="F11645" s="1050"/>
      <c r="G11645" s="1050"/>
    </row>
    <row r="11646" spans="1:7">
      <c r="A11646" s="1079"/>
      <c r="B11646" s="1050"/>
      <c r="C11646" s="1050"/>
      <c r="D11646" s="1050"/>
      <c r="E11646" s="1050"/>
      <c r="F11646" s="1050"/>
      <c r="G11646" s="1050"/>
    </row>
    <row r="11647" spans="1:7">
      <c r="A11647" s="1079"/>
      <c r="B11647" s="1050"/>
      <c r="C11647" s="1050"/>
      <c r="D11647" s="1050"/>
      <c r="E11647" s="1050"/>
      <c r="F11647" s="1050"/>
      <c r="G11647" s="1050"/>
    </row>
    <row r="11648" spans="1:7">
      <c r="A11648" s="1079"/>
      <c r="B11648" s="1050"/>
      <c r="C11648" s="1050"/>
      <c r="D11648" s="1050"/>
      <c r="E11648" s="1050"/>
      <c r="F11648" s="1050"/>
      <c r="G11648" s="1050"/>
    </row>
    <row r="11649" spans="1:7">
      <c r="A11649" s="1079"/>
      <c r="B11649" s="1050"/>
      <c r="C11649" s="1050"/>
      <c r="D11649" s="1050"/>
      <c r="E11649" s="1050"/>
      <c r="F11649" s="1050"/>
      <c r="G11649" s="1050"/>
    </row>
    <row r="11650" spans="1:7">
      <c r="A11650" s="1079"/>
      <c r="B11650" s="1050"/>
      <c r="C11650" s="1050"/>
      <c r="D11650" s="1050"/>
      <c r="E11650" s="1050"/>
      <c r="F11650" s="1050"/>
      <c r="G11650" s="1050"/>
    </row>
    <row r="11651" spans="1:7">
      <c r="A11651" s="1079"/>
      <c r="B11651" s="1050"/>
      <c r="C11651" s="1050"/>
      <c r="D11651" s="1050"/>
      <c r="E11651" s="1050"/>
      <c r="F11651" s="1050"/>
      <c r="G11651" s="1050"/>
    </row>
    <row r="11652" spans="1:7">
      <c r="A11652" s="1079"/>
      <c r="B11652" s="1050"/>
      <c r="C11652" s="1050"/>
      <c r="D11652" s="1050"/>
      <c r="E11652" s="1050"/>
      <c r="F11652" s="1050"/>
      <c r="G11652" s="1050"/>
    </row>
    <row r="11653" spans="1:7">
      <c r="A11653" s="1079"/>
      <c r="B11653" s="1050"/>
      <c r="C11653" s="1050"/>
      <c r="D11653" s="1050"/>
      <c r="E11653" s="1050"/>
      <c r="F11653" s="1050"/>
      <c r="G11653" s="1050"/>
    </row>
    <row r="11654" spans="1:7">
      <c r="A11654" s="1079"/>
      <c r="B11654" s="1050"/>
      <c r="C11654" s="1050"/>
      <c r="D11654" s="1050"/>
      <c r="E11654" s="1050"/>
      <c r="F11654" s="1050"/>
      <c r="G11654" s="1050"/>
    </row>
    <row r="11655" spans="1:7">
      <c r="A11655" s="1079"/>
      <c r="B11655" s="1050"/>
      <c r="C11655" s="1050"/>
      <c r="D11655" s="1050"/>
      <c r="E11655" s="1050"/>
      <c r="F11655" s="1050"/>
      <c r="G11655" s="1050"/>
    </row>
    <row r="11656" spans="1:7">
      <c r="A11656" s="1079"/>
      <c r="B11656" s="1050"/>
      <c r="C11656" s="1050"/>
      <c r="D11656" s="1050"/>
      <c r="E11656" s="1050"/>
      <c r="F11656" s="1050"/>
      <c r="G11656" s="1050"/>
    </row>
    <row r="11657" spans="1:7">
      <c r="A11657" s="1079"/>
      <c r="B11657" s="1050"/>
      <c r="C11657" s="1050"/>
      <c r="D11657" s="1050"/>
      <c r="E11657" s="1050"/>
      <c r="F11657" s="1050"/>
      <c r="G11657" s="1050"/>
    </row>
    <row r="11658" spans="1:7">
      <c r="A11658" s="1079"/>
      <c r="B11658" s="1050"/>
      <c r="C11658" s="1050"/>
      <c r="D11658" s="1050"/>
      <c r="E11658" s="1050"/>
      <c r="F11658" s="1050"/>
      <c r="G11658" s="1050"/>
    </row>
    <row r="11659" spans="1:7">
      <c r="A11659" s="1079"/>
      <c r="B11659" s="1050"/>
      <c r="C11659" s="1050"/>
      <c r="D11659" s="1050"/>
      <c r="E11659" s="1050"/>
      <c r="F11659" s="1050"/>
      <c r="G11659" s="1050"/>
    </row>
    <row r="11660" spans="1:7">
      <c r="A11660" s="1079"/>
      <c r="B11660" s="1050"/>
      <c r="C11660" s="1050"/>
      <c r="D11660" s="1050"/>
      <c r="E11660" s="1050"/>
      <c r="F11660" s="1050"/>
      <c r="G11660" s="1050"/>
    </row>
    <row r="11661" spans="1:7">
      <c r="A11661" s="1079"/>
      <c r="B11661" s="1050"/>
      <c r="C11661" s="1050"/>
      <c r="D11661" s="1050"/>
      <c r="E11661" s="1050"/>
      <c r="F11661" s="1050"/>
      <c r="G11661" s="1050"/>
    </row>
    <row r="11662" spans="1:7">
      <c r="A11662" s="1079"/>
      <c r="B11662" s="1050"/>
      <c r="C11662" s="1050"/>
      <c r="D11662" s="1050"/>
      <c r="E11662" s="1050"/>
      <c r="F11662" s="1050"/>
      <c r="G11662" s="1050"/>
    </row>
    <row r="11663" spans="1:7">
      <c r="A11663" s="1079"/>
      <c r="B11663" s="1050"/>
      <c r="C11663" s="1050"/>
      <c r="D11663" s="1050"/>
      <c r="E11663" s="1050"/>
      <c r="F11663" s="1050"/>
      <c r="G11663" s="1050"/>
    </row>
    <row r="11664" spans="1:7">
      <c r="A11664" s="1079"/>
      <c r="B11664" s="1050"/>
      <c r="C11664" s="1050"/>
      <c r="D11664" s="1050"/>
      <c r="E11664" s="1050"/>
      <c r="F11664" s="1050"/>
      <c r="G11664" s="1050"/>
    </row>
    <row r="11665" spans="1:7">
      <c r="A11665" s="1079"/>
      <c r="B11665" s="1050"/>
      <c r="C11665" s="1050"/>
      <c r="D11665" s="1050"/>
      <c r="E11665" s="1050"/>
      <c r="F11665" s="1050"/>
      <c r="G11665" s="1050"/>
    </row>
    <row r="11666" spans="1:7">
      <c r="A11666" s="1079"/>
      <c r="B11666" s="1050"/>
      <c r="C11666" s="1050"/>
      <c r="D11666" s="1050"/>
      <c r="E11666" s="1050"/>
      <c r="F11666" s="1050"/>
      <c r="G11666" s="1050"/>
    </row>
    <row r="11667" spans="1:7">
      <c r="A11667" s="1079"/>
      <c r="B11667" s="1050"/>
      <c r="C11667" s="1050"/>
      <c r="D11667" s="1050"/>
      <c r="E11667" s="1050"/>
      <c r="F11667" s="1050"/>
      <c r="G11667" s="1050"/>
    </row>
    <row r="11668" spans="1:7">
      <c r="A11668" s="1079"/>
      <c r="B11668" s="1050"/>
      <c r="C11668" s="1050"/>
      <c r="D11668" s="1050"/>
      <c r="E11668" s="1050"/>
      <c r="F11668" s="1050"/>
      <c r="G11668" s="1050"/>
    </row>
    <row r="11669" spans="1:7">
      <c r="A11669" s="1079"/>
      <c r="B11669" s="1050"/>
      <c r="C11669" s="1050"/>
      <c r="D11669" s="1050"/>
      <c r="E11669" s="1050"/>
      <c r="F11669" s="1050"/>
      <c r="G11669" s="1050"/>
    </row>
    <row r="11670" spans="1:7">
      <c r="A11670" s="1079"/>
      <c r="B11670" s="1050"/>
      <c r="C11670" s="1050"/>
      <c r="D11670" s="1050"/>
      <c r="E11670" s="1050"/>
      <c r="F11670" s="1050"/>
      <c r="G11670" s="1050"/>
    </row>
    <row r="11671" spans="1:7">
      <c r="A11671" s="1079"/>
      <c r="B11671" s="1050"/>
      <c r="C11671" s="1050"/>
      <c r="D11671" s="1050"/>
      <c r="E11671" s="1050"/>
      <c r="F11671" s="1050"/>
      <c r="G11671" s="1050"/>
    </row>
    <row r="11672" spans="1:7">
      <c r="A11672" s="1079"/>
      <c r="B11672" s="1050"/>
      <c r="C11672" s="1050"/>
      <c r="D11672" s="1050"/>
      <c r="E11672" s="1050"/>
      <c r="F11672" s="1050"/>
      <c r="G11672" s="1050"/>
    </row>
    <row r="11673" spans="1:7">
      <c r="A11673" s="1079"/>
      <c r="B11673" s="1050"/>
      <c r="C11673" s="1050"/>
      <c r="D11673" s="1050"/>
      <c r="E11673" s="1050"/>
      <c r="F11673" s="1050"/>
      <c r="G11673" s="1050"/>
    </row>
    <row r="11674" spans="1:7">
      <c r="A11674" s="1079"/>
      <c r="B11674" s="1050"/>
      <c r="C11674" s="1050"/>
      <c r="D11674" s="1050"/>
      <c r="E11674" s="1050"/>
      <c r="F11674" s="1050"/>
      <c r="G11674" s="1050"/>
    </row>
    <row r="11675" spans="1:7">
      <c r="A11675" s="1079"/>
      <c r="B11675" s="1050"/>
      <c r="C11675" s="1050"/>
      <c r="D11675" s="1050"/>
      <c r="E11675" s="1050"/>
      <c r="F11675" s="1050"/>
      <c r="G11675" s="1050"/>
    </row>
    <row r="11676" spans="1:7">
      <c r="A11676" s="1079"/>
      <c r="B11676" s="1050"/>
      <c r="C11676" s="1050"/>
      <c r="D11676" s="1050"/>
      <c r="E11676" s="1050"/>
      <c r="F11676" s="1050"/>
      <c r="G11676" s="1050"/>
    </row>
    <row r="11677" spans="1:7">
      <c r="A11677" s="1079"/>
      <c r="B11677" s="1050"/>
      <c r="C11677" s="1050"/>
      <c r="D11677" s="1050"/>
      <c r="E11677" s="1050"/>
      <c r="F11677" s="1050"/>
      <c r="G11677" s="1050"/>
    </row>
    <row r="11678" spans="1:7">
      <c r="A11678" s="1079"/>
      <c r="B11678" s="1050"/>
      <c r="C11678" s="1050"/>
      <c r="D11678" s="1050"/>
      <c r="E11678" s="1050"/>
      <c r="F11678" s="1050"/>
      <c r="G11678" s="1050"/>
    </row>
    <row r="11679" spans="1:7">
      <c r="A11679" s="1079"/>
      <c r="B11679" s="1050"/>
      <c r="C11679" s="1050"/>
      <c r="D11679" s="1050"/>
      <c r="E11679" s="1050"/>
      <c r="F11679" s="1050"/>
      <c r="G11679" s="1050"/>
    </row>
    <row r="11680" spans="1:7">
      <c r="A11680" s="1079"/>
      <c r="B11680" s="1050"/>
      <c r="C11680" s="1050"/>
      <c r="D11680" s="1050"/>
      <c r="E11680" s="1050"/>
      <c r="F11680" s="1050"/>
      <c r="G11680" s="1050"/>
    </row>
    <row r="11681" spans="1:7">
      <c r="A11681" s="1079"/>
      <c r="B11681" s="1050"/>
      <c r="C11681" s="1050"/>
      <c r="D11681" s="1050"/>
      <c r="E11681" s="1050"/>
      <c r="F11681" s="1050"/>
      <c r="G11681" s="1050"/>
    </row>
    <row r="11682" spans="1:7">
      <c r="A11682" s="1079"/>
      <c r="B11682" s="1050"/>
      <c r="C11682" s="1050"/>
      <c r="D11682" s="1050"/>
      <c r="E11682" s="1050"/>
      <c r="F11682" s="1050"/>
      <c r="G11682" s="1050"/>
    </row>
    <row r="11683" spans="1:7">
      <c r="A11683" s="1079"/>
      <c r="B11683" s="1050"/>
      <c r="C11683" s="1050"/>
      <c r="D11683" s="1050"/>
      <c r="E11683" s="1050"/>
      <c r="F11683" s="1050"/>
      <c r="G11683" s="1050"/>
    </row>
    <row r="11684" spans="1:7">
      <c r="A11684" s="1079"/>
      <c r="B11684" s="1050"/>
      <c r="C11684" s="1050"/>
      <c r="D11684" s="1050"/>
      <c r="E11684" s="1050"/>
      <c r="F11684" s="1050"/>
      <c r="G11684" s="1050"/>
    </row>
    <row r="11685" spans="1:7">
      <c r="A11685" s="1079"/>
      <c r="B11685" s="1050"/>
      <c r="C11685" s="1050"/>
      <c r="D11685" s="1050"/>
      <c r="E11685" s="1050"/>
      <c r="F11685" s="1050"/>
      <c r="G11685" s="1050"/>
    </row>
    <row r="11686" spans="1:7">
      <c r="A11686" s="1079"/>
      <c r="B11686" s="1050"/>
      <c r="C11686" s="1050"/>
      <c r="D11686" s="1050"/>
      <c r="E11686" s="1050"/>
      <c r="F11686" s="1050"/>
      <c r="G11686" s="1050"/>
    </row>
    <row r="11687" spans="1:7">
      <c r="A11687" s="1079"/>
      <c r="B11687" s="1050"/>
      <c r="C11687" s="1050"/>
      <c r="D11687" s="1050"/>
      <c r="E11687" s="1050"/>
      <c r="F11687" s="1050"/>
      <c r="G11687" s="1050"/>
    </row>
    <row r="11688" spans="1:7">
      <c r="A11688" s="1079"/>
      <c r="B11688" s="1050"/>
      <c r="C11688" s="1050"/>
      <c r="D11688" s="1050"/>
      <c r="E11688" s="1050"/>
      <c r="F11688" s="1050"/>
      <c r="G11688" s="1050"/>
    </row>
    <row r="11689" spans="1:7">
      <c r="A11689" s="1079"/>
      <c r="B11689" s="1050"/>
      <c r="C11689" s="1050"/>
      <c r="D11689" s="1050"/>
      <c r="E11689" s="1050"/>
      <c r="F11689" s="1050"/>
      <c r="G11689" s="1050"/>
    </row>
    <row r="11690" spans="1:7">
      <c r="A11690" s="1079"/>
      <c r="B11690" s="1050"/>
      <c r="C11690" s="1050"/>
      <c r="D11690" s="1050"/>
      <c r="E11690" s="1050"/>
      <c r="F11690" s="1050"/>
      <c r="G11690" s="1050"/>
    </row>
    <row r="11691" spans="1:7">
      <c r="A11691" s="1079"/>
      <c r="B11691" s="1050"/>
      <c r="C11691" s="1050"/>
      <c r="D11691" s="1050"/>
      <c r="E11691" s="1050"/>
      <c r="F11691" s="1050"/>
      <c r="G11691" s="1050"/>
    </row>
    <row r="11692" spans="1:7">
      <c r="A11692" s="1079"/>
      <c r="B11692" s="1050"/>
      <c r="C11692" s="1050"/>
      <c r="D11692" s="1050"/>
      <c r="E11692" s="1050"/>
      <c r="F11692" s="1050"/>
      <c r="G11692" s="1050"/>
    </row>
    <row r="11693" spans="1:7">
      <c r="A11693" s="1079"/>
      <c r="B11693" s="1050"/>
      <c r="C11693" s="1050"/>
      <c r="D11693" s="1050"/>
      <c r="E11693" s="1050"/>
      <c r="F11693" s="1050"/>
      <c r="G11693" s="1050"/>
    </row>
    <row r="11694" spans="1:7">
      <c r="A11694" s="1079"/>
      <c r="B11694" s="1050"/>
      <c r="C11694" s="1050"/>
      <c r="D11694" s="1050"/>
      <c r="E11694" s="1050"/>
      <c r="F11694" s="1050"/>
      <c r="G11694" s="1050"/>
    </row>
    <row r="11695" spans="1:7">
      <c r="A11695" s="1079"/>
      <c r="B11695" s="1050"/>
      <c r="C11695" s="1050"/>
      <c r="D11695" s="1050"/>
      <c r="E11695" s="1050"/>
      <c r="F11695" s="1050"/>
      <c r="G11695" s="1050"/>
    </row>
    <row r="11696" spans="1:7">
      <c r="A11696" s="1079"/>
      <c r="B11696" s="1050"/>
      <c r="C11696" s="1050"/>
      <c r="D11696" s="1050"/>
      <c r="E11696" s="1050"/>
      <c r="F11696" s="1050"/>
      <c r="G11696" s="1050"/>
    </row>
    <row r="11697" spans="1:7">
      <c r="A11697" s="1079"/>
      <c r="B11697" s="1050"/>
      <c r="C11697" s="1050"/>
      <c r="D11697" s="1050"/>
      <c r="E11697" s="1050"/>
      <c r="F11697" s="1050"/>
      <c r="G11697" s="1050"/>
    </row>
    <row r="11698" spans="1:7">
      <c r="A11698" s="1079"/>
      <c r="B11698" s="1050"/>
      <c r="C11698" s="1050"/>
      <c r="D11698" s="1050"/>
      <c r="E11698" s="1050"/>
      <c r="F11698" s="1050"/>
      <c r="G11698" s="1050"/>
    </row>
    <row r="11699" spans="1:7">
      <c r="A11699" s="1079"/>
      <c r="B11699" s="1050"/>
      <c r="C11699" s="1050"/>
      <c r="D11699" s="1050"/>
      <c r="E11699" s="1050"/>
      <c r="F11699" s="1050"/>
      <c r="G11699" s="1050"/>
    </row>
    <row r="11700" spans="1:7">
      <c r="A11700" s="1079"/>
      <c r="B11700" s="1050"/>
      <c r="C11700" s="1050"/>
      <c r="D11700" s="1050"/>
      <c r="E11700" s="1050"/>
      <c r="F11700" s="1050"/>
      <c r="G11700" s="1050"/>
    </row>
    <row r="11701" spans="1:7">
      <c r="A11701" s="1079"/>
      <c r="B11701" s="1050"/>
      <c r="C11701" s="1050"/>
      <c r="D11701" s="1050"/>
      <c r="E11701" s="1050"/>
      <c r="F11701" s="1050"/>
      <c r="G11701" s="1050"/>
    </row>
    <row r="11702" spans="1:7">
      <c r="A11702" s="1079"/>
      <c r="B11702" s="1050"/>
      <c r="C11702" s="1050"/>
      <c r="D11702" s="1050"/>
      <c r="E11702" s="1050"/>
      <c r="F11702" s="1050"/>
      <c r="G11702" s="1050"/>
    </row>
    <row r="11703" spans="1:7">
      <c r="A11703" s="1079"/>
      <c r="B11703" s="1050"/>
      <c r="C11703" s="1050"/>
      <c r="D11703" s="1050"/>
      <c r="E11703" s="1050"/>
      <c r="F11703" s="1050"/>
      <c r="G11703" s="1050"/>
    </row>
    <row r="11704" spans="1:7">
      <c r="A11704" s="1079"/>
      <c r="B11704" s="1050"/>
      <c r="C11704" s="1050"/>
      <c r="D11704" s="1050"/>
      <c r="E11704" s="1050"/>
      <c r="F11704" s="1050"/>
      <c r="G11704" s="1050"/>
    </row>
    <row r="11705" spans="1:7">
      <c r="A11705" s="1079"/>
      <c r="B11705" s="1050"/>
      <c r="C11705" s="1050"/>
      <c r="D11705" s="1050"/>
      <c r="E11705" s="1050"/>
      <c r="F11705" s="1050"/>
      <c r="G11705" s="1050"/>
    </row>
    <row r="11706" spans="1:7">
      <c r="A11706" s="1079"/>
      <c r="B11706" s="1050"/>
      <c r="C11706" s="1050"/>
      <c r="D11706" s="1050"/>
      <c r="E11706" s="1050"/>
      <c r="F11706" s="1050"/>
      <c r="G11706" s="1050"/>
    </row>
    <row r="11707" spans="1:7">
      <c r="A11707" s="1079"/>
      <c r="B11707" s="1050"/>
      <c r="C11707" s="1050"/>
      <c r="D11707" s="1050"/>
      <c r="E11707" s="1050"/>
      <c r="F11707" s="1050"/>
      <c r="G11707" s="1050"/>
    </row>
    <row r="11708" spans="1:7">
      <c r="A11708" s="1079"/>
      <c r="B11708" s="1050"/>
      <c r="C11708" s="1050"/>
      <c r="D11708" s="1050"/>
      <c r="E11708" s="1050"/>
      <c r="F11708" s="1050"/>
      <c r="G11708" s="1050"/>
    </row>
    <row r="11709" spans="1:7">
      <c r="A11709" s="1079"/>
      <c r="B11709" s="1050"/>
      <c r="C11709" s="1050"/>
      <c r="D11709" s="1050"/>
      <c r="E11709" s="1050"/>
      <c r="F11709" s="1050"/>
      <c r="G11709" s="1050"/>
    </row>
    <row r="11710" spans="1:7">
      <c r="A11710" s="1079"/>
      <c r="B11710" s="1050"/>
      <c r="C11710" s="1050"/>
      <c r="D11710" s="1050"/>
      <c r="E11710" s="1050"/>
      <c r="F11710" s="1050"/>
      <c r="G11710" s="1050"/>
    </row>
    <row r="11711" spans="1:7">
      <c r="A11711" s="1079"/>
      <c r="B11711" s="1050"/>
      <c r="C11711" s="1050"/>
      <c r="D11711" s="1050"/>
      <c r="E11711" s="1050"/>
      <c r="F11711" s="1050"/>
      <c r="G11711" s="1050"/>
    </row>
    <row r="11712" spans="1:7">
      <c r="A11712" s="1079"/>
      <c r="B11712" s="1050"/>
      <c r="C11712" s="1050"/>
      <c r="D11712" s="1050"/>
      <c r="E11712" s="1050"/>
      <c r="F11712" s="1050"/>
      <c r="G11712" s="1050"/>
    </row>
    <row r="11713" spans="1:7">
      <c r="A11713" s="1079"/>
      <c r="B11713" s="1050"/>
      <c r="C11713" s="1050"/>
      <c r="D11713" s="1050"/>
      <c r="E11713" s="1050"/>
      <c r="F11713" s="1050"/>
      <c r="G11713" s="1050"/>
    </row>
    <row r="11714" spans="1:7">
      <c r="A11714" s="1079"/>
      <c r="B11714" s="1050"/>
      <c r="C11714" s="1050"/>
      <c r="D11714" s="1050"/>
      <c r="E11714" s="1050"/>
      <c r="F11714" s="1050"/>
      <c r="G11714" s="1050"/>
    </row>
    <row r="11715" spans="1:7">
      <c r="A11715" s="1079"/>
      <c r="B11715" s="1050"/>
      <c r="C11715" s="1050"/>
      <c r="D11715" s="1050"/>
      <c r="E11715" s="1050"/>
      <c r="F11715" s="1050"/>
      <c r="G11715" s="1050"/>
    </row>
    <row r="11716" spans="1:7">
      <c r="A11716" s="1079"/>
      <c r="B11716" s="1050"/>
      <c r="C11716" s="1050"/>
      <c r="D11716" s="1050"/>
      <c r="E11716" s="1050"/>
      <c r="F11716" s="1050"/>
      <c r="G11716" s="1050"/>
    </row>
    <row r="11717" spans="1:7">
      <c r="A11717" s="1079"/>
      <c r="B11717" s="1050"/>
      <c r="C11717" s="1050"/>
      <c r="D11717" s="1050"/>
      <c r="E11717" s="1050"/>
      <c r="F11717" s="1050"/>
      <c r="G11717" s="1050"/>
    </row>
    <row r="11718" spans="1:7">
      <c r="A11718" s="1079"/>
      <c r="B11718" s="1050"/>
      <c r="C11718" s="1050"/>
      <c r="D11718" s="1050"/>
      <c r="E11718" s="1050"/>
      <c r="F11718" s="1050"/>
      <c r="G11718" s="1050"/>
    </row>
    <row r="11719" spans="1:7">
      <c r="A11719" s="1079"/>
      <c r="B11719" s="1050"/>
      <c r="C11719" s="1050"/>
      <c r="D11719" s="1050"/>
      <c r="E11719" s="1050"/>
      <c r="F11719" s="1050"/>
      <c r="G11719" s="1050"/>
    </row>
    <row r="11720" spans="1:7">
      <c r="A11720" s="1079"/>
      <c r="B11720" s="1050"/>
      <c r="C11720" s="1050"/>
      <c r="D11720" s="1050"/>
      <c r="E11720" s="1050"/>
      <c r="F11720" s="1050"/>
      <c r="G11720" s="1050"/>
    </row>
    <row r="11721" spans="1:7">
      <c r="A11721" s="1079"/>
      <c r="B11721" s="1050"/>
      <c r="C11721" s="1050"/>
      <c r="D11721" s="1050"/>
      <c r="E11721" s="1050"/>
      <c r="F11721" s="1050"/>
      <c r="G11721" s="1050"/>
    </row>
    <row r="11722" spans="1:7">
      <c r="A11722" s="1079"/>
      <c r="B11722" s="1050"/>
      <c r="C11722" s="1050"/>
      <c r="D11722" s="1050"/>
      <c r="E11722" s="1050"/>
      <c r="F11722" s="1050"/>
      <c r="G11722" s="1050"/>
    </row>
    <row r="11723" spans="1:7">
      <c r="A11723" s="1079"/>
      <c r="B11723" s="1050"/>
      <c r="C11723" s="1050"/>
      <c r="D11723" s="1050"/>
      <c r="E11723" s="1050"/>
      <c r="F11723" s="1050"/>
      <c r="G11723" s="1050"/>
    </row>
    <row r="11724" spans="1:7">
      <c r="A11724" s="1079"/>
      <c r="B11724" s="1050"/>
      <c r="C11724" s="1050"/>
      <c r="D11724" s="1050"/>
      <c r="E11724" s="1050"/>
      <c r="F11724" s="1050"/>
      <c r="G11724" s="1050"/>
    </row>
    <row r="11725" spans="1:7">
      <c r="A11725" s="1079"/>
      <c r="B11725" s="1050"/>
      <c r="C11725" s="1050"/>
      <c r="D11725" s="1050"/>
      <c r="E11725" s="1050"/>
      <c r="F11725" s="1050"/>
      <c r="G11725" s="1050"/>
    </row>
    <row r="11726" spans="1:7">
      <c r="A11726" s="1079"/>
      <c r="B11726" s="1050"/>
      <c r="C11726" s="1050"/>
      <c r="D11726" s="1050"/>
      <c r="E11726" s="1050"/>
      <c r="F11726" s="1050"/>
      <c r="G11726" s="1050"/>
    </row>
    <row r="11727" spans="1:7">
      <c r="A11727" s="1079"/>
      <c r="B11727" s="1050"/>
      <c r="C11727" s="1050"/>
      <c r="D11727" s="1050"/>
      <c r="E11727" s="1050"/>
      <c r="F11727" s="1050"/>
      <c r="G11727" s="1050"/>
    </row>
    <row r="11728" spans="1:7">
      <c r="A11728" s="1079"/>
      <c r="B11728" s="1050"/>
      <c r="C11728" s="1050"/>
      <c r="D11728" s="1050"/>
      <c r="E11728" s="1050"/>
      <c r="F11728" s="1050"/>
      <c r="G11728" s="1050"/>
    </row>
    <row r="11729" spans="1:7">
      <c r="A11729" s="1079"/>
      <c r="B11729" s="1050"/>
      <c r="C11729" s="1050"/>
      <c r="D11729" s="1050"/>
      <c r="E11729" s="1050"/>
      <c r="F11729" s="1050"/>
      <c r="G11729" s="1050"/>
    </row>
    <row r="11730" spans="1:7">
      <c r="A11730" s="1079"/>
      <c r="B11730" s="1050"/>
      <c r="C11730" s="1050"/>
      <c r="D11730" s="1050"/>
      <c r="E11730" s="1050"/>
      <c r="F11730" s="1050"/>
      <c r="G11730" s="1050"/>
    </row>
    <row r="11731" spans="1:7">
      <c r="A11731" s="1079"/>
      <c r="B11731" s="1050"/>
      <c r="C11731" s="1050"/>
      <c r="D11731" s="1050"/>
      <c r="E11731" s="1050"/>
      <c r="F11731" s="1050"/>
      <c r="G11731" s="1050"/>
    </row>
    <row r="11732" spans="1:7">
      <c r="A11732" s="1079"/>
      <c r="B11732" s="1050"/>
      <c r="C11732" s="1050"/>
      <c r="D11732" s="1050"/>
      <c r="E11732" s="1050"/>
      <c r="F11732" s="1050"/>
      <c r="G11732" s="1050"/>
    </row>
    <row r="11733" spans="1:7">
      <c r="A11733" s="1079"/>
      <c r="B11733" s="1050"/>
      <c r="C11733" s="1050"/>
      <c r="D11733" s="1050"/>
      <c r="E11733" s="1050"/>
      <c r="F11733" s="1050"/>
      <c r="G11733" s="1050"/>
    </row>
    <row r="11734" spans="1:7">
      <c r="A11734" s="1079"/>
      <c r="B11734" s="1050"/>
      <c r="C11734" s="1050"/>
      <c r="D11734" s="1050"/>
      <c r="E11734" s="1050"/>
      <c r="F11734" s="1050"/>
      <c r="G11734" s="1050"/>
    </row>
    <row r="11735" spans="1:7">
      <c r="A11735" s="1079"/>
      <c r="B11735" s="1050"/>
      <c r="C11735" s="1050"/>
      <c r="D11735" s="1050"/>
      <c r="E11735" s="1050"/>
      <c r="F11735" s="1050"/>
      <c r="G11735" s="1050"/>
    </row>
    <row r="11736" spans="1:7">
      <c r="A11736" s="1079"/>
      <c r="B11736" s="1050"/>
      <c r="C11736" s="1050"/>
      <c r="D11736" s="1050"/>
      <c r="E11736" s="1050"/>
      <c r="F11736" s="1050"/>
      <c r="G11736" s="1050"/>
    </row>
    <row r="11737" spans="1:7">
      <c r="A11737" s="1079"/>
      <c r="B11737" s="1050"/>
      <c r="C11737" s="1050"/>
      <c r="D11737" s="1050"/>
      <c r="E11737" s="1050"/>
      <c r="F11737" s="1050"/>
      <c r="G11737" s="1050"/>
    </row>
    <row r="11738" spans="1:7">
      <c r="A11738" s="1079"/>
      <c r="B11738" s="1050"/>
      <c r="C11738" s="1050"/>
      <c r="D11738" s="1050"/>
      <c r="E11738" s="1050"/>
      <c r="F11738" s="1050"/>
      <c r="G11738" s="1050"/>
    </row>
    <row r="11739" spans="1:7">
      <c r="A11739" s="1079"/>
      <c r="B11739" s="1050"/>
      <c r="C11739" s="1050"/>
      <c r="D11739" s="1050"/>
      <c r="E11739" s="1050"/>
      <c r="F11739" s="1050"/>
      <c r="G11739" s="1050"/>
    </row>
    <row r="11740" spans="1:7">
      <c r="A11740" s="1079"/>
      <c r="B11740" s="1050"/>
      <c r="C11740" s="1050"/>
      <c r="D11740" s="1050"/>
      <c r="E11740" s="1050"/>
      <c r="F11740" s="1050"/>
      <c r="G11740" s="1050"/>
    </row>
    <row r="11741" spans="1:7">
      <c r="A11741" s="1079"/>
      <c r="B11741" s="1050"/>
      <c r="C11741" s="1050"/>
      <c r="D11741" s="1050"/>
      <c r="E11741" s="1050"/>
      <c r="F11741" s="1050"/>
      <c r="G11741" s="1050"/>
    </row>
    <row r="11742" spans="1:7">
      <c r="A11742" s="1079"/>
      <c r="B11742" s="1050"/>
      <c r="C11742" s="1050"/>
      <c r="D11742" s="1050"/>
      <c r="E11742" s="1050"/>
      <c r="F11742" s="1050"/>
      <c r="G11742" s="1050"/>
    </row>
    <row r="11743" spans="1:7">
      <c r="A11743" s="1079"/>
      <c r="B11743" s="1050"/>
      <c r="C11743" s="1050"/>
      <c r="D11743" s="1050"/>
      <c r="E11743" s="1050"/>
      <c r="F11743" s="1050"/>
      <c r="G11743" s="1050"/>
    </row>
    <row r="11744" spans="1:7">
      <c r="A11744" s="1079"/>
      <c r="B11744" s="1050"/>
      <c r="C11744" s="1050"/>
      <c r="D11744" s="1050"/>
      <c r="E11744" s="1050"/>
      <c r="F11744" s="1050"/>
      <c r="G11744" s="1050"/>
    </row>
    <row r="11745" spans="1:7">
      <c r="A11745" s="1079"/>
      <c r="B11745" s="1050"/>
      <c r="C11745" s="1050"/>
      <c r="D11745" s="1050"/>
      <c r="E11745" s="1050"/>
      <c r="F11745" s="1050"/>
      <c r="G11745" s="1050"/>
    </row>
    <row r="11746" spans="1:7">
      <c r="A11746" s="1079"/>
      <c r="B11746" s="1050"/>
      <c r="C11746" s="1050"/>
      <c r="D11746" s="1050"/>
      <c r="E11746" s="1050"/>
      <c r="F11746" s="1050"/>
      <c r="G11746" s="1050"/>
    </row>
    <row r="11747" spans="1:7">
      <c r="A11747" s="1079"/>
      <c r="B11747" s="1050"/>
      <c r="C11747" s="1050"/>
      <c r="D11747" s="1050"/>
      <c r="E11747" s="1050"/>
      <c r="F11747" s="1050"/>
      <c r="G11747" s="1050"/>
    </row>
    <row r="11748" spans="1:7">
      <c r="A11748" s="1079"/>
      <c r="B11748" s="1050"/>
      <c r="C11748" s="1050"/>
      <c r="D11748" s="1050"/>
      <c r="E11748" s="1050"/>
      <c r="F11748" s="1050"/>
      <c r="G11748" s="1050"/>
    </row>
    <row r="11749" spans="1:7">
      <c r="A11749" s="1079"/>
      <c r="B11749" s="1050"/>
      <c r="C11749" s="1050"/>
      <c r="D11749" s="1050"/>
      <c r="E11749" s="1050"/>
      <c r="F11749" s="1050"/>
      <c r="G11749" s="1050"/>
    </row>
    <row r="11750" spans="1:7">
      <c r="A11750" s="1079"/>
      <c r="B11750" s="1050"/>
      <c r="C11750" s="1050"/>
      <c r="D11750" s="1050"/>
      <c r="E11750" s="1050"/>
      <c r="F11750" s="1050"/>
      <c r="G11750" s="1050"/>
    </row>
    <row r="11751" spans="1:7">
      <c r="A11751" s="1079"/>
      <c r="B11751" s="1050"/>
      <c r="C11751" s="1050"/>
      <c r="D11751" s="1050"/>
      <c r="E11751" s="1050"/>
      <c r="F11751" s="1050"/>
      <c r="G11751" s="1050"/>
    </row>
    <row r="11752" spans="1:7">
      <c r="A11752" s="1079"/>
      <c r="B11752" s="1050"/>
      <c r="C11752" s="1050"/>
      <c r="D11752" s="1050"/>
      <c r="E11752" s="1050"/>
      <c r="F11752" s="1050"/>
      <c r="G11752" s="1050"/>
    </row>
    <row r="11753" spans="1:7">
      <c r="A11753" s="1079"/>
      <c r="B11753" s="1050"/>
      <c r="C11753" s="1050"/>
      <c r="D11753" s="1050"/>
      <c r="E11753" s="1050"/>
      <c r="F11753" s="1050"/>
      <c r="G11753" s="1050"/>
    </row>
    <row r="11754" spans="1:7">
      <c r="A11754" s="1079"/>
      <c r="B11754" s="1050"/>
      <c r="C11754" s="1050"/>
      <c r="D11754" s="1050"/>
      <c r="E11754" s="1050"/>
      <c r="F11754" s="1050"/>
      <c r="G11754" s="1050"/>
    </row>
    <row r="11755" spans="1:7">
      <c r="A11755" s="1079"/>
      <c r="B11755" s="1050"/>
      <c r="C11755" s="1050"/>
      <c r="D11755" s="1050"/>
      <c r="E11755" s="1050"/>
      <c r="F11755" s="1050"/>
      <c r="G11755" s="1050"/>
    </row>
    <row r="11756" spans="1:7">
      <c r="A11756" s="1079"/>
      <c r="B11756" s="1050"/>
      <c r="C11756" s="1050"/>
      <c r="D11756" s="1050"/>
      <c r="E11756" s="1050"/>
      <c r="F11756" s="1050"/>
      <c r="G11756" s="1050"/>
    </row>
    <row r="11757" spans="1:7">
      <c r="A11757" s="1079"/>
      <c r="B11757" s="1050"/>
      <c r="C11757" s="1050"/>
      <c r="D11757" s="1050"/>
      <c r="E11757" s="1050"/>
      <c r="F11757" s="1050"/>
      <c r="G11757" s="1050"/>
    </row>
    <row r="11758" spans="1:7">
      <c r="A11758" s="1079"/>
      <c r="B11758" s="1050"/>
      <c r="C11758" s="1050"/>
      <c r="D11758" s="1050"/>
      <c r="E11758" s="1050"/>
      <c r="F11758" s="1050"/>
      <c r="G11758" s="1050"/>
    </row>
    <row r="11759" spans="1:7">
      <c r="A11759" s="1079"/>
      <c r="B11759" s="1050"/>
      <c r="C11759" s="1050"/>
      <c r="D11759" s="1050"/>
      <c r="E11759" s="1050"/>
      <c r="F11759" s="1050"/>
      <c r="G11759" s="1050"/>
    </row>
    <row r="11760" spans="1:7">
      <c r="A11760" s="1079"/>
      <c r="B11760" s="1050"/>
      <c r="C11760" s="1050"/>
      <c r="D11760" s="1050"/>
      <c r="E11760" s="1050"/>
      <c r="F11760" s="1050"/>
      <c r="G11760" s="1050"/>
    </row>
    <row r="11761" spans="1:7">
      <c r="A11761" s="1079"/>
      <c r="B11761" s="1050"/>
      <c r="C11761" s="1050"/>
      <c r="D11761" s="1050"/>
      <c r="E11761" s="1050"/>
      <c r="F11761" s="1050"/>
      <c r="G11761" s="1050"/>
    </row>
    <row r="11762" spans="1:7">
      <c r="A11762" s="1079"/>
      <c r="B11762" s="1050"/>
      <c r="C11762" s="1050"/>
      <c r="D11762" s="1050"/>
      <c r="E11762" s="1050"/>
      <c r="F11762" s="1050"/>
      <c r="G11762" s="1050"/>
    </row>
    <row r="11763" spans="1:7">
      <c r="A11763" s="1079"/>
      <c r="B11763" s="1050"/>
      <c r="C11763" s="1050"/>
      <c r="D11763" s="1050"/>
      <c r="E11763" s="1050"/>
      <c r="F11763" s="1050"/>
      <c r="G11763" s="1050"/>
    </row>
    <row r="11764" spans="1:7">
      <c r="A11764" s="1079"/>
      <c r="B11764" s="1050"/>
      <c r="C11764" s="1050"/>
      <c r="D11764" s="1050"/>
      <c r="E11764" s="1050"/>
      <c r="F11764" s="1050"/>
      <c r="G11764" s="1050"/>
    </row>
    <row r="11765" spans="1:7">
      <c r="A11765" s="1079"/>
      <c r="B11765" s="1050"/>
      <c r="C11765" s="1050"/>
      <c r="D11765" s="1050"/>
      <c r="E11765" s="1050"/>
      <c r="F11765" s="1050"/>
      <c r="G11765" s="1050"/>
    </row>
    <row r="11766" spans="1:7">
      <c r="A11766" s="1079"/>
      <c r="B11766" s="1050"/>
      <c r="C11766" s="1050"/>
      <c r="D11766" s="1050"/>
      <c r="E11766" s="1050"/>
      <c r="F11766" s="1050"/>
      <c r="G11766" s="1050"/>
    </row>
    <row r="11767" spans="1:7">
      <c r="A11767" s="1079"/>
      <c r="B11767" s="1050"/>
      <c r="C11767" s="1050"/>
      <c r="D11767" s="1050"/>
      <c r="E11767" s="1050"/>
      <c r="F11767" s="1050"/>
      <c r="G11767" s="1050"/>
    </row>
    <row r="11768" spans="1:7">
      <c r="A11768" s="1079"/>
      <c r="B11768" s="1050"/>
      <c r="C11768" s="1050"/>
      <c r="D11768" s="1050"/>
      <c r="E11768" s="1050"/>
      <c r="F11768" s="1050"/>
      <c r="G11768" s="1050"/>
    </row>
    <row r="11769" spans="1:7">
      <c r="A11769" s="1079"/>
      <c r="B11769" s="1050"/>
      <c r="C11769" s="1050"/>
      <c r="D11769" s="1050"/>
      <c r="E11769" s="1050"/>
      <c r="F11769" s="1050"/>
      <c r="G11769" s="1050"/>
    </row>
    <row r="11770" spans="1:7">
      <c r="A11770" s="1079"/>
      <c r="B11770" s="1050"/>
      <c r="C11770" s="1050"/>
      <c r="D11770" s="1050"/>
      <c r="E11770" s="1050"/>
      <c r="F11770" s="1050"/>
      <c r="G11770" s="1050"/>
    </row>
    <row r="11771" spans="1:7">
      <c r="A11771" s="1079"/>
      <c r="B11771" s="1050"/>
      <c r="C11771" s="1050"/>
      <c r="D11771" s="1050"/>
      <c r="E11771" s="1050"/>
      <c r="F11771" s="1050"/>
      <c r="G11771" s="1050"/>
    </row>
    <row r="11772" spans="1:7">
      <c r="A11772" s="1079"/>
      <c r="B11772" s="1050"/>
      <c r="C11772" s="1050"/>
      <c r="D11772" s="1050"/>
      <c r="E11772" s="1050"/>
      <c r="F11772" s="1050"/>
      <c r="G11772" s="1050"/>
    </row>
    <row r="11773" spans="1:7">
      <c r="A11773" s="1079"/>
      <c r="B11773" s="1050"/>
      <c r="C11773" s="1050"/>
      <c r="D11773" s="1050"/>
      <c r="E11773" s="1050"/>
      <c r="F11773" s="1050"/>
      <c r="G11773" s="1050"/>
    </row>
    <row r="11774" spans="1:7">
      <c r="A11774" s="1079"/>
      <c r="B11774" s="1050"/>
      <c r="C11774" s="1050"/>
      <c r="D11774" s="1050"/>
      <c r="E11774" s="1050"/>
      <c r="F11774" s="1050"/>
      <c r="G11774" s="1050"/>
    </row>
    <row r="11775" spans="1:7">
      <c r="A11775" s="1079"/>
      <c r="B11775" s="1050"/>
      <c r="C11775" s="1050"/>
      <c r="D11775" s="1050"/>
      <c r="E11775" s="1050"/>
      <c r="F11775" s="1050"/>
      <c r="G11775" s="1050"/>
    </row>
    <row r="11776" spans="1:7">
      <c r="A11776" s="1079"/>
      <c r="B11776" s="1050"/>
      <c r="C11776" s="1050"/>
      <c r="D11776" s="1050"/>
      <c r="E11776" s="1050"/>
      <c r="F11776" s="1050"/>
      <c r="G11776" s="1050"/>
    </row>
    <row r="11777" spans="1:7">
      <c r="A11777" s="1079"/>
      <c r="B11777" s="1050"/>
      <c r="C11777" s="1050"/>
      <c r="D11777" s="1050"/>
      <c r="E11777" s="1050"/>
      <c r="F11777" s="1050"/>
      <c r="G11777" s="1050"/>
    </row>
    <row r="11778" spans="1:7">
      <c r="A11778" s="1079"/>
      <c r="B11778" s="1050"/>
      <c r="C11778" s="1050"/>
      <c r="D11778" s="1050"/>
      <c r="E11778" s="1050"/>
      <c r="F11778" s="1050"/>
      <c r="G11778" s="1050"/>
    </row>
    <row r="11779" spans="1:7">
      <c r="A11779" s="1079"/>
      <c r="B11779" s="1050"/>
      <c r="C11779" s="1050"/>
      <c r="D11779" s="1050"/>
      <c r="E11779" s="1050"/>
      <c r="F11779" s="1050"/>
      <c r="G11779" s="1050"/>
    </row>
    <row r="11780" spans="1:7">
      <c r="A11780" s="1079"/>
      <c r="B11780" s="1050"/>
      <c r="C11780" s="1050"/>
      <c r="D11780" s="1050"/>
      <c r="E11780" s="1050"/>
      <c r="F11780" s="1050"/>
      <c r="G11780" s="1050"/>
    </row>
    <row r="11781" spans="1:7">
      <c r="A11781" s="1079"/>
      <c r="B11781" s="1050"/>
      <c r="C11781" s="1050"/>
      <c r="D11781" s="1050"/>
      <c r="E11781" s="1050"/>
      <c r="F11781" s="1050"/>
      <c r="G11781" s="1050"/>
    </row>
    <row r="11782" spans="1:7">
      <c r="A11782" s="1079"/>
      <c r="B11782" s="1050"/>
      <c r="C11782" s="1050"/>
      <c r="D11782" s="1050"/>
      <c r="E11782" s="1050"/>
      <c r="F11782" s="1050"/>
      <c r="G11782" s="1050"/>
    </row>
    <row r="11783" spans="1:7">
      <c r="A11783" s="1079"/>
      <c r="B11783" s="1050"/>
      <c r="C11783" s="1050"/>
      <c r="D11783" s="1050"/>
      <c r="E11783" s="1050"/>
      <c r="F11783" s="1050"/>
      <c r="G11783" s="1050"/>
    </row>
    <row r="11784" spans="1:7">
      <c r="A11784" s="1079"/>
      <c r="B11784" s="1050"/>
      <c r="C11784" s="1050"/>
      <c r="D11784" s="1050"/>
      <c r="E11784" s="1050"/>
      <c r="F11784" s="1050"/>
      <c r="G11784" s="1050"/>
    </row>
    <row r="11785" spans="1:7">
      <c r="A11785" s="1079"/>
      <c r="B11785" s="1050"/>
      <c r="C11785" s="1050"/>
      <c r="D11785" s="1050"/>
      <c r="E11785" s="1050"/>
      <c r="F11785" s="1050"/>
      <c r="G11785" s="1050"/>
    </row>
    <row r="11786" spans="1:7">
      <c r="A11786" s="1079"/>
      <c r="B11786" s="1050"/>
      <c r="C11786" s="1050"/>
      <c r="D11786" s="1050"/>
      <c r="E11786" s="1050"/>
      <c r="F11786" s="1050"/>
      <c r="G11786" s="1050"/>
    </row>
    <row r="11787" spans="1:7">
      <c r="A11787" s="1079"/>
      <c r="B11787" s="1050"/>
      <c r="C11787" s="1050"/>
      <c r="D11787" s="1050"/>
      <c r="E11787" s="1050"/>
      <c r="F11787" s="1050"/>
      <c r="G11787" s="1050"/>
    </row>
    <row r="11788" spans="1:7">
      <c r="A11788" s="1079"/>
      <c r="B11788" s="1050"/>
      <c r="C11788" s="1050"/>
      <c r="D11788" s="1050"/>
      <c r="E11788" s="1050"/>
      <c r="F11788" s="1050"/>
      <c r="G11788" s="1050"/>
    </row>
    <row r="11789" spans="1:7">
      <c r="A11789" s="1079"/>
      <c r="B11789" s="1050"/>
      <c r="C11789" s="1050"/>
      <c r="D11789" s="1050"/>
      <c r="E11789" s="1050"/>
      <c r="F11789" s="1050"/>
      <c r="G11789" s="1050"/>
    </row>
    <row r="11790" spans="1:7">
      <c r="A11790" s="1079"/>
      <c r="B11790" s="1050"/>
      <c r="C11790" s="1050"/>
      <c r="D11790" s="1050"/>
      <c r="E11790" s="1050"/>
      <c r="F11790" s="1050"/>
      <c r="G11790" s="1050"/>
    </row>
    <row r="11791" spans="1:7">
      <c r="A11791" s="1079"/>
      <c r="B11791" s="1050"/>
      <c r="C11791" s="1050"/>
      <c r="D11791" s="1050"/>
      <c r="E11791" s="1050"/>
      <c r="F11791" s="1050"/>
      <c r="G11791" s="1050"/>
    </row>
    <row r="11792" spans="1:7">
      <c r="A11792" s="1079"/>
      <c r="B11792" s="1050"/>
      <c r="C11792" s="1050"/>
      <c r="D11792" s="1050"/>
      <c r="E11792" s="1050"/>
      <c r="F11792" s="1050"/>
      <c r="G11792" s="1050"/>
    </row>
    <row r="11793" spans="1:7">
      <c r="A11793" s="1079"/>
      <c r="B11793" s="1050"/>
      <c r="C11793" s="1050"/>
      <c r="D11793" s="1050"/>
      <c r="E11793" s="1050"/>
      <c r="F11793" s="1050"/>
      <c r="G11793" s="1050"/>
    </row>
    <row r="11794" spans="1:7">
      <c r="A11794" s="1079"/>
      <c r="B11794" s="1050"/>
      <c r="C11794" s="1050"/>
      <c r="D11794" s="1050"/>
      <c r="E11794" s="1050"/>
      <c r="F11794" s="1050"/>
      <c r="G11794" s="1050"/>
    </row>
    <row r="11795" spans="1:7">
      <c r="A11795" s="1079"/>
      <c r="B11795" s="1050"/>
      <c r="C11795" s="1050"/>
      <c r="D11795" s="1050"/>
      <c r="E11795" s="1050"/>
      <c r="F11795" s="1050"/>
      <c r="G11795" s="1050"/>
    </row>
    <row r="11796" spans="1:7">
      <c r="A11796" s="1079"/>
      <c r="B11796" s="1050"/>
      <c r="C11796" s="1050"/>
      <c r="D11796" s="1050"/>
      <c r="E11796" s="1050"/>
      <c r="F11796" s="1050"/>
      <c r="G11796" s="1050"/>
    </row>
    <row r="11797" spans="1:7">
      <c r="A11797" s="1079"/>
      <c r="B11797" s="1050"/>
      <c r="C11797" s="1050"/>
      <c r="D11797" s="1050"/>
      <c r="E11797" s="1050"/>
      <c r="F11797" s="1050"/>
      <c r="G11797" s="1050"/>
    </row>
    <row r="11798" spans="1:7">
      <c r="A11798" s="1079"/>
      <c r="B11798" s="1050"/>
      <c r="C11798" s="1050"/>
      <c r="D11798" s="1050"/>
      <c r="E11798" s="1050"/>
      <c r="F11798" s="1050"/>
      <c r="G11798" s="1050"/>
    </row>
    <row r="11799" spans="1:7">
      <c r="A11799" s="1079"/>
      <c r="B11799" s="1050"/>
      <c r="C11799" s="1050"/>
      <c r="D11799" s="1050"/>
      <c r="E11799" s="1050"/>
      <c r="F11799" s="1050"/>
      <c r="G11799" s="1050"/>
    </row>
    <row r="11800" spans="1:7">
      <c r="A11800" s="1079"/>
      <c r="B11800" s="1050"/>
      <c r="C11800" s="1050"/>
      <c r="D11800" s="1050"/>
      <c r="E11800" s="1050"/>
      <c r="F11800" s="1050"/>
      <c r="G11800" s="1050"/>
    </row>
    <row r="11801" spans="1:7">
      <c r="A11801" s="1079"/>
      <c r="B11801" s="1050"/>
      <c r="C11801" s="1050"/>
      <c r="D11801" s="1050"/>
      <c r="E11801" s="1050"/>
      <c r="F11801" s="1050"/>
      <c r="G11801" s="1050"/>
    </row>
    <row r="11802" spans="1:7">
      <c r="A11802" s="1079"/>
      <c r="B11802" s="1050"/>
      <c r="C11802" s="1050"/>
      <c r="D11802" s="1050"/>
      <c r="E11802" s="1050"/>
      <c r="F11802" s="1050"/>
      <c r="G11802" s="1050"/>
    </row>
    <row r="11803" spans="1:7">
      <c r="A11803" s="1079"/>
      <c r="B11803" s="1050"/>
      <c r="C11803" s="1050"/>
      <c r="D11803" s="1050"/>
      <c r="E11803" s="1050"/>
      <c r="F11803" s="1050"/>
      <c r="G11803" s="1050"/>
    </row>
    <row r="11804" spans="1:7">
      <c r="A11804" s="1079"/>
      <c r="B11804" s="1050"/>
      <c r="C11804" s="1050"/>
      <c r="D11804" s="1050"/>
      <c r="E11804" s="1050"/>
      <c r="F11804" s="1050"/>
      <c r="G11804" s="1050"/>
    </row>
    <row r="11805" spans="1:7">
      <c r="A11805" s="1079"/>
      <c r="B11805" s="1050"/>
      <c r="C11805" s="1050"/>
      <c r="D11805" s="1050"/>
      <c r="E11805" s="1050"/>
      <c r="F11805" s="1050"/>
      <c r="G11805" s="1050"/>
    </row>
    <row r="11806" spans="1:7">
      <c r="A11806" s="1079"/>
      <c r="B11806" s="1050"/>
      <c r="C11806" s="1050"/>
      <c r="D11806" s="1050"/>
      <c r="E11806" s="1050"/>
      <c r="F11806" s="1050"/>
      <c r="G11806" s="1050"/>
    </row>
    <row r="11807" spans="1:7">
      <c r="A11807" s="1079"/>
      <c r="B11807" s="1050"/>
      <c r="C11807" s="1050"/>
      <c r="D11807" s="1050"/>
      <c r="E11807" s="1050"/>
      <c r="F11807" s="1050"/>
      <c r="G11807" s="1050"/>
    </row>
    <row r="11808" spans="1:7">
      <c r="A11808" s="1079"/>
      <c r="B11808" s="1050"/>
      <c r="C11808" s="1050"/>
      <c r="D11808" s="1050"/>
      <c r="E11808" s="1050"/>
      <c r="F11808" s="1050"/>
      <c r="G11808" s="1050"/>
    </row>
    <row r="11809" spans="1:7">
      <c r="A11809" s="1079"/>
      <c r="B11809" s="1050"/>
      <c r="C11809" s="1050"/>
      <c r="D11809" s="1050"/>
      <c r="E11809" s="1050"/>
      <c r="F11809" s="1050"/>
      <c r="G11809" s="1050"/>
    </row>
    <row r="11810" spans="1:7">
      <c r="A11810" s="1079"/>
      <c r="B11810" s="1050"/>
      <c r="C11810" s="1050"/>
      <c r="D11810" s="1050"/>
      <c r="E11810" s="1050"/>
      <c r="F11810" s="1050"/>
      <c r="G11810" s="1050"/>
    </row>
    <row r="11811" spans="1:7">
      <c r="A11811" s="1079"/>
      <c r="B11811" s="1050"/>
      <c r="C11811" s="1050"/>
      <c r="D11811" s="1050"/>
      <c r="E11811" s="1050"/>
      <c r="F11811" s="1050"/>
      <c r="G11811" s="1050"/>
    </row>
    <row r="11812" spans="1:7">
      <c r="A11812" s="1079"/>
      <c r="B11812" s="1050"/>
      <c r="C11812" s="1050"/>
      <c r="D11812" s="1050"/>
      <c r="E11812" s="1050"/>
      <c r="F11812" s="1050"/>
      <c r="G11812" s="1050"/>
    </row>
    <row r="11813" spans="1:7">
      <c r="A11813" s="1079"/>
      <c r="B11813" s="1050"/>
      <c r="C11813" s="1050"/>
      <c r="D11813" s="1050"/>
      <c r="E11813" s="1050"/>
      <c r="F11813" s="1050"/>
      <c r="G11813" s="1050"/>
    </row>
    <row r="11814" spans="1:7">
      <c r="A11814" s="1079"/>
      <c r="B11814" s="1050"/>
      <c r="C11814" s="1050"/>
      <c r="D11814" s="1050"/>
      <c r="E11814" s="1050"/>
      <c r="F11814" s="1050"/>
      <c r="G11814" s="1050"/>
    </row>
    <row r="11815" spans="1:7">
      <c r="A11815" s="1079"/>
      <c r="B11815" s="1050"/>
      <c r="C11815" s="1050"/>
      <c r="D11815" s="1050"/>
      <c r="E11815" s="1050"/>
      <c r="F11815" s="1050"/>
      <c r="G11815" s="1050"/>
    </row>
    <row r="11816" spans="1:7">
      <c r="A11816" s="1079"/>
      <c r="B11816" s="1050"/>
      <c r="C11816" s="1050"/>
      <c r="D11816" s="1050"/>
      <c r="E11816" s="1050"/>
      <c r="F11816" s="1050"/>
      <c r="G11816" s="1050"/>
    </row>
    <row r="11817" spans="1:7">
      <c r="A11817" s="1079"/>
      <c r="B11817" s="1050"/>
      <c r="C11817" s="1050"/>
      <c r="D11817" s="1050"/>
      <c r="E11817" s="1050"/>
      <c r="F11817" s="1050"/>
      <c r="G11817" s="1050"/>
    </row>
    <row r="11818" spans="1:7">
      <c r="A11818" s="1079"/>
      <c r="B11818" s="1050"/>
      <c r="C11818" s="1050"/>
      <c r="D11818" s="1050"/>
      <c r="E11818" s="1050"/>
      <c r="F11818" s="1050"/>
      <c r="G11818" s="1050"/>
    </row>
    <row r="11819" spans="1:7">
      <c r="A11819" s="1079"/>
      <c r="B11819" s="1050"/>
      <c r="C11819" s="1050"/>
      <c r="D11819" s="1050"/>
      <c r="E11819" s="1050"/>
      <c r="F11819" s="1050"/>
      <c r="G11819" s="1050"/>
    </row>
    <row r="11820" spans="1:7">
      <c r="A11820" s="1079"/>
      <c r="B11820" s="1050"/>
      <c r="C11820" s="1050"/>
      <c r="D11820" s="1050"/>
      <c r="E11820" s="1050"/>
      <c r="F11820" s="1050"/>
      <c r="G11820" s="1050"/>
    </row>
    <row r="11821" spans="1:7">
      <c r="A11821" s="1079"/>
      <c r="B11821" s="1050"/>
      <c r="C11821" s="1050"/>
      <c r="D11821" s="1050"/>
      <c r="E11821" s="1050"/>
      <c r="F11821" s="1050"/>
      <c r="G11821" s="1050"/>
    </row>
    <row r="11822" spans="1:7">
      <c r="A11822" s="1079"/>
      <c r="B11822" s="1050"/>
      <c r="C11822" s="1050"/>
      <c r="D11822" s="1050"/>
      <c r="E11822" s="1050"/>
      <c r="F11822" s="1050"/>
      <c r="G11822" s="1050"/>
    </row>
    <row r="11823" spans="1:7">
      <c r="A11823" s="1079"/>
      <c r="B11823" s="1050"/>
      <c r="C11823" s="1050"/>
      <c r="D11823" s="1050"/>
      <c r="E11823" s="1050"/>
      <c r="F11823" s="1050"/>
      <c r="G11823" s="1050"/>
    </row>
    <row r="11824" spans="1:7">
      <c r="A11824" s="1079"/>
      <c r="B11824" s="1050"/>
      <c r="C11824" s="1050"/>
      <c r="D11824" s="1050"/>
      <c r="E11824" s="1050"/>
      <c r="F11824" s="1050"/>
      <c r="G11824" s="1050"/>
    </row>
    <row r="11825" spans="1:7">
      <c r="A11825" s="1079"/>
      <c r="B11825" s="1050"/>
      <c r="C11825" s="1050"/>
      <c r="D11825" s="1050"/>
      <c r="E11825" s="1050"/>
      <c r="F11825" s="1050"/>
      <c r="G11825" s="1050"/>
    </row>
    <row r="11826" spans="1:7">
      <c r="A11826" s="1079"/>
      <c r="B11826" s="1050"/>
      <c r="C11826" s="1050"/>
      <c r="D11826" s="1050"/>
      <c r="E11826" s="1050"/>
      <c r="F11826" s="1050"/>
      <c r="G11826" s="1050"/>
    </row>
    <row r="11827" spans="1:7">
      <c r="A11827" s="1079"/>
      <c r="B11827" s="1050"/>
      <c r="C11827" s="1050"/>
      <c r="D11827" s="1050"/>
      <c r="E11827" s="1050"/>
      <c r="F11827" s="1050"/>
      <c r="G11827" s="1050"/>
    </row>
    <row r="11828" spans="1:7">
      <c r="A11828" s="1079"/>
      <c r="B11828" s="1050"/>
      <c r="C11828" s="1050"/>
      <c r="D11828" s="1050"/>
      <c r="E11828" s="1050"/>
      <c r="F11828" s="1050"/>
      <c r="G11828" s="1050"/>
    </row>
    <row r="11829" spans="1:7">
      <c r="A11829" s="1079"/>
      <c r="B11829" s="1050"/>
      <c r="C11829" s="1050"/>
      <c r="D11829" s="1050"/>
      <c r="E11829" s="1050"/>
      <c r="F11829" s="1050"/>
      <c r="G11829" s="1050"/>
    </row>
    <row r="11830" spans="1:7">
      <c r="A11830" s="1079"/>
      <c r="B11830" s="1050"/>
      <c r="C11830" s="1050"/>
      <c r="D11830" s="1050"/>
      <c r="E11830" s="1050"/>
      <c r="F11830" s="1050"/>
      <c r="G11830" s="1050"/>
    </row>
    <row r="11831" spans="1:7">
      <c r="A11831" s="1079"/>
      <c r="B11831" s="1050"/>
      <c r="C11831" s="1050"/>
      <c r="D11831" s="1050"/>
      <c r="E11831" s="1050"/>
      <c r="F11831" s="1050"/>
      <c r="G11831" s="1050"/>
    </row>
    <row r="11832" spans="1:7">
      <c r="A11832" s="1079"/>
      <c r="B11832" s="1050"/>
      <c r="C11832" s="1050"/>
      <c r="D11832" s="1050"/>
      <c r="E11832" s="1050"/>
      <c r="F11832" s="1050"/>
      <c r="G11832" s="1050"/>
    </row>
    <row r="11833" spans="1:7">
      <c r="A11833" s="1079"/>
      <c r="B11833" s="1050"/>
      <c r="C11833" s="1050"/>
      <c r="D11833" s="1050"/>
      <c r="E11833" s="1050"/>
      <c r="F11833" s="1050"/>
      <c r="G11833" s="1050"/>
    </row>
    <row r="11834" spans="1:7">
      <c r="A11834" s="1079"/>
      <c r="B11834" s="1050"/>
      <c r="C11834" s="1050"/>
      <c r="D11834" s="1050"/>
      <c r="E11834" s="1050"/>
      <c r="F11834" s="1050"/>
      <c r="G11834" s="1050"/>
    </row>
    <row r="11835" spans="1:7">
      <c r="A11835" s="1079"/>
      <c r="B11835" s="1050"/>
      <c r="C11835" s="1050"/>
      <c r="D11835" s="1050"/>
      <c r="E11835" s="1050"/>
      <c r="F11835" s="1050"/>
      <c r="G11835" s="1050"/>
    </row>
    <row r="11836" spans="1:7">
      <c r="A11836" s="1079"/>
      <c r="B11836" s="1050"/>
      <c r="C11836" s="1050"/>
      <c r="D11836" s="1050"/>
      <c r="E11836" s="1050"/>
      <c r="F11836" s="1050"/>
      <c r="G11836" s="1050"/>
    </row>
    <row r="11837" spans="1:7">
      <c r="A11837" s="1079"/>
      <c r="B11837" s="1050"/>
      <c r="C11837" s="1050"/>
      <c r="D11837" s="1050"/>
      <c r="E11837" s="1050"/>
      <c r="F11837" s="1050"/>
      <c r="G11837" s="1050"/>
    </row>
    <row r="11838" spans="1:7">
      <c r="A11838" s="1079"/>
      <c r="B11838" s="1050"/>
      <c r="C11838" s="1050"/>
      <c r="D11838" s="1050"/>
      <c r="E11838" s="1050"/>
      <c r="F11838" s="1050"/>
      <c r="G11838" s="1050"/>
    </row>
    <row r="11839" spans="1:7">
      <c r="A11839" s="1079"/>
      <c r="B11839" s="1050"/>
      <c r="C11839" s="1050"/>
      <c r="D11839" s="1050"/>
      <c r="E11839" s="1050"/>
      <c r="F11839" s="1050"/>
      <c r="G11839" s="1050"/>
    </row>
    <row r="11840" spans="1:7">
      <c r="A11840" s="1079"/>
      <c r="B11840" s="1050"/>
      <c r="C11840" s="1050"/>
      <c r="D11840" s="1050"/>
      <c r="E11840" s="1050"/>
      <c r="F11840" s="1050"/>
      <c r="G11840" s="1050"/>
    </row>
    <row r="11841" spans="1:7">
      <c r="A11841" s="1079"/>
      <c r="B11841" s="1050"/>
      <c r="C11841" s="1050"/>
      <c r="D11841" s="1050"/>
      <c r="E11841" s="1050"/>
      <c r="F11841" s="1050"/>
      <c r="G11841" s="1050"/>
    </row>
    <row r="11842" spans="1:7">
      <c r="A11842" s="1079"/>
      <c r="B11842" s="1050"/>
      <c r="C11842" s="1050"/>
      <c r="D11842" s="1050"/>
      <c r="E11842" s="1050"/>
      <c r="F11842" s="1050"/>
      <c r="G11842" s="1050"/>
    </row>
    <row r="11843" spans="1:7">
      <c r="A11843" s="1079"/>
      <c r="B11843" s="1050"/>
      <c r="C11843" s="1050"/>
      <c r="D11843" s="1050"/>
      <c r="E11843" s="1050"/>
      <c r="F11843" s="1050"/>
      <c r="G11843" s="1050"/>
    </row>
    <row r="11844" spans="1:7">
      <c r="A11844" s="1079"/>
      <c r="B11844" s="1050"/>
      <c r="C11844" s="1050"/>
      <c r="D11844" s="1050"/>
      <c r="E11844" s="1050"/>
      <c r="F11844" s="1050"/>
      <c r="G11844" s="1050"/>
    </row>
    <row r="11845" spans="1:7">
      <c r="A11845" s="1079"/>
      <c r="B11845" s="1050"/>
      <c r="C11845" s="1050"/>
      <c r="D11845" s="1050"/>
      <c r="E11845" s="1050"/>
      <c r="F11845" s="1050"/>
      <c r="G11845" s="1050"/>
    </row>
    <row r="11846" spans="1:7">
      <c r="A11846" s="1079"/>
      <c r="B11846" s="1050"/>
      <c r="C11846" s="1050"/>
      <c r="D11846" s="1050"/>
      <c r="E11846" s="1050"/>
      <c r="F11846" s="1050"/>
      <c r="G11846" s="1050"/>
    </row>
    <row r="11847" spans="1:7">
      <c r="A11847" s="1079"/>
      <c r="B11847" s="1050"/>
      <c r="C11847" s="1050"/>
      <c r="D11847" s="1050"/>
      <c r="E11847" s="1050"/>
      <c r="F11847" s="1050"/>
      <c r="G11847" s="1050"/>
    </row>
    <row r="11848" spans="1:7">
      <c r="A11848" s="1079"/>
      <c r="B11848" s="1050"/>
      <c r="C11848" s="1050"/>
      <c r="D11848" s="1050"/>
      <c r="E11848" s="1050"/>
      <c r="F11848" s="1050"/>
      <c r="G11848" s="1050"/>
    </row>
    <row r="11849" spans="1:7">
      <c r="A11849" s="1079"/>
      <c r="B11849" s="1050"/>
      <c r="C11849" s="1050"/>
      <c r="D11849" s="1050"/>
      <c r="E11849" s="1050"/>
      <c r="F11849" s="1050"/>
      <c r="G11849" s="1050"/>
    </row>
    <row r="11850" spans="1:7">
      <c r="A11850" s="1079"/>
      <c r="B11850" s="1050"/>
      <c r="C11850" s="1050"/>
      <c r="D11850" s="1050"/>
      <c r="E11850" s="1050"/>
      <c r="F11850" s="1050"/>
      <c r="G11850" s="1050"/>
    </row>
    <row r="11851" spans="1:7">
      <c r="A11851" s="1079"/>
      <c r="B11851" s="1050"/>
      <c r="C11851" s="1050"/>
      <c r="D11851" s="1050"/>
      <c r="E11851" s="1050"/>
      <c r="F11851" s="1050"/>
      <c r="G11851" s="1050"/>
    </row>
    <row r="11852" spans="1:7">
      <c r="A11852" s="1079"/>
      <c r="B11852" s="1050"/>
      <c r="C11852" s="1050"/>
      <c r="D11852" s="1050"/>
      <c r="E11852" s="1050"/>
      <c r="F11852" s="1050"/>
      <c r="G11852" s="1050"/>
    </row>
    <row r="11853" spans="1:7">
      <c r="A11853" s="1079"/>
      <c r="B11853" s="1050"/>
      <c r="C11853" s="1050"/>
      <c r="D11853" s="1050"/>
      <c r="E11853" s="1050"/>
      <c r="F11853" s="1050"/>
      <c r="G11853" s="1050"/>
    </row>
    <row r="11854" spans="1:7">
      <c r="A11854" s="1079"/>
      <c r="B11854" s="1050"/>
      <c r="C11854" s="1050"/>
      <c r="D11854" s="1050"/>
      <c r="E11854" s="1050"/>
      <c r="F11854" s="1050"/>
      <c r="G11854" s="1050"/>
    </row>
    <row r="11855" spans="1:7">
      <c r="A11855" s="1079"/>
      <c r="B11855" s="1050"/>
      <c r="C11855" s="1050"/>
      <c r="D11855" s="1050"/>
      <c r="E11855" s="1050"/>
      <c r="F11855" s="1050"/>
      <c r="G11855" s="1050"/>
    </row>
    <row r="11856" spans="1:7">
      <c r="A11856" s="1079"/>
      <c r="B11856" s="1050"/>
      <c r="C11856" s="1050"/>
      <c r="D11856" s="1050"/>
      <c r="E11856" s="1050"/>
      <c r="F11856" s="1050"/>
      <c r="G11856" s="1050"/>
    </row>
    <row r="11857" spans="1:7">
      <c r="A11857" s="1079"/>
      <c r="B11857" s="1050"/>
      <c r="C11857" s="1050"/>
      <c r="D11857" s="1050"/>
      <c r="E11857" s="1050"/>
      <c r="F11857" s="1050"/>
      <c r="G11857" s="1050"/>
    </row>
    <row r="11858" spans="1:7">
      <c r="A11858" s="1079"/>
      <c r="B11858" s="1050"/>
      <c r="C11858" s="1050"/>
      <c r="D11858" s="1050"/>
      <c r="E11858" s="1050"/>
      <c r="F11858" s="1050"/>
      <c r="G11858" s="1050"/>
    </row>
    <row r="11859" spans="1:7">
      <c r="A11859" s="1079"/>
      <c r="B11859" s="1050"/>
      <c r="C11859" s="1050"/>
      <c r="D11859" s="1050"/>
      <c r="E11859" s="1050"/>
      <c r="F11859" s="1050"/>
      <c r="G11859" s="1050"/>
    </row>
    <row r="11860" spans="1:7">
      <c r="A11860" s="1079"/>
      <c r="B11860" s="1050"/>
      <c r="C11860" s="1050"/>
      <c r="D11860" s="1050"/>
      <c r="E11860" s="1050"/>
      <c r="F11860" s="1050"/>
      <c r="G11860" s="1050"/>
    </row>
    <row r="11861" spans="1:7">
      <c r="A11861" s="1079"/>
      <c r="B11861" s="1050"/>
      <c r="C11861" s="1050"/>
      <c r="D11861" s="1050"/>
      <c r="E11861" s="1050"/>
      <c r="F11861" s="1050"/>
      <c r="G11861" s="1050"/>
    </row>
    <row r="11862" spans="1:7">
      <c r="A11862" s="1079"/>
      <c r="B11862" s="1050"/>
      <c r="C11862" s="1050"/>
      <c r="D11862" s="1050"/>
      <c r="E11862" s="1050"/>
      <c r="F11862" s="1050"/>
      <c r="G11862" s="1050"/>
    </row>
    <row r="11863" spans="1:7">
      <c r="A11863" s="1079"/>
      <c r="B11863" s="1050"/>
      <c r="C11863" s="1050"/>
      <c r="D11863" s="1050"/>
      <c r="E11863" s="1050"/>
      <c r="F11863" s="1050"/>
      <c r="G11863" s="1050"/>
    </row>
    <row r="11864" spans="1:7">
      <c r="A11864" s="1079"/>
      <c r="B11864" s="1050"/>
      <c r="C11864" s="1050"/>
      <c r="D11864" s="1050"/>
      <c r="E11864" s="1050"/>
      <c r="F11864" s="1050"/>
      <c r="G11864" s="1050"/>
    </row>
    <row r="11865" spans="1:7">
      <c r="A11865" s="1079"/>
      <c r="B11865" s="1050"/>
      <c r="C11865" s="1050"/>
      <c r="D11865" s="1050"/>
      <c r="E11865" s="1050"/>
      <c r="F11865" s="1050"/>
      <c r="G11865" s="1050"/>
    </row>
    <row r="11866" spans="1:7">
      <c r="A11866" s="1079"/>
      <c r="B11866" s="1050"/>
      <c r="C11866" s="1050"/>
      <c r="D11866" s="1050"/>
      <c r="E11866" s="1050"/>
      <c r="F11866" s="1050"/>
      <c r="G11866" s="1050"/>
    </row>
    <row r="11867" spans="1:7">
      <c r="A11867" s="1079"/>
      <c r="B11867" s="1050"/>
      <c r="C11867" s="1050"/>
      <c r="D11867" s="1050"/>
      <c r="E11867" s="1050"/>
      <c r="F11867" s="1050"/>
      <c r="G11867" s="1050"/>
    </row>
    <row r="11868" spans="1:7">
      <c r="A11868" s="1079"/>
      <c r="B11868" s="1050"/>
      <c r="C11868" s="1050"/>
      <c r="D11868" s="1050"/>
      <c r="E11868" s="1050"/>
      <c r="F11868" s="1050"/>
      <c r="G11868" s="1050"/>
    </row>
    <row r="11869" spans="1:7">
      <c r="A11869" s="1079"/>
      <c r="B11869" s="1050"/>
      <c r="C11869" s="1050"/>
      <c r="D11869" s="1050"/>
      <c r="E11869" s="1050"/>
      <c r="F11869" s="1050"/>
      <c r="G11869" s="1050"/>
    </row>
    <row r="11870" spans="1:7">
      <c r="A11870" s="1079"/>
      <c r="B11870" s="1050"/>
      <c r="C11870" s="1050"/>
      <c r="D11870" s="1050"/>
      <c r="E11870" s="1050"/>
      <c r="F11870" s="1050"/>
      <c r="G11870" s="1050"/>
    </row>
    <row r="11871" spans="1:7">
      <c r="A11871" s="1079"/>
      <c r="B11871" s="1050"/>
      <c r="C11871" s="1050"/>
      <c r="D11871" s="1050"/>
      <c r="E11871" s="1050"/>
      <c r="F11871" s="1050"/>
      <c r="G11871" s="1050"/>
    </row>
    <row r="11872" spans="1:7">
      <c r="A11872" s="1079"/>
      <c r="B11872" s="1050"/>
      <c r="C11872" s="1050"/>
      <c r="D11872" s="1050"/>
      <c r="E11872" s="1050"/>
      <c r="F11872" s="1050"/>
      <c r="G11872" s="1050"/>
    </row>
    <row r="11873" spans="1:7">
      <c r="A11873" s="1079"/>
      <c r="B11873" s="1050"/>
      <c r="C11873" s="1050"/>
      <c r="D11873" s="1050"/>
      <c r="E11873" s="1050"/>
      <c r="F11873" s="1050"/>
      <c r="G11873" s="1050"/>
    </row>
    <row r="11874" spans="1:7">
      <c r="A11874" s="1079"/>
      <c r="B11874" s="1050"/>
      <c r="C11874" s="1050"/>
      <c r="D11874" s="1050"/>
      <c r="E11874" s="1050"/>
      <c r="F11874" s="1050"/>
      <c r="G11874" s="1050"/>
    </row>
    <row r="11875" spans="1:7">
      <c r="A11875" s="1079"/>
      <c r="B11875" s="1050"/>
      <c r="C11875" s="1050"/>
      <c r="D11875" s="1050"/>
      <c r="E11875" s="1050"/>
      <c r="F11875" s="1050"/>
      <c r="G11875" s="1050"/>
    </row>
    <row r="11876" spans="1:7">
      <c r="A11876" s="1079"/>
      <c r="B11876" s="1050"/>
      <c r="C11876" s="1050"/>
      <c r="D11876" s="1050"/>
      <c r="E11876" s="1050"/>
      <c r="F11876" s="1050"/>
      <c r="G11876" s="1050"/>
    </row>
    <row r="11877" spans="1:7">
      <c r="A11877" s="1079"/>
      <c r="B11877" s="1050"/>
      <c r="C11877" s="1050"/>
      <c r="D11877" s="1050"/>
      <c r="E11877" s="1050"/>
      <c r="F11877" s="1050"/>
      <c r="G11877" s="1050"/>
    </row>
    <row r="11878" spans="1:7">
      <c r="A11878" s="1079"/>
      <c r="B11878" s="1050"/>
      <c r="C11878" s="1050"/>
      <c r="D11878" s="1050"/>
      <c r="E11878" s="1050"/>
      <c r="F11878" s="1050"/>
      <c r="G11878" s="1050"/>
    </row>
    <row r="11879" spans="1:7">
      <c r="A11879" s="1079"/>
      <c r="B11879" s="1050"/>
      <c r="C11879" s="1050"/>
      <c r="D11879" s="1050"/>
      <c r="E11879" s="1050"/>
      <c r="F11879" s="1050"/>
      <c r="G11879" s="1050"/>
    </row>
    <row r="11880" spans="1:7">
      <c r="A11880" s="1079"/>
      <c r="B11880" s="1050"/>
      <c r="C11880" s="1050"/>
      <c r="D11880" s="1050"/>
      <c r="E11880" s="1050"/>
      <c r="F11880" s="1050"/>
      <c r="G11880" s="1050"/>
    </row>
    <row r="11881" spans="1:7">
      <c r="A11881" s="1079"/>
      <c r="B11881" s="1050"/>
      <c r="C11881" s="1050"/>
      <c r="D11881" s="1050"/>
      <c r="E11881" s="1050"/>
      <c r="F11881" s="1050"/>
      <c r="G11881" s="1050"/>
    </row>
    <row r="11882" spans="1:7">
      <c r="A11882" s="1079"/>
      <c r="B11882" s="1050"/>
      <c r="C11882" s="1050"/>
      <c r="D11882" s="1050"/>
      <c r="E11882" s="1050"/>
      <c r="F11882" s="1050"/>
      <c r="G11882" s="1050"/>
    </row>
    <row r="11883" spans="1:7">
      <c r="A11883" s="1079"/>
      <c r="B11883" s="1050"/>
      <c r="C11883" s="1050"/>
      <c r="D11883" s="1050"/>
      <c r="E11883" s="1050"/>
      <c r="F11883" s="1050"/>
      <c r="G11883" s="1050"/>
    </row>
    <row r="11884" spans="1:7">
      <c r="A11884" s="1079"/>
      <c r="B11884" s="1050"/>
      <c r="C11884" s="1050"/>
      <c r="D11884" s="1050"/>
      <c r="E11884" s="1050"/>
      <c r="F11884" s="1050"/>
      <c r="G11884" s="1050"/>
    </row>
    <row r="11885" spans="1:7">
      <c r="A11885" s="1079"/>
      <c r="B11885" s="1050"/>
      <c r="C11885" s="1050"/>
      <c r="D11885" s="1050"/>
      <c r="E11885" s="1050"/>
      <c r="F11885" s="1050"/>
      <c r="G11885" s="1050"/>
    </row>
    <row r="11886" spans="1:7">
      <c r="A11886" s="1079"/>
      <c r="B11886" s="1050"/>
      <c r="C11886" s="1050"/>
      <c r="D11886" s="1050"/>
      <c r="E11886" s="1050"/>
      <c r="F11886" s="1050"/>
      <c r="G11886" s="1050"/>
    </row>
    <row r="11887" spans="1:7">
      <c r="A11887" s="1079"/>
      <c r="B11887" s="1050"/>
      <c r="C11887" s="1050"/>
      <c r="D11887" s="1050"/>
      <c r="E11887" s="1050"/>
      <c r="F11887" s="1050"/>
      <c r="G11887" s="1050"/>
    </row>
    <row r="11888" spans="1:7">
      <c r="A11888" s="1079"/>
      <c r="B11888" s="1050"/>
      <c r="C11888" s="1050"/>
      <c r="D11888" s="1050"/>
      <c r="E11888" s="1050"/>
      <c r="F11888" s="1050"/>
      <c r="G11888" s="1050"/>
    </row>
    <row r="11889" spans="1:7">
      <c r="A11889" s="1079"/>
      <c r="B11889" s="1050"/>
      <c r="C11889" s="1050"/>
      <c r="D11889" s="1050"/>
      <c r="E11889" s="1050"/>
      <c r="F11889" s="1050"/>
      <c r="G11889" s="1050"/>
    </row>
    <row r="11890" spans="1:7">
      <c r="A11890" s="1079"/>
      <c r="B11890" s="1050"/>
      <c r="C11890" s="1050"/>
      <c r="D11890" s="1050"/>
      <c r="E11890" s="1050"/>
      <c r="F11890" s="1050"/>
      <c r="G11890" s="1050"/>
    </row>
    <row r="11891" spans="1:7">
      <c r="A11891" s="1079"/>
      <c r="B11891" s="1050"/>
      <c r="C11891" s="1050"/>
      <c r="D11891" s="1050"/>
      <c r="E11891" s="1050"/>
      <c r="F11891" s="1050"/>
      <c r="G11891" s="1050"/>
    </row>
    <row r="11892" spans="1:7">
      <c r="A11892" s="1079"/>
      <c r="B11892" s="1050"/>
      <c r="C11892" s="1050"/>
      <c r="D11892" s="1050"/>
      <c r="E11892" s="1050"/>
      <c r="F11892" s="1050"/>
      <c r="G11892" s="1050"/>
    </row>
    <row r="11893" spans="1:7">
      <c r="A11893" s="1079"/>
      <c r="B11893" s="1050"/>
      <c r="C11893" s="1050"/>
      <c r="D11893" s="1050"/>
      <c r="E11893" s="1050"/>
      <c r="F11893" s="1050"/>
      <c r="G11893" s="1050"/>
    </row>
    <row r="11894" spans="1:7">
      <c r="A11894" s="1079"/>
      <c r="B11894" s="1050"/>
      <c r="C11894" s="1050"/>
      <c r="D11894" s="1050"/>
      <c r="E11894" s="1050"/>
      <c r="F11894" s="1050"/>
      <c r="G11894" s="1050"/>
    </row>
    <row r="11895" spans="1:7">
      <c r="A11895" s="1079"/>
      <c r="B11895" s="1050"/>
      <c r="C11895" s="1050"/>
      <c r="D11895" s="1050"/>
      <c r="E11895" s="1050"/>
      <c r="F11895" s="1050"/>
      <c r="G11895" s="1050"/>
    </row>
    <row r="11896" spans="1:7">
      <c r="A11896" s="1079"/>
      <c r="B11896" s="1050"/>
      <c r="C11896" s="1050"/>
      <c r="D11896" s="1050"/>
      <c r="E11896" s="1050"/>
      <c r="F11896" s="1050"/>
      <c r="G11896" s="1050"/>
    </row>
    <row r="11897" spans="1:7">
      <c r="A11897" s="1079"/>
      <c r="B11897" s="1050"/>
      <c r="C11897" s="1050"/>
      <c r="D11897" s="1050"/>
      <c r="E11897" s="1050"/>
      <c r="F11897" s="1050"/>
      <c r="G11897" s="1050"/>
    </row>
    <row r="11898" spans="1:7">
      <c r="A11898" s="1079"/>
      <c r="B11898" s="1050"/>
      <c r="C11898" s="1050"/>
      <c r="D11898" s="1050"/>
      <c r="E11898" s="1050"/>
      <c r="F11898" s="1050"/>
      <c r="G11898" s="1050"/>
    </row>
    <row r="11899" spans="1:7">
      <c r="A11899" s="1079"/>
      <c r="B11899" s="1050"/>
      <c r="C11899" s="1050"/>
      <c r="D11899" s="1050"/>
      <c r="E11899" s="1050"/>
      <c r="F11899" s="1050"/>
      <c r="G11899" s="1050"/>
    </row>
    <row r="11900" spans="1:7">
      <c r="A11900" s="1079"/>
      <c r="B11900" s="1050"/>
      <c r="C11900" s="1050"/>
      <c r="D11900" s="1050"/>
      <c r="E11900" s="1050"/>
      <c r="F11900" s="1050"/>
      <c r="G11900" s="1050"/>
    </row>
    <row r="11901" spans="1:7">
      <c r="A11901" s="1079"/>
      <c r="B11901" s="1050"/>
      <c r="C11901" s="1050"/>
      <c r="D11901" s="1050"/>
      <c r="E11901" s="1050"/>
      <c r="F11901" s="1050"/>
      <c r="G11901" s="1050"/>
    </row>
    <row r="11902" spans="1:7">
      <c r="A11902" s="1079"/>
      <c r="B11902" s="1050"/>
      <c r="C11902" s="1050"/>
      <c r="D11902" s="1050"/>
      <c r="E11902" s="1050"/>
      <c r="F11902" s="1050"/>
      <c r="G11902" s="1050"/>
    </row>
    <row r="11903" spans="1:7">
      <c r="A11903" s="1079"/>
      <c r="B11903" s="1050"/>
      <c r="C11903" s="1050"/>
      <c r="D11903" s="1050"/>
      <c r="E11903" s="1050"/>
      <c r="F11903" s="1050"/>
      <c r="G11903" s="1050"/>
    </row>
    <row r="11904" spans="1:7">
      <c r="A11904" s="1079"/>
      <c r="B11904" s="1050"/>
      <c r="C11904" s="1050"/>
      <c r="D11904" s="1050"/>
      <c r="E11904" s="1050"/>
      <c r="F11904" s="1050"/>
      <c r="G11904" s="1050"/>
    </row>
    <row r="11905" spans="1:7">
      <c r="A11905" s="1079"/>
      <c r="B11905" s="1050"/>
      <c r="C11905" s="1050"/>
      <c r="D11905" s="1050"/>
      <c r="E11905" s="1050"/>
      <c r="F11905" s="1050"/>
      <c r="G11905" s="1050"/>
    </row>
    <row r="11906" spans="1:7">
      <c r="A11906" s="1079"/>
      <c r="B11906" s="1050"/>
      <c r="C11906" s="1050"/>
      <c r="D11906" s="1050"/>
      <c r="E11906" s="1050"/>
      <c r="F11906" s="1050"/>
      <c r="G11906" s="1050"/>
    </row>
    <row r="11907" spans="1:7">
      <c r="A11907" s="1079"/>
      <c r="B11907" s="1050"/>
      <c r="C11907" s="1050"/>
      <c r="D11907" s="1050"/>
      <c r="E11907" s="1050"/>
      <c r="F11907" s="1050"/>
      <c r="G11907" s="1050"/>
    </row>
    <row r="11908" spans="1:7">
      <c r="A11908" s="1079"/>
      <c r="B11908" s="1050"/>
      <c r="C11908" s="1050"/>
      <c r="D11908" s="1050"/>
      <c r="E11908" s="1050"/>
      <c r="F11908" s="1050"/>
      <c r="G11908" s="1050"/>
    </row>
    <row r="11909" spans="1:7">
      <c r="A11909" s="1079"/>
      <c r="B11909" s="1050"/>
      <c r="C11909" s="1050"/>
      <c r="D11909" s="1050"/>
      <c r="E11909" s="1050"/>
      <c r="F11909" s="1050"/>
      <c r="G11909" s="1050"/>
    </row>
    <row r="11910" spans="1:7">
      <c r="A11910" s="1079"/>
      <c r="B11910" s="1050"/>
      <c r="C11910" s="1050"/>
      <c r="D11910" s="1050"/>
      <c r="E11910" s="1050"/>
      <c r="F11910" s="1050"/>
      <c r="G11910" s="1050"/>
    </row>
    <row r="11911" spans="1:7">
      <c r="A11911" s="1079"/>
      <c r="B11911" s="1050"/>
      <c r="C11911" s="1050"/>
      <c r="D11911" s="1050"/>
      <c r="E11911" s="1050"/>
      <c r="F11911" s="1050"/>
      <c r="G11911" s="1050"/>
    </row>
    <row r="11912" spans="1:7">
      <c r="A11912" s="1079"/>
      <c r="B11912" s="1050"/>
      <c r="C11912" s="1050"/>
      <c r="D11912" s="1050"/>
      <c r="E11912" s="1050"/>
      <c r="F11912" s="1050"/>
      <c r="G11912" s="1050"/>
    </row>
    <row r="11913" spans="1:7">
      <c r="A11913" s="1079"/>
      <c r="B11913" s="1050"/>
      <c r="C11913" s="1050"/>
      <c r="D11913" s="1050"/>
      <c r="E11913" s="1050"/>
      <c r="F11913" s="1050"/>
      <c r="G11913" s="1050"/>
    </row>
    <row r="11914" spans="1:7">
      <c r="A11914" s="1079"/>
      <c r="B11914" s="1050"/>
      <c r="C11914" s="1050"/>
      <c r="D11914" s="1050"/>
      <c r="E11914" s="1050"/>
      <c r="F11914" s="1050"/>
      <c r="G11914" s="1050"/>
    </row>
    <row r="11915" spans="1:7">
      <c r="A11915" s="1079"/>
      <c r="B11915" s="1050"/>
      <c r="C11915" s="1050"/>
      <c r="D11915" s="1050"/>
      <c r="E11915" s="1050"/>
      <c r="F11915" s="1050"/>
      <c r="G11915" s="1050"/>
    </row>
    <row r="11916" spans="1:7">
      <c r="A11916" s="1079"/>
      <c r="B11916" s="1050"/>
      <c r="C11916" s="1050"/>
      <c r="D11916" s="1050"/>
      <c r="E11916" s="1050"/>
      <c r="F11916" s="1050"/>
      <c r="G11916" s="1050"/>
    </row>
    <row r="11917" spans="1:7">
      <c r="A11917" s="1079"/>
      <c r="B11917" s="1050"/>
      <c r="C11917" s="1050"/>
      <c r="D11917" s="1050"/>
      <c r="E11917" s="1050"/>
      <c r="F11917" s="1050"/>
      <c r="G11917" s="1050"/>
    </row>
    <row r="11918" spans="1:7">
      <c r="A11918" s="1079"/>
      <c r="B11918" s="1050"/>
      <c r="C11918" s="1050"/>
      <c r="D11918" s="1050"/>
      <c r="E11918" s="1050"/>
      <c r="F11918" s="1050"/>
      <c r="G11918" s="1050"/>
    </row>
    <row r="11919" spans="1:7">
      <c r="A11919" s="1079"/>
      <c r="B11919" s="1050"/>
      <c r="C11919" s="1050"/>
      <c r="D11919" s="1050"/>
      <c r="E11919" s="1050"/>
      <c r="F11919" s="1050"/>
      <c r="G11919" s="1050"/>
    </row>
    <row r="11920" spans="1:7">
      <c r="A11920" s="1079"/>
      <c r="B11920" s="1050"/>
      <c r="C11920" s="1050"/>
      <c r="D11920" s="1050"/>
      <c r="E11920" s="1050"/>
      <c r="F11920" s="1050"/>
      <c r="G11920" s="1050"/>
    </row>
    <row r="11921" spans="1:7">
      <c r="A11921" s="1079"/>
      <c r="B11921" s="1050"/>
      <c r="C11921" s="1050"/>
      <c r="D11921" s="1050"/>
      <c r="E11921" s="1050"/>
      <c r="F11921" s="1050"/>
      <c r="G11921" s="1050"/>
    </row>
    <row r="11922" spans="1:7">
      <c r="A11922" s="1079"/>
      <c r="B11922" s="1050"/>
      <c r="C11922" s="1050"/>
      <c r="D11922" s="1050"/>
      <c r="E11922" s="1050"/>
      <c r="F11922" s="1050"/>
      <c r="G11922" s="1050"/>
    </row>
    <row r="11923" spans="1:7">
      <c r="A11923" s="1079"/>
      <c r="B11923" s="1050"/>
      <c r="C11923" s="1050"/>
      <c r="D11923" s="1050"/>
      <c r="E11923" s="1050"/>
      <c r="F11923" s="1050"/>
      <c r="G11923" s="1050"/>
    </row>
    <row r="11924" spans="1:7">
      <c r="A11924" s="1079"/>
      <c r="B11924" s="1050"/>
      <c r="C11924" s="1050"/>
      <c r="D11924" s="1050"/>
      <c r="E11924" s="1050"/>
      <c r="F11924" s="1050"/>
      <c r="G11924" s="1050"/>
    </row>
    <row r="11925" spans="1:7">
      <c r="A11925" s="1079"/>
      <c r="B11925" s="1050"/>
      <c r="C11925" s="1050"/>
      <c r="D11925" s="1050"/>
      <c r="E11925" s="1050"/>
      <c r="F11925" s="1050"/>
      <c r="G11925" s="1050"/>
    </row>
    <row r="11926" spans="1:7">
      <c r="A11926" s="1079"/>
      <c r="B11926" s="1050"/>
      <c r="C11926" s="1050"/>
      <c r="D11926" s="1050"/>
      <c r="E11926" s="1050"/>
      <c r="F11926" s="1050"/>
      <c r="G11926" s="1050"/>
    </row>
    <row r="11927" spans="1:7">
      <c r="A11927" s="1079"/>
      <c r="B11927" s="1050"/>
      <c r="C11927" s="1050"/>
      <c r="D11927" s="1050"/>
      <c r="E11927" s="1050"/>
      <c r="F11927" s="1050"/>
      <c r="G11927" s="1050"/>
    </row>
    <row r="11928" spans="1:7">
      <c r="A11928" s="1079"/>
      <c r="B11928" s="1050"/>
      <c r="C11928" s="1050"/>
      <c r="D11928" s="1050"/>
      <c r="E11928" s="1050"/>
      <c r="F11928" s="1050"/>
      <c r="G11928" s="1050"/>
    </row>
    <row r="11929" spans="1:7">
      <c r="A11929" s="1079"/>
      <c r="B11929" s="1050"/>
      <c r="C11929" s="1050"/>
      <c r="D11929" s="1050"/>
      <c r="E11929" s="1050"/>
      <c r="F11929" s="1050"/>
      <c r="G11929" s="1050"/>
    </row>
    <row r="11930" spans="1:7">
      <c r="A11930" s="1079"/>
      <c r="B11930" s="1050"/>
      <c r="C11930" s="1050"/>
      <c r="D11930" s="1050"/>
      <c r="E11930" s="1050"/>
      <c r="F11930" s="1050"/>
      <c r="G11930" s="1050"/>
    </row>
    <row r="11931" spans="1:7">
      <c r="A11931" s="1079"/>
      <c r="B11931" s="1050"/>
      <c r="C11931" s="1050"/>
      <c r="D11931" s="1050"/>
      <c r="E11931" s="1050"/>
      <c r="F11931" s="1050"/>
      <c r="G11931" s="1050"/>
    </row>
    <row r="11932" spans="1:7">
      <c r="A11932" s="1079"/>
      <c r="B11932" s="1050"/>
      <c r="C11932" s="1050"/>
      <c r="D11932" s="1050"/>
      <c r="E11932" s="1050"/>
      <c r="F11932" s="1050"/>
      <c r="G11932" s="1050"/>
    </row>
    <row r="11933" spans="1:7">
      <c r="A11933" s="1079"/>
      <c r="B11933" s="1050"/>
      <c r="C11933" s="1050"/>
      <c r="D11933" s="1050"/>
      <c r="E11933" s="1050"/>
      <c r="F11933" s="1050"/>
      <c r="G11933" s="1050"/>
    </row>
    <row r="11934" spans="1:7">
      <c r="A11934" s="1079"/>
      <c r="B11934" s="1050"/>
      <c r="C11934" s="1050"/>
      <c r="D11934" s="1050"/>
      <c r="E11934" s="1050"/>
      <c r="F11934" s="1050"/>
      <c r="G11934" s="1050"/>
    </row>
    <row r="11935" spans="1:7">
      <c r="A11935" s="1079"/>
      <c r="B11935" s="1050"/>
      <c r="C11935" s="1050"/>
      <c r="D11935" s="1050"/>
      <c r="E11935" s="1050"/>
      <c r="F11935" s="1050"/>
      <c r="G11935" s="1050"/>
    </row>
    <row r="11936" spans="1:7">
      <c r="A11936" s="1079"/>
      <c r="B11936" s="1050"/>
      <c r="C11936" s="1050"/>
      <c r="D11936" s="1050"/>
      <c r="E11936" s="1050"/>
      <c r="F11936" s="1050"/>
      <c r="G11936" s="1050"/>
    </row>
    <row r="11937" spans="1:7">
      <c r="A11937" s="1079"/>
      <c r="B11937" s="1050"/>
      <c r="C11937" s="1050"/>
      <c r="D11937" s="1050"/>
      <c r="E11937" s="1050"/>
      <c r="F11937" s="1050"/>
      <c r="G11937" s="1050"/>
    </row>
    <row r="11938" spans="1:7">
      <c r="A11938" s="1079"/>
      <c r="B11938" s="1050"/>
      <c r="C11938" s="1050"/>
      <c r="D11938" s="1050"/>
      <c r="E11938" s="1050"/>
      <c r="F11938" s="1050"/>
      <c r="G11938" s="1050"/>
    </row>
    <row r="11939" spans="1:7">
      <c r="A11939" s="1079"/>
      <c r="B11939" s="1050"/>
      <c r="C11939" s="1050"/>
      <c r="D11939" s="1050"/>
      <c r="E11939" s="1050"/>
      <c r="F11939" s="1050"/>
      <c r="G11939" s="1050"/>
    </row>
    <row r="11940" spans="1:7">
      <c r="A11940" s="1079"/>
      <c r="B11940" s="1050"/>
      <c r="C11940" s="1050"/>
      <c r="D11940" s="1050"/>
      <c r="E11940" s="1050"/>
      <c r="F11940" s="1050"/>
      <c r="G11940" s="1050"/>
    </row>
    <row r="11941" spans="1:7">
      <c r="A11941" s="1079"/>
      <c r="B11941" s="1050"/>
      <c r="C11941" s="1050"/>
      <c r="D11941" s="1050"/>
      <c r="E11941" s="1050"/>
      <c r="F11941" s="1050"/>
      <c r="G11941" s="1050"/>
    </row>
    <row r="11942" spans="1:7">
      <c r="A11942" s="1079"/>
      <c r="B11942" s="1050"/>
      <c r="C11942" s="1050"/>
      <c r="D11942" s="1050"/>
      <c r="E11942" s="1050"/>
      <c r="F11942" s="1050"/>
      <c r="G11942" s="1050"/>
    </row>
    <row r="11943" spans="1:7">
      <c r="A11943" s="1079"/>
      <c r="B11943" s="1050"/>
      <c r="C11943" s="1050"/>
      <c r="D11943" s="1050"/>
      <c r="E11943" s="1050"/>
      <c r="F11943" s="1050"/>
      <c r="G11943" s="1050"/>
    </row>
    <row r="11944" spans="1:7">
      <c r="A11944" s="1079"/>
      <c r="B11944" s="1050"/>
      <c r="C11944" s="1050"/>
      <c r="D11944" s="1050"/>
      <c r="E11944" s="1050"/>
      <c r="F11944" s="1050"/>
      <c r="G11944" s="1050"/>
    </row>
    <row r="11945" spans="1:7">
      <c r="A11945" s="1079"/>
      <c r="B11945" s="1050"/>
      <c r="C11945" s="1050"/>
      <c r="D11945" s="1050"/>
      <c r="E11945" s="1050"/>
      <c r="F11945" s="1050"/>
      <c r="G11945" s="1050"/>
    </row>
    <row r="11946" spans="1:7">
      <c r="A11946" s="1079"/>
      <c r="B11946" s="1050"/>
      <c r="C11946" s="1050"/>
      <c r="D11946" s="1050"/>
      <c r="E11946" s="1050"/>
      <c r="F11946" s="1050"/>
      <c r="G11946" s="1050"/>
    </row>
    <row r="11947" spans="1:7">
      <c r="A11947" s="1079"/>
      <c r="B11947" s="1050"/>
      <c r="C11947" s="1050"/>
      <c r="D11947" s="1050"/>
      <c r="E11947" s="1050"/>
      <c r="F11947" s="1050"/>
      <c r="G11947" s="1050"/>
    </row>
    <row r="11948" spans="1:7">
      <c r="A11948" s="1079"/>
      <c r="B11948" s="1050"/>
      <c r="C11948" s="1050"/>
      <c r="D11948" s="1050"/>
      <c r="E11948" s="1050"/>
      <c r="F11948" s="1050"/>
      <c r="G11948" s="1050"/>
    </row>
    <row r="11949" spans="1:7">
      <c r="A11949" s="1079"/>
      <c r="B11949" s="1050"/>
      <c r="C11949" s="1050"/>
      <c r="D11949" s="1050"/>
      <c r="E11949" s="1050"/>
      <c r="F11949" s="1050"/>
      <c r="G11949" s="1050"/>
    </row>
    <row r="11950" spans="1:7">
      <c r="A11950" s="1079"/>
      <c r="B11950" s="1050"/>
      <c r="C11950" s="1050"/>
      <c r="D11950" s="1050"/>
      <c r="E11950" s="1050"/>
      <c r="F11950" s="1050"/>
      <c r="G11950" s="1050"/>
    </row>
    <row r="11951" spans="1:7">
      <c r="A11951" s="1079"/>
      <c r="B11951" s="1050"/>
      <c r="C11951" s="1050"/>
      <c r="D11951" s="1050"/>
      <c r="E11951" s="1050"/>
      <c r="F11951" s="1050"/>
      <c r="G11951" s="1050"/>
    </row>
    <row r="11952" spans="1:7">
      <c r="A11952" s="1079"/>
      <c r="B11952" s="1050"/>
      <c r="C11952" s="1050"/>
      <c r="D11952" s="1050"/>
      <c r="E11952" s="1050"/>
      <c r="F11952" s="1050"/>
      <c r="G11952" s="1050"/>
    </row>
    <row r="11953" spans="1:7">
      <c r="A11953" s="1079"/>
      <c r="B11953" s="1050"/>
      <c r="C11953" s="1050"/>
      <c r="D11953" s="1050"/>
      <c r="E11953" s="1050"/>
      <c r="F11953" s="1050"/>
      <c r="G11953" s="1050"/>
    </row>
    <row r="11954" spans="1:7">
      <c r="A11954" s="1079"/>
      <c r="B11954" s="1050"/>
      <c r="C11954" s="1050"/>
      <c r="D11954" s="1050"/>
      <c r="E11954" s="1050"/>
      <c r="F11954" s="1050"/>
      <c r="G11954" s="1050"/>
    </row>
    <row r="11955" spans="1:7">
      <c r="A11955" s="1079"/>
      <c r="B11955" s="1050"/>
      <c r="C11955" s="1050"/>
      <c r="D11955" s="1050"/>
      <c r="E11955" s="1050"/>
      <c r="F11955" s="1050"/>
      <c r="G11955" s="1050"/>
    </row>
    <row r="11956" spans="1:7">
      <c r="A11956" s="1079"/>
      <c r="B11956" s="1050"/>
      <c r="C11956" s="1050"/>
      <c r="D11956" s="1050"/>
      <c r="E11956" s="1050"/>
      <c r="F11956" s="1050"/>
      <c r="G11956" s="1050"/>
    </row>
    <row r="11957" spans="1:7">
      <c r="A11957" s="1079"/>
      <c r="B11957" s="1050"/>
      <c r="C11957" s="1050"/>
      <c r="D11957" s="1050"/>
      <c r="E11957" s="1050"/>
      <c r="F11957" s="1050"/>
      <c r="G11957" s="1050"/>
    </row>
    <row r="11958" spans="1:7">
      <c r="A11958" s="1079"/>
      <c r="B11958" s="1050"/>
      <c r="C11958" s="1050"/>
      <c r="D11958" s="1050"/>
      <c r="E11958" s="1050"/>
      <c r="F11958" s="1050"/>
      <c r="G11958" s="1050"/>
    </row>
    <row r="11959" spans="1:7">
      <c r="A11959" s="1079"/>
      <c r="B11959" s="1050"/>
      <c r="C11959" s="1050"/>
      <c r="D11959" s="1050"/>
      <c r="E11959" s="1050"/>
      <c r="F11959" s="1050"/>
      <c r="G11959" s="1050"/>
    </row>
    <row r="11960" spans="1:7">
      <c r="A11960" s="1079"/>
      <c r="B11960" s="1050"/>
      <c r="C11960" s="1050"/>
      <c r="D11960" s="1050"/>
      <c r="E11960" s="1050"/>
      <c r="F11960" s="1050"/>
      <c r="G11960" s="1050"/>
    </row>
    <row r="11961" spans="1:7">
      <c r="A11961" s="1079"/>
      <c r="B11961" s="1050"/>
      <c r="C11961" s="1050"/>
      <c r="D11961" s="1050"/>
      <c r="E11961" s="1050"/>
      <c r="F11961" s="1050"/>
      <c r="G11961" s="1050"/>
    </row>
    <row r="11962" spans="1:7">
      <c r="A11962" s="1079"/>
      <c r="B11962" s="1050"/>
      <c r="C11962" s="1050"/>
      <c r="D11962" s="1050"/>
      <c r="E11962" s="1050"/>
      <c r="F11962" s="1050"/>
      <c r="G11962" s="1050"/>
    </row>
    <row r="11963" spans="1:7">
      <c r="A11963" s="1079"/>
      <c r="B11963" s="1050"/>
      <c r="C11963" s="1050"/>
      <c r="D11963" s="1050"/>
      <c r="E11963" s="1050"/>
      <c r="F11963" s="1050"/>
      <c r="G11963" s="1050"/>
    </row>
    <row r="11964" spans="1:7">
      <c r="A11964" s="1079"/>
      <c r="B11964" s="1050"/>
      <c r="C11964" s="1050"/>
      <c r="D11964" s="1050"/>
      <c r="E11964" s="1050"/>
      <c r="F11964" s="1050"/>
      <c r="G11964" s="1050"/>
    </row>
    <row r="11965" spans="1:7">
      <c r="A11965" s="1079"/>
      <c r="B11965" s="1050"/>
      <c r="C11965" s="1050"/>
      <c r="D11965" s="1050"/>
      <c r="E11965" s="1050"/>
      <c r="F11965" s="1050"/>
      <c r="G11965" s="1050"/>
    </row>
    <row r="11966" spans="1:7">
      <c r="A11966" s="1079"/>
      <c r="B11966" s="1050"/>
      <c r="C11966" s="1050"/>
      <c r="D11966" s="1050"/>
      <c r="E11966" s="1050"/>
      <c r="F11966" s="1050"/>
      <c r="G11966" s="1050"/>
    </row>
    <row r="11967" spans="1:7">
      <c r="A11967" s="1079"/>
      <c r="B11967" s="1050"/>
      <c r="C11967" s="1050"/>
      <c r="D11967" s="1050"/>
      <c r="E11967" s="1050"/>
      <c r="F11967" s="1050"/>
      <c r="G11967" s="1050"/>
    </row>
    <row r="11968" spans="1:7">
      <c r="A11968" s="1079"/>
      <c r="B11968" s="1050"/>
      <c r="C11968" s="1050"/>
      <c r="D11968" s="1050"/>
      <c r="E11968" s="1050"/>
      <c r="F11968" s="1050"/>
      <c r="G11968" s="1050"/>
    </row>
    <row r="11969" spans="1:7">
      <c r="A11969" s="1079"/>
      <c r="B11969" s="1050"/>
      <c r="C11969" s="1050"/>
      <c r="D11969" s="1050"/>
      <c r="E11969" s="1050"/>
      <c r="F11969" s="1050"/>
      <c r="G11969" s="1050"/>
    </row>
    <row r="11970" spans="1:7">
      <c r="A11970" s="1079"/>
      <c r="B11970" s="1050"/>
      <c r="C11970" s="1050"/>
      <c r="D11970" s="1050"/>
      <c r="E11970" s="1050"/>
      <c r="F11970" s="1050"/>
      <c r="G11970" s="1050"/>
    </row>
    <row r="11971" spans="1:7">
      <c r="A11971" s="1079"/>
      <c r="B11971" s="1050"/>
      <c r="C11971" s="1050"/>
      <c r="D11971" s="1050"/>
      <c r="E11971" s="1050"/>
      <c r="F11971" s="1050"/>
      <c r="G11971" s="1050"/>
    </row>
    <row r="11972" spans="1:7">
      <c r="A11972" s="1079"/>
      <c r="B11972" s="1050"/>
      <c r="C11972" s="1050"/>
      <c r="D11972" s="1050"/>
      <c r="E11972" s="1050"/>
      <c r="F11972" s="1050"/>
      <c r="G11972" s="1050"/>
    </row>
    <row r="11973" spans="1:7">
      <c r="A11973" s="1079"/>
      <c r="B11973" s="1050"/>
      <c r="C11973" s="1050"/>
      <c r="D11973" s="1050"/>
      <c r="E11973" s="1050"/>
      <c r="F11973" s="1050"/>
      <c r="G11973" s="1050"/>
    </row>
    <row r="11974" spans="1:7">
      <c r="A11974" s="1079"/>
      <c r="B11974" s="1050"/>
      <c r="C11974" s="1050"/>
      <c r="D11974" s="1050"/>
      <c r="E11974" s="1050"/>
      <c r="F11974" s="1050"/>
      <c r="G11974" s="1050"/>
    </row>
    <row r="11975" spans="1:7">
      <c r="A11975" s="1079"/>
      <c r="B11975" s="1050"/>
      <c r="C11975" s="1050"/>
      <c r="D11975" s="1050"/>
      <c r="E11975" s="1050"/>
      <c r="F11975" s="1050"/>
      <c r="G11975" s="1050"/>
    </row>
    <row r="11976" spans="1:7">
      <c r="A11976" s="1079"/>
      <c r="B11976" s="1050"/>
      <c r="C11976" s="1050"/>
      <c r="D11976" s="1050"/>
      <c r="E11976" s="1050"/>
      <c r="F11976" s="1050"/>
      <c r="G11976" s="1050"/>
    </row>
    <row r="11977" spans="1:7">
      <c r="A11977" s="1079"/>
      <c r="B11977" s="1050"/>
      <c r="C11977" s="1050"/>
      <c r="D11977" s="1050"/>
      <c r="E11977" s="1050"/>
      <c r="F11977" s="1050"/>
      <c r="G11977" s="1050"/>
    </row>
    <row r="11978" spans="1:7">
      <c r="A11978" s="1079"/>
      <c r="B11978" s="1050"/>
      <c r="C11978" s="1050"/>
      <c r="D11978" s="1050"/>
      <c r="E11978" s="1050"/>
      <c r="F11978" s="1050"/>
      <c r="G11978" s="1050"/>
    </row>
    <row r="11979" spans="1:7">
      <c r="A11979" s="1079"/>
      <c r="B11979" s="1050"/>
      <c r="C11979" s="1050"/>
      <c r="D11979" s="1050"/>
      <c r="E11979" s="1050"/>
      <c r="F11979" s="1050"/>
      <c r="G11979" s="1050"/>
    </row>
    <row r="11980" spans="1:7">
      <c r="A11980" s="1079"/>
      <c r="B11980" s="1050"/>
      <c r="C11980" s="1050"/>
      <c r="D11980" s="1050"/>
      <c r="E11980" s="1050"/>
      <c r="F11980" s="1050"/>
      <c r="G11980" s="1050"/>
    </row>
    <row r="11981" spans="1:7">
      <c r="A11981" s="1079"/>
      <c r="B11981" s="1050"/>
      <c r="C11981" s="1050"/>
      <c r="D11981" s="1050"/>
      <c r="E11981" s="1050"/>
      <c r="F11981" s="1050"/>
      <c r="G11981" s="1050"/>
    </row>
    <row r="11982" spans="1:7">
      <c r="A11982" s="1079"/>
      <c r="B11982" s="1050"/>
      <c r="C11982" s="1050"/>
      <c r="D11982" s="1050"/>
      <c r="E11982" s="1050"/>
      <c r="F11982" s="1050"/>
      <c r="G11982" s="1050"/>
    </row>
    <row r="11983" spans="1:7">
      <c r="A11983" s="1079"/>
      <c r="B11983" s="1050"/>
      <c r="C11983" s="1050"/>
      <c r="D11983" s="1050"/>
      <c r="E11983" s="1050"/>
      <c r="F11983" s="1050"/>
      <c r="G11983" s="1050"/>
    </row>
    <row r="11984" spans="1:7">
      <c r="A11984" s="1079"/>
      <c r="B11984" s="1050"/>
      <c r="C11984" s="1050"/>
      <c r="D11984" s="1050"/>
      <c r="E11984" s="1050"/>
      <c r="F11984" s="1050"/>
      <c r="G11984" s="1050"/>
    </row>
    <row r="11985" spans="1:7">
      <c r="A11985" s="1079"/>
      <c r="B11985" s="1050"/>
      <c r="C11985" s="1050"/>
      <c r="D11985" s="1050"/>
      <c r="E11985" s="1050"/>
      <c r="F11985" s="1050"/>
      <c r="G11985" s="1050"/>
    </row>
    <row r="11986" spans="1:7">
      <c r="A11986" s="1079"/>
      <c r="B11986" s="1050"/>
      <c r="C11986" s="1050"/>
      <c r="D11986" s="1050"/>
      <c r="E11986" s="1050"/>
      <c r="F11986" s="1050"/>
      <c r="G11986" s="1050"/>
    </row>
    <row r="11987" spans="1:7">
      <c r="A11987" s="1079"/>
      <c r="B11987" s="1050"/>
      <c r="C11987" s="1050"/>
      <c r="D11987" s="1050"/>
      <c r="E11987" s="1050"/>
      <c r="F11987" s="1050"/>
      <c r="G11987" s="1050"/>
    </row>
    <row r="11988" spans="1:7">
      <c r="A11988" s="1079"/>
      <c r="B11988" s="1050"/>
      <c r="C11988" s="1050"/>
      <c r="D11988" s="1050"/>
      <c r="E11988" s="1050"/>
      <c r="F11988" s="1050"/>
      <c r="G11988" s="1050"/>
    </row>
    <row r="11989" spans="1:7">
      <c r="A11989" s="1079"/>
      <c r="B11989" s="1050"/>
      <c r="C11989" s="1050"/>
      <c r="D11989" s="1050"/>
      <c r="E11989" s="1050"/>
      <c r="F11989" s="1050"/>
      <c r="G11989" s="1050"/>
    </row>
    <row r="11990" spans="1:7">
      <c r="A11990" s="1079"/>
      <c r="B11990" s="1050"/>
      <c r="C11990" s="1050"/>
      <c r="D11990" s="1050"/>
      <c r="E11990" s="1050"/>
      <c r="F11990" s="1050"/>
      <c r="G11990" s="1050"/>
    </row>
    <row r="11991" spans="1:7">
      <c r="A11991" s="1079"/>
      <c r="B11991" s="1050"/>
      <c r="C11991" s="1050"/>
      <c r="D11991" s="1050"/>
      <c r="E11991" s="1050"/>
      <c r="F11991" s="1050"/>
      <c r="G11991" s="1050"/>
    </row>
    <row r="11992" spans="1:7">
      <c r="A11992" s="1079"/>
      <c r="B11992" s="1050"/>
      <c r="C11992" s="1050"/>
      <c r="D11992" s="1050"/>
      <c r="E11992" s="1050"/>
      <c r="F11992" s="1050"/>
      <c r="G11992" s="1050"/>
    </row>
    <row r="11993" spans="1:7">
      <c r="A11993" s="1079"/>
      <c r="B11993" s="1050"/>
      <c r="C11993" s="1050"/>
      <c r="D11993" s="1050"/>
      <c r="E11993" s="1050"/>
      <c r="F11993" s="1050"/>
      <c r="G11993" s="1050"/>
    </row>
    <row r="11994" spans="1:7">
      <c r="A11994" s="1079"/>
      <c r="B11994" s="1050"/>
      <c r="C11994" s="1050"/>
      <c r="D11994" s="1050"/>
      <c r="E11994" s="1050"/>
      <c r="F11994" s="1050"/>
      <c r="G11994" s="1050"/>
    </row>
    <row r="11995" spans="1:7">
      <c r="A11995" s="1079"/>
      <c r="B11995" s="1050"/>
      <c r="C11995" s="1050"/>
      <c r="D11995" s="1050"/>
      <c r="E11995" s="1050"/>
      <c r="F11995" s="1050"/>
      <c r="G11995" s="1050"/>
    </row>
    <row r="11996" spans="1:7">
      <c r="A11996" s="1079"/>
      <c r="B11996" s="1050"/>
      <c r="C11996" s="1050"/>
      <c r="D11996" s="1050"/>
      <c r="E11996" s="1050"/>
      <c r="F11996" s="1050"/>
      <c r="G11996" s="1050"/>
    </row>
    <row r="11997" spans="1:7">
      <c r="A11997" s="1079"/>
      <c r="B11997" s="1050"/>
      <c r="C11997" s="1050"/>
      <c r="D11997" s="1050"/>
      <c r="E11997" s="1050"/>
      <c r="F11997" s="1050"/>
      <c r="G11997" s="1050"/>
    </row>
    <row r="11998" spans="1:7">
      <c r="A11998" s="1079"/>
      <c r="B11998" s="1050"/>
      <c r="C11998" s="1050"/>
      <c r="D11998" s="1050"/>
      <c r="E11998" s="1050"/>
      <c r="F11998" s="1050"/>
      <c r="G11998" s="1050"/>
    </row>
    <row r="11999" spans="1:7">
      <c r="A11999" s="1079"/>
      <c r="B11999" s="1050"/>
      <c r="C11999" s="1050"/>
      <c r="D11999" s="1050"/>
      <c r="E11999" s="1050"/>
      <c r="F11999" s="1050"/>
      <c r="G11999" s="1050"/>
    </row>
    <row r="12000" spans="1:7">
      <c r="A12000" s="1079"/>
      <c r="B12000" s="1050"/>
      <c r="C12000" s="1050"/>
      <c r="D12000" s="1050"/>
      <c r="E12000" s="1050"/>
      <c r="F12000" s="1050"/>
      <c r="G12000" s="1050"/>
    </row>
    <row r="12001" spans="1:7">
      <c r="A12001" s="1079"/>
      <c r="B12001" s="1050"/>
      <c r="C12001" s="1050"/>
      <c r="D12001" s="1050"/>
      <c r="E12001" s="1050"/>
      <c r="F12001" s="1050"/>
      <c r="G12001" s="1050"/>
    </row>
    <row r="12002" spans="1:7">
      <c r="A12002" s="1079"/>
      <c r="B12002" s="1050"/>
      <c r="C12002" s="1050"/>
      <c r="D12002" s="1050"/>
      <c r="E12002" s="1050"/>
      <c r="F12002" s="1050"/>
      <c r="G12002" s="1050"/>
    </row>
    <row r="12003" spans="1:7">
      <c r="A12003" s="1079"/>
      <c r="B12003" s="1050"/>
      <c r="C12003" s="1050"/>
      <c r="D12003" s="1050"/>
      <c r="E12003" s="1050"/>
      <c r="F12003" s="1050"/>
      <c r="G12003" s="1050"/>
    </row>
    <row r="12004" spans="1:7">
      <c r="A12004" s="1079"/>
      <c r="B12004" s="1050"/>
      <c r="C12004" s="1050"/>
      <c r="D12004" s="1050"/>
      <c r="E12004" s="1050"/>
      <c r="F12004" s="1050"/>
      <c r="G12004" s="1050"/>
    </row>
    <row r="12005" spans="1:7">
      <c r="A12005" s="1079"/>
      <c r="B12005" s="1050"/>
      <c r="C12005" s="1050"/>
      <c r="D12005" s="1050"/>
      <c r="E12005" s="1050"/>
      <c r="F12005" s="1050"/>
      <c r="G12005" s="1050"/>
    </row>
    <row r="12006" spans="1:7">
      <c r="A12006" s="1079"/>
      <c r="B12006" s="1050"/>
      <c r="C12006" s="1050"/>
      <c r="D12006" s="1050"/>
      <c r="E12006" s="1050"/>
      <c r="F12006" s="1050"/>
      <c r="G12006" s="1050"/>
    </row>
    <row r="12007" spans="1:7">
      <c r="A12007" s="1079"/>
      <c r="B12007" s="1050"/>
      <c r="C12007" s="1050"/>
      <c r="D12007" s="1050"/>
      <c r="E12007" s="1050"/>
      <c r="F12007" s="1050"/>
      <c r="G12007" s="1050"/>
    </row>
    <row r="12008" spans="1:7">
      <c r="A12008" s="1079"/>
      <c r="B12008" s="1050"/>
      <c r="C12008" s="1050"/>
      <c r="D12008" s="1050"/>
      <c r="E12008" s="1050"/>
      <c r="F12008" s="1050"/>
      <c r="G12008" s="1050"/>
    </row>
    <row r="12009" spans="1:7">
      <c r="A12009" s="1079"/>
      <c r="B12009" s="1050"/>
      <c r="C12009" s="1050"/>
      <c r="D12009" s="1050"/>
      <c r="E12009" s="1050"/>
      <c r="F12009" s="1050"/>
      <c r="G12009" s="1050"/>
    </row>
    <row r="12010" spans="1:7">
      <c r="A12010" s="1079"/>
      <c r="B12010" s="1050"/>
      <c r="C12010" s="1050"/>
      <c r="D12010" s="1050"/>
      <c r="E12010" s="1050"/>
      <c r="F12010" s="1050"/>
      <c r="G12010" s="1050"/>
    </row>
    <row r="12011" spans="1:7">
      <c r="A12011" s="1079"/>
      <c r="B12011" s="1050"/>
      <c r="C12011" s="1050"/>
      <c r="D12011" s="1050"/>
      <c r="E12011" s="1050"/>
      <c r="F12011" s="1050"/>
      <c r="G12011" s="1050"/>
    </row>
    <row r="12012" spans="1:7">
      <c r="A12012" s="1079"/>
      <c r="B12012" s="1050"/>
      <c r="C12012" s="1050"/>
      <c r="D12012" s="1050"/>
      <c r="E12012" s="1050"/>
      <c r="F12012" s="1050"/>
      <c r="G12012" s="1050"/>
    </row>
    <row r="12013" spans="1:7">
      <c r="A12013" s="1079"/>
      <c r="B12013" s="1050"/>
      <c r="C12013" s="1050"/>
      <c r="D12013" s="1050"/>
      <c r="E12013" s="1050"/>
      <c r="F12013" s="1050"/>
      <c r="G12013" s="1050"/>
    </row>
    <row r="12014" spans="1:7">
      <c r="A12014" s="1079"/>
      <c r="B12014" s="1050"/>
      <c r="C12014" s="1050"/>
      <c r="D12014" s="1050"/>
      <c r="E12014" s="1050"/>
      <c r="F12014" s="1050"/>
      <c r="G12014" s="1050"/>
    </row>
    <row r="12015" spans="1:7">
      <c r="A12015" s="1079"/>
      <c r="B12015" s="1050"/>
      <c r="C12015" s="1050"/>
      <c r="D12015" s="1050"/>
      <c r="E12015" s="1050"/>
      <c r="F12015" s="1050"/>
      <c r="G12015" s="1050"/>
    </row>
    <row r="12016" spans="1:7">
      <c r="A12016" s="1079"/>
      <c r="B12016" s="1050"/>
      <c r="C12016" s="1050"/>
      <c r="D12016" s="1050"/>
      <c r="E12016" s="1050"/>
      <c r="F12016" s="1050"/>
      <c r="G12016" s="1050"/>
    </row>
    <row r="12017" spans="1:7">
      <c r="A12017" s="1079"/>
      <c r="B12017" s="1050"/>
      <c r="C12017" s="1050"/>
      <c r="D12017" s="1050"/>
      <c r="E12017" s="1050"/>
      <c r="F12017" s="1050"/>
      <c r="G12017" s="1050"/>
    </row>
    <row r="12018" spans="1:7">
      <c r="A12018" s="1079"/>
      <c r="B12018" s="1050"/>
      <c r="C12018" s="1050"/>
      <c r="D12018" s="1050"/>
      <c r="E12018" s="1050"/>
      <c r="F12018" s="1050"/>
      <c r="G12018" s="1050"/>
    </row>
    <row r="12019" spans="1:7">
      <c r="A12019" s="1079"/>
      <c r="B12019" s="1050"/>
      <c r="C12019" s="1050"/>
      <c r="D12019" s="1050"/>
      <c r="E12019" s="1050"/>
      <c r="F12019" s="1050"/>
      <c r="G12019" s="1050"/>
    </row>
    <row r="12020" spans="1:7">
      <c r="A12020" s="1079"/>
      <c r="B12020" s="1050"/>
      <c r="C12020" s="1050"/>
      <c r="D12020" s="1050"/>
      <c r="E12020" s="1050"/>
      <c r="F12020" s="1050"/>
      <c r="G12020" s="1050"/>
    </row>
    <row r="12021" spans="1:7">
      <c r="A12021" s="1079"/>
      <c r="B12021" s="1050"/>
      <c r="C12021" s="1050"/>
      <c r="D12021" s="1050"/>
      <c r="E12021" s="1050"/>
      <c r="F12021" s="1050"/>
      <c r="G12021" s="1050"/>
    </row>
    <row r="12022" spans="1:7">
      <c r="A12022" s="1079"/>
      <c r="B12022" s="1050"/>
      <c r="C12022" s="1050"/>
      <c r="D12022" s="1050"/>
      <c r="E12022" s="1050"/>
      <c r="F12022" s="1050"/>
      <c r="G12022" s="1050"/>
    </row>
    <row r="12023" spans="1:7">
      <c r="A12023" s="1079"/>
      <c r="B12023" s="1050"/>
      <c r="C12023" s="1050"/>
      <c r="D12023" s="1050"/>
      <c r="E12023" s="1050"/>
      <c r="F12023" s="1050"/>
      <c r="G12023" s="1050"/>
    </row>
    <row r="12024" spans="1:7">
      <c r="A12024" s="1079"/>
      <c r="B12024" s="1050"/>
      <c r="C12024" s="1050"/>
      <c r="D12024" s="1050"/>
      <c r="E12024" s="1050"/>
      <c r="F12024" s="1050"/>
      <c r="G12024" s="1050"/>
    </row>
    <row r="12025" spans="1:7">
      <c r="A12025" s="1079"/>
      <c r="B12025" s="1050"/>
      <c r="C12025" s="1050"/>
      <c r="D12025" s="1050"/>
      <c r="E12025" s="1050"/>
      <c r="F12025" s="1050"/>
      <c r="G12025" s="1050"/>
    </row>
    <row r="12026" spans="1:7">
      <c r="A12026" s="1079"/>
      <c r="B12026" s="1050"/>
      <c r="C12026" s="1050"/>
      <c r="D12026" s="1050"/>
      <c r="E12026" s="1050"/>
      <c r="F12026" s="1050"/>
      <c r="G12026" s="1050"/>
    </row>
    <row r="12027" spans="1:7">
      <c r="A12027" s="1079"/>
      <c r="B12027" s="1050"/>
      <c r="C12027" s="1050"/>
      <c r="D12027" s="1050"/>
      <c r="E12027" s="1050"/>
      <c r="F12027" s="1050"/>
      <c r="G12027" s="1050"/>
    </row>
    <row r="12028" spans="1:7">
      <c r="A12028" s="1079"/>
      <c r="B12028" s="1050"/>
      <c r="C12028" s="1050"/>
      <c r="D12028" s="1050"/>
      <c r="E12028" s="1050"/>
      <c r="F12028" s="1050"/>
      <c r="G12028" s="1050"/>
    </row>
    <row r="12029" spans="1:7">
      <c r="A12029" s="1079"/>
      <c r="B12029" s="1050"/>
      <c r="C12029" s="1050"/>
      <c r="D12029" s="1050"/>
      <c r="E12029" s="1050"/>
      <c r="F12029" s="1050"/>
      <c r="G12029" s="1050"/>
    </row>
    <row r="12030" spans="1:7">
      <c r="A12030" s="1079"/>
      <c r="B12030" s="1050"/>
      <c r="C12030" s="1050"/>
      <c r="D12030" s="1050"/>
      <c r="E12030" s="1050"/>
      <c r="F12030" s="1050"/>
      <c r="G12030" s="1050"/>
    </row>
    <row r="12031" spans="1:7">
      <c r="A12031" s="1079"/>
      <c r="B12031" s="1050"/>
      <c r="C12031" s="1050"/>
      <c r="D12031" s="1050"/>
      <c r="E12031" s="1050"/>
      <c r="F12031" s="1050"/>
      <c r="G12031" s="1050"/>
    </row>
    <row r="12032" spans="1:7">
      <c r="A12032" s="1079"/>
      <c r="B12032" s="1050"/>
      <c r="C12032" s="1050"/>
      <c r="D12032" s="1050"/>
      <c r="E12032" s="1050"/>
      <c r="F12032" s="1050"/>
      <c r="G12032" s="1050"/>
    </row>
    <row r="12033" spans="1:7">
      <c r="A12033" s="1079"/>
      <c r="B12033" s="1050"/>
      <c r="C12033" s="1050"/>
      <c r="D12033" s="1050"/>
      <c r="E12033" s="1050"/>
      <c r="F12033" s="1050"/>
      <c r="G12033" s="1050"/>
    </row>
    <row r="12034" spans="1:7">
      <c r="A12034" s="1079"/>
      <c r="B12034" s="1050"/>
      <c r="C12034" s="1050"/>
      <c r="D12034" s="1050"/>
      <c r="E12034" s="1050"/>
      <c r="F12034" s="1050"/>
      <c r="G12034" s="1050"/>
    </row>
    <row r="12035" spans="1:7">
      <c r="A12035" s="1079"/>
      <c r="B12035" s="1050"/>
      <c r="C12035" s="1050"/>
      <c r="D12035" s="1050"/>
      <c r="E12035" s="1050"/>
      <c r="F12035" s="1050"/>
      <c r="G12035" s="1050"/>
    </row>
    <row r="12036" spans="1:7">
      <c r="A12036" s="1079"/>
      <c r="B12036" s="1050"/>
      <c r="C12036" s="1050"/>
      <c r="D12036" s="1050"/>
      <c r="E12036" s="1050"/>
      <c r="F12036" s="1050"/>
      <c r="G12036" s="1050"/>
    </row>
    <row r="12037" spans="1:7">
      <c r="A12037" s="1079"/>
      <c r="B12037" s="1050"/>
      <c r="C12037" s="1050"/>
      <c r="D12037" s="1050"/>
      <c r="E12037" s="1050"/>
      <c r="F12037" s="1050"/>
      <c r="G12037" s="1050"/>
    </row>
    <row r="12038" spans="1:7">
      <c r="A12038" s="1079"/>
      <c r="B12038" s="1050"/>
      <c r="C12038" s="1050"/>
      <c r="D12038" s="1050"/>
      <c r="E12038" s="1050"/>
      <c r="F12038" s="1050"/>
      <c r="G12038" s="1050"/>
    </row>
    <row r="12039" spans="1:7">
      <c r="A12039" s="1079"/>
      <c r="B12039" s="1050"/>
      <c r="C12039" s="1050"/>
      <c r="D12039" s="1050"/>
      <c r="E12039" s="1050"/>
      <c r="F12039" s="1050"/>
      <c r="G12039" s="1050"/>
    </row>
    <row r="12040" spans="1:7">
      <c r="A12040" s="1079"/>
      <c r="B12040" s="1050"/>
      <c r="C12040" s="1050"/>
      <c r="D12040" s="1050"/>
      <c r="E12040" s="1050"/>
      <c r="F12040" s="1050"/>
      <c r="G12040" s="1050"/>
    </row>
    <row r="12041" spans="1:7">
      <c r="A12041" s="1079"/>
      <c r="B12041" s="1050"/>
      <c r="C12041" s="1050"/>
      <c r="D12041" s="1050"/>
      <c r="E12041" s="1050"/>
      <c r="F12041" s="1050"/>
      <c r="G12041" s="1050"/>
    </row>
    <row r="12042" spans="1:7">
      <c r="A12042" s="1079"/>
      <c r="B12042" s="1050"/>
      <c r="C12042" s="1050"/>
      <c r="D12042" s="1050"/>
      <c r="E12042" s="1050"/>
      <c r="F12042" s="1050"/>
      <c r="G12042" s="1050"/>
    </row>
    <row r="12043" spans="1:7">
      <c r="A12043" s="1079"/>
      <c r="B12043" s="1050"/>
      <c r="C12043" s="1050"/>
      <c r="D12043" s="1050"/>
      <c r="E12043" s="1050"/>
      <c r="F12043" s="1050"/>
      <c r="G12043" s="1050"/>
    </row>
    <row r="12044" spans="1:7">
      <c r="A12044" s="1079"/>
      <c r="B12044" s="1050"/>
      <c r="C12044" s="1050"/>
      <c r="D12044" s="1050"/>
      <c r="E12044" s="1050"/>
      <c r="F12044" s="1050"/>
      <c r="G12044" s="1050"/>
    </row>
    <row r="12045" spans="1:7">
      <c r="A12045" s="1079"/>
      <c r="B12045" s="1050"/>
      <c r="C12045" s="1050"/>
      <c r="D12045" s="1050"/>
      <c r="E12045" s="1050"/>
      <c r="F12045" s="1050"/>
      <c r="G12045" s="1050"/>
    </row>
    <row r="12046" spans="1:7">
      <c r="A12046" s="1079"/>
      <c r="B12046" s="1050"/>
      <c r="C12046" s="1050"/>
      <c r="D12046" s="1050"/>
      <c r="E12046" s="1050"/>
      <c r="F12046" s="1050"/>
      <c r="G12046" s="1050"/>
    </row>
    <row r="12047" spans="1:7">
      <c r="A12047" s="1079"/>
      <c r="B12047" s="1050"/>
      <c r="C12047" s="1050"/>
      <c r="D12047" s="1050"/>
      <c r="E12047" s="1050"/>
      <c r="F12047" s="1050"/>
      <c r="G12047" s="1050"/>
    </row>
    <row r="12048" spans="1:7">
      <c r="A12048" s="1079"/>
      <c r="B12048" s="1050"/>
      <c r="C12048" s="1050"/>
      <c r="D12048" s="1050"/>
      <c r="E12048" s="1050"/>
      <c r="F12048" s="1050"/>
      <c r="G12048" s="1050"/>
    </row>
    <row r="12049" spans="1:7">
      <c r="A12049" s="1079"/>
      <c r="B12049" s="1050"/>
      <c r="C12049" s="1050"/>
      <c r="D12049" s="1050"/>
      <c r="E12049" s="1050"/>
      <c r="F12049" s="1050"/>
      <c r="G12049" s="1050"/>
    </row>
    <row r="12050" spans="1:7">
      <c r="A12050" s="1079"/>
      <c r="B12050" s="1050"/>
      <c r="C12050" s="1050"/>
      <c r="D12050" s="1050"/>
      <c r="E12050" s="1050"/>
      <c r="F12050" s="1050"/>
      <c r="G12050" s="1050"/>
    </row>
    <row r="12051" spans="1:7">
      <c r="A12051" s="1079"/>
      <c r="B12051" s="1050"/>
      <c r="C12051" s="1050"/>
      <c r="D12051" s="1050"/>
      <c r="E12051" s="1050"/>
      <c r="F12051" s="1050"/>
      <c r="G12051" s="1050"/>
    </row>
    <row r="12052" spans="1:7">
      <c r="A12052" s="1079"/>
      <c r="B12052" s="1050"/>
      <c r="C12052" s="1050"/>
      <c r="D12052" s="1050"/>
      <c r="E12052" s="1050"/>
      <c r="F12052" s="1050"/>
      <c r="G12052" s="1050"/>
    </row>
    <row r="12053" spans="1:7">
      <c r="A12053" s="1079"/>
      <c r="B12053" s="1050"/>
      <c r="C12053" s="1050"/>
      <c r="D12053" s="1050"/>
      <c r="E12053" s="1050"/>
      <c r="F12053" s="1050"/>
      <c r="G12053" s="1050"/>
    </row>
    <row r="12054" spans="1:7">
      <c r="A12054" s="1079"/>
      <c r="B12054" s="1050"/>
      <c r="C12054" s="1050"/>
      <c r="D12054" s="1050"/>
      <c r="E12054" s="1050"/>
      <c r="F12054" s="1050"/>
      <c r="G12054" s="1050"/>
    </row>
    <row r="12055" spans="1:7">
      <c r="A12055" s="1079"/>
      <c r="B12055" s="1050"/>
      <c r="C12055" s="1050"/>
      <c r="D12055" s="1050"/>
      <c r="E12055" s="1050"/>
      <c r="F12055" s="1050"/>
      <c r="G12055" s="1050"/>
    </row>
    <row r="12056" spans="1:7">
      <c r="A12056" s="1079"/>
      <c r="B12056" s="1050"/>
      <c r="C12056" s="1050"/>
      <c r="D12056" s="1050"/>
      <c r="E12056" s="1050"/>
      <c r="F12056" s="1050"/>
      <c r="G12056" s="1050"/>
    </row>
    <row r="12057" spans="1:7">
      <c r="A12057" s="1079"/>
      <c r="B12057" s="1050"/>
      <c r="C12057" s="1050"/>
      <c r="D12057" s="1050"/>
      <c r="E12057" s="1050"/>
      <c r="F12057" s="1050"/>
      <c r="G12057" s="1050"/>
    </row>
    <row r="12058" spans="1:7">
      <c r="A12058" s="1079"/>
      <c r="B12058" s="1050"/>
      <c r="C12058" s="1050"/>
      <c r="D12058" s="1050"/>
      <c r="E12058" s="1050"/>
      <c r="F12058" s="1050"/>
      <c r="G12058" s="1050"/>
    </row>
    <row r="12059" spans="1:7">
      <c r="A12059" s="1079"/>
      <c r="B12059" s="1050"/>
      <c r="C12059" s="1050"/>
      <c r="D12059" s="1050"/>
      <c r="E12059" s="1050"/>
      <c r="F12059" s="1050"/>
      <c r="G12059" s="1050"/>
    </row>
    <row r="12060" spans="1:7">
      <c r="A12060" s="1079"/>
      <c r="B12060" s="1050"/>
      <c r="C12060" s="1050"/>
      <c r="D12060" s="1050"/>
      <c r="E12060" s="1050"/>
      <c r="F12060" s="1050"/>
      <c r="G12060" s="1050"/>
    </row>
    <row r="12061" spans="1:7">
      <c r="A12061" s="1079"/>
      <c r="B12061" s="1050"/>
      <c r="C12061" s="1050"/>
      <c r="D12061" s="1050"/>
      <c r="E12061" s="1050"/>
      <c r="F12061" s="1050"/>
      <c r="G12061" s="1050"/>
    </row>
    <row r="12062" spans="1:7">
      <c r="A12062" s="1079"/>
      <c r="B12062" s="1050"/>
      <c r="C12062" s="1050"/>
      <c r="D12062" s="1050"/>
      <c r="E12062" s="1050"/>
      <c r="F12062" s="1050"/>
      <c r="G12062" s="1050"/>
    </row>
    <row r="12063" spans="1:7">
      <c r="A12063" s="1079"/>
      <c r="B12063" s="1050"/>
      <c r="C12063" s="1050"/>
      <c r="D12063" s="1050"/>
      <c r="E12063" s="1050"/>
      <c r="F12063" s="1050"/>
      <c r="G12063" s="1050"/>
    </row>
    <row r="12064" spans="1:7">
      <c r="A12064" s="1079"/>
      <c r="B12064" s="1050"/>
      <c r="C12064" s="1050"/>
      <c r="D12064" s="1050"/>
      <c r="E12064" s="1050"/>
      <c r="F12064" s="1050"/>
      <c r="G12064" s="1050"/>
    </row>
    <row r="12065" spans="1:7">
      <c r="A12065" s="1079"/>
      <c r="B12065" s="1050"/>
      <c r="C12065" s="1050"/>
      <c r="D12065" s="1050"/>
      <c r="E12065" s="1050"/>
      <c r="F12065" s="1050"/>
      <c r="G12065" s="1050"/>
    </row>
    <row r="12066" spans="1:7">
      <c r="A12066" s="1079"/>
      <c r="B12066" s="1050"/>
      <c r="C12066" s="1050"/>
      <c r="D12066" s="1050"/>
      <c r="E12066" s="1050"/>
      <c r="F12066" s="1050"/>
      <c r="G12066" s="1050"/>
    </row>
    <row r="12067" spans="1:7">
      <c r="A12067" s="1079"/>
      <c r="B12067" s="1050"/>
      <c r="C12067" s="1050"/>
      <c r="D12067" s="1050"/>
      <c r="E12067" s="1050"/>
      <c r="F12067" s="1050"/>
      <c r="G12067" s="1050"/>
    </row>
    <row r="12068" spans="1:7">
      <c r="A12068" s="1079"/>
      <c r="B12068" s="1050"/>
      <c r="C12068" s="1050"/>
      <c r="D12068" s="1050"/>
      <c r="E12068" s="1050"/>
      <c r="F12068" s="1050"/>
      <c r="G12068" s="1050"/>
    </row>
    <row r="12069" spans="1:7">
      <c r="A12069" s="1079"/>
      <c r="B12069" s="1050"/>
      <c r="C12069" s="1050"/>
      <c r="D12069" s="1050"/>
      <c r="E12069" s="1050"/>
      <c r="F12069" s="1050"/>
      <c r="G12069" s="1050"/>
    </row>
    <row r="12070" spans="1:7">
      <c r="A12070" s="1079"/>
      <c r="B12070" s="1050"/>
      <c r="C12070" s="1050"/>
      <c r="D12070" s="1050"/>
      <c r="E12070" s="1050"/>
      <c r="F12070" s="1050"/>
      <c r="G12070" s="1050"/>
    </row>
    <row r="12071" spans="1:7">
      <c r="A12071" s="1079"/>
      <c r="B12071" s="1050"/>
      <c r="C12071" s="1050"/>
      <c r="D12071" s="1050"/>
      <c r="E12071" s="1050"/>
      <c r="F12071" s="1050"/>
      <c r="G12071" s="1050"/>
    </row>
    <row r="12072" spans="1:7">
      <c r="A12072" s="1079"/>
      <c r="B12072" s="1050"/>
      <c r="C12072" s="1050"/>
      <c r="D12072" s="1050"/>
      <c r="E12072" s="1050"/>
      <c r="F12072" s="1050"/>
      <c r="G12072" s="1050"/>
    </row>
    <row r="12073" spans="1:7">
      <c r="A12073" s="1079"/>
      <c r="B12073" s="1050"/>
      <c r="C12073" s="1050"/>
      <c r="D12073" s="1050"/>
      <c r="E12073" s="1050"/>
      <c r="F12073" s="1050"/>
      <c r="G12073" s="1050"/>
    </row>
    <row r="12074" spans="1:7">
      <c r="A12074" s="1079"/>
      <c r="B12074" s="1050"/>
      <c r="C12074" s="1050"/>
      <c r="D12074" s="1050"/>
      <c r="E12074" s="1050"/>
      <c r="F12074" s="1050"/>
      <c r="G12074" s="1050"/>
    </row>
    <row r="12075" spans="1:7">
      <c r="A12075" s="1079"/>
      <c r="B12075" s="1050"/>
      <c r="C12075" s="1050"/>
      <c r="D12075" s="1050"/>
      <c r="E12075" s="1050"/>
      <c r="F12075" s="1050"/>
      <c r="G12075" s="1050"/>
    </row>
    <row r="12076" spans="1:7">
      <c r="A12076" s="1079"/>
      <c r="B12076" s="1050"/>
      <c r="C12076" s="1050"/>
      <c r="D12076" s="1050"/>
      <c r="E12076" s="1050"/>
      <c r="F12076" s="1050"/>
      <c r="G12076" s="1050"/>
    </row>
    <row r="12077" spans="1:7">
      <c r="A12077" s="1079"/>
      <c r="B12077" s="1050"/>
      <c r="C12077" s="1050"/>
      <c r="D12077" s="1050"/>
      <c r="E12077" s="1050"/>
      <c r="F12077" s="1050"/>
      <c r="G12077" s="1050"/>
    </row>
    <row r="12078" spans="1:7">
      <c r="A12078" s="1079"/>
      <c r="B12078" s="1050"/>
      <c r="C12078" s="1050"/>
      <c r="D12078" s="1050"/>
      <c r="E12078" s="1050"/>
      <c r="F12078" s="1050"/>
      <c r="G12078" s="1050"/>
    </row>
    <row r="12079" spans="1:7">
      <c r="A12079" s="1079"/>
      <c r="B12079" s="1050"/>
      <c r="C12079" s="1050"/>
      <c r="D12079" s="1050"/>
      <c r="E12079" s="1050"/>
      <c r="F12079" s="1050"/>
      <c r="G12079" s="1050"/>
    </row>
    <row r="12080" spans="1:7">
      <c r="A12080" s="1079"/>
      <c r="B12080" s="1050"/>
      <c r="C12080" s="1050"/>
      <c r="D12080" s="1050"/>
      <c r="E12080" s="1050"/>
      <c r="F12080" s="1050"/>
      <c r="G12080" s="1050"/>
    </row>
    <row r="12081" spans="1:7">
      <c r="A12081" s="1079"/>
      <c r="B12081" s="1050"/>
      <c r="C12081" s="1050"/>
      <c r="D12081" s="1050"/>
      <c r="E12081" s="1050"/>
      <c r="F12081" s="1050"/>
      <c r="G12081" s="1050"/>
    </row>
    <row r="12082" spans="1:7">
      <c r="A12082" s="1079"/>
      <c r="B12082" s="1050"/>
      <c r="C12082" s="1050"/>
      <c r="D12082" s="1050"/>
      <c r="E12082" s="1050"/>
      <c r="F12082" s="1050"/>
      <c r="G12082" s="1050"/>
    </row>
    <row r="12083" spans="1:7">
      <c r="A12083" s="1079"/>
      <c r="B12083" s="1050"/>
      <c r="C12083" s="1050"/>
      <c r="D12083" s="1050"/>
      <c r="E12083" s="1050"/>
      <c r="F12083" s="1050"/>
      <c r="G12083" s="1050"/>
    </row>
    <row r="12084" spans="1:7">
      <c r="A12084" s="1079"/>
      <c r="B12084" s="1050"/>
      <c r="C12084" s="1050"/>
      <c r="D12084" s="1050"/>
      <c r="E12084" s="1050"/>
      <c r="F12084" s="1050"/>
      <c r="G12084" s="1050"/>
    </row>
    <row r="12085" spans="1:7">
      <c r="A12085" s="1079"/>
      <c r="B12085" s="1050"/>
      <c r="C12085" s="1050"/>
      <c r="D12085" s="1050"/>
      <c r="E12085" s="1050"/>
      <c r="F12085" s="1050"/>
      <c r="G12085" s="1050"/>
    </row>
    <row r="12086" spans="1:7">
      <c r="A12086" s="1079"/>
      <c r="B12086" s="1050"/>
      <c r="C12086" s="1050"/>
      <c r="D12086" s="1050"/>
      <c r="E12086" s="1050"/>
      <c r="F12086" s="1050"/>
      <c r="G12086" s="1050"/>
    </row>
    <row r="12087" spans="1:7">
      <c r="A12087" s="1079"/>
      <c r="B12087" s="1050"/>
      <c r="C12087" s="1050"/>
      <c r="D12087" s="1050"/>
      <c r="E12087" s="1050"/>
      <c r="F12087" s="1050"/>
      <c r="G12087" s="1050"/>
    </row>
    <row r="12088" spans="1:7">
      <c r="A12088" s="1079"/>
      <c r="B12088" s="1050"/>
      <c r="C12088" s="1050"/>
      <c r="D12088" s="1050"/>
      <c r="E12088" s="1050"/>
      <c r="F12088" s="1050"/>
      <c r="G12088" s="1050"/>
    </row>
    <row r="12089" spans="1:7">
      <c r="A12089" s="1079"/>
      <c r="B12089" s="1050"/>
      <c r="C12089" s="1050"/>
      <c r="D12089" s="1050"/>
      <c r="E12089" s="1050"/>
      <c r="F12089" s="1050"/>
      <c r="G12089" s="1050"/>
    </row>
    <row r="12090" spans="1:7">
      <c r="A12090" s="1079"/>
      <c r="B12090" s="1050"/>
      <c r="C12090" s="1050"/>
      <c r="D12090" s="1050"/>
      <c r="E12090" s="1050"/>
      <c r="F12090" s="1050"/>
      <c r="G12090" s="1050"/>
    </row>
    <row r="12091" spans="1:7">
      <c r="A12091" s="1079"/>
      <c r="B12091" s="1050"/>
      <c r="C12091" s="1050"/>
      <c r="D12091" s="1050"/>
      <c r="E12091" s="1050"/>
      <c r="F12091" s="1050"/>
      <c r="G12091" s="1050"/>
    </row>
    <row r="12092" spans="1:7">
      <c r="A12092" s="1079"/>
      <c r="B12092" s="1050"/>
      <c r="C12092" s="1050"/>
      <c r="D12092" s="1050"/>
      <c r="E12092" s="1050"/>
      <c r="F12092" s="1050"/>
      <c r="G12092" s="1050"/>
    </row>
    <row r="12093" spans="1:7">
      <c r="A12093" s="1079"/>
      <c r="B12093" s="1050"/>
      <c r="C12093" s="1050"/>
      <c r="D12093" s="1050"/>
      <c r="E12093" s="1050"/>
      <c r="F12093" s="1050"/>
      <c r="G12093" s="1050"/>
    </row>
    <row r="12094" spans="1:7">
      <c r="A12094" s="1079"/>
      <c r="B12094" s="1050"/>
      <c r="C12094" s="1050"/>
      <c r="D12094" s="1050"/>
      <c r="E12094" s="1050"/>
      <c r="F12094" s="1050"/>
      <c r="G12094" s="1050"/>
    </row>
    <row r="12095" spans="1:7">
      <c r="A12095" s="1079"/>
      <c r="B12095" s="1050"/>
      <c r="C12095" s="1050"/>
      <c r="D12095" s="1050"/>
      <c r="E12095" s="1050"/>
      <c r="F12095" s="1050"/>
      <c r="G12095" s="1050"/>
    </row>
    <row r="12096" spans="1:7">
      <c r="A12096" s="1079"/>
      <c r="B12096" s="1050"/>
      <c r="C12096" s="1050"/>
      <c r="D12096" s="1050"/>
      <c r="E12096" s="1050"/>
      <c r="F12096" s="1050"/>
      <c r="G12096" s="1050"/>
    </row>
    <row r="12097" spans="1:7">
      <c r="A12097" s="1079"/>
      <c r="B12097" s="1050"/>
      <c r="C12097" s="1050"/>
      <c r="D12097" s="1050"/>
      <c r="E12097" s="1050"/>
      <c r="F12097" s="1050"/>
      <c r="G12097" s="1050"/>
    </row>
    <row r="12098" spans="1:7">
      <c r="A12098" s="1079"/>
      <c r="B12098" s="1050"/>
      <c r="C12098" s="1050"/>
      <c r="D12098" s="1050"/>
      <c r="E12098" s="1050"/>
      <c r="F12098" s="1050"/>
      <c r="G12098" s="1050"/>
    </row>
    <row r="12099" spans="1:7">
      <c r="A12099" s="1079"/>
      <c r="B12099" s="1050"/>
      <c r="C12099" s="1050"/>
      <c r="D12099" s="1050"/>
      <c r="E12099" s="1050"/>
      <c r="F12099" s="1050"/>
      <c r="G12099" s="1050"/>
    </row>
    <row r="12100" spans="1:7">
      <c r="A12100" s="1079"/>
      <c r="B12100" s="1050"/>
      <c r="C12100" s="1050"/>
      <c r="D12100" s="1050"/>
      <c r="E12100" s="1050"/>
      <c r="F12100" s="1050"/>
      <c r="G12100" s="1050"/>
    </row>
    <row r="12101" spans="1:7">
      <c r="A12101" s="1079"/>
      <c r="B12101" s="1050"/>
      <c r="C12101" s="1050"/>
      <c r="D12101" s="1050"/>
      <c r="E12101" s="1050"/>
      <c r="F12101" s="1050"/>
      <c r="G12101" s="1050"/>
    </row>
    <row r="12102" spans="1:7">
      <c r="A12102" s="1079"/>
      <c r="B12102" s="1050"/>
      <c r="C12102" s="1050"/>
      <c r="D12102" s="1050"/>
      <c r="E12102" s="1050"/>
      <c r="F12102" s="1050"/>
      <c r="G12102" s="1050"/>
    </row>
    <row r="12103" spans="1:7">
      <c r="A12103" s="1079"/>
      <c r="B12103" s="1050"/>
      <c r="C12103" s="1050"/>
      <c r="D12103" s="1050"/>
      <c r="E12103" s="1050"/>
      <c r="F12103" s="1050"/>
      <c r="G12103" s="1050"/>
    </row>
    <row r="12104" spans="1:7">
      <c r="A12104" s="1079"/>
      <c r="B12104" s="1050"/>
      <c r="C12104" s="1050"/>
      <c r="D12104" s="1050"/>
      <c r="E12104" s="1050"/>
      <c r="F12104" s="1050"/>
      <c r="G12104" s="1050"/>
    </row>
    <row r="12105" spans="1:7">
      <c r="A12105" s="1079"/>
      <c r="B12105" s="1050"/>
      <c r="C12105" s="1050"/>
      <c r="D12105" s="1050"/>
      <c r="E12105" s="1050"/>
      <c r="F12105" s="1050"/>
      <c r="G12105" s="1050"/>
    </row>
    <row r="12106" spans="1:7">
      <c r="A12106" s="1079"/>
      <c r="B12106" s="1050"/>
      <c r="C12106" s="1050"/>
      <c r="D12106" s="1050"/>
      <c r="E12106" s="1050"/>
      <c r="F12106" s="1050"/>
      <c r="G12106" s="1050"/>
    </row>
    <row r="12107" spans="1:7">
      <c r="A12107" s="1079"/>
      <c r="B12107" s="1050"/>
      <c r="C12107" s="1050"/>
      <c r="D12107" s="1050"/>
      <c r="E12107" s="1050"/>
      <c r="F12107" s="1050"/>
      <c r="G12107" s="1050"/>
    </row>
    <row r="12108" spans="1:7">
      <c r="A12108" s="1079"/>
      <c r="B12108" s="1050"/>
      <c r="C12108" s="1050"/>
      <c r="D12108" s="1050"/>
      <c r="E12108" s="1050"/>
      <c r="F12108" s="1050"/>
      <c r="G12108" s="1050"/>
    </row>
    <row r="12109" spans="1:7">
      <c r="A12109" s="1079"/>
      <c r="B12109" s="1050"/>
      <c r="C12109" s="1050"/>
      <c r="D12109" s="1050"/>
      <c r="E12109" s="1050"/>
      <c r="F12109" s="1050"/>
      <c r="G12109" s="1050"/>
    </row>
    <row r="12110" spans="1:7">
      <c r="A12110" s="1079"/>
      <c r="B12110" s="1050"/>
      <c r="C12110" s="1050"/>
      <c r="D12110" s="1050"/>
      <c r="E12110" s="1050"/>
      <c r="F12110" s="1050"/>
      <c r="G12110" s="1050"/>
    </row>
    <row r="12111" spans="1:7">
      <c r="A12111" s="1079"/>
      <c r="B12111" s="1050"/>
      <c r="C12111" s="1050"/>
      <c r="D12111" s="1050"/>
      <c r="E12111" s="1050"/>
      <c r="F12111" s="1050"/>
      <c r="G12111" s="1050"/>
    </row>
    <row r="12112" spans="1:7">
      <c r="A12112" s="1079"/>
      <c r="B12112" s="1050"/>
      <c r="C12112" s="1050"/>
      <c r="D12112" s="1050"/>
      <c r="E12112" s="1050"/>
      <c r="F12112" s="1050"/>
      <c r="G12112" s="1050"/>
    </row>
    <row r="12113" spans="1:7">
      <c r="A12113" s="1079"/>
      <c r="B12113" s="1050"/>
      <c r="C12113" s="1050"/>
      <c r="D12113" s="1050"/>
      <c r="E12113" s="1050"/>
      <c r="F12113" s="1050"/>
      <c r="G12113" s="1050"/>
    </row>
    <row r="12114" spans="1:7">
      <c r="A12114" s="1079"/>
      <c r="B12114" s="1050"/>
      <c r="C12114" s="1050"/>
      <c r="D12114" s="1050"/>
      <c r="E12114" s="1050"/>
      <c r="F12114" s="1050"/>
      <c r="G12114" s="1050"/>
    </row>
    <row r="12115" spans="1:7">
      <c r="A12115" s="1079"/>
      <c r="B12115" s="1050"/>
      <c r="C12115" s="1050"/>
      <c r="D12115" s="1050"/>
      <c r="E12115" s="1050"/>
      <c r="F12115" s="1050"/>
      <c r="G12115" s="1050"/>
    </row>
    <row r="12116" spans="1:7">
      <c r="A12116" s="1079"/>
      <c r="B12116" s="1050"/>
      <c r="C12116" s="1050"/>
      <c r="D12116" s="1050"/>
      <c r="E12116" s="1050"/>
      <c r="F12116" s="1050"/>
      <c r="G12116" s="1050"/>
    </row>
    <row r="12117" spans="1:7">
      <c r="A12117" s="1079"/>
      <c r="B12117" s="1050"/>
      <c r="C12117" s="1050"/>
      <c r="D12117" s="1050"/>
      <c r="E12117" s="1050"/>
      <c r="F12117" s="1050"/>
      <c r="G12117" s="1050"/>
    </row>
    <row r="12118" spans="1:7">
      <c r="A12118" s="1079"/>
      <c r="B12118" s="1050"/>
      <c r="C12118" s="1050"/>
      <c r="D12118" s="1050"/>
      <c r="E12118" s="1050"/>
      <c r="F12118" s="1050"/>
      <c r="G12118" s="1050"/>
    </row>
    <row r="12119" spans="1:7">
      <c r="A12119" s="1079"/>
      <c r="B12119" s="1050"/>
      <c r="C12119" s="1050"/>
      <c r="D12119" s="1050"/>
      <c r="E12119" s="1050"/>
      <c r="F12119" s="1050"/>
      <c r="G12119" s="1050"/>
    </row>
    <row r="12120" spans="1:7">
      <c r="A12120" s="1079"/>
      <c r="B12120" s="1050"/>
      <c r="C12120" s="1050"/>
      <c r="D12120" s="1050"/>
      <c r="E12120" s="1050"/>
      <c r="F12120" s="1050"/>
      <c r="G12120" s="1050"/>
    </row>
    <row r="12121" spans="1:7">
      <c r="A12121" s="1079"/>
      <c r="B12121" s="1050"/>
      <c r="C12121" s="1050"/>
      <c r="D12121" s="1050"/>
      <c r="E12121" s="1050"/>
      <c r="F12121" s="1050"/>
      <c r="G12121" s="1050"/>
    </row>
    <row r="12122" spans="1:7">
      <c r="A12122" s="1079"/>
      <c r="B12122" s="1050"/>
      <c r="C12122" s="1050"/>
      <c r="D12122" s="1050"/>
      <c r="E12122" s="1050"/>
      <c r="F12122" s="1050"/>
      <c r="G12122" s="1050"/>
    </row>
    <row r="12123" spans="1:7">
      <c r="A12123" s="1079"/>
      <c r="B12123" s="1050"/>
      <c r="C12123" s="1050"/>
      <c r="D12123" s="1050"/>
      <c r="E12123" s="1050"/>
      <c r="F12123" s="1050"/>
      <c r="G12123" s="1050"/>
    </row>
    <row r="12124" spans="1:7">
      <c r="A12124" s="1079"/>
      <c r="B12124" s="1050"/>
      <c r="C12124" s="1050"/>
      <c r="D12124" s="1050"/>
      <c r="E12124" s="1050"/>
      <c r="F12124" s="1050"/>
      <c r="G12124" s="1050"/>
    </row>
    <row r="12125" spans="1:7">
      <c r="A12125" s="1079"/>
      <c r="B12125" s="1050"/>
      <c r="C12125" s="1050"/>
      <c r="D12125" s="1050"/>
      <c r="E12125" s="1050"/>
      <c r="F12125" s="1050"/>
      <c r="G12125" s="1050"/>
    </row>
    <row r="12126" spans="1:7">
      <c r="A12126" s="1079"/>
      <c r="B12126" s="1050"/>
      <c r="C12126" s="1050"/>
      <c r="D12126" s="1050"/>
      <c r="E12126" s="1050"/>
      <c r="F12126" s="1050"/>
      <c r="G12126" s="1050"/>
    </row>
    <row r="12127" spans="1:7">
      <c r="A12127" s="1079"/>
      <c r="B12127" s="1050"/>
      <c r="C12127" s="1050"/>
      <c r="D12127" s="1050"/>
      <c r="E12127" s="1050"/>
      <c r="F12127" s="1050"/>
      <c r="G12127" s="1050"/>
    </row>
    <row r="12128" spans="1:7">
      <c r="A12128" s="1079"/>
      <c r="B12128" s="1050"/>
      <c r="C12128" s="1050"/>
      <c r="D12128" s="1050"/>
      <c r="E12128" s="1050"/>
      <c r="F12128" s="1050"/>
      <c r="G12128" s="1050"/>
    </row>
    <row r="12129" spans="1:7">
      <c r="A12129" s="1079"/>
      <c r="B12129" s="1050"/>
      <c r="C12129" s="1050"/>
      <c r="D12129" s="1050"/>
      <c r="E12129" s="1050"/>
      <c r="F12129" s="1050"/>
      <c r="G12129" s="1050"/>
    </row>
    <row r="12130" spans="1:7">
      <c r="A12130" s="1079"/>
      <c r="B12130" s="1050"/>
      <c r="C12130" s="1050"/>
      <c r="D12130" s="1050"/>
      <c r="E12130" s="1050"/>
      <c r="F12130" s="1050"/>
      <c r="G12130" s="1050"/>
    </row>
    <row r="12131" spans="1:7">
      <c r="A12131" s="1079"/>
      <c r="B12131" s="1050"/>
      <c r="C12131" s="1050"/>
      <c r="D12131" s="1050"/>
      <c r="E12131" s="1050"/>
      <c r="F12131" s="1050"/>
      <c r="G12131" s="1050"/>
    </row>
    <row r="12132" spans="1:7">
      <c r="A12132" s="1079"/>
      <c r="B12132" s="1050"/>
      <c r="C12132" s="1050"/>
      <c r="D12132" s="1050"/>
      <c r="E12132" s="1050"/>
      <c r="F12132" s="1050"/>
      <c r="G12132" s="1050"/>
    </row>
    <row r="12133" spans="1:7">
      <c r="A12133" s="1079"/>
      <c r="B12133" s="1050"/>
      <c r="C12133" s="1050"/>
      <c r="D12133" s="1050"/>
      <c r="E12133" s="1050"/>
      <c r="F12133" s="1050"/>
      <c r="G12133" s="1050"/>
    </row>
    <row r="12134" spans="1:7">
      <c r="A12134" s="1079"/>
      <c r="B12134" s="1050"/>
      <c r="C12134" s="1050"/>
      <c r="D12134" s="1050"/>
      <c r="E12134" s="1050"/>
      <c r="F12134" s="1050"/>
      <c r="G12134" s="1050"/>
    </row>
    <row r="12135" spans="1:7">
      <c r="A12135" s="1079"/>
      <c r="B12135" s="1050"/>
      <c r="C12135" s="1050"/>
      <c r="D12135" s="1050"/>
      <c r="E12135" s="1050"/>
      <c r="F12135" s="1050"/>
      <c r="G12135" s="1050"/>
    </row>
    <row r="12136" spans="1:7">
      <c r="A12136" s="1079"/>
      <c r="B12136" s="1050"/>
      <c r="C12136" s="1050"/>
      <c r="D12136" s="1050"/>
      <c r="E12136" s="1050"/>
      <c r="F12136" s="1050"/>
      <c r="G12136" s="1050"/>
    </row>
    <row r="12137" spans="1:7">
      <c r="A12137" s="1079"/>
      <c r="B12137" s="1050"/>
      <c r="C12137" s="1050"/>
      <c r="D12137" s="1050"/>
      <c r="E12137" s="1050"/>
      <c r="F12137" s="1050"/>
      <c r="G12137" s="1050"/>
    </row>
    <row r="12138" spans="1:7">
      <c r="A12138" s="1079"/>
      <c r="B12138" s="1050"/>
      <c r="C12138" s="1050"/>
      <c r="D12138" s="1050"/>
      <c r="E12138" s="1050"/>
      <c r="F12138" s="1050"/>
      <c r="G12138" s="1050"/>
    </row>
    <row r="12139" spans="1:7">
      <c r="A12139" s="1079"/>
      <c r="B12139" s="1050"/>
      <c r="C12139" s="1050"/>
      <c r="D12139" s="1050"/>
      <c r="E12139" s="1050"/>
      <c r="F12139" s="1050"/>
      <c r="G12139" s="1050"/>
    </row>
    <row r="12140" spans="1:7">
      <c r="A12140" s="1079"/>
      <c r="B12140" s="1050"/>
      <c r="C12140" s="1050"/>
      <c r="D12140" s="1050"/>
      <c r="E12140" s="1050"/>
      <c r="F12140" s="1050"/>
      <c r="G12140" s="1050"/>
    </row>
    <row r="12141" spans="1:7">
      <c r="A12141" s="1079"/>
      <c r="B12141" s="1050"/>
      <c r="C12141" s="1050"/>
      <c r="D12141" s="1050"/>
      <c r="E12141" s="1050"/>
      <c r="F12141" s="1050"/>
      <c r="G12141" s="1050"/>
    </row>
    <row r="12142" spans="1:7">
      <c r="A12142" s="1079"/>
      <c r="B12142" s="1050"/>
      <c r="C12142" s="1050"/>
      <c r="D12142" s="1050"/>
      <c r="E12142" s="1050"/>
      <c r="F12142" s="1050"/>
      <c r="G12142" s="1050"/>
    </row>
    <row r="12143" spans="1:7">
      <c r="A12143" s="1079"/>
      <c r="B12143" s="1050"/>
      <c r="C12143" s="1050"/>
      <c r="D12143" s="1050"/>
      <c r="E12143" s="1050"/>
      <c r="F12143" s="1050"/>
      <c r="G12143" s="1050"/>
    </row>
    <row r="12144" spans="1:7">
      <c r="A12144" s="1079"/>
      <c r="B12144" s="1050"/>
      <c r="C12144" s="1050"/>
      <c r="D12144" s="1050"/>
      <c r="E12144" s="1050"/>
      <c r="F12144" s="1050"/>
      <c r="G12144" s="1050"/>
    </row>
    <row r="12145" spans="1:7">
      <c r="A12145" s="1079"/>
      <c r="B12145" s="1050"/>
      <c r="C12145" s="1050"/>
      <c r="D12145" s="1050"/>
      <c r="E12145" s="1050"/>
      <c r="F12145" s="1050"/>
      <c r="G12145" s="1050"/>
    </row>
    <row r="12146" spans="1:7">
      <c r="A12146" s="1079"/>
      <c r="B12146" s="1050"/>
      <c r="C12146" s="1050"/>
      <c r="D12146" s="1050"/>
      <c r="E12146" s="1050"/>
      <c r="F12146" s="1050"/>
      <c r="G12146" s="1050"/>
    </row>
    <row r="12147" spans="1:7">
      <c r="A12147" s="1079"/>
      <c r="B12147" s="1050"/>
      <c r="C12147" s="1050"/>
      <c r="D12147" s="1050"/>
      <c r="E12147" s="1050"/>
      <c r="F12147" s="1050"/>
      <c r="G12147" s="1050"/>
    </row>
    <row r="12148" spans="1:7">
      <c r="A12148" s="1079"/>
      <c r="B12148" s="1050"/>
      <c r="C12148" s="1050"/>
      <c r="D12148" s="1050"/>
      <c r="E12148" s="1050"/>
      <c r="F12148" s="1050"/>
      <c r="G12148" s="1050"/>
    </row>
    <row r="12149" spans="1:7">
      <c r="A12149" s="1079"/>
      <c r="B12149" s="1050"/>
      <c r="C12149" s="1050"/>
      <c r="D12149" s="1050"/>
      <c r="E12149" s="1050"/>
      <c r="F12149" s="1050"/>
      <c r="G12149" s="1050"/>
    </row>
    <row r="12150" spans="1:7">
      <c r="A12150" s="1079"/>
      <c r="B12150" s="1050"/>
      <c r="C12150" s="1050"/>
      <c r="D12150" s="1050"/>
      <c r="E12150" s="1050"/>
      <c r="F12150" s="1050"/>
      <c r="G12150" s="1050"/>
    </row>
    <row r="12151" spans="1:7">
      <c r="A12151" s="1079"/>
      <c r="B12151" s="1050"/>
      <c r="C12151" s="1050"/>
      <c r="D12151" s="1050"/>
      <c r="E12151" s="1050"/>
      <c r="F12151" s="1050"/>
      <c r="G12151" s="1050"/>
    </row>
    <row r="12152" spans="1:7">
      <c r="A12152" s="1079"/>
      <c r="B12152" s="1050"/>
      <c r="C12152" s="1050"/>
      <c r="D12152" s="1050"/>
      <c r="E12152" s="1050"/>
      <c r="F12152" s="1050"/>
      <c r="G12152" s="1050"/>
    </row>
    <row r="12153" spans="1:7">
      <c r="A12153" s="1079"/>
      <c r="B12153" s="1050"/>
      <c r="C12153" s="1050"/>
      <c r="D12153" s="1050"/>
      <c r="E12153" s="1050"/>
      <c r="F12153" s="1050"/>
      <c r="G12153" s="1050"/>
    </row>
    <row r="12154" spans="1:7">
      <c r="A12154" s="1079"/>
      <c r="B12154" s="1050"/>
      <c r="C12154" s="1050"/>
      <c r="D12154" s="1050"/>
      <c r="E12154" s="1050"/>
      <c r="F12154" s="1050"/>
      <c r="G12154" s="1050"/>
    </row>
    <row r="12155" spans="1:7">
      <c r="A12155" s="1079"/>
      <c r="B12155" s="1050"/>
      <c r="C12155" s="1050"/>
      <c r="D12155" s="1050"/>
      <c r="E12155" s="1050"/>
      <c r="F12155" s="1050"/>
      <c r="G12155" s="1050"/>
    </row>
    <row r="12156" spans="1:7">
      <c r="A12156" s="1079"/>
      <c r="B12156" s="1050"/>
      <c r="C12156" s="1050"/>
      <c r="D12156" s="1050"/>
      <c r="E12156" s="1050"/>
      <c r="F12156" s="1050"/>
      <c r="G12156" s="1050"/>
    </row>
    <row r="12157" spans="1:7">
      <c r="A12157" s="1079"/>
      <c r="B12157" s="1050"/>
      <c r="C12157" s="1050"/>
      <c r="D12157" s="1050"/>
      <c r="E12157" s="1050"/>
      <c r="F12157" s="1050"/>
      <c r="G12157" s="1050"/>
    </row>
    <row r="12158" spans="1:7">
      <c r="A12158" s="1079"/>
      <c r="B12158" s="1050"/>
      <c r="C12158" s="1050"/>
      <c r="D12158" s="1050"/>
      <c r="E12158" s="1050"/>
      <c r="F12158" s="1050"/>
      <c r="G12158" s="1050"/>
    </row>
    <row r="12159" spans="1:7">
      <c r="A12159" s="1079"/>
      <c r="B12159" s="1050"/>
      <c r="C12159" s="1050"/>
      <c r="D12159" s="1050"/>
      <c r="E12159" s="1050"/>
      <c r="F12159" s="1050"/>
      <c r="G12159" s="1050"/>
    </row>
    <row r="12160" spans="1:7">
      <c r="A12160" s="1079"/>
      <c r="B12160" s="1050"/>
      <c r="C12160" s="1050"/>
      <c r="D12160" s="1050"/>
      <c r="E12160" s="1050"/>
      <c r="F12160" s="1050"/>
      <c r="G12160" s="1050"/>
    </row>
    <row r="12161" spans="1:7">
      <c r="A12161" s="1079"/>
      <c r="B12161" s="1050"/>
      <c r="C12161" s="1050"/>
      <c r="D12161" s="1050"/>
      <c r="E12161" s="1050"/>
      <c r="F12161" s="1050"/>
      <c r="G12161" s="1050"/>
    </row>
    <row r="12162" spans="1:7">
      <c r="A12162" s="1079"/>
      <c r="B12162" s="1050"/>
      <c r="C12162" s="1050"/>
      <c r="D12162" s="1050"/>
      <c r="E12162" s="1050"/>
      <c r="F12162" s="1050"/>
      <c r="G12162" s="1050"/>
    </row>
    <row r="12163" spans="1:7">
      <c r="A12163" s="1079"/>
      <c r="B12163" s="1050"/>
      <c r="C12163" s="1050"/>
      <c r="D12163" s="1050"/>
      <c r="E12163" s="1050"/>
      <c r="F12163" s="1050"/>
      <c r="G12163" s="1050"/>
    </row>
    <row r="12164" spans="1:7">
      <c r="A12164" s="1079"/>
      <c r="B12164" s="1050"/>
      <c r="C12164" s="1050"/>
      <c r="D12164" s="1050"/>
      <c r="E12164" s="1050"/>
      <c r="F12164" s="1050"/>
      <c r="G12164" s="1050"/>
    </row>
    <row r="12165" spans="1:7">
      <c r="A12165" s="1079"/>
      <c r="B12165" s="1050"/>
      <c r="C12165" s="1050"/>
      <c r="D12165" s="1050"/>
      <c r="E12165" s="1050"/>
      <c r="F12165" s="1050"/>
      <c r="G12165" s="1050"/>
    </row>
    <row r="12166" spans="1:7">
      <c r="A12166" s="1079"/>
      <c r="B12166" s="1050"/>
      <c r="C12166" s="1050"/>
      <c r="D12166" s="1050"/>
      <c r="E12166" s="1050"/>
      <c r="F12166" s="1050"/>
      <c r="G12166" s="1050"/>
    </row>
    <row r="12167" spans="1:7">
      <c r="A12167" s="1079"/>
      <c r="B12167" s="1050"/>
      <c r="C12167" s="1050"/>
      <c r="D12167" s="1050"/>
      <c r="E12167" s="1050"/>
      <c r="F12167" s="1050"/>
      <c r="G12167" s="1050"/>
    </row>
    <row r="12168" spans="1:7">
      <c r="A12168" s="1079"/>
      <c r="B12168" s="1050"/>
      <c r="C12168" s="1050"/>
      <c r="D12168" s="1050"/>
      <c r="E12168" s="1050"/>
      <c r="F12168" s="1050"/>
      <c r="G12168" s="1050"/>
    </row>
    <row r="12169" spans="1:7">
      <c r="A12169" s="1079"/>
      <c r="B12169" s="1050"/>
      <c r="C12169" s="1050"/>
      <c r="D12169" s="1050"/>
      <c r="E12169" s="1050"/>
      <c r="F12169" s="1050"/>
      <c r="G12169" s="1050"/>
    </row>
    <row r="12170" spans="1:7">
      <c r="A12170" s="1079"/>
      <c r="B12170" s="1050"/>
      <c r="C12170" s="1050"/>
      <c r="D12170" s="1050"/>
      <c r="E12170" s="1050"/>
      <c r="F12170" s="1050"/>
      <c r="G12170" s="1050"/>
    </row>
    <row r="12171" spans="1:7">
      <c r="A12171" s="1079"/>
      <c r="B12171" s="1050"/>
      <c r="C12171" s="1050"/>
      <c r="D12171" s="1050"/>
      <c r="E12171" s="1050"/>
      <c r="F12171" s="1050"/>
      <c r="G12171" s="1050"/>
    </row>
    <row r="12172" spans="1:7">
      <c r="A12172" s="1079"/>
      <c r="B12172" s="1050"/>
      <c r="C12172" s="1050"/>
      <c r="D12172" s="1050"/>
      <c r="E12172" s="1050"/>
      <c r="F12172" s="1050"/>
      <c r="G12172" s="1050"/>
    </row>
    <row r="12173" spans="1:7">
      <c r="A12173" s="1079"/>
      <c r="B12173" s="1050"/>
      <c r="C12173" s="1050"/>
      <c r="D12173" s="1050"/>
      <c r="E12173" s="1050"/>
      <c r="F12173" s="1050"/>
      <c r="G12173" s="1050"/>
    </row>
    <row r="12174" spans="1:7">
      <c r="A12174" s="1079"/>
      <c r="B12174" s="1050"/>
      <c r="C12174" s="1050"/>
      <c r="D12174" s="1050"/>
      <c r="E12174" s="1050"/>
      <c r="F12174" s="1050"/>
      <c r="G12174" s="1050"/>
    </row>
    <row r="12175" spans="1:7">
      <c r="A12175" s="1079"/>
      <c r="B12175" s="1050"/>
      <c r="C12175" s="1050"/>
      <c r="D12175" s="1050"/>
      <c r="E12175" s="1050"/>
      <c r="F12175" s="1050"/>
      <c r="G12175" s="1050"/>
    </row>
    <row r="12176" spans="1:7">
      <c r="A12176" s="1079"/>
      <c r="B12176" s="1050"/>
      <c r="C12176" s="1050"/>
      <c r="D12176" s="1050"/>
      <c r="E12176" s="1050"/>
      <c r="F12176" s="1050"/>
      <c r="G12176" s="1050"/>
    </row>
    <row r="12177" spans="1:7">
      <c r="A12177" s="1079"/>
      <c r="B12177" s="1050"/>
      <c r="C12177" s="1050"/>
      <c r="D12177" s="1050"/>
      <c r="E12177" s="1050"/>
      <c r="F12177" s="1050"/>
      <c r="G12177" s="1050"/>
    </row>
    <row r="12178" spans="1:7">
      <c r="A12178" s="1079"/>
      <c r="B12178" s="1050"/>
      <c r="C12178" s="1050"/>
      <c r="D12178" s="1050"/>
      <c r="E12178" s="1050"/>
      <c r="F12178" s="1050"/>
      <c r="G12178" s="1050"/>
    </row>
    <row r="12179" spans="1:7">
      <c r="A12179" s="1079"/>
      <c r="B12179" s="1050"/>
      <c r="C12179" s="1050"/>
      <c r="D12179" s="1050"/>
      <c r="E12179" s="1050"/>
      <c r="F12179" s="1050"/>
      <c r="G12179" s="1050"/>
    </row>
    <row r="12180" spans="1:7">
      <c r="A12180" s="1079"/>
      <c r="B12180" s="1050"/>
      <c r="C12180" s="1050"/>
      <c r="D12180" s="1050"/>
      <c r="E12180" s="1050"/>
      <c r="F12180" s="1050"/>
      <c r="G12180" s="1050"/>
    </row>
    <row r="12181" spans="1:7">
      <c r="A12181" s="1079"/>
      <c r="B12181" s="1050"/>
      <c r="C12181" s="1050"/>
      <c r="D12181" s="1050"/>
      <c r="E12181" s="1050"/>
      <c r="F12181" s="1050"/>
      <c r="G12181" s="1050"/>
    </row>
    <row r="12182" spans="1:7">
      <c r="A12182" s="1079"/>
      <c r="B12182" s="1050"/>
      <c r="C12182" s="1050"/>
      <c r="D12182" s="1050"/>
      <c r="E12182" s="1050"/>
      <c r="F12182" s="1050"/>
      <c r="G12182" s="1050"/>
    </row>
    <row r="12183" spans="1:7">
      <c r="A12183" s="1079"/>
      <c r="B12183" s="1050"/>
      <c r="C12183" s="1050"/>
      <c r="D12183" s="1050"/>
      <c r="E12183" s="1050"/>
      <c r="F12183" s="1050"/>
      <c r="G12183" s="1050"/>
    </row>
    <row r="12184" spans="1:7">
      <c r="A12184" s="1079"/>
      <c r="B12184" s="1050"/>
      <c r="C12184" s="1050"/>
      <c r="D12184" s="1050"/>
      <c r="E12184" s="1050"/>
      <c r="F12184" s="1050"/>
      <c r="G12184" s="1050"/>
    </row>
    <row r="12185" spans="1:7">
      <c r="A12185" s="1079"/>
      <c r="B12185" s="1050"/>
      <c r="C12185" s="1050"/>
      <c r="D12185" s="1050"/>
      <c r="E12185" s="1050"/>
      <c r="F12185" s="1050"/>
      <c r="G12185" s="1050"/>
    </row>
    <row r="12186" spans="1:7">
      <c r="A12186" s="1079"/>
      <c r="B12186" s="1050"/>
      <c r="C12186" s="1050"/>
      <c r="D12186" s="1050"/>
      <c r="E12186" s="1050"/>
      <c r="F12186" s="1050"/>
      <c r="G12186" s="1050"/>
    </row>
    <row r="12187" spans="1:7">
      <c r="A12187" s="1079"/>
      <c r="B12187" s="1050"/>
      <c r="C12187" s="1050"/>
      <c r="D12187" s="1050"/>
      <c r="E12187" s="1050"/>
      <c r="F12187" s="1050"/>
      <c r="G12187" s="1050"/>
    </row>
    <row r="12188" spans="1:7">
      <c r="A12188" s="1079"/>
      <c r="B12188" s="1050"/>
      <c r="C12188" s="1050"/>
      <c r="D12188" s="1050"/>
      <c r="E12188" s="1050"/>
      <c r="F12188" s="1050"/>
      <c r="G12188" s="1050"/>
    </row>
    <row r="12189" spans="1:7">
      <c r="A12189" s="1079"/>
      <c r="B12189" s="1050"/>
      <c r="C12189" s="1050"/>
      <c r="D12189" s="1050"/>
      <c r="E12189" s="1050"/>
      <c r="F12189" s="1050"/>
      <c r="G12189" s="1050"/>
    </row>
    <row r="12190" spans="1:7">
      <c r="A12190" s="1079"/>
      <c r="B12190" s="1050"/>
      <c r="C12190" s="1050"/>
      <c r="D12190" s="1050"/>
      <c r="E12190" s="1050"/>
      <c r="F12190" s="1050"/>
      <c r="G12190" s="1050"/>
    </row>
    <row r="12191" spans="1:7">
      <c r="A12191" s="1079"/>
      <c r="B12191" s="1050"/>
      <c r="C12191" s="1050"/>
      <c r="D12191" s="1050"/>
      <c r="E12191" s="1050"/>
      <c r="F12191" s="1050"/>
      <c r="G12191" s="1050"/>
    </row>
    <row r="12192" spans="1:7">
      <c r="A12192" s="1079"/>
      <c r="B12192" s="1050"/>
      <c r="C12192" s="1050"/>
      <c r="D12192" s="1050"/>
      <c r="E12192" s="1050"/>
      <c r="F12192" s="1050"/>
      <c r="G12192" s="1050"/>
    </row>
    <row r="12193" spans="1:7">
      <c r="A12193" s="1079"/>
      <c r="B12193" s="1050"/>
      <c r="C12193" s="1050"/>
      <c r="D12193" s="1050"/>
      <c r="E12193" s="1050"/>
      <c r="F12193" s="1050"/>
      <c r="G12193" s="1050"/>
    </row>
    <row r="12194" spans="1:7">
      <c r="A12194" s="1079"/>
      <c r="B12194" s="1050"/>
      <c r="C12194" s="1050"/>
      <c r="D12194" s="1050"/>
      <c r="E12194" s="1050"/>
      <c r="F12194" s="1050"/>
      <c r="G12194" s="1050"/>
    </row>
    <row r="12195" spans="1:7">
      <c r="A12195" s="1079"/>
      <c r="B12195" s="1050"/>
      <c r="C12195" s="1050"/>
      <c r="D12195" s="1050"/>
      <c r="E12195" s="1050"/>
      <c r="F12195" s="1050"/>
      <c r="G12195" s="1050"/>
    </row>
    <row r="12196" spans="1:7">
      <c r="A12196" s="1079"/>
      <c r="B12196" s="1050"/>
      <c r="C12196" s="1050"/>
      <c r="D12196" s="1050"/>
      <c r="E12196" s="1050"/>
      <c r="F12196" s="1050"/>
      <c r="G12196" s="1050"/>
    </row>
    <row r="12197" spans="1:7">
      <c r="A12197" s="1079"/>
      <c r="B12197" s="1050"/>
      <c r="C12197" s="1050"/>
      <c r="D12197" s="1050"/>
      <c r="E12197" s="1050"/>
      <c r="F12197" s="1050"/>
      <c r="G12197" s="1050"/>
    </row>
    <row r="12198" spans="1:7">
      <c r="A12198" s="1079"/>
      <c r="B12198" s="1050"/>
      <c r="C12198" s="1050"/>
      <c r="D12198" s="1050"/>
      <c r="E12198" s="1050"/>
      <c r="F12198" s="1050"/>
      <c r="G12198" s="1050"/>
    </row>
    <row r="12199" spans="1:7">
      <c r="A12199" s="1079"/>
      <c r="B12199" s="1050"/>
      <c r="C12199" s="1050"/>
      <c r="D12199" s="1050"/>
      <c r="E12199" s="1050"/>
      <c r="F12199" s="1050"/>
      <c r="G12199" s="1050"/>
    </row>
    <row r="12200" spans="1:7">
      <c r="A12200" s="1079"/>
      <c r="B12200" s="1050"/>
      <c r="C12200" s="1050"/>
      <c r="D12200" s="1050"/>
      <c r="E12200" s="1050"/>
      <c r="F12200" s="1050"/>
      <c r="G12200" s="1050"/>
    </row>
    <row r="12201" spans="1:7">
      <c r="A12201" s="1079"/>
      <c r="B12201" s="1050"/>
      <c r="C12201" s="1050"/>
      <c r="D12201" s="1050"/>
      <c r="E12201" s="1050"/>
      <c r="F12201" s="1050"/>
      <c r="G12201" s="1050"/>
    </row>
    <row r="12202" spans="1:7">
      <c r="A12202" s="1079"/>
      <c r="B12202" s="1050"/>
      <c r="C12202" s="1050"/>
      <c r="D12202" s="1050"/>
      <c r="E12202" s="1050"/>
      <c r="F12202" s="1050"/>
      <c r="G12202" s="1050"/>
    </row>
    <row r="12203" spans="1:7">
      <c r="A12203" s="1079"/>
      <c r="B12203" s="1050"/>
      <c r="C12203" s="1050"/>
      <c r="D12203" s="1050"/>
      <c r="E12203" s="1050"/>
      <c r="F12203" s="1050"/>
      <c r="G12203" s="1050"/>
    </row>
    <row r="12204" spans="1:7">
      <c r="A12204" s="1079"/>
      <c r="B12204" s="1050"/>
      <c r="C12204" s="1050"/>
      <c r="D12204" s="1050"/>
      <c r="E12204" s="1050"/>
      <c r="F12204" s="1050"/>
      <c r="G12204" s="1050"/>
    </row>
    <row r="12205" spans="1:7">
      <c r="A12205" s="1079"/>
      <c r="B12205" s="1050"/>
      <c r="C12205" s="1050"/>
      <c r="D12205" s="1050"/>
      <c r="E12205" s="1050"/>
      <c r="F12205" s="1050"/>
      <c r="G12205" s="1050"/>
    </row>
    <row r="12206" spans="1:7">
      <c r="A12206" s="1079"/>
      <c r="B12206" s="1050"/>
      <c r="C12206" s="1050"/>
      <c r="D12206" s="1050"/>
      <c r="E12206" s="1050"/>
      <c r="F12206" s="1050"/>
      <c r="G12206" s="1050"/>
    </row>
    <row r="12207" spans="1:7">
      <c r="A12207" s="1079"/>
      <c r="B12207" s="1050"/>
      <c r="C12207" s="1050"/>
      <c r="D12207" s="1050"/>
      <c r="E12207" s="1050"/>
      <c r="F12207" s="1050"/>
      <c r="G12207" s="1050"/>
    </row>
    <row r="12208" spans="1:7">
      <c r="A12208" s="1079"/>
      <c r="B12208" s="1050"/>
      <c r="C12208" s="1050"/>
      <c r="D12208" s="1050"/>
      <c r="E12208" s="1050"/>
      <c r="F12208" s="1050"/>
      <c r="G12208" s="1050"/>
    </row>
    <row r="12209" spans="1:7">
      <c r="A12209" s="1079"/>
      <c r="B12209" s="1050"/>
      <c r="C12209" s="1050"/>
      <c r="D12209" s="1050"/>
      <c r="E12209" s="1050"/>
      <c r="F12209" s="1050"/>
      <c r="G12209" s="1050"/>
    </row>
    <row r="12210" spans="1:7">
      <c r="A12210" s="1079"/>
      <c r="B12210" s="1050"/>
      <c r="C12210" s="1050"/>
      <c r="D12210" s="1050"/>
      <c r="E12210" s="1050"/>
      <c r="F12210" s="1050"/>
      <c r="G12210" s="1050"/>
    </row>
    <row r="12211" spans="1:7">
      <c r="A12211" s="1079"/>
      <c r="B12211" s="1050"/>
      <c r="C12211" s="1050"/>
      <c r="D12211" s="1050"/>
      <c r="E12211" s="1050"/>
      <c r="F12211" s="1050"/>
      <c r="G12211" s="1050"/>
    </row>
    <row r="12212" spans="1:7">
      <c r="A12212" s="1079"/>
      <c r="B12212" s="1050"/>
      <c r="C12212" s="1050"/>
      <c r="D12212" s="1050"/>
      <c r="E12212" s="1050"/>
      <c r="F12212" s="1050"/>
      <c r="G12212" s="1050"/>
    </row>
    <row r="12213" spans="1:7">
      <c r="A12213" s="1079"/>
      <c r="B12213" s="1050"/>
      <c r="C12213" s="1050"/>
      <c r="D12213" s="1050"/>
      <c r="E12213" s="1050"/>
      <c r="F12213" s="1050"/>
      <c r="G12213" s="1050"/>
    </row>
    <row r="12214" spans="1:7">
      <c r="A12214" s="1079"/>
      <c r="B12214" s="1050"/>
      <c r="C12214" s="1050"/>
      <c r="D12214" s="1050"/>
      <c r="E12214" s="1050"/>
      <c r="F12214" s="1050"/>
      <c r="G12214" s="1050"/>
    </row>
    <row r="12215" spans="1:7">
      <c r="A12215" s="1079"/>
      <c r="B12215" s="1050"/>
      <c r="C12215" s="1050"/>
      <c r="D12215" s="1050"/>
      <c r="E12215" s="1050"/>
      <c r="F12215" s="1050"/>
      <c r="G12215" s="1050"/>
    </row>
    <row r="12216" spans="1:7">
      <c r="A12216" s="1079"/>
      <c r="B12216" s="1050"/>
      <c r="C12216" s="1050"/>
      <c r="D12216" s="1050"/>
      <c r="E12216" s="1050"/>
      <c r="F12216" s="1050"/>
      <c r="G12216" s="1050"/>
    </row>
    <row r="12217" spans="1:7">
      <c r="A12217" s="1079"/>
      <c r="B12217" s="1050"/>
      <c r="C12217" s="1050"/>
      <c r="D12217" s="1050"/>
      <c r="E12217" s="1050"/>
      <c r="F12217" s="1050"/>
      <c r="G12217" s="1050"/>
    </row>
    <row r="12218" spans="1:7">
      <c r="A12218" s="1079"/>
      <c r="B12218" s="1050"/>
      <c r="C12218" s="1050"/>
      <c r="D12218" s="1050"/>
      <c r="E12218" s="1050"/>
      <c r="F12218" s="1050"/>
      <c r="G12218" s="1050"/>
    </row>
    <row r="12219" spans="1:7">
      <c r="A12219" s="1079"/>
      <c r="B12219" s="1050"/>
      <c r="C12219" s="1050"/>
      <c r="D12219" s="1050"/>
      <c r="E12219" s="1050"/>
      <c r="F12219" s="1050"/>
      <c r="G12219" s="1050"/>
    </row>
    <row r="12220" spans="1:7">
      <c r="A12220" s="1079"/>
      <c r="B12220" s="1050"/>
      <c r="C12220" s="1050"/>
      <c r="D12220" s="1050"/>
      <c r="E12220" s="1050"/>
      <c r="F12220" s="1050"/>
      <c r="G12220" s="1050"/>
    </row>
    <row r="12221" spans="1:7">
      <c r="A12221" s="1079"/>
      <c r="B12221" s="1050"/>
      <c r="C12221" s="1050"/>
      <c r="D12221" s="1050"/>
      <c r="E12221" s="1050"/>
      <c r="F12221" s="1050"/>
      <c r="G12221" s="1050"/>
    </row>
    <row r="12222" spans="1:7">
      <c r="A12222" s="1079"/>
      <c r="B12222" s="1050"/>
      <c r="C12222" s="1050"/>
      <c r="D12222" s="1050"/>
      <c r="E12222" s="1050"/>
      <c r="F12222" s="1050"/>
      <c r="G12222" s="1050"/>
    </row>
    <row r="12223" spans="1:7">
      <c r="A12223" s="1079"/>
      <c r="B12223" s="1050"/>
      <c r="C12223" s="1050"/>
      <c r="D12223" s="1050"/>
      <c r="E12223" s="1050"/>
      <c r="F12223" s="1050"/>
      <c r="G12223" s="1050"/>
    </row>
    <row r="12224" spans="1:7">
      <c r="A12224" s="1079"/>
      <c r="B12224" s="1050"/>
      <c r="C12224" s="1050"/>
      <c r="D12224" s="1050"/>
      <c r="E12224" s="1050"/>
      <c r="F12224" s="1050"/>
      <c r="G12224" s="1050"/>
    </row>
    <row r="12225" spans="1:7">
      <c r="A12225" s="1079"/>
      <c r="B12225" s="1050"/>
      <c r="C12225" s="1050"/>
      <c r="D12225" s="1050"/>
      <c r="E12225" s="1050"/>
      <c r="F12225" s="1050"/>
      <c r="G12225" s="1050"/>
    </row>
    <row r="12226" spans="1:7">
      <c r="A12226" s="1079"/>
      <c r="B12226" s="1050"/>
      <c r="C12226" s="1050"/>
      <c r="D12226" s="1050"/>
      <c r="E12226" s="1050"/>
      <c r="F12226" s="1050"/>
      <c r="G12226" s="1050"/>
    </row>
    <row r="12227" spans="1:7">
      <c r="A12227" s="1079"/>
      <c r="B12227" s="1050"/>
      <c r="C12227" s="1050"/>
      <c r="D12227" s="1050"/>
      <c r="E12227" s="1050"/>
      <c r="F12227" s="1050"/>
      <c r="G12227" s="1050"/>
    </row>
    <row r="12228" spans="1:7">
      <c r="A12228" s="1079"/>
      <c r="B12228" s="1050"/>
      <c r="C12228" s="1050"/>
      <c r="D12228" s="1050"/>
      <c r="E12228" s="1050"/>
      <c r="F12228" s="1050"/>
      <c r="G12228" s="1050"/>
    </row>
    <row r="12229" spans="1:7">
      <c r="A12229" s="1079"/>
      <c r="B12229" s="1050"/>
      <c r="C12229" s="1050"/>
      <c r="D12229" s="1050"/>
      <c r="E12229" s="1050"/>
      <c r="F12229" s="1050"/>
      <c r="G12229" s="1050"/>
    </row>
    <row r="12230" spans="1:7">
      <c r="A12230" s="1079"/>
      <c r="B12230" s="1050"/>
      <c r="C12230" s="1050"/>
      <c r="D12230" s="1050"/>
      <c r="E12230" s="1050"/>
      <c r="F12230" s="1050"/>
      <c r="G12230" s="1050"/>
    </row>
    <row r="12231" spans="1:7">
      <c r="A12231" s="1079"/>
      <c r="B12231" s="1050"/>
      <c r="C12231" s="1050"/>
      <c r="D12231" s="1050"/>
      <c r="E12231" s="1050"/>
      <c r="F12231" s="1050"/>
      <c r="G12231" s="1050"/>
    </row>
    <row r="12232" spans="1:7">
      <c r="A12232" s="1079"/>
      <c r="B12232" s="1050"/>
      <c r="C12232" s="1050"/>
      <c r="D12232" s="1050"/>
      <c r="E12232" s="1050"/>
      <c r="F12232" s="1050"/>
      <c r="G12232" s="1050"/>
    </row>
    <row r="12233" spans="1:7">
      <c r="A12233" s="1079"/>
      <c r="B12233" s="1050"/>
      <c r="C12233" s="1050"/>
      <c r="D12233" s="1050"/>
      <c r="E12233" s="1050"/>
      <c r="F12233" s="1050"/>
      <c r="G12233" s="1050"/>
    </row>
    <row r="12234" spans="1:7">
      <c r="A12234" s="1079"/>
      <c r="B12234" s="1050"/>
      <c r="C12234" s="1050"/>
      <c r="D12234" s="1050"/>
      <c r="E12234" s="1050"/>
      <c r="F12234" s="1050"/>
      <c r="G12234" s="1050"/>
    </row>
    <row r="12235" spans="1:7">
      <c r="A12235" s="1079"/>
      <c r="B12235" s="1050"/>
      <c r="C12235" s="1050"/>
      <c r="D12235" s="1050"/>
      <c r="E12235" s="1050"/>
      <c r="F12235" s="1050"/>
      <c r="G12235" s="1050"/>
    </row>
    <row r="12236" spans="1:7">
      <c r="A12236" s="1079"/>
      <c r="B12236" s="1050"/>
      <c r="C12236" s="1050"/>
      <c r="D12236" s="1050"/>
      <c r="E12236" s="1050"/>
      <c r="F12236" s="1050"/>
      <c r="G12236" s="1050"/>
    </row>
    <row r="12237" spans="1:7">
      <c r="A12237" s="1079"/>
      <c r="B12237" s="1050"/>
      <c r="C12237" s="1050"/>
      <c r="D12237" s="1050"/>
      <c r="E12237" s="1050"/>
      <c r="F12237" s="1050"/>
      <c r="G12237" s="1050"/>
    </row>
    <row r="12238" spans="1:7">
      <c r="A12238" s="1079"/>
      <c r="B12238" s="1050"/>
      <c r="C12238" s="1050"/>
      <c r="D12238" s="1050"/>
      <c r="E12238" s="1050"/>
      <c r="F12238" s="1050"/>
      <c r="G12238" s="1050"/>
    </row>
    <row r="12239" spans="1:7">
      <c r="A12239" s="1079"/>
      <c r="B12239" s="1050"/>
      <c r="C12239" s="1050"/>
      <c r="D12239" s="1050"/>
      <c r="E12239" s="1050"/>
      <c r="F12239" s="1050"/>
      <c r="G12239" s="1050"/>
    </row>
    <row r="12240" spans="1:7">
      <c r="A12240" s="1079"/>
      <c r="B12240" s="1050"/>
      <c r="C12240" s="1050"/>
      <c r="D12240" s="1050"/>
      <c r="E12240" s="1050"/>
      <c r="F12240" s="1050"/>
      <c r="G12240" s="1050"/>
    </row>
    <row r="12241" spans="1:7">
      <c r="A12241" s="1079"/>
      <c r="B12241" s="1050"/>
      <c r="C12241" s="1050"/>
      <c r="D12241" s="1050"/>
      <c r="E12241" s="1050"/>
      <c r="F12241" s="1050"/>
      <c r="G12241" s="1050"/>
    </row>
    <row r="12242" spans="1:7">
      <c r="A12242" s="1079"/>
      <c r="B12242" s="1050"/>
      <c r="C12242" s="1050"/>
      <c r="D12242" s="1050"/>
      <c r="E12242" s="1050"/>
      <c r="F12242" s="1050"/>
      <c r="G12242" s="1050"/>
    </row>
    <row r="12243" spans="1:7">
      <c r="A12243" s="1079"/>
      <c r="B12243" s="1050"/>
      <c r="C12243" s="1050"/>
      <c r="D12243" s="1050"/>
      <c r="E12243" s="1050"/>
      <c r="F12243" s="1050"/>
      <c r="G12243" s="1050"/>
    </row>
    <row r="12244" spans="1:7">
      <c r="A12244" s="1079"/>
      <c r="B12244" s="1050"/>
      <c r="C12244" s="1050"/>
      <c r="D12244" s="1050"/>
      <c r="E12244" s="1050"/>
      <c r="F12244" s="1050"/>
      <c r="G12244" s="1050"/>
    </row>
    <row r="12245" spans="1:7">
      <c r="A12245" s="1079"/>
      <c r="B12245" s="1050"/>
      <c r="C12245" s="1050"/>
      <c r="D12245" s="1050"/>
      <c r="E12245" s="1050"/>
      <c r="F12245" s="1050"/>
      <c r="G12245" s="1050"/>
    </row>
    <row r="12246" spans="1:7">
      <c r="A12246" s="1079"/>
      <c r="B12246" s="1050"/>
      <c r="C12246" s="1050"/>
      <c r="D12246" s="1050"/>
      <c r="E12246" s="1050"/>
      <c r="F12246" s="1050"/>
      <c r="G12246" s="1050"/>
    </row>
    <row r="12247" spans="1:7">
      <c r="A12247" s="1079"/>
      <c r="B12247" s="1050"/>
      <c r="C12247" s="1050"/>
      <c r="D12247" s="1050"/>
      <c r="E12247" s="1050"/>
      <c r="F12247" s="1050"/>
      <c r="G12247" s="1050"/>
    </row>
    <row r="12248" spans="1:7">
      <c r="A12248" s="1079"/>
      <c r="B12248" s="1050"/>
      <c r="C12248" s="1050"/>
      <c r="D12248" s="1050"/>
      <c r="E12248" s="1050"/>
      <c r="F12248" s="1050"/>
      <c r="G12248" s="1050"/>
    </row>
    <row r="12249" spans="1:7">
      <c r="A12249" s="1079"/>
      <c r="B12249" s="1050"/>
      <c r="C12249" s="1050"/>
      <c r="D12249" s="1050"/>
      <c r="E12249" s="1050"/>
      <c r="F12249" s="1050"/>
      <c r="G12249" s="1050"/>
    </row>
    <row r="12250" spans="1:7">
      <c r="A12250" s="1079"/>
      <c r="B12250" s="1050"/>
      <c r="C12250" s="1050"/>
      <c r="D12250" s="1050"/>
      <c r="E12250" s="1050"/>
      <c r="F12250" s="1050"/>
      <c r="G12250" s="1050"/>
    </row>
    <row r="12251" spans="1:7">
      <c r="A12251" s="1079"/>
      <c r="B12251" s="1050"/>
      <c r="C12251" s="1050"/>
      <c r="D12251" s="1050"/>
      <c r="E12251" s="1050"/>
      <c r="F12251" s="1050"/>
      <c r="G12251" s="1050"/>
    </row>
    <row r="12252" spans="1:7">
      <c r="A12252" s="1079"/>
      <c r="B12252" s="1050"/>
      <c r="C12252" s="1050"/>
      <c r="D12252" s="1050"/>
      <c r="E12252" s="1050"/>
      <c r="F12252" s="1050"/>
      <c r="G12252" s="1050"/>
    </row>
    <row r="12253" spans="1:7">
      <c r="A12253" s="1079"/>
      <c r="B12253" s="1050"/>
      <c r="C12253" s="1050"/>
      <c r="D12253" s="1050"/>
      <c r="E12253" s="1050"/>
      <c r="F12253" s="1050"/>
      <c r="G12253" s="1050"/>
    </row>
    <row r="12254" spans="1:7">
      <c r="A12254" s="1079"/>
      <c r="B12254" s="1050"/>
      <c r="C12254" s="1050"/>
      <c r="D12254" s="1050"/>
      <c r="E12254" s="1050"/>
      <c r="F12254" s="1050"/>
      <c r="G12254" s="1050"/>
    </row>
    <row r="12255" spans="1:7">
      <c r="A12255" s="1079"/>
      <c r="B12255" s="1050"/>
      <c r="C12255" s="1050"/>
      <c r="D12255" s="1050"/>
      <c r="E12255" s="1050"/>
      <c r="F12255" s="1050"/>
      <c r="G12255" s="1050"/>
    </row>
    <row r="12256" spans="1:7">
      <c r="A12256" s="1079"/>
      <c r="B12256" s="1050"/>
      <c r="C12256" s="1050"/>
      <c r="D12256" s="1050"/>
      <c r="E12256" s="1050"/>
      <c r="F12256" s="1050"/>
      <c r="G12256" s="1050"/>
    </row>
    <row r="12257" spans="1:7">
      <c r="A12257" s="1079"/>
      <c r="B12257" s="1050"/>
      <c r="C12257" s="1050"/>
      <c r="D12257" s="1050"/>
      <c r="E12257" s="1050"/>
      <c r="F12257" s="1050"/>
      <c r="G12257" s="1050"/>
    </row>
    <row r="12258" spans="1:7">
      <c r="A12258" s="1079"/>
      <c r="B12258" s="1050"/>
      <c r="C12258" s="1050"/>
      <c r="D12258" s="1050"/>
      <c r="E12258" s="1050"/>
      <c r="F12258" s="1050"/>
      <c r="G12258" s="1050"/>
    </row>
    <row r="12259" spans="1:7">
      <c r="A12259" s="1079"/>
      <c r="B12259" s="1050"/>
      <c r="C12259" s="1050"/>
      <c r="D12259" s="1050"/>
      <c r="E12259" s="1050"/>
      <c r="F12259" s="1050"/>
      <c r="G12259" s="1050"/>
    </row>
    <row r="12260" spans="1:7">
      <c r="A12260" s="1079"/>
      <c r="B12260" s="1050"/>
      <c r="C12260" s="1050"/>
      <c r="D12260" s="1050"/>
      <c r="E12260" s="1050"/>
      <c r="F12260" s="1050"/>
      <c r="G12260" s="1050"/>
    </row>
    <row r="12261" spans="1:7">
      <c r="A12261" s="1079"/>
      <c r="B12261" s="1050"/>
      <c r="C12261" s="1050"/>
      <c r="D12261" s="1050"/>
      <c r="E12261" s="1050"/>
      <c r="F12261" s="1050"/>
      <c r="G12261" s="1050"/>
    </row>
    <row r="12262" spans="1:7">
      <c r="A12262" s="1079"/>
      <c r="B12262" s="1050"/>
      <c r="C12262" s="1050"/>
      <c r="D12262" s="1050"/>
      <c r="E12262" s="1050"/>
      <c r="F12262" s="1050"/>
      <c r="G12262" s="1050"/>
    </row>
    <row r="12263" spans="1:7">
      <c r="A12263" s="1079"/>
      <c r="B12263" s="1050"/>
      <c r="C12263" s="1050"/>
      <c r="D12263" s="1050"/>
      <c r="E12263" s="1050"/>
      <c r="F12263" s="1050"/>
      <c r="G12263" s="1050"/>
    </row>
    <row r="12264" spans="1:7">
      <c r="A12264" s="1079"/>
      <c r="B12264" s="1050"/>
      <c r="C12264" s="1050"/>
      <c r="D12264" s="1050"/>
      <c r="E12264" s="1050"/>
      <c r="F12264" s="1050"/>
      <c r="G12264" s="1050"/>
    </row>
    <row r="12265" spans="1:7">
      <c r="A12265" s="1079"/>
      <c r="B12265" s="1050"/>
      <c r="C12265" s="1050"/>
      <c r="D12265" s="1050"/>
      <c r="E12265" s="1050"/>
      <c r="F12265" s="1050"/>
      <c r="G12265" s="1050"/>
    </row>
    <row r="12266" spans="1:7">
      <c r="A12266" s="1079"/>
      <c r="B12266" s="1050"/>
      <c r="C12266" s="1050"/>
      <c r="D12266" s="1050"/>
      <c r="E12266" s="1050"/>
      <c r="F12266" s="1050"/>
      <c r="G12266" s="1050"/>
    </row>
    <row r="12267" spans="1:7">
      <c r="A12267" s="1079"/>
      <c r="B12267" s="1050"/>
      <c r="C12267" s="1050"/>
      <c r="D12267" s="1050"/>
      <c r="E12267" s="1050"/>
      <c r="F12267" s="1050"/>
      <c r="G12267" s="1050"/>
    </row>
    <row r="12268" spans="1:7">
      <c r="A12268" s="1079"/>
      <c r="B12268" s="1050"/>
      <c r="C12268" s="1050"/>
      <c r="D12268" s="1050"/>
      <c r="E12268" s="1050"/>
      <c r="F12268" s="1050"/>
      <c r="G12268" s="1050"/>
    </row>
    <row r="12269" spans="1:7">
      <c r="A12269" s="1079"/>
      <c r="B12269" s="1050"/>
      <c r="C12269" s="1050"/>
      <c r="D12269" s="1050"/>
      <c r="E12269" s="1050"/>
      <c r="F12269" s="1050"/>
      <c r="G12269" s="1050"/>
    </row>
    <row r="12270" spans="1:7">
      <c r="A12270" s="1079"/>
      <c r="B12270" s="1050"/>
      <c r="C12270" s="1050"/>
      <c r="D12270" s="1050"/>
      <c r="E12270" s="1050"/>
      <c r="F12270" s="1050"/>
      <c r="G12270" s="1050"/>
    </row>
    <row r="12271" spans="1:7">
      <c r="A12271" s="1079"/>
      <c r="B12271" s="1050"/>
      <c r="C12271" s="1050"/>
      <c r="D12271" s="1050"/>
      <c r="E12271" s="1050"/>
      <c r="F12271" s="1050"/>
      <c r="G12271" s="1050"/>
    </row>
    <row r="12272" spans="1:7">
      <c r="A12272" s="1079"/>
      <c r="B12272" s="1050"/>
      <c r="C12272" s="1050"/>
      <c r="D12272" s="1050"/>
      <c r="E12272" s="1050"/>
      <c r="F12272" s="1050"/>
      <c r="G12272" s="1050"/>
    </row>
    <row r="12273" spans="1:7">
      <c r="A12273" s="1079"/>
      <c r="B12273" s="1050"/>
      <c r="C12273" s="1050"/>
      <c r="D12273" s="1050"/>
      <c r="E12273" s="1050"/>
      <c r="F12273" s="1050"/>
      <c r="G12273" s="1050"/>
    </row>
    <row r="12274" spans="1:7">
      <c r="A12274" s="1079"/>
      <c r="B12274" s="1050"/>
      <c r="C12274" s="1050"/>
      <c r="D12274" s="1050"/>
      <c r="E12274" s="1050"/>
      <c r="F12274" s="1050"/>
      <c r="G12274" s="1050"/>
    </row>
    <row r="12275" spans="1:7">
      <c r="A12275" s="1079"/>
      <c r="B12275" s="1050"/>
      <c r="C12275" s="1050"/>
      <c r="D12275" s="1050"/>
      <c r="E12275" s="1050"/>
      <c r="F12275" s="1050"/>
      <c r="G12275" s="1050"/>
    </row>
    <row r="12276" spans="1:7">
      <c r="A12276" s="1079"/>
      <c r="B12276" s="1050"/>
      <c r="C12276" s="1050"/>
      <c r="D12276" s="1050"/>
      <c r="E12276" s="1050"/>
      <c r="F12276" s="1050"/>
      <c r="G12276" s="1050"/>
    </row>
    <row r="12277" spans="1:7">
      <c r="A12277" s="1079"/>
      <c r="B12277" s="1050"/>
      <c r="C12277" s="1050"/>
      <c r="D12277" s="1050"/>
      <c r="E12277" s="1050"/>
      <c r="F12277" s="1050"/>
      <c r="G12277" s="1050"/>
    </row>
    <row r="12278" spans="1:7">
      <c r="A12278" s="1079"/>
      <c r="B12278" s="1050"/>
      <c r="C12278" s="1050"/>
      <c r="D12278" s="1050"/>
      <c r="E12278" s="1050"/>
      <c r="F12278" s="1050"/>
      <c r="G12278" s="1050"/>
    </row>
    <row r="12279" spans="1:7">
      <c r="A12279" s="1079"/>
      <c r="B12279" s="1050"/>
      <c r="C12279" s="1050"/>
      <c r="D12279" s="1050"/>
      <c r="E12279" s="1050"/>
      <c r="F12279" s="1050"/>
      <c r="G12279" s="1050"/>
    </row>
    <row r="12280" spans="1:7">
      <c r="A12280" s="1079"/>
      <c r="B12280" s="1050"/>
      <c r="C12280" s="1050"/>
      <c r="D12280" s="1050"/>
      <c r="E12280" s="1050"/>
      <c r="F12280" s="1050"/>
      <c r="G12280" s="1050"/>
    </row>
    <row r="12281" spans="1:7">
      <c r="A12281" s="1079"/>
      <c r="B12281" s="1050"/>
      <c r="C12281" s="1050"/>
      <c r="D12281" s="1050"/>
      <c r="E12281" s="1050"/>
      <c r="F12281" s="1050"/>
      <c r="G12281" s="1050"/>
    </row>
    <row r="12282" spans="1:7">
      <c r="A12282" s="1079"/>
      <c r="B12282" s="1050"/>
      <c r="C12282" s="1050"/>
      <c r="D12282" s="1050"/>
      <c r="E12282" s="1050"/>
      <c r="F12282" s="1050"/>
      <c r="G12282" s="1050"/>
    </row>
    <row r="12283" spans="1:7">
      <c r="A12283" s="1079"/>
      <c r="B12283" s="1050"/>
      <c r="C12283" s="1050"/>
      <c r="D12283" s="1050"/>
      <c r="E12283" s="1050"/>
      <c r="F12283" s="1050"/>
      <c r="G12283" s="1050"/>
    </row>
    <row r="12284" spans="1:7">
      <c r="A12284" s="1079"/>
      <c r="B12284" s="1050"/>
      <c r="C12284" s="1050"/>
      <c r="D12284" s="1050"/>
      <c r="E12284" s="1050"/>
      <c r="F12284" s="1050"/>
      <c r="G12284" s="1050"/>
    </row>
    <row r="12285" spans="1:7">
      <c r="A12285" s="1079"/>
      <c r="B12285" s="1050"/>
      <c r="C12285" s="1050"/>
      <c r="D12285" s="1050"/>
      <c r="E12285" s="1050"/>
      <c r="F12285" s="1050"/>
      <c r="G12285" s="1050"/>
    </row>
    <row r="12286" spans="1:7">
      <c r="A12286" s="1079"/>
      <c r="B12286" s="1050"/>
      <c r="C12286" s="1050"/>
      <c r="D12286" s="1050"/>
      <c r="E12286" s="1050"/>
      <c r="F12286" s="1050"/>
      <c r="G12286" s="1050"/>
    </row>
    <row r="12287" spans="1:7">
      <c r="A12287" s="1079"/>
      <c r="B12287" s="1050"/>
      <c r="C12287" s="1050"/>
      <c r="D12287" s="1050"/>
      <c r="E12287" s="1050"/>
      <c r="F12287" s="1050"/>
      <c r="G12287" s="1050"/>
    </row>
    <row r="12288" spans="1:7">
      <c r="A12288" s="1079"/>
      <c r="B12288" s="1050"/>
      <c r="C12288" s="1050"/>
      <c r="D12288" s="1050"/>
      <c r="E12288" s="1050"/>
      <c r="F12288" s="1050"/>
      <c r="G12288" s="1050"/>
    </row>
    <row r="12289" spans="1:7">
      <c r="A12289" s="1079"/>
      <c r="B12289" s="1050"/>
      <c r="C12289" s="1050"/>
      <c r="D12289" s="1050"/>
      <c r="E12289" s="1050"/>
      <c r="F12289" s="1050"/>
      <c r="G12289" s="1050"/>
    </row>
    <row r="12290" spans="1:7">
      <c r="A12290" s="1079"/>
      <c r="B12290" s="1050"/>
      <c r="C12290" s="1050"/>
      <c r="D12290" s="1050"/>
      <c r="E12290" s="1050"/>
      <c r="F12290" s="1050"/>
      <c r="G12290" s="1050"/>
    </row>
    <row r="12291" spans="1:7">
      <c r="A12291" s="1079"/>
      <c r="B12291" s="1050"/>
      <c r="C12291" s="1050"/>
      <c r="D12291" s="1050"/>
      <c r="E12291" s="1050"/>
      <c r="F12291" s="1050"/>
      <c r="G12291" s="1050"/>
    </row>
    <row r="12292" spans="1:7">
      <c r="A12292" s="1079"/>
      <c r="B12292" s="1050"/>
      <c r="C12292" s="1050"/>
      <c r="D12292" s="1050"/>
      <c r="E12292" s="1050"/>
      <c r="F12292" s="1050"/>
      <c r="G12292" s="1050"/>
    </row>
    <row r="12293" spans="1:7">
      <c r="A12293" s="1079"/>
      <c r="B12293" s="1050"/>
      <c r="C12293" s="1050"/>
      <c r="D12293" s="1050"/>
      <c r="E12293" s="1050"/>
      <c r="F12293" s="1050"/>
      <c r="G12293" s="1050"/>
    </row>
    <row r="12294" spans="1:7">
      <c r="A12294" s="1079"/>
      <c r="B12294" s="1050"/>
      <c r="C12294" s="1050"/>
      <c r="D12294" s="1050"/>
      <c r="E12294" s="1050"/>
      <c r="F12294" s="1050"/>
      <c r="G12294" s="1050"/>
    </row>
    <row r="12295" spans="1:7">
      <c r="A12295" s="1079"/>
      <c r="B12295" s="1050"/>
      <c r="C12295" s="1050"/>
      <c r="D12295" s="1050"/>
      <c r="E12295" s="1050"/>
      <c r="F12295" s="1050"/>
      <c r="G12295" s="1050"/>
    </row>
    <row r="12296" spans="1:7">
      <c r="A12296" s="1079"/>
      <c r="B12296" s="1050"/>
      <c r="C12296" s="1050"/>
      <c r="D12296" s="1050"/>
      <c r="E12296" s="1050"/>
      <c r="F12296" s="1050"/>
      <c r="G12296" s="1050"/>
    </row>
    <row r="12297" spans="1:7">
      <c r="A12297" s="1079"/>
      <c r="B12297" s="1050"/>
      <c r="C12297" s="1050"/>
      <c r="D12297" s="1050"/>
      <c r="E12297" s="1050"/>
      <c r="F12297" s="1050"/>
      <c r="G12297" s="1050"/>
    </row>
    <row r="12298" spans="1:7">
      <c r="A12298" s="1079"/>
      <c r="B12298" s="1050"/>
      <c r="C12298" s="1050"/>
      <c r="D12298" s="1050"/>
      <c r="E12298" s="1050"/>
      <c r="F12298" s="1050"/>
      <c r="G12298" s="1050"/>
    </row>
    <row r="12299" spans="1:7">
      <c r="A12299" s="1079"/>
      <c r="B12299" s="1050"/>
      <c r="C12299" s="1050"/>
      <c r="D12299" s="1050"/>
      <c r="E12299" s="1050"/>
      <c r="F12299" s="1050"/>
      <c r="G12299" s="1050"/>
    </row>
    <row r="12300" spans="1:7">
      <c r="A12300" s="1079"/>
      <c r="B12300" s="1050"/>
      <c r="C12300" s="1050"/>
      <c r="D12300" s="1050"/>
      <c r="E12300" s="1050"/>
      <c r="F12300" s="1050"/>
      <c r="G12300" s="1050"/>
    </row>
    <row r="12301" spans="1:7">
      <c r="A12301" s="1079"/>
      <c r="B12301" s="1050"/>
      <c r="C12301" s="1050"/>
      <c r="D12301" s="1050"/>
      <c r="E12301" s="1050"/>
      <c r="F12301" s="1050"/>
      <c r="G12301" s="1050"/>
    </row>
    <row r="12302" spans="1:7">
      <c r="A12302" s="1079"/>
      <c r="B12302" s="1050"/>
      <c r="C12302" s="1050"/>
      <c r="D12302" s="1050"/>
      <c r="E12302" s="1050"/>
      <c r="F12302" s="1050"/>
      <c r="G12302" s="1050"/>
    </row>
    <row r="12303" spans="1:7">
      <c r="A12303" s="1079"/>
      <c r="B12303" s="1050"/>
      <c r="C12303" s="1050"/>
      <c r="D12303" s="1050"/>
      <c r="E12303" s="1050"/>
      <c r="F12303" s="1050"/>
      <c r="G12303" s="1050"/>
    </row>
    <row r="12304" spans="1:7">
      <c r="A12304" s="1079"/>
      <c r="B12304" s="1050"/>
      <c r="C12304" s="1050"/>
      <c r="D12304" s="1050"/>
      <c r="E12304" s="1050"/>
      <c r="F12304" s="1050"/>
      <c r="G12304" s="1050"/>
    </row>
    <row r="12305" spans="1:7">
      <c r="A12305" s="1079"/>
      <c r="B12305" s="1050"/>
      <c r="C12305" s="1050"/>
      <c r="D12305" s="1050"/>
      <c r="E12305" s="1050"/>
      <c r="F12305" s="1050"/>
      <c r="G12305" s="1050"/>
    </row>
    <row r="12306" spans="1:7">
      <c r="A12306" s="1079"/>
      <c r="B12306" s="1050"/>
      <c r="C12306" s="1050"/>
      <c r="D12306" s="1050"/>
      <c r="E12306" s="1050"/>
      <c r="F12306" s="1050"/>
      <c r="G12306" s="1050"/>
    </row>
    <row r="12307" spans="1:7">
      <c r="A12307" s="1079"/>
      <c r="B12307" s="1050"/>
      <c r="C12307" s="1050"/>
      <c r="D12307" s="1050"/>
      <c r="E12307" s="1050"/>
      <c r="F12307" s="1050"/>
      <c r="G12307" s="1050"/>
    </row>
    <row r="12308" spans="1:7">
      <c r="A12308" s="1079"/>
      <c r="B12308" s="1050"/>
      <c r="C12308" s="1050"/>
      <c r="D12308" s="1050"/>
      <c r="E12308" s="1050"/>
      <c r="F12308" s="1050"/>
      <c r="G12308" s="1050"/>
    </row>
    <row r="12309" spans="1:7">
      <c r="A12309" s="1079"/>
      <c r="B12309" s="1050"/>
      <c r="C12309" s="1050"/>
      <c r="D12309" s="1050"/>
      <c r="E12309" s="1050"/>
      <c r="F12309" s="1050"/>
      <c r="G12309" s="1050"/>
    </row>
    <row r="12310" spans="1:7">
      <c r="A12310" s="1079"/>
      <c r="B12310" s="1050"/>
      <c r="C12310" s="1050"/>
      <c r="D12310" s="1050"/>
      <c r="E12310" s="1050"/>
      <c r="F12310" s="1050"/>
      <c r="G12310" s="1050"/>
    </row>
    <row r="12311" spans="1:7">
      <c r="A12311" s="1079"/>
      <c r="B12311" s="1050"/>
      <c r="C12311" s="1050"/>
      <c r="D12311" s="1050"/>
      <c r="E12311" s="1050"/>
      <c r="F12311" s="1050"/>
      <c r="G12311" s="1050"/>
    </row>
    <row r="12312" spans="1:7">
      <c r="A12312" s="1079"/>
      <c r="B12312" s="1050"/>
      <c r="C12312" s="1050"/>
      <c r="D12312" s="1050"/>
      <c r="E12312" s="1050"/>
      <c r="F12312" s="1050"/>
      <c r="G12312" s="1050"/>
    </row>
    <row r="12313" spans="1:7">
      <c r="A12313" s="1079"/>
      <c r="B12313" s="1050"/>
      <c r="C12313" s="1050"/>
      <c r="D12313" s="1050"/>
      <c r="E12313" s="1050"/>
      <c r="F12313" s="1050"/>
      <c r="G12313" s="1050"/>
    </row>
    <row r="12314" spans="1:7">
      <c r="A12314" s="1079"/>
      <c r="B12314" s="1050"/>
      <c r="C12314" s="1050"/>
      <c r="D12314" s="1050"/>
      <c r="E12314" s="1050"/>
      <c r="F12314" s="1050"/>
      <c r="G12314" s="1050"/>
    </row>
    <row r="12315" spans="1:7">
      <c r="A12315" s="1079"/>
      <c r="B12315" s="1050"/>
      <c r="C12315" s="1050"/>
      <c r="D12315" s="1050"/>
      <c r="E12315" s="1050"/>
      <c r="F12315" s="1050"/>
      <c r="G12315" s="1050"/>
    </row>
    <row r="12316" spans="1:7">
      <c r="A12316" s="1079"/>
      <c r="B12316" s="1050"/>
      <c r="C12316" s="1050"/>
      <c r="D12316" s="1050"/>
      <c r="E12316" s="1050"/>
      <c r="F12316" s="1050"/>
      <c r="G12316" s="1050"/>
    </row>
    <row r="12317" spans="1:7">
      <c r="A12317" s="1079"/>
      <c r="B12317" s="1050"/>
      <c r="C12317" s="1050"/>
      <c r="D12317" s="1050"/>
      <c r="E12317" s="1050"/>
      <c r="F12317" s="1050"/>
      <c r="G12317" s="1050"/>
    </row>
    <row r="12318" spans="1:7">
      <c r="A12318" s="1079"/>
      <c r="B12318" s="1050"/>
      <c r="C12318" s="1050"/>
      <c r="D12318" s="1050"/>
      <c r="E12318" s="1050"/>
      <c r="F12318" s="1050"/>
      <c r="G12318" s="1050"/>
    </row>
    <row r="12319" spans="1:7">
      <c r="A12319" s="1079"/>
      <c r="B12319" s="1050"/>
      <c r="C12319" s="1050"/>
      <c r="D12319" s="1050"/>
      <c r="E12319" s="1050"/>
      <c r="F12319" s="1050"/>
      <c r="G12319" s="1050"/>
    </row>
    <row r="12320" spans="1:7">
      <c r="A12320" s="1079"/>
      <c r="B12320" s="1050"/>
      <c r="C12320" s="1050"/>
      <c r="D12320" s="1050"/>
      <c r="E12320" s="1050"/>
      <c r="F12320" s="1050"/>
      <c r="G12320" s="1050"/>
    </row>
    <row r="12321" spans="1:7">
      <c r="A12321" s="1079"/>
      <c r="B12321" s="1050"/>
      <c r="C12321" s="1050"/>
      <c r="D12321" s="1050"/>
      <c r="E12321" s="1050"/>
      <c r="F12321" s="1050"/>
      <c r="G12321" s="1050"/>
    </row>
    <row r="12322" spans="1:7">
      <c r="A12322" s="1079"/>
      <c r="B12322" s="1050"/>
      <c r="C12322" s="1050"/>
      <c r="D12322" s="1050"/>
      <c r="E12322" s="1050"/>
      <c r="F12322" s="1050"/>
      <c r="G12322" s="1050"/>
    </row>
    <row r="12323" spans="1:7">
      <c r="A12323" s="1079"/>
      <c r="B12323" s="1050"/>
      <c r="C12323" s="1050"/>
      <c r="D12323" s="1050"/>
      <c r="E12323" s="1050"/>
      <c r="F12323" s="1050"/>
      <c r="G12323" s="1050"/>
    </row>
    <row r="12324" spans="1:7">
      <c r="A12324" s="1079"/>
      <c r="B12324" s="1050"/>
      <c r="C12324" s="1050"/>
      <c r="D12324" s="1050"/>
      <c r="E12324" s="1050"/>
      <c r="F12324" s="1050"/>
      <c r="G12324" s="1050"/>
    </row>
    <row r="12325" spans="1:7">
      <c r="A12325" s="1079"/>
      <c r="B12325" s="1050"/>
      <c r="C12325" s="1050"/>
      <c r="D12325" s="1050"/>
      <c r="E12325" s="1050"/>
      <c r="F12325" s="1050"/>
      <c r="G12325" s="1050"/>
    </row>
    <row r="12326" spans="1:7">
      <c r="A12326" s="1079"/>
      <c r="B12326" s="1050"/>
      <c r="C12326" s="1050"/>
      <c r="D12326" s="1050"/>
      <c r="E12326" s="1050"/>
      <c r="F12326" s="1050"/>
      <c r="G12326" s="1050"/>
    </row>
    <row r="12327" spans="1:7">
      <c r="A12327" s="1079"/>
      <c r="B12327" s="1050"/>
      <c r="C12327" s="1050"/>
      <c r="D12327" s="1050"/>
      <c r="E12327" s="1050"/>
      <c r="F12327" s="1050"/>
      <c r="G12327" s="1050"/>
    </row>
    <row r="12328" spans="1:7">
      <c r="A12328" s="1079"/>
      <c r="B12328" s="1050"/>
      <c r="C12328" s="1050"/>
      <c r="D12328" s="1050"/>
      <c r="E12328" s="1050"/>
      <c r="F12328" s="1050"/>
      <c r="G12328" s="1050"/>
    </row>
    <row r="12329" spans="1:7">
      <c r="A12329" s="1079"/>
      <c r="B12329" s="1050"/>
      <c r="C12329" s="1050"/>
      <c r="D12329" s="1050"/>
      <c r="E12329" s="1050"/>
      <c r="F12329" s="1050"/>
      <c r="G12329" s="1050"/>
    </row>
    <row r="12330" spans="1:7">
      <c r="A12330" s="1079"/>
      <c r="B12330" s="1050"/>
      <c r="C12330" s="1050"/>
      <c r="D12330" s="1050"/>
      <c r="E12330" s="1050"/>
      <c r="F12330" s="1050"/>
      <c r="G12330" s="1050"/>
    </row>
    <row r="12331" spans="1:7">
      <c r="A12331" s="1079"/>
      <c r="B12331" s="1050"/>
      <c r="C12331" s="1050"/>
      <c r="D12331" s="1050"/>
      <c r="E12331" s="1050"/>
      <c r="F12331" s="1050"/>
      <c r="G12331" s="1050"/>
    </row>
    <row r="12332" spans="1:7">
      <c r="A12332" s="1079"/>
      <c r="B12332" s="1050"/>
      <c r="C12332" s="1050"/>
      <c r="D12332" s="1050"/>
      <c r="E12332" s="1050"/>
      <c r="F12332" s="1050"/>
      <c r="G12332" s="1050"/>
    </row>
    <row r="12333" spans="1:7">
      <c r="A12333" s="1079"/>
      <c r="B12333" s="1050"/>
      <c r="C12333" s="1050"/>
      <c r="D12333" s="1050"/>
      <c r="E12333" s="1050"/>
      <c r="F12333" s="1050"/>
      <c r="G12333" s="1050"/>
    </row>
    <row r="12334" spans="1:7">
      <c r="A12334" s="1079"/>
      <c r="B12334" s="1050"/>
      <c r="C12334" s="1050"/>
      <c r="D12334" s="1050"/>
      <c r="E12334" s="1050"/>
      <c r="F12334" s="1050"/>
      <c r="G12334" s="1050"/>
    </row>
    <row r="12335" spans="1:7">
      <c r="A12335" s="1079"/>
      <c r="B12335" s="1050"/>
      <c r="C12335" s="1050"/>
      <c r="D12335" s="1050"/>
      <c r="E12335" s="1050"/>
      <c r="F12335" s="1050"/>
      <c r="G12335" s="1050"/>
    </row>
    <row r="12336" spans="1:7">
      <c r="A12336" s="1079"/>
      <c r="B12336" s="1050"/>
      <c r="C12336" s="1050"/>
      <c r="D12336" s="1050"/>
      <c r="E12336" s="1050"/>
      <c r="F12336" s="1050"/>
      <c r="G12336" s="1050"/>
    </row>
    <row r="12337" spans="1:7">
      <c r="A12337" s="1079"/>
      <c r="B12337" s="1050"/>
      <c r="C12337" s="1050"/>
      <c r="D12337" s="1050"/>
      <c r="E12337" s="1050"/>
      <c r="F12337" s="1050"/>
      <c r="G12337" s="1050"/>
    </row>
    <row r="12338" spans="1:7">
      <c r="A12338" s="1079"/>
      <c r="B12338" s="1050"/>
      <c r="C12338" s="1050"/>
      <c r="D12338" s="1050"/>
      <c r="E12338" s="1050"/>
      <c r="F12338" s="1050"/>
      <c r="G12338" s="1050"/>
    </row>
    <row r="12339" spans="1:7">
      <c r="A12339" s="1079"/>
      <c r="B12339" s="1050"/>
      <c r="C12339" s="1050"/>
      <c r="D12339" s="1050"/>
      <c r="E12339" s="1050"/>
      <c r="F12339" s="1050"/>
      <c r="G12339" s="1050"/>
    </row>
    <row r="12340" spans="1:7">
      <c r="A12340" s="1079"/>
      <c r="B12340" s="1050"/>
      <c r="C12340" s="1050"/>
      <c r="D12340" s="1050"/>
      <c r="E12340" s="1050"/>
      <c r="F12340" s="1050"/>
      <c r="G12340" s="1050"/>
    </row>
    <row r="12341" spans="1:7">
      <c r="A12341" s="1079"/>
      <c r="B12341" s="1050"/>
      <c r="C12341" s="1050"/>
      <c r="D12341" s="1050"/>
      <c r="E12341" s="1050"/>
      <c r="F12341" s="1050"/>
      <c r="G12341" s="1050"/>
    </row>
    <row r="12342" spans="1:7">
      <c r="A12342" s="1079"/>
      <c r="B12342" s="1050"/>
      <c r="C12342" s="1050"/>
      <c r="D12342" s="1050"/>
      <c r="E12342" s="1050"/>
      <c r="F12342" s="1050"/>
      <c r="G12342" s="1050"/>
    </row>
    <row r="12343" spans="1:7">
      <c r="A12343" s="1079"/>
      <c r="B12343" s="1050"/>
      <c r="C12343" s="1050"/>
      <c r="D12343" s="1050"/>
      <c r="E12343" s="1050"/>
      <c r="F12343" s="1050"/>
      <c r="G12343" s="1050"/>
    </row>
    <row r="12344" spans="1:7">
      <c r="A12344" s="1079"/>
      <c r="B12344" s="1050"/>
      <c r="C12344" s="1050"/>
      <c r="D12344" s="1050"/>
      <c r="E12344" s="1050"/>
      <c r="F12344" s="1050"/>
      <c r="G12344" s="1050"/>
    </row>
    <row r="12345" spans="1:7">
      <c r="A12345" s="1079"/>
      <c r="B12345" s="1050"/>
      <c r="C12345" s="1050"/>
      <c r="D12345" s="1050"/>
      <c r="E12345" s="1050"/>
      <c r="F12345" s="1050"/>
      <c r="G12345" s="1050"/>
    </row>
    <row r="12346" spans="1:7">
      <c r="A12346" s="1079"/>
      <c r="B12346" s="1050"/>
      <c r="C12346" s="1050"/>
      <c r="D12346" s="1050"/>
      <c r="E12346" s="1050"/>
      <c r="F12346" s="1050"/>
      <c r="G12346" s="1050"/>
    </row>
    <row r="12347" spans="1:7">
      <c r="A12347" s="1079"/>
      <c r="B12347" s="1050"/>
      <c r="C12347" s="1050"/>
      <c r="D12347" s="1050"/>
      <c r="E12347" s="1050"/>
      <c r="F12347" s="1050"/>
      <c r="G12347" s="1050"/>
    </row>
    <row r="12348" spans="1:7">
      <c r="A12348" s="1079"/>
      <c r="B12348" s="1050"/>
      <c r="C12348" s="1050"/>
      <c r="D12348" s="1050"/>
      <c r="E12348" s="1050"/>
      <c r="F12348" s="1050"/>
      <c r="G12348" s="1050"/>
    </row>
    <row r="12349" spans="1:7">
      <c r="A12349" s="1079"/>
      <c r="B12349" s="1050"/>
      <c r="C12349" s="1050"/>
      <c r="D12349" s="1050"/>
      <c r="E12349" s="1050"/>
      <c r="F12349" s="1050"/>
      <c r="G12349" s="1050"/>
    </row>
    <row r="12350" spans="1:7">
      <c r="A12350" s="1079"/>
      <c r="B12350" s="1050"/>
      <c r="C12350" s="1050"/>
      <c r="D12350" s="1050"/>
      <c r="E12350" s="1050"/>
      <c r="F12350" s="1050"/>
      <c r="G12350" s="1050"/>
    </row>
    <row r="12351" spans="1:7">
      <c r="A12351" s="1079"/>
      <c r="B12351" s="1050"/>
      <c r="C12351" s="1050"/>
      <c r="D12351" s="1050"/>
      <c r="E12351" s="1050"/>
      <c r="F12351" s="1050"/>
      <c r="G12351" s="1050"/>
    </row>
    <row r="12352" spans="1:7">
      <c r="A12352" s="1079"/>
      <c r="B12352" s="1050"/>
      <c r="C12352" s="1050"/>
      <c r="D12352" s="1050"/>
      <c r="E12352" s="1050"/>
      <c r="F12352" s="1050"/>
      <c r="G12352" s="1050"/>
    </row>
    <row r="12353" spans="1:7">
      <c r="A12353" s="1079"/>
      <c r="B12353" s="1050"/>
      <c r="C12353" s="1050"/>
      <c r="D12353" s="1050"/>
      <c r="E12353" s="1050"/>
      <c r="F12353" s="1050"/>
      <c r="G12353" s="1050"/>
    </row>
    <row r="12354" spans="1:7">
      <c r="A12354" s="1079"/>
      <c r="B12354" s="1050"/>
      <c r="C12354" s="1050"/>
      <c r="D12354" s="1050"/>
      <c r="E12354" s="1050"/>
      <c r="F12354" s="1050"/>
      <c r="G12354" s="1050"/>
    </row>
    <row r="12355" spans="1:7">
      <c r="A12355" s="1079"/>
      <c r="B12355" s="1050"/>
      <c r="C12355" s="1050"/>
      <c r="D12355" s="1050"/>
      <c r="E12355" s="1050"/>
      <c r="F12355" s="1050"/>
      <c r="G12355" s="1050"/>
    </row>
    <row r="12356" spans="1:7">
      <c r="A12356" s="1079"/>
      <c r="B12356" s="1050"/>
      <c r="C12356" s="1050"/>
      <c r="D12356" s="1050"/>
      <c r="E12356" s="1050"/>
      <c r="F12356" s="1050"/>
      <c r="G12356" s="1050"/>
    </row>
    <row r="12357" spans="1:7">
      <c r="A12357" s="1079"/>
      <c r="B12357" s="1050"/>
      <c r="C12357" s="1050"/>
      <c r="D12357" s="1050"/>
      <c r="E12357" s="1050"/>
      <c r="F12357" s="1050"/>
      <c r="G12357" s="1050"/>
    </row>
    <row r="12358" spans="1:7">
      <c r="A12358" s="1079"/>
      <c r="B12358" s="1050"/>
      <c r="C12358" s="1050"/>
      <c r="D12358" s="1050"/>
      <c r="E12358" s="1050"/>
      <c r="F12358" s="1050"/>
      <c r="G12358" s="1050"/>
    </row>
    <row r="12359" spans="1:7">
      <c r="A12359" s="1079"/>
      <c r="B12359" s="1050"/>
      <c r="C12359" s="1050"/>
      <c r="D12359" s="1050"/>
      <c r="E12359" s="1050"/>
      <c r="F12359" s="1050"/>
      <c r="G12359" s="1050"/>
    </row>
    <row r="12360" spans="1:7">
      <c r="A12360" s="1079"/>
      <c r="B12360" s="1050"/>
      <c r="C12360" s="1050"/>
      <c r="D12360" s="1050"/>
      <c r="E12360" s="1050"/>
      <c r="F12360" s="1050"/>
      <c r="G12360" s="1050"/>
    </row>
    <row r="12361" spans="1:7">
      <c r="A12361" s="1079"/>
      <c r="B12361" s="1050"/>
      <c r="C12361" s="1050"/>
      <c r="D12361" s="1050"/>
      <c r="E12361" s="1050"/>
      <c r="F12361" s="1050"/>
      <c r="G12361" s="1050"/>
    </row>
    <row r="12362" spans="1:7">
      <c r="A12362" s="1079"/>
      <c r="B12362" s="1050"/>
      <c r="C12362" s="1050"/>
      <c r="D12362" s="1050"/>
      <c r="E12362" s="1050"/>
      <c r="F12362" s="1050"/>
      <c r="G12362" s="1050"/>
    </row>
    <row r="12363" spans="1:7">
      <c r="A12363" s="1079"/>
      <c r="B12363" s="1050"/>
      <c r="C12363" s="1050"/>
      <c r="D12363" s="1050"/>
      <c r="E12363" s="1050"/>
      <c r="F12363" s="1050"/>
      <c r="G12363" s="1050"/>
    </row>
    <row r="12364" spans="1:7">
      <c r="A12364" s="1079"/>
      <c r="B12364" s="1050"/>
      <c r="C12364" s="1050"/>
      <c r="D12364" s="1050"/>
      <c r="E12364" s="1050"/>
      <c r="F12364" s="1050"/>
      <c r="G12364" s="1050"/>
    </row>
    <row r="12365" spans="1:7">
      <c r="A12365" s="1079"/>
      <c r="B12365" s="1050"/>
      <c r="C12365" s="1050"/>
      <c r="D12365" s="1050"/>
      <c r="E12365" s="1050"/>
      <c r="F12365" s="1050"/>
      <c r="G12365" s="1050"/>
    </row>
    <row r="12366" spans="1:7">
      <c r="A12366" s="1079"/>
      <c r="B12366" s="1050"/>
      <c r="C12366" s="1050"/>
      <c r="D12366" s="1050"/>
      <c r="E12366" s="1050"/>
      <c r="F12366" s="1050"/>
      <c r="G12366" s="1050"/>
    </row>
    <row r="12367" spans="1:7">
      <c r="A12367" s="1079"/>
      <c r="B12367" s="1050"/>
      <c r="C12367" s="1050"/>
      <c r="D12367" s="1050"/>
      <c r="E12367" s="1050"/>
      <c r="F12367" s="1050"/>
      <c r="G12367" s="1050"/>
    </row>
    <row r="12368" spans="1:7">
      <c r="A12368" s="1079"/>
      <c r="B12368" s="1050"/>
      <c r="C12368" s="1050"/>
      <c r="D12368" s="1050"/>
      <c r="E12368" s="1050"/>
      <c r="F12368" s="1050"/>
      <c r="G12368" s="1050"/>
    </row>
    <row r="12369" spans="1:7">
      <c r="A12369" s="1079"/>
      <c r="B12369" s="1050"/>
      <c r="C12369" s="1050"/>
      <c r="D12369" s="1050"/>
      <c r="E12369" s="1050"/>
      <c r="F12369" s="1050"/>
      <c r="G12369" s="1050"/>
    </row>
    <row r="12370" spans="1:7">
      <c r="A12370" s="1079"/>
      <c r="B12370" s="1050"/>
      <c r="C12370" s="1050"/>
      <c r="D12370" s="1050"/>
      <c r="E12370" s="1050"/>
      <c r="F12370" s="1050"/>
      <c r="G12370" s="1050"/>
    </row>
    <row r="12371" spans="1:7">
      <c r="A12371" s="1079"/>
      <c r="B12371" s="1050"/>
      <c r="C12371" s="1050"/>
      <c r="D12371" s="1050"/>
      <c r="E12371" s="1050"/>
      <c r="F12371" s="1050"/>
      <c r="G12371" s="1050"/>
    </row>
    <row r="12372" spans="1:7">
      <c r="A12372" s="1079"/>
      <c r="B12372" s="1050"/>
      <c r="C12372" s="1050"/>
      <c r="D12372" s="1050"/>
      <c r="E12372" s="1050"/>
      <c r="F12372" s="1050"/>
      <c r="G12372" s="1050"/>
    </row>
    <row r="12373" spans="1:7">
      <c r="A12373" s="1079"/>
      <c r="B12373" s="1050"/>
      <c r="C12373" s="1050"/>
      <c r="D12373" s="1050"/>
      <c r="E12373" s="1050"/>
      <c r="F12373" s="1050"/>
      <c r="G12373" s="1050"/>
    </row>
    <row r="12374" spans="1:7">
      <c r="A12374" s="1079"/>
      <c r="B12374" s="1050"/>
      <c r="C12374" s="1050"/>
      <c r="D12374" s="1050"/>
      <c r="E12374" s="1050"/>
      <c r="F12374" s="1050"/>
      <c r="G12374" s="1050"/>
    </row>
    <row r="12375" spans="1:7">
      <c r="A12375" s="1079"/>
      <c r="B12375" s="1050"/>
      <c r="C12375" s="1050"/>
      <c r="D12375" s="1050"/>
      <c r="E12375" s="1050"/>
      <c r="F12375" s="1050"/>
      <c r="G12375" s="1050"/>
    </row>
    <row r="12376" spans="1:7">
      <c r="A12376" s="1079"/>
      <c r="B12376" s="1050"/>
      <c r="C12376" s="1050"/>
      <c r="D12376" s="1050"/>
      <c r="E12376" s="1050"/>
      <c r="F12376" s="1050"/>
      <c r="G12376" s="1050"/>
    </row>
    <row r="12377" spans="1:7">
      <c r="A12377" s="1079"/>
      <c r="B12377" s="1050"/>
      <c r="C12377" s="1050"/>
      <c r="D12377" s="1050"/>
      <c r="E12377" s="1050"/>
      <c r="F12377" s="1050"/>
      <c r="G12377" s="1050"/>
    </row>
    <row r="12378" spans="1:7">
      <c r="A12378" s="1079"/>
      <c r="B12378" s="1050"/>
      <c r="C12378" s="1050"/>
      <c r="D12378" s="1050"/>
      <c r="E12378" s="1050"/>
      <c r="F12378" s="1050"/>
      <c r="G12378" s="1050"/>
    </row>
    <row r="12379" spans="1:7">
      <c r="A12379" s="1079"/>
      <c r="B12379" s="1050"/>
      <c r="C12379" s="1050"/>
      <c r="D12379" s="1050"/>
      <c r="E12379" s="1050"/>
      <c r="F12379" s="1050"/>
      <c r="G12379" s="1050"/>
    </row>
    <row r="12380" spans="1:7">
      <c r="A12380" s="1079"/>
      <c r="B12380" s="1050"/>
      <c r="C12380" s="1050"/>
      <c r="D12380" s="1050"/>
      <c r="E12380" s="1050"/>
      <c r="F12380" s="1050"/>
      <c r="G12380" s="1050"/>
    </row>
    <row r="12381" spans="1:7">
      <c r="A12381" s="1079"/>
      <c r="B12381" s="1050"/>
      <c r="C12381" s="1050"/>
      <c r="D12381" s="1050"/>
      <c r="E12381" s="1050"/>
      <c r="F12381" s="1050"/>
      <c r="G12381" s="1050"/>
    </row>
    <row r="12382" spans="1:7">
      <c r="A12382" s="1079"/>
      <c r="B12382" s="1050"/>
      <c r="C12382" s="1050"/>
      <c r="D12382" s="1050"/>
      <c r="E12382" s="1050"/>
      <c r="F12382" s="1050"/>
      <c r="G12382" s="1050"/>
    </row>
    <row r="12383" spans="1:7">
      <c r="A12383" s="1079"/>
      <c r="B12383" s="1050"/>
      <c r="C12383" s="1050"/>
      <c r="D12383" s="1050"/>
      <c r="E12383" s="1050"/>
      <c r="F12383" s="1050"/>
      <c r="G12383" s="1050"/>
    </row>
    <row r="12384" spans="1:7">
      <c r="A12384" s="1079"/>
      <c r="B12384" s="1050"/>
      <c r="C12384" s="1050"/>
      <c r="D12384" s="1050"/>
      <c r="E12384" s="1050"/>
      <c r="F12384" s="1050"/>
      <c r="G12384" s="1050"/>
    </row>
    <row r="12385" spans="1:7">
      <c r="A12385" s="1079"/>
      <c r="B12385" s="1050"/>
      <c r="C12385" s="1050"/>
      <c r="D12385" s="1050"/>
      <c r="E12385" s="1050"/>
      <c r="F12385" s="1050"/>
      <c r="G12385" s="1050"/>
    </row>
    <row r="12386" spans="1:7">
      <c r="A12386" s="1079"/>
      <c r="B12386" s="1050"/>
      <c r="C12386" s="1050"/>
      <c r="D12386" s="1050"/>
      <c r="E12386" s="1050"/>
      <c r="F12386" s="1050"/>
      <c r="G12386" s="1050"/>
    </row>
    <row r="12387" spans="1:7">
      <c r="A12387" s="1079"/>
      <c r="B12387" s="1050"/>
      <c r="C12387" s="1050"/>
      <c r="D12387" s="1050"/>
      <c r="E12387" s="1050"/>
      <c r="F12387" s="1050"/>
      <c r="G12387" s="1050"/>
    </row>
    <row r="12388" spans="1:7">
      <c r="A12388" s="1079"/>
      <c r="B12388" s="1050"/>
      <c r="C12388" s="1050"/>
      <c r="D12388" s="1050"/>
      <c r="E12388" s="1050"/>
      <c r="F12388" s="1050"/>
      <c r="G12388" s="1050"/>
    </row>
    <row r="12389" spans="1:7">
      <c r="A12389" s="1079"/>
      <c r="B12389" s="1050"/>
      <c r="C12389" s="1050"/>
      <c r="D12389" s="1050"/>
      <c r="E12389" s="1050"/>
      <c r="F12389" s="1050"/>
      <c r="G12389" s="1050"/>
    </row>
    <row r="12390" spans="1:7">
      <c r="A12390" s="1079"/>
      <c r="B12390" s="1050"/>
      <c r="C12390" s="1050"/>
      <c r="D12390" s="1050"/>
      <c r="E12390" s="1050"/>
      <c r="F12390" s="1050"/>
      <c r="G12390" s="1050"/>
    </row>
    <row r="12391" spans="1:7">
      <c r="A12391" s="1079"/>
      <c r="B12391" s="1050"/>
      <c r="C12391" s="1050"/>
      <c r="D12391" s="1050"/>
      <c r="E12391" s="1050"/>
      <c r="F12391" s="1050"/>
      <c r="G12391" s="1050"/>
    </row>
    <row r="12392" spans="1:7">
      <c r="A12392" s="1079"/>
      <c r="B12392" s="1050"/>
      <c r="C12392" s="1050"/>
      <c r="D12392" s="1050"/>
      <c r="E12392" s="1050"/>
      <c r="F12392" s="1050"/>
      <c r="G12392" s="1050"/>
    </row>
    <row r="12393" spans="1:7">
      <c r="A12393" s="1079"/>
      <c r="B12393" s="1050"/>
      <c r="C12393" s="1050"/>
      <c r="D12393" s="1050"/>
      <c r="E12393" s="1050"/>
      <c r="F12393" s="1050"/>
      <c r="G12393" s="1050"/>
    </row>
    <row r="12394" spans="1:7">
      <c r="A12394" s="1079"/>
      <c r="B12394" s="1050"/>
      <c r="C12394" s="1050"/>
      <c r="D12394" s="1050"/>
      <c r="E12394" s="1050"/>
      <c r="F12394" s="1050"/>
      <c r="G12394" s="1050"/>
    </row>
    <row r="12395" spans="1:7">
      <c r="A12395" s="1079"/>
      <c r="B12395" s="1050"/>
      <c r="C12395" s="1050"/>
      <c r="D12395" s="1050"/>
      <c r="E12395" s="1050"/>
      <c r="F12395" s="1050"/>
      <c r="G12395" s="1050"/>
    </row>
    <row r="12396" spans="1:7">
      <c r="A12396" s="1079"/>
      <c r="B12396" s="1050"/>
      <c r="C12396" s="1050"/>
      <c r="D12396" s="1050"/>
      <c r="E12396" s="1050"/>
      <c r="F12396" s="1050"/>
      <c r="G12396" s="1050"/>
    </row>
    <row r="12397" spans="1:7">
      <c r="A12397" s="1079"/>
      <c r="B12397" s="1050"/>
      <c r="C12397" s="1050"/>
      <c r="D12397" s="1050"/>
      <c r="E12397" s="1050"/>
      <c r="F12397" s="1050"/>
      <c r="G12397" s="1050"/>
    </row>
    <row r="12398" spans="1:7">
      <c r="A12398" s="1079"/>
      <c r="B12398" s="1050"/>
      <c r="C12398" s="1050"/>
      <c r="D12398" s="1050"/>
      <c r="E12398" s="1050"/>
      <c r="F12398" s="1050"/>
      <c r="G12398" s="1050"/>
    </row>
    <row r="12399" spans="1:7">
      <c r="A12399" s="1079"/>
      <c r="B12399" s="1050"/>
      <c r="C12399" s="1050"/>
      <c r="D12399" s="1050"/>
      <c r="E12399" s="1050"/>
      <c r="F12399" s="1050"/>
      <c r="G12399" s="1050"/>
    </row>
    <row r="12400" spans="1:7">
      <c r="A12400" s="1079"/>
      <c r="B12400" s="1050"/>
      <c r="C12400" s="1050"/>
      <c r="D12400" s="1050"/>
      <c r="E12400" s="1050"/>
      <c r="F12400" s="1050"/>
      <c r="G12400" s="1050"/>
    </row>
    <row r="12401" spans="1:7">
      <c r="A12401" s="1079"/>
      <c r="B12401" s="1050"/>
      <c r="C12401" s="1050"/>
      <c r="D12401" s="1050"/>
      <c r="E12401" s="1050"/>
      <c r="F12401" s="1050"/>
      <c r="G12401" s="1050"/>
    </row>
    <row r="12402" spans="1:7">
      <c r="A12402" s="1079"/>
      <c r="B12402" s="1050"/>
      <c r="C12402" s="1050"/>
      <c r="D12402" s="1050"/>
      <c r="E12402" s="1050"/>
      <c r="F12402" s="1050"/>
      <c r="G12402" s="1050"/>
    </row>
    <row r="12403" spans="1:7">
      <c r="A12403" s="1079"/>
      <c r="B12403" s="1050"/>
      <c r="C12403" s="1050"/>
      <c r="D12403" s="1050"/>
      <c r="E12403" s="1050"/>
      <c r="F12403" s="1050"/>
      <c r="G12403" s="1050"/>
    </row>
    <row r="12404" spans="1:7">
      <c r="A12404" s="1079"/>
      <c r="B12404" s="1050"/>
      <c r="C12404" s="1050"/>
      <c r="D12404" s="1050"/>
      <c r="E12404" s="1050"/>
      <c r="F12404" s="1050"/>
      <c r="G12404" s="1050"/>
    </row>
    <row r="12405" spans="1:7">
      <c r="A12405" s="1079"/>
      <c r="B12405" s="1050"/>
      <c r="C12405" s="1050"/>
      <c r="D12405" s="1050"/>
      <c r="E12405" s="1050"/>
      <c r="F12405" s="1050"/>
      <c r="G12405" s="1050"/>
    </row>
    <row r="12406" spans="1:7">
      <c r="A12406" s="1079"/>
      <c r="B12406" s="1050"/>
      <c r="C12406" s="1050"/>
      <c r="D12406" s="1050"/>
      <c r="E12406" s="1050"/>
      <c r="F12406" s="1050"/>
      <c r="G12406" s="1050"/>
    </row>
    <row r="12407" spans="1:7">
      <c r="A12407" s="1079"/>
      <c r="B12407" s="1050"/>
      <c r="C12407" s="1050"/>
      <c r="D12407" s="1050"/>
      <c r="E12407" s="1050"/>
      <c r="F12407" s="1050"/>
      <c r="G12407" s="1050"/>
    </row>
    <row r="12408" spans="1:7">
      <c r="A12408" s="1079"/>
      <c r="B12408" s="1050"/>
      <c r="C12408" s="1050"/>
      <c r="D12408" s="1050"/>
      <c r="E12408" s="1050"/>
      <c r="F12408" s="1050"/>
      <c r="G12408" s="1050"/>
    </row>
    <row r="12409" spans="1:7">
      <c r="A12409" s="1079"/>
      <c r="B12409" s="1050"/>
      <c r="C12409" s="1050"/>
      <c r="D12409" s="1050"/>
      <c r="E12409" s="1050"/>
      <c r="F12409" s="1050"/>
      <c r="G12409" s="1050"/>
    </row>
    <row r="12410" spans="1:7">
      <c r="A12410" s="1079"/>
      <c r="B12410" s="1050"/>
      <c r="C12410" s="1050"/>
      <c r="D12410" s="1050"/>
      <c r="E12410" s="1050"/>
      <c r="F12410" s="1050"/>
      <c r="G12410" s="1050"/>
    </row>
    <row r="12411" spans="1:7">
      <c r="A12411" s="1079"/>
      <c r="B12411" s="1050"/>
      <c r="C12411" s="1050"/>
      <c r="D12411" s="1050"/>
      <c r="E12411" s="1050"/>
      <c r="F12411" s="1050"/>
      <c r="G12411" s="1050"/>
    </row>
    <row r="12412" spans="1:7">
      <c r="A12412" s="1079"/>
      <c r="B12412" s="1050"/>
      <c r="C12412" s="1050"/>
      <c r="D12412" s="1050"/>
      <c r="E12412" s="1050"/>
      <c r="F12412" s="1050"/>
      <c r="G12412" s="1050"/>
    </row>
    <row r="12413" spans="1:7">
      <c r="A12413" s="1079"/>
      <c r="B12413" s="1050"/>
      <c r="C12413" s="1050"/>
      <c r="D12413" s="1050"/>
      <c r="E12413" s="1050"/>
      <c r="F12413" s="1050"/>
      <c r="G12413" s="1050"/>
    </row>
    <row r="12414" spans="1:7">
      <c r="A12414" s="1079"/>
      <c r="B12414" s="1050"/>
      <c r="C12414" s="1050"/>
      <c r="D12414" s="1050"/>
      <c r="E12414" s="1050"/>
      <c r="F12414" s="1050"/>
      <c r="G12414" s="1050"/>
    </row>
    <row r="12415" spans="1:7">
      <c r="A12415" s="1079"/>
      <c r="B12415" s="1050"/>
      <c r="C12415" s="1050"/>
      <c r="D12415" s="1050"/>
      <c r="E12415" s="1050"/>
      <c r="F12415" s="1050"/>
      <c r="G12415" s="1050"/>
    </row>
    <row r="12416" spans="1:7">
      <c r="A12416" s="1079"/>
      <c r="B12416" s="1050"/>
      <c r="C12416" s="1050"/>
      <c r="D12416" s="1050"/>
      <c r="E12416" s="1050"/>
      <c r="F12416" s="1050"/>
      <c r="G12416" s="1050"/>
    </row>
    <row r="12417" spans="1:7">
      <c r="A12417" s="1079"/>
      <c r="B12417" s="1050"/>
      <c r="C12417" s="1050"/>
      <c r="D12417" s="1050"/>
      <c r="E12417" s="1050"/>
      <c r="F12417" s="1050"/>
      <c r="G12417" s="1050"/>
    </row>
    <row r="12418" spans="1:7">
      <c r="A12418" s="1079"/>
      <c r="B12418" s="1050"/>
      <c r="C12418" s="1050"/>
      <c r="D12418" s="1050"/>
      <c r="E12418" s="1050"/>
      <c r="F12418" s="1050"/>
      <c r="G12418" s="1050"/>
    </row>
    <row r="12419" spans="1:7">
      <c r="A12419" s="1079"/>
      <c r="B12419" s="1050"/>
      <c r="C12419" s="1050"/>
      <c r="D12419" s="1050"/>
      <c r="E12419" s="1050"/>
      <c r="F12419" s="1050"/>
      <c r="G12419" s="1050"/>
    </row>
    <row r="12420" spans="1:7">
      <c r="A12420" s="1079"/>
      <c r="B12420" s="1050"/>
      <c r="C12420" s="1050"/>
      <c r="D12420" s="1050"/>
      <c r="E12420" s="1050"/>
      <c r="F12420" s="1050"/>
      <c r="G12420" s="1050"/>
    </row>
    <row r="12421" spans="1:7">
      <c r="A12421" s="1079"/>
      <c r="B12421" s="1050"/>
      <c r="C12421" s="1050"/>
      <c r="D12421" s="1050"/>
      <c r="E12421" s="1050"/>
      <c r="F12421" s="1050"/>
      <c r="G12421" s="1050"/>
    </row>
    <row r="12422" spans="1:7">
      <c r="A12422" s="1079"/>
      <c r="B12422" s="1050"/>
      <c r="C12422" s="1050"/>
      <c r="D12422" s="1050"/>
      <c r="E12422" s="1050"/>
      <c r="F12422" s="1050"/>
      <c r="G12422" s="1050"/>
    </row>
    <row r="12423" spans="1:7">
      <c r="A12423" s="1079"/>
      <c r="B12423" s="1050"/>
      <c r="C12423" s="1050"/>
      <c r="D12423" s="1050"/>
      <c r="E12423" s="1050"/>
      <c r="F12423" s="1050"/>
      <c r="G12423" s="1050"/>
    </row>
    <row r="12424" spans="1:7">
      <c r="A12424" s="1079"/>
      <c r="B12424" s="1050"/>
      <c r="C12424" s="1050"/>
      <c r="D12424" s="1050"/>
      <c r="E12424" s="1050"/>
      <c r="F12424" s="1050"/>
      <c r="G12424" s="1050"/>
    </row>
    <row r="12425" spans="1:7">
      <c r="A12425" s="1079"/>
      <c r="B12425" s="1050"/>
      <c r="C12425" s="1050"/>
      <c r="D12425" s="1050"/>
      <c r="E12425" s="1050"/>
      <c r="F12425" s="1050"/>
      <c r="G12425" s="1050"/>
    </row>
    <row r="12426" spans="1:7">
      <c r="A12426" s="1079"/>
      <c r="B12426" s="1050"/>
      <c r="C12426" s="1050"/>
      <c r="D12426" s="1050"/>
      <c r="E12426" s="1050"/>
      <c r="F12426" s="1050"/>
      <c r="G12426" s="1050"/>
    </row>
    <row r="12427" spans="1:7">
      <c r="A12427" s="1079"/>
      <c r="B12427" s="1050"/>
      <c r="C12427" s="1050"/>
      <c r="D12427" s="1050"/>
      <c r="E12427" s="1050"/>
      <c r="F12427" s="1050"/>
      <c r="G12427" s="1050"/>
    </row>
    <row r="12428" spans="1:7">
      <c r="A12428" s="1079"/>
      <c r="B12428" s="1050"/>
      <c r="C12428" s="1050"/>
      <c r="D12428" s="1050"/>
      <c r="E12428" s="1050"/>
      <c r="F12428" s="1050"/>
      <c r="G12428" s="1050"/>
    </row>
    <row r="12429" spans="1:7">
      <c r="A12429" s="1079"/>
      <c r="B12429" s="1050"/>
      <c r="C12429" s="1050"/>
      <c r="D12429" s="1050"/>
      <c r="E12429" s="1050"/>
      <c r="F12429" s="1050"/>
      <c r="G12429" s="1050"/>
    </row>
    <row r="12430" spans="1:7">
      <c r="A12430" s="1079"/>
      <c r="B12430" s="1050"/>
      <c r="C12430" s="1050"/>
      <c r="D12430" s="1050"/>
      <c r="E12430" s="1050"/>
      <c r="F12430" s="1050"/>
      <c r="G12430" s="1050"/>
    </row>
    <row r="12431" spans="1:7">
      <c r="A12431" s="1079"/>
      <c r="B12431" s="1050"/>
      <c r="C12431" s="1050"/>
      <c r="D12431" s="1050"/>
      <c r="E12431" s="1050"/>
      <c r="F12431" s="1050"/>
      <c r="G12431" s="1050"/>
    </row>
    <row r="12432" spans="1:7">
      <c r="A12432" s="1079"/>
      <c r="B12432" s="1050"/>
      <c r="C12432" s="1050"/>
      <c r="D12432" s="1050"/>
      <c r="E12432" s="1050"/>
      <c r="F12432" s="1050"/>
      <c r="G12432" s="1050"/>
    </row>
    <row r="12433" spans="1:7">
      <c r="A12433" s="1079"/>
      <c r="B12433" s="1050"/>
      <c r="C12433" s="1050"/>
      <c r="D12433" s="1050"/>
      <c r="E12433" s="1050"/>
      <c r="F12433" s="1050"/>
      <c r="G12433" s="1050"/>
    </row>
    <row r="12434" spans="1:7">
      <c r="A12434" s="1079"/>
      <c r="B12434" s="1050"/>
      <c r="C12434" s="1050"/>
      <c r="D12434" s="1050"/>
      <c r="E12434" s="1050"/>
      <c r="F12434" s="1050"/>
      <c r="G12434" s="1050"/>
    </row>
    <row r="12435" spans="1:7">
      <c r="A12435" s="1079"/>
      <c r="B12435" s="1050"/>
      <c r="C12435" s="1050"/>
      <c r="D12435" s="1050"/>
      <c r="E12435" s="1050"/>
      <c r="F12435" s="1050"/>
      <c r="G12435" s="1050"/>
    </row>
    <row r="12436" spans="1:7">
      <c r="A12436" s="1079"/>
      <c r="B12436" s="1050"/>
      <c r="C12436" s="1050"/>
      <c r="D12436" s="1050"/>
      <c r="E12436" s="1050"/>
      <c r="F12436" s="1050"/>
      <c r="G12436" s="1050"/>
    </row>
    <row r="12437" spans="1:7">
      <c r="A12437" s="1079"/>
      <c r="B12437" s="1050"/>
      <c r="C12437" s="1050"/>
      <c r="D12437" s="1050"/>
      <c r="E12437" s="1050"/>
      <c r="F12437" s="1050"/>
      <c r="G12437" s="1050"/>
    </row>
    <row r="12438" spans="1:7">
      <c r="A12438" s="1079"/>
      <c r="B12438" s="1050"/>
      <c r="C12438" s="1050"/>
      <c r="D12438" s="1050"/>
      <c r="E12438" s="1050"/>
      <c r="F12438" s="1050"/>
      <c r="G12438" s="1050"/>
    </row>
    <row r="12439" spans="1:7">
      <c r="A12439" s="1079"/>
      <c r="B12439" s="1050"/>
      <c r="C12439" s="1050"/>
      <c r="D12439" s="1050"/>
      <c r="E12439" s="1050"/>
      <c r="F12439" s="1050"/>
      <c r="G12439" s="1050"/>
    </row>
    <row r="12440" spans="1:7">
      <c r="A12440" s="1079"/>
      <c r="B12440" s="1050"/>
      <c r="C12440" s="1050"/>
      <c r="D12440" s="1050"/>
      <c r="E12440" s="1050"/>
      <c r="F12440" s="1050"/>
      <c r="G12440" s="1050"/>
    </row>
    <row r="12441" spans="1:7">
      <c r="A12441" s="1079"/>
      <c r="B12441" s="1050"/>
      <c r="C12441" s="1050"/>
      <c r="D12441" s="1050"/>
      <c r="E12441" s="1050"/>
      <c r="F12441" s="1050"/>
      <c r="G12441" s="1050"/>
    </row>
    <row r="12442" spans="1:7">
      <c r="A12442" s="1079"/>
      <c r="B12442" s="1050"/>
      <c r="C12442" s="1050"/>
      <c r="D12442" s="1050"/>
      <c r="E12442" s="1050"/>
      <c r="F12442" s="1050"/>
      <c r="G12442" s="1050"/>
    </row>
    <row r="12443" spans="1:7">
      <c r="A12443" s="1079"/>
      <c r="B12443" s="1050"/>
      <c r="C12443" s="1050"/>
      <c r="D12443" s="1050"/>
      <c r="E12443" s="1050"/>
      <c r="F12443" s="1050"/>
      <c r="G12443" s="1050"/>
    </row>
    <row r="12444" spans="1:7">
      <c r="A12444" s="1079"/>
      <c r="B12444" s="1050"/>
      <c r="C12444" s="1050"/>
      <c r="D12444" s="1050"/>
      <c r="E12444" s="1050"/>
      <c r="F12444" s="1050"/>
      <c r="G12444" s="1050"/>
    </row>
    <row r="12445" spans="1:7">
      <c r="A12445" s="1079"/>
      <c r="B12445" s="1050"/>
      <c r="C12445" s="1050"/>
      <c r="D12445" s="1050"/>
      <c r="E12445" s="1050"/>
      <c r="F12445" s="1050"/>
      <c r="G12445" s="1050"/>
    </row>
    <row r="12446" spans="1:7">
      <c r="A12446" s="1079"/>
      <c r="B12446" s="1050"/>
      <c r="C12446" s="1050"/>
      <c r="D12446" s="1050"/>
      <c r="E12446" s="1050"/>
      <c r="F12446" s="1050"/>
      <c r="G12446" s="1050"/>
    </row>
    <row r="12447" spans="1:7">
      <c r="A12447" s="1079"/>
      <c r="B12447" s="1050"/>
      <c r="C12447" s="1050"/>
      <c r="D12447" s="1050"/>
      <c r="E12447" s="1050"/>
      <c r="F12447" s="1050"/>
      <c r="G12447" s="1050"/>
    </row>
    <row r="12448" spans="1:7">
      <c r="A12448" s="1079"/>
      <c r="B12448" s="1050"/>
      <c r="C12448" s="1050"/>
      <c r="D12448" s="1050"/>
      <c r="E12448" s="1050"/>
      <c r="F12448" s="1050"/>
      <c r="G12448" s="1050"/>
    </row>
    <row r="12449" spans="1:7">
      <c r="A12449" s="1079"/>
      <c r="B12449" s="1050"/>
      <c r="C12449" s="1050"/>
      <c r="D12449" s="1050"/>
      <c r="E12449" s="1050"/>
      <c r="F12449" s="1050"/>
      <c r="G12449" s="1050"/>
    </row>
    <row r="12450" spans="1:7">
      <c r="A12450" s="1079"/>
      <c r="B12450" s="1050"/>
      <c r="C12450" s="1050"/>
      <c r="D12450" s="1050"/>
      <c r="E12450" s="1050"/>
      <c r="F12450" s="1050"/>
      <c r="G12450" s="1050"/>
    </row>
    <row r="12451" spans="1:7">
      <c r="A12451" s="1079"/>
      <c r="B12451" s="1050"/>
      <c r="C12451" s="1050"/>
      <c r="D12451" s="1050"/>
      <c r="E12451" s="1050"/>
      <c r="F12451" s="1050"/>
      <c r="G12451" s="1050"/>
    </row>
    <row r="12452" spans="1:7">
      <c r="A12452" s="1079"/>
      <c r="B12452" s="1050"/>
      <c r="C12452" s="1050"/>
      <c r="D12452" s="1050"/>
      <c r="E12452" s="1050"/>
      <c r="F12452" s="1050"/>
      <c r="G12452" s="1050"/>
    </row>
    <row r="12453" spans="1:7">
      <c r="A12453" s="1079"/>
      <c r="B12453" s="1050"/>
      <c r="C12453" s="1050"/>
      <c r="D12453" s="1050"/>
      <c r="E12453" s="1050"/>
      <c r="F12453" s="1050"/>
      <c r="G12453" s="1050"/>
    </row>
    <row r="12454" spans="1:7">
      <c r="A12454" s="1079"/>
      <c r="B12454" s="1050"/>
      <c r="C12454" s="1050"/>
      <c r="D12454" s="1050"/>
      <c r="E12454" s="1050"/>
      <c r="F12454" s="1050"/>
      <c r="G12454" s="1050"/>
    </row>
    <row r="12455" spans="1:7">
      <c r="A12455" s="1079"/>
      <c r="B12455" s="1050"/>
      <c r="C12455" s="1050"/>
      <c r="D12455" s="1050"/>
      <c r="E12455" s="1050"/>
      <c r="F12455" s="1050"/>
      <c r="G12455" s="1050"/>
    </row>
    <row r="12456" spans="1:7">
      <c r="A12456" s="1079"/>
      <c r="B12456" s="1050"/>
      <c r="C12456" s="1050"/>
      <c r="D12456" s="1050"/>
      <c r="E12456" s="1050"/>
      <c r="F12456" s="1050"/>
      <c r="G12456" s="1050"/>
    </row>
    <row r="12457" spans="1:7">
      <c r="A12457" s="1079"/>
      <c r="B12457" s="1050"/>
      <c r="C12457" s="1050"/>
      <c r="D12457" s="1050"/>
      <c r="E12457" s="1050"/>
      <c r="F12457" s="1050"/>
      <c r="G12457" s="1050"/>
    </row>
    <row r="12458" spans="1:7">
      <c r="A12458" s="1079"/>
      <c r="B12458" s="1050"/>
      <c r="C12458" s="1050"/>
      <c r="D12458" s="1050"/>
      <c r="E12458" s="1050"/>
      <c r="F12458" s="1050"/>
      <c r="G12458" s="1050"/>
    </row>
    <row r="12459" spans="1:7">
      <c r="A12459" s="1079"/>
      <c r="B12459" s="1050"/>
      <c r="C12459" s="1050"/>
      <c r="D12459" s="1050"/>
      <c r="E12459" s="1050"/>
      <c r="F12459" s="1050"/>
      <c r="G12459" s="1050"/>
    </row>
    <row r="12460" spans="1:7">
      <c r="A12460" s="1079"/>
      <c r="B12460" s="1050"/>
      <c r="C12460" s="1050"/>
      <c r="D12460" s="1050"/>
      <c r="E12460" s="1050"/>
      <c r="F12460" s="1050"/>
      <c r="G12460" s="1050"/>
    </row>
    <row r="12461" spans="1:7">
      <c r="A12461" s="1079"/>
      <c r="B12461" s="1050"/>
      <c r="C12461" s="1050"/>
      <c r="D12461" s="1050"/>
      <c r="E12461" s="1050"/>
      <c r="F12461" s="1050"/>
      <c r="G12461" s="1050"/>
    </row>
    <row r="12462" spans="1:7">
      <c r="A12462" s="1079"/>
      <c r="B12462" s="1050"/>
      <c r="C12462" s="1050"/>
      <c r="D12462" s="1050"/>
      <c r="E12462" s="1050"/>
      <c r="F12462" s="1050"/>
      <c r="G12462" s="1050"/>
    </row>
    <row r="12463" spans="1:7">
      <c r="A12463" s="1079"/>
      <c r="B12463" s="1050"/>
      <c r="C12463" s="1050"/>
      <c r="D12463" s="1050"/>
      <c r="E12463" s="1050"/>
      <c r="F12463" s="1050"/>
      <c r="G12463" s="1050"/>
    </row>
    <row r="12464" spans="1:7">
      <c r="A12464" s="1079"/>
      <c r="B12464" s="1050"/>
      <c r="C12464" s="1050"/>
      <c r="D12464" s="1050"/>
      <c r="E12464" s="1050"/>
      <c r="F12464" s="1050"/>
      <c r="G12464" s="1050"/>
    </row>
    <row r="12465" spans="1:7">
      <c r="A12465" s="1079"/>
      <c r="B12465" s="1050"/>
      <c r="C12465" s="1050"/>
      <c r="D12465" s="1050"/>
      <c r="E12465" s="1050"/>
      <c r="F12465" s="1050"/>
      <c r="G12465" s="1050"/>
    </row>
    <row r="12466" spans="1:7">
      <c r="A12466" s="1079"/>
      <c r="B12466" s="1050"/>
      <c r="C12466" s="1050"/>
      <c r="D12466" s="1050"/>
      <c r="E12466" s="1050"/>
      <c r="F12466" s="1050"/>
      <c r="G12466" s="1050"/>
    </row>
    <row r="12467" spans="1:7">
      <c r="A12467" s="1079"/>
      <c r="B12467" s="1050"/>
      <c r="C12467" s="1050"/>
      <c r="D12467" s="1050"/>
      <c r="E12467" s="1050"/>
      <c r="F12467" s="1050"/>
      <c r="G12467" s="1050"/>
    </row>
    <row r="12468" spans="1:7">
      <c r="A12468" s="1079"/>
      <c r="B12468" s="1050"/>
      <c r="C12468" s="1050"/>
      <c r="D12468" s="1050"/>
      <c r="E12468" s="1050"/>
      <c r="F12468" s="1050"/>
      <c r="G12468" s="1050"/>
    </row>
    <row r="12469" spans="1:7">
      <c r="A12469" s="1079"/>
      <c r="B12469" s="1050"/>
      <c r="C12469" s="1050"/>
      <c r="D12469" s="1050"/>
      <c r="E12469" s="1050"/>
      <c r="F12469" s="1050"/>
      <c r="G12469" s="1050"/>
    </row>
    <row r="12470" spans="1:7">
      <c r="A12470" s="1079"/>
      <c r="B12470" s="1050"/>
      <c r="C12470" s="1050"/>
      <c r="D12470" s="1050"/>
      <c r="E12470" s="1050"/>
      <c r="F12470" s="1050"/>
      <c r="G12470" s="1050"/>
    </row>
    <row r="12471" spans="1:7">
      <c r="A12471" s="1079"/>
      <c r="B12471" s="1050"/>
      <c r="C12471" s="1050"/>
      <c r="D12471" s="1050"/>
      <c r="E12471" s="1050"/>
      <c r="F12471" s="1050"/>
      <c r="G12471" s="1050"/>
    </row>
    <row r="12472" spans="1:7">
      <c r="A12472" s="1079"/>
      <c r="B12472" s="1050"/>
      <c r="C12472" s="1050"/>
      <c r="D12472" s="1050"/>
      <c r="E12472" s="1050"/>
      <c r="F12472" s="1050"/>
      <c r="G12472" s="1050"/>
    </row>
    <row r="12473" spans="1:7">
      <c r="A12473" s="1079"/>
      <c r="B12473" s="1050"/>
      <c r="C12473" s="1050"/>
      <c r="D12473" s="1050"/>
      <c r="E12473" s="1050"/>
      <c r="F12473" s="1050"/>
      <c r="G12473" s="1050"/>
    </row>
    <row r="12474" spans="1:7">
      <c r="A12474" s="1079"/>
      <c r="B12474" s="1050"/>
      <c r="C12474" s="1050"/>
      <c r="D12474" s="1050"/>
      <c r="E12474" s="1050"/>
      <c r="F12474" s="1050"/>
      <c r="G12474" s="1050"/>
    </row>
    <row r="12475" spans="1:7">
      <c r="A12475" s="1079"/>
      <c r="B12475" s="1050"/>
      <c r="C12475" s="1050"/>
      <c r="D12475" s="1050"/>
      <c r="E12475" s="1050"/>
      <c r="F12475" s="1050"/>
      <c r="G12475" s="1050"/>
    </row>
    <row r="12476" spans="1:7">
      <c r="A12476" s="1079"/>
      <c r="B12476" s="1050"/>
      <c r="C12476" s="1050"/>
      <c r="D12476" s="1050"/>
      <c r="E12476" s="1050"/>
      <c r="F12476" s="1050"/>
      <c r="G12476" s="1050"/>
    </row>
    <row r="12477" spans="1:7">
      <c r="A12477" s="1079"/>
      <c r="B12477" s="1050"/>
      <c r="C12477" s="1050"/>
      <c r="D12477" s="1050"/>
      <c r="E12477" s="1050"/>
      <c r="F12477" s="1050"/>
      <c r="G12477" s="1050"/>
    </row>
    <row r="12478" spans="1:7">
      <c r="A12478" s="1079"/>
      <c r="B12478" s="1050"/>
      <c r="C12478" s="1050"/>
      <c r="D12478" s="1050"/>
      <c r="E12478" s="1050"/>
      <c r="F12478" s="1050"/>
      <c r="G12478" s="1050"/>
    </row>
    <row r="12479" spans="1:7">
      <c r="A12479" s="1079"/>
      <c r="B12479" s="1050"/>
      <c r="C12479" s="1050"/>
      <c r="D12479" s="1050"/>
      <c r="E12479" s="1050"/>
      <c r="F12479" s="1050"/>
      <c r="G12479" s="1050"/>
    </row>
    <row r="12480" spans="1:7">
      <c r="A12480" s="1079"/>
      <c r="B12480" s="1050"/>
      <c r="C12480" s="1050"/>
      <c r="D12480" s="1050"/>
      <c r="E12480" s="1050"/>
      <c r="F12480" s="1050"/>
      <c r="G12480" s="1050"/>
    </row>
    <row r="12481" spans="1:7">
      <c r="A12481" s="1079"/>
      <c r="B12481" s="1050"/>
      <c r="C12481" s="1050"/>
      <c r="D12481" s="1050"/>
      <c r="E12481" s="1050"/>
      <c r="F12481" s="1050"/>
      <c r="G12481" s="1050"/>
    </row>
    <row r="12482" spans="1:7">
      <c r="A12482" s="1079"/>
      <c r="B12482" s="1050"/>
      <c r="C12482" s="1050"/>
      <c r="D12482" s="1050"/>
      <c r="E12482" s="1050"/>
      <c r="F12482" s="1050"/>
      <c r="G12482" s="1050"/>
    </row>
    <row r="12483" spans="1:7">
      <c r="A12483" s="1079"/>
      <c r="B12483" s="1050"/>
      <c r="C12483" s="1050"/>
      <c r="D12483" s="1050"/>
      <c r="E12483" s="1050"/>
      <c r="F12483" s="1050"/>
      <c r="G12483" s="1050"/>
    </row>
    <row r="12484" spans="1:7">
      <c r="A12484" s="1079"/>
      <c r="B12484" s="1050"/>
      <c r="C12484" s="1050"/>
      <c r="D12484" s="1050"/>
      <c r="E12484" s="1050"/>
      <c r="F12484" s="1050"/>
      <c r="G12484" s="1050"/>
    </row>
    <row r="12485" spans="1:7">
      <c r="A12485" s="1079"/>
      <c r="B12485" s="1050"/>
      <c r="C12485" s="1050"/>
      <c r="D12485" s="1050"/>
      <c r="E12485" s="1050"/>
      <c r="F12485" s="1050"/>
      <c r="G12485" s="1050"/>
    </row>
    <row r="12486" spans="1:7">
      <c r="A12486" s="1079"/>
      <c r="B12486" s="1050"/>
      <c r="C12486" s="1050"/>
      <c r="D12486" s="1050"/>
      <c r="E12486" s="1050"/>
      <c r="F12486" s="1050"/>
      <c r="G12486" s="1050"/>
    </row>
    <row r="12487" spans="1:7">
      <c r="A12487" s="1079"/>
      <c r="B12487" s="1050"/>
      <c r="C12487" s="1050"/>
      <c r="D12487" s="1050"/>
      <c r="E12487" s="1050"/>
      <c r="F12487" s="1050"/>
      <c r="G12487" s="1050"/>
    </row>
    <row r="12488" spans="1:7">
      <c r="A12488" s="1079"/>
      <c r="B12488" s="1050"/>
      <c r="C12488" s="1050"/>
      <c r="D12488" s="1050"/>
      <c r="E12488" s="1050"/>
      <c r="F12488" s="1050"/>
      <c r="G12488" s="1050"/>
    </row>
    <row r="12489" spans="1:7">
      <c r="A12489" s="1079"/>
      <c r="B12489" s="1050"/>
      <c r="C12489" s="1050"/>
      <c r="D12489" s="1050"/>
      <c r="E12489" s="1050"/>
      <c r="F12489" s="1050"/>
      <c r="G12489" s="1050"/>
    </row>
    <row r="12490" spans="1:7">
      <c r="A12490" s="1079"/>
      <c r="B12490" s="1050"/>
      <c r="C12490" s="1050"/>
      <c r="D12490" s="1050"/>
      <c r="E12490" s="1050"/>
      <c r="F12490" s="1050"/>
      <c r="G12490" s="1050"/>
    </row>
    <row r="12491" spans="1:7">
      <c r="A12491" s="1079"/>
      <c r="B12491" s="1050"/>
      <c r="C12491" s="1050"/>
      <c r="D12491" s="1050"/>
      <c r="E12491" s="1050"/>
      <c r="F12491" s="1050"/>
      <c r="G12491" s="1050"/>
    </row>
    <row r="12492" spans="1:7">
      <c r="A12492" s="1079"/>
      <c r="B12492" s="1050"/>
      <c r="C12492" s="1050"/>
      <c r="D12492" s="1050"/>
      <c r="E12492" s="1050"/>
      <c r="F12492" s="1050"/>
      <c r="G12492" s="1050"/>
    </row>
    <row r="12493" spans="1:7">
      <c r="A12493" s="1079"/>
      <c r="B12493" s="1050"/>
      <c r="C12493" s="1050"/>
      <c r="D12493" s="1050"/>
      <c r="E12493" s="1050"/>
      <c r="F12493" s="1050"/>
      <c r="G12493" s="1050"/>
    </row>
    <row r="12494" spans="1:7">
      <c r="A12494" s="1079"/>
      <c r="B12494" s="1050"/>
      <c r="C12494" s="1050"/>
      <c r="D12494" s="1050"/>
      <c r="E12494" s="1050"/>
      <c r="F12494" s="1050"/>
      <c r="G12494" s="1050"/>
    </row>
    <row r="12495" spans="1:7">
      <c r="A12495" s="1079"/>
      <c r="B12495" s="1050"/>
      <c r="C12495" s="1050"/>
      <c r="D12495" s="1050"/>
      <c r="E12495" s="1050"/>
      <c r="F12495" s="1050"/>
      <c r="G12495" s="1050"/>
    </row>
    <row r="12496" spans="1:7">
      <c r="A12496" s="1079"/>
      <c r="B12496" s="1050"/>
      <c r="C12496" s="1050"/>
      <c r="D12496" s="1050"/>
      <c r="E12496" s="1050"/>
      <c r="F12496" s="1050"/>
      <c r="G12496" s="1050"/>
    </row>
    <row r="12497" spans="1:7">
      <c r="A12497" s="1079"/>
      <c r="B12497" s="1050"/>
      <c r="C12497" s="1050"/>
      <c r="D12497" s="1050"/>
      <c r="E12497" s="1050"/>
      <c r="F12497" s="1050"/>
      <c r="G12497" s="1050"/>
    </row>
    <row r="12498" spans="1:7">
      <c r="A12498" s="1079"/>
      <c r="B12498" s="1050"/>
      <c r="C12498" s="1050"/>
      <c r="D12498" s="1050"/>
      <c r="E12498" s="1050"/>
      <c r="F12498" s="1050"/>
      <c r="G12498" s="1050"/>
    </row>
    <row r="12499" spans="1:7">
      <c r="A12499" s="1079"/>
      <c r="B12499" s="1050"/>
      <c r="C12499" s="1050"/>
      <c r="D12499" s="1050"/>
      <c r="E12499" s="1050"/>
      <c r="F12499" s="1050"/>
      <c r="G12499" s="1050"/>
    </row>
    <row r="12500" spans="1:7">
      <c r="A12500" s="1079"/>
      <c r="B12500" s="1050"/>
      <c r="C12500" s="1050"/>
      <c r="D12500" s="1050"/>
      <c r="E12500" s="1050"/>
      <c r="F12500" s="1050"/>
      <c r="G12500" s="1050"/>
    </row>
    <row r="12501" spans="1:7">
      <c r="A12501" s="1079"/>
      <c r="B12501" s="1050"/>
      <c r="C12501" s="1050"/>
      <c r="D12501" s="1050"/>
      <c r="E12501" s="1050"/>
      <c r="F12501" s="1050"/>
      <c r="G12501" s="1050"/>
    </row>
    <row r="12502" spans="1:7">
      <c r="A12502" s="1079"/>
      <c r="B12502" s="1050"/>
      <c r="C12502" s="1050"/>
      <c r="D12502" s="1050"/>
      <c r="E12502" s="1050"/>
      <c r="F12502" s="1050"/>
      <c r="G12502" s="1050"/>
    </row>
    <row r="12503" spans="1:7">
      <c r="A12503" s="1079"/>
      <c r="B12503" s="1050"/>
      <c r="C12503" s="1050"/>
      <c r="D12503" s="1050"/>
      <c r="E12503" s="1050"/>
      <c r="F12503" s="1050"/>
      <c r="G12503" s="1050"/>
    </row>
    <row r="12504" spans="1:7">
      <c r="A12504" s="1079"/>
      <c r="B12504" s="1050"/>
      <c r="C12504" s="1050"/>
      <c r="D12504" s="1050"/>
      <c r="E12504" s="1050"/>
      <c r="F12504" s="1050"/>
      <c r="G12504" s="1050"/>
    </row>
    <row r="12505" spans="1:7">
      <c r="A12505" s="1079"/>
      <c r="B12505" s="1050"/>
      <c r="C12505" s="1050"/>
      <c r="D12505" s="1050"/>
      <c r="E12505" s="1050"/>
      <c r="F12505" s="1050"/>
      <c r="G12505" s="1050"/>
    </row>
    <row r="12506" spans="1:7">
      <c r="A12506" s="1079"/>
      <c r="B12506" s="1050"/>
      <c r="C12506" s="1050"/>
      <c r="D12506" s="1050"/>
      <c r="E12506" s="1050"/>
      <c r="F12506" s="1050"/>
      <c r="G12506" s="1050"/>
    </row>
    <row r="12507" spans="1:7">
      <c r="A12507" s="1079"/>
      <c r="B12507" s="1050"/>
      <c r="C12507" s="1050"/>
      <c r="D12507" s="1050"/>
      <c r="E12507" s="1050"/>
      <c r="F12507" s="1050"/>
      <c r="G12507" s="1050"/>
    </row>
    <row r="12508" spans="1:7">
      <c r="A12508" s="1079"/>
      <c r="B12508" s="1050"/>
      <c r="C12508" s="1050"/>
      <c r="D12508" s="1050"/>
      <c r="E12508" s="1050"/>
      <c r="F12508" s="1050"/>
      <c r="G12508" s="1050"/>
    </row>
    <row r="12509" spans="1:7">
      <c r="A12509" s="1079"/>
      <c r="B12509" s="1050"/>
      <c r="C12509" s="1050"/>
      <c r="D12509" s="1050"/>
      <c r="E12509" s="1050"/>
      <c r="F12509" s="1050"/>
      <c r="G12509" s="1050"/>
    </row>
    <row r="12510" spans="1:7">
      <c r="A12510" s="1079"/>
      <c r="B12510" s="1050"/>
      <c r="C12510" s="1050"/>
      <c r="D12510" s="1050"/>
      <c r="E12510" s="1050"/>
      <c r="F12510" s="1050"/>
      <c r="G12510" s="1050"/>
    </row>
    <row r="12511" spans="1:7">
      <c r="A12511" s="1079"/>
      <c r="B12511" s="1050"/>
      <c r="C12511" s="1050"/>
      <c r="D12511" s="1050"/>
      <c r="E12511" s="1050"/>
      <c r="F12511" s="1050"/>
      <c r="G12511" s="1050"/>
    </row>
    <row r="12512" spans="1:7">
      <c r="A12512" s="1079"/>
      <c r="B12512" s="1050"/>
      <c r="C12512" s="1050"/>
      <c r="D12512" s="1050"/>
      <c r="E12512" s="1050"/>
      <c r="F12512" s="1050"/>
      <c r="G12512" s="1050"/>
    </row>
    <row r="12513" spans="1:7">
      <c r="A12513" s="1079"/>
      <c r="B12513" s="1050"/>
      <c r="C12513" s="1050"/>
      <c r="D12513" s="1050"/>
      <c r="E12513" s="1050"/>
      <c r="F12513" s="1050"/>
      <c r="G12513" s="1050"/>
    </row>
    <row r="12514" spans="1:7">
      <c r="A12514" s="1079"/>
      <c r="B12514" s="1050"/>
      <c r="C12514" s="1050"/>
      <c r="D12514" s="1050"/>
      <c r="E12514" s="1050"/>
      <c r="F12514" s="1050"/>
      <c r="G12514" s="1050"/>
    </row>
    <row r="12515" spans="1:7">
      <c r="A12515" s="1079"/>
      <c r="B12515" s="1050"/>
      <c r="C12515" s="1050"/>
      <c r="D12515" s="1050"/>
      <c r="E12515" s="1050"/>
      <c r="F12515" s="1050"/>
      <c r="G12515" s="1050"/>
    </row>
    <row r="12516" spans="1:7">
      <c r="A12516" s="1079"/>
      <c r="B12516" s="1050"/>
      <c r="C12516" s="1050"/>
      <c r="D12516" s="1050"/>
      <c r="E12516" s="1050"/>
      <c r="F12516" s="1050"/>
      <c r="G12516" s="1050"/>
    </row>
    <row r="12517" spans="1:7">
      <c r="A12517" s="1079"/>
      <c r="B12517" s="1050"/>
      <c r="C12517" s="1050"/>
      <c r="D12517" s="1050"/>
      <c r="E12517" s="1050"/>
      <c r="F12517" s="1050"/>
      <c r="G12517" s="1050"/>
    </row>
    <row r="12518" spans="1:7">
      <c r="A12518" s="1079"/>
      <c r="B12518" s="1050"/>
      <c r="C12518" s="1050"/>
      <c r="D12518" s="1050"/>
      <c r="E12518" s="1050"/>
      <c r="F12518" s="1050"/>
      <c r="G12518" s="1050"/>
    </row>
    <row r="12519" spans="1:7">
      <c r="A12519" s="1079"/>
      <c r="B12519" s="1050"/>
      <c r="C12519" s="1050"/>
      <c r="D12519" s="1050"/>
      <c r="E12519" s="1050"/>
      <c r="F12519" s="1050"/>
      <c r="G12519" s="1050"/>
    </row>
    <row r="12520" spans="1:7">
      <c r="A12520" s="1079"/>
      <c r="B12520" s="1050"/>
      <c r="C12520" s="1050"/>
      <c r="D12520" s="1050"/>
      <c r="E12520" s="1050"/>
      <c r="F12520" s="1050"/>
      <c r="G12520" s="1050"/>
    </row>
    <row r="12521" spans="1:7">
      <c r="A12521" s="1079"/>
      <c r="B12521" s="1050"/>
      <c r="C12521" s="1050"/>
      <c r="D12521" s="1050"/>
      <c r="E12521" s="1050"/>
      <c r="F12521" s="1050"/>
      <c r="G12521" s="1050"/>
    </row>
    <row r="12522" spans="1:7">
      <c r="A12522" s="1079"/>
      <c r="B12522" s="1050"/>
      <c r="C12522" s="1050"/>
      <c r="D12522" s="1050"/>
      <c r="E12522" s="1050"/>
      <c r="F12522" s="1050"/>
      <c r="G12522" s="1050"/>
    </row>
    <row r="12523" spans="1:7">
      <c r="A12523" s="1079"/>
      <c r="B12523" s="1050"/>
      <c r="C12523" s="1050"/>
      <c r="D12523" s="1050"/>
      <c r="E12523" s="1050"/>
      <c r="F12523" s="1050"/>
      <c r="G12523" s="1050"/>
    </row>
    <row r="12524" spans="1:7">
      <c r="A12524" s="1079"/>
      <c r="B12524" s="1050"/>
      <c r="C12524" s="1050"/>
      <c r="D12524" s="1050"/>
      <c r="E12524" s="1050"/>
      <c r="F12524" s="1050"/>
      <c r="G12524" s="1050"/>
    </row>
    <row r="12525" spans="1:7">
      <c r="A12525" s="1079"/>
      <c r="B12525" s="1050"/>
      <c r="C12525" s="1050"/>
      <c r="D12525" s="1050"/>
      <c r="E12525" s="1050"/>
      <c r="F12525" s="1050"/>
      <c r="G12525" s="1050"/>
    </row>
    <row r="12526" spans="1:7">
      <c r="A12526" s="1079"/>
      <c r="B12526" s="1050"/>
      <c r="C12526" s="1050"/>
      <c r="D12526" s="1050"/>
      <c r="E12526" s="1050"/>
      <c r="F12526" s="1050"/>
      <c r="G12526" s="1050"/>
    </row>
    <row r="12527" spans="1:7">
      <c r="A12527" s="1079"/>
      <c r="B12527" s="1050"/>
      <c r="C12527" s="1050"/>
      <c r="D12527" s="1050"/>
      <c r="E12527" s="1050"/>
      <c r="F12527" s="1050"/>
      <c r="G12527" s="1050"/>
    </row>
    <row r="12528" spans="1:7">
      <c r="A12528" s="1079"/>
      <c r="B12528" s="1050"/>
      <c r="C12528" s="1050"/>
      <c r="D12528" s="1050"/>
      <c r="E12528" s="1050"/>
      <c r="F12528" s="1050"/>
      <c r="G12528" s="1050"/>
    </row>
    <row r="12529" spans="1:7">
      <c r="A12529" s="1079"/>
      <c r="B12529" s="1050"/>
      <c r="C12529" s="1050"/>
      <c r="D12529" s="1050"/>
      <c r="E12529" s="1050"/>
      <c r="F12529" s="1050"/>
      <c r="G12529" s="1050"/>
    </row>
    <row r="12530" spans="1:7">
      <c r="A12530" s="1079"/>
      <c r="B12530" s="1050"/>
      <c r="C12530" s="1050"/>
      <c r="D12530" s="1050"/>
      <c r="E12530" s="1050"/>
      <c r="F12530" s="1050"/>
      <c r="G12530" s="1050"/>
    </row>
    <row r="12531" spans="1:7">
      <c r="A12531" s="1079"/>
      <c r="B12531" s="1050"/>
      <c r="C12531" s="1050"/>
      <c r="D12531" s="1050"/>
      <c r="E12531" s="1050"/>
      <c r="F12531" s="1050"/>
      <c r="G12531" s="1050"/>
    </row>
    <row r="12532" spans="1:7">
      <c r="A12532" s="1079"/>
      <c r="B12532" s="1050"/>
      <c r="C12532" s="1050"/>
      <c r="D12532" s="1050"/>
      <c r="E12532" s="1050"/>
      <c r="F12532" s="1050"/>
      <c r="G12532" s="1050"/>
    </row>
    <row r="12533" spans="1:7">
      <c r="A12533" s="1079"/>
      <c r="B12533" s="1050"/>
      <c r="C12533" s="1050"/>
      <c r="D12533" s="1050"/>
      <c r="E12533" s="1050"/>
      <c r="F12533" s="1050"/>
      <c r="G12533" s="1050"/>
    </row>
    <row r="12534" spans="1:7">
      <c r="A12534" s="1079"/>
      <c r="B12534" s="1050"/>
      <c r="C12534" s="1050"/>
      <c r="D12534" s="1050"/>
      <c r="E12534" s="1050"/>
      <c r="F12534" s="1050"/>
      <c r="G12534" s="1050"/>
    </row>
    <row r="12535" spans="1:7">
      <c r="A12535" s="1079"/>
      <c r="B12535" s="1050"/>
      <c r="C12535" s="1050"/>
      <c r="D12535" s="1050"/>
      <c r="E12535" s="1050"/>
      <c r="F12535" s="1050"/>
      <c r="G12535" s="1050"/>
    </row>
    <row r="12536" spans="1:7">
      <c r="A12536" s="1079"/>
      <c r="B12536" s="1050"/>
      <c r="C12536" s="1050"/>
      <c r="D12536" s="1050"/>
      <c r="E12536" s="1050"/>
      <c r="F12536" s="1050"/>
      <c r="G12536" s="1050"/>
    </row>
    <row r="12537" spans="1:7">
      <c r="A12537" s="1079"/>
      <c r="B12537" s="1050"/>
      <c r="C12537" s="1050"/>
      <c r="D12537" s="1050"/>
      <c r="E12537" s="1050"/>
      <c r="F12537" s="1050"/>
      <c r="G12537" s="1050"/>
    </row>
    <row r="12538" spans="1:7">
      <c r="A12538" s="1079"/>
      <c r="B12538" s="1050"/>
      <c r="C12538" s="1050"/>
      <c r="D12538" s="1050"/>
      <c r="E12538" s="1050"/>
      <c r="F12538" s="1050"/>
      <c r="G12538" s="1050"/>
    </row>
    <row r="12539" spans="1:7">
      <c r="A12539" s="1079"/>
      <c r="B12539" s="1050"/>
      <c r="C12539" s="1050"/>
      <c r="D12539" s="1050"/>
      <c r="E12539" s="1050"/>
      <c r="F12539" s="1050"/>
      <c r="G12539" s="1050"/>
    </row>
    <row r="12540" spans="1:7">
      <c r="A12540" s="1079"/>
      <c r="B12540" s="1050"/>
      <c r="C12540" s="1050"/>
      <c r="D12540" s="1050"/>
      <c r="E12540" s="1050"/>
      <c r="F12540" s="1050"/>
      <c r="G12540" s="1050"/>
    </row>
    <row r="12541" spans="1:7">
      <c r="A12541" s="1079"/>
      <c r="B12541" s="1050"/>
      <c r="C12541" s="1050"/>
      <c r="D12541" s="1050"/>
      <c r="E12541" s="1050"/>
      <c r="F12541" s="1050"/>
      <c r="G12541" s="1050"/>
    </row>
    <row r="12542" spans="1:7">
      <c r="A12542" s="1079"/>
      <c r="B12542" s="1050"/>
      <c r="C12542" s="1050"/>
      <c r="D12542" s="1050"/>
      <c r="E12542" s="1050"/>
      <c r="F12542" s="1050"/>
      <c r="G12542" s="1050"/>
    </row>
    <row r="12543" spans="1:7">
      <c r="A12543" s="1079"/>
      <c r="B12543" s="1050"/>
      <c r="C12543" s="1050"/>
      <c r="D12543" s="1050"/>
      <c r="E12543" s="1050"/>
      <c r="F12543" s="1050"/>
      <c r="G12543" s="1050"/>
    </row>
    <row r="12544" spans="1:7">
      <c r="A12544" s="1079"/>
      <c r="B12544" s="1050"/>
      <c r="C12544" s="1050"/>
      <c r="D12544" s="1050"/>
      <c r="E12544" s="1050"/>
      <c r="F12544" s="1050"/>
      <c r="G12544" s="1050"/>
    </row>
    <row r="12545" spans="1:7">
      <c r="A12545" s="1079"/>
      <c r="B12545" s="1050"/>
      <c r="C12545" s="1050"/>
      <c r="D12545" s="1050"/>
      <c r="E12545" s="1050"/>
      <c r="F12545" s="1050"/>
      <c r="G12545" s="1050"/>
    </row>
    <row r="12546" spans="1:7">
      <c r="A12546" s="1079"/>
      <c r="B12546" s="1050"/>
      <c r="C12546" s="1050"/>
      <c r="D12546" s="1050"/>
      <c r="E12546" s="1050"/>
      <c r="F12546" s="1050"/>
      <c r="G12546" s="1050"/>
    </row>
    <row r="12547" spans="1:7">
      <c r="A12547" s="1079"/>
      <c r="B12547" s="1050"/>
      <c r="C12547" s="1050"/>
      <c r="D12547" s="1050"/>
      <c r="E12547" s="1050"/>
      <c r="F12547" s="1050"/>
      <c r="G12547" s="1050"/>
    </row>
    <row r="12548" spans="1:7">
      <c r="A12548" s="1079"/>
      <c r="B12548" s="1050"/>
      <c r="C12548" s="1050"/>
      <c r="D12548" s="1050"/>
      <c r="E12548" s="1050"/>
      <c r="F12548" s="1050"/>
      <c r="G12548" s="1050"/>
    </row>
    <row r="12549" spans="1:7">
      <c r="A12549" s="1079"/>
      <c r="B12549" s="1050"/>
      <c r="C12549" s="1050"/>
      <c r="D12549" s="1050"/>
      <c r="E12549" s="1050"/>
      <c r="F12549" s="1050"/>
      <c r="G12549" s="1050"/>
    </row>
    <row r="12550" spans="1:7">
      <c r="A12550" s="1079"/>
      <c r="B12550" s="1050"/>
      <c r="C12550" s="1050"/>
      <c r="D12550" s="1050"/>
      <c r="E12550" s="1050"/>
      <c r="F12550" s="1050"/>
      <c r="G12550" s="1050"/>
    </row>
    <row r="12551" spans="1:7">
      <c r="A12551" s="1079"/>
      <c r="B12551" s="1050"/>
      <c r="C12551" s="1050"/>
      <c r="D12551" s="1050"/>
      <c r="E12551" s="1050"/>
      <c r="F12551" s="1050"/>
      <c r="G12551" s="1050"/>
    </row>
    <row r="12552" spans="1:7">
      <c r="A12552" s="1079"/>
      <c r="B12552" s="1050"/>
      <c r="C12552" s="1050"/>
      <c r="D12552" s="1050"/>
      <c r="E12552" s="1050"/>
      <c r="F12552" s="1050"/>
      <c r="G12552" s="1050"/>
    </row>
    <row r="12553" spans="1:7">
      <c r="A12553" s="1079"/>
      <c r="B12553" s="1050"/>
      <c r="C12553" s="1050"/>
      <c r="D12553" s="1050"/>
      <c r="E12553" s="1050"/>
      <c r="F12553" s="1050"/>
      <c r="G12553" s="1050"/>
    </row>
    <row r="12554" spans="1:7">
      <c r="A12554" s="1079"/>
      <c r="B12554" s="1050"/>
      <c r="C12554" s="1050"/>
      <c r="D12554" s="1050"/>
      <c r="E12554" s="1050"/>
      <c r="F12554" s="1050"/>
      <c r="G12554" s="1050"/>
    </row>
    <row r="12555" spans="1:7">
      <c r="A12555" s="1079"/>
      <c r="B12555" s="1050"/>
      <c r="C12555" s="1050"/>
      <c r="D12555" s="1050"/>
      <c r="E12555" s="1050"/>
      <c r="F12555" s="1050"/>
      <c r="G12555" s="1050"/>
    </row>
    <row r="12556" spans="1:7">
      <c r="A12556" s="1079"/>
      <c r="B12556" s="1050"/>
      <c r="C12556" s="1050"/>
      <c r="D12556" s="1050"/>
      <c r="E12556" s="1050"/>
      <c r="F12556" s="1050"/>
      <c r="G12556" s="1050"/>
    </row>
    <row r="12557" spans="1:7">
      <c r="A12557" s="1079"/>
      <c r="B12557" s="1050"/>
      <c r="C12557" s="1050"/>
      <c r="D12557" s="1050"/>
      <c r="E12557" s="1050"/>
      <c r="F12557" s="1050"/>
      <c r="G12557" s="1050"/>
    </row>
    <row r="12558" spans="1:7">
      <c r="A12558" s="1079"/>
      <c r="B12558" s="1050"/>
      <c r="C12558" s="1050"/>
      <c r="D12558" s="1050"/>
      <c r="E12558" s="1050"/>
      <c r="F12558" s="1050"/>
      <c r="G12558" s="1050"/>
    </row>
    <row r="12559" spans="1:7">
      <c r="A12559" s="1079"/>
      <c r="B12559" s="1050"/>
      <c r="C12559" s="1050"/>
      <c r="D12559" s="1050"/>
      <c r="E12559" s="1050"/>
      <c r="F12559" s="1050"/>
      <c r="G12559" s="1050"/>
    </row>
    <row r="12560" spans="1:7">
      <c r="A12560" s="1079"/>
      <c r="B12560" s="1050"/>
      <c r="C12560" s="1050"/>
      <c r="D12560" s="1050"/>
      <c r="E12560" s="1050"/>
      <c r="F12560" s="1050"/>
      <c r="G12560" s="1050"/>
    </row>
    <row r="12561" spans="1:7">
      <c r="A12561" s="1079"/>
      <c r="B12561" s="1050"/>
      <c r="C12561" s="1050"/>
      <c r="D12561" s="1050"/>
      <c r="E12561" s="1050"/>
      <c r="F12561" s="1050"/>
      <c r="G12561" s="1050"/>
    </row>
    <row r="12562" spans="1:7">
      <c r="A12562" s="1079"/>
      <c r="B12562" s="1050"/>
      <c r="C12562" s="1050"/>
      <c r="D12562" s="1050"/>
      <c r="E12562" s="1050"/>
      <c r="F12562" s="1050"/>
      <c r="G12562" s="1050"/>
    </row>
    <row r="12563" spans="1:7">
      <c r="A12563" s="1079"/>
      <c r="B12563" s="1050"/>
      <c r="C12563" s="1050"/>
      <c r="D12563" s="1050"/>
      <c r="E12563" s="1050"/>
      <c r="F12563" s="1050"/>
      <c r="G12563" s="1050"/>
    </row>
    <row r="12564" spans="1:7">
      <c r="A12564" s="1079"/>
      <c r="B12564" s="1050"/>
      <c r="C12564" s="1050"/>
      <c r="D12564" s="1050"/>
      <c r="E12564" s="1050"/>
      <c r="F12564" s="1050"/>
      <c r="G12564" s="1050"/>
    </row>
    <row r="12565" spans="1:7">
      <c r="A12565" s="1079"/>
      <c r="B12565" s="1050"/>
      <c r="C12565" s="1050"/>
      <c r="D12565" s="1050"/>
      <c r="E12565" s="1050"/>
      <c r="F12565" s="1050"/>
      <c r="G12565" s="1050"/>
    </row>
    <row r="12566" spans="1:7">
      <c r="A12566" s="1079"/>
      <c r="B12566" s="1050"/>
      <c r="C12566" s="1050"/>
      <c r="D12566" s="1050"/>
      <c r="E12566" s="1050"/>
      <c r="F12566" s="1050"/>
      <c r="G12566" s="1050"/>
    </row>
    <row r="12567" spans="1:7">
      <c r="A12567" s="1079"/>
      <c r="B12567" s="1050"/>
      <c r="C12567" s="1050"/>
      <c r="D12567" s="1050"/>
      <c r="E12567" s="1050"/>
      <c r="F12567" s="1050"/>
      <c r="G12567" s="1050"/>
    </row>
    <row r="12568" spans="1:7">
      <c r="A12568" s="1079"/>
      <c r="B12568" s="1050"/>
      <c r="C12568" s="1050"/>
      <c r="D12568" s="1050"/>
      <c r="E12568" s="1050"/>
      <c r="F12568" s="1050"/>
      <c r="G12568" s="1050"/>
    </row>
    <row r="12569" spans="1:7">
      <c r="A12569" s="1079"/>
      <c r="B12569" s="1050"/>
      <c r="C12569" s="1050"/>
      <c r="D12569" s="1050"/>
      <c r="E12569" s="1050"/>
      <c r="F12569" s="1050"/>
      <c r="G12569" s="1050"/>
    </row>
    <row r="12570" spans="1:7">
      <c r="A12570" s="1079"/>
      <c r="B12570" s="1050"/>
      <c r="C12570" s="1050"/>
      <c r="D12570" s="1050"/>
      <c r="E12570" s="1050"/>
      <c r="F12570" s="1050"/>
      <c r="G12570" s="1050"/>
    </row>
    <row r="12571" spans="1:7">
      <c r="A12571" s="1079"/>
      <c r="B12571" s="1050"/>
      <c r="C12571" s="1050"/>
      <c r="D12571" s="1050"/>
      <c r="E12571" s="1050"/>
      <c r="F12571" s="1050"/>
      <c r="G12571" s="1050"/>
    </row>
    <row r="12572" spans="1:7">
      <c r="A12572" s="1079"/>
      <c r="B12572" s="1050"/>
      <c r="C12572" s="1050"/>
      <c r="D12572" s="1050"/>
      <c r="E12572" s="1050"/>
      <c r="F12572" s="1050"/>
      <c r="G12572" s="1050"/>
    </row>
    <row r="12573" spans="1:7">
      <c r="A12573" s="1079"/>
      <c r="B12573" s="1050"/>
      <c r="C12573" s="1050"/>
      <c r="D12573" s="1050"/>
      <c r="E12573" s="1050"/>
      <c r="F12573" s="1050"/>
      <c r="G12573" s="1050"/>
    </row>
    <row r="12574" spans="1:7">
      <c r="A12574" s="1079"/>
      <c r="B12574" s="1050"/>
      <c r="C12574" s="1050"/>
      <c r="D12574" s="1050"/>
      <c r="E12574" s="1050"/>
      <c r="F12574" s="1050"/>
      <c r="G12574" s="1050"/>
    </row>
    <row r="12575" spans="1:7">
      <c r="A12575" s="1079"/>
      <c r="B12575" s="1050"/>
      <c r="C12575" s="1050"/>
      <c r="D12575" s="1050"/>
      <c r="E12575" s="1050"/>
      <c r="F12575" s="1050"/>
      <c r="G12575" s="1050"/>
    </row>
    <row r="12576" spans="1:7">
      <c r="A12576" s="1079"/>
      <c r="B12576" s="1050"/>
      <c r="C12576" s="1050"/>
      <c r="D12576" s="1050"/>
      <c r="E12576" s="1050"/>
      <c r="F12576" s="1050"/>
      <c r="G12576" s="1050"/>
    </row>
    <row r="12577" spans="1:7">
      <c r="A12577" s="1079"/>
      <c r="B12577" s="1050"/>
      <c r="C12577" s="1050"/>
      <c r="D12577" s="1050"/>
      <c r="E12577" s="1050"/>
      <c r="F12577" s="1050"/>
      <c r="G12577" s="1050"/>
    </row>
    <row r="12578" spans="1:7">
      <c r="A12578" s="1079"/>
      <c r="B12578" s="1050"/>
      <c r="C12578" s="1050"/>
      <c r="D12578" s="1050"/>
      <c r="E12578" s="1050"/>
      <c r="F12578" s="1050"/>
      <c r="G12578" s="1050"/>
    </row>
    <row r="12579" spans="1:7">
      <c r="A12579" s="1079"/>
      <c r="B12579" s="1050"/>
      <c r="C12579" s="1050"/>
      <c r="D12579" s="1050"/>
      <c r="E12579" s="1050"/>
      <c r="F12579" s="1050"/>
      <c r="G12579" s="1050"/>
    </row>
    <row r="12580" spans="1:7">
      <c r="A12580" s="1079"/>
      <c r="B12580" s="1050"/>
      <c r="C12580" s="1050"/>
      <c r="D12580" s="1050"/>
      <c r="E12580" s="1050"/>
      <c r="F12580" s="1050"/>
      <c r="G12580" s="1050"/>
    </row>
    <row r="12581" spans="1:7">
      <c r="A12581" s="1079"/>
      <c r="B12581" s="1050"/>
      <c r="C12581" s="1050"/>
      <c r="D12581" s="1050"/>
      <c r="E12581" s="1050"/>
      <c r="F12581" s="1050"/>
      <c r="G12581" s="1050"/>
    </row>
    <row r="12582" spans="1:7">
      <c r="A12582" s="1079"/>
      <c r="B12582" s="1050"/>
      <c r="C12582" s="1050"/>
      <c r="D12582" s="1050"/>
      <c r="E12582" s="1050"/>
      <c r="F12582" s="1050"/>
      <c r="G12582" s="1050"/>
    </row>
    <row r="12583" spans="1:7">
      <c r="A12583" s="1079"/>
      <c r="B12583" s="1050"/>
      <c r="C12583" s="1050"/>
      <c r="D12583" s="1050"/>
      <c r="E12583" s="1050"/>
      <c r="F12583" s="1050"/>
      <c r="G12583" s="1050"/>
    </row>
    <row r="12584" spans="1:7">
      <c r="A12584" s="1079"/>
      <c r="B12584" s="1050"/>
      <c r="C12584" s="1050"/>
      <c r="D12584" s="1050"/>
      <c r="E12584" s="1050"/>
      <c r="F12584" s="1050"/>
      <c r="G12584" s="1050"/>
    </row>
    <row r="12585" spans="1:7">
      <c r="A12585" s="1079"/>
      <c r="B12585" s="1050"/>
      <c r="C12585" s="1050"/>
      <c r="D12585" s="1050"/>
      <c r="E12585" s="1050"/>
      <c r="F12585" s="1050"/>
      <c r="G12585" s="1050"/>
    </row>
    <row r="12586" spans="1:7">
      <c r="A12586" s="1079"/>
      <c r="B12586" s="1050"/>
      <c r="C12586" s="1050"/>
      <c r="D12586" s="1050"/>
      <c r="E12586" s="1050"/>
      <c r="F12586" s="1050"/>
      <c r="G12586" s="1050"/>
    </row>
    <row r="12587" spans="1:7">
      <c r="A12587" s="1079"/>
      <c r="B12587" s="1050"/>
      <c r="C12587" s="1050"/>
      <c r="D12587" s="1050"/>
      <c r="E12587" s="1050"/>
      <c r="F12587" s="1050"/>
      <c r="G12587" s="1050"/>
    </row>
    <row r="12588" spans="1:7">
      <c r="A12588" s="1079"/>
      <c r="B12588" s="1050"/>
      <c r="C12588" s="1050"/>
      <c r="D12588" s="1050"/>
      <c r="E12588" s="1050"/>
      <c r="F12588" s="1050"/>
      <c r="G12588" s="1050"/>
    </row>
    <row r="12589" spans="1:7">
      <c r="A12589" s="1079"/>
      <c r="B12589" s="1050"/>
      <c r="C12589" s="1050"/>
      <c r="D12589" s="1050"/>
      <c r="E12589" s="1050"/>
      <c r="F12589" s="1050"/>
      <c r="G12589" s="1050"/>
    </row>
    <row r="12590" spans="1:7">
      <c r="A12590" s="1079"/>
      <c r="B12590" s="1050"/>
      <c r="C12590" s="1050"/>
      <c r="D12590" s="1050"/>
      <c r="E12590" s="1050"/>
      <c r="F12590" s="1050"/>
      <c r="G12590" s="1050"/>
    </row>
    <row r="12591" spans="1:7">
      <c r="A12591" s="1079"/>
      <c r="B12591" s="1050"/>
      <c r="C12591" s="1050"/>
      <c r="D12591" s="1050"/>
      <c r="E12591" s="1050"/>
      <c r="F12591" s="1050"/>
      <c r="G12591" s="1050"/>
    </row>
    <row r="12592" spans="1:7">
      <c r="A12592" s="1079"/>
      <c r="B12592" s="1050"/>
      <c r="C12592" s="1050"/>
      <c r="D12592" s="1050"/>
      <c r="E12592" s="1050"/>
      <c r="F12592" s="1050"/>
      <c r="G12592" s="1050"/>
    </row>
    <row r="12593" spans="1:7">
      <c r="A12593" s="1079"/>
      <c r="B12593" s="1050"/>
      <c r="C12593" s="1050"/>
      <c r="D12593" s="1050"/>
      <c r="E12593" s="1050"/>
      <c r="F12593" s="1050"/>
      <c r="G12593" s="1050"/>
    </row>
    <row r="12594" spans="1:7">
      <c r="A12594" s="1079"/>
      <c r="B12594" s="1050"/>
      <c r="C12594" s="1050"/>
      <c r="D12594" s="1050"/>
      <c r="E12594" s="1050"/>
      <c r="F12594" s="1050"/>
      <c r="G12594" s="1050"/>
    </row>
    <row r="12595" spans="1:7">
      <c r="A12595" s="1079"/>
      <c r="B12595" s="1050"/>
      <c r="C12595" s="1050"/>
      <c r="D12595" s="1050"/>
      <c r="E12595" s="1050"/>
      <c r="F12595" s="1050"/>
      <c r="G12595" s="1050"/>
    </row>
    <row r="12596" spans="1:7">
      <c r="A12596" s="1079"/>
      <c r="B12596" s="1050"/>
      <c r="C12596" s="1050"/>
      <c r="D12596" s="1050"/>
      <c r="E12596" s="1050"/>
      <c r="F12596" s="1050"/>
      <c r="G12596" s="1050"/>
    </row>
    <row r="12597" spans="1:7">
      <c r="A12597" s="1079"/>
      <c r="B12597" s="1050"/>
      <c r="C12597" s="1050"/>
      <c r="D12597" s="1050"/>
      <c r="E12597" s="1050"/>
      <c r="F12597" s="1050"/>
      <c r="G12597" s="1050"/>
    </row>
    <row r="12598" spans="1:7">
      <c r="A12598" s="1079"/>
      <c r="B12598" s="1050"/>
      <c r="C12598" s="1050"/>
      <c r="D12598" s="1050"/>
      <c r="E12598" s="1050"/>
      <c r="F12598" s="1050"/>
      <c r="G12598" s="1050"/>
    </row>
    <row r="12599" spans="1:7">
      <c r="A12599" s="1079"/>
      <c r="B12599" s="1050"/>
      <c r="C12599" s="1050"/>
      <c r="D12599" s="1050"/>
      <c r="E12599" s="1050"/>
      <c r="F12599" s="1050"/>
      <c r="G12599" s="1050"/>
    </row>
    <row r="12600" spans="1:7">
      <c r="A12600" s="1079"/>
      <c r="B12600" s="1050"/>
      <c r="C12600" s="1050"/>
      <c r="D12600" s="1050"/>
      <c r="E12600" s="1050"/>
      <c r="F12600" s="1050"/>
      <c r="G12600" s="1050"/>
    </row>
    <row r="12601" spans="1:7">
      <c r="A12601" s="1079"/>
      <c r="B12601" s="1050"/>
      <c r="C12601" s="1050"/>
      <c r="D12601" s="1050"/>
      <c r="E12601" s="1050"/>
      <c r="F12601" s="1050"/>
      <c r="G12601" s="1050"/>
    </row>
    <row r="12602" spans="1:7">
      <c r="A12602" s="1079"/>
      <c r="B12602" s="1050"/>
      <c r="C12602" s="1050"/>
      <c r="D12602" s="1050"/>
      <c r="E12602" s="1050"/>
      <c r="F12602" s="1050"/>
      <c r="G12602" s="1050"/>
    </row>
    <row r="12603" spans="1:7">
      <c r="A12603" s="1079"/>
      <c r="B12603" s="1050"/>
      <c r="C12603" s="1050"/>
      <c r="D12603" s="1050"/>
      <c r="E12603" s="1050"/>
      <c r="F12603" s="1050"/>
      <c r="G12603" s="1050"/>
    </row>
    <row r="12604" spans="1:7">
      <c r="A12604" s="1079"/>
      <c r="B12604" s="1050"/>
      <c r="C12604" s="1050"/>
      <c r="D12604" s="1050"/>
      <c r="E12604" s="1050"/>
      <c r="F12604" s="1050"/>
      <c r="G12604" s="1050"/>
    </row>
    <row r="12605" spans="1:7">
      <c r="A12605" s="1079"/>
      <c r="B12605" s="1050"/>
      <c r="C12605" s="1050"/>
      <c r="D12605" s="1050"/>
      <c r="E12605" s="1050"/>
      <c r="F12605" s="1050"/>
      <c r="G12605" s="1050"/>
    </row>
    <row r="12606" spans="1:7">
      <c r="A12606" s="1079"/>
      <c r="B12606" s="1050"/>
      <c r="C12606" s="1050"/>
      <c r="D12606" s="1050"/>
      <c r="E12606" s="1050"/>
      <c r="F12606" s="1050"/>
      <c r="G12606" s="1050"/>
    </row>
    <row r="12607" spans="1:7">
      <c r="A12607" s="1079"/>
      <c r="B12607" s="1050"/>
      <c r="C12607" s="1050"/>
      <c r="D12607" s="1050"/>
      <c r="E12607" s="1050"/>
      <c r="F12607" s="1050"/>
      <c r="G12607" s="1050"/>
    </row>
    <row r="12608" spans="1:7">
      <c r="A12608" s="1079"/>
      <c r="B12608" s="1050"/>
      <c r="C12608" s="1050"/>
      <c r="D12608" s="1050"/>
      <c r="E12608" s="1050"/>
      <c r="F12608" s="1050"/>
      <c r="G12608" s="1050"/>
    </row>
    <row r="12609" spans="1:7">
      <c r="A12609" s="1079"/>
      <c r="B12609" s="1050"/>
      <c r="C12609" s="1050"/>
      <c r="D12609" s="1050"/>
      <c r="E12609" s="1050"/>
      <c r="F12609" s="1050"/>
      <c r="G12609" s="1050"/>
    </row>
    <row r="12610" spans="1:7">
      <c r="A12610" s="1079"/>
      <c r="B12610" s="1050"/>
      <c r="C12610" s="1050"/>
      <c r="D12610" s="1050"/>
      <c r="E12610" s="1050"/>
      <c r="F12610" s="1050"/>
      <c r="G12610" s="1050"/>
    </row>
    <row r="12611" spans="1:7">
      <c r="A12611" s="1079"/>
      <c r="B12611" s="1050"/>
      <c r="C12611" s="1050"/>
      <c r="D12611" s="1050"/>
      <c r="E12611" s="1050"/>
      <c r="F12611" s="1050"/>
      <c r="G12611" s="1050"/>
    </row>
    <row r="12612" spans="1:7">
      <c r="A12612" s="1079"/>
      <c r="B12612" s="1050"/>
      <c r="C12612" s="1050"/>
      <c r="D12612" s="1050"/>
      <c r="E12612" s="1050"/>
      <c r="F12612" s="1050"/>
      <c r="G12612" s="1050"/>
    </row>
    <row r="12613" spans="1:7">
      <c r="A12613" s="1079"/>
      <c r="B12613" s="1050"/>
      <c r="C12613" s="1050"/>
      <c r="D12613" s="1050"/>
      <c r="E12613" s="1050"/>
      <c r="F12613" s="1050"/>
      <c r="G12613" s="1050"/>
    </row>
    <row r="12614" spans="1:7">
      <c r="A12614" s="1079"/>
      <c r="B12614" s="1050"/>
      <c r="C12614" s="1050"/>
      <c r="D12614" s="1050"/>
      <c r="E12614" s="1050"/>
      <c r="F12614" s="1050"/>
      <c r="G12614" s="1050"/>
    </row>
    <row r="12615" spans="1:7">
      <c r="A12615" s="1079"/>
      <c r="B12615" s="1050"/>
      <c r="C12615" s="1050"/>
      <c r="D12615" s="1050"/>
      <c r="E12615" s="1050"/>
      <c r="F12615" s="1050"/>
      <c r="G12615" s="1050"/>
    </row>
    <row r="12616" spans="1:7">
      <c r="A12616" s="1079"/>
      <c r="B12616" s="1050"/>
      <c r="C12616" s="1050"/>
      <c r="D12616" s="1050"/>
      <c r="E12616" s="1050"/>
      <c r="F12616" s="1050"/>
      <c r="G12616" s="1050"/>
    </row>
    <row r="12617" spans="1:7">
      <c r="A12617" s="1079"/>
      <c r="B12617" s="1050"/>
      <c r="C12617" s="1050"/>
      <c r="D12617" s="1050"/>
      <c r="E12617" s="1050"/>
      <c r="F12617" s="1050"/>
      <c r="G12617" s="1050"/>
    </row>
    <row r="12618" spans="1:7">
      <c r="A12618" s="1079"/>
      <c r="B12618" s="1050"/>
      <c r="C12618" s="1050"/>
      <c r="D12618" s="1050"/>
      <c r="E12618" s="1050"/>
      <c r="F12618" s="1050"/>
      <c r="G12618" s="1050"/>
    </row>
    <row r="12619" spans="1:7">
      <c r="A12619" s="1079"/>
      <c r="B12619" s="1050"/>
      <c r="C12619" s="1050"/>
      <c r="D12619" s="1050"/>
      <c r="E12619" s="1050"/>
      <c r="F12619" s="1050"/>
      <c r="G12619" s="1050"/>
    </row>
    <row r="12620" spans="1:7">
      <c r="A12620" s="1079"/>
      <c r="B12620" s="1050"/>
      <c r="C12620" s="1050"/>
      <c r="D12620" s="1050"/>
      <c r="E12620" s="1050"/>
      <c r="F12620" s="1050"/>
      <c r="G12620" s="1050"/>
    </row>
    <row r="12621" spans="1:7">
      <c r="A12621" s="1079"/>
      <c r="B12621" s="1050"/>
      <c r="C12621" s="1050"/>
      <c r="D12621" s="1050"/>
      <c r="E12621" s="1050"/>
      <c r="F12621" s="1050"/>
      <c r="G12621" s="1050"/>
    </row>
    <row r="12622" spans="1:7">
      <c r="A12622" s="1079"/>
      <c r="B12622" s="1050"/>
      <c r="C12622" s="1050"/>
      <c r="D12622" s="1050"/>
      <c r="E12622" s="1050"/>
      <c r="F12622" s="1050"/>
      <c r="G12622" s="1050"/>
    </row>
    <row r="12623" spans="1:7">
      <c r="A12623" s="1079"/>
      <c r="B12623" s="1050"/>
      <c r="C12623" s="1050"/>
      <c r="D12623" s="1050"/>
      <c r="E12623" s="1050"/>
      <c r="F12623" s="1050"/>
      <c r="G12623" s="1050"/>
    </row>
    <row r="12624" spans="1:7">
      <c r="A12624" s="1079"/>
      <c r="B12624" s="1050"/>
      <c r="C12624" s="1050"/>
      <c r="D12624" s="1050"/>
      <c r="E12624" s="1050"/>
      <c r="F12624" s="1050"/>
      <c r="G12624" s="1050"/>
    </row>
    <row r="12625" spans="1:7">
      <c r="A12625" s="1079"/>
      <c r="B12625" s="1050"/>
      <c r="C12625" s="1050"/>
      <c r="D12625" s="1050"/>
      <c r="E12625" s="1050"/>
      <c r="F12625" s="1050"/>
      <c r="G12625" s="1050"/>
    </row>
    <row r="12626" spans="1:7">
      <c r="A12626" s="1079"/>
      <c r="B12626" s="1050"/>
      <c r="C12626" s="1050"/>
      <c r="D12626" s="1050"/>
      <c r="E12626" s="1050"/>
      <c r="F12626" s="1050"/>
      <c r="G12626" s="1050"/>
    </row>
    <row r="12627" spans="1:7">
      <c r="A12627" s="1079"/>
      <c r="B12627" s="1050"/>
      <c r="C12627" s="1050"/>
      <c r="D12627" s="1050"/>
      <c r="E12627" s="1050"/>
      <c r="F12627" s="1050"/>
      <c r="G12627" s="1050"/>
    </row>
    <row r="12628" spans="1:7">
      <c r="A12628" s="1079"/>
      <c r="B12628" s="1050"/>
      <c r="C12628" s="1050"/>
      <c r="D12628" s="1050"/>
      <c r="E12628" s="1050"/>
      <c r="F12628" s="1050"/>
      <c r="G12628" s="1050"/>
    </row>
    <row r="12629" spans="1:7">
      <c r="A12629" s="1079"/>
      <c r="B12629" s="1050"/>
      <c r="C12629" s="1050"/>
      <c r="D12629" s="1050"/>
      <c r="E12629" s="1050"/>
      <c r="F12629" s="1050"/>
      <c r="G12629" s="1050"/>
    </row>
    <row r="12630" spans="1:7">
      <c r="A12630" s="1079"/>
      <c r="B12630" s="1050"/>
      <c r="C12630" s="1050"/>
      <c r="D12630" s="1050"/>
      <c r="E12630" s="1050"/>
      <c r="F12630" s="1050"/>
      <c r="G12630" s="1050"/>
    </row>
    <row r="12631" spans="1:7">
      <c r="A12631" s="1079"/>
      <c r="B12631" s="1050"/>
      <c r="C12631" s="1050"/>
      <c r="D12631" s="1050"/>
      <c r="E12631" s="1050"/>
      <c r="F12631" s="1050"/>
      <c r="G12631" s="1050"/>
    </row>
    <row r="12632" spans="1:7">
      <c r="A12632" s="1079"/>
      <c r="B12632" s="1050"/>
      <c r="C12632" s="1050"/>
      <c r="D12632" s="1050"/>
      <c r="E12632" s="1050"/>
      <c r="F12632" s="1050"/>
      <c r="G12632" s="1050"/>
    </row>
    <row r="12633" spans="1:7">
      <c r="A12633" s="1079"/>
      <c r="B12633" s="1050"/>
      <c r="C12633" s="1050"/>
      <c r="D12633" s="1050"/>
      <c r="E12633" s="1050"/>
      <c r="F12633" s="1050"/>
      <c r="G12633" s="1050"/>
    </row>
    <row r="12634" spans="1:7">
      <c r="A12634" s="1079"/>
      <c r="B12634" s="1050"/>
      <c r="C12634" s="1050"/>
      <c r="D12634" s="1050"/>
      <c r="E12634" s="1050"/>
      <c r="F12634" s="1050"/>
      <c r="G12634" s="1050"/>
    </row>
    <row r="12635" spans="1:7">
      <c r="A12635" s="1079"/>
      <c r="B12635" s="1050"/>
      <c r="C12635" s="1050"/>
      <c r="D12635" s="1050"/>
      <c r="E12635" s="1050"/>
      <c r="F12635" s="1050"/>
      <c r="G12635" s="1050"/>
    </row>
    <row r="12636" spans="1:7">
      <c r="A12636" s="1079"/>
      <c r="B12636" s="1050"/>
      <c r="C12636" s="1050"/>
      <c r="D12636" s="1050"/>
      <c r="E12636" s="1050"/>
      <c r="F12636" s="1050"/>
      <c r="G12636" s="1050"/>
    </row>
    <row r="12637" spans="1:7">
      <c r="A12637" s="1079"/>
      <c r="B12637" s="1050"/>
      <c r="C12637" s="1050"/>
      <c r="D12637" s="1050"/>
      <c r="E12637" s="1050"/>
      <c r="F12637" s="1050"/>
      <c r="G12637" s="1050"/>
    </row>
    <row r="12638" spans="1:7">
      <c r="A12638" s="1079"/>
      <c r="B12638" s="1050"/>
      <c r="C12638" s="1050"/>
      <c r="D12638" s="1050"/>
      <c r="E12638" s="1050"/>
      <c r="F12638" s="1050"/>
      <c r="G12638" s="1050"/>
    </row>
    <row r="12639" spans="1:7">
      <c r="A12639" s="1079"/>
      <c r="B12639" s="1050"/>
      <c r="C12639" s="1050"/>
      <c r="D12639" s="1050"/>
      <c r="E12639" s="1050"/>
      <c r="F12639" s="1050"/>
      <c r="G12639" s="1050"/>
    </row>
    <row r="12640" spans="1:7">
      <c r="A12640" s="1079"/>
      <c r="B12640" s="1050"/>
      <c r="C12640" s="1050"/>
      <c r="D12640" s="1050"/>
      <c r="E12640" s="1050"/>
      <c r="F12640" s="1050"/>
      <c r="G12640" s="1050"/>
    </row>
    <row r="12641" spans="1:7">
      <c r="A12641" s="1079"/>
      <c r="B12641" s="1050"/>
      <c r="C12641" s="1050"/>
      <c r="D12641" s="1050"/>
      <c r="E12641" s="1050"/>
      <c r="F12641" s="1050"/>
      <c r="G12641" s="1050"/>
    </row>
    <row r="12642" spans="1:7">
      <c r="A12642" s="1079"/>
      <c r="B12642" s="1050"/>
      <c r="C12642" s="1050"/>
      <c r="D12642" s="1050"/>
      <c r="E12642" s="1050"/>
      <c r="F12642" s="1050"/>
      <c r="G12642" s="1050"/>
    </row>
    <row r="12643" spans="1:7">
      <c r="A12643" s="1079"/>
      <c r="B12643" s="1050"/>
      <c r="C12643" s="1050"/>
      <c r="D12643" s="1050"/>
      <c r="E12643" s="1050"/>
      <c r="F12643" s="1050"/>
      <c r="G12643" s="1050"/>
    </row>
    <row r="12644" spans="1:7">
      <c r="A12644" s="1079"/>
      <c r="B12644" s="1050"/>
      <c r="C12644" s="1050"/>
      <c r="D12644" s="1050"/>
      <c r="E12644" s="1050"/>
      <c r="F12644" s="1050"/>
      <c r="G12644" s="1050"/>
    </row>
    <row r="12645" spans="1:7">
      <c r="A12645" s="1079"/>
      <c r="B12645" s="1050"/>
      <c r="C12645" s="1050"/>
      <c r="D12645" s="1050"/>
      <c r="E12645" s="1050"/>
      <c r="F12645" s="1050"/>
      <c r="G12645" s="1050"/>
    </row>
    <row r="12646" spans="1:7">
      <c r="A12646" s="1079"/>
      <c r="B12646" s="1050"/>
      <c r="C12646" s="1050"/>
      <c r="D12646" s="1050"/>
      <c r="E12646" s="1050"/>
      <c r="F12646" s="1050"/>
      <c r="G12646" s="1050"/>
    </row>
    <row r="12647" spans="1:7">
      <c r="A12647" s="1079"/>
      <c r="B12647" s="1050"/>
      <c r="C12647" s="1050"/>
      <c r="D12647" s="1050"/>
      <c r="E12647" s="1050"/>
      <c r="F12647" s="1050"/>
      <c r="G12647" s="1050"/>
    </row>
    <row r="12648" spans="1:7">
      <c r="A12648" s="1079"/>
      <c r="B12648" s="1050"/>
      <c r="C12648" s="1050"/>
      <c r="D12648" s="1050"/>
      <c r="E12648" s="1050"/>
      <c r="F12648" s="1050"/>
      <c r="G12648" s="1050"/>
    </row>
    <row r="12649" spans="1:7">
      <c r="A12649" s="1079"/>
      <c r="B12649" s="1050"/>
      <c r="C12649" s="1050"/>
      <c r="D12649" s="1050"/>
      <c r="E12649" s="1050"/>
      <c r="F12649" s="1050"/>
      <c r="G12649" s="1050"/>
    </row>
    <row r="12650" spans="1:7">
      <c r="A12650" s="1079"/>
      <c r="B12650" s="1050"/>
      <c r="C12650" s="1050"/>
      <c r="D12650" s="1050"/>
      <c r="E12650" s="1050"/>
      <c r="F12650" s="1050"/>
      <c r="G12650" s="1050"/>
    </row>
    <row r="12651" spans="1:7">
      <c r="A12651" s="1079"/>
      <c r="B12651" s="1050"/>
      <c r="C12651" s="1050"/>
      <c r="D12651" s="1050"/>
      <c r="E12651" s="1050"/>
      <c r="F12651" s="1050"/>
      <c r="G12651" s="1050"/>
    </row>
    <row r="12652" spans="1:7">
      <c r="A12652" s="1079"/>
      <c r="B12652" s="1050"/>
      <c r="C12652" s="1050"/>
      <c r="D12652" s="1050"/>
      <c r="E12652" s="1050"/>
      <c r="F12652" s="1050"/>
      <c r="G12652" s="1050"/>
    </row>
    <row r="12653" spans="1:7">
      <c r="A12653" s="1079"/>
      <c r="B12653" s="1050"/>
      <c r="C12653" s="1050"/>
      <c r="D12653" s="1050"/>
      <c r="E12653" s="1050"/>
      <c r="F12653" s="1050"/>
      <c r="G12653" s="1050"/>
    </row>
    <row r="12654" spans="1:7">
      <c r="A12654" s="1079"/>
      <c r="B12654" s="1050"/>
      <c r="C12654" s="1050"/>
      <c r="D12654" s="1050"/>
      <c r="E12654" s="1050"/>
      <c r="F12654" s="1050"/>
      <c r="G12654" s="1050"/>
    </row>
    <row r="12655" spans="1:7">
      <c r="A12655" s="1079"/>
      <c r="B12655" s="1050"/>
      <c r="C12655" s="1050"/>
      <c r="D12655" s="1050"/>
      <c r="E12655" s="1050"/>
      <c r="F12655" s="1050"/>
      <c r="G12655" s="1050"/>
    </row>
    <row r="12656" spans="1:7">
      <c r="A12656" s="1079"/>
      <c r="B12656" s="1050"/>
      <c r="C12656" s="1050"/>
      <c r="D12656" s="1050"/>
      <c r="E12656" s="1050"/>
      <c r="F12656" s="1050"/>
      <c r="G12656" s="1050"/>
    </row>
    <row r="12657" spans="1:7">
      <c r="A12657" s="1079"/>
      <c r="B12657" s="1050"/>
      <c r="C12657" s="1050"/>
      <c r="D12657" s="1050"/>
      <c r="E12657" s="1050"/>
      <c r="F12657" s="1050"/>
      <c r="G12657" s="1050"/>
    </row>
    <row r="12658" spans="1:7">
      <c r="A12658" s="1079"/>
      <c r="B12658" s="1050"/>
      <c r="C12658" s="1050"/>
      <c r="D12658" s="1050"/>
      <c r="E12658" s="1050"/>
      <c r="F12658" s="1050"/>
      <c r="G12658" s="1050"/>
    </row>
    <row r="12659" spans="1:7">
      <c r="A12659" s="1079"/>
      <c r="B12659" s="1050"/>
      <c r="C12659" s="1050"/>
      <c r="D12659" s="1050"/>
      <c r="E12659" s="1050"/>
      <c r="F12659" s="1050"/>
      <c r="G12659" s="1050"/>
    </row>
    <row r="12660" spans="1:7">
      <c r="A12660" s="1079"/>
      <c r="B12660" s="1050"/>
      <c r="C12660" s="1050"/>
      <c r="D12660" s="1050"/>
      <c r="E12660" s="1050"/>
      <c r="F12660" s="1050"/>
      <c r="G12660" s="1050"/>
    </row>
    <row r="12661" spans="1:7">
      <c r="A12661" s="1079"/>
      <c r="B12661" s="1050"/>
      <c r="C12661" s="1050"/>
      <c r="D12661" s="1050"/>
      <c r="E12661" s="1050"/>
      <c r="F12661" s="1050"/>
      <c r="G12661" s="1050"/>
    </row>
    <row r="12662" spans="1:7">
      <c r="A12662" s="1079"/>
      <c r="B12662" s="1050"/>
      <c r="C12662" s="1050"/>
      <c r="D12662" s="1050"/>
      <c r="E12662" s="1050"/>
      <c r="F12662" s="1050"/>
      <c r="G12662" s="1050"/>
    </row>
    <row r="12663" spans="1:7">
      <c r="A12663" s="1079"/>
      <c r="B12663" s="1050"/>
      <c r="C12663" s="1050"/>
      <c r="D12663" s="1050"/>
      <c r="E12663" s="1050"/>
      <c r="F12663" s="1050"/>
      <c r="G12663" s="1050"/>
    </row>
    <row r="12664" spans="1:7">
      <c r="A12664" s="1079"/>
      <c r="B12664" s="1050"/>
      <c r="C12664" s="1050"/>
      <c r="D12664" s="1050"/>
      <c r="E12664" s="1050"/>
      <c r="F12664" s="1050"/>
      <c r="G12664" s="1050"/>
    </row>
    <row r="12665" spans="1:7">
      <c r="A12665" s="1079"/>
      <c r="B12665" s="1050"/>
      <c r="C12665" s="1050"/>
      <c r="D12665" s="1050"/>
      <c r="E12665" s="1050"/>
      <c r="F12665" s="1050"/>
      <c r="G12665" s="1050"/>
    </row>
    <row r="12666" spans="1:7">
      <c r="A12666" s="1079"/>
      <c r="B12666" s="1050"/>
      <c r="C12666" s="1050"/>
      <c r="D12666" s="1050"/>
      <c r="E12666" s="1050"/>
      <c r="F12666" s="1050"/>
      <c r="G12666" s="1050"/>
    </row>
    <row r="12667" spans="1:7">
      <c r="A12667" s="1079"/>
      <c r="B12667" s="1050"/>
      <c r="C12667" s="1050"/>
      <c r="D12667" s="1050"/>
      <c r="E12667" s="1050"/>
      <c r="F12667" s="1050"/>
      <c r="G12667" s="1050"/>
    </row>
    <row r="12668" spans="1:7">
      <c r="A12668" s="1079"/>
      <c r="B12668" s="1050"/>
      <c r="C12668" s="1050"/>
      <c r="D12668" s="1050"/>
      <c r="E12668" s="1050"/>
      <c r="F12668" s="1050"/>
      <c r="G12668" s="1050"/>
    </row>
    <row r="12669" spans="1:7">
      <c r="A12669" s="1079"/>
      <c r="B12669" s="1050"/>
      <c r="C12669" s="1050"/>
      <c r="D12669" s="1050"/>
      <c r="E12669" s="1050"/>
      <c r="F12669" s="1050"/>
      <c r="G12669" s="1050"/>
    </row>
    <row r="12670" spans="1:7">
      <c r="A12670" s="1079"/>
      <c r="B12670" s="1050"/>
      <c r="C12670" s="1050"/>
      <c r="D12670" s="1050"/>
      <c r="E12670" s="1050"/>
      <c r="F12670" s="1050"/>
      <c r="G12670" s="1050"/>
    </row>
    <row r="12671" spans="1:7">
      <c r="A12671" s="1079"/>
      <c r="B12671" s="1050"/>
      <c r="C12671" s="1050"/>
      <c r="D12671" s="1050"/>
      <c r="E12671" s="1050"/>
      <c r="F12671" s="1050"/>
      <c r="G12671" s="1050"/>
    </row>
    <row r="12672" spans="1:7">
      <c r="A12672" s="1079"/>
      <c r="B12672" s="1050"/>
      <c r="C12672" s="1050"/>
      <c r="D12672" s="1050"/>
      <c r="E12672" s="1050"/>
      <c r="F12672" s="1050"/>
      <c r="G12672" s="1050"/>
    </row>
    <row r="12673" spans="1:7">
      <c r="A12673" s="1079"/>
      <c r="B12673" s="1050"/>
      <c r="C12673" s="1050"/>
      <c r="D12673" s="1050"/>
      <c r="E12673" s="1050"/>
      <c r="F12673" s="1050"/>
      <c r="G12673" s="1050"/>
    </row>
    <row r="12674" spans="1:7">
      <c r="A12674" s="1079"/>
      <c r="B12674" s="1050"/>
      <c r="C12674" s="1050"/>
      <c r="D12674" s="1050"/>
      <c r="E12674" s="1050"/>
      <c r="F12674" s="1050"/>
      <c r="G12674" s="1050"/>
    </row>
    <row r="12675" spans="1:7">
      <c r="A12675" s="1079"/>
      <c r="B12675" s="1050"/>
      <c r="C12675" s="1050"/>
      <c r="D12675" s="1050"/>
      <c r="E12675" s="1050"/>
      <c r="F12675" s="1050"/>
      <c r="G12675" s="1050"/>
    </row>
    <row r="12676" spans="1:7">
      <c r="A12676" s="1079"/>
      <c r="B12676" s="1050"/>
      <c r="C12676" s="1050"/>
      <c r="D12676" s="1050"/>
      <c r="E12676" s="1050"/>
      <c r="F12676" s="1050"/>
      <c r="G12676" s="1050"/>
    </row>
    <row r="12677" spans="1:7">
      <c r="A12677" s="1079"/>
      <c r="B12677" s="1050"/>
      <c r="C12677" s="1050"/>
      <c r="D12677" s="1050"/>
      <c r="E12677" s="1050"/>
      <c r="F12677" s="1050"/>
      <c r="G12677" s="1050"/>
    </row>
    <row r="12678" spans="1:7">
      <c r="A12678" s="1079"/>
      <c r="B12678" s="1050"/>
      <c r="C12678" s="1050"/>
      <c r="D12678" s="1050"/>
      <c r="E12678" s="1050"/>
      <c r="F12678" s="1050"/>
      <c r="G12678" s="1050"/>
    </row>
    <row r="12679" spans="1:7">
      <c r="A12679" s="1079"/>
      <c r="B12679" s="1050"/>
      <c r="C12679" s="1050"/>
      <c r="D12679" s="1050"/>
      <c r="E12679" s="1050"/>
      <c r="F12679" s="1050"/>
      <c r="G12679" s="1050"/>
    </row>
    <row r="12680" spans="1:7">
      <c r="A12680" s="1079"/>
      <c r="B12680" s="1050"/>
      <c r="C12680" s="1050"/>
      <c r="D12680" s="1050"/>
      <c r="E12680" s="1050"/>
      <c r="F12680" s="1050"/>
      <c r="G12680" s="1050"/>
    </row>
    <row r="12681" spans="1:7">
      <c r="A12681" s="1079"/>
      <c r="B12681" s="1050"/>
      <c r="C12681" s="1050"/>
      <c r="D12681" s="1050"/>
      <c r="E12681" s="1050"/>
      <c r="F12681" s="1050"/>
      <c r="G12681" s="1050"/>
    </row>
    <row r="12682" spans="1:7">
      <c r="A12682" s="1079"/>
      <c r="B12682" s="1050"/>
      <c r="C12682" s="1050"/>
      <c r="D12682" s="1050"/>
      <c r="E12682" s="1050"/>
      <c r="F12682" s="1050"/>
      <c r="G12682" s="1050"/>
    </row>
    <row r="12683" spans="1:7">
      <c r="A12683" s="1079"/>
      <c r="B12683" s="1050"/>
      <c r="C12683" s="1050"/>
      <c r="D12683" s="1050"/>
      <c r="E12683" s="1050"/>
      <c r="F12683" s="1050"/>
      <c r="G12683" s="1050"/>
    </row>
    <row r="12684" spans="1:7">
      <c r="A12684" s="1079"/>
      <c r="B12684" s="1050"/>
      <c r="C12684" s="1050"/>
      <c r="D12684" s="1050"/>
      <c r="E12684" s="1050"/>
      <c r="F12684" s="1050"/>
      <c r="G12684" s="1050"/>
    </row>
    <row r="12685" spans="1:7">
      <c r="A12685" s="1079"/>
      <c r="B12685" s="1050"/>
      <c r="C12685" s="1050"/>
      <c r="D12685" s="1050"/>
      <c r="E12685" s="1050"/>
      <c r="F12685" s="1050"/>
      <c r="G12685" s="1050"/>
    </row>
    <row r="12686" spans="1:7">
      <c r="A12686" s="1079"/>
      <c r="B12686" s="1050"/>
      <c r="C12686" s="1050"/>
      <c r="D12686" s="1050"/>
      <c r="E12686" s="1050"/>
      <c r="F12686" s="1050"/>
      <c r="G12686" s="1050"/>
    </row>
    <row r="12687" spans="1:7">
      <c r="A12687" s="1079"/>
      <c r="B12687" s="1050"/>
      <c r="C12687" s="1050"/>
      <c r="D12687" s="1050"/>
      <c r="E12687" s="1050"/>
      <c r="F12687" s="1050"/>
      <c r="G12687" s="1050"/>
    </row>
    <row r="12688" spans="1:7">
      <c r="A12688" s="1079"/>
      <c r="B12688" s="1050"/>
      <c r="C12688" s="1050"/>
      <c r="D12688" s="1050"/>
      <c r="E12688" s="1050"/>
      <c r="F12688" s="1050"/>
      <c r="G12688" s="1050"/>
    </row>
    <row r="12689" spans="1:7">
      <c r="A12689" s="1079"/>
      <c r="B12689" s="1050"/>
      <c r="C12689" s="1050"/>
      <c r="D12689" s="1050"/>
      <c r="E12689" s="1050"/>
      <c r="F12689" s="1050"/>
      <c r="G12689" s="1050"/>
    </row>
    <row r="12690" spans="1:7">
      <c r="A12690" s="1079"/>
      <c r="B12690" s="1050"/>
      <c r="C12690" s="1050"/>
      <c r="D12690" s="1050"/>
      <c r="E12690" s="1050"/>
      <c r="F12690" s="1050"/>
      <c r="G12690" s="1050"/>
    </row>
    <row r="12691" spans="1:7">
      <c r="A12691" s="1079"/>
      <c r="B12691" s="1050"/>
      <c r="C12691" s="1050"/>
      <c r="D12691" s="1050"/>
      <c r="E12691" s="1050"/>
      <c r="F12691" s="1050"/>
      <c r="G12691" s="1050"/>
    </row>
    <row r="12692" spans="1:7">
      <c r="A12692" s="1079"/>
      <c r="B12692" s="1050"/>
      <c r="C12692" s="1050"/>
      <c r="D12692" s="1050"/>
      <c r="E12692" s="1050"/>
      <c r="F12692" s="1050"/>
      <c r="G12692" s="1050"/>
    </row>
    <row r="12693" spans="1:7">
      <c r="A12693" s="1079"/>
      <c r="B12693" s="1050"/>
      <c r="C12693" s="1050"/>
      <c r="D12693" s="1050"/>
      <c r="E12693" s="1050"/>
      <c r="F12693" s="1050"/>
      <c r="G12693" s="1050"/>
    </row>
    <row r="12694" spans="1:7">
      <c r="A12694" s="1079"/>
      <c r="B12694" s="1050"/>
      <c r="C12694" s="1050"/>
      <c r="D12694" s="1050"/>
      <c r="E12694" s="1050"/>
      <c r="F12694" s="1050"/>
      <c r="G12694" s="1050"/>
    </row>
    <row r="12695" spans="1:7">
      <c r="A12695" s="1079"/>
      <c r="B12695" s="1050"/>
      <c r="C12695" s="1050"/>
      <c r="D12695" s="1050"/>
      <c r="E12695" s="1050"/>
      <c r="F12695" s="1050"/>
      <c r="G12695" s="1050"/>
    </row>
    <row r="12696" spans="1:7">
      <c r="A12696" s="1079"/>
      <c r="B12696" s="1050"/>
      <c r="C12696" s="1050"/>
      <c r="D12696" s="1050"/>
      <c r="E12696" s="1050"/>
      <c r="F12696" s="1050"/>
      <c r="G12696" s="1050"/>
    </row>
    <row r="12697" spans="1:7">
      <c r="A12697" s="1079"/>
      <c r="B12697" s="1050"/>
      <c r="C12697" s="1050"/>
      <c r="D12697" s="1050"/>
      <c r="E12697" s="1050"/>
      <c r="F12697" s="1050"/>
      <c r="G12697" s="1050"/>
    </row>
    <row r="12698" spans="1:7">
      <c r="A12698" s="1079"/>
      <c r="B12698" s="1050"/>
      <c r="C12698" s="1050"/>
      <c r="D12698" s="1050"/>
      <c r="E12698" s="1050"/>
      <c r="F12698" s="1050"/>
      <c r="G12698" s="1050"/>
    </row>
    <row r="12699" spans="1:7">
      <c r="A12699" s="1079"/>
      <c r="B12699" s="1050"/>
      <c r="C12699" s="1050"/>
      <c r="D12699" s="1050"/>
      <c r="E12699" s="1050"/>
      <c r="F12699" s="1050"/>
      <c r="G12699" s="1050"/>
    </row>
    <row r="12700" spans="1:7">
      <c r="A12700" s="1079"/>
      <c r="B12700" s="1050"/>
      <c r="C12700" s="1050"/>
      <c r="D12700" s="1050"/>
      <c r="E12700" s="1050"/>
      <c r="F12700" s="1050"/>
      <c r="G12700" s="1050"/>
    </row>
    <row r="12701" spans="1:7">
      <c r="A12701" s="1079"/>
      <c r="B12701" s="1050"/>
      <c r="C12701" s="1050"/>
      <c r="D12701" s="1050"/>
      <c r="E12701" s="1050"/>
      <c r="F12701" s="1050"/>
      <c r="G12701" s="1050"/>
    </row>
    <row r="12702" spans="1:7">
      <c r="A12702" s="1079"/>
      <c r="B12702" s="1050"/>
      <c r="C12702" s="1050"/>
      <c r="D12702" s="1050"/>
      <c r="E12702" s="1050"/>
      <c r="F12702" s="1050"/>
      <c r="G12702" s="1050"/>
    </row>
    <row r="12703" spans="1:7">
      <c r="A12703" s="1079"/>
      <c r="B12703" s="1050"/>
      <c r="C12703" s="1050"/>
      <c r="D12703" s="1050"/>
      <c r="E12703" s="1050"/>
      <c r="F12703" s="1050"/>
      <c r="G12703" s="1050"/>
    </row>
    <row r="12704" spans="1:7">
      <c r="A12704" s="1079"/>
      <c r="B12704" s="1050"/>
      <c r="C12704" s="1050"/>
      <c r="D12704" s="1050"/>
      <c r="E12704" s="1050"/>
      <c r="F12704" s="1050"/>
      <c r="G12704" s="1050"/>
    </row>
    <row r="12705" spans="1:7">
      <c r="A12705" s="1079"/>
      <c r="B12705" s="1050"/>
      <c r="C12705" s="1050"/>
      <c r="D12705" s="1050"/>
      <c r="E12705" s="1050"/>
      <c r="F12705" s="1050"/>
      <c r="G12705" s="1050"/>
    </row>
    <row r="12706" spans="1:7">
      <c r="A12706" s="1079"/>
      <c r="B12706" s="1050"/>
      <c r="C12706" s="1050"/>
      <c r="D12706" s="1050"/>
      <c r="E12706" s="1050"/>
      <c r="F12706" s="1050"/>
      <c r="G12706" s="1050"/>
    </row>
    <row r="12707" spans="1:7">
      <c r="A12707" s="1079"/>
      <c r="B12707" s="1050"/>
      <c r="C12707" s="1050"/>
      <c r="D12707" s="1050"/>
      <c r="E12707" s="1050"/>
      <c r="F12707" s="1050"/>
      <c r="G12707" s="1050"/>
    </row>
    <row r="12708" spans="1:7">
      <c r="A12708" s="1079"/>
      <c r="B12708" s="1050"/>
      <c r="C12708" s="1050"/>
      <c r="D12708" s="1050"/>
      <c r="E12708" s="1050"/>
      <c r="F12708" s="1050"/>
      <c r="G12708" s="1050"/>
    </row>
    <row r="12709" spans="1:7">
      <c r="A12709" s="1079"/>
      <c r="B12709" s="1050"/>
      <c r="C12709" s="1050"/>
      <c r="D12709" s="1050"/>
      <c r="E12709" s="1050"/>
      <c r="F12709" s="1050"/>
      <c r="G12709" s="1050"/>
    </row>
    <row r="12710" spans="1:7">
      <c r="A12710" s="1079"/>
      <c r="B12710" s="1050"/>
      <c r="C12710" s="1050"/>
      <c r="D12710" s="1050"/>
      <c r="E12710" s="1050"/>
      <c r="F12710" s="1050"/>
      <c r="G12710" s="1050"/>
    </row>
    <row r="12711" spans="1:7">
      <c r="A12711" s="1079"/>
      <c r="B12711" s="1050"/>
      <c r="C12711" s="1050"/>
      <c r="D12711" s="1050"/>
      <c r="E12711" s="1050"/>
      <c r="F12711" s="1050"/>
      <c r="G12711" s="1050"/>
    </row>
    <row r="12712" spans="1:7">
      <c r="A12712" s="1079"/>
      <c r="B12712" s="1050"/>
      <c r="C12712" s="1050"/>
      <c r="D12712" s="1050"/>
      <c r="E12712" s="1050"/>
      <c r="F12712" s="1050"/>
      <c r="G12712" s="1050"/>
    </row>
    <row r="12713" spans="1:7">
      <c r="A12713" s="1079"/>
      <c r="B12713" s="1050"/>
      <c r="C12713" s="1050"/>
      <c r="D12713" s="1050"/>
      <c r="E12713" s="1050"/>
      <c r="F12713" s="1050"/>
      <c r="G12713" s="1050"/>
    </row>
    <row r="12714" spans="1:7">
      <c r="A12714" s="1079"/>
      <c r="B12714" s="1050"/>
      <c r="C12714" s="1050"/>
      <c r="D12714" s="1050"/>
      <c r="E12714" s="1050"/>
      <c r="F12714" s="1050"/>
      <c r="G12714" s="1050"/>
    </row>
    <row r="12715" spans="1:7">
      <c r="A12715" s="1079"/>
      <c r="B12715" s="1050"/>
      <c r="C12715" s="1050"/>
      <c r="D12715" s="1050"/>
      <c r="E12715" s="1050"/>
      <c r="F12715" s="1050"/>
      <c r="G12715" s="1050"/>
    </row>
    <row r="12716" spans="1:7">
      <c r="A12716" s="1079"/>
      <c r="B12716" s="1050"/>
      <c r="C12716" s="1050"/>
      <c r="D12716" s="1050"/>
      <c r="E12716" s="1050"/>
      <c r="F12716" s="1050"/>
      <c r="G12716" s="1050"/>
    </row>
    <row r="12717" spans="1:7">
      <c r="A12717" s="1079"/>
      <c r="B12717" s="1050"/>
      <c r="C12717" s="1050"/>
      <c r="D12717" s="1050"/>
      <c r="E12717" s="1050"/>
      <c r="F12717" s="1050"/>
      <c r="G12717" s="1050"/>
    </row>
    <row r="12718" spans="1:7">
      <c r="A12718" s="1079"/>
      <c r="B12718" s="1050"/>
      <c r="C12718" s="1050"/>
      <c r="D12718" s="1050"/>
      <c r="E12718" s="1050"/>
      <c r="F12718" s="1050"/>
      <c r="G12718" s="1050"/>
    </row>
    <row r="12719" spans="1:7">
      <c r="A12719" s="1079"/>
      <c r="B12719" s="1050"/>
      <c r="C12719" s="1050"/>
      <c r="D12719" s="1050"/>
      <c r="E12719" s="1050"/>
      <c r="F12719" s="1050"/>
      <c r="G12719" s="1050"/>
    </row>
    <row r="12720" spans="1:7">
      <c r="A12720" s="1079"/>
      <c r="B12720" s="1050"/>
      <c r="C12720" s="1050"/>
      <c r="D12720" s="1050"/>
      <c r="E12720" s="1050"/>
      <c r="F12720" s="1050"/>
      <c r="G12720" s="1050"/>
    </row>
    <row r="12721" spans="1:7">
      <c r="A12721" s="1079"/>
      <c r="B12721" s="1050"/>
      <c r="C12721" s="1050"/>
      <c r="D12721" s="1050"/>
      <c r="E12721" s="1050"/>
      <c r="F12721" s="1050"/>
      <c r="G12721" s="1050"/>
    </row>
    <row r="12722" spans="1:7">
      <c r="A12722" s="1079"/>
      <c r="B12722" s="1050"/>
      <c r="C12722" s="1050"/>
      <c r="D12722" s="1050"/>
      <c r="E12722" s="1050"/>
      <c r="F12722" s="1050"/>
      <c r="G12722" s="1050"/>
    </row>
    <row r="12723" spans="1:7">
      <c r="A12723" s="1079"/>
      <c r="B12723" s="1050"/>
      <c r="C12723" s="1050"/>
      <c r="D12723" s="1050"/>
      <c r="E12723" s="1050"/>
      <c r="F12723" s="1050"/>
      <c r="G12723" s="1050"/>
    </row>
    <row r="12724" spans="1:7">
      <c r="A12724" s="1079"/>
      <c r="B12724" s="1050"/>
      <c r="C12724" s="1050"/>
      <c r="D12724" s="1050"/>
      <c r="E12724" s="1050"/>
      <c r="F12724" s="1050"/>
      <c r="G12724" s="1050"/>
    </row>
    <row r="12725" spans="1:7">
      <c r="A12725" s="1079"/>
      <c r="B12725" s="1050"/>
      <c r="C12725" s="1050"/>
      <c r="D12725" s="1050"/>
      <c r="E12725" s="1050"/>
      <c r="F12725" s="1050"/>
      <c r="G12725" s="1050"/>
    </row>
    <row r="12726" spans="1:7">
      <c r="A12726" s="1079"/>
      <c r="B12726" s="1050"/>
      <c r="C12726" s="1050"/>
      <c r="D12726" s="1050"/>
      <c r="E12726" s="1050"/>
      <c r="F12726" s="1050"/>
      <c r="G12726" s="1050"/>
    </row>
    <row r="12727" spans="1:7">
      <c r="A12727" s="1079"/>
      <c r="B12727" s="1050"/>
      <c r="C12727" s="1050"/>
      <c r="D12727" s="1050"/>
      <c r="E12727" s="1050"/>
      <c r="F12727" s="1050"/>
      <c r="G12727" s="1050"/>
    </row>
    <row r="12728" spans="1:7">
      <c r="A12728" s="1079"/>
      <c r="B12728" s="1050"/>
      <c r="C12728" s="1050"/>
      <c r="D12728" s="1050"/>
      <c r="E12728" s="1050"/>
      <c r="F12728" s="1050"/>
      <c r="G12728" s="1050"/>
    </row>
    <row r="12729" spans="1:7">
      <c r="A12729" s="1079"/>
      <c r="B12729" s="1050"/>
      <c r="C12729" s="1050"/>
      <c r="D12729" s="1050"/>
      <c r="E12729" s="1050"/>
      <c r="F12729" s="1050"/>
      <c r="G12729" s="1050"/>
    </row>
    <row r="12730" spans="1:7">
      <c r="A12730" s="1079"/>
      <c r="B12730" s="1050"/>
      <c r="C12730" s="1050"/>
      <c r="D12730" s="1050"/>
      <c r="E12730" s="1050"/>
      <c r="F12730" s="1050"/>
      <c r="G12730" s="1050"/>
    </row>
    <row r="12731" spans="1:7">
      <c r="A12731" s="1079"/>
      <c r="B12731" s="1050"/>
      <c r="C12731" s="1050"/>
      <c r="D12731" s="1050"/>
      <c r="E12731" s="1050"/>
      <c r="F12731" s="1050"/>
      <c r="G12731" s="1050"/>
    </row>
    <row r="12732" spans="1:7">
      <c r="A12732" s="1079"/>
      <c r="B12732" s="1050"/>
      <c r="C12732" s="1050"/>
      <c r="D12732" s="1050"/>
      <c r="E12732" s="1050"/>
      <c r="F12732" s="1050"/>
      <c r="G12732" s="1050"/>
    </row>
    <row r="12733" spans="1:7">
      <c r="A12733" s="1079"/>
      <c r="B12733" s="1050"/>
      <c r="C12733" s="1050"/>
      <c r="D12733" s="1050"/>
      <c r="E12733" s="1050"/>
      <c r="F12733" s="1050"/>
      <c r="G12733" s="1050"/>
    </row>
    <row r="12734" spans="1:7">
      <c r="A12734" s="1079"/>
      <c r="B12734" s="1050"/>
      <c r="C12734" s="1050"/>
      <c r="D12734" s="1050"/>
      <c r="E12734" s="1050"/>
      <c r="F12734" s="1050"/>
      <c r="G12734" s="1050"/>
    </row>
    <row r="12735" spans="1:7">
      <c r="A12735" s="1079"/>
      <c r="B12735" s="1050"/>
      <c r="C12735" s="1050"/>
      <c r="D12735" s="1050"/>
      <c r="E12735" s="1050"/>
      <c r="F12735" s="1050"/>
      <c r="G12735" s="1050"/>
    </row>
    <row r="12736" spans="1:7">
      <c r="A12736" s="1079"/>
      <c r="B12736" s="1050"/>
      <c r="C12736" s="1050"/>
      <c r="D12736" s="1050"/>
      <c r="E12736" s="1050"/>
      <c r="F12736" s="1050"/>
      <c r="G12736" s="1050"/>
    </row>
    <row r="12737" spans="1:7">
      <c r="A12737" s="1079"/>
      <c r="B12737" s="1050"/>
      <c r="C12737" s="1050"/>
      <c r="D12737" s="1050"/>
      <c r="E12737" s="1050"/>
      <c r="F12737" s="1050"/>
      <c r="G12737" s="1050"/>
    </row>
    <row r="12738" spans="1:7">
      <c r="A12738" s="1079"/>
      <c r="B12738" s="1050"/>
      <c r="C12738" s="1050"/>
      <c r="D12738" s="1050"/>
      <c r="E12738" s="1050"/>
      <c r="F12738" s="1050"/>
      <c r="G12738" s="1050"/>
    </row>
    <row r="12739" spans="1:7">
      <c r="A12739" s="1079"/>
      <c r="B12739" s="1050"/>
      <c r="C12739" s="1050"/>
      <c r="D12739" s="1050"/>
      <c r="E12739" s="1050"/>
      <c r="F12739" s="1050"/>
      <c r="G12739" s="1050"/>
    </row>
    <row r="12740" spans="1:7">
      <c r="A12740" s="1079"/>
      <c r="B12740" s="1050"/>
      <c r="C12740" s="1050"/>
      <c r="D12740" s="1050"/>
      <c r="E12740" s="1050"/>
      <c r="F12740" s="1050"/>
      <c r="G12740" s="1050"/>
    </row>
    <row r="12741" spans="1:7">
      <c r="A12741" s="1079"/>
      <c r="B12741" s="1050"/>
      <c r="C12741" s="1050"/>
      <c r="D12741" s="1050"/>
      <c r="E12741" s="1050"/>
      <c r="F12741" s="1050"/>
      <c r="G12741" s="1050"/>
    </row>
    <row r="12742" spans="1:7">
      <c r="A12742" s="1079"/>
      <c r="B12742" s="1050"/>
      <c r="C12742" s="1050"/>
      <c r="D12742" s="1050"/>
      <c r="E12742" s="1050"/>
      <c r="F12742" s="1050"/>
      <c r="G12742" s="1050"/>
    </row>
    <row r="12743" spans="1:7">
      <c r="A12743" s="1079"/>
      <c r="B12743" s="1050"/>
      <c r="C12743" s="1050"/>
      <c r="D12743" s="1050"/>
      <c r="E12743" s="1050"/>
      <c r="F12743" s="1050"/>
      <c r="G12743" s="1050"/>
    </row>
    <row r="12744" spans="1:7">
      <c r="A12744" s="1079"/>
      <c r="B12744" s="1050"/>
      <c r="C12744" s="1050"/>
      <c r="D12744" s="1050"/>
      <c r="E12744" s="1050"/>
      <c r="F12744" s="1050"/>
      <c r="G12744" s="1050"/>
    </row>
    <row r="12745" spans="1:7">
      <c r="A12745" s="1079"/>
      <c r="B12745" s="1050"/>
      <c r="C12745" s="1050"/>
      <c r="D12745" s="1050"/>
      <c r="E12745" s="1050"/>
      <c r="F12745" s="1050"/>
      <c r="G12745" s="1050"/>
    </row>
    <row r="12746" spans="1:7">
      <c r="A12746" s="1079"/>
      <c r="B12746" s="1050"/>
      <c r="C12746" s="1050"/>
      <c r="D12746" s="1050"/>
      <c r="E12746" s="1050"/>
      <c r="F12746" s="1050"/>
      <c r="G12746" s="1050"/>
    </row>
    <row r="12747" spans="1:7">
      <c r="A12747" s="1079"/>
      <c r="B12747" s="1050"/>
      <c r="C12747" s="1050"/>
      <c r="D12747" s="1050"/>
      <c r="E12747" s="1050"/>
      <c r="F12747" s="1050"/>
      <c r="G12747" s="1050"/>
    </row>
    <row r="12748" spans="1:7">
      <c r="A12748" s="1079"/>
      <c r="B12748" s="1050"/>
      <c r="C12748" s="1050"/>
      <c r="D12748" s="1050"/>
      <c r="E12748" s="1050"/>
      <c r="F12748" s="1050"/>
      <c r="G12748" s="1050"/>
    </row>
    <row r="12749" spans="1:7">
      <c r="A12749" s="1079"/>
      <c r="B12749" s="1050"/>
      <c r="C12749" s="1050"/>
      <c r="D12749" s="1050"/>
      <c r="E12749" s="1050"/>
      <c r="F12749" s="1050"/>
      <c r="G12749" s="1050"/>
    </row>
    <row r="12750" spans="1:7">
      <c r="A12750" s="1079"/>
      <c r="B12750" s="1050"/>
      <c r="C12750" s="1050"/>
      <c r="D12750" s="1050"/>
      <c r="E12750" s="1050"/>
      <c r="F12750" s="1050"/>
      <c r="G12750" s="1050"/>
    </row>
    <row r="12751" spans="1:7">
      <c r="A12751" s="1079"/>
      <c r="B12751" s="1050"/>
      <c r="C12751" s="1050"/>
      <c r="D12751" s="1050"/>
      <c r="E12751" s="1050"/>
      <c r="F12751" s="1050"/>
      <c r="G12751" s="1050"/>
    </row>
    <row r="12752" spans="1:7">
      <c r="A12752" s="1079"/>
      <c r="B12752" s="1050"/>
      <c r="C12752" s="1050"/>
      <c r="D12752" s="1050"/>
      <c r="E12752" s="1050"/>
      <c r="F12752" s="1050"/>
      <c r="G12752" s="1050"/>
    </row>
    <row r="12753" spans="1:7">
      <c r="A12753" s="1079"/>
      <c r="B12753" s="1050"/>
      <c r="C12753" s="1050"/>
      <c r="D12753" s="1050"/>
      <c r="E12753" s="1050"/>
      <c r="F12753" s="1050"/>
      <c r="G12753" s="1050"/>
    </row>
    <row r="12754" spans="1:7">
      <c r="A12754" s="1079"/>
      <c r="B12754" s="1050"/>
      <c r="C12754" s="1050"/>
      <c r="D12754" s="1050"/>
      <c r="E12754" s="1050"/>
      <c r="F12754" s="1050"/>
      <c r="G12754" s="1050"/>
    </row>
    <row r="12755" spans="1:7">
      <c r="A12755" s="1079"/>
      <c r="B12755" s="1050"/>
      <c r="C12755" s="1050"/>
      <c r="D12755" s="1050"/>
      <c r="E12755" s="1050"/>
      <c r="F12755" s="1050"/>
      <c r="G12755" s="1050"/>
    </row>
    <row r="12756" spans="1:7">
      <c r="A12756" s="1079"/>
      <c r="B12756" s="1050"/>
      <c r="C12756" s="1050"/>
      <c r="D12756" s="1050"/>
      <c r="E12756" s="1050"/>
      <c r="F12756" s="1050"/>
      <c r="G12756" s="1050"/>
    </row>
    <row r="12757" spans="1:7">
      <c r="A12757" s="1079"/>
      <c r="B12757" s="1050"/>
      <c r="C12757" s="1050"/>
      <c r="D12757" s="1050"/>
      <c r="E12757" s="1050"/>
      <c r="F12757" s="1050"/>
      <c r="G12757" s="1050"/>
    </row>
    <row r="12758" spans="1:7">
      <c r="A12758" s="1079"/>
      <c r="B12758" s="1050"/>
      <c r="C12758" s="1050"/>
      <c r="D12758" s="1050"/>
      <c r="E12758" s="1050"/>
      <c r="F12758" s="1050"/>
      <c r="G12758" s="1050"/>
    </row>
    <row r="12759" spans="1:7">
      <c r="A12759" s="1079"/>
      <c r="B12759" s="1050"/>
      <c r="C12759" s="1050"/>
      <c r="D12759" s="1050"/>
      <c r="E12759" s="1050"/>
      <c r="F12759" s="1050"/>
      <c r="G12759" s="1050"/>
    </row>
    <row r="12760" spans="1:7">
      <c r="A12760" s="1079"/>
      <c r="B12760" s="1050"/>
      <c r="C12760" s="1050"/>
      <c r="D12760" s="1050"/>
      <c r="E12760" s="1050"/>
      <c r="F12760" s="1050"/>
      <c r="G12760" s="1050"/>
    </row>
    <row r="12761" spans="1:7">
      <c r="A12761" s="1079"/>
      <c r="B12761" s="1050"/>
      <c r="C12761" s="1050"/>
      <c r="D12761" s="1050"/>
      <c r="E12761" s="1050"/>
      <c r="F12761" s="1050"/>
      <c r="G12761" s="1050"/>
    </row>
    <row r="12762" spans="1:7">
      <c r="A12762" s="1079"/>
      <c r="B12762" s="1050"/>
      <c r="C12762" s="1050"/>
      <c r="D12762" s="1050"/>
      <c r="E12762" s="1050"/>
      <c r="F12762" s="1050"/>
      <c r="G12762" s="1050"/>
    </row>
    <row r="12763" spans="1:7">
      <c r="A12763" s="1079"/>
      <c r="B12763" s="1050"/>
      <c r="C12763" s="1050"/>
      <c r="D12763" s="1050"/>
      <c r="E12763" s="1050"/>
      <c r="F12763" s="1050"/>
      <c r="G12763" s="1050"/>
    </row>
    <row r="12764" spans="1:7">
      <c r="A12764" s="1079"/>
      <c r="B12764" s="1050"/>
      <c r="C12764" s="1050"/>
      <c r="D12764" s="1050"/>
      <c r="E12764" s="1050"/>
      <c r="F12764" s="1050"/>
      <c r="G12764" s="1050"/>
    </row>
    <row r="12765" spans="1:7">
      <c r="A12765" s="1079"/>
      <c r="B12765" s="1050"/>
      <c r="C12765" s="1050"/>
      <c r="D12765" s="1050"/>
      <c r="E12765" s="1050"/>
      <c r="F12765" s="1050"/>
      <c r="G12765" s="1050"/>
    </row>
    <row r="12766" spans="1:7">
      <c r="A12766" s="1079"/>
      <c r="B12766" s="1050"/>
      <c r="C12766" s="1050"/>
      <c r="D12766" s="1050"/>
      <c r="E12766" s="1050"/>
      <c r="F12766" s="1050"/>
      <c r="G12766" s="1050"/>
    </row>
    <row r="12767" spans="1:7">
      <c r="A12767" s="1079"/>
      <c r="B12767" s="1050"/>
      <c r="C12767" s="1050"/>
      <c r="D12767" s="1050"/>
      <c r="E12767" s="1050"/>
      <c r="F12767" s="1050"/>
      <c r="G12767" s="1050"/>
    </row>
    <row r="12768" spans="1:7">
      <c r="A12768" s="1079"/>
      <c r="B12768" s="1050"/>
      <c r="C12768" s="1050"/>
      <c r="D12768" s="1050"/>
      <c r="E12768" s="1050"/>
      <c r="F12768" s="1050"/>
      <c r="G12768" s="1050"/>
    </row>
    <row r="12769" spans="1:7">
      <c r="A12769" s="1079"/>
      <c r="B12769" s="1050"/>
      <c r="C12769" s="1050"/>
      <c r="D12769" s="1050"/>
      <c r="E12769" s="1050"/>
      <c r="F12769" s="1050"/>
      <c r="G12769" s="1050"/>
    </row>
    <row r="12770" spans="1:7">
      <c r="A12770" s="1079"/>
      <c r="B12770" s="1050"/>
      <c r="C12770" s="1050"/>
      <c r="D12770" s="1050"/>
      <c r="E12770" s="1050"/>
      <c r="F12770" s="1050"/>
      <c r="G12770" s="1050"/>
    </row>
    <row r="12771" spans="1:7">
      <c r="A12771" s="1079"/>
      <c r="B12771" s="1050"/>
      <c r="C12771" s="1050"/>
      <c r="D12771" s="1050"/>
      <c r="E12771" s="1050"/>
      <c r="F12771" s="1050"/>
      <c r="G12771" s="1050"/>
    </row>
    <row r="12772" spans="1:7">
      <c r="A12772" s="1079"/>
      <c r="B12772" s="1050"/>
      <c r="C12772" s="1050"/>
      <c r="D12772" s="1050"/>
      <c r="E12772" s="1050"/>
      <c r="F12772" s="1050"/>
      <c r="G12772" s="1050"/>
    </row>
    <row r="12773" spans="1:7">
      <c r="A12773" s="1079"/>
      <c r="B12773" s="1050"/>
      <c r="C12773" s="1050"/>
      <c r="D12773" s="1050"/>
      <c r="E12773" s="1050"/>
      <c r="F12773" s="1050"/>
      <c r="G12773" s="1050"/>
    </row>
    <row r="12774" spans="1:7">
      <c r="A12774" s="1079"/>
      <c r="B12774" s="1050"/>
      <c r="C12774" s="1050"/>
      <c r="D12774" s="1050"/>
      <c r="E12774" s="1050"/>
      <c r="F12774" s="1050"/>
      <c r="G12774" s="1050"/>
    </row>
    <row r="12775" spans="1:7">
      <c r="A12775" s="1079"/>
      <c r="B12775" s="1050"/>
      <c r="C12775" s="1050"/>
      <c r="D12775" s="1050"/>
      <c r="E12775" s="1050"/>
      <c r="F12775" s="1050"/>
      <c r="G12775" s="1050"/>
    </row>
    <row r="12776" spans="1:7">
      <c r="A12776" s="1079"/>
      <c r="B12776" s="1050"/>
      <c r="C12776" s="1050"/>
      <c r="D12776" s="1050"/>
      <c r="E12776" s="1050"/>
      <c r="F12776" s="1050"/>
      <c r="G12776" s="1050"/>
    </row>
    <row r="12777" spans="1:7">
      <c r="A12777" s="1079"/>
      <c r="B12777" s="1050"/>
      <c r="C12777" s="1050"/>
      <c r="D12777" s="1050"/>
      <c r="E12777" s="1050"/>
      <c r="F12777" s="1050"/>
      <c r="G12777" s="1050"/>
    </row>
    <row r="12778" spans="1:7">
      <c r="A12778" s="1079"/>
      <c r="B12778" s="1050"/>
      <c r="C12778" s="1050"/>
      <c r="D12778" s="1050"/>
      <c r="E12778" s="1050"/>
      <c r="F12778" s="1050"/>
      <c r="G12778" s="1050"/>
    </row>
    <row r="12779" spans="1:7">
      <c r="A12779" s="1079"/>
      <c r="B12779" s="1050"/>
      <c r="C12779" s="1050"/>
      <c r="D12779" s="1050"/>
      <c r="E12779" s="1050"/>
      <c r="F12779" s="1050"/>
      <c r="G12779" s="1050"/>
    </row>
    <row r="12780" spans="1:7">
      <c r="A12780" s="1079"/>
      <c r="B12780" s="1050"/>
      <c r="C12780" s="1050"/>
      <c r="D12780" s="1050"/>
      <c r="E12780" s="1050"/>
      <c r="F12780" s="1050"/>
      <c r="G12780" s="1050"/>
    </row>
    <row r="12781" spans="1:7">
      <c r="A12781" s="1079"/>
      <c r="B12781" s="1050"/>
      <c r="C12781" s="1050"/>
      <c r="D12781" s="1050"/>
      <c r="E12781" s="1050"/>
      <c r="F12781" s="1050"/>
      <c r="G12781" s="1050"/>
    </row>
    <row r="12782" spans="1:7">
      <c r="A12782" s="1079"/>
      <c r="B12782" s="1050"/>
      <c r="C12782" s="1050"/>
      <c r="D12782" s="1050"/>
      <c r="E12782" s="1050"/>
      <c r="F12782" s="1050"/>
      <c r="G12782" s="1050"/>
    </row>
    <row r="12783" spans="1:7">
      <c r="A12783" s="1079"/>
      <c r="B12783" s="1050"/>
      <c r="C12783" s="1050"/>
      <c r="D12783" s="1050"/>
      <c r="E12783" s="1050"/>
      <c r="F12783" s="1050"/>
      <c r="G12783" s="1050"/>
    </row>
    <row r="12784" spans="1:7">
      <c r="A12784" s="1079"/>
      <c r="B12784" s="1050"/>
      <c r="C12784" s="1050"/>
      <c r="D12784" s="1050"/>
      <c r="E12784" s="1050"/>
      <c r="F12784" s="1050"/>
      <c r="G12784" s="1050"/>
    </row>
    <row r="12785" spans="1:7">
      <c r="A12785" s="1079"/>
      <c r="B12785" s="1050"/>
      <c r="C12785" s="1050"/>
      <c r="D12785" s="1050"/>
      <c r="E12785" s="1050"/>
      <c r="F12785" s="1050"/>
      <c r="G12785" s="1050"/>
    </row>
    <row r="12786" spans="1:7">
      <c r="A12786" s="1079"/>
      <c r="B12786" s="1050"/>
      <c r="C12786" s="1050"/>
      <c r="D12786" s="1050"/>
      <c r="E12786" s="1050"/>
      <c r="F12786" s="1050"/>
      <c r="G12786" s="1050"/>
    </row>
    <row r="12787" spans="1:7">
      <c r="A12787" s="1079"/>
      <c r="B12787" s="1050"/>
      <c r="C12787" s="1050"/>
      <c r="D12787" s="1050"/>
      <c r="E12787" s="1050"/>
      <c r="F12787" s="1050"/>
      <c r="G12787" s="1050"/>
    </row>
    <row r="12788" spans="1:7">
      <c r="A12788" s="1079"/>
      <c r="B12788" s="1050"/>
      <c r="C12788" s="1050"/>
      <c r="D12788" s="1050"/>
      <c r="E12788" s="1050"/>
      <c r="F12788" s="1050"/>
      <c r="G12788" s="1050"/>
    </row>
    <row r="12789" spans="1:7">
      <c r="A12789" s="1079"/>
      <c r="B12789" s="1050"/>
      <c r="C12789" s="1050"/>
      <c r="D12789" s="1050"/>
      <c r="E12789" s="1050"/>
      <c r="F12789" s="1050"/>
      <c r="G12789" s="1050"/>
    </row>
    <row r="12790" spans="1:7">
      <c r="A12790" s="1079"/>
      <c r="B12790" s="1050"/>
      <c r="C12790" s="1050"/>
      <c r="D12790" s="1050"/>
      <c r="E12790" s="1050"/>
      <c r="F12790" s="1050"/>
      <c r="G12790" s="1050"/>
    </row>
    <row r="12791" spans="1:7">
      <c r="A12791" s="1079"/>
      <c r="B12791" s="1050"/>
      <c r="C12791" s="1050"/>
      <c r="D12791" s="1050"/>
      <c r="E12791" s="1050"/>
      <c r="F12791" s="1050"/>
      <c r="G12791" s="1050"/>
    </row>
    <row r="12792" spans="1:7">
      <c r="A12792" s="1079"/>
      <c r="B12792" s="1050"/>
      <c r="C12792" s="1050"/>
      <c r="D12792" s="1050"/>
      <c r="E12792" s="1050"/>
      <c r="F12792" s="1050"/>
      <c r="G12792" s="1050"/>
    </row>
    <row r="12793" spans="1:7">
      <c r="A12793" s="1079"/>
      <c r="B12793" s="1050"/>
      <c r="C12793" s="1050"/>
      <c r="D12793" s="1050"/>
      <c r="E12793" s="1050"/>
      <c r="F12793" s="1050"/>
      <c r="G12793" s="1050"/>
    </row>
    <row r="12794" spans="1:7">
      <c r="A12794" s="1079"/>
      <c r="B12794" s="1050"/>
      <c r="C12794" s="1050"/>
      <c r="D12794" s="1050"/>
      <c r="E12794" s="1050"/>
      <c r="F12794" s="1050"/>
      <c r="G12794" s="1050"/>
    </row>
    <row r="12795" spans="1:7">
      <c r="A12795" s="1079"/>
      <c r="B12795" s="1050"/>
      <c r="C12795" s="1050"/>
      <c r="D12795" s="1050"/>
      <c r="E12795" s="1050"/>
      <c r="F12795" s="1050"/>
      <c r="G12795" s="1050"/>
    </row>
    <row r="12796" spans="1:7">
      <c r="A12796" s="1079"/>
      <c r="B12796" s="1050"/>
      <c r="C12796" s="1050"/>
      <c r="D12796" s="1050"/>
      <c r="E12796" s="1050"/>
      <c r="F12796" s="1050"/>
      <c r="G12796" s="1050"/>
    </row>
    <row r="12797" spans="1:7">
      <c r="A12797" s="1079"/>
      <c r="B12797" s="1050"/>
      <c r="C12797" s="1050"/>
      <c r="D12797" s="1050"/>
      <c r="E12797" s="1050"/>
      <c r="F12797" s="1050"/>
      <c r="G12797" s="1050"/>
    </row>
    <row r="12798" spans="1:7">
      <c r="A12798" s="1079"/>
      <c r="B12798" s="1050"/>
      <c r="C12798" s="1050"/>
      <c r="D12798" s="1050"/>
      <c r="E12798" s="1050"/>
      <c r="F12798" s="1050"/>
      <c r="G12798" s="1050"/>
    </row>
    <row r="12799" spans="1:7">
      <c r="A12799" s="1079"/>
      <c r="B12799" s="1050"/>
      <c r="C12799" s="1050"/>
      <c r="D12799" s="1050"/>
      <c r="E12799" s="1050"/>
      <c r="F12799" s="1050"/>
      <c r="G12799" s="1050"/>
    </row>
    <row r="12800" spans="1:7">
      <c r="A12800" s="1079"/>
      <c r="B12800" s="1050"/>
      <c r="C12800" s="1050"/>
      <c r="D12800" s="1050"/>
      <c r="E12800" s="1050"/>
      <c r="F12800" s="1050"/>
      <c r="G12800" s="1050"/>
    </row>
    <row r="12801" spans="1:7">
      <c r="A12801" s="1079"/>
      <c r="B12801" s="1050"/>
      <c r="C12801" s="1050"/>
      <c r="D12801" s="1050"/>
      <c r="E12801" s="1050"/>
      <c r="F12801" s="1050"/>
      <c r="G12801" s="1050"/>
    </row>
    <row r="12802" spans="1:7">
      <c r="A12802" s="1079"/>
      <c r="B12802" s="1050"/>
      <c r="C12802" s="1050"/>
      <c r="D12802" s="1050"/>
      <c r="E12802" s="1050"/>
      <c r="F12802" s="1050"/>
      <c r="G12802" s="1050"/>
    </row>
    <row r="12803" spans="1:7">
      <c r="A12803" s="1079"/>
      <c r="B12803" s="1050"/>
      <c r="C12803" s="1050"/>
      <c r="D12803" s="1050"/>
      <c r="E12803" s="1050"/>
      <c r="F12803" s="1050"/>
      <c r="G12803" s="1050"/>
    </row>
    <row r="12804" spans="1:7">
      <c r="A12804" s="1079"/>
      <c r="B12804" s="1050"/>
      <c r="C12804" s="1050"/>
      <c r="D12804" s="1050"/>
      <c r="E12804" s="1050"/>
      <c r="F12804" s="1050"/>
      <c r="G12804" s="1050"/>
    </row>
    <row r="12805" spans="1:7">
      <c r="A12805" s="1079"/>
      <c r="B12805" s="1050"/>
      <c r="C12805" s="1050"/>
      <c r="D12805" s="1050"/>
      <c r="E12805" s="1050"/>
      <c r="F12805" s="1050"/>
      <c r="G12805" s="1050"/>
    </row>
    <row r="12806" spans="1:7">
      <c r="A12806" s="1079"/>
      <c r="B12806" s="1050"/>
      <c r="C12806" s="1050"/>
      <c r="D12806" s="1050"/>
      <c r="E12806" s="1050"/>
      <c r="F12806" s="1050"/>
      <c r="G12806" s="1050"/>
    </row>
    <row r="12807" spans="1:7">
      <c r="A12807" s="1079"/>
      <c r="B12807" s="1050"/>
      <c r="C12807" s="1050"/>
      <c r="D12807" s="1050"/>
      <c r="E12807" s="1050"/>
      <c r="F12807" s="1050"/>
      <c r="G12807" s="1050"/>
    </row>
    <row r="12808" spans="1:7">
      <c r="A12808" s="1079"/>
      <c r="B12808" s="1050"/>
      <c r="C12808" s="1050"/>
      <c r="D12808" s="1050"/>
      <c r="E12808" s="1050"/>
      <c r="F12808" s="1050"/>
      <c r="G12808" s="1050"/>
    </row>
    <row r="12809" spans="1:7">
      <c r="A12809" s="1079"/>
      <c r="B12809" s="1050"/>
      <c r="C12809" s="1050"/>
      <c r="D12809" s="1050"/>
      <c r="E12809" s="1050"/>
      <c r="F12809" s="1050"/>
      <c r="G12809" s="1050"/>
    </row>
    <row r="12810" spans="1:7">
      <c r="A12810" s="1079"/>
      <c r="B12810" s="1050"/>
      <c r="C12810" s="1050"/>
      <c r="D12810" s="1050"/>
      <c r="E12810" s="1050"/>
      <c r="F12810" s="1050"/>
      <c r="G12810" s="1050"/>
    </row>
    <row r="12811" spans="1:7">
      <c r="A12811" s="1079"/>
      <c r="B12811" s="1050"/>
      <c r="C12811" s="1050"/>
      <c r="D12811" s="1050"/>
      <c r="E12811" s="1050"/>
      <c r="F12811" s="1050"/>
      <c r="G12811" s="1050"/>
    </row>
    <row r="12812" spans="1:7">
      <c r="A12812" s="1079"/>
      <c r="B12812" s="1050"/>
      <c r="C12812" s="1050"/>
      <c r="D12812" s="1050"/>
      <c r="E12812" s="1050"/>
      <c r="F12812" s="1050"/>
      <c r="G12812" s="1050"/>
    </row>
    <row r="12813" spans="1:7">
      <c r="A12813" s="1079"/>
      <c r="B12813" s="1050"/>
      <c r="C12813" s="1050"/>
      <c r="D12813" s="1050"/>
      <c r="E12813" s="1050"/>
      <c r="F12813" s="1050"/>
      <c r="G12813" s="1050"/>
    </row>
    <row r="12814" spans="1:7">
      <c r="A12814" s="1079"/>
      <c r="B12814" s="1050"/>
      <c r="C12814" s="1050"/>
      <c r="D12814" s="1050"/>
      <c r="E12814" s="1050"/>
      <c r="F12814" s="1050"/>
      <c r="G12814" s="1050"/>
    </row>
    <row r="12815" spans="1:7">
      <c r="A12815" s="1079"/>
      <c r="B12815" s="1050"/>
      <c r="C12815" s="1050"/>
      <c r="D12815" s="1050"/>
      <c r="E12815" s="1050"/>
      <c r="F12815" s="1050"/>
      <c r="G12815" s="1050"/>
    </row>
    <row r="12816" spans="1:7">
      <c r="A12816" s="1079"/>
      <c r="B12816" s="1050"/>
      <c r="C12816" s="1050"/>
      <c r="D12816" s="1050"/>
      <c r="E12816" s="1050"/>
      <c r="F12816" s="1050"/>
      <c r="G12816" s="1050"/>
    </row>
    <row r="12817" spans="1:7">
      <c r="A12817" s="1079"/>
      <c r="B12817" s="1050"/>
      <c r="C12817" s="1050"/>
      <c r="D12817" s="1050"/>
      <c r="E12817" s="1050"/>
      <c r="F12817" s="1050"/>
      <c r="G12817" s="1050"/>
    </row>
    <row r="12818" spans="1:7">
      <c r="A12818" s="1079"/>
      <c r="B12818" s="1050"/>
      <c r="C12818" s="1050"/>
      <c r="D12818" s="1050"/>
      <c r="E12818" s="1050"/>
      <c r="F12818" s="1050"/>
      <c r="G12818" s="1050"/>
    </row>
    <row r="12819" spans="1:7">
      <c r="A12819" s="1079"/>
      <c r="B12819" s="1050"/>
      <c r="C12819" s="1050"/>
      <c r="D12819" s="1050"/>
      <c r="E12819" s="1050"/>
      <c r="F12819" s="1050"/>
      <c r="G12819" s="1050"/>
    </row>
    <row r="12820" spans="1:7">
      <c r="A12820" s="1079"/>
      <c r="B12820" s="1050"/>
      <c r="C12820" s="1050"/>
      <c r="D12820" s="1050"/>
      <c r="E12820" s="1050"/>
      <c r="F12820" s="1050"/>
      <c r="G12820" s="1050"/>
    </row>
    <row r="12821" spans="1:7">
      <c r="A12821" s="1079"/>
      <c r="B12821" s="1050"/>
      <c r="C12821" s="1050"/>
      <c r="D12821" s="1050"/>
      <c r="E12821" s="1050"/>
      <c r="F12821" s="1050"/>
      <c r="G12821" s="1050"/>
    </row>
    <row r="12822" spans="1:7">
      <c r="A12822" s="1079"/>
      <c r="B12822" s="1050"/>
      <c r="C12822" s="1050"/>
      <c r="D12822" s="1050"/>
      <c r="E12822" s="1050"/>
      <c r="F12822" s="1050"/>
      <c r="G12822" s="1050"/>
    </row>
    <row r="12823" spans="1:7">
      <c r="A12823" s="1079"/>
      <c r="B12823" s="1050"/>
      <c r="C12823" s="1050"/>
      <c r="D12823" s="1050"/>
      <c r="E12823" s="1050"/>
      <c r="F12823" s="1050"/>
      <c r="G12823" s="1050"/>
    </row>
    <row r="12824" spans="1:7">
      <c r="A12824" s="1079"/>
      <c r="B12824" s="1050"/>
      <c r="C12824" s="1050"/>
      <c r="D12824" s="1050"/>
      <c r="E12824" s="1050"/>
      <c r="F12824" s="1050"/>
      <c r="G12824" s="1050"/>
    </row>
    <row r="12825" spans="1:7">
      <c r="A12825" s="1079"/>
      <c r="B12825" s="1050"/>
      <c r="C12825" s="1050"/>
      <c r="D12825" s="1050"/>
      <c r="E12825" s="1050"/>
      <c r="F12825" s="1050"/>
      <c r="G12825" s="1050"/>
    </row>
    <row r="12826" spans="1:7">
      <c r="A12826" s="1079"/>
      <c r="B12826" s="1050"/>
      <c r="C12826" s="1050"/>
      <c r="D12826" s="1050"/>
      <c r="E12826" s="1050"/>
      <c r="F12826" s="1050"/>
      <c r="G12826" s="1050"/>
    </row>
    <row r="12827" spans="1:7">
      <c r="A12827" s="1079"/>
      <c r="B12827" s="1050"/>
      <c r="C12827" s="1050"/>
      <c r="D12827" s="1050"/>
      <c r="E12827" s="1050"/>
      <c r="F12827" s="1050"/>
      <c r="G12827" s="1050"/>
    </row>
    <row r="12828" spans="1:7">
      <c r="A12828" s="1079"/>
      <c r="B12828" s="1050"/>
      <c r="C12828" s="1050"/>
      <c r="D12828" s="1050"/>
      <c r="E12828" s="1050"/>
      <c r="F12828" s="1050"/>
      <c r="G12828" s="1050"/>
    </row>
    <row r="12829" spans="1:7">
      <c r="A12829" s="1079"/>
      <c r="B12829" s="1050"/>
      <c r="C12829" s="1050"/>
      <c r="D12829" s="1050"/>
      <c r="E12829" s="1050"/>
      <c r="F12829" s="1050"/>
      <c r="G12829" s="1050"/>
    </row>
    <row r="12830" spans="1:7">
      <c r="A12830" s="1079"/>
      <c r="B12830" s="1050"/>
      <c r="C12830" s="1050"/>
      <c r="D12830" s="1050"/>
      <c r="E12830" s="1050"/>
      <c r="F12830" s="1050"/>
      <c r="G12830" s="1050"/>
    </row>
    <row r="12831" spans="1:7">
      <c r="A12831" s="1079"/>
      <c r="B12831" s="1050"/>
      <c r="C12831" s="1050"/>
      <c r="D12831" s="1050"/>
      <c r="E12831" s="1050"/>
      <c r="F12831" s="1050"/>
      <c r="G12831" s="1050"/>
    </row>
    <row r="12832" spans="1:7">
      <c r="A12832" s="1079"/>
      <c r="B12832" s="1050"/>
      <c r="C12832" s="1050"/>
      <c r="D12832" s="1050"/>
      <c r="E12832" s="1050"/>
      <c r="F12832" s="1050"/>
      <c r="G12832" s="1050"/>
    </row>
    <row r="12833" spans="1:7">
      <c r="A12833" s="1079"/>
      <c r="B12833" s="1050"/>
      <c r="C12833" s="1050"/>
      <c r="D12833" s="1050"/>
      <c r="E12833" s="1050"/>
      <c r="F12833" s="1050"/>
      <c r="G12833" s="1050"/>
    </row>
    <row r="12834" spans="1:7">
      <c r="A12834" s="1079"/>
      <c r="B12834" s="1050"/>
      <c r="C12834" s="1050"/>
      <c r="D12834" s="1050"/>
      <c r="E12834" s="1050"/>
      <c r="F12834" s="1050"/>
      <c r="G12834" s="1050"/>
    </row>
    <row r="12835" spans="1:7">
      <c r="A12835" s="1079"/>
      <c r="B12835" s="1050"/>
      <c r="C12835" s="1050"/>
      <c r="D12835" s="1050"/>
      <c r="E12835" s="1050"/>
      <c r="F12835" s="1050"/>
      <c r="G12835" s="1050"/>
    </row>
    <row r="12836" spans="1:7">
      <c r="A12836" s="1079"/>
      <c r="B12836" s="1050"/>
      <c r="C12836" s="1050"/>
      <c r="D12836" s="1050"/>
      <c r="E12836" s="1050"/>
      <c r="F12836" s="1050"/>
      <c r="G12836" s="1050"/>
    </row>
    <row r="12837" spans="1:7">
      <c r="A12837" s="1079"/>
      <c r="B12837" s="1050"/>
      <c r="C12837" s="1050"/>
      <c r="D12837" s="1050"/>
      <c r="E12837" s="1050"/>
      <c r="F12837" s="1050"/>
      <c r="G12837" s="1050"/>
    </row>
    <row r="12838" spans="1:7">
      <c r="A12838" s="1079"/>
      <c r="B12838" s="1050"/>
      <c r="C12838" s="1050"/>
      <c r="D12838" s="1050"/>
      <c r="E12838" s="1050"/>
      <c r="F12838" s="1050"/>
      <c r="G12838" s="1050"/>
    </row>
    <row r="12839" spans="1:7">
      <c r="A12839" s="1079"/>
      <c r="B12839" s="1050"/>
      <c r="C12839" s="1050"/>
      <c r="D12839" s="1050"/>
      <c r="E12839" s="1050"/>
      <c r="F12839" s="1050"/>
      <c r="G12839" s="1050"/>
    </row>
    <row r="12840" spans="1:7">
      <c r="A12840" s="1079"/>
      <c r="B12840" s="1050"/>
      <c r="C12840" s="1050"/>
      <c r="D12840" s="1050"/>
      <c r="E12840" s="1050"/>
      <c r="F12840" s="1050"/>
      <c r="G12840" s="1050"/>
    </row>
    <row r="12841" spans="1:7">
      <c r="A12841" s="1079"/>
      <c r="B12841" s="1050"/>
      <c r="C12841" s="1050"/>
      <c r="D12841" s="1050"/>
      <c r="E12841" s="1050"/>
      <c r="F12841" s="1050"/>
      <c r="G12841" s="1050"/>
    </row>
    <row r="12842" spans="1:7">
      <c r="A12842" s="1079"/>
      <c r="B12842" s="1050"/>
      <c r="C12842" s="1050"/>
      <c r="D12842" s="1050"/>
      <c r="E12842" s="1050"/>
      <c r="F12842" s="1050"/>
      <c r="G12842" s="1050"/>
    </row>
    <row r="12843" spans="1:7">
      <c r="A12843" s="1079"/>
      <c r="B12843" s="1050"/>
      <c r="C12843" s="1050"/>
      <c r="D12843" s="1050"/>
      <c r="E12843" s="1050"/>
      <c r="F12843" s="1050"/>
      <c r="G12843" s="1050"/>
    </row>
    <row r="12844" spans="1:7">
      <c r="A12844" s="1079"/>
      <c r="B12844" s="1050"/>
      <c r="C12844" s="1050"/>
      <c r="D12844" s="1050"/>
      <c r="E12844" s="1050"/>
      <c r="F12844" s="1050"/>
      <c r="G12844" s="1050"/>
    </row>
    <row r="12845" spans="1:7">
      <c r="A12845" s="1079"/>
      <c r="B12845" s="1050"/>
      <c r="C12845" s="1050"/>
      <c r="D12845" s="1050"/>
      <c r="E12845" s="1050"/>
      <c r="F12845" s="1050"/>
      <c r="G12845" s="1050"/>
    </row>
    <row r="12846" spans="1:7">
      <c r="A12846" s="1079"/>
      <c r="B12846" s="1050"/>
      <c r="C12846" s="1050"/>
      <c r="D12846" s="1050"/>
      <c r="E12846" s="1050"/>
      <c r="F12846" s="1050"/>
      <c r="G12846" s="1050"/>
    </row>
    <row r="12847" spans="1:7">
      <c r="A12847" s="1079"/>
      <c r="B12847" s="1050"/>
      <c r="C12847" s="1050"/>
      <c r="D12847" s="1050"/>
      <c r="E12847" s="1050"/>
      <c r="F12847" s="1050"/>
      <c r="G12847" s="1050"/>
    </row>
    <row r="12848" spans="1:7">
      <c r="A12848" s="1079"/>
      <c r="B12848" s="1050"/>
      <c r="C12848" s="1050"/>
      <c r="D12848" s="1050"/>
      <c r="E12848" s="1050"/>
      <c r="F12848" s="1050"/>
      <c r="G12848" s="1050"/>
    </row>
    <row r="12849" spans="1:7">
      <c r="A12849" s="1079"/>
      <c r="B12849" s="1050"/>
      <c r="C12849" s="1050"/>
      <c r="D12849" s="1050"/>
      <c r="E12849" s="1050"/>
      <c r="F12849" s="1050"/>
      <c r="G12849" s="1050"/>
    </row>
    <row r="12850" spans="1:7">
      <c r="A12850" s="1079"/>
      <c r="B12850" s="1050"/>
      <c r="C12850" s="1050"/>
      <c r="D12850" s="1050"/>
      <c r="E12850" s="1050"/>
      <c r="F12850" s="1050"/>
      <c r="G12850" s="1050"/>
    </row>
    <row r="12851" spans="1:7">
      <c r="A12851" s="1079"/>
      <c r="B12851" s="1050"/>
      <c r="C12851" s="1050"/>
      <c r="D12851" s="1050"/>
      <c r="E12851" s="1050"/>
      <c r="F12851" s="1050"/>
      <c r="G12851" s="1050"/>
    </row>
    <row r="12852" spans="1:7">
      <c r="A12852" s="1079"/>
      <c r="B12852" s="1050"/>
      <c r="C12852" s="1050"/>
      <c r="D12852" s="1050"/>
      <c r="E12852" s="1050"/>
      <c r="F12852" s="1050"/>
      <c r="G12852" s="1050"/>
    </row>
    <row r="12853" spans="1:7">
      <c r="A12853" s="1079"/>
      <c r="B12853" s="1050"/>
      <c r="C12853" s="1050"/>
      <c r="D12853" s="1050"/>
      <c r="E12853" s="1050"/>
      <c r="F12853" s="1050"/>
      <c r="G12853" s="1050"/>
    </row>
    <row r="12854" spans="1:7">
      <c r="A12854" s="1079"/>
      <c r="B12854" s="1050"/>
      <c r="C12854" s="1050"/>
      <c r="D12854" s="1050"/>
      <c r="E12854" s="1050"/>
      <c r="F12854" s="1050"/>
      <c r="G12854" s="1050"/>
    </row>
    <row r="12855" spans="1:7">
      <c r="A12855" s="1079"/>
      <c r="B12855" s="1050"/>
      <c r="C12855" s="1050"/>
      <c r="D12855" s="1050"/>
      <c r="E12855" s="1050"/>
      <c r="F12855" s="1050"/>
      <c r="G12855" s="1050"/>
    </row>
    <row r="12856" spans="1:7">
      <c r="A12856" s="1079"/>
      <c r="B12856" s="1050"/>
      <c r="C12856" s="1050"/>
      <c r="D12856" s="1050"/>
      <c r="E12856" s="1050"/>
      <c r="F12856" s="1050"/>
      <c r="G12856" s="1050"/>
    </row>
    <row r="12857" spans="1:7">
      <c r="A12857" s="1079"/>
      <c r="B12857" s="1050"/>
      <c r="C12857" s="1050"/>
      <c r="D12857" s="1050"/>
      <c r="E12857" s="1050"/>
      <c r="F12857" s="1050"/>
      <c r="G12857" s="1050"/>
    </row>
    <row r="12858" spans="1:7">
      <c r="A12858" s="1079"/>
      <c r="B12858" s="1050"/>
      <c r="C12858" s="1050"/>
      <c r="D12858" s="1050"/>
      <c r="E12858" s="1050"/>
      <c r="F12858" s="1050"/>
      <c r="G12858" s="1050"/>
    </row>
    <row r="12859" spans="1:7">
      <c r="A12859" s="1079"/>
      <c r="B12859" s="1050"/>
      <c r="C12859" s="1050"/>
      <c r="D12859" s="1050"/>
      <c r="E12859" s="1050"/>
      <c r="F12859" s="1050"/>
      <c r="G12859" s="1050"/>
    </row>
    <row r="12860" spans="1:7">
      <c r="A12860" s="1079"/>
      <c r="B12860" s="1050"/>
      <c r="C12860" s="1050"/>
      <c r="D12860" s="1050"/>
      <c r="E12860" s="1050"/>
      <c r="F12860" s="1050"/>
      <c r="G12860" s="1050"/>
    </row>
    <row r="12861" spans="1:7">
      <c r="A12861" s="1079"/>
      <c r="B12861" s="1050"/>
      <c r="C12861" s="1050"/>
      <c r="D12861" s="1050"/>
      <c r="E12861" s="1050"/>
      <c r="F12861" s="1050"/>
      <c r="G12861" s="1050"/>
    </row>
    <row r="12862" spans="1:7">
      <c r="A12862" s="1079"/>
      <c r="B12862" s="1050"/>
      <c r="C12862" s="1050"/>
      <c r="D12862" s="1050"/>
      <c r="E12862" s="1050"/>
      <c r="F12862" s="1050"/>
      <c r="G12862" s="1050"/>
    </row>
    <row r="12863" spans="1:7">
      <c r="A12863" s="1079"/>
      <c r="B12863" s="1050"/>
      <c r="C12863" s="1050"/>
      <c r="D12863" s="1050"/>
      <c r="E12863" s="1050"/>
      <c r="F12863" s="1050"/>
      <c r="G12863" s="1050"/>
    </row>
    <row r="12864" spans="1:7">
      <c r="A12864" s="1079"/>
      <c r="B12864" s="1050"/>
      <c r="C12864" s="1050"/>
      <c r="D12864" s="1050"/>
      <c r="E12864" s="1050"/>
      <c r="F12864" s="1050"/>
      <c r="G12864" s="1050"/>
    </row>
    <row r="12865" spans="1:7">
      <c r="A12865" s="1079"/>
      <c r="B12865" s="1050"/>
      <c r="C12865" s="1050"/>
      <c r="D12865" s="1050"/>
      <c r="E12865" s="1050"/>
      <c r="F12865" s="1050"/>
      <c r="G12865" s="1050"/>
    </row>
    <row r="12866" spans="1:7">
      <c r="A12866" s="1079"/>
      <c r="B12866" s="1050"/>
      <c r="C12866" s="1050"/>
      <c r="D12866" s="1050"/>
      <c r="E12866" s="1050"/>
      <c r="F12866" s="1050"/>
      <c r="G12866" s="1050"/>
    </row>
    <row r="12867" spans="1:7">
      <c r="A12867" s="1079"/>
      <c r="B12867" s="1050"/>
      <c r="C12867" s="1050"/>
      <c r="D12867" s="1050"/>
      <c r="E12867" s="1050"/>
      <c r="F12867" s="1050"/>
      <c r="G12867" s="1050"/>
    </row>
    <row r="12868" spans="1:7">
      <c r="A12868" s="1079"/>
      <c r="B12868" s="1050"/>
      <c r="C12868" s="1050"/>
      <c r="D12868" s="1050"/>
      <c r="E12868" s="1050"/>
      <c r="F12868" s="1050"/>
      <c r="G12868" s="1050"/>
    </row>
    <row r="12869" spans="1:7">
      <c r="A12869" s="1079"/>
      <c r="B12869" s="1050"/>
      <c r="C12869" s="1050"/>
      <c r="D12869" s="1050"/>
      <c r="E12869" s="1050"/>
      <c r="F12869" s="1050"/>
      <c r="G12869" s="1050"/>
    </row>
    <row r="12870" spans="1:7">
      <c r="A12870" s="1079"/>
      <c r="B12870" s="1050"/>
      <c r="C12870" s="1050"/>
      <c r="D12870" s="1050"/>
      <c r="E12870" s="1050"/>
      <c r="F12870" s="1050"/>
      <c r="G12870" s="1050"/>
    </row>
    <row r="12871" spans="1:7">
      <c r="A12871" s="1079"/>
      <c r="B12871" s="1050"/>
      <c r="C12871" s="1050"/>
      <c r="D12871" s="1050"/>
      <c r="E12871" s="1050"/>
      <c r="F12871" s="1050"/>
      <c r="G12871" s="1050"/>
    </row>
    <row r="12872" spans="1:7">
      <c r="A12872" s="1079"/>
      <c r="B12872" s="1050"/>
      <c r="C12872" s="1050"/>
      <c r="D12872" s="1050"/>
      <c r="E12872" s="1050"/>
      <c r="F12872" s="1050"/>
      <c r="G12872" s="1050"/>
    </row>
    <row r="12873" spans="1:7">
      <c r="A12873" s="1079"/>
      <c r="B12873" s="1050"/>
      <c r="C12873" s="1050"/>
      <c r="D12873" s="1050"/>
      <c r="E12873" s="1050"/>
      <c r="F12873" s="1050"/>
      <c r="G12873" s="1050"/>
    </row>
    <row r="12874" spans="1:7">
      <c r="A12874" s="1079"/>
      <c r="B12874" s="1050"/>
      <c r="C12874" s="1050"/>
      <c r="D12874" s="1050"/>
      <c r="E12874" s="1050"/>
      <c r="F12874" s="1050"/>
      <c r="G12874" s="1050"/>
    </row>
    <row r="12875" spans="1:7">
      <c r="A12875" s="1079"/>
      <c r="B12875" s="1050"/>
      <c r="C12875" s="1050"/>
      <c r="D12875" s="1050"/>
      <c r="E12875" s="1050"/>
      <c r="F12875" s="1050"/>
      <c r="G12875" s="1050"/>
    </row>
    <row r="12876" spans="1:7">
      <c r="A12876" s="1079"/>
      <c r="B12876" s="1050"/>
      <c r="C12876" s="1050"/>
      <c r="D12876" s="1050"/>
      <c r="E12876" s="1050"/>
      <c r="F12876" s="1050"/>
      <c r="G12876" s="1050"/>
    </row>
    <row r="12877" spans="1:7">
      <c r="A12877" s="1079"/>
      <c r="B12877" s="1050"/>
      <c r="C12877" s="1050"/>
      <c r="D12877" s="1050"/>
      <c r="E12877" s="1050"/>
      <c r="F12877" s="1050"/>
      <c r="G12877" s="1050"/>
    </row>
    <row r="12878" spans="1:7">
      <c r="A12878" s="1079"/>
      <c r="B12878" s="1050"/>
      <c r="C12878" s="1050"/>
      <c r="D12878" s="1050"/>
      <c r="E12878" s="1050"/>
      <c r="F12878" s="1050"/>
      <c r="G12878" s="1050"/>
    </row>
    <row r="12879" spans="1:7">
      <c r="A12879" s="1079"/>
      <c r="B12879" s="1050"/>
      <c r="C12879" s="1050"/>
      <c r="D12879" s="1050"/>
      <c r="E12879" s="1050"/>
      <c r="F12879" s="1050"/>
      <c r="G12879" s="1050"/>
    </row>
    <row r="12880" spans="1:7">
      <c r="A12880" s="1079"/>
      <c r="B12880" s="1050"/>
      <c r="C12880" s="1050"/>
      <c r="D12880" s="1050"/>
      <c r="E12880" s="1050"/>
      <c r="F12880" s="1050"/>
      <c r="G12880" s="1050"/>
    </row>
    <row r="12881" spans="1:7">
      <c r="A12881" s="1079"/>
      <c r="B12881" s="1050"/>
      <c r="C12881" s="1050"/>
      <c r="D12881" s="1050"/>
      <c r="E12881" s="1050"/>
      <c r="F12881" s="1050"/>
      <c r="G12881" s="1050"/>
    </row>
    <row r="12882" spans="1:7">
      <c r="A12882" s="1079"/>
      <c r="B12882" s="1050"/>
      <c r="C12882" s="1050"/>
      <c r="D12882" s="1050"/>
      <c r="E12882" s="1050"/>
      <c r="F12882" s="1050"/>
      <c r="G12882" s="1050"/>
    </row>
    <row r="12883" spans="1:7">
      <c r="A12883" s="1079"/>
      <c r="B12883" s="1050"/>
      <c r="C12883" s="1050"/>
      <c r="D12883" s="1050"/>
      <c r="E12883" s="1050"/>
      <c r="F12883" s="1050"/>
      <c r="G12883" s="1050"/>
    </row>
    <row r="12884" spans="1:7">
      <c r="A12884" s="1079"/>
      <c r="B12884" s="1050"/>
      <c r="C12884" s="1050"/>
      <c r="D12884" s="1050"/>
      <c r="E12884" s="1050"/>
      <c r="F12884" s="1050"/>
      <c r="G12884" s="1050"/>
    </row>
    <row r="12885" spans="1:7">
      <c r="A12885" s="1079"/>
      <c r="B12885" s="1050"/>
      <c r="C12885" s="1050"/>
      <c r="D12885" s="1050"/>
      <c r="E12885" s="1050"/>
      <c r="F12885" s="1050"/>
      <c r="G12885" s="1050"/>
    </row>
    <row r="12886" spans="1:7">
      <c r="A12886" s="1079"/>
      <c r="B12886" s="1050"/>
      <c r="C12886" s="1050"/>
      <c r="D12886" s="1050"/>
      <c r="E12886" s="1050"/>
      <c r="F12886" s="1050"/>
      <c r="G12886" s="1050"/>
    </row>
    <row r="12887" spans="1:7">
      <c r="A12887" s="1079"/>
      <c r="B12887" s="1050"/>
      <c r="C12887" s="1050"/>
      <c r="D12887" s="1050"/>
      <c r="E12887" s="1050"/>
      <c r="F12887" s="1050"/>
      <c r="G12887" s="1050"/>
    </row>
    <row r="12888" spans="1:7">
      <c r="A12888" s="1079"/>
      <c r="B12888" s="1050"/>
      <c r="C12888" s="1050"/>
      <c r="D12888" s="1050"/>
      <c r="E12888" s="1050"/>
      <c r="F12888" s="1050"/>
      <c r="G12888" s="1050"/>
    </row>
    <row r="12889" spans="1:7">
      <c r="A12889" s="1079"/>
      <c r="B12889" s="1050"/>
      <c r="C12889" s="1050"/>
      <c r="D12889" s="1050"/>
      <c r="E12889" s="1050"/>
      <c r="F12889" s="1050"/>
      <c r="G12889" s="1050"/>
    </row>
    <row r="12890" spans="1:7">
      <c r="A12890" s="1079"/>
      <c r="B12890" s="1050"/>
      <c r="C12890" s="1050"/>
      <c r="D12890" s="1050"/>
      <c r="E12890" s="1050"/>
      <c r="F12890" s="1050"/>
      <c r="G12890" s="1050"/>
    </row>
    <row r="12891" spans="1:7">
      <c r="A12891" s="1079"/>
      <c r="B12891" s="1050"/>
      <c r="C12891" s="1050"/>
      <c r="D12891" s="1050"/>
      <c r="E12891" s="1050"/>
      <c r="F12891" s="1050"/>
      <c r="G12891" s="1050"/>
    </row>
    <row r="12892" spans="1:7">
      <c r="A12892" s="1079"/>
      <c r="B12892" s="1050"/>
      <c r="C12892" s="1050"/>
      <c r="D12892" s="1050"/>
      <c r="E12892" s="1050"/>
      <c r="F12892" s="1050"/>
      <c r="G12892" s="1050"/>
    </row>
    <row r="12893" spans="1:7">
      <c r="A12893" s="1079"/>
      <c r="B12893" s="1050"/>
      <c r="C12893" s="1050"/>
      <c r="D12893" s="1050"/>
      <c r="E12893" s="1050"/>
      <c r="F12893" s="1050"/>
      <c r="G12893" s="1050"/>
    </row>
    <row r="12894" spans="1:7">
      <c r="A12894" s="1079"/>
      <c r="B12894" s="1050"/>
      <c r="C12894" s="1050"/>
      <c r="D12894" s="1050"/>
      <c r="E12894" s="1050"/>
      <c r="F12894" s="1050"/>
      <c r="G12894" s="1050"/>
    </row>
    <row r="12895" spans="1:7">
      <c r="A12895" s="1079"/>
      <c r="B12895" s="1050"/>
      <c r="C12895" s="1050"/>
      <c r="D12895" s="1050"/>
      <c r="E12895" s="1050"/>
      <c r="F12895" s="1050"/>
      <c r="G12895" s="1050"/>
    </row>
    <row r="12896" spans="1:7">
      <c r="A12896" s="1079"/>
      <c r="B12896" s="1050"/>
      <c r="C12896" s="1050"/>
      <c r="D12896" s="1050"/>
      <c r="E12896" s="1050"/>
      <c r="F12896" s="1050"/>
      <c r="G12896" s="1050"/>
    </row>
    <row r="12897" spans="1:7">
      <c r="A12897" s="1079"/>
      <c r="B12897" s="1050"/>
      <c r="C12897" s="1050"/>
      <c r="D12897" s="1050"/>
      <c r="E12897" s="1050"/>
      <c r="F12897" s="1050"/>
      <c r="G12897" s="1050"/>
    </row>
    <row r="12898" spans="1:7">
      <c r="A12898" s="1079"/>
      <c r="B12898" s="1050"/>
      <c r="C12898" s="1050"/>
      <c r="D12898" s="1050"/>
      <c r="E12898" s="1050"/>
      <c r="F12898" s="1050"/>
      <c r="G12898" s="1050"/>
    </row>
    <row r="12899" spans="1:7">
      <c r="A12899" s="1079"/>
      <c r="B12899" s="1050"/>
      <c r="C12899" s="1050"/>
      <c r="D12899" s="1050"/>
      <c r="E12899" s="1050"/>
      <c r="F12899" s="1050"/>
      <c r="G12899" s="1050"/>
    </row>
    <row r="12900" spans="1:7">
      <c r="A12900" s="1079"/>
      <c r="B12900" s="1050"/>
      <c r="C12900" s="1050"/>
      <c r="D12900" s="1050"/>
      <c r="E12900" s="1050"/>
      <c r="F12900" s="1050"/>
      <c r="G12900" s="1050"/>
    </row>
    <row r="12901" spans="1:7">
      <c r="A12901" s="1079"/>
      <c r="B12901" s="1050"/>
      <c r="C12901" s="1050"/>
      <c r="D12901" s="1050"/>
      <c r="E12901" s="1050"/>
      <c r="F12901" s="1050"/>
      <c r="G12901" s="1050"/>
    </row>
    <row r="12902" spans="1:7">
      <c r="A12902" s="1079"/>
      <c r="B12902" s="1050"/>
      <c r="C12902" s="1050"/>
      <c r="D12902" s="1050"/>
      <c r="E12902" s="1050"/>
      <c r="F12902" s="1050"/>
      <c r="G12902" s="1050"/>
    </row>
    <row r="12903" spans="1:7">
      <c r="A12903" s="1079"/>
      <c r="B12903" s="1050"/>
      <c r="C12903" s="1050"/>
      <c r="D12903" s="1050"/>
      <c r="E12903" s="1050"/>
      <c r="F12903" s="1050"/>
      <c r="G12903" s="1050"/>
    </row>
    <row r="12904" spans="1:7">
      <c r="A12904" s="1079"/>
      <c r="B12904" s="1050"/>
      <c r="C12904" s="1050"/>
      <c r="D12904" s="1050"/>
      <c r="E12904" s="1050"/>
      <c r="F12904" s="1050"/>
      <c r="G12904" s="1050"/>
    </row>
    <row r="12905" spans="1:7">
      <c r="A12905" s="1079"/>
      <c r="B12905" s="1050"/>
      <c r="C12905" s="1050"/>
      <c r="D12905" s="1050"/>
      <c r="E12905" s="1050"/>
      <c r="F12905" s="1050"/>
      <c r="G12905" s="1050"/>
    </row>
    <row r="12906" spans="1:7">
      <c r="A12906" s="1079"/>
      <c r="B12906" s="1050"/>
      <c r="C12906" s="1050"/>
      <c r="D12906" s="1050"/>
      <c r="E12906" s="1050"/>
      <c r="F12906" s="1050"/>
      <c r="G12906" s="1050"/>
    </row>
    <row r="12907" spans="1:7">
      <c r="A12907" s="1079"/>
      <c r="B12907" s="1050"/>
      <c r="C12907" s="1050"/>
      <c r="D12907" s="1050"/>
      <c r="E12907" s="1050"/>
      <c r="F12907" s="1050"/>
      <c r="G12907" s="1050"/>
    </row>
    <row r="12908" spans="1:7">
      <c r="A12908" s="1079"/>
      <c r="B12908" s="1050"/>
      <c r="C12908" s="1050"/>
      <c r="D12908" s="1050"/>
      <c r="E12908" s="1050"/>
      <c r="F12908" s="1050"/>
      <c r="G12908" s="1050"/>
    </row>
    <row r="12909" spans="1:7">
      <c r="A12909" s="1079"/>
      <c r="B12909" s="1050"/>
      <c r="C12909" s="1050"/>
      <c r="D12909" s="1050"/>
      <c r="E12909" s="1050"/>
      <c r="F12909" s="1050"/>
      <c r="G12909" s="1050"/>
    </row>
    <row r="12910" spans="1:7">
      <c r="A12910" s="1079"/>
      <c r="B12910" s="1050"/>
      <c r="C12910" s="1050"/>
      <c r="D12910" s="1050"/>
      <c r="E12910" s="1050"/>
      <c r="F12910" s="1050"/>
      <c r="G12910" s="1050"/>
    </row>
    <row r="12911" spans="1:7">
      <c r="A12911" s="1079"/>
      <c r="B12911" s="1050"/>
      <c r="C12911" s="1050"/>
      <c r="D12911" s="1050"/>
      <c r="E12911" s="1050"/>
      <c r="F12911" s="1050"/>
      <c r="G12911" s="1050"/>
    </row>
    <row r="12912" spans="1:7">
      <c r="A12912" s="1079"/>
      <c r="B12912" s="1050"/>
      <c r="C12912" s="1050"/>
      <c r="D12912" s="1050"/>
      <c r="E12912" s="1050"/>
      <c r="F12912" s="1050"/>
      <c r="G12912" s="1050"/>
    </row>
    <row r="12913" spans="1:7">
      <c r="A12913" s="1079"/>
      <c r="B12913" s="1050"/>
      <c r="C12913" s="1050"/>
      <c r="D12913" s="1050"/>
      <c r="E12913" s="1050"/>
      <c r="F12913" s="1050"/>
      <c r="G12913" s="1050"/>
    </row>
    <row r="12914" spans="1:7">
      <c r="A12914" s="1079"/>
      <c r="B12914" s="1050"/>
      <c r="C12914" s="1050"/>
      <c r="D12914" s="1050"/>
      <c r="E12914" s="1050"/>
      <c r="F12914" s="1050"/>
      <c r="G12914" s="1050"/>
    </row>
    <row r="12915" spans="1:7">
      <c r="A12915" s="1079"/>
      <c r="B12915" s="1050"/>
      <c r="C12915" s="1050"/>
      <c r="D12915" s="1050"/>
      <c r="E12915" s="1050"/>
      <c r="F12915" s="1050"/>
      <c r="G12915" s="1050"/>
    </row>
    <row r="12916" spans="1:7">
      <c r="A12916" s="1079"/>
      <c r="B12916" s="1050"/>
      <c r="C12916" s="1050"/>
      <c r="D12916" s="1050"/>
      <c r="E12916" s="1050"/>
      <c r="F12916" s="1050"/>
      <c r="G12916" s="1050"/>
    </row>
    <row r="12917" spans="1:7">
      <c r="A12917" s="1079"/>
      <c r="B12917" s="1050"/>
      <c r="C12917" s="1050"/>
      <c r="D12917" s="1050"/>
      <c r="E12917" s="1050"/>
      <c r="F12917" s="1050"/>
      <c r="G12917" s="1050"/>
    </row>
    <row r="12918" spans="1:7">
      <c r="A12918" s="1079"/>
      <c r="B12918" s="1050"/>
      <c r="C12918" s="1050"/>
      <c r="D12918" s="1050"/>
      <c r="E12918" s="1050"/>
      <c r="F12918" s="1050"/>
      <c r="G12918" s="1050"/>
    </row>
    <row r="12919" spans="1:7">
      <c r="A12919" s="1079"/>
      <c r="B12919" s="1050"/>
      <c r="C12919" s="1050"/>
      <c r="D12919" s="1050"/>
      <c r="E12919" s="1050"/>
      <c r="F12919" s="1050"/>
      <c r="G12919" s="1050"/>
    </row>
    <row r="12920" spans="1:7">
      <c r="A12920" s="1079"/>
      <c r="B12920" s="1050"/>
      <c r="C12920" s="1050"/>
      <c r="D12920" s="1050"/>
      <c r="E12920" s="1050"/>
      <c r="F12920" s="1050"/>
      <c r="G12920" s="1050"/>
    </row>
    <row r="12921" spans="1:7">
      <c r="A12921" s="1079"/>
      <c r="B12921" s="1050"/>
      <c r="C12921" s="1050"/>
      <c r="D12921" s="1050"/>
      <c r="E12921" s="1050"/>
      <c r="F12921" s="1050"/>
      <c r="G12921" s="1050"/>
    </row>
    <row r="12922" spans="1:7">
      <c r="A12922" s="1079"/>
      <c r="B12922" s="1050"/>
      <c r="C12922" s="1050"/>
      <c r="D12922" s="1050"/>
      <c r="E12922" s="1050"/>
      <c r="F12922" s="1050"/>
      <c r="G12922" s="1050"/>
    </row>
    <row r="12923" spans="1:7">
      <c r="A12923" s="1079"/>
      <c r="B12923" s="1050"/>
      <c r="C12923" s="1050"/>
      <c r="D12923" s="1050"/>
      <c r="E12923" s="1050"/>
      <c r="F12923" s="1050"/>
      <c r="G12923" s="1050"/>
    </row>
    <row r="12924" spans="1:7">
      <c r="A12924" s="1079"/>
      <c r="B12924" s="1050"/>
      <c r="C12924" s="1050"/>
      <c r="D12924" s="1050"/>
      <c r="E12924" s="1050"/>
      <c r="F12924" s="1050"/>
      <c r="G12924" s="1050"/>
    </row>
    <row r="12925" spans="1:7">
      <c r="A12925" s="1079"/>
      <c r="B12925" s="1050"/>
      <c r="C12925" s="1050"/>
      <c r="D12925" s="1050"/>
      <c r="E12925" s="1050"/>
      <c r="F12925" s="1050"/>
      <c r="G12925" s="1050"/>
    </row>
    <row r="12926" spans="1:7">
      <c r="A12926" s="1079"/>
      <c r="B12926" s="1050"/>
      <c r="C12926" s="1050"/>
      <c r="D12926" s="1050"/>
      <c r="E12926" s="1050"/>
      <c r="F12926" s="1050"/>
      <c r="G12926" s="1050"/>
    </row>
    <row r="12927" spans="1:7">
      <c r="A12927" s="1079"/>
      <c r="B12927" s="1050"/>
      <c r="C12927" s="1050"/>
      <c r="D12927" s="1050"/>
      <c r="E12927" s="1050"/>
      <c r="F12927" s="1050"/>
      <c r="G12927" s="1050"/>
    </row>
    <row r="12928" spans="1:7">
      <c r="A12928" s="1079"/>
      <c r="B12928" s="1050"/>
      <c r="C12928" s="1050"/>
      <c r="D12928" s="1050"/>
      <c r="E12928" s="1050"/>
      <c r="F12928" s="1050"/>
      <c r="G12928" s="1050"/>
    </row>
    <row r="12929" spans="1:7">
      <c r="A12929" s="1079"/>
      <c r="B12929" s="1050"/>
      <c r="C12929" s="1050"/>
      <c r="D12929" s="1050"/>
      <c r="E12929" s="1050"/>
      <c r="F12929" s="1050"/>
      <c r="G12929" s="1050"/>
    </row>
    <row r="12930" spans="1:7">
      <c r="A12930" s="1079"/>
      <c r="B12930" s="1050"/>
      <c r="C12930" s="1050"/>
      <c r="D12930" s="1050"/>
      <c r="E12930" s="1050"/>
      <c r="F12930" s="1050"/>
      <c r="G12930" s="1050"/>
    </row>
    <row r="12931" spans="1:7">
      <c r="A12931" s="1079"/>
      <c r="B12931" s="1050"/>
      <c r="C12931" s="1050"/>
      <c r="D12931" s="1050"/>
      <c r="E12931" s="1050"/>
      <c r="F12931" s="1050"/>
      <c r="G12931" s="1050"/>
    </row>
    <row r="12932" spans="1:7">
      <c r="A12932" s="1079"/>
      <c r="B12932" s="1050"/>
      <c r="C12932" s="1050"/>
      <c r="D12932" s="1050"/>
      <c r="E12932" s="1050"/>
      <c r="F12932" s="1050"/>
      <c r="G12932" s="1050"/>
    </row>
    <row r="12933" spans="1:7">
      <c r="A12933" s="1079"/>
      <c r="B12933" s="1050"/>
      <c r="C12933" s="1050"/>
      <c r="D12933" s="1050"/>
      <c r="E12933" s="1050"/>
      <c r="F12933" s="1050"/>
      <c r="G12933" s="1050"/>
    </row>
    <row r="12934" spans="1:7">
      <c r="A12934" s="1079"/>
      <c r="B12934" s="1050"/>
      <c r="C12934" s="1050"/>
      <c r="D12934" s="1050"/>
      <c r="E12934" s="1050"/>
      <c r="F12934" s="1050"/>
      <c r="G12934" s="1050"/>
    </row>
    <row r="12935" spans="1:7">
      <c r="A12935" s="1079"/>
      <c r="B12935" s="1050"/>
      <c r="C12935" s="1050"/>
      <c r="D12935" s="1050"/>
      <c r="E12935" s="1050"/>
      <c r="F12935" s="1050"/>
      <c r="G12935" s="1050"/>
    </row>
    <row r="12936" spans="1:7">
      <c r="A12936" s="1079"/>
      <c r="B12936" s="1050"/>
      <c r="C12936" s="1050"/>
      <c r="D12936" s="1050"/>
      <c r="E12936" s="1050"/>
      <c r="F12936" s="1050"/>
      <c r="G12936" s="1050"/>
    </row>
    <row r="12937" spans="1:7">
      <c r="A12937" s="1079"/>
      <c r="B12937" s="1050"/>
      <c r="C12937" s="1050"/>
      <c r="D12937" s="1050"/>
      <c r="E12937" s="1050"/>
      <c r="F12937" s="1050"/>
      <c r="G12937" s="1050"/>
    </row>
    <row r="12938" spans="1:7">
      <c r="A12938" s="1079"/>
      <c r="B12938" s="1050"/>
      <c r="C12938" s="1050"/>
      <c r="D12938" s="1050"/>
      <c r="E12938" s="1050"/>
      <c r="F12938" s="1050"/>
      <c r="G12938" s="1050"/>
    </row>
    <row r="12939" spans="1:7">
      <c r="A12939" s="1079"/>
      <c r="B12939" s="1050"/>
      <c r="C12939" s="1050"/>
      <c r="D12939" s="1050"/>
      <c r="E12939" s="1050"/>
      <c r="F12939" s="1050"/>
      <c r="G12939" s="1050"/>
    </row>
    <row r="12940" spans="1:7">
      <c r="A12940" s="1079"/>
      <c r="B12940" s="1050"/>
      <c r="C12940" s="1050"/>
      <c r="D12940" s="1050"/>
      <c r="E12940" s="1050"/>
      <c r="F12940" s="1050"/>
      <c r="G12940" s="1050"/>
    </row>
    <row r="12941" spans="1:7">
      <c r="A12941" s="1079"/>
      <c r="B12941" s="1050"/>
      <c r="C12941" s="1050"/>
      <c r="D12941" s="1050"/>
      <c r="E12941" s="1050"/>
      <c r="F12941" s="1050"/>
      <c r="G12941" s="1050"/>
    </row>
    <row r="12942" spans="1:7">
      <c r="A12942" s="1079"/>
      <c r="B12942" s="1050"/>
      <c r="C12942" s="1050"/>
      <c r="D12942" s="1050"/>
      <c r="E12942" s="1050"/>
      <c r="F12942" s="1050"/>
      <c r="G12942" s="1050"/>
    </row>
    <row r="12943" spans="1:7">
      <c r="A12943" s="1079"/>
      <c r="B12943" s="1050"/>
      <c r="C12943" s="1050"/>
      <c r="D12943" s="1050"/>
      <c r="E12943" s="1050"/>
      <c r="F12943" s="1050"/>
      <c r="G12943" s="1050"/>
    </row>
    <row r="12944" spans="1:7">
      <c r="A12944" s="1079"/>
      <c r="B12944" s="1050"/>
      <c r="C12944" s="1050"/>
      <c r="D12944" s="1050"/>
      <c r="E12944" s="1050"/>
      <c r="F12944" s="1050"/>
      <c r="G12944" s="1050"/>
    </row>
    <row r="12945" spans="1:7">
      <c r="A12945" s="1079"/>
      <c r="B12945" s="1050"/>
      <c r="C12945" s="1050"/>
      <c r="D12945" s="1050"/>
      <c r="E12945" s="1050"/>
      <c r="F12945" s="1050"/>
      <c r="G12945" s="1050"/>
    </row>
    <row r="12946" spans="1:7">
      <c r="A12946" s="1079"/>
      <c r="B12946" s="1050"/>
      <c r="C12946" s="1050"/>
      <c r="D12946" s="1050"/>
      <c r="E12946" s="1050"/>
      <c r="F12946" s="1050"/>
      <c r="G12946" s="1050"/>
    </row>
    <row r="12947" spans="1:7">
      <c r="A12947" s="1079"/>
      <c r="B12947" s="1050"/>
      <c r="C12947" s="1050"/>
      <c r="D12947" s="1050"/>
      <c r="E12947" s="1050"/>
      <c r="F12947" s="1050"/>
      <c r="G12947" s="1050"/>
    </row>
    <row r="12948" spans="1:7">
      <c r="A12948" s="1079"/>
      <c r="B12948" s="1050"/>
      <c r="C12948" s="1050"/>
      <c r="D12948" s="1050"/>
      <c r="E12948" s="1050"/>
      <c r="F12948" s="1050"/>
      <c r="G12948" s="1050"/>
    </row>
    <row r="12949" spans="1:7">
      <c r="A12949" s="1079"/>
      <c r="B12949" s="1050"/>
      <c r="C12949" s="1050"/>
      <c r="D12949" s="1050"/>
      <c r="E12949" s="1050"/>
      <c r="F12949" s="1050"/>
      <c r="G12949" s="1050"/>
    </row>
    <row r="12950" spans="1:7">
      <c r="A12950" s="1079"/>
      <c r="B12950" s="1050"/>
      <c r="C12950" s="1050"/>
      <c r="D12950" s="1050"/>
      <c r="E12950" s="1050"/>
      <c r="F12950" s="1050"/>
      <c r="G12950" s="1050"/>
    </row>
    <row r="12951" spans="1:7">
      <c r="A12951" s="1079"/>
      <c r="B12951" s="1050"/>
      <c r="C12951" s="1050"/>
      <c r="D12951" s="1050"/>
      <c r="E12951" s="1050"/>
      <c r="F12951" s="1050"/>
      <c r="G12951" s="1050"/>
    </row>
    <row r="12952" spans="1:7">
      <c r="A12952" s="1079"/>
      <c r="B12952" s="1050"/>
      <c r="C12952" s="1050"/>
      <c r="D12952" s="1050"/>
      <c r="E12952" s="1050"/>
      <c r="F12952" s="1050"/>
      <c r="G12952" s="1050"/>
    </row>
    <row r="12953" spans="1:7">
      <c r="A12953" s="1079"/>
      <c r="B12953" s="1050"/>
      <c r="C12953" s="1050"/>
      <c r="D12953" s="1050"/>
      <c r="E12953" s="1050"/>
      <c r="F12953" s="1050"/>
      <c r="G12953" s="1050"/>
    </row>
    <row r="12954" spans="1:7">
      <c r="A12954" s="1079"/>
      <c r="B12954" s="1050"/>
      <c r="C12954" s="1050"/>
      <c r="D12954" s="1050"/>
      <c r="E12954" s="1050"/>
      <c r="F12954" s="1050"/>
      <c r="G12954" s="1050"/>
    </row>
    <row r="12955" spans="1:7">
      <c r="A12955" s="1079"/>
      <c r="B12955" s="1050"/>
      <c r="C12955" s="1050"/>
      <c r="D12955" s="1050"/>
      <c r="E12955" s="1050"/>
      <c r="F12955" s="1050"/>
      <c r="G12955" s="1050"/>
    </row>
    <row r="12956" spans="1:7">
      <c r="A12956" s="1079"/>
      <c r="B12956" s="1050"/>
      <c r="C12956" s="1050"/>
      <c r="D12956" s="1050"/>
      <c r="E12956" s="1050"/>
      <c r="F12956" s="1050"/>
      <c r="G12956" s="1050"/>
    </row>
    <row r="12957" spans="1:7">
      <c r="A12957" s="1079"/>
      <c r="B12957" s="1050"/>
      <c r="C12957" s="1050"/>
      <c r="D12957" s="1050"/>
      <c r="E12957" s="1050"/>
      <c r="F12957" s="1050"/>
      <c r="G12957" s="1050"/>
    </row>
    <row r="12958" spans="1:7">
      <c r="A12958" s="1079"/>
      <c r="B12958" s="1050"/>
      <c r="C12958" s="1050"/>
      <c r="D12958" s="1050"/>
      <c r="E12958" s="1050"/>
      <c r="F12958" s="1050"/>
      <c r="G12958" s="1050"/>
    </row>
    <row r="12959" spans="1:7">
      <c r="A12959" s="1079"/>
      <c r="B12959" s="1050"/>
      <c r="C12959" s="1050"/>
      <c r="D12959" s="1050"/>
      <c r="E12959" s="1050"/>
      <c r="F12959" s="1050"/>
      <c r="G12959" s="1050"/>
    </row>
    <row r="12960" spans="1:7">
      <c r="A12960" s="1079"/>
      <c r="B12960" s="1050"/>
      <c r="C12960" s="1050"/>
      <c r="D12960" s="1050"/>
      <c r="E12960" s="1050"/>
      <c r="F12960" s="1050"/>
      <c r="G12960" s="1050"/>
    </row>
    <row r="12961" spans="1:7">
      <c r="A12961" s="1079"/>
      <c r="B12961" s="1050"/>
      <c r="C12961" s="1050"/>
      <c r="D12961" s="1050"/>
      <c r="E12961" s="1050"/>
      <c r="F12961" s="1050"/>
      <c r="G12961" s="1050"/>
    </row>
    <row r="12962" spans="1:7">
      <c r="A12962" s="1079"/>
      <c r="B12962" s="1050"/>
      <c r="C12962" s="1050"/>
      <c r="D12962" s="1050"/>
      <c r="E12962" s="1050"/>
      <c r="F12962" s="1050"/>
      <c r="G12962" s="1050"/>
    </row>
    <row r="12963" spans="1:7">
      <c r="A12963" s="1079"/>
      <c r="B12963" s="1050"/>
      <c r="C12963" s="1050"/>
      <c r="D12963" s="1050"/>
      <c r="E12963" s="1050"/>
      <c r="F12963" s="1050"/>
      <c r="G12963" s="1050"/>
    </row>
    <row r="12964" spans="1:7">
      <c r="A12964" s="1079"/>
      <c r="B12964" s="1050"/>
      <c r="C12964" s="1050"/>
      <c r="D12964" s="1050"/>
      <c r="E12964" s="1050"/>
      <c r="F12964" s="1050"/>
      <c r="G12964" s="1050"/>
    </row>
    <row r="12965" spans="1:7">
      <c r="A12965" s="1079"/>
      <c r="B12965" s="1050"/>
      <c r="C12965" s="1050"/>
      <c r="D12965" s="1050"/>
      <c r="E12965" s="1050"/>
      <c r="F12965" s="1050"/>
      <c r="G12965" s="1050"/>
    </row>
    <row r="12966" spans="1:7">
      <c r="A12966" s="1079"/>
      <c r="B12966" s="1050"/>
      <c r="C12966" s="1050"/>
      <c r="D12966" s="1050"/>
      <c r="E12966" s="1050"/>
      <c r="F12966" s="1050"/>
      <c r="G12966" s="1050"/>
    </row>
    <row r="12967" spans="1:7">
      <c r="A12967" s="1079"/>
      <c r="B12967" s="1050"/>
      <c r="C12967" s="1050"/>
      <c r="D12967" s="1050"/>
      <c r="E12967" s="1050"/>
      <c r="F12967" s="1050"/>
      <c r="G12967" s="1050"/>
    </row>
    <row r="12968" spans="1:7">
      <c r="A12968" s="1079"/>
      <c r="B12968" s="1050"/>
      <c r="C12968" s="1050"/>
      <c r="D12968" s="1050"/>
      <c r="E12968" s="1050"/>
      <c r="F12968" s="1050"/>
      <c r="G12968" s="1050"/>
    </row>
    <row r="12969" spans="1:7">
      <c r="A12969" s="1079"/>
      <c r="B12969" s="1050"/>
      <c r="C12969" s="1050"/>
      <c r="D12969" s="1050"/>
      <c r="E12969" s="1050"/>
      <c r="F12969" s="1050"/>
      <c r="G12969" s="1050"/>
    </row>
    <row r="12970" spans="1:7">
      <c r="A12970" s="1079"/>
      <c r="B12970" s="1050"/>
      <c r="C12970" s="1050"/>
      <c r="D12970" s="1050"/>
      <c r="E12970" s="1050"/>
      <c r="F12970" s="1050"/>
      <c r="G12970" s="1050"/>
    </row>
    <row r="12971" spans="1:7">
      <c r="A12971" s="1079"/>
      <c r="B12971" s="1050"/>
      <c r="C12971" s="1050"/>
      <c r="D12971" s="1050"/>
      <c r="E12971" s="1050"/>
      <c r="F12971" s="1050"/>
      <c r="G12971" s="1050"/>
    </row>
    <row r="12972" spans="1:7">
      <c r="A12972" s="1079"/>
      <c r="B12972" s="1050"/>
      <c r="C12972" s="1050"/>
      <c r="D12972" s="1050"/>
      <c r="E12972" s="1050"/>
      <c r="F12972" s="1050"/>
      <c r="G12972" s="1050"/>
    </row>
    <row r="12973" spans="1:7">
      <c r="A12973" s="1079"/>
      <c r="B12973" s="1050"/>
      <c r="C12973" s="1050"/>
      <c r="D12973" s="1050"/>
      <c r="E12973" s="1050"/>
      <c r="F12973" s="1050"/>
      <c r="G12973" s="1050"/>
    </row>
    <row r="12974" spans="1:7">
      <c r="A12974" s="1079"/>
      <c r="B12974" s="1050"/>
      <c r="C12974" s="1050"/>
      <c r="D12974" s="1050"/>
      <c r="E12974" s="1050"/>
      <c r="F12974" s="1050"/>
      <c r="G12974" s="1050"/>
    </row>
    <row r="12975" spans="1:7">
      <c r="A12975" s="1079"/>
      <c r="B12975" s="1050"/>
      <c r="C12975" s="1050"/>
      <c r="D12975" s="1050"/>
      <c r="E12975" s="1050"/>
      <c r="F12975" s="1050"/>
      <c r="G12975" s="1050"/>
    </row>
    <row r="12976" spans="1:7">
      <c r="A12976" s="1079"/>
      <c r="B12976" s="1050"/>
      <c r="C12976" s="1050"/>
      <c r="D12976" s="1050"/>
      <c r="E12976" s="1050"/>
      <c r="F12976" s="1050"/>
      <c r="G12976" s="1050"/>
    </row>
    <row r="12977" spans="1:7">
      <c r="A12977" s="1079"/>
      <c r="B12977" s="1050"/>
      <c r="C12977" s="1050"/>
      <c r="D12977" s="1050"/>
      <c r="E12977" s="1050"/>
      <c r="F12977" s="1050"/>
      <c r="G12977" s="1050"/>
    </row>
    <row r="12978" spans="1:7">
      <c r="A12978" s="1079"/>
      <c r="B12978" s="1050"/>
      <c r="C12978" s="1050"/>
      <c r="D12978" s="1050"/>
      <c r="E12978" s="1050"/>
      <c r="F12978" s="1050"/>
      <c r="G12978" s="1050"/>
    </row>
    <row r="12979" spans="1:7">
      <c r="A12979" s="1079"/>
      <c r="B12979" s="1050"/>
      <c r="C12979" s="1050"/>
      <c r="D12979" s="1050"/>
      <c r="E12979" s="1050"/>
      <c r="F12979" s="1050"/>
      <c r="G12979" s="1050"/>
    </row>
    <row r="12980" spans="1:7">
      <c r="A12980" s="1079"/>
      <c r="B12980" s="1050"/>
      <c r="C12980" s="1050"/>
      <c r="D12980" s="1050"/>
      <c r="E12980" s="1050"/>
      <c r="F12980" s="1050"/>
      <c r="G12980" s="1050"/>
    </row>
    <row r="12981" spans="1:7">
      <c r="A12981" s="1079"/>
      <c r="B12981" s="1050"/>
      <c r="C12981" s="1050"/>
      <c r="D12981" s="1050"/>
      <c r="E12981" s="1050"/>
      <c r="F12981" s="1050"/>
      <c r="G12981" s="1050"/>
    </row>
    <row r="12982" spans="1:7">
      <c r="A12982" s="1079"/>
      <c r="B12982" s="1050"/>
      <c r="C12982" s="1050"/>
      <c r="D12982" s="1050"/>
      <c r="E12982" s="1050"/>
      <c r="F12982" s="1050"/>
      <c r="G12982" s="1050"/>
    </row>
    <row r="12983" spans="1:7">
      <c r="A12983" s="1079"/>
      <c r="B12983" s="1050"/>
      <c r="C12983" s="1050"/>
      <c r="D12983" s="1050"/>
      <c r="E12983" s="1050"/>
      <c r="F12983" s="1050"/>
      <c r="G12983" s="1050"/>
    </row>
    <row r="12984" spans="1:7">
      <c r="A12984" s="1079"/>
      <c r="B12984" s="1050"/>
      <c r="C12984" s="1050"/>
      <c r="D12984" s="1050"/>
      <c r="E12984" s="1050"/>
      <c r="F12984" s="1050"/>
      <c r="G12984" s="1050"/>
    </row>
    <row r="12985" spans="1:7">
      <c r="A12985" s="1079"/>
      <c r="B12985" s="1050"/>
      <c r="C12985" s="1050"/>
      <c r="D12985" s="1050"/>
      <c r="E12985" s="1050"/>
      <c r="F12985" s="1050"/>
      <c r="G12985" s="1050"/>
    </row>
    <row r="12986" spans="1:7">
      <c r="A12986" s="1079"/>
      <c r="B12986" s="1050"/>
      <c r="C12986" s="1050"/>
      <c r="D12986" s="1050"/>
      <c r="E12986" s="1050"/>
      <c r="F12986" s="1050"/>
      <c r="G12986" s="1050"/>
    </row>
    <row r="12987" spans="1:7">
      <c r="A12987" s="1079"/>
      <c r="B12987" s="1050"/>
      <c r="C12987" s="1050"/>
      <c r="D12987" s="1050"/>
      <c r="E12987" s="1050"/>
      <c r="F12987" s="1050"/>
      <c r="G12987" s="1050"/>
    </row>
    <row r="12988" spans="1:7">
      <c r="A12988" s="1079"/>
      <c r="B12988" s="1050"/>
      <c r="C12988" s="1050"/>
      <c r="D12988" s="1050"/>
      <c r="E12988" s="1050"/>
      <c r="F12988" s="1050"/>
      <c r="G12988" s="1050"/>
    </row>
    <row r="12989" spans="1:7">
      <c r="A12989" s="1079"/>
      <c r="B12989" s="1050"/>
      <c r="C12989" s="1050"/>
      <c r="D12989" s="1050"/>
      <c r="E12989" s="1050"/>
      <c r="F12989" s="1050"/>
      <c r="G12989" s="1050"/>
    </row>
    <row r="12990" spans="1:7">
      <c r="A12990" s="1079"/>
      <c r="B12990" s="1050"/>
      <c r="C12990" s="1050"/>
      <c r="D12990" s="1050"/>
      <c r="E12990" s="1050"/>
      <c r="F12990" s="1050"/>
      <c r="G12990" s="1050"/>
    </row>
    <row r="12991" spans="1:7">
      <c r="A12991" s="1079"/>
      <c r="B12991" s="1050"/>
      <c r="C12991" s="1050"/>
      <c r="D12991" s="1050"/>
      <c r="E12991" s="1050"/>
      <c r="F12991" s="1050"/>
      <c r="G12991" s="1050"/>
    </row>
    <row r="12992" spans="1:7">
      <c r="A12992" s="1079"/>
      <c r="B12992" s="1050"/>
      <c r="C12992" s="1050"/>
      <c r="D12992" s="1050"/>
      <c r="E12992" s="1050"/>
      <c r="F12992" s="1050"/>
      <c r="G12992" s="1050"/>
    </row>
    <row r="12993" spans="1:7">
      <c r="A12993" s="1079"/>
      <c r="B12993" s="1050"/>
      <c r="C12993" s="1050"/>
      <c r="D12993" s="1050"/>
      <c r="E12993" s="1050"/>
      <c r="F12993" s="1050"/>
      <c r="G12993" s="1050"/>
    </row>
    <row r="12994" spans="1:7">
      <c r="A12994" s="1079"/>
      <c r="B12994" s="1050"/>
      <c r="C12994" s="1050"/>
      <c r="D12994" s="1050"/>
      <c r="E12994" s="1050"/>
      <c r="F12994" s="1050"/>
      <c r="G12994" s="1050"/>
    </row>
    <row r="12995" spans="1:7">
      <c r="A12995" s="1079"/>
      <c r="B12995" s="1050"/>
      <c r="C12995" s="1050"/>
      <c r="D12995" s="1050"/>
      <c r="E12995" s="1050"/>
      <c r="F12995" s="1050"/>
      <c r="G12995" s="1050"/>
    </row>
    <row r="12996" spans="1:7">
      <c r="A12996" s="1079"/>
      <c r="B12996" s="1050"/>
      <c r="C12996" s="1050"/>
      <c r="D12996" s="1050"/>
      <c r="E12996" s="1050"/>
      <c r="F12996" s="1050"/>
      <c r="G12996" s="1050"/>
    </row>
    <row r="12997" spans="1:7">
      <c r="A12997" s="1079"/>
      <c r="B12997" s="1050"/>
      <c r="C12997" s="1050"/>
      <c r="D12997" s="1050"/>
      <c r="E12997" s="1050"/>
      <c r="F12997" s="1050"/>
      <c r="G12997" s="1050"/>
    </row>
    <row r="12998" spans="1:7">
      <c r="A12998" s="1079"/>
      <c r="B12998" s="1050"/>
      <c r="C12998" s="1050"/>
      <c r="D12998" s="1050"/>
      <c r="E12998" s="1050"/>
      <c r="F12998" s="1050"/>
      <c r="G12998" s="1050"/>
    </row>
    <row r="12999" spans="1:7">
      <c r="A12999" s="1079"/>
      <c r="B12999" s="1050"/>
      <c r="C12999" s="1050"/>
      <c r="D12999" s="1050"/>
      <c r="E12999" s="1050"/>
      <c r="F12999" s="1050"/>
      <c r="G12999" s="1050"/>
    </row>
    <row r="13000" spans="1:7">
      <c r="A13000" s="1079"/>
      <c r="B13000" s="1050"/>
      <c r="C13000" s="1050"/>
      <c r="D13000" s="1050"/>
      <c r="E13000" s="1050"/>
      <c r="F13000" s="1050"/>
      <c r="G13000" s="1050"/>
    </row>
    <row r="13001" spans="1:7">
      <c r="A13001" s="1079"/>
      <c r="B13001" s="1050"/>
      <c r="C13001" s="1050"/>
      <c r="D13001" s="1050"/>
      <c r="E13001" s="1050"/>
      <c r="F13001" s="1050"/>
      <c r="G13001" s="1050"/>
    </row>
    <row r="13002" spans="1:7">
      <c r="A13002" s="1079"/>
      <c r="B13002" s="1050"/>
      <c r="C13002" s="1050"/>
      <c r="D13002" s="1050"/>
      <c r="E13002" s="1050"/>
      <c r="F13002" s="1050"/>
      <c r="G13002" s="1050"/>
    </row>
    <row r="13003" spans="1:7">
      <c r="A13003" s="1079"/>
      <c r="B13003" s="1050"/>
      <c r="C13003" s="1050"/>
      <c r="D13003" s="1050"/>
      <c r="E13003" s="1050"/>
      <c r="F13003" s="1050"/>
      <c r="G13003" s="1050"/>
    </row>
    <row r="13004" spans="1:7">
      <c r="A13004" s="1079"/>
      <c r="B13004" s="1050"/>
      <c r="C13004" s="1050"/>
      <c r="D13004" s="1050"/>
      <c r="E13004" s="1050"/>
      <c r="F13004" s="1050"/>
      <c r="G13004" s="1050"/>
    </row>
    <row r="13005" spans="1:7">
      <c r="A13005" s="1079"/>
      <c r="B13005" s="1050"/>
      <c r="C13005" s="1050"/>
      <c r="D13005" s="1050"/>
      <c r="E13005" s="1050"/>
      <c r="F13005" s="1050"/>
      <c r="G13005" s="1050"/>
    </row>
    <row r="13006" spans="1:7">
      <c r="A13006" s="1079"/>
      <c r="B13006" s="1050"/>
      <c r="C13006" s="1050"/>
      <c r="D13006" s="1050"/>
      <c r="E13006" s="1050"/>
      <c r="F13006" s="1050"/>
      <c r="G13006" s="1050"/>
    </row>
    <row r="13007" spans="1:7">
      <c r="A13007" s="1079"/>
      <c r="B13007" s="1050"/>
      <c r="C13007" s="1050"/>
      <c r="D13007" s="1050"/>
      <c r="E13007" s="1050"/>
      <c r="F13007" s="1050"/>
      <c r="G13007" s="1050"/>
    </row>
    <row r="13008" spans="1:7">
      <c r="A13008" s="1079"/>
      <c r="B13008" s="1050"/>
      <c r="C13008" s="1050"/>
      <c r="D13008" s="1050"/>
      <c r="E13008" s="1050"/>
      <c r="F13008" s="1050"/>
      <c r="G13008" s="1050"/>
    </row>
    <row r="13009" spans="1:7">
      <c r="A13009" s="1079"/>
      <c r="B13009" s="1050"/>
      <c r="C13009" s="1050"/>
      <c r="D13009" s="1050"/>
      <c r="E13009" s="1050"/>
      <c r="F13009" s="1050"/>
      <c r="G13009" s="1050"/>
    </row>
    <row r="13010" spans="1:7">
      <c r="A13010" s="1079"/>
      <c r="B13010" s="1050"/>
      <c r="C13010" s="1050"/>
      <c r="D13010" s="1050"/>
      <c r="E13010" s="1050"/>
      <c r="F13010" s="1050"/>
      <c r="G13010" s="1050"/>
    </row>
    <row r="13011" spans="1:7">
      <c r="A13011" s="1079"/>
      <c r="B13011" s="1050"/>
      <c r="C13011" s="1050"/>
      <c r="D13011" s="1050"/>
      <c r="E13011" s="1050"/>
      <c r="F13011" s="1050"/>
      <c r="G13011" s="1050"/>
    </row>
    <row r="13012" spans="1:7">
      <c r="A13012" s="1079"/>
      <c r="B13012" s="1050"/>
      <c r="C13012" s="1050"/>
      <c r="D13012" s="1050"/>
      <c r="E13012" s="1050"/>
      <c r="F13012" s="1050"/>
      <c r="G13012" s="1050"/>
    </row>
    <row r="13013" spans="1:7">
      <c r="A13013" s="1079"/>
      <c r="B13013" s="1050"/>
      <c r="C13013" s="1050"/>
      <c r="D13013" s="1050"/>
      <c r="E13013" s="1050"/>
      <c r="F13013" s="1050"/>
      <c r="G13013" s="1050"/>
    </row>
    <row r="13014" spans="1:7">
      <c r="A13014" s="1079"/>
      <c r="B13014" s="1050"/>
      <c r="C13014" s="1050"/>
      <c r="D13014" s="1050"/>
      <c r="E13014" s="1050"/>
      <c r="F13014" s="1050"/>
      <c r="G13014" s="1050"/>
    </row>
    <row r="13015" spans="1:7">
      <c r="A13015" s="1079"/>
      <c r="B13015" s="1050"/>
      <c r="C13015" s="1050"/>
      <c r="D13015" s="1050"/>
      <c r="E13015" s="1050"/>
      <c r="F13015" s="1050"/>
      <c r="G13015" s="1050"/>
    </row>
    <row r="13016" spans="1:7">
      <c r="A13016" s="1079"/>
      <c r="B13016" s="1050"/>
      <c r="C13016" s="1050"/>
      <c r="D13016" s="1050"/>
      <c r="E13016" s="1050"/>
      <c r="F13016" s="1050"/>
      <c r="G13016" s="1050"/>
    </row>
    <row r="13017" spans="1:7">
      <c r="A13017" s="1079"/>
      <c r="B13017" s="1050"/>
      <c r="C13017" s="1050"/>
      <c r="D13017" s="1050"/>
      <c r="E13017" s="1050"/>
      <c r="F13017" s="1050"/>
      <c r="G13017" s="1050"/>
    </row>
    <row r="13018" spans="1:7">
      <c r="A13018" s="1079"/>
      <c r="B13018" s="1050"/>
      <c r="C13018" s="1050"/>
      <c r="D13018" s="1050"/>
      <c r="E13018" s="1050"/>
      <c r="F13018" s="1050"/>
      <c r="G13018" s="1050"/>
    </row>
    <row r="13019" spans="1:7">
      <c r="A13019" s="1079"/>
      <c r="B13019" s="1050"/>
      <c r="C13019" s="1050"/>
      <c r="D13019" s="1050"/>
      <c r="E13019" s="1050"/>
      <c r="F13019" s="1050"/>
      <c r="G13019" s="1050"/>
    </row>
    <row r="13020" spans="1:7">
      <c r="A13020" s="1079"/>
      <c r="B13020" s="1050"/>
      <c r="C13020" s="1050"/>
      <c r="D13020" s="1050"/>
      <c r="E13020" s="1050"/>
      <c r="F13020" s="1050"/>
      <c r="G13020" s="1050"/>
    </row>
    <row r="13021" spans="1:7">
      <c r="A13021" s="1079"/>
      <c r="B13021" s="1050"/>
      <c r="C13021" s="1050"/>
      <c r="D13021" s="1050"/>
      <c r="E13021" s="1050"/>
      <c r="F13021" s="1050"/>
      <c r="G13021" s="1050"/>
    </row>
    <row r="13022" spans="1:7">
      <c r="A13022" s="1079"/>
      <c r="B13022" s="1050"/>
      <c r="C13022" s="1050"/>
      <c r="D13022" s="1050"/>
      <c r="E13022" s="1050"/>
      <c r="F13022" s="1050"/>
      <c r="G13022" s="1050"/>
    </row>
    <row r="13023" spans="1:7">
      <c r="A13023" s="1079"/>
      <c r="B13023" s="1050"/>
      <c r="C13023" s="1050"/>
      <c r="D13023" s="1050"/>
      <c r="E13023" s="1050"/>
      <c r="F13023" s="1050"/>
      <c r="G13023" s="1050"/>
    </row>
    <row r="13024" spans="1:7">
      <c r="A13024" s="1079"/>
      <c r="B13024" s="1050"/>
      <c r="C13024" s="1050"/>
      <c r="D13024" s="1050"/>
      <c r="E13024" s="1050"/>
      <c r="F13024" s="1050"/>
      <c r="G13024" s="1050"/>
    </row>
    <row r="13025" spans="1:7">
      <c r="A13025" s="1079"/>
      <c r="B13025" s="1050"/>
      <c r="C13025" s="1050"/>
      <c r="D13025" s="1050"/>
      <c r="E13025" s="1050"/>
      <c r="F13025" s="1050"/>
      <c r="G13025" s="1050"/>
    </row>
    <row r="13026" spans="1:7">
      <c r="A13026" s="1079"/>
      <c r="B13026" s="1050"/>
      <c r="C13026" s="1050"/>
      <c r="D13026" s="1050"/>
      <c r="E13026" s="1050"/>
      <c r="F13026" s="1050"/>
      <c r="G13026" s="1050"/>
    </row>
    <row r="13027" spans="1:7">
      <c r="A13027" s="1079"/>
      <c r="B13027" s="1050"/>
      <c r="C13027" s="1050"/>
      <c r="D13027" s="1050"/>
      <c r="E13027" s="1050"/>
      <c r="F13027" s="1050"/>
      <c r="G13027" s="1050"/>
    </row>
    <row r="13028" spans="1:7">
      <c r="A13028" s="1079"/>
      <c r="B13028" s="1050"/>
      <c r="C13028" s="1050"/>
      <c r="D13028" s="1050"/>
      <c r="E13028" s="1050"/>
      <c r="F13028" s="1050"/>
      <c r="G13028" s="1050"/>
    </row>
    <row r="13029" spans="1:7">
      <c r="A13029" s="1079"/>
      <c r="B13029" s="1050"/>
      <c r="C13029" s="1050"/>
      <c r="D13029" s="1050"/>
      <c r="E13029" s="1050"/>
      <c r="F13029" s="1050"/>
      <c r="G13029" s="1050"/>
    </row>
    <row r="13030" spans="1:7">
      <c r="A13030" s="1079"/>
      <c r="B13030" s="1050"/>
      <c r="C13030" s="1050"/>
      <c r="D13030" s="1050"/>
      <c r="E13030" s="1050"/>
      <c r="F13030" s="1050"/>
      <c r="G13030" s="1050"/>
    </row>
    <row r="13031" spans="1:7">
      <c r="A13031" s="1079"/>
      <c r="B13031" s="1050"/>
      <c r="C13031" s="1050"/>
      <c r="D13031" s="1050"/>
      <c r="E13031" s="1050"/>
      <c r="F13031" s="1050"/>
      <c r="G13031" s="1050"/>
    </row>
    <row r="13032" spans="1:7">
      <c r="A13032" s="1079"/>
      <c r="B13032" s="1050"/>
      <c r="C13032" s="1050"/>
      <c r="D13032" s="1050"/>
      <c r="E13032" s="1050"/>
      <c r="F13032" s="1050"/>
      <c r="G13032" s="1050"/>
    </row>
    <row r="13033" spans="1:7">
      <c r="A13033" s="1079"/>
      <c r="B13033" s="1050"/>
      <c r="C13033" s="1050"/>
      <c r="D13033" s="1050"/>
      <c r="E13033" s="1050"/>
      <c r="F13033" s="1050"/>
      <c r="G13033" s="1050"/>
    </row>
    <row r="13034" spans="1:7">
      <c r="A13034" s="1079"/>
      <c r="B13034" s="1050"/>
      <c r="C13034" s="1050"/>
      <c r="D13034" s="1050"/>
      <c r="E13034" s="1050"/>
      <c r="F13034" s="1050"/>
      <c r="G13034" s="1050"/>
    </row>
    <row r="13035" spans="1:7">
      <c r="A13035" s="1079"/>
      <c r="B13035" s="1050"/>
      <c r="C13035" s="1050"/>
      <c r="D13035" s="1050"/>
      <c r="E13035" s="1050"/>
      <c r="F13035" s="1050"/>
      <c r="G13035" s="1050"/>
    </row>
    <row r="13036" spans="1:7">
      <c r="A13036" s="1079"/>
      <c r="B13036" s="1050"/>
      <c r="C13036" s="1050"/>
      <c r="D13036" s="1050"/>
      <c r="E13036" s="1050"/>
      <c r="F13036" s="1050"/>
      <c r="G13036" s="1050"/>
    </row>
    <row r="13037" spans="1:7">
      <c r="A13037" s="1079"/>
      <c r="B13037" s="1050"/>
      <c r="C13037" s="1050"/>
      <c r="D13037" s="1050"/>
      <c r="E13037" s="1050"/>
      <c r="F13037" s="1050"/>
      <c r="G13037" s="1050"/>
    </row>
    <row r="13038" spans="1:7">
      <c r="A13038" s="1079"/>
      <c r="B13038" s="1050"/>
      <c r="C13038" s="1050"/>
      <c r="D13038" s="1050"/>
      <c r="E13038" s="1050"/>
      <c r="F13038" s="1050"/>
      <c r="G13038" s="1050"/>
    </row>
    <row r="13039" spans="1:7">
      <c r="A13039" s="1079"/>
      <c r="B13039" s="1050"/>
      <c r="C13039" s="1050"/>
      <c r="D13039" s="1050"/>
      <c r="E13039" s="1050"/>
      <c r="F13039" s="1050"/>
      <c r="G13039" s="1050"/>
    </row>
    <row r="13040" spans="1:7">
      <c r="A13040" s="1079"/>
      <c r="B13040" s="1050"/>
      <c r="C13040" s="1050"/>
      <c r="D13040" s="1050"/>
      <c r="E13040" s="1050"/>
      <c r="F13040" s="1050"/>
      <c r="G13040" s="1050"/>
    </row>
    <row r="13041" spans="1:7">
      <c r="A13041" s="1079"/>
      <c r="B13041" s="1050"/>
      <c r="C13041" s="1050"/>
      <c r="D13041" s="1050"/>
      <c r="E13041" s="1050"/>
      <c r="F13041" s="1050"/>
      <c r="G13041" s="1050"/>
    </row>
    <row r="13042" spans="1:7">
      <c r="A13042" s="1079"/>
      <c r="B13042" s="1050"/>
      <c r="C13042" s="1050"/>
      <c r="D13042" s="1050"/>
      <c r="E13042" s="1050"/>
      <c r="F13042" s="1050"/>
      <c r="G13042" s="1050"/>
    </row>
    <row r="13043" spans="1:7">
      <c r="A13043" s="1079"/>
      <c r="B13043" s="1050"/>
      <c r="C13043" s="1050"/>
      <c r="D13043" s="1050"/>
      <c r="E13043" s="1050"/>
      <c r="F13043" s="1050"/>
      <c r="G13043" s="1050"/>
    </row>
    <row r="13044" spans="1:7">
      <c r="A13044" s="1079"/>
      <c r="B13044" s="1050"/>
      <c r="C13044" s="1050"/>
      <c r="D13044" s="1050"/>
      <c r="E13044" s="1050"/>
      <c r="F13044" s="1050"/>
      <c r="G13044" s="1050"/>
    </row>
    <row r="13045" spans="1:7">
      <c r="A13045" s="1079"/>
      <c r="B13045" s="1050"/>
      <c r="C13045" s="1050"/>
      <c r="D13045" s="1050"/>
      <c r="E13045" s="1050"/>
      <c r="F13045" s="1050"/>
      <c r="G13045" s="1050"/>
    </row>
    <row r="13046" spans="1:7">
      <c r="A13046" s="1079"/>
      <c r="B13046" s="1050"/>
      <c r="C13046" s="1050"/>
      <c r="D13046" s="1050"/>
      <c r="E13046" s="1050"/>
      <c r="F13046" s="1050"/>
      <c r="G13046" s="1050"/>
    </row>
    <row r="13047" spans="1:7">
      <c r="A13047" s="1079"/>
      <c r="B13047" s="1050"/>
      <c r="C13047" s="1050"/>
      <c r="D13047" s="1050"/>
      <c r="E13047" s="1050"/>
      <c r="F13047" s="1050"/>
      <c r="G13047" s="1050"/>
    </row>
    <row r="13048" spans="1:7">
      <c r="A13048" s="1079"/>
      <c r="B13048" s="1050"/>
      <c r="C13048" s="1050"/>
      <c r="D13048" s="1050"/>
      <c r="E13048" s="1050"/>
      <c r="F13048" s="1050"/>
      <c r="G13048" s="1050"/>
    </row>
    <row r="13049" spans="1:7">
      <c r="A13049" s="1079"/>
      <c r="B13049" s="1050"/>
      <c r="C13049" s="1050"/>
      <c r="D13049" s="1050"/>
      <c r="E13049" s="1050"/>
      <c r="F13049" s="1050"/>
      <c r="G13049" s="1050"/>
    </row>
    <row r="13050" spans="1:7">
      <c r="A13050" s="1079"/>
      <c r="B13050" s="1050"/>
      <c r="C13050" s="1050"/>
      <c r="D13050" s="1050"/>
      <c r="E13050" s="1050"/>
      <c r="F13050" s="1050"/>
      <c r="G13050" s="1050"/>
    </row>
    <row r="13051" spans="1:7">
      <c r="A13051" s="1079"/>
      <c r="B13051" s="1050"/>
      <c r="C13051" s="1050"/>
      <c r="D13051" s="1050"/>
      <c r="E13051" s="1050"/>
      <c r="F13051" s="1050"/>
      <c r="G13051" s="1050"/>
    </row>
    <row r="13052" spans="1:7">
      <c r="A13052" s="1079"/>
      <c r="B13052" s="1050"/>
      <c r="C13052" s="1050"/>
      <c r="D13052" s="1050"/>
      <c r="E13052" s="1050"/>
      <c r="F13052" s="1050"/>
      <c r="G13052" s="1050"/>
    </row>
    <row r="13053" spans="1:7">
      <c r="A13053" s="1079"/>
      <c r="B13053" s="1050"/>
      <c r="C13053" s="1050"/>
      <c r="D13053" s="1050"/>
      <c r="E13053" s="1050"/>
      <c r="F13053" s="1050"/>
      <c r="G13053" s="1050"/>
    </row>
    <row r="13054" spans="1:7">
      <c r="A13054" s="1079"/>
      <c r="B13054" s="1050"/>
      <c r="C13054" s="1050"/>
      <c r="D13054" s="1050"/>
      <c r="E13054" s="1050"/>
      <c r="F13054" s="1050"/>
      <c r="G13054" s="1050"/>
    </row>
    <row r="13055" spans="1:7">
      <c r="A13055" s="1079"/>
      <c r="B13055" s="1050"/>
      <c r="C13055" s="1050"/>
      <c r="D13055" s="1050"/>
      <c r="E13055" s="1050"/>
      <c r="F13055" s="1050"/>
      <c r="G13055" s="1050"/>
    </row>
    <row r="13056" spans="1:7">
      <c r="A13056" s="1079"/>
      <c r="B13056" s="1050"/>
      <c r="C13056" s="1050"/>
      <c r="D13056" s="1050"/>
      <c r="E13056" s="1050"/>
      <c r="F13056" s="1050"/>
      <c r="G13056" s="1050"/>
    </row>
    <row r="13057" spans="1:7">
      <c r="A13057" s="1079"/>
      <c r="B13057" s="1050"/>
      <c r="C13057" s="1050"/>
      <c r="D13057" s="1050"/>
      <c r="E13057" s="1050"/>
      <c r="F13057" s="1050"/>
      <c r="G13057" s="1050"/>
    </row>
    <row r="13058" spans="1:7">
      <c r="A13058" s="1079"/>
      <c r="B13058" s="1050"/>
      <c r="C13058" s="1050"/>
      <c r="D13058" s="1050"/>
      <c r="E13058" s="1050"/>
      <c r="F13058" s="1050"/>
      <c r="G13058" s="1050"/>
    </row>
    <row r="13059" spans="1:7">
      <c r="A13059" s="1079"/>
      <c r="B13059" s="1050"/>
      <c r="C13059" s="1050"/>
      <c r="D13059" s="1050"/>
      <c r="E13059" s="1050"/>
      <c r="F13059" s="1050"/>
      <c r="G13059" s="1050"/>
    </row>
    <row r="13060" spans="1:7">
      <c r="A13060" s="1079"/>
      <c r="B13060" s="1050"/>
      <c r="C13060" s="1050"/>
      <c r="D13060" s="1050"/>
      <c r="E13060" s="1050"/>
      <c r="F13060" s="1050"/>
      <c r="G13060" s="1050"/>
    </row>
    <row r="13061" spans="1:7">
      <c r="A13061" s="1079"/>
      <c r="B13061" s="1050"/>
      <c r="C13061" s="1050"/>
      <c r="D13061" s="1050"/>
      <c r="E13061" s="1050"/>
      <c r="F13061" s="1050"/>
      <c r="G13061" s="1050"/>
    </row>
    <row r="13062" spans="1:7">
      <c r="A13062" s="1079"/>
      <c r="B13062" s="1050"/>
      <c r="C13062" s="1050"/>
      <c r="D13062" s="1050"/>
      <c r="E13062" s="1050"/>
      <c r="F13062" s="1050"/>
      <c r="G13062" s="1050"/>
    </row>
    <row r="13063" spans="1:7">
      <c r="A13063" s="1079"/>
      <c r="B13063" s="1050"/>
      <c r="C13063" s="1050"/>
      <c r="D13063" s="1050"/>
      <c r="E13063" s="1050"/>
      <c r="F13063" s="1050"/>
      <c r="G13063" s="1050"/>
    </row>
    <row r="13064" spans="1:7">
      <c r="A13064" s="1079"/>
      <c r="B13064" s="1050"/>
      <c r="C13064" s="1050"/>
      <c r="D13064" s="1050"/>
      <c r="E13064" s="1050"/>
      <c r="F13064" s="1050"/>
      <c r="G13064" s="1050"/>
    </row>
    <row r="13065" spans="1:7">
      <c r="A13065" s="1079"/>
      <c r="B13065" s="1050"/>
      <c r="C13065" s="1050"/>
      <c r="D13065" s="1050"/>
      <c r="E13065" s="1050"/>
      <c r="F13065" s="1050"/>
      <c r="G13065" s="1050"/>
    </row>
    <row r="13066" spans="1:7">
      <c r="A13066" s="1079"/>
      <c r="B13066" s="1050"/>
      <c r="C13066" s="1050"/>
      <c r="D13066" s="1050"/>
      <c r="E13066" s="1050"/>
      <c r="F13066" s="1050"/>
      <c r="G13066" s="1050"/>
    </row>
    <row r="13067" spans="1:7">
      <c r="A13067" s="1079"/>
      <c r="B13067" s="1050"/>
      <c r="C13067" s="1050"/>
      <c r="D13067" s="1050"/>
      <c r="E13067" s="1050"/>
      <c r="F13067" s="1050"/>
      <c r="G13067" s="1050"/>
    </row>
    <row r="13068" spans="1:7">
      <c r="A13068" s="1079"/>
      <c r="B13068" s="1050"/>
      <c r="C13068" s="1050"/>
      <c r="D13068" s="1050"/>
      <c r="E13068" s="1050"/>
      <c r="F13068" s="1050"/>
      <c r="G13068" s="1050"/>
    </row>
    <row r="13069" spans="1:7">
      <c r="A13069" s="1079"/>
      <c r="B13069" s="1050"/>
      <c r="C13069" s="1050"/>
      <c r="D13069" s="1050"/>
      <c r="E13069" s="1050"/>
      <c r="F13069" s="1050"/>
      <c r="G13069" s="1050"/>
    </row>
    <row r="13070" spans="1:7">
      <c r="A13070" s="1079"/>
      <c r="B13070" s="1050"/>
      <c r="C13070" s="1050"/>
      <c r="D13070" s="1050"/>
      <c r="E13070" s="1050"/>
      <c r="F13070" s="1050"/>
      <c r="G13070" s="1050"/>
    </row>
    <row r="13071" spans="1:7">
      <c r="A13071" s="1079"/>
      <c r="B13071" s="1050"/>
      <c r="C13071" s="1050"/>
      <c r="D13071" s="1050"/>
      <c r="E13071" s="1050"/>
      <c r="F13071" s="1050"/>
      <c r="G13071" s="1050"/>
    </row>
    <row r="13072" spans="1:7">
      <c r="A13072" s="1079"/>
      <c r="B13072" s="1050"/>
      <c r="C13072" s="1050"/>
      <c r="D13072" s="1050"/>
      <c r="E13072" s="1050"/>
      <c r="F13072" s="1050"/>
      <c r="G13072" s="1050"/>
    </row>
    <row r="13073" spans="1:7">
      <c r="A13073" s="1079"/>
      <c r="B13073" s="1050"/>
      <c r="C13073" s="1050"/>
      <c r="D13073" s="1050"/>
      <c r="E13073" s="1050"/>
      <c r="F13073" s="1050"/>
      <c r="G13073" s="1050"/>
    </row>
    <row r="13074" spans="1:7">
      <c r="A13074" s="1079"/>
      <c r="B13074" s="1050"/>
      <c r="C13074" s="1050"/>
      <c r="D13074" s="1050"/>
      <c r="E13074" s="1050"/>
      <c r="F13074" s="1050"/>
      <c r="G13074" s="1050"/>
    </row>
    <row r="13075" spans="1:7">
      <c r="A13075" s="1079"/>
      <c r="B13075" s="1050"/>
      <c r="C13075" s="1050"/>
      <c r="D13075" s="1050"/>
      <c r="E13075" s="1050"/>
      <c r="F13075" s="1050"/>
      <c r="G13075" s="1050"/>
    </row>
    <row r="13076" spans="1:7">
      <c r="A13076" s="1079"/>
      <c r="B13076" s="1050"/>
      <c r="C13076" s="1050"/>
      <c r="D13076" s="1050"/>
      <c r="E13076" s="1050"/>
      <c r="F13076" s="1050"/>
      <c r="G13076" s="1050"/>
    </row>
    <row r="13077" spans="1:7">
      <c r="A13077" s="1079"/>
      <c r="B13077" s="1050"/>
      <c r="C13077" s="1050"/>
      <c r="D13077" s="1050"/>
      <c r="E13077" s="1050"/>
      <c r="F13077" s="1050"/>
      <c r="G13077" s="1050"/>
    </row>
    <row r="13078" spans="1:7">
      <c r="A13078" s="1079"/>
      <c r="B13078" s="1050"/>
      <c r="C13078" s="1050"/>
      <c r="D13078" s="1050"/>
      <c r="E13078" s="1050"/>
      <c r="F13078" s="1050"/>
      <c r="G13078" s="1050"/>
    </row>
    <row r="13079" spans="1:7">
      <c r="A13079" s="1079"/>
      <c r="B13079" s="1050"/>
      <c r="C13079" s="1050"/>
      <c r="D13079" s="1050"/>
      <c r="E13079" s="1050"/>
      <c r="F13079" s="1050"/>
      <c r="G13079" s="1050"/>
    </row>
    <row r="13080" spans="1:7">
      <c r="A13080" s="1079"/>
      <c r="B13080" s="1050"/>
      <c r="C13080" s="1050"/>
      <c r="D13080" s="1050"/>
      <c r="E13080" s="1050"/>
      <c r="F13080" s="1050"/>
      <c r="G13080" s="1050"/>
    </row>
    <row r="13081" spans="1:7">
      <c r="A13081" s="1079"/>
      <c r="B13081" s="1050"/>
      <c r="C13081" s="1050"/>
      <c r="D13081" s="1050"/>
      <c r="E13081" s="1050"/>
      <c r="F13081" s="1050"/>
      <c r="G13081" s="1050"/>
    </row>
    <row r="13082" spans="1:7">
      <c r="A13082" s="1079"/>
      <c r="B13082" s="1050"/>
      <c r="C13082" s="1050"/>
      <c r="D13082" s="1050"/>
      <c r="E13082" s="1050"/>
      <c r="F13082" s="1050"/>
      <c r="G13082" s="1050"/>
    </row>
    <row r="13083" spans="1:7">
      <c r="A13083" s="1079"/>
      <c r="B13083" s="1050"/>
      <c r="C13083" s="1050"/>
      <c r="D13083" s="1050"/>
      <c r="E13083" s="1050"/>
      <c r="F13083" s="1050"/>
      <c r="G13083" s="1050"/>
    </row>
    <row r="13084" spans="1:7">
      <c r="A13084" s="1079"/>
      <c r="B13084" s="1050"/>
      <c r="C13084" s="1050"/>
      <c r="D13084" s="1050"/>
      <c r="E13084" s="1050"/>
      <c r="F13084" s="1050"/>
      <c r="G13084" s="1050"/>
    </row>
    <row r="13085" spans="1:7">
      <c r="A13085" s="1079"/>
      <c r="B13085" s="1050"/>
      <c r="C13085" s="1050"/>
      <c r="D13085" s="1050"/>
      <c r="E13085" s="1050"/>
      <c r="F13085" s="1050"/>
      <c r="G13085" s="1050"/>
    </row>
    <row r="13086" spans="1:7">
      <c r="A13086" s="1079"/>
      <c r="B13086" s="1050"/>
      <c r="C13086" s="1050"/>
      <c r="D13086" s="1050"/>
      <c r="E13086" s="1050"/>
      <c r="F13086" s="1050"/>
      <c r="G13086" s="1050"/>
    </row>
    <row r="13087" spans="1:7">
      <c r="A13087" s="1079"/>
      <c r="B13087" s="1050"/>
      <c r="C13087" s="1050"/>
      <c r="D13087" s="1050"/>
      <c r="E13087" s="1050"/>
      <c r="F13087" s="1050"/>
      <c r="G13087" s="1050"/>
    </row>
    <row r="13088" spans="1:7">
      <c r="A13088" s="1079"/>
      <c r="B13088" s="1050"/>
      <c r="C13088" s="1050"/>
      <c r="D13088" s="1050"/>
      <c r="E13088" s="1050"/>
      <c r="F13088" s="1050"/>
      <c r="G13088" s="1050"/>
    </row>
    <row r="13089" spans="1:7">
      <c r="A13089" s="1079"/>
      <c r="B13089" s="1050"/>
      <c r="C13089" s="1050"/>
      <c r="D13089" s="1050"/>
      <c r="E13089" s="1050"/>
      <c r="F13089" s="1050"/>
      <c r="G13089" s="1050"/>
    </row>
    <row r="13090" spans="1:7">
      <c r="A13090" s="1079"/>
      <c r="B13090" s="1050"/>
      <c r="C13090" s="1050"/>
      <c r="D13090" s="1050"/>
      <c r="E13090" s="1050"/>
      <c r="F13090" s="1050"/>
      <c r="G13090" s="1050"/>
    </row>
    <row r="13091" spans="1:7">
      <c r="A13091" s="1079"/>
      <c r="B13091" s="1050"/>
      <c r="C13091" s="1050"/>
      <c r="D13091" s="1050"/>
      <c r="E13091" s="1050"/>
      <c r="F13091" s="1050"/>
      <c r="G13091" s="1050"/>
    </row>
    <row r="13092" spans="1:7">
      <c r="A13092" s="1079"/>
      <c r="B13092" s="1050"/>
      <c r="C13092" s="1050"/>
      <c r="D13092" s="1050"/>
      <c r="E13092" s="1050"/>
      <c r="F13092" s="1050"/>
      <c r="G13092" s="1050"/>
    </row>
    <row r="13093" spans="1:7">
      <c r="A13093" s="1079"/>
      <c r="B13093" s="1050"/>
      <c r="C13093" s="1050"/>
      <c r="D13093" s="1050"/>
      <c r="E13093" s="1050"/>
      <c r="F13093" s="1050"/>
      <c r="G13093" s="1050"/>
    </row>
    <row r="13094" spans="1:7">
      <c r="A13094" s="1079"/>
      <c r="B13094" s="1050"/>
      <c r="C13094" s="1050"/>
      <c r="D13094" s="1050"/>
      <c r="E13094" s="1050"/>
      <c r="F13094" s="1050"/>
      <c r="G13094" s="1050"/>
    </row>
    <row r="13095" spans="1:7">
      <c r="A13095" s="1079"/>
      <c r="B13095" s="1050"/>
      <c r="C13095" s="1050"/>
      <c r="D13095" s="1050"/>
      <c r="E13095" s="1050"/>
      <c r="F13095" s="1050"/>
      <c r="G13095" s="1050"/>
    </row>
    <row r="13096" spans="1:7">
      <c r="A13096" s="1079"/>
      <c r="B13096" s="1050"/>
      <c r="C13096" s="1050"/>
      <c r="D13096" s="1050"/>
      <c r="E13096" s="1050"/>
      <c r="F13096" s="1050"/>
      <c r="G13096" s="1050"/>
    </row>
    <row r="13097" spans="1:7">
      <c r="A13097" s="1079"/>
      <c r="B13097" s="1050"/>
      <c r="C13097" s="1050"/>
      <c r="D13097" s="1050"/>
      <c r="E13097" s="1050"/>
      <c r="F13097" s="1050"/>
      <c r="G13097" s="1050"/>
    </row>
    <row r="13098" spans="1:7">
      <c r="A13098" s="1079"/>
      <c r="B13098" s="1050"/>
      <c r="C13098" s="1050"/>
      <c r="D13098" s="1050"/>
      <c r="E13098" s="1050"/>
      <c r="F13098" s="1050"/>
      <c r="G13098" s="1050"/>
    </row>
    <row r="13099" spans="1:7">
      <c r="A13099" s="1079"/>
      <c r="B13099" s="1050"/>
      <c r="C13099" s="1050"/>
      <c r="D13099" s="1050"/>
      <c r="E13099" s="1050"/>
      <c r="F13099" s="1050"/>
      <c r="G13099" s="1050"/>
    </row>
    <row r="13100" spans="1:7">
      <c r="A13100" s="1079"/>
      <c r="B13100" s="1050"/>
      <c r="C13100" s="1050"/>
      <c r="D13100" s="1050"/>
      <c r="E13100" s="1050"/>
      <c r="F13100" s="1050"/>
      <c r="G13100" s="1050"/>
    </row>
    <row r="13101" spans="1:7">
      <c r="A13101" s="1079"/>
      <c r="B13101" s="1050"/>
      <c r="C13101" s="1050"/>
      <c r="D13101" s="1050"/>
      <c r="E13101" s="1050"/>
      <c r="F13101" s="1050"/>
      <c r="G13101" s="1050"/>
    </row>
    <row r="13102" spans="1:7">
      <c r="A13102" s="1079"/>
      <c r="B13102" s="1050"/>
      <c r="C13102" s="1050"/>
      <c r="D13102" s="1050"/>
      <c r="E13102" s="1050"/>
      <c r="F13102" s="1050"/>
      <c r="G13102" s="1050"/>
    </row>
    <row r="13103" spans="1:7">
      <c r="A13103" s="1079"/>
      <c r="B13103" s="1050"/>
      <c r="C13103" s="1050"/>
      <c r="D13103" s="1050"/>
      <c r="E13103" s="1050"/>
      <c r="F13103" s="1050"/>
      <c r="G13103" s="1050"/>
    </row>
    <row r="13104" spans="1:7">
      <c r="A13104" s="1079"/>
      <c r="B13104" s="1050"/>
      <c r="C13104" s="1050"/>
      <c r="D13104" s="1050"/>
      <c r="E13104" s="1050"/>
      <c r="F13104" s="1050"/>
      <c r="G13104" s="1050"/>
    </row>
    <row r="13105" spans="1:7">
      <c r="A13105" s="1079"/>
      <c r="B13105" s="1050"/>
      <c r="C13105" s="1050"/>
      <c r="D13105" s="1050"/>
      <c r="E13105" s="1050"/>
      <c r="F13105" s="1050"/>
      <c r="G13105" s="1050"/>
    </row>
    <row r="13106" spans="1:7">
      <c r="A13106" s="1079"/>
      <c r="B13106" s="1050"/>
      <c r="C13106" s="1050"/>
      <c r="D13106" s="1050"/>
      <c r="E13106" s="1050"/>
      <c r="F13106" s="1050"/>
      <c r="G13106" s="1050"/>
    </row>
    <row r="13107" spans="1:7">
      <c r="A13107" s="1079"/>
      <c r="B13107" s="1050"/>
      <c r="C13107" s="1050"/>
      <c r="D13107" s="1050"/>
      <c r="E13107" s="1050"/>
      <c r="F13107" s="1050"/>
      <c r="G13107" s="1050"/>
    </row>
    <row r="13108" spans="1:7">
      <c r="A13108" s="1079"/>
      <c r="B13108" s="1050"/>
      <c r="C13108" s="1050"/>
      <c r="D13108" s="1050"/>
      <c r="E13108" s="1050"/>
      <c r="F13108" s="1050"/>
      <c r="G13108" s="1050"/>
    </row>
    <row r="13109" spans="1:7">
      <c r="A13109" s="1079"/>
      <c r="B13109" s="1050"/>
      <c r="C13109" s="1050"/>
      <c r="D13109" s="1050"/>
      <c r="E13109" s="1050"/>
      <c r="F13109" s="1050"/>
      <c r="G13109" s="1050"/>
    </row>
    <row r="13110" spans="1:7">
      <c r="A13110" s="1079"/>
      <c r="B13110" s="1050"/>
      <c r="C13110" s="1050"/>
      <c r="D13110" s="1050"/>
      <c r="E13110" s="1050"/>
      <c r="F13110" s="1050"/>
      <c r="G13110" s="1050"/>
    </row>
    <row r="13111" spans="1:7">
      <c r="A13111" s="1079"/>
      <c r="B13111" s="1050"/>
      <c r="C13111" s="1050"/>
      <c r="D13111" s="1050"/>
      <c r="E13111" s="1050"/>
      <c r="F13111" s="1050"/>
      <c r="G13111" s="1050"/>
    </row>
    <row r="13112" spans="1:7">
      <c r="A13112" s="1079"/>
      <c r="B13112" s="1050"/>
      <c r="C13112" s="1050"/>
      <c r="D13112" s="1050"/>
      <c r="E13112" s="1050"/>
      <c r="F13112" s="1050"/>
      <c r="G13112" s="1050"/>
    </row>
    <row r="13113" spans="1:7">
      <c r="A13113" s="1079"/>
      <c r="B13113" s="1050"/>
      <c r="C13113" s="1050"/>
      <c r="D13113" s="1050"/>
      <c r="E13113" s="1050"/>
      <c r="F13113" s="1050"/>
      <c r="G13113" s="1050"/>
    </row>
    <row r="13114" spans="1:7">
      <c r="A13114" s="1079"/>
      <c r="B13114" s="1050"/>
      <c r="C13114" s="1050"/>
      <c r="D13114" s="1050"/>
      <c r="E13114" s="1050"/>
      <c r="F13114" s="1050"/>
      <c r="G13114" s="1050"/>
    </row>
    <row r="13115" spans="1:7">
      <c r="A13115" s="1079"/>
      <c r="B13115" s="1050"/>
      <c r="C13115" s="1050"/>
      <c r="D13115" s="1050"/>
      <c r="E13115" s="1050"/>
      <c r="F13115" s="1050"/>
      <c r="G13115" s="1050"/>
    </row>
    <row r="13116" spans="1:7">
      <c r="A13116" s="1079"/>
      <c r="B13116" s="1050"/>
      <c r="C13116" s="1050"/>
      <c r="D13116" s="1050"/>
      <c r="E13116" s="1050"/>
      <c r="F13116" s="1050"/>
      <c r="G13116" s="1050"/>
    </row>
    <row r="13117" spans="1:7">
      <c r="A13117" s="1079"/>
      <c r="B13117" s="1050"/>
      <c r="C13117" s="1050"/>
      <c r="D13117" s="1050"/>
      <c r="E13117" s="1050"/>
      <c r="F13117" s="1050"/>
      <c r="G13117" s="1050"/>
    </row>
    <row r="13118" spans="1:7">
      <c r="A13118" s="1079"/>
      <c r="B13118" s="1050"/>
      <c r="C13118" s="1050"/>
      <c r="D13118" s="1050"/>
      <c r="E13118" s="1050"/>
      <c r="F13118" s="1050"/>
      <c r="G13118" s="1050"/>
    </row>
    <row r="13119" spans="1:7">
      <c r="A13119" s="1079"/>
      <c r="B13119" s="1050"/>
      <c r="C13119" s="1050"/>
      <c r="D13119" s="1050"/>
      <c r="E13119" s="1050"/>
      <c r="F13119" s="1050"/>
      <c r="G13119" s="1050"/>
    </row>
    <row r="13120" spans="1:7">
      <c r="A13120" s="1079"/>
      <c r="B13120" s="1050"/>
      <c r="C13120" s="1050"/>
      <c r="D13120" s="1050"/>
      <c r="E13120" s="1050"/>
      <c r="F13120" s="1050"/>
      <c r="G13120" s="1050"/>
    </row>
    <row r="13121" spans="1:7">
      <c r="A13121" s="1079"/>
      <c r="B13121" s="1050"/>
      <c r="C13121" s="1050"/>
      <c r="D13121" s="1050"/>
      <c r="E13121" s="1050"/>
      <c r="F13121" s="1050"/>
      <c r="G13121" s="1050"/>
    </row>
    <row r="13122" spans="1:7">
      <c r="A13122" s="1079"/>
      <c r="B13122" s="1050"/>
      <c r="C13122" s="1050"/>
      <c r="D13122" s="1050"/>
      <c r="E13122" s="1050"/>
      <c r="F13122" s="1050"/>
      <c r="G13122" s="1050"/>
    </row>
    <row r="13123" spans="1:7">
      <c r="A13123" s="1079"/>
      <c r="B13123" s="1050"/>
      <c r="C13123" s="1050"/>
      <c r="D13123" s="1050"/>
      <c r="E13123" s="1050"/>
      <c r="F13123" s="1050"/>
      <c r="G13123" s="1050"/>
    </row>
    <row r="13124" spans="1:7">
      <c r="A13124" s="1079"/>
      <c r="B13124" s="1050"/>
      <c r="C13124" s="1050"/>
      <c r="D13124" s="1050"/>
      <c r="E13124" s="1050"/>
      <c r="F13124" s="1050"/>
      <c r="G13124" s="1050"/>
    </row>
    <row r="13125" spans="1:7">
      <c r="A13125" s="1079"/>
      <c r="B13125" s="1050"/>
      <c r="C13125" s="1050"/>
      <c r="D13125" s="1050"/>
      <c r="E13125" s="1050"/>
      <c r="F13125" s="1050"/>
      <c r="G13125" s="1050"/>
    </row>
    <row r="13126" spans="1:7">
      <c r="A13126" s="1079"/>
      <c r="B13126" s="1050"/>
      <c r="C13126" s="1050"/>
      <c r="D13126" s="1050"/>
      <c r="E13126" s="1050"/>
      <c r="F13126" s="1050"/>
      <c r="G13126" s="1050"/>
    </row>
    <row r="13127" spans="1:7">
      <c r="A13127" s="1079"/>
      <c r="B13127" s="1050"/>
      <c r="C13127" s="1050"/>
      <c r="D13127" s="1050"/>
      <c r="E13127" s="1050"/>
      <c r="F13127" s="1050"/>
      <c r="G13127" s="1050"/>
    </row>
    <row r="13128" spans="1:7">
      <c r="A13128" s="1079"/>
      <c r="B13128" s="1050"/>
      <c r="C13128" s="1050"/>
      <c r="D13128" s="1050"/>
      <c r="E13128" s="1050"/>
      <c r="F13128" s="1050"/>
      <c r="G13128" s="1050"/>
    </row>
    <row r="13129" spans="1:7">
      <c r="A13129" s="1079"/>
      <c r="B13129" s="1050"/>
      <c r="C13129" s="1050"/>
      <c r="D13129" s="1050"/>
      <c r="E13129" s="1050"/>
      <c r="F13129" s="1050"/>
      <c r="G13129" s="1050"/>
    </row>
    <row r="13130" spans="1:7">
      <c r="A13130" s="1079"/>
      <c r="B13130" s="1050"/>
      <c r="C13130" s="1050"/>
      <c r="D13130" s="1050"/>
      <c r="E13130" s="1050"/>
      <c r="F13130" s="1050"/>
      <c r="G13130" s="1050"/>
    </row>
    <row r="13131" spans="1:7">
      <c r="A13131" s="1079"/>
      <c r="B13131" s="1050"/>
      <c r="C13131" s="1050"/>
      <c r="D13131" s="1050"/>
      <c r="E13131" s="1050"/>
      <c r="F13131" s="1050"/>
      <c r="G13131" s="1050"/>
    </row>
    <row r="13132" spans="1:7">
      <c r="A13132" s="1079"/>
      <c r="B13132" s="1050"/>
      <c r="C13132" s="1050"/>
      <c r="D13132" s="1050"/>
      <c r="E13132" s="1050"/>
      <c r="F13132" s="1050"/>
      <c r="G13132" s="1050"/>
    </row>
    <row r="13133" spans="1:7">
      <c r="A13133" s="1079"/>
      <c r="B13133" s="1050"/>
      <c r="C13133" s="1050"/>
      <c r="D13133" s="1050"/>
      <c r="E13133" s="1050"/>
      <c r="F13133" s="1050"/>
      <c r="G13133" s="1050"/>
    </row>
    <row r="13134" spans="1:7">
      <c r="A13134" s="1079"/>
      <c r="B13134" s="1050"/>
      <c r="C13134" s="1050"/>
      <c r="D13134" s="1050"/>
      <c r="E13134" s="1050"/>
      <c r="F13134" s="1050"/>
      <c r="G13134" s="1050"/>
    </row>
    <row r="13135" spans="1:7">
      <c r="A13135" s="1079"/>
      <c r="B13135" s="1050"/>
      <c r="C13135" s="1050"/>
      <c r="D13135" s="1050"/>
      <c r="E13135" s="1050"/>
      <c r="F13135" s="1050"/>
      <c r="G13135" s="1050"/>
    </row>
    <row r="13136" spans="1:7">
      <c r="A13136" s="1079"/>
      <c r="B13136" s="1050"/>
      <c r="C13136" s="1050"/>
      <c r="D13136" s="1050"/>
      <c r="E13136" s="1050"/>
      <c r="F13136" s="1050"/>
      <c r="G13136" s="1050"/>
    </row>
    <row r="13137" spans="1:7">
      <c r="A13137" s="1079"/>
      <c r="B13137" s="1050"/>
      <c r="C13137" s="1050"/>
      <c r="D13137" s="1050"/>
      <c r="E13137" s="1050"/>
      <c r="F13137" s="1050"/>
      <c r="G13137" s="1050"/>
    </row>
    <row r="13138" spans="1:7">
      <c r="A13138" s="1079"/>
      <c r="B13138" s="1050"/>
      <c r="C13138" s="1050"/>
      <c r="D13138" s="1050"/>
      <c r="E13138" s="1050"/>
      <c r="F13138" s="1050"/>
      <c r="G13138" s="1050"/>
    </row>
    <row r="13139" spans="1:7">
      <c r="A13139" s="1079"/>
      <c r="B13139" s="1050"/>
      <c r="C13139" s="1050"/>
      <c r="D13139" s="1050"/>
      <c r="E13139" s="1050"/>
      <c r="F13139" s="1050"/>
      <c r="G13139" s="1050"/>
    </row>
    <row r="13140" spans="1:7">
      <c r="A13140" s="1079"/>
      <c r="B13140" s="1050"/>
      <c r="C13140" s="1050"/>
      <c r="D13140" s="1050"/>
      <c r="E13140" s="1050"/>
      <c r="F13140" s="1050"/>
      <c r="G13140" s="1050"/>
    </row>
    <row r="13141" spans="1:7">
      <c r="A13141" s="1079"/>
      <c r="B13141" s="1050"/>
      <c r="C13141" s="1050"/>
      <c r="D13141" s="1050"/>
      <c r="E13141" s="1050"/>
      <c r="F13141" s="1050"/>
      <c r="G13141" s="1050"/>
    </row>
    <row r="13142" spans="1:7">
      <c r="A13142" s="1079"/>
      <c r="B13142" s="1050"/>
      <c r="C13142" s="1050"/>
      <c r="D13142" s="1050"/>
      <c r="E13142" s="1050"/>
      <c r="F13142" s="1050"/>
      <c r="G13142" s="1050"/>
    </row>
    <row r="13143" spans="1:7">
      <c r="A13143" s="1079"/>
      <c r="B13143" s="1050"/>
      <c r="C13143" s="1050"/>
      <c r="D13143" s="1050"/>
      <c r="E13143" s="1050"/>
      <c r="F13143" s="1050"/>
      <c r="G13143" s="1050"/>
    </row>
    <row r="13144" spans="1:7">
      <c r="A13144" s="1079"/>
      <c r="B13144" s="1050"/>
      <c r="C13144" s="1050"/>
      <c r="D13144" s="1050"/>
      <c r="E13144" s="1050"/>
      <c r="F13144" s="1050"/>
      <c r="G13144" s="1050"/>
    </row>
    <row r="13145" spans="1:7">
      <c r="A13145" s="1079"/>
      <c r="B13145" s="1050"/>
      <c r="C13145" s="1050"/>
      <c r="D13145" s="1050"/>
      <c r="E13145" s="1050"/>
      <c r="F13145" s="1050"/>
      <c r="G13145" s="1050"/>
    </row>
    <row r="13146" spans="1:7">
      <c r="A13146" s="1079"/>
      <c r="B13146" s="1050"/>
      <c r="C13146" s="1050"/>
      <c r="D13146" s="1050"/>
      <c r="E13146" s="1050"/>
      <c r="F13146" s="1050"/>
      <c r="G13146" s="1050"/>
    </row>
    <row r="13147" spans="1:7">
      <c r="A13147" s="1079"/>
      <c r="B13147" s="1050"/>
      <c r="C13147" s="1050"/>
      <c r="D13147" s="1050"/>
      <c r="E13147" s="1050"/>
      <c r="F13147" s="1050"/>
      <c r="G13147" s="1050"/>
    </row>
    <row r="13148" spans="1:7">
      <c r="A13148" s="1079"/>
      <c r="B13148" s="1050"/>
      <c r="C13148" s="1050"/>
      <c r="D13148" s="1050"/>
      <c r="E13148" s="1050"/>
      <c r="F13148" s="1050"/>
      <c r="G13148" s="1050"/>
    </row>
    <row r="13149" spans="1:7">
      <c r="A13149" s="1079"/>
      <c r="B13149" s="1050"/>
      <c r="C13149" s="1050"/>
      <c r="D13149" s="1050"/>
      <c r="E13149" s="1050"/>
      <c r="F13149" s="1050"/>
      <c r="G13149" s="1050"/>
    </row>
    <row r="13150" spans="1:7">
      <c r="A13150" s="1079"/>
      <c r="B13150" s="1050"/>
      <c r="C13150" s="1050"/>
      <c r="D13150" s="1050"/>
      <c r="E13150" s="1050"/>
      <c r="F13150" s="1050"/>
      <c r="G13150" s="1050"/>
    </row>
    <row r="13151" spans="1:7">
      <c r="A13151" s="1079"/>
      <c r="B13151" s="1050"/>
      <c r="C13151" s="1050"/>
      <c r="D13151" s="1050"/>
      <c r="E13151" s="1050"/>
      <c r="F13151" s="1050"/>
      <c r="G13151" s="1050"/>
    </row>
    <row r="13152" spans="1:7">
      <c r="A13152" s="1079"/>
      <c r="B13152" s="1050"/>
      <c r="C13152" s="1050"/>
      <c r="D13152" s="1050"/>
      <c r="E13152" s="1050"/>
      <c r="F13152" s="1050"/>
      <c r="G13152" s="1050"/>
    </row>
    <row r="13153" spans="1:7">
      <c r="A13153" s="1079"/>
      <c r="B13153" s="1050"/>
      <c r="C13153" s="1050"/>
      <c r="D13153" s="1050"/>
      <c r="E13153" s="1050"/>
      <c r="F13153" s="1050"/>
      <c r="G13153" s="1050"/>
    </row>
    <row r="13154" spans="1:7">
      <c r="A13154" s="1079"/>
      <c r="B13154" s="1050"/>
      <c r="C13154" s="1050"/>
      <c r="D13154" s="1050"/>
      <c r="E13154" s="1050"/>
      <c r="F13154" s="1050"/>
      <c r="G13154" s="1050"/>
    </row>
    <row r="13155" spans="1:7">
      <c r="A13155" s="1079"/>
      <c r="B13155" s="1050"/>
      <c r="C13155" s="1050"/>
      <c r="D13155" s="1050"/>
      <c r="E13155" s="1050"/>
      <c r="F13155" s="1050"/>
      <c r="G13155" s="1050"/>
    </row>
    <row r="13156" spans="1:7">
      <c r="A13156" s="1079"/>
      <c r="B13156" s="1050"/>
      <c r="C13156" s="1050"/>
      <c r="D13156" s="1050"/>
      <c r="E13156" s="1050"/>
      <c r="F13156" s="1050"/>
      <c r="G13156" s="1050"/>
    </row>
    <row r="13157" spans="1:7">
      <c r="A13157" s="1079"/>
      <c r="B13157" s="1050"/>
      <c r="C13157" s="1050"/>
      <c r="D13157" s="1050"/>
      <c r="E13157" s="1050"/>
      <c r="F13157" s="1050"/>
      <c r="G13157" s="1050"/>
    </row>
    <row r="13158" spans="1:7">
      <c r="A13158" s="1079"/>
      <c r="B13158" s="1050"/>
      <c r="C13158" s="1050"/>
      <c r="D13158" s="1050"/>
      <c r="E13158" s="1050"/>
      <c r="F13158" s="1050"/>
      <c r="G13158" s="1050"/>
    </row>
    <row r="13159" spans="1:7">
      <c r="A13159" s="1079"/>
      <c r="B13159" s="1050"/>
      <c r="C13159" s="1050"/>
      <c r="D13159" s="1050"/>
      <c r="E13159" s="1050"/>
      <c r="F13159" s="1050"/>
      <c r="G13159" s="1050"/>
    </row>
    <row r="13160" spans="1:7">
      <c r="A13160" s="1079"/>
      <c r="B13160" s="1050"/>
      <c r="C13160" s="1050"/>
      <c r="D13160" s="1050"/>
      <c r="E13160" s="1050"/>
      <c r="F13160" s="1050"/>
      <c r="G13160" s="1050"/>
    </row>
    <row r="13161" spans="1:7">
      <c r="A13161" s="1079"/>
      <c r="B13161" s="1050"/>
      <c r="C13161" s="1050"/>
      <c r="D13161" s="1050"/>
      <c r="E13161" s="1050"/>
      <c r="F13161" s="1050"/>
      <c r="G13161" s="1050"/>
    </row>
    <row r="13162" spans="1:7">
      <c r="A13162" s="1079"/>
      <c r="B13162" s="1050"/>
      <c r="C13162" s="1050"/>
      <c r="D13162" s="1050"/>
      <c r="E13162" s="1050"/>
      <c r="F13162" s="1050"/>
      <c r="G13162" s="1050"/>
    </row>
    <row r="13163" spans="1:7">
      <c r="A13163" s="1079"/>
      <c r="B13163" s="1050"/>
      <c r="C13163" s="1050"/>
      <c r="D13163" s="1050"/>
      <c r="E13163" s="1050"/>
      <c r="F13163" s="1050"/>
      <c r="G13163" s="1050"/>
    </row>
    <row r="13164" spans="1:7">
      <c r="A13164" s="1079"/>
      <c r="B13164" s="1050"/>
      <c r="C13164" s="1050"/>
      <c r="D13164" s="1050"/>
      <c r="E13164" s="1050"/>
      <c r="F13164" s="1050"/>
      <c r="G13164" s="1050"/>
    </row>
    <row r="13165" spans="1:7">
      <c r="A13165" s="1079"/>
      <c r="B13165" s="1050"/>
      <c r="C13165" s="1050"/>
      <c r="D13165" s="1050"/>
      <c r="E13165" s="1050"/>
      <c r="F13165" s="1050"/>
      <c r="G13165" s="1050"/>
    </row>
    <row r="13166" spans="1:7">
      <c r="A13166" s="1079"/>
      <c r="B13166" s="1050"/>
      <c r="C13166" s="1050"/>
      <c r="D13166" s="1050"/>
      <c r="E13166" s="1050"/>
      <c r="F13166" s="1050"/>
      <c r="G13166" s="1050"/>
    </row>
    <row r="13167" spans="1:7">
      <c r="A13167" s="1079"/>
      <c r="B13167" s="1050"/>
      <c r="C13167" s="1050"/>
      <c r="D13167" s="1050"/>
      <c r="E13167" s="1050"/>
      <c r="F13167" s="1050"/>
      <c r="G13167" s="1050"/>
    </row>
    <row r="13168" spans="1:7">
      <c r="A13168" s="1079"/>
      <c r="B13168" s="1050"/>
      <c r="C13168" s="1050"/>
      <c r="D13168" s="1050"/>
      <c r="E13168" s="1050"/>
      <c r="F13168" s="1050"/>
      <c r="G13168" s="1050"/>
    </row>
    <row r="13169" spans="1:7">
      <c r="A13169" s="1079"/>
      <c r="B13169" s="1050"/>
      <c r="C13169" s="1050"/>
      <c r="D13169" s="1050"/>
      <c r="E13169" s="1050"/>
      <c r="F13169" s="1050"/>
      <c r="G13169" s="1050"/>
    </row>
    <row r="13170" spans="1:7">
      <c r="A13170" s="1079"/>
      <c r="B13170" s="1050"/>
      <c r="C13170" s="1050"/>
      <c r="D13170" s="1050"/>
      <c r="E13170" s="1050"/>
      <c r="F13170" s="1050"/>
      <c r="G13170" s="1050"/>
    </row>
    <row r="13171" spans="1:7">
      <c r="A13171" s="1079"/>
      <c r="B13171" s="1050"/>
      <c r="C13171" s="1050"/>
      <c r="D13171" s="1050"/>
      <c r="E13171" s="1050"/>
      <c r="F13171" s="1050"/>
      <c r="G13171" s="1050"/>
    </row>
    <row r="13172" spans="1:7">
      <c r="A13172" s="1079"/>
      <c r="B13172" s="1050"/>
      <c r="C13172" s="1050"/>
      <c r="D13172" s="1050"/>
      <c r="E13172" s="1050"/>
      <c r="F13172" s="1050"/>
      <c r="G13172" s="1050"/>
    </row>
    <row r="13173" spans="1:7">
      <c r="A13173" s="1079"/>
      <c r="B13173" s="1050"/>
      <c r="C13173" s="1050"/>
      <c r="D13173" s="1050"/>
      <c r="E13173" s="1050"/>
      <c r="F13173" s="1050"/>
      <c r="G13173" s="1050"/>
    </row>
    <row r="13174" spans="1:7">
      <c r="A13174" s="1079"/>
      <c r="B13174" s="1050"/>
      <c r="C13174" s="1050"/>
      <c r="D13174" s="1050"/>
      <c r="E13174" s="1050"/>
      <c r="F13174" s="1050"/>
      <c r="G13174" s="1050"/>
    </row>
    <row r="13175" spans="1:7">
      <c r="A13175" s="1079"/>
      <c r="B13175" s="1050"/>
      <c r="C13175" s="1050"/>
      <c r="D13175" s="1050"/>
      <c r="E13175" s="1050"/>
      <c r="F13175" s="1050"/>
      <c r="G13175" s="1050"/>
    </row>
    <row r="13176" spans="1:7">
      <c r="A13176" s="1079"/>
      <c r="B13176" s="1050"/>
      <c r="C13176" s="1050"/>
      <c r="D13176" s="1050"/>
      <c r="E13176" s="1050"/>
      <c r="F13176" s="1050"/>
      <c r="G13176" s="1050"/>
    </row>
    <row r="13177" spans="1:7">
      <c r="A13177" s="1079"/>
      <c r="B13177" s="1050"/>
      <c r="C13177" s="1050"/>
      <c r="D13177" s="1050"/>
      <c r="E13177" s="1050"/>
      <c r="F13177" s="1050"/>
      <c r="G13177" s="1050"/>
    </row>
    <row r="13178" spans="1:7">
      <c r="A13178" s="1079"/>
      <c r="B13178" s="1050"/>
      <c r="C13178" s="1050"/>
      <c r="D13178" s="1050"/>
      <c r="E13178" s="1050"/>
      <c r="F13178" s="1050"/>
      <c r="G13178" s="1050"/>
    </row>
    <row r="13179" spans="1:7">
      <c r="A13179" s="1079"/>
      <c r="B13179" s="1050"/>
      <c r="C13179" s="1050"/>
      <c r="D13179" s="1050"/>
      <c r="E13179" s="1050"/>
      <c r="F13179" s="1050"/>
      <c r="G13179" s="1050"/>
    </row>
    <row r="13180" spans="1:7">
      <c r="A13180" s="1079"/>
      <c r="B13180" s="1050"/>
      <c r="C13180" s="1050"/>
      <c r="D13180" s="1050"/>
      <c r="E13180" s="1050"/>
      <c r="F13180" s="1050"/>
      <c r="G13180" s="1050"/>
    </row>
    <row r="13181" spans="1:7">
      <c r="A13181" s="1079"/>
      <c r="B13181" s="1050"/>
      <c r="C13181" s="1050"/>
      <c r="D13181" s="1050"/>
      <c r="E13181" s="1050"/>
      <c r="F13181" s="1050"/>
      <c r="G13181" s="1050"/>
    </row>
    <row r="13182" spans="1:7">
      <c r="A13182" s="1079"/>
      <c r="B13182" s="1050"/>
      <c r="C13182" s="1050"/>
      <c r="D13182" s="1050"/>
      <c r="E13182" s="1050"/>
      <c r="F13182" s="1050"/>
      <c r="G13182" s="1050"/>
    </row>
    <row r="13183" spans="1:7">
      <c r="A13183" s="1079"/>
      <c r="B13183" s="1050"/>
      <c r="C13183" s="1050"/>
      <c r="D13183" s="1050"/>
      <c r="E13183" s="1050"/>
      <c r="F13183" s="1050"/>
      <c r="G13183" s="1050"/>
    </row>
    <row r="13184" spans="1:7">
      <c r="A13184" s="1079"/>
      <c r="B13184" s="1050"/>
      <c r="C13184" s="1050"/>
      <c r="D13184" s="1050"/>
      <c r="E13184" s="1050"/>
      <c r="F13184" s="1050"/>
      <c r="G13184" s="1050"/>
    </row>
    <row r="13185" spans="1:7">
      <c r="A13185" s="1079"/>
      <c r="B13185" s="1050"/>
      <c r="C13185" s="1050"/>
      <c r="D13185" s="1050"/>
      <c r="E13185" s="1050"/>
      <c r="F13185" s="1050"/>
      <c r="G13185" s="1050"/>
    </row>
    <row r="13186" spans="1:7">
      <c r="A13186" s="1079"/>
      <c r="B13186" s="1050"/>
      <c r="C13186" s="1050"/>
      <c r="D13186" s="1050"/>
      <c r="E13186" s="1050"/>
      <c r="F13186" s="1050"/>
      <c r="G13186" s="1050"/>
    </row>
    <row r="13187" spans="1:7">
      <c r="A13187" s="1079"/>
      <c r="B13187" s="1050"/>
      <c r="C13187" s="1050"/>
      <c r="D13187" s="1050"/>
      <c r="E13187" s="1050"/>
      <c r="F13187" s="1050"/>
      <c r="G13187" s="1050"/>
    </row>
    <row r="13188" spans="1:7">
      <c r="A13188" s="1079"/>
      <c r="B13188" s="1050"/>
      <c r="C13188" s="1050"/>
      <c r="D13188" s="1050"/>
      <c r="E13188" s="1050"/>
      <c r="F13188" s="1050"/>
      <c r="G13188" s="1050"/>
    </row>
    <row r="13189" spans="1:7">
      <c r="A13189" s="1079"/>
      <c r="B13189" s="1050"/>
      <c r="C13189" s="1050"/>
      <c r="D13189" s="1050"/>
      <c r="E13189" s="1050"/>
      <c r="F13189" s="1050"/>
      <c r="G13189" s="1050"/>
    </row>
    <row r="13190" spans="1:7">
      <c r="A13190" s="1079"/>
      <c r="B13190" s="1050"/>
      <c r="C13190" s="1050"/>
      <c r="D13190" s="1050"/>
      <c r="E13190" s="1050"/>
      <c r="F13190" s="1050"/>
      <c r="G13190" s="1050"/>
    </row>
    <row r="13191" spans="1:7">
      <c r="A13191" s="1079"/>
      <c r="B13191" s="1050"/>
      <c r="C13191" s="1050"/>
      <c r="D13191" s="1050"/>
      <c r="E13191" s="1050"/>
      <c r="F13191" s="1050"/>
      <c r="G13191" s="1050"/>
    </row>
    <row r="13192" spans="1:7">
      <c r="A13192" s="1079"/>
      <c r="B13192" s="1050"/>
      <c r="C13192" s="1050"/>
      <c r="D13192" s="1050"/>
      <c r="E13192" s="1050"/>
      <c r="F13192" s="1050"/>
      <c r="G13192" s="1050"/>
    </row>
    <row r="13193" spans="1:7">
      <c r="A13193" s="1079"/>
      <c r="B13193" s="1050"/>
      <c r="C13193" s="1050"/>
      <c r="D13193" s="1050"/>
      <c r="E13193" s="1050"/>
      <c r="F13193" s="1050"/>
      <c r="G13193" s="1050"/>
    </row>
    <row r="13194" spans="1:7">
      <c r="A13194" s="1079"/>
      <c r="B13194" s="1050"/>
      <c r="C13194" s="1050"/>
      <c r="D13194" s="1050"/>
      <c r="E13194" s="1050"/>
      <c r="F13194" s="1050"/>
      <c r="G13194" s="1050"/>
    </row>
    <row r="13195" spans="1:7">
      <c r="A13195" s="1079"/>
      <c r="B13195" s="1050"/>
      <c r="C13195" s="1050"/>
      <c r="D13195" s="1050"/>
      <c r="E13195" s="1050"/>
      <c r="F13195" s="1050"/>
      <c r="G13195" s="1050"/>
    </row>
    <row r="13196" spans="1:7">
      <c r="A13196" s="1079"/>
      <c r="B13196" s="1050"/>
      <c r="C13196" s="1050"/>
      <c r="D13196" s="1050"/>
      <c r="E13196" s="1050"/>
      <c r="F13196" s="1050"/>
      <c r="G13196" s="1050"/>
    </row>
    <row r="13197" spans="1:7">
      <c r="A13197" s="1079"/>
      <c r="B13197" s="1050"/>
      <c r="C13197" s="1050"/>
      <c r="D13197" s="1050"/>
      <c r="E13197" s="1050"/>
      <c r="F13197" s="1050"/>
      <c r="G13197" s="1050"/>
    </row>
    <row r="13198" spans="1:7">
      <c r="A13198" s="1079"/>
      <c r="B13198" s="1050"/>
      <c r="C13198" s="1050"/>
      <c r="D13198" s="1050"/>
      <c r="E13198" s="1050"/>
      <c r="F13198" s="1050"/>
      <c r="G13198" s="1050"/>
    </row>
    <row r="13199" spans="1:7">
      <c r="A13199" s="1079"/>
      <c r="B13199" s="1050"/>
      <c r="C13199" s="1050"/>
      <c r="D13199" s="1050"/>
      <c r="E13199" s="1050"/>
      <c r="F13199" s="1050"/>
      <c r="G13199" s="1050"/>
    </row>
    <row r="13200" spans="1:7">
      <c r="A13200" s="1079"/>
      <c r="B13200" s="1050"/>
      <c r="C13200" s="1050"/>
      <c r="D13200" s="1050"/>
      <c r="E13200" s="1050"/>
      <c r="F13200" s="1050"/>
      <c r="G13200" s="1050"/>
    </row>
    <row r="13201" spans="1:7">
      <c r="A13201" s="1079"/>
      <c r="B13201" s="1050"/>
      <c r="C13201" s="1050"/>
      <c r="D13201" s="1050"/>
      <c r="E13201" s="1050"/>
      <c r="F13201" s="1050"/>
      <c r="G13201" s="1050"/>
    </row>
    <row r="13202" spans="1:7">
      <c r="A13202" s="1079"/>
      <c r="B13202" s="1050"/>
      <c r="C13202" s="1050"/>
      <c r="D13202" s="1050"/>
      <c r="E13202" s="1050"/>
      <c r="F13202" s="1050"/>
      <c r="G13202" s="1050"/>
    </row>
    <row r="13203" spans="1:7">
      <c r="A13203" s="1079"/>
      <c r="B13203" s="1050"/>
      <c r="C13203" s="1050"/>
      <c r="D13203" s="1050"/>
      <c r="E13203" s="1050"/>
      <c r="F13203" s="1050"/>
      <c r="G13203" s="1050"/>
    </row>
    <row r="13204" spans="1:7">
      <c r="A13204" s="1079"/>
      <c r="B13204" s="1050"/>
      <c r="C13204" s="1050"/>
      <c r="D13204" s="1050"/>
      <c r="E13204" s="1050"/>
      <c r="F13204" s="1050"/>
      <c r="G13204" s="1050"/>
    </row>
    <row r="13205" spans="1:7">
      <c r="A13205" s="1079"/>
      <c r="B13205" s="1050"/>
      <c r="C13205" s="1050"/>
      <c r="D13205" s="1050"/>
      <c r="E13205" s="1050"/>
      <c r="F13205" s="1050"/>
      <c r="G13205" s="1050"/>
    </row>
    <row r="13206" spans="1:7">
      <c r="A13206" s="1079"/>
      <c r="B13206" s="1050"/>
      <c r="C13206" s="1050"/>
      <c r="D13206" s="1050"/>
      <c r="E13206" s="1050"/>
      <c r="F13206" s="1050"/>
      <c r="G13206" s="1050"/>
    </row>
    <row r="13207" spans="1:7">
      <c r="A13207" s="1079"/>
      <c r="B13207" s="1050"/>
      <c r="C13207" s="1050"/>
      <c r="D13207" s="1050"/>
      <c r="E13207" s="1050"/>
      <c r="F13207" s="1050"/>
      <c r="G13207" s="1050"/>
    </row>
    <row r="13208" spans="1:7">
      <c r="A13208" s="1079"/>
      <c r="B13208" s="1050"/>
      <c r="C13208" s="1050"/>
      <c r="D13208" s="1050"/>
      <c r="E13208" s="1050"/>
      <c r="F13208" s="1050"/>
      <c r="G13208" s="1050"/>
    </row>
    <row r="13209" spans="1:7">
      <c r="A13209" s="1079"/>
      <c r="B13209" s="1050"/>
      <c r="C13209" s="1050"/>
      <c r="D13209" s="1050"/>
      <c r="E13209" s="1050"/>
      <c r="F13209" s="1050"/>
      <c r="G13209" s="1050"/>
    </row>
    <row r="13210" spans="1:7">
      <c r="A13210" s="1079"/>
      <c r="B13210" s="1050"/>
      <c r="C13210" s="1050"/>
      <c r="D13210" s="1050"/>
      <c r="E13210" s="1050"/>
      <c r="F13210" s="1050"/>
      <c r="G13210" s="1050"/>
    </row>
    <row r="13211" spans="1:7">
      <c r="A13211" s="1079"/>
      <c r="B13211" s="1050"/>
      <c r="C13211" s="1050"/>
      <c r="D13211" s="1050"/>
      <c r="E13211" s="1050"/>
      <c r="F13211" s="1050"/>
      <c r="G13211" s="1050"/>
    </row>
    <row r="13212" spans="1:7">
      <c r="A13212" s="1079"/>
      <c r="B13212" s="1050"/>
      <c r="C13212" s="1050"/>
      <c r="D13212" s="1050"/>
      <c r="E13212" s="1050"/>
      <c r="F13212" s="1050"/>
      <c r="G13212" s="1050"/>
    </row>
    <row r="13213" spans="1:7">
      <c r="A13213" s="1079"/>
      <c r="B13213" s="1050"/>
      <c r="C13213" s="1050"/>
      <c r="D13213" s="1050"/>
      <c r="E13213" s="1050"/>
      <c r="F13213" s="1050"/>
      <c r="G13213" s="1050"/>
    </row>
    <row r="13214" spans="1:7">
      <c r="A13214" s="1079"/>
      <c r="B13214" s="1050"/>
      <c r="C13214" s="1050"/>
      <c r="D13214" s="1050"/>
      <c r="E13214" s="1050"/>
      <c r="F13214" s="1050"/>
      <c r="G13214" s="1050"/>
    </row>
    <row r="13215" spans="1:7">
      <c r="A13215" s="1079"/>
      <c r="B13215" s="1050"/>
      <c r="C13215" s="1050"/>
      <c r="D13215" s="1050"/>
      <c r="E13215" s="1050"/>
      <c r="F13215" s="1050"/>
      <c r="G13215" s="1050"/>
    </row>
    <row r="13216" spans="1:7">
      <c r="A13216" s="1079"/>
      <c r="B13216" s="1050"/>
      <c r="C13216" s="1050"/>
      <c r="D13216" s="1050"/>
      <c r="E13216" s="1050"/>
      <c r="F13216" s="1050"/>
      <c r="G13216" s="1050"/>
    </row>
    <row r="13217" spans="1:7">
      <c r="A13217" s="1079"/>
      <c r="B13217" s="1050"/>
      <c r="C13217" s="1050"/>
      <c r="D13217" s="1050"/>
      <c r="E13217" s="1050"/>
      <c r="F13217" s="1050"/>
      <c r="G13217" s="1050"/>
    </row>
    <row r="13218" spans="1:7">
      <c r="A13218" s="1079"/>
      <c r="B13218" s="1050"/>
      <c r="C13218" s="1050"/>
      <c r="D13218" s="1050"/>
      <c r="E13218" s="1050"/>
      <c r="F13218" s="1050"/>
      <c r="G13218" s="1050"/>
    </row>
    <row r="13219" spans="1:7">
      <c r="A13219" s="1079"/>
      <c r="B13219" s="1050"/>
      <c r="C13219" s="1050"/>
      <c r="D13219" s="1050"/>
      <c r="E13219" s="1050"/>
      <c r="F13219" s="1050"/>
      <c r="G13219" s="1050"/>
    </row>
    <row r="13220" spans="1:7">
      <c r="A13220" s="1079"/>
      <c r="B13220" s="1050"/>
      <c r="C13220" s="1050"/>
      <c r="D13220" s="1050"/>
      <c r="E13220" s="1050"/>
      <c r="F13220" s="1050"/>
      <c r="G13220" s="1050"/>
    </row>
    <row r="13221" spans="1:7">
      <c r="A13221" s="1079"/>
      <c r="B13221" s="1050"/>
      <c r="C13221" s="1050"/>
      <c r="D13221" s="1050"/>
      <c r="E13221" s="1050"/>
      <c r="F13221" s="1050"/>
      <c r="G13221" s="1050"/>
    </row>
    <row r="13222" spans="1:7">
      <c r="A13222" s="1079"/>
      <c r="B13222" s="1050"/>
      <c r="C13222" s="1050"/>
      <c r="D13222" s="1050"/>
      <c r="E13222" s="1050"/>
      <c r="F13222" s="1050"/>
      <c r="G13222" s="1050"/>
    </row>
    <row r="13223" spans="1:7">
      <c r="A13223" s="1079"/>
      <c r="B13223" s="1050"/>
      <c r="C13223" s="1050"/>
      <c r="D13223" s="1050"/>
      <c r="E13223" s="1050"/>
      <c r="F13223" s="1050"/>
      <c r="G13223" s="1050"/>
    </row>
    <row r="13224" spans="1:7">
      <c r="A13224" s="1079"/>
      <c r="B13224" s="1050"/>
      <c r="C13224" s="1050"/>
      <c r="D13224" s="1050"/>
      <c r="E13224" s="1050"/>
      <c r="F13224" s="1050"/>
      <c r="G13224" s="1050"/>
    </row>
    <row r="13225" spans="1:7">
      <c r="A13225" s="1079"/>
      <c r="B13225" s="1050"/>
      <c r="C13225" s="1050"/>
      <c r="D13225" s="1050"/>
      <c r="E13225" s="1050"/>
      <c r="F13225" s="1050"/>
      <c r="G13225" s="1050"/>
    </row>
    <row r="13226" spans="1:7">
      <c r="A13226" s="1079"/>
      <c r="B13226" s="1050"/>
      <c r="C13226" s="1050"/>
      <c r="D13226" s="1050"/>
      <c r="E13226" s="1050"/>
      <c r="F13226" s="1050"/>
      <c r="G13226" s="1050"/>
    </row>
    <row r="13227" spans="1:7">
      <c r="A13227" s="1079"/>
      <c r="B13227" s="1050"/>
      <c r="C13227" s="1050"/>
      <c r="D13227" s="1050"/>
      <c r="E13227" s="1050"/>
      <c r="F13227" s="1050"/>
      <c r="G13227" s="1050"/>
    </row>
    <row r="13228" spans="1:7">
      <c r="A13228" s="1079"/>
      <c r="B13228" s="1050"/>
      <c r="C13228" s="1050"/>
      <c r="D13228" s="1050"/>
      <c r="E13228" s="1050"/>
      <c r="F13228" s="1050"/>
      <c r="G13228" s="1050"/>
    </row>
    <row r="13229" spans="1:7">
      <c r="A13229" s="1079"/>
      <c r="B13229" s="1050"/>
      <c r="C13229" s="1050"/>
      <c r="D13229" s="1050"/>
      <c r="E13229" s="1050"/>
      <c r="F13229" s="1050"/>
      <c r="G13229" s="1050"/>
    </row>
    <row r="13230" spans="1:7">
      <c r="A13230" s="1079"/>
      <c r="B13230" s="1050"/>
      <c r="C13230" s="1050"/>
      <c r="D13230" s="1050"/>
      <c r="E13230" s="1050"/>
      <c r="F13230" s="1050"/>
      <c r="G13230" s="1050"/>
    </row>
    <row r="13231" spans="1:7">
      <c r="A13231" s="1079"/>
      <c r="B13231" s="1050"/>
      <c r="C13231" s="1050"/>
      <c r="D13231" s="1050"/>
      <c r="E13231" s="1050"/>
      <c r="F13231" s="1050"/>
      <c r="G13231" s="1050"/>
    </row>
    <row r="13232" spans="1:7">
      <c r="A13232" s="1079"/>
      <c r="B13232" s="1050"/>
      <c r="C13232" s="1050"/>
      <c r="D13232" s="1050"/>
      <c r="E13232" s="1050"/>
      <c r="F13232" s="1050"/>
      <c r="G13232" s="1050"/>
    </row>
    <row r="13233" spans="1:7">
      <c r="A13233" s="1079"/>
      <c r="B13233" s="1050"/>
      <c r="C13233" s="1050"/>
      <c r="D13233" s="1050"/>
      <c r="E13233" s="1050"/>
      <c r="F13233" s="1050"/>
      <c r="G13233" s="1050"/>
    </row>
    <row r="13234" spans="1:7">
      <c r="A13234" s="1079"/>
      <c r="B13234" s="1050"/>
      <c r="C13234" s="1050"/>
      <c r="D13234" s="1050"/>
      <c r="E13234" s="1050"/>
      <c r="F13234" s="1050"/>
      <c r="G13234" s="1050"/>
    </row>
    <row r="13235" spans="1:7">
      <c r="A13235" s="1079"/>
      <c r="B13235" s="1050"/>
      <c r="C13235" s="1050"/>
      <c r="D13235" s="1050"/>
      <c r="E13235" s="1050"/>
      <c r="F13235" s="1050"/>
      <c r="G13235" s="1050"/>
    </row>
    <row r="13236" spans="1:7">
      <c r="A13236" s="1079"/>
      <c r="B13236" s="1050"/>
      <c r="C13236" s="1050"/>
      <c r="D13236" s="1050"/>
      <c r="E13236" s="1050"/>
      <c r="F13236" s="1050"/>
      <c r="G13236" s="1050"/>
    </row>
    <row r="13237" spans="1:7">
      <c r="A13237" s="1079"/>
      <c r="B13237" s="1050"/>
      <c r="C13237" s="1050"/>
      <c r="D13237" s="1050"/>
      <c r="E13237" s="1050"/>
      <c r="F13237" s="1050"/>
      <c r="G13237" s="1050"/>
    </row>
    <row r="13238" spans="1:7">
      <c r="A13238" s="1079"/>
      <c r="B13238" s="1050"/>
      <c r="C13238" s="1050"/>
      <c r="D13238" s="1050"/>
      <c r="E13238" s="1050"/>
      <c r="F13238" s="1050"/>
      <c r="G13238" s="1050"/>
    </row>
    <row r="13239" spans="1:7">
      <c r="A13239" s="1079"/>
      <c r="B13239" s="1050"/>
      <c r="C13239" s="1050"/>
      <c r="D13239" s="1050"/>
      <c r="E13239" s="1050"/>
      <c r="F13239" s="1050"/>
      <c r="G13239" s="1050"/>
    </row>
    <row r="13240" spans="1:7">
      <c r="A13240" s="1079"/>
      <c r="B13240" s="1050"/>
      <c r="C13240" s="1050"/>
      <c r="D13240" s="1050"/>
      <c r="E13240" s="1050"/>
      <c r="F13240" s="1050"/>
      <c r="G13240" s="1050"/>
    </row>
    <row r="13241" spans="1:7">
      <c r="A13241" s="1079"/>
      <c r="B13241" s="1050"/>
      <c r="C13241" s="1050"/>
      <c r="D13241" s="1050"/>
      <c r="E13241" s="1050"/>
      <c r="F13241" s="1050"/>
      <c r="G13241" s="1050"/>
    </row>
    <row r="13242" spans="1:7">
      <c r="A13242" s="1079"/>
      <c r="B13242" s="1050"/>
      <c r="C13242" s="1050"/>
      <c r="D13242" s="1050"/>
      <c r="E13242" s="1050"/>
      <c r="F13242" s="1050"/>
      <c r="G13242" s="1050"/>
    </row>
    <row r="13243" spans="1:7">
      <c r="A13243" s="1079"/>
      <c r="B13243" s="1050"/>
      <c r="C13243" s="1050"/>
      <c r="D13243" s="1050"/>
      <c r="E13243" s="1050"/>
      <c r="F13243" s="1050"/>
      <c r="G13243" s="1050"/>
    </row>
    <row r="13244" spans="1:7">
      <c r="A13244" s="1079"/>
      <c r="B13244" s="1050"/>
      <c r="C13244" s="1050"/>
      <c r="D13244" s="1050"/>
      <c r="E13244" s="1050"/>
      <c r="F13244" s="1050"/>
      <c r="G13244" s="1050"/>
    </row>
    <row r="13245" spans="1:7">
      <c r="A13245" s="1079"/>
      <c r="B13245" s="1050"/>
      <c r="C13245" s="1050"/>
      <c r="D13245" s="1050"/>
      <c r="E13245" s="1050"/>
      <c r="F13245" s="1050"/>
      <c r="G13245" s="1050"/>
    </row>
    <row r="13246" spans="1:7">
      <c r="A13246" s="1079"/>
      <c r="B13246" s="1050"/>
      <c r="C13246" s="1050"/>
      <c r="D13246" s="1050"/>
      <c r="E13246" s="1050"/>
      <c r="F13246" s="1050"/>
      <c r="G13246" s="1050"/>
    </row>
    <row r="13247" spans="1:7">
      <c r="A13247" s="1079"/>
      <c r="B13247" s="1050"/>
      <c r="C13247" s="1050"/>
      <c r="D13247" s="1050"/>
      <c r="E13247" s="1050"/>
      <c r="F13247" s="1050"/>
      <c r="G13247" s="1050"/>
    </row>
    <row r="13248" spans="1:7">
      <c r="A13248" s="1079"/>
      <c r="B13248" s="1050"/>
      <c r="C13248" s="1050"/>
      <c r="D13248" s="1050"/>
      <c r="E13248" s="1050"/>
      <c r="F13248" s="1050"/>
      <c r="G13248" s="1050"/>
    </row>
    <row r="13249" spans="1:7">
      <c r="A13249" s="1079"/>
      <c r="B13249" s="1050"/>
      <c r="C13249" s="1050"/>
      <c r="D13249" s="1050"/>
      <c r="E13249" s="1050"/>
      <c r="F13249" s="1050"/>
      <c r="G13249" s="1050"/>
    </row>
    <row r="13250" spans="1:7">
      <c r="A13250" s="1079"/>
      <c r="B13250" s="1050"/>
      <c r="C13250" s="1050"/>
      <c r="D13250" s="1050"/>
      <c r="E13250" s="1050"/>
      <c r="F13250" s="1050"/>
      <c r="G13250" s="1050"/>
    </row>
    <row r="13251" spans="1:7">
      <c r="A13251" s="1079"/>
      <c r="B13251" s="1050"/>
      <c r="C13251" s="1050"/>
      <c r="D13251" s="1050"/>
      <c r="E13251" s="1050"/>
      <c r="F13251" s="1050"/>
      <c r="G13251" s="1050"/>
    </row>
    <row r="13252" spans="1:7">
      <c r="A13252" s="1079"/>
      <c r="B13252" s="1050"/>
      <c r="C13252" s="1050"/>
      <c r="D13252" s="1050"/>
      <c r="E13252" s="1050"/>
      <c r="F13252" s="1050"/>
      <c r="G13252" s="1050"/>
    </row>
    <row r="13253" spans="1:7">
      <c r="A13253" s="1079"/>
      <c r="B13253" s="1050"/>
      <c r="C13253" s="1050"/>
      <c r="D13253" s="1050"/>
      <c r="E13253" s="1050"/>
      <c r="F13253" s="1050"/>
      <c r="G13253" s="1050"/>
    </row>
    <row r="13254" spans="1:7">
      <c r="A13254" s="1079"/>
      <c r="B13254" s="1050"/>
      <c r="C13254" s="1050"/>
      <c r="D13254" s="1050"/>
      <c r="E13254" s="1050"/>
      <c r="F13254" s="1050"/>
      <c r="G13254" s="1050"/>
    </row>
    <row r="13255" spans="1:7">
      <c r="A13255" s="1079"/>
      <c r="B13255" s="1050"/>
      <c r="C13255" s="1050"/>
      <c r="D13255" s="1050"/>
      <c r="E13255" s="1050"/>
      <c r="F13255" s="1050"/>
      <c r="G13255" s="1050"/>
    </row>
    <row r="13256" spans="1:7">
      <c r="A13256" s="1079"/>
      <c r="B13256" s="1050"/>
      <c r="C13256" s="1050"/>
      <c r="D13256" s="1050"/>
      <c r="E13256" s="1050"/>
      <c r="F13256" s="1050"/>
      <c r="G13256" s="1050"/>
    </row>
    <row r="13257" spans="1:7">
      <c r="A13257" s="1079"/>
      <c r="B13257" s="1050"/>
      <c r="C13257" s="1050"/>
      <c r="D13257" s="1050"/>
      <c r="E13257" s="1050"/>
      <c r="F13257" s="1050"/>
      <c r="G13257" s="1050"/>
    </row>
    <row r="13258" spans="1:7">
      <c r="A13258" s="1079"/>
      <c r="B13258" s="1050"/>
      <c r="C13258" s="1050"/>
      <c r="D13258" s="1050"/>
      <c r="E13258" s="1050"/>
      <c r="F13258" s="1050"/>
      <c r="G13258" s="1050"/>
    </row>
    <row r="13259" spans="1:7">
      <c r="A13259" s="1079"/>
      <c r="B13259" s="1050"/>
      <c r="C13259" s="1050"/>
      <c r="D13259" s="1050"/>
      <c r="E13259" s="1050"/>
      <c r="F13259" s="1050"/>
      <c r="G13259" s="1050"/>
    </row>
    <row r="13260" spans="1:7">
      <c r="A13260" s="1079"/>
      <c r="B13260" s="1050"/>
      <c r="C13260" s="1050"/>
      <c r="D13260" s="1050"/>
      <c r="E13260" s="1050"/>
      <c r="F13260" s="1050"/>
      <c r="G13260" s="1050"/>
    </row>
    <row r="13261" spans="1:7">
      <c r="A13261" s="1079"/>
      <c r="B13261" s="1050"/>
      <c r="C13261" s="1050"/>
      <c r="D13261" s="1050"/>
      <c r="E13261" s="1050"/>
      <c r="F13261" s="1050"/>
      <c r="G13261" s="1050"/>
    </row>
    <row r="13262" spans="1:7">
      <c r="A13262" s="1079"/>
      <c r="B13262" s="1050"/>
      <c r="C13262" s="1050"/>
      <c r="D13262" s="1050"/>
      <c r="E13262" s="1050"/>
      <c r="F13262" s="1050"/>
      <c r="G13262" s="1050"/>
    </row>
    <row r="13263" spans="1:7">
      <c r="A13263" s="1079"/>
      <c r="B13263" s="1050"/>
      <c r="C13263" s="1050"/>
      <c r="D13263" s="1050"/>
      <c r="E13263" s="1050"/>
      <c r="F13263" s="1050"/>
      <c r="G13263" s="1050"/>
    </row>
    <row r="13264" spans="1:7">
      <c r="A13264" s="1079"/>
      <c r="B13264" s="1050"/>
      <c r="C13264" s="1050"/>
      <c r="D13264" s="1050"/>
      <c r="E13264" s="1050"/>
      <c r="F13264" s="1050"/>
      <c r="G13264" s="1050"/>
    </row>
    <row r="13265" spans="1:7">
      <c r="A13265" s="1079"/>
      <c r="B13265" s="1050"/>
      <c r="C13265" s="1050"/>
      <c r="D13265" s="1050"/>
      <c r="E13265" s="1050"/>
      <c r="F13265" s="1050"/>
      <c r="G13265" s="1050"/>
    </row>
    <row r="13266" spans="1:7">
      <c r="A13266" s="1079"/>
      <c r="B13266" s="1050"/>
      <c r="C13266" s="1050"/>
      <c r="D13266" s="1050"/>
      <c r="E13266" s="1050"/>
      <c r="F13266" s="1050"/>
      <c r="G13266" s="1050"/>
    </row>
    <row r="13267" spans="1:7">
      <c r="A13267" s="1079"/>
      <c r="B13267" s="1050"/>
      <c r="C13267" s="1050"/>
      <c r="D13267" s="1050"/>
      <c r="E13267" s="1050"/>
      <c r="F13267" s="1050"/>
      <c r="G13267" s="1050"/>
    </row>
    <row r="13268" spans="1:7">
      <c r="A13268" s="1079"/>
      <c r="B13268" s="1050"/>
      <c r="C13268" s="1050"/>
      <c r="D13268" s="1050"/>
      <c r="E13268" s="1050"/>
      <c r="F13268" s="1050"/>
      <c r="G13268" s="1050"/>
    </row>
    <row r="13269" spans="1:7">
      <c r="A13269" s="1079"/>
      <c r="B13269" s="1050"/>
      <c r="C13269" s="1050"/>
      <c r="D13269" s="1050"/>
      <c r="E13269" s="1050"/>
      <c r="F13269" s="1050"/>
      <c r="G13269" s="1050"/>
    </row>
    <row r="13270" spans="1:7">
      <c r="A13270" s="1079"/>
      <c r="B13270" s="1050"/>
      <c r="C13270" s="1050"/>
      <c r="D13270" s="1050"/>
      <c r="E13270" s="1050"/>
      <c r="F13270" s="1050"/>
      <c r="G13270" s="1050"/>
    </row>
    <row r="13271" spans="1:7">
      <c r="A13271" s="1079"/>
      <c r="B13271" s="1050"/>
      <c r="C13271" s="1050"/>
      <c r="D13271" s="1050"/>
      <c r="E13271" s="1050"/>
      <c r="F13271" s="1050"/>
      <c r="G13271" s="1050"/>
    </row>
    <row r="13272" spans="1:7">
      <c r="A13272" s="1079"/>
      <c r="B13272" s="1050"/>
      <c r="C13272" s="1050"/>
      <c r="D13272" s="1050"/>
      <c r="E13272" s="1050"/>
      <c r="F13272" s="1050"/>
      <c r="G13272" s="1050"/>
    </row>
    <row r="13273" spans="1:7">
      <c r="A13273" s="1079"/>
      <c r="B13273" s="1050"/>
      <c r="C13273" s="1050"/>
      <c r="D13273" s="1050"/>
      <c r="E13273" s="1050"/>
      <c r="F13273" s="1050"/>
      <c r="G13273" s="1050"/>
    </row>
    <row r="13274" spans="1:7">
      <c r="A13274" s="1079"/>
      <c r="B13274" s="1050"/>
      <c r="C13274" s="1050"/>
      <c r="D13274" s="1050"/>
      <c r="E13274" s="1050"/>
      <c r="F13274" s="1050"/>
      <c r="G13274" s="1050"/>
    </row>
    <row r="13275" spans="1:7">
      <c r="A13275" s="1079"/>
      <c r="B13275" s="1050"/>
      <c r="C13275" s="1050"/>
      <c r="D13275" s="1050"/>
      <c r="E13275" s="1050"/>
      <c r="F13275" s="1050"/>
      <c r="G13275" s="1050"/>
    </row>
    <row r="13276" spans="1:7">
      <c r="A13276" s="1079"/>
      <c r="B13276" s="1050"/>
      <c r="C13276" s="1050"/>
      <c r="D13276" s="1050"/>
      <c r="E13276" s="1050"/>
      <c r="F13276" s="1050"/>
      <c r="G13276" s="1050"/>
    </row>
    <row r="13277" spans="1:7">
      <c r="A13277" s="1079"/>
      <c r="B13277" s="1050"/>
      <c r="C13277" s="1050"/>
      <c r="D13277" s="1050"/>
      <c r="E13277" s="1050"/>
      <c r="F13277" s="1050"/>
      <c r="G13277" s="1050"/>
    </row>
    <row r="13278" spans="1:7">
      <c r="A13278" s="1079"/>
      <c r="B13278" s="1050"/>
      <c r="C13278" s="1050"/>
      <c r="D13278" s="1050"/>
      <c r="E13278" s="1050"/>
      <c r="F13278" s="1050"/>
      <c r="G13278" s="1050"/>
    </row>
    <row r="13279" spans="1:7">
      <c r="A13279" s="1079"/>
      <c r="B13279" s="1050"/>
      <c r="C13279" s="1050"/>
      <c r="D13279" s="1050"/>
      <c r="E13279" s="1050"/>
      <c r="F13279" s="1050"/>
      <c r="G13279" s="1050"/>
    </row>
    <row r="13280" spans="1:7">
      <c r="A13280" s="1079"/>
      <c r="B13280" s="1050"/>
      <c r="C13280" s="1050"/>
      <c r="D13280" s="1050"/>
      <c r="E13280" s="1050"/>
      <c r="F13280" s="1050"/>
      <c r="G13280" s="1050"/>
    </row>
    <row r="13281" spans="1:7">
      <c r="A13281" s="1079"/>
      <c r="B13281" s="1050"/>
      <c r="C13281" s="1050"/>
      <c r="D13281" s="1050"/>
      <c r="E13281" s="1050"/>
      <c r="F13281" s="1050"/>
      <c r="G13281" s="1050"/>
    </row>
    <row r="13282" spans="1:7">
      <c r="A13282" s="1079"/>
      <c r="B13282" s="1050"/>
      <c r="C13282" s="1050"/>
      <c r="D13282" s="1050"/>
      <c r="E13282" s="1050"/>
      <c r="F13282" s="1050"/>
      <c r="G13282" s="1050"/>
    </row>
    <row r="13283" spans="1:7">
      <c r="A13283" s="1079"/>
      <c r="B13283" s="1050"/>
      <c r="C13283" s="1050"/>
      <c r="D13283" s="1050"/>
      <c r="E13283" s="1050"/>
      <c r="F13283" s="1050"/>
      <c r="G13283" s="1050"/>
    </row>
    <row r="13284" spans="1:7">
      <c r="A13284" s="1079"/>
      <c r="B13284" s="1050"/>
      <c r="C13284" s="1050"/>
      <c r="D13284" s="1050"/>
      <c r="E13284" s="1050"/>
      <c r="F13284" s="1050"/>
      <c r="G13284" s="1050"/>
    </row>
    <row r="13285" spans="1:7">
      <c r="A13285" s="1079"/>
      <c r="B13285" s="1050"/>
      <c r="C13285" s="1050"/>
      <c r="D13285" s="1050"/>
      <c r="E13285" s="1050"/>
      <c r="F13285" s="1050"/>
      <c r="G13285" s="1050"/>
    </row>
    <row r="13286" spans="1:7">
      <c r="A13286" s="1079"/>
      <c r="B13286" s="1050"/>
      <c r="C13286" s="1050"/>
      <c r="D13286" s="1050"/>
      <c r="E13286" s="1050"/>
      <c r="F13286" s="1050"/>
      <c r="G13286" s="1050"/>
    </row>
    <row r="13287" spans="1:7">
      <c r="A13287" s="1079"/>
      <c r="B13287" s="1050"/>
      <c r="C13287" s="1050"/>
      <c r="D13287" s="1050"/>
      <c r="E13287" s="1050"/>
      <c r="F13287" s="1050"/>
      <c r="G13287" s="1050"/>
    </row>
    <row r="13288" spans="1:7">
      <c r="A13288" s="1079"/>
      <c r="B13288" s="1050"/>
      <c r="C13288" s="1050"/>
      <c r="D13288" s="1050"/>
      <c r="E13288" s="1050"/>
      <c r="F13288" s="1050"/>
      <c r="G13288" s="1050"/>
    </row>
    <row r="13289" spans="1:7">
      <c r="A13289" s="1079"/>
      <c r="B13289" s="1050"/>
      <c r="C13289" s="1050"/>
      <c r="D13289" s="1050"/>
      <c r="E13289" s="1050"/>
      <c r="F13289" s="1050"/>
      <c r="G13289" s="1050"/>
    </row>
    <row r="13290" spans="1:7">
      <c r="A13290" s="1079"/>
      <c r="B13290" s="1050"/>
      <c r="C13290" s="1050"/>
      <c r="D13290" s="1050"/>
      <c r="E13290" s="1050"/>
      <c r="F13290" s="1050"/>
      <c r="G13290" s="1050"/>
    </row>
    <row r="13291" spans="1:7">
      <c r="A13291" s="1079"/>
      <c r="B13291" s="1050"/>
      <c r="C13291" s="1050"/>
      <c r="D13291" s="1050"/>
      <c r="E13291" s="1050"/>
      <c r="F13291" s="1050"/>
      <c r="G13291" s="1050"/>
    </row>
    <row r="13292" spans="1:7">
      <c r="A13292" s="1079"/>
      <c r="B13292" s="1050"/>
      <c r="C13292" s="1050"/>
      <c r="D13292" s="1050"/>
      <c r="E13292" s="1050"/>
      <c r="F13292" s="1050"/>
      <c r="G13292" s="1050"/>
    </row>
    <row r="13293" spans="1:7">
      <c r="A13293" s="1079"/>
      <c r="B13293" s="1050"/>
      <c r="C13293" s="1050"/>
      <c r="D13293" s="1050"/>
      <c r="E13293" s="1050"/>
      <c r="F13293" s="1050"/>
      <c r="G13293" s="1050"/>
    </row>
    <row r="13294" spans="1:7">
      <c r="A13294" s="1079"/>
      <c r="B13294" s="1050"/>
      <c r="C13294" s="1050"/>
      <c r="D13294" s="1050"/>
      <c r="E13294" s="1050"/>
      <c r="F13294" s="1050"/>
      <c r="G13294" s="1050"/>
    </row>
    <row r="13295" spans="1:7">
      <c r="A13295" s="1079"/>
      <c r="B13295" s="1050"/>
      <c r="C13295" s="1050"/>
      <c r="D13295" s="1050"/>
      <c r="E13295" s="1050"/>
      <c r="F13295" s="1050"/>
      <c r="G13295" s="1050"/>
    </row>
    <row r="13296" spans="1:7">
      <c r="A13296" s="1079"/>
      <c r="B13296" s="1050"/>
      <c r="C13296" s="1050"/>
      <c r="D13296" s="1050"/>
      <c r="E13296" s="1050"/>
      <c r="F13296" s="1050"/>
      <c r="G13296" s="1050"/>
    </row>
    <row r="13297" spans="1:7">
      <c r="A13297" s="1079"/>
      <c r="B13297" s="1050"/>
      <c r="C13297" s="1050"/>
      <c r="D13297" s="1050"/>
      <c r="E13297" s="1050"/>
      <c r="F13297" s="1050"/>
      <c r="G13297" s="1050"/>
    </row>
    <row r="13298" spans="1:7">
      <c r="A13298" s="1079"/>
      <c r="B13298" s="1050"/>
      <c r="C13298" s="1050"/>
      <c r="D13298" s="1050"/>
      <c r="E13298" s="1050"/>
      <c r="F13298" s="1050"/>
      <c r="G13298" s="1050"/>
    </row>
    <row r="13299" spans="1:7">
      <c r="A13299" s="1079"/>
      <c r="B13299" s="1050"/>
      <c r="C13299" s="1050"/>
      <c r="D13299" s="1050"/>
      <c r="E13299" s="1050"/>
      <c r="F13299" s="1050"/>
      <c r="G13299" s="1050"/>
    </row>
    <row r="13300" spans="1:7">
      <c r="A13300" s="1079"/>
      <c r="B13300" s="1050"/>
      <c r="C13300" s="1050"/>
      <c r="D13300" s="1050"/>
      <c r="E13300" s="1050"/>
      <c r="F13300" s="1050"/>
      <c r="G13300" s="1050"/>
    </row>
    <row r="13301" spans="1:7">
      <c r="A13301" s="1079"/>
      <c r="B13301" s="1050"/>
      <c r="C13301" s="1050"/>
      <c r="D13301" s="1050"/>
      <c r="E13301" s="1050"/>
      <c r="F13301" s="1050"/>
      <c r="G13301" s="1050"/>
    </row>
    <row r="13302" spans="1:7">
      <c r="A13302" s="1079"/>
      <c r="B13302" s="1050"/>
      <c r="C13302" s="1050"/>
      <c r="D13302" s="1050"/>
      <c r="E13302" s="1050"/>
      <c r="F13302" s="1050"/>
      <c r="G13302" s="1050"/>
    </row>
    <row r="13303" spans="1:7">
      <c r="A13303" s="1079"/>
      <c r="B13303" s="1050"/>
      <c r="C13303" s="1050"/>
      <c r="D13303" s="1050"/>
      <c r="E13303" s="1050"/>
      <c r="F13303" s="1050"/>
      <c r="G13303" s="1050"/>
    </row>
    <row r="13304" spans="1:7">
      <c r="A13304" s="1079"/>
      <c r="B13304" s="1050"/>
      <c r="C13304" s="1050"/>
      <c r="D13304" s="1050"/>
      <c r="E13304" s="1050"/>
      <c r="F13304" s="1050"/>
      <c r="G13304" s="1050"/>
    </row>
    <row r="13305" spans="1:7">
      <c r="A13305" s="1079"/>
      <c r="B13305" s="1050"/>
      <c r="C13305" s="1050"/>
      <c r="D13305" s="1050"/>
      <c r="E13305" s="1050"/>
      <c r="F13305" s="1050"/>
      <c r="G13305" s="1050"/>
    </row>
    <row r="13306" spans="1:7">
      <c r="A13306" s="1079"/>
      <c r="B13306" s="1050"/>
      <c r="C13306" s="1050"/>
      <c r="D13306" s="1050"/>
      <c r="E13306" s="1050"/>
      <c r="F13306" s="1050"/>
      <c r="G13306" s="1050"/>
    </row>
    <row r="13307" spans="1:7">
      <c r="A13307" s="1079"/>
      <c r="B13307" s="1050"/>
      <c r="C13307" s="1050"/>
      <c r="D13307" s="1050"/>
      <c r="E13307" s="1050"/>
      <c r="F13307" s="1050"/>
      <c r="G13307" s="1050"/>
    </row>
    <row r="13308" spans="1:7">
      <c r="A13308" s="1079"/>
      <c r="B13308" s="1050"/>
      <c r="C13308" s="1050"/>
      <c r="D13308" s="1050"/>
      <c r="E13308" s="1050"/>
      <c r="F13308" s="1050"/>
      <c r="G13308" s="1050"/>
    </row>
    <row r="13309" spans="1:7">
      <c r="A13309" s="1079"/>
      <c r="B13309" s="1050"/>
      <c r="C13309" s="1050"/>
      <c r="D13309" s="1050"/>
      <c r="E13309" s="1050"/>
      <c r="F13309" s="1050"/>
      <c r="G13309" s="1050"/>
    </row>
    <row r="13310" spans="1:7">
      <c r="A13310" s="1079"/>
      <c r="B13310" s="1050"/>
      <c r="C13310" s="1050"/>
      <c r="D13310" s="1050"/>
      <c r="E13310" s="1050"/>
      <c r="F13310" s="1050"/>
      <c r="G13310" s="1050"/>
    </row>
    <row r="13311" spans="1:7">
      <c r="A13311" s="1079"/>
      <c r="B13311" s="1050"/>
      <c r="C13311" s="1050"/>
      <c r="D13311" s="1050"/>
      <c r="E13311" s="1050"/>
      <c r="F13311" s="1050"/>
      <c r="G13311" s="1050"/>
    </row>
    <row r="13312" spans="1:7">
      <c r="A13312" s="1079"/>
      <c r="B13312" s="1050"/>
      <c r="C13312" s="1050"/>
      <c r="D13312" s="1050"/>
      <c r="E13312" s="1050"/>
      <c r="F13312" s="1050"/>
      <c r="G13312" s="1050"/>
    </row>
    <row r="13313" spans="1:7">
      <c r="A13313" s="1079"/>
      <c r="B13313" s="1050"/>
      <c r="C13313" s="1050"/>
      <c r="D13313" s="1050"/>
      <c r="E13313" s="1050"/>
      <c r="F13313" s="1050"/>
      <c r="G13313" s="1050"/>
    </row>
    <row r="13314" spans="1:7">
      <c r="A13314" s="1079"/>
      <c r="B13314" s="1050"/>
      <c r="C13314" s="1050"/>
      <c r="D13314" s="1050"/>
      <c r="E13314" s="1050"/>
      <c r="F13314" s="1050"/>
      <c r="G13314" s="1050"/>
    </row>
    <row r="13315" spans="1:7">
      <c r="A13315" s="1079"/>
      <c r="B13315" s="1050"/>
      <c r="C13315" s="1050"/>
      <c r="D13315" s="1050"/>
      <c r="E13315" s="1050"/>
      <c r="F13315" s="1050"/>
      <c r="G13315" s="1050"/>
    </row>
    <row r="13316" spans="1:7">
      <c r="A13316" s="1079"/>
      <c r="B13316" s="1050"/>
      <c r="C13316" s="1050"/>
      <c r="D13316" s="1050"/>
      <c r="E13316" s="1050"/>
      <c r="F13316" s="1050"/>
      <c r="G13316" s="1050"/>
    </row>
    <row r="13317" spans="1:7">
      <c r="A13317" s="1079"/>
      <c r="B13317" s="1050"/>
      <c r="C13317" s="1050"/>
      <c r="D13317" s="1050"/>
      <c r="E13317" s="1050"/>
      <c r="F13317" s="1050"/>
      <c r="G13317" s="1050"/>
    </row>
    <row r="13318" spans="1:7">
      <c r="A13318" s="1079"/>
      <c r="B13318" s="1050"/>
      <c r="C13318" s="1050"/>
      <c r="D13318" s="1050"/>
      <c r="E13318" s="1050"/>
      <c r="F13318" s="1050"/>
      <c r="G13318" s="1050"/>
    </row>
    <row r="13319" spans="1:7">
      <c r="A13319" s="1079"/>
      <c r="B13319" s="1050"/>
      <c r="C13319" s="1050"/>
      <c r="D13319" s="1050"/>
      <c r="E13319" s="1050"/>
      <c r="F13319" s="1050"/>
      <c r="G13319" s="1050"/>
    </row>
    <row r="13320" spans="1:7">
      <c r="A13320" s="1079"/>
      <c r="B13320" s="1050"/>
      <c r="C13320" s="1050"/>
      <c r="D13320" s="1050"/>
      <c r="E13320" s="1050"/>
      <c r="F13320" s="1050"/>
      <c r="G13320" s="1050"/>
    </row>
    <row r="13321" spans="1:7">
      <c r="A13321" s="1079"/>
      <c r="B13321" s="1050"/>
      <c r="C13321" s="1050"/>
      <c r="D13321" s="1050"/>
      <c r="E13321" s="1050"/>
      <c r="F13321" s="1050"/>
      <c r="G13321" s="1050"/>
    </row>
    <row r="13322" spans="1:7">
      <c r="A13322" s="1079"/>
      <c r="B13322" s="1050"/>
      <c r="C13322" s="1050"/>
      <c r="D13322" s="1050"/>
      <c r="E13322" s="1050"/>
      <c r="F13322" s="1050"/>
      <c r="G13322" s="1050"/>
    </row>
    <row r="13323" spans="1:7">
      <c r="A13323" s="1079"/>
      <c r="B13323" s="1050"/>
      <c r="C13323" s="1050"/>
      <c r="D13323" s="1050"/>
      <c r="E13323" s="1050"/>
      <c r="F13323" s="1050"/>
      <c r="G13323" s="1050"/>
    </row>
    <row r="13324" spans="1:7">
      <c r="A13324" s="1079"/>
      <c r="B13324" s="1050"/>
      <c r="C13324" s="1050"/>
      <c r="D13324" s="1050"/>
      <c r="E13324" s="1050"/>
      <c r="F13324" s="1050"/>
      <c r="G13324" s="1050"/>
    </row>
    <row r="13325" spans="1:7">
      <c r="A13325" s="1079"/>
      <c r="B13325" s="1050"/>
      <c r="C13325" s="1050"/>
      <c r="D13325" s="1050"/>
      <c r="E13325" s="1050"/>
      <c r="F13325" s="1050"/>
      <c r="G13325" s="1050"/>
    </row>
    <row r="13326" spans="1:7">
      <c r="A13326" s="1079"/>
      <c r="B13326" s="1050"/>
      <c r="C13326" s="1050"/>
      <c r="D13326" s="1050"/>
      <c r="E13326" s="1050"/>
      <c r="F13326" s="1050"/>
      <c r="G13326" s="1050"/>
    </row>
    <row r="13327" spans="1:7">
      <c r="A13327" s="1079"/>
      <c r="B13327" s="1050"/>
      <c r="C13327" s="1050"/>
      <c r="D13327" s="1050"/>
      <c r="E13327" s="1050"/>
      <c r="F13327" s="1050"/>
      <c r="G13327" s="1050"/>
    </row>
    <row r="13328" spans="1:7">
      <c r="A13328" s="1079"/>
      <c r="B13328" s="1050"/>
      <c r="C13328" s="1050"/>
      <c r="D13328" s="1050"/>
      <c r="E13328" s="1050"/>
      <c r="F13328" s="1050"/>
      <c r="G13328" s="1050"/>
    </row>
    <row r="13329" spans="1:7">
      <c r="A13329" s="1079"/>
      <c r="B13329" s="1050"/>
      <c r="C13329" s="1050"/>
      <c r="D13329" s="1050"/>
      <c r="E13329" s="1050"/>
      <c r="F13329" s="1050"/>
      <c r="G13329" s="1050"/>
    </row>
    <row r="13330" spans="1:7">
      <c r="A13330" s="1079"/>
      <c r="B13330" s="1050"/>
      <c r="C13330" s="1050"/>
      <c r="D13330" s="1050"/>
      <c r="E13330" s="1050"/>
      <c r="F13330" s="1050"/>
      <c r="G13330" s="1050"/>
    </row>
    <row r="13331" spans="1:7">
      <c r="A13331" s="1079"/>
      <c r="B13331" s="1050"/>
      <c r="C13331" s="1050"/>
      <c r="D13331" s="1050"/>
      <c r="E13331" s="1050"/>
      <c r="F13331" s="1050"/>
      <c r="G13331" s="1050"/>
    </row>
    <row r="13332" spans="1:7">
      <c r="A13332" s="1079"/>
      <c r="B13332" s="1050"/>
      <c r="C13332" s="1050"/>
      <c r="D13332" s="1050"/>
      <c r="E13332" s="1050"/>
      <c r="F13332" s="1050"/>
      <c r="G13332" s="1050"/>
    </row>
    <row r="13333" spans="1:7">
      <c r="A13333" s="1079"/>
      <c r="B13333" s="1050"/>
      <c r="C13333" s="1050"/>
      <c r="D13333" s="1050"/>
      <c r="E13333" s="1050"/>
      <c r="F13333" s="1050"/>
      <c r="G13333" s="1050"/>
    </row>
    <row r="13334" spans="1:7">
      <c r="A13334" s="1079"/>
      <c r="B13334" s="1050"/>
      <c r="C13334" s="1050"/>
      <c r="D13334" s="1050"/>
      <c r="E13334" s="1050"/>
      <c r="F13334" s="1050"/>
      <c r="G13334" s="1050"/>
    </row>
    <row r="13335" spans="1:7">
      <c r="A13335" s="1079"/>
      <c r="B13335" s="1050"/>
      <c r="C13335" s="1050"/>
      <c r="D13335" s="1050"/>
      <c r="E13335" s="1050"/>
      <c r="F13335" s="1050"/>
      <c r="G13335" s="1050"/>
    </row>
    <row r="13336" spans="1:7">
      <c r="A13336" s="1079"/>
      <c r="B13336" s="1050"/>
      <c r="C13336" s="1050"/>
      <c r="D13336" s="1050"/>
      <c r="E13336" s="1050"/>
      <c r="F13336" s="1050"/>
      <c r="G13336" s="1050"/>
    </row>
    <row r="13337" spans="1:7">
      <c r="A13337" s="1079"/>
      <c r="B13337" s="1050"/>
      <c r="C13337" s="1050"/>
      <c r="D13337" s="1050"/>
      <c r="E13337" s="1050"/>
      <c r="F13337" s="1050"/>
      <c r="G13337" s="1050"/>
    </row>
    <row r="13338" spans="1:7">
      <c r="A13338" s="1079"/>
      <c r="B13338" s="1050"/>
      <c r="C13338" s="1050"/>
      <c r="D13338" s="1050"/>
      <c r="E13338" s="1050"/>
      <c r="F13338" s="1050"/>
      <c r="G13338" s="1050"/>
    </row>
    <row r="13339" spans="1:7">
      <c r="A13339" s="1079"/>
      <c r="B13339" s="1050"/>
      <c r="C13339" s="1050"/>
      <c r="D13339" s="1050"/>
      <c r="E13339" s="1050"/>
      <c r="F13339" s="1050"/>
      <c r="G13339" s="1050"/>
    </row>
    <row r="13340" spans="1:7">
      <c r="A13340" s="1079"/>
      <c r="B13340" s="1050"/>
      <c r="C13340" s="1050"/>
      <c r="D13340" s="1050"/>
      <c r="E13340" s="1050"/>
      <c r="F13340" s="1050"/>
      <c r="G13340" s="1050"/>
    </row>
    <row r="13341" spans="1:7">
      <c r="A13341" s="1079"/>
      <c r="B13341" s="1050"/>
      <c r="C13341" s="1050"/>
      <c r="D13341" s="1050"/>
      <c r="E13341" s="1050"/>
      <c r="F13341" s="1050"/>
      <c r="G13341" s="1050"/>
    </row>
    <row r="13342" spans="1:7">
      <c r="A13342" s="1079"/>
      <c r="B13342" s="1050"/>
      <c r="C13342" s="1050"/>
      <c r="D13342" s="1050"/>
      <c r="E13342" s="1050"/>
      <c r="F13342" s="1050"/>
      <c r="G13342" s="1050"/>
    </row>
    <row r="13343" spans="1:7">
      <c r="A13343" s="1079"/>
      <c r="B13343" s="1050"/>
      <c r="C13343" s="1050"/>
      <c r="D13343" s="1050"/>
      <c r="E13343" s="1050"/>
      <c r="F13343" s="1050"/>
      <c r="G13343" s="1050"/>
    </row>
    <row r="13344" spans="1:7">
      <c r="A13344" s="1079"/>
      <c r="B13344" s="1050"/>
      <c r="C13344" s="1050"/>
      <c r="D13344" s="1050"/>
      <c r="E13344" s="1050"/>
      <c r="F13344" s="1050"/>
      <c r="G13344" s="1050"/>
    </row>
    <row r="13345" spans="1:7">
      <c r="A13345" s="1079"/>
      <c r="B13345" s="1050"/>
      <c r="C13345" s="1050"/>
      <c r="D13345" s="1050"/>
      <c r="E13345" s="1050"/>
      <c r="F13345" s="1050"/>
      <c r="G13345" s="1050"/>
    </row>
    <row r="13346" spans="1:7">
      <c r="A13346" s="1079"/>
      <c r="B13346" s="1050"/>
      <c r="C13346" s="1050"/>
      <c r="D13346" s="1050"/>
      <c r="E13346" s="1050"/>
      <c r="F13346" s="1050"/>
      <c r="G13346" s="1050"/>
    </row>
    <row r="13347" spans="1:7">
      <c r="A13347" s="1079"/>
      <c r="B13347" s="1050"/>
      <c r="C13347" s="1050"/>
      <c r="D13347" s="1050"/>
      <c r="E13347" s="1050"/>
      <c r="F13347" s="1050"/>
      <c r="G13347" s="1050"/>
    </row>
    <row r="13348" spans="1:7">
      <c r="A13348" s="1079"/>
      <c r="B13348" s="1050"/>
      <c r="C13348" s="1050"/>
      <c r="D13348" s="1050"/>
      <c r="E13348" s="1050"/>
      <c r="F13348" s="1050"/>
      <c r="G13348" s="1050"/>
    </row>
    <row r="13349" spans="1:7">
      <c r="A13349" s="1079"/>
      <c r="B13349" s="1050"/>
      <c r="C13349" s="1050"/>
      <c r="D13349" s="1050"/>
      <c r="E13349" s="1050"/>
      <c r="F13349" s="1050"/>
      <c r="G13349" s="1050"/>
    </row>
    <row r="13350" spans="1:7">
      <c r="A13350" s="1079"/>
      <c r="B13350" s="1050"/>
      <c r="C13350" s="1050"/>
      <c r="D13350" s="1050"/>
      <c r="E13350" s="1050"/>
      <c r="F13350" s="1050"/>
      <c r="G13350" s="1050"/>
    </row>
    <row r="13351" spans="1:7">
      <c r="A13351" s="1079"/>
      <c r="B13351" s="1050"/>
      <c r="C13351" s="1050"/>
      <c r="D13351" s="1050"/>
      <c r="E13351" s="1050"/>
      <c r="F13351" s="1050"/>
      <c r="G13351" s="1050"/>
    </row>
    <row r="13352" spans="1:7">
      <c r="A13352" s="1079"/>
      <c r="B13352" s="1050"/>
      <c r="C13352" s="1050"/>
      <c r="D13352" s="1050"/>
      <c r="E13352" s="1050"/>
      <c r="F13352" s="1050"/>
      <c r="G13352" s="1050"/>
    </row>
    <row r="13353" spans="1:7">
      <c r="A13353" s="1079"/>
      <c r="B13353" s="1050"/>
      <c r="C13353" s="1050"/>
      <c r="D13353" s="1050"/>
      <c r="E13353" s="1050"/>
      <c r="F13353" s="1050"/>
      <c r="G13353" s="1050"/>
    </row>
    <row r="13354" spans="1:7">
      <c r="A13354" s="1079"/>
      <c r="B13354" s="1050"/>
      <c r="C13354" s="1050"/>
      <c r="D13354" s="1050"/>
      <c r="E13354" s="1050"/>
      <c r="F13354" s="1050"/>
      <c r="G13354" s="1050"/>
    </row>
    <row r="13355" spans="1:7">
      <c r="A13355" s="1079"/>
      <c r="B13355" s="1050"/>
      <c r="C13355" s="1050"/>
      <c r="D13355" s="1050"/>
      <c r="E13355" s="1050"/>
      <c r="F13355" s="1050"/>
      <c r="G13355" s="1050"/>
    </row>
    <row r="13356" spans="1:7">
      <c r="A13356" s="1079"/>
      <c r="B13356" s="1050"/>
      <c r="C13356" s="1050"/>
      <c r="D13356" s="1050"/>
      <c r="E13356" s="1050"/>
      <c r="F13356" s="1050"/>
      <c r="G13356" s="1050"/>
    </row>
    <row r="13357" spans="1:7">
      <c r="A13357" s="1079"/>
      <c r="B13357" s="1050"/>
      <c r="C13357" s="1050"/>
      <c r="D13357" s="1050"/>
      <c r="E13357" s="1050"/>
      <c r="F13357" s="1050"/>
      <c r="G13357" s="1050"/>
    </row>
    <row r="13358" spans="1:7">
      <c r="A13358" s="1079"/>
      <c r="B13358" s="1050"/>
      <c r="C13358" s="1050"/>
      <c r="D13358" s="1050"/>
      <c r="E13358" s="1050"/>
      <c r="F13358" s="1050"/>
      <c r="G13358" s="1050"/>
    </row>
    <row r="13359" spans="1:7">
      <c r="A13359" s="1079"/>
      <c r="B13359" s="1050"/>
      <c r="C13359" s="1050"/>
      <c r="D13359" s="1050"/>
      <c r="E13359" s="1050"/>
      <c r="F13359" s="1050"/>
      <c r="G13359" s="1050"/>
    </row>
    <row r="13360" spans="1:7">
      <c r="A13360" s="1079"/>
      <c r="B13360" s="1050"/>
      <c r="C13360" s="1050"/>
      <c r="D13360" s="1050"/>
      <c r="E13360" s="1050"/>
      <c r="F13360" s="1050"/>
      <c r="G13360" s="1050"/>
    </row>
    <row r="13361" spans="1:7">
      <c r="A13361" s="1079"/>
      <c r="B13361" s="1050"/>
      <c r="C13361" s="1050"/>
      <c r="D13361" s="1050"/>
      <c r="E13361" s="1050"/>
      <c r="F13361" s="1050"/>
      <c r="G13361" s="1050"/>
    </row>
    <row r="13362" spans="1:7">
      <c r="A13362" s="1079"/>
      <c r="B13362" s="1050"/>
      <c r="C13362" s="1050"/>
      <c r="D13362" s="1050"/>
      <c r="E13362" s="1050"/>
      <c r="F13362" s="1050"/>
      <c r="G13362" s="1050"/>
    </row>
    <row r="13363" spans="1:7">
      <c r="A13363" s="1079"/>
      <c r="B13363" s="1050"/>
      <c r="C13363" s="1050"/>
      <c r="D13363" s="1050"/>
      <c r="E13363" s="1050"/>
      <c r="F13363" s="1050"/>
      <c r="G13363" s="1050"/>
    </row>
    <row r="13364" spans="1:7">
      <c r="A13364" s="1079"/>
      <c r="B13364" s="1050"/>
      <c r="C13364" s="1050"/>
      <c r="D13364" s="1050"/>
      <c r="E13364" s="1050"/>
      <c r="F13364" s="1050"/>
      <c r="G13364" s="1050"/>
    </row>
    <row r="13365" spans="1:7">
      <c r="A13365" s="1079"/>
      <c r="B13365" s="1050"/>
      <c r="C13365" s="1050"/>
      <c r="D13365" s="1050"/>
      <c r="E13365" s="1050"/>
      <c r="F13365" s="1050"/>
      <c r="G13365" s="1050"/>
    </row>
    <row r="13366" spans="1:7">
      <c r="A13366" s="1079"/>
      <c r="B13366" s="1050"/>
      <c r="C13366" s="1050"/>
      <c r="D13366" s="1050"/>
      <c r="E13366" s="1050"/>
      <c r="F13366" s="1050"/>
      <c r="G13366" s="1050"/>
    </row>
    <row r="13367" spans="1:7">
      <c r="A13367" s="1079"/>
      <c r="B13367" s="1050"/>
      <c r="C13367" s="1050"/>
      <c r="D13367" s="1050"/>
      <c r="E13367" s="1050"/>
      <c r="F13367" s="1050"/>
      <c r="G13367" s="1050"/>
    </row>
    <row r="13368" spans="1:7">
      <c r="A13368" s="1079"/>
      <c r="B13368" s="1050"/>
      <c r="C13368" s="1050"/>
      <c r="D13368" s="1050"/>
      <c r="E13368" s="1050"/>
      <c r="F13368" s="1050"/>
      <c r="G13368" s="1050"/>
    </row>
    <row r="13369" spans="1:7">
      <c r="A13369" s="1079"/>
      <c r="B13369" s="1050"/>
      <c r="C13369" s="1050"/>
      <c r="D13369" s="1050"/>
      <c r="E13369" s="1050"/>
      <c r="F13369" s="1050"/>
      <c r="G13369" s="1050"/>
    </row>
    <row r="13370" spans="1:7">
      <c r="A13370" s="1079"/>
      <c r="B13370" s="1050"/>
      <c r="C13370" s="1050"/>
      <c r="D13370" s="1050"/>
      <c r="E13370" s="1050"/>
      <c r="F13370" s="1050"/>
      <c r="G13370" s="1050"/>
    </row>
    <row r="13371" spans="1:7">
      <c r="A13371" s="1079"/>
      <c r="B13371" s="1050"/>
      <c r="C13371" s="1050"/>
      <c r="D13371" s="1050"/>
      <c r="E13371" s="1050"/>
      <c r="F13371" s="1050"/>
      <c r="G13371" s="1050"/>
    </row>
    <row r="13372" spans="1:7">
      <c r="A13372" s="1079"/>
      <c r="B13372" s="1050"/>
      <c r="C13372" s="1050"/>
      <c r="D13372" s="1050"/>
      <c r="E13372" s="1050"/>
      <c r="F13372" s="1050"/>
      <c r="G13372" s="1050"/>
    </row>
    <row r="13373" spans="1:7">
      <c r="A13373" s="1079"/>
      <c r="B13373" s="1050"/>
      <c r="C13373" s="1050"/>
      <c r="D13373" s="1050"/>
      <c r="E13373" s="1050"/>
      <c r="F13373" s="1050"/>
      <c r="G13373" s="1050"/>
    </row>
    <row r="13374" spans="1:7">
      <c r="A13374" s="1079"/>
      <c r="B13374" s="1050"/>
      <c r="C13374" s="1050"/>
      <c r="D13374" s="1050"/>
      <c r="E13374" s="1050"/>
      <c r="F13374" s="1050"/>
      <c r="G13374" s="1050"/>
    </row>
    <row r="13375" spans="1:7">
      <c r="A13375" s="1079"/>
      <c r="B13375" s="1050"/>
      <c r="C13375" s="1050"/>
      <c r="D13375" s="1050"/>
      <c r="E13375" s="1050"/>
      <c r="F13375" s="1050"/>
      <c r="G13375" s="1050"/>
    </row>
    <row r="13376" spans="1:7">
      <c r="A13376" s="1079"/>
      <c r="B13376" s="1050"/>
      <c r="C13376" s="1050"/>
      <c r="D13376" s="1050"/>
      <c r="E13376" s="1050"/>
      <c r="F13376" s="1050"/>
      <c r="G13376" s="1050"/>
    </row>
    <row r="13377" spans="1:7">
      <c r="A13377" s="1079"/>
      <c r="B13377" s="1050"/>
      <c r="C13377" s="1050"/>
      <c r="D13377" s="1050"/>
      <c r="E13377" s="1050"/>
      <c r="F13377" s="1050"/>
      <c r="G13377" s="1050"/>
    </row>
    <row r="13378" spans="1:7">
      <c r="A13378" s="1079"/>
      <c r="B13378" s="1050"/>
      <c r="C13378" s="1050"/>
      <c r="D13378" s="1050"/>
      <c r="E13378" s="1050"/>
      <c r="F13378" s="1050"/>
      <c r="G13378" s="1050"/>
    </row>
    <row r="13379" spans="1:7">
      <c r="A13379" s="1079"/>
      <c r="B13379" s="1050"/>
      <c r="C13379" s="1050"/>
      <c r="D13379" s="1050"/>
      <c r="E13379" s="1050"/>
      <c r="F13379" s="1050"/>
      <c r="G13379" s="1050"/>
    </row>
    <row r="13380" spans="1:7">
      <c r="A13380" s="1079"/>
      <c r="B13380" s="1050"/>
      <c r="C13380" s="1050"/>
      <c r="D13380" s="1050"/>
      <c r="E13380" s="1050"/>
      <c r="F13380" s="1050"/>
      <c r="G13380" s="1050"/>
    </row>
    <row r="13381" spans="1:7">
      <c r="A13381" s="1079"/>
      <c r="B13381" s="1050"/>
      <c r="C13381" s="1050"/>
      <c r="D13381" s="1050"/>
      <c r="E13381" s="1050"/>
      <c r="F13381" s="1050"/>
      <c r="G13381" s="1050"/>
    </row>
    <row r="13382" spans="1:7">
      <c r="A13382" s="1079"/>
      <c r="B13382" s="1050"/>
      <c r="C13382" s="1050"/>
      <c r="D13382" s="1050"/>
      <c r="E13382" s="1050"/>
      <c r="F13382" s="1050"/>
      <c r="G13382" s="1050"/>
    </row>
    <row r="13383" spans="1:7">
      <c r="A13383" s="1079"/>
      <c r="B13383" s="1050"/>
      <c r="C13383" s="1050"/>
      <c r="D13383" s="1050"/>
      <c r="E13383" s="1050"/>
      <c r="F13383" s="1050"/>
      <c r="G13383" s="1050"/>
    </row>
    <row r="13384" spans="1:7">
      <c r="A13384" s="1079"/>
      <c r="B13384" s="1050"/>
      <c r="C13384" s="1050"/>
      <c r="D13384" s="1050"/>
      <c r="E13384" s="1050"/>
      <c r="F13384" s="1050"/>
      <c r="G13384" s="1050"/>
    </row>
    <row r="13385" spans="1:7">
      <c r="A13385" s="1079"/>
      <c r="B13385" s="1050"/>
      <c r="C13385" s="1050"/>
      <c r="D13385" s="1050"/>
      <c r="E13385" s="1050"/>
      <c r="F13385" s="1050"/>
      <c r="G13385" s="1050"/>
    </row>
    <row r="13386" spans="1:7">
      <c r="A13386" s="1079"/>
      <c r="B13386" s="1050"/>
      <c r="C13386" s="1050"/>
      <c r="D13386" s="1050"/>
      <c r="E13386" s="1050"/>
      <c r="F13386" s="1050"/>
      <c r="G13386" s="1050"/>
    </row>
    <row r="13387" spans="1:7">
      <c r="A13387" s="1079"/>
      <c r="B13387" s="1050"/>
      <c r="C13387" s="1050"/>
      <c r="D13387" s="1050"/>
      <c r="E13387" s="1050"/>
      <c r="F13387" s="1050"/>
      <c r="G13387" s="1050"/>
    </row>
    <row r="13388" spans="1:7">
      <c r="A13388" s="1079"/>
      <c r="B13388" s="1050"/>
      <c r="C13388" s="1050"/>
      <c r="D13388" s="1050"/>
      <c r="E13388" s="1050"/>
      <c r="F13388" s="1050"/>
      <c r="G13388" s="1050"/>
    </row>
    <row r="13389" spans="1:7">
      <c r="A13389" s="1079"/>
      <c r="B13389" s="1050"/>
      <c r="C13389" s="1050"/>
      <c r="D13389" s="1050"/>
      <c r="E13389" s="1050"/>
      <c r="F13389" s="1050"/>
      <c r="G13389" s="1050"/>
    </row>
    <row r="13390" spans="1:7">
      <c r="A13390" s="1079"/>
      <c r="B13390" s="1050"/>
      <c r="C13390" s="1050"/>
      <c r="D13390" s="1050"/>
      <c r="E13390" s="1050"/>
      <c r="F13390" s="1050"/>
      <c r="G13390" s="1050"/>
    </row>
    <row r="13391" spans="1:7">
      <c r="A13391" s="1079"/>
      <c r="B13391" s="1050"/>
      <c r="C13391" s="1050"/>
      <c r="D13391" s="1050"/>
      <c r="E13391" s="1050"/>
      <c r="F13391" s="1050"/>
      <c r="G13391" s="1050"/>
    </row>
    <row r="13392" spans="1:7">
      <c r="A13392" s="1079"/>
      <c r="B13392" s="1050"/>
      <c r="C13392" s="1050"/>
      <c r="D13392" s="1050"/>
      <c r="E13392" s="1050"/>
      <c r="F13392" s="1050"/>
      <c r="G13392" s="1050"/>
    </row>
    <row r="13393" spans="1:7">
      <c r="A13393" s="1079"/>
      <c r="B13393" s="1050"/>
      <c r="C13393" s="1050"/>
      <c r="D13393" s="1050"/>
      <c r="E13393" s="1050"/>
      <c r="F13393" s="1050"/>
      <c r="G13393" s="1050"/>
    </row>
    <row r="13394" spans="1:7">
      <c r="A13394" s="1079"/>
      <c r="B13394" s="1050"/>
      <c r="C13394" s="1050"/>
      <c r="D13394" s="1050"/>
      <c r="E13394" s="1050"/>
      <c r="F13394" s="1050"/>
      <c r="G13394" s="1050"/>
    </row>
    <row r="13395" spans="1:7">
      <c r="A13395" s="1079"/>
      <c r="B13395" s="1050"/>
      <c r="C13395" s="1050"/>
      <c r="D13395" s="1050"/>
      <c r="E13395" s="1050"/>
      <c r="F13395" s="1050"/>
      <c r="G13395" s="1050"/>
    </row>
    <row r="13396" spans="1:7">
      <c r="A13396" s="1079"/>
      <c r="B13396" s="1050"/>
      <c r="C13396" s="1050"/>
      <c r="D13396" s="1050"/>
      <c r="E13396" s="1050"/>
      <c r="F13396" s="1050"/>
      <c r="G13396" s="1050"/>
    </row>
    <row r="13397" spans="1:7">
      <c r="A13397" s="1079"/>
      <c r="B13397" s="1050"/>
      <c r="C13397" s="1050"/>
      <c r="D13397" s="1050"/>
      <c r="E13397" s="1050"/>
      <c r="F13397" s="1050"/>
      <c r="G13397" s="1050"/>
    </row>
    <row r="13398" spans="1:7">
      <c r="A13398" s="1079"/>
      <c r="B13398" s="1050"/>
      <c r="C13398" s="1050"/>
      <c r="D13398" s="1050"/>
      <c r="E13398" s="1050"/>
      <c r="F13398" s="1050"/>
      <c r="G13398" s="1050"/>
    </row>
    <row r="13399" spans="1:7">
      <c r="A13399" s="1079"/>
      <c r="B13399" s="1050"/>
      <c r="C13399" s="1050"/>
      <c r="D13399" s="1050"/>
      <c r="E13399" s="1050"/>
      <c r="F13399" s="1050"/>
      <c r="G13399" s="1050"/>
    </row>
    <row r="13400" spans="1:7">
      <c r="A13400" s="1079"/>
      <c r="B13400" s="1050"/>
      <c r="C13400" s="1050"/>
      <c r="D13400" s="1050"/>
      <c r="E13400" s="1050"/>
      <c r="F13400" s="1050"/>
      <c r="G13400" s="1050"/>
    </row>
    <row r="13401" spans="1:7">
      <c r="A13401" s="1079"/>
      <c r="B13401" s="1050"/>
      <c r="C13401" s="1050"/>
      <c r="D13401" s="1050"/>
      <c r="E13401" s="1050"/>
      <c r="F13401" s="1050"/>
      <c r="G13401" s="1050"/>
    </row>
    <row r="13402" spans="1:7">
      <c r="A13402" s="1079"/>
      <c r="B13402" s="1050"/>
      <c r="C13402" s="1050"/>
      <c r="D13402" s="1050"/>
      <c r="E13402" s="1050"/>
      <c r="F13402" s="1050"/>
      <c r="G13402" s="1050"/>
    </row>
    <row r="13403" spans="1:7">
      <c r="A13403" s="1079"/>
      <c r="B13403" s="1050"/>
      <c r="C13403" s="1050"/>
      <c r="D13403" s="1050"/>
      <c r="E13403" s="1050"/>
      <c r="F13403" s="1050"/>
      <c r="G13403" s="1050"/>
    </row>
    <row r="13404" spans="1:7">
      <c r="A13404" s="1079"/>
      <c r="B13404" s="1050"/>
      <c r="C13404" s="1050"/>
      <c r="D13404" s="1050"/>
      <c r="E13404" s="1050"/>
      <c r="F13404" s="1050"/>
      <c r="G13404" s="1050"/>
    </row>
    <row r="13405" spans="1:7">
      <c r="A13405" s="1079"/>
      <c r="B13405" s="1050"/>
      <c r="C13405" s="1050"/>
      <c r="D13405" s="1050"/>
      <c r="E13405" s="1050"/>
      <c r="F13405" s="1050"/>
      <c r="G13405" s="1050"/>
    </row>
    <row r="13406" spans="1:7">
      <c r="A13406" s="1079"/>
      <c r="B13406" s="1050"/>
      <c r="C13406" s="1050"/>
      <c r="D13406" s="1050"/>
      <c r="E13406" s="1050"/>
      <c r="F13406" s="1050"/>
      <c r="G13406" s="1050"/>
    </row>
    <row r="13407" spans="1:7">
      <c r="A13407" s="1079"/>
      <c r="B13407" s="1050"/>
      <c r="C13407" s="1050"/>
      <c r="D13407" s="1050"/>
      <c r="E13407" s="1050"/>
      <c r="F13407" s="1050"/>
      <c r="G13407" s="1050"/>
    </row>
    <row r="13408" spans="1:7">
      <c r="A13408" s="1079"/>
      <c r="B13408" s="1050"/>
      <c r="C13408" s="1050"/>
      <c r="D13408" s="1050"/>
      <c r="E13408" s="1050"/>
      <c r="F13408" s="1050"/>
      <c r="G13408" s="1050"/>
    </row>
    <row r="13409" spans="1:7">
      <c r="A13409" s="1079"/>
      <c r="B13409" s="1050"/>
      <c r="C13409" s="1050"/>
      <c r="D13409" s="1050"/>
      <c r="E13409" s="1050"/>
      <c r="F13409" s="1050"/>
      <c r="G13409" s="1050"/>
    </row>
    <row r="13410" spans="1:7">
      <c r="A13410" s="1079"/>
      <c r="B13410" s="1050"/>
      <c r="C13410" s="1050"/>
      <c r="D13410" s="1050"/>
      <c r="E13410" s="1050"/>
      <c r="F13410" s="1050"/>
      <c r="G13410" s="1050"/>
    </row>
    <row r="13411" spans="1:7">
      <c r="A13411" s="1079"/>
      <c r="B13411" s="1050"/>
      <c r="C13411" s="1050"/>
      <c r="D13411" s="1050"/>
      <c r="E13411" s="1050"/>
      <c r="F13411" s="1050"/>
      <c r="G13411" s="1050"/>
    </row>
    <row r="13412" spans="1:7">
      <c r="A13412" s="1079"/>
      <c r="B13412" s="1050"/>
      <c r="C13412" s="1050"/>
      <c r="D13412" s="1050"/>
      <c r="E13412" s="1050"/>
      <c r="F13412" s="1050"/>
      <c r="G13412" s="1050"/>
    </row>
    <row r="13413" spans="1:7">
      <c r="A13413" s="1079"/>
      <c r="B13413" s="1050"/>
      <c r="C13413" s="1050"/>
      <c r="D13413" s="1050"/>
      <c r="E13413" s="1050"/>
      <c r="F13413" s="1050"/>
      <c r="G13413" s="1050"/>
    </row>
    <row r="13414" spans="1:7">
      <c r="A13414" s="1079"/>
      <c r="B13414" s="1050"/>
      <c r="C13414" s="1050"/>
      <c r="D13414" s="1050"/>
      <c r="E13414" s="1050"/>
      <c r="F13414" s="1050"/>
      <c r="G13414" s="1050"/>
    </row>
    <row r="13415" spans="1:7">
      <c r="A13415" s="1079"/>
      <c r="B13415" s="1050"/>
      <c r="C13415" s="1050"/>
      <c r="D13415" s="1050"/>
      <c r="E13415" s="1050"/>
      <c r="F13415" s="1050"/>
      <c r="G13415" s="1050"/>
    </row>
    <row r="13416" spans="1:7">
      <c r="A13416" s="1079"/>
      <c r="B13416" s="1050"/>
      <c r="C13416" s="1050"/>
      <c r="D13416" s="1050"/>
      <c r="E13416" s="1050"/>
      <c r="F13416" s="1050"/>
      <c r="G13416" s="1050"/>
    </row>
    <row r="13417" spans="1:7">
      <c r="A13417" s="1079"/>
      <c r="B13417" s="1050"/>
      <c r="C13417" s="1050"/>
      <c r="D13417" s="1050"/>
      <c r="E13417" s="1050"/>
      <c r="F13417" s="1050"/>
      <c r="G13417" s="1050"/>
    </row>
    <row r="13418" spans="1:7">
      <c r="A13418" s="1079"/>
      <c r="B13418" s="1050"/>
      <c r="C13418" s="1050"/>
      <c r="D13418" s="1050"/>
      <c r="E13418" s="1050"/>
      <c r="F13418" s="1050"/>
      <c r="G13418" s="1050"/>
    </row>
    <row r="13419" spans="1:7">
      <c r="A13419" s="1079"/>
      <c r="B13419" s="1050"/>
      <c r="C13419" s="1050"/>
      <c r="D13419" s="1050"/>
      <c r="E13419" s="1050"/>
      <c r="F13419" s="1050"/>
      <c r="G13419" s="1050"/>
    </row>
    <row r="13420" spans="1:7">
      <c r="A13420" s="1079"/>
      <c r="B13420" s="1050"/>
      <c r="C13420" s="1050"/>
      <c r="D13420" s="1050"/>
      <c r="E13420" s="1050"/>
      <c r="F13420" s="1050"/>
      <c r="G13420" s="1050"/>
    </row>
    <row r="13421" spans="1:7">
      <c r="A13421" s="1079"/>
      <c r="B13421" s="1050"/>
      <c r="C13421" s="1050"/>
      <c r="D13421" s="1050"/>
      <c r="E13421" s="1050"/>
      <c r="F13421" s="1050"/>
      <c r="G13421" s="1050"/>
    </row>
    <row r="13422" spans="1:7">
      <c r="A13422" s="1079"/>
      <c r="B13422" s="1050"/>
      <c r="C13422" s="1050"/>
      <c r="D13422" s="1050"/>
      <c r="E13422" s="1050"/>
      <c r="F13422" s="1050"/>
      <c r="G13422" s="1050"/>
    </row>
    <row r="13423" spans="1:7">
      <c r="A13423" s="1079"/>
      <c r="B13423" s="1050"/>
      <c r="C13423" s="1050"/>
      <c r="D13423" s="1050"/>
      <c r="E13423" s="1050"/>
      <c r="F13423" s="1050"/>
      <c r="G13423" s="1050"/>
    </row>
    <row r="13424" spans="1:7">
      <c r="A13424" s="1079"/>
      <c r="B13424" s="1050"/>
      <c r="C13424" s="1050"/>
      <c r="D13424" s="1050"/>
      <c r="E13424" s="1050"/>
      <c r="F13424" s="1050"/>
      <c r="G13424" s="1050"/>
    </row>
    <row r="13425" spans="1:7">
      <c r="A13425" s="1079"/>
      <c r="B13425" s="1050"/>
      <c r="C13425" s="1050"/>
      <c r="D13425" s="1050"/>
      <c r="E13425" s="1050"/>
      <c r="F13425" s="1050"/>
      <c r="G13425" s="1050"/>
    </row>
    <row r="13426" spans="1:7">
      <c r="A13426" s="1079"/>
      <c r="B13426" s="1050"/>
      <c r="C13426" s="1050"/>
      <c r="D13426" s="1050"/>
      <c r="E13426" s="1050"/>
      <c r="F13426" s="1050"/>
      <c r="G13426" s="1050"/>
    </row>
    <row r="13427" spans="1:7">
      <c r="A13427" s="1079"/>
      <c r="B13427" s="1050"/>
      <c r="C13427" s="1050"/>
      <c r="D13427" s="1050"/>
      <c r="E13427" s="1050"/>
      <c r="F13427" s="1050"/>
      <c r="G13427" s="1050"/>
    </row>
    <row r="13428" spans="1:7">
      <c r="A13428" s="1079"/>
      <c r="B13428" s="1050"/>
      <c r="C13428" s="1050"/>
      <c r="D13428" s="1050"/>
      <c r="E13428" s="1050"/>
      <c r="F13428" s="1050"/>
      <c r="G13428" s="1050"/>
    </row>
    <row r="13429" spans="1:7">
      <c r="A13429" s="1079"/>
      <c r="B13429" s="1050"/>
      <c r="C13429" s="1050"/>
      <c r="D13429" s="1050"/>
      <c r="E13429" s="1050"/>
      <c r="F13429" s="1050"/>
      <c r="G13429" s="1050"/>
    </row>
    <row r="13430" spans="1:7">
      <c r="A13430" s="1079"/>
      <c r="B13430" s="1050"/>
      <c r="C13430" s="1050"/>
      <c r="D13430" s="1050"/>
      <c r="E13430" s="1050"/>
      <c r="F13430" s="1050"/>
      <c r="G13430" s="1050"/>
    </row>
    <row r="13431" spans="1:7">
      <c r="A13431" s="1079"/>
      <c r="B13431" s="1050"/>
      <c r="C13431" s="1050"/>
      <c r="D13431" s="1050"/>
      <c r="E13431" s="1050"/>
      <c r="F13431" s="1050"/>
      <c r="G13431" s="1050"/>
    </row>
    <row r="13432" spans="1:7">
      <c r="A13432" s="1079"/>
      <c r="B13432" s="1050"/>
      <c r="C13432" s="1050"/>
      <c r="D13432" s="1050"/>
      <c r="E13432" s="1050"/>
      <c r="F13432" s="1050"/>
      <c r="G13432" s="1050"/>
    </row>
    <row r="13433" spans="1:7">
      <c r="A13433" s="1079"/>
      <c r="B13433" s="1050"/>
      <c r="C13433" s="1050"/>
      <c r="D13433" s="1050"/>
      <c r="E13433" s="1050"/>
      <c r="F13433" s="1050"/>
      <c r="G13433" s="1050"/>
    </row>
    <row r="13434" spans="1:7">
      <c r="A13434" s="1079"/>
      <c r="B13434" s="1050"/>
      <c r="C13434" s="1050"/>
      <c r="D13434" s="1050"/>
      <c r="E13434" s="1050"/>
      <c r="F13434" s="1050"/>
      <c r="G13434" s="1050"/>
    </row>
    <row r="13435" spans="1:7">
      <c r="A13435" s="1079"/>
      <c r="B13435" s="1050"/>
      <c r="C13435" s="1050"/>
      <c r="D13435" s="1050"/>
      <c r="E13435" s="1050"/>
      <c r="F13435" s="1050"/>
      <c r="G13435" s="1050"/>
    </row>
    <row r="13436" spans="1:7">
      <c r="A13436" s="1079"/>
      <c r="B13436" s="1050"/>
      <c r="C13436" s="1050"/>
      <c r="D13436" s="1050"/>
      <c r="E13436" s="1050"/>
      <c r="F13436" s="1050"/>
      <c r="G13436" s="1050"/>
    </row>
    <row r="13437" spans="1:7">
      <c r="A13437" s="1079"/>
      <c r="B13437" s="1050"/>
      <c r="C13437" s="1050"/>
      <c r="D13437" s="1050"/>
      <c r="E13437" s="1050"/>
      <c r="F13437" s="1050"/>
      <c r="G13437" s="1050"/>
    </row>
    <row r="13438" spans="1:7">
      <c r="A13438" s="1079"/>
      <c r="B13438" s="1050"/>
      <c r="C13438" s="1050"/>
      <c r="D13438" s="1050"/>
      <c r="E13438" s="1050"/>
      <c r="F13438" s="1050"/>
      <c r="G13438" s="1050"/>
    </row>
    <row r="13439" spans="1:7">
      <c r="A13439" s="1079"/>
      <c r="B13439" s="1050"/>
      <c r="C13439" s="1050"/>
      <c r="D13439" s="1050"/>
      <c r="E13439" s="1050"/>
      <c r="F13439" s="1050"/>
      <c r="G13439" s="1050"/>
    </row>
    <row r="13440" spans="1:7">
      <c r="A13440" s="1079"/>
      <c r="B13440" s="1050"/>
      <c r="C13440" s="1050"/>
      <c r="D13440" s="1050"/>
      <c r="E13440" s="1050"/>
      <c r="F13440" s="1050"/>
      <c r="G13440" s="1050"/>
    </row>
    <row r="13441" spans="1:7">
      <c r="A13441" s="1079"/>
      <c r="B13441" s="1050"/>
      <c r="C13441" s="1050"/>
      <c r="D13441" s="1050"/>
      <c r="E13441" s="1050"/>
      <c r="F13441" s="1050"/>
      <c r="G13441" s="1050"/>
    </row>
    <row r="13442" spans="1:7">
      <c r="A13442" s="1079"/>
      <c r="B13442" s="1050"/>
      <c r="C13442" s="1050"/>
      <c r="D13442" s="1050"/>
      <c r="E13442" s="1050"/>
      <c r="F13442" s="1050"/>
      <c r="G13442" s="1050"/>
    </row>
    <row r="13443" spans="1:7">
      <c r="A13443" s="1079"/>
      <c r="B13443" s="1050"/>
      <c r="C13443" s="1050"/>
      <c r="D13443" s="1050"/>
      <c r="E13443" s="1050"/>
      <c r="F13443" s="1050"/>
      <c r="G13443" s="1050"/>
    </row>
    <row r="13444" spans="1:7">
      <c r="A13444" s="1079"/>
      <c r="B13444" s="1050"/>
      <c r="C13444" s="1050"/>
      <c r="D13444" s="1050"/>
      <c r="E13444" s="1050"/>
      <c r="F13444" s="1050"/>
      <c r="G13444" s="1050"/>
    </row>
    <row r="13445" spans="1:7">
      <c r="A13445" s="1079"/>
      <c r="B13445" s="1050"/>
      <c r="C13445" s="1050"/>
      <c r="D13445" s="1050"/>
      <c r="E13445" s="1050"/>
      <c r="F13445" s="1050"/>
      <c r="G13445" s="1050"/>
    </row>
    <row r="13446" spans="1:7">
      <c r="A13446" s="1079"/>
      <c r="B13446" s="1050"/>
      <c r="C13446" s="1050"/>
      <c r="D13446" s="1050"/>
      <c r="E13446" s="1050"/>
      <c r="F13446" s="1050"/>
      <c r="G13446" s="1050"/>
    </row>
    <row r="13447" spans="1:7">
      <c r="A13447" s="1079"/>
      <c r="B13447" s="1050"/>
      <c r="C13447" s="1050"/>
      <c r="D13447" s="1050"/>
      <c r="E13447" s="1050"/>
      <c r="F13447" s="1050"/>
      <c r="G13447" s="1050"/>
    </row>
    <row r="13448" spans="1:7">
      <c r="A13448" s="1079"/>
      <c r="B13448" s="1050"/>
      <c r="C13448" s="1050"/>
      <c r="D13448" s="1050"/>
      <c r="E13448" s="1050"/>
      <c r="F13448" s="1050"/>
      <c r="G13448" s="1050"/>
    </row>
    <row r="13449" spans="1:7">
      <c r="A13449" s="1079"/>
      <c r="B13449" s="1050"/>
      <c r="C13449" s="1050"/>
      <c r="D13449" s="1050"/>
      <c r="E13449" s="1050"/>
      <c r="F13449" s="1050"/>
      <c r="G13449" s="1050"/>
    </row>
    <row r="13450" spans="1:7">
      <c r="A13450" s="1079"/>
      <c r="B13450" s="1050"/>
      <c r="C13450" s="1050"/>
      <c r="D13450" s="1050"/>
      <c r="E13450" s="1050"/>
      <c r="F13450" s="1050"/>
      <c r="G13450" s="1050"/>
    </row>
    <row r="13451" spans="1:7">
      <c r="A13451" s="1079"/>
      <c r="B13451" s="1050"/>
      <c r="C13451" s="1050"/>
      <c r="D13451" s="1050"/>
      <c r="E13451" s="1050"/>
      <c r="F13451" s="1050"/>
      <c r="G13451" s="1050"/>
    </row>
    <row r="13452" spans="1:7">
      <c r="A13452" s="1079"/>
      <c r="B13452" s="1050"/>
      <c r="C13452" s="1050"/>
      <c r="D13452" s="1050"/>
      <c r="E13452" s="1050"/>
      <c r="F13452" s="1050"/>
      <c r="G13452" s="1050"/>
    </row>
    <row r="13453" spans="1:7">
      <c r="A13453" s="1079"/>
      <c r="B13453" s="1050"/>
      <c r="C13453" s="1050"/>
      <c r="D13453" s="1050"/>
      <c r="E13453" s="1050"/>
      <c r="F13453" s="1050"/>
      <c r="G13453" s="1050"/>
    </row>
    <row r="13454" spans="1:7">
      <c r="A13454" s="1079"/>
      <c r="B13454" s="1050"/>
      <c r="C13454" s="1050"/>
      <c r="D13454" s="1050"/>
      <c r="E13454" s="1050"/>
      <c r="F13454" s="1050"/>
      <c r="G13454" s="1050"/>
    </row>
    <row r="13455" spans="1:7">
      <c r="A13455" s="1079"/>
      <c r="B13455" s="1050"/>
      <c r="C13455" s="1050"/>
      <c r="D13455" s="1050"/>
      <c r="E13455" s="1050"/>
      <c r="F13455" s="1050"/>
      <c r="G13455" s="1050"/>
    </row>
    <row r="13456" spans="1:7">
      <c r="A13456" s="1079"/>
      <c r="B13456" s="1050"/>
      <c r="C13456" s="1050"/>
      <c r="D13456" s="1050"/>
      <c r="E13456" s="1050"/>
      <c r="F13456" s="1050"/>
      <c r="G13456" s="1050"/>
    </row>
    <row r="13457" spans="1:7">
      <c r="A13457" s="1079"/>
      <c r="B13457" s="1050"/>
      <c r="C13457" s="1050"/>
      <c r="D13457" s="1050"/>
      <c r="E13457" s="1050"/>
      <c r="F13457" s="1050"/>
      <c r="G13457" s="1050"/>
    </row>
    <row r="13458" spans="1:7">
      <c r="A13458" s="1079"/>
      <c r="B13458" s="1050"/>
      <c r="C13458" s="1050"/>
      <c r="D13458" s="1050"/>
      <c r="E13458" s="1050"/>
      <c r="F13458" s="1050"/>
      <c r="G13458" s="1050"/>
    </row>
    <row r="13459" spans="1:7">
      <c r="A13459" s="1079"/>
      <c r="B13459" s="1050"/>
      <c r="C13459" s="1050"/>
      <c r="D13459" s="1050"/>
      <c r="E13459" s="1050"/>
      <c r="F13459" s="1050"/>
      <c r="G13459" s="1050"/>
    </row>
    <row r="13460" spans="1:7">
      <c r="A13460" s="1079"/>
      <c r="B13460" s="1050"/>
      <c r="C13460" s="1050"/>
      <c r="D13460" s="1050"/>
      <c r="E13460" s="1050"/>
      <c r="F13460" s="1050"/>
      <c r="G13460" s="1050"/>
    </row>
    <row r="13461" spans="1:7">
      <c r="A13461" s="1079"/>
      <c r="B13461" s="1050"/>
      <c r="C13461" s="1050"/>
      <c r="D13461" s="1050"/>
      <c r="E13461" s="1050"/>
      <c r="F13461" s="1050"/>
      <c r="G13461" s="1050"/>
    </row>
    <row r="13462" spans="1:7">
      <c r="A13462" s="1079"/>
      <c r="B13462" s="1050"/>
      <c r="C13462" s="1050"/>
      <c r="D13462" s="1050"/>
      <c r="E13462" s="1050"/>
      <c r="F13462" s="1050"/>
      <c r="G13462" s="1050"/>
    </row>
    <row r="13463" spans="1:7">
      <c r="A13463" s="1079"/>
      <c r="B13463" s="1050"/>
      <c r="C13463" s="1050"/>
      <c r="D13463" s="1050"/>
      <c r="E13463" s="1050"/>
      <c r="F13463" s="1050"/>
      <c r="G13463" s="1050"/>
    </row>
    <row r="13464" spans="1:7">
      <c r="A13464" s="1079"/>
      <c r="B13464" s="1050"/>
      <c r="C13464" s="1050"/>
      <c r="D13464" s="1050"/>
      <c r="E13464" s="1050"/>
      <c r="F13464" s="1050"/>
      <c r="G13464" s="1050"/>
    </row>
    <row r="13465" spans="1:7">
      <c r="A13465" s="1079"/>
      <c r="B13465" s="1050"/>
      <c r="C13465" s="1050"/>
      <c r="D13465" s="1050"/>
      <c r="E13465" s="1050"/>
      <c r="F13465" s="1050"/>
      <c r="G13465" s="1050"/>
    </row>
    <row r="13466" spans="1:7">
      <c r="A13466" s="1079"/>
      <c r="B13466" s="1050"/>
      <c r="C13466" s="1050"/>
      <c r="D13466" s="1050"/>
      <c r="E13466" s="1050"/>
      <c r="F13466" s="1050"/>
      <c r="G13466" s="1050"/>
    </row>
    <row r="13467" spans="1:7">
      <c r="A13467" s="1079"/>
      <c r="B13467" s="1050"/>
      <c r="C13467" s="1050"/>
      <c r="D13467" s="1050"/>
      <c r="E13467" s="1050"/>
      <c r="F13467" s="1050"/>
      <c r="G13467" s="1050"/>
    </row>
    <row r="13468" spans="1:7">
      <c r="A13468" s="1079"/>
      <c r="B13468" s="1050"/>
      <c r="C13468" s="1050"/>
      <c r="D13468" s="1050"/>
      <c r="E13468" s="1050"/>
      <c r="F13468" s="1050"/>
      <c r="G13468" s="1050"/>
    </row>
    <row r="13469" spans="1:7">
      <c r="A13469" s="1079"/>
      <c r="B13469" s="1050"/>
      <c r="C13469" s="1050"/>
      <c r="D13469" s="1050"/>
      <c r="E13469" s="1050"/>
      <c r="F13469" s="1050"/>
      <c r="G13469" s="1050"/>
    </row>
    <row r="13470" spans="1:7">
      <c r="A13470" s="1079"/>
      <c r="B13470" s="1050"/>
      <c r="C13470" s="1050"/>
      <c r="D13470" s="1050"/>
      <c r="E13470" s="1050"/>
      <c r="F13470" s="1050"/>
      <c r="G13470" s="1050"/>
    </row>
    <row r="13471" spans="1:7">
      <c r="A13471" s="1079"/>
      <c r="B13471" s="1050"/>
      <c r="C13471" s="1050"/>
      <c r="D13471" s="1050"/>
      <c r="E13471" s="1050"/>
      <c r="F13471" s="1050"/>
      <c r="G13471" s="1050"/>
    </row>
    <row r="13472" spans="1:7">
      <c r="A13472" s="1079"/>
      <c r="B13472" s="1050"/>
      <c r="C13472" s="1050"/>
      <c r="D13472" s="1050"/>
      <c r="E13472" s="1050"/>
      <c r="F13472" s="1050"/>
      <c r="G13472" s="1050"/>
    </row>
    <row r="13473" spans="1:7">
      <c r="A13473" s="1079"/>
      <c r="B13473" s="1050"/>
      <c r="C13473" s="1050"/>
      <c r="D13473" s="1050"/>
      <c r="E13473" s="1050"/>
      <c r="F13473" s="1050"/>
      <c r="G13473" s="1050"/>
    </row>
    <row r="13474" spans="1:7">
      <c r="A13474" s="1079"/>
      <c r="B13474" s="1050"/>
      <c r="C13474" s="1050"/>
      <c r="D13474" s="1050"/>
      <c r="E13474" s="1050"/>
      <c r="F13474" s="1050"/>
      <c r="G13474" s="1050"/>
    </row>
    <row r="13475" spans="1:7">
      <c r="A13475" s="1079"/>
      <c r="B13475" s="1050"/>
      <c r="C13475" s="1050"/>
      <c r="D13475" s="1050"/>
      <c r="E13475" s="1050"/>
      <c r="F13475" s="1050"/>
      <c r="G13475" s="1050"/>
    </row>
    <row r="13476" spans="1:7">
      <c r="A13476" s="1079"/>
      <c r="B13476" s="1050"/>
      <c r="C13476" s="1050"/>
      <c r="D13476" s="1050"/>
      <c r="E13476" s="1050"/>
      <c r="F13476" s="1050"/>
      <c r="G13476" s="1050"/>
    </row>
    <row r="13477" spans="1:7">
      <c r="A13477" s="1079"/>
      <c r="B13477" s="1050"/>
      <c r="C13477" s="1050"/>
      <c r="D13477" s="1050"/>
      <c r="E13477" s="1050"/>
      <c r="F13477" s="1050"/>
      <c r="G13477" s="1050"/>
    </row>
    <row r="13478" spans="1:7">
      <c r="A13478" s="1079"/>
      <c r="B13478" s="1050"/>
      <c r="C13478" s="1050"/>
      <c r="D13478" s="1050"/>
      <c r="E13478" s="1050"/>
      <c r="F13478" s="1050"/>
      <c r="G13478" s="1050"/>
    </row>
    <row r="13479" spans="1:7">
      <c r="A13479" s="1079"/>
      <c r="B13479" s="1050"/>
      <c r="C13479" s="1050"/>
      <c r="D13479" s="1050"/>
      <c r="E13479" s="1050"/>
      <c r="F13479" s="1050"/>
      <c r="G13479" s="1050"/>
    </row>
    <row r="13480" spans="1:7">
      <c r="A13480" s="1079"/>
      <c r="B13480" s="1050"/>
      <c r="C13480" s="1050"/>
      <c r="D13480" s="1050"/>
      <c r="E13480" s="1050"/>
      <c r="F13480" s="1050"/>
      <c r="G13480" s="1050"/>
    </row>
    <row r="13481" spans="1:7">
      <c r="A13481" s="1079"/>
      <c r="B13481" s="1050"/>
      <c r="C13481" s="1050"/>
      <c r="D13481" s="1050"/>
      <c r="E13481" s="1050"/>
      <c r="F13481" s="1050"/>
      <c r="G13481" s="1050"/>
    </row>
    <row r="13482" spans="1:7">
      <c r="A13482" s="1079"/>
      <c r="B13482" s="1050"/>
      <c r="C13482" s="1050"/>
      <c r="D13482" s="1050"/>
      <c r="E13482" s="1050"/>
      <c r="F13482" s="1050"/>
      <c r="G13482" s="1050"/>
    </row>
    <row r="13483" spans="1:7">
      <c r="A13483" s="1079"/>
      <c r="B13483" s="1050"/>
      <c r="C13483" s="1050"/>
      <c r="D13483" s="1050"/>
      <c r="E13483" s="1050"/>
      <c r="F13483" s="1050"/>
      <c r="G13483" s="1050"/>
    </row>
    <row r="13484" spans="1:7">
      <c r="A13484" s="1079"/>
      <c r="B13484" s="1050"/>
      <c r="C13484" s="1050"/>
      <c r="D13484" s="1050"/>
      <c r="E13484" s="1050"/>
      <c r="F13484" s="1050"/>
      <c r="G13484" s="1050"/>
    </row>
    <row r="13485" spans="1:7">
      <c r="A13485" s="1079"/>
      <c r="B13485" s="1050"/>
      <c r="C13485" s="1050"/>
      <c r="D13485" s="1050"/>
      <c r="E13485" s="1050"/>
      <c r="F13485" s="1050"/>
      <c r="G13485" s="1050"/>
    </row>
    <row r="13486" spans="1:7">
      <c r="A13486" s="1079"/>
      <c r="B13486" s="1050"/>
      <c r="C13486" s="1050"/>
      <c r="D13486" s="1050"/>
      <c r="E13486" s="1050"/>
      <c r="F13486" s="1050"/>
      <c r="G13486" s="1050"/>
    </row>
    <row r="13487" spans="1:7">
      <c r="A13487" s="1079"/>
      <c r="B13487" s="1050"/>
      <c r="C13487" s="1050"/>
      <c r="D13487" s="1050"/>
      <c r="E13487" s="1050"/>
      <c r="F13487" s="1050"/>
      <c r="G13487" s="1050"/>
    </row>
    <row r="13488" spans="1:7">
      <c r="A13488" s="1079"/>
      <c r="B13488" s="1050"/>
      <c r="C13488" s="1050"/>
      <c r="D13488" s="1050"/>
      <c r="E13488" s="1050"/>
      <c r="F13488" s="1050"/>
      <c r="G13488" s="1050"/>
    </row>
    <row r="13489" spans="1:7">
      <c r="A13489" s="1079"/>
      <c r="B13489" s="1050"/>
      <c r="C13489" s="1050"/>
      <c r="D13489" s="1050"/>
      <c r="E13489" s="1050"/>
      <c r="F13489" s="1050"/>
      <c r="G13489" s="1050"/>
    </row>
    <row r="13490" spans="1:7">
      <c r="A13490" s="1079"/>
      <c r="B13490" s="1050"/>
      <c r="C13490" s="1050"/>
      <c r="D13490" s="1050"/>
      <c r="E13490" s="1050"/>
      <c r="F13490" s="1050"/>
      <c r="G13490" s="1050"/>
    </row>
    <row r="13491" spans="1:7">
      <c r="A13491" s="1079"/>
      <c r="B13491" s="1050"/>
      <c r="C13491" s="1050"/>
      <c r="D13491" s="1050"/>
      <c r="E13491" s="1050"/>
      <c r="F13491" s="1050"/>
      <c r="G13491" s="1050"/>
    </row>
    <row r="13492" spans="1:7">
      <c r="A13492" s="1079"/>
      <c r="B13492" s="1050"/>
      <c r="C13492" s="1050"/>
      <c r="D13492" s="1050"/>
      <c r="E13492" s="1050"/>
      <c r="F13492" s="1050"/>
      <c r="G13492" s="1050"/>
    </row>
    <row r="13493" spans="1:7">
      <c r="A13493" s="1079"/>
      <c r="B13493" s="1050"/>
      <c r="C13493" s="1050"/>
      <c r="D13493" s="1050"/>
      <c r="E13493" s="1050"/>
      <c r="F13493" s="1050"/>
      <c r="G13493" s="1050"/>
    </row>
    <row r="13494" spans="1:7">
      <c r="A13494" s="1079"/>
      <c r="B13494" s="1050"/>
      <c r="C13494" s="1050"/>
      <c r="D13494" s="1050"/>
      <c r="E13494" s="1050"/>
      <c r="F13494" s="1050"/>
      <c r="G13494" s="1050"/>
    </row>
    <row r="13495" spans="1:7">
      <c r="A13495" s="1079"/>
      <c r="B13495" s="1050"/>
      <c r="C13495" s="1050"/>
      <c r="D13495" s="1050"/>
      <c r="E13495" s="1050"/>
      <c r="F13495" s="1050"/>
      <c r="G13495" s="1050"/>
    </row>
    <row r="13496" spans="1:7">
      <c r="A13496" s="1079"/>
      <c r="B13496" s="1050"/>
      <c r="C13496" s="1050"/>
      <c r="D13496" s="1050"/>
      <c r="E13496" s="1050"/>
      <c r="F13496" s="1050"/>
      <c r="G13496" s="1050"/>
    </row>
    <row r="13497" spans="1:7">
      <c r="A13497" s="1079"/>
      <c r="B13497" s="1050"/>
      <c r="C13497" s="1050"/>
      <c r="D13497" s="1050"/>
      <c r="E13497" s="1050"/>
      <c r="F13497" s="1050"/>
      <c r="G13497" s="1050"/>
    </row>
    <row r="13498" spans="1:7">
      <c r="A13498" s="1079"/>
      <c r="B13498" s="1050"/>
      <c r="C13498" s="1050"/>
      <c r="D13498" s="1050"/>
      <c r="E13498" s="1050"/>
      <c r="F13498" s="1050"/>
      <c r="G13498" s="1050"/>
    </row>
    <row r="13499" spans="1:7">
      <c r="A13499" s="1079"/>
      <c r="B13499" s="1050"/>
      <c r="C13499" s="1050"/>
      <c r="D13499" s="1050"/>
      <c r="E13499" s="1050"/>
      <c r="F13499" s="1050"/>
      <c r="G13499" s="1050"/>
    </row>
    <row r="13500" spans="1:7">
      <c r="A13500" s="1079"/>
      <c r="B13500" s="1050"/>
      <c r="C13500" s="1050"/>
      <c r="D13500" s="1050"/>
      <c r="E13500" s="1050"/>
      <c r="F13500" s="1050"/>
      <c r="G13500" s="1050"/>
    </row>
    <row r="13501" spans="1:7">
      <c r="A13501" s="1079"/>
      <c r="B13501" s="1050"/>
      <c r="C13501" s="1050"/>
      <c r="D13501" s="1050"/>
      <c r="E13501" s="1050"/>
      <c r="F13501" s="1050"/>
      <c r="G13501" s="1050"/>
    </row>
    <row r="13502" spans="1:7">
      <c r="A13502" s="1079"/>
      <c r="B13502" s="1050"/>
      <c r="C13502" s="1050"/>
      <c r="D13502" s="1050"/>
      <c r="E13502" s="1050"/>
      <c r="F13502" s="1050"/>
      <c r="G13502" s="1050"/>
    </row>
    <row r="13503" spans="1:7">
      <c r="A13503" s="1079"/>
      <c r="B13503" s="1050"/>
      <c r="C13503" s="1050"/>
      <c r="D13503" s="1050"/>
      <c r="E13503" s="1050"/>
      <c r="F13503" s="1050"/>
      <c r="G13503" s="1050"/>
    </row>
    <row r="13504" spans="1:7">
      <c r="A13504" s="1079"/>
      <c r="B13504" s="1050"/>
      <c r="C13504" s="1050"/>
      <c r="D13504" s="1050"/>
      <c r="E13504" s="1050"/>
      <c r="F13504" s="1050"/>
      <c r="G13504" s="1050"/>
    </row>
    <row r="13505" spans="1:7">
      <c r="A13505" s="1079"/>
      <c r="B13505" s="1050"/>
      <c r="C13505" s="1050"/>
      <c r="D13505" s="1050"/>
      <c r="E13505" s="1050"/>
      <c r="F13505" s="1050"/>
      <c r="G13505" s="1050"/>
    </row>
    <row r="13506" spans="1:7">
      <c r="A13506" s="1079"/>
      <c r="B13506" s="1050"/>
      <c r="C13506" s="1050"/>
      <c r="D13506" s="1050"/>
      <c r="E13506" s="1050"/>
      <c r="F13506" s="1050"/>
      <c r="G13506" s="1050"/>
    </row>
    <row r="13507" spans="1:7">
      <c r="A13507" s="1079"/>
      <c r="B13507" s="1050"/>
      <c r="C13507" s="1050"/>
      <c r="D13507" s="1050"/>
      <c r="E13507" s="1050"/>
      <c r="F13507" s="1050"/>
      <c r="G13507" s="1050"/>
    </row>
    <row r="13508" spans="1:7">
      <c r="A13508" s="1079"/>
      <c r="B13508" s="1050"/>
      <c r="C13508" s="1050"/>
      <c r="D13508" s="1050"/>
      <c r="E13508" s="1050"/>
      <c r="F13508" s="1050"/>
      <c r="G13508" s="1050"/>
    </row>
    <row r="13509" spans="1:7">
      <c r="A13509" s="1079"/>
      <c r="B13509" s="1050"/>
      <c r="C13509" s="1050"/>
      <c r="D13509" s="1050"/>
      <c r="E13509" s="1050"/>
      <c r="F13509" s="1050"/>
      <c r="G13509" s="1050"/>
    </row>
    <row r="13510" spans="1:7">
      <c r="A13510" s="1079"/>
      <c r="B13510" s="1050"/>
      <c r="C13510" s="1050"/>
      <c r="D13510" s="1050"/>
      <c r="E13510" s="1050"/>
      <c r="F13510" s="1050"/>
      <c r="G13510" s="1050"/>
    </row>
    <row r="13511" spans="1:7">
      <c r="A13511" s="1079"/>
      <c r="B13511" s="1050"/>
      <c r="C13511" s="1050"/>
      <c r="D13511" s="1050"/>
      <c r="E13511" s="1050"/>
      <c r="F13511" s="1050"/>
      <c r="G13511" s="1050"/>
    </row>
    <row r="13512" spans="1:7">
      <c r="A13512" s="1079"/>
      <c r="B13512" s="1050"/>
      <c r="C13512" s="1050"/>
      <c r="D13512" s="1050"/>
      <c r="E13512" s="1050"/>
      <c r="F13512" s="1050"/>
      <c r="G13512" s="1050"/>
    </row>
    <row r="13513" spans="1:7">
      <c r="A13513" s="1079"/>
      <c r="B13513" s="1050"/>
      <c r="C13513" s="1050"/>
      <c r="D13513" s="1050"/>
      <c r="E13513" s="1050"/>
      <c r="F13513" s="1050"/>
      <c r="G13513" s="1050"/>
    </row>
    <row r="13514" spans="1:7">
      <c r="A13514" s="1079"/>
      <c r="B13514" s="1050"/>
      <c r="C13514" s="1050"/>
      <c r="D13514" s="1050"/>
      <c r="E13514" s="1050"/>
      <c r="F13514" s="1050"/>
      <c r="G13514" s="1050"/>
    </row>
    <row r="13515" spans="1:7">
      <c r="A13515" s="1079"/>
      <c r="B13515" s="1050"/>
      <c r="C13515" s="1050"/>
      <c r="D13515" s="1050"/>
      <c r="E13515" s="1050"/>
      <c r="F13515" s="1050"/>
      <c r="G13515" s="1050"/>
    </row>
    <row r="13516" spans="1:7">
      <c r="A13516" s="1079"/>
      <c r="B13516" s="1050"/>
      <c r="C13516" s="1050"/>
      <c r="D13516" s="1050"/>
      <c r="E13516" s="1050"/>
      <c r="F13516" s="1050"/>
      <c r="G13516" s="1050"/>
    </row>
    <row r="13517" spans="1:7">
      <c r="A13517" s="1079"/>
      <c r="B13517" s="1050"/>
      <c r="C13517" s="1050"/>
      <c r="D13517" s="1050"/>
      <c r="E13517" s="1050"/>
      <c r="F13517" s="1050"/>
      <c r="G13517" s="1050"/>
    </row>
    <row r="13518" spans="1:7">
      <c r="A13518" s="1079"/>
      <c r="B13518" s="1050"/>
      <c r="C13518" s="1050"/>
      <c r="D13518" s="1050"/>
      <c r="E13518" s="1050"/>
      <c r="F13518" s="1050"/>
      <c r="G13518" s="1050"/>
    </row>
    <row r="13519" spans="1:7">
      <c r="A13519" s="1079"/>
      <c r="B13519" s="1050"/>
      <c r="C13519" s="1050"/>
      <c r="D13519" s="1050"/>
      <c r="E13519" s="1050"/>
      <c r="F13519" s="1050"/>
      <c r="G13519" s="1050"/>
    </row>
    <row r="13520" spans="1:7">
      <c r="A13520" s="1079"/>
      <c r="B13520" s="1050"/>
      <c r="C13520" s="1050"/>
      <c r="D13520" s="1050"/>
      <c r="E13520" s="1050"/>
      <c r="F13520" s="1050"/>
      <c r="G13520" s="1050"/>
    </row>
    <row r="13521" spans="1:7">
      <c r="A13521" s="1079"/>
      <c r="B13521" s="1050"/>
      <c r="C13521" s="1050"/>
      <c r="D13521" s="1050"/>
      <c r="E13521" s="1050"/>
      <c r="F13521" s="1050"/>
      <c r="G13521" s="1050"/>
    </row>
    <row r="13522" spans="1:7">
      <c r="A13522" s="1079"/>
      <c r="B13522" s="1050"/>
      <c r="C13522" s="1050"/>
      <c r="D13522" s="1050"/>
      <c r="E13522" s="1050"/>
      <c r="F13522" s="1050"/>
      <c r="G13522" s="1050"/>
    </row>
    <row r="13523" spans="1:7">
      <c r="A13523" s="1079"/>
      <c r="B13523" s="1050"/>
      <c r="C13523" s="1050"/>
      <c r="D13523" s="1050"/>
      <c r="E13523" s="1050"/>
      <c r="F13523" s="1050"/>
      <c r="G13523" s="1050"/>
    </row>
    <row r="13524" spans="1:7">
      <c r="A13524" s="1079"/>
      <c r="B13524" s="1050"/>
      <c r="C13524" s="1050"/>
      <c r="D13524" s="1050"/>
      <c r="E13524" s="1050"/>
      <c r="F13524" s="1050"/>
      <c r="G13524" s="1050"/>
    </row>
    <row r="13525" spans="1:7">
      <c r="A13525" s="1079"/>
      <c r="B13525" s="1050"/>
      <c r="C13525" s="1050"/>
      <c r="D13525" s="1050"/>
      <c r="E13525" s="1050"/>
      <c r="F13525" s="1050"/>
      <c r="G13525" s="1050"/>
    </row>
    <row r="13526" spans="1:7">
      <c r="A13526" s="1079"/>
      <c r="B13526" s="1050"/>
      <c r="C13526" s="1050"/>
      <c r="D13526" s="1050"/>
      <c r="E13526" s="1050"/>
      <c r="F13526" s="1050"/>
      <c r="G13526" s="1050"/>
    </row>
    <row r="13527" spans="1:7">
      <c r="A13527" s="1079"/>
      <c r="B13527" s="1050"/>
      <c r="C13527" s="1050"/>
      <c r="D13527" s="1050"/>
      <c r="E13527" s="1050"/>
      <c r="F13527" s="1050"/>
      <c r="G13527" s="1050"/>
    </row>
    <row r="13528" spans="1:7">
      <c r="A13528" s="1079"/>
      <c r="B13528" s="1050"/>
      <c r="C13528" s="1050"/>
      <c r="D13528" s="1050"/>
      <c r="E13528" s="1050"/>
      <c r="F13528" s="1050"/>
      <c r="G13528" s="1050"/>
    </row>
    <row r="13529" spans="1:7">
      <c r="A13529" s="1079"/>
      <c r="B13529" s="1050"/>
      <c r="C13529" s="1050"/>
      <c r="D13529" s="1050"/>
      <c r="E13529" s="1050"/>
      <c r="F13529" s="1050"/>
      <c r="G13529" s="1050"/>
    </row>
    <row r="13530" spans="1:7">
      <c r="A13530" s="1079"/>
      <c r="B13530" s="1050"/>
      <c r="C13530" s="1050"/>
      <c r="D13530" s="1050"/>
      <c r="E13530" s="1050"/>
      <c r="F13530" s="1050"/>
      <c r="G13530" s="1050"/>
    </row>
    <row r="13531" spans="1:7">
      <c r="A13531" s="1079"/>
      <c r="B13531" s="1050"/>
      <c r="C13531" s="1050"/>
      <c r="D13531" s="1050"/>
      <c r="E13531" s="1050"/>
      <c r="F13531" s="1050"/>
      <c r="G13531" s="1050"/>
    </row>
    <row r="13532" spans="1:7">
      <c r="A13532" s="1079"/>
      <c r="B13532" s="1050"/>
      <c r="C13532" s="1050"/>
      <c r="D13532" s="1050"/>
      <c r="E13532" s="1050"/>
      <c r="F13532" s="1050"/>
      <c r="G13532" s="1050"/>
    </row>
    <row r="13533" spans="1:7">
      <c r="A13533" s="1079"/>
      <c r="B13533" s="1050"/>
      <c r="C13533" s="1050"/>
      <c r="D13533" s="1050"/>
      <c r="E13533" s="1050"/>
      <c r="F13533" s="1050"/>
      <c r="G13533" s="1050"/>
    </row>
    <row r="13534" spans="1:7">
      <c r="A13534" s="1079"/>
      <c r="B13534" s="1050"/>
      <c r="C13534" s="1050"/>
      <c r="D13534" s="1050"/>
      <c r="E13534" s="1050"/>
      <c r="F13534" s="1050"/>
      <c r="G13534" s="1050"/>
    </row>
    <row r="13535" spans="1:7">
      <c r="A13535" s="1079"/>
      <c r="B13535" s="1050"/>
      <c r="C13535" s="1050"/>
      <c r="D13535" s="1050"/>
      <c r="E13535" s="1050"/>
      <c r="F13535" s="1050"/>
      <c r="G13535" s="1050"/>
    </row>
    <row r="13536" spans="1:7">
      <c r="A13536" s="1079"/>
      <c r="B13536" s="1050"/>
      <c r="C13536" s="1050"/>
      <c r="D13536" s="1050"/>
      <c r="E13536" s="1050"/>
      <c r="F13536" s="1050"/>
      <c r="G13536" s="1050"/>
    </row>
    <row r="13537" spans="1:7">
      <c r="A13537" s="1079"/>
      <c r="B13537" s="1050"/>
      <c r="C13537" s="1050"/>
      <c r="D13537" s="1050"/>
      <c r="E13537" s="1050"/>
      <c r="F13537" s="1050"/>
      <c r="G13537" s="1050"/>
    </row>
    <row r="13538" spans="1:7">
      <c r="A13538" s="1079"/>
      <c r="B13538" s="1050"/>
      <c r="C13538" s="1050"/>
      <c r="D13538" s="1050"/>
      <c r="E13538" s="1050"/>
      <c r="F13538" s="1050"/>
      <c r="G13538" s="1050"/>
    </row>
    <row r="13539" spans="1:7">
      <c r="A13539" s="1079"/>
      <c r="B13539" s="1050"/>
      <c r="C13539" s="1050"/>
      <c r="D13539" s="1050"/>
      <c r="E13539" s="1050"/>
      <c r="F13539" s="1050"/>
      <c r="G13539" s="1050"/>
    </row>
    <row r="13540" spans="1:7">
      <c r="A13540" s="1079"/>
      <c r="B13540" s="1050"/>
      <c r="C13540" s="1050"/>
      <c r="D13540" s="1050"/>
      <c r="E13540" s="1050"/>
      <c r="F13540" s="1050"/>
      <c r="G13540" s="1050"/>
    </row>
    <row r="13541" spans="1:7">
      <c r="A13541" s="1079"/>
      <c r="B13541" s="1050"/>
      <c r="C13541" s="1050"/>
      <c r="D13541" s="1050"/>
      <c r="E13541" s="1050"/>
      <c r="F13541" s="1050"/>
      <c r="G13541" s="1050"/>
    </row>
    <row r="13542" spans="1:7">
      <c r="A13542" s="1079"/>
      <c r="B13542" s="1050"/>
      <c r="C13542" s="1050"/>
      <c r="D13542" s="1050"/>
      <c r="E13542" s="1050"/>
      <c r="F13542" s="1050"/>
      <c r="G13542" s="1050"/>
    </row>
    <row r="13543" spans="1:7">
      <c r="A13543" s="1079"/>
      <c r="B13543" s="1050"/>
      <c r="C13543" s="1050"/>
      <c r="D13543" s="1050"/>
      <c r="E13543" s="1050"/>
      <c r="F13543" s="1050"/>
      <c r="G13543" s="1050"/>
    </row>
    <row r="13544" spans="1:7">
      <c r="A13544" s="1079"/>
      <c r="B13544" s="1050"/>
      <c r="C13544" s="1050"/>
      <c r="D13544" s="1050"/>
      <c r="E13544" s="1050"/>
      <c r="F13544" s="1050"/>
      <c r="G13544" s="1050"/>
    </row>
    <row r="13545" spans="1:7">
      <c r="A13545" s="1079"/>
      <c r="B13545" s="1050"/>
      <c r="C13545" s="1050"/>
      <c r="D13545" s="1050"/>
      <c r="E13545" s="1050"/>
      <c r="F13545" s="1050"/>
      <c r="G13545" s="1050"/>
    </row>
    <row r="13546" spans="1:7">
      <c r="A13546" s="1079"/>
      <c r="B13546" s="1050"/>
      <c r="C13546" s="1050"/>
      <c r="D13546" s="1050"/>
      <c r="E13546" s="1050"/>
      <c r="F13546" s="1050"/>
      <c r="G13546" s="1050"/>
    </row>
    <row r="13547" spans="1:7">
      <c r="A13547" s="1079"/>
      <c r="B13547" s="1050"/>
      <c r="C13547" s="1050"/>
      <c r="D13547" s="1050"/>
      <c r="E13547" s="1050"/>
      <c r="F13547" s="1050"/>
      <c r="G13547" s="1050"/>
    </row>
    <row r="13548" spans="1:7">
      <c r="A13548" s="1079"/>
      <c r="B13548" s="1050"/>
      <c r="C13548" s="1050"/>
      <c r="D13548" s="1050"/>
      <c r="E13548" s="1050"/>
      <c r="F13548" s="1050"/>
      <c r="G13548" s="1050"/>
    </row>
    <row r="13549" spans="1:7">
      <c r="A13549" s="1079"/>
      <c r="B13549" s="1050"/>
      <c r="C13549" s="1050"/>
      <c r="D13549" s="1050"/>
      <c r="E13549" s="1050"/>
      <c r="F13549" s="1050"/>
      <c r="G13549" s="1050"/>
    </row>
    <row r="13550" spans="1:7">
      <c r="A13550" s="1079"/>
      <c r="B13550" s="1050"/>
      <c r="C13550" s="1050"/>
      <c r="D13550" s="1050"/>
      <c r="E13550" s="1050"/>
      <c r="F13550" s="1050"/>
      <c r="G13550" s="1050"/>
    </row>
    <row r="13551" spans="1:7">
      <c r="A13551" s="1079"/>
      <c r="B13551" s="1050"/>
      <c r="C13551" s="1050"/>
      <c r="D13551" s="1050"/>
      <c r="E13551" s="1050"/>
      <c r="F13551" s="1050"/>
      <c r="G13551" s="1050"/>
    </row>
    <row r="13552" spans="1:7">
      <c r="A13552" s="1079"/>
      <c r="B13552" s="1050"/>
      <c r="C13552" s="1050"/>
      <c r="D13552" s="1050"/>
      <c r="E13552" s="1050"/>
      <c r="F13552" s="1050"/>
      <c r="G13552" s="1050"/>
    </row>
    <row r="13553" spans="1:7">
      <c r="A13553" s="1079"/>
      <c r="B13553" s="1050"/>
      <c r="C13553" s="1050"/>
      <c r="D13553" s="1050"/>
      <c r="E13553" s="1050"/>
      <c r="F13553" s="1050"/>
      <c r="G13553" s="1050"/>
    </row>
    <row r="13554" spans="1:7">
      <c r="A13554" s="1079"/>
      <c r="B13554" s="1050"/>
      <c r="C13554" s="1050"/>
      <c r="D13554" s="1050"/>
      <c r="E13554" s="1050"/>
      <c r="F13554" s="1050"/>
      <c r="G13554" s="1050"/>
    </row>
    <row r="13555" spans="1:7">
      <c r="A13555" s="1079"/>
      <c r="B13555" s="1050"/>
      <c r="C13555" s="1050"/>
      <c r="D13555" s="1050"/>
      <c r="E13555" s="1050"/>
      <c r="F13555" s="1050"/>
      <c r="G13555" s="1050"/>
    </row>
    <row r="13556" spans="1:7">
      <c r="A13556" s="1079"/>
      <c r="B13556" s="1050"/>
      <c r="C13556" s="1050"/>
      <c r="D13556" s="1050"/>
      <c r="E13556" s="1050"/>
      <c r="F13556" s="1050"/>
      <c r="G13556" s="1050"/>
    </row>
    <row r="13557" spans="1:7">
      <c r="A13557" s="1079"/>
      <c r="B13557" s="1050"/>
      <c r="C13557" s="1050"/>
      <c r="D13557" s="1050"/>
      <c r="E13557" s="1050"/>
      <c r="F13557" s="1050"/>
      <c r="G13557" s="1050"/>
    </row>
    <row r="13558" spans="1:7">
      <c r="A13558" s="1079"/>
      <c r="B13558" s="1050"/>
      <c r="C13558" s="1050"/>
      <c r="D13558" s="1050"/>
      <c r="E13558" s="1050"/>
      <c r="F13558" s="1050"/>
      <c r="G13558" s="1050"/>
    </row>
    <row r="13559" spans="1:7">
      <c r="A13559" s="1079"/>
      <c r="B13559" s="1050"/>
      <c r="C13559" s="1050"/>
      <c r="D13559" s="1050"/>
      <c r="E13559" s="1050"/>
      <c r="F13559" s="1050"/>
      <c r="G13559" s="1050"/>
    </row>
    <row r="13560" spans="1:7">
      <c r="A13560" s="1079"/>
      <c r="B13560" s="1050"/>
      <c r="C13560" s="1050"/>
      <c r="D13560" s="1050"/>
      <c r="E13560" s="1050"/>
      <c r="F13560" s="1050"/>
      <c r="G13560" s="1050"/>
    </row>
    <row r="13561" spans="1:7">
      <c r="A13561" s="1079"/>
      <c r="B13561" s="1050"/>
      <c r="C13561" s="1050"/>
      <c r="D13561" s="1050"/>
      <c r="E13561" s="1050"/>
      <c r="F13561" s="1050"/>
      <c r="G13561" s="1050"/>
    </row>
    <row r="13562" spans="1:7">
      <c r="A13562" s="1079"/>
      <c r="B13562" s="1050"/>
      <c r="C13562" s="1050"/>
      <c r="D13562" s="1050"/>
      <c r="E13562" s="1050"/>
      <c r="F13562" s="1050"/>
      <c r="G13562" s="1050"/>
    </row>
    <row r="13563" spans="1:7">
      <c r="A13563" s="1079"/>
      <c r="B13563" s="1050"/>
      <c r="C13563" s="1050"/>
      <c r="D13563" s="1050"/>
      <c r="E13563" s="1050"/>
      <c r="F13563" s="1050"/>
      <c r="G13563" s="1050"/>
    </row>
    <row r="13564" spans="1:7">
      <c r="A13564" s="1079"/>
      <c r="B13564" s="1050"/>
      <c r="C13564" s="1050"/>
      <c r="D13564" s="1050"/>
      <c r="E13564" s="1050"/>
      <c r="F13564" s="1050"/>
      <c r="G13564" s="1050"/>
    </row>
    <row r="13565" spans="1:7">
      <c r="A13565" s="1079"/>
      <c r="B13565" s="1050"/>
      <c r="C13565" s="1050"/>
      <c r="D13565" s="1050"/>
      <c r="E13565" s="1050"/>
      <c r="F13565" s="1050"/>
      <c r="G13565" s="1050"/>
    </row>
    <row r="13566" spans="1:7">
      <c r="A13566" s="1079"/>
      <c r="B13566" s="1050"/>
      <c r="C13566" s="1050"/>
      <c r="D13566" s="1050"/>
      <c r="E13566" s="1050"/>
      <c r="F13566" s="1050"/>
      <c r="G13566" s="1050"/>
    </row>
    <row r="13567" spans="1:7">
      <c r="A13567" s="1079"/>
      <c r="B13567" s="1050"/>
      <c r="C13567" s="1050"/>
      <c r="D13567" s="1050"/>
      <c r="E13567" s="1050"/>
      <c r="F13567" s="1050"/>
      <c r="G13567" s="1050"/>
    </row>
    <row r="13568" spans="1:7">
      <c r="A13568" s="1079"/>
      <c r="B13568" s="1050"/>
      <c r="C13568" s="1050"/>
      <c r="D13568" s="1050"/>
      <c r="E13568" s="1050"/>
      <c r="F13568" s="1050"/>
      <c r="G13568" s="1050"/>
    </row>
    <row r="13569" spans="1:7">
      <c r="A13569" s="1079"/>
      <c r="B13569" s="1050"/>
      <c r="C13569" s="1050"/>
      <c r="D13569" s="1050"/>
      <c r="E13569" s="1050"/>
      <c r="F13569" s="1050"/>
      <c r="G13569" s="1050"/>
    </row>
    <row r="13570" spans="1:7">
      <c r="A13570" s="1079"/>
      <c r="B13570" s="1050"/>
      <c r="C13570" s="1050"/>
      <c r="D13570" s="1050"/>
      <c r="E13570" s="1050"/>
      <c r="F13570" s="1050"/>
      <c r="G13570" s="1050"/>
    </row>
    <row r="13571" spans="1:7">
      <c r="A13571" s="1079"/>
      <c r="B13571" s="1050"/>
      <c r="C13571" s="1050"/>
      <c r="D13571" s="1050"/>
      <c r="E13571" s="1050"/>
      <c r="F13571" s="1050"/>
      <c r="G13571" s="1050"/>
    </row>
    <row r="13572" spans="1:7">
      <c r="A13572" s="1079"/>
      <c r="B13572" s="1050"/>
      <c r="C13572" s="1050"/>
      <c r="D13572" s="1050"/>
      <c r="E13572" s="1050"/>
      <c r="F13572" s="1050"/>
      <c r="G13572" s="1050"/>
    </row>
    <row r="13573" spans="1:7">
      <c r="A13573" s="1079"/>
      <c r="B13573" s="1050"/>
      <c r="C13573" s="1050"/>
      <c r="D13573" s="1050"/>
      <c r="E13573" s="1050"/>
      <c r="F13573" s="1050"/>
      <c r="G13573" s="1050"/>
    </row>
    <row r="13574" spans="1:7">
      <c r="A13574" s="1079"/>
      <c r="B13574" s="1050"/>
      <c r="C13574" s="1050"/>
      <c r="D13574" s="1050"/>
      <c r="E13574" s="1050"/>
      <c r="F13574" s="1050"/>
      <c r="G13574" s="1050"/>
    </row>
    <row r="13575" spans="1:7">
      <c r="A13575" s="1079"/>
      <c r="B13575" s="1050"/>
      <c r="C13575" s="1050"/>
      <c r="D13575" s="1050"/>
      <c r="E13575" s="1050"/>
      <c r="F13575" s="1050"/>
      <c r="G13575" s="1050"/>
    </row>
    <row r="13576" spans="1:7">
      <c r="A13576" s="1079"/>
      <c r="B13576" s="1050"/>
      <c r="C13576" s="1050"/>
      <c r="D13576" s="1050"/>
      <c r="E13576" s="1050"/>
      <c r="F13576" s="1050"/>
      <c r="G13576" s="1050"/>
    </row>
    <row r="13577" spans="1:7">
      <c r="A13577" s="1079"/>
      <c r="B13577" s="1050"/>
      <c r="C13577" s="1050"/>
      <c r="D13577" s="1050"/>
      <c r="E13577" s="1050"/>
      <c r="F13577" s="1050"/>
      <c r="G13577" s="1050"/>
    </row>
    <row r="13578" spans="1:7">
      <c r="A13578" s="1079"/>
      <c r="B13578" s="1050"/>
      <c r="C13578" s="1050"/>
      <c r="D13578" s="1050"/>
      <c r="E13578" s="1050"/>
      <c r="F13578" s="1050"/>
      <c r="G13578" s="1050"/>
    </row>
    <row r="13579" spans="1:7">
      <c r="A13579" s="1079"/>
      <c r="B13579" s="1050"/>
      <c r="C13579" s="1050"/>
      <c r="D13579" s="1050"/>
      <c r="E13579" s="1050"/>
      <c r="F13579" s="1050"/>
      <c r="G13579" s="1050"/>
    </row>
    <row r="13580" spans="1:7">
      <c r="A13580" s="1079"/>
      <c r="B13580" s="1050"/>
      <c r="C13580" s="1050"/>
      <c r="D13580" s="1050"/>
      <c r="E13580" s="1050"/>
      <c r="F13580" s="1050"/>
      <c r="G13580" s="1050"/>
    </row>
    <row r="13581" spans="1:7">
      <c r="A13581" s="1079"/>
      <c r="B13581" s="1050"/>
      <c r="C13581" s="1050"/>
      <c r="D13581" s="1050"/>
      <c r="E13581" s="1050"/>
      <c r="F13581" s="1050"/>
      <c r="G13581" s="1050"/>
    </row>
    <row r="13582" spans="1:7">
      <c r="A13582" s="1079"/>
      <c r="B13582" s="1050"/>
      <c r="C13582" s="1050"/>
      <c r="D13582" s="1050"/>
      <c r="E13582" s="1050"/>
      <c r="F13582" s="1050"/>
      <c r="G13582" s="1050"/>
    </row>
    <row r="13583" spans="1:7">
      <c r="A13583" s="1079"/>
      <c r="B13583" s="1050"/>
      <c r="C13583" s="1050"/>
      <c r="D13583" s="1050"/>
      <c r="E13583" s="1050"/>
      <c r="F13583" s="1050"/>
      <c r="G13583" s="1050"/>
    </row>
    <row r="13584" spans="1:7">
      <c r="A13584" s="1079"/>
      <c r="B13584" s="1050"/>
      <c r="C13584" s="1050"/>
      <c r="D13584" s="1050"/>
      <c r="E13584" s="1050"/>
      <c r="F13584" s="1050"/>
      <c r="G13584" s="1050"/>
    </row>
    <row r="13585" spans="1:7">
      <c r="A13585" s="1079"/>
      <c r="B13585" s="1050"/>
      <c r="C13585" s="1050"/>
      <c r="D13585" s="1050"/>
      <c r="E13585" s="1050"/>
      <c r="F13585" s="1050"/>
      <c r="G13585" s="1050"/>
    </row>
    <row r="13586" spans="1:7">
      <c r="A13586" s="1079"/>
      <c r="B13586" s="1050"/>
      <c r="C13586" s="1050"/>
      <c r="D13586" s="1050"/>
      <c r="E13586" s="1050"/>
      <c r="F13586" s="1050"/>
      <c r="G13586" s="1050"/>
    </row>
    <row r="13587" spans="1:7">
      <c r="A13587" s="1079"/>
      <c r="B13587" s="1050"/>
      <c r="C13587" s="1050"/>
      <c r="D13587" s="1050"/>
      <c r="E13587" s="1050"/>
      <c r="F13587" s="1050"/>
      <c r="G13587" s="1050"/>
    </row>
    <row r="13588" spans="1:7">
      <c r="A13588" s="1079"/>
      <c r="B13588" s="1050"/>
      <c r="C13588" s="1050"/>
      <c r="D13588" s="1050"/>
      <c r="E13588" s="1050"/>
      <c r="F13588" s="1050"/>
      <c r="G13588" s="1050"/>
    </row>
    <row r="13589" spans="1:7">
      <c r="A13589" s="1079"/>
      <c r="B13589" s="1050"/>
      <c r="C13589" s="1050"/>
      <c r="D13589" s="1050"/>
      <c r="E13589" s="1050"/>
      <c r="F13589" s="1050"/>
      <c r="G13589" s="1050"/>
    </row>
    <row r="13590" spans="1:7">
      <c r="A13590" s="1079"/>
      <c r="B13590" s="1050"/>
      <c r="C13590" s="1050"/>
      <c r="D13590" s="1050"/>
      <c r="E13590" s="1050"/>
      <c r="F13590" s="1050"/>
      <c r="G13590" s="1050"/>
    </row>
    <row r="13591" spans="1:7">
      <c r="A13591" s="1079"/>
      <c r="B13591" s="1050"/>
      <c r="C13591" s="1050"/>
      <c r="D13591" s="1050"/>
      <c r="E13591" s="1050"/>
      <c r="F13591" s="1050"/>
      <c r="G13591" s="1050"/>
    </row>
    <row r="13592" spans="1:7">
      <c r="A13592" s="1079"/>
      <c r="B13592" s="1050"/>
      <c r="C13592" s="1050"/>
      <c r="D13592" s="1050"/>
      <c r="E13592" s="1050"/>
      <c r="F13592" s="1050"/>
      <c r="G13592" s="1050"/>
    </row>
    <row r="13593" spans="1:7">
      <c r="A13593" s="1079"/>
      <c r="B13593" s="1050"/>
      <c r="C13593" s="1050"/>
      <c r="D13593" s="1050"/>
      <c r="E13593" s="1050"/>
      <c r="F13593" s="1050"/>
      <c r="G13593" s="1050"/>
    </row>
    <row r="13594" spans="1:7">
      <c r="A13594" s="1079"/>
      <c r="B13594" s="1050"/>
      <c r="C13594" s="1050"/>
      <c r="D13594" s="1050"/>
      <c r="E13594" s="1050"/>
      <c r="F13594" s="1050"/>
      <c r="G13594" s="1050"/>
    </row>
    <row r="13595" spans="1:7">
      <c r="A13595" s="1079"/>
      <c r="B13595" s="1050"/>
      <c r="C13595" s="1050"/>
      <c r="D13595" s="1050"/>
      <c r="E13595" s="1050"/>
      <c r="F13595" s="1050"/>
      <c r="G13595" s="1050"/>
    </row>
    <row r="13596" spans="1:7">
      <c r="A13596" s="1079"/>
      <c r="B13596" s="1050"/>
      <c r="C13596" s="1050"/>
      <c r="D13596" s="1050"/>
      <c r="E13596" s="1050"/>
      <c r="F13596" s="1050"/>
      <c r="G13596" s="1050"/>
    </row>
    <row r="13597" spans="1:7">
      <c r="A13597" s="1079"/>
      <c r="B13597" s="1050"/>
      <c r="C13597" s="1050"/>
      <c r="D13597" s="1050"/>
      <c r="E13597" s="1050"/>
      <c r="F13597" s="1050"/>
      <c r="G13597" s="1050"/>
    </row>
    <row r="13598" spans="1:7">
      <c r="A13598" s="1079"/>
      <c r="B13598" s="1050"/>
      <c r="C13598" s="1050"/>
      <c r="D13598" s="1050"/>
      <c r="E13598" s="1050"/>
      <c r="F13598" s="1050"/>
      <c r="G13598" s="1050"/>
    </row>
    <row r="13599" spans="1:7">
      <c r="A13599" s="1079"/>
      <c r="B13599" s="1050"/>
      <c r="C13599" s="1050"/>
      <c r="D13599" s="1050"/>
      <c r="E13599" s="1050"/>
      <c r="F13599" s="1050"/>
      <c r="G13599" s="1050"/>
    </row>
    <row r="13600" spans="1:7">
      <c r="A13600" s="1079"/>
      <c r="B13600" s="1050"/>
      <c r="C13600" s="1050"/>
      <c r="D13600" s="1050"/>
      <c r="E13600" s="1050"/>
      <c r="F13600" s="1050"/>
      <c r="G13600" s="1050"/>
    </row>
    <row r="13601" spans="1:7">
      <c r="A13601" s="1079"/>
      <c r="B13601" s="1050"/>
      <c r="C13601" s="1050"/>
      <c r="D13601" s="1050"/>
      <c r="E13601" s="1050"/>
      <c r="F13601" s="1050"/>
      <c r="G13601" s="1050"/>
    </row>
    <row r="13602" spans="1:7">
      <c r="A13602" s="1079"/>
      <c r="B13602" s="1050"/>
      <c r="C13602" s="1050"/>
      <c r="D13602" s="1050"/>
      <c r="E13602" s="1050"/>
      <c r="F13602" s="1050"/>
      <c r="G13602" s="1050"/>
    </row>
    <row r="13603" spans="1:7">
      <c r="A13603" s="1079"/>
      <c r="B13603" s="1050"/>
      <c r="C13603" s="1050"/>
      <c r="D13603" s="1050"/>
      <c r="E13603" s="1050"/>
      <c r="F13603" s="1050"/>
      <c r="G13603" s="1050"/>
    </row>
    <row r="13604" spans="1:7">
      <c r="A13604" s="1079"/>
      <c r="B13604" s="1050"/>
      <c r="C13604" s="1050"/>
      <c r="D13604" s="1050"/>
      <c r="E13604" s="1050"/>
      <c r="F13604" s="1050"/>
      <c r="G13604" s="1050"/>
    </row>
    <row r="13605" spans="1:7">
      <c r="A13605" s="1079"/>
      <c r="B13605" s="1050"/>
      <c r="C13605" s="1050"/>
      <c r="D13605" s="1050"/>
      <c r="E13605" s="1050"/>
      <c r="F13605" s="1050"/>
      <c r="G13605" s="1050"/>
    </row>
    <row r="13606" spans="1:7">
      <c r="A13606" s="1079"/>
      <c r="B13606" s="1050"/>
      <c r="C13606" s="1050"/>
      <c r="D13606" s="1050"/>
      <c r="E13606" s="1050"/>
      <c r="F13606" s="1050"/>
      <c r="G13606" s="1050"/>
    </row>
    <row r="13607" spans="1:7">
      <c r="A13607" s="1079"/>
      <c r="B13607" s="1050"/>
      <c r="C13607" s="1050"/>
      <c r="D13607" s="1050"/>
      <c r="E13607" s="1050"/>
      <c r="F13607" s="1050"/>
      <c r="G13607" s="1050"/>
    </row>
    <row r="13608" spans="1:7">
      <c r="A13608" s="1079"/>
      <c r="B13608" s="1050"/>
      <c r="C13608" s="1050"/>
      <c r="D13608" s="1050"/>
      <c r="E13608" s="1050"/>
      <c r="F13608" s="1050"/>
      <c r="G13608" s="1050"/>
    </row>
    <row r="13609" spans="1:7">
      <c r="A13609" s="1079"/>
      <c r="B13609" s="1050"/>
      <c r="C13609" s="1050"/>
      <c r="D13609" s="1050"/>
      <c r="E13609" s="1050"/>
      <c r="F13609" s="1050"/>
      <c r="G13609" s="1050"/>
    </row>
    <row r="13610" spans="1:7">
      <c r="A13610" s="1079"/>
      <c r="B13610" s="1050"/>
      <c r="C13610" s="1050"/>
      <c r="D13610" s="1050"/>
      <c r="E13610" s="1050"/>
      <c r="F13610" s="1050"/>
      <c r="G13610" s="1050"/>
    </row>
    <row r="13611" spans="1:7">
      <c r="A13611" s="1079"/>
      <c r="B13611" s="1050"/>
      <c r="C13611" s="1050"/>
      <c r="D13611" s="1050"/>
      <c r="E13611" s="1050"/>
      <c r="F13611" s="1050"/>
      <c r="G13611" s="1050"/>
    </row>
    <row r="13612" spans="1:7">
      <c r="A13612" s="1079"/>
      <c r="B13612" s="1050"/>
      <c r="C13612" s="1050"/>
      <c r="D13612" s="1050"/>
      <c r="E13612" s="1050"/>
      <c r="F13612" s="1050"/>
      <c r="G13612" s="1050"/>
    </row>
    <row r="13613" spans="1:7">
      <c r="A13613" s="1079"/>
      <c r="B13613" s="1050"/>
      <c r="C13613" s="1050"/>
      <c r="D13613" s="1050"/>
      <c r="E13613" s="1050"/>
      <c r="F13613" s="1050"/>
      <c r="G13613" s="1050"/>
    </row>
    <row r="13614" spans="1:7">
      <c r="A13614" s="1079"/>
      <c r="B13614" s="1050"/>
      <c r="C13614" s="1050"/>
      <c r="D13614" s="1050"/>
      <c r="E13614" s="1050"/>
      <c r="F13614" s="1050"/>
      <c r="G13614" s="1050"/>
    </row>
    <row r="13615" spans="1:7">
      <c r="A13615" s="1079"/>
      <c r="B13615" s="1050"/>
      <c r="C13615" s="1050"/>
      <c r="D13615" s="1050"/>
      <c r="E13615" s="1050"/>
      <c r="F13615" s="1050"/>
      <c r="G13615" s="1050"/>
    </row>
    <row r="13616" spans="1:7">
      <c r="A13616" s="1079"/>
      <c r="B13616" s="1050"/>
      <c r="C13616" s="1050"/>
      <c r="D13616" s="1050"/>
      <c r="E13616" s="1050"/>
      <c r="F13616" s="1050"/>
      <c r="G13616" s="1050"/>
    </row>
    <row r="13617" spans="1:7">
      <c r="A13617" s="1079"/>
      <c r="B13617" s="1050"/>
      <c r="C13617" s="1050"/>
      <c r="D13617" s="1050"/>
      <c r="E13617" s="1050"/>
      <c r="F13617" s="1050"/>
      <c r="G13617" s="1050"/>
    </row>
    <row r="13618" spans="1:7">
      <c r="A13618" s="1079"/>
      <c r="B13618" s="1050"/>
      <c r="C13618" s="1050"/>
      <c r="D13618" s="1050"/>
      <c r="E13618" s="1050"/>
      <c r="F13618" s="1050"/>
      <c r="G13618" s="1050"/>
    </row>
    <row r="13619" spans="1:7">
      <c r="A13619" s="1079"/>
      <c r="B13619" s="1050"/>
      <c r="C13619" s="1050"/>
      <c r="D13619" s="1050"/>
      <c r="E13619" s="1050"/>
      <c r="F13619" s="1050"/>
      <c r="G13619" s="1050"/>
    </row>
    <row r="13620" spans="1:7">
      <c r="A13620" s="1079"/>
      <c r="B13620" s="1050"/>
      <c r="C13620" s="1050"/>
      <c r="D13620" s="1050"/>
      <c r="E13620" s="1050"/>
      <c r="F13620" s="1050"/>
      <c r="G13620" s="1050"/>
    </row>
    <row r="13621" spans="1:7">
      <c r="A13621" s="1079"/>
      <c r="B13621" s="1050"/>
      <c r="C13621" s="1050"/>
      <c r="D13621" s="1050"/>
      <c r="E13621" s="1050"/>
      <c r="F13621" s="1050"/>
      <c r="G13621" s="1050"/>
    </row>
    <row r="13622" spans="1:7">
      <c r="A13622" s="1079"/>
      <c r="B13622" s="1050"/>
      <c r="C13622" s="1050"/>
      <c r="D13622" s="1050"/>
      <c r="E13622" s="1050"/>
      <c r="F13622" s="1050"/>
      <c r="G13622" s="1050"/>
    </row>
    <row r="13623" spans="1:7">
      <c r="A13623" s="1079"/>
      <c r="B13623" s="1050"/>
      <c r="C13623" s="1050"/>
      <c r="D13623" s="1050"/>
      <c r="E13623" s="1050"/>
      <c r="F13623" s="1050"/>
      <c r="G13623" s="1050"/>
    </row>
    <row r="13624" spans="1:7">
      <c r="A13624" s="1079"/>
      <c r="B13624" s="1050"/>
      <c r="C13624" s="1050"/>
      <c r="D13624" s="1050"/>
      <c r="E13624" s="1050"/>
      <c r="F13624" s="1050"/>
      <c r="G13624" s="1050"/>
    </row>
    <row r="13625" spans="1:7">
      <c r="A13625" s="1079"/>
      <c r="B13625" s="1050"/>
      <c r="C13625" s="1050"/>
      <c r="D13625" s="1050"/>
      <c r="E13625" s="1050"/>
      <c r="F13625" s="1050"/>
      <c r="G13625" s="1050"/>
    </row>
    <row r="13626" spans="1:7">
      <c r="A13626" s="1079"/>
      <c r="B13626" s="1050"/>
      <c r="C13626" s="1050"/>
      <c r="D13626" s="1050"/>
      <c r="E13626" s="1050"/>
      <c r="F13626" s="1050"/>
      <c r="G13626" s="1050"/>
    </row>
    <row r="13627" spans="1:7">
      <c r="A13627" s="1079"/>
      <c r="B13627" s="1050"/>
      <c r="C13627" s="1050"/>
      <c r="D13627" s="1050"/>
      <c r="E13627" s="1050"/>
      <c r="F13627" s="1050"/>
      <c r="G13627" s="1050"/>
    </row>
    <row r="13628" spans="1:7">
      <c r="A13628" s="1079"/>
      <c r="B13628" s="1050"/>
      <c r="C13628" s="1050"/>
      <c r="D13628" s="1050"/>
      <c r="E13628" s="1050"/>
      <c r="F13628" s="1050"/>
      <c r="G13628" s="1050"/>
    </row>
    <row r="13629" spans="1:7">
      <c r="A13629" s="1079"/>
      <c r="B13629" s="1050"/>
      <c r="C13629" s="1050"/>
      <c r="D13629" s="1050"/>
      <c r="E13629" s="1050"/>
      <c r="F13629" s="1050"/>
      <c r="G13629" s="1050"/>
    </row>
    <row r="13630" spans="1:7">
      <c r="A13630" s="1079"/>
      <c r="B13630" s="1050"/>
      <c r="C13630" s="1050"/>
      <c r="D13630" s="1050"/>
      <c r="E13630" s="1050"/>
      <c r="F13630" s="1050"/>
      <c r="G13630" s="1050"/>
    </row>
    <row r="13631" spans="1:7">
      <c r="A13631" s="1079"/>
      <c r="B13631" s="1050"/>
      <c r="C13631" s="1050"/>
      <c r="D13631" s="1050"/>
      <c r="E13631" s="1050"/>
      <c r="F13631" s="1050"/>
      <c r="G13631" s="1050"/>
    </row>
    <row r="13632" spans="1:7">
      <c r="A13632" s="1079"/>
      <c r="B13632" s="1050"/>
      <c r="C13632" s="1050"/>
      <c r="D13632" s="1050"/>
      <c r="E13632" s="1050"/>
      <c r="F13632" s="1050"/>
      <c r="G13632" s="1050"/>
    </row>
    <row r="13633" spans="1:7">
      <c r="A13633" s="1079"/>
      <c r="B13633" s="1050"/>
      <c r="C13633" s="1050"/>
      <c r="D13633" s="1050"/>
      <c r="E13633" s="1050"/>
      <c r="F13633" s="1050"/>
      <c r="G13633" s="1050"/>
    </row>
    <row r="13634" spans="1:7">
      <c r="A13634" s="1079"/>
      <c r="B13634" s="1050"/>
      <c r="C13634" s="1050"/>
      <c r="D13634" s="1050"/>
      <c r="E13634" s="1050"/>
      <c r="F13634" s="1050"/>
      <c r="G13634" s="1050"/>
    </row>
    <row r="13635" spans="1:7">
      <c r="A13635" s="1079"/>
      <c r="B13635" s="1050"/>
      <c r="C13635" s="1050"/>
      <c r="D13635" s="1050"/>
      <c r="E13635" s="1050"/>
      <c r="F13635" s="1050"/>
      <c r="G13635" s="1050"/>
    </row>
    <row r="13636" spans="1:7">
      <c r="A13636" s="1079"/>
      <c r="B13636" s="1050"/>
      <c r="C13636" s="1050"/>
      <c r="D13636" s="1050"/>
      <c r="E13636" s="1050"/>
      <c r="F13636" s="1050"/>
      <c r="G13636" s="1050"/>
    </row>
    <row r="13637" spans="1:7">
      <c r="A13637" s="1079"/>
      <c r="B13637" s="1050"/>
      <c r="C13637" s="1050"/>
      <c r="D13637" s="1050"/>
      <c r="E13637" s="1050"/>
      <c r="F13637" s="1050"/>
      <c r="G13637" s="1050"/>
    </row>
    <row r="13638" spans="1:7">
      <c r="A13638" s="1079"/>
      <c r="B13638" s="1050"/>
      <c r="C13638" s="1050"/>
      <c r="D13638" s="1050"/>
      <c r="E13638" s="1050"/>
      <c r="F13638" s="1050"/>
      <c r="G13638" s="1050"/>
    </row>
    <row r="13639" spans="1:7">
      <c r="A13639" s="1079"/>
      <c r="B13639" s="1050"/>
      <c r="C13639" s="1050"/>
      <c r="D13639" s="1050"/>
      <c r="E13639" s="1050"/>
      <c r="F13639" s="1050"/>
      <c r="G13639" s="1050"/>
    </row>
    <row r="13640" spans="1:7">
      <c r="A13640" s="1079"/>
      <c r="B13640" s="1050"/>
      <c r="C13640" s="1050"/>
      <c r="D13640" s="1050"/>
      <c r="E13640" s="1050"/>
      <c r="F13640" s="1050"/>
      <c r="G13640" s="1050"/>
    </row>
    <row r="13641" spans="1:7">
      <c r="A13641" s="1079"/>
      <c r="B13641" s="1050"/>
      <c r="C13641" s="1050"/>
      <c r="D13641" s="1050"/>
      <c r="E13641" s="1050"/>
      <c r="F13641" s="1050"/>
      <c r="G13641" s="1050"/>
    </row>
    <row r="13642" spans="1:7">
      <c r="A13642" s="1079"/>
      <c r="B13642" s="1050"/>
      <c r="C13642" s="1050"/>
      <c r="D13642" s="1050"/>
      <c r="E13642" s="1050"/>
      <c r="F13642" s="1050"/>
      <c r="G13642" s="1050"/>
    </row>
    <row r="13643" spans="1:7">
      <c r="A13643" s="1079"/>
      <c r="B13643" s="1050"/>
      <c r="C13643" s="1050"/>
      <c r="D13643" s="1050"/>
      <c r="E13643" s="1050"/>
      <c r="F13643" s="1050"/>
      <c r="G13643" s="1050"/>
    </row>
    <row r="13644" spans="1:7">
      <c r="A13644" s="1079"/>
      <c r="B13644" s="1050"/>
      <c r="C13644" s="1050"/>
      <c r="D13644" s="1050"/>
      <c r="E13644" s="1050"/>
      <c r="F13644" s="1050"/>
      <c r="G13644" s="1050"/>
    </row>
    <row r="13645" spans="1:7">
      <c r="A13645" s="1079"/>
      <c r="B13645" s="1050"/>
      <c r="C13645" s="1050"/>
      <c r="D13645" s="1050"/>
      <c r="E13645" s="1050"/>
      <c r="F13645" s="1050"/>
      <c r="G13645" s="1050"/>
    </row>
    <row r="13646" spans="1:7">
      <c r="A13646" s="1079"/>
      <c r="B13646" s="1050"/>
      <c r="C13646" s="1050"/>
      <c r="D13646" s="1050"/>
      <c r="E13646" s="1050"/>
      <c r="F13646" s="1050"/>
      <c r="G13646" s="1050"/>
    </row>
    <row r="13647" spans="1:7">
      <c r="A13647" s="1079"/>
      <c r="B13647" s="1050"/>
      <c r="C13647" s="1050"/>
      <c r="D13647" s="1050"/>
      <c r="E13647" s="1050"/>
      <c r="F13647" s="1050"/>
      <c r="G13647" s="1050"/>
    </row>
    <row r="13648" spans="1:7">
      <c r="A13648" s="1079"/>
      <c r="B13648" s="1050"/>
      <c r="C13648" s="1050"/>
      <c r="D13648" s="1050"/>
      <c r="E13648" s="1050"/>
      <c r="F13648" s="1050"/>
      <c r="G13648" s="1050"/>
    </row>
    <row r="13649" spans="1:7">
      <c r="A13649" s="1079"/>
      <c r="B13649" s="1050"/>
      <c r="C13649" s="1050"/>
      <c r="D13649" s="1050"/>
      <c r="E13649" s="1050"/>
      <c r="F13649" s="1050"/>
      <c r="G13649" s="1050"/>
    </row>
    <row r="13650" spans="1:7">
      <c r="A13650" s="1079"/>
      <c r="B13650" s="1050"/>
      <c r="C13650" s="1050"/>
      <c r="D13650" s="1050"/>
      <c r="E13650" s="1050"/>
      <c r="F13650" s="1050"/>
      <c r="G13650" s="1050"/>
    </row>
    <row r="13651" spans="1:7">
      <c r="A13651" s="1079"/>
      <c r="B13651" s="1050"/>
      <c r="C13651" s="1050"/>
      <c r="D13651" s="1050"/>
      <c r="E13651" s="1050"/>
      <c r="F13651" s="1050"/>
      <c r="G13651" s="1050"/>
    </row>
    <row r="13652" spans="1:7">
      <c r="A13652" s="1079"/>
      <c r="B13652" s="1050"/>
      <c r="C13652" s="1050"/>
      <c r="D13652" s="1050"/>
      <c r="E13652" s="1050"/>
      <c r="F13652" s="1050"/>
      <c r="G13652" s="1050"/>
    </row>
    <row r="13653" spans="1:7">
      <c r="A13653" s="1079"/>
      <c r="B13653" s="1050"/>
      <c r="C13653" s="1050"/>
      <c r="D13653" s="1050"/>
      <c r="E13653" s="1050"/>
      <c r="F13653" s="1050"/>
      <c r="G13653" s="1050"/>
    </row>
    <row r="13654" spans="1:7">
      <c r="A13654" s="1079"/>
      <c r="B13654" s="1050"/>
      <c r="C13654" s="1050"/>
      <c r="D13654" s="1050"/>
      <c r="E13654" s="1050"/>
      <c r="F13654" s="1050"/>
      <c r="G13654" s="1050"/>
    </row>
    <row r="13655" spans="1:7">
      <c r="A13655" s="1079"/>
      <c r="B13655" s="1050"/>
      <c r="C13655" s="1050"/>
      <c r="D13655" s="1050"/>
      <c r="E13655" s="1050"/>
      <c r="F13655" s="1050"/>
      <c r="G13655" s="1050"/>
    </row>
    <row r="13656" spans="1:7">
      <c r="A13656" s="1079"/>
      <c r="B13656" s="1050"/>
      <c r="C13656" s="1050"/>
      <c r="D13656" s="1050"/>
      <c r="E13656" s="1050"/>
      <c r="F13656" s="1050"/>
      <c r="G13656" s="1050"/>
    </row>
    <row r="13657" spans="1:7">
      <c r="A13657" s="1079"/>
      <c r="B13657" s="1050"/>
      <c r="C13657" s="1050"/>
      <c r="D13657" s="1050"/>
      <c r="E13657" s="1050"/>
      <c r="F13657" s="1050"/>
      <c r="G13657" s="1050"/>
    </row>
    <row r="13658" spans="1:7">
      <c r="A13658" s="1079"/>
      <c r="B13658" s="1050"/>
      <c r="C13658" s="1050"/>
      <c r="D13658" s="1050"/>
      <c r="E13658" s="1050"/>
      <c r="F13658" s="1050"/>
      <c r="G13658" s="1050"/>
    </row>
    <row r="13659" spans="1:7">
      <c r="A13659" s="1079"/>
      <c r="B13659" s="1050"/>
      <c r="C13659" s="1050"/>
      <c r="D13659" s="1050"/>
      <c r="E13659" s="1050"/>
      <c r="F13659" s="1050"/>
      <c r="G13659" s="1050"/>
    </row>
    <row r="13660" spans="1:7">
      <c r="A13660" s="1079"/>
      <c r="B13660" s="1050"/>
      <c r="C13660" s="1050"/>
      <c r="D13660" s="1050"/>
      <c r="E13660" s="1050"/>
      <c r="F13660" s="1050"/>
      <c r="G13660" s="1050"/>
    </row>
    <row r="13661" spans="1:7">
      <c r="A13661" s="1079"/>
      <c r="B13661" s="1050"/>
      <c r="C13661" s="1050"/>
      <c r="D13661" s="1050"/>
      <c r="E13661" s="1050"/>
      <c r="F13661" s="1050"/>
      <c r="G13661" s="1050"/>
    </row>
    <row r="13662" spans="1:7">
      <c r="A13662" s="1079"/>
      <c r="B13662" s="1050"/>
      <c r="C13662" s="1050"/>
      <c r="D13662" s="1050"/>
      <c r="E13662" s="1050"/>
      <c r="F13662" s="1050"/>
      <c r="G13662" s="1050"/>
    </row>
    <row r="13663" spans="1:7">
      <c r="A13663" s="1079"/>
      <c r="B13663" s="1050"/>
      <c r="C13663" s="1050"/>
      <c r="D13663" s="1050"/>
      <c r="E13663" s="1050"/>
      <c r="F13663" s="1050"/>
      <c r="G13663" s="1050"/>
    </row>
    <row r="13664" spans="1:7">
      <c r="A13664" s="1079"/>
      <c r="B13664" s="1050"/>
      <c r="C13664" s="1050"/>
      <c r="D13664" s="1050"/>
      <c r="E13664" s="1050"/>
      <c r="F13664" s="1050"/>
      <c r="G13664" s="1050"/>
    </row>
    <row r="13665" spans="1:7">
      <c r="A13665" s="1079"/>
      <c r="B13665" s="1050"/>
      <c r="C13665" s="1050"/>
      <c r="D13665" s="1050"/>
      <c r="E13665" s="1050"/>
      <c r="F13665" s="1050"/>
      <c r="G13665" s="1050"/>
    </row>
    <row r="13666" spans="1:7">
      <c r="A13666" s="1079"/>
      <c r="B13666" s="1050"/>
      <c r="C13666" s="1050"/>
      <c r="D13666" s="1050"/>
      <c r="E13666" s="1050"/>
      <c r="F13666" s="1050"/>
      <c r="G13666" s="1050"/>
    </row>
    <row r="13667" spans="1:7">
      <c r="A13667" s="1079"/>
      <c r="B13667" s="1050"/>
      <c r="C13667" s="1050"/>
      <c r="D13667" s="1050"/>
      <c r="E13667" s="1050"/>
      <c r="F13667" s="1050"/>
      <c r="G13667" s="1050"/>
    </row>
    <row r="13668" spans="1:7">
      <c r="A13668" s="1079"/>
      <c r="B13668" s="1050"/>
      <c r="C13668" s="1050"/>
      <c r="D13668" s="1050"/>
      <c r="E13668" s="1050"/>
      <c r="F13668" s="1050"/>
      <c r="G13668" s="1050"/>
    </row>
    <row r="13669" spans="1:7">
      <c r="A13669" s="1079"/>
      <c r="B13669" s="1050"/>
      <c r="C13669" s="1050"/>
      <c r="D13669" s="1050"/>
      <c r="E13669" s="1050"/>
      <c r="F13669" s="1050"/>
      <c r="G13669" s="1050"/>
    </row>
    <row r="13670" spans="1:7">
      <c r="A13670" s="1079"/>
      <c r="B13670" s="1050"/>
      <c r="C13670" s="1050"/>
      <c r="D13670" s="1050"/>
      <c r="E13670" s="1050"/>
      <c r="F13670" s="1050"/>
      <c r="G13670" s="1050"/>
    </row>
    <row r="13671" spans="1:7">
      <c r="A13671" s="1079"/>
      <c r="B13671" s="1050"/>
      <c r="C13671" s="1050"/>
      <c r="D13671" s="1050"/>
      <c r="E13671" s="1050"/>
      <c r="F13671" s="1050"/>
      <c r="G13671" s="1050"/>
    </row>
    <row r="13672" spans="1:7">
      <c r="A13672" s="1079"/>
      <c r="B13672" s="1050"/>
      <c r="C13672" s="1050"/>
      <c r="D13672" s="1050"/>
      <c r="E13672" s="1050"/>
      <c r="F13672" s="1050"/>
      <c r="G13672" s="1050"/>
    </row>
    <row r="13673" spans="1:7">
      <c r="A13673" s="1079"/>
      <c r="B13673" s="1050"/>
      <c r="C13673" s="1050"/>
      <c r="D13673" s="1050"/>
      <c r="E13673" s="1050"/>
      <c r="F13673" s="1050"/>
      <c r="G13673" s="1050"/>
    </row>
    <row r="13674" spans="1:7">
      <c r="A13674" s="1079"/>
      <c r="B13674" s="1050"/>
      <c r="C13674" s="1050"/>
      <c r="D13674" s="1050"/>
      <c r="E13674" s="1050"/>
      <c r="F13674" s="1050"/>
      <c r="G13674" s="1050"/>
    </row>
    <row r="13675" spans="1:7">
      <c r="A13675" s="1079"/>
      <c r="B13675" s="1050"/>
      <c r="C13675" s="1050"/>
      <c r="D13675" s="1050"/>
      <c r="E13675" s="1050"/>
      <c r="F13675" s="1050"/>
      <c r="G13675" s="1050"/>
    </row>
    <row r="13676" spans="1:7">
      <c r="A13676" s="1079"/>
      <c r="B13676" s="1050"/>
      <c r="C13676" s="1050"/>
      <c r="D13676" s="1050"/>
      <c r="E13676" s="1050"/>
      <c r="F13676" s="1050"/>
      <c r="G13676" s="1050"/>
    </row>
    <row r="13677" spans="1:7">
      <c r="A13677" s="1079"/>
      <c r="B13677" s="1050"/>
      <c r="C13677" s="1050"/>
      <c r="D13677" s="1050"/>
      <c r="E13677" s="1050"/>
      <c r="F13677" s="1050"/>
      <c r="G13677" s="1050"/>
    </row>
    <row r="13678" spans="1:7">
      <c r="A13678" s="1079"/>
      <c r="B13678" s="1050"/>
      <c r="C13678" s="1050"/>
      <c r="D13678" s="1050"/>
      <c r="E13678" s="1050"/>
      <c r="F13678" s="1050"/>
      <c r="G13678" s="1050"/>
    </row>
    <row r="13679" spans="1:7">
      <c r="A13679" s="1079"/>
      <c r="B13679" s="1050"/>
      <c r="C13679" s="1050"/>
      <c r="D13679" s="1050"/>
      <c r="E13679" s="1050"/>
      <c r="F13679" s="1050"/>
      <c r="G13679" s="1050"/>
    </row>
    <row r="13680" spans="1:7">
      <c r="A13680" s="1079"/>
      <c r="B13680" s="1050"/>
      <c r="C13680" s="1050"/>
      <c r="D13680" s="1050"/>
      <c r="E13680" s="1050"/>
      <c r="F13680" s="1050"/>
      <c r="G13680" s="1050"/>
    </row>
    <row r="13681" spans="1:7">
      <c r="A13681" s="1079"/>
      <c r="B13681" s="1050"/>
      <c r="C13681" s="1050"/>
      <c r="D13681" s="1050"/>
      <c r="E13681" s="1050"/>
      <c r="F13681" s="1050"/>
      <c r="G13681" s="1050"/>
    </row>
    <row r="13682" spans="1:7">
      <c r="A13682" s="1079"/>
      <c r="B13682" s="1050"/>
      <c r="C13682" s="1050"/>
      <c r="D13682" s="1050"/>
      <c r="E13682" s="1050"/>
      <c r="F13682" s="1050"/>
      <c r="G13682" s="1050"/>
    </row>
    <row r="13683" spans="1:7">
      <c r="A13683" s="1079"/>
      <c r="B13683" s="1050"/>
      <c r="C13683" s="1050"/>
      <c r="D13683" s="1050"/>
      <c r="E13683" s="1050"/>
      <c r="F13683" s="1050"/>
      <c r="G13683" s="1050"/>
    </row>
    <row r="13684" spans="1:7">
      <c r="A13684" s="1079"/>
      <c r="B13684" s="1050"/>
      <c r="C13684" s="1050"/>
      <c r="D13684" s="1050"/>
      <c r="E13684" s="1050"/>
      <c r="F13684" s="1050"/>
      <c r="G13684" s="1050"/>
    </row>
    <row r="13685" spans="1:7">
      <c r="A13685" s="1079"/>
      <c r="B13685" s="1050"/>
      <c r="C13685" s="1050"/>
      <c r="D13685" s="1050"/>
      <c r="E13685" s="1050"/>
      <c r="F13685" s="1050"/>
      <c r="G13685" s="1050"/>
    </row>
    <row r="13686" spans="1:7">
      <c r="A13686" s="1079"/>
      <c r="B13686" s="1050"/>
      <c r="C13686" s="1050"/>
      <c r="D13686" s="1050"/>
      <c r="E13686" s="1050"/>
      <c r="F13686" s="1050"/>
      <c r="G13686" s="1050"/>
    </row>
    <row r="13687" spans="1:7">
      <c r="A13687" s="1079"/>
      <c r="B13687" s="1050"/>
      <c r="C13687" s="1050"/>
      <c r="D13687" s="1050"/>
      <c r="E13687" s="1050"/>
      <c r="F13687" s="1050"/>
      <c r="G13687" s="1050"/>
    </row>
    <row r="13688" spans="1:7">
      <c r="A13688" s="1079"/>
      <c r="B13688" s="1050"/>
      <c r="C13688" s="1050"/>
      <c r="D13688" s="1050"/>
      <c r="E13688" s="1050"/>
      <c r="F13688" s="1050"/>
      <c r="G13688" s="1050"/>
    </row>
    <row r="13689" spans="1:7">
      <c r="A13689" s="1079"/>
      <c r="B13689" s="1050"/>
      <c r="C13689" s="1050"/>
      <c r="D13689" s="1050"/>
      <c r="E13689" s="1050"/>
      <c r="F13689" s="1050"/>
      <c r="G13689" s="1050"/>
    </row>
    <row r="13690" spans="1:7">
      <c r="A13690" s="1079"/>
      <c r="B13690" s="1050"/>
      <c r="C13690" s="1050"/>
      <c r="D13690" s="1050"/>
      <c r="E13690" s="1050"/>
      <c r="F13690" s="1050"/>
      <c r="G13690" s="1050"/>
    </row>
    <row r="13691" spans="1:7">
      <c r="A13691" s="1079"/>
      <c r="B13691" s="1050"/>
      <c r="C13691" s="1050"/>
      <c r="D13691" s="1050"/>
      <c r="E13691" s="1050"/>
      <c r="F13691" s="1050"/>
      <c r="G13691" s="1050"/>
    </row>
    <row r="13692" spans="1:7">
      <c r="A13692" s="1079"/>
      <c r="B13692" s="1050"/>
      <c r="C13692" s="1050"/>
      <c r="D13692" s="1050"/>
      <c r="E13692" s="1050"/>
      <c r="F13692" s="1050"/>
      <c r="G13692" s="1050"/>
    </row>
    <row r="13693" spans="1:7">
      <c r="A13693" s="1079"/>
      <c r="B13693" s="1050"/>
      <c r="C13693" s="1050"/>
      <c r="D13693" s="1050"/>
      <c r="E13693" s="1050"/>
      <c r="F13693" s="1050"/>
      <c r="G13693" s="1050"/>
    </row>
    <row r="13694" spans="1:7">
      <c r="A13694" s="1079"/>
      <c r="B13694" s="1050"/>
      <c r="C13694" s="1050"/>
      <c r="D13694" s="1050"/>
      <c r="E13694" s="1050"/>
      <c r="F13694" s="1050"/>
      <c r="G13694" s="1050"/>
    </row>
    <row r="13695" spans="1:7">
      <c r="A13695" s="1079"/>
      <c r="B13695" s="1050"/>
      <c r="C13695" s="1050"/>
      <c r="D13695" s="1050"/>
      <c r="E13695" s="1050"/>
      <c r="F13695" s="1050"/>
      <c r="G13695" s="1050"/>
    </row>
    <row r="13696" spans="1:7">
      <c r="A13696" s="1079"/>
      <c r="B13696" s="1050"/>
      <c r="C13696" s="1050"/>
      <c r="D13696" s="1050"/>
      <c r="E13696" s="1050"/>
      <c r="F13696" s="1050"/>
      <c r="G13696" s="1050"/>
    </row>
    <row r="13697" spans="1:7">
      <c r="A13697" s="1079"/>
      <c r="B13697" s="1050"/>
      <c r="C13697" s="1050"/>
      <c r="D13697" s="1050"/>
      <c r="E13697" s="1050"/>
      <c r="F13697" s="1050"/>
      <c r="G13697" s="1050"/>
    </row>
    <row r="13698" spans="1:7">
      <c r="A13698" s="1079"/>
      <c r="B13698" s="1050"/>
      <c r="C13698" s="1050"/>
      <c r="D13698" s="1050"/>
      <c r="E13698" s="1050"/>
      <c r="F13698" s="1050"/>
      <c r="G13698" s="1050"/>
    </row>
    <row r="13699" spans="1:7">
      <c r="A13699" s="1079"/>
      <c r="B13699" s="1050"/>
      <c r="C13699" s="1050"/>
      <c r="D13699" s="1050"/>
      <c r="E13699" s="1050"/>
      <c r="F13699" s="1050"/>
      <c r="G13699" s="1050"/>
    </row>
    <row r="13700" spans="1:7">
      <c r="A13700" s="1079"/>
      <c r="B13700" s="1050"/>
      <c r="C13700" s="1050"/>
      <c r="D13700" s="1050"/>
      <c r="E13700" s="1050"/>
      <c r="F13700" s="1050"/>
      <c r="G13700" s="1050"/>
    </row>
    <row r="13701" spans="1:7">
      <c r="A13701" s="1079"/>
      <c r="B13701" s="1050"/>
      <c r="C13701" s="1050"/>
      <c r="D13701" s="1050"/>
      <c r="E13701" s="1050"/>
      <c r="F13701" s="1050"/>
      <c r="G13701" s="1050"/>
    </row>
    <row r="13702" spans="1:7">
      <c r="A13702" s="1079"/>
      <c r="B13702" s="1050"/>
      <c r="C13702" s="1050"/>
      <c r="D13702" s="1050"/>
      <c r="E13702" s="1050"/>
      <c r="F13702" s="1050"/>
      <c r="G13702" s="1050"/>
    </row>
    <row r="13703" spans="1:7">
      <c r="A13703" s="1079"/>
      <c r="B13703" s="1050"/>
      <c r="C13703" s="1050"/>
      <c r="D13703" s="1050"/>
      <c r="E13703" s="1050"/>
      <c r="F13703" s="1050"/>
      <c r="G13703" s="1050"/>
    </row>
    <row r="13704" spans="1:7">
      <c r="A13704" s="1079"/>
      <c r="B13704" s="1050"/>
      <c r="C13704" s="1050"/>
      <c r="D13704" s="1050"/>
      <c r="E13704" s="1050"/>
      <c r="F13704" s="1050"/>
      <c r="G13704" s="1050"/>
    </row>
    <row r="13705" spans="1:7">
      <c r="A13705" s="1079"/>
      <c r="B13705" s="1050"/>
      <c r="C13705" s="1050"/>
      <c r="D13705" s="1050"/>
      <c r="E13705" s="1050"/>
      <c r="F13705" s="1050"/>
      <c r="G13705" s="1050"/>
    </row>
    <row r="13706" spans="1:7">
      <c r="A13706" s="1079"/>
      <c r="B13706" s="1050"/>
      <c r="C13706" s="1050"/>
      <c r="D13706" s="1050"/>
      <c r="E13706" s="1050"/>
      <c r="F13706" s="1050"/>
      <c r="G13706" s="1050"/>
    </row>
    <row r="13707" spans="1:7">
      <c r="A13707" s="1079"/>
      <c r="B13707" s="1050"/>
      <c r="C13707" s="1050"/>
      <c r="D13707" s="1050"/>
      <c r="E13707" s="1050"/>
      <c r="F13707" s="1050"/>
      <c r="G13707" s="1050"/>
    </row>
    <row r="13708" spans="1:7">
      <c r="A13708" s="1079"/>
      <c r="B13708" s="1050"/>
      <c r="C13708" s="1050"/>
      <c r="D13708" s="1050"/>
      <c r="E13708" s="1050"/>
      <c r="F13708" s="1050"/>
      <c r="G13708" s="1050"/>
    </row>
    <row r="13709" spans="1:7">
      <c r="A13709" s="1079"/>
      <c r="B13709" s="1050"/>
      <c r="C13709" s="1050"/>
      <c r="D13709" s="1050"/>
      <c r="E13709" s="1050"/>
      <c r="F13709" s="1050"/>
      <c r="G13709" s="1050"/>
    </row>
    <row r="13710" spans="1:7">
      <c r="A13710" s="1079"/>
      <c r="B13710" s="1050"/>
      <c r="C13710" s="1050"/>
      <c r="D13710" s="1050"/>
      <c r="E13710" s="1050"/>
      <c r="F13710" s="1050"/>
      <c r="G13710" s="1050"/>
    </row>
    <row r="13711" spans="1:7">
      <c r="A13711" s="1079"/>
      <c r="B13711" s="1050"/>
      <c r="C13711" s="1050"/>
      <c r="D13711" s="1050"/>
      <c r="E13711" s="1050"/>
      <c r="F13711" s="1050"/>
      <c r="G13711" s="1050"/>
    </row>
    <row r="13712" spans="1:7">
      <c r="A13712" s="1079"/>
      <c r="B13712" s="1050"/>
      <c r="C13712" s="1050"/>
      <c r="D13712" s="1050"/>
      <c r="E13712" s="1050"/>
      <c r="F13712" s="1050"/>
      <c r="G13712" s="1050"/>
    </row>
    <row r="13713" spans="1:7">
      <c r="A13713" s="1079"/>
      <c r="B13713" s="1050"/>
      <c r="C13713" s="1050"/>
      <c r="D13713" s="1050"/>
      <c r="E13713" s="1050"/>
      <c r="F13713" s="1050"/>
      <c r="G13713" s="1050"/>
    </row>
    <row r="13714" spans="1:7">
      <c r="A13714" s="1079"/>
      <c r="B13714" s="1050"/>
      <c r="C13714" s="1050"/>
      <c r="D13714" s="1050"/>
      <c r="E13714" s="1050"/>
      <c r="F13714" s="1050"/>
      <c r="G13714" s="1050"/>
    </row>
    <row r="13715" spans="1:7">
      <c r="A13715" s="1079"/>
      <c r="B13715" s="1050"/>
      <c r="C13715" s="1050"/>
      <c r="D13715" s="1050"/>
      <c r="E13715" s="1050"/>
      <c r="F13715" s="1050"/>
      <c r="G13715" s="1050"/>
    </row>
    <row r="13716" spans="1:7">
      <c r="A13716" s="1079"/>
      <c r="B13716" s="1050"/>
      <c r="C13716" s="1050"/>
      <c r="D13716" s="1050"/>
      <c r="E13716" s="1050"/>
      <c r="F13716" s="1050"/>
      <c r="G13716" s="1050"/>
    </row>
    <row r="13717" spans="1:7">
      <c r="A13717" s="1079"/>
      <c r="B13717" s="1050"/>
      <c r="C13717" s="1050"/>
      <c r="D13717" s="1050"/>
      <c r="E13717" s="1050"/>
      <c r="F13717" s="1050"/>
      <c r="G13717" s="1050"/>
    </row>
    <row r="13718" spans="1:7">
      <c r="A13718" s="1079"/>
      <c r="B13718" s="1050"/>
      <c r="C13718" s="1050"/>
      <c r="D13718" s="1050"/>
      <c r="E13718" s="1050"/>
      <c r="F13718" s="1050"/>
      <c r="G13718" s="1050"/>
    </row>
    <row r="13719" spans="1:7">
      <c r="A13719" s="1079"/>
      <c r="B13719" s="1050"/>
      <c r="C13719" s="1050"/>
      <c r="D13719" s="1050"/>
      <c r="E13719" s="1050"/>
      <c r="F13719" s="1050"/>
      <c r="G13719" s="1050"/>
    </row>
    <row r="13720" spans="1:7">
      <c r="A13720" s="1079"/>
      <c r="B13720" s="1050"/>
      <c r="C13720" s="1050"/>
      <c r="D13720" s="1050"/>
      <c r="E13720" s="1050"/>
      <c r="F13720" s="1050"/>
      <c r="G13720" s="1050"/>
    </row>
    <row r="13721" spans="1:7">
      <c r="A13721" s="1079"/>
      <c r="B13721" s="1050"/>
      <c r="C13721" s="1050"/>
      <c r="D13721" s="1050"/>
      <c r="E13721" s="1050"/>
      <c r="F13721" s="1050"/>
      <c r="G13721" s="1050"/>
    </row>
    <row r="13722" spans="1:7">
      <c r="A13722" s="1079"/>
      <c r="B13722" s="1050"/>
      <c r="C13722" s="1050"/>
      <c r="D13722" s="1050"/>
      <c r="E13722" s="1050"/>
      <c r="F13722" s="1050"/>
      <c r="G13722" s="1050"/>
    </row>
    <row r="13723" spans="1:7">
      <c r="A13723" s="1079"/>
      <c r="B13723" s="1050"/>
      <c r="C13723" s="1050"/>
      <c r="D13723" s="1050"/>
      <c r="E13723" s="1050"/>
      <c r="F13723" s="1050"/>
      <c r="G13723" s="1050"/>
    </row>
    <row r="13724" spans="1:7">
      <c r="A13724" s="1079"/>
      <c r="B13724" s="1050"/>
      <c r="C13724" s="1050"/>
      <c r="D13724" s="1050"/>
      <c r="E13724" s="1050"/>
      <c r="F13724" s="1050"/>
      <c r="G13724" s="1050"/>
    </row>
    <row r="13725" spans="1:7">
      <c r="A13725" s="1079"/>
      <c r="B13725" s="1050"/>
      <c r="C13725" s="1050"/>
      <c r="D13725" s="1050"/>
      <c r="E13725" s="1050"/>
      <c r="F13725" s="1050"/>
      <c r="G13725" s="1050"/>
    </row>
    <row r="13726" spans="1:7">
      <c r="A13726" s="1079"/>
      <c r="B13726" s="1050"/>
      <c r="C13726" s="1050"/>
      <c r="D13726" s="1050"/>
      <c r="E13726" s="1050"/>
      <c r="F13726" s="1050"/>
      <c r="G13726" s="1050"/>
    </row>
    <row r="13727" spans="1:7">
      <c r="A13727" s="1079"/>
      <c r="B13727" s="1050"/>
      <c r="C13727" s="1050"/>
      <c r="D13727" s="1050"/>
      <c r="E13727" s="1050"/>
      <c r="F13727" s="1050"/>
      <c r="G13727" s="1050"/>
    </row>
    <row r="13728" spans="1:7">
      <c r="A13728" s="1079"/>
      <c r="B13728" s="1050"/>
      <c r="C13728" s="1050"/>
      <c r="D13728" s="1050"/>
      <c r="E13728" s="1050"/>
      <c r="F13728" s="1050"/>
      <c r="G13728" s="1050"/>
    </row>
    <row r="13729" spans="1:7">
      <c r="A13729" s="1079"/>
      <c r="B13729" s="1050"/>
      <c r="C13729" s="1050"/>
      <c r="D13729" s="1050"/>
      <c r="E13729" s="1050"/>
      <c r="F13729" s="1050"/>
      <c r="G13729" s="1050"/>
    </row>
    <row r="13730" spans="1:7">
      <c r="A13730" s="1079"/>
      <c r="B13730" s="1050"/>
      <c r="C13730" s="1050"/>
      <c r="D13730" s="1050"/>
      <c r="E13730" s="1050"/>
      <c r="F13730" s="1050"/>
      <c r="G13730" s="1050"/>
    </row>
    <row r="13731" spans="1:7">
      <c r="A13731" s="1079"/>
      <c r="B13731" s="1050"/>
      <c r="C13731" s="1050"/>
      <c r="D13731" s="1050"/>
      <c r="E13731" s="1050"/>
      <c r="F13731" s="1050"/>
      <c r="G13731" s="1050"/>
    </row>
    <row r="13732" spans="1:7">
      <c r="A13732" s="1079"/>
      <c r="B13732" s="1050"/>
      <c r="C13732" s="1050"/>
      <c r="D13732" s="1050"/>
      <c r="E13732" s="1050"/>
      <c r="F13732" s="1050"/>
      <c r="G13732" s="1050"/>
    </row>
    <row r="13733" spans="1:7">
      <c r="A13733" s="1079"/>
      <c r="B13733" s="1050"/>
      <c r="C13733" s="1050"/>
      <c r="D13733" s="1050"/>
      <c r="E13733" s="1050"/>
      <c r="F13733" s="1050"/>
      <c r="G13733" s="1050"/>
    </row>
    <row r="13734" spans="1:7">
      <c r="A13734" s="1079"/>
      <c r="B13734" s="1050"/>
      <c r="C13734" s="1050"/>
      <c r="D13734" s="1050"/>
      <c r="E13734" s="1050"/>
      <c r="F13734" s="1050"/>
      <c r="G13734" s="1050"/>
    </row>
    <row r="13735" spans="1:7">
      <c r="A13735" s="1079"/>
      <c r="B13735" s="1050"/>
      <c r="C13735" s="1050"/>
      <c r="D13735" s="1050"/>
      <c r="E13735" s="1050"/>
      <c r="F13735" s="1050"/>
      <c r="G13735" s="1050"/>
    </row>
    <row r="13736" spans="1:7">
      <c r="A13736" s="1079"/>
      <c r="B13736" s="1050"/>
      <c r="C13736" s="1050"/>
      <c r="D13736" s="1050"/>
      <c r="E13736" s="1050"/>
      <c r="F13736" s="1050"/>
      <c r="G13736" s="1050"/>
    </row>
    <row r="13737" spans="1:7">
      <c r="A13737" s="1079"/>
      <c r="B13737" s="1050"/>
      <c r="C13737" s="1050"/>
      <c r="D13737" s="1050"/>
      <c r="E13737" s="1050"/>
      <c r="F13737" s="1050"/>
      <c r="G13737" s="1050"/>
    </row>
    <row r="13738" spans="1:7">
      <c r="A13738" s="1079"/>
      <c r="B13738" s="1050"/>
      <c r="C13738" s="1050"/>
      <c r="D13738" s="1050"/>
      <c r="E13738" s="1050"/>
      <c r="F13738" s="1050"/>
      <c r="G13738" s="1050"/>
    </row>
    <row r="13739" spans="1:7">
      <c r="A13739" s="1079"/>
      <c r="B13739" s="1050"/>
      <c r="C13739" s="1050"/>
      <c r="D13739" s="1050"/>
      <c r="E13739" s="1050"/>
      <c r="F13739" s="1050"/>
      <c r="G13739" s="1050"/>
    </row>
    <row r="13740" spans="1:7">
      <c r="A13740" s="1079"/>
      <c r="B13740" s="1050"/>
      <c r="C13740" s="1050"/>
      <c r="D13740" s="1050"/>
      <c r="E13740" s="1050"/>
      <c r="F13740" s="1050"/>
      <c r="G13740" s="1050"/>
    </row>
    <row r="13741" spans="1:7">
      <c r="A13741" s="1079"/>
      <c r="B13741" s="1050"/>
      <c r="C13741" s="1050"/>
      <c r="D13741" s="1050"/>
      <c r="E13741" s="1050"/>
      <c r="F13741" s="1050"/>
      <c r="G13741" s="1050"/>
    </row>
    <row r="13742" spans="1:7">
      <c r="A13742" s="1079"/>
      <c r="B13742" s="1050"/>
      <c r="C13742" s="1050"/>
      <c r="D13742" s="1050"/>
      <c r="E13742" s="1050"/>
      <c r="F13742" s="1050"/>
      <c r="G13742" s="1050"/>
    </row>
    <row r="13743" spans="1:7">
      <c r="A13743" s="1079"/>
      <c r="B13743" s="1050"/>
      <c r="C13743" s="1050"/>
      <c r="D13743" s="1050"/>
      <c r="E13743" s="1050"/>
      <c r="F13743" s="1050"/>
      <c r="G13743" s="1050"/>
    </row>
    <row r="13744" spans="1:7">
      <c r="A13744" s="1079"/>
      <c r="B13744" s="1050"/>
      <c r="C13744" s="1050"/>
      <c r="D13744" s="1050"/>
      <c r="E13744" s="1050"/>
      <c r="F13744" s="1050"/>
      <c r="G13744" s="1050"/>
    </row>
    <row r="13745" spans="1:7">
      <c r="A13745" s="1079"/>
      <c r="B13745" s="1050"/>
      <c r="C13745" s="1050"/>
      <c r="D13745" s="1050"/>
      <c r="E13745" s="1050"/>
      <c r="F13745" s="1050"/>
      <c r="G13745" s="1050"/>
    </row>
    <row r="13746" spans="1:7">
      <c r="A13746" s="1079"/>
      <c r="B13746" s="1050"/>
      <c r="C13746" s="1050"/>
      <c r="D13746" s="1050"/>
      <c r="E13746" s="1050"/>
      <c r="F13746" s="1050"/>
      <c r="G13746" s="1050"/>
    </row>
    <row r="13747" spans="1:7">
      <c r="A13747" s="1079"/>
      <c r="B13747" s="1050"/>
      <c r="C13747" s="1050"/>
      <c r="D13747" s="1050"/>
      <c r="E13747" s="1050"/>
      <c r="F13747" s="1050"/>
      <c r="G13747" s="1050"/>
    </row>
    <row r="13748" spans="1:7">
      <c r="A13748" s="1079"/>
      <c r="B13748" s="1050"/>
      <c r="C13748" s="1050"/>
      <c r="D13748" s="1050"/>
      <c r="E13748" s="1050"/>
      <c r="F13748" s="1050"/>
      <c r="G13748" s="1050"/>
    </row>
    <row r="13749" spans="1:7">
      <c r="A13749" s="1079"/>
      <c r="B13749" s="1050"/>
      <c r="C13749" s="1050"/>
      <c r="D13749" s="1050"/>
      <c r="E13749" s="1050"/>
      <c r="F13749" s="1050"/>
      <c r="G13749" s="1050"/>
    </row>
    <row r="13750" spans="1:7">
      <c r="A13750" s="1079"/>
      <c r="B13750" s="1050"/>
      <c r="C13750" s="1050"/>
      <c r="D13750" s="1050"/>
      <c r="E13750" s="1050"/>
      <c r="F13750" s="1050"/>
      <c r="G13750" s="1050"/>
    </row>
    <row r="13751" spans="1:7">
      <c r="A13751" s="1079"/>
      <c r="B13751" s="1050"/>
      <c r="C13751" s="1050"/>
      <c r="D13751" s="1050"/>
      <c r="E13751" s="1050"/>
      <c r="F13751" s="1050"/>
      <c r="G13751" s="1050"/>
    </row>
    <row r="13752" spans="1:7">
      <c r="A13752" s="1079"/>
      <c r="B13752" s="1050"/>
      <c r="C13752" s="1050"/>
      <c r="D13752" s="1050"/>
      <c r="E13752" s="1050"/>
      <c r="F13752" s="1050"/>
      <c r="G13752" s="1050"/>
    </row>
    <row r="13753" spans="1:7">
      <c r="A13753" s="1079"/>
      <c r="B13753" s="1050"/>
      <c r="C13753" s="1050"/>
      <c r="D13753" s="1050"/>
      <c r="E13753" s="1050"/>
      <c r="F13753" s="1050"/>
      <c r="G13753" s="1050"/>
    </row>
    <row r="13754" spans="1:7">
      <c r="A13754" s="1079"/>
      <c r="B13754" s="1050"/>
      <c r="C13754" s="1050"/>
      <c r="D13754" s="1050"/>
      <c r="E13754" s="1050"/>
      <c r="F13754" s="1050"/>
      <c r="G13754" s="1050"/>
    </row>
    <row r="13755" spans="1:7">
      <c r="A13755" s="1079"/>
      <c r="B13755" s="1050"/>
      <c r="C13755" s="1050"/>
      <c r="D13755" s="1050"/>
      <c r="E13755" s="1050"/>
      <c r="F13755" s="1050"/>
      <c r="G13755" s="1050"/>
    </row>
    <row r="13756" spans="1:7">
      <c r="A13756" s="1079"/>
      <c r="B13756" s="1050"/>
      <c r="C13756" s="1050"/>
      <c r="D13756" s="1050"/>
      <c r="E13756" s="1050"/>
      <c r="F13756" s="1050"/>
      <c r="G13756" s="1050"/>
    </row>
    <row r="13757" spans="1:7">
      <c r="A13757" s="1079"/>
      <c r="B13757" s="1050"/>
      <c r="C13757" s="1050"/>
      <c r="D13757" s="1050"/>
      <c r="E13757" s="1050"/>
      <c r="F13757" s="1050"/>
      <c r="G13757" s="1050"/>
    </row>
    <row r="13758" spans="1:7">
      <c r="A13758" s="1079"/>
      <c r="B13758" s="1050"/>
      <c r="C13758" s="1050"/>
      <c r="D13758" s="1050"/>
      <c r="E13758" s="1050"/>
      <c r="F13758" s="1050"/>
      <c r="G13758" s="1050"/>
    </row>
    <row r="13759" spans="1:7">
      <c r="A13759" s="1079"/>
      <c r="B13759" s="1050"/>
      <c r="C13759" s="1050"/>
      <c r="D13759" s="1050"/>
      <c r="E13759" s="1050"/>
      <c r="F13759" s="1050"/>
      <c r="G13759" s="1050"/>
    </row>
    <row r="13760" spans="1:7">
      <c r="A13760" s="1079"/>
      <c r="B13760" s="1050"/>
      <c r="C13760" s="1050"/>
      <c r="D13760" s="1050"/>
      <c r="E13760" s="1050"/>
      <c r="F13760" s="1050"/>
      <c r="G13760" s="1050"/>
    </row>
    <row r="13761" spans="1:7">
      <c r="A13761" s="1079"/>
      <c r="B13761" s="1050"/>
      <c r="C13761" s="1050"/>
      <c r="D13761" s="1050"/>
      <c r="E13761" s="1050"/>
      <c r="F13761" s="1050"/>
      <c r="G13761" s="1050"/>
    </row>
    <row r="13762" spans="1:7">
      <c r="A13762" s="1079"/>
      <c r="B13762" s="1050"/>
      <c r="C13762" s="1050"/>
      <c r="D13762" s="1050"/>
      <c r="E13762" s="1050"/>
      <c r="F13762" s="1050"/>
      <c r="G13762" s="1050"/>
    </row>
    <row r="13763" spans="1:7">
      <c r="A13763" s="1079"/>
      <c r="B13763" s="1050"/>
      <c r="C13763" s="1050"/>
      <c r="D13763" s="1050"/>
      <c r="E13763" s="1050"/>
      <c r="F13763" s="1050"/>
      <c r="G13763" s="1050"/>
    </row>
    <row r="13764" spans="1:7">
      <c r="A13764" s="1079"/>
      <c r="B13764" s="1050"/>
      <c r="C13764" s="1050"/>
      <c r="D13764" s="1050"/>
      <c r="E13764" s="1050"/>
      <c r="F13764" s="1050"/>
      <c r="G13764" s="1050"/>
    </row>
    <row r="13765" spans="1:7">
      <c r="A13765" s="1079"/>
      <c r="B13765" s="1050"/>
      <c r="C13765" s="1050"/>
      <c r="D13765" s="1050"/>
      <c r="E13765" s="1050"/>
      <c r="F13765" s="1050"/>
      <c r="G13765" s="1050"/>
    </row>
    <row r="13766" spans="1:7">
      <c r="A13766" s="1079"/>
      <c r="B13766" s="1050"/>
      <c r="C13766" s="1050"/>
      <c r="D13766" s="1050"/>
      <c r="E13766" s="1050"/>
      <c r="F13766" s="1050"/>
      <c r="G13766" s="1050"/>
    </row>
    <row r="13767" spans="1:7">
      <c r="A13767" s="1079"/>
      <c r="B13767" s="1050"/>
      <c r="C13767" s="1050"/>
      <c r="D13767" s="1050"/>
      <c r="E13767" s="1050"/>
      <c r="F13767" s="1050"/>
      <c r="G13767" s="1050"/>
    </row>
    <row r="13768" spans="1:7">
      <c r="A13768" s="1079"/>
      <c r="B13768" s="1050"/>
      <c r="C13768" s="1050"/>
      <c r="D13768" s="1050"/>
      <c r="E13768" s="1050"/>
      <c r="F13768" s="1050"/>
      <c r="G13768" s="1050"/>
    </row>
    <row r="13769" spans="1:7">
      <c r="A13769" s="1079"/>
      <c r="B13769" s="1050"/>
      <c r="C13769" s="1050"/>
      <c r="D13769" s="1050"/>
      <c r="E13769" s="1050"/>
      <c r="F13769" s="1050"/>
      <c r="G13769" s="1050"/>
    </row>
    <row r="13770" spans="1:7">
      <c r="A13770" s="1079"/>
      <c r="B13770" s="1050"/>
      <c r="C13770" s="1050"/>
      <c r="D13770" s="1050"/>
      <c r="E13770" s="1050"/>
      <c r="F13770" s="1050"/>
      <c r="G13770" s="1050"/>
    </row>
    <row r="13771" spans="1:7">
      <c r="A13771" s="1079"/>
      <c r="B13771" s="1050"/>
      <c r="C13771" s="1050"/>
      <c r="D13771" s="1050"/>
      <c r="E13771" s="1050"/>
      <c r="F13771" s="1050"/>
      <c r="G13771" s="1050"/>
    </row>
    <row r="13772" spans="1:7">
      <c r="A13772" s="1079"/>
      <c r="B13772" s="1050"/>
      <c r="C13772" s="1050"/>
      <c r="D13772" s="1050"/>
      <c r="E13772" s="1050"/>
      <c r="F13772" s="1050"/>
      <c r="G13772" s="1050"/>
    </row>
    <row r="13773" spans="1:7">
      <c r="A13773" s="1079"/>
      <c r="B13773" s="1050"/>
      <c r="C13773" s="1050"/>
      <c r="D13773" s="1050"/>
      <c r="E13773" s="1050"/>
      <c r="F13773" s="1050"/>
      <c r="G13773" s="1050"/>
    </row>
    <row r="13774" spans="1:7">
      <c r="A13774" s="1079"/>
      <c r="B13774" s="1050"/>
      <c r="C13774" s="1050"/>
      <c r="D13774" s="1050"/>
      <c r="E13774" s="1050"/>
      <c r="F13774" s="1050"/>
      <c r="G13774" s="1050"/>
    </row>
    <row r="13775" spans="1:7">
      <c r="A13775" s="1079"/>
      <c r="B13775" s="1050"/>
      <c r="C13775" s="1050"/>
      <c r="D13775" s="1050"/>
      <c r="E13775" s="1050"/>
      <c r="F13775" s="1050"/>
      <c r="G13775" s="1050"/>
    </row>
    <row r="13776" spans="1:7">
      <c r="A13776" s="1079"/>
      <c r="B13776" s="1050"/>
      <c r="C13776" s="1050"/>
      <c r="D13776" s="1050"/>
      <c r="E13776" s="1050"/>
      <c r="F13776" s="1050"/>
      <c r="G13776" s="1050"/>
    </row>
    <row r="13777" spans="1:7">
      <c r="A13777" s="1079"/>
      <c r="B13777" s="1050"/>
      <c r="C13777" s="1050"/>
      <c r="D13777" s="1050"/>
      <c r="E13777" s="1050"/>
      <c r="F13777" s="1050"/>
      <c r="G13777" s="1050"/>
    </row>
    <row r="13778" spans="1:7">
      <c r="A13778" s="1079"/>
      <c r="B13778" s="1050"/>
      <c r="C13778" s="1050"/>
      <c r="D13778" s="1050"/>
      <c r="E13778" s="1050"/>
      <c r="F13778" s="1050"/>
      <c r="G13778" s="1050"/>
    </row>
    <row r="13779" spans="1:7">
      <c r="A13779" s="1079"/>
      <c r="B13779" s="1050"/>
      <c r="C13779" s="1050"/>
      <c r="D13779" s="1050"/>
      <c r="E13779" s="1050"/>
      <c r="F13779" s="1050"/>
      <c r="G13779" s="1050"/>
    </row>
    <row r="13780" spans="1:7">
      <c r="A13780" s="1079"/>
      <c r="B13780" s="1050"/>
      <c r="C13780" s="1050"/>
      <c r="D13780" s="1050"/>
      <c r="E13780" s="1050"/>
      <c r="F13780" s="1050"/>
      <c r="G13780" s="1050"/>
    </row>
    <row r="13781" spans="1:7">
      <c r="A13781" s="1079"/>
      <c r="B13781" s="1050"/>
      <c r="C13781" s="1050"/>
      <c r="D13781" s="1050"/>
      <c r="E13781" s="1050"/>
      <c r="F13781" s="1050"/>
      <c r="G13781" s="1050"/>
    </row>
    <row r="13782" spans="1:7">
      <c r="A13782" s="1079"/>
      <c r="B13782" s="1050"/>
      <c r="C13782" s="1050"/>
      <c r="D13782" s="1050"/>
      <c r="E13782" s="1050"/>
      <c r="F13782" s="1050"/>
      <c r="G13782" s="1050"/>
    </row>
    <row r="13783" spans="1:7">
      <c r="A13783" s="1079"/>
      <c r="B13783" s="1050"/>
      <c r="C13783" s="1050"/>
      <c r="D13783" s="1050"/>
      <c r="E13783" s="1050"/>
      <c r="F13783" s="1050"/>
      <c r="G13783" s="1050"/>
    </row>
    <row r="13784" spans="1:7">
      <c r="A13784" s="1079"/>
      <c r="B13784" s="1050"/>
      <c r="C13784" s="1050"/>
      <c r="D13784" s="1050"/>
      <c r="E13784" s="1050"/>
      <c r="F13784" s="1050"/>
      <c r="G13784" s="1050"/>
    </row>
    <row r="13785" spans="1:7">
      <c r="A13785" s="1079"/>
      <c r="B13785" s="1050"/>
      <c r="C13785" s="1050"/>
      <c r="D13785" s="1050"/>
      <c r="E13785" s="1050"/>
      <c r="F13785" s="1050"/>
      <c r="G13785" s="1050"/>
    </row>
    <row r="13786" spans="1:7">
      <c r="A13786" s="1079"/>
      <c r="B13786" s="1050"/>
      <c r="C13786" s="1050"/>
      <c r="D13786" s="1050"/>
      <c r="E13786" s="1050"/>
      <c r="F13786" s="1050"/>
      <c r="G13786" s="1050"/>
    </row>
    <row r="13787" spans="1:7">
      <c r="A13787" s="1079"/>
      <c r="B13787" s="1050"/>
      <c r="C13787" s="1050"/>
      <c r="D13787" s="1050"/>
      <c r="E13787" s="1050"/>
      <c r="F13787" s="1050"/>
      <c r="G13787" s="1050"/>
    </row>
    <row r="13788" spans="1:7">
      <c r="A13788" s="1079"/>
      <c r="B13788" s="1050"/>
      <c r="C13788" s="1050"/>
      <c r="D13788" s="1050"/>
      <c r="E13788" s="1050"/>
      <c r="F13788" s="1050"/>
      <c r="G13788" s="1050"/>
    </row>
    <row r="13789" spans="1:7">
      <c r="A13789" s="1079"/>
      <c r="B13789" s="1050"/>
      <c r="C13789" s="1050"/>
      <c r="D13789" s="1050"/>
      <c r="E13789" s="1050"/>
      <c r="F13789" s="1050"/>
      <c r="G13789" s="1050"/>
    </row>
    <row r="13790" spans="1:7">
      <c r="A13790" s="1079"/>
      <c r="B13790" s="1050"/>
      <c r="C13790" s="1050"/>
      <c r="D13790" s="1050"/>
      <c r="E13790" s="1050"/>
      <c r="F13790" s="1050"/>
      <c r="G13790" s="1050"/>
    </row>
    <row r="13791" spans="1:7">
      <c r="A13791" s="1079"/>
      <c r="B13791" s="1050"/>
      <c r="C13791" s="1050"/>
      <c r="D13791" s="1050"/>
      <c r="E13791" s="1050"/>
      <c r="F13791" s="1050"/>
      <c r="G13791" s="1050"/>
    </row>
    <row r="13792" spans="1:7">
      <c r="A13792" s="1079"/>
      <c r="B13792" s="1050"/>
      <c r="C13792" s="1050"/>
      <c r="D13792" s="1050"/>
      <c r="E13792" s="1050"/>
      <c r="F13792" s="1050"/>
      <c r="G13792" s="1050"/>
    </row>
    <row r="13793" spans="1:7">
      <c r="A13793" s="1079"/>
      <c r="B13793" s="1050"/>
      <c r="C13793" s="1050"/>
      <c r="D13793" s="1050"/>
      <c r="E13793" s="1050"/>
      <c r="F13793" s="1050"/>
      <c r="G13793" s="1050"/>
    </row>
    <row r="13794" spans="1:7">
      <c r="A13794" s="1079"/>
      <c r="B13794" s="1050"/>
      <c r="C13794" s="1050"/>
      <c r="D13794" s="1050"/>
      <c r="E13794" s="1050"/>
      <c r="F13794" s="1050"/>
      <c r="G13794" s="1050"/>
    </row>
    <row r="13795" spans="1:7">
      <c r="A13795" s="1079"/>
      <c r="B13795" s="1050"/>
      <c r="C13795" s="1050"/>
      <c r="D13795" s="1050"/>
      <c r="E13795" s="1050"/>
      <c r="F13795" s="1050"/>
      <c r="G13795" s="1050"/>
    </row>
    <row r="13796" spans="1:7">
      <c r="A13796" s="1079"/>
      <c r="B13796" s="1050"/>
      <c r="C13796" s="1050"/>
      <c r="D13796" s="1050"/>
      <c r="E13796" s="1050"/>
      <c r="F13796" s="1050"/>
      <c r="G13796" s="1050"/>
    </row>
    <row r="13797" spans="1:7">
      <c r="A13797" s="1079"/>
      <c r="B13797" s="1050"/>
      <c r="C13797" s="1050"/>
      <c r="D13797" s="1050"/>
      <c r="E13797" s="1050"/>
      <c r="F13797" s="1050"/>
      <c r="G13797" s="1050"/>
    </row>
    <row r="13798" spans="1:7">
      <c r="A13798" s="1079"/>
      <c r="B13798" s="1050"/>
      <c r="C13798" s="1050"/>
      <c r="D13798" s="1050"/>
      <c r="E13798" s="1050"/>
      <c r="F13798" s="1050"/>
      <c r="G13798" s="1050"/>
    </row>
    <row r="13799" spans="1:7">
      <c r="A13799" s="1079"/>
      <c r="B13799" s="1050"/>
      <c r="C13799" s="1050"/>
      <c r="D13799" s="1050"/>
      <c r="E13799" s="1050"/>
      <c r="F13799" s="1050"/>
      <c r="G13799" s="1050"/>
    </row>
    <row r="13800" spans="1:7">
      <c r="A13800" s="1079"/>
      <c r="B13800" s="1050"/>
      <c r="C13800" s="1050"/>
      <c r="D13800" s="1050"/>
      <c r="E13800" s="1050"/>
      <c r="F13800" s="1050"/>
      <c r="G13800" s="1050"/>
    </row>
    <row r="13801" spans="1:7">
      <c r="A13801" s="1079"/>
      <c r="B13801" s="1050"/>
      <c r="C13801" s="1050"/>
      <c r="D13801" s="1050"/>
      <c r="E13801" s="1050"/>
      <c r="F13801" s="1050"/>
      <c r="G13801" s="1050"/>
    </row>
    <row r="13802" spans="1:7">
      <c r="A13802" s="1079"/>
      <c r="B13802" s="1050"/>
      <c r="C13802" s="1050"/>
      <c r="D13802" s="1050"/>
      <c r="E13802" s="1050"/>
      <c r="F13802" s="1050"/>
      <c r="G13802" s="1050"/>
    </row>
    <row r="13803" spans="1:7">
      <c r="A13803" s="1079"/>
      <c r="B13803" s="1050"/>
      <c r="C13803" s="1050"/>
      <c r="D13803" s="1050"/>
      <c r="E13803" s="1050"/>
      <c r="F13803" s="1050"/>
      <c r="G13803" s="1050"/>
    </row>
    <row r="13804" spans="1:7">
      <c r="A13804" s="1079"/>
      <c r="B13804" s="1050"/>
      <c r="C13804" s="1050"/>
      <c r="D13804" s="1050"/>
      <c r="E13804" s="1050"/>
      <c r="F13804" s="1050"/>
      <c r="G13804" s="1050"/>
    </row>
    <row r="13805" spans="1:7">
      <c r="A13805" s="1079"/>
      <c r="B13805" s="1050"/>
      <c r="C13805" s="1050"/>
      <c r="D13805" s="1050"/>
      <c r="E13805" s="1050"/>
      <c r="F13805" s="1050"/>
      <c r="G13805" s="1050"/>
    </row>
    <row r="13806" spans="1:7">
      <c r="A13806" s="1079"/>
      <c r="B13806" s="1050"/>
      <c r="C13806" s="1050"/>
      <c r="D13806" s="1050"/>
      <c r="E13806" s="1050"/>
      <c r="F13806" s="1050"/>
      <c r="G13806" s="1050"/>
    </row>
    <row r="13807" spans="1:7">
      <c r="A13807" s="1079"/>
      <c r="B13807" s="1050"/>
      <c r="C13807" s="1050"/>
      <c r="D13807" s="1050"/>
      <c r="E13807" s="1050"/>
      <c r="F13807" s="1050"/>
      <c r="G13807" s="1050"/>
    </row>
    <row r="13808" spans="1:7">
      <c r="A13808" s="1079"/>
      <c r="B13808" s="1050"/>
      <c r="C13808" s="1050"/>
      <c r="D13808" s="1050"/>
      <c r="E13808" s="1050"/>
      <c r="F13808" s="1050"/>
      <c r="G13808" s="1050"/>
    </row>
    <row r="13809" spans="1:7">
      <c r="A13809" s="1079"/>
      <c r="B13809" s="1050"/>
      <c r="C13809" s="1050"/>
      <c r="D13809" s="1050"/>
      <c r="E13809" s="1050"/>
      <c r="F13809" s="1050"/>
      <c r="G13809" s="1050"/>
    </row>
    <row r="13810" spans="1:7">
      <c r="A13810" s="1079"/>
      <c r="B13810" s="1050"/>
      <c r="C13810" s="1050"/>
      <c r="D13810" s="1050"/>
      <c r="E13810" s="1050"/>
      <c r="F13810" s="1050"/>
      <c r="G13810" s="1050"/>
    </row>
    <row r="13811" spans="1:7">
      <c r="A13811" s="1079"/>
      <c r="B13811" s="1050"/>
      <c r="C13811" s="1050"/>
      <c r="D13811" s="1050"/>
      <c r="E13811" s="1050"/>
      <c r="F13811" s="1050"/>
      <c r="G13811" s="1050"/>
    </row>
    <row r="13812" spans="1:7">
      <c r="A13812" s="1079"/>
      <c r="B13812" s="1050"/>
      <c r="C13812" s="1050"/>
      <c r="D13812" s="1050"/>
      <c r="E13812" s="1050"/>
      <c r="F13812" s="1050"/>
      <c r="G13812" s="1050"/>
    </row>
    <row r="13813" spans="1:7">
      <c r="A13813" s="1079"/>
      <c r="B13813" s="1050"/>
      <c r="C13813" s="1050"/>
      <c r="D13813" s="1050"/>
      <c r="E13813" s="1050"/>
      <c r="F13813" s="1050"/>
      <c r="G13813" s="1050"/>
    </row>
    <row r="13814" spans="1:7">
      <c r="A13814" s="1079"/>
      <c r="B13814" s="1050"/>
      <c r="C13814" s="1050"/>
      <c r="D13814" s="1050"/>
      <c r="E13814" s="1050"/>
      <c r="F13814" s="1050"/>
      <c r="G13814" s="1050"/>
    </row>
    <row r="13815" spans="1:7">
      <c r="A13815" s="1079"/>
      <c r="B13815" s="1050"/>
      <c r="C13815" s="1050"/>
      <c r="D13815" s="1050"/>
      <c r="E13815" s="1050"/>
      <c r="F13815" s="1050"/>
      <c r="G13815" s="1050"/>
    </row>
    <row r="13816" spans="1:7">
      <c r="A13816" s="1079"/>
      <c r="B13816" s="1050"/>
      <c r="C13816" s="1050"/>
      <c r="D13816" s="1050"/>
      <c r="E13816" s="1050"/>
      <c r="F13816" s="1050"/>
      <c r="G13816" s="1050"/>
    </row>
    <row r="13817" spans="1:7">
      <c r="A13817" s="1079"/>
      <c r="B13817" s="1050"/>
      <c r="C13817" s="1050"/>
      <c r="D13817" s="1050"/>
      <c r="E13817" s="1050"/>
      <c r="F13817" s="1050"/>
      <c r="G13817" s="1050"/>
    </row>
    <row r="13818" spans="1:7">
      <c r="A13818" s="1079"/>
      <c r="B13818" s="1050"/>
      <c r="C13818" s="1050"/>
      <c r="D13818" s="1050"/>
      <c r="E13818" s="1050"/>
      <c r="F13818" s="1050"/>
      <c r="G13818" s="1050"/>
    </row>
    <row r="13819" spans="1:7">
      <c r="A13819" s="1079"/>
      <c r="B13819" s="1050"/>
      <c r="C13819" s="1050"/>
      <c r="D13819" s="1050"/>
      <c r="E13819" s="1050"/>
      <c r="F13819" s="1050"/>
      <c r="G13819" s="1050"/>
    </row>
    <row r="13820" spans="1:7">
      <c r="A13820" s="1079"/>
      <c r="B13820" s="1050"/>
      <c r="C13820" s="1050"/>
      <c r="D13820" s="1050"/>
      <c r="E13820" s="1050"/>
      <c r="F13820" s="1050"/>
      <c r="G13820" s="1050"/>
    </row>
    <row r="13821" spans="1:7">
      <c r="A13821" s="1079"/>
      <c r="B13821" s="1050"/>
      <c r="C13821" s="1050"/>
      <c r="D13821" s="1050"/>
      <c r="E13821" s="1050"/>
      <c r="F13821" s="1050"/>
      <c r="G13821" s="1050"/>
    </row>
    <row r="13822" spans="1:7">
      <c r="A13822" s="1079"/>
      <c r="B13822" s="1050"/>
      <c r="C13822" s="1050"/>
      <c r="D13822" s="1050"/>
      <c r="E13822" s="1050"/>
      <c r="F13822" s="1050"/>
      <c r="G13822" s="1050"/>
    </row>
    <row r="13823" spans="1:7">
      <c r="A13823" s="1079"/>
      <c r="B13823" s="1050"/>
      <c r="C13823" s="1050"/>
      <c r="D13823" s="1050"/>
      <c r="E13823" s="1050"/>
      <c r="F13823" s="1050"/>
      <c r="G13823" s="1050"/>
    </row>
    <row r="13824" spans="1:7">
      <c r="A13824" s="1079"/>
      <c r="B13824" s="1050"/>
      <c r="C13824" s="1050"/>
      <c r="D13824" s="1050"/>
      <c r="E13824" s="1050"/>
      <c r="F13824" s="1050"/>
      <c r="G13824" s="1050"/>
    </row>
    <row r="13825" spans="1:7">
      <c r="A13825" s="1079"/>
      <c r="B13825" s="1050"/>
      <c r="C13825" s="1050"/>
      <c r="D13825" s="1050"/>
      <c r="E13825" s="1050"/>
      <c r="F13825" s="1050"/>
      <c r="G13825" s="1050"/>
    </row>
    <row r="13826" spans="1:7">
      <c r="A13826" s="1079"/>
      <c r="B13826" s="1050"/>
      <c r="C13826" s="1050"/>
      <c r="D13826" s="1050"/>
      <c r="E13826" s="1050"/>
      <c r="F13826" s="1050"/>
      <c r="G13826" s="1050"/>
    </row>
    <row r="13827" spans="1:7">
      <c r="A13827" s="1079"/>
      <c r="B13827" s="1050"/>
      <c r="C13827" s="1050"/>
      <c r="D13827" s="1050"/>
      <c r="E13827" s="1050"/>
      <c r="F13827" s="1050"/>
      <c r="G13827" s="1050"/>
    </row>
    <row r="13828" spans="1:7">
      <c r="A13828" s="1079"/>
      <c r="B13828" s="1050"/>
      <c r="C13828" s="1050"/>
      <c r="D13828" s="1050"/>
      <c r="E13828" s="1050"/>
      <c r="F13828" s="1050"/>
      <c r="G13828" s="1050"/>
    </row>
    <row r="13829" spans="1:7">
      <c r="A13829" s="1079"/>
      <c r="B13829" s="1050"/>
      <c r="C13829" s="1050"/>
      <c r="D13829" s="1050"/>
      <c r="E13829" s="1050"/>
      <c r="F13829" s="1050"/>
      <c r="G13829" s="1050"/>
    </row>
    <row r="13830" spans="1:7">
      <c r="A13830" s="1079"/>
      <c r="B13830" s="1050"/>
      <c r="C13830" s="1050"/>
      <c r="D13830" s="1050"/>
      <c r="E13830" s="1050"/>
      <c r="F13830" s="1050"/>
      <c r="G13830" s="1050"/>
    </row>
    <row r="13831" spans="1:7">
      <c r="A13831" s="1079"/>
      <c r="B13831" s="1050"/>
      <c r="C13831" s="1050"/>
      <c r="D13831" s="1050"/>
      <c r="E13831" s="1050"/>
      <c r="F13831" s="1050"/>
      <c r="G13831" s="1050"/>
    </row>
    <row r="13832" spans="1:7">
      <c r="A13832" s="1079"/>
      <c r="B13832" s="1050"/>
      <c r="C13832" s="1050"/>
      <c r="D13832" s="1050"/>
      <c r="E13832" s="1050"/>
      <c r="F13832" s="1050"/>
      <c r="G13832" s="1050"/>
    </row>
    <row r="13833" spans="1:7">
      <c r="A13833" s="1079"/>
      <c r="B13833" s="1050"/>
      <c r="C13833" s="1050"/>
      <c r="D13833" s="1050"/>
      <c r="E13833" s="1050"/>
      <c r="F13833" s="1050"/>
      <c r="G13833" s="1050"/>
    </row>
    <row r="13834" spans="1:7">
      <c r="A13834" s="1079"/>
      <c r="B13834" s="1050"/>
      <c r="C13834" s="1050"/>
      <c r="D13834" s="1050"/>
      <c r="E13834" s="1050"/>
      <c r="F13834" s="1050"/>
      <c r="G13834" s="1050"/>
    </row>
    <row r="13835" spans="1:7">
      <c r="A13835" s="1079"/>
      <c r="B13835" s="1050"/>
      <c r="C13835" s="1050"/>
      <c r="D13835" s="1050"/>
      <c r="E13835" s="1050"/>
      <c r="F13835" s="1050"/>
      <c r="G13835" s="1050"/>
    </row>
    <row r="13836" spans="1:7">
      <c r="A13836" s="1079"/>
      <c r="B13836" s="1050"/>
      <c r="C13836" s="1050"/>
      <c r="D13836" s="1050"/>
      <c r="E13836" s="1050"/>
      <c r="F13836" s="1050"/>
      <c r="G13836" s="1050"/>
    </row>
    <row r="13837" spans="1:7">
      <c r="A13837" s="1079"/>
      <c r="B13837" s="1050"/>
      <c r="C13837" s="1050"/>
      <c r="D13837" s="1050"/>
      <c r="E13837" s="1050"/>
      <c r="F13837" s="1050"/>
      <c r="G13837" s="1050"/>
    </row>
    <row r="13838" spans="1:7">
      <c r="A13838" s="1079"/>
      <c r="B13838" s="1050"/>
      <c r="C13838" s="1050"/>
      <c r="D13838" s="1050"/>
      <c r="E13838" s="1050"/>
      <c r="F13838" s="1050"/>
      <c r="G13838" s="1050"/>
    </row>
    <row r="13839" spans="1:7">
      <c r="A13839" s="1079"/>
      <c r="B13839" s="1050"/>
      <c r="C13839" s="1050"/>
      <c r="D13839" s="1050"/>
      <c r="E13839" s="1050"/>
      <c r="F13839" s="1050"/>
      <c r="G13839" s="1050"/>
    </row>
    <row r="13840" spans="1:7">
      <c r="A13840" s="1079"/>
      <c r="B13840" s="1050"/>
      <c r="C13840" s="1050"/>
      <c r="D13840" s="1050"/>
      <c r="E13840" s="1050"/>
      <c r="F13840" s="1050"/>
      <c r="G13840" s="1050"/>
    </row>
    <row r="13841" spans="1:7">
      <c r="A13841" s="1079"/>
      <c r="B13841" s="1050"/>
      <c r="C13841" s="1050"/>
      <c r="D13841" s="1050"/>
      <c r="E13841" s="1050"/>
      <c r="F13841" s="1050"/>
      <c r="G13841" s="1050"/>
    </row>
    <row r="13842" spans="1:7">
      <c r="A13842" s="1079"/>
      <c r="B13842" s="1050"/>
      <c r="C13842" s="1050"/>
      <c r="D13842" s="1050"/>
      <c r="E13842" s="1050"/>
      <c r="F13842" s="1050"/>
      <c r="G13842" s="1050"/>
    </row>
    <row r="13843" spans="1:7">
      <c r="A13843" s="1079"/>
      <c r="B13843" s="1050"/>
      <c r="C13843" s="1050"/>
      <c r="D13843" s="1050"/>
      <c r="E13843" s="1050"/>
      <c r="F13843" s="1050"/>
      <c r="G13843" s="1050"/>
    </row>
    <row r="13844" spans="1:7">
      <c r="A13844" s="1079"/>
      <c r="B13844" s="1050"/>
      <c r="C13844" s="1050"/>
      <c r="D13844" s="1050"/>
      <c r="E13844" s="1050"/>
      <c r="F13844" s="1050"/>
      <c r="G13844" s="1050"/>
    </row>
    <row r="13845" spans="1:7">
      <c r="A13845" s="1079"/>
      <c r="B13845" s="1050"/>
      <c r="C13845" s="1050"/>
      <c r="D13845" s="1050"/>
      <c r="E13845" s="1050"/>
      <c r="F13845" s="1050"/>
      <c r="G13845" s="1050"/>
    </row>
    <row r="13846" spans="1:7">
      <c r="A13846" s="1079"/>
      <c r="B13846" s="1050"/>
      <c r="C13846" s="1050"/>
      <c r="D13846" s="1050"/>
      <c r="E13846" s="1050"/>
      <c r="F13846" s="1050"/>
      <c r="G13846" s="1050"/>
    </row>
    <row r="13847" spans="1:7">
      <c r="A13847" s="1079"/>
      <c r="B13847" s="1050"/>
      <c r="C13847" s="1050"/>
      <c r="D13847" s="1050"/>
      <c r="E13847" s="1050"/>
      <c r="F13847" s="1050"/>
      <c r="G13847" s="1050"/>
    </row>
    <row r="13848" spans="1:7">
      <c r="A13848" s="1079"/>
      <c r="B13848" s="1050"/>
      <c r="C13848" s="1050"/>
      <c r="D13848" s="1050"/>
      <c r="E13848" s="1050"/>
      <c r="F13848" s="1050"/>
      <c r="G13848" s="1050"/>
    </row>
    <row r="13849" spans="1:7">
      <c r="A13849" s="1079"/>
      <c r="B13849" s="1050"/>
      <c r="C13849" s="1050"/>
      <c r="D13849" s="1050"/>
      <c r="E13849" s="1050"/>
      <c r="F13849" s="1050"/>
      <c r="G13849" s="1050"/>
    </row>
    <row r="13850" spans="1:7">
      <c r="A13850" s="1079"/>
      <c r="B13850" s="1050"/>
      <c r="C13850" s="1050"/>
      <c r="D13850" s="1050"/>
      <c r="E13850" s="1050"/>
      <c r="F13850" s="1050"/>
      <c r="G13850" s="1050"/>
    </row>
    <row r="13851" spans="1:7">
      <c r="A13851" s="1079"/>
      <c r="B13851" s="1050"/>
      <c r="C13851" s="1050"/>
      <c r="D13851" s="1050"/>
      <c r="E13851" s="1050"/>
      <c r="F13851" s="1050"/>
      <c r="G13851" s="1050"/>
    </row>
    <row r="13852" spans="1:7">
      <c r="A13852" s="1079"/>
      <c r="B13852" s="1050"/>
      <c r="C13852" s="1050"/>
      <c r="D13852" s="1050"/>
      <c r="E13852" s="1050"/>
      <c r="F13852" s="1050"/>
      <c r="G13852" s="1050"/>
    </row>
    <row r="13853" spans="1:7">
      <c r="A13853" s="1079"/>
      <c r="B13853" s="1050"/>
      <c r="C13853" s="1050"/>
      <c r="D13853" s="1050"/>
      <c r="E13853" s="1050"/>
      <c r="F13853" s="1050"/>
      <c r="G13853" s="1050"/>
    </row>
    <row r="13854" spans="1:7">
      <c r="A13854" s="1079"/>
      <c r="B13854" s="1050"/>
      <c r="C13854" s="1050"/>
      <c r="D13854" s="1050"/>
      <c r="E13854" s="1050"/>
      <c r="F13854" s="1050"/>
      <c r="G13854" s="1050"/>
    </row>
    <row r="13855" spans="1:7">
      <c r="A13855" s="1079"/>
      <c r="B13855" s="1050"/>
      <c r="C13855" s="1050"/>
      <c r="D13855" s="1050"/>
      <c r="E13855" s="1050"/>
      <c r="F13855" s="1050"/>
      <c r="G13855" s="1050"/>
    </row>
    <row r="13856" spans="1:7">
      <c r="A13856" s="1079"/>
      <c r="B13856" s="1050"/>
      <c r="C13856" s="1050"/>
      <c r="D13856" s="1050"/>
      <c r="E13856" s="1050"/>
      <c r="F13856" s="1050"/>
      <c r="G13856" s="1050"/>
    </row>
    <row r="13857" spans="1:7">
      <c r="A13857" s="1079"/>
      <c r="B13857" s="1050"/>
      <c r="C13857" s="1050"/>
      <c r="D13857" s="1050"/>
      <c r="E13857" s="1050"/>
      <c r="F13857" s="1050"/>
      <c r="G13857" s="1050"/>
    </row>
    <row r="13858" spans="1:7">
      <c r="A13858" s="1079"/>
      <c r="B13858" s="1050"/>
      <c r="C13858" s="1050"/>
      <c r="D13858" s="1050"/>
      <c r="E13858" s="1050"/>
      <c r="F13858" s="1050"/>
      <c r="G13858" s="1050"/>
    </row>
    <row r="13859" spans="1:7">
      <c r="A13859" s="1079"/>
      <c r="B13859" s="1050"/>
      <c r="C13859" s="1050"/>
      <c r="D13859" s="1050"/>
      <c r="E13859" s="1050"/>
      <c r="F13859" s="1050"/>
      <c r="G13859" s="1050"/>
    </row>
    <row r="13860" spans="1:7">
      <c r="A13860" s="1079"/>
      <c r="B13860" s="1050"/>
      <c r="C13860" s="1050"/>
      <c r="D13860" s="1050"/>
      <c r="E13860" s="1050"/>
      <c r="F13860" s="1050"/>
      <c r="G13860" s="1050"/>
    </row>
    <row r="13861" spans="1:7">
      <c r="A13861" s="1079"/>
      <c r="B13861" s="1050"/>
      <c r="C13861" s="1050"/>
      <c r="D13861" s="1050"/>
      <c r="E13861" s="1050"/>
      <c r="F13861" s="1050"/>
      <c r="G13861" s="1050"/>
    </row>
    <row r="13862" spans="1:7">
      <c r="A13862" s="1079"/>
      <c r="B13862" s="1050"/>
      <c r="C13862" s="1050"/>
      <c r="D13862" s="1050"/>
      <c r="E13862" s="1050"/>
      <c r="F13862" s="1050"/>
      <c r="G13862" s="1050"/>
    </row>
    <row r="13863" spans="1:7">
      <c r="A13863" s="1079"/>
      <c r="B13863" s="1050"/>
      <c r="C13863" s="1050"/>
      <c r="D13863" s="1050"/>
      <c r="E13863" s="1050"/>
      <c r="F13863" s="1050"/>
      <c r="G13863" s="1050"/>
    </row>
    <row r="13864" spans="1:7">
      <c r="A13864" s="1079"/>
      <c r="B13864" s="1050"/>
      <c r="C13864" s="1050"/>
      <c r="D13864" s="1050"/>
      <c r="E13864" s="1050"/>
      <c r="F13864" s="1050"/>
      <c r="G13864" s="1050"/>
    </row>
    <row r="13865" spans="1:7">
      <c r="A13865" s="1079"/>
      <c r="B13865" s="1050"/>
      <c r="C13865" s="1050"/>
      <c r="D13865" s="1050"/>
      <c r="E13865" s="1050"/>
      <c r="F13865" s="1050"/>
      <c r="G13865" s="1050"/>
    </row>
    <row r="13866" spans="1:7">
      <c r="A13866" s="1079"/>
      <c r="B13866" s="1050"/>
      <c r="C13866" s="1050"/>
      <c r="D13866" s="1050"/>
      <c r="E13866" s="1050"/>
      <c r="F13866" s="1050"/>
      <c r="G13866" s="1050"/>
    </row>
    <row r="13867" spans="1:7">
      <c r="A13867" s="1079"/>
      <c r="B13867" s="1050"/>
      <c r="C13867" s="1050"/>
      <c r="D13867" s="1050"/>
      <c r="E13867" s="1050"/>
      <c r="F13867" s="1050"/>
      <c r="G13867" s="1050"/>
    </row>
    <row r="13868" spans="1:7">
      <c r="A13868" s="1079"/>
      <c r="B13868" s="1050"/>
      <c r="C13868" s="1050"/>
      <c r="D13868" s="1050"/>
      <c r="E13868" s="1050"/>
      <c r="F13868" s="1050"/>
      <c r="G13868" s="1050"/>
    </row>
    <row r="13869" spans="1:7">
      <c r="A13869" s="1079"/>
      <c r="B13869" s="1050"/>
      <c r="C13869" s="1050"/>
      <c r="D13869" s="1050"/>
      <c r="E13869" s="1050"/>
      <c r="F13869" s="1050"/>
      <c r="G13869" s="1050"/>
    </row>
    <row r="13870" spans="1:7">
      <c r="A13870" s="1079"/>
      <c r="B13870" s="1050"/>
      <c r="C13870" s="1050"/>
      <c r="D13870" s="1050"/>
      <c r="E13870" s="1050"/>
      <c r="F13870" s="1050"/>
      <c r="G13870" s="1050"/>
    </row>
    <row r="13871" spans="1:7">
      <c r="A13871" s="1079"/>
      <c r="B13871" s="1050"/>
      <c r="C13871" s="1050"/>
      <c r="D13871" s="1050"/>
      <c r="E13871" s="1050"/>
      <c r="F13871" s="1050"/>
      <c r="G13871" s="1050"/>
    </row>
    <row r="13872" spans="1:7">
      <c r="A13872" s="1079"/>
      <c r="B13872" s="1050"/>
      <c r="C13872" s="1050"/>
      <c r="D13872" s="1050"/>
      <c r="E13872" s="1050"/>
      <c r="F13872" s="1050"/>
      <c r="G13872" s="1050"/>
    </row>
    <row r="13873" spans="1:7">
      <c r="A13873" s="1079"/>
      <c r="B13873" s="1050"/>
      <c r="C13873" s="1050"/>
      <c r="D13873" s="1050"/>
      <c r="E13873" s="1050"/>
      <c r="F13873" s="1050"/>
      <c r="G13873" s="1050"/>
    </row>
    <row r="13874" spans="1:7">
      <c r="A13874" s="1079"/>
      <c r="B13874" s="1050"/>
      <c r="C13874" s="1050"/>
      <c r="D13874" s="1050"/>
      <c r="E13874" s="1050"/>
      <c r="F13874" s="1050"/>
      <c r="G13874" s="1050"/>
    </row>
    <row r="13875" spans="1:7">
      <c r="A13875" s="1079"/>
      <c r="B13875" s="1050"/>
      <c r="C13875" s="1050"/>
      <c r="D13875" s="1050"/>
      <c r="E13875" s="1050"/>
      <c r="F13875" s="1050"/>
      <c r="G13875" s="1050"/>
    </row>
    <row r="13876" spans="1:7">
      <c r="A13876" s="1079"/>
      <c r="B13876" s="1050"/>
      <c r="C13876" s="1050"/>
      <c r="D13876" s="1050"/>
      <c r="E13876" s="1050"/>
      <c r="F13876" s="1050"/>
      <c r="G13876" s="1050"/>
    </row>
    <row r="13877" spans="1:7">
      <c r="A13877" s="1079"/>
      <c r="B13877" s="1050"/>
      <c r="C13877" s="1050"/>
      <c r="D13877" s="1050"/>
      <c r="E13877" s="1050"/>
      <c r="F13877" s="1050"/>
      <c r="G13877" s="1050"/>
    </row>
    <row r="13878" spans="1:7">
      <c r="A13878" s="1079"/>
      <c r="B13878" s="1050"/>
      <c r="C13878" s="1050"/>
      <c r="D13878" s="1050"/>
      <c r="E13878" s="1050"/>
      <c r="F13878" s="1050"/>
      <c r="G13878" s="1050"/>
    </row>
    <row r="13879" spans="1:7">
      <c r="A13879" s="1079"/>
      <c r="B13879" s="1050"/>
      <c r="C13879" s="1050"/>
      <c r="D13879" s="1050"/>
      <c r="E13879" s="1050"/>
      <c r="F13879" s="1050"/>
      <c r="G13879" s="1050"/>
    </row>
    <row r="13880" spans="1:7">
      <c r="A13880" s="1079"/>
      <c r="B13880" s="1050"/>
      <c r="C13880" s="1050"/>
      <c r="D13880" s="1050"/>
      <c r="E13880" s="1050"/>
      <c r="F13880" s="1050"/>
      <c r="G13880" s="1050"/>
    </row>
    <row r="13881" spans="1:7">
      <c r="A13881" s="1079"/>
      <c r="B13881" s="1050"/>
      <c r="C13881" s="1050"/>
      <c r="D13881" s="1050"/>
      <c r="E13881" s="1050"/>
      <c r="F13881" s="1050"/>
      <c r="G13881" s="1050"/>
    </row>
    <row r="13882" spans="1:7">
      <c r="A13882" s="1079"/>
      <c r="B13882" s="1050"/>
      <c r="C13882" s="1050"/>
      <c r="D13882" s="1050"/>
      <c r="E13882" s="1050"/>
      <c r="F13882" s="1050"/>
      <c r="G13882" s="1050"/>
    </row>
    <row r="13883" spans="1:7">
      <c r="A13883" s="1079"/>
      <c r="B13883" s="1050"/>
      <c r="C13883" s="1050"/>
      <c r="D13883" s="1050"/>
      <c r="E13883" s="1050"/>
      <c r="F13883" s="1050"/>
      <c r="G13883" s="1050"/>
    </row>
    <row r="13884" spans="1:7">
      <c r="A13884" s="1079"/>
      <c r="B13884" s="1050"/>
      <c r="C13884" s="1050"/>
      <c r="D13884" s="1050"/>
      <c r="E13884" s="1050"/>
      <c r="F13884" s="1050"/>
      <c r="G13884" s="1050"/>
    </row>
    <row r="13885" spans="1:7">
      <c r="A13885" s="1079"/>
      <c r="B13885" s="1050"/>
      <c r="C13885" s="1050"/>
      <c r="D13885" s="1050"/>
      <c r="E13885" s="1050"/>
      <c r="F13885" s="1050"/>
      <c r="G13885" s="1050"/>
    </row>
    <row r="13886" spans="1:7">
      <c r="A13886" s="1079"/>
      <c r="B13886" s="1050"/>
      <c r="C13886" s="1050"/>
      <c r="D13886" s="1050"/>
      <c r="E13886" s="1050"/>
      <c r="F13886" s="1050"/>
      <c r="G13886" s="1050"/>
    </row>
    <row r="13887" spans="1:7">
      <c r="A13887" s="1079"/>
      <c r="B13887" s="1050"/>
      <c r="C13887" s="1050"/>
      <c r="D13887" s="1050"/>
      <c r="E13887" s="1050"/>
      <c r="F13887" s="1050"/>
      <c r="G13887" s="1050"/>
    </row>
    <row r="13888" spans="1:7">
      <c r="A13888" s="1079"/>
      <c r="B13888" s="1050"/>
      <c r="C13888" s="1050"/>
      <c r="D13888" s="1050"/>
      <c r="E13888" s="1050"/>
      <c r="F13888" s="1050"/>
      <c r="G13888" s="1050"/>
    </row>
    <row r="13889" spans="1:7">
      <c r="A13889" s="1079"/>
      <c r="B13889" s="1050"/>
      <c r="C13889" s="1050"/>
      <c r="D13889" s="1050"/>
      <c r="E13889" s="1050"/>
      <c r="F13889" s="1050"/>
      <c r="G13889" s="1050"/>
    </row>
    <row r="13890" spans="1:7">
      <c r="A13890" s="1079"/>
      <c r="B13890" s="1050"/>
      <c r="C13890" s="1050"/>
      <c r="D13890" s="1050"/>
      <c r="E13890" s="1050"/>
      <c r="F13890" s="1050"/>
      <c r="G13890" s="1050"/>
    </row>
    <row r="13891" spans="1:7">
      <c r="A13891" s="1079"/>
      <c r="B13891" s="1050"/>
      <c r="C13891" s="1050"/>
      <c r="D13891" s="1050"/>
      <c r="E13891" s="1050"/>
      <c r="F13891" s="1050"/>
      <c r="G13891" s="1050"/>
    </row>
    <row r="13892" spans="1:7">
      <c r="A13892" s="1079"/>
      <c r="B13892" s="1050"/>
      <c r="C13892" s="1050"/>
      <c r="D13892" s="1050"/>
      <c r="E13892" s="1050"/>
      <c r="F13892" s="1050"/>
      <c r="G13892" s="1050"/>
    </row>
    <row r="13893" spans="1:7">
      <c r="A13893" s="1079"/>
      <c r="B13893" s="1050"/>
      <c r="C13893" s="1050"/>
      <c r="D13893" s="1050"/>
      <c r="E13893" s="1050"/>
      <c r="F13893" s="1050"/>
      <c r="G13893" s="1050"/>
    </row>
    <row r="13894" spans="1:7">
      <c r="A13894" s="1079"/>
      <c r="B13894" s="1050"/>
      <c r="C13894" s="1050"/>
      <c r="D13894" s="1050"/>
      <c r="E13894" s="1050"/>
      <c r="F13894" s="1050"/>
      <c r="G13894" s="1050"/>
    </row>
    <row r="13895" spans="1:7">
      <c r="A13895" s="1079"/>
      <c r="B13895" s="1050"/>
      <c r="C13895" s="1050"/>
      <c r="D13895" s="1050"/>
      <c r="E13895" s="1050"/>
      <c r="F13895" s="1050"/>
      <c r="G13895" s="1050"/>
    </row>
    <row r="13896" spans="1:7">
      <c r="A13896" s="1079"/>
      <c r="B13896" s="1050"/>
      <c r="C13896" s="1050"/>
      <c r="D13896" s="1050"/>
      <c r="E13896" s="1050"/>
      <c r="F13896" s="1050"/>
      <c r="G13896" s="1050"/>
    </row>
    <row r="13897" spans="1:7">
      <c r="A13897" s="1079"/>
      <c r="B13897" s="1050"/>
      <c r="C13897" s="1050"/>
      <c r="D13897" s="1050"/>
      <c r="E13897" s="1050"/>
      <c r="F13897" s="1050"/>
      <c r="G13897" s="1050"/>
    </row>
    <row r="13898" spans="1:7">
      <c r="A13898" s="1079"/>
      <c r="B13898" s="1050"/>
      <c r="C13898" s="1050"/>
      <c r="D13898" s="1050"/>
      <c r="E13898" s="1050"/>
      <c r="F13898" s="1050"/>
      <c r="G13898" s="1050"/>
    </row>
    <row r="13899" spans="1:7">
      <c r="A13899" s="1079"/>
      <c r="B13899" s="1050"/>
      <c r="C13899" s="1050"/>
      <c r="D13899" s="1050"/>
      <c r="E13899" s="1050"/>
      <c r="F13899" s="1050"/>
      <c r="G13899" s="1050"/>
    </row>
    <row r="13900" spans="1:7">
      <c r="A13900" s="1079"/>
      <c r="B13900" s="1050"/>
      <c r="C13900" s="1050"/>
      <c r="D13900" s="1050"/>
      <c r="E13900" s="1050"/>
      <c r="F13900" s="1050"/>
      <c r="G13900" s="1050"/>
    </row>
    <row r="13901" spans="1:7">
      <c r="A13901" s="1079"/>
      <c r="B13901" s="1050"/>
      <c r="C13901" s="1050"/>
      <c r="D13901" s="1050"/>
      <c r="E13901" s="1050"/>
      <c r="F13901" s="1050"/>
      <c r="G13901" s="1050"/>
    </row>
    <row r="13902" spans="1:7">
      <c r="A13902" s="1079"/>
      <c r="B13902" s="1050"/>
      <c r="C13902" s="1050"/>
      <c r="D13902" s="1050"/>
      <c r="E13902" s="1050"/>
      <c r="F13902" s="1050"/>
      <c r="G13902" s="1050"/>
    </row>
    <row r="13903" spans="1:7">
      <c r="A13903" s="1079"/>
      <c r="B13903" s="1050"/>
      <c r="C13903" s="1050"/>
      <c r="D13903" s="1050"/>
      <c r="E13903" s="1050"/>
      <c r="F13903" s="1050"/>
      <c r="G13903" s="1050"/>
    </row>
    <row r="13904" spans="1:7">
      <c r="A13904" s="1079"/>
      <c r="B13904" s="1050"/>
      <c r="C13904" s="1050"/>
      <c r="D13904" s="1050"/>
      <c r="E13904" s="1050"/>
      <c r="F13904" s="1050"/>
      <c r="G13904" s="1050"/>
    </row>
    <row r="13905" spans="1:7">
      <c r="A13905" s="1079"/>
      <c r="B13905" s="1050"/>
      <c r="C13905" s="1050"/>
      <c r="D13905" s="1050"/>
      <c r="E13905" s="1050"/>
      <c r="F13905" s="1050"/>
      <c r="G13905" s="1050"/>
    </row>
    <row r="13906" spans="1:7">
      <c r="A13906" s="1079"/>
      <c r="B13906" s="1050"/>
      <c r="C13906" s="1050"/>
      <c r="D13906" s="1050"/>
      <c r="E13906" s="1050"/>
      <c r="F13906" s="1050"/>
      <c r="G13906" s="1050"/>
    </row>
    <row r="13907" spans="1:7">
      <c r="A13907" s="1079"/>
      <c r="B13907" s="1050"/>
      <c r="C13907" s="1050"/>
      <c r="D13907" s="1050"/>
      <c r="E13907" s="1050"/>
      <c r="F13907" s="1050"/>
      <c r="G13907" s="1050"/>
    </row>
    <row r="13908" spans="1:7">
      <c r="A13908" s="1079"/>
      <c r="B13908" s="1050"/>
      <c r="C13908" s="1050"/>
      <c r="D13908" s="1050"/>
      <c r="E13908" s="1050"/>
      <c r="F13908" s="1050"/>
      <c r="G13908" s="1050"/>
    </row>
    <row r="13909" spans="1:7">
      <c r="A13909" s="1079"/>
      <c r="B13909" s="1050"/>
      <c r="C13909" s="1050"/>
      <c r="D13909" s="1050"/>
      <c r="E13909" s="1050"/>
      <c r="F13909" s="1050"/>
      <c r="G13909" s="1050"/>
    </row>
    <row r="13910" spans="1:7">
      <c r="A13910" s="1079"/>
      <c r="B13910" s="1050"/>
      <c r="C13910" s="1050"/>
      <c r="D13910" s="1050"/>
      <c r="E13910" s="1050"/>
      <c r="F13910" s="1050"/>
      <c r="G13910" s="1050"/>
    </row>
    <row r="13911" spans="1:7">
      <c r="A13911" s="1079"/>
      <c r="B13911" s="1050"/>
      <c r="C13911" s="1050"/>
      <c r="D13911" s="1050"/>
      <c r="E13911" s="1050"/>
      <c r="F13911" s="1050"/>
      <c r="G13911" s="1050"/>
    </row>
    <row r="13912" spans="1:7">
      <c r="A13912" s="1079"/>
      <c r="B13912" s="1050"/>
      <c r="C13912" s="1050"/>
      <c r="D13912" s="1050"/>
      <c r="E13912" s="1050"/>
      <c r="F13912" s="1050"/>
      <c r="G13912" s="1050"/>
    </row>
    <row r="13913" spans="1:7">
      <c r="A13913" s="1079"/>
      <c r="B13913" s="1050"/>
      <c r="C13913" s="1050"/>
      <c r="D13913" s="1050"/>
      <c r="E13913" s="1050"/>
      <c r="F13913" s="1050"/>
      <c r="G13913" s="1050"/>
    </row>
    <row r="13914" spans="1:7">
      <c r="A13914" s="1079"/>
      <c r="B13914" s="1050"/>
      <c r="C13914" s="1050"/>
      <c r="D13914" s="1050"/>
      <c r="E13914" s="1050"/>
      <c r="F13914" s="1050"/>
      <c r="G13914" s="1050"/>
    </row>
    <row r="13915" spans="1:7">
      <c r="A13915" s="1079"/>
      <c r="B13915" s="1050"/>
      <c r="C13915" s="1050"/>
      <c r="D13915" s="1050"/>
      <c r="E13915" s="1050"/>
      <c r="F13915" s="1050"/>
      <c r="G13915" s="1050"/>
    </row>
    <row r="13916" spans="1:7">
      <c r="A13916" s="1079"/>
      <c r="B13916" s="1050"/>
      <c r="C13916" s="1050"/>
      <c r="D13916" s="1050"/>
      <c r="E13916" s="1050"/>
      <c r="F13916" s="1050"/>
      <c r="G13916" s="1050"/>
    </row>
    <row r="13917" spans="1:7">
      <c r="A13917" s="1079"/>
      <c r="B13917" s="1050"/>
      <c r="C13917" s="1050"/>
      <c r="D13917" s="1050"/>
      <c r="E13917" s="1050"/>
      <c r="F13917" s="1050"/>
      <c r="G13917" s="1050"/>
    </row>
    <row r="13918" spans="1:7">
      <c r="A13918" s="1079"/>
      <c r="B13918" s="1050"/>
      <c r="C13918" s="1050"/>
      <c r="D13918" s="1050"/>
      <c r="E13918" s="1050"/>
      <c r="F13918" s="1050"/>
      <c r="G13918" s="1050"/>
    </row>
    <row r="13919" spans="1:7">
      <c r="A13919" s="1079"/>
      <c r="B13919" s="1050"/>
      <c r="C13919" s="1050"/>
      <c r="D13919" s="1050"/>
      <c r="E13919" s="1050"/>
      <c r="F13919" s="1050"/>
      <c r="G13919" s="1050"/>
    </row>
    <row r="13920" spans="1:7">
      <c r="A13920" s="1079"/>
      <c r="B13920" s="1050"/>
      <c r="C13920" s="1050"/>
      <c r="D13920" s="1050"/>
      <c r="E13920" s="1050"/>
      <c r="F13920" s="1050"/>
      <c r="G13920" s="1050"/>
    </row>
    <row r="13921" spans="1:7">
      <c r="A13921" s="1079"/>
      <c r="B13921" s="1050"/>
      <c r="C13921" s="1050"/>
      <c r="D13921" s="1050"/>
      <c r="E13921" s="1050"/>
      <c r="F13921" s="1050"/>
      <c r="G13921" s="1050"/>
    </row>
    <row r="13922" spans="1:7">
      <c r="A13922" s="1079"/>
      <c r="B13922" s="1050"/>
      <c r="C13922" s="1050"/>
      <c r="D13922" s="1050"/>
      <c r="E13922" s="1050"/>
      <c r="F13922" s="1050"/>
      <c r="G13922" s="1050"/>
    </row>
    <row r="13923" spans="1:7">
      <c r="A13923" s="1079"/>
      <c r="B13923" s="1050"/>
      <c r="C13923" s="1050"/>
      <c r="D13923" s="1050"/>
      <c r="E13923" s="1050"/>
      <c r="F13923" s="1050"/>
      <c r="G13923" s="1050"/>
    </row>
    <row r="13924" spans="1:7">
      <c r="A13924" s="1079"/>
      <c r="B13924" s="1050"/>
      <c r="C13924" s="1050"/>
      <c r="D13924" s="1050"/>
      <c r="E13924" s="1050"/>
      <c r="F13924" s="1050"/>
      <c r="G13924" s="1050"/>
    </row>
    <row r="13925" spans="1:7">
      <c r="A13925" s="1079"/>
      <c r="B13925" s="1050"/>
      <c r="C13925" s="1050"/>
      <c r="D13925" s="1050"/>
      <c r="E13925" s="1050"/>
      <c r="F13925" s="1050"/>
      <c r="G13925" s="1050"/>
    </row>
    <row r="13926" spans="1:7">
      <c r="A13926" s="1079"/>
      <c r="B13926" s="1050"/>
      <c r="C13926" s="1050"/>
      <c r="D13926" s="1050"/>
      <c r="E13926" s="1050"/>
      <c r="F13926" s="1050"/>
      <c r="G13926" s="1050"/>
    </row>
    <row r="13927" spans="1:7">
      <c r="A13927" s="1079"/>
      <c r="B13927" s="1050"/>
      <c r="C13927" s="1050"/>
      <c r="D13927" s="1050"/>
      <c r="E13927" s="1050"/>
      <c r="F13927" s="1050"/>
      <c r="G13927" s="1050"/>
    </row>
    <row r="13928" spans="1:7">
      <c r="A13928" s="1079"/>
      <c r="B13928" s="1050"/>
      <c r="C13928" s="1050"/>
      <c r="D13928" s="1050"/>
      <c r="E13928" s="1050"/>
      <c r="F13928" s="1050"/>
      <c r="G13928" s="1050"/>
    </row>
    <row r="13929" spans="1:7">
      <c r="A13929" s="1079"/>
      <c r="B13929" s="1050"/>
      <c r="C13929" s="1050"/>
      <c r="D13929" s="1050"/>
      <c r="E13929" s="1050"/>
      <c r="F13929" s="1050"/>
      <c r="G13929" s="1050"/>
    </row>
    <row r="13930" spans="1:7">
      <c r="A13930" s="1079"/>
      <c r="B13930" s="1050"/>
      <c r="C13930" s="1050"/>
      <c r="D13930" s="1050"/>
      <c r="E13930" s="1050"/>
      <c r="F13930" s="1050"/>
      <c r="G13930" s="1050"/>
    </row>
    <row r="13931" spans="1:7">
      <c r="A13931" s="1079"/>
      <c r="B13931" s="1050"/>
      <c r="C13931" s="1050"/>
      <c r="D13931" s="1050"/>
      <c r="E13931" s="1050"/>
      <c r="F13931" s="1050"/>
      <c r="G13931" s="1050"/>
    </row>
    <row r="13932" spans="1:7">
      <c r="A13932" s="1079"/>
      <c r="B13932" s="1050"/>
      <c r="C13932" s="1050"/>
      <c r="D13932" s="1050"/>
      <c r="E13932" s="1050"/>
      <c r="F13932" s="1050"/>
      <c r="G13932" s="1050"/>
    </row>
    <row r="13933" spans="1:7">
      <c r="A13933" s="1079"/>
      <c r="B13933" s="1050"/>
      <c r="C13933" s="1050"/>
      <c r="D13933" s="1050"/>
      <c r="E13933" s="1050"/>
      <c r="F13933" s="1050"/>
      <c r="G13933" s="1050"/>
    </row>
    <row r="13934" spans="1:7">
      <c r="A13934" s="1079"/>
      <c r="B13934" s="1050"/>
      <c r="C13934" s="1050"/>
      <c r="D13934" s="1050"/>
      <c r="E13934" s="1050"/>
      <c r="F13934" s="1050"/>
      <c r="G13934" s="1050"/>
    </row>
    <row r="13935" spans="1:7">
      <c r="A13935" s="1079"/>
      <c r="B13935" s="1050"/>
      <c r="C13935" s="1050"/>
      <c r="D13935" s="1050"/>
      <c r="E13935" s="1050"/>
      <c r="F13935" s="1050"/>
      <c r="G13935" s="1050"/>
    </row>
    <row r="13936" spans="1:7">
      <c r="A13936" s="1079"/>
      <c r="B13936" s="1050"/>
      <c r="C13936" s="1050"/>
      <c r="D13936" s="1050"/>
      <c r="E13936" s="1050"/>
      <c r="F13936" s="1050"/>
      <c r="G13936" s="1050"/>
    </row>
    <row r="13937" spans="1:7">
      <c r="A13937" s="1079"/>
      <c r="B13937" s="1050"/>
      <c r="C13937" s="1050"/>
      <c r="D13937" s="1050"/>
      <c r="E13937" s="1050"/>
      <c r="F13937" s="1050"/>
      <c r="G13937" s="1050"/>
    </row>
    <row r="13938" spans="1:7">
      <c r="A13938" s="1079"/>
      <c r="B13938" s="1050"/>
      <c r="C13938" s="1050"/>
      <c r="D13938" s="1050"/>
      <c r="E13938" s="1050"/>
      <c r="F13938" s="1050"/>
      <c r="G13938" s="1050"/>
    </row>
    <row r="13939" spans="1:7">
      <c r="A13939" s="1079"/>
      <c r="B13939" s="1050"/>
      <c r="C13939" s="1050"/>
      <c r="D13939" s="1050"/>
      <c r="E13939" s="1050"/>
      <c r="F13939" s="1050"/>
      <c r="G13939" s="1050"/>
    </row>
    <row r="13940" spans="1:7">
      <c r="A13940" s="1079"/>
      <c r="B13940" s="1050"/>
      <c r="C13940" s="1050"/>
      <c r="D13940" s="1050"/>
      <c r="E13940" s="1050"/>
      <c r="F13940" s="1050"/>
      <c r="G13940" s="1050"/>
    </row>
    <row r="13941" spans="1:7">
      <c r="A13941" s="1079"/>
      <c r="B13941" s="1050"/>
      <c r="C13941" s="1050"/>
      <c r="D13941" s="1050"/>
      <c r="E13941" s="1050"/>
      <c r="F13941" s="1050"/>
      <c r="G13941" s="1050"/>
    </row>
    <row r="13942" spans="1:7">
      <c r="A13942" s="1079"/>
      <c r="B13942" s="1050"/>
      <c r="C13942" s="1050"/>
      <c r="D13942" s="1050"/>
      <c r="E13942" s="1050"/>
      <c r="F13942" s="1050"/>
      <c r="G13942" s="1050"/>
    </row>
    <row r="13943" spans="1:7">
      <c r="A13943" s="1079"/>
      <c r="B13943" s="1050"/>
      <c r="C13943" s="1050"/>
      <c r="D13943" s="1050"/>
      <c r="E13943" s="1050"/>
      <c r="F13943" s="1050"/>
      <c r="G13943" s="1050"/>
    </row>
    <row r="13944" spans="1:7">
      <c r="A13944" s="1079"/>
      <c r="B13944" s="1050"/>
      <c r="C13944" s="1050"/>
      <c r="D13944" s="1050"/>
      <c r="E13944" s="1050"/>
      <c r="F13944" s="1050"/>
      <c r="G13944" s="1050"/>
    </row>
    <row r="13945" spans="1:7">
      <c r="A13945" s="1079"/>
      <c r="B13945" s="1050"/>
      <c r="C13945" s="1050"/>
      <c r="D13945" s="1050"/>
      <c r="E13945" s="1050"/>
      <c r="F13945" s="1050"/>
      <c r="G13945" s="1050"/>
    </row>
    <row r="13946" spans="1:7">
      <c r="A13946" s="1079"/>
      <c r="B13946" s="1050"/>
      <c r="C13946" s="1050"/>
      <c r="D13946" s="1050"/>
      <c r="E13946" s="1050"/>
      <c r="F13946" s="1050"/>
      <c r="G13946" s="1050"/>
    </row>
    <row r="13947" spans="1:7">
      <c r="A13947" s="1079"/>
      <c r="B13947" s="1050"/>
      <c r="C13947" s="1050"/>
      <c r="D13947" s="1050"/>
      <c r="E13947" s="1050"/>
      <c r="F13947" s="1050"/>
      <c r="G13947" s="1050"/>
    </row>
    <row r="13948" spans="1:7">
      <c r="A13948" s="1079"/>
      <c r="B13948" s="1050"/>
      <c r="C13948" s="1050"/>
      <c r="D13948" s="1050"/>
      <c r="E13948" s="1050"/>
      <c r="F13948" s="1050"/>
      <c r="G13948" s="1050"/>
    </row>
    <row r="13949" spans="1:7">
      <c r="A13949" s="1079"/>
      <c r="B13949" s="1050"/>
      <c r="C13949" s="1050"/>
      <c r="D13949" s="1050"/>
      <c r="E13949" s="1050"/>
      <c r="F13949" s="1050"/>
      <c r="G13949" s="1050"/>
    </row>
    <row r="13950" spans="1:7">
      <c r="A13950" s="1079"/>
      <c r="B13950" s="1050"/>
      <c r="C13950" s="1050"/>
      <c r="D13950" s="1050"/>
      <c r="E13950" s="1050"/>
      <c r="F13950" s="1050"/>
      <c r="G13950" s="1050"/>
    </row>
    <row r="13951" spans="1:7">
      <c r="A13951" s="1079"/>
      <c r="B13951" s="1050"/>
      <c r="C13951" s="1050"/>
      <c r="D13951" s="1050"/>
      <c r="E13951" s="1050"/>
      <c r="F13951" s="1050"/>
      <c r="G13951" s="1050"/>
    </row>
    <row r="13952" spans="1:7">
      <c r="A13952" s="1079"/>
      <c r="B13952" s="1050"/>
      <c r="C13952" s="1050"/>
      <c r="D13952" s="1050"/>
      <c r="E13952" s="1050"/>
      <c r="F13952" s="1050"/>
      <c r="G13952" s="1050"/>
    </row>
    <row r="13953" spans="1:7">
      <c r="A13953" s="1079"/>
      <c r="B13953" s="1050"/>
      <c r="C13953" s="1050"/>
      <c r="D13953" s="1050"/>
      <c r="E13953" s="1050"/>
      <c r="F13953" s="1050"/>
      <c r="G13953" s="1050"/>
    </row>
    <row r="13954" spans="1:7">
      <c r="A13954" s="1079"/>
      <c r="B13954" s="1050"/>
      <c r="C13954" s="1050"/>
      <c r="D13954" s="1050"/>
      <c r="E13954" s="1050"/>
      <c r="F13954" s="1050"/>
      <c r="G13954" s="1050"/>
    </row>
    <row r="13955" spans="1:7">
      <c r="A13955" s="1079"/>
      <c r="B13955" s="1050"/>
      <c r="C13955" s="1050"/>
      <c r="D13955" s="1050"/>
      <c r="E13955" s="1050"/>
      <c r="F13955" s="1050"/>
      <c r="G13955" s="1050"/>
    </row>
    <row r="13956" spans="1:7">
      <c r="A13956" s="1079"/>
      <c r="B13956" s="1050"/>
      <c r="C13956" s="1050"/>
      <c r="D13956" s="1050"/>
      <c r="E13956" s="1050"/>
      <c r="F13956" s="1050"/>
      <c r="G13956" s="1050"/>
    </row>
    <row r="13957" spans="1:7">
      <c r="A13957" s="1079"/>
      <c r="B13957" s="1050"/>
      <c r="C13957" s="1050"/>
      <c r="D13957" s="1050"/>
      <c r="E13957" s="1050"/>
      <c r="F13957" s="1050"/>
      <c r="G13957" s="1050"/>
    </row>
    <row r="13958" spans="1:7">
      <c r="A13958" s="1079"/>
      <c r="B13958" s="1050"/>
      <c r="C13958" s="1050"/>
      <c r="D13958" s="1050"/>
      <c r="E13958" s="1050"/>
      <c r="F13958" s="1050"/>
      <c r="G13958" s="1050"/>
    </row>
    <row r="13959" spans="1:7">
      <c r="A13959" s="1079"/>
      <c r="B13959" s="1050"/>
      <c r="C13959" s="1050"/>
      <c r="D13959" s="1050"/>
      <c r="E13959" s="1050"/>
      <c r="F13959" s="1050"/>
      <c r="G13959" s="1050"/>
    </row>
    <row r="13960" spans="1:7">
      <c r="A13960" s="1079"/>
      <c r="B13960" s="1050"/>
      <c r="C13960" s="1050"/>
      <c r="D13960" s="1050"/>
      <c r="E13960" s="1050"/>
      <c r="F13960" s="1050"/>
      <c r="G13960" s="1050"/>
    </row>
    <row r="13961" spans="1:7">
      <c r="A13961" s="1079"/>
      <c r="B13961" s="1050"/>
      <c r="C13961" s="1050"/>
      <c r="D13961" s="1050"/>
      <c r="E13961" s="1050"/>
      <c r="F13961" s="1050"/>
      <c r="G13961" s="1050"/>
    </row>
    <row r="13962" spans="1:7">
      <c r="A13962" s="1079"/>
      <c r="B13962" s="1050"/>
      <c r="C13962" s="1050"/>
      <c r="D13962" s="1050"/>
      <c r="E13962" s="1050"/>
      <c r="F13962" s="1050"/>
      <c r="G13962" s="1050"/>
    </row>
    <row r="13963" spans="1:7">
      <c r="A13963" s="1079"/>
      <c r="B13963" s="1050"/>
      <c r="C13963" s="1050"/>
      <c r="D13963" s="1050"/>
      <c r="E13963" s="1050"/>
      <c r="F13963" s="1050"/>
      <c r="G13963" s="1050"/>
    </row>
    <row r="13964" spans="1:7">
      <c r="A13964" s="1079"/>
      <c r="B13964" s="1050"/>
      <c r="C13964" s="1050"/>
      <c r="D13964" s="1050"/>
      <c r="E13964" s="1050"/>
      <c r="F13964" s="1050"/>
      <c r="G13964" s="1050"/>
    </row>
    <row r="13965" spans="1:7">
      <c r="A13965" s="1079"/>
      <c r="B13965" s="1050"/>
      <c r="C13965" s="1050"/>
      <c r="D13965" s="1050"/>
      <c r="E13965" s="1050"/>
      <c r="F13965" s="1050"/>
      <c r="G13965" s="1050"/>
    </row>
    <row r="13966" spans="1:7">
      <c r="A13966" s="1079"/>
      <c r="B13966" s="1050"/>
      <c r="C13966" s="1050"/>
      <c r="D13966" s="1050"/>
      <c r="E13966" s="1050"/>
      <c r="F13966" s="1050"/>
      <c r="G13966" s="1050"/>
    </row>
    <row r="13967" spans="1:7">
      <c r="A13967" s="1079"/>
      <c r="B13967" s="1050"/>
      <c r="C13967" s="1050"/>
      <c r="D13967" s="1050"/>
      <c r="E13967" s="1050"/>
      <c r="F13967" s="1050"/>
      <c r="G13967" s="1050"/>
    </row>
    <row r="13968" spans="1:7">
      <c r="A13968" s="1079"/>
      <c r="B13968" s="1050"/>
      <c r="C13968" s="1050"/>
      <c r="D13968" s="1050"/>
      <c r="E13968" s="1050"/>
      <c r="F13968" s="1050"/>
      <c r="G13968" s="1050"/>
    </row>
    <row r="13969" spans="1:7">
      <c r="A13969" s="1079"/>
      <c r="B13969" s="1050"/>
      <c r="C13969" s="1050"/>
      <c r="D13969" s="1050"/>
      <c r="E13969" s="1050"/>
      <c r="F13969" s="1050"/>
      <c r="G13969" s="1050"/>
    </row>
    <row r="13970" spans="1:7">
      <c r="A13970" s="1079"/>
      <c r="B13970" s="1050"/>
      <c r="C13970" s="1050"/>
      <c r="D13970" s="1050"/>
      <c r="E13970" s="1050"/>
      <c r="F13970" s="1050"/>
      <c r="G13970" s="1050"/>
    </row>
    <row r="13971" spans="1:7">
      <c r="A13971" s="1079"/>
      <c r="B13971" s="1050"/>
      <c r="C13971" s="1050"/>
      <c r="D13971" s="1050"/>
      <c r="E13971" s="1050"/>
      <c r="F13971" s="1050"/>
      <c r="G13971" s="1050"/>
    </row>
    <row r="13972" spans="1:7">
      <c r="A13972" s="1079"/>
      <c r="B13972" s="1050"/>
      <c r="C13972" s="1050"/>
      <c r="D13972" s="1050"/>
      <c r="E13972" s="1050"/>
      <c r="F13972" s="1050"/>
      <c r="G13972" s="1050"/>
    </row>
    <row r="13973" spans="1:7">
      <c r="A13973" s="1079"/>
      <c r="B13973" s="1050"/>
      <c r="C13973" s="1050"/>
      <c r="D13973" s="1050"/>
      <c r="E13973" s="1050"/>
      <c r="F13973" s="1050"/>
      <c r="G13973" s="1050"/>
    </row>
    <row r="13974" spans="1:7">
      <c r="A13974" s="1079"/>
      <c r="B13974" s="1050"/>
      <c r="C13974" s="1050"/>
      <c r="D13974" s="1050"/>
      <c r="E13974" s="1050"/>
      <c r="F13974" s="1050"/>
      <c r="G13974" s="1050"/>
    </row>
    <row r="13975" spans="1:7">
      <c r="A13975" s="1079"/>
      <c r="B13975" s="1050"/>
      <c r="C13975" s="1050"/>
      <c r="D13975" s="1050"/>
      <c r="E13975" s="1050"/>
      <c r="F13975" s="1050"/>
      <c r="G13975" s="1050"/>
    </row>
    <row r="13976" spans="1:7">
      <c r="A13976" s="1079"/>
      <c r="B13976" s="1050"/>
      <c r="C13976" s="1050"/>
      <c r="D13976" s="1050"/>
      <c r="E13976" s="1050"/>
      <c r="F13976" s="1050"/>
      <c r="G13976" s="1050"/>
    </row>
    <row r="13977" spans="1:7">
      <c r="A13977" s="1079"/>
      <c r="B13977" s="1050"/>
      <c r="C13977" s="1050"/>
      <c r="D13977" s="1050"/>
      <c r="E13977" s="1050"/>
      <c r="F13977" s="1050"/>
      <c r="G13977" s="1050"/>
    </row>
    <row r="13978" spans="1:7">
      <c r="A13978" s="1079"/>
      <c r="B13978" s="1050"/>
      <c r="C13978" s="1050"/>
      <c r="D13978" s="1050"/>
      <c r="E13978" s="1050"/>
      <c r="F13978" s="1050"/>
      <c r="G13978" s="1050"/>
    </row>
    <row r="13979" spans="1:7">
      <c r="A13979" s="1079"/>
      <c r="B13979" s="1050"/>
      <c r="C13979" s="1050"/>
      <c r="D13979" s="1050"/>
      <c r="E13979" s="1050"/>
      <c r="F13979" s="1050"/>
      <c r="G13979" s="1050"/>
    </row>
    <row r="13980" spans="1:7">
      <c r="A13980" s="1079"/>
      <c r="B13980" s="1050"/>
      <c r="C13980" s="1050"/>
      <c r="D13980" s="1050"/>
      <c r="E13980" s="1050"/>
      <c r="F13980" s="1050"/>
      <c r="G13980" s="1050"/>
    </row>
    <row r="13981" spans="1:7">
      <c r="A13981" s="1079"/>
      <c r="B13981" s="1050"/>
      <c r="C13981" s="1050"/>
      <c r="D13981" s="1050"/>
      <c r="E13981" s="1050"/>
      <c r="F13981" s="1050"/>
      <c r="G13981" s="1050"/>
    </row>
    <row r="13982" spans="1:7">
      <c r="A13982" s="1079"/>
      <c r="B13982" s="1050"/>
      <c r="C13982" s="1050"/>
      <c r="D13982" s="1050"/>
      <c r="E13982" s="1050"/>
      <c r="F13982" s="1050"/>
      <c r="G13982" s="1050"/>
    </row>
    <row r="13983" spans="1:7">
      <c r="A13983" s="1079"/>
      <c r="B13983" s="1050"/>
      <c r="C13983" s="1050"/>
      <c r="D13983" s="1050"/>
      <c r="E13983" s="1050"/>
      <c r="F13983" s="1050"/>
      <c r="G13983" s="1050"/>
    </row>
    <row r="13984" spans="1:7">
      <c r="A13984" s="1079"/>
      <c r="B13984" s="1050"/>
      <c r="C13984" s="1050"/>
      <c r="D13984" s="1050"/>
      <c r="E13984" s="1050"/>
      <c r="F13984" s="1050"/>
      <c r="G13984" s="1050"/>
    </row>
    <row r="13985" spans="1:7">
      <c r="A13985" s="1079"/>
      <c r="B13985" s="1050"/>
      <c r="C13985" s="1050"/>
      <c r="D13985" s="1050"/>
      <c r="E13985" s="1050"/>
      <c r="F13985" s="1050"/>
      <c r="G13985" s="1050"/>
    </row>
    <row r="13986" spans="1:7">
      <c r="A13986" s="1079"/>
      <c r="B13986" s="1050"/>
      <c r="C13986" s="1050"/>
      <c r="D13986" s="1050"/>
      <c r="E13986" s="1050"/>
      <c r="F13986" s="1050"/>
      <c r="G13986" s="1050"/>
    </row>
    <row r="13987" spans="1:7">
      <c r="A13987" s="1079"/>
      <c r="B13987" s="1050"/>
      <c r="C13987" s="1050"/>
      <c r="D13987" s="1050"/>
      <c r="E13987" s="1050"/>
      <c r="F13987" s="1050"/>
      <c r="G13987" s="1050"/>
    </row>
    <row r="13988" spans="1:7">
      <c r="A13988" s="1079"/>
      <c r="B13988" s="1050"/>
      <c r="C13988" s="1050"/>
      <c r="D13988" s="1050"/>
      <c r="E13988" s="1050"/>
      <c r="F13988" s="1050"/>
      <c r="G13988" s="1050"/>
    </row>
    <row r="13989" spans="1:7">
      <c r="A13989" s="1079"/>
      <c r="B13989" s="1050"/>
      <c r="C13989" s="1050"/>
      <c r="D13989" s="1050"/>
      <c r="E13989" s="1050"/>
      <c r="F13989" s="1050"/>
      <c r="G13989" s="1050"/>
    </row>
    <row r="13990" spans="1:7">
      <c r="A13990" s="1079"/>
      <c r="B13990" s="1050"/>
      <c r="C13990" s="1050"/>
      <c r="D13990" s="1050"/>
      <c r="E13990" s="1050"/>
      <c r="F13990" s="1050"/>
      <c r="G13990" s="1050"/>
    </row>
    <row r="13991" spans="1:7">
      <c r="A13991" s="1079"/>
      <c r="B13991" s="1050"/>
      <c r="C13991" s="1050"/>
      <c r="D13991" s="1050"/>
      <c r="E13991" s="1050"/>
      <c r="F13991" s="1050"/>
      <c r="G13991" s="1050"/>
    </row>
    <row r="13992" spans="1:7">
      <c r="A13992" s="1079"/>
      <c r="B13992" s="1050"/>
      <c r="C13992" s="1050"/>
      <c r="D13992" s="1050"/>
      <c r="E13992" s="1050"/>
      <c r="F13992" s="1050"/>
      <c r="G13992" s="1050"/>
    </row>
    <row r="13993" spans="1:7">
      <c r="A13993" s="1079"/>
      <c r="B13993" s="1050"/>
      <c r="C13993" s="1050"/>
      <c r="D13993" s="1050"/>
      <c r="E13993" s="1050"/>
      <c r="F13993" s="1050"/>
      <c r="G13993" s="1050"/>
    </row>
    <row r="13994" spans="1:7">
      <c r="A13994" s="1079"/>
      <c r="B13994" s="1050"/>
      <c r="C13994" s="1050"/>
      <c r="D13994" s="1050"/>
      <c r="E13994" s="1050"/>
      <c r="F13994" s="1050"/>
      <c r="G13994" s="1050"/>
    </row>
    <row r="13995" spans="1:7">
      <c r="A13995" s="1079"/>
      <c r="B13995" s="1050"/>
      <c r="C13995" s="1050"/>
      <c r="D13995" s="1050"/>
      <c r="E13995" s="1050"/>
      <c r="F13995" s="1050"/>
      <c r="G13995" s="1050"/>
    </row>
    <row r="13996" spans="1:7">
      <c r="A13996" s="1079"/>
      <c r="B13996" s="1050"/>
      <c r="C13996" s="1050"/>
      <c r="D13996" s="1050"/>
      <c r="E13996" s="1050"/>
      <c r="F13996" s="1050"/>
      <c r="G13996" s="1050"/>
    </row>
    <row r="13997" spans="1:7">
      <c r="A13997" s="1079"/>
      <c r="B13997" s="1050"/>
      <c r="C13997" s="1050"/>
      <c r="D13997" s="1050"/>
      <c r="E13997" s="1050"/>
      <c r="F13997" s="1050"/>
      <c r="G13997" s="1050"/>
    </row>
    <row r="13998" spans="1:7">
      <c r="A13998" s="1079"/>
      <c r="B13998" s="1050"/>
      <c r="C13998" s="1050"/>
      <c r="D13998" s="1050"/>
      <c r="E13998" s="1050"/>
      <c r="F13998" s="1050"/>
      <c r="G13998" s="1050"/>
    </row>
    <row r="13999" spans="1:7">
      <c r="A13999" s="1079"/>
      <c r="B13999" s="1050"/>
      <c r="C13999" s="1050"/>
      <c r="D13999" s="1050"/>
      <c r="E13999" s="1050"/>
      <c r="F13999" s="1050"/>
      <c r="G13999" s="1050"/>
    </row>
    <row r="14000" spans="1:7">
      <c r="A14000" s="1079"/>
      <c r="B14000" s="1050"/>
      <c r="C14000" s="1050"/>
      <c r="D14000" s="1050"/>
      <c r="E14000" s="1050"/>
      <c r="F14000" s="1050"/>
      <c r="G14000" s="1050"/>
    </row>
    <row r="14001" spans="1:7">
      <c r="A14001" s="1079"/>
      <c r="B14001" s="1050"/>
      <c r="C14001" s="1050"/>
      <c r="D14001" s="1050"/>
      <c r="E14001" s="1050"/>
      <c r="F14001" s="1050"/>
      <c r="G14001" s="1050"/>
    </row>
    <row r="14002" spans="1:7">
      <c r="A14002" s="1079"/>
      <c r="B14002" s="1050"/>
      <c r="C14002" s="1050"/>
      <c r="D14002" s="1050"/>
      <c r="E14002" s="1050"/>
      <c r="F14002" s="1050"/>
      <c r="G14002" s="1050"/>
    </row>
    <row r="14003" spans="1:7">
      <c r="A14003" s="1079"/>
      <c r="B14003" s="1050"/>
      <c r="C14003" s="1050"/>
      <c r="D14003" s="1050"/>
      <c r="E14003" s="1050"/>
      <c r="F14003" s="1050"/>
      <c r="G14003" s="1050"/>
    </row>
    <row r="14004" spans="1:7">
      <c r="A14004" s="1079"/>
      <c r="B14004" s="1050"/>
      <c r="C14004" s="1050"/>
      <c r="D14004" s="1050"/>
      <c r="E14004" s="1050"/>
      <c r="F14004" s="1050"/>
      <c r="G14004" s="1050"/>
    </row>
    <row r="14005" spans="1:7">
      <c r="A14005" s="1079"/>
      <c r="B14005" s="1050"/>
      <c r="C14005" s="1050"/>
      <c r="D14005" s="1050"/>
      <c r="E14005" s="1050"/>
      <c r="F14005" s="1050"/>
      <c r="G14005" s="1050"/>
    </row>
    <row r="14006" spans="1:7">
      <c r="A14006" s="1079"/>
      <c r="B14006" s="1050"/>
      <c r="C14006" s="1050"/>
      <c r="D14006" s="1050"/>
      <c r="E14006" s="1050"/>
      <c r="F14006" s="1050"/>
      <c r="G14006" s="1050"/>
    </row>
    <row r="14007" spans="1:7">
      <c r="A14007" s="1079"/>
      <c r="B14007" s="1050"/>
      <c r="C14007" s="1050"/>
      <c r="D14007" s="1050"/>
      <c r="E14007" s="1050"/>
      <c r="F14007" s="1050"/>
      <c r="G14007" s="1050"/>
    </row>
    <row r="14008" spans="1:7">
      <c r="A14008" s="1079"/>
      <c r="B14008" s="1050"/>
      <c r="C14008" s="1050"/>
      <c r="D14008" s="1050"/>
      <c r="E14008" s="1050"/>
      <c r="F14008" s="1050"/>
      <c r="G14008" s="1050"/>
    </row>
    <row r="14009" spans="1:7">
      <c r="A14009" s="1079"/>
      <c r="B14009" s="1050"/>
      <c r="C14009" s="1050"/>
      <c r="D14009" s="1050"/>
      <c r="E14009" s="1050"/>
      <c r="F14009" s="1050"/>
      <c r="G14009" s="1050"/>
    </row>
    <row r="14010" spans="1:7">
      <c r="A14010" s="1079"/>
      <c r="B14010" s="1050"/>
      <c r="C14010" s="1050"/>
      <c r="D14010" s="1050"/>
      <c r="E14010" s="1050"/>
      <c r="F14010" s="1050"/>
      <c r="G14010" s="1050"/>
    </row>
    <row r="14011" spans="1:7">
      <c r="A14011" s="1079"/>
      <c r="B14011" s="1050"/>
      <c r="C14011" s="1050"/>
      <c r="D14011" s="1050"/>
      <c r="E14011" s="1050"/>
      <c r="F14011" s="1050"/>
      <c r="G14011" s="1050"/>
    </row>
    <row r="14012" spans="1:7">
      <c r="A14012" s="1079"/>
      <c r="B14012" s="1050"/>
      <c r="C14012" s="1050"/>
      <c r="D14012" s="1050"/>
      <c r="E14012" s="1050"/>
      <c r="F14012" s="1050"/>
      <c r="G14012" s="1050"/>
    </row>
    <row r="14013" spans="1:7">
      <c r="A14013" s="1079"/>
      <c r="B14013" s="1050"/>
      <c r="C14013" s="1050"/>
      <c r="D14013" s="1050"/>
      <c r="E14013" s="1050"/>
      <c r="F14013" s="1050"/>
      <c r="G14013" s="1050"/>
    </row>
    <row r="14014" spans="1:7">
      <c r="A14014" s="1079"/>
      <c r="B14014" s="1050"/>
      <c r="C14014" s="1050"/>
      <c r="D14014" s="1050"/>
      <c r="E14014" s="1050"/>
      <c r="F14014" s="1050"/>
      <c r="G14014" s="1050"/>
    </row>
    <row r="14015" spans="1:7">
      <c r="A14015" s="1079"/>
      <c r="B14015" s="1050"/>
      <c r="C14015" s="1050"/>
      <c r="D14015" s="1050"/>
      <c r="E14015" s="1050"/>
      <c r="F14015" s="1050"/>
      <c r="G14015" s="1050"/>
    </row>
    <row r="14016" spans="1:7">
      <c r="A14016" s="1079"/>
      <c r="B14016" s="1050"/>
      <c r="C14016" s="1050"/>
      <c r="D14016" s="1050"/>
      <c r="E14016" s="1050"/>
      <c r="F14016" s="1050"/>
      <c r="G14016" s="1050"/>
    </row>
    <row r="14017" spans="1:7">
      <c r="A14017" s="1079"/>
      <c r="B14017" s="1050"/>
      <c r="C14017" s="1050"/>
      <c r="D14017" s="1050"/>
      <c r="E14017" s="1050"/>
      <c r="F14017" s="1050"/>
      <c r="G14017" s="1050"/>
    </row>
    <row r="14018" spans="1:7">
      <c r="A14018" s="1079"/>
      <c r="B14018" s="1050"/>
      <c r="C14018" s="1050"/>
      <c r="D14018" s="1050"/>
      <c r="E14018" s="1050"/>
      <c r="F14018" s="1050"/>
      <c r="G14018" s="1050"/>
    </row>
    <row r="14019" spans="1:7">
      <c r="A14019" s="1079"/>
      <c r="B14019" s="1050"/>
      <c r="C14019" s="1050"/>
      <c r="D14019" s="1050"/>
      <c r="E14019" s="1050"/>
      <c r="F14019" s="1050"/>
      <c r="G14019" s="1050"/>
    </row>
    <row r="14020" spans="1:7">
      <c r="A14020" s="1079"/>
      <c r="B14020" s="1050"/>
      <c r="C14020" s="1050"/>
      <c r="D14020" s="1050"/>
      <c r="E14020" s="1050"/>
      <c r="F14020" s="1050"/>
      <c r="G14020" s="1050"/>
    </row>
    <row r="14021" spans="1:7">
      <c r="A14021" s="1079"/>
      <c r="B14021" s="1050"/>
      <c r="C14021" s="1050"/>
      <c r="D14021" s="1050"/>
      <c r="E14021" s="1050"/>
      <c r="F14021" s="1050"/>
      <c r="G14021" s="1050"/>
    </row>
    <row r="14022" spans="1:7">
      <c r="A14022" s="1079"/>
      <c r="B14022" s="1050"/>
      <c r="C14022" s="1050"/>
      <c r="D14022" s="1050"/>
      <c r="E14022" s="1050"/>
      <c r="F14022" s="1050"/>
      <c r="G14022" s="1050"/>
    </row>
    <row r="14023" spans="1:7">
      <c r="A14023" s="1079"/>
      <c r="B14023" s="1050"/>
      <c r="C14023" s="1050"/>
      <c r="D14023" s="1050"/>
      <c r="E14023" s="1050"/>
      <c r="F14023" s="1050"/>
      <c r="G14023" s="1050"/>
    </row>
    <row r="14024" spans="1:7">
      <c r="A14024" s="1079"/>
      <c r="B14024" s="1050"/>
      <c r="C14024" s="1050"/>
      <c r="D14024" s="1050"/>
      <c r="E14024" s="1050"/>
      <c r="F14024" s="1050"/>
      <c r="G14024" s="1050"/>
    </row>
    <row r="14025" spans="1:7">
      <c r="A14025" s="1079"/>
      <c r="B14025" s="1050"/>
      <c r="C14025" s="1050"/>
      <c r="D14025" s="1050"/>
      <c r="E14025" s="1050"/>
      <c r="F14025" s="1050"/>
      <c r="G14025" s="1050"/>
    </row>
    <row r="14026" spans="1:7">
      <c r="A14026" s="1079"/>
      <c r="B14026" s="1050"/>
      <c r="C14026" s="1050"/>
      <c r="D14026" s="1050"/>
      <c r="E14026" s="1050"/>
      <c r="F14026" s="1050"/>
      <c r="G14026" s="1050"/>
    </row>
    <row r="14027" spans="1:7">
      <c r="A14027" s="1079"/>
      <c r="B14027" s="1050"/>
      <c r="C14027" s="1050"/>
      <c r="D14027" s="1050"/>
      <c r="E14027" s="1050"/>
      <c r="F14027" s="1050"/>
      <c r="G14027" s="1050"/>
    </row>
    <row r="14028" spans="1:7">
      <c r="A14028" s="1079"/>
      <c r="B14028" s="1050"/>
      <c r="C14028" s="1050"/>
      <c r="D14028" s="1050"/>
      <c r="E14028" s="1050"/>
      <c r="F14028" s="1050"/>
      <c r="G14028" s="1050"/>
    </row>
    <row r="14029" spans="1:7">
      <c r="A14029" s="1079"/>
      <c r="B14029" s="1050"/>
      <c r="C14029" s="1050"/>
      <c r="D14029" s="1050"/>
      <c r="E14029" s="1050"/>
      <c r="F14029" s="1050"/>
      <c r="G14029" s="1050"/>
    </row>
    <row r="14030" spans="1:7">
      <c r="A14030" s="1079"/>
      <c r="B14030" s="1050"/>
      <c r="C14030" s="1050"/>
      <c r="D14030" s="1050"/>
      <c r="E14030" s="1050"/>
      <c r="F14030" s="1050"/>
      <c r="G14030" s="1050"/>
    </row>
    <row r="14031" spans="1:7">
      <c r="A14031" s="1079"/>
      <c r="B14031" s="1050"/>
      <c r="C14031" s="1050"/>
      <c r="D14031" s="1050"/>
      <c r="E14031" s="1050"/>
      <c r="F14031" s="1050"/>
      <c r="G14031" s="1050"/>
    </row>
    <row r="14032" spans="1:7">
      <c r="A14032" s="1079"/>
      <c r="B14032" s="1050"/>
      <c r="C14032" s="1050"/>
      <c r="D14032" s="1050"/>
      <c r="E14032" s="1050"/>
      <c r="F14032" s="1050"/>
      <c r="G14032" s="1050"/>
    </row>
    <row r="14033" spans="1:7">
      <c r="A14033" s="1079"/>
      <c r="B14033" s="1050"/>
      <c r="C14033" s="1050"/>
      <c r="D14033" s="1050"/>
      <c r="E14033" s="1050"/>
      <c r="F14033" s="1050"/>
      <c r="G14033" s="1050"/>
    </row>
    <row r="14034" spans="1:7">
      <c r="A14034" s="1079"/>
      <c r="B14034" s="1050"/>
      <c r="C14034" s="1050"/>
      <c r="D14034" s="1050"/>
      <c r="E14034" s="1050"/>
      <c r="F14034" s="1050"/>
      <c r="G14034" s="1050"/>
    </row>
    <row r="14035" spans="1:7">
      <c r="A14035" s="1079"/>
      <c r="B14035" s="1050"/>
      <c r="C14035" s="1050"/>
      <c r="D14035" s="1050"/>
      <c r="E14035" s="1050"/>
      <c r="F14035" s="1050"/>
      <c r="G14035" s="1050"/>
    </row>
    <row r="14036" spans="1:7">
      <c r="A14036" s="1079"/>
      <c r="B14036" s="1050"/>
      <c r="C14036" s="1050"/>
      <c r="D14036" s="1050"/>
      <c r="E14036" s="1050"/>
      <c r="F14036" s="1050"/>
      <c r="G14036" s="1050"/>
    </row>
    <row r="14037" spans="1:7">
      <c r="A14037" s="1079"/>
      <c r="B14037" s="1050"/>
      <c r="C14037" s="1050"/>
      <c r="D14037" s="1050"/>
      <c r="E14037" s="1050"/>
      <c r="F14037" s="1050"/>
      <c r="G14037" s="1050"/>
    </row>
    <row r="14038" spans="1:7">
      <c r="A14038" s="1079"/>
      <c r="B14038" s="1050"/>
      <c r="C14038" s="1050"/>
      <c r="D14038" s="1050"/>
      <c r="E14038" s="1050"/>
      <c r="F14038" s="1050"/>
      <c r="G14038" s="1050"/>
    </row>
    <row r="14039" spans="1:7">
      <c r="A14039" s="1079"/>
      <c r="B14039" s="1050"/>
      <c r="C14039" s="1050"/>
      <c r="D14039" s="1050"/>
      <c r="E14039" s="1050"/>
      <c r="F14039" s="1050"/>
      <c r="G14039" s="1050"/>
    </row>
    <row r="14040" spans="1:7">
      <c r="A14040" s="1079"/>
      <c r="B14040" s="1050"/>
      <c r="C14040" s="1050"/>
      <c r="D14040" s="1050"/>
      <c r="E14040" s="1050"/>
      <c r="F14040" s="1050"/>
      <c r="G14040" s="1050"/>
    </row>
    <row r="14041" spans="1:7">
      <c r="A14041" s="1079"/>
      <c r="B14041" s="1050"/>
      <c r="C14041" s="1050"/>
      <c r="D14041" s="1050"/>
      <c r="E14041" s="1050"/>
      <c r="F14041" s="1050"/>
      <c r="G14041" s="1050"/>
    </row>
    <row r="14042" spans="1:7">
      <c r="A14042" s="1079"/>
      <c r="B14042" s="1050"/>
      <c r="C14042" s="1050"/>
      <c r="D14042" s="1050"/>
      <c r="E14042" s="1050"/>
      <c r="F14042" s="1050"/>
      <c r="G14042" s="1050"/>
    </row>
    <row r="14043" spans="1:7">
      <c r="A14043" s="1079"/>
      <c r="B14043" s="1050"/>
      <c r="C14043" s="1050"/>
      <c r="D14043" s="1050"/>
      <c r="E14043" s="1050"/>
      <c r="F14043" s="1050"/>
      <c r="G14043" s="1050"/>
    </row>
    <row r="14044" spans="1:7">
      <c r="A14044" s="1079"/>
      <c r="B14044" s="1050"/>
      <c r="C14044" s="1050"/>
      <c r="D14044" s="1050"/>
      <c r="E14044" s="1050"/>
      <c r="F14044" s="1050"/>
      <c r="G14044" s="1050"/>
    </row>
    <row r="14045" spans="1:7">
      <c r="A14045" s="1079"/>
      <c r="B14045" s="1050"/>
      <c r="C14045" s="1050"/>
      <c r="D14045" s="1050"/>
      <c r="E14045" s="1050"/>
      <c r="F14045" s="1050"/>
      <c r="G14045" s="1050"/>
    </row>
    <row r="14046" spans="1:7">
      <c r="A14046" s="1079"/>
      <c r="B14046" s="1050"/>
      <c r="C14046" s="1050"/>
      <c r="D14046" s="1050"/>
      <c r="E14046" s="1050"/>
      <c r="F14046" s="1050"/>
      <c r="G14046" s="1050"/>
    </row>
    <row r="14047" spans="1:7">
      <c r="A14047" s="1079"/>
      <c r="B14047" s="1050"/>
      <c r="C14047" s="1050"/>
      <c r="D14047" s="1050"/>
      <c r="E14047" s="1050"/>
      <c r="F14047" s="1050"/>
      <c r="G14047" s="1050"/>
    </row>
    <row r="14048" spans="1:7">
      <c r="A14048" s="1079"/>
      <c r="B14048" s="1050"/>
      <c r="C14048" s="1050"/>
      <c r="D14048" s="1050"/>
      <c r="E14048" s="1050"/>
      <c r="F14048" s="1050"/>
      <c r="G14048" s="1050"/>
    </row>
    <row r="14049" spans="1:7">
      <c r="A14049" s="1079"/>
      <c r="B14049" s="1050"/>
      <c r="C14049" s="1050"/>
      <c r="D14049" s="1050"/>
      <c r="E14049" s="1050"/>
      <c r="F14049" s="1050"/>
      <c r="G14049" s="1050"/>
    </row>
    <row r="14050" spans="1:7">
      <c r="A14050" s="1079"/>
      <c r="B14050" s="1050"/>
      <c r="C14050" s="1050"/>
      <c r="D14050" s="1050"/>
      <c r="E14050" s="1050"/>
      <c r="F14050" s="1050"/>
      <c r="G14050" s="1050"/>
    </row>
    <row r="14051" spans="1:7">
      <c r="A14051" s="1079"/>
      <c r="B14051" s="1050"/>
      <c r="C14051" s="1050"/>
      <c r="D14051" s="1050"/>
      <c r="E14051" s="1050"/>
      <c r="F14051" s="1050"/>
      <c r="G14051" s="1050"/>
    </row>
    <row r="14052" spans="1:7">
      <c r="A14052" s="1079"/>
      <c r="B14052" s="1050"/>
      <c r="C14052" s="1050"/>
      <c r="D14052" s="1050"/>
      <c r="E14052" s="1050"/>
      <c r="F14052" s="1050"/>
      <c r="G14052" s="1050"/>
    </row>
    <row r="14053" spans="1:7">
      <c r="A14053" s="1079"/>
      <c r="B14053" s="1050"/>
      <c r="C14053" s="1050"/>
      <c r="D14053" s="1050"/>
      <c r="E14053" s="1050"/>
      <c r="F14053" s="1050"/>
      <c r="G14053" s="1050"/>
    </row>
    <row r="14054" spans="1:7">
      <c r="A14054" s="1079"/>
      <c r="B14054" s="1050"/>
      <c r="C14054" s="1050"/>
      <c r="D14054" s="1050"/>
      <c r="E14054" s="1050"/>
      <c r="F14054" s="1050"/>
      <c r="G14054" s="1050"/>
    </row>
    <row r="14055" spans="1:7">
      <c r="A14055" s="1079"/>
      <c r="B14055" s="1050"/>
      <c r="C14055" s="1050"/>
      <c r="D14055" s="1050"/>
      <c r="E14055" s="1050"/>
      <c r="F14055" s="1050"/>
      <c r="G14055" s="1050"/>
    </row>
    <row r="14056" spans="1:7">
      <c r="A14056" s="1079"/>
      <c r="B14056" s="1050"/>
      <c r="C14056" s="1050"/>
      <c r="D14056" s="1050"/>
      <c r="E14056" s="1050"/>
      <c r="F14056" s="1050"/>
      <c r="G14056" s="1050"/>
    </row>
    <row r="14057" spans="1:7">
      <c r="A14057" s="1079"/>
      <c r="B14057" s="1050"/>
      <c r="C14057" s="1050"/>
      <c r="D14057" s="1050"/>
      <c r="E14057" s="1050"/>
      <c r="F14057" s="1050"/>
      <c r="G14057" s="1050"/>
    </row>
    <row r="14058" spans="1:7">
      <c r="A14058" s="1079"/>
      <c r="B14058" s="1050"/>
      <c r="C14058" s="1050"/>
      <c r="D14058" s="1050"/>
      <c r="E14058" s="1050"/>
      <c r="F14058" s="1050"/>
      <c r="G14058" s="1050"/>
    </row>
    <row r="14059" spans="1:7">
      <c r="A14059" s="1079"/>
      <c r="B14059" s="1050"/>
      <c r="C14059" s="1050"/>
      <c r="D14059" s="1050"/>
      <c r="E14059" s="1050"/>
      <c r="F14059" s="1050"/>
      <c r="G14059" s="1050"/>
    </row>
    <row r="14060" spans="1:7">
      <c r="A14060" s="1079"/>
      <c r="B14060" s="1050"/>
      <c r="C14060" s="1050"/>
      <c r="D14060" s="1050"/>
      <c r="E14060" s="1050"/>
      <c r="F14060" s="1050"/>
      <c r="G14060" s="1050"/>
    </row>
    <row r="14061" spans="1:7">
      <c r="A14061" s="1079"/>
      <c r="B14061" s="1050"/>
      <c r="C14061" s="1050"/>
      <c r="D14061" s="1050"/>
      <c r="E14061" s="1050"/>
      <c r="F14061" s="1050"/>
      <c r="G14061" s="1050"/>
    </row>
    <row r="14062" spans="1:7">
      <c r="A14062" s="1079"/>
      <c r="B14062" s="1050"/>
      <c r="C14062" s="1050"/>
      <c r="D14062" s="1050"/>
      <c r="E14062" s="1050"/>
      <c r="F14062" s="1050"/>
      <c r="G14062" s="1050"/>
    </row>
    <row r="14063" spans="1:7">
      <c r="A14063" s="1079"/>
      <c r="B14063" s="1050"/>
      <c r="C14063" s="1050"/>
      <c r="D14063" s="1050"/>
      <c r="E14063" s="1050"/>
      <c r="F14063" s="1050"/>
      <c r="G14063" s="1050"/>
    </row>
    <row r="14064" spans="1:7">
      <c r="A14064" s="1079"/>
      <c r="B14064" s="1050"/>
      <c r="C14064" s="1050"/>
      <c r="D14064" s="1050"/>
      <c r="E14064" s="1050"/>
      <c r="F14064" s="1050"/>
      <c r="G14064" s="1050"/>
    </row>
    <row r="14065" spans="1:7">
      <c r="A14065" s="1079"/>
      <c r="B14065" s="1050"/>
      <c r="C14065" s="1050"/>
      <c r="D14065" s="1050"/>
      <c r="E14065" s="1050"/>
      <c r="F14065" s="1050"/>
      <c r="G14065" s="1050"/>
    </row>
    <row r="14066" spans="1:7">
      <c r="A14066" s="1079"/>
      <c r="B14066" s="1050"/>
      <c r="C14066" s="1050"/>
      <c r="D14066" s="1050"/>
      <c r="E14066" s="1050"/>
      <c r="F14066" s="1050"/>
      <c r="G14066" s="1050"/>
    </row>
    <row r="14067" spans="1:7">
      <c r="A14067" s="1079"/>
      <c r="B14067" s="1050"/>
      <c r="C14067" s="1050"/>
      <c r="D14067" s="1050"/>
      <c r="E14067" s="1050"/>
      <c r="F14067" s="1050"/>
      <c r="G14067" s="1050"/>
    </row>
    <row r="14068" spans="1:7">
      <c r="A14068" s="1079"/>
      <c r="B14068" s="1050"/>
      <c r="C14068" s="1050"/>
      <c r="D14068" s="1050"/>
      <c r="E14068" s="1050"/>
      <c r="F14068" s="1050"/>
      <c r="G14068" s="1050"/>
    </row>
    <row r="14069" spans="1:7">
      <c r="A14069" s="1079"/>
      <c r="B14069" s="1050"/>
      <c r="C14069" s="1050"/>
      <c r="D14069" s="1050"/>
      <c r="E14069" s="1050"/>
      <c r="F14069" s="1050"/>
      <c r="G14069" s="1050"/>
    </row>
    <row r="14070" spans="1:7">
      <c r="A14070" s="1079"/>
      <c r="B14070" s="1050"/>
      <c r="C14070" s="1050"/>
      <c r="D14070" s="1050"/>
      <c r="E14070" s="1050"/>
      <c r="F14070" s="1050"/>
      <c r="G14070" s="1050"/>
    </row>
    <row r="14071" spans="1:7">
      <c r="A14071" s="1079"/>
      <c r="B14071" s="1050"/>
      <c r="C14071" s="1050"/>
      <c r="D14071" s="1050"/>
      <c r="E14071" s="1050"/>
      <c r="F14071" s="1050"/>
      <c r="G14071" s="1050"/>
    </row>
    <row r="14072" spans="1:7">
      <c r="A14072" s="1079"/>
      <c r="B14072" s="1050"/>
      <c r="C14072" s="1050"/>
      <c r="D14072" s="1050"/>
      <c r="E14072" s="1050"/>
      <c r="F14072" s="1050"/>
      <c r="G14072" s="1050"/>
    </row>
    <row r="14073" spans="1:7">
      <c r="A14073" s="1079"/>
      <c r="B14073" s="1050"/>
      <c r="C14073" s="1050"/>
      <c r="D14073" s="1050"/>
      <c r="E14073" s="1050"/>
      <c r="F14073" s="1050"/>
      <c r="G14073" s="1050"/>
    </row>
    <row r="14074" spans="1:7">
      <c r="A14074" s="1079"/>
      <c r="B14074" s="1050"/>
      <c r="C14074" s="1050"/>
      <c r="D14074" s="1050"/>
      <c r="E14074" s="1050"/>
      <c r="F14074" s="1050"/>
      <c r="G14074" s="1050"/>
    </row>
    <row r="14075" spans="1:7">
      <c r="A14075" s="1079"/>
      <c r="B14075" s="1050"/>
      <c r="C14075" s="1050"/>
      <c r="D14075" s="1050"/>
      <c r="E14075" s="1050"/>
      <c r="F14075" s="1050"/>
      <c r="G14075" s="1050"/>
    </row>
    <row r="14076" spans="1:7">
      <c r="A14076" s="1079"/>
      <c r="B14076" s="1050"/>
      <c r="C14076" s="1050"/>
      <c r="D14076" s="1050"/>
      <c r="E14076" s="1050"/>
      <c r="F14076" s="1050"/>
      <c r="G14076" s="1050"/>
    </row>
    <row r="14077" spans="1:7">
      <c r="A14077" s="1079"/>
      <c r="B14077" s="1050"/>
      <c r="C14077" s="1050"/>
      <c r="D14077" s="1050"/>
      <c r="E14077" s="1050"/>
      <c r="F14077" s="1050"/>
      <c r="G14077" s="1050"/>
    </row>
    <row r="14078" spans="1:7">
      <c r="A14078" s="1079"/>
      <c r="B14078" s="1050"/>
      <c r="C14078" s="1050"/>
      <c r="D14078" s="1050"/>
      <c r="E14078" s="1050"/>
      <c r="F14078" s="1050"/>
      <c r="G14078" s="1050"/>
    </row>
    <row r="14079" spans="1:7">
      <c r="A14079" s="1079"/>
      <c r="B14079" s="1050"/>
      <c r="C14079" s="1050"/>
      <c r="D14079" s="1050"/>
      <c r="E14079" s="1050"/>
      <c r="F14079" s="1050"/>
      <c r="G14079" s="1050"/>
    </row>
    <row r="14080" spans="1:7">
      <c r="A14080" s="1079"/>
      <c r="B14080" s="1050"/>
      <c r="C14080" s="1050"/>
      <c r="D14080" s="1050"/>
      <c r="E14080" s="1050"/>
      <c r="F14080" s="1050"/>
      <c r="G14080" s="1050"/>
    </row>
    <row r="14081" spans="1:7">
      <c r="A14081" s="1079"/>
      <c r="B14081" s="1050"/>
      <c r="C14081" s="1050"/>
      <c r="D14081" s="1050"/>
      <c r="E14081" s="1050"/>
      <c r="F14081" s="1050"/>
      <c r="G14081" s="1050"/>
    </row>
    <row r="14082" spans="1:7">
      <c r="A14082" s="1079"/>
      <c r="B14082" s="1050"/>
      <c r="C14082" s="1050"/>
      <c r="D14082" s="1050"/>
      <c r="E14082" s="1050"/>
      <c r="F14082" s="1050"/>
      <c r="G14082" s="1050"/>
    </row>
    <row r="14083" spans="1:7">
      <c r="A14083" s="1079"/>
      <c r="B14083" s="1050"/>
      <c r="C14083" s="1050"/>
      <c r="D14083" s="1050"/>
      <c r="E14083" s="1050"/>
      <c r="F14083" s="1050"/>
      <c r="G14083" s="1050"/>
    </row>
    <row r="14084" spans="1:7">
      <c r="A14084" s="1079"/>
      <c r="B14084" s="1050"/>
      <c r="C14084" s="1050"/>
      <c r="D14084" s="1050"/>
      <c r="E14084" s="1050"/>
      <c r="F14084" s="1050"/>
      <c r="G14084" s="1050"/>
    </row>
    <row r="14085" spans="1:7">
      <c r="A14085" s="1079"/>
      <c r="B14085" s="1050"/>
      <c r="C14085" s="1050"/>
      <c r="D14085" s="1050"/>
      <c r="E14085" s="1050"/>
      <c r="F14085" s="1050"/>
      <c r="G14085" s="1050"/>
    </row>
    <row r="14086" spans="1:7">
      <c r="A14086" s="1079"/>
      <c r="B14086" s="1050"/>
      <c r="C14086" s="1050"/>
      <c r="D14086" s="1050"/>
      <c r="E14086" s="1050"/>
      <c r="F14086" s="1050"/>
      <c r="G14086" s="1050"/>
    </row>
    <row r="14087" spans="1:7">
      <c r="A14087" s="1079"/>
      <c r="B14087" s="1050"/>
      <c r="C14087" s="1050"/>
      <c r="D14087" s="1050"/>
      <c r="E14087" s="1050"/>
      <c r="F14087" s="1050"/>
      <c r="G14087" s="1050"/>
    </row>
    <row r="14088" spans="1:7">
      <c r="A14088" s="1079"/>
      <c r="B14088" s="1050"/>
      <c r="C14088" s="1050"/>
      <c r="D14088" s="1050"/>
      <c r="E14088" s="1050"/>
      <c r="F14088" s="1050"/>
      <c r="G14088" s="1050"/>
    </row>
    <row r="14089" spans="1:7">
      <c r="A14089" s="1079"/>
      <c r="B14089" s="1050"/>
      <c r="C14089" s="1050"/>
      <c r="D14089" s="1050"/>
      <c r="E14089" s="1050"/>
      <c r="F14089" s="1050"/>
      <c r="G14089" s="1050"/>
    </row>
    <row r="14090" spans="1:7">
      <c r="A14090" s="1079"/>
      <c r="B14090" s="1050"/>
      <c r="C14090" s="1050"/>
      <c r="D14090" s="1050"/>
      <c r="E14090" s="1050"/>
      <c r="F14090" s="1050"/>
      <c r="G14090" s="1050"/>
    </row>
    <row r="14091" spans="1:7">
      <c r="A14091" s="1079"/>
      <c r="B14091" s="1050"/>
      <c r="C14091" s="1050"/>
      <c r="D14091" s="1050"/>
      <c r="E14091" s="1050"/>
      <c r="F14091" s="1050"/>
      <c r="G14091" s="1050"/>
    </row>
    <row r="14092" spans="1:7">
      <c r="A14092" s="1079"/>
      <c r="B14092" s="1050"/>
      <c r="C14092" s="1050"/>
      <c r="D14092" s="1050"/>
      <c r="E14092" s="1050"/>
      <c r="F14092" s="1050"/>
      <c r="G14092" s="1050"/>
    </row>
    <row r="14093" spans="1:7">
      <c r="A14093" s="1079"/>
      <c r="B14093" s="1050"/>
      <c r="C14093" s="1050"/>
      <c r="D14093" s="1050"/>
      <c r="E14093" s="1050"/>
      <c r="F14093" s="1050"/>
      <c r="G14093" s="1050"/>
    </row>
    <row r="14094" spans="1:7">
      <c r="A14094" s="1079"/>
      <c r="B14094" s="1050"/>
      <c r="C14094" s="1050"/>
      <c r="D14094" s="1050"/>
      <c r="E14094" s="1050"/>
      <c r="F14094" s="1050"/>
      <c r="G14094" s="1050"/>
    </row>
    <row r="14095" spans="1:7">
      <c r="A14095" s="1079"/>
      <c r="B14095" s="1050"/>
      <c r="C14095" s="1050"/>
      <c r="D14095" s="1050"/>
      <c r="E14095" s="1050"/>
      <c r="F14095" s="1050"/>
      <c r="G14095" s="1050"/>
    </row>
    <row r="14096" spans="1:7">
      <c r="A14096" s="1079"/>
      <c r="B14096" s="1050"/>
      <c r="C14096" s="1050"/>
      <c r="D14096" s="1050"/>
      <c r="E14096" s="1050"/>
      <c r="F14096" s="1050"/>
      <c r="G14096" s="1050"/>
    </row>
    <row r="14097" spans="1:7">
      <c r="A14097" s="1079"/>
      <c r="B14097" s="1050"/>
      <c r="C14097" s="1050"/>
      <c r="D14097" s="1050"/>
      <c r="E14097" s="1050"/>
      <c r="F14097" s="1050"/>
      <c r="G14097" s="1050"/>
    </row>
    <row r="14098" spans="1:7">
      <c r="A14098" s="1079"/>
      <c r="B14098" s="1050"/>
      <c r="C14098" s="1050"/>
      <c r="D14098" s="1050"/>
      <c r="E14098" s="1050"/>
      <c r="F14098" s="1050"/>
      <c r="G14098" s="1050"/>
    </row>
    <row r="14099" spans="1:7">
      <c r="A14099" s="1079"/>
      <c r="B14099" s="1050"/>
      <c r="C14099" s="1050"/>
      <c r="D14099" s="1050"/>
      <c r="E14099" s="1050"/>
      <c r="F14099" s="1050"/>
      <c r="G14099" s="1050"/>
    </row>
    <row r="14100" spans="1:7">
      <c r="A14100" s="1079"/>
      <c r="B14100" s="1050"/>
      <c r="C14100" s="1050"/>
      <c r="D14100" s="1050"/>
      <c r="E14100" s="1050"/>
      <c r="F14100" s="1050"/>
      <c r="G14100" s="1050"/>
    </row>
    <row r="14101" spans="1:7">
      <c r="A14101" s="1079"/>
      <c r="B14101" s="1050"/>
      <c r="C14101" s="1050"/>
      <c r="D14101" s="1050"/>
      <c r="E14101" s="1050"/>
      <c r="F14101" s="1050"/>
      <c r="G14101" s="1050"/>
    </row>
    <row r="14102" spans="1:7">
      <c r="A14102" s="1079"/>
      <c r="B14102" s="1050"/>
      <c r="C14102" s="1050"/>
      <c r="D14102" s="1050"/>
      <c r="E14102" s="1050"/>
      <c r="F14102" s="1050"/>
      <c r="G14102" s="1050"/>
    </row>
    <row r="14103" spans="1:7">
      <c r="A14103" s="1079"/>
      <c r="B14103" s="1050"/>
      <c r="C14103" s="1050"/>
      <c r="D14103" s="1050"/>
      <c r="E14103" s="1050"/>
      <c r="F14103" s="1050"/>
      <c r="G14103" s="1050"/>
    </row>
    <row r="14104" spans="1:7">
      <c r="A14104" s="1079"/>
      <c r="B14104" s="1050"/>
      <c r="C14104" s="1050"/>
      <c r="D14104" s="1050"/>
      <c r="E14104" s="1050"/>
      <c r="F14104" s="1050"/>
      <c r="G14104" s="1050"/>
    </row>
    <row r="14105" spans="1:7">
      <c r="A14105" s="1079"/>
      <c r="B14105" s="1050"/>
      <c r="C14105" s="1050"/>
      <c r="D14105" s="1050"/>
      <c r="E14105" s="1050"/>
      <c r="F14105" s="1050"/>
      <c r="G14105" s="1050"/>
    </row>
    <row r="14106" spans="1:7">
      <c r="A14106" s="1079"/>
      <c r="B14106" s="1050"/>
      <c r="C14106" s="1050"/>
      <c r="D14106" s="1050"/>
      <c r="E14106" s="1050"/>
      <c r="F14106" s="1050"/>
      <c r="G14106" s="1050"/>
    </row>
    <row r="14107" spans="1:7">
      <c r="A14107" s="1079"/>
      <c r="B14107" s="1050"/>
      <c r="C14107" s="1050"/>
      <c r="D14107" s="1050"/>
      <c r="E14107" s="1050"/>
      <c r="F14107" s="1050"/>
      <c r="G14107" s="1050"/>
    </row>
    <row r="14108" spans="1:7">
      <c r="A14108" s="1079"/>
      <c r="B14108" s="1050"/>
      <c r="C14108" s="1050"/>
      <c r="D14108" s="1050"/>
      <c r="E14108" s="1050"/>
      <c r="F14108" s="1050"/>
      <c r="G14108" s="1050"/>
    </row>
    <row r="14109" spans="1:7">
      <c r="A14109" s="1079"/>
      <c r="B14109" s="1050"/>
      <c r="C14109" s="1050"/>
      <c r="D14109" s="1050"/>
      <c r="E14109" s="1050"/>
      <c r="F14109" s="1050"/>
      <c r="G14109" s="1050"/>
    </row>
    <row r="14110" spans="1:7">
      <c r="A14110" s="1079"/>
      <c r="B14110" s="1050"/>
      <c r="C14110" s="1050"/>
      <c r="D14110" s="1050"/>
      <c r="E14110" s="1050"/>
      <c r="F14110" s="1050"/>
      <c r="G14110" s="1050"/>
    </row>
    <row r="14111" spans="1:7">
      <c r="A14111" s="1079"/>
      <c r="B14111" s="1050"/>
      <c r="C14111" s="1050"/>
      <c r="D14111" s="1050"/>
      <c r="E14111" s="1050"/>
      <c r="F14111" s="1050"/>
      <c r="G14111" s="1050"/>
    </row>
    <row r="14112" spans="1:7">
      <c r="A14112" s="1079"/>
      <c r="B14112" s="1050"/>
      <c r="C14112" s="1050"/>
      <c r="D14112" s="1050"/>
      <c r="E14112" s="1050"/>
      <c r="F14112" s="1050"/>
      <c r="G14112" s="1050"/>
    </row>
    <row r="14113" spans="1:7">
      <c r="A14113" s="1079"/>
      <c r="B14113" s="1050"/>
      <c r="C14113" s="1050"/>
      <c r="D14113" s="1050"/>
      <c r="E14113" s="1050"/>
      <c r="F14113" s="1050"/>
      <c r="G14113" s="1050"/>
    </row>
    <row r="14114" spans="1:7">
      <c r="A14114" s="1079"/>
      <c r="B14114" s="1050"/>
      <c r="C14114" s="1050"/>
      <c r="D14114" s="1050"/>
      <c r="E14114" s="1050"/>
      <c r="F14114" s="1050"/>
      <c r="G14114" s="1050"/>
    </row>
    <row r="14115" spans="1:7">
      <c r="A14115" s="1079"/>
      <c r="B14115" s="1050"/>
      <c r="C14115" s="1050"/>
      <c r="D14115" s="1050"/>
      <c r="E14115" s="1050"/>
      <c r="F14115" s="1050"/>
      <c r="G14115" s="1050"/>
    </row>
    <row r="14116" spans="1:7">
      <c r="A14116" s="1079"/>
      <c r="B14116" s="1050"/>
      <c r="C14116" s="1050"/>
      <c r="D14116" s="1050"/>
      <c r="E14116" s="1050"/>
      <c r="F14116" s="1050"/>
      <c r="G14116" s="1050"/>
    </row>
    <row r="14117" spans="1:7">
      <c r="A14117" s="1079"/>
      <c r="B14117" s="1050"/>
      <c r="C14117" s="1050"/>
      <c r="D14117" s="1050"/>
      <c r="E14117" s="1050"/>
      <c r="F14117" s="1050"/>
      <c r="G14117" s="1050"/>
    </row>
    <row r="14118" spans="1:7">
      <c r="A14118" s="1079"/>
      <c r="B14118" s="1050"/>
      <c r="C14118" s="1050"/>
      <c r="D14118" s="1050"/>
      <c r="E14118" s="1050"/>
      <c r="F14118" s="1050"/>
      <c r="G14118" s="1050"/>
    </row>
    <row r="14119" spans="1:7">
      <c r="A14119" s="1079"/>
      <c r="B14119" s="1050"/>
      <c r="C14119" s="1050"/>
      <c r="D14119" s="1050"/>
      <c r="E14119" s="1050"/>
      <c r="F14119" s="1050"/>
      <c r="G14119" s="1050"/>
    </row>
    <row r="14120" spans="1:7">
      <c r="A14120" s="1079"/>
      <c r="B14120" s="1050"/>
      <c r="C14120" s="1050"/>
      <c r="D14120" s="1050"/>
      <c r="E14120" s="1050"/>
      <c r="F14120" s="1050"/>
      <c r="G14120" s="1050"/>
    </row>
    <row r="14121" spans="1:7">
      <c r="A14121" s="1079"/>
      <c r="B14121" s="1050"/>
      <c r="C14121" s="1050"/>
      <c r="D14121" s="1050"/>
      <c r="E14121" s="1050"/>
      <c r="F14121" s="1050"/>
      <c r="G14121" s="1050"/>
    </row>
    <row r="14122" spans="1:7">
      <c r="A14122" s="1079"/>
      <c r="B14122" s="1050"/>
      <c r="C14122" s="1050"/>
      <c r="D14122" s="1050"/>
      <c r="E14122" s="1050"/>
      <c r="F14122" s="1050"/>
      <c r="G14122" s="1050"/>
    </row>
    <row r="14123" spans="1:7">
      <c r="A14123" s="1079"/>
      <c r="B14123" s="1050"/>
      <c r="C14123" s="1050"/>
      <c r="D14123" s="1050"/>
      <c r="E14123" s="1050"/>
      <c r="F14123" s="1050"/>
      <c r="G14123" s="1050"/>
    </row>
    <row r="14124" spans="1:7">
      <c r="A14124" s="1079"/>
      <c r="B14124" s="1050"/>
      <c r="C14124" s="1050"/>
      <c r="D14124" s="1050"/>
      <c r="E14124" s="1050"/>
      <c r="F14124" s="1050"/>
      <c r="G14124" s="1050"/>
    </row>
    <row r="14125" spans="1:7">
      <c r="A14125" s="1079"/>
      <c r="B14125" s="1050"/>
      <c r="C14125" s="1050"/>
      <c r="D14125" s="1050"/>
      <c r="E14125" s="1050"/>
      <c r="F14125" s="1050"/>
      <c r="G14125" s="1050"/>
    </row>
    <row r="14126" spans="1:7">
      <c r="A14126" s="1079"/>
      <c r="B14126" s="1050"/>
      <c r="C14126" s="1050"/>
      <c r="D14126" s="1050"/>
      <c r="E14126" s="1050"/>
      <c r="F14126" s="1050"/>
      <c r="G14126" s="1050"/>
    </row>
    <row r="14127" spans="1:7">
      <c r="A14127" s="1079"/>
      <c r="B14127" s="1050"/>
      <c r="C14127" s="1050"/>
      <c r="D14127" s="1050"/>
      <c r="E14127" s="1050"/>
      <c r="F14127" s="1050"/>
      <c r="G14127" s="1050"/>
    </row>
    <row r="14128" spans="1:7">
      <c r="A14128" s="1079"/>
      <c r="B14128" s="1050"/>
      <c r="C14128" s="1050"/>
      <c r="D14128" s="1050"/>
      <c r="E14128" s="1050"/>
      <c r="F14128" s="1050"/>
      <c r="G14128" s="1050"/>
    </row>
    <row r="14129" spans="1:7">
      <c r="A14129" s="1079"/>
      <c r="B14129" s="1050"/>
      <c r="C14129" s="1050"/>
      <c r="D14129" s="1050"/>
      <c r="E14129" s="1050"/>
      <c r="F14129" s="1050"/>
      <c r="G14129" s="1050"/>
    </row>
    <row r="14130" spans="1:7">
      <c r="A14130" s="1079"/>
      <c r="B14130" s="1050"/>
      <c r="C14130" s="1050"/>
      <c r="D14130" s="1050"/>
      <c r="E14130" s="1050"/>
      <c r="F14130" s="1050"/>
      <c r="G14130" s="1050"/>
    </row>
    <row r="14131" spans="1:7">
      <c r="A14131" s="1079"/>
      <c r="B14131" s="1050"/>
      <c r="C14131" s="1050"/>
      <c r="D14131" s="1050"/>
      <c r="E14131" s="1050"/>
      <c r="F14131" s="1050"/>
      <c r="G14131" s="1050"/>
    </row>
    <row r="14132" spans="1:7">
      <c r="A14132" s="1079"/>
      <c r="B14132" s="1050"/>
      <c r="C14132" s="1050"/>
      <c r="D14132" s="1050"/>
      <c r="E14132" s="1050"/>
      <c r="F14132" s="1050"/>
      <c r="G14132" s="1050"/>
    </row>
    <row r="14133" spans="1:7">
      <c r="A14133" s="1079"/>
      <c r="B14133" s="1050"/>
      <c r="C14133" s="1050"/>
      <c r="D14133" s="1050"/>
      <c r="E14133" s="1050"/>
      <c r="F14133" s="1050"/>
      <c r="G14133" s="1050"/>
    </row>
    <row r="14134" spans="1:7">
      <c r="A14134" s="1079"/>
      <c r="B14134" s="1050"/>
      <c r="C14134" s="1050"/>
      <c r="D14134" s="1050"/>
      <c r="E14134" s="1050"/>
      <c r="F14134" s="1050"/>
      <c r="G14134" s="1050"/>
    </row>
    <row r="14135" spans="1:7">
      <c r="A14135" s="1079"/>
      <c r="B14135" s="1050"/>
      <c r="C14135" s="1050"/>
      <c r="D14135" s="1050"/>
      <c r="E14135" s="1050"/>
      <c r="F14135" s="1050"/>
      <c r="G14135" s="1050"/>
    </row>
    <row r="14136" spans="1:7">
      <c r="A14136" s="1079"/>
      <c r="B14136" s="1050"/>
      <c r="C14136" s="1050"/>
      <c r="D14136" s="1050"/>
      <c r="E14136" s="1050"/>
      <c r="F14136" s="1050"/>
      <c r="G14136" s="1050"/>
    </row>
    <row r="14137" spans="1:7">
      <c r="A14137" s="1079"/>
      <c r="B14137" s="1050"/>
      <c r="C14137" s="1050"/>
      <c r="D14137" s="1050"/>
      <c r="E14137" s="1050"/>
      <c r="F14137" s="1050"/>
      <c r="G14137" s="1050"/>
    </row>
    <row r="14138" spans="1:7">
      <c r="A14138" s="1079"/>
      <c r="B14138" s="1050"/>
      <c r="C14138" s="1050"/>
      <c r="D14138" s="1050"/>
      <c r="E14138" s="1050"/>
      <c r="F14138" s="1050"/>
      <c r="G14138" s="1050"/>
    </row>
    <row r="14139" spans="1:7">
      <c r="A14139" s="1079"/>
      <c r="B14139" s="1050"/>
      <c r="C14139" s="1050"/>
      <c r="D14139" s="1050"/>
      <c r="E14139" s="1050"/>
      <c r="F14139" s="1050"/>
      <c r="G14139" s="1050"/>
    </row>
    <row r="14140" spans="1:7">
      <c r="A14140" s="1079"/>
      <c r="B14140" s="1050"/>
      <c r="C14140" s="1050"/>
      <c r="D14140" s="1050"/>
      <c r="E14140" s="1050"/>
      <c r="F14140" s="1050"/>
      <c r="G14140" s="1050"/>
    </row>
    <row r="14141" spans="1:7">
      <c r="A14141" s="1079"/>
      <c r="B14141" s="1050"/>
      <c r="C14141" s="1050"/>
      <c r="D14141" s="1050"/>
      <c r="E14141" s="1050"/>
      <c r="F14141" s="1050"/>
      <c r="G14141" s="1050"/>
    </row>
    <row r="14142" spans="1:7">
      <c r="A14142" s="1079"/>
      <c r="B14142" s="1050"/>
      <c r="C14142" s="1050"/>
      <c r="D14142" s="1050"/>
      <c r="E14142" s="1050"/>
      <c r="F14142" s="1050"/>
      <c r="G14142" s="1050"/>
    </row>
    <row r="14143" spans="1:7">
      <c r="A14143" s="1079"/>
      <c r="B14143" s="1050"/>
      <c r="C14143" s="1050"/>
      <c r="D14143" s="1050"/>
      <c r="E14143" s="1050"/>
      <c r="F14143" s="1050"/>
      <c r="G14143" s="1050"/>
    </row>
    <row r="14144" spans="1:7">
      <c r="A14144" s="1079"/>
      <c r="B14144" s="1050"/>
      <c r="C14144" s="1050"/>
      <c r="D14144" s="1050"/>
      <c r="E14144" s="1050"/>
      <c r="F14144" s="1050"/>
      <c r="G14144" s="1050"/>
    </row>
    <row r="14145" spans="1:7">
      <c r="A14145" s="1079"/>
      <c r="B14145" s="1050"/>
      <c r="C14145" s="1050"/>
      <c r="D14145" s="1050"/>
      <c r="E14145" s="1050"/>
      <c r="F14145" s="1050"/>
      <c r="G14145" s="1050"/>
    </row>
    <row r="14146" spans="1:7">
      <c r="A14146" s="1079"/>
      <c r="B14146" s="1050"/>
      <c r="C14146" s="1050"/>
      <c r="D14146" s="1050"/>
      <c r="E14146" s="1050"/>
      <c r="F14146" s="1050"/>
      <c r="G14146" s="1050"/>
    </row>
    <row r="14147" spans="1:7">
      <c r="A14147" s="1079"/>
      <c r="B14147" s="1050"/>
      <c r="C14147" s="1050"/>
      <c r="D14147" s="1050"/>
      <c r="E14147" s="1050"/>
      <c r="F14147" s="1050"/>
      <c r="G14147" s="1050"/>
    </row>
    <row r="14148" spans="1:7">
      <c r="A14148" s="1079"/>
      <c r="B14148" s="1050"/>
      <c r="C14148" s="1050"/>
      <c r="D14148" s="1050"/>
      <c r="E14148" s="1050"/>
      <c r="F14148" s="1050"/>
      <c r="G14148" s="1050"/>
    </row>
    <row r="14149" spans="1:7">
      <c r="A14149" s="1079"/>
      <c r="B14149" s="1050"/>
      <c r="C14149" s="1050"/>
      <c r="D14149" s="1050"/>
      <c r="E14149" s="1050"/>
      <c r="F14149" s="1050"/>
      <c r="G14149" s="1050"/>
    </row>
    <row r="14150" spans="1:7">
      <c r="A14150" s="1079"/>
      <c r="B14150" s="1050"/>
      <c r="C14150" s="1050"/>
      <c r="D14150" s="1050"/>
      <c r="E14150" s="1050"/>
      <c r="F14150" s="1050"/>
      <c r="G14150" s="1050"/>
    </row>
    <row r="14151" spans="1:7">
      <c r="A14151" s="1079"/>
      <c r="B14151" s="1050"/>
      <c r="C14151" s="1050"/>
      <c r="D14151" s="1050"/>
      <c r="E14151" s="1050"/>
      <c r="F14151" s="1050"/>
      <c r="G14151" s="1050"/>
    </row>
    <row r="14152" spans="1:7">
      <c r="A14152" s="1079"/>
      <c r="B14152" s="1050"/>
      <c r="C14152" s="1050"/>
      <c r="D14152" s="1050"/>
      <c r="E14152" s="1050"/>
      <c r="F14152" s="1050"/>
      <c r="G14152" s="1050"/>
    </row>
    <row r="14153" spans="1:7">
      <c r="A14153" s="1079"/>
      <c r="B14153" s="1050"/>
      <c r="C14153" s="1050"/>
      <c r="D14153" s="1050"/>
      <c r="E14153" s="1050"/>
      <c r="F14153" s="1050"/>
      <c r="G14153" s="1050"/>
    </row>
    <row r="14154" spans="1:7">
      <c r="A14154" s="1079"/>
      <c r="B14154" s="1050"/>
      <c r="C14154" s="1050"/>
      <c r="D14154" s="1050"/>
      <c r="E14154" s="1050"/>
      <c r="F14154" s="1050"/>
      <c r="G14154" s="1050"/>
    </row>
    <row r="14155" spans="1:7">
      <c r="A14155" s="1079"/>
      <c r="B14155" s="1050"/>
      <c r="C14155" s="1050"/>
      <c r="D14155" s="1050"/>
      <c r="E14155" s="1050"/>
      <c r="F14155" s="1050"/>
      <c r="G14155" s="1050"/>
    </row>
    <row r="14156" spans="1:7">
      <c r="A14156" s="1079"/>
      <c r="B14156" s="1050"/>
      <c r="C14156" s="1050"/>
      <c r="D14156" s="1050"/>
      <c r="E14156" s="1050"/>
      <c r="F14156" s="1050"/>
      <c r="G14156" s="1050"/>
    </row>
    <row r="14157" spans="1:7">
      <c r="A14157" s="1079"/>
      <c r="B14157" s="1050"/>
      <c r="C14157" s="1050"/>
      <c r="D14157" s="1050"/>
      <c r="E14157" s="1050"/>
      <c r="F14157" s="1050"/>
      <c r="G14157" s="1050"/>
    </row>
    <row r="14158" spans="1:7">
      <c r="A14158" s="1079"/>
      <c r="B14158" s="1050"/>
      <c r="C14158" s="1050"/>
      <c r="D14158" s="1050"/>
      <c r="E14158" s="1050"/>
      <c r="F14158" s="1050"/>
      <c r="G14158" s="1050"/>
    </row>
    <row r="14159" spans="1:7">
      <c r="A14159" s="1079"/>
      <c r="B14159" s="1050"/>
      <c r="C14159" s="1050"/>
      <c r="D14159" s="1050"/>
      <c r="E14159" s="1050"/>
      <c r="F14159" s="1050"/>
      <c r="G14159" s="1050"/>
    </row>
    <row r="14160" spans="1:7">
      <c r="A14160" s="1079"/>
      <c r="B14160" s="1050"/>
      <c r="C14160" s="1050"/>
      <c r="D14160" s="1050"/>
      <c r="E14160" s="1050"/>
      <c r="F14160" s="1050"/>
      <c r="G14160" s="1050"/>
    </row>
    <row r="14161" spans="1:7">
      <c r="A14161" s="1079"/>
      <c r="B14161" s="1050"/>
      <c r="C14161" s="1050"/>
      <c r="D14161" s="1050"/>
      <c r="E14161" s="1050"/>
      <c r="F14161" s="1050"/>
      <c r="G14161" s="1050"/>
    </row>
    <row r="14162" spans="1:7">
      <c r="A14162" s="1079"/>
      <c r="B14162" s="1050"/>
      <c r="C14162" s="1050"/>
      <c r="D14162" s="1050"/>
      <c r="E14162" s="1050"/>
      <c r="F14162" s="1050"/>
      <c r="G14162" s="1050"/>
    </row>
    <row r="14163" spans="1:7">
      <c r="A14163" s="1079"/>
      <c r="B14163" s="1050"/>
      <c r="C14163" s="1050"/>
      <c r="D14163" s="1050"/>
      <c r="E14163" s="1050"/>
      <c r="F14163" s="1050"/>
      <c r="G14163" s="1050"/>
    </row>
    <row r="14164" spans="1:7">
      <c r="A14164" s="1079"/>
      <c r="B14164" s="1050"/>
      <c r="C14164" s="1050"/>
      <c r="D14164" s="1050"/>
      <c r="E14164" s="1050"/>
      <c r="F14164" s="1050"/>
      <c r="G14164" s="1050"/>
    </row>
    <row r="14165" spans="1:7">
      <c r="A14165" s="1079"/>
      <c r="B14165" s="1050"/>
      <c r="C14165" s="1050"/>
      <c r="D14165" s="1050"/>
      <c r="E14165" s="1050"/>
      <c r="F14165" s="1050"/>
      <c r="G14165" s="1050"/>
    </row>
    <row r="14166" spans="1:7">
      <c r="A14166" s="1079"/>
      <c r="B14166" s="1050"/>
      <c r="C14166" s="1050"/>
      <c r="D14166" s="1050"/>
      <c r="E14166" s="1050"/>
      <c r="F14166" s="1050"/>
      <c r="G14166" s="1050"/>
    </row>
    <row r="14167" spans="1:7">
      <c r="A14167" s="1079"/>
      <c r="B14167" s="1050"/>
      <c r="C14167" s="1050"/>
      <c r="D14167" s="1050"/>
      <c r="E14167" s="1050"/>
      <c r="F14167" s="1050"/>
      <c r="G14167" s="1050"/>
    </row>
    <row r="14168" spans="1:7">
      <c r="A14168" s="1079"/>
      <c r="B14168" s="1050"/>
      <c r="C14168" s="1050"/>
      <c r="D14168" s="1050"/>
      <c r="E14168" s="1050"/>
      <c r="F14168" s="1050"/>
      <c r="G14168" s="1050"/>
    </row>
    <row r="14169" spans="1:7">
      <c r="A14169" s="1079"/>
      <c r="B14169" s="1050"/>
      <c r="C14169" s="1050"/>
      <c r="D14169" s="1050"/>
      <c r="E14169" s="1050"/>
      <c r="F14169" s="1050"/>
      <c r="G14169" s="1050"/>
    </row>
    <row r="14170" spans="1:7">
      <c r="A14170" s="1079"/>
      <c r="B14170" s="1050"/>
      <c r="C14170" s="1050"/>
      <c r="D14170" s="1050"/>
      <c r="E14170" s="1050"/>
      <c r="F14170" s="1050"/>
      <c r="G14170" s="1050"/>
    </row>
    <row r="14171" spans="1:7">
      <c r="A14171" s="1079"/>
      <c r="B14171" s="1050"/>
      <c r="C14171" s="1050"/>
      <c r="D14171" s="1050"/>
      <c r="E14171" s="1050"/>
      <c r="F14171" s="1050"/>
      <c r="G14171" s="1050"/>
    </row>
    <row r="14172" spans="1:7">
      <c r="A14172" s="1079"/>
      <c r="B14172" s="1050"/>
      <c r="C14172" s="1050"/>
      <c r="D14172" s="1050"/>
      <c r="E14172" s="1050"/>
      <c r="F14172" s="1050"/>
      <c r="G14172" s="1050"/>
    </row>
    <row r="14173" spans="1:7">
      <c r="A14173" s="1079"/>
      <c r="B14173" s="1050"/>
      <c r="C14173" s="1050"/>
      <c r="D14173" s="1050"/>
      <c r="E14173" s="1050"/>
      <c r="F14173" s="1050"/>
      <c r="G14173" s="1050"/>
    </row>
    <row r="14174" spans="1:7">
      <c r="A14174" s="1079"/>
      <c r="B14174" s="1050"/>
      <c r="C14174" s="1050"/>
      <c r="D14174" s="1050"/>
      <c r="E14174" s="1050"/>
      <c r="F14174" s="1050"/>
      <c r="G14174" s="1050"/>
    </row>
    <row r="14175" spans="1:7">
      <c r="A14175" s="1079"/>
      <c r="B14175" s="1050"/>
      <c r="C14175" s="1050"/>
      <c r="D14175" s="1050"/>
      <c r="E14175" s="1050"/>
      <c r="F14175" s="1050"/>
      <c r="G14175" s="1050"/>
    </row>
    <row r="14176" spans="1:7">
      <c r="A14176" s="1079"/>
      <c r="B14176" s="1050"/>
      <c r="C14176" s="1050"/>
      <c r="D14176" s="1050"/>
      <c r="E14176" s="1050"/>
      <c r="F14176" s="1050"/>
      <c r="G14176" s="1050"/>
    </row>
    <row r="14177" spans="1:7">
      <c r="A14177" s="1079"/>
      <c r="B14177" s="1050"/>
      <c r="C14177" s="1050"/>
      <c r="D14177" s="1050"/>
      <c r="E14177" s="1050"/>
      <c r="F14177" s="1050"/>
      <c r="G14177" s="1050"/>
    </row>
    <row r="14178" spans="1:7">
      <c r="A14178" s="1079"/>
      <c r="B14178" s="1050"/>
      <c r="C14178" s="1050"/>
      <c r="D14178" s="1050"/>
      <c r="E14178" s="1050"/>
      <c r="F14178" s="1050"/>
      <c r="G14178" s="1050"/>
    </row>
    <row r="14179" spans="1:7">
      <c r="A14179" s="1079"/>
      <c r="B14179" s="1050"/>
      <c r="C14179" s="1050"/>
      <c r="D14179" s="1050"/>
      <c r="E14179" s="1050"/>
      <c r="F14179" s="1050"/>
      <c r="G14179" s="1050"/>
    </row>
    <row r="14180" spans="1:7">
      <c r="A14180" s="1079"/>
      <c r="B14180" s="1050"/>
      <c r="C14180" s="1050"/>
      <c r="D14180" s="1050"/>
      <c r="E14180" s="1050"/>
      <c r="F14180" s="1050"/>
      <c r="G14180" s="1050"/>
    </row>
    <row r="14181" spans="1:7">
      <c r="A14181" s="1079"/>
      <c r="B14181" s="1050"/>
      <c r="C14181" s="1050"/>
      <c r="D14181" s="1050"/>
      <c r="E14181" s="1050"/>
      <c r="F14181" s="1050"/>
      <c r="G14181" s="1050"/>
    </row>
    <row r="14182" spans="1:7">
      <c r="A14182" s="1079"/>
      <c r="B14182" s="1050"/>
      <c r="C14182" s="1050"/>
      <c r="D14182" s="1050"/>
      <c r="E14182" s="1050"/>
      <c r="F14182" s="1050"/>
      <c r="G14182" s="1050"/>
    </row>
    <row r="14183" spans="1:7">
      <c r="A14183" s="1079"/>
      <c r="B14183" s="1050"/>
      <c r="C14183" s="1050"/>
      <c r="D14183" s="1050"/>
      <c r="E14183" s="1050"/>
      <c r="F14183" s="1050"/>
      <c r="G14183" s="1050"/>
    </row>
    <row r="14184" spans="1:7">
      <c r="A14184" s="1079"/>
      <c r="B14184" s="1050"/>
      <c r="C14184" s="1050"/>
      <c r="D14184" s="1050"/>
      <c r="E14184" s="1050"/>
      <c r="F14184" s="1050"/>
      <c r="G14184" s="1050"/>
    </row>
    <row r="14185" spans="1:7">
      <c r="A14185" s="1079"/>
      <c r="B14185" s="1050"/>
      <c r="C14185" s="1050"/>
      <c r="D14185" s="1050"/>
      <c r="E14185" s="1050"/>
      <c r="F14185" s="1050"/>
      <c r="G14185" s="1050"/>
    </row>
    <row r="14186" spans="1:7">
      <c r="A14186" s="1079"/>
      <c r="B14186" s="1050"/>
      <c r="C14186" s="1050"/>
      <c r="D14186" s="1050"/>
      <c r="E14186" s="1050"/>
      <c r="F14186" s="1050"/>
      <c r="G14186" s="1050"/>
    </row>
    <row r="14187" spans="1:7">
      <c r="A14187" s="1079"/>
      <c r="B14187" s="1050"/>
      <c r="C14187" s="1050"/>
      <c r="D14187" s="1050"/>
      <c r="E14187" s="1050"/>
      <c r="F14187" s="1050"/>
      <c r="G14187" s="1050"/>
    </row>
    <row r="14188" spans="1:7">
      <c r="A14188" s="1079"/>
      <c r="B14188" s="1050"/>
      <c r="C14188" s="1050"/>
      <c r="D14188" s="1050"/>
      <c r="E14188" s="1050"/>
      <c r="F14188" s="1050"/>
      <c r="G14188" s="1050"/>
    </row>
    <row r="14189" spans="1:7">
      <c r="A14189" s="1079"/>
      <c r="B14189" s="1050"/>
      <c r="C14189" s="1050"/>
      <c r="D14189" s="1050"/>
      <c r="E14189" s="1050"/>
      <c r="F14189" s="1050"/>
      <c r="G14189" s="1050"/>
    </row>
    <row r="14190" spans="1:7">
      <c r="A14190" s="1079"/>
      <c r="B14190" s="1050"/>
      <c r="C14190" s="1050"/>
      <c r="D14190" s="1050"/>
      <c r="E14190" s="1050"/>
      <c r="F14190" s="1050"/>
      <c r="G14190" s="1050"/>
    </row>
    <row r="14191" spans="1:7">
      <c r="A14191" s="1079"/>
      <c r="B14191" s="1050"/>
      <c r="C14191" s="1050"/>
      <c r="D14191" s="1050"/>
      <c r="E14191" s="1050"/>
      <c r="F14191" s="1050"/>
      <c r="G14191" s="1050"/>
    </row>
    <row r="14192" spans="1:7">
      <c r="A14192" s="1079"/>
      <c r="B14192" s="1050"/>
      <c r="C14192" s="1050"/>
      <c r="D14192" s="1050"/>
      <c r="E14192" s="1050"/>
      <c r="F14192" s="1050"/>
      <c r="G14192" s="1050"/>
    </row>
    <row r="14193" spans="1:7">
      <c r="A14193" s="1079"/>
      <c r="B14193" s="1050"/>
      <c r="C14193" s="1050"/>
      <c r="D14193" s="1050"/>
      <c r="E14193" s="1050"/>
      <c r="F14193" s="1050"/>
      <c r="G14193" s="1050"/>
    </row>
    <row r="14194" spans="1:7">
      <c r="A14194" s="1079"/>
      <c r="B14194" s="1050"/>
      <c r="C14194" s="1050"/>
      <c r="D14194" s="1050"/>
      <c r="E14194" s="1050"/>
      <c r="F14194" s="1050"/>
      <c r="G14194" s="1050"/>
    </row>
    <row r="14195" spans="1:7">
      <c r="A14195" s="1079"/>
      <c r="B14195" s="1050"/>
      <c r="C14195" s="1050"/>
      <c r="D14195" s="1050"/>
      <c r="E14195" s="1050"/>
      <c r="F14195" s="1050"/>
      <c r="G14195" s="1050"/>
    </row>
    <row r="14196" spans="1:7">
      <c r="A14196" s="1079"/>
      <c r="B14196" s="1050"/>
      <c r="C14196" s="1050"/>
      <c r="D14196" s="1050"/>
      <c r="E14196" s="1050"/>
      <c r="F14196" s="1050"/>
      <c r="G14196" s="1050"/>
    </row>
    <row r="14197" spans="1:7">
      <c r="A14197" s="1079"/>
      <c r="B14197" s="1050"/>
      <c r="C14197" s="1050"/>
      <c r="D14197" s="1050"/>
      <c r="E14197" s="1050"/>
      <c r="F14197" s="1050"/>
      <c r="G14197" s="1050"/>
    </row>
    <row r="14198" spans="1:7">
      <c r="A14198" s="1079"/>
      <c r="B14198" s="1050"/>
      <c r="C14198" s="1050"/>
      <c r="D14198" s="1050"/>
      <c r="E14198" s="1050"/>
      <c r="F14198" s="1050"/>
      <c r="G14198" s="1050"/>
    </row>
    <row r="14199" spans="1:7">
      <c r="A14199" s="1079"/>
      <c r="B14199" s="1050"/>
      <c r="C14199" s="1050"/>
      <c r="D14199" s="1050"/>
      <c r="E14199" s="1050"/>
      <c r="F14199" s="1050"/>
      <c r="G14199" s="1050"/>
    </row>
    <row r="14200" spans="1:7">
      <c r="A14200" s="1079"/>
      <c r="B14200" s="1050"/>
      <c r="C14200" s="1050"/>
      <c r="D14200" s="1050"/>
      <c r="E14200" s="1050"/>
      <c r="F14200" s="1050"/>
      <c r="G14200" s="1050"/>
    </row>
    <row r="14201" spans="1:7">
      <c r="A14201" s="1079"/>
      <c r="B14201" s="1050"/>
      <c r="C14201" s="1050"/>
      <c r="D14201" s="1050"/>
      <c r="E14201" s="1050"/>
      <c r="F14201" s="1050"/>
      <c r="G14201" s="1050"/>
    </row>
    <row r="14202" spans="1:7">
      <c r="A14202" s="1079"/>
      <c r="B14202" s="1050"/>
      <c r="C14202" s="1050"/>
      <c r="D14202" s="1050"/>
      <c r="E14202" s="1050"/>
      <c r="F14202" s="1050"/>
      <c r="G14202" s="1050"/>
    </row>
    <row r="14203" spans="1:7">
      <c r="A14203" s="1079"/>
      <c r="B14203" s="1050"/>
      <c r="C14203" s="1050"/>
      <c r="D14203" s="1050"/>
      <c r="E14203" s="1050"/>
      <c r="F14203" s="1050"/>
      <c r="G14203" s="1050"/>
    </row>
    <row r="14204" spans="1:7">
      <c r="A14204" s="1079"/>
      <c r="B14204" s="1050"/>
      <c r="C14204" s="1050"/>
      <c r="D14204" s="1050"/>
      <c r="E14204" s="1050"/>
      <c r="F14204" s="1050"/>
      <c r="G14204" s="1050"/>
    </row>
    <row r="14205" spans="1:7">
      <c r="A14205" s="1079"/>
      <c r="B14205" s="1050"/>
      <c r="C14205" s="1050"/>
      <c r="D14205" s="1050"/>
      <c r="E14205" s="1050"/>
      <c r="F14205" s="1050"/>
      <c r="G14205" s="1050"/>
    </row>
    <row r="14206" spans="1:7">
      <c r="A14206" s="1079"/>
      <c r="B14206" s="1050"/>
      <c r="C14206" s="1050"/>
      <c r="D14206" s="1050"/>
      <c r="E14206" s="1050"/>
      <c r="F14206" s="1050"/>
      <c r="G14206" s="1050"/>
    </row>
    <row r="14207" spans="1:7">
      <c r="A14207" s="1079"/>
      <c r="B14207" s="1050"/>
      <c r="C14207" s="1050"/>
      <c r="D14207" s="1050"/>
      <c r="E14207" s="1050"/>
      <c r="F14207" s="1050"/>
      <c r="G14207" s="1050"/>
    </row>
    <row r="14208" spans="1:7">
      <c r="A14208" s="1079"/>
      <c r="B14208" s="1050"/>
      <c r="C14208" s="1050"/>
      <c r="D14208" s="1050"/>
      <c r="E14208" s="1050"/>
      <c r="F14208" s="1050"/>
      <c r="G14208" s="1050"/>
    </row>
    <row r="14209" spans="1:7">
      <c r="A14209" s="1079"/>
      <c r="B14209" s="1050"/>
      <c r="C14209" s="1050"/>
      <c r="D14209" s="1050"/>
      <c r="E14209" s="1050"/>
      <c r="F14209" s="1050"/>
      <c r="G14209" s="1050"/>
    </row>
    <row r="14210" spans="1:7">
      <c r="A14210" s="1079"/>
      <c r="B14210" s="1050"/>
      <c r="C14210" s="1050"/>
      <c r="D14210" s="1050"/>
      <c r="E14210" s="1050"/>
      <c r="F14210" s="1050"/>
      <c r="G14210" s="1050"/>
    </row>
    <row r="14211" spans="1:7">
      <c r="A14211" s="1079"/>
      <c r="B14211" s="1050"/>
      <c r="C14211" s="1050"/>
      <c r="D14211" s="1050"/>
      <c r="E14211" s="1050"/>
      <c r="F14211" s="1050"/>
      <c r="G14211" s="1050"/>
    </row>
    <row r="14212" spans="1:7">
      <c r="A14212" s="1079"/>
      <c r="B14212" s="1050"/>
      <c r="C14212" s="1050"/>
      <c r="D14212" s="1050"/>
      <c r="E14212" s="1050"/>
      <c r="F14212" s="1050"/>
      <c r="G14212" s="1050"/>
    </row>
    <row r="14213" spans="1:7">
      <c r="A14213" s="1079"/>
      <c r="B14213" s="1050"/>
      <c r="C14213" s="1050"/>
      <c r="D14213" s="1050"/>
      <c r="E14213" s="1050"/>
      <c r="F14213" s="1050"/>
      <c r="G14213" s="1050"/>
    </row>
    <row r="14214" spans="1:7">
      <c r="A14214" s="1079"/>
      <c r="B14214" s="1050"/>
      <c r="C14214" s="1050"/>
      <c r="D14214" s="1050"/>
      <c r="E14214" s="1050"/>
      <c r="F14214" s="1050"/>
      <c r="G14214" s="1050"/>
    </row>
    <row r="14215" spans="1:7">
      <c r="A14215" s="1079"/>
      <c r="B14215" s="1050"/>
      <c r="C14215" s="1050"/>
      <c r="D14215" s="1050"/>
      <c r="E14215" s="1050"/>
      <c r="F14215" s="1050"/>
      <c r="G14215" s="1050"/>
    </row>
    <row r="14216" spans="1:7">
      <c r="A14216" s="1079"/>
      <c r="B14216" s="1050"/>
      <c r="C14216" s="1050"/>
      <c r="D14216" s="1050"/>
      <c r="E14216" s="1050"/>
      <c r="F14216" s="1050"/>
      <c r="G14216" s="1050"/>
    </row>
    <row r="14217" spans="1:7">
      <c r="A14217" s="1079"/>
      <c r="B14217" s="1050"/>
      <c r="C14217" s="1050"/>
      <c r="D14217" s="1050"/>
      <c r="E14217" s="1050"/>
      <c r="F14217" s="1050"/>
      <c r="G14217" s="1050"/>
    </row>
    <row r="14218" spans="1:7">
      <c r="A14218" s="1079"/>
      <c r="B14218" s="1050"/>
      <c r="C14218" s="1050"/>
      <c r="D14218" s="1050"/>
      <c r="E14218" s="1050"/>
      <c r="F14218" s="1050"/>
      <c r="G14218" s="1050"/>
    </row>
    <row r="14219" spans="1:7">
      <c r="A14219" s="1079"/>
      <c r="B14219" s="1050"/>
      <c r="C14219" s="1050"/>
      <c r="D14219" s="1050"/>
      <c r="E14219" s="1050"/>
      <c r="F14219" s="1050"/>
      <c r="G14219" s="1050"/>
    </row>
    <row r="14220" spans="1:7">
      <c r="A14220" s="1079"/>
      <c r="B14220" s="1050"/>
      <c r="C14220" s="1050"/>
      <c r="D14220" s="1050"/>
      <c r="E14220" s="1050"/>
      <c r="F14220" s="1050"/>
      <c r="G14220" s="1050"/>
    </row>
    <row r="14221" spans="1:7">
      <c r="A14221" s="1079"/>
      <c r="B14221" s="1050"/>
      <c r="C14221" s="1050"/>
      <c r="D14221" s="1050"/>
      <c r="E14221" s="1050"/>
      <c r="F14221" s="1050"/>
      <c r="G14221" s="1050"/>
    </row>
    <row r="14222" spans="1:7">
      <c r="A14222" s="1079"/>
      <c r="B14222" s="1050"/>
      <c r="C14222" s="1050"/>
      <c r="D14222" s="1050"/>
      <c r="E14222" s="1050"/>
      <c r="F14222" s="1050"/>
      <c r="G14222" s="1050"/>
    </row>
    <row r="14223" spans="1:7">
      <c r="A14223" s="1079"/>
      <c r="B14223" s="1050"/>
      <c r="C14223" s="1050"/>
      <c r="D14223" s="1050"/>
      <c r="E14223" s="1050"/>
      <c r="F14223" s="1050"/>
      <c r="G14223" s="1050"/>
    </row>
    <row r="14224" spans="1:7">
      <c r="A14224" s="1079"/>
      <c r="B14224" s="1050"/>
      <c r="C14224" s="1050"/>
      <c r="D14224" s="1050"/>
      <c r="E14224" s="1050"/>
      <c r="F14224" s="1050"/>
      <c r="G14224" s="1050"/>
    </row>
    <row r="14225" spans="1:7">
      <c r="A14225" s="1079"/>
      <c r="B14225" s="1050"/>
      <c r="C14225" s="1050"/>
      <c r="D14225" s="1050"/>
      <c r="E14225" s="1050"/>
      <c r="F14225" s="1050"/>
      <c r="G14225" s="1050"/>
    </row>
    <row r="14226" spans="1:7">
      <c r="A14226" s="1079"/>
      <c r="B14226" s="1050"/>
      <c r="C14226" s="1050"/>
      <c r="D14226" s="1050"/>
      <c r="E14226" s="1050"/>
      <c r="F14226" s="1050"/>
      <c r="G14226" s="1050"/>
    </row>
    <row r="14227" spans="1:7">
      <c r="A14227" s="1079"/>
      <c r="B14227" s="1050"/>
      <c r="C14227" s="1050"/>
      <c r="D14227" s="1050"/>
      <c r="E14227" s="1050"/>
      <c r="F14227" s="1050"/>
      <c r="G14227" s="1050"/>
    </row>
    <row r="14228" spans="1:7">
      <c r="A14228" s="1079"/>
      <c r="B14228" s="1050"/>
      <c r="C14228" s="1050"/>
      <c r="D14228" s="1050"/>
      <c r="E14228" s="1050"/>
      <c r="F14228" s="1050"/>
      <c r="G14228" s="1050"/>
    </row>
    <row r="14229" spans="1:7">
      <c r="A14229" s="1079"/>
      <c r="B14229" s="1050"/>
      <c r="C14229" s="1050"/>
      <c r="D14229" s="1050"/>
      <c r="E14229" s="1050"/>
      <c r="F14229" s="1050"/>
      <c r="G14229" s="1050"/>
    </row>
    <row r="14230" spans="1:7">
      <c r="A14230" s="1079"/>
      <c r="B14230" s="1050"/>
      <c r="C14230" s="1050"/>
      <c r="D14230" s="1050"/>
      <c r="E14230" s="1050"/>
      <c r="F14230" s="1050"/>
      <c r="G14230" s="1050"/>
    </row>
    <row r="14231" spans="1:7">
      <c r="A14231" s="1079"/>
      <c r="B14231" s="1050"/>
      <c r="C14231" s="1050"/>
      <c r="D14231" s="1050"/>
      <c r="E14231" s="1050"/>
      <c r="F14231" s="1050"/>
      <c r="G14231" s="1050"/>
    </row>
    <row r="14232" spans="1:7">
      <c r="A14232" s="1079"/>
      <c r="B14232" s="1050"/>
      <c r="C14232" s="1050"/>
      <c r="D14232" s="1050"/>
      <c r="E14232" s="1050"/>
      <c r="F14232" s="1050"/>
      <c r="G14232" s="1050"/>
    </row>
    <row r="14233" spans="1:7">
      <c r="A14233" s="1079"/>
      <c r="B14233" s="1050"/>
      <c r="C14233" s="1050"/>
      <c r="D14233" s="1050"/>
      <c r="E14233" s="1050"/>
      <c r="F14233" s="1050"/>
      <c r="G14233" s="1050"/>
    </row>
    <row r="14234" spans="1:7">
      <c r="A14234" s="1079"/>
      <c r="B14234" s="1050"/>
      <c r="C14234" s="1050"/>
      <c r="D14234" s="1050"/>
      <c r="E14234" s="1050"/>
      <c r="F14234" s="1050"/>
      <c r="G14234" s="1050"/>
    </row>
    <row r="14235" spans="1:7">
      <c r="A14235" s="1079"/>
      <c r="B14235" s="1050"/>
      <c r="C14235" s="1050"/>
      <c r="D14235" s="1050"/>
      <c r="E14235" s="1050"/>
      <c r="F14235" s="1050"/>
      <c r="G14235" s="1050"/>
    </row>
    <row r="14236" spans="1:7">
      <c r="A14236" s="1079"/>
      <c r="B14236" s="1050"/>
      <c r="C14236" s="1050"/>
      <c r="D14236" s="1050"/>
      <c r="E14236" s="1050"/>
      <c r="F14236" s="1050"/>
      <c r="G14236" s="1050"/>
    </row>
    <row r="14237" spans="1:7">
      <c r="A14237" s="1079"/>
      <c r="B14237" s="1050"/>
      <c r="C14237" s="1050"/>
      <c r="D14237" s="1050"/>
      <c r="E14237" s="1050"/>
      <c r="F14237" s="1050"/>
      <c r="G14237" s="1050"/>
    </row>
    <row r="14238" spans="1:7">
      <c r="A14238" s="1079"/>
      <c r="B14238" s="1050"/>
      <c r="C14238" s="1050"/>
      <c r="D14238" s="1050"/>
      <c r="E14238" s="1050"/>
      <c r="F14238" s="1050"/>
      <c r="G14238" s="1050"/>
    </row>
    <row r="14239" spans="1:7">
      <c r="A14239" s="1079"/>
      <c r="B14239" s="1050"/>
      <c r="C14239" s="1050"/>
      <c r="D14239" s="1050"/>
      <c r="E14239" s="1050"/>
      <c r="F14239" s="1050"/>
      <c r="G14239" s="1050"/>
    </row>
    <row r="14240" spans="1:7">
      <c r="A14240" s="1079"/>
      <c r="B14240" s="1050"/>
      <c r="C14240" s="1050"/>
      <c r="D14240" s="1050"/>
      <c r="E14240" s="1050"/>
      <c r="F14240" s="1050"/>
      <c r="G14240" s="1050"/>
    </row>
    <row r="14241" spans="1:7">
      <c r="A14241" s="1079"/>
      <c r="B14241" s="1050"/>
      <c r="C14241" s="1050"/>
      <c r="D14241" s="1050"/>
      <c r="E14241" s="1050"/>
      <c r="F14241" s="1050"/>
      <c r="G14241" s="1050"/>
    </row>
    <row r="14242" spans="1:7">
      <c r="A14242" s="1079"/>
      <c r="B14242" s="1050"/>
      <c r="C14242" s="1050"/>
      <c r="D14242" s="1050"/>
      <c r="E14242" s="1050"/>
      <c r="F14242" s="1050"/>
      <c r="G14242" s="1050"/>
    </row>
    <row r="14243" spans="1:7">
      <c r="A14243" s="1079"/>
      <c r="B14243" s="1050"/>
      <c r="C14243" s="1050"/>
      <c r="D14243" s="1050"/>
      <c r="E14243" s="1050"/>
      <c r="F14243" s="1050"/>
      <c r="G14243" s="1050"/>
    </row>
    <row r="14244" spans="1:7">
      <c r="A14244" s="1079"/>
      <c r="B14244" s="1050"/>
      <c r="C14244" s="1050"/>
      <c r="D14244" s="1050"/>
      <c r="E14244" s="1050"/>
      <c r="F14244" s="1050"/>
      <c r="G14244" s="1050"/>
    </row>
    <row r="14245" spans="1:7">
      <c r="A14245" s="1079"/>
      <c r="B14245" s="1050"/>
      <c r="C14245" s="1050"/>
      <c r="D14245" s="1050"/>
      <c r="E14245" s="1050"/>
      <c r="F14245" s="1050"/>
      <c r="G14245" s="1050"/>
    </row>
    <row r="14246" spans="1:7">
      <c r="A14246" s="1079"/>
      <c r="B14246" s="1050"/>
      <c r="C14246" s="1050"/>
      <c r="D14246" s="1050"/>
      <c r="E14246" s="1050"/>
      <c r="F14246" s="1050"/>
      <c r="G14246" s="1050"/>
    </row>
    <row r="14247" spans="1:7">
      <c r="A14247" s="1079"/>
      <c r="B14247" s="1050"/>
      <c r="C14247" s="1050"/>
      <c r="D14247" s="1050"/>
      <c r="E14247" s="1050"/>
      <c r="F14247" s="1050"/>
      <c r="G14247" s="1050"/>
    </row>
    <row r="14248" spans="1:7">
      <c r="A14248" s="1079"/>
      <c r="B14248" s="1050"/>
      <c r="C14248" s="1050"/>
      <c r="D14248" s="1050"/>
      <c r="E14248" s="1050"/>
      <c r="F14248" s="1050"/>
      <c r="G14248" s="1050"/>
    </row>
    <row r="14249" spans="1:7">
      <c r="A14249" s="1079"/>
      <c r="B14249" s="1050"/>
      <c r="C14249" s="1050"/>
      <c r="D14249" s="1050"/>
      <c r="E14249" s="1050"/>
      <c r="F14249" s="1050"/>
      <c r="G14249" s="1050"/>
    </row>
    <row r="14250" spans="1:7">
      <c r="A14250" s="1079"/>
      <c r="B14250" s="1050"/>
      <c r="C14250" s="1050"/>
      <c r="D14250" s="1050"/>
      <c r="E14250" s="1050"/>
      <c r="F14250" s="1050"/>
      <c r="G14250" s="1050"/>
    </row>
    <row r="14251" spans="1:7">
      <c r="A14251" s="1079"/>
      <c r="B14251" s="1050"/>
      <c r="C14251" s="1050"/>
      <c r="D14251" s="1050"/>
      <c r="E14251" s="1050"/>
      <c r="F14251" s="1050"/>
      <c r="G14251" s="1050"/>
    </row>
    <row r="14252" spans="1:7">
      <c r="A14252" s="1079"/>
      <c r="B14252" s="1050"/>
      <c r="C14252" s="1050"/>
      <c r="D14252" s="1050"/>
      <c r="E14252" s="1050"/>
      <c r="F14252" s="1050"/>
      <c r="G14252" s="1050"/>
    </row>
    <row r="14253" spans="1:7">
      <c r="A14253" s="1079"/>
      <c r="B14253" s="1050"/>
      <c r="C14253" s="1050"/>
      <c r="D14253" s="1050"/>
      <c r="E14253" s="1050"/>
      <c r="F14253" s="1050"/>
      <c r="G14253" s="1050"/>
    </row>
    <row r="14254" spans="1:7">
      <c r="A14254" s="1079"/>
      <c r="B14254" s="1050"/>
      <c r="C14254" s="1050"/>
      <c r="D14254" s="1050"/>
      <c r="E14254" s="1050"/>
      <c r="F14254" s="1050"/>
      <c r="G14254" s="1050"/>
    </row>
    <row r="14255" spans="1:7">
      <c r="A14255" s="1079"/>
      <c r="B14255" s="1050"/>
      <c r="C14255" s="1050"/>
      <c r="D14255" s="1050"/>
      <c r="E14255" s="1050"/>
      <c r="F14255" s="1050"/>
      <c r="G14255" s="1050"/>
    </row>
    <row r="14256" spans="1:7">
      <c r="A14256" s="1079"/>
      <c r="B14256" s="1050"/>
      <c r="C14256" s="1050"/>
      <c r="D14256" s="1050"/>
      <c r="E14256" s="1050"/>
      <c r="F14256" s="1050"/>
      <c r="G14256" s="1050"/>
    </row>
    <row r="14257" spans="1:7">
      <c r="A14257" s="1079"/>
      <c r="B14257" s="1050"/>
      <c r="C14257" s="1050"/>
      <c r="D14257" s="1050"/>
      <c r="E14257" s="1050"/>
      <c r="F14257" s="1050"/>
      <c r="G14257" s="1050"/>
    </row>
    <row r="14258" spans="1:7">
      <c r="A14258" s="1079"/>
      <c r="B14258" s="1050"/>
      <c r="C14258" s="1050"/>
      <c r="D14258" s="1050"/>
      <c r="E14258" s="1050"/>
      <c r="F14258" s="1050"/>
      <c r="G14258" s="1050"/>
    </row>
    <row r="14259" spans="1:7">
      <c r="A14259" s="1079"/>
      <c r="B14259" s="1050"/>
      <c r="C14259" s="1050"/>
      <c r="D14259" s="1050"/>
      <c r="E14259" s="1050"/>
      <c r="F14259" s="1050"/>
      <c r="G14259" s="1050"/>
    </row>
    <row r="14260" spans="1:7">
      <c r="A14260" s="1079"/>
      <c r="B14260" s="1050"/>
      <c r="C14260" s="1050"/>
      <c r="D14260" s="1050"/>
      <c r="E14260" s="1050"/>
      <c r="F14260" s="1050"/>
      <c r="G14260" s="1050"/>
    </row>
    <row r="14261" spans="1:7">
      <c r="A14261" s="1079"/>
      <c r="B14261" s="1050"/>
      <c r="C14261" s="1050"/>
      <c r="D14261" s="1050"/>
      <c r="E14261" s="1050"/>
      <c r="F14261" s="1050"/>
      <c r="G14261" s="1050"/>
    </row>
    <row r="14262" spans="1:7">
      <c r="A14262" s="1079"/>
      <c r="B14262" s="1050"/>
      <c r="C14262" s="1050"/>
      <c r="D14262" s="1050"/>
      <c r="E14262" s="1050"/>
      <c r="F14262" s="1050"/>
      <c r="G14262" s="1050"/>
    </row>
    <row r="14263" spans="1:7">
      <c r="A14263" s="1079"/>
      <c r="B14263" s="1050"/>
      <c r="C14263" s="1050"/>
      <c r="D14263" s="1050"/>
      <c r="E14263" s="1050"/>
      <c r="F14263" s="1050"/>
      <c r="G14263" s="1050"/>
    </row>
    <row r="14264" spans="1:7">
      <c r="A14264" s="1079"/>
      <c r="B14264" s="1050"/>
      <c r="C14264" s="1050"/>
      <c r="D14264" s="1050"/>
      <c r="E14264" s="1050"/>
      <c r="F14264" s="1050"/>
      <c r="G14264" s="1050"/>
    </row>
    <row r="14265" spans="1:7">
      <c r="A14265" s="1079"/>
      <c r="B14265" s="1050"/>
      <c r="C14265" s="1050"/>
      <c r="D14265" s="1050"/>
      <c r="E14265" s="1050"/>
      <c r="F14265" s="1050"/>
      <c r="G14265" s="1050"/>
    </row>
    <row r="14266" spans="1:7">
      <c r="A14266" s="1079"/>
      <c r="B14266" s="1050"/>
      <c r="C14266" s="1050"/>
      <c r="D14266" s="1050"/>
      <c r="E14266" s="1050"/>
      <c r="F14266" s="1050"/>
      <c r="G14266" s="1050"/>
    </row>
    <row r="14267" spans="1:7">
      <c r="A14267" s="1079"/>
      <c r="B14267" s="1050"/>
      <c r="C14267" s="1050"/>
      <c r="D14267" s="1050"/>
      <c r="E14267" s="1050"/>
      <c r="F14267" s="1050"/>
      <c r="G14267" s="1050"/>
    </row>
    <row r="14268" spans="1:7">
      <c r="A14268" s="1079"/>
      <c r="B14268" s="1050"/>
      <c r="C14268" s="1050"/>
      <c r="D14268" s="1050"/>
      <c r="E14268" s="1050"/>
      <c r="F14268" s="1050"/>
      <c r="G14268" s="1050"/>
    </row>
    <row r="14269" spans="1:7">
      <c r="A14269" s="1079"/>
      <c r="B14269" s="1050"/>
      <c r="C14269" s="1050"/>
      <c r="D14269" s="1050"/>
      <c r="E14269" s="1050"/>
      <c r="F14269" s="1050"/>
      <c r="G14269" s="1050"/>
    </row>
    <row r="14270" spans="1:7">
      <c r="A14270" s="1079"/>
      <c r="B14270" s="1050"/>
      <c r="C14270" s="1050"/>
      <c r="D14270" s="1050"/>
      <c r="E14270" s="1050"/>
      <c r="F14270" s="1050"/>
      <c r="G14270" s="1050"/>
    </row>
    <row r="14271" spans="1:7">
      <c r="A14271" s="1079"/>
      <c r="B14271" s="1050"/>
      <c r="C14271" s="1050"/>
      <c r="D14271" s="1050"/>
      <c r="E14271" s="1050"/>
      <c r="F14271" s="1050"/>
      <c r="G14271" s="1050"/>
    </row>
    <row r="14272" spans="1:7">
      <c r="A14272" s="1079"/>
      <c r="B14272" s="1050"/>
      <c r="C14272" s="1050"/>
      <c r="D14272" s="1050"/>
      <c r="E14272" s="1050"/>
      <c r="F14272" s="1050"/>
      <c r="G14272" s="1050"/>
    </row>
    <row r="14273" spans="1:7">
      <c r="A14273" s="1079"/>
      <c r="B14273" s="1050"/>
      <c r="C14273" s="1050"/>
      <c r="D14273" s="1050"/>
      <c r="E14273" s="1050"/>
      <c r="F14273" s="1050"/>
      <c r="G14273" s="1050"/>
    </row>
    <row r="14274" spans="1:7">
      <c r="A14274" s="1079"/>
      <c r="B14274" s="1050"/>
      <c r="C14274" s="1050"/>
      <c r="D14274" s="1050"/>
      <c r="E14274" s="1050"/>
      <c r="F14274" s="1050"/>
      <c r="G14274" s="1050"/>
    </row>
    <row r="14275" spans="1:7">
      <c r="A14275" s="1079"/>
      <c r="B14275" s="1050"/>
      <c r="C14275" s="1050"/>
      <c r="D14275" s="1050"/>
      <c r="E14275" s="1050"/>
      <c r="F14275" s="1050"/>
      <c r="G14275" s="1050"/>
    </row>
    <row r="14276" spans="1:7">
      <c r="A14276" s="1079"/>
      <c r="B14276" s="1050"/>
      <c r="C14276" s="1050"/>
      <c r="D14276" s="1050"/>
      <c r="E14276" s="1050"/>
      <c r="F14276" s="1050"/>
      <c r="G14276" s="1050"/>
    </row>
    <row r="14277" spans="1:7">
      <c r="A14277" s="1079"/>
      <c r="B14277" s="1050"/>
      <c r="C14277" s="1050"/>
      <c r="D14277" s="1050"/>
      <c r="E14277" s="1050"/>
      <c r="F14277" s="1050"/>
      <c r="G14277" s="1050"/>
    </row>
    <row r="14278" spans="1:7">
      <c r="A14278" s="1079"/>
      <c r="B14278" s="1050"/>
      <c r="C14278" s="1050"/>
      <c r="D14278" s="1050"/>
      <c r="E14278" s="1050"/>
      <c r="F14278" s="1050"/>
      <c r="G14278" s="1050"/>
    </row>
    <row r="14279" spans="1:7">
      <c r="A14279" s="1079"/>
      <c r="B14279" s="1050"/>
      <c r="C14279" s="1050"/>
      <c r="D14279" s="1050"/>
      <c r="E14279" s="1050"/>
      <c r="F14279" s="1050"/>
      <c r="G14279" s="1050"/>
    </row>
    <row r="14280" spans="1:7">
      <c r="A14280" s="1079"/>
      <c r="B14280" s="1050"/>
      <c r="C14280" s="1050"/>
      <c r="D14280" s="1050"/>
      <c r="E14280" s="1050"/>
      <c r="F14280" s="1050"/>
      <c r="G14280" s="1050"/>
    </row>
    <row r="14281" spans="1:7">
      <c r="A14281" s="1079"/>
      <c r="B14281" s="1050"/>
      <c r="C14281" s="1050"/>
      <c r="D14281" s="1050"/>
      <c r="E14281" s="1050"/>
      <c r="F14281" s="1050"/>
      <c r="G14281" s="1050"/>
    </row>
    <row r="14282" spans="1:7">
      <c r="A14282" s="1079"/>
      <c r="B14282" s="1050"/>
      <c r="C14282" s="1050"/>
      <c r="D14282" s="1050"/>
      <c r="E14282" s="1050"/>
      <c r="F14282" s="1050"/>
      <c r="G14282" s="1050"/>
    </row>
    <row r="14283" spans="1:7">
      <c r="A14283" s="1079"/>
      <c r="B14283" s="1050"/>
      <c r="C14283" s="1050"/>
      <c r="D14283" s="1050"/>
      <c r="E14283" s="1050"/>
      <c r="F14283" s="1050"/>
      <c r="G14283" s="1050"/>
    </row>
    <row r="14284" spans="1:7">
      <c r="A14284" s="1079"/>
      <c r="B14284" s="1050"/>
      <c r="C14284" s="1050"/>
      <c r="D14284" s="1050"/>
      <c r="E14284" s="1050"/>
      <c r="F14284" s="1050"/>
      <c r="G14284" s="1050"/>
    </row>
    <row r="14285" spans="1:7">
      <c r="A14285" s="1079"/>
      <c r="B14285" s="1050"/>
      <c r="C14285" s="1050"/>
      <c r="D14285" s="1050"/>
      <c r="E14285" s="1050"/>
      <c r="F14285" s="1050"/>
      <c r="G14285" s="1050"/>
    </row>
    <row r="14286" spans="1:7">
      <c r="A14286" s="1079"/>
      <c r="B14286" s="1050"/>
      <c r="C14286" s="1050"/>
      <c r="D14286" s="1050"/>
      <c r="E14286" s="1050"/>
      <c r="F14286" s="1050"/>
      <c r="G14286" s="1050"/>
    </row>
    <row r="14287" spans="1:7">
      <c r="A14287" s="1079"/>
      <c r="B14287" s="1050"/>
      <c r="C14287" s="1050"/>
      <c r="D14287" s="1050"/>
      <c r="E14287" s="1050"/>
      <c r="F14287" s="1050"/>
      <c r="G14287" s="1050"/>
    </row>
    <row r="14288" spans="1:7">
      <c r="A14288" s="1079"/>
      <c r="B14288" s="1050"/>
      <c r="C14288" s="1050"/>
      <c r="D14288" s="1050"/>
      <c r="E14288" s="1050"/>
      <c r="F14288" s="1050"/>
      <c r="G14288" s="1050"/>
    </row>
    <row r="14289" spans="1:7">
      <c r="A14289" s="1079"/>
      <c r="B14289" s="1050"/>
      <c r="C14289" s="1050"/>
      <c r="D14289" s="1050"/>
      <c r="E14289" s="1050"/>
      <c r="F14289" s="1050"/>
      <c r="G14289" s="1050"/>
    </row>
    <row r="14290" spans="1:7">
      <c r="A14290" s="1079"/>
      <c r="B14290" s="1050"/>
      <c r="C14290" s="1050"/>
      <c r="D14290" s="1050"/>
      <c r="E14290" s="1050"/>
      <c r="F14290" s="1050"/>
      <c r="G14290" s="1050"/>
    </row>
    <row r="14291" spans="1:7">
      <c r="A14291" s="1079"/>
      <c r="B14291" s="1050"/>
      <c r="C14291" s="1050"/>
      <c r="D14291" s="1050"/>
      <c r="E14291" s="1050"/>
      <c r="F14291" s="1050"/>
      <c r="G14291" s="1050"/>
    </row>
    <row r="14292" spans="1:7">
      <c r="A14292" s="1079"/>
      <c r="B14292" s="1050"/>
      <c r="C14292" s="1050"/>
      <c r="D14292" s="1050"/>
      <c r="E14292" s="1050"/>
      <c r="F14292" s="1050"/>
      <c r="G14292" s="1050"/>
    </row>
    <row r="14293" spans="1:7">
      <c r="A14293" s="1079"/>
      <c r="B14293" s="1050"/>
      <c r="C14293" s="1050"/>
      <c r="D14293" s="1050"/>
      <c r="E14293" s="1050"/>
      <c r="F14293" s="1050"/>
      <c r="G14293" s="1050"/>
    </row>
    <row r="14294" spans="1:7">
      <c r="A14294" s="1079"/>
      <c r="B14294" s="1050"/>
      <c r="C14294" s="1050"/>
      <c r="D14294" s="1050"/>
      <c r="E14294" s="1050"/>
      <c r="F14294" s="1050"/>
      <c r="G14294" s="1050"/>
    </row>
    <row r="14295" spans="1:7">
      <c r="A14295" s="1079"/>
      <c r="B14295" s="1050"/>
      <c r="C14295" s="1050"/>
      <c r="D14295" s="1050"/>
      <c r="E14295" s="1050"/>
      <c r="F14295" s="1050"/>
      <c r="G14295" s="1050"/>
    </row>
    <row r="14296" spans="1:7">
      <c r="A14296" s="1079"/>
      <c r="B14296" s="1050"/>
      <c r="C14296" s="1050"/>
      <c r="D14296" s="1050"/>
      <c r="E14296" s="1050"/>
      <c r="F14296" s="1050"/>
      <c r="G14296" s="1050"/>
    </row>
    <row r="14297" spans="1:7">
      <c r="A14297" s="1079"/>
      <c r="B14297" s="1050"/>
      <c r="C14297" s="1050"/>
      <c r="D14297" s="1050"/>
      <c r="E14297" s="1050"/>
      <c r="F14297" s="1050"/>
      <c r="G14297" s="1050"/>
    </row>
    <row r="14298" spans="1:7">
      <c r="A14298" s="1079"/>
      <c r="B14298" s="1050"/>
      <c r="C14298" s="1050"/>
      <c r="D14298" s="1050"/>
      <c r="E14298" s="1050"/>
      <c r="F14298" s="1050"/>
      <c r="G14298" s="1050"/>
    </row>
    <row r="14299" spans="1:7">
      <c r="A14299" s="1079"/>
      <c r="B14299" s="1050"/>
      <c r="C14299" s="1050"/>
      <c r="D14299" s="1050"/>
      <c r="E14299" s="1050"/>
      <c r="F14299" s="1050"/>
      <c r="G14299" s="1050"/>
    </row>
    <row r="14300" spans="1:7">
      <c r="A14300" s="1079"/>
      <c r="B14300" s="1050"/>
      <c r="C14300" s="1050"/>
      <c r="D14300" s="1050"/>
      <c r="E14300" s="1050"/>
      <c r="F14300" s="1050"/>
      <c r="G14300" s="1050"/>
    </row>
    <row r="14301" spans="1:7">
      <c r="A14301" s="1079"/>
      <c r="B14301" s="1050"/>
      <c r="C14301" s="1050"/>
      <c r="D14301" s="1050"/>
      <c r="E14301" s="1050"/>
      <c r="F14301" s="1050"/>
      <c r="G14301" s="1050"/>
    </row>
    <row r="14302" spans="1:7">
      <c r="A14302" s="1079"/>
      <c r="B14302" s="1050"/>
      <c r="C14302" s="1050"/>
      <c r="D14302" s="1050"/>
      <c r="E14302" s="1050"/>
      <c r="F14302" s="1050"/>
      <c r="G14302" s="1050"/>
    </row>
    <row r="14303" spans="1:7">
      <c r="A14303" s="1079"/>
      <c r="B14303" s="1050"/>
      <c r="C14303" s="1050"/>
      <c r="D14303" s="1050"/>
      <c r="E14303" s="1050"/>
      <c r="F14303" s="1050"/>
      <c r="G14303" s="1050"/>
    </row>
    <row r="14304" spans="1:7">
      <c r="A14304" s="1079"/>
      <c r="B14304" s="1050"/>
      <c r="C14304" s="1050"/>
      <c r="D14304" s="1050"/>
      <c r="E14304" s="1050"/>
      <c r="F14304" s="1050"/>
      <c r="G14304" s="1050"/>
    </row>
    <row r="14305" spans="1:7">
      <c r="A14305" s="1079"/>
      <c r="B14305" s="1050"/>
      <c r="C14305" s="1050"/>
      <c r="D14305" s="1050"/>
      <c r="E14305" s="1050"/>
      <c r="F14305" s="1050"/>
      <c r="G14305" s="1050"/>
    </row>
    <row r="14306" spans="1:7">
      <c r="A14306" s="1079"/>
      <c r="B14306" s="1050"/>
      <c r="C14306" s="1050"/>
      <c r="D14306" s="1050"/>
      <c r="E14306" s="1050"/>
      <c r="F14306" s="1050"/>
      <c r="G14306" s="1050"/>
    </row>
    <row r="14307" spans="1:7">
      <c r="A14307" s="1079"/>
      <c r="B14307" s="1050"/>
      <c r="C14307" s="1050"/>
      <c r="D14307" s="1050"/>
      <c r="E14307" s="1050"/>
      <c r="F14307" s="1050"/>
      <c r="G14307" s="1050"/>
    </row>
    <row r="14308" spans="1:7">
      <c r="A14308" s="1079"/>
      <c r="B14308" s="1050"/>
      <c r="C14308" s="1050"/>
      <c r="D14308" s="1050"/>
      <c r="E14308" s="1050"/>
      <c r="F14308" s="1050"/>
      <c r="G14308" s="1050"/>
    </row>
    <row r="14309" spans="1:7">
      <c r="A14309" s="1079"/>
      <c r="B14309" s="1050"/>
      <c r="C14309" s="1050"/>
      <c r="D14309" s="1050"/>
      <c r="E14309" s="1050"/>
      <c r="F14309" s="1050"/>
      <c r="G14309" s="1050"/>
    </row>
    <row r="14310" spans="1:7">
      <c r="A14310" s="1079"/>
      <c r="B14310" s="1050"/>
      <c r="C14310" s="1050"/>
      <c r="D14310" s="1050"/>
      <c r="E14310" s="1050"/>
      <c r="F14310" s="1050"/>
      <c r="G14310" s="1050"/>
    </row>
    <row r="14311" spans="1:7">
      <c r="A14311" s="1079"/>
      <c r="B14311" s="1050"/>
      <c r="C14311" s="1050"/>
      <c r="D14311" s="1050"/>
      <c r="E14311" s="1050"/>
      <c r="F14311" s="1050"/>
      <c r="G14311" s="1050"/>
    </row>
    <row r="14312" spans="1:7">
      <c r="A14312" s="1079"/>
      <c r="B14312" s="1050"/>
      <c r="C14312" s="1050"/>
      <c r="D14312" s="1050"/>
      <c r="E14312" s="1050"/>
      <c r="F14312" s="1050"/>
      <c r="G14312" s="1050"/>
    </row>
    <row r="14313" spans="1:7">
      <c r="A14313" s="1079"/>
      <c r="B14313" s="1050"/>
      <c r="C14313" s="1050"/>
      <c r="D14313" s="1050"/>
      <c r="E14313" s="1050"/>
      <c r="F14313" s="1050"/>
      <c r="G14313" s="1050"/>
    </row>
    <row r="14314" spans="1:7">
      <c r="A14314" s="1079"/>
      <c r="B14314" s="1050"/>
      <c r="C14314" s="1050"/>
      <c r="D14314" s="1050"/>
      <c r="E14314" s="1050"/>
      <c r="F14314" s="1050"/>
      <c r="G14314" s="1050"/>
    </row>
    <row r="14315" spans="1:7">
      <c r="A14315" s="1079"/>
      <c r="B14315" s="1050"/>
      <c r="C14315" s="1050"/>
      <c r="D14315" s="1050"/>
      <c r="E14315" s="1050"/>
      <c r="F14315" s="1050"/>
      <c r="G14315" s="1050"/>
    </row>
    <row r="14316" spans="1:7">
      <c r="A14316" s="1079"/>
      <c r="B14316" s="1050"/>
      <c r="C14316" s="1050"/>
      <c r="D14316" s="1050"/>
      <c r="E14316" s="1050"/>
      <c r="F14316" s="1050"/>
      <c r="G14316" s="1050"/>
    </row>
    <row r="14317" spans="1:7">
      <c r="A14317" s="1079"/>
      <c r="B14317" s="1050"/>
      <c r="C14317" s="1050"/>
      <c r="D14317" s="1050"/>
      <c r="E14317" s="1050"/>
      <c r="F14317" s="1050"/>
      <c r="G14317" s="1050"/>
    </row>
    <row r="14318" spans="1:7">
      <c r="A14318" s="1079"/>
      <c r="B14318" s="1050"/>
      <c r="C14318" s="1050"/>
      <c r="D14318" s="1050"/>
      <c r="E14318" s="1050"/>
      <c r="F14318" s="1050"/>
      <c r="G14318" s="1050"/>
    </row>
    <row r="14319" spans="1:7">
      <c r="A14319" s="1079"/>
      <c r="B14319" s="1050"/>
      <c r="C14319" s="1050"/>
      <c r="D14319" s="1050"/>
      <c r="E14319" s="1050"/>
      <c r="F14319" s="1050"/>
      <c r="G14319" s="1050"/>
    </row>
    <row r="14320" spans="1:7">
      <c r="A14320" s="1079"/>
      <c r="B14320" s="1050"/>
      <c r="C14320" s="1050"/>
      <c r="D14320" s="1050"/>
      <c r="E14320" s="1050"/>
      <c r="F14320" s="1050"/>
      <c r="G14320" s="1050"/>
    </row>
    <row r="14321" spans="1:7">
      <c r="A14321" s="1079"/>
      <c r="B14321" s="1050"/>
      <c r="C14321" s="1050"/>
      <c r="D14321" s="1050"/>
      <c r="E14321" s="1050"/>
      <c r="F14321" s="1050"/>
      <c r="G14321" s="1050"/>
    </row>
    <row r="14322" spans="1:7">
      <c r="A14322" s="1079"/>
      <c r="B14322" s="1050"/>
      <c r="C14322" s="1050"/>
      <c r="D14322" s="1050"/>
      <c r="E14322" s="1050"/>
      <c r="F14322" s="1050"/>
      <c r="G14322" s="1050"/>
    </row>
    <row r="14323" spans="1:7">
      <c r="A14323" s="1079"/>
      <c r="B14323" s="1050"/>
      <c r="C14323" s="1050"/>
      <c r="D14323" s="1050"/>
      <c r="E14323" s="1050"/>
      <c r="F14323" s="1050"/>
      <c r="G14323" s="1050"/>
    </row>
    <row r="14324" spans="1:7">
      <c r="A14324" s="1079"/>
      <c r="B14324" s="1050"/>
      <c r="C14324" s="1050"/>
      <c r="D14324" s="1050"/>
      <c r="E14324" s="1050"/>
      <c r="F14324" s="1050"/>
      <c r="G14324" s="1050"/>
    </row>
    <row r="14325" spans="1:7">
      <c r="A14325" s="1079"/>
      <c r="B14325" s="1050"/>
      <c r="C14325" s="1050"/>
      <c r="D14325" s="1050"/>
      <c r="E14325" s="1050"/>
      <c r="F14325" s="1050"/>
      <c r="G14325" s="1050"/>
    </row>
    <row r="14326" spans="1:7">
      <c r="A14326" s="1079"/>
      <c r="B14326" s="1050"/>
      <c r="C14326" s="1050"/>
      <c r="D14326" s="1050"/>
      <c r="E14326" s="1050"/>
      <c r="F14326" s="1050"/>
      <c r="G14326" s="1050"/>
    </row>
    <row r="14327" spans="1:7">
      <c r="A14327" s="1079"/>
      <c r="B14327" s="1050"/>
      <c r="C14327" s="1050"/>
      <c r="D14327" s="1050"/>
      <c r="E14327" s="1050"/>
      <c r="F14327" s="1050"/>
      <c r="G14327" s="1050"/>
    </row>
    <row r="14328" spans="1:7">
      <c r="A14328" s="1079"/>
      <c r="B14328" s="1050"/>
      <c r="C14328" s="1050"/>
      <c r="D14328" s="1050"/>
      <c r="E14328" s="1050"/>
      <c r="F14328" s="1050"/>
      <c r="G14328" s="1050"/>
    </row>
    <row r="14329" spans="1:7">
      <c r="A14329" s="1079"/>
      <c r="B14329" s="1050"/>
      <c r="C14329" s="1050"/>
      <c r="D14329" s="1050"/>
      <c r="E14329" s="1050"/>
      <c r="F14329" s="1050"/>
      <c r="G14329" s="1050"/>
    </row>
    <row r="14330" spans="1:7">
      <c r="A14330" s="1079"/>
      <c r="B14330" s="1050"/>
      <c r="C14330" s="1050"/>
      <c r="D14330" s="1050"/>
      <c r="E14330" s="1050"/>
      <c r="F14330" s="1050"/>
      <c r="G14330" s="1050"/>
    </row>
    <row r="14331" spans="1:7">
      <c r="A14331" s="1079"/>
      <c r="B14331" s="1050"/>
      <c r="C14331" s="1050"/>
      <c r="D14331" s="1050"/>
      <c r="E14331" s="1050"/>
      <c r="F14331" s="1050"/>
      <c r="G14331" s="1050"/>
    </row>
    <row r="14332" spans="1:7">
      <c r="A14332" s="1079"/>
      <c r="B14332" s="1050"/>
      <c r="C14332" s="1050"/>
      <c r="D14332" s="1050"/>
      <c r="E14332" s="1050"/>
      <c r="F14332" s="1050"/>
      <c r="G14332" s="1050"/>
    </row>
    <row r="14333" spans="1:7">
      <c r="A14333" s="1079"/>
      <c r="B14333" s="1050"/>
      <c r="C14333" s="1050"/>
      <c r="D14333" s="1050"/>
      <c r="E14333" s="1050"/>
      <c r="F14333" s="1050"/>
      <c r="G14333" s="1050"/>
    </row>
    <row r="14334" spans="1:7">
      <c r="A14334" s="1079"/>
      <c r="B14334" s="1050"/>
      <c r="C14334" s="1050"/>
      <c r="D14334" s="1050"/>
      <c r="E14334" s="1050"/>
      <c r="F14334" s="1050"/>
      <c r="G14334" s="1050"/>
    </row>
    <row r="14335" spans="1:7">
      <c r="A14335" s="1079"/>
      <c r="B14335" s="1050"/>
      <c r="C14335" s="1050"/>
      <c r="D14335" s="1050"/>
      <c r="E14335" s="1050"/>
      <c r="F14335" s="1050"/>
      <c r="G14335" s="1050"/>
    </row>
    <row r="14336" spans="1:7">
      <c r="A14336" s="1079"/>
      <c r="B14336" s="1050"/>
      <c r="C14336" s="1050"/>
      <c r="D14336" s="1050"/>
      <c r="E14336" s="1050"/>
      <c r="F14336" s="1050"/>
      <c r="G14336" s="1050"/>
    </row>
    <row r="14337" spans="1:7">
      <c r="A14337" s="1079"/>
      <c r="B14337" s="1050"/>
      <c r="C14337" s="1050"/>
      <c r="D14337" s="1050"/>
      <c r="E14337" s="1050"/>
      <c r="F14337" s="1050"/>
      <c r="G14337" s="1050"/>
    </row>
    <row r="14338" spans="1:7">
      <c r="A14338" s="1079"/>
      <c r="B14338" s="1050"/>
      <c r="C14338" s="1050"/>
      <c r="D14338" s="1050"/>
      <c r="E14338" s="1050"/>
      <c r="F14338" s="1050"/>
      <c r="G14338" s="1050"/>
    </row>
    <row r="14339" spans="1:7">
      <c r="A14339" s="1079"/>
      <c r="B14339" s="1050"/>
      <c r="C14339" s="1050"/>
      <c r="D14339" s="1050"/>
      <c r="E14339" s="1050"/>
      <c r="F14339" s="1050"/>
      <c r="G14339" s="1050"/>
    </row>
    <row r="14340" spans="1:7">
      <c r="A14340" s="1079"/>
      <c r="B14340" s="1050"/>
      <c r="C14340" s="1050"/>
      <c r="D14340" s="1050"/>
      <c r="E14340" s="1050"/>
      <c r="F14340" s="1050"/>
      <c r="G14340" s="1050"/>
    </row>
    <row r="14341" spans="1:7">
      <c r="A14341" s="1079"/>
      <c r="B14341" s="1050"/>
      <c r="C14341" s="1050"/>
      <c r="D14341" s="1050"/>
      <c r="E14341" s="1050"/>
      <c r="F14341" s="1050"/>
      <c r="G14341" s="1050"/>
    </row>
    <row r="14342" spans="1:7">
      <c r="A14342" s="1079"/>
      <c r="B14342" s="1050"/>
      <c r="C14342" s="1050"/>
      <c r="D14342" s="1050"/>
      <c r="E14342" s="1050"/>
      <c r="F14342" s="1050"/>
      <c r="G14342" s="1050"/>
    </row>
    <row r="14343" spans="1:7">
      <c r="A14343" s="1079"/>
      <c r="B14343" s="1050"/>
      <c r="C14343" s="1050"/>
      <c r="D14343" s="1050"/>
      <c r="E14343" s="1050"/>
      <c r="F14343" s="1050"/>
      <c r="G14343" s="1050"/>
    </row>
    <row r="14344" spans="1:7">
      <c r="A14344" s="1079"/>
      <c r="B14344" s="1050"/>
      <c r="C14344" s="1050"/>
      <c r="D14344" s="1050"/>
      <c r="E14344" s="1050"/>
      <c r="F14344" s="1050"/>
      <c r="G14344" s="1050"/>
    </row>
    <row r="14345" spans="1:7">
      <c r="A14345" s="1079"/>
      <c r="B14345" s="1050"/>
      <c r="C14345" s="1050"/>
      <c r="D14345" s="1050"/>
      <c r="E14345" s="1050"/>
      <c r="F14345" s="1050"/>
      <c r="G14345" s="1050"/>
    </row>
    <row r="14346" spans="1:7">
      <c r="A14346" s="1079"/>
      <c r="B14346" s="1050"/>
      <c r="C14346" s="1050"/>
      <c r="D14346" s="1050"/>
      <c r="E14346" s="1050"/>
      <c r="F14346" s="1050"/>
      <c r="G14346" s="1050"/>
    </row>
    <row r="14347" spans="1:7">
      <c r="A14347" s="1079"/>
      <c r="B14347" s="1050"/>
      <c r="C14347" s="1050"/>
      <c r="D14347" s="1050"/>
      <c r="E14347" s="1050"/>
      <c r="F14347" s="1050"/>
      <c r="G14347" s="1050"/>
    </row>
    <row r="14348" spans="1:7">
      <c r="A14348" s="1079"/>
      <c r="B14348" s="1050"/>
      <c r="C14348" s="1050"/>
      <c r="D14348" s="1050"/>
      <c r="E14348" s="1050"/>
      <c r="F14348" s="1050"/>
      <c r="G14348" s="1050"/>
    </row>
    <row r="14349" spans="1:7">
      <c r="A14349" s="1079"/>
      <c r="B14349" s="1050"/>
      <c r="C14349" s="1050"/>
      <c r="D14349" s="1050"/>
      <c r="E14349" s="1050"/>
      <c r="F14349" s="1050"/>
      <c r="G14349" s="1050"/>
    </row>
    <row r="14350" spans="1:7">
      <c r="A14350" s="1079"/>
      <c r="B14350" s="1050"/>
      <c r="C14350" s="1050"/>
      <c r="D14350" s="1050"/>
      <c r="E14350" s="1050"/>
      <c r="F14350" s="1050"/>
      <c r="G14350" s="1050"/>
    </row>
    <row r="14351" spans="1:7">
      <c r="A14351" s="1079"/>
      <c r="B14351" s="1050"/>
      <c r="C14351" s="1050"/>
      <c r="D14351" s="1050"/>
      <c r="E14351" s="1050"/>
      <c r="F14351" s="1050"/>
      <c r="G14351" s="1050"/>
    </row>
    <row r="14352" spans="1:7">
      <c r="A14352" s="1079"/>
      <c r="B14352" s="1050"/>
      <c r="C14352" s="1050"/>
      <c r="D14352" s="1050"/>
      <c r="E14352" s="1050"/>
      <c r="F14352" s="1050"/>
      <c r="G14352" s="1050"/>
    </row>
    <row r="14353" spans="1:7">
      <c r="A14353" s="1079"/>
      <c r="B14353" s="1050"/>
      <c r="C14353" s="1050"/>
      <c r="D14353" s="1050"/>
      <c r="E14353" s="1050"/>
      <c r="F14353" s="1050"/>
      <c r="G14353" s="1050"/>
    </row>
    <row r="14354" spans="1:7">
      <c r="A14354" s="1079"/>
      <c r="B14354" s="1050"/>
      <c r="C14354" s="1050"/>
      <c r="D14354" s="1050"/>
      <c r="E14354" s="1050"/>
      <c r="F14354" s="1050"/>
      <c r="G14354" s="1050"/>
    </row>
    <row r="14355" spans="1:7">
      <c r="A14355" s="1079"/>
      <c r="B14355" s="1050"/>
      <c r="C14355" s="1050"/>
      <c r="D14355" s="1050"/>
      <c r="E14355" s="1050"/>
      <c r="F14355" s="1050"/>
      <c r="G14355" s="1050"/>
    </row>
    <row r="14356" spans="1:7">
      <c r="A14356" s="1079"/>
      <c r="B14356" s="1050"/>
      <c r="C14356" s="1050"/>
      <c r="D14356" s="1050"/>
      <c r="E14356" s="1050"/>
      <c r="F14356" s="1050"/>
      <c r="G14356" s="1050"/>
    </row>
    <row r="14357" spans="1:7">
      <c r="A14357" s="1079"/>
      <c r="B14357" s="1050"/>
      <c r="C14357" s="1050"/>
      <c r="D14357" s="1050"/>
      <c r="E14357" s="1050"/>
      <c r="F14357" s="1050"/>
      <c r="G14357" s="1050"/>
    </row>
    <row r="14358" spans="1:7">
      <c r="A14358" s="1079"/>
      <c r="B14358" s="1050"/>
      <c r="C14358" s="1050"/>
      <c r="D14358" s="1050"/>
      <c r="E14358" s="1050"/>
      <c r="F14358" s="1050"/>
      <c r="G14358" s="1050"/>
    </row>
    <row r="14359" spans="1:7">
      <c r="A14359" s="1079"/>
      <c r="B14359" s="1050"/>
      <c r="C14359" s="1050"/>
      <c r="D14359" s="1050"/>
      <c r="E14359" s="1050"/>
      <c r="F14359" s="1050"/>
      <c r="G14359" s="1050"/>
    </row>
    <row r="14360" spans="1:7">
      <c r="A14360" s="1079"/>
      <c r="B14360" s="1050"/>
      <c r="C14360" s="1050"/>
      <c r="D14360" s="1050"/>
      <c r="E14360" s="1050"/>
      <c r="F14360" s="1050"/>
      <c r="G14360" s="1050"/>
    </row>
    <row r="14361" spans="1:7">
      <c r="A14361" s="1079"/>
      <c r="B14361" s="1050"/>
      <c r="C14361" s="1050"/>
      <c r="D14361" s="1050"/>
      <c r="E14361" s="1050"/>
      <c r="F14361" s="1050"/>
      <c r="G14361" s="1050"/>
    </row>
    <row r="14362" spans="1:7">
      <c r="A14362" s="1079"/>
      <c r="B14362" s="1050"/>
      <c r="C14362" s="1050"/>
      <c r="D14362" s="1050"/>
      <c r="E14362" s="1050"/>
      <c r="F14362" s="1050"/>
      <c r="G14362" s="1050"/>
    </row>
    <row r="14363" spans="1:7">
      <c r="A14363" s="1079"/>
      <c r="B14363" s="1050"/>
      <c r="C14363" s="1050"/>
      <c r="D14363" s="1050"/>
      <c r="E14363" s="1050"/>
      <c r="F14363" s="1050"/>
      <c r="G14363" s="1050"/>
    </row>
    <row r="14364" spans="1:7">
      <c r="A14364" s="1079"/>
      <c r="B14364" s="1050"/>
      <c r="C14364" s="1050"/>
      <c r="D14364" s="1050"/>
      <c r="E14364" s="1050"/>
      <c r="F14364" s="1050"/>
      <c r="G14364" s="1050"/>
    </row>
    <row r="14365" spans="1:7">
      <c r="A14365" s="1079"/>
      <c r="B14365" s="1050"/>
      <c r="C14365" s="1050"/>
      <c r="D14365" s="1050"/>
      <c r="E14365" s="1050"/>
      <c r="F14365" s="1050"/>
      <c r="G14365" s="1050"/>
    </row>
    <row r="14366" spans="1:7">
      <c r="A14366" s="1079"/>
      <c r="B14366" s="1050"/>
      <c r="C14366" s="1050"/>
      <c r="D14366" s="1050"/>
      <c r="E14366" s="1050"/>
      <c r="F14366" s="1050"/>
      <c r="G14366" s="1050"/>
    </row>
    <row r="14367" spans="1:7">
      <c r="A14367" s="1079"/>
      <c r="B14367" s="1050"/>
      <c r="C14367" s="1050"/>
      <c r="D14367" s="1050"/>
      <c r="E14367" s="1050"/>
      <c r="F14367" s="1050"/>
      <c r="G14367" s="1050"/>
    </row>
    <row r="14368" spans="1:7">
      <c r="A14368" s="1079"/>
      <c r="B14368" s="1050"/>
      <c r="C14368" s="1050"/>
      <c r="D14368" s="1050"/>
      <c r="E14368" s="1050"/>
      <c r="F14368" s="1050"/>
      <c r="G14368" s="1050"/>
    </row>
    <row r="14369" spans="1:7">
      <c r="A14369" s="1079"/>
      <c r="B14369" s="1050"/>
      <c r="C14369" s="1050"/>
      <c r="D14369" s="1050"/>
      <c r="E14369" s="1050"/>
      <c r="F14369" s="1050"/>
      <c r="G14369" s="1050"/>
    </row>
    <row r="14370" spans="1:7">
      <c r="A14370" s="1079"/>
      <c r="B14370" s="1050"/>
      <c r="C14370" s="1050"/>
      <c r="D14370" s="1050"/>
      <c r="E14370" s="1050"/>
      <c r="F14370" s="1050"/>
      <c r="G14370" s="1050"/>
    </row>
    <row r="14371" spans="1:7">
      <c r="A14371" s="1079"/>
      <c r="B14371" s="1050"/>
      <c r="C14371" s="1050"/>
      <c r="D14371" s="1050"/>
      <c r="E14371" s="1050"/>
      <c r="F14371" s="1050"/>
      <c r="G14371" s="1050"/>
    </row>
    <row r="14372" spans="1:7">
      <c r="A14372" s="1079"/>
      <c r="B14372" s="1050"/>
      <c r="C14372" s="1050"/>
      <c r="D14372" s="1050"/>
      <c r="E14372" s="1050"/>
      <c r="F14372" s="1050"/>
      <c r="G14372" s="1050"/>
    </row>
    <row r="14373" spans="1:7">
      <c r="A14373" s="1079"/>
      <c r="B14373" s="1050"/>
      <c r="C14373" s="1050"/>
      <c r="D14373" s="1050"/>
      <c r="E14373" s="1050"/>
      <c r="F14373" s="1050"/>
      <c r="G14373" s="1050"/>
    </row>
    <row r="14374" spans="1:7">
      <c r="A14374" s="1079"/>
      <c r="B14374" s="1050"/>
      <c r="C14374" s="1050"/>
      <c r="D14374" s="1050"/>
      <c r="E14374" s="1050"/>
      <c r="F14374" s="1050"/>
      <c r="G14374" s="1050"/>
    </row>
    <row r="14375" spans="1:7">
      <c r="A14375" s="1079"/>
      <c r="B14375" s="1050"/>
      <c r="C14375" s="1050"/>
      <c r="D14375" s="1050"/>
      <c r="E14375" s="1050"/>
      <c r="F14375" s="1050"/>
      <c r="G14375" s="1050"/>
    </row>
    <row r="14376" spans="1:7">
      <c r="A14376" s="1079"/>
      <c r="B14376" s="1050"/>
      <c r="C14376" s="1050"/>
      <c r="D14376" s="1050"/>
      <c r="E14376" s="1050"/>
      <c r="F14376" s="1050"/>
      <c r="G14376" s="1050"/>
    </row>
    <row r="14377" spans="1:7">
      <c r="A14377" s="1079"/>
      <c r="B14377" s="1050"/>
      <c r="C14377" s="1050"/>
      <c r="D14377" s="1050"/>
      <c r="E14377" s="1050"/>
      <c r="F14377" s="1050"/>
      <c r="G14377" s="1050"/>
    </row>
    <row r="14378" spans="1:7">
      <c r="A14378" s="1079"/>
      <c r="B14378" s="1050"/>
      <c r="C14378" s="1050"/>
      <c r="D14378" s="1050"/>
      <c r="E14378" s="1050"/>
      <c r="F14378" s="1050"/>
      <c r="G14378" s="1050"/>
    </row>
    <row r="14379" spans="1:7">
      <c r="A14379" s="1079"/>
      <c r="B14379" s="1050"/>
      <c r="C14379" s="1050"/>
      <c r="D14379" s="1050"/>
      <c r="E14379" s="1050"/>
      <c r="F14379" s="1050"/>
      <c r="G14379" s="1050"/>
    </row>
    <row r="14380" spans="1:7">
      <c r="A14380" s="1079"/>
      <c r="B14380" s="1050"/>
      <c r="C14380" s="1050"/>
      <c r="D14380" s="1050"/>
      <c r="E14380" s="1050"/>
      <c r="F14380" s="1050"/>
      <c r="G14380" s="1050"/>
    </row>
    <row r="14381" spans="1:7">
      <c r="A14381" s="1079"/>
      <c r="B14381" s="1050"/>
      <c r="C14381" s="1050"/>
      <c r="D14381" s="1050"/>
      <c r="E14381" s="1050"/>
      <c r="F14381" s="1050"/>
      <c r="G14381" s="1050"/>
    </row>
    <row r="14382" spans="1:7">
      <c r="A14382" s="1079"/>
      <c r="B14382" s="1050"/>
      <c r="C14382" s="1050"/>
      <c r="D14382" s="1050"/>
      <c r="E14382" s="1050"/>
      <c r="F14382" s="1050"/>
      <c r="G14382" s="1050"/>
    </row>
    <row r="14383" spans="1:7">
      <c r="A14383" s="1079"/>
      <c r="B14383" s="1050"/>
      <c r="C14383" s="1050"/>
      <c r="D14383" s="1050"/>
      <c r="E14383" s="1050"/>
      <c r="F14383" s="1050"/>
      <c r="G14383" s="1050"/>
    </row>
    <row r="14384" spans="1:7">
      <c r="A14384" s="1079"/>
      <c r="B14384" s="1050"/>
      <c r="C14384" s="1050"/>
      <c r="D14384" s="1050"/>
      <c r="E14384" s="1050"/>
      <c r="F14384" s="1050"/>
      <c r="G14384" s="1050"/>
    </row>
    <row r="14385" spans="1:7">
      <c r="A14385" s="1079"/>
      <c r="B14385" s="1050"/>
      <c r="C14385" s="1050"/>
      <c r="D14385" s="1050"/>
      <c r="E14385" s="1050"/>
      <c r="F14385" s="1050"/>
      <c r="G14385" s="1050"/>
    </row>
    <row r="14386" spans="1:7">
      <c r="A14386" s="1079"/>
      <c r="B14386" s="1050"/>
      <c r="C14386" s="1050"/>
      <c r="D14386" s="1050"/>
      <c r="E14386" s="1050"/>
      <c r="F14386" s="1050"/>
      <c r="G14386" s="1050"/>
    </row>
    <row r="14387" spans="1:7">
      <c r="A14387" s="1079"/>
      <c r="B14387" s="1050"/>
      <c r="C14387" s="1050"/>
      <c r="D14387" s="1050"/>
      <c r="E14387" s="1050"/>
      <c r="F14387" s="1050"/>
      <c r="G14387" s="1050"/>
    </row>
    <row r="14388" spans="1:7">
      <c r="A14388" s="1079"/>
      <c r="B14388" s="1050"/>
      <c r="C14388" s="1050"/>
      <c r="D14388" s="1050"/>
      <c r="E14388" s="1050"/>
      <c r="F14388" s="1050"/>
      <c r="G14388" s="1050"/>
    </row>
    <row r="14389" spans="1:7">
      <c r="A14389" s="1079"/>
      <c r="B14389" s="1050"/>
      <c r="C14389" s="1050"/>
      <c r="D14389" s="1050"/>
      <c r="E14389" s="1050"/>
      <c r="F14389" s="1050"/>
      <c r="G14389" s="1050"/>
    </row>
    <row r="14390" spans="1:7">
      <c r="A14390" s="1079"/>
      <c r="B14390" s="1050"/>
      <c r="C14390" s="1050"/>
      <c r="D14390" s="1050"/>
      <c r="E14390" s="1050"/>
      <c r="F14390" s="1050"/>
      <c r="G14390" s="1050"/>
    </row>
    <row r="14391" spans="1:7">
      <c r="A14391" s="1079"/>
      <c r="B14391" s="1050"/>
      <c r="C14391" s="1050"/>
      <c r="D14391" s="1050"/>
      <c r="E14391" s="1050"/>
      <c r="F14391" s="1050"/>
      <c r="G14391" s="1050"/>
    </row>
    <row r="14392" spans="1:7">
      <c r="A14392" s="1079"/>
      <c r="B14392" s="1050"/>
      <c r="C14392" s="1050"/>
      <c r="D14392" s="1050"/>
      <c r="E14392" s="1050"/>
      <c r="F14392" s="1050"/>
      <c r="G14392" s="1050"/>
    </row>
    <row r="14393" spans="1:7">
      <c r="A14393" s="1079"/>
      <c r="B14393" s="1050"/>
      <c r="C14393" s="1050"/>
      <c r="D14393" s="1050"/>
      <c r="E14393" s="1050"/>
      <c r="F14393" s="1050"/>
      <c r="G14393" s="1050"/>
    </row>
    <row r="14394" spans="1:7">
      <c r="A14394" s="1079"/>
      <c r="B14394" s="1050"/>
      <c r="C14394" s="1050"/>
      <c r="D14394" s="1050"/>
      <c r="E14394" s="1050"/>
      <c r="F14394" s="1050"/>
      <c r="G14394" s="1050"/>
    </row>
    <row r="14395" spans="1:7">
      <c r="A14395" s="1079"/>
      <c r="B14395" s="1050"/>
      <c r="C14395" s="1050"/>
      <c r="D14395" s="1050"/>
      <c r="E14395" s="1050"/>
      <c r="F14395" s="1050"/>
      <c r="G14395" s="1050"/>
    </row>
    <row r="14396" spans="1:7">
      <c r="A14396" s="1079"/>
      <c r="B14396" s="1050"/>
      <c r="C14396" s="1050"/>
      <c r="D14396" s="1050"/>
      <c r="E14396" s="1050"/>
      <c r="F14396" s="1050"/>
      <c r="G14396" s="1050"/>
    </row>
    <row r="14397" spans="1:7">
      <c r="A14397" s="1079"/>
      <c r="B14397" s="1050"/>
      <c r="C14397" s="1050"/>
      <c r="D14397" s="1050"/>
      <c r="E14397" s="1050"/>
      <c r="F14397" s="1050"/>
      <c r="G14397" s="1050"/>
    </row>
    <row r="14398" spans="1:7">
      <c r="A14398" s="1079"/>
      <c r="B14398" s="1050"/>
      <c r="C14398" s="1050"/>
      <c r="D14398" s="1050"/>
      <c r="E14398" s="1050"/>
      <c r="F14398" s="1050"/>
      <c r="G14398" s="1050"/>
    </row>
    <row r="14399" spans="1:7">
      <c r="A14399" s="1079"/>
      <c r="B14399" s="1050"/>
      <c r="C14399" s="1050"/>
      <c r="D14399" s="1050"/>
      <c r="E14399" s="1050"/>
      <c r="F14399" s="1050"/>
      <c r="G14399" s="1050"/>
    </row>
    <row r="14400" spans="1:7">
      <c r="A14400" s="1079"/>
      <c r="B14400" s="1050"/>
      <c r="C14400" s="1050"/>
      <c r="D14400" s="1050"/>
      <c r="E14400" s="1050"/>
      <c r="F14400" s="1050"/>
      <c r="G14400" s="1050"/>
    </row>
    <row r="14401" spans="1:7">
      <c r="A14401" s="1079"/>
      <c r="B14401" s="1050"/>
      <c r="C14401" s="1050"/>
      <c r="D14401" s="1050"/>
      <c r="E14401" s="1050"/>
      <c r="F14401" s="1050"/>
      <c r="G14401" s="1050"/>
    </row>
    <row r="14402" spans="1:7">
      <c r="A14402" s="1079"/>
      <c r="B14402" s="1050"/>
      <c r="C14402" s="1050"/>
      <c r="D14402" s="1050"/>
      <c r="E14402" s="1050"/>
      <c r="F14402" s="1050"/>
      <c r="G14402" s="1050"/>
    </row>
    <row r="14403" spans="1:7">
      <c r="A14403" s="1079"/>
      <c r="B14403" s="1050"/>
      <c r="C14403" s="1050"/>
      <c r="D14403" s="1050"/>
      <c r="E14403" s="1050"/>
      <c r="F14403" s="1050"/>
      <c r="G14403" s="1050"/>
    </row>
    <row r="14404" spans="1:7">
      <c r="A14404" s="1079"/>
      <c r="B14404" s="1050"/>
      <c r="C14404" s="1050"/>
      <c r="D14404" s="1050"/>
      <c r="E14404" s="1050"/>
      <c r="F14404" s="1050"/>
      <c r="G14404" s="1050"/>
    </row>
    <row r="14405" spans="1:7">
      <c r="A14405" s="1079"/>
      <c r="B14405" s="1050"/>
      <c r="C14405" s="1050"/>
      <c r="D14405" s="1050"/>
      <c r="E14405" s="1050"/>
      <c r="F14405" s="1050"/>
      <c r="G14405" s="1050"/>
    </row>
    <row r="14406" spans="1:7">
      <c r="A14406" s="1079"/>
      <c r="B14406" s="1050"/>
      <c r="C14406" s="1050"/>
      <c r="D14406" s="1050"/>
      <c r="E14406" s="1050"/>
      <c r="F14406" s="1050"/>
      <c r="G14406" s="1050"/>
    </row>
    <row r="14407" spans="1:7">
      <c r="A14407" s="1079"/>
      <c r="B14407" s="1050"/>
      <c r="C14407" s="1050"/>
      <c r="D14407" s="1050"/>
      <c r="E14407" s="1050"/>
      <c r="F14407" s="1050"/>
      <c r="G14407" s="1050"/>
    </row>
    <row r="14408" spans="1:7">
      <c r="A14408" s="1079"/>
      <c r="B14408" s="1050"/>
      <c r="C14408" s="1050"/>
      <c r="D14408" s="1050"/>
      <c r="E14408" s="1050"/>
      <c r="F14408" s="1050"/>
      <c r="G14408" s="1050"/>
    </row>
    <row r="14409" spans="1:7">
      <c r="A14409" s="1079"/>
      <c r="B14409" s="1050"/>
      <c r="C14409" s="1050"/>
      <c r="D14409" s="1050"/>
      <c r="E14409" s="1050"/>
      <c r="F14409" s="1050"/>
      <c r="G14409" s="1050"/>
    </row>
    <row r="14410" spans="1:7">
      <c r="A14410" s="1079"/>
      <c r="B14410" s="1050"/>
      <c r="C14410" s="1050"/>
      <c r="D14410" s="1050"/>
      <c r="E14410" s="1050"/>
      <c r="F14410" s="1050"/>
      <c r="G14410" s="1050"/>
    </row>
    <row r="14411" spans="1:7">
      <c r="A14411" s="1079"/>
      <c r="B14411" s="1050"/>
      <c r="C14411" s="1050"/>
      <c r="D14411" s="1050"/>
      <c r="E14411" s="1050"/>
      <c r="F14411" s="1050"/>
      <c r="G14411" s="1050"/>
    </row>
    <row r="14412" spans="1:7">
      <c r="A14412" s="1079"/>
      <c r="B14412" s="1050"/>
      <c r="C14412" s="1050"/>
      <c r="D14412" s="1050"/>
      <c r="E14412" s="1050"/>
      <c r="F14412" s="1050"/>
      <c r="G14412" s="1050"/>
    </row>
    <row r="14413" spans="1:7">
      <c r="A14413" s="1079"/>
      <c r="B14413" s="1050"/>
      <c r="C14413" s="1050"/>
      <c r="D14413" s="1050"/>
      <c r="E14413" s="1050"/>
      <c r="F14413" s="1050"/>
      <c r="G14413" s="1050"/>
    </row>
    <row r="14414" spans="1:7">
      <c r="A14414" s="1079"/>
      <c r="B14414" s="1050"/>
      <c r="C14414" s="1050"/>
      <c r="D14414" s="1050"/>
      <c r="E14414" s="1050"/>
      <c r="F14414" s="1050"/>
      <c r="G14414" s="1050"/>
    </row>
    <row r="14415" spans="1:7">
      <c r="A14415" s="1079"/>
      <c r="B14415" s="1050"/>
      <c r="C14415" s="1050"/>
      <c r="D14415" s="1050"/>
      <c r="E14415" s="1050"/>
      <c r="F14415" s="1050"/>
      <c r="G14415" s="1050"/>
    </row>
    <row r="14416" spans="1:7">
      <c r="A14416" s="1079"/>
      <c r="B14416" s="1050"/>
      <c r="C14416" s="1050"/>
      <c r="D14416" s="1050"/>
      <c r="E14416" s="1050"/>
      <c r="F14416" s="1050"/>
      <c r="G14416" s="1050"/>
    </row>
    <row r="14417" spans="1:7">
      <c r="A14417" s="1079"/>
      <c r="B14417" s="1050"/>
      <c r="C14417" s="1050"/>
      <c r="D14417" s="1050"/>
      <c r="E14417" s="1050"/>
      <c r="F14417" s="1050"/>
      <c r="G14417" s="1050"/>
    </row>
    <row r="14418" spans="1:7">
      <c r="A14418" s="1079"/>
      <c r="B14418" s="1050"/>
      <c r="C14418" s="1050"/>
      <c r="D14418" s="1050"/>
      <c r="E14418" s="1050"/>
      <c r="F14418" s="1050"/>
      <c r="G14418" s="1050"/>
    </row>
    <row r="14419" spans="1:7">
      <c r="A14419" s="1079"/>
      <c r="B14419" s="1050"/>
      <c r="C14419" s="1050"/>
      <c r="D14419" s="1050"/>
      <c r="E14419" s="1050"/>
      <c r="F14419" s="1050"/>
      <c r="G14419" s="1050"/>
    </row>
    <row r="14420" spans="1:7">
      <c r="A14420" s="1079"/>
      <c r="B14420" s="1050"/>
      <c r="C14420" s="1050"/>
      <c r="D14420" s="1050"/>
      <c r="E14420" s="1050"/>
      <c r="F14420" s="1050"/>
      <c r="G14420" s="1050"/>
    </row>
    <row r="14421" spans="1:7">
      <c r="A14421" s="1079"/>
      <c r="B14421" s="1050"/>
      <c r="C14421" s="1050"/>
      <c r="D14421" s="1050"/>
      <c r="E14421" s="1050"/>
      <c r="F14421" s="1050"/>
      <c r="G14421" s="1050"/>
    </row>
    <row r="14422" spans="1:7">
      <c r="A14422" s="1079"/>
      <c r="B14422" s="1050"/>
      <c r="C14422" s="1050"/>
      <c r="D14422" s="1050"/>
      <c r="E14422" s="1050"/>
      <c r="F14422" s="1050"/>
      <c r="G14422" s="1050"/>
    </row>
    <row r="14423" spans="1:7">
      <c r="A14423" s="1079"/>
      <c r="B14423" s="1050"/>
      <c r="C14423" s="1050"/>
      <c r="D14423" s="1050"/>
      <c r="E14423" s="1050"/>
      <c r="F14423" s="1050"/>
      <c r="G14423" s="1050"/>
    </row>
    <row r="14424" spans="1:7">
      <c r="A14424" s="1079"/>
      <c r="B14424" s="1050"/>
      <c r="C14424" s="1050"/>
      <c r="D14424" s="1050"/>
      <c r="E14424" s="1050"/>
      <c r="F14424" s="1050"/>
      <c r="G14424" s="1050"/>
    </row>
    <row r="14425" spans="1:7">
      <c r="A14425" s="1079"/>
      <c r="B14425" s="1050"/>
      <c r="C14425" s="1050"/>
      <c r="D14425" s="1050"/>
      <c r="E14425" s="1050"/>
      <c r="F14425" s="1050"/>
      <c r="G14425" s="1050"/>
    </row>
    <row r="14426" spans="1:7">
      <c r="A14426" s="1079"/>
      <c r="B14426" s="1050"/>
      <c r="C14426" s="1050"/>
      <c r="D14426" s="1050"/>
      <c r="E14426" s="1050"/>
      <c r="F14426" s="1050"/>
      <c r="G14426" s="1050"/>
    </row>
    <row r="14427" spans="1:7">
      <c r="A14427" s="1079"/>
      <c r="B14427" s="1050"/>
      <c r="C14427" s="1050"/>
      <c r="D14427" s="1050"/>
      <c r="E14427" s="1050"/>
      <c r="F14427" s="1050"/>
      <c r="G14427" s="1050"/>
    </row>
    <row r="14428" spans="1:7">
      <c r="A14428" s="1079"/>
      <c r="B14428" s="1050"/>
      <c r="C14428" s="1050"/>
      <c r="D14428" s="1050"/>
      <c r="E14428" s="1050"/>
      <c r="F14428" s="1050"/>
      <c r="G14428" s="1050"/>
    </row>
    <row r="14429" spans="1:7">
      <c r="A14429" s="1079"/>
      <c r="B14429" s="1050"/>
      <c r="C14429" s="1050"/>
      <c r="D14429" s="1050"/>
      <c r="E14429" s="1050"/>
      <c r="F14429" s="1050"/>
      <c r="G14429" s="1050"/>
    </row>
    <row r="14430" spans="1:7">
      <c r="A14430" s="1079"/>
      <c r="B14430" s="1050"/>
      <c r="C14430" s="1050"/>
      <c r="D14430" s="1050"/>
      <c r="E14430" s="1050"/>
      <c r="F14430" s="1050"/>
      <c r="G14430" s="1050"/>
    </row>
    <row r="14431" spans="1:7">
      <c r="A14431" s="1079"/>
      <c r="B14431" s="1050"/>
      <c r="C14431" s="1050"/>
      <c r="D14431" s="1050"/>
      <c r="E14431" s="1050"/>
      <c r="F14431" s="1050"/>
      <c r="G14431" s="1050"/>
    </row>
    <row r="14432" spans="1:7">
      <c r="A14432" s="1079"/>
      <c r="B14432" s="1050"/>
      <c r="C14432" s="1050"/>
      <c r="D14432" s="1050"/>
      <c r="E14432" s="1050"/>
      <c r="F14432" s="1050"/>
      <c r="G14432" s="1050"/>
    </row>
    <row r="14433" spans="1:7">
      <c r="A14433" s="1079"/>
      <c r="B14433" s="1050"/>
      <c r="C14433" s="1050"/>
      <c r="D14433" s="1050"/>
      <c r="E14433" s="1050"/>
      <c r="F14433" s="1050"/>
      <c r="G14433" s="1050"/>
    </row>
    <row r="14434" spans="1:7">
      <c r="A14434" s="1079"/>
      <c r="B14434" s="1050"/>
      <c r="C14434" s="1050"/>
      <c r="D14434" s="1050"/>
      <c r="E14434" s="1050"/>
      <c r="F14434" s="1050"/>
      <c r="G14434" s="1050"/>
    </row>
    <row r="14435" spans="1:7">
      <c r="A14435" s="1079"/>
      <c r="B14435" s="1050"/>
      <c r="C14435" s="1050"/>
      <c r="D14435" s="1050"/>
      <c r="E14435" s="1050"/>
      <c r="F14435" s="1050"/>
      <c r="G14435" s="1050"/>
    </row>
    <row r="14436" spans="1:7">
      <c r="A14436" s="1079"/>
      <c r="B14436" s="1050"/>
      <c r="C14436" s="1050"/>
      <c r="D14436" s="1050"/>
      <c r="E14436" s="1050"/>
      <c r="F14436" s="1050"/>
      <c r="G14436" s="1050"/>
    </row>
    <row r="14437" spans="1:7">
      <c r="A14437" s="1079"/>
      <c r="B14437" s="1050"/>
      <c r="C14437" s="1050"/>
      <c r="D14437" s="1050"/>
      <c r="E14437" s="1050"/>
      <c r="F14437" s="1050"/>
      <c r="G14437" s="1050"/>
    </row>
    <row r="14438" spans="1:7">
      <c r="A14438" s="1079"/>
      <c r="B14438" s="1050"/>
      <c r="C14438" s="1050"/>
      <c r="D14438" s="1050"/>
      <c r="E14438" s="1050"/>
      <c r="F14438" s="1050"/>
      <c r="G14438" s="1050"/>
    </row>
    <row r="14439" spans="1:7">
      <c r="A14439" s="1079"/>
      <c r="B14439" s="1050"/>
      <c r="C14439" s="1050"/>
      <c r="D14439" s="1050"/>
      <c r="E14439" s="1050"/>
      <c r="F14439" s="1050"/>
      <c r="G14439" s="1050"/>
    </row>
    <row r="14440" spans="1:7">
      <c r="A14440" s="1079"/>
      <c r="B14440" s="1050"/>
      <c r="C14440" s="1050"/>
      <c r="D14440" s="1050"/>
      <c r="E14440" s="1050"/>
      <c r="F14440" s="1050"/>
      <c r="G14440" s="1050"/>
    </row>
    <row r="14441" spans="1:7">
      <c r="A14441" s="1079"/>
      <c r="B14441" s="1050"/>
      <c r="C14441" s="1050"/>
      <c r="D14441" s="1050"/>
      <c r="E14441" s="1050"/>
      <c r="F14441" s="1050"/>
      <c r="G14441" s="1050"/>
    </row>
    <row r="14442" spans="1:7">
      <c r="A14442" s="1079"/>
      <c r="B14442" s="1050"/>
      <c r="C14442" s="1050"/>
      <c r="D14442" s="1050"/>
      <c r="E14442" s="1050"/>
      <c r="F14442" s="1050"/>
      <c r="G14442" s="1050"/>
    </row>
    <row r="14443" spans="1:7">
      <c r="A14443" s="1079"/>
      <c r="B14443" s="1050"/>
      <c r="C14443" s="1050"/>
      <c r="D14443" s="1050"/>
      <c r="E14443" s="1050"/>
      <c r="F14443" s="1050"/>
      <c r="G14443" s="1050"/>
    </row>
    <row r="14444" spans="1:7">
      <c r="A14444" s="1079"/>
      <c r="B14444" s="1050"/>
      <c r="C14444" s="1050"/>
      <c r="D14444" s="1050"/>
      <c r="E14444" s="1050"/>
      <c r="F14444" s="1050"/>
      <c r="G14444" s="1050"/>
    </row>
    <row r="14445" spans="1:7">
      <c r="A14445" s="1079"/>
      <c r="B14445" s="1050"/>
      <c r="C14445" s="1050"/>
      <c r="D14445" s="1050"/>
      <c r="E14445" s="1050"/>
      <c r="F14445" s="1050"/>
      <c r="G14445" s="1050"/>
    </row>
    <row r="14446" spans="1:7">
      <c r="A14446" s="1079"/>
      <c r="B14446" s="1050"/>
      <c r="C14446" s="1050"/>
      <c r="D14446" s="1050"/>
      <c r="E14446" s="1050"/>
      <c r="F14446" s="1050"/>
      <c r="G14446" s="1050"/>
    </row>
    <row r="14447" spans="1:7">
      <c r="A14447" s="1079"/>
      <c r="B14447" s="1050"/>
      <c r="C14447" s="1050"/>
      <c r="D14447" s="1050"/>
      <c r="E14447" s="1050"/>
      <c r="F14447" s="1050"/>
      <c r="G14447" s="1050"/>
    </row>
    <row r="14448" spans="1:7">
      <c r="A14448" s="1079"/>
      <c r="B14448" s="1050"/>
      <c r="C14448" s="1050"/>
      <c r="D14448" s="1050"/>
      <c r="E14448" s="1050"/>
      <c r="F14448" s="1050"/>
      <c r="G14448" s="1050"/>
    </row>
    <row r="14449" spans="1:7">
      <c r="A14449" s="1079"/>
      <c r="B14449" s="1050"/>
      <c r="C14449" s="1050"/>
      <c r="D14449" s="1050"/>
      <c r="E14449" s="1050"/>
      <c r="F14449" s="1050"/>
      <c r="G14449" s="1050"/>
    </row>
    <row r="14450" spans="1:7">
      <c r="A14450" s="1079"/>
      <c r="B14450" s="1050"/>
      <c r="C14450" s="1050"/>
      <c r="D14450" s="1050"/>
      <c r="E14450" s="1050"/>
      <c r="F14450" s="1050"/>
      <c r="G14450" s="1050"/>
    </row>
    <row r="14451" spans="1:7">
      <c r="A14451" s="1079"/>
      <c r="B14451" s="1050"/>
      <c r="C14451" s="1050"/>
      <c r="D14451" s="1050"/>
      <c r="E14451" s="1050"/>
      <c r="F14451" s="1050"/>
      <c r="G14451" s="1050"/>
    </row>
    <row r="14452" spans="1:7">
      <c r="A14452" s="1079"/>
      <c r="B14452" s="1050"/>
      <c r="C14452" s="1050"/>
      <c r="D14452" s="1050"/>
      <c r="E14452" s="1050"/>
      <c r="F14452" s="1050"/>
      <c r="G14452" s="1050"/>
    </row>
    <row r="14453" spans="1:7">
      <c r="A14453" s="1079"/>
      <c r="B14453" s="1050"/>
      <c r="C14453" s="1050"/>
      <c r="D14453" s="1050"/>
      <c r="E14453" s="1050"/>
      <c r="F14453" s="1050"/>
      <c r="G14453" s="1050"/>
    </row>
    <row r="14454" spans="1:7">
      <c r="A14454" s="1079"/>
      <c r="B14454" s="1050"/>
      <c r="C14454" s="1050"/>
      <c r="D14454" s="1050"/>
      <c r="E14454" s="1050"/>
      <c r="F14454" s="1050"/>
      <c r="G14454" s="1050"/>
    </row>
    <row r="14455" spans="1:7">
      <c r="A14455" s="1079"/>
      <c r="B14455" s="1050"/>
      <c r="C14455" s="1050"/>
      <c r="D14455" s="1050"/>
      <c r="E14455" s="1050"/>
      <c r="F14455" s="1050"/>
      <c r="G14455" s="1050"/>
    </row>
    <row r="14456" spans="1:7">
      <c r="A14456" s="1079"/>
      <c r="B14456" s="1050"/>
      <c r="C14456" s="1050"/>
      <c r="D14456" s="1050"/>
      <c r="E14456" s="1050"/>
      <c r="F14456" s="1050"/>
      <c r="G14456" s="1050"/>
    </row>
    <row r="14457" spans="1:7">
      <c r="A14457" s="1079"/>
      <c r="B14457" s="1050"/>
      <c r="C14457" s="1050"/>
      <c r="D14457" s="1050"/>
      <c r="E14457" s="1050"/>
      <c r="F14457" s="1050"/>
      <c r="G14457" s="1050"/>
    </row>
    <row r="14458" spans="1:7">
      <c r="A14458" s="1079"/>
      <c r="B14458" s="1050"/>
      <c r="C14458" s="1050"/>
      <c r="D14458" s="1050"/>
      <c r="E14458" s="1050"/>
      <c r="F14458" s="1050"/>
      <c r="G14458" s="1050"/>
    </row>
    <row r="14459" spans="1:7">
      <c r="A14459" s="1079"/>
      <c r="B14459" s="1050"/>
      <c r="C14459" s="1050"/>
      <c r="D14459" s="1050"/>
      <c r="E14459" s="1050"/>
      <c r="F14459" s="1050"/>
      <c r="G14459" s="1050"/>
    </row>
    <row r="14460" spans="1:7">
      <c r="A14460" s="1079"/>
      <c r="B14460" s="1050"/>
      <c r="C14460" s="1050"/>
      <c r="D14460" s="1050"/>
      <c r="E14460" s="1050"/>
      <c r="F14460" s="1050"/>
      <c r="G14460" s="1050"/>
    </row>
    <row r="14461" spans="1:7">
      <c r="A14461" s="1079"/>
      <c r="B14461" s="1050"/>
      <c r="C14461" s="1050"/>
      <c r="D14461" s="1050"/>
      <c r="E14461" s="1050"/>
      <c r="F14461" s="1050"/>
      <c r="G14461" s="1050"/>
    </row>
    <row r="14462" spans="1:7">
      <c r="A14462" s="1079"/>
      <c r="B14462" s="1050"/>
      <c r="C14462" s="1050"/>
      <c r="D14462" s="1050"/>
      <c r="E14462" s="1050"/>
      <c r="F14462" s="1050"/>
      <c r="G14462" s="1050"/>
    </row>
    <row r="14463" spans="1:7">
      <c r="A14463" s="1079"/>
      <c r="B14463" s="1050"/>
      <c r="C14463" s="1050"/>
      <c r="D14463" s="1050"/>
      <c r="E14463" s="1050"/>
      <c r="F14463" s="1050"/>
      <c r="G14463" s="1050"/>
    </row>
    <row r="14464" spans="1:7">
      <c r="A14464" s="1079"/>
      <c r="B14464" s="1050"/>
      <c r="C14464" s="1050"/>
      <c r="D14464" s="1050"/>
      <c r="E14464" s="1050"/>
      <c r="F14464" s="1050"/>
      <c r="G14464" s="1050"/>
    </row>
    <row r="14465" spans="1:7">
      <c r="A14465" s="1079"/>
      <c r="B14465" s="1050"/>
      <c r="C14465" s="1050"/>
      <c r="D14465" s="1050"/>
      <c r="E14465" s="1050"/>
      <c r="F14465" s="1050"/>
      <c r="G14465" s="1050"/>
    </row>
    <row r="14466" spans="1:7">
      <c r="A14466" s="1079"/>
      <c r="B14466" s="1050"/>
      <c r="C14466" s="1050"/>
      <c r="D14466" s="1050"/>
      <c r="E14466" s="1050"/>
      <c r="F14466" s="1050"/>
      <c r="G14466" s="1050"/>
    </row>
    <row r="14467" spans="1:7">
      <c r="A14467" s="1079"/>
      <c r="B14467" s="1050"/>
      <c r="C14467" s="1050"/>
      <c r="D14467" s="1050"/>
      <c r="E14467" s="1050"/>
      <c r="F14467" s="1050"/>
      <c r="G14467" s="1050"/>
    </row>
    <row r="14468" spans="1:7">
      <c r="A14468" s="1079"/>
      <c r="B14468" s="1050"/>
      <c r="C14468" s="1050"/>
      <c r="D14468" s="1050"/>
      <c r="E14468" s="1050"/>
      <c r="F14468" s="1050"/>
      <c r="G14468" s="1050"/>
    </row>
    <row r="14469" spans="1:7">
      <c r="A14469" s="1079"/>
      <c r="B14469" s="1050"/>
      <c r="C14469" s="1050"/>
      <c r="D14469" s="1050"/>
      <c r="E14469" s="1050"/>
      <c r="F14469" s="1050"/>
      <c r="G14469" s="1050"/>
    </row>
    <row r="14470" spans="1:7">
      <c r="A14470" s="1079"/>
      <c r="B14470" s="1050"/>
      <c r="C14470" s="1050"/>
      <c r="D14470" s="1050"/>
      <c r="E14470" s="1050"/>
      <c r="F14470" s="1050"/>
      <c r="G14470" s="1050"/>
    </row>
    <row r="14471" spans="1:7">
      <c r="A14471" s="1079"/>
      <c r="B14471" s="1050"/>
      <c r="C14471" s="1050"/>
      <c r="D14471" s="1050"/>
      <c r="E14471" s="1050"/>
      <c r="F14471" s="1050"/>
      <c r="G14471" s="1050"/>
    </row>
    <row r="14472" spans="1:7">
      <c r="A14472" s="1079"/>
      <c r="B14472" s="1050"/>
      <c r="C14472" s="1050"/>
      <c r="D14472" s="1050"/>
      <c r="E14472" s="1050"/>
      <c r="F14472" s="1050"/>
      <c r="G14472" s="1050"/>
    </row>
    <row r="14473" spans="1:7">
      <c r="A14473" s="1079"/>
      <c r="B14473" s="1050"/>
      <c r="C14473" s="1050"/>
      <c r="D14473" s="1050"/>
      <c r="E14473" s="1050"/>
      <c r="F14473" s="1050"/>
      <c r="G14473" s="1050"/>
    </row>
    <row r="14474" spans="1:7">
      <c r="A14474" s="1079"/>
      <c r="B14474" s="1050"/>
      <c r="C14474" s="1050"/>
      <c r="D14474" s="1050"/>
      <c r="E14474" s="1050"/>
      <c r="F14474" s="1050"/>
      <c r="G14474" s="1050"/>
    </row>
    <row r="14475" spans="1:7">
      <c r="A14475" s="1079"/>
      <c r="B14475" s="1050"/>
      <c r="C14475" s="1050"/>
      <c r="D14475" s="1050"/>
      <c r="E14475" s="1050"/>
      <c r="F14475" s="1050"/>
      <c r="G14475" s="1050"/>
    </row>
    <row r="14476" spans="1:7">
      <c r="A14476" s="1079"/>
      <c r="B14476" s="1050"/>
      <c r="C14476" s="1050"/>
      <c r="D14476" s="1050"/>
      <c r="E14476" s="1050"/>
      <c r="F14476" s="1050"/>
      <c r="G14476" s="1050"/>
    </row>
    <row r="14477" spans="1:7">
      <c r="A14477" s="1079"/>
      <c r="B14477" s="1050"/>
      <c r="C14477" s="1050"/>
      <c r="D14477" s="1050"/>
      <c r="E14477" s="1050"/>
      <c r="F14477" s="1050"/>
      <c r="G14477" s="1050"/>
    </row>
    <row r="14478" spans="1:7">
      <c r="A14478" s="1079"/>
      <c r="B14478" s="1050"/>
      <c r="C14478" s="1050"/>
      <c r="D14478" s="1050"/>
      <c r="E14478" s="1050"/>
      <c r="F14478" s="1050"/>
      <c r="G14478" s="1050"/>
    </row>
    <row r="14479" spans="1:7">
      <c r="A14479" s="1079"/>
      <c r="B14479" s="1050"/>
      <c r="C14479" s="1050"/>
      <c r="D14479" s="1050"/>
      <c r="E14479" s="1050"/>
      <c r="F14479" s="1050"/>
      <c r="G14479" s="1050"/>
    </row>
    <row r="14480" spans="1:7">
      <c r="A14480" s="1079"/>
      <c r="B14480" s="1050"/>
      <c r="C14480" s="1050"/>
      <c r="D14480" s="1050"/>
      <c r="E14480" s="1050"/>
      <c r="F14480" s="1050"/>
      <c r="G14480" s="1050"/>
    </row>
    <row r="14481" spans="1:7">
      <c r="A14481" s="1079"/>
      <c r="B14481" s="1050"/>
      <c r="C14481" s="1050"/>
      <c r="D14481" s="1050"/>
      <c r="E14481" s="1050"/>
      <c r="F14481" s="1050"/>
      <c r="G14481" s="1050"/>
    </row>
    <row r="14482" spans="1:7">
      <c r="A14482" s="1079"/>
      <c r="B14482" s="1050"/>
      <c r="C14482" s="1050"/>
      <c r="D14482" s="1050"/>
      <c r="E14482" s="1050"/>
      <c r="F14482" s="1050"/>
      <c r="G14482" s="1050"/>
    </row>
    <row r="14483" spans="1:7">
      <c r="A14483" s="1079"/>
      <c r="B14483" s="1050"/>
      <c r="C14483" s="1050"/>
      <c r="D14483" s="1050"/>
      <c r="E14483" s="1050"/>
      <c r="F14483" s="1050"/>
      <c r="G14483" s="1050"/>
    </row>
    <row r="14484" spans="1:7">
      <c r="A14484" s="1079"/>
      <c r="B14484" s="1050"/>
      <c r="C14484" s="1050"/>
      <c r="D14484" s="1050"/>
      <c r="E14484" s="1050"/>
      <c r="F14484" s="1050"/>
      <c r="G14484" s="1050"/>
    </row>
    <row r="14485" spans="1:7">
      <c r="A14485" s="1079"/>
      <c r="B14485" s="1050"/>
      <c r="C14485" s="1050"/>
      <c r="D14485" s="1050"/>
      <c r="E14485" s="1050"/>
      <c r="F14485" s="1050"/>
      <c r="G14485" s="1050"/>
    </row>
    <row r="14486" spans="1:7">
      <c r="A14486" s="1079"/>
      <c r="B14486" s="1050"/>
      <c r="C14486" s="1050"/>
      <c r="D14486" s="1050"/>
      <c r="E14486" s="1050"/>
      <c r="F14486" s="1050"/>
      <c r="G14486" s="1050"/>
    </row>
    <row r="14487" spans="1:7">
      <c r="A14487" s="1079"/>
      <c r="B14487" s="1050"/>
      <c r="C14487" s="1050"/>
      <c r="D14487" s="1050"/>
      <c r="E14487" s="1050"/>
      <c r="F14487" s="1050"/>
      <c r="G14487" s="1050"/>
    </row>
    <row r="14488" spans="1:7">
      <c r="A14488" s="1079"/>
      <c r="B14488" s="1050"/>
      <c r="C14488" s="1050"/>
      <c r="D14488" s="1050"/>
      <c r="E14488" s="1050"/>
      <c r="F14488" s="1050"/>
      <c r="G14488" s="1050"/>
    </row>
    <row r="14489" spans="1:7">
      <c r="A14489" s="1079"/>
      <c r="B14489" s="1050"/>
      <c r="C14489" s="1050"/>
      <c r="D14489" s="1050"/>
      <c r="E14489" s="1050"/>
      <c r="F14489" s="1050"/>
      <c r="G14489" s="1050"/>
    </row>
    <row r="14490" spans="1:7">
      <c r="A14490" s="1079"/>
      <c r="B14490" s="1050"/>
      <c r="C14490" s="1050"/>
      <c r="D14490" s="1050"/>
      <c r="E14490" s="1050"/>
      <c r="F14490" s="1050"/>
      <c r="G14490" s="1050"/>
    </row>
    <row r="14491" spans="1:7">
      <c r="A14491" s="1079"/>
      <c r="B14491" s="1050"/>
      <c r="C14491" s="1050"/>
      <c r="D14491" s="1050"/>
      <c r="E14491" s="1050"/>
      <c r="F14491" s="1050"/>
      <c r="G14491" s="1050"/>
    </row>
    <row r="14492" spans="1:7">
      <c r="A14492" s="1079"/>
      <c r="B14492" s="1050"/>
      <c r="C14492" s="1050"/>
      <c r="D14492" s="1050"/>
      <c r="E14492" s="1050"/>
      <c r="F14492" s="1050"/>
      <c r="G14492" s="1050"/>
    </row>
    <row r="14493" spans="1:7">
      <c r="A14493" s="1079"/>
      <c r="B14493" s="1050"/>
      <c r="C14493" s="1050"/>
      <c r="D14493" s="1050"/>
      <c r="E14493" s="1050"/>
      <c r="F14493" s="1050"/>
      <c r="G14493" s="1050"/>
    </row>
    <row r="14494" spans="1:7">
      <c r="A14494" s="1079"/>
      <c r="B14494" s="1050"/>
      <c r="C14494" s="1050"/>
      <c r="D14494" s="1050"/>
      <c r="E14494" s="1050"/>
      <c r="F14494" s="1050"/>
      <c r="G14494" s="1050"/>
    </row>
    <row r="14495" spans="1:7">
      <c r="A14495" s="1079"/>
      <c r="B14495" s="1050"/>
      <c r="C14495" s="1050"/>
      <c r="D14495" s="1050"/>
      <c r="E14495" s="1050"/>
      <c r="F14495" s="1050"/>
      <c r="G14495" s="1050"/>
    </row>
    <row r="14496" spans="1:7">
      <c r="A14496" s="1079"/>
      <c r="B14496" s="1050"/>
      <c r="C14496" s="1050"/>
      <c r="D14496" s="1050"/>
      <c r="E14496" s="1050"/>
      <c r="F14496" s="1050"/>
      <c r="G14496" s="1050"/>
    </row>
    <row r="14497" spans="1:7">
      <c r="A14497" s="1079"/>
      <c r="B14497" s="1050"/>
      <c r="C14497" s="1050"/>
      <c r="D14497" s="1050"/>
      <c r="E14497" s="1050"/>
      <c r="F14497" s="1050"/>
      <c r="G14497" s="1050"/>
    </row>
    <row r="14498" spans="1:7">
      <c r="A14498" s="1079"/>
      <c r="B14498" s="1050"/>
      <c r="C14498" s="1050"/>
      <c r="D14498" s="1050"/>
      <c r="E14498" s="1050"/>
      <c r="F14498" s="1050"/>
      <c r="G14498" s="1050"/>
    </row>
    <row r="14499" spans="1:7">
      <c r="A14499" s="1079"/>
      <c r="B14499" s="1050"/>
      <c r="C14499" s="1050"/>
      <c r="D14499" s="1050"/>
      <c r="E14499" s="1050"/>
      <c r="F14499" s="1050"/>
      <c r="G14499" s="1050"/>
    </row>
    <row r="14500" spans="1:7">
      <c r="A14500" s="1079"/>
      <c r="B14500" s="1050"/>
      <c r="C14500" s="1050"/>
      <c r="D14500" s="1050"/>
      <c r="E14500" s="1050"/>
      <c r="F14500" s="1050"/>
      <c r="G14500" s="1050"/>
    </row>
    <row r="14501" spans="1:7">
      <c r="A14501" s="1079"/>
      <c r="B14501" s="1050"/>
      <c r="C14501" s="1050"/>
      <c r="D14501" s="1050"/>
      <c r="E14501" s="1050"/>
      <c r="F14501" s="1050"/>
      <c r="G14501" s="1050"/>
    </row>
    <row r="14502" spans="1:7">
      <c r="A14502" s="1079"/>
      <c r="B14502" s="1050"/>
      <c r="C14502" s="1050"/>
      <c r="D14502" s="1050"/>
      <c r="E14502" s="1050"/>
      <c r="F14502" s="1050"/>
      <c r="G14502" s="1050"/>
    </row>
    <row r="14503" spans="1:7">
      <c r="A14503" s="1079"/>
      <c r="B14503" s="1050"/>
      <c r="C14503" s="1050"/>
      <c r="D14503" s="1050"/>
      <c r="E14503" s="1050"/>
      <c r="F14503" s="1050"/>
      <c r="G14503" s="1050"/>
    </row>
    <row r="14504" spans="1:7">
      <c r="A14504" s="1079"/>
      <c r="B14504" s="1050"/>
      <c r="C14504" s="1050"/>
      <c r="D14504" s="1050"/>
      <c r="E14504" s="1050"/>
      <c r="F14504" s="1050"/>
      <c r="G14504" s="1050"/>
    </row>
    <row r="14505" spans="1:7">
      <c r="A14505" s="1079"/>
      <c r="B14505" s="1050"/>
      <c r="C14505" s="1050"/>
      <c r="D14505" s="1050"/>
      <c r="E14505" s="1050"/>
      <c r="F14505" s="1050"/>
      <c r="G14505" s="1050"/>
    </row>
    <row r="14506" spans="1:7">
      <c r="A14506" s="1079"/>
      <c r="B14506" s="1050"/>
      <c r="C14506" s="1050"/>
      <c r="D14506" s="1050"/>
      <c r="E14506" s="1050"/>
      <c r="F14506" s="1050"/>
      <c r="G14506" s="1050"/>
    </row>
    <row r="14507" spans="1:7">
      <c r="A14507" s="1079"/>
      <c r="B14507" s="1050"/>
      <c r="C14507" s="1050"/>
      <c r="D14507" s="1050"/>
      <c r="E14507" s="1050"/>
      <c r="F14507" s="1050"/>
      <c r="G14507" s="1050"/>
    </row>
    <row r="14508" spans="1:7">
      <c r="A14508" s="1079"/>
      <c r="B14508" s="1050"/>
      <c r="C14508" s="1050"/>
      <c r="D14508" s="1050"/>
      <c r="E14508" s="1050"/>
      <c r="F14508" s="1050"/>
      <c r="G14508" s="1050"/>
    </row>
    <row r="14509" spans="1:7">
      <c r="A14509" s="1079"/>
      <c r="B14509" s="1050"/>
      <c r="C14509" s="1050"/>
      <c r="D14509" s="1050"/>
      <c r="E14509" s="1050"/>
      <c r="F14509" s="1050"/>
      <c r="G14509" s="1050"/>
    </row>
    <row r="14510" spans="1:7">
      <c r="A14510" s="1079"/>
      <c r="B14510" s="1050"/>
      <c r="C14510" s="1050"/>
      <c r="D14510" s="1050"/>
      <c r="E14510" s="1050"/>
      <c r="F14510" s="1050"/>
      <c r="G14510" s="1050"/>
    </row>
    <row r="14511" spans="1:7">
      <c r="A14511" s="1079"/>
      <c r="B14511" s="1050"/>
      <c r="C14511" s="1050"/>
      <c r="D14511" s="1050"/>
      <c r="E14511" s="1050"/>
      <c r="F14511" s="1050"/>
      <c r="G14511" s="1050"/>
    </row>
    <row r="14512" spans="1:7">
      <c r="A14512" s="1079"/>
      <c r="B14512" s="1050"/>
      <c r="C14512" s="1050"/>
      <c r="D14512" s="1050"/>
      <c r="E14512" s="1050"/>
      <c r="F14512" s="1050"/>
      <c r="G14512" s="1050"/>
    </row>
    <row r="14513" spans="1:7">
      <c r="A14513" s="1079"/>
      <c r="B14513" s="1050"/>
      <c r="C14513" s="1050"/>
      <c r="D14513" s="1050"/>
      <c r="E14513" s="1050"/>
      <c r="F14513" s="1050"/>
      <c r="G14513" s="1050"/>
    </row>
    <row r="14514" spans="1:7">
      <c r="A14514" s="1079"/>
      <c r="B14514" s="1050"/>
      <c r="C14514" s="1050"/>
      <c r="D14514" s="1050"/>
      <c r="E14514" s="1050"/>
      <c r="F14514" s="1050"/>
      <c r="G14514" s="1050"/>
    </row>
    <row r="14515" spans="1:7">
      <c r="A14515" s="1079"/>
      <c r="B14515" s="1050"/>
      <c r="C14515" s="1050"/>
      <c r="D14515" s="1050"/>
      <c r="E14515" s="1050"/>
      <c r="F14515" s="1050"/>
      <c r="G14515" s="1050"/>
    </row>
    <row r="14516" spans="1:7">
      <c r="A14516" s="1079"/>
      <c r="B14516" s="1050"/>
      <c r="C14516" s="1050"/>
      <c r="D14516" s="1050"/>
      <c r="E14516" s="1050"/>
      <c r="F14516" s="1050"/>
      <c r="G14516" s="1050"/>
    </row>
    <row r="14517" spans="1:7">
      <c r="A14517" s="1079"/>
      <c r="B14517" s="1050"/>
      <c r="C14517" s="1050"/>
      <c r="D14517" s="1050"/>
      <c r="E14517" s="1050"/>
      <c r="F14517" s="1050"/>
      <c r="G14517" s="1050"/>
    </row>
    <row r="14518" spans="1:7">
      <c r="A14518" s="1079"/>
      <c r="B14518" s="1050"/>
      <c r="C14518" s="1050"/>
      <c r="D14518" s="1050"/>
      <c r="E14518" s="1050"/>
      <c r="F14518" s="1050"/>
      <c r="G14518" s="1050"/>
    </row>
    <row r="14519" spans="1:7">
      <c r="A14519" s="1079"/>
      <c r="B14519" s="1050"/>
      <c r="C14519" s="1050"/>
      <c r="D14519" s="1050"/>
      <c r="E14519" s="1050"/>
      <c r="F14519" s="1050"/>
      <c r="G14519" s="1050"/>
    </row>
    <row r="14520" spans="1:7">
      <c r="A14520" s="1079"/>
      <c r="B14520" s="1050"/>
      <c r="C14520" s="1050"/>
      <c r="D14520" s="1050"/>
      <c r="E14520" s="1050"/>
      <c r="F14520" s="1050"/>
      <c r="G14520" s="1050"/>
    </row>
    <row r="14521" spans="1:7">
      <c r="A14521" s="1079"/>
      <c r="B14521" s="1050"/>
      <c r="C14521" s="1050"/>
      <c r="D14521" s="1050"/>
      <c r="E14521" s="1050"/>
      <c r="F14521" s="1050"/>
      <c r="G14521" s="1050"/>
    </row>
    <row r="14522" spans="1:7">
      <c r="A14522" s="1079"/>
      <c r="B14522" s="1050"/>
      <c r="C14522" s="1050"/>
      <c r="D14522" s="1050"/>
      <c r="E14522" s="1050"/>
      <c r="F14522" s="1050"/>
      <c r="G14522" s="1050"/>
    </row>
    <row r="14523" spans="1:7">
      <c r="A14523" s="1079"/>
      <c r="B14523" s="1050"/>
      <c r="C14523" s="1050"/>
      <c r="D14523" s="1050"/>
      <c r="E14523" s="1050"/>
      <c r="F14523" s="1050"/>
      <c r="G14523" s="1050"/>
    </row>
    <row r="14524" spans="1:7">
      <c r="A14524" s="1079"/>
      <c r="B14524" s="1050"/>
      <c r="C14524" s="1050"/>
      <c r="D14524" s="1050"/>
      <c r="E14524" s="1050"/>
      <c r="F14524" s="1050"/>
      <c r="G14524" s="1050"/>
    </row>
    <row r="14525" spans="1:7">
      <c r="A14525" s="1079"/>
      <c r="B14525" s="1050"/>
      <c r="C14525" s="1050"/>
      <c r="D14525" s="1050"/>
      <c r="E14525" s="1050"/>
      <c r="F14525" s="1050"/>
      <c r="G14525" s="1050"/>
    </row>
    <row r="14526" spans="1:7">
      <c r="A14526" s="1079"/>
      <c r="B14526" s="1050"/>
      <c r="C14526" s="1050"/>
      <c r="D14526" s="1050"/>
      <c r="E14526" s="1050"/>
      <c r="F14526" s="1050"/>
      <c r="G14526" s="1050"/>
    </row>
    <row r="14527" spans="1:7">
      <c r="A14527" s="1079"/>
      <c r="B14527" s="1050"/>
      <c r="C14527" s="1050"/>
      <c r="D14527" s="1050"/>
      <c r="E14527" s="1050"/>
      <c r="F14527" s="1050"/>
      <c r="G14527" s="1050"/>
    </row>
    <row r="14528" spans="1:7">
      <c r="A14528" s="1079"/>
      <c r="B14528" s="1050"/>
      <c r="C14528" s="1050"/>
      <c r="D14528" s="1050"/>
      <c r="E14528" s="1050"/>
      <c r="F14528" s="1050"/>
      <c r="G14528" s="1050"/>
    </row>
    <row r="14529" spans="1:7">
      <c r="A14529" s="1079"/>
      <c r="B14529" s="1050"/>
      <c r="C14529" s="1050"/>
      <c r="D14529" s="1050"/>
      <c r="E14529" s="1050"/>
      <c r="F14529" s="1050"/>
      <c r="G14529" s="1050"/>
    </row>
    <row r="14530" spans="1:7">
      <c r="A14530" s="1079"/>
      <c r="B14530" s="1050"/>
      <c r="C14530" s="1050"/>
      <c r="D14530" s="1050"/>
      <c r="E14530" s="1050"/>
      <c r="F14530" s="1050"/>
      <c r="G14530" s="1050"/>
    </row>
    <row r="14531" spans="1:7">
      <c r="A14531" s="1079"/>
      <c r="B14531" s="1050"/>
      <c r="C14531" s="1050"/>
      <c r="D14531" s="1050"/>
      <c r="E14531" s="1050"/>
      <c r="F14531" s="1050"/>
      <c r="G14531" s="1050"/>
    </row>
    <row r="14532" spans="1:7">
      <c r="A14532" s="1079"/>
      <c r="B14532" s="1050"/>
      <c r="C14532" s="1050"/>
      <c r="D14532" s="1050"/>
      <c r="E14532" s="1050"/>
      <c r="F14532" s="1050"/>
      <c r="G14532" s="1050"/>
    </row>
    <row r="14533" spans="1:7">
      <c r="A14533" s="1079"/>
      <c r="B14533" s="1050"/>
      <c r="C14533" s="1050"/>
      <c r="D14533" s="1050"/>
      <c r="E14533" s="1050"/>
      <c r="F14533" s="1050"/>
      <c r="G14533" s="1050"/>
    </row>
    <row r="14534" spans="1:7">
      <c r="A14534" s="1079"/>
      <c r="B14534" s="1050"/>
      <c r="C14534" s="1050"/>
      <c r="D14534" s="1050"/>
      <c r="E14534" s="1050"/>
      <c r="F14534" s="1050"/>
      <c r="G14534" s="1050"/>
    </row>
    <row r="14535" spans="1:7">
      <c r="A14535" s="1079"/>
      <c r="B14535" s="1050"/>
      <c r="C14535" s="1050"/>
      <c r="D14535" s="1050"/>
      <c r="E14535" s="1050"/>
      <c r="F14535" s="1050"/>
      <c r="G14535" s="1050"/>
    </row>
    <row r="14536" spans="1:7">
      <c r="A14536" s="1079"/>
      <c r="B14536" s="1050"/>
      <c r="C14536" s="1050"/>
      <c r="D14536" s="1050"/>
      <c r="E14536" s="1050"/>
      <c r="F14536" s="1050"/>
      <c r="G14536" s="1050"/>
    </row>
    <row r="14537" spans="1:7">
      <c r="A14537" s="1079"/>
      <c r="B14537" s="1050"/>
      <c r="C14537" s="1050"/>
      <c r="D14537" s="1050"/>
      <c r="E14537" s="1050"/>
      <c r="F14537" s="1050"/>
      <c r="G14537" s="1050"/>
    </row>
    <row r="14538" spans="1:7">
      <c r="A14538" s="1079"/>
      <c r="B14538" s="1050"/>
      <c r="C14538" s="1050"/>
      <c r="D14538" s="1050"/>
      <c r="E14538" s="1050"/>
      <c r="F14538" s="1050"/>
      <c r="G14538" s="1050"/>
    </row>
    <row r="14539" spans="1:7">
      <c r="A14539" s="1079"/>
      <c r="B14539" s="1050"/>
      <c r="C14539" s="1050"/>
      <c r="D14539" s="1050"/>
      <c r="E14539" s="1050"/>
      <c r="F14539" s="1050"/>
      <c r="G14539" s="1050"/>
    </row>
    <row r="14540" spans="1:7">
      <c r="A14540" s="1079"/>
      <c r="B14540" s="1050"/>
      <c r="C14540" s="1050"/>
      <c r="D14540" s="1050"/>
      <c r="E14540" s="1050"/>
      <c r="F14540" s="1050"/>
      <c r="G14540" s="1050"/>
    </row>
    <row r="14541" spans="1:7">
      <c r="A14541" s="1079"/>
      <c r="B14541" s="1050"/>
      <c r="C14541" s="1050"/>
      <c r="D14541" s="1050"/>
      <c r="E14541" s="1050"/>
      <c r="F14541" s="1050"/>
      <c r="G14541" s="1050"/>
    </row>
    <row r="14542" spans="1:7">
      <c r="A14542" s="1079"/>
      <c r="B14542" s="1050"/>
      <c r="C14542" s="1050"/>
      <c r="D14542" s="1050"/>
      <c r="E14542" s="1050"/>
      <c r="F14542" s="1050"/>
      <c r="G14542" s="1050"/>
    </row>
    <row r="14543" spans="1:7">
      <c r="A14543" s="1079"/>
      <c r="B14543" s="1050"/>
      <c r="C14543" s="1050"/>
      <c r="D14543" s="1050"/>
      <c r="E14543" s="1050"/>
      <c r="F14543" s="1050"/>
      <c r="G14543" s="1050"/>
    </row>
    <row r="14544" spans="1:7">
      <c r="A14544" s="1079"/>
      <c r="B14544" s="1050"/>
      <c r="C14544" s="1050"/>
      <c r="D14544" s="1050"/>
      <c r="E14544" s="1050"/>
      <c r="F14544" s="1050"/>
      <c r="G14544" s="1050"/>
    </row>
    <row r="14545" spans="1:7">
      <c r="A14545" s="1079"/>
      <c r="B14545" s="1050"/>
      <c r="C14545" s="1050"/>
      <c r="D14545" s="1050"/>
      <c r="E14545" s="1050"/>
      <c r="F14545" s="1050"/>
      <c r="G14545" s="1050"/>
    </row>
    <row r="14546" spans="1:7">
      <c r="A14546" s="1079"/>
      <c r="B14546" s="1050"/>
      <c r="C14546" s="1050"/>
      <c r="D14546" s="1050"/>
      <c r="E14546" s="1050"/>
      <c r="F14546" s="1050"/>
      <c r="G14546" s="1050"/>
    </row>
    <row r="14547" spans="1:7">
      <c r="A14547" s="1079"/>
      <c r="B14547" s="1050"/>
      <c r="C14547" s="1050"/>
      <c r="D14547" s="1050"/>
      <c r="E14547" s="1050"/>
      <c r="F14547" s="1050"/>
      <c r="G14547" s="1050"/>
    </row>
    <row r="14548" spans="1:7">
      <c r="A14548" s="1079"/>
      <c r="B14548" s="1050"/>
      <c r="C14548" s="1050"/>
      <c r="D14548" s="1050"/>
      <c r="E14548" s="1050"/>
      <c r="F14548" s="1050"/>
      <c r="G14548" s="1050"/>
    </row>
    <row r="14549" spans="1:7">
      <c r="A14549" s="1079"/>
      <c r="B14549" s="1050"/>
      <c r="C14549" s="1050"/>
      <c r="D14549" s="1050"/>
      <c r="E14549" s="1050"/>
      <c r="F14549" s="1050"/>
      <c r="G14549" s="1050"/>
    </row>
    <row r="14550" spans="1:7">
      <c r="A14550" s="1079"/>
      <c r="B14550" s="1050"/>
      <c r="C14550" s="1050"/>
      <c r="D14550" s="1050"/>
      <c r="E14550" s="1050"/>
      <c r="F14550" s="1050"/>
      <c r="G14550" s="1050"/>
    </row>
    <row r="14551" spans="1:7">
      <c r="A14551" s="1079"/>
      <c r="B14551" s="1050"/>
      <c r="C14551" s="1050"/>
      <c r="D14551" s="1050"/>
      <c r="E14551" s="1050"/>
      <c r="F14551" s="1050"/>
      <c r="G14551" s="1050"/>
    </row>
    <row r="14552" spans="1:7">
      <c r="A14552" s="1079"/>
      <c r="B14552" s="1050"/>
      <c r="C14552" s="1050"/>
      <c r="D14552" s="1050"/>
      <c r="E14552" s="1050"/>
      <c r="F14552" s="1050"/>
      <c r="G14552" s="1050"/>
    </row>
    <row r="14553" spans="1:7">
      <c r="A14553" s="1079"/>
      <c r="B14553" s="1050"/>
      <c r="C14553" s="1050"/>
      <c r="D14553" s="1050"/>
      <c r="E14553" s="1050"/>
      <c r="F14553" s="1050"/>
      <c r="G14553" s="1050"/>
    </row>
    <row r="14554" spans="1:7">
      <c r="A14554" s="1079"/>
      <c r="B14554" s="1050"/>
      <c r="C14554" s="1050"/>
      <c r="D14554" s="1050"/>
      <c r="E14554" s="1050"/>
      <c r="F14554" s="1050"/>
      <c r="G14554" s="1050"/>
    </row>
    <row r="14555" spans="1:7">
      <c r="A14555" s="1079"/>
      <c r="B14555" s="1050"/>
      <c r="C14555" s="1050"/>
      <c r="D14555" s="1050"/>
      <c r="E14555" s="1050"/>
      <c r="F14555" s="1050"/>
      <c r="G14555" s="1050"/>
    </row>
    <row r="14556" spans="1:7">
      <c r="A14556" s="1079"/>
      <c r="B14556" s="1050"/>
      <c r="C14556" s="1050"/>
      <c r="D14556" s="1050"/>
      <c r="E14556" s="1050"/>
      <c r="F14556" s="1050"/>
      <c r="G14556" s="1050"/>
    </row>
    <row r="14557" spans="1:7">
      <c r="A14557" s="1079"/>
      <c r="B14557" s="1050"/>
      <c r="C14557" s="1050"/>
      <c r="D14557" s="1050"/>
      <c r="E14557" s="1050"/>
      <c r="F14557" s="1050"/>
      <c r="G14557" s="1050"/>
    </row>
    <row r="14558" spans="1:7">
      <c r="A14558" s="1079"/>
      <c r="B14558" s="1050"/>
      <c r="C14558" s="1050"/>
      <c r="D14558" s="1050"/>
      <c r="E14558" s="1050"/>
      <c r="F14558" s="1050"/>
      <c r="G14558" s="1050"/>
    </row>
    <row r="14559" spans="1:7">
      <c r="A14559" s="1079"/>
      <c r="B14559" s="1050"/>
      <c r="C14559" s="1050"/>
      <c r="D14559" s="1050"/>
      <c r="E14559" s="1050"/>
      <c r="F14559" s="1050"/>
      <c r="G14559" s="1050"/>
    </row>
    <row r="14560" spans="1:7">
      <c r="A14560" s="1079"/>
      <c r="B14560" s="1050"/>
      <c r="C14560" s="1050"/>
      <c r="D14560" s="1050"/>
      <c r="E14560" s="1050"/>
      <c r="F14560" s="1050"/>
      <c r="G14560" s="1050"/>
    </row>
    <row r="14561" spans="1:7">
      <c r="A14561" s="1079"/>
      <c r="B14561" s="1050"/>
      <c r="C14561" s="1050"/>
      <c r="D14561" s="1050"/>
      <c r="E14561" s="1050"/>
      <c r="F14561" s="1050"/>
      <c r="G14561" s="1050"/>
    </row>
    <row r="14562" spans="1:7">
      <c r="A14562" s="1079"/>
      <c r="B14562" s="1050"/>
      <c r="C14562" s="1050"/>
      <c r="D14562" s="1050"/>
      <c r="E14562" s="1050"/>
      <c r="F14562" s="1050"/>
      <c r="G14562" s="1050"/>
    </row>
    <row r="14563" spans="1:7">
      <c r="A14563" s="1079"/>
      <c r="B14563" s="1050"/>
      <c r="C14563" s="1050"/>
      <c r="D14563" s="1050"/>
      <c r="E14563" s="1050"/>
      <c r="F14563" s="1050"/>
      <c r="G14563" s="1050"/>
    </row>
    <row r="14564" spans="1:7">
      <c r="A14564" s="1079"/>
      <c r="B14564" s="1050"/>
      <c r="C14564" s="1050"/>
      <c r="D14564" s="1050"/>
      <c r="E14564" s="1050"/>
      <c r="F14564" s="1050"/>
      <c r="G14564" s="1050"/>
    </row>
    <row r="14565" spans="1:7">
      <c r="A14565" s="1079"/>
      <c r="B14565" s="1050"/>
      <c r="C14565" s="1050"/>
      <c r="D14565" s="1050"/>
      <c r="E14565" s="1050"/>
      <c r="F14565" s="1050"/>
      <c r="G14565" s="1050"/>
    </row>
    <row r="14566" spans="1:7">
      <c r="A14566" s="1079"/>
      <c r="B14566" s="1050"/>
      <c r="C14566" s="1050"/>
      <c r="D14566" s="1050"/>
      <c r="E14566" s="1050"/>
      <c r="F14566" s="1050"/>
      <c r="G14566" s="1050"/>
    </row>
    <row r="14567" spans="1:7">
      <c r="A14567" s="1079"/>
      <c r="B14567" s="1050"/>
      <c r="C14567" s="1050"/>
      <c r="D14567" s="1050"/>
      <c r="E14567" s="1050"/>
      <c r="F14567" s="1050"/>
      <c r="G14567" s="1050"/>
    </row>
    <row r="14568" spans="1:7">
      <c r="A14568" s="1079"/>
      <c r="B14568" s="1050"/>
      <c r="C14568" s="1050"/>
      <c r="D14568" s="1050"/>
      <c r="E14568" s="1050"/>
      <c r="F14568" s="1050"/>
      <c r="G14568" s="1050"/>
    </row>
    <row r="14569" spans="1:7">
      <c r="A14569" s="1079"/>
      <c r="B14569" s="1050"/>
      <c r="C14569" s="1050"/>
      <c r="D14569" s="1050"/>
      <c r="E14569" s="1050"/>
      <c r="F14569" s="1050"/>
      <c r="G14569" s="1050"/>
    </row>
    <row r="14570" spans="1:7">
      <c r="A14570" s="1079"/>
      <c r="B14570" s="1050"/>
      <c r="C14570" s="1050"/>
      <c r="D14570" s="1050"/>
      <c r="E14570" s="1050"/>
      <c r="F14570" s="1050"/>
      <c r="G14570" s="1050"/>
    </row>
    <row r="14571" spans="1:7">
      <c r="A14571" s="1079"/>
      <c r="B14571" s="1050"/>
      <c r="C14571" s="1050"/>
      <c r="D14571" s="1050"/>
      <c r="E14571" s="1050"/>
      <c r="F14571" s="1050"/>
      <c r="G14571" s="1050"/>
    </row>
    <row r="14572" spans="1:7">
      <c r="A14572" s="1079"/>
      <c r="B14572" s="1050"/>
      <c r="C14572" s="1050"/>
      <c r="D14572" s="1050"/>
      <c r="E14572" s="1050"/>
      <c r="F14572" s="1050"/>
      <c r="G14572" s="1050"/>
    </row>
    <row r="14573" spans="1:7">
      <c r="A14573" s="1079"/>
      <c r="B14573" s="1050"/>
      <c r="C14573" s="1050"/>
      <c r="D14573" s="1050"/>
      <c r="E14573" s="1050"/>
      <c r="F14573" s="1050"/>
      <c r="G14573" s="1050"/>
    </row>
    <row r="14574" spans="1:7">
      <c r="A14574" s="1079"/>
      <c r="B14574" s="1050"/>
      <c r="C14574" s="1050"/>
      <c r="D14574" s="1050"/>
      <c r="E14574" s="1050"/>
      <c r="F14574" s="1050"/>
      <c r="G14574" s="1050"/>
    </row>
    <row r="14575" spans="1:7">
      <c r="A14575" s="1079"/>
      <c r="B14575" s="1050"/>
      <c r="C14575" s="1050"/>
      <c r="D14575" s="1050"/>
      <c r="E14575" s="1050"/>
      <c r="F14575" s="1050"/>
      <c r="G14575" s="1050"/>
    </row>
    <row r="14576" spans="1:7">
      <c r="A14576" s="1079"/>
      <c r="B14576" s="1050"/>
      <c r="C14576" s="1050"/>
      <c r="D14576" s="1050"/>
      <c r="E14576" s="1050"/>
      <c r="F14576" s="1050"/>
      <c r="G14576" s="1050"/>
    </row>
    <row r="14577" spans="1:7">
      <c r="A14577" s="1079"/>
      <c r="B14577" s="1050"/>
      <c r="C14577" s="1050"/>
      <c r="D14577" s="1050"/>
      <c r="E14577" s="1050"/>
      <c r="F14577" s="1050"/>
      <c r="G14577" s="1050"/>
    </row>
    <row r="14578" spans="1:7">
      <c r="A14578" s="1079"/>
      <c r="B14578" s="1050"/>
      <c r="C14578" s="1050"/>
      <c r="D14578" s="1050"/>
      <c r="E14578" s="1050"/>
      <c r="F14578" s="1050"/>
      <c r="G14578" s="1050"/>
    </row>
    <row r="14579" spans="1:7">
      <c r="A14579" s="1079"/>
      <c r="B14579" s="1050"/>
      <c r="C14579" s="1050"/>
      <c r="D14579" s="1050"/>
      <c r="E14579" s="1050"/>
      <c r="F14579" s="1050"/>
      <c r="G14579" s="1050"/>
    </row>
    <row r="14580" spans="1:7">
      <c r="A14580" s="1079"/>
      <c r="B14580" s="1050"/>
      <c r="C14580" s="1050"/>
      <c r="D14580" s="1050"/>
      <c r="E14580" s="1050"/>
      <c r="F14580" s="1050"/>
      <c r="G14580" s="1050"/>
    </row>
    <row r="14581" spans="1:7">
      <c r="A14581" s="1079"/>
      <c r="B14581" s="1050"/>
      <c r="C14581" s="1050"/>
      <c r="D14581" s="1050"/>
      <c r="E14581" s="1050"/>
      <c r="F14581" s="1050"/>
      <c r="G14581" s="1050"/>
    </row>
    <row r="14582" spans="1:7">
      <c r="A14582" s="1079"/>
      <c r="B14582" s="1050"/>
      <c r="C14582" s="1050"/>
      <c r="D14582" s="1050"/>
      <c r="E14582" s="1050"/>
      <c r="F14582" s="1050"/>
      <c r="G14582" s="1050"/>
    </row>
    <row r="14583" spans="1:7">
      <c r="A14583" s="1079"/>
      <c r="B14583" s="1050"/>
      <c r="C14583" s="1050"/>
      <c r="D14583" s="1050"/>
      <c r="E14583" s="1050"/>
      <c r="F14583" s="1050"/>
      <c r="G14583" s="1050"/>
    </row>
    <row r="14584" spans="1:7">
      <c r="A14584" s="1079"/>
      <c r="B14584" s="1050"/>
      <c r="C14584" s="1050"/>
      <c r="D14584" s="1050"/>
      <c r="E14584" s="1050"/>
      <c r="F14584" s="1050"/>
      <c r="G14584" s="1050"/>
    </row>
    <row r="14585" spans="1:7">
      <c r="A14585" s="1079"/>
      <c r="B14585" s="1050"/>
      <c r="C14585" s="1050"/>
      <c r="D14585" s="1050"/>
      <c r="E14585" s="1050"/>
      <c r="F14585" s="1050"/>
      <c r="G14585" s="1050"/>
    </row>
    <row r="14586" spans="1:7">
      <c r="A14586" s="1079"/>
      <c r="B14586" s="1050"/>
      <c r="C14586" s="1050"/>
      <c r="D14586" s="1050"/>
      <c r="E14586" s="1050"/>
      <c r="F14586" s="1050"/>
      <c r="G14586" s="1050"/>
    </row>
    <row r="14587" spans="1:7">
      <c r="A14587" s="1079"/>
      <c r="B14587" s="1050"/>
      <c r="C14587" s="1050"/>
      <c r="D14587" s="1050"/>
      <c r="E14587" s="1050"/>
      <c r="F14587" s="1050"/>
      <c r="G14587" s="1050"/>
    </row>
    <row r="14588" spans="1:7">
      <c r="A14588" s="1079"/>
      <c r="B14588" s="1050"/>
      <c r="C14588" s="1050"/>
      <c r="D14588" s="1050"/>
      <c r="E14588" s="1050"/>
      <c r="F14588" s="1050"/>
      <c r="G14588" s="1050"/>
    </row>
    <row r="14589" spans="1:7">
      <c r="A14589" s="1079"/>
      <c r="B14589" s="1050"/>
      <c r="C14589" s="1050"/>
      <c r="D14589" s="1050"/>
      <c r="E14589" s="1050"/>
      <c r="F14589" s="1050"/>
      <c r="G14589" s="1050"/>
    </row>
    <row r="14590" spans="1:7">
      <c r="A14590" s="1079"/>
      <c r="B14590" s="1050"/>
      <c r="C14590" s="1050"/>
      <c r="D14590" s="1050"/>
      <c r="E14590" s="1050"/>
      <c r="F14590" s="1050"/>
      <c r="G14590" s="1050"/>
    </row>
    <row r="14591" spans="1:7">
      <c r="A14591" s="1079"/>
      <c r="B14591" s="1050"/>
      <c r="C14591" s="1050"/>
      <c r="D14591" s="1050"/>
      <c r="E14591" s="1050"/>
      <c r="F14591" s="1050"/>
      <c r="G14591" s="1050"/>
    </row>
    <row r="14592" spans="1:7">
      <c r="A14592" s="1079"/>
      <c r="B14592" s="1050"/>
      <c r="C14592" s="1050"/>
      <c r="D14592" s="1050"/>
      <c r="E14592" s="1050"/>
      <c r="F14592" s="1050"/>
      <c r="G14592" s="1050"/>
    </row>
    <row r="14593" spans="1:7">
      <c r="A14593" s="1079"/>
      <c r="B14593" s="1050"/>
      <c r="C14593" s="1050"/>
      <c r="D14593" s="1050"/>
      <c r="E14593" s="1050"/>
      <c r="F14593" s="1050"/>
      <c r="G14593" s="1050"/>
    </row>
    <row r="14594" spans="1:7">
      <c r="A14594" s="1079"/>
      <c r="B14594" s="1050"/>
      <c r="C14594" s="1050"/>
      <c r="D14594" s="1050"/>
      <c r="E14594" s="1050"/>
      <c r="F14594" s="1050"/>
      <c r="G14594" s="1050"/>
    </row>
    <row r="14595" spans="1:7">
      <c r="A14595" s="1079"/>
      <c r="B14595" s="1050"/>
      <c r="C14595" s="1050"/>
      <c r="D14595" s="1050"/>
      <c r="E14595" s="1050"/>
      <c r="F14595" s="1050"/>
      <c r="G14595" s="1050"/>
    </row>
    <row r="14596" spans="1:7">
      <c r="A14596" s="1079"/>
      <c r="B14596" s="1050"/>
      <c r="C14596" s="1050"/>
      <c r="D14596" s="1050"/>
      <c r="E14596" s="1050"/>
      <c r="F14596" s="1050"/>
      <c r="G14596" s="1050"/>
    </row>
    <row r="14597" spans="1:7">
      <c r="A14597" s="1079"/>
      <c r="B14597" s="1050"/>
      <c r="C14597" s="1050"/>
      <c r="D14597" s="1050"/>
      <c r="E14597" s="1050"/>
      <c r="F14597" s="1050"/>
      <c r="G14597" s="1050"/>
    </row>
    <row r="14598" spans="1:7">
      <c r="A14598" s="1079"/>
      <c r="B14598" s="1050"/>
      <c r="C14598" s="1050"/>
      <c r="D14598" s="1050"/>
      <c r="E14598" s="1050"/>
      <c r="F14598" s="1050"/>
      <c r="G14598" s="1050"/>
    </row>
    <row r="14599" spans="1:7">
      <c r="A14599" s="1079"/>
      <c r="B14599" s="1050"/>
      <c r="C14599" s="1050"/>
      <c r="D14599" s="1050"/>
      <c r="E14599" s="1050"/>
      <c r="F14599" s="1050"/>
      <c r="G14599" s="1050"/>
    </row>
    <row r="14600" spans="1:7">
      <c r="A14600" s="1079"/>
      <c r="B14600" s="1050"/>
      <c r="C14600" s="1050"/>
      <c r="D14600" s="1050"/>
      <c r="E14600" s="1050"/>
      <c r="F14600" s="1050"/>
      <c r="G14600" s="1050"/>
    </row>
    <row r="14601" spans="1:7">
      <c r="A14601" s="1079"/>
      <c r="B14601" s="1050"/>
      <c r="C14601" s="1050"/>
      <c r="D14601" s="1050"/>
      <c r="E14601" s="1050"/>
      <c r="F14601" s="1050"/>
      <c r="G14601" s="1050"/>
    </row>
    <row r="14602" spans="1:7">
      <c r="A14602" s="1079"/>
      <c r="B14602" s="1050"/>
      <c r="C14602" s="1050"/>
      <c r="D14602" s="1050"/>
      <c r="E14602" s="1050"/>
      <c r="F14602" s="1050"/>
      <c r="G14602" s="1050"/>
    </row>
    <row r="14603" spans="1:7">
      <c r="A14603" s="1079"/>
      <c r="B14603" s="1050"/>
      <c r="C14603" s="1050"/>
      <c r="D14603" s="1050"/>
      <c r="E14603" s="1050"/>
      <c r="F14603" s="1050"/>
      <c r="G14603" s="1050"/>
    </row>
    <row r="14604" spans="1:7">
      <c r="A14604" s="1079"/>
      <c r="B14604" s="1050"/>
      <c r="C14604" s="1050"/>
      <c r="D14604" s="1050"/>
      <c r="E14604" s="1050"/>
      <c r="F14604" s="1050"/>
      <c r="G14604" s="1050"/>
    </row>
    <row r="14605" spans="1:7">
      <c r="A14605" s="1079"/>
      <c r="B14605" s="1050"/>
      <c r="C14605" s="1050"/>
      <c r="D14605" s="1050"/>
      <c r="E14605" s="1050"/>
      <c r="F14605" s="1050"/>
      <c r="G14605" s="1050"/>
    </row>
    <row r="14606" spans="1:7">
      <c r="A14606" s="1079"/>
      <c r="B14606" s="1050"/>
      <c r="C14606" s="1050"/>
      <c r="D14606" s="1050"/>
      <c r="E14606" s="1050"/>
      <c r="F14606" s="1050"/>
      <c r="G14606" s="1050"/>
    </row>
    <row r="14607" spans="1:7">
      <c r="A14607" s="1079"/>
      <c r="B14607" s="1050"/>
      <c r="C14607" s="1050"/>
      <c r="D14607" s="1050"/>
      <c r="E14607" s="1050"/>
      <c r="F14607" s="1050"/>
      <c r="G14607" s="1050"/>
    </row>
    <row r="14608" spans="1:7">
      <c r="A14608" s="1079"/>
      <c r="B14608" s="1050"/>
      <c r="C14608" s="1050"/>
      <c r="D14608" s="1050"/>
      <c r="E14608" s="1050"/>
      <c r="F14608" s="1050"/>
      <c r="G14608" s="1050"/>
    </row>
    <row r="14609" spans="1:7">
      <c r="A14609" s="1079"/>
      <c r="B14609" s="1050"/>
      <c r="C14609" s="1050"/>
      <c r="D14609" s="1050"/>
      <c r="E14609" s="1050"/>
      <c r="F14609" s="1050"/>
      <c r="G14609" s="1050"/>
    </row>
    <row r="14610" spans="1:7">
      <c r="A14610" s="1079"/>
      <c r="B14610" s="1050"/>
      <c r="C14610" s="1050"/>
      <c r="D14610" s="1050"/>
      <c r="E14610" s="1050"/>
      <c r="F14610" s="1050"/>
      <c r="G14610" s="1050"/>
    </row>
    <row r="14611" spans="1:7">
      <c r="A14611" s="1079"/>
      <c r="B14611" s="1050"/>
      <c r="C14611" s="1050"/>
      <c r="D14611" s="1050"/>
      <c r="E14611" s="1050"/>
      <c r="F14611" s="1050"/>
      <c r="G14611" s="1050"/>
    </row>
    <row r="14612" spans="1:7">
      <c r="A14612" s="1079"/>
      <c r="B14612" s="1050"/>
      <c r="C14612" s="1050"/>
      <c r="D14612" s="1050"/>
      <c r="E14612" s="1050"/>
      <c r="F14612" s="1050"/>
      <c r="G14612" s="1050"/>
    </row>
    <row r="14613" spans="1:7">
      <c r="A14613" s="1079"/>
      <c r="B14613" s="1050"/>
      <c r="C14613" s="1050"/>
      <c r="D14613" s="1050"/>
      <c r="E14613" s="1050"/>
      <c r="F14613" s="1050"/>
      <c r="G14613" s="1050"/>
    </row>
    <row r="14614" spans="1:7">
      <c r="A14614" s="1079"/>
      <c r="B14614" s="1050"/>
      <c r="C14614" s="1050"/>
      <c r="D14614" s="1050"/>
      <c r="E14614" s="1050"/>
      <c r="F14614" s="1050"/>
      <c r="G14614" s="1050"/>
    </row>
    <row r="14615" spans="1:7">
      <c r="A14615" s="1079"/>
      <c r="B14615" s="1050"/>
      <c r="C14615" s="1050"/>
      <c r="D14615" s="1050"/>
      <c r="E14615" s="1050"/>
      <c r="F14615" s="1050"/>
      <c r="G14615" s="1050"/>
    </row>
    <row r="14616" spans="1:7">
      <c r="A14616" s="1079"/>
      <c r="B14616" s="1050"/>
      <c r="C14616" s="1050"/>
      <c r="D14616" s="1050"/>
      <c r="E14616" s="1050"/>
      <c r="F14616" s="1050"/>
      <c r="G14616" s="1050"/>
    </row>
    <row r="14617" spans="1:7">
      <c r="A14617" s="1079"/>
      <c r="B14617" s="1050"/>
      <c r="C14617" s="1050"/>
      <c r="D14617" s="1050"/>
      <c r="E14617" s="1050"/>
      <c r="F14617" s="1050"/>
      <c r="G14617" s="1050"/>
    </row>
    <row r="14618" spans="1:7">
      <c r="A14618" s="1079"/>
      <c r="B14618" s="1050"/>
      <c r="C14618" s="1050"/>
      <c r="D14618" s="1050"/>
      <c r="E14618" s="1050"/>
      <c r="F14618" s="1050"/>
      <c r="G14618" s="1050"/>
    </row>
    <row r="14619" spans="1:7">
      <c r="A14619" s="1079"/>
      <c r="B14619" s="1050"/>
      <c r="C14619" s="1050"/>
      <c r="D14619" s="1050"/>
      <c r="E14619" s="1050"/>
      <c r="F14619" s="1050"/>
      <c r="G14619" s="1050"/>
    </row>
    <row r="14620" spans="1:7">
      <c r="A14620" s="1079"/>
      <c r="B14620" s="1050"/>
      <c r="C14620" s="1050"/>
      <c r="D14620" s="1050"/>
      <c r="E14620" s="1050"/>
      <c r="F14620" s="1050"/>
      <c r="G14620" s="1050"/>
    </row>
    <row r="14621" spans="1:7">
      <c r="A14621" s="1079"/>
      <c r="B14621" s="1050"/>
      <c r="C14621" s="1050"/>
      <c r="D14621" s="1050"/>
      <c r="E14621" s="1050"/>
      <c r="F14621" s="1050"/>
      <c r="G14621" s="1050"/>
    </row>
    <row r="14622" spans="1:7">
      <c r="A14622" s="1079"/>
      <c r="B14622" s="1050"/>
      <c r="C14622" s="1050"/>
      <c r="D14622" s="1050"/>
      <c r="E14622" s="1050"/>
      <c r="F14622" s="1050"/>
      <c r="G14622" s="1050"/>
    </row>
    <row r="14623" spans="1:7">
      <c r="A14623" s="1079"/>
      <c r="B14623" s="1050"/>
      <c r="C14623" s="1050"/>
      <c r="D14623" s="1050"/>
      <c r="E14623" s="1050"/>
      <c r="F14623" s="1050"/>
      <c r="G14623" s="1050"/>
    </row>
    <row r="14624" spans="1:7">
      <c r="A14624" s="1079"/>
      <c r="B14624" s="1050"/>
      <c r="C14624" s="1050"/>
      <c r="D14624" s="1050"/>
      <c r="E14624" s="1050"/>
      <c r="F14624" s="1050"/>
      <c r="G14624" s="1050"/>
    </row>
    <row r="14625" spans="1:7">
      <c r="A14625" s="1079"/>
      <c r="B14625" s="1050"/>
      <c r="C14625" s="1050"/>
      <c r="D14625" s="1050"/>
      <c r="E14625" s="1050"/>
      <c r="F14625" s="1050"/>
      <c r="G14625" s="1050"/>
    </row>
    <row r="14626" spans="1:7">
      <c r="A14626" s="1079"/>
      <c r="B14626" s="1050"/>
      <c r="C14626" s="1050"/>
      <c r="D14626" s="1050"/>
      <c r="E14626" s="1050"/>
      <c r="F14626" s="1050"/>
      <c r="G14626" s="1050"/>
    </row>
    <row r="14627" spans="1:7">
      <c r="A14627" s="1079"/>
      <c r="B14627" s="1050"/>
      <c r="C14627" s="1050"/>
      <c r="D14627" s="1050"/>
      <c r="E14627" s="1050"/>
      <c r="F14627" s="1050"/>
      <c r="G14627" s="1050"/>
    </row>
    <row r="14628" spans="1:7">
      <c r="A14628" s="1079"/>
      <c r="B14628" s="1050"/>
      <c r="C14628" s="1050"/>
      <c r="D14628" s="1050"/>
      <c r="E14628" s="1050"/>
      <c r="F14628" s="1050"/>
      <c r="G14628" s="1050"/>
    </row>
    <row r="14629" spans="1:7">
      <c r="A14629" s="1079"/>
      <c r="B14629" s="1050"/>
      <c r="C14629" s="1050"/>
      <c r="D14629" s="1050"/>
      <c r="E14629" s="1050"/>
      <c r="F14629" s="1050"/>
      <c r="G14629" s="1050"/>
    </row>
    <row r="14630" spans="1:7">
      <c r="A14630" s="1079"/>
      <c r="B14630" s="1050"/>
      <c r="C14630" s="1050"/>
      <c r="D14630" s="1050"/>
      <c r="E14630" s="1050"/>
      <c r="F14630" s="1050"/>
      <c r="G14630" s="1050"/>
    </row>
    <row r="14631" spans="1:7">
      <c r="A14631" s="1079"/>
      <c r="B14631" s="1050"/>
      <c r="C14631" s="1050"/>
      <c r="D14631" s="1050"/>
      <c r="E14631" s="1050"/>
      <c r="F14631" s="1050"/>
      <c r="G14631" s="1050"/>
    </row>
    <row r="14632" spans="1:7">
      <c r="A14632" s="1079"/>
      <c r="B14632" s="1050"/>
      <c r="C14632" s="1050"/>
      <c r="D14632" s="1050"/>
      <c r="E14632" s="1050"/>
      <c r="F14632" s="1050"/>
      <c r="G14632" s="1050"/>
    </row>
    <row r="14633" spans="1:7">
      <c r="A14633" s="1079"/>
      <c r="B14633" s="1050"/>
      <c r="C14633" s="1050"/>
      <c r="D14633" s="1050"/>
      <c r="E14633" s="1050"/>
      <c r="F14633" s="1050"/>
      <c r="G14633" s="1050"/>
    </row>
    <row r="14634" spans="1:7">
      <c r="A14634" s="1079"/>
      <c r="B14634" s="1050"/>
      <c r="C14634" s="1050"/>
      <c r="D14634" s="1050"/>
      <c r="E14634" s="1050"/>
      <c r="F14634" s="1050"/>
      <c r="G14634" s="1050"/>
    </row>
    <row r="14635" spans="1:7">
      <c r="A14635" s="1079"/>
      <c r="B14635" s="1050"/>
      <c r="C14635" s="1050"/>
      <c r="D14635" s="1050"/>
      <c r="E14635" s="1050"/>
      <c r="F14635" s="1050"/>
      <c r="G14635" s="1050"/>
    </row>
    <row r="14636" spans="1:7">
      <c r="A14636" s="1079"/>
      <c r="B14636" s="1050"/>
      <c r="C14636" s="1050"/>
      <c r="D14636" s="1050"/>
      <c r="E14636" s="1050"/>
      <c r="F14636" s="1050"/>
      <c r="G14636" s="1050"/>
    </row>
    <row r="14637" spans="1:7">
      <c r="A14637" s="1079"/>
      <c r="B14637" s="1050"/>
      <c r="C14637" s="1050"/>
      <c r="D14637" s="1050"/>
      <c r="E14637" s="1050"/>
      <c r="F14637" s="1050"/>
      <c r="G14637" s="1050"/>
    </row>
    <row r="14638" spans="1:7">
      <c r="A14638" s="1079"/>
      <c r="B14638" s="1050"/>
      <c r="C14638" s="1050"/>
      <c r="D14638" s="1050"/>
      <c r="E14638" s="1050"/>
      <c r="F14638" s="1050"/>
      <c r="G14638" s="1050"/>
    </row>
    <row r="14639" spans="1:7">
      <c r="A14639" s="1079"/>
      <c r="B14639" s="1050"/>
      <c r="C14639" s="1050"/>
      <c r="D14639" s="1050"/>
      <c r="E14639" s="1050"/>
      <c r="F14639" s="1050"/>
      <c r="G14639" s="1050"/>
    </row>
    <row r="14640" spans="1:7">
      <c r="A14640" s="1079"/>
      <c r="B14640" s="1050"/>
      <c r="C14640" s="1050"/>
      <c r="D14640" s="1050"/>
      <c r="E14640" s="1050"/>
      <c r="F14640" s="1050"/>
      <c r="G14640" s="1050"/>
    </row>
    <row r="14641" spans="1:7">
      <c r="A14641" s="1079"/>
      <c r="B14641" s="1050"/>
      <c r="C14641" s="1050"/>
      <c r="D14641" s="1050"/>
      <c r="E14641" s="1050"/>
      <c r="F14641" s="1050"/>
      <c r="G14641" s="1050"/>
    </row>
    <row r="14642" spans="1:7">
      <c r="A14642" s="1079"/>
      <c r="B14642" s="1050"/>
      <c r="C14642" s="1050"/>
      <c r="D14642" s="1050"/>
      <c r="E14642" s="1050"/>
      <c r="F14642" s="1050"/>
      <c r="G14642" s="1050"/>
    </row>
    <row r="14643" spans="1:7">
      <c r="A14643" s="1079"/>
      <c r="B14643" s="1050"/>
      <c r="C14643" s="1050"/>
      <c r="D14643" s="1050"/>
      <c r="E14643" s="1050"/>
      <c r="F14643" s="1050"/>
      <c r="G14643" s="1050"/>
    </row>
    <row r="14644" spans="1:7">
      <c r="A14644" s="1079"/>
      <c r="B14644" s="1050"/>
      <c r="C14644" s="1050"/>
      <c r="D14644" s="1050"/>
      <c r="E14644" s="1050"/>
      <c r="F14644" s="1050"/>
      <c r="G14644" s="1050"/>
    </row>
    <row r="14645" spans="1:7">
      <c r="A14645" s="1079"/>
      <c r="B14645" s="1050"/>
      <c r="C14645" s="1050"/>
      <c r="D14645" s="1050"/>
      <c r="E14645" s="1050"/>
      <c r="F14645" s="1050"/>
      <c r="G14645" s="1050"/>
    </row>
    <row r="14646" spans="1:7">
      <c r="A14646" s="1079"/>
      <c r="B14646" s="1050"/>
      <c r="C14646" s="1050"/>
      <c r="D14646" s="1050"/>
      <c r="E14646" s="1050"/>
      <c r="F14646" s="1050"/>
      <c r="G14646" s="1050"/>
    </row>
    <row r="14647" spans="1:7">
      <c r="A14647" s="1079"/>
      <c r="B14647" s="1050"/>
      <c r="C14647" s="1050"/>
      <c r="D14647" s="1050"/>
      <c r="E14647" s="1050"/>
      <c r="F14647" s="1050"/>
      <c r="G14647" s="1050"/>
    </row>
    <row r="14648" spans="1:7">
      <c r="A14648" s="1079"/>
      <c r="B14648" s="1050"/>
      <c r="C14648" s="1050"/>
      <c r="D14648" s="1050"/>
      <c r="E14648" s="1050"/>
      <c r="F14648" s="1050"/>
      <c r="G14648" s="1050"/>
    </row>
    <row r="14649" spans="1:7">
      <c r="A14649" s="1079"/>
      <c r="B14649" s="1050"/>
      <c r="C14649" s="1050"/>
      <c r="D14649" s="1050"/>
      <c r="E14649" s="1050"/>
      <c r="F14649" s="1050"/>
      <c r="G14649" s="1050"/>
    </row>
    <row r="14650" spans="1:7">
      <c r="A14650" s="1079"/>
      <c r="B14650" s="1050"/>
      <c r="C14650" s="1050"/>
      <c r="D14650" s="1050"/>
      <c r="E14650" s="1050"/>
      <c r="F14650" s="1050"/>
      <c r="G14650" s="1050"/>
    </row>
    <row r="14651" spans="1:7">
      <c r="A14651" s="1079"/>
      <c r="B14651" s="1050"/>
      <c r="C14651" s="1050"/>
      <c r="D14651" s="1050"/>
      <c r="E14651" s="1050"/>
      <c r="F14651" s="1050"/>
      <c r="G14651" s="1050"/>
    </row>
    <row r="14652" spans="1:7">
      <c r="A14652" s="1079"/>
      <c r="B14652" s="1050"/>
      <c r="C14652" s="1050"/>
      <c r="D14652" s="1050"/>
      <c r="E14652" s="1050"/>
      <c r="F14652" s="1050"/>
      <c r="G14652" s="1050"/>
    </row>
    <row r="14653" spans="1:7">
      <c r="A14653" s="1079"/>
      <c r="B14653" s="1050"/>
      <c r="C14653" s="1050"/>
      <c r="D14653" s="1050"/>
      <c r="E14653" s="1050"/>
      <c r="F14653" s="1050"/>
      <c r="G14653" s="1050"/>
    </row>
    <row r="14654" spans="1:7">
      <c r="A14654" s="1079"/>
      <c r="B14654" s="1050"/>
      <c r="C14654" s="1050"/>
      <c r="D14654" s="1050"/>
      <c r="E14654" s="1050"/>
      <c r="F14654" s="1050"/>
      <c r="G14654" s="1050"/>
    </row>
    <row r="14655" spans="1:7">
      <c r="A14655" s="1079"/>
      <c r="B14655" s="1050"/>
      <c r="C14655" s="1050"/>
      <c r="D14655" s="1050"/>
      <c r="E14655" s="1050"/>
      <c r="F14655" s="1050"/>
      <c r="G14655" s="1050"/>
    </row>
    <row r="14656" spans="1:7">
      <c r="A14656" s="1079"/>
      <c r="B14656" s="1050"/>
      <c r="C14656" s="1050"/>
      <c r="D14656" s="1050"/>
      <c r="E14656" s="1050"/>
      <c r="F14656" s="1050"/>
      <c r="G14656" s="1050"/>
    </row>
    <row r="14657" spans="1:7">
      <c r="A14657" s="1079"/>
      <c r="B14657" s="1050"/>
      <c r="C14657" s="1050"/>
      <c r="D14657" s="1050"/>
      <c r="E14657" s="1050"/>
      <c r="F14657" s="1050"/>
      <c r="G14657" s="1050"/>
    </row>
    <row r="14658" spans="1:7">
      <c r="A14658" s="1079"/>
      <c r="B14658" s="1050"/>
      <c r="C14658" s="1050"/>
      <c r="D14658" s="1050"/>
      <c r="E14658" s="1050"/>
      <c r="F14658" s="1050"/>
      <c r="G14658" s="1050"/>
    </row>
    <row r="14659" spans="1:7">
      <c r="A14659" s="1079"/>
      <c r="B14659" s="1050"/>
      <c r="C14659" s="1050"/>
      <c r="D14659" s="1050"/>
      <c r="E14659" s="1050"/>
      <c r="F14659" s="1050"/>
      <c r="G14659" s="1050"/>
    </row>
    <row r="14660" spans="1:7">
      <c r="A14660" s="1079"/>
      <c r="B14660" s="1050"/>
      <c r="C14660" s="1050"/>
      <c r="D14660" s="1050"/>
      <c r="E14660" s="1050"/>
      <c r="F14660" s="1050"/>
      <c r="G14660" s="1050"/>
    </row>
    <row r="14661" spans="1:7">
      <c r="A14661" s="1079"/>
      <c r="B14661" s="1050"/>
      <c r="C14661" s="1050"/>
      <c r="D14661" s="1050"/>
      <c r="E14661" s="1050"/>
      <c r="F14661" s="1050"/>
      <c r="G14661" s="1050"/>
    </row>
    <row r="14662" spans="1:7">
      <c r="A14662" s="1079"/>
      <c r="B14662" s="1050"/>
      <c r="C14662" s="1050"/>
      <c r="D14662" s="1050"/>
      <c r="E14662" s="1050"/>
      <c r="F14662" s="1050"/>
      <c r="G14662" s="1050"/>
    </row>
    <row r="14663" spans="1:7">
      <c r="A14663" s="1079"/>
      <c r="B14663" s="1050"/>
      <c r="C14663" s="1050"/>
      <c r="D14663" s="1050"/>
      <c r="E14663" s="1050"/>
      <c r="F14663" s="1050"/>
      <c r="G14663" s="1050"/>
    </row>
    <row r="14664" spans="1:7">
      <c r="A14664" s="1079"/>
      <c r="B14664" s="1050"/>
      <c r="C14664" s="1050"/>
      <c r="D14664" s="1050"/>
      <c r="E14664" s="1050"/>
      <c r="F14664" s="1050"/>
      <c r="G14664" s="1050"/>
    </row>
    <row r="14665" spans="1:7">
      <c r="A14665" s="1079"/>
      <c r="B14665" s="1050"/>
      <c r="C14665" s="1050"/>
      <c r="D14665" s="1050"/>
      <c r="E14665" s="1050"/>
      <c r="F14665" s="1050"/>
      <c r="G14665" s="1050"/>
    </row>
    <row r="14666" spans="1:7">
      <c r="A14666" s="1079"/>
      <c r="B14666" s="1050"/>
      <c r="C14666" s="1050"/>
      <c r="D14666" s="1050"/>
      <c r="E14666" s="1050"/>
      <c r="F14666" s="1050"/>
      <c r="G14666" s="1050"/>
    </row>
    <row r="14667" spans="1:7">
      <c r="A14667" s="1079"/>
      <c r="B14667" s="1050"/>
      <c r="C14667" s="1050"/>
      <c r="D14667" s="1050"/>
      <c r="E14667" s="1050"/>
      <c r="F14667" s="1050"/>
      <c r="G14667" s="1050"/>
    </row>
    <row r="14668" spans="1:7">
      <c r="A14668" s="1079"/>
      <c r="B14668" s="1050"/>
      <c r="C14668" s="1050"/>
      <c r="D14668" s="1050"/>
      <c r="E14668" s="1050"/>
      <c r="F14668" s="1050"/>
      <c r="G14668" s="1050"/>
    </row>
    <row r="14669" spans="1:7">
      <c r="A14669" s="1079"/>
      <c r="B14669" s="1050"/>
      <c r="C14669" s="1050"/>
      <c r="D14669" s="1050"/>
      <c r="E14669" s="1050"/>
      <c r="F14669" s="1050"/>
      <c r="G14669" s="1050"/>
    </row>
    <row r="14670" spans="1:7">
      <c r="A14670" s="1079"/>
      <c r="B14670" s="1050"/>
      <c r="C14670" s="1050"/>
      <c r="D14670" s="1050"/>
      <c r="E14670" s="1050"/>
      <c r="F14670" s="1050"/>
      <c r="G14670" s="1050"/>
    </row>
    <row r="14671" spans="1:7">
      <c r="A14671" s="1079"/>
      <c r="B14671" s="1050"/>
      <c r="C14671" s="1050"/>
      <c r="D14671" s="1050"/>
      <c r="E14671" s="1050"/>
      <c r="F14671" s="1050"/>
      <c r="G14671" s="1050"/>
    </row>
    <row r="14672" spans="1:7">
      <c r="A14672" s="1079"/>
      <c r="B14672" s="1050"/>
      <c r="C14672" s="1050"/>
      <c r="D14672" s="1050"/>
      <c r="E14672" s="1050"/>
      <c r="F14672" s="1050"/>
      <c r="G14672" s="1050"/>
    </row>
    <row r="14673" spans="1:7">
      <c r="A14673" s="1079"/>
      <c r="B14673" s="1050"/>
      <c r="C14673" s="1050"/>
      <c r="D14673" s="1050"/>
      <c r="E14673" s="1050"/>
      <c r="F14673" s="1050"/>
      <c r="G14673" s="1050"/>
    </row>
    <row r="14674" spans="1:7">
      <c r="A14674" s="1079"/>
      <c r="B14674" s="1050"/>
      <c r="C14674" s="1050"/>
      <c r="D14674" s="1050"/>
      <c r="E14674" s="1050"/>
      <c r="F14674" s="1050"/>
      <c r="G14674" s="1050"/>
    </row>
    <row r="14675" spans="1:7">
      <c r="A14675" s="1079"/>
      <c r="B14675" s="1050"/>
      <c r="C14675" s="1050"/>
      <c r="D14675" s="1050"/>
      <c r="E14675" s="1050"/>
      <c r="F14675" s="1050"/>
      <c r="G14675" s="1050"/>
    </row>
    <row r="14676" spans="1:7">
      <c r="A14676" s="1079"/>
      <c r="B14676" s="1050"/>
      <c r="C14676" s="1050"/>
      <c r="D14676" s="1050"/>
      <c r="E14676" s="1050"/>
      <c r="F14676" s="1050"/>
      <c r="G14676" s="1050"/>
    </row>
    <row r="14677" spans="1:7">
      <c r="A14677" s="1079"/>
      <c r="B14677" s="1050"/>
      <c r="C14677" s="1050"/>
      <c r="D14677" s="1050"/>
      <c r="E14677" s="1050"/>
      <c r="F14677" s="1050"/>
      <c r="G14677" s="1050"/>
    </row>
    <row r="14678" spans="1:7">
      <c r="A14678" s="1079"/>
      <c r="B14678" s="1050"/>
      <c r="C14678" s="1050"/>
      <c r="D14678" s="1050"/>
      <c r="E14678" s="1050"/>
      <c r="F14678" s="1050"/>
      <c r="G14678" s="1050"/>
    </row>
    <row r="14679" spans="1:7">
      <c r="A14679" s="1079"/>
      <c r="B14679" s="1050"/>
      <c r="C14679" s="1050"/>
      <c r="D14679" s="1050"/>
      <c r="E14679" s="1050"/>
      <c r="F14679" s="1050"/>
      <c r="G14679" s="1050"/>
    </row>
    <row r="14680" spans="1:7">
      <c r="A14680" s="1079"/>
      <c r="B14680" s="1050"/>
      <c r="C14680" s="1050"/>
      <c r="D14680" s="1050"/>
      <c r="E14680" s="1050"/>
      <c r="F14680" s="1050"/>
      <c r="G14680" s="1050"/>
    </row>
    <row r="14681" spans="1:7">
      <c r="A14681" s="1079"/>
      <c r="B14681" s="1050"/>
      <c r="C14681" s="1050"/>
      <c r="D14681" s="1050"/>
      <c r="E14681" s="1050"/>
      <c r="F14681" s="1050"/>
      <c r="G14681" s="1050"/>
    </row>
    <row r="14682" spans="1:7">
      <c r="A14682" s="1079"/>
      <c r="B14682" s="1050"/>
      <c r="C14682" s="1050"/>
      <c r="D14682" s="1050"/>
      <c r="E14682" s="1050"/>
      <c r="F14682" s="1050"/>
      <c r="G14682" s="1050"/>
    </row>
    <row r="14683" spans="1:7">
      <c r="A14683" s="1079"/>
      <c r="B14683" s="1050"/>
      <c r="C14683" s="1050"/>
      <c r="D14683" s="1050"/>
      <c r="E14683" s="1050"/>
      <c r="F14683" s="1050"/>
      <c r="G14683" s="1050"/>
    </row>
    <row r="14684" spans="1:7">
      <c r="A14684" s="1079"/>
      <c r="B14684" s="1050"/>
      <c r="C14684" s="1050"/>
      <c r="D14684" s="1050"/>
      <c r="E14684" s="1050"/>
      <c r="F14684" s="1050"/>
      <c r="G14684" s="1050"/>
    </row>
    <row r="14685" spans="1:7">
      <c r="A14685" s="1079"/>
      <c r="B14685" s="1050"/>
      <c r="C14685" s="1050"/>
      <c r="D14685" s="1050"/>
      <c r="E14685" s="1050"/>
      <c r="F14685" s="1050"/>
      <c r="G14685" s="1050"/>
    </row>
    <row r="14686" spans="1:7">
      <c r="A14686" s="1079"/>
      <c r="B14686" s="1050"/>
      <c r="C14686" s="1050"/>
      <c r="D14686" s="1050"/>
      <c r="E14686" s="1050"/>
      <c r="F14686" s="1050"/>
      <c r="G14686" s="1050"/>
    </row>
    <row r="14687" spans="1:7">
      <c r="A14687" s="1079"/>
      <c r="B14687" s="1050"/>
      <c r="C14687" s="1050"/>
      <c r="D14687" s="1050"/>
      <c r="E14687" s="1050"/>
      <c r="F14687" s="1050"/>
      <c r="G14687" s="1050"/>
    </row>
    <row r="14688" spans="1:7">
      <c r="A14688" s="1079"/>
      <c r="B14688" s="1050"/>
      <c r="C14688" s="1050"/>
      <c r="D14688" s="1050"/>
      <c r="E14688" s="1050"/>
      <c r="F14688" s="1050"/>
      <c r="G14688" s="1050"/>
    </row>
    <row r="14689" spans="1:7">
      <c r="A14689" s="1079"/>
      <c r="B14689" s="1050"/>
      <c r="C14689" s="1050"/>
      <c r="D14689" s="1050"/>
      <c r="E14689" s="1050"/>
      <c r="F14689" s="1050"/>
      <c r="G14689" s="1050"/>
    </row>
    <row r="14690" spans="1:7">
      <c r="A14690" s="1079"/>
      <c r="B14690" s="1050"/>
      <c r="C14690" s="1050"/>
      <c r="D14690" s="1050"/>
      <c r="E14690" s="1050"/>
      <c r="F14690" s="1050"/>
      <c r="G14690" s="1050"/>
    </row>
    <row r="14691" spans="1:7">
      <c r="A14691" s="1079"/>
      <c r="B14691" s="1050"/>
      <c r="C14691" s="1050"/>
      <c r="D14691" s="1050"/>
      <c r="E14691" s="1050"/>
      <c r="F14691" s="1050"/>
      <c r="G14691" s="1050"/>
    </row>
    <row r="14692" spans="1:7">
      <c r="A14692" s="1079"/>
      <c r="B14692" s="1050"/>
      <c r="C14692" s="1050"/>
      <c r="D14692" s="1050"/>
      <c r="E14692" s="1050"/>
      <c r="F14692" s="1050"/>
      <c r="G14692" s="1050"/>
    </row>
    <row r="14693" spans="1:7">
      <c r="A14693" s="1079"/>
      <c r="B14693" s="1050"/>
      <c r="C14693" s="1050"/>
      <c r="D14693" s="1050"/>
      <c r="E14693" s="1050"/>
      <c r="F14693" s="1050"/>
      <c r="G14693" s="1050"/>
    </row>
    <row r="14694" spans="1:7">
      <c r="A14694" s="1079"/>
      <c r="B14694" s="1050"/>
      <c r="C14694" s="1050"/>
      <c r="D14694" s="1050"/>
      <c r="E14694" s="1050"/>
      <c r="F14694" s="1050"/>
      <c r="G14694" s="1050"/>
    </row>
    <row r="14695" spans="1:7">
      <c r="A14695" s="1079"/>
      <c r="B14695" s="1050"/>
      <c r="C14695" s="1050"/>
      <c r="D14695" s="1050"/>
      <c r="E14695" s="1050"/>
      <c r="F14695" s="1050"/>
      <c r="G14695" s="1050"/>
    </row>
    <row r="14696" spans="1:7">
      <c r="A14696" s="1079"/>
      <c r="B14696" s="1050"/>
      <c r="C14696" s="1050"/>
      <c r="D14696" s="1050"/>
      <c r="E14696" s="1050"/>
      <c r="F14696" s="1050"/>
      <c r="G14696" s="1050"/>
    </row>
    <row r="14697" spans="1:7">
      <c r="A14697" s="1079"/>
      <c r="B14697" s="1050"/>
      <c r="C14697" s="1050"/>
      <c r="D14697" s="1050"/>
      <c r="E14697" s="1050"/>
      <c r="F14697" s="1050"/>
      <c r="G14697" s="1050"/>
    </row>
    <row r="14698" spans="1:7">
      <c r="A14698" s="1079"/>
      <c r="B14698" s="1050"/>
      <c r="C14698" s="1050"/>
      <c r="D14698" s="1050"/>
      <c r="E14698" s="1050"/>
      <c r="F14698" s="1050"/>
      <c r="G14698" s="1050"/>
    </row>
    <row r="14699" spans="1:7">
      <c r="A14699" s="1079"/>
      <c r="B14699" s="1050"/>
      <c r="C14699" s="1050"/>
      <c r="D14699" s="1050"/>
      <c r="E14699" s="1050"/>
      <c r="F14699" s="1050"/>
      <c r="G14699" s="1050"/>
    </row>
    <row r="14700" spans="1:7">
      <c r="A14700" s="1079"/>
      <c r="B14700" s="1050"/>
      <c r="C14700" s="1050"/>
      <c r="D14700" s="1050"/>
      <c r="E14700" s="1050"/>
      <c r="F14700" s="1050"/>
      <c r="G14700" s="1050"/>
    </row>
    <row r="14701" spans="1:7">
      <c r="A14701" s="1079"/>
      <c r="B14701" s="1050"/>
      <c r="C14701" s="1050"/>
      <c r="D14701" s="1050"/>
      <c r="E14701" s="1050"/>
      <c r="F14701" s="1050"/>
      <c r="G14701" s="1050"/>
    </row>
    <row r="14702" spans="1:7">
      <c r="A14702" s="1079"/>
      <c r="B14702" s="1050"/>
      <c r="C14702" s="1050"/>
      <c r="D14702" s="1050"/>
      <c r="E14702" s="1050"/>
      <c r="F14702" s="1050"/>
      <c r="G14702" s="1050"/>
    </row>
    <row r="14703" spans="1:7">
      <c r="A14703" s="1079"/>
      <c r="B14703" s="1050"/>
      <c r="C14703" s="1050"/>
      <c r="D14703" s="1050"/>
      <c r="E14703" s="1050"/>
      <c r="F14703" s="1050"/>
      <c r="G14703" s="1050"/>
    </row>
    <row r="14704" spans="1:7">
      <c r="A14704" s="1079"/>
      <c r="B14704" s="1050"/>
      <c r="C14704" s="1050"/>
      <c r="D14704" s="1050"/>
      <c r="E14704" s="1050"/>
      <c r="F14704" s="1050"/>
      <c r="G14704" s="1050"/>
    </row>
    <row r="14705" spans="1:7">
      <c r="A14705" s="1079"/>
      <c r="B14705" s="1050"/>
      <c r="C14705" s="1050"/>
      <c r="D14705" s="1050"/>
      <c r="E14705" s="1050"/>
      <c r="F14705" s="1050"/>
      <c r="G14705" s="1050"/>
    </row>
    <row r="14706" spans="1:7">
      <c r="A14706" s="1079"/>
      <c r="B14706" s="1050"/>
      <c r="C14706" s="1050"/>
      <c r="D14706" s="1050"/>
      <c r="E14706" s="1050"/>
      <c r="F14706" s="1050"/>
      <c r="G14706" s="1050"/>
    </row>
    <row r="14707" spans="1:7">
      <c r="A14707" s="1079"/>
      <c r="B14707" s="1050"/>
      <c r="C14707" s="1050"/>
      <c r="D14707" s="1050"/>
      <c r="E14707" s="1050"/>
      <c r="F14707" s="1050"/>
      <c r="G14707" s="1050"/>
    </row>
    <row r="14708" spans="1:7">
      <c r="A14708" s="1079"/>
      <c r="B14708" s="1050"/>
      <c r="C14708" s="1050"/>
      <c r="D14708" s="1050"/>
      <c r="E14708" s="1050"/>
      <c r="F14708" s="1050"/>
      <c r="G14708" s="1050"/>
    </row>
    <row r="14709" spans="1:7">
      <c r="A14709" s="1079"/>
      <c r="B14709" s="1050"/>
      <c r="C14709" s="1050"/>
      <c r="D14709" s="1050"/>
      <c r="E14709" s="1050"/>
      <c r="F14709" s="1050"/>
      <c r="G14709" s="1050"/>
    </row>
    <row r="14710" spans="1:7">
      <c r="A14710" s="1079"/>
      <c r="B14710" s="1050"/>
      <c r="C14710" s="1050"/>
      <c r="D14710" s="1050"/>
      <c r="E14710" s="1050"/>
      <c r="F14710" s="1050"/>
      <c r="G14710" s="1050"/>
    </row>
    <row r="14711" spans="1:7">
      <c r="A14711" s="1079"/>
      <c r="B14711" s="1050"/>
      <c r="C14711" s="1050"/>
      <c r="D14711" s="1050"/>
      <c r="E14711" s="1050"/>
      <c r="F14711" s="1050"/>
      <c r="G14711" s="1050"/>
    </row>
    <row r="14712" spans="1:7">
      <c r="A14712" s="1079"/>
      <c r="B14712" s="1050"/>
      <c r="C14712" s="1050"/>
      <c r="D14712" s="1050"/>
      <c r="E14712" s="1050"/>
      <c r="F14712" s="1050"/>
      <c r="G14712" s="1050"/>
    </row>
    <row r="14713" spans="1:7">
      <c r="A14713" s="1079"/>
      <c r="B14713" s="1050"/>
      <c r="C14713" s="1050"/>
      <c r="D14713" s="1050"/>
      <c r="E14713" s="1050"/>
      <c r="F14713" s="1050"/>
      <c r="G14713" s="1050"/>
    </row>
    <row r="14714" spans="1:7">
      <c r="A14714" s="1079"/>
      <c r="B14714" s="1050"/>
      <c r="C14714" s="1050"/>
      <c r="D14714" s="1050"/>
      <c r="E14714" s="1050"/>
      <c r="F14714" s="1050"/>
      <c r="G14714" s="1050"/>
    </row>
    <row r="14715" spans="1:7">
      <c r="A14715" s="1079"/>
      <c r="B14715" s="1050"/>
      <c r="C14715" s="1050"/>
      <c r="D14715" s="1050"/>
      <c r="E14715" s="1050"/>
      <c r="F14715" s="1050"/>
      <c r="G14715" s="1050"/>
    </row>
    <row r="14716" spans="1:7">
      <c r="A14716" s="1079"/>
      <c r="B14716" s="1050"/>
      <c r="C14716" s="1050"/>
      <c r="D14716" s="1050"/>
      <c r="E14716" s="1050"/>
      <c r="F14716" s="1050"/>
      <c r="G14716" s="1050"/>
    </row>
    <row r="14717" spans="1:7">
      <c r="A14717" s="1079"/>
      <c r="B14717" s="1050"/>
      <c r="C14717" s="1050"/>
      <c r="D14717" s="1050"/>
      <c r="E14717" s="1050"/>
      <c r="F14717" s="1050"/>
      <c r="G14717" s="1050"/>
    </row>
    <row r="14718" spans="1:7">
      <c r="A14718" s="1079"/>
      <c r="B14718" s="1050"/>
      <c r="C14718" s="1050"/>
      <c r="D14718" s="1050"/>
      <c r="E14718" s="1050"/>
      <c r="F14718" s="1050"/>
      <c r="G14718" s="1050"/>
    </row>
    <row r="14719" spans="1:7">
      <c r="A14719" s="1079"/>
      <c r="B14719" s="1050"/>
      <c r="C14719" s="1050"/>
      <c r="D14719" s="1050"/>
      <c r="E14719" s="1050"/>
      <c r="F14719" s="1050"/>
      <c r="G14719" s="1050"/>
    </row>
    <row r="14720" spans="1:7">
      <c r="A14720" s="1079"/>
      <c r="B14720" s="1050"/>
      <c r="C14720" s="1050"/>
      <c r="D14720" s="1050"/>
      <c r="E14720" s="1050"/>
      <c r="F14720" s="1050"/>
      <c r="G14720" s="1050"/>
    </row>
    <row r="14721" spans="1:7">
      <c r="A14721" s="1079"/>
      <c r="B14721" s="1050"/>
      <c r="C14721" s="1050"/>
      <c r="D14721" s="1050"/>
      <c r="E14721" s="1050"/>
      <c r="F14721" s="1050"/>
      <c r="G14721" s="1050"/>
    </row>
    <row r="14722" spans="1:7">
      <c r="A14722" s="1079"/>
      <c r="B14722" s="1050"/>
      <c r="C14722" s="1050"/>
      <c r="D14722" s="1050"/>
      <c r="E14722" s="1050"/>
      <c r="F14722" s="1050"/>
      <c r="G14722" s="1050"/>
    </row>
    <row r="14723" spans="1:7">
      <c r="A14723" s="1079"/>
      <c r="B14723" s="1050"/>
      <c r="C14723" s="1050"/>
      <c r="D14723" s="1050"/>
      <c r="E14723" s="1050"/>
      <c r="F14723" s="1050"/>
      <c r="G14723" s="1050"/>
    </row>
    <row r="14724" spans="1:7">
      <c r="A14724" s="1079"/>
      <c r="B14724" s="1050"/>
      <c r="C14724" s="1050"/>
      <c r="D14724" s="1050"/>
      <c r="E14724" s="1050"/>
      <c r="F14724" s="1050"/>
      <c r="G14724" s="1050"/>
    </row>
    <row r="14725" spans="1:7">
      <c r="A14725" s="1079"/>
      <c r="B14725" s="1050"/>
      <c r="C14725" s="1050"/>
      <c r="D14725" s="1050"/>
      <c r="E14725" s="1050"/>
      <c r="F14725" s="1050"/>
      <c r="G14725" s="1050"/>
    </row>
    <row r="14726" spans="1:7">
      <c r="A14726" s="1079"/>
      <c r="B14726" s="1050"/>
      <c r="C14726" s="1050"/>
      <c r="D14726" s="1050"/>
      <c r="E14726" s="1050"/>
      <c r="F14726" s="1050"/>
      <c r="G14726" s="1050"/>
    </row>
    <row r="14727" spans="1:7">
      <c r="A14727" s="1079"/>
      <c r="B14727" s="1050"/>
      <c r="C14727" s="1050"/>
      <c r="D14727" s="1050"/>
      <c r="E14727" s="1050"/>
      <c r="F14727" s="1050"/>
      <c r="G14727" s="1050"/>
    </row>
    <row r="14728" spans="1:7">
      <c r="A14728" s="1079"/>
      <c r="B14728" s="1050"/>
      <c r="C14728" s="1050"/>
      <c r="D14728" s="1050"/>
      <c r="E14728" s="1050"/>
      <c r="F14728" s="1050"/>
      <c r="G14728" s="1050"/>
    </row>
    <row r="14729" spans="1:7">
      <c r="A14729" s="1079"/>
      <c r="B14729" s="1050"/>
      <c r="C14729" s="1050"/>
      <c r="D14729" s="1050"/>
      <c r="E14729" s="1050"/>
      <c r="F14729" s="1050"/>
      <c r="G14729" s="1050"/>
    </row>
    <row r="14730" spans="1:7">
      <c r="A14730" s="1079"/>
      <c r="B14730" s="1050"/>
      <c r="C14730" s="1050"/>
      <c r="D14730" s="1050"/>
      <c r="E14730" s="1050"/>
      <c r="F14730" s="1050"/>
      <c r="G14730" s="1050"/>
    </row>
    <row r="14731" spans="1:7">
      <c r="A14731" s="1079"/>
      <c r="B14731" s="1050"/>
      <c r="C14731" s="1050"/>
      <c r="D14731" s="1050"/>
      <c r="E14731" s="1050"/>
      <c r="F14731" s="1050"/>
      <c r="G14731" s="1050"/>
    </row>
    <row r="14732" spans="1:7">
      <c r="A14732" s="1079"/>
      <c r="B14732" s="1050"/>
      <c r="C14732" s="1050"/>
      <c r="D14732" s="1050"/>
      <c r="E14732" s="1050"/>
      <c r="F14732" s="1050"/>
      <c r="G14732" s="1050"/>
    </row>
    <row r="14733" spans="1:7">
      <c r="A14733" s="1079"/>
      <c r="B14733" s="1050"/>
      <c r="C14733" s="1050"/>
      <c r="D14733" s="1050"/>
      <c r="E14733" s="1050"/>
      <c r="F14733" s="1050"/>
      <c r="G14733" s="1050"/>
    </row>
    <row r="14734" spans="1:7">
      <c r="A14734" s="1079"/>
      <c r="B14734" s="1050"/>
      <c r="C14734" s="1050"/>
      <c r="D14734" s="1050"/>
      <c r="E14734" s="1050"/>
      <c r="F14734" s="1050"/>
      <c r="G14734" s="1050"/>
    </row>
    <row r="14735" spans="1:7">
      <c r="A14735" s="1079"/>
      <c r="B14735" s="1050"/>
      <c r="C14735" s="1050"/>
      <c r="D14735" s="1050"/>
      <c r="E14735" s="1050"/>
      <c r="F14735" s="1050"/>
      <c r="G14735" s="1050"/>
    </row>
    <row r="14736" spans="1:7">
      <c r="A14736" s="1079"/>
      <c r="B14736" s="1050"/>
      <c r="C14736" s="1050"/>
      <c r="D14736" s="1050"/>
      <c r="E14736" s="1050"/>
      <c r="F14736" s="1050"/>
      <c r="G14736" s="1050"/>
    </row>
    <row r="14737" spans="1:7">
      <c r="A14737" s="1079"/>
      <c r="B14737" s="1050"/>
      <c r="C14737" s="1050"/>
      <c r="D14737" s="1050"/>
      <c r="E14737" s="1050"/>
      <c r="F14737" s="1050"/>
      <c r="G14737" s="1050"/>
    </row>
    <row r="14738" spans="1:7">
      <c r="A14738" s="1079"/>
      <c r="B14738" s="1050"/>
      <c r="C14738" s="1050"/>
      <c r="D14738" s="1050"/>
      <c r="E14738" s="1050"/>
      <c r="F14738" s="1050"/>
      <c r="G14738" s="1050"/>
    </row>
    <row r="14739" spans="1:7">
      <c r="A14739" s="1079"/>
      <c r="B14739" s="1050"/>
      <c r="C14739" s="1050"/>
      <c r="D14739" s="1050"/>
      <c r="E14739" s="1050"/>
      <c r="F14739" s="1050"/>
      <c r="G14739" s="1050"/>
    </row>
    <row r="14740" spans="1:7">
      <c r="A14740" s="1079"/>
      <c r="B14740" s="1050"/>
      <c r="C14740" s="1050"/>
      <c r="D14740" s="1050"/>
      <c r="E14740" s="1050"/>
      <c r="F14740" s="1050"/>
      <c r="G14740" s="1050"/>
    </row>
    <row r="14741" spans="1:7">
      <c r="A14741" s="1079"/>
      <c r="B14741" s="1050"/>
      <c r="C14741" s="1050"/>
      <c r="D14741" s="1050"/>
      <c r="E14741" s="1050"/>
      <c r="F14741" s="1050"/>
      <c r="G14741" s="1050"/>
    </row>
    <row r="14742" spans="1:7">
      <c r="A14742" s="1079"/>
      <c r="B14742" s="1050"/>
      <c r="C14742" s="1050"/>
      <c r="D14742" s="1050"/>
      <c r="E14742" s="1050"/>
      <c r="F14742" s="1050"/>
      <c r="G14742" s="1050"/>
    </row>
    <row r="14743" spans="1:7">
      <c r="A14743" s="1079"/>
      <c r="B14743" s="1050"/>
      <c r="C14743" s="1050"/>
      <c r="D14743" s="1050"/>
      <c r="E14743" s="1050"/>
      <c r="F14743" s="1050"/>
      <c r="G14743" s="1050"/>
    </row>
    <row r="14744" spans="1:7">
      <c r="A14744" s="1079"/>
      <c r="B14744" s="1050"/>
      <c r="C14744" s="1050"/>
      <c r="D14744" s="1050"/>
      <c r="E14744" s="1050"/>
      <c r="F14744" s="1050"/>
      <c r="G14744" s="1050"/>
    </row>
    <row r="14745" spans="1:7">
      <c r="A14745" s="1079"/>
      <c r="B14745" s="1050"/>
      <c r="C14745" s="1050"/>
      <c r="D14745" s="1050"/>
      <c r="E14745" s="1050"/>
      <c r="F14745" s="1050"/>
      <c r="G14745" s="1050"/>
    </row>
    <row r="14746" spans="1:7">
      <c r="A14746" s="1079"/>
      <c r="B14746" s="1050"/>
      <c r="C14746" s="1050"/>
      <c r="D14746" s="1050"/>
      <c r="E14746" s="1050"/>
      <c r="F14746" s="1050"/>
      <c r="G14746" s="1050"/>
    </row>
    <row r="14747" spans="1:7">
      <c r="A14747" s="1079"/>
      <c r="B14747" s="1050"/>
      <c r="C14747" s="1050"/>
      <c r="D14747" s="1050"/>
      <c r="E14747" s="1050"/>
      <c r="F14747" s="1050"/>
      <c r="G14747" s="1050"/>
    </row>
    <row r="14748" spans="1:7">
      <c r="A14748" s="1079"/>
      <c r="B14748" s="1050"/>
      <c r="C14748" s="1050"/>
      <c r="D14748" s="1050"/>
      <c r="E14748" s="1050"/>
      <c r="F14748" s="1050"/>
      <c r="G14748" s="1050"/>
    </row>
    <row r="14749" spans="1:7">
      <c r="A14749" s="1079"/>
      <c r="B14749" s="1050"/>
      <c r="C14749" s="1050"/>
      <c r="D14749" s="1050"/>
      <c r="E14749" s="1050"/>
      <c r="F14749" s="1050"/>
      <c r="G14749" s="1050"/>
    </row>
    <row r="14750" spans="1:7">
      <c r="A14750" s="1079"/>
      <c r="B14750" s="1050"/>
      <c r="C14750" s="1050"/>
      <c r="D14750" s="1050"/>
      <c r="E14750" s="1050"/>
      <c r="F14750" s="1050"/>
      <c r="G14750" s="1050"/>
    </row>
    <row r="14751" spans="1:7">
      <c r="A14751" s="1079"/>
      <c r="B14751" s="1050"/>
      <c r="C14751" s="1050"/>
      <c r="D14751" s="1050"/>
      <c r="E14751" s="1050"/>
      <c r="F14751" s="1050"/>
      <c r="G14751" s="1050"/>
    </row>
    <row r="14752" spans="1:7">
      <c r="A14752" s="1079"/>
      <c r="B14752" s="1050"/>
      <c r="C14752" s="1050"/>
      <c r="D14752" s="1050"/>
      <c r="E14752" s="1050"/>
      <c r="F14752" s="1050"/>
      <c r="G14752" s="1050"/>
    </row>
    <row r="14753" spans="1:7">
      <c r="A14753" s="1079"/>
      <c r="B14753" s="1050"/>
      <c r="C14753" s="1050"/>
      <c r="D14753" s="1050"/>
      <c r="E14753" s="1050"/>
      <c r="F14753" s="1050"/>
      <c r="G14753" s="1050"/>
    </row>
    <row r="14754" spans="1:7">
      <c r="A14754" s="1079"/>
      <c r="B14754" s="1050"/>
      <c r="C14754" s="1050"/>
      <c r="D14754" s="1050"/>
      <c r="E14754" s="1050"/>
      <c r="F14754" s="1050"/>
      <c r="G14754" s="1050"/>
    </row>
    <row r="14755" spans="1:7">
      <c r="A14755" s="1079"/>
      <c r="B14755" s="1050"/>
      <c r="C14755" s="1050"/>
      <c r="D14755" s="1050"/>
      <c r="E14755" s="1050"/>
      <c r="F14755" s="1050"/>
      <c r="G14755" s="1050"/>
    </row>
    <row r="14756" spans="1:7">
      <c r="A14756" s="1079"/>
      <c r="B14756" s="1050"/>
      <c r="C14756" s="1050"/>
      <c r="D14756" s="1050"/>
      <c r="E14756" s="1050"/>
      <c r="F14756" s="1050"/>
      <c r="G14756" s="1050"/>
    </row>
    <row r="14757" spans="1:7">
      <c r="A14757" s="1079"/>
      <c r="B14757" s="1050"/>
      <c r="C14757" s="1050"/>
      <c r="D14757" s="1050"/>
      <c r="E14757" s="1050"/>
      <c r="F14757" s="1050"/>
      <c r="G14757" s="1050"/>
    </row>
    <row r="14758" spans="1:7">
      <c r="A14758" s="1079"/>
      <c r="B14758" s="1050"/>
      <c r="C14758" s="1050"/>
      <c r="D14758" s="1050"/>
      <c r="E14758" s="1050"/>
      <c r="F14758" s="1050"/>
      <c r="G14758" s="1050"/>
    </row>
    <row r="14759" spans="1:7">
      <c r="A14759" s="1079"/>
      <c r="B14759" s="1050"/>
      <c r="C14759" s="1050"/>
      <c r="D14759" s="1050"/>
      <c r="E14759" s="1050"/>
      <c r="F14759" s="1050"/>
      <c r="G14759" s="1050"/>
    </row>
    <row r="14760" spans="1:7">
      <c r="A14760" s="1079"/>
      <c r="B14760" s="1050"/>
      <c r="C14760" s="1050"/>
      <c r="D14760" s="1050"/>
      <c r="E14760" s="1050"/>
      <c r="F14760" s="1050"/>
      <c r="G14760" s="1050"/>
    </row>
    <row r="14761" spans="1:7">
      <c r="A14761" s="1079"/>
      <c r="B14761" s="1050"/>
      <c r="C14761" s="1050"/>
      <c r="D14761" s="1050"/>
      <c r="E14761" s="1050"/>
      <c r="F14761" s="1050"/>
      <c r="G14761" s="1050"/>
    </row>
    <row r="14762" spans="1:7">
      <c r="A14762" s="1079"/>
      <c r="B14762" s="1050"/>
      <c r="C14762" s="1050"/>
      <c r="D14762" s="1050"/>
      <c r="E14762" s="1050"/>
      <c r="F14762" s="1050"/>
      <c r="G14762" s="1050"/>
    </row>
    <row r="14763" spans="1:7">
      <c r="A14763" s="1079"/>
      <c r="B14763" s="1050"/>
      <c r="C14763" s="1050"/>
      <c r="D14763" s="1050"/>
      <c r="E14763" s="1050"/>
      <c r="F14763" s="1050"/>
      <c r="G14763" s="1050"/>
    </row>
    <row r="14764" spans="1:7">
      <c r="A14764" s="1079"/>
      <c r="B14764" s="1050"/>
      <c r="C14764" s="1050"/>
      <c r="D14764" s="1050"/>
      <c r="E14764" s="1050"/>
      <c r="F14764" s="1050"/>
      <c r="G14764" s="1050"/>
    </row>
    <row r="14765" spans="1:7">
      <c r="A14765" s="1079"/>
      <c r="B14765" s="1050"/>
      <c r="C14765" s="1050"/>
      <c r="D14765" s="1050"/>
      <c r="E14765" s="1050"/>
      <c r="F14765" s="1050"/>
      <c r="G14765" s="1050"/>
    </row>
    <row r="14766" spans="1:7">
      <c r="A14766" s="1079"/>
      <c r="B14766" s="1050"/>
      <c r="C14766" s="1050"/>
      <c r="D14766" s="1050"/>
      <c r="E14766" s="1050"/>
      <c r="F14766" s="1050"/>
      <c r="G14766" s="1050"/>
    </row>
    <row r="14767" spans="1:7">
      <c r="A14767" s="1079"/>
      <c r="B14767" s="1050"/>
      <c r="C14767" s="1050"/>
      <c r="D14767" s="1050"/>
      <c r="E14767" s="1050"/>
      <c r="F14767" s="1050"/>
      <c r="G14767" s="1050"/>
    </row>
    <row r="14768" spans="1:7">
      <c r="A14768" s="1079"/>
      <c r="B14768" s="1050"/>
      <c r="C14768" s="1050"/>
      <c r="D14768" s="1050"/>
      <c r="E14768" s="1050"/>
      <c r="F14768" s="1050"/>
      <c r="G14768" s="1050"/>
    </row>
    <row r="14769" spans="1:7">
      <c r="A14769" s="1079"/>
      <c r="B14769" s="1050"/>
      <c r="C14769" s="1050"/>
      <c r="D14769" s="1050"/>
      <c r="E14769" s="1050"/>
      <c r="F14769" s="1050"/>
      <c r="G14769" s="1050"/>
    </row>
    <row r="14770" spans="1:7">
      <c r="A14770" s="1079"/>
      <c r="B14770" s="1050"/>
      <c r="C14770" s="1050"/>
      <c r="D14770" s="1050"/>
      <c r="E14770" s="1050"/>
      <c r="F14770" s="1050"/>
      <c r="G14770" s="1050"/>
    </row>
    <row r="14771" spans="1:7">
      <c r="A14771" s="1079"/>
      <c r="B14771" s="1050"/>
      <c r="C14771" s="1050"/>
      <c r="D14771" s="1050"/>
      <c r="E14771" s="1050"/>
      <c r="F14771" s="1050"/>
      <c r="G14771" s="1050"/>
    </row>
    <row r="14772" spans="1:7">
      <c r="A14772" s="1079"/>
      <c r="B14772" s="1050"/>
      <c r="C14772" s="1050"/>
      <c r="D14772" s="1050"/>
      <c r="E14772" s="1050"/>
      <c r="F14772" s="1050"/>
      <c r="G14772" s="1050"/>
    </row>
    <row r="14773" spans="1:7">
      <c r="A14773" s="1079"/>
      <c r="B14773" s="1050"/>
      <c r="C14773" s="1050"/>
      <c r="D14773" s="1050"/>
      <c r="E14773" s="1050"/>
      <c r="F14773" s="1050"/>
      <c r="G14773" s="1050"/>
    </row>
    <row r="14774" spans="1:7">
      <c r="A14774" s="1079"/>
      <c r="B14774" s="1050"/>
      <c r="C14774" s="1050"/>
      <c r="D14774" s="1050"/>
      <c r="E14774" s="1050"/>
      <c r="F14774" s="1050"/>
      <c r="G14774" s="1050"/>
    </row>
    <row r="14775" spans="1:7">
      <c r="A14775" s="1079"/>
      <c r="B14775" s="1050"/>
      <c r="C14775" s="1050"/>
      <c r="D14775" s="1050"/>
      <c r="E14775" s="1050"/>
      <c r="F14775" s="1050"/>
      <c r="G14775" s="1050"/>
    </row>
    <row r="14776" spans="1:7">
      <c r="A14776" s="1079"/>
      <c r="B14776" s="1050"/>
      <c r="C14776" s="1050"/>
      <c r="D14776" s="1050"/>
      <c r="E14776" s="1050"/>
      <c r="F14776" s="1050"/>
      <c r="G14776" s="1050"/>
    </row>
    <row r="14777" spans="1:7">
      <c r="A14777" s="1079"/>
      <c r="B14777" s="1050"/>
      <c r="C14777" s="1050"/>
      <c r="D14777" s="1050"/>
      <c r="E14777" s="1050"/>
      <c r="F14777" s="1050"/>
      <c r="G14777" s="1050"/>
    </row>
    <row r="14778" spans="1:7">
      <c r="A14778" s="1079"/>
      <c r="B14778" s="1050"/>
      <c r="C14778" s="1050"/>
      <c r="D14778" s="1050"/>
      <c r="E14778" s="1050"/>
      <c r="F14778" s="1050"/>
      <c r="G14778" s="1050"/>
    </row>
    <row r="14779" spans="1:7">
      <c r="A14779" s="1079"/>
      <c r="B14779" s="1050"/>
      <c r="C14779" s="1050"/>
      <c r="D14779" s="1050"/>
      <c r="E14779" s="1050"/>
      <c r="F14779" s="1050"/>
      <c r="G14779" s="1050"/>
    </row>
    <row r="14780" spans="1:7">
      <c r="A14780" s="1079"/>
      <c r="B14780" s="1050"/>
      <c r="C14780" s="1050"/>
      <c r="D14780" s="1050"/>
      <c r="E14780" s="1050"/>
      <c r="F14780" s="1050"/>
      <c r="G14780" s="1050"/>
    </row>
    <row r="14781" spans="1:7">
      <c r="A14781" s="1079"/>
      <c r="B14781" s="1050"/>
      <c r="C14781" s="1050"/>
      <c r="D14781" s="1050"/>
      <c r="E14781" s="1050"/>
      <c r="F14781" s="1050"/>
      <c r="G14781" s="1050"/>
    </row>
    <row r="14782" spans="1:7">
      <c r="A14782" s="1079"/>
      <c r="B14782" s="1050"/>
      <c r="C14782" s="1050"/>
      <c r="D14782" s="1050"/>
      <c r="E14782" s="1050"/>
      <c r="F14782" s="1050"/>
      <c r="G14782" s="1050"/>
    </row>
    <row r="14783" spans="1:7">
      <c r="A14783" s="1079"/>
      <c r="B14783" s="1050"/>
      <c r="C14783" s="1050"/>
      <c r="D14783" s="1050"/>
      <c r="E14783" s="1050"/>
      <c r="F14783" s="1050"/>
      <c r="G14783" s="1050"/>
    </row>
    <row r="14784" spans="1:7">
      <c r="A14784" s="1079"/>
      <c r="B14784" s="1050"/>
      <c r="C14784" s="1050"/>
      <c r="D14784" s="1050"/>
      <c r="E14784" s="1050"/>
      <c r="F14784" s="1050"/>
      <c r="G14784" s="1050"/>
    </row>
    <row r="14785" spans="1:7">
      <c r="A14785" s="1079"/>
      <c r="B14785" s="1050"/>
      <c r="C14785" s="1050"/>
      <c r="D14785" s="1050"/>
      <c r="E14785" s="1050"/>
      <c r="F14785" s="1050"/>
      <c r="G14785" s="1050"/>
    </row>
    <row r="14786" spans="1:7">
      <c r="A14786" s="1079"/>
      <c r="B14786" s="1050"/>
      <c r="C14786" s="1050"/>
      <c r="D14786" s="1050"/>
      <c r="E14786" s="1050"/>
      <c r="F14786" s="1050"/>
      <c r="G14786" s="1050"/>
    </row>
    <row r="14787" spans="1:7">
      <c r="A14787" s="1079"/>
      <c r="B14787" s="1050"/>
      <c r="C14787" s="1050"/>
      <c r="D14787" s="1050"/>
      <c r="E14787" s="1050"/>
      <c r="F14787" s="1050"/>
      <c r="G14787" s="1050"/>
    </row>
    <row r="14788" spans="1:7">
      <c r="A14788" s="1079"/>
      <c r="B14788" s="1050"/>
      <c r="C14788" s="1050"/>
      <c r="D14788" s="1050"/>
      <c r="E14788" s="1050"/>
      <c r="F14788" s="1050"/>
      <c r="G14788" s="1050"/>
    </row>
    <row r="14789" spans="1:7">
      <c r="A14789" s="1079"/>
      <c r="B14789" s="1050"/>
      <c r="C14789" s="1050"/>
      <c r="D14789" s="1050"/>
      <c r="E14789" s="1050"/>
      <c r="F14789" s="1050"/>
      <c r="G14789" s="1050"/>
    </row>
    <row r="14790" spans="1:7">
      <c r="A14790" s="1079"/>
      <c r="B14790" s="1050"/>
      <c r="C14790" s="1050"/>
      <c r="D14790" s="1050"/>
      <c r="E14790" s="1050"/>
      <c r="F14790" s="1050"/>
      <c r="G14790" s="1050"/>
    </row>
    <row r="14791" spans="1:7">
      <c r="A14791" s="1079"/>
      <c r="B14791" s="1050"/>
      <c r="C14791" s="1050"/>
      <c r="D14791" s="1050"/>
      <c r="E14791" s="1050"/>
      <c r="F14791" s="1050"/>
      <c r="G14791" s="1050"/>
    </row>
    <row r="14792" spans="1:7">
      <c r="A14792" s="1079"/>
      <c r="B14792" s="1050"/>
      <c r="C14792" s="1050"/>
      <c r="D14792" s="1050"/>
      <c r="E14792" s="1050"/>
      <c r="F14792" s="1050"/>
      <c r="G14792" s="1050"/>
    </row>
    <row r="14793" spans="1:7">
      <c r="A14793" s="1079"/>
      <c r="B14793" s="1050"/>
      <c r="C14793" s="1050"/>
      <c r="D14793" s="1050"/>
      <c r="E14793" s="1050"/>
      <c r="F14793" s="1050"/>
      <c r="G14793" s="1050"/>
    </row>
    <row r="14794" spans="1:7">
      <c r="A14794" s="1079"/>
      <c r="B14794" s="1050"/>
      <c r="C14794" s="1050"/>
      <c r="D14794" s="1050"/>
      <c r="E14794" s="1050"/>
      <c r="F14794" s="1050"/>
      <c r="G14794" s="1050"/>
    </row>
    <row r="14795" spans="1:7">
      <c r="A14795" s="1079"/>
      <c r="B14795" s="1050"/>
      <c r="C14795" s="1050"/>
      <c r="D14795" s="1050"/>
      <c r="E14795" s="1050"/>
      <c r="F14795" s="1050"/>
      <c r="G14795" s="1050"/>
    </row>
    <row r="14796" spans="1:7">
      <c r="A14796" s="1079"/>
      <c r="B14796" s="1050"/>
      <c r="C14796" s="1050"/>
      <c r="D14796" s="1050"/>
      <c r="E14796" s="1050"/>
      <c r="F14796" s="1050"/>
      <c r="G14796" s="1050"/>
    </row>
    <row r="14797" spans="1:7">
      <c r="A14797" s="1079"/>
      <c r="B14797" s="1050"/>
      <c r="C14797" s="1050"/>
      <c r="D14797" s="1050"/>
      <c r="E14797" s="1050"/>
      <c r="F14797" s="1050"/>
      <c r="G14797" s="1050"/>
    </row>
    <row r="14798" spans="1:7">
      <c r="A14798" s="1079"/>
      <c r="B14798" s="1050"/>
      <c r="C14798" s="1050"/>
      <c r="D14798" s="1050"/>
      <c r="E14798" s="1050"/>
      <c r="F14798" s="1050"/>
      <c r="G14798" s="1050"/>
    </row>
    <row r="14799" spans="1:7">
      <c r="A14799" s="1079"/>
      <c r="B14799" s="1050"/>
      <c r="C14799" s="1050"/>
      <c r="D14799" s="1050"/>
      <c r="E14799" s="1050"/>
      <c r="F14799" s="1050"/>
      <c r="G14799" s="1050"/>
    </row>
    <row r="14800" spans="1:7">
      <c r="A14800" s="1079"/>
      <c r="B14800" s="1050"/>
      <c r="C14800" s="1050"/>
      <c r="D14800" s="1050"/>
      <c r="E14800" s="1050"/>
      <c r="F14800" s="1050"/>
      <c r="G14800" s="1050"/>
    </row>
    <row r="14801" spans="1:7">
      <c r="A14801" s="1079"/>
      <c r="B14801" s="1050"/>
      <c r="C14801" s="1050"/>
      <c r="D14801" s="1050"/>
      <c r="E14801" s="1050"/>
      <c r="F14801" s="1050"/>
      <c r="G14801" s="1050"/>
    </row>
    <row r="14802" spans="1:7">
      <c r="A14802" s="1079"/>
      <c r="B14802" s="1050"/>
      <c r="C14802" s="1050"/>
      <c r="D14802" s="1050"/>
      <c r="E14802" s="1050"/>
      <c r="F14802" s="1050"/>
      <c r="G14802" s="1050"/>
    </row>
    <row r="14803" spans="1:7">
      <c r="A14803" s="1079"/>
      <c r="B14803" s="1050"/>
      <c r="C14803" s="1050"/>
      <c r="D14803" s="1050"/>
      <c r="E14803" s="1050"/>
      <c r="F14803" s="1050"/>
      <c r="G14803" s="1050"/>
    </row>
    <row r="14804" spans="1:7">
      <c r="A14804" s="1079"/>
      <c r="B14804" s="1050"/>
      <c r="C14804" s="1050"/>
      <c r="D14804" s="1050"/>
      <c r="E14804" s="1050"/>
      <c r="F14804" s="1050"/>
      <c r="G14804" s="1050"/>
    </row>
    <row r="14805" spans="1:7">
      <c r="A14805" s="1079"/>
      <c r="B14805" s="1050"/>
      <c r="C14805" s="1050"/>
      <c r="D14805" s="1050"/>
      <c r="E14805" s="1050"/>
      <c r="F14805" s="1050"/>
      <c r="G14805" s="1050"/>
    </row>
    <row r="14806" spans="1:7">
      <c r="A14806" s="1079"/>
      <c r="B14806" s="1050"/>
      <c r="C14806" s="1050"/>
      <c r="D14806" s="1050"/>
      <c r="E14806" s="1050"/>
      <c r="F14806" s="1050"/>
      <c r="G14806" s="1050"/>
    </row>
    <row r="14807" spans="1:7">
      <c r="A14807" s="1079"/>
      <c r="B14807" s="1050"/>
      <c r="C14807" s="1050"/>
      <c r="D14807" s="1050"/>
      <c r="E14807" s="1050"/>
      <c r="F14807" s="1050"/>
      <c r="G14807" s="1050"/>
    </row>
    <row r="14808" spans="1:7">
      <c r="A14808" s="1079"/>
      <c r="B14808" s="1050"/>
      <c r="C14808" s="1050"/>
      <c r="D14808" s="1050"/>
      <c r="E14808" s="1050"/>
      <c r="F14808" s="1050"/>
      <c r="G14808" s="1050"/>
    </row>
    <row r="14809" spans="1:7">
      <c r="A14809" s="1079"/>
      <c r="B14809" s="1050"/>
      <c r="C14809" s="1050"/>
      <c r="D14809" s="1050"/>
      <c r="E14809" s="1050"/>
      <c r="F14809" s="1050"/>
      <c r="G14809" s="1050"/>
    </row>
    <row r="14810" spans="1:7">
      <c r="A14810" s="1079"/>
      <c r="B14810" s="1050"/>
      <c r="C14810" s="1050"/>
      <c r="D14810" s="1050"/>
      <c r="E14810" s="1050"/>
      <c r="F14810" s="1050"/>
      <c r="G14810" s="1050"/>
    </row>
    <row r="14811" spans="1:7">
      <c r="A14811" s="1079"/>
      <c r="B14811" s="1050"/>
      <c r="C14811" s="1050"/>
      <c r="D14811" s="1050"/>
      <c r="E14811" s="1050"/>
      <c r="F14811" s="1050"/>
      <c r="G14811" s="1050"/>
    </row>
    <row r="14812" spans="1:7">
      <c r="A14812" s="1079"/>
      <c r="B14812" s="1050"/>
      <c r="C14812" s="1050"/>
      <c r="D14812" s="1050"/>
      <c r="E14812" s="1050"/>
      <c r="F14812" s="1050"/>
      <c r="G14812" s="1050"/>
    </row>
    <row r="14813" spans="1:7">
      <c r="A14813" s="1079"/>
      <c r="B14813" s="1050"/>
      <c r="C14813" s="1050"/>
      <c r="D14813" s="1050"/>
      <c r="E14813" s="1050"/>
      <c r="F14813" s="1050"/>
      <c r="G14813" s="1050"/>
    </row>
    <row r="14814" spans="1:7">
      <c r="A14814" s="1079"/>
      <c r="B14814" s="1050"/>
      <c r="C14814" s="1050"/>
      <c r="D14814" s="1050"/>
      <c r="E14814" s="1050"/>
      <c r="F14814" s="1050"/>
      <c r="G14814" s="1050"/>
    </row>
    <row r="14815" spans="1:7">
      <c r="A14815" s="1079"/>
      <c r="B14815" s="1050"/>
      <c r="C14815" s="1050"/>
      <c r="D14815" s="1050"/>
      <c r="E14815" s="1050"/>
      <c r="F14815" s="1050"/>
      <c r="G14815" s="1050"/>
    </row>
    <row r="14816" spans="1:7">
      <c r="A14816" s="1079"/>
      <c r="B14816" s="1050"/>
      <c r="C14816" s="1050"/>
      <c r="D14816" s="1050"/>
      <c r="E14816" s="1050"/>
      <c r="F14816" s="1050"/>
      <c r="G14816" s="1050"/>
    </row>
    <row r="14817" spans="1:7">
      <c r="A14817" s="1079"/>
      <c r="B14817" s="1050"/>
      <c r="C14817" s="1050"/>
      <c r="D14817" s="1050"/>
      <c r="E14817" s="1050"/>
      <c r="F14817" s="1050"/>
      <c r="G14817" s="1050"/>
    </row>
    <row r="14818" spans="1:7">
      <c r="A14818" s="1079"/>
      <c r="B14818" s="1050"/>
      <c r="C14818" s="1050"/>
      <c r="D14818" s="1050"/>
      <c r="E14818" s="1050"/>
      <c r="F14818" s="1050"/>
      <c r="G14818" s="1050"/>
    </row>
    <row r="14819" spans="1:7">
      <c r="A14819" s="1079"/>
      <c r="B14819" s="1050"/>
      <c r="C14819" s="1050"/>
      <c r="D14819" s="1050"/>
      <c r="E14819" s="1050"/>
      <c r="F14819" s="1050"/>
      <c r="G14819" s="1050"/>
    </row>
    <row r="14820" spans="1:7">
      <c r="A14820" s="1079"/>
      <c r="B14820" s="1050"/>
      <c r="C14820" s="1050"/>
      <c r="D14820" s="1050"/>
      <c r="E14820" s="1050"/>
      <c r="F14820" s="1050"/>
      <c r="G14820" s="1050"/>
    </row>
    <row r="14821" spans="1:7">
      <c r="A14821" s="1079"/>
      <c r="B14821" s="1050"/>
      <c r="C14821" s="1050"/>
      <c r="D14821" s="1050"/>
      <c r="E14821" s="1050"/>
      <c r="F14821" s="1050"/>
      <c r="G14821" s="1050"/>
    </row>
    <row r="14822" spans="1:7">
      <c r="A14822" s="1079"/>
      <c r="B14822" s="1050"/>
      <c r="C14822" s="1050"/>
      <c r="D14822" s="1050"/>
      <c r="E14822" s="1050"/>
      <c r="F14822" s="1050"/>
      <c r="G14822" s="1050"/>
    </row>
    <row r="14823" spans="1:7">
      <c r="A14823" s="1079"/>
      <c r="B14823" s="1050"/>
      <c r="C14823" s="1050"/>
      <c r="D14823" s="1050"/>
      <c r="E14823" s="1050"/>
      <c r="F14823" s="1050"/>
      <c r="G14823" s="1050"/>
    </row>
    <row r="14824" spans="1:7">
      <c r="A14824" s="1079"/>
      <c r="B14824" s="1050"/>
      <c r="C14824" s="1050"/>
      <c r="D14824" s="1050"/>
      <c r="E14824" s="1050"/>
      <c r="F14824" s="1050"/>
      <c r="G14824" s="1050"/>
    </row>
    <row r="14825" spans="1:7">
      <c r="A14825" s="1079"/>
      <c r="B14825" s="1050"/>
      <c r="C14825" s="1050"/>
      <c r="D14825" s="1050"/>
      <c r="E14825" s="1050"/>
      <c r="F14825" s="1050"/>
      <c r="G14825" s="1050"/>
    </row>
    <row r="14826" spans="1:7">
      <c r="A14826" s="1079"/>
      <c r="B14826" s="1050"/>
      <c r="C14826" s="1050"/>
      <c r="D14826" s="1050"/>
      <c r="E14826" s="1050"/>
      <c r="F14826" s="1050"/>
      <c r="G14826" s="1050"/>
    </row>
    <row r="14827" spans="1:7">
      <c r="A14827" s="1079"/>
      <c r="B14827" s="1050"/>
      <c r="C14827" s="1050"/>
      <c r="D14827" s="1050"/>
      <c r="E14827" s="1050"/>
      <c r="F14827" s="1050"/>
      <c r="G14827" s="1050"/>
    </row>
    <row r="14828" spans="1:7">
      <c r="A14828" s="1079"/>
      <c r="B14828" s="1050"/>
      <c r="C14828" s="1050"/>
      <c r="D14828" s="1050"/>
      <c r="E14828" s="1050"/>
      <c r="F14828" s="1050"/>
      <c r="G14828" s="1050"/>
    </row>
    <row r="14829" spans="1:7">
      <c r="A14829" s="1079"/>
      <c r="B14829" s="1050"/>
      <c r="C14829" s="1050"/>
      <c r="D14829" s="1050"/>
      <c r="E14829" s="1050"/>
      <c r="F14829" s="1050"/>
      <c r="G14829" s="1050"/>
    </row>
    <row r="14830" spans="1:7">
      <c r="A14830" s="1079"/>
      <c r="B14830" s="1050"/>
      <c r="C14830" s="1050"/>
      <c r="D14830" s="1050"/>
      <c r="E14830" s="1050"/>
      <c r="F14830" s="1050"/>
      <c r="G14830" s="1050"/>
    </row>
    <row r="14831" spans="1:7">
      <c r="A14831" s="1079"/>
      <c r="B14831" s="1050"/>
      <c r="C14831" s="1050"/>
      <c r="D14831" s="1050"/>
      <c r="E14831" s="1050"/>
      <c r="F14831" s="1050"/>
      <c r="G14831" s="1050"/>
    </row>
    <row r="14832" spans="1:7">
      <c r="A14832" s="1079"/>
      <c r="B14832" s="1050"/>
      <c r="C14832" s="1050"/>
      <c r="D14832" s="1050"/>
      <c r="E14832" s="1050"/>
      <c r="F14832" s="1050"/>
      <c r="G14832" s="1050"/>
    </row>
    <row r="14833" spans="1:7">
      <c r="A14833" s="1079"/>
      <c r="B14833" s="1050"/>
      <c r="C14833" s="1050"/>
      <c r="D14833" s="1050"/>
      <c r="E14833" s="1050"/>
      <c r="F14833" s="1050"/>
      <c r="G14833" s="1050"/>
    </row>
    <row r="14834" spans="1:7">
      <c r="A14834" s="1079"/>
      <c r="B14834" s="1050"/>
      <c r="C14834" s="1050"/>
      <c r="D14834" s="1050"/>
      <c r="E14834" s="1050"/>
      <c r="F14834" s="1050"/>
      <c r="G14834" s="1050"/>
    </row>
    <row r="14835" spans="1:7">
      <c r="A14835" s="1079"/>
      <c r="B14835" s="1050"/>
      <c r="C14835" s="1050"/>
      <c r="D14835" s="1050"/>
      <c r="E14835" s="1050"/>
      <c r="F14835" s="1050"/>
      <c r="G14835" s="1050"/>
    </row>
    <row r="14836" spans="1:7">
      <c r="A14836" s="1079"/>
      <c r="B14836" s="1050"/>
      <c r="C14836" s="1050"/>
      <c r="D14836" s="1050"/>
      <c r="E14836" s="1050"/>
      <c r="F14836" s="1050"/>
      <c r="G14836" s="1050"/>
    </row>
    <row r="14837" spans="1:7">
      <c r="A14837" s="1079"/>
      <c r="B14837" s="1050"/>
      <c r="C14837" s="1050"/>
      <c r="D14837" s="1050"/>
      <c r="E14837" s="1050"/>
      <c r="F14837" s="1050"/>
      <c r="G14837" s="1050"/>
    </row>
    <row r="14838" spans="1:7">
      <c r="A14838" s="1079"/>
      <c r="B14838" s="1050"/>
      <c r="C14838" s="1050"/>
      <c r="D14838" s="1050"/>
      <c r="E14838" s="1050"/>
      <c r="F14838" s="1050"/>
      <c r="G14838" s="1050"/>
    </row>
    <row r="14839" spans="1:7">
      <c r="A14839" s="1079"/>
      <c r="B14839" s="1050"/>
      <c r="C14839" s="1050"/>
      <c r="D14839" s="1050"/>
      <c r="E14839" s="1050"/>
      <c r="F14839" s="1050"/>
      <c r="G14839" s="1050"/>
    </row>
    <row r="14840" spans="1:7">
      <c r="A14840" s="1079"/>
      <c r="B14840" s="1050"/>
      <c r="C14840" s="1050"/>
      <c r="D14840" s="1050"/>
      <c r="E14840" s="1050"/>
      <c r="F14840" s="1050"/>
      <c r="G14840" s="1050"/>
    </row>
    <row r="14841" spans="1:7">
      <c r="A14841" s="1079"/>
      <c r="B14841" s="1050"/>
      <c r="C14841" s="1050"/>
      <c r="D14841" s="1050"/>
      <c r="E14841" s="1050"/>
      <c r="F14841" s="1050"/>
      <c r="G14841" s="1050"/>
    </row>
    <row r="14842" spans="1:7">
      <c r="A14842" s="1079"/>
      <c r="B14842" s="1050"/>
      <c r="C14842" s="1050"/>
      <c r="D14842" s="1050"/>
      <c r="E14842" s="1050"/>
      <c r="F14842" s="1050"/>
      <c r="G14842" s="1050"/>
    </row>
    <row r="14843" spans="1:7">
      <c r="A14843" s="1079"/>
      <c r="B14843" s="1050"/>
      <c r="C14843" s="1050"/>
      <c r="D14843" s="1050"/>
      <c r="E14843" s="1050"/>
      <c r="F14843" s="1050"/>
      <c r="G14843" s="1050"/>
    </row>
    <row r="14844" spans="1:7">
      <c r="A14844" s="1079"/>
      <c r="B14844" s="1050"/>
      <c r="C14844" s="1050"/>
      <c r="D14844" s="1050"/>
      <c r="E14844" s="1050"/>
      <c r="F14844" s="1050"/>
      <c r="G14844" s="1050"/>
    </row>
    <row r="14845" spans="1:7">
      <c r="A14845" s="1079"/>
      <c r="B14845" s="1050"/>
      <c r="C14845" s="1050"/>
      <c r="D14845" s="1050"/>
      <c r="E14845" s="1050"/>
      <c r="F14845" s="1050"/>
      <c r="G14845" s="1050"/>
    </row>
    <row r="14846" spans="1:7">
      <c r="A14846" s="1079"/>
      <c r="B14846" s="1050"/>
      <c r="C14846" s="1050"/>
      <c r="D14846" s="1050"/>
      <c r="E14846" s="1050"/>
      <c r="F14846" s="1050"/>
      <c r="G14846" s="1050"/>
    </row>
    <row r="14847" spans="1:7">
      <c r="A14847" s="1079"/>
      <c r="B14847" s="1050"/>
      <c r="C14847" s="1050"/>
      <c r="D14847" s="1050"/>
      <c r="E14847" s="1050"/>
      <c r="F14847" s="1050"/>
      <c r="G14847" s="1050"/>
    </row>
    <row r="14848" spans="1:7">
      <c r="A14848" s="1079"/>
      <c r="B14848" s="1050"/>
      <c r="C14848" s="1050"/>
      <c r="D14848" s="1050"/>
      <c r="E14848" s="1050"/>
      <c r="F14848" s="1050"/>
      <c r="G14848" s="1050"/>
    </row>
    <row r="14849" spans="1:7">
      <c r="A14849" s="1079"/>
      <c r="B14849" s="1050"/>
      <c r="C14849" s="1050"/>
      <c r="D14849" s="1050"/>
      <c r="E14849" s="1050"/>
      <c r="F14849" s="1050"/>
      <c r="G14849" s="1050"/>
    </row>
    <row r="14850" spans="1:7">
      <c r="A14850" s="1079"/>
      <c r="B14850" s="1050"/>
      <c r="C14850" s="1050"/>
      <c r="D14850" s="1050"/>
      <c r="E14850" s="1050"/>
      <c r="F14850" s="1050"/>
      <c r="G14850" s="1050"/>
    </row>
    <row r="14851" spans="1:7">
      <c r="A14851" s="1079"/>
      <c r="B14851" s="1050"/>
      <c r="C14851" s="1050"/>
      <c r="D14851" s="1050"/>
      <c r="E14851" s="1050"/>
      <c r="F14851" s="1050"/>
      <c r="G14851" s="1050"/>
    </row>
    <row r="14852" spans="1:7">
      <c r="A14852" s="1079"/>
      <c r="B14852" s="1050"/>
      <c r="C14852" s="1050"/>
      <c r="D14852" s="1050"/>
      <c r="E14852" s="1050"/>
      <c r="F14852" s="1050"/>
      <c r="G14852" s="1050"/>
    </row>
    <row r="14853" spans="1:7">
      <c r="A14853" s="1079"/>
      <c r="B14853" s="1050"/>
      <c r="C14853" s="1050"/>
      <c r="D14853" s="1050"/>
      <c r="E14853" s="1050"/>
      <c r="F14853" s="1050"/>
      <c r="G14853" s="1050"/>
    </row>
    <row r="14854" spans="1:7">
      <c r="A14854" s="1079"/>
      <c r="B14854" s="1050"/>
      <c r="C14854" s="1050"/>
      <c r="D14854" s="1050"/>
      <c r="E14854" s="1050"/>
      <c r="F14854" s="1050"/>
      <c r="G14854" s="1050"/>
    </row>
    <row r="14855" spans="1:7">
      <c r="A14855" s="1079"/>
      <c r="B14855" s="1050"/>
      <c r="C14855" s="1050"/>
      <c r="D14855" s="1050"/>
      <c r="E14855" s="1050"/>
      <c r="F14855" s="1050"/>
      <c r="G14855" s="1050"/>
    </row>
    <row r="14856" spans="1:7">
      <c r="A14856" s="1079"/>
      <c r="B14856" s="1050"/>
      <c r="C14856" s="1050"/>
      <c r="D14856" s="1050"/>
      <c r="E14856" s="1050"/>
      <c r="F14856" s="1050"/>
      <c r="G14856" s="1050"/>
    </row>
    <row r="14857" spans="1:7">
      <c r="A14857" s="1079"/>
      <c r="B14857" s="1050"/>
      <c r="C14857" s="1050"/>
      <c r="D14857" s="1050"/>
      <c r="E14857" s="1050"/>
      <c r="F14857" s="1050"/>
      <c r="G14857" s="1050"/>
    </row>
    <row r="14858" spans="1:7">
      <c r="A14858" s="1079"/>
      <c r="B14858" s="1050"/>
      <c r="C14858" s="1050"/>
      <c r="D14858" s="1050"/>
      <c r="E14858" s="1050"/>
      <c r="F14858" s="1050"/>
      <c r="G14858" s="1050"/>
    </row>
    <row r="14859" spans="1:7">
      <c r="A14859" s="1079"/>
      <c r="B14859" s="1050"/>
      <c r="C14859" s="1050"/>
      <c r="D14859" s="1050"/>
      <c r="E14859" s="1050"/>
      <c r="F14859" s="1050"/>
      <c r="G14859" s="1050"/>
    </row>
    <row r="14860" spans="1:7">
      <c r="A14860" s="1079"/>
      <c r="B14860" s="1050"/>
      <c r="C14860" s="1050"/>
      <c r="D14860" s="1050"/>
      <c r="E14860" s="1050"/>
      <c r="F14860" s="1050"/>
      <c r="G14860" s="1050"/>
    </row>
    <row r="14861" spans="1:7">
      <c r="A14861" s="1079"/>
      <c r="B14861" s="1050"/>
      <c r="C14861" s="1050"/>
      <c r="D14861" s="1050"/>
      <c r="E14861" s="1050"/>
      <c r="F14861" s="1050"/>
      <c r="G14861" s="1050"/>
    </row>
    <row r="14862" spans="1:7">
      <c r="A14862" s="1079"/>
      <c r="B14862" s="1050"/>
      <c r="C14862" s="1050"/>
      <c r="D14862" s="1050"/>
      <c r="E14862" s="1050"/>
      <c r="F14862" s="1050"/>
      <c r="G14862" s="1050"/>
    </row>
    <row r="14863" spans="1:7">
      <c r="A14863" s="1079"/>
      <c r="B14863" s="1050"/>
      <c r="C14863" s="1050"/>
      <c r="D14863" s="1050"/>
      <c r="E14863" s="1050"/>
      <c r="F14863" s="1050"/>
      <c r="G14863" s="1050"/>
    </row>
    <row r="14864" spans="1:7">
      <c r="A14864" s="1079"/>
      <c r="B14864" s="1050"/>
      <c r="C14864" s="1050"/>
      <c r="D14864" s="1050"/>
      <c r="E14864" s="1050"/>
      <c r="F14864" s="1050"/>
      <c r="G14864" s="1050"/>
    </row>
    <row r="14865" spans="1:7">
      <c r="A14865" s="1079"/>
      <c r="B14865" s="1050"/>
      <c r="C14865" s="1050"/>
      <c r="D14865" s="1050"/>
      <c r="E14865" s="1050"/>
      <c r="F14865" s="1050"/>
      <c r="G14865" s="1050"/>
    </row>
    <row r="14866" spans="1:7">
      <c r="A14866" s="1079"/>
      <c r="B14866" s="1050"/>
      <c r="C14866" s="1050"/>
      <c r="D14866" s="1050"/>
      <c r="E14866" s="1050"/>
      <c r="F14866" s="1050"/>
      <c r="G14866" s="1050"/>
    </row>
    <row r="14867" spans="1:7">
      <c r="A14867" s="1079"/>
      <c r="B14867" s="1050"/>
      <c r="C14867" s="1050"/>
      <c r="D14867" s="1050"/>
      <c r="E14867" s="1050"/>
      <c r="F14867" s="1050"/>
      <c r="G14867" s="1050"/>
    </row>
    <row r="14868" spans="1:7">
      <c r="A14868" s="1079"/>
      <c r="B14868" s="1050"/>
      <c r="C14868" s="1050"/>
      <c r="D14868" s="1050"/>
      <c r="E14868" s="1050"/>
      <c r="F14868" s="1050"/>
      <c r="G14868" s="1050"/>
    </row>
    <row r="14869" spans="1:7">
      <c r="A14869" s="1079"/>
      <c r="B14869" s="1050"/>
      <c r="C14869" s="1050"/>
      <c r="D14869" s="1050"/>
      <c r="E14869" s="1050"/>
      <c r="F14869" s="1050"/>
      <c r="G14869" s="1050"/>
    </row>
    <row r="14870" spans="1:7">
      <c r="A14870" s="1079"/>
      <c r="B14870" s="1050"/>
      <c r="C14870" s="1050"/>
      <c r="D14870" s="1050"/>
      <c r="E14870" s="1050"/>
      <c r="F14870" s="1050"/>
      <c r="G14870" s="1050"/>
    </row>
    <row r="14871" spans="1:7">
      <c r="A14871" s="1079"/>
      <c r="B14871" s="1050"/>
      <c r="C14871" s="1050"/>
      <c r="D14871" s="1050"/>
      <c r="E14871" s="1050"/>
      <c r="F14871" s="1050"/>
      <c r="G14871" s="1050"/>
    </row>
    <row r="14872" spans="1:7">
      <c r="A14872" s="1079"/>
      <c r="B14872" s="1050"/>
      <c r="C14872" s="1050"/>
      <c r="D14872" s="1050"/>
      <c r="E14872" s="1050"/>
      <c r="F14872" s="1050"/>
      <c r="G14872" s="1050"/>
    </row>
    <row r="14873" spans="1:7">
      <c r="A14873" s="1079"/>
      <c r="B14873" s="1050"/>
      <c r="C14873" s="1050"/>
      <c r="D14873" s="1050"/>
      <c r="E14873" s="1050"/>
      <c r="F14873" s="1050"/>
      <c r="G14873" s="1050"/>
    </row>
    <row r="14874" spans="1:7">
      <c r="A14874" s="1079"/>
      <c r="B14874" s="1050"/>
      <c r="C14874" s="1050"/>
      <c r="D14874" s="1050"/>
      <c r="E14874" s="1050"/>
      <c r="F14874" s="1050"/>
      <c r="G14874" s="1050"/>
    </row>
    <row r="14875" spans="1:7">
      <c r="A14875" s="1079"/>
      <c r="B14875" s="1050"/>
      <c r="C14875" s="1050"/>
      <c r="D14875" s="1050"/>
      <c r="E14875" s="1050"/>
      <c r="F14875" s="1050"/>
      <c r="G14875" s="1050"/>
    </row>
    <row r="14876" spans="1:7">
      <c r="A14876" s="1079"/>
      <c r="B14876" s="1050"/>
      <c r="C14876" s="1050"/>
      <c r="D14876" s="1050"/>
      <c r="E14876" s="1050"/>
      <c r="F14876" s="1050"/>
      <c r="G14876" s="1050"/>
    </row>
    <row r="14877" spans="1:7">
      <c r="A14877" s="1079"/>
      <c r="B14877" s="1050"/>
      <c r="C14877" s="1050"/>
      <c r="D14877" s="1050"/>
      <c r="E14877" s="1050"/>
      <c r="F14877" s="1050"/>
      <c r="G14877" s="1050"/>
    </row>
    <row r="14878" spans="1:7">
      <c r="A14878" s="1079"/>
      <c r="B14878" s="1050"/>
      <c r="C14878" s="1050"/>
      <c r="D14878" s="1050"/>
      <c r="E14878" s="1050"/>
      <c r="F14878" s="1050"/>
      <c r="G14878" s="1050"/>
    </row>
    <row r="14879" spans="1:7">
      <c r="A14879" s="1079"/>
      <c r="B14879" s="1050"/>
      <c r="C14879" s="1050"/>
      <c r="D14879" s="1050"/>
      <c r="E14879" s="1050"/>
      <c r="F14879" s="1050"/>
      <c r="G14879" s="1050"/>
    </row>
    <row r="14880" spans="1:7">
      <c r="A14880" s="1079"/>
      <c r="B14880" s="1050"/>
      <c r="C14880" s="1050"/>
      <c r="D14880" s="1050"/>
      <c r="E14880" s="1050"/>
      <c r="F14880" s="1050"/>
      <c r="G14880" s="1050"/>
    </row>
    <row r="14881" spans="1:7">
      <c r="A14881" s="1079"/>
      <c r="B14881" s="1050"/>
      <c r="C14881" s="1050"/>
      <c r="D14881" s="1050"/>
      <c r="E14881" s="1050"/>
      <c r="F14881" s="1050"/>
      <c r="G14881" s="1050"/>
    </row>
    <row r="14882" spans="1:7">
      <c r="A14882" s="1079"/>
      <c r="B14882" s="1050"/>
      <c r="C14882" s="1050"/>
      <c r="D14882" s="1050"/>
      <c r="E14882" s="1050"/>
      <c r="F14882" s="1050"/>
      <c r="G14882" s="1050"/>
    </row>
    <row r="14883" spans="1:7">
      <c r="A14883" s="1079"/>
      <c r="B14883" s="1050"/>
      <c r="C14883" s="1050"/>
      <c r="D14883" s="1050"/>
      <c r="E14883" s="1050"/>
      <c r="F14883" s="1050"/>
      <c r="G14883" s="1050"/>
    </row>
    <row r="14884" spans="1:7">
      <c r="A14884" s="1079"/>
      <c r="B14884" s="1050"/>
      <c r="C14884" s="1050"/>
      <c r="D14884" s="1050"/>
      <c r="E14884" s="1050"/>
      <c r="F14884" s="1050"/>
      <c r="G14884" s="1050"/>
    </row>
    <row r="14885" spans="1:7">
      <c r="A14885" s="1079"/>
      <c r="B14885" s="1050"/>
      <c r="C14885" s="1050"/>
      <c r="D14885" s="1050"/>
      <c r="E14885" s="1050"/>
      <c r="F14885" s="1050"/>
      <c r="G14885" s="1050"/>
    </row>
    <row r="14886" spans="1:7">
      <c r="A14886" s="1079"/>
      <c r="B14886" s="1050"/>
      <c r="C14886" s="1050"/>
      <c r="D14886" s="1050"/>
      <c r="E14886" s="1050"/>
      <c r="F14886" s="1050"/>
      <c r="G14886" s="1050"/>
    </row>
    <row r="14887" spans="1:7">
      <c r="A14887" s="1079"/>
      <c r="B14887" s="1050"/>
      <c r="C14887" s="1050"/>
      <c r="D14887" s="1050"/>
      <c r="E14887" s="1050"/>
      <c r="F14887" s="1050"/>
      <c r="G14887" s="1050"/>
    </row>
    <row r="14888" spans="1:7">
      <c r="A14888" s="1079"/>
      <c r="B14888" s="1050"/>
      <c r="C14888" s="1050"/>
      <c r="D14888" s="1050"/>
      <c r="E14888" s="1050"/>
      <c r="F14888" s="1050"/>
      <c r="G14888" s="1050"/>
    </row>
    <row r="14889" spans="1:7">
      <c r="A14889" s="1079"/>
      <c r="B14889" s="1050"/>
      <c r="C14889" s="1050"/>
      <c r="D14889" s="1050"/>
      <c r="E14889" s="1050"/>
      <c r="F14889" s="1050"/>
      <c r="G14889" s="1050"/>
    </row>
    <row r="14890" spans="1:7">
      <c r="A14890" s="1079"/>
      <c r="B14890" s="1050"/>
      <c r="C14890" s="1050"/>
      <c r="D14890" s="1050"/>
      <c r="E14890" s="1050"/>
      <c r="F14890" s="1050"/>
      <c r="G14890" s="1050"/>
    </row>
    <row r="14891" spans="1:7">
      <c r="A14891" s="1079"/>
      <c r="B14891" s="1050"/>
      <c r="C14891" s="1050"/>
      <c r="D14891" s="1050"/>
      <c r="E14891" s="1050"/>
      <c r="F14891" s="1050"/>
      <c r="G14891" s="1050"/>
    </row>
    <row r="14892" spans="1:7">
      <c r="A14892" s="1079"/>
      <c r="B14892" s="1050"/>
      <c r="C14892" s="1050"/>
      <c r="D14892" s="1050"/>
      <c r="E14892" s="1050"/>
      <c r="F14892" s="1050"/>
      <c r="G14892" s="1050"/>
    </row>
    <row r="14893" spans="1:7">
      <c r="A14893" s="1079"/>
      <c r="B14893" s="1050"/>
      <c r="C14893" s="1050"/>
      <c r="D14893" s="1050"/>
      <c r="E14893" s="1050"/>
      <c r="F14893" s="1050"/>
      <c r="G14893" s="1050"/>
    </row>
    <row r="14894" spans="1:7">
      <c r="A14894" s="1079"/>
      <c r="B14894" s="1050"/>
      <c r="C14894" s="1050"/>
      <c r="D14894" s="1050"/>
      <c r="E14894" s="1050"/>
      <c r="F14894" s="1050"/>
      <c r="G14894" s="1050"/>
    </row>
    <row r="14895" spans="1:7">
      <c r="A14895" s="1079"/>
      <c r="B14895" s="1050"/>
      <c r="C14895" s="1050"/>
      <c r="D14895" s="1050"/>
      <c r="E14895" s="1050"/>
      <c r="F14895" s="1050"/>
      <c r="G14895" s="1050"/>
    </row>
    <row r="14896" spans="1:7">
      <c r="A14896" s="1079"/>
      <c r="B14896" s="1050"/>
      <c r="C14896" s="1050"/>
      <c r="D14896" s="1050"/>
      <c r="E14896" s="1050"/>
      <c r="F14896" s="1050"/>
      <c r="G14896" s="1050"/>
    </row>
    <row r="14897" spans="1:7">
      <c r="A14897" s="1079"/>
      <c r="B14897" s="1050"/>
      <c r="C14897" s="1050"/>
      <c r="D14897" s="1050"/>
      <c r="E14897" s="1050"/>
      <c r="F14897" s="1050"/>
      <c r="G14897" s="1050"/>
    </row>
    <row r="14898" spans="1:7">
      <c r="A14898" s="1079"/>
      <c r="B14898" s="1050"/>
      <c r="C14898" s="1050"/>
      <c r="D14898" s="1050"/>
      <c r="E14898" s="1050"/>
      <c r="F14898" s="1050"/>
      <c r="G14898" s="1050"/>
    </row>
    <row r="14899" spans="1:7">
      <c r="A14899" s="1079"/>
      <c r="B14899" s="1050"/>
      <c r="C14899" s="1050"/>
      <c r="D14899" s="1050"/>
      <c r="E14899" s="1050"/>
      <c r="F14899" s="1050"/>
      <c r="G14899" s="1050"/>
    </row>
    <row r="14900" spans="1:7">
      <c r="A14900" s="1079"/>
      <c r="B14900" s="1050"/>
      <c r="C14900" s="1050"/>
      <c r="D14900" s="1050"/>
      <c r="E14900" s="1050"/>
      <c r="F14900" s="1050"/>
      <c r="G14900" s="1050"/>
    </row>
    <row r="14901" spans="1:7">
      <c r="A14901" s="1079"/>
      <c r="B14901" s="1050"/>
      <c r="C14901" s="1050"/>
      <c r="D14901" s="1050"/>
      <c r="E14901" s="1050"/>
      <c r="F14901" s="1050"/>
      <c r="G14901" s="1050"/>
    </row>
    <row r="14902" spans="1:7">
      <c r="A14902" s="1079"/>
      <c r="B14902" s="1050"/>
      <c r="C14902" s="1050"/>
      <c r="D14902" s="1050"/>
      <c r="E14902" s="1050"/>
      <c r="F14902" s="1050"/>
      <c r="G14902" s="1050"/>
    </row>
    <row r="14903" spans="1:7">
      <c r="A14903" s="1079"/>
      <c r="B14903" s="1050"/>
      <c r="C14903" s="1050"/>
      <c r="D14903" s="1050"/>
      <c r="E14903" s="1050"/>
      <c r="F14903" s="1050"/>
      <c r="G14903" s="1050"/>
    </row>
    <row r="14904" spans="1:7">
      <c r="A14904" s="1079"/>
      <c r="B14904" s="1050"/>
      <c r="C14904" s="1050"/>
      <c r="D14904" s="1050"/>
      <c r="E14904" s="1050"/>
      <c r="F14904" s="1050"/>
      <c r="G14904" s="1050"/>
    </row>
    <row r="14905" spans="1:7">
      <c r="A14905" s="1079"/>
      <c r="B14905" s="1050"/>
      <c r="C14905" s="1050"/>
      <c r="D14905" s="1050"/>
      <c r="E14905" s="1050"/>
      <c r="F14905" s="1050"/>
      <c r="G14905" s="1050"/>
    </row>
    <row r="14906" spans="1:7">
      <c r="A14906" s="1079"/>
      <c r="B14906" s="1050"/>
      <c r="C14906" s="1050"/>
      <c r="D14906" s="1050"/>
      <c r="E14906" s="1050"/>
      <c r="F14906" s="1050"/>
      <c r="G14906" s="1050"/>
    </row>
    <row r="14907" spans="1:7">
      <c r="A14907" s="1079"/>
      <c r="B14907" s="1050"/>
      <c r="C14907" s="1050"/>
      <c r="D14907" s="1050"/>
      <c r="E14907" s="1050"/>
      <c r="F14907" s="1050"/>
      <c r="G14907" s="1050"/>
    </row>
    <row r="14908" spans="1:7">
      <c r="A14908" s="1079"/>
      <c r="B14908" s="1050"/>
      <c r="C14908" s="1050"/>
      <c r="D14908" s="1050"/>
      <c r="E14908" s="1050"/>
      <c r="F14908" s="1050"/>
      <c r="G14908" s="1050"/>
    </row>
    <row r="14909" spans="1:7">
      <c r="A14909" s="1079"/>
      <c r="B14909" s="1050"/>
      <c r="C14909" s="1050"/>
      <c r="D14909" s="1050"/>
      <c r="E14909" s="1050"/>
      <c r="F14909" s="1050"/>
      <c r="G14909" s="1050"/>
    </row>
    <row r="14910" spans="1:7">
      <c r="A14910" s="1079"/>
      <c r="B14910" s="1050"/>
      <c r="C14910" s="1050"/>
      <c r="D14910" s="1050"/>
      <c r="E14910" s="1050"/>
      <c r="F14910" s="1050"/>
      <c r="G14910" s="1050"/>
    </row>
    <row r="14911" spans="1:7">
      <c r="A14911" s="1079"/>
      <c r="B14911" s="1050"/>
      <c r="C14911" s="1050"/>
      <c r="D14911" s="1050"/>
      <c r="E14911" s="1050"/>
      <c r="F14911" s="1050"/>
      <c r="G14911" s="1050"/>
    </row>
    <row r="14912" spans="1:7">
      <c r="A14912" s="1079"/>
      <c r="B14912" s="1050"/>
      <c r="C14912" s="1050"/>
      <c r="D14912" s="1050"/>
      <c r="E14912" s="1050"/>
      <c r="F14912" s="1050"/>
      <c r="G14912" s="1050"/>
    </row>
    <row r="14913" spans="1:7">
      <c r="A14913" s="1079"/>
      <c r="B14913" s="1050"/>
      <c r="C14913" s="1050"/>
      <c r="D14913" s="1050"/>
      <c r="E14913" s="1050"/>
      <c r="F14913" s="1050"/>
      <c r="G14913" s="1050"/>
    </row>
    <row r="14914" spans="1:7">
      <c r="A14914" s="1079"/>
      <c r="B14914" s="1050"/>
      <c r="C14914" s="1050"/>
      <c r="D14914" s="1050"/>
      <c r="E14914" s="1050"/>
      <c r="F14914" s="1050"/>
      <c r="G14914" s="1050"/>
    </row>
    <row r="14915" spans="1:7">
      <c r="A14915" s="1079"/>
      <c r="B14915" s="1050"/>
      <c r="C14915" s="1050"/>
      <c r="D14915" s="1050"/>
      <c r="E14915" s="1050"/>
      <c r="F14915" s="1050"/>
      <c r="G14915" s="1050"/>
    </row>
    <row r="14916" spans="1:7">
      <c r="A14916" s="1079"/>
      <c r="B14916" s="1050"/>
      <c r="C14916" s="1050"/>
      <c r="D14916" s="1050"/>
      <c r="E14916" s="1050"/>
      <c r="F14916" s="1050"/>
      <c r="G14916" s="1050"/>
    </row>
    <row r="14917" spans="1:7">
      <c r="A14917" s="1079"/>
      <c r="B14917" s="1050"/>
      <c r="C14917" s="1050"/>
      <c r="D14917" s="1050"/>
      <c r="E14917" s="1050"/>
      <c r="F14917" s="1050"/>
      <c r="G14917" s="1050"/>
    </row>
    <row r="14918" spans="1:7">
      <c r="A14918" s="1079"/>
      <c r="B14918" s="1050"/>
      <c r="C14918" s="1050"/>
      <c r="D14918" s="1050"/>
      <c r="E14918" s="1050"/>
      <c r="F14918" s="1050"/>
      <c r="G14918" s="1050"/>
    </row>
    <row r="14919" spans="1:7">
      <c r="A14919" s="1079"/>
      <c r="B14919" s="1050"/>
      <c r="C14919" s="1050"/>
      <c r="D14919" s="1050"/>
      <c r="E14919" s="1050"/>
      <c r="F14919" s="1050"/>
      <c r="G14919" s="1050"/>
    </row>
    <row r="14920" spans="1:7">
      <c r="A14920" s="1079"/>
      <c r="B14920" s="1050"/>
      <c r="C14920" s="1050"/>
      <c r="D14920" s="1050"/>
      <c r="E14920" s="1050"/>
      <c r="F14920" s="1050"/>
      <c r="G14920" s="1050"/>
    </row>
    <row r="14921" spans="1:7">
      <c r="A14921" s="1079"/>
      <c r="B14921" s="1050"/>
      <c r="C14921" s="1050"/>
      <c r="D14921" s="1050"/>
      <c r="E14921" s="1050"/>
      <c r="F14921" s="1050"/>
      <c r="G14921" s="1050"/>
    </row>
    <row r="14922" spans="1:7">
      <c r="A14922" s="1079"/>
      <c r="B14922" s="1050"/>
      <c r="C14922" s="1050"/>
      <c r="D14922" s="1050"/>
      <c r="E14922" s="1050"/>
      <c r="F14922" s="1050"/>
      <c r="G14922" s="1050"/>
    </row>
    <row r="14923" spans="1:7">
      <c r="A14923" s="1079"/>
      <c r="B14923" s="1050"/>
      <c r="C14923" s="1050"/>
      <c r="D14923" s="1050"/>
      <c r="E14923" s="1050"/>
      <c r="F14923" s="1050"/>
      <c r="G14923" s="1050"/>
    </row>
    <row r="14924" spans="1:7">
      <c r="A14924" s="1079"/>
      <c r="B14924" s="1050"/>
      <c r="C14924" s="1050"/>
      <c r="D14924" s="1050"/>
      <c r="E14924" s="1050"/>
      <c r="F14924" s="1050"/>
      <c r="G14924" s="1050"/>
    </row>
    <row r="14925" spans="1:7">
      <c r="A14925" s="1079"/>
      <c r="B14925" s="1050"/>
      <c r="C14925" s="1050"/>
      <c r="D14925" s="1050"/>
      <c r="E14925" s="1050"/>
      <c r="F14925" s="1050"/>
      <c r="G14925" s="1050"/>
    </row>
    <row r="14926" spans="1:7">
      <c r="A14926" s="1079"/>
      <c r="B14926" s="1050"/>
      <c r="C14926" s="1050"/>
      <c r="D14926" s="1050"/>
      <c r="E14926" s="1050"/>
      <c r="F14926" s="1050"/>
      <c r="G14926" s="1050"/>
    </row>
    <row r="14927" spans="1:7">
      <c r="A14927" s="1079"/>
      <c r="B14927" s="1050"/>
      <c r="C14927" s="1050"/>
      <c r="D14927" s="1050"/>
      <c r="E14927" s="1050"/>
      <c r="F14927" s="1050"/>
      <c r="G14927" s="1050"/>
    </row>
    <row r="14928" spans="1:7">
      <c r="A14928" s="1079"/>
      <c r="B14928" s="1050"/>
      <c r="C14928" s="1050"/>
      <c r="D14928" s="1050"/>
      <c r="E14928" s="1050"/>
      <c r="F14928" s="1050"/>
      <c r="G14928" s="1050"/>
    </row>
    <row r="14929" spans="1:7">
      <c r="A14929" s="1079"/>
      <c r="B14929" s="1050"/>
      <c r="C14929" s="1050"/>
      <c r="D14929" s="1050"/>
      <c r="E14929" s="1050"/>
      <c r="F14929" s="1050"/>
      <c r="G14929" s="1050"/>
    </row>
    <row r="14930" spans="1:7">
      <c r="A14930" s="1079"/>
      <c r="B14930" s="1050"/>
      <c r="C14930" s="1050"/>
      <c r="D14930" s="1050"/>
      <c r="E14930" s="1050"/>
      <c r="F14930" s="1050"/>
      <c r="G14930" s="1050"/>
    </row>
    <row r="14931" spans="1:7">
      <c r="A14931" s="1079"/>
      <c r="B14931" s="1050"/>
      <c r="C14931" s="1050"/>
      <c r="D14931" s="1050"/>
      <c r="E14931" s="1050"/>
      <c r="F14931" s="1050"/>
      <c r="G14931" s="1050"/>
    </row>
    <row r="14932" spans="1:7">
      <c r="A14932" s="1079"/>
      <c r="B14932" s="1050"/>
      <c r="C14932" s="1050"/>
      <c r="D14932" s="1050"/>
      <c r="E14932" s="1050"/>
      <c r="F14932" s="1050"/>
      <c r="G14932" s="1050"/>
    </row>
    <row r="14933" spans="1:7">
      <c r="A14933" s="1079"/>
      <c r="B14933" s="1050"/>
      <c r="C14933" s="1050"/>
      <c r="D14933" s="1050"/>
      <c r="E14933" s="1050"/>
      <c r="F14933" s="1050"/>
      <c r="G14933" s="1050"/>
    </row>
    <row r="14934" spans="1:7">
      <c r="A14934" s="1079"/>
      <c r="B14934" s="1050"/>
      <c r="C14934" s="1050"/>
      <c r="D14934" s="1050"/>
      <c r="E14934" s="1050"/>
      <c r="F14934" s="1050"/>
      <c r="G14934" s="1050"/>
    </row>
    <row r="14935" spans="1:7">
      <c r="A14935" s="1079"/>
      <c r="B14935" s="1050"/>
      <c r="C14935" s="1050"/>
      <c r="D14935" s="1050"/>
      <c r="E14935" s="1050"/>
      <c r="F14935" s="1050"/>
      <c r="G14935" s="1050"/>
    </row>
    <row r="14936" spans="1:7">
      <c r="A14936" s="1079"/>
      <c r="B14936" s="1050"/>
      <c r="C14936" s="1050"/>
      <c r="D14936" s="1050"/>
      <c r="E14936" s="1050"/>
      <c r="F14936" s="1050"/>
      <c r="G14936" s="1050"/>
    </row>
    <row r="14937" spans="1:7">
      <c r="A14937" s="1079"/>
      <c r="B14937" s="1050"/>
      <c r="C14937" s="1050"/>
      <c r="D14937" s="1050"/>
      <c r="E14937" s="1050"/>
      <c r="F14937" s="1050"/>
      <c r="G14937" s="1050"/>
    </row>
    <row r="14938" spans="1:7">
      <c r="A14938" s="1079"/>
      <c r="B14938" s="1050"/>
      <c r="C14938" s="1050"/>
      <c r="D14938" s="1050"/>
      <c r="E14938" s="1050"/>
      <c r="F14938" s="1050"/>
      <c r="G14938" s="1050"/>
    </row>
    <row r="14939" spans="1:7">
      <c r="A14939" s="1079"/>
      <c r="B14939" s="1050"/>
      <c r="C14939" s="1050"/>
      <c r="D14939" s="1050"/>
      <c r="E14939" s="1050"/>
      <c r="F14939" s="1050"/>
      <c r="G14939" s="1050"/>
    </row>
    <row r="14940" spans="1:7">
      <c r="A14940" s="1079"/>
      <c r="B14940" s="1050"/>
      <c r="C14940" s="1050"/>
      <c r="D14940" s="1050"/>
      <c r="E14940" s="1050"/>
      <c r="F14940" s="1050"/>
      <c r="G14940" s="1050"/>
    </row>
    <row r="14941" spans="1:7">
      <c r="A14941" s="1079"/>
      <c r="B14941" s="1050"/>
      <c r="C14941" s="1050"/>
      <c r="D14941" s="1050"/>
      <c r="E14941" s="1050"/>
      <c r="F14941" s="1050"/>
      <c r="G14941" s="1050"/>
    </row>
    <row r="14942" spans="1:7">
      <c r="A14942" s="1079"/>
      <c r="B14942" s="1050"/>
      <c r="C14942" s="1050"/>
      <c r="D14942" s="1050"/>
      <c r="E14942" s="1050"/>
      <c r="F14942" s="1050"/>
      <c r="G14942" s="1050"/>
    </row>
    <row r="14943" spans="1:7">
      <c r="A14943" s="1079"/>
      <c r="B14943" s="1050"/>
      <c r="C14943" s="1050"/>
      <c r="D14943" s="1050"/>
      <c r="E14943" s="1050"/>
      <c r="F14943" s="1050"/>
      <c r="G14943" s="1050"/>
    </row>
    <row r="14944" spans="1:7">
      <c r="A14944" s="1079"/>
      <c r="B14944" s="1050"/>
      <c r="C14944" s="1050"/>
      <c r="D14944" s="1050"/>
      <c r="E14944" s="1050"/>
      <c r="F14944" s="1050"/>
      <c r="G14944" s="1050"/>
    </row>
    <row r="14945" spans="1:7">
      <c r="A14945" s="1079"/>
      <c r="B14945" s="1050"/>
      <c r="C14945" s="1050"/>
      <c r="D14945" s="1050"/>
      <c r="E14945" s="1050"/>
      <c r="F14945" s="1050"/>
      <c r="G14945" s="1050"/>
    </row>
    <row r="14946" spans="1:7">
      <c r="A14946" s="1079"/>
      <c r="B14946" s="1050"/>
      <c r="C14946" s="1050"/>
      <c r="D14946" s="1050"/>
      <c r="E14946" s="1050"/>
      <c r="F14946" s="1050"/>
      <c r="G14946" s="1050"/>
    </row>
    <row r="14947" spans="1:7">
      <c r="A14947" s="1079"/>
      <c r="B14947" s="1050"/>
      <c r="C14947" s="1050"/>
      <c r="D14947" s="1050"/>
      <c r="E14947" s="1050"/>
      <c r="F14947" s="1050"/>
      <c r="G14947" s="1050"/>
    </row>
    <row r="14948" spans="1:7">
      <c r="A14948" s="1079"/>
      <c r="B14948" s="1050"/>
      <c r="C14948" s="1050"/>
      <c r="D14948" s="1050"/>
      <c r="E14948" s="1050"/>
      <c r="F14948" s="1050"/>
      <c r="G14948" s="1050"/>
    </row>
    <row r="14949" spans="1:7">
      <c r="A14949" s="1079"/>
      <c r="B14949" s="1050"/>
      <c r="C14949" s="1050"/>
      <c r="D14949" s="1050"/>
      <c r="E14949" s="1050"/>
      <c r="F14949" s="1050"/>
      <c r="G14949" s="1050"/>
    </row>
    <row r="14950" spans="1:7">
      <c r="A14950" s="1079"/>
      <c r="B14950" s="1050"/>
      <c r="C14950" s="1050"/>
      <c r="D14950" s="1050"/>
      <c r="E14950" s="1050"/>
      <c r="F14950" s="1050"/>
      <c r="G14950" s="1050"/>
    </row>
    <row r="14951" spans="1:7">
      <c r="A14951" s="1079"/>
      <c r="B14951" s="1050"/>
      <c r="C14951" s="1050"/>
      <c r="D14951" s="1050"/>
      <c r="E14951" s="1050"/>
      <c r="F14951" s="1050"/>
      <c r="G14951" s="1050"/>
    </row>
    <row r="14952" spans="1:7">
      <c r="A14952" s="1079"/>
      <c r="B14952" s="1050"/>
      <c r="C14952" s="1050"/>
      <c r="D14952" s="1050"/>
      <c r="E14952" s="1050"/>
      <c r="F14952" s="1050"/>
      <c r="G14952" s="1050"/>
    </row>
    <row r="14953" spans="1:7">
      <c r="A14953" s="1079"/>
      <c r="B14953" s="1050"/>
      <c r="C14953" s="1050"/>
      <c r="D14953" s="1050"/>
      <c r="E14953" s="1050"/>
      <c r="F14953" s="1050"/>
      <c r="G14953" s="1050"/>
    </row>
    <row r="14954" spans="1:7">
      <c r="A14954" s="1079"/>
      <c r="B14954" s="1050"/>
      <c r="C14954" s="1050"/>
      <c r="D14954" s="1050"/>
      <c r="E14954" s="1050"/>
      <c r="F14954" s="1050"/>
      <c r="G14954" s="1050"/>
    </row>
    <row r="14955" spans="1:7">
      <c r="A14955" s="1079"/>
      <c r="B14955" s="1050"/>
      <c r="C14955" s="1050"/>
      <c r="D14955" s="1050"/>
      <c r="E14955" s="1050"/>
      <c r="F14955" s="1050"/>
      <c r="G14955" s="1050"/>
    </row>
    <row r="14956" spans="1:7">
      <c r="A14956" s="1079"/>
      <c r="B14956" s="1050"/>
      <c r="C14956" s="1050"/>
      <c r="D14956" s="1050"/>
      <c r="E14956" s="1050"/>
      <c r="F14956" s="1050"/>
      <c r="G14956" s="1050"/>
    </row>
    <row r="14957" spans="1:7">
      <c r="A14957" s="1079"/>
      <c r="B14957" s="1050"/>
      <c r="C14957" s="1050"/>
      <c r="D14957" s="1050"/>
      <c r="E14957" s="1050"/>
      <c r="F14957" s="1050"/>
      <c r="G14957" s="1050"/>
    </row>
    <row r="14958" spans="1:7">
      <c r="A14958" s="1079"/>
      <c r="B14958" s="1050"/>
      <c r="C14958" s="1050"/>
      <c r="D14958" s="1050"/>
      <c r="E14958" s="1050"/>
      <c r="F14958" s="1050"/>
      <c r="G14958" s="1050"/>
    </row>
    <row r="14959" spans="1:7">
      <c r="A14959" s="1079"/>
      <c r="B14959" s="1050"/>
      <c r="C14959" s="1050"/>
      <c r="D14959" s="1050"/>
      <c r="E14959" s="1050"/>
      <c r="F14959" s="1050"/>
      <c r="G14959" s="1050"/>
    </row>
    <row r="14960" spans="1:7">
      <c r="A14960" s="1079"/>
      <c r="B14960" s="1050"/>
      <c r="C14960" s="1050"/>
      <c r="D14960" s="1050"/>
      <c r="E14960" s="1050"/>
      <c r="F14960" s="1050"/>
      <c r="G14960" s="1050"/>
    </row>
    <row r="14961" spans="1:7">
      <c r="A14961" s="1079"/>
      <c r="B14961" s="1050"/>
      <c r="C14961" s="1050"/>
      <c r="D14961" s="1050"/>
      <c r="E14961" s="1050"/>
      <c r="F14961" s="1050"/>
      <c r="G14961" s="1050"/>
    </row>
    <row r="14962" spans="1:7">
      <c r="A14962" s="1079"/>
      <c r="B14962" s="1050"/>
      <c r="C14962" s="1050"/>
      <c r="D14962" s="1050"/>
      <c r="E14962" s="1050"/>
      <c r="F14962" s="1050"/>
      <c r="G14962" s="1050"/>
    </row>
    <row r="14963" spans="1:7">
      <c r="A14963" s="1079"/>
      <c r="B14963" s="1050"/>
      <c r="C14963" s="1050"/>
      <c r="D14963" s="1050"/>
      <c r="E14963" s="1050"/>
      <c r="F14963" s="1050"/>
      <c r="G14963" s="1050"/>
    </row>
    <row r="14964" spans="1:7">
      <c r="A14964" s="1079"/>
      <c r="B14964" s="1050"/>
      <c r="C14964" s="1050"/>
      <c r="D14964" s="1050"/>
      <c r="E14964" s="1050"/>
      <c r="F14964" s="1050"/>
      <c r="G14964" s="1050"/>
    </row>
    <row r="14965" spans="1:7">
      <c r="A14965" s="1079"/>
      <c r="B14965" s="1050"/>
      <c r="C14965" s="1050"/>
      <c r="D14965" s="1050"/>
      <c r="E14965" s="1050"/>
      <c r="F14965" s="1050"/>
      <c r="G14965" s="1050"/>
    </row>
    <row r="14966" spans="1:7">
      <c r="A14966" s="1079"/>
      <c r="B14966" s="1050"/>
      <c r="C14966" s="1050"/>
      <c r="D14966" s="1050"/>
      <c r="E14966" s="1050"/>
      <c r="F14966" s="1050"/>
      <c r="G14966" s="1050"/>
    </row>
    <row r="14967" spans="1:7">
      <c r="A14967" s="1079"/>
      <c r="B14967" s="1050"/>
      <c r="C14967" s="1050"/>
      <c r="D14967" s="1050"/>
      <c r="E14967" s="1050"/>
      <c r="F14967" s="1050"/>
      <c r="G14967" s="1050"/>
    </row>
    <row r="14968" spans="1:7">
      <c r="A14968" s="1079"/>
      <c r="B14968" s="1050"/>
      <c r="C14968" s="1050"/>
      <c r="D14968" s="1050"/>
      <c r="E14968" s="1050"/>
      <c r="F14968" s="1050"/>
      <c r="G14968" s="1050"/>
    </row>
    <row r="14969" spans="1:7">
      <c r="A14969" s="1079"/>
      <c r="B14969" s="1050"/>
      <c r="C14969" s="1050"/>
      <c r="D14969" s="1050"/>
      <c r="E14969" s="1050"/>
      <c r="F14969" s="1050"/>
      <c r="G14969" s="1050"/>
    </row>
    <row r="14970" spans="1:7">
      <c r="A14970" s="1079"/>
      <c r="B14970" s="1050"/>
      <c r="C14970" s="1050"/>
      <c r="D14970" s="1050"/>
      <c r="E14970" s="1050"/>
      <c r="F14970" s="1050"/>
      <c r="G14970" s="1050"/>
    </row>
    <row r="14971" spans="1:7">
      <c r="A14971" s="1079"/>
      <c r="B14971" s="1050"/>
      <c r="C14971" s="1050"/>
      <c r="D14971" s="1050"/>
      <c r="E14971" s="1050"/>
      <c r="F14971" s="1050"/>
      <c r="G14971" s="1050"/>
    </row>
    <row r="14972" spans="1:7">
      <c r="A14972" s="1079"/>
      <c r="B14972" s="1050"/>
      <c r="C14972" s="1050"/>
      <c r="D14972" s="1050"/>
      <c r="E14972" s="1050"/>
      <c r="F14972" s="1050"/>
      <c r="G14972" s="1050"/>
    </row>
    <row r="14973" spans="1:7">
      <c r="A14973" s="1079"/>
      <c r="B14973" s="1050"/>
      <c r="C14973" s="1050"/>
      <c r="D14973" s="1050"/>
      <c r="E14973" s="1050"/>
      <c r="F14973" s="1050"/>
      <c r="G14973" s="1050"/>
    </row>
    <row r="14974" spans="1:7">
      <c r="A14974" s="1079"/>
      <c r="B14974" s="1050"/>
      <c r="C14974" s="1050"/>
      <c r="D14974" s="1050"/>
      <c r="E14974" s="1050"/>
      <c r="F14974" s="1050"/>
      <c r="G14974" s="1050"/>
    </row>
    <row r="14975" spans="1:7">
      <c r="A14975" s="1079"/>
      <c r="B14975" s="1050"/>
      <c r="C14975" s="1050"/>
      <c r="D14975" s="1050"/>
      <c r="E14975" s="1050"/>
      <c r="F14975" s="1050"/>
      <c r="G14975" s="1050"/>
    </row>
    <row r="14976" spans="1:7">
      <c r="A14976" s="1079"/>
      <c r="B14976" s="1050"/>
      <c r="C14976" s="1050"/>
      <c r="D14976" s="1050"/>
      <c r="E14976" s="1050"/>
      <c r="F14976" s="1050"/>
      <c r="G14976" s="1050"/>
    </row>
    <row r="14977" spans="1:7">
      <c r="A14977" s="1079"/>
      <c r="B14977" s="1050"/>
      <c r="C14977" s="1050"/>
      <c r="D14977" s="1050"/>
      <c r="E14977" s="1050"/>
      <c r="F14977" s="1050"/>
      <c r="G14977" s="1050"/>
    </row>
    <row r="14978" spans="1:7">
      <c r="A14978" s="1079"/>
      <c r="B14978" s="1050"/>
      <c r="C14978" s="1050"/>
      <c r="D14978" s="1050"/>
      <c r="E14978" s="1050"/>
      <c r="F14978" s="1050"/>
      <c r="G14978" s="1050"/>
    </row>
    <row r="14979" spans="1:7">
      <c r="A14979" s="1079"/>
      <c r="B14979" s="1050"/>
      <c r="C14979" s="1050"/>
      <c r="D14979" s="1050"/>
      <c r="E14979" s="1050"/>
      <c r="F14979" s="1050"/>
      <c r="G14979" s="1050"/>
    </row>
    <row r="14980" spans="1:7">
      <c r="A14980" s="1079"/>
      <c r="B14980" s="1050"/>
      <c r="C14980" s="1050"/>
      <c r="D14980" s="1050"/>
      <c r="E14980" s="1050"/>
      <c r="F14980" s="1050"/>
      <c r="G14980" s="1050"/>
    </row>
    <row r="14981" spans="1:7">
      <c r="A14981" s="1079"/>
      <c r="B14981" s="1050"/>
      <c r="C14981" s="1050"/>
      <c r="D14981" s="1050"/>
      <c r="E14981" s="1050"/>
      <c r="F14981" s="1050"/>
      <c r="G14981" s="1050"/>
    </row>
    <row r="14982" spans="1:7">
      <c r="A14982" s="1079"/>
      <c r="B14982" s="1050"/>
      <c r="C14982" s="1050"/>
      <c r="D14982" s="1050"/>
      <c r="E14982" s="1050"/>
      <c r="F14982" s="1050"/>
      <c r="G14982" s="1050"/>
    </row>
    <row r="14983" spans="1:7">
      <c r="A14983" s="1079"/>
      <c r="B14983" s="1050"/>
      <c r="C14983" s="1050"/>
      <c r="D14983" s="1050"/>
      <c r="E14983" s="1050"/>
      <c r="F14983" s="1050"/>
      <c r="G14983" s="1050"/>
    </row>
    <row r="14984" spans="1:7">
      <c r="A14984" s="1079"/>
      <c r="B14984" s="1050"/>
      <c r="C14984" s="1050"/>
      <c r="D14984" s="1050"/>
      <c r="E14984" s="1050"/>
      <c r="F14984" s="1050"/>
      <c r="G14984" s="1050"/>
    </row>
    <row r="14985" spans="1:7">
      <c r="A14985" s="1079"/>
      <c r="B14985" s="1050"/>
      <c r="C14985" s="1050"/>
      <c r="D14985" s="1050"/>
      <c r="E14985" s="1050"/>
      <c r="F14985" s="1050"/>
      <c r="G14985" s="1050"/>
    </row>
    <row r="14986" spans="1:7">
      <c r="A14986" s="1079"/>
      <c r="B14986" s="1050"/>
      <c r="C14986" s="1050"/>
      <c r="D14986" s="1050"/>
      <c r="E14986" s="1050"/>
      <c r="F14986" s="1050"/>
      <c r="G14986" s="1050"/>
    </row>
    <row r="14987" spans="1:7">
      <c r="A14987" s="1079"/>
      <c r="B14987" s="1050"/>
      <c r="C14987" s="1050"/>
      <c r="D14987" s="1050"/>
      <c r="E14987" s="1050"/>
      <c r="F14987" s="1050"/>
      <c r="G14987" s="1050"/>
    </row>
    <row r="14988" spans="1:7">
      <c r="A14988" s="1079"/>
      <c r="B14988" s="1050"/>
      <c r="C14988" s="1050"/>
      <c r="D14988" s="1050"/>
      <c r="E14988" s="1050"/>
      <c r="F14988" s="1050"/>
      <c r="G14988" s="1050"/>
    </row>
    <row r="14989" spans="1:7">
      <c r="A14989" s="1079"/>
      <c r="B14989" s="1050"/>
      <c r="C14989" s="1050"/>
      <c r="D14989" s="1050"/>
      <c r="E14989" s="1050"/>
      <c r="F14989" s="1050"/>
      <c r="G14989" s="1050"/>
    </row>
    <row r="14990" spans="1:7">
      <c r="A14990" s="1079"/>
      <c r="B14990" s="1050"/>
      <c r="C14990" s="1050"/>
      <c r="D14990" s="1050"/>
      <c r="E14990" s="1050"/>
      <c r="F14990" s="1050"/>
      <c r="G14990" s="1050"/>
    </row>
    <row r="14991" spans="1:7">
      <c r="A14991" s="1079"/>
      <c r="B14991" s="1050"/>
      <c r="C14991" s="1050"/>
      <c r="D14991" s="1050"/>
      <c r="E14991" s="1050"/>
      <c r="F14991" s="1050"/>
      <c r="G14991" s="1050"/>
    </row>
    <row r="14992" spans="1:7">
      <c r="A14992" s="1079"/>
      <c r="B14992" s="1050"/>
      <c r="C14992" s="1050"/>
      <c r="D14992" s="1050"/>
      <c r="E14992" s="1050"/>
      <c r="F14992" s="1050"/>
      <c r="G14992" s="1050"/>
    </row>
    <row r="14993" spans="1:7">
      <c r="A14993" s="1079"/>
      <c r="B14993" s="1050"/>
      <c r="C14993" s="1050"/>
      <c r="D14993" s="1050"/>
      <c r="E14993" s="1050"/>
      <c r="F14993" s="1050"/>
      <c r="G14993" s="1050"/>
    </row>
    <row r="14994" spans="1:7">
      <c r="A14994" s="1079"/>
      <c r="B14994" s="1050"/>
      <c r="C14994" s="1050"/>
      <c r="D14994" s="1050"/>
      <c r="E14994" s="1050"/>
      <c r="F14994" s="1050"/>
      <c r="G14994" s="1050"/>
    </row>
    <row r="14995" spans="1:7">
      <c r="A14995" s="1079"/>
      <c r="B14995" s="1050"/>
      <c r="C14995" s="1050"/>
      <c r="D14995" s="1050"/>
      <c r="E14995" s="1050"/>
      <c r="F14995" s="1050"/>
      <c r="G14995" s="1050"/>
    </row>
    <row r="14996" spans="1:7">
      <c r="A14996" s="1079"/>
      <c r="B14996" s="1050"/>
      <c r="C14996" s="1050"/>
      <c r="D14996" s="1050"/>
      <c r="E14996" s="1050"/>
      <c r="F14996" s="1050"/>
      <c r="G14996" s="1050"/>
    </row>
    <row r="14997" spans="1:7">
      <c r="A14997" s="1079"/>
      <c r="B14997" s="1050"/>
      <c r="C14997" s="1050"/>
      <c r="D14997" s="1050"/>
      <c r="E14997" s="1050"/>
      <c r="F14997" s="1050"/>
      <c r="G14997" s="1050"/>
    </row>
    <row r="14998" spans="1:7">
      <c r="A14998" s="1079"/>
      <c r="B14998" s="1050"/>
      <c r="C14998" s="1050"/>
      <c r="D14998" s="1050"/>
      <c r="E14998" s="1050"/>
      <c r="F14998" s="1050"/>
      <c r="G14998" s="1050"/>
    </row>
    <row r="14999" spans="1:7">
      <c r="A14999" s="1079"/>
      <c r="B14999" s="1050"/>
      <c r="C14999" s="1050"/>
      <c r="D14999" s="1050"/>
      <c r="E14999" s="1050"/>
      <c r="F14999" s="1050"/>
      <c r="G14999" s="1050"/>
    </row>
    <row r="15000" spans="1:7">
      <c r="A15000" s="1079"/>
      <c r="B15000" s="1050"/>
      <c r="C15000" s="1050"/>
      <c r="D15000" s="1050"/>
      <c r="E15000" s="1050"/>
      <c r="F15000" s="1050"/>
      <c r="G15000" s="1050"/>
    </row>
    <row r="15001" spans="1:7">
      <c r="A15001" s="1079"/>
      <c r="B15001" s="1050"/>
      <c r="C15001" s="1050"/>
      <c r="D15001" s="1050"/>
      <c r="E15001" s="1050"/>
      <c r="F15001" s="1050"/>
      <c r="G15001" s="1050"/>
    </row>
    <row r="15002" spans="1:7">
      <c r="A15002" s="1079"/>
      <c r="B15002" s="1050"/>
      <c r="C15002" s="1050"/>
      <c r="D15002" s="1050"/>
      <c r="E15002" s="1050"/>
      <c r="F15002" s="1050"/>
      <c r="G15002" s="1050"/>
    </row>
    <row r="15003" spans="1:7">
      <c r="A15003" s="1079"/>
      <c r="B15003" s="1050"/>
      <c r="C15003" s="1050"/>
      <c r="D15003" s="1050"/>
      <c r="E15003" s="1050"/>
      <c r="F15003" s="1050"/>
      <c r="G15003" s="1050"/>
    </row>
    <row r="15004" spans="1:7">
      <c r="A15004" s="1079"/>
      <c r="B15004" s="1050"/>
      <c r="C15004" s="1050"/>
      <c r="D15004" s="1050"/>
      <c r="E15004" s="1050"/>
      <c r="F15004" s="1050"/>
      <c r="G15004" s="1050"/>
    </row>
    <row r="15005" spans="1:7">
      <c r="A15005" s="1079"/>
      <c r="B15005" s="1050"/>
      <c r="C15005" s="1050"/>
      <c r="D15005" s="1050"/>
      <c r="E15005" s="1050"/>
      <c r="F15005" s="1050"/>
      <c r="G15005" s="1050"/>
    </row>
    <row r="15006" spans="1:7">
      <c r="A15006" s="1079"/>
      <c r="B15006" s="1050"/>
      <c r="C15006" s="1050"/>
      <c r="D15006" s="1050"/>
      <c r="E15006" s="1050"/>
      <c r="F15006" s="1050"/>
      <c r="G15006" s="1050"/>
    </row>
    <row r="15007" spans="1:7">
      <c r="A15007" s="1079"/>
      <c r="B15007" s="1050"/>
      <c r="C15007" s="1050"/>
      <c r="D15007" s="1050"/>
      <c r="E15007" s="1050"/>
      <c r="F15007" s="1050"/>
      <c r="G15007" s="1050"/>
    </row>
    <row r="15008" spans="1:7">
      <c r="A15008" s="1079"/>
      <c r="B15008" s="1050"/>
      <c r="C15008" s="1050"/>
      <c r="D15008" s="1050"/>
      <c r="E15008" s="1050"/>
      <c r="F15008" s="1050"/>
      <c r="G15008" s="1050"/>
    </row>
    <row r="15009" spans="1:7">
      <c r="A15009" s="1079"/>
      <c r="B15009" s="1050"/>
      <c r="C15009" s="1050"/>
      <c r="D15009" s="1050"/>
      <c r="E15009" s="1050"/>
      <c r="F15009" s="1050"/>
      <c r="G15009" s="1050"/>
    </row>
    <row r="15010" spans="1:7">
      <c r="A15010" s="1079"/>
      <c r="B15010" s="1050"/>
      <c r="C15010" s="1050"/>
      <c r="D15010" s="1050"/>
      <c r="E15010" s="1050"/>
      <c r="F15010" s="1050"/>
      <c r="G15010" s="1050"/>
    </row>
    <row r="15011" spans="1:7">
      <c r="A15011" s="1079"/>
      <c r="B15011" s="1050"/>
      <c r="C15011" s="1050"/>
      <c r="D15011" s="1050"/>
      <c r="E15011" s="1050"/>
      <c r="F15011" s="1050"/>
      <c r="G15011" s="1050"/>
    </row>
    <row r="15012" spans="1:7">
      <c r="A15012" s="1079"/>
      <c r="B15012" s="1050"/>
      <c r="C15012" s="1050"/>
      <c r="D15012" s="1050"/>
      <c r="E15012" s="1050"/>
      <c r="F15012" s="1050"/>
      <c r="G15012" s="1050"/>
    </row>
    <row r="15013" spans="1:7">
      <c r="A15013" s="1079"/>
      <c r="B15013" s="1050"/>
      <c r="C15013" s="1050"/>
      <c r="D15013" s="1050"/>
      <c r="E15013" s="1050"/>
      <c r="F15013" s="1050"/>
      <c r="G15013" s="1050"/>
    </row>
    <row r="15014" spans="1:7">
      <c r="A15014" s="1079"/>
      <c r="B15014" s="1050"/>
      <c r="C15014" s="1050"/>
      <c r="D15014" s="1050"/>
      <c r="E15014" s="1050"/>
      <c r="F15014" s="1050"/>
      <c r="G15014" s="1050"/>
    </row>
    <row r="15015" spans="1:7">
      <c r="A15015" s="1079"/>
      <c r="B15015" s="1050"/>
      <c r="C15015" s="1050"/>
      <c r="D15015" s="1050"/>
      <c r="E15015" s="1050"/>
      <c r="F15015" s="1050"/>
      <c r="G15015" s="1050"/>
    </row>
    <row r="15016" spans="1:7">
      <c r="A15016" s="1079"/>
      <c r="B15016" s="1050"/>
      <c r="C15016" s="1050"/>
      <c r="D15016" s="1050"/>
      <c r="E15016" s="1050"/>
      <c r="F15016" s="1050"/>
      <c r="G15016" s="1050"/>
    </row>
    <row r="15017" spans="1:7">
      <c r="A15017" s="1079"/>
      <c r="B15017" s="1050"/>
      <c r="C15017" s="1050"/>
      <c r="D15017" s="1050"/>
      <c r="E15017" s="1050"/>
      <c r="F15017" s="1050"/>
      <c r="G15017" s="1050"/>
    </row>
    <row r="15018" spans="1:7">
      <c r="A15018" s="1079"/>
      <c r="B15018" s="1050"/>
      <c r="C15018" s="1050"/>
      <c r="D15018" s="1050"/>
      <c r="E15018" s="1050"/>
      <c r="F15018" s="1050"/>
      <c r="G15018" s="1050"/>
    </row>
    <row r="15019" spans="1:7">
      <c r="A15019" s="1079"/>
      <c r="B15019" s="1050"/>
      <c r="C15019" s="1050"/>
      <c r="D15019" s="1050"/>
      <c r="E15019" s="1050"/>
      <c r="F15019" s="1050"/>
      <c r="G15019" s="1050"/>
    </row>
    <row r="15020" spans="1:7">
      <c r="A15020" s="1079"/>
      <c r="B15020" s="1050"/>
      <c r="C15020" s="1050"/>
      <c r="D15020" s="1050"/>
      <c r="E15020" s="1050"/>
      <c r="F15020" s="1050"/>
      <c r="G15020" s="1050"/>
    </row>
    <row r="15021" spans="1:7">
      <c r="A15021" s="1079"/>
      <c r="B15021" s="1050"/>
      <c r="C15021" s="1050"/>
      <c r="D15021" s="1050"/>
      <c r="E15021" s="1050"/>
      <c r="F15021" s="1050"/>
      <c r="G15021" s="1050"/>
    </row>
    <row r="15022" spans="1:7">
      <c r="A15022" s="1079"/>
      <c r="B15022" s="1050"/>
      <c r="C15022" s="1050"/>
      <c r="D15022" s="1050"/>
      <c r="E15022" s="1050"/>
      <c r="F15022" s="1050"/>
      <c r="G15022" s="1050"/>
    </row>
    <row r="15023" spans="1:7">
      <c r="A15023" s="1079"/>
      <c r="B15023" s="1050"/>
      <c r="C15023" s="1050"/>
      <c r="D15023" s="1050"/>
      <c r="E15023" s="1050"/>
      <c r="F15023" s="1050"/>
      <c r="G15023" s="1050"/>
    </row>
    <row r="15024" spans="1:7">
      <c r="A15024" s="1079"/>
      <c r="B15024" s="1050"/>
      <c r="C15024" s="1050"/>
      <c r="D15024" s="1050"/>
      <c r="E15024" s="1050"/>
      <c r="F15024" s="1050"/>
      <c r="G15024" s="1050"/>
    </row>
    <row r="15025" spans="1:7">
      <c r="A15025" s="1079"/>
      <c r="B15025" s="1050"/>
      <c r="C15025" s="1050"/>
      <c r="D15025" s="1050"/>
      <c r="E15025" s="1050"/>
      <c r="F15025" s="1050"/>
      <c r="G15025" s="1050"/>
    </row>
    <row r="15026" spans="1:7">
      <c r="A15026" s="1079"/>
      <c r="B15026" s="1050"/>
      <c r="C15026" s="1050"/>
      <c r="D15026" s="1050"/>
      <c r="E15026" s="1050"/>
      <c r="F15026" s="1050"/>
      <c r="G15026" s="1050"/>
    </row>
    <row r="15027" spans="1:7">
      <c r="A15027" s="1079"/>
      <c r="B15027" s="1050"/>
      <c r="C15027" s="1050"/>
      <c r="D15027" s="1050"/>
      <c r="E15027" s="1050"/>
      <c r="F15027" s="1050"/>
      <c r="G15027" s="1050"/>
    </row>
    <row r="15028" spans="1:7">
      <c r="A15028" s="1079"/>
      <c r="B15028" s="1050"/>
      <c r="C15028" s="1050"/>
      <c r="D15028" s="1050"/>
      <c r="E15028" s="1050"/>
      <c r="F15028" s="1050"/>
      <c r="G15028" s="1050"/>
    </row>
    <row r="15029" spans="1:7">
      <c r="A15029" s="1079"/>
      <c r="B15029" s="1050"/>
      <c r="C15029" s="1050"/>
      <c r="D15029" s="1050"/>
      <c r="E15029" s="1050"/>
      <c r="F15029" s="1050"/>
      <c r="G15029" s="1050"/>
    </row>
    <row r="15030" spans="1:7">
      <c r="A15030" s="1079"/>
      <c r="B15030" s="1050"/>
      <c r="C15030" s="1050"/>
      <c r="D15030" s="1050"/>
      <c r="E15030" s="1050"/>
      <c r="F15030" s="1050"/>
      <c r="G15030" s="1050"/>
    </row>
    <row r="15031" spans="1:7">
      <c r="A15031" s="1079"/>
      <c r="B15031" s="1050"/>
      <c r="C15031" s="1050"/>
      <c r="D15031" s="1050"/>
      <c r="E15031" s="1050"/>
      <c r="F15031" s="1050"/>
      <c r="G15031" s="1050"/>
    </row>
    <row r="15032" spans="1:7">
      <c r="A15032" s="1079"/>
      <c r="B15032" s="1050"/>
      <c r="C15032" s="1050"/>
      <c r="D15032" s="1050"/>
      <c r="E15032" s="1050"/>
      <c r="F15032" s="1050"/>
      <c r="G15032" s="1050"/>
    </row>
    <row r="15033" spans="1:7">
      <c r="A15033" s="1079"/>
      <c r="B15033" s="1050"/>
      <c r="C15033" s="1050"/>
      <c r="D15033" s="1050"/>
      <c r="E15033" s="1050"/>
      <c r="F15033" s="1050"/>
      <c r="G15033" s="1050"/>
    </row>
    <row r="15034" spans="1:7">
      <c r="A15034" s="1079"/>
      <c r="B15034" s="1050"/>
      <c r="C15034" s="1050"/>
      <c r="D15034" s="1050"/>
      <c r="E15034" s="1050"/>
      <c r="F15034" s="1050"/>
      <c r="G15034" s="1050"/>
    </row>
    <row r="15035" spans="1:7">
      <c r="A15035" s="1079"/>
      <c r="B15035" s="1050"/>
      <c r="C15035" s="1050"/>
      <c r="D15035" s="1050"/>
      <c r="E15035" s="1050"/>
      <c r="F15035" s="1050"/>
      <c r="G15035" s="1050"/>
    </row>
    <row r="15036" spans="1:7">
      <c r="A15036" s="1079"/>
      <c r="B15036" s="1050"/>
      <c r="C15036" s="1050"/>
      <c r="D15036" s="1050"/>
      <c r="E15036" s="1050"/>
      <c r="F15036" s="1050"/>
      <c r="G15036" s="1050"/>
    </row>
    <row r="15037" spans="1:7">
      <c r="A15037" s="1079"/>
      <c r="B15037" s="1050"/>
      <c r="C15037" s="1050"/>
      <c r="D15037" s="1050"/>
      <c r="E15037" s="1050"/>
      <c r="F15037" s="1050"/>
      <c r="G15037" s="1050"/>
    </row>
    <row r="15038" spans="1:7">
      <c r="A15038" s="1079"/>
      <c r="B15038" s="1050"/>
      <c r="C15038" s="1050"/>
      <c r="D15038" s="1050"/>
      <c r="E15038" s="1050"/>
      <c r="F15038" s="1050"/>
      <c r="G15038" s="1050"/>
    </row>
    <row r="15039" spans="1:7">
      <c r="A15039" s="1079"/>
      <c r="B15039" s="1050"/>
      <c r="C15039" s="1050"/>
      <c r="D15039" s="1050"/>
      <c r="E15039" s="1050"/>
      <c r="F15039" s="1050"/>
      <c r="G15039" s="1050"/>
    </row>
    <row r="15040" spans="1:7">
      <c r="A15040" s="1079"/>
      <c r="B15040" s="1050"/>
      <c r="C15040" s="1050"/>
      <c r="D15040" s="1050"/>
      <c r="E15040" s="1050"/>
      <c r="F15040" s="1050"/>
      <c r="G15040" s="1050"/>
    </row>
    <row r="15041" spans="1:7">
      <c r="A15041" s="1079"/>
      <c r="B15041" s="1050"/>
      <c r="C15041" s="1050"/>
      <c r="D15041" s="1050"/>
      <c r="E15041" s="1050"/>
      <c r="F15041" s="1050"/>
      <c r="G15041" s="1050"/>
    </row>
    <row r="15042" spans="1:7">
      <c r="A15042" s="1079"/>
      <c r="B15042" s="1050"/>
      <c r="C15042" s="1050"/>
      <c r="D15042" s="1050"/>
      <c r="E15042" s="1050"/>
      <c r="F15042" s="1050"/>
      <c r="G15042" s="1050"/>
    </row>
    <row r="15043" spans="1:7">
      <c r="A15043" s="1079"/>
      <c r="B15043" s="1050"/>
      <c r="C15043" s="1050"/>
      <c r="D15043" s="1050"/>
      <c r="E15043" s="1050"/>
      <c r="F15043" s="1050"/>
      <c r="G15043" s="1050"/>
    </row>
    <row r="15044" spans="1:7">
      <c r="A15044" s="1079"/>
      <c r="B15044" s="1050"/>
      <c r="C15044" s="1050"/>
      <c r="D15044" s="1050"/>
      <c r="E15044" s="1050"/>
      <c r="F15044" s="1050"/>
      <c r="G15044" s="1050"/>
    </row>
    <row r="15045" spans="1:7">
      <c r="A15045" s="1079"/>
      <c r="B15045" s="1050"/>
      <c r="C15045" s="1050"/>
      <c r="D15045" s="1050"/>
      <c r="E15045" s="1050"/>
      <c r="F15045" s="1050"/>
      <c r="G15045" s="1050"/>
    </row>
    <row r="15046" spans="1:7">
      <c r="A15046" s="1079"/>
      <c r="B15046" s="1050"/>
      <c r="C15046" s="1050"/>
      <c r="D15046" s="1050"/>
      <c r="E15046" s="1050"/>
      <c r="F15046" s="1050"/>
      <c r="G15046" s="1050"/>
    </row>
    <row r="15047" spans="1:7">
      <c r="A15047" s="1079"/>
      <c r="B15047" s="1050"/>
      <c r="C15047" s="1050"/>
      <c r="D15047" s="1050"/>
      <c r="E15047" s="1050"/>
      <c r="F15047" s="1050"/>
      <c r="G15047" s="1050"/>
    </row>
    <row r="15048" spans="1:7">
      <c r="A15048" s="1079"/>
      <c r="B15048" s="1050"/>
      <c r="C15048" s="1050"/>
      <c r="D15048" s="1050"/>
      <c r="E15048" s="1050"/>
      <c r="F15048" s="1050"/>
      <c r="G15048" s="1050"/>
    </row>
    <row r="15049" spans="1:7">
      <c r="A15049" s="1079"/>
      <c r="B15049" s="1050"/>
      <c r="C15049" s="1050"/>
      <c r="D15049" s="1050"/>
      <c r="E15049" s="1050"/>
      <c r="F15049" s="1050"/>
      <c r="G15049" s="1050"/>
    </row>
    <row r="15050" spans="1:7">
      <c r="A15050" s="1079"/>
      <c r="B15050" s="1050"/>
      <c r="C15050" s="1050"/>
      <c r="D15050" s="1050"/>
      <c r="E15050" s="1050"/>
      <c r="F15050" s="1050"/>
      <c r="G15050" s="1050"/>
    </row>
    <row r="15051" spans="1:7">
      <c r="A15051" s="1079"/>
      <c r="B15051" s="1050"/>
      <c r="C15051" s="1050"/>
      <c r="D15051" s="1050"/>
      <c r="E15051" s="1050"/>
      <c r="F15051" s="1050"/>
      <c r="G15051" s="1050"/>
    </row>
    <row r="15052" spans="1:7">
      <c r="A15052" s="1079"/>
      <c r="B15052" s="1050"/>
      <c r="C15052" s="1050"/>
      <c r="D15052" s="1050"/>
      <c r="E15052" s="1050"/>
      <c r="F15052" s="1050"/>
      <c r="G15052" s="1050"/>
    </row>
    <row r="15053" spans="1:7">
      <c r="A15053" s="1079"/>
      <c r="B15053" s="1050"/>
      <c r="C15053" s="1050"/>
      <c r="D15053" s="1050"/>
      <c r="E15053" s="1050"/>
      <c r="F15053" s="1050"/>
      <c r="G15053" s="1050"/>
    </row>
    <row r="15054" spans="1:7">
      <c r="A15054" s="1079"/>
      <c r="B15054" s="1050"/>
      <c r="C15054" s="1050"/>
      <c r="D15054" s="1050"/>
      <c r="E15054" s="1050"/>
      <c r="F15054" s="1050"/>
      <c r="G15054" s="1050"/>
    </row>
    <row r="15055" spans="1:7">
      <c r="A15055" s="1079"/>
      <c r="B15055" s="1050"/>
      <c r="C15055" s="1050"/>
      <c r="D15055" s="1050"/>
      <c r="E15055" s="1050"/>
      <c r="F15055" s="1050"/>
      <c r="G15055" s="1050"/>
    </row>
    <row r="15056" spans="1:7">
      <c r="A15056" s="1079"/>
      <c r="B15056" s="1050"/>
      <c r="C15056" s="1050"/>
      <c r="D15056" s="1050"/>
      <c r="E15056" s="1050"/>
      <c r="F15056" s="1050"/>
      <c r="G15056" s="1050"/>
    </row>
    <row r="15057" spans="1:7">
      <c r="A15057" s="1079"/>
      <c r="B15057" s="1050"/>
      <c r="C15057" s="1050"/>
      <c r="D15057" s="1050"/>
      <c r="E15057" s="1050"/>
      <c r="F15057" s="1050"/>
      <c r="G15057" s="1050"/>
    </row>
    <row r="15058" spans="1:7">
      <c r="A15058" s="1079"/>
      <c r="B15058" s="1050"/>
      <c r="C15058" s="1050"/>
      <c r="D15058" s="1050"/>
      <c r="E15058" s="1050"/>
      <c r="F15058" s="1050"/>
      <c r="G15058" s="1050"/>
    </row>
    <row r="15059" spans="1:7">
      <c r="A15059" s="1079"/>
      <c r="B15059" s="1050"/>
      <c r="C15059" s="1050"/>
      <c r="D15059" s="1050"/>
      <c r="E15059" s="1050"/>
      <c r="F15059" s="1050"/>
      <c r="G15059" s="1050"/>
    </row>
    <row r="15060" spans="1:7">
      <c r="A15060" s="1079"/>
      <c r="B15060" s="1050"/>
      <c r="C15060" s="1050"/>
      <c r="D15060" s="1050"/>
      <c r="E15060" s="1050"/>
      <c r="F15060" s="1050"/>
      <c r="G15060" s="1050"/>
    </row>
    <row r="15061" spans="1:7">
      <c r="A15061" s="1079"/>
      <c r="B15061" s="1050"/>
      <c r="C15061" s="1050"/>
      <c r="D15061" s="1050"/>
      <c r="E15061" s="1050"/>
      <c r="F15061" s="1050"/>
      <c r="G15061" s="1050"/>
    </row>
    <row r="15062" spans="1:7">
      <c r="A15062" s="1079"/>
      <c r="B15062" s="1050"/>
      <c r="C15062" s="1050"/>
      <c r="D15062" s="1050"/>
      <c r="E15062" s="1050"/>
      <c r="F15062" s="1050"/>
      <c r="G15062" s="1050"/>
    </row>
    <row r="15063" spans="1:7">
      <c r="A15063" s="1079"/>
      <c r="B15063" s="1050"/>
      <c r="C15063" s="1050"/>
      <c r="D15063" s="1050"/>
      <c r="E15063" s="1050"/>
      <c r="F15063" s="1050"/>
      <c r="G15063" s="1050"/>
    </row>
    <row r="15064" spans="1:7">
      <c r="A15064" s="1079"/>
      <c r="B15064" s="1050"/>
      <c r="C15064" s="1050"/>
      <c r="D15064" s="1050"/>
      <c r="E15064" s="1050"/>
      <c r="F15064" s="1050"/>
      <c r="G15064" s="1050"/>
    </row>
    <row r="15065" spans="1:7">
      <c r="A15065" s="1079"/>
      <c r="B15065" s="1050"/>
      <c r="C15065" s="1050"/>
      <c r="D15065" s="1050"/>
      <c r="E15065" s="1050"/>
      <c r="F15065" s="1050"/>
      <c r="G15065" s="1050"/>
    </row>
    <row r="15066" spans="1:7">
      <c r="A15066" s="1079"/>
      <c r="B15066" s="1050"/>
      <c r="C15066" s="1050"/>
      <c r="D15066" s="1050"/>
      <c r="E15066" s="1050"/>
      <c r="F15066" s="1050"/>
      <c r="G15066" s="1050"/>
    </row>
    <row r="15067" spans="1:7">
      <c r="A15067" s="1079"/>
      <c r="B15067" s="1050"/>
      <c r="C15067" s="1050"/>
      <c r="D15067" s="1050"/>
      <c r="E15067" s="1050"/>
      <c r="F15067" s="1050"/>
      <c r="G15067" s="1050"/>
    </row>
    <row r="15068" spans="1:7">
      <c r="A15068" s="1079"/>
      <c r="B15068" s="1050"/>
      <c r="C15068" s="1050"/>
      <c r="D15068" s="1050"/>
      <c r="E15068" s="1050"/>
      <c r="F15068" s="1050"/>
      <c r="G15068" s="1050"/>
    </row>
    <row r="15069" spans="1:7">
      <c r="A15069" s="1079"/>
      <c r="B15069" s="1050"/>
      <c r="C15069" s="1050"/>
      <c r="D15069" s="1050"/>
      <c r="E15069" s="1050"/>
      <c r="F15069" s="1050"/>
      <c r="G15069" s="1050"/>
    </row>
    <row r="15070" spans="1:7">
      <c r="A15070" s="1079"/>
      <c r="B15070" s="1050"/>
      <c r="C15070" s="1050"/>
      <c r="D15070" s="1050"/>
      <c r="E15070" s="1050"/>
      <c r="F15070" s="1050"/>
      <c r="G15070" s="1050"/>
    </row>
    <row r="15071" spans="1:7">
      <c r="A15071" s="1079"/>
      <c r="B15071" s="1050"/>
      <c r="C15071" s="1050"/>
      <c r="D15071" s="1050"/>
      <c r="E15071" s="1050"/>
      <c r="F15071" s="1050"/>
      <c r="G15071" s="1050"/>
    </row>
    <row r="15072" spans="1:7">
      <c r="A15072" s="1079"/>
      <c r="B15072" s="1050"/>
      <c r="C15072" s="1050"/>
      <c r="D15072" s="1050"/>
      <c r="E15072" s="1050"/>
      <c r="F15072" s="1050"/>
      <c r="G15072" s="1050"/>
    </row>
    <row r="15073" spans="1:7">
      <c r="A15073" s="1079"/>
      <c r="B15073" s="1050"/>
      <c r="C15073" s="1050"/>
      <c r="D15073" s="1050"/>
      <c r="E15073" s="1050"/>
      <c r="F15073" s="1050"/>
      <c r="G15073" s="1050"/>
    </row>
    <row r="15074" spans="1:7">
      <c r="A15074" s="1079"/>
      <c r="B15074" s="1050"/>
      <c r="C15074" s="1050"/>
      <c r="D15074" s="1050"/>
      <c r="E15074" s="1050"/>
      <c r="F15074" s="1050"/>
      <c r="G15074" s="1050"/>
    </row>
    <row r="15075" spans="1:7">
      <c r="A15075" s="1079"/>
      <c r="B15075" s="1050"/>
      <c r="C15075" s="1050"/>
      <c r="D15075" s="1050"/>
      <c r="E15075" s="1050"/>
      <c r="F15075" s="1050"/>
      <c r="G15075" s="1050"/>
    </row>
    <row r="15076" spans="1:7">
      <c r="A15076" s="1079"/>
      <c r="B15076" s="1050"/>
      <c r="C15076" s="1050"/>
      <c r="D15076" s="1050"/>
      <c r="E15076" s="1050"/>
      <c r="F15076" s="1050"/>
      <c r="G15076" s="1050"/>
    </row>
    <row r="15077" spans="1:7">
      <c r="A15077" s="1079"/>
      <c r="B15077" s="1050"/>
      <c r="C15077" s="1050"/>
      <c r="D15077" s="1050"/>
      <c r="E15077" s="1050"/>
      <c r="F15077" s="1050"/>
      <c r="G15077" s="1050"/>
    </row>
    <row r="15078" spans="1:7">
      <c r="A15078" s="1079"/>
      <c r="B15078" s="1050"/>
      <c r="C15078" s="1050"/>
      <c r="D15078" s="1050"/>
      <c r="E15078" s="1050"/>
      <c r="F15078" s="1050"/>
      <c r="G15078" s="1050"/>
    </row>
    <row r="15079" spans="1:7">
      <c r="A15079" s="1079"/>
      <c r="B15079" s="1050"/>
      <c r="C15079" s="1050"/>
      <c r="D15079" s="1050"/>
      <c r="E15079" s="1050"/>
      <c r="F15079" s="1050"/>
      <c r="G15079" s="1050"/>
    </row>
    <row r="15080" spans="1:7">
      <c r="A15080" s="1079"/>
      <c r="B15080" s="1050"/>
      <c r="C15080" s="1050"/>
      <c r="D15080" s="1050"/>
      <c r="E15080" s="1050"/>
      <c r="F15080" s="1050"/>
      <c r="G15080" s="1050"/>
    </row>
    <row r="15081" spans="1:7">
      <c r="A15081" s="1079"/>
      <c r="B15081" s="1050"/>
      <c r="C15081" s="1050"/>
      <c r="D15081" s="1050"/>
      <c r="E15081" s="1050"/>
      <c r="F15081" s="1050"/>
      <c r="G15081" s="1050"/>
    </row>
    <row r="15082" spans="1:7">
      <c r="A15082" s="1079"/>
      <c r="B15082" s="1050"/>
      <c r="C15082" s="1050"/>
      <c r="D15082" s="1050"/>
      <c r="E15082" s="1050"/>
      <c r="F15082" s="1050"/>
      <c r="G15082" s="1050"/>
    </row>
    <row r="15083" spans="1:7">
      <c r="A15083" s="1079"/>
      <c r="B15083" s="1050"/>
      <c r="C15083" s="1050"/>
      <c r="D15083" s="1050"/>
      <c r="E15083" s="1050"/>
      <c r="F15083" s="1050"/>
      <c r="G15083" s="1050"/>
    </row>
    <row r="15084" spans="1:7">
      <c r="A15084" s="1079"/>
      <c r="B15084" s="1050"/>
      <c r="C15084" s="1050"/>
      <c r="D15084" s="1050"/>
      <c r="E15084" s="1050"/>
      <c r="F15084" s="1050"/>
      <c r="G15084" s="1050"/>
    </row>
    <row r="15085" spans="1:7">
      <c r="A15085" s="1079"/>
      <c r="B15085" s="1050"/>
      <c r="C15085" s="1050"/>
      <c r="D15085" s="1050"/>
      <c r="E15085" s="1050"/>
      <c r="F15085" s="1050"/>
      <c r="G15085" s="1050"/>
    </row>
    <row r="15086" spans="1:7">
      <c r="A15086" s="1079"/>
      <c r="B15086" s="1050"/>
      <c r="C15086" s="1050"/>
      <c r="D15086" s="1050"/>
      <c r="E15086" s="1050"/>
      <c r="F15086" s="1050"/>
      <c r="G15086" s="1050"/>
    </row>
    <row r="15087" spans="1:7">
      <c r="A15087" s="1079"/>
      <c r="B15087" s="1050"/>
      <c r="C15087" s="1050"/>
      <c r="D15087" s="1050"/>
      <c r="E15087" s="1050"/>
      <c r="F15087" s="1050"/>
      <c r="G15087" s="1050"/>
    </row>
    <row r="15088" spans="1:7">
      <c r="A15088" s="1079"/>
      <c r="B15088" s="1050"/>
      <c r="C15088" s="1050"/>
      <c r="D15088" s="1050"/>
      <c r="E15088" s="1050"/>
      <c r="F15088" s="1050"/>
      <c r="G15088" s="1050"/>
    </row>
    <row r="15089" spans="1:7">
      <c r="A15089" s="1079"/>
      <c r="B15089" s="1050"/>
      <c r="C15089" s="1050"/>
      <c r="D15089" s="1050"/>
      <c r="E15089" s="1050"/>
      <c r="F15089" s="1050"/>
      <c r="G15089" s="1050"/>
    </row>
    <row r="15090" spans="1:7">
      <c r="A15090" s="1079"/>
      <c r="B15090" s="1050"/>
      <c r="C15090" s="1050"/>
      <c r="D15090" s="1050"/>
      <c r="E15090" s="1050"/>
      <c r="F15090" s="1050"/>
      <c r="G15090" s="1050"/>
    </row>
    <row r="15091" spans="1:7">
      <c r="A15091" s="1079"/>
      <c r="B15091" s="1050"/>
      <c r="C15091" s="1050"/>
      <c r="D15091" s="1050"/>
      <c r="E15091" s="1050"/>
      <c r="F15091" s="1050"/>
      <c r="G15091" s="1050"/>
    </row>
    <row r="15092" spans="1:7">
      <c r="A15092" s="1079"/>
      <c r="B15092" s="1050"/>
      <c r="C15092" s="1050"/>
      <c r="D15092" s="1050"/>
      <c r="E15092" s="1050"/>
      <c r="F15092" s="1050"/>
      <c r="G15092" s="1050"/>
    </row>
    <row r="15093" spans="1:7">
      <c r="A15093" s="1079"/>
      <c r="B15093" s="1050"/>
      <c r="C15093" s="1050"/>
      <c r="D15093" s="1050"/>
      <c r="E15093" s="1050"/>
      <c r="F15093" s="1050"/>
      <c r="G15093" s="1050"/>
    </row>
    <row r="15094" spans="1:7">
      <c r="A15094" s="1079"/>
      <c r="B15094" s="1050"/>
      <c r="C15094" s="1050"/>
      <c r="D15094" s="1050"/>
      <c r="E15094" s="1050"/>
      <c r="F15094" s="1050"/>
      <c r="G15094" s="1050"/>
    </row>
    <row r="15095" spans="1:7">
      <c r="A15095" s="1079"/>
      <c r="B15095" s="1050"/>
      <c r="C15095" s="1050"/>
      <c r="D15095" s="1050"/>
      <c r="E15095" s="1050"/>
      <c r="F15095" s="1050"/>
      <c r="G15095" s="1050"/>
    </row>
    <row r="15096" spans="1:7">
      <c r="A15096" s="1079"/>
      <c r="B15096" s="1050"/>
      <c r="C15096" s="1050"/>
      <c r="D15096" s="1050"/>
      <c r="E15096" s="1050"/>
      <c r="F15096" s="1050"/>
      <c r="G15096" s="1050"/>
    </row>
    <row r="15097" spans="1:7">
      <c r="A15097" s="1079"/>
      <c r="B15097" s="1050"/>
      <c r="C15097" s="1050"/>
      <c r="D15097" s="1050"/>
      <c r="E15097" s="1050"/>
      <c r="F15097" s="1050"/>
      <c r="G15097" s="1050"/>
    </row>
    <row r="15098" spans="1:7">
      <c r="A15098" s="1079"/>
      <c r="B15098" s="1050"/>
      <c r="C15098" s="1050"/>
      <c r="D15098" s="1050"/>
      <c r="E15098" s="1050"/>
      <c r="F15098" s="1050"/>
      <c r="G15098" s="1050"/>
    </row>
    <row r="15099" spans="1:7">
      <c r="A15099" s="1079"/>
      <c r="B15099" s="1050"/>
      <c r="C15099" s="1050"/>
      <c r="D15099" s="1050"/>
      <c r="E15099" s="1050"/>
      <c r="F15099" s="1050"/>
      <c r="G15099" s="1050"/>
    </row>
    <row r="15100" spans="1:7">
      <c r="A15100" s="1079"/>
      <c r="B15100" s="1050"/>
      <c r="C15100" s="1050"/>
      <c r="D15100" s="1050"/>
      <c r="E15100" s="1050"/>
      <c r="F15100" s="1050"/>
      <c r="G15100" s="1050"/>
    </row>
    <row r="15101" spans="1:7">
      <c r="A15101" s="1079"/>
      <c r="B15101" s="1050"/>
      <c r="C15101" s="1050"/>
      <c r="D15101" s="1050"/>
      <c r="E15101" s="1050"/>
      <c r="F15101" s="1050"/>
      <c r="G15101" s="1050"/>
    </row>
    <row r="15102" spans="1:7">
      <c r="A15102" s="1079"/>
      <c r="B15102" s="1050"/>
      <c r="C15102" s="1050"/>
      <c r="D15102" s="1050"/>
      <c r="E15102" s="1050"/>
      <c r="F15102" s="1050"/>
      <c r="G15102" s="1050"/>
    </row>
    <row r="15103" spans="1:7">
      <c r="A15103" s="1079"/>
      <c r="B15103" s="1050"/>
      <c r="C15103" s="1050"/>
      <c r="D15103" s="1050"/>
      <c r="E15103" s="1050"/>
      <c r="F15103" s="1050"/>
      <c r="G15103" s="1050"/>
    </row>
    <row r="15104" spans="1:7">
      <c r="A15104" s="1079"/>
      <c r="B15104" s="1050"/>
      <c r="C15104" s="1050"/>
      <c r="D15104" s="1050"/>
      <c r="E15104" s="1050"/>
      <c r="F15104" s="1050"/>
      <c r="G15104" s="1050"/>
    </row>
    <row r="15105" spans="1:7">
      <c r="A15105" s="1079"/>
      <c r="B15105" s="1050"/>
      <c r="C15105" s="1050"/>
      <c r="D15105" s="1050"/>
      <c r="E15105" s="1050"/>
      <c r="F15105" s="1050"/>
      <c r="G15105" s="1050"/>
    </row>
    <row r="15106" spans="1:7">
      <c r="A15106" s="1079"/>
      <c r="B15106" s="1050"/>
      <c r="C15106" s="1050"/>
      <c r="D15106" s="1050"/>
      <c r="E15106" s="1050"/>
      <c r="F15106" s="1050"/>
      <c r="G15106" s="1050"/>
    </row>
    <row r="15107" spans="1:7">
      <c r="A15107" s="1079"/>
      <c r="B15107" s="1050"/>
      <c r="C15107" s="1050"/>
      <c r="D15107" s="1050"/>
      <c r="E15107" s="1050"/>
      <c r="F15107" s="1050"/>
      <c r="G15107" s="1050"/>
    </row>
    <row r="15108" spans="1:7">
      <c r="A15108" s="1079"/>
      <c r="B15108" s="1050"/>
      <c r="C15108" s="1050"/>
      <c r="D15108" s="1050"/>
      <c r="E15108" s="1050"/>
      <c r="F15108" s="1050"/>
      <c r="G15108" s="1050"/>
    </row>
    <row r="15109" spans="1:7">
      <c r="A15109" s="1079"/>
      <c r="B15109" s="1050"/>
      <c r="C15109" s="1050"/>
      <c r="D15109" s="1050"/>
      <c r="E15109" s="1050"/>
      <c r="F15109" s="1050"/>
      <c r="G15109" s="1050"/>
    </row>
    <row r="15110" spans="1:7">
      <c r="A15110" s="1079"/>
      <c r="B15110" s="1050"/>
      <c r="C15110" s="1050"/>
      <c r="D15110" s="1050"/>
      <c r="E15110" s="1050"/>
      <c r="F15110" s="1050"/>
      <c r="G15110" s="1050"/>
    </row>
    <row r="15111" spans="1:7">
      <c r="A15111" s="1079"/>
      <c r="B15111" s="1050"/>
      <c r="C15111" s="1050"/>
      <c r="D15111" s="1050"/>
      <c r="E15111" s="1050"/>
      <c r="F15111" s="1050"/>
      <c r="G15111" s="1050"/>
    </row>
    <row r="15112" spans="1:7">
      <c r="A15112" s="1079"/>
      <c r="B15112" s="1050"/>
      <c r="C15112" s="1050"/>
      <c r="D15112" s="1050"/>
      <c r="E15112" s="1050"/>
      <c r="F15112" s="1050"/>
      <c r="G15112" s="1050"/>
    </row>
    <row r="15113" spans="1:7">
      <c r="A15113" s="1079"/>
      <c r="B15113" s="1050"/>
      <c r="C15113" s="1050"/>
      <c r="D15113" s="1050"/>
      <c r="E15113" s="1050"/>
      <c r="F15113" s="1050"/>
      <c r="G15113" s="1050"/>
    </row>
    <row r="15114" spans="1:7">
      <c r="A15114" s="1079"/>
      <c r="B15114" s="1050"/>
      <c r="C15114" s="1050"/>
      <c r="D15114" s="1050"/>
      <c r="E15114" s="1050"/>
      <c r="F15114" s="1050"/>
      <c r="G15114" s="1050"/>
    </row>
    <row r="15115" spans="1:7">
      <c r="A15115" s="1079"/>
      <c r="B15115" s="1050"/>
      <c r="C15115" s="1050"/>
      <c r="D15115" s="1050"/>
      <c r="E15115" s="1050"/>
      <c r="F15115" s="1050"/>
      <c r="G15115" s="1050"/>
    </row>
    <row r="15116" spans="1:7">
      <c r="A15116" s="1079"/>
      <c r="B15116" s="1050"/>
      <c r="C15116" s="1050"/>
      <c r="D15116" s="1050"/>
      <c r="E15116" s="1050"/>
      <c r="F15116" s="1050"/>
      <c r="G15116" s="1050"/>
    </row>
    <row r="15117" spans="1:7">
      <c r="A15117" s="1079"/>
      <c r="B15117" s="1050"/>
      <c r="C15117" s="1050"/>
      <c r="D15117" s="1050"/>
      <c r="E15117" s="1050"/>
      <c r="F15117" s="1050"/>
      <c r="G15117" s="1050"/>
    </row>
    <row r="15118" spans="1:7">
      <c r="A15118" s="1079"/>
      <c r="B15118" s="1050"/>
      <c r="C15118" s="1050"/>
      <c r="D15118" s="1050"/>
      <c r="E15118" s="1050"/>
      <c r="F15118" s="1050"/>
      <c r="G15118" s="1050"/>
    </row>
    <row r="15119" spans="1:7">
      <c r="A15119" s="1079"/>
      <c r="B15119" s="1050"/>
      <c r="C15119" s="1050"/>
      <c r="D15119" s="1050"/>
      <c r="E15119" s="1050"/>
      <c r="F15119" s="1050"/>
      <c r="G15119" s="1050"/>
    </row>
    <row r="15120" spans="1:7">
      <c r="A15120" s="1079"/>
      <c r="B15120" s="1050"/>
      <c r="C15120" s="1050"/>
      <c r="D15120" s="1050"/>
      <c r="E15120" s="1050"/>
      <c r="F15120" s="1050"/>
      <c r="G15120" s="1050"/>
    </row>
    <row r="15121" spans="1:7">
      <c r="A15121" s="1079"/>
      <c r="B15121" s="1050"/>
      <c r="C15121" s="1050"/>
      <c r="D15121" s="1050"/>
      <c r="E15121" s="1050"/>
      <c r="F15121" s="1050"/>
      <c r="G15121" s="1050"/>
    </row>
    <row r="15122" spans="1:7">
      <c r="A15122" s="1079"/>
      <c r="B15122" s="1050"/>
      <c r="C15122" s="1050"/>
      <c r="D15122" s="1050"/>
      <c r="E15122" s="1050"/>
      <c r="F15122" s="1050"/>
      <c r="G15122" s="1050"/>
    </row>
    <row r="15123" spans="1:7">
      <c r="A15123" s="1079"/>
      <c r="B15123" s="1050"/>
      <c r="C15123" s="1050"/>
      <c r="D15123" s="1050"/>
      <c r="E15123" s="1050"/>
      <c r="F15123" s="1050"/>
      <c r="G15123" s="1050"/>
    </row>
    <row r="15124" spans="1:7">
      <c r="A15124" s="1079"/>
      <c r="B15124" s="1050"/>
      <c r="C15124" s="1050"/>
      <c r="D15124" s="1050"/>
      <c r="E15124" s="1050"/>
      <c r="F15124" s="1050"/>
      <c r="G15124" s="1050"/>
    </row>
    <row r="15125" spans="1:7">
      <c r="A15125" s="1079"/>
      <c r="B15125" s="1050"/>
      <c r="C15125" s="1050"/>
      <c r="D15125" s="1050"/>
      <c r="E15125" s="1050"/>
      <c r="F15125" s="1050"/>
      <c r="G15125" s="1050"/>
    </row>
    <row r="15126" spans="1:7">
      <c r="A15126" s="1079"/>
      <c r="B15126" s="1050"/>
      <c r="C15126" s="1050"/>
      <c r="D15126" s="1050"/>
      <c r="E15126" s="1050"/>
      <c r="F15126" s="1050"/>
      <c r="G15126" s="1050"/>
    </row>
    <row r="15127" spans="1:7">
      <c r="A15127" s="1079"/>
      <c r="B15127" s="1050"/>
      <c r="C15127" s="1050"/>
      <c r="D15127" s="1050"/>
      <c r="E15127" s="1050"/>
      <c r="F15127" s="1050"/>
      <c r="G15127" s="1050"/>
    </row>
    <row r="15128" spans="1:7">
      <c r="A15128" s="1079"/>
      <c r="B15128" s="1050"/>
      <c r="C15128" s="1050"/>
      <c r="D15128" s="1050"/>
      <c r="E15128" s="1050"/>
      <c r="F15128" s="1050"/>
      <c r="G15128" s="1050"/>
    </row>
    <row r="15129" spans="1:7">
      <c r="A15129" s="1079"/>
      <c r="B15129" s="1050"/>
      <c r="C15129" s="1050"/>
      <c r="D15129" s="1050"/>
      <c r="E15129" s="1050"/>
      <c r="F15129" s="1050"/>
      <c r="G15129" s="1050"/>
    </row>
    <row r="15130" spans="1:7">
      <c r="A15130" s="1079"/>
      <c r="B15130" s="1050"/>
      <c r="C15130" s="1050"/>
      <c r="D15130" s="1050"/>
      <c r="E15130" s="1050"/>
      <c r="F15130" s="1050"/>
      <c r="G15130" s="1050"/>
    </row>
    <row r="15131" spans="1:7">
      <c r="A15131" s="1079"/>
      <c r="B15131" s="1050"/>
      <c r="C15131" s="1050"/>
      <c r="D15131" s="1050"/>
      <c r="E15131" s="1050"/>
      <c r="F15131" s="1050"/>
      <c r="G15131" s="1050"/>
    </row>
    <row r="15132" spans="1:7">
      <c r="A15132" s="1079"/>
      <c r="B15132" s="1050"/>
      <c r="C15132" s="1050"/>
      <c r="D15132" s="1050"/>
      <c r="E15132" s="1050"/>
      <c r="F15132" s="1050"/>
      <c r="G15132" s="1050"/>
    </row>
    <row r="15133" spans="1:7">
      <c r="A15133" s="1079"/>
      <c r="B15133" s="1050"/>
      <c r="C15133" s="1050"/>
      <c r="D15133" s="1050"/>
      <c r="E15133" s="1050"/>
      <c r="F15133" s="1050"/>
      <c r="G15133" s="1050"/>
    </row>
    <row r="15134" spans="1:7">
      <c r="A15134" s="1079"/>
      <c r="B15134" s="1050"/>
      <c r="C15134" s="1050"/>
      <c r="D15134" s="1050"/>
      <c r="E15134" s="1050"/>
      <c r="F15134" s="1050"/>
      <c r="G15134" s="1050"/>
    </row>
    <row r="15135" spans="1:7">
      <c r="A15135" s="1079"/>
      <c r="B15135" s="1050"/>
      <c r="C15135" s="1050"/>
      <c r="D15135" s="1050"/>
      <c r="E15135" s="1050"/>
      <c r="F15135" s="1050"/>
      <c r="G15135" s="1050"/>
    </row>
    <row r="15136" spans="1:7">
      <c r="A15136" s="1079"/>
      <c r="B15136" s="1050"/>
      <c r="C15136" s="1050"/>
      <c r="D15136" s="1050"/>
      <c r="E15136" s="1050"/>
      <c r="F15136" s="1050"/>
      <c r="G15136" s="1050"/>
    </row>
    <row r="15137" spans="1:7">
      <c r="A15137" s="1079"/>
      <c r="B15137" s="1050"/>
      <c r="C15137" s="1050"/>
      <c r="D15137" s="1050"/>
      <c r="E15137" s="1050"/>
      <c r="F15137" s="1050"/>
      <c r="G15137" s="1050"/>
    </row>
    <row r="15138" spans="1:7">
      <c r="A15138" s="1079"/>
      <c r="B15138" s="1050"/>
      <c r="C15138" s="1050"/>
      <c r="D15138" s="1050"/>
      <c r="E15138" s="1050"/>
      <c r="F15138" s="1050"/>
      <c r="G15138" s="1050"/>
    </row>
    <row r="15139" spans="1:7">
      <c r="A15139" s="1079"/>
      <c r="B15139" s="1050"/>
      <c r="C15139" s="1050"/>
      <c r="D15139" s="1050"/>
      <c r="E15139" s="1050"/>
      <c r="F15139" s="1050"/>
      <c r="G15139" s="1050"/>
    </row>
    <row r="15140" spans="1:7">
      <c r="A15140" s="1079"/>
      <c r="B15140" s="1050"/>
      <c r="C15140" s="1050"/>
      <c r="D15140" s="1050"/>
      <c r="E15140" s="1050"/>
      <c r="F15140" s="1050"/>
      <c r="G15140" s="1050"/>
    </row>
    <row r="15141" spans="1:7">
      <c r="A15141" s="1079"/>
      <c r="B15141" s="1050"/>
      <c r="C15141" s="1050"/>
      <c r="D15141" s="1050"/>
      <c r="E15141" s="1050"/>
      <c r="F15141" s="1050"/>
      <c r="G15141" s="1050"/>
    </row>
    <row r="15142" spans="1:7">
      <c r="A15142" s="1079"/>
      <c r="B15142" s="1050"/>
      <c r="C15142" s="1050"/>
      <c r="D15142" s="1050"/>
      <c r="E15142" s="1050"/>
      <c r="F15142" s="1050"/>
      <c r="G15142" s="1050"/>
    </row>
    <row r="15143" spans="1:7">
      <c r="A15143" s="1079"/>
      <c r="B15143" s="1050"/>
      <c r="C15143" s="1050"/>
      <c r="D15143" s="1050"/>
      <c r="E15143" s="1050"/>
      <c r="F15143" s="1050"/>
      <c r="G15143" s="1050"/>
    </row>
    <row r="15144" spans="1:7">
      <c r="A15144" s="1079"/>
      <c r="B15144" s="1050"/>
      <c r="C15144" s="1050"/>
      <c r="D15144" s="1050"/>
      <c r="E15144" s="1050"/>
      <c r="F15144" s="1050"/>
      <c r="G15144" s="1050"/>
    </row>
    <row r="15145" spans="1:7">
      <c r="A15145" s="1079"/>
      <c r="B15145" s="1050"/>
      <c r="C15145" s="1050"/>
      <c r="D15145" s="1050"/>
      <c r="E15145" s="1050"/>
      <c r="F15145" s="1050"/>
      <c r="G15145" s="1050"/>
    </row>
    <row r="15146" spans="1:7">
      <c r="A15146" s="1079"/>
      <c r="B15146" s="1050"/>
      <c r="C15146" s="1050"/>
      <c r="D15146" s="1050"/>
      <c r="E15146" s="1050"/>
      <c r="F15146" s="1050"/>
      <c r="G15146" s="1050"/>
    </row>
    <row r="15147" spans="1:7">
      <c r="A15147" s="1079"/>
      <c r="B15147" s="1050"/>
      <c r="C15147" s="1050"/>
      <c r="D15147" s="1050"/>
      <c r="E15147" s="1050"/>
      <c r="F15147" s="1050"/>
      <c r="G15147" s="1050"/>
    </row>
    <row r="15148" spans="1:7">
      <c r="A15148" s="1079"/>
      <c r="B15148" s="1050"/>
      <c r="C15148" s="1050"/>
      <c r="D15148" s="1050"/>
      <c r="E15148" s="1050"/>
      <c r="F15148" s="1050"/>
      <c r="G15148" s="1050"/>
    </row>
    <row r="15149" spans="1:7">
      <c r="A15149" s="1079"/>
      <c r="B15149" s="1050"/>
      <c r="C15149" s="1050"/>
      <c r="D15149" s="1050"/>
      <c r="E15149" s="1050"/>
      <c r="F15149" s="1050"/>
      <c r="G15149" s="1050"/>
    </row>
    <row r="15150" spans="1:7">
      <c r="A15150" s="1079"/>
      <c r="B15150" s="1050"/>
      <c r="C15150" s="1050"/>
      <c r="D15150" s="1050"/>
      <c r="E15150" s="1050"/>
      <c r="F15150" s="1050"/>
      <c r="G15150" s="1050"/>
    </row>
    <row r="15151" spans="1:7">
      <c r="A15151" s="1079"/>
      <c r="B15151" s="1050"/>
      <c r="C15151" s="1050"/>
      <c r="D15151" s="1050"/>
      <c r="E15151" s="1050"/>
      <c r="F15151" s="1050"/>
      <c r="G15151" s="1050"/>
    </row>
    <row r="15152" spans="1:7">
      <c r="A15152" s="1079"/>
      <c r="B15152" s="1050"/>
      <c r="C15152" s="1050"/>
      <c r="D15152" s="1050"/>
      <c r="E15152" s="1050"/>
      <c r="F15152" s="1050"/>
      <c r="G15152" s="1050"/>
    </row>
    <row r="15153" spans="1:7">
      <c r="A15153" s="1079"/>
      <c r="B15153" s="1050"/>
      <c r="C15153" s="1050"/>
      <c r="D15153" s="1050"/>
      <c r="E15153" s="1050"/>
      <c r="F15153" s="1050"/>
      <c r="G15153" s="1050"/>
    </row>
    <row r="15154" spans="1:7">
      <c r="A15154" s="1079"/>
      <c r="B15154" s="1050"/>
      <c r="C15154" s="1050"/>
      <c r="D15154" s="1050"/>
      <c r="E15154" s="1050"/>
      <c r="F15154" s="1050"/>
      <c r="G15154" s="1050"/>
    </row>
    <row r="15155" spans="1:7">
      <c r="A15155" s="1079"/>
      <c r="B15155" s="1050"/>
      <c r="C15155" s="1050"/>
      <c r="D15155" s="1050"/>
      <c r="E15155" s="1050"/>
      <c r="F15155" s="1050"/>
      <c r="G15155" s="1050"/>
    </row>
    <row r="15156" spans="1:7">
      <c r="A15156" s="1079"/>
      <c r="B15156" s="1050"/>
      <c r="C15156" s="1050"/>
      <c r="D15156" s="1050"/>
      <c r="E15156" s="1050"/>
      <c r="F15156" s="1050"/>
      <c r="G15156" s="1050"/>
    </row>
    <row r="15157" spans="1:7">
      <c r="A15157" s="1079"/>
      <c r="B15157" s="1050"/>
      <c r="C15157" s="1050"/>
      <c r="D15157" s="1050"/>
      <c r="E15157" s="1050"/>
      <c r="F15157" s="1050"/>
      <c r="G15157" s="1050"/>
    </row>
    <row r="15158" spans="1:7">
      <c r="A15158" s="1079"/>
      <c r="B15158" s="1050"/>
      <c r="C15158" s="1050"/>
      <c r="D15158" s="1050"/>
      <c r="E15158" s="1050"/>
      <c r="F15158" s="1050"/>
      <c r="G15158" s="1050"/>
    </row>
    <row r="15159" spans="1:7">
      <c r="A15159" s="1079"/>
      <c r="B15159" s="1050"/>
      <c r="C15159" s="1050"/>
      <c r="D15159" s="1050"/>
      <c r="E15159" s="1050"/>
      <c r="F15159" s="1050"/>
      <c r="G15159" s="1050"/>
    </row>
    <row r="15160" spans="1:7">
      <c r="A15160" s="1079"/>
      <c r="B15160" s="1050"/>
      <c r="C15160" s="1050"/>
      <c r="D15160" s="1050"/>
      <c r="E15160" s="1050"/>
      <c r="F15160" s="1050"/>
      <c r="G15160" s="1050"/>
    </row>
    <row r="15161" spans="1:7">
      <c r="A15161" s="1079"/>
      <c r="B15161" s="1050"/>
      <c r="C15161" s="1050"/>
      <c r="D15161" s="1050"/>
      <c r="E15161" s="1050"/>
      <c r="F15161" s="1050"/>
      <c r="G15161" s="1050"/>
    </row>
    <row r="15162" spans="1:7">
      <c r="A15162" s="1079"/>
      <c r="B15162" s="1050"/>
      <c r="C15162" s="1050"/>
      <c r="D15162" s="1050"/>
      <c r="E15162" s="1050"/>
      <c r="F15162" s="1050"/>
      <c r="G15162" s="1050"/>
    </row>
    <row r="15163" spans="1:7">
      <c r="A15163" s="1079"/>
      <c r="B15163" s="1050"/>
      <c r="C15163" s="1050"/>
      <c r="D15163" s="1050"/>
      <c r="E15163" s="1050"/>
      <c r="F15163" s="1050"/>
      <c r="G15163" s="1050"/>
    </row>
    <row r="15164" spans="1:7">
      <c r="A15164" s="1079"/>
      <c r="B15164" s="1050"/>
      <c r="C15164" s="1050"/>
      <c r="D15164" s="1050"/>
      <c r="E15164" s="1050"/>
      <c r="F15164" s="1050"/>
      <c r="G15164" s="1050"/>
    </row>
    <row r="15165" spans="1:7">
      <c r="A15165" s="1079"/>
      <c r="B15165" s="1050"/>
      <c r="C15165" s="1050"/>
      <c r="D15165" s="1050"/>
      <c r="E15165" s="1050"/>
      <c r="F15165" s="1050"/>
      <c r="G15165" s="1050"/>
    </row>
    <row r="15166" spans="1:7">
      <c r="A15166" s="1079"/>
      <c r="B15166" s="1050"/>
      <c r="C15166" s="1050"/>
      <c r="D15166" s="1050"/>
      <c r="E15166" s="1050"/>
      <c r="F15166" s="1050"/>
      <c r="G15166" s="1050"/>
    </row>
    <row r="15167" spans="1:7">
      <c r="A15167" s="1079"/>
      <c r="B15167" s="1050"/>
      <c r="C15167" s="1050"/>
      <c r="D15167" s="1050"/>
      <c r="E15167" s="1050"/>
      <c r="F15167" s="1050"/>
      <c r="G15167" s="1050"/>
    </row>
    <row r="15168" spans="1:7">
      <c r="A15168" s="1079"/>
      <c r="B15168" s="1050"/>
      <c r="C15168" s="1050"/>
      <c r="D15168" s="1050"/>
      <c r="E15168" s="1050"/>
      <c r="F15168" s="1050"/>
      <c r="G15168" s="1050"/>
    </row>
    <row r="15169" spans="1:7">
      <c r="A15169" s="1079"/>
      <c r="B15169" s="1050"/>
      <c r="C15169" s="1050"/>
      <c r="D15169" s="1050"/>
      <c r="E15169" s="1050"/>
      <c r="F15169" s="1050"/>
      <c r="G15169" s="1050"/>
    </row>
    <row r="15170" spans="1:7">
      <c r="A15170" s="1079"/>
      <c r="B15170" s="1050"/>
      <c r="C15170" s="1050"/>
      <c r="D15170" s="1050"/>
      <c r="E15170" s="1050"/>
      <c r="F15170" s="1050"/>
      <c r="G15170" s="1050"/>
    </row>
    <row r="15171" spans="1:7">
      <c r="A15171" s="1079"/>
      <c r="B15171" s="1050"/>
      <c r="C15171" s="1050"/>
      <c r="D15171" s="1050"/>
      <c r="E15171" s="1050"/>
      <c r="F15171" s="1050"/>
      <c r="G15171" s="1050"/>
    </row>
    <row r="15172" spans="1:7">
      <c r="A15172" s="1079"/>
      <c r="B15172" s="1050"/>
      <c r="C15172" s="1050"/>
      <c r="D15172" s="1050"/>
      <c r="E15172" s="1050"/>
      <c r="F15172" s="1050"/>
      <c r="G15172" s="1050"/>
    </row>
    <row r="15173" spans="1:7">
      <c r="A15173" s="1079"/>
      <c r="B15173" s="1050"/>
      <c r="C15173" s="1050"/>
      <c r="D15173" s="1050"/>
      <c r="E15173" s="1050"/>
      <c r="F15173" s="1050"/>
      <c r="G15173" s="1050"/>
    </row>
    <row r="15174" spans="1:7">
      <c r="A15174" s="1079"/>
      <c r="B15174" s="1050"/>
      <c r="C15174" s="1050"/>
      <c r="D15174" s="1050"/>
      <c r="E15174" s="1050"/>
      <c r="F15174" s="1050"/>
      <c r="G15174" s="1050"/>
    </row>
    <row r="15175" spans="1:7">
      <c r="A15175" s="1079"/>
      <c r="B15175" s="1050"/>
      <c r="C15175" s="1050"/>
      <c r="D15175" s="1050"/>
      <c r="E15175" s="1050"/>
      <c r="F15175" s="1050"/>
      <c r="G15175" s="1050"/>
    </row>
    <row r="15176" spans="1:7">
      <c r="A15176" s="1079"/>
      <c r="B15176" s="1050"/>
      <c r="C15176" s="1050"/>
      <c r="D15176" s="1050"/>
      <c r="E15176" s="1050"/>
      <c r="F15176" s="1050"/>
      <c r="G15176" s="1050"/>
    </row>
    <row r="15177" spans="1:7">
      <c r="A15177" s="1079"/>
      <c r="B15177" s="1050"/>
      <c r="C15177" s="1050"/>
      <c r="D15177" s="1050"/>
      <c r="E15177" s="1050"/>
      <c r="F15177" s="1050"/>
      <c r="G15177" s="1050"/>
    </row>
    <row r="15178" spans="1:7">
      <c r="A15178" s="1079"/>
      <c r="B15178" s="1050"/>
      <c r="C15178" s="1050"/>
      <c r="D15178" s="1050"/>
      <c r="E15178" s="1050"/>
      <c r="F15178" s="1050"/>
      <c r="G15178" s="1050"/>
    </row>
    <row r="15179" spans="1:7">
      <c r="A15179" s="1079"/>
      <c r="B15179" s="1050"/>
      <c r="C15179" s="1050"/>
      <c r="D15179" s="1050"/>
      <c r="E15179" s="1050"/>
      <c r="F15179" s="1050"/>
      <c r="G15179" s="1050"/>
    </row>
    <row r="15180" spans="1:7">
      <c r="A15180" s="1079"/>
      <c r="B15180" s="1050"/>
      <c r="C15180" s="1050"/>
      <c r="D15180" s="1050"/>
      <c r="E15180" s="1050"/>
      <c r="F15180" s="1050"/>
      <c r="G15180" s="1050"/>
    </row>
    <row r="15181" spans="1:7">
      <c r="A15181" s="1079"/>
      <c r="B15181" s="1050"/>
      <c r="C15181" s="1050"/>
      <c r="D15181" s="1050"/>
      <c r="E15181" s="1050"/>
      <c r="F15181" s="1050"/>
      <c r="G15181" s="1050"/>
    </row>
    <row r="15182" spans="1:7">
      <c r="A15182" s="1079"/>
      <c r="B15182" s="1050"/>
      <c r="C15182" s="1050"/>
      <c r="D15182" s="1050"/>
      <c r="E15182" s="1050"/>
      <c r="F15182" s="1050"/>
      <c r="G15182" s="1050"/>
    </row>
    <row r="15183" spans="1:7">
      <c r="A15183" s="1079"/>
      <c r="B15183" s="1050"/>
      <c r="C15183" s="1050"/>
      <c r="D15183" s="1050"/>
      <c r="E15183" s="1050"/>
      <c r="F15183" s="1050"/>
      <c r="G15183" s="1050"/>
    </row>
    <row r="15184" spans="1:7">
      <c r="A15184" s="1079"/>
      <c r="B15184" s="1050"/>
      <c r="C15184" s="1050"/>
      <c r="D15184" s="1050"/>
      <c r="E15184" s="1050"/>
      <c r="F15184" s="1050"/>
      <c r="G15184" s="1050"/>
    </row>
    <row r="15185" spans="1:7">
      <c r="A15185" s="1079"/>
      <c r="B15185" s="1050"/>
      <c r="C15185" s="1050"/>
      <c r="D15185" s="1050"/>
      <c r="E15185" s="1050"/>
      <c r="F15185" s="1050"/>
      <c r="G15185" s="1050"/>
    </row>
    <row r="15186" spans="1:7">
      <c r="A15186" s="1079"/>
      <c r="B15186" s="1050"/>
      <c r="C15186" s="1050"/>
      <c r="D15186" s="1050"/>
      <c r="E15186" s="1050"/>
      <c r="F15186" s="1050"/>
      <c r="G15186" s="1050"/>
    </row>
    <row r="15187" spans="1:7">
      <c r="A15187" s="1079"/>
      <c r="B15187" s="1050"/>
      <c r="C15187" s="1050"/>
      <c r="D15187" s="1050"/>
      <c r="E15187" s="1050"/>
      <c r="F15187" s="1050"/>
      <c r="G15187" s="1050"/>
    </row>
    <row r="15188" spans="1:7">
      <c r="A15188" s="1079"/>
      <c r="B15188" s="1050"/>
      <c r="C15188" s="1050"/>
      <c r="D15188" s="1050"/>
      <c r="E15188" s="1050"/>
      <c r="F15188" s="1050"/>
      <c r="G15188" s="1050"/>
    </row>
    <row r="15189" spans="1:7">
      <c r="A15189" s="1079"/>
      <c r="B15189" s="1050"/>
      <c r="C15189" s="1050"/>
      <c r="D15189" s="1050"/>
      <c r="E15189" s="1050"/>
      <c r="F15189" s="1050"/>
      <c r="G15189" s="1050"/>
    </row>
    <row r="15190" spans="1:7">
      <c r="A15190" s="1079"/>
      <c r="B15190" s="1050"/>
      <c r="C15190" s="1050"/>
      <c r="D15190" s="1050"/>
      <c r="E15190" s="1050"/>
      <c r="F15190" s="1050"/>
      <c r="G15190" s="1050"/>
    </row>
    <row r="15191" spans="1:7">
      <c r="A15191" s="1079"/>
      <c r="B15191" s="1050"/>
      <c r="C15191" s="1050"/>
      <c r="D15191" s="1050"/>
      <c r="E15191" s="1050"/>
      <c r="F15191" s="1050"/>
      <c r="G15191" s="1050"/>
    </row>
    <row r="15192" spans="1:7">
      <c r="A15192" s="1079"/>
      <c r="B15192" s="1050"/>
      <c r="C15192" s="1050"/>
      <c r="D15192" s="1050"/>
      <c r="E15192" s="1050"/>
      <c r="F15192" s="1050"/>
      <c r="G15192" s="1050"/>
    </row>
    <row r="15193" spans="1:7">
      <c r="A15193" s="1079"/>
      <c r="B15193" s="1050"/>
      <c r="C15193" s="1050"/>
      <c r="D15193" s="1050"/>
      <c r="E15193" s="1050"/>
      <c r="F15193" s="1050"/>
      <c r="G15193" s="1050"/>
    </row>
    <row r="15194" spans="1:7">
      <c r="A15194" s="1079"/>
      <c r="B15194" s="1050"/>
      <c r="C15194" s="1050"/>
      <c r="D15194" s="1050"/>
      <c r="E15194" s="1050"/>
      <c r="F15194" s="1050"/>
      <c r="G15194" s="1050"/>
    </row>
    <row r="15195" spans="1:7">
      <c r="A15195" s="1079"/>
      <c r="B15195" s="1050"/>
      <c r="C15195" s="1050"/>
      <c r="D15195" s="1050"/>
      <c r="E15195" s="1050"/>
      <c r="F15195" s="1050"/>
      <c r="G15195" s="1050"/>
    </row>
    <row r="15196" spans="1:7">
      <c r="A15196" s="1079"/>
      <c r="B15196" s="1050"/>
      <c r="C15196" s="1050"/>
      <c r="D15196" s="1050"/>
      <c r="E15196" s="1050"/>
      <c r="F15196" s="1050"/>
      <c r="G15196" s="1050"/>
    </row>
    <row r="15197" spans="1:7">
      <c r="A15197" s="1079"/>
      <c r="B15197" s="1050"/>
      <c r="C15197" s="1050"/>
      <c r="D15197" s="1050"/>
      <c r="E15197" s="1050"/>
      <c r="F15197" s="1050"/>
      <c r="G15197" s="1050"/>
    </row>
    <row r="15198" spans="1:7">
      <c r="A15198" s="1079"/>
      <c r="B15198" s="1050"/>
      <c r="C15198" s="1050"/>
      <c r="D15198" s="1050"/>
      <c r="E15198" s="1050"/>
      <c r="F15198" s="1050"/>
      <c r="G15198" s="1050"/>
    </row>
    <row r="15199" spans="1:7">
      <c r="A15199" s="1079"/>
      <c r="B15199" s="1050"/>
      <c r="C15199" s="1050"/>
      <c r="D15199" s="1050"/>
      <c r="E15199" s="1050"/>
      <c r="F15199" s="1050"/>
      <c r="G15199" s="1050"/>
    </row>
    <row r="15200" spans="1:7">
      <c r="A15200" s="1079"/>
      <c r="B15200" s="1050"/>
      <c r="C15200" s="1050"/>
      <c r="D15200" s="1050"/>
      <c r="E15200" s="1050"/>
      <c r="F15200" s="1050"/>
      <c r="G15200" s="1050"/>
    </row>
    <row r="15201" spans="1:7">
      <c r="A15201" s="1079"/>
      <c r="B15201" s="1050"/>
      <c r="C15201" s="1050"/>
      <c r="D15201" s="1050"/>
      <c r="E15201" s="1050"/>
      <c r="F15201" s="1050"/>
      <c r="G15201" s="1050"/>
    </row>
    <row r="15202" spans="1:7">
      <c r="A15202" s="1079"/>
      <c r="B15202" s="1050"/>
      <c r="C15202" s="1050"/>
      <c r="D15202" s="1050"/>
      <c r="E15202" s="1050"/>
      <c r="F15202" s="1050"/>
      <c r="G15202" s="1050"/>
    </row>
    <row r="15203" spans="1:7">
      <c r="A15203" s="1079"/>
      <c r="B15203" s="1050"/>
      <c r="C15203" s="1050"/>
      <c r="D15203" s="1050"/>
      <c r="E15203" s="1050"/>
      <c r="F15203" s="1050"/>
      <c r="G15203" s="1050"/>
    </row>
    <row r="15204" spans="1:7">
      <c r="A15204" s="1079"/>
      <c r="B15204" s="1050"/>
      <c r="C15204" s="1050"/>
      <c r="D15204" s="1050"/>
      <c r="E15204" s="1050"/>
      <c r="F15204" s="1050"/>
      <c r="G15204" s="1050"/>
    </row>
    <row r="15205" spans="1:7">
      <c r="A15205" s="1079"/>
      <c r="B15205" s="1050"/>
      <c r="C15205" s="1050"/>
      <c r="D15205" s="1050"/>
      <c r="E15205" s="1050"/>
      <c r="F15205" s="1050"/>
      <c r="G15205" s="1050"/>
    </row>
    <row r="15206" spans="1:7">
      <c r="A15206" s="1079"/>
      <c r="B15206" s="1050"/>
      <c r="C15206" s="1050"/>
      <c r="D15206" s="1050"/>
      <c r="E15206" s="1050"/>
      <c r="F15206" s="1050"/>
      <c r="G15206" s="1050"/>
    </row>
    <row r="15207" spans="1:7">
      <c r="A15207" s="1079"/>
      <c r="B15207" s="1050"/>
      <c r="C15207" s="1050"/>
      <c r="D15207" s="1050"/>
      <c r="E15207" s="1050"/>
      <c r="F15207" s="1050"/>
      <c r="G15207" s="1050"/>
    </row>
    <row r="15208" spans="1:7">
      <c r="A15208" s="1079"/>
      <c r="B15208" s="1050"/>
      <c r="C15208" s="1050"/>
      <c r="D15208" s="1050"/>
      <c r="E15208" s="1050"/>
      <c r="F15208" s="1050"/>
      <c r="G15208" s="1050"/>
    </row>
    <row r="15209" spans="1:7">
      <c r="A15209" s="1079"/>
      <c r="B15209" s="1050"/>
      <c r="C15209" s="1050"/>
      <c r="D15209" s="1050"/>
      <c r="E15209" s="1050"/>
      <c r="F15209" s="1050"/>
      <c r="G15209" s="1050"/>
    </row>
    <row r="15210" spans="1:7">
      <c r="A15210" s="1079"/>
      <c r="B15210" s="1050"/>
      <c r="C15210" s="1050"/>
      <c r="D15210" s="1050"/>
      <c r="E15210" s="1050"/>
      <c r="F15210" s="1050"/>
      <c r="G15210" s="1050"/>
    </row>
    <row r="15211" spans="1:7">
      <c r="A15211" s="1079"/>
      <c r="B15211" s="1050"/>
      <c r="C15211" s="1050"/>
      <c r="D15211" s="1050"/>
      <c r="E15211" s="1050"/>
      <c r="F15211" s="1050"/>
      <c r="G15211" s="1050"/>
    </row>
    <row r="15212" spans="1:7">
      <c r="A15212" s="1079"/>
      <c r="B15212" s="1050"/>
      <c r="C15212" s="1050"/>
      <c r="D15212" s="1050"/>
      <c r="E15212" s="1050"/>
      <c r="F15212" s="1050"/>
      <c r="G15212" s="1050"/>
    </row>
    <row r="15213" spans="1:7">
      <c r="A15213" s="1079"/>
      <c r="B15213" s="1050"/>
      <c r="C15213" s="1050"/>
      <c r="D15213" s="1050"/>
      <c r="E15213" s="1050"/>
      <c r="F15213" s="1050"/>
      <c r="G15213" s="1050"/>
    </row>
    <row r="15214" spans="1:7">
      <c r="A15214" s="1079"/>
      <c r="B15214" s="1050"/>
      <c r="C15214" s="1050"/>
      <c r="D15214" s="1050"/>
      <c r="E15214" s="1050"/>
      <c r="F15214" s="1050"/>
      <c r="G15214" s="1050"/>
    </row>
    <row r="15215" spans="1:7">
      <c r="A15215" s="1079"/>
      <c r="B15215" s="1050"/>
      <c r="C15215" s="1050"/>
      <c r="D15215" s="1050"/>
      <c r="E15215" s="1050"/>
      <c r="F15215" s="1050"/>
      <c r="G15215" s="1050"/>
    </row>
    <row r="15216" spans="1:7">
      <c r="A15216" s="1079"/>
      <c r="B15216" s="1050"/>
      <c r="C15216" s="1050"/>
      <c r="D15216" s="1050"/>
      <c r="E15216" s="1050"/>
      <c r="F15216" s="1050"/>
      <c r="G15216" s="1050"/>
    </row>
    <row r="15217" spans="1:7">
      <c r="A15217" s="1079"/>
      <c r="B15217" s="1050"/>
      <c r="C15217" s="1050"/>
      <c r="D15217" s="1050"/>
      <c r="E15217" s="1050"/>
      <c r="F15217" s="1050"/>
      <c r="G15217" s="1050"/>
    </row>
    <row r="15218" spans="1:7">
      <c r="A15218" s="1079"/>
      <c r="B15218" s="1050"/>
      <c r="C15218" s="1050"/>
      <c r="D15218" s="1050"/>
      <c r="E15218" s="1050"/>
      <c r="F15218" s="1050"/>
      <c r="G15218" s="1050"/>
    </row>
    <row r="15219" spans="1:7">
      <c r="A15219" s="1079"/>
      <c r="B15219" s="1050"/>
      <c r="C15219" s="1050"/>
      <c r="D15219" s="1050"/>
      <c r="E15219" s="1050"/>
      <c r="F15219" s="1050"/>
      <c r="G15219" s="1050"/>
    </row>
    <row r="15220" spans="1:7">
      <c r="A15220" s="1079"/>
      <c r="B15220" s="1050"/>
      <c r="C15220" s="1050"/>
      <c r="D15220" s="1050"/>
      <c r="E15220" s="1050"/>
      <c r="F15220" s="1050"/>
      <c r="G15220" s="1050"/>
    </row>
    <row r="15221" spans="1:7">
      <c r="A15221" s="1079"/>
      <c r="B15221" s="1050"/>
      <c r="C15221" s="1050"/>
      <c r="D15221" s="1050"/>
      <c r="E15221" s="1050"/>
      <c r="F15221" s="1050"/>
      <c r="G15221" s="1050"/>
    </row>
    <row r="15222" spans="1:7">
      <c r="A15222" s="1079"/>
      <c r="B15222" s="1050"/>
      <c r="C15222" s="1050"/>
      <c r="D15222" s="1050"/>
      <c r="E15222" s="1050"/>
      <c r="F15222" s="1050"/>
      <c r="G15222" s="1050"/>
    </row>
    <row r="15223" spans="1:7">
      <c r="A15223" s="1079"/>
      <c r="B15223" s="1050"/>
      <c r="C15223" s="1050"/>
      <c r="D15223" s="1050"/>
      <c r="E15223" s="1050"/>
      <c r="F15223" s="1050"/>
      <c r="G15223" s="1050"/>
    </row>
    <row r="15224" spans="1:7">
      <c r="A15224" s="1079"/>
      <c r="B15224" s="1050"/>
      <c r="C15224" s="1050"/>
      <c r="D15224" s="1050"/>
      <c r="E15224" s="1050"/>
      <c r="F15224" s="1050"/>
      <c r="G15224" s="1050"/>
    </row>
    <row r="15225" spans="1:7">
      <c r="A15225" s="1079"/>
      <c r="B15225" s="1050"/>
      <c r="C15225" s="1050"/>
      <c r="D15225" s="1050"/>
      <c r="E15225" s="1050"/>
      <c r="F15225" s="1050"/>
      <c r="G15225" s="1050"/>
    </row>
    <row r="15226" spans="1:7">
      <c r="A15226" s="1079"/>
      <c r="B15226" s="1050"/>
      <c r="C15226" s="1050"/>
      <c r="D15226" s="1050"/>
      <c r="E15226" s="1050"/>
      <c r="F15226" s="1050"/>
      <c r="G15226" s="1050"/>
    </row>
    <row r="15227" spans="1:7">
      <c r="A15227" s="1079"/>
      <c r="B15227" s="1050"/>
      <c r="C15227" s="1050"/>
      <c r="D15227" s="1050"/>
      <c r="E15227" s="1050"/>
      <c r="F15227" s="1050"/>
      <c r="G15227" s="1050"/>
    </row>
    <row r="15228" spans="1:7">
      <c r="A15228" s="1079"/>
      <c r="B15228" s="1050"/>
      <c r="C15228" s="1050"/>
      <c r="D15228" s="1050"/>
      <c r="E15228" s="1050"/>
      <c r="F15228" s="1050"/>
      <c r="G15228" s="1050"/>
    </row>
    <row r="15229" spans="1:7">
      <c r="A15229" s="1079"/>
      <c r="B15229" s="1050"/>
      <c r="C15229" s="1050"/>
      <c r="D15229" s="1050"/>
      <c r="E15229" s="1050"/>
      <c r="F15229" s="1050"/>
      <c r="G15229" s="1050"/>
    </row>
    <row r="15230" spans="1:7">
      <c r="A15230" s="1079"/>
      <c r="B15230" s="1050"/>
      <c r="C15230" s="1050"/>
      <c r="D15230" s="1050"/>
      <c r="E15230" s="1050"/>
      <c r="F15230" s="1050"/>
      <c r="G15230" s="1050"/>
    </row>
    <row r="15231" spans="1:7">
      <c r="A15231" s="1079"/>
      <c r="B15231" s="1050"/>
      <c r="C15231" s="1050"/>
      <c r="D15231" s="1050"/>
      <c r="E15231" s="1050"/>
      <c r="F15231" s="1050"/>
      <c r="G15231" s="1050"/>
    </row>
    <row r="15232" spans="1:7">
      <c r="A15232" s="1079"/>
      <c r="B15232" s="1050"/>
      <c r="C15232" s="1050"/>
      <c r="D15232" s="1050"/>
      <c r="E15232" s="1050"/>
      <c r="F15232" s="1050"/>
      <c r="G15232" s="1050"/>
    </row>
    <row r="15233" spans="1:7">
      <c r="A15233" s="1079"/>
      <c r="B15233" s="1050"/>
      <c r="C15233" s="1050"/>
      <c r="D15233" s="1050"/>
      <c r="E15233" s="1050"/>
      <c r="F15233" s="1050"/>
      <c r="G15233" s="1050"/>
    </row>
    <row r="15234" spans="1:7">
      <c r="A15234" s="1079"/>
      <c r="B15234" s="1050"/>
      <c r="C15234" s="1050"/>
      <c r="D15234" s="1050"/>
      <c r="E15234" s="1050"/>
      <c r="F15234" s="1050"/>
      <c r="G15234" s="1050"/>
    </row>
    <row r="15235" spans="1:7">
      <c r="A15235" s="1079"/>
      <c r="B15235" s="1050"/>
      <c r="C15235" s="1050"/>
      <c r="D15235" s="1050"/>
      <c r="E15235" s="1050"/>
      <c r="F15235" s="1050"/>
      <c r="G15235" s="1050"/>
    </row>
    <row r="15236" spans="1:7">
      <c r="A15236" s="1079"/>
      <c r="B15236" s="1050"/>
      <c r="C15236" s="1050"/>
      <c r="D15236" s="1050"/>
      <c r="E15236" s="1050"/>
      <c r="F15236" s="1050"/>
      <c r="G15236" s="1050"/>
    </row>
    <row r="15237" spans="1:7">
      <c r="A15237" s="1079"/>
      <c r="B15237" s="1050"/>
      <c r="C15237" s="1050"/>
      <c r="D15237" s="1050"/>
      <c r="E15237" s="1050"/>
      <c r="F15237" s="1050"/>
      <c r="G15237" s="1050"/>
    </row>
    <row r="15238" spans="1:7">
      <c r="A15238" s="1079"/>
      <c r="B15238" s="1050"/>
      <c r="C15238" s="1050"/>
      <c r="D15238" s="1050"/>
      <c r="E15238" s="1050"/>
      <c r="F15238" s="1050"/>
      <c r="G15238" s="1050"/>
    </row>
    <row r="15239" spans="1:7">
      <c r="A15239" s="1079"/>
      <c r="B15239" s="1050"/>
      <c r="C15239" s="1050"/>
      <c r="D15239" s="1050"/>
      <c r="E15239" s="1050"/>
      <c r="F15239" s="1050"/>
      <c r="G15239" s="1050"/>
    </row>
    <row r="15240" spans="1:7">
      <c r="A15240" s="1079"/>
      <c r="B15240" s="1050"/>
      <c r="C15240" s="1050"/>
      <c r="D15240" s="1050"/>
      <c r="E15240" s="1050"/>
      <c r="F15240" s="1050"/>
      <c r="G15240" s="1050"/>
    </row>
    <row r="15241" spans="1:7">
      <c r="A15241" s="1079"/>
      <c r="B15241" s="1050"/>
      <c r="C15241" s="1050"/>
      <c r="D15241" s="1050"/>
      <c r="E15241" s="1050"/>
      <c r="F15241" s="1050"/>
      <c r="G15241" s="1050"/>
    </row>
    <row r="15242" spans="1:7">
      <c r="A15242" s="1079"/>
      <c r="B15242" s="1050"/>
      <c r="C15242" s="1050"/>
      <c r="D15242" s="1050"/>
      <c r="E15242" s="1050"/>
      <c r="F15242" s="1050"/>
      <c r="G15242" s="1050"/>
    </row>
    <row r="15243" spans="1:7">
      <c r="A15243" s="1079"/>
      <c r="B15243" s="1050"/>
      <c r="C15243" s="1050"/>
      <c r="D15243" s="1050"/>
      <c r="E15243" s="1050"/>
      <c r="F15243" s="1050"/>
      <c r="G15243" s="1050"/>
    </row>
    <row r="15244" spans="1:7">
      <c r="A15244" s="1079"/>
      <c r="B15244" s="1050"/>
      <c r="C15244" s="1050"/>
      <c r="D15244" s="1050"/>
      <c r="E15244" s="1050"/>
      <c r="F15244" s="1050"/>
      <c r="G15244" s="1050"/>
    </row>
    <row r="15245" spans="1:7">
      <c r="A15245" s="1079"/>
      <c r="B15245" s="1050"/>
      <c r="C15245" s="1050"/>
      <c r="D15245" s="1050"/>
      <c r="E15245" s="1050"/>
      <c r="F15245" s="1050"/>
      <c r="G15245" s="1050"/>
    </row>
    <row r="15246" spans="1:7">
      <c r="A15246" s="1079"/>
      <c r="B15246" s="1050"/>
      <c r="C15246" s="1050"/>
      <c r="D15246" s="1050"/>
      <c r="E15246" s="1050"/>
      <c r="F15246" s="1050"/>
      <c r="G15246" s="1050"/>
    </row>
    <row r="15247" spans="1:7">
      <c r="A15247" s="1079"/>
      <c r="B15247" s="1050"/>
      <c r="C15247" s="1050"/>
      <c r="D15247" s="1050"/>
      <c r="E15247" s="1050"/>
      <c r="F15247" s="1050"/>
      <c r="G15247" s="1050"/>
    </row>
    <row r="15248" spans="1:7">
      <c r="A15248" s="1079"/>
      <c r="B15248" s="1050"/>
      <c r="C15248" s="1050"/>
      <c r="D15248" s="1050"/>
      <c r="E15248" s="1050"/>
      <c r="F15248" s="1050"/>
      <c r="G15248" s="1050"/>
    </row>
    <row r="15249" spans="1:7">
      <c r="A15249" s="1079"/>
      <c r="B15249" s="1050"/>
      <c r="C15249" s="1050"/>
      <c r="D15249" s="1050"/>
      <c r="E15249" s="1050"/>
      <c r="F15249" s="1050"/>
      <c r="G15249" s="1050"/>
    </row>
    <row r="15250" spans="1:7">
      <c r="A15250" s="1079"/>
      <c r="B15250" s="1050"/>
      <c r="C15250" s="1050"/>
      <c r="D15250" s="1050"/>
      <c r="E15250" s="1050"/>
      <c r="F15250" s="1050"/>
      <c r="G15250" s="1050"/>
    </row>
    <row r="15251" spans="1:7">
      <c r="A15251" s="1079"/>
      <c r="B15251" s="1050"/>
      <c r="C15251" s="1050"/>
      <c r="D15251" s="1050"/>
      <c r="E15251" s="1050"/>
      <c r="F15251" s="1050"/>
      <c r="G15251" s="1050"/>
    </row>
    <row r="15252" spans="1:7">
      <c r="A15252" s="1079"/>
      <c r="B15252" s="1050"/>
      <c r="C15252" s="1050"/>
      <c r="D15252" s="1050"/>
      <c r="E15252" s="1050"/>
      <c r="F15252" s="1050"/>
      <c r="G15252" s="1050"/>
    </row>
    <row r="15253" spans="1:7">
      <c r="A15253" s="1079"/>
      <c r="B15253" s="1050"/>
      <c r="C15253" s="1050"/>
      <c r="D15253" s="1050"/>
      <c r="E15253" s="1050"/>
      <c r="F15253" s="1050"/>
      <c r="G15253" s="1050"/>
    </row>
    <row r="15254" spans="1:7">
      <c r="A15254" s="1079"/>
      <c r="B15254" s="1050"/>
      <c r="C15254" s="1050"/>
      <c r="D15254" s="1050"/>
      <c r="E15254" s="1050"/>
      <c r="F15254" s="1050"/>
      <c r="G15254" s="1050"/>
    </row>
    <row r="15255" spans="1:7">
      <c r="A15255" s="1079"/>
      <c r="B15255" s="1050"/>
      <c r="C15255" s="1050"/>
      <c r="D15255" s="1050"/>
      <c r="E15255" s="1050"/>
      <c r="F15255" s="1050"/>
      <c r="G15255" s="1050"/>
    </row>
    <row r="15256" spans="1:7">
      <c r="A15256" s="1079"/>
      <c r="B15256" s="1050"/>
      <c r="C15256" s="1050"/>
      <c r="D15256" s="1050"/>
      <c r="E15256" s="1050"/>
      <c r="F15256" s="1050"/>
      <c r="G15256" s="1050"/>
    </row>
    <row r="15257" spans="1:7">
      <c r="A15257" s="1079"/>
      <c r="B15257" s="1050"/>
      <c r="C15257" s="1050"/>
      <c r="D15257" s="1050"/>
      <c r="E15257" s="1050"/>
      <c r="F15257" s="1050"/>
      <c r="G15257" s="1050"/>
    </row>
    <row r="15258" spans="1:7">
      <c r="A15258" s="1079"/>
      <c r="B15258" s="1050"/>
      <c r="C15258" s="1050"/>
      <c r="D15258" s="1050"/>
      <c r="E15258" s="1050"/>
      <c r="F15258" s="1050"/>
      <c r="G15258" s="1050"/>
    </row>
    <row r="15259" spans="1:7">
      <c r="A15259" s="1079"/>
      <c r="B15259" s="1050"/>
      <c r="C15259" s="1050"/>
      <c r="D15259" s="1050"/>
      <c r="E15259" s="1050"/>
      <c r="F15259" s="1050"/>
      <c r="G15259" s="1050"/>
    </row>
    <row r="15260" spans="1:7">
      <c r="A15260" s="1079"/>
      <c r="B15260" s="1050"/>
      <c r="C15260" s="1050"/>
      <c r="D15260" s="1050"/>
      <c r="E15260" s="1050"/>
      <c r="F15260" s="1050"/>
      <c r="G15260" s="1050"/>
    </row>
    <row r="15261" spans="1:7">
      <c r="A15261" s="1079"/>
      <c r="B15261" s="1050"/>
      <c r="C15261" s="1050"/>
      <c r="D15261" s="1050"/>
      <c r="E15261" s="1050"/>
      <c r="F15261" s="1050"/>
      <c r="G15261" s="1050"/>
    </row>
    <row r="15262" spans="1:7">
      <c r="A15262" s="1079"/>
      <c r="B15262" s="1050"/>
      <c r="C15262" s="1050"/>
      <c r="D15262" s="1050"/>
      <c r="E15262" s="1050"/>
      <c r="F15262" s="1050"/>
      <c r="G15262" s="1050"/>
    </row>
    <row r="15263" spans="1:7">
      <c r="A15263" s="1079"/>
      <c r="B15263" s="1050"/>
      <c r="C15263" s="1050"/>
      <c r="D15263" s="1050"/>
      <c r="E15263" s="1050"/>
      <c r="F15263" s="1050"/>
      <c r="G15263" s="1050"/>
    </row>
    <row r="15264" spans="1:7">
      <c r="A15264" s="1079"/>
      <c r="B15264" s="1050"/>
      <c r="C15264" s="1050"/>
      <c r="D15264" s="1050"/>
      <c r="E15264" s="1050"/>
      <c r="F15264" s="1050"/>
      <c r="G15264" s="1050"/>
    </row>
    <row r="15265" spans="1:7">
      <c r="A15265" s="1079"/>
      <c r="B15265" s="1050"/>
      <c r="C15265" s="1050"/>
      <c r="D15265" s="1050"/>
      <c r="E15265" s="1050"/>
      <c r="F15265" s="1050"/>
      <c r="G15265" s="1050"/>
    </row>
    <row r="15266" spans="1:7">
      <c r="A15266" s="1079"/>
      <c r="B15266" s="1050"/>
      <c r="C15266" s="1050"/>
      <c r="D15266" s="1050"/>
      <c r="E15266" s="1050"/>
      <c r="F15266" s="1050"/>
      <c r="G15266" s="1050"/>
    </row>
    <row r="15267" spans="1:7">
      <c r="A15267" s="1079"/>
      <c r="B15267" s="1050"/>
      <c r="C15267" s="1050"/>
      <c r="D15267" s="1050"/>
      <c r="E15267" s="1050"/>
      <c r="F15267" s="1050"/>
      <c r="G15267" s="1050"/>
    </row>
    <row r="15268" spans="1:7">
      <c r="A15268" s="1079"/>
      <c r="B15268" s="1050"/>
      <c r="C15268" s="1050"/>
      <c r="D15268" s="1050"/>
      <c r="E15268" s="1050"/>
      <c r="F15268" s="1050"/>
      <c r="G15268" s="1050"/>
    </row>
    <row r="15269" spans="1:7">
      <c r="A15269" s="1079"/>
      <c r="B15269" s="1050"/>
      <c r="C15269" s="1050"/>
      <c r="D15269" s="1050"/>
      <c r="E15269" s="1050"/>
      <c r="F15269" s="1050"/>
      <c r="G15269" s="1050"/>
    </row>
    <row r="15270" spans="1:7">
      <c r="A15270" s="1079"/>
      <c r="B15270" s="1050"/>
      <c r="C15270" s="1050"/>
      <c r="D15270" s="1050"/>
      <c r="E15270" s="1050"/>
      <c r="F15270" s="1050"/>
      <c r="G15270" s="1050"/>
    </row>
    <row r="15271" spans="1:7">
      <c r="A15271" s="1079"/>
      <c r="B15271" s="1050"/>
      <c r="C15271" s="1050"/>
      <c r="D15271" s="1050"/>
      <c r="E15271" s="1050"/>
      <c r="F15271" s="1050"/>
      <c r="G15271" s="1050"/>
    </row>
    <row r="15272" spans="1:7">
      <c r="A15272" s="1079"/>
      <c r="B15272" s="1050"/>
      <c r="C15272" s="1050"/>
      <c r="D15272" s="1050"/>
      <c r="E15272" s="1050"/>
      <c r="F15272" s="1050"/>
      <c r="G15272" s="1050"/>
    </row>
    <row r="15273" spans="1:7">
      <c r="A15273" s="1079"/>
      <c r="B15273" s="1050"/>
      <c r="C15273" s="1050"/>
      <c r="D15273" s="1050"/>
      <c r="E15273" s="1050"/>
      <c r="F15273" s="1050"/>
      <c r="G15273" s="1050"/>
    </row>
    <row r="15274" spans="1:7">
      <c r="A15274" s="1079"/>
      <c r="B15274" s="1050"/>
      <c r="C15274" s="1050"/>
      <c r="D15274" s="1050"/>
      <c r="E15274" s="1050"/>
      <c r="F15274" s="1050"/>
      <c r="G15274" s="1050"/>
    </row>
    <row r="15275" spans="1:7">
      <c r="A15275" s="1079"/>
      <c r="B15275" s="1050"/>
      <c r="C15275" s="1050"/>
      <c r="D15275" s="1050"/>
      <c r="E15275" s="1050"/>
      <c r="F15275" s="1050"/>
      <c r="G15275" s="1050"/>
    </row>
    <row r="15276" spans="1:7">
      <c r="A15276" s="1079"/>
      <c r="B15276" s="1050"/>
      <c r="C15276" s="1050"/>
      <c r="D15276" s="1050"/>
      <c r="E15276" s="1050"/>
      <c r="F15276" s="1050"/>
      <c r="G15276" s="1050"/>
    </row>
    <row r="15277" spans="1:7">
      <c r="A15277" s="1079"/>
      <c r="B15277" s="1050"/>
      <c r="C15277" s="1050"/>
      <c r="D15277" s="1050"/>
      <c r="E15277" s="1050"/>
      <c r="F15277" s="1050"/>
      <c r="G15277" s="1050"/>
    </row>
    <row r="15278" spans="1:7">
      <c r="A15278" s="1079"/>
      <c r="B15278" s="1050"/>
      <c r="C15278" s="1050"/>
      <c r="D15278" s="1050"/>
      <c r="E15278" s="1050"/>
      <c r="F15278" s="1050"/>
      <c r="G15278" s="1050"/>
    </row>
    <row r="15279" spans="1:7">
      <c r="A15279" s="1079"/>
      <c r="B15279" s="1050"/>
      <c r="C15279" s="1050"/>
      <c r="D15279" s="1050"/>
      <c r="E15279" s="1050"/>
      <c r="F15279" s="1050"/>
      <c r="G15279" s="1050"/>
    </row>
    <row r="15280" spans="1:7">
      <c r="A15280" s="1079"/>
      <c r="B15280" s="1050"/>
      <c r="C15280" s="1050"/>
      <c r="D15280" s="1050"/>
      <c r="E15280" s="1050"/>
      <c r="F15280" s="1050"/>
      <c r="G15280" s="1050"/>
    </row>
    <row r="15281" spans="1:7">
      <c r="A15281" s="1079"/>
      <c r="B15281" s="1050"/>
      <c r="C15281" s="1050"/>
      <c r="D15281" s="1050"/>
      <c r="E15281" s="1050"/>
      <c r="F15281" s="1050"/>
      <c r="G15281" s="1050"/>
    </row>
    <row r="15282" spans="1:7">
      <c r="A15282" s="1079"/>
      <c r="B15282" s="1050"/>
      <c r="C15282" s="1050"/>
      <c r="D15282" s="1050"/>
      <c r="E15282" s="1050"/>
      <c r="F15282" s="1050"/>
      <c r="G15282" s="1050"/>
    </row>
    <row r="15283" spans="1:7">
      <c r="A15283" s="1079"/>
      <c r="B15283" s="1050"/>
      <c r="C15283" s="1050"/>
      <c r="D15283" s="1050"/>
      <c r="E15283" s="1050"/>
      <c r="F15283" s="1050"/>
      <c r="G15283" s="1050"/>
    </row>
    <row r="15284" spans="1:7">
      <c r="A15284" s="1079"/>
      <c r="B15284" s="1050"/>
      <c r="C15284" s="1050"/>
      <c r="D15284" s="1050"/>
      <c r="E15284" s="1050"/>
      <c r="F15284" s="1050"/>
      <c r="G15284" s="1050"/>
    </row>
    <row r="15285" spans="1:7">
      <c r="A15285" s="1079"/>
      <c r="B15285" s="1050"/>
      <c r="C15285" s="1050"/>
      <c r="D15285" s="1050"/>
      <c r="E15285" s="1050"/>
      <c r="F15285" s="1050"/>
      <c r="G15285" s="1050"/>
    </row>
    <row r="15286" spans="1:7">
      <c r="A15286" s="1079"/>
      <c r="B15286" s="1050"/>
      <c r="C15286" s="1050"/>
      <c r="D15286" s="1050"/>
      <c r="E15286" s="1050"/>
      <c r="F15286" s="1050"/>
      <c r="G15286" s="1050"/>
    </row>
    <row r="15287" spans="1:7">
      <c r="A15287" s="1079"/>
      <c r="B15287" s="1050"/>
      <c r="C15287" s="1050"/>
      <c r="D15287" s="1050"/>
      <c r="E15287" s="1050"/>
      <c r="F15287" s="1050"/>
      <c r="G15287" s="1050"/>
    </row>
    <row r="15288" spans="1:7">
      <c r="A15288" s="1079"/>
      <c r="B15288" s="1050"/>
      <c r="C15288" s="1050"/>
      <c r="D15288" s="1050"/>
      <c r="E15288" s="1050"/>
      <c r="F15288" s="1050"/>
      <c r="G15288" s="1050"/>
    </row>
    <row r="15289" spans="1:7">
      <c r="A15289" s="1079"/>
      <c r="B15289" s="1050"/>
      <c r="C15289" s="1050"/>
      <c r="D15289" s="1050"/>
      <c r="E15289" s="1050"/>
      <c r="F15289" s="1050"/>
      <c r="G15289" s="1050"/>
    </row>
    <row r="15290" spans="1:7">
      <c r="A15290" s="1079"/>
      <c r="B15290" s="1050"/>
      <c r="C15290" s="1050"/>
      <c r="D15290" s="1050"/>
      <c r="E15290" s="1050"/>
      <c r="F15290" s="1050"/>
      <c r="G15290" s="1050"/>
    </row>
    <row r="15291" spans="1:7">
      <c r="A15291" s="1079"/>
      <c r="B15291" s="1050"/>
      <c r="C15291" s="1050"/>
      <c r="D15291" s="1050"/>
      <c r="E15291" s="1050"/>
      <c r="F15291" s="1050"/>
      <c r="G15291" s="1050"/>
    </row>
    <row r="15292" spans="1:7">
      <c r="A15292" s="1079"/>
      <c r="B15292" s="1050"/>
      <c r="C15292" s="1050"/>
      <c r="D15292" s="1050"/>
      <c r="E15292" s="1050"/>
      <c r="F15292" s="1050"/>
      <c r="G15292" s="1050"/>
    </row>
    <row r="15293" spans="1:7">
      <c r="A15293" s="1079"/>
      <c r="B15293" s="1050"/>
      <c r="C15293" s="1050"/>
      <c r="D15293" s="1050"/>
      <c r="E15293" s="1050"/>
      <c r="F15293" s="1050"/>
      <c r="G15293" s="1050"/>
    </row>
    <row r="15294" spans="1:7">
      <c r="A15294" s="1079"/>
      <c r="B15294" s="1050"/>
      <c r="C15294" s="1050"/>
      <c r="D15294" s="1050"/>
      <c r="E15294" s="1050"/>
      <c r="F15294" s="1050"/>
      <c r="G15294" s="1050"/>
    </row>
    <row r="15295" spans="1:7">
      <c r="A15295" s="1079"/>
      <c r="B15295" s="1050"/>
      <c r="C15295" s="1050"/>
      <c r="D15295" s="1050"/>
      <c r="E15295" s="1050"/>
      <c r="F15295" s="1050"/>
      <c r="G15295" s="1050"/>
    </row>
    <row r="15296" spans="1:7">
      <c r="A15296" s="1079"/>
      <c r="B15296" s="1050"/>
      <c r="C15296" s="1050"/>
      <c r="D15296" s="1050"/>
      <c r="E15296" s="1050"/>
      <c r="F15296" s="1050"/>
      <c r="G15296" s="1050"/>
    </row>
    <row r="15297" spans="1:7">
      <c r="A15297" s="1079"/>
      <c r="B15297" s="1050"/>
      <c r="C15297" s="1050"/>
      <c r="D15297" s="1050"/>
      <c r="E15297" s="1050"/>
      <c r="F15297" s="1050"/>
      <c r="G15297" s="1050"/>
    </row>
    <row r="15298" spans="1:7">
      <c r="A15298" s="1079"/>
      <c r="B15298" s="1050"/>
      <c r="C15298" s="1050"/>
      <c r="D15298" s="1050"/>
      <c r="E15298" s="1050"/>
      <c r="F15298" s="1050"/>
      <c r="G15298" s="1050"/>
    </row>
    <row r="15299" spans="1:7">
      <c r="A15299" s="1079"/>
      <c r="B15299" s="1050"/>
      <c r="C15299" s="1050"/>
      <c r="D15299" s="1050"/>
      <c r="E15299" s="1050"/>
      <c r="F15299" s="1050"/>
      <c r="G15299" s="1050"/>
    </row>
    <row r="15300" spans="1:7">
      <c r="A15300" s="1079"/>
      <c r="B15300" s="1050"/>
      <c r="C15300" s="1050"/>
      <c r="D15300" s="1050"/>
      <c r="E15300" s="1050"/>
      <c r="F15300" s="1050"/>
      <c r="G15300" s="1050"/>
    </row>
    <row r="15301" spans="1:7">
      <c r="A15301" s="1079"/>
      <c r="B15301" s="1050"/>
      <c r="C15301" s="1050"/>
      <c r="D15301" s="1050"/>
      <c r="E15301" s="1050"/>
      <c r="F15301" s="1050"/>
      <c r="G15301" s="1050"/>
    </row>
    <row r="15302" spans="1:7">
      <c r="A15302" s="1079"/>
      <c r="B15302" s="1050"/>
      <c r="C15302" s="1050"/>
      <c r="D15302" s="1050"/>
      <c r="E15302" s="1050"/>
      <c r="F15302" s="1050"/>
      <c r="G15302" s="1050"/>
    </row>
    <row r="15303" spans="1:7">
      <c r="A15303" s="1079"/>
      <c r="B15303" s="1050"/>
      <c r="C15303" s="1050"/>
      <c r="D15303" s="1050"/>
      <c r="E15303" s="1050"/>
      <c r="F15303" s="1050"/>
      <c r="G15303" s="1050"/>
    </row>
    <row r="15304" spans="1:7">
      <c r="A15304" s="1079"/>
      <c r="B15304" s="1050"/>
      <c r="C15304" s="1050"/>
      <c r="D15304" s="1050"/>
      <c r="E15304" s="1050"/>
      <c r="F15304" s="1050"/>
      <c r="G15304" s="1050"/>
    </row>
    <row r="15305" spans="1:7">
      <c r="A15305" s="1079"/>
      <c r="B15305" s="1050"/>
      <c r="C15305" s="1050"/>
      <c r="D15305" s="1050"/>
      <c r="E15305" s="1050"/>
      <c r="F15305" s="1050"/>
      <c r="G15305" s="1050"/>
    </row>
    <row r="15306" spans="1:7">
      <c r="A15306" s="1079"/>
      <c r="B15306" s="1050"/>
      <c r="C15306" s="1050"/>
      <c r="D15306" s="1050"/>
      <c r="E15306" s="1050"/>
      <c r="F15306" s="1050"/>
      <c r="G15306" s="1050"/>
    </row>
    <row r="15307" spans="1:7">
      <c r="A15307" s="1079"/>
      <c r="B15307" s="1050"/>
      <c r="C15307" s="1050"/>
      <c r="D15307" s="1050"/>
      <c r="E15307" s="1050"/>
      <c r="F15307" s="1050"/>
      <c r="G15307" s="1050"/>
    </row>
    <row r="15308" spans="1:7">
      <c r="A15308" s="1079"/>
      <c r="B15308" s="1050"/>
      <c r="C15308" s="1050"/>
      <c r="D15308" s="1050"/>
      <c r="E15308" s="1050"/>
      <c r="F15308" s="1050"/>
      <c r="G15308" s="1050"/>
    </row>
    <row r="15309" spans="1:7">
      <c r="A15309" s="1079"/>
      <c r="B15309" s="1050"/>
      <c r="C15309" s="1050"/>
      <c r="D15309" s="1050"/>
      <c r="E15309" s="1050"/>
      <c r="F15309" s="1050"/>
      <c r="G15309" s="1050"/>
    </row>
    <row r="15310" spans="1:7">
      <c r="A15310" s="1079"/>
      <c r="B15310" s="1050"/>
      <c r="C15310" s="1050"/>
      <c r="D15310" s="1050"/>
      <c r="E15310" s="1050"/>
      <c r="F15310" s="1050"/>
      <c r="G15310" s="1050"/>
    </row>
    <row r="15311" spans="1:7">
      <c r="A15311" s="1079"/>
      <c r="B15311" s="1050"/>
      <c r="C15311" s="1050"/>
      <c r="D15311" s="1050"/>
      <c r="E15311" s="1050"/>
      <c r="F15311" s="1050"/>
      <c r="G15311" s="1050"/>
    </row>
    <row r="15312" spans="1:7">
      <c r="A15312" s="1079"/>
      <c r="B15312" s="1050"/>
      <c r="C15312" s="1050"/>
      <c r="D15312" s="1050"/>
      <c r="E15312" s="1050"/>
      <c r="F15312" s="1050"/>
      <c r="G15312" s="1050"/>
    </row>
    <row r="15313" spans="1:7">
      <c r="A15313" s="1079"/>
      <c r="B15313" s="1050"/>
      <c r="C15313" s="1050"/>
      <c r="D15313" s="1050"/>
      <c r="E15313" s="1050"/>
      <c r="F15313" s="1050"/>
      <c r="G15313" s="1050"/>
    </row>
    <row r="15314" spans="1:7">
      <c r="A15314" s="1079"/>
      <c r="B15314" s="1050"/>
      <c r="C15314" s="1050"/>
      <c r="D15314" s="1050"/>
      <c r="E15314" s="1050"/>
      <c r="F15314" s="1050"/>
      <c r="G15314" s="1050"/>
    </row>
    <row r="15315" spans="1:7">
      <c r="A15315" s="1079"/>
      <c r="B15315" s="1050"/>
      <c r="C15315" s="1050"/>
      <c r="D15315" s="1050"/>
      <c r="E15315" s="1050"/>
      <c r="F15315" s="1050"/>
      <c r="G15315" s="1050"/>
    </row>
    <row r="15316" spans="1:7">
      <c r="A15316" s="1079"/>
      <c r="B15316" s="1050"/>
      <c r="C15316" s="1050"/>
      <c r="D15316" s="1050"/>
      <c r="E15316" s="1050"/>
      <c r="F15316" s="1050"/>
      <c r="G15316" s="1050"/>
    </row>
    <row r="15317" spans="1:7">
      <c r="A15317" s="1079"/>
      <c r="B15317" s="1050"/>
      <c r="C15317" s="1050"/>
      <c r="D15317" s="1050"/>
      <c r="E15317" s="1050"/>
      <c r="F15317" s="1050"/>
      <c r="G15317" s="1050"/>
    </row>
    <row r="15318" spans="1:7">
      <c r="A15318" s="1079"/>
      <c r="B15318" s="1050"/>
      <c r="C15318" s="1050"/>
      <c r="D15318" s="1050"/>
      <c r="E15318" s="1050"/>
      <c r="F15318" s="1050"/>
      <c r="G15318" s="1050"/>
    </row>
    <row r="15319" spans="1:7">
      <c r="A15319" s="1079"/>
      <c r="B15319" s="1050"/>
      <c r="C15319" s="1050"/>
      <c r="D15319" s="1050"/>
      <c r="E15319" s="1050"/>
      <c r="F15319" s="1050"/>
      <c r="G15319" s="1050"/>
    </row>
    <row r="15320" spans="1:7">
      <c r="A15320" s="1079"/>
      <c r="B15320" s="1050"/>
      <c r="C15320" s="1050"/>
      <c r="D15320" s="1050"/>
      <c r="E15320" s="1050"/>
      <c r="F15320" s="1050"/>
      <c r="G15320" s="1050"/>
    </row>
    <row r="15321" spans="1:7">
      <c r="A15321" s="1079"/>
      <c r="B15321" s="1050"/>
      <c r="C15321" s="1050"/>
      <c r="D15321" s="1050"/>
      <c r="E15321" s="1050"/>
      <c r="F15321" s="1050"/>
      <c r="G15321" s="1050"/>
    </row>
    <row r="15322" spans="1:7">
      <c r="A15322" s="1079"/>
      <c r="B15322" s="1050"/>
      <c r="C15322" s="1050"/>
      <c r="D15322" s="1050"/>
      <c r="E15322" s="1050"/>
      <c r="F15322" s="1050"/>
      <c r="G15322" s="1050"/>
    </row>
    <row r="15323" spans="1:7">
      <c r="A15323" s="1079"/>
      <c r="B15323" s="1050"/>
      <c r="C15323" s="1050"/>
      <c r="D15323" s="1050"/>
      <c r="E15323" s="1050"/>
      <c r="F15323" s="1050"/>
      <c r="G15323" s="1050"/>
    </row>
    <row r="15324" spans="1:7">
      <c r="A15324" s="1079"/>
      <c r="B15324" s="1050"/>
      <c r="C15324" s="1050"/>
      <c r="D15324" s="1050"/>
      <c r="E15324" s="1050"/>
      <c r="F15324" s="1050"/>
      <c r="G15324" s="1050"/>
    </row>
    <row r="15325" spans="1:7">
      <c r="A15325" s="1079"/>
      <c r="B15325" s="1050"/>
      <c r="C15325" s="1050"/>
      <c r="D15325" s="1050"/>
      <c r="E15325" s="1050"/>
      <c r="F15325" s="1050"/>
      <c r="G15325" s="1050"/>
    </row>
    <row r="15326" spans="1:7">
      <c r="A15326" s="1079"/>
      <c r="B15326" s="1050"/>
      <c r="C15326" s="1050"/>
      <c r="D15326" s="1050"/>
      <c r="E15326" s="1050"/>
      <c r="F15326" s="1050"/>
      <c r="G15326" s="1050"/>
    </row>
    <row r="15327" spans="1:7">
      <c r="A15327" s="1079"/>
      <c r="B15327" s="1050"/>
      <c r="C15327" s="1050"/>
      <c r="D15327" s="1050"/>
      <c r="E15327" s="1050"/>
      <c r="F15327" s="1050"/>
      <c r="G15327" s="1050"/>
    </row>
    <row r="15328" spans="1:7">
      <c r="A15328" s="1079"/>
      <c r="B15328" s="1050"/>
      <c r="C15328" s="1050"/>
      <c r="D15328" s="1050"/>
      <c r="E15328" s="1050"/>
      <c r="F15328" s="1050"/>
      <c r="G15328" s="1050"/>
    </row>
    <row r="15329" spans="1:7">
      <c r="A15329" s="1079"/>
      <c r="B15329" s="1050"/>
      <c r="C15329" s="1050"/>
      <c r="D15329" s="1050"/>
      <c r="E15329" s="1050"/>
      <c r="F15329" s="1050"/>
      <c r="G15329" s="1050"/>
    </row>
    <row r="15330" spans="1:7">
      <c r="A15330" s="1079"/>
      <c r="B15330" s="1050"/>
      <c r="C15330" s="1050"/>
      <c r="D15330" s="1050"/>
      <c r="E15330" s="1050"/>
      <c r="F15330" s="1050"/>
      <c r="G15330" s="1050"/>
    </row>
    <row r="15331" spans="1:7">
      <c r="A15331" s="1079"/>
      <c r="B15331" s="1050"/>
      <c r="C15331" s="1050"/>
      <c r="D15331" s="1050"/>
      <c r="E15331" s="1050"/>
      <c r="F15331" s="1050"/>
      <c r="G15331" s="1050"/>
    </row>
    <row r="15332" spans="1:7">
      <c r="A15332" s="1079"/>
      <c r="B15332" s="1050"/>
      <c r="C15332" s="1050"/>
      <c r="D15332" s="1050"/>
      <c r="E15332" s="1050"/>
      <c r="F15332" s="1050"/>
      <c r="G15332" s="1050"/>
    </row>
    <row r="15333" spans="1:7">
      <c r="A15333" s="1079"/>
      <c r="B15333" s="1050"/>
      <c r="C15333" s="1050"/>
      <c r="D15333" s="1050"/>
      <c r="E15333" s="1050"/>
      <c r="F15333" s="1050"/>
      <c r="G15333" s="1050"/>
    </row>
    <row r="15334" spans="1:7">
      <c r="A15334" s="1079"/>
      <c r="B15334" s="1050"/>
      <c r="C15334" s="1050"/>
      <c r="D15334" s="1050"/>
      <c r="E15334" s="1050"/>
      <c r="F15334" s="1050"/>
      <c r="G15334" s="1050"/>
    </row>
    <row r="15335" spans="1:7">
      <c r="A15335" s="1079"/>
      <c r="B15335" s="1050"/>
      <c r="C15335" s="1050"/>
      <c r="D15335" s="1050"/>
      <c r="E15335" s="1050"/>
      <c r="F15335" s="1050"/>
      <c r="G15335" s="1050"/>
    </row>
    <row r="15336" spans="1:7">
      <c r="A15336" s="1079"/>
      <c r="B15336" s="1050"/>
      <c r="C15336" s="1050"/>
      <c r="D15336" s="1050"/>
      <c r="E15336" s="1050"/>
      <c r="F15336" s="1050"/>
      <c r="G15336" s="1050"/>
    </row>
    <row r="15337" spans="1:7">
      <c r="A15337" s="1079"/>
      <c r="B15337" s="1050"/>
      <c r="C15337" s="1050"/>
      <c r="D15337" s="1050"/>
      <c r="E15337" s="1050"/>
      <c r="F15337" s="1050"/>
      <c r="G15337" s="1050"/>
    </row>
    <row r="15338" spans="1:7">
      <c r="A15338" s="1079"/>
      <c r="B15338" s="1050"/>
      <c r="C15338" s="1050"/>
      <c r="D15338" s="1050"/>
      <c r="E15338" s="1050"/>
      <c r="F15338" s="1050"/>
      <c r="G15338" s="1050"/>
    </row>
    <row r="15339" spans="1:7">
      <c r="A15339" s="1079"/>
      <c r="B15339" s="1050"/>
      <c r="C15339" s="1050"/>
      <c r="D15339" s="1050"/>
      <c r="E15339" s="1050"/>
      <c r="F15339" s="1050"/>
      <c r="G15339" s="1050"/>
    </row>
    <row r="15340" spans="1:7">
      <c r="A15340" s="1079"/>
      <c r="B15340" s="1050"/>
      <c r="C15340" s="1050"/>
      <c r="D15340" s="1050"/>
      <c r="E15340" s="1050"/>
      <c r="F15340" s="1050"/>
      <c r="G15340" s="1050"/>
    </row>
    <row r="15341" spans="1:7">
      <c r="A15341" s="1079"/>
      <c r="B15341" s="1050"/>
      <c r="C15341" s="1050"/>
      <c r="D15341" s="1050"/>
      <c r="E15341" s="1050"/>
      <c r="F15341" s="1050"/>
      <c r="G15341" s="1050"/>
    </row>
    <row r="15342" spans="1:7">
      <c r="A15342" s="1079"/>
      <c r="B15342" s="1050"/>
      <c r="C15342" s="1050"/>
      <c r="D15342" s="1050"/>
      <c r="E15342" s="1050"/>
      <c r="F15342" s="1050"/>
      <c r="G15342" s="1050"/>
    </row>
    <row r="15343" spans="1:7">
      <c r="A15343" s="1079"/>
      <c r="B15343" s="1050"/>
      <c r="C15343" s="1050"/>
      <c r="D15343" s="1050"/>
      <c r="E15343" s="1050"/>
      <c r="F15343" s="1050"/>
      <c r="G15343" s="1050"/>
    </row>
    <row r="15344" spans="1:7">
      <c r="A15344" s="1079"/>
      <c r="B15344" s="1050"/>
      <c r="C15344" s="1050"/>
      <c r="D15344" s="1050"/>
      <c r="E15344" s="1050"/>
      <c r="F15344" s="1050"/>
      <c r="G15344" s="1050"/>
    </row>
    <row r="15345" spans="1:7">
      <c r="A15345" s="1079"/>
      <c r="B15345" s="1050"/>
      <c r="C15345" s="1050"/>
      <c r="D15345" s="1050"/>
      <c r="E15345" s="1050"/>
      <c r="F15345" s="1050"/>
      <c r="G15345" s="1050"/>
    </row>
    <row r="15346" spans="1:7">
      <c r="A15346" s="1079"/>
      <c r="B15346" s="1050"/>
      <c r="C15346" s="1050"/>
      <c r="D15346" s="1050"/>
      <c r="E15346" s="1050"/>
      <c r="F15346" s="1050"/>
      <c r="G15346" s="1050"/>
    </row>
    <row r="15347" spans="1:7">
      <c r="A15347" s="1079"/>
      <c r="B15347" s="1050"/>
      <c r="C15347" s="1050"/>
      <c r="D15347" s="1050"/>
      <c r="E15347" s="1050"/>
      <c r="F15347" s="1050"/>
      <c r="G15347" s="1050"/>
    </row>
    <row r="15348" spans="1:7">
      <c r="A15348" s="1079"/>
      <c r="B15348" s="1050"/>
      <c r="C15348" s="1050"/>
      <c r="D15348" s="1050"/>
      <c r="E15348" s="1050"/>
      <c r="F15348" s="1050"/>
      <c r="G15348" s="1050"/>
    </row>
    <row r="15349" spans="1:7">
      <c r="A15349" s="1079"/>
      <c r="B15349" s="1050"/>
      <c r="C15349" s="1050"/>
      <c r="D15349" s="1050"/>
      <c r="E15349" s="1050"/>
      <c r="F15349" s="1050"/>
      <c r="G15349" s="1050"/>
    </row>
    <row r="15350" spans="1:7">
      <c r="A15350" s="1079"/>
      <c r="B15350" s="1050"/>
      <c r="C15350" s="1050"/>
      <c r="D15350" s="1050"/>
      <c r="E15350" s="1050"/>
      <c r="F15350" s="1050"/>
      <c r="G15350" s="1050"/>
    </row>
    <row r="15351" spans="1:7">
      <c r="A15351" s="1079"/>
      <c r="B15351" s="1050"/>
      <c r="C15351" s="1050"/>
      <c r="D15351" s="1050"/>
      <c r="E15351" s="1050"/>
      <c r="F15351" s="1050"/>
      <c r="G15351" s="1050"/>
    </row>
    <row r="15352" spans="1:7">
      <c r="A15352" s="1079"/>
      <c r="B15352" s="1050"/>
      <c r="C15352" s="1050"/>
      <c r="D15352" s="1050"/>
      <c r="E15352" s="1050"/>
      <c r="F15352" s="1050"/>
      <c r="G15352" s="1050"/>
    </row>
    <row r="15353" spans="1:7">
      <c r="A15353" s="1079"/>
      <c r="B15353" s="1050"/>
      <c r="C15353" s="1050"/>
      <c r="D15353" s="1050"/>
      <c r="E15353" s="1050"/>
      <c r="F15353" s="1050"/>
      <c r="G15353" s="1050"/>
    </row>
    <row r="15354" spans="1:7">
      <c r="A15354" s="1079"/>
      <c r="B15354" s="1050"/>
      <c r="C15354" s="1050"/>
      <c r="D15354" s="1050"/>
      <c r="E15354" s="1050"/>
      <c r="F15354" s="1050"/>
      <c r="G15354" s="1050"/>
    </row>
    <row r="15355" spans="1:7">
      <c r="A15355" s="1079"/>
      <c r="B15355" s="1050"/>
      <c r="C15355" s="1050"/>
      <c r="D15355" s="1050"/>
      <c r="E15355" s="1050"/>
      <c r="F15355" s="1050"/>
      <c r="G15355" s="1050"/>
    </row>
    <row r="15356" spans="1:7">
      <c r="A15356" s="1079"/>
      <c r="B15356" s="1050"/>
      <c r="C15356" s="1050"/>
      <c r="D15356" s="1050"/>
      <c r="E15356" s="1050"/>
      <c r="F15356" s="1050"/>
      <c r="G15356" s="1050"/>
    </row>
    <row r="15357" spans="1:7">
      <c r="A15357" s="1079"/>
      <c r="B15357" s="1050"/>
      <c r="C15357" s="1050"/>
      <c r="D15357" s="1050"/>
      <c r="E15357" s="1050"/>
      <c r="F15357" s="1050"/>
      <c r="G15357" s="1050"/>
    </row>
    <row r="15358" spans="1:7">
      <c r="A15358" s="1079"/>
      <c r="B15358" s="1050"/>
      <c r="C15358" s="1050"/>
      <c r="D15358" s="1050"/>
      <c r="E15358" s="1050"/>
      <c r="F15358" s="1050"/>
      <c r="G15358" s="1050"/>
    </row>
    <row r="15359" spans="1:7">
      <c r="A15359" s="1079"/>
      <c r="B15359" s="1050"/>
      <c r="C15359" s="1050"/>
      <c r="D15359" s="1050"/>
      <c r="E15359" s="1050"/>
      <c r="F15359" s="1050"/>
      <c r="G15359" s="1050"/>
    </row>
    <row r="15360" spans="1:7">
      <c r="A15360" s="1079"/>
      <c r="B15360" s="1050"/>
      <c r="C15360" s="1050"/>
      <c r="D15360" s="1050"/>
      <c r="E15360" s="1050"/>
      <c r="F15360" s="1050"/>
      <c r="G15360" s="1050"/>
    </row>
    <row r="15361" spans="1:7">
      <c r="A15361" s="1079"/>
      <c r="B15361" s="1050"/>
      <c r="C15361" s="1050"/>
      <c r="D15361" s="1050"/>
      <c r="E15361" s="1050"/>
      <c r="F15361" s="1050"/>
      <c r="G15361" s="1050"/>
    </row>
    <row r="15362" spans="1:7">
      <c r="A15362" s="1079"/>
      <c r="B15362" s="1050"/>
      <c r="C15362" s="1050"/>
      <c r="D15362" s="1050"/>
      <c r="E15362" s="1050"/>
      <c r="F15362" s="1050"/>
      <c r="G15362" s="1050"/>
    </row>
    <row r="15363" spans="1:7">
      <c r="A15363" s="1079"/>
      <c r="B15363" s="1050"/>
      <c r="C15363" s="1050"/>
      <c r="D15363" s="1050"/>
      <c r="E15363" s="1050"/>
      <c r="F15363" s="1050"/>
      <c r="G15363" s="1050"/>
    </row>
    <row r="15364" spans="1:7">
      <c r="A15364" s="1079"/>
      <c r="B15364" s="1050"/>
      <c r="C15364" s="1050"/>
      <c r="D15364" s="1050"/>
      <c r="E15364" s="1050"/>
      <c r="F15364" s="1050"/>
      <c r="G15364" s="1050"/>
    </row>
    <row r="15365" spans="1:7">
      <c r="A15365" s="1079"/>
      <c r="B15365" s="1050"/>
      <c r="C15365" s="1050"/>
      <c r="D15365" s="1050"/>
      <c r="E15365" s="1050"/>
      <c r="F15365" s="1050"/>
      <c r="G15365" s="1050"/>
    </row>
    <row r="15366" spans="1:7">
      <c r="A15366" s="1079"/>
      <c r="B15366" s="1050"/>
      <c r="C15366" s="1050"/>
      <c r="D15366" s="1050"/>
      <c r="E15366" s="1050"/>
      <c r="F15366" s="1050"/>
      <c r="G15366" s="1050"/>
    </row>
    <row r="15367" spans="1:7">
      <c r="A15367" s="1079"/>
      <c r="B15367" s="1050"/>
      <c r="C15367" s="1050"/>
      <c r="D15367" s="1050"/>
      <c r="E15367" s="1050"/>
      <c r="F15367" s="1050"/>
      <c r="G15367" s="1050"/>
    </row>
    <row r="15368" spans="1:7">
      <c r="A15368" s="1079"/>
      <c r="B15368" s="1050"/>
      <c r="C15368" s="1050"/>
      <c r="D15368" s="1050"/>
      <c r="E15368" s="1050"/>
      <c r="F15368" s="1050"/>
      <c r="G15368" s="1050"/>
    </row>
    <row r="15369" spans="1:7">
      <c r="A15369" s="1079"/>
      <c r="B15369" s="1050"/>
      <c r="C15369" s="1050"/>
      <c r="D15369" s="1050"/>
      <c r="E15369" s="1050"/>
      <c r="F15369" s="1050"/>
      <c r="G15369" s="1050"/>
    </row>
    <row r="15370" spans="1:7">
      <c r="A15370" s="1079"/>
      <c r="B15370" s="1050"/>
      <c r="C15370" s="1050"/>
      <c r="D15370" s="1050"/>
      <c r="E15370" s="1050"/>
      <c r="F15370" s="1050"/>
      <c r="G15370" s="1050"/>
    </row>
    <row r="15371" spans="1:7">
      <c r="A15371" s="1079"/>
      <c r="B15371" s="1050"/>
      <c r="C15371" s="1050"/>
      <c r="D15371" s="1050"/>
      <c r="E15371" s="1050"/>
      <c r="F15371" s="1050"/>
      <c r="G15371" s="1050"/>
    </row>
    <row r="15372" spans="1:7">
      <c r="A15372" s="1079"/>
      <c r="B15372" s="1050"/>
      <c r="C15372" s="1050"/>
      <c r="D15372" s="1050"/>
      <c r="E15372" s="1050"/>
      <c r="F15372" s="1050"/>
      <c r="G15372" s="1050"/>
    </row>
    <row r="15373" spans="1:7">
      <c r="A15373" s="1079"/>
      <c r="B15373" s="1050"/>
      <c r="C15373" s="1050"/>
      <c r="D15373" s="1050"/>
      <c r="E15373" s="1050"/>
      <c r="F15373" s="1050"/>
      <c r="G15373" s="1050"/>
    </row>
    <row r="15374" spans="1:7">
      <c r="A15374" s="1079"/>
      <c r="B15374" s="1050"/>
      <c r="C15374" s="1050"/>
      <c r="D15374" s="1050"/>
      <c r="E15374" s="1050"/>
      <c r="F15374" s="1050"/>
      <c r="G15374" s="1050"/>
    </row>
    <row r="15375" spans="1:7">
      <c r="A15375" s="1079"/>
      <c r="B15375" s="1050"/>
      <c r="C15375" s="1050"/>
      <c r="D15375" s="1050"/>
      <c r="E15375" s="1050"/>
      <c r="F15375" s="1050"/>
      <c r="G15375" s="1050"/>
    </row>
    <row r="15376" spans="1:7">
      <c r="A15376" s="1079"/>
      <c r="B15376" s="1050"/>
      <c r="C15376" s="1050"/>
      <c r="D15376" s="1050"/>
      <c r="E15376" s="1050"/>
      <c r="F15376" s="1050"/>
      <c r="G15376" s="1050"/>
    </row>
    <row r="15377" spans="1:7">
      <c r="A15377" s="1079"/>
      <c r="B15377" s="1050"/>
      <c r="C15377" s="1050"/>
      <c r="D15377" s="1050"/>
      <c r="E15377" s="1050"/>
      <c r="F15377" s="1050"/>
      <c r="G15377" s="1050"/>
    </row>
    <row r="15378" spans="1:7">
      <c r="A15378" s="1079"/>
      <c r="B15378" s="1050"/>
      <c r="C15378" s="1050"/>
      <c r="D15378" s="1050"/>
      <c r="E15378" s="1050"/>
      <c r="F15378" s="1050"/>
      <c r="G15378" s="1050"/>
    </row>
    <row r="15379" spans="1:7">
      <c r="A15379" s="1079"/>
      <c r="B15379" s="1050"/>
      <c r="C15379" s="1050"/>
      <c r="D15379" s="1050"/>
      <c r="E15379" s="1050"/>
      <c r="F15379" s="1050"/>
      <c r="G15379" s="1050"/>
    </row>
    <row r="15380" spans="1:7">
      <c r="A15380" s="1079"/>
      <c r="B15380" s="1050"/>
      <c r="C15380" s="1050"/>
      <c r="D15380" s="1050"/>
      <c r="E15380" s="1050"/>
      <c r="F15380" s="1050"/>
      <c r="G15380" s="1050"/>
    </row>
    <row r="15381" spans="1:7">
      <c r="A15381" s="1079"/>
      <c r="B15381" s="1050"/>
      <c r="C15381" s="1050"/>
      <c r="D15381" s="1050"/>
      <c r="E15381" s="1050"/>
      <c r="F15381" s="1050"/>
      <c r="G15381" s="1050"/>
    </row>
    <row r="15382" spans="1:7">
      <c r="A15382" s="1079"/>
      <c r="B15382" s="1050"/>
      <c r="C15382" s="1050"/>
      <c r="D15382" s="1050"/>
      <c r="E15382" s="1050"/>
      <c r="F15382" s="1050"/>
      <c r="G15382" s="1050"/>
    </row>
    <row r="15383" spans="1:7">
      <c r="A15383" s="1079"/>
      <c r="B15383" s="1050"/>
      <c r="C15383" s="1050"/>
      <c r="D15383" s="1050"/>
      <c r="E15383" s="1050"/>
      <c r="F15383" s="1050"/>
      <c r="G15383" s="1050"/>
    </row>
    <row r="15384" spans="1:7">
      <c r="A15384" s="1079"/>
      <c r="B15384" s="1050"/>
      <c r="C15384" s="1050"/>
      <c r="D15384" s="1050"/>
      <c r="E15384" s="1050"/>
      <c r="F15384" s="1050"/>
      <c r="G15384" s="1050"/>
    </row>
    <row r="15385" spans="1:7">
      <c r="A15385" s="1079"/>
      <c r="B15385" s="1050"/>
      <c r="C15385" s="1050"/>
      <c r="D15385" s="1050"/>
      <c r="E15385" s="1050"/>
      <c r="F15385" s="1050"/>
      <c r="G15385" s="1050"/>
    </row>
    <row r="15386" spans="1:7">
      <c r="A15386" s="1079"/>
      <c r="B15386" s="1050"/>
      <c r="C15386" s="1050"/>
      <c r="D15386" s="1050"/>
      <c r="E15386" s="1050"/>
      <c r="F15386" s="1050"/>
      <c r="G15386" s="1050"/>
    </row>
    <row r="15387" spans="1:7">
      <c r="A15387" s="1079"/>
      <c r="B15387" s="1050"/>
      <c r="C15387" s="1050"/>
      <c r="D15387" s="1050"/>
      <c r="E15387" s="1050"/>
      <c r="F15387" s="1050"/>
      <c r="G15387" s="1050"/>
    </row>
    <row r="15388" spans="1:7">
      <c r="A15388" s="1079"/>
      <c r="B15388" s="1050"/>
      <c r="C15388" s="1050"/>
      <c r="D15388" s="1050"/>
      <c r="E15388" s="1050"/>
      <c r="F15388" s="1050"/>
      <c r="G15388" s="1050"/>
    </row>
    <row r="15389" spans="1:7">
      <c r="A15389" s="1079"/>
      <c r="B15389" s="1050"/>
      <c r="C15389" s="1050"/>
      <c r="D15389" s="1050"/>
      <c r="E15389" s="1050"/>
      <c r="F15389" s="1050"/>
      <c r="G15389" s="1050"/>
    </row>
    <row r="15390" spans="1:7">
      <c r="A15390" s="1079"/>
      <c r="B15390" s="1050"/>
      <c r="C15390" s="1050"/>
      <c r="D15390" s="1050"/>
      <c r="E15390" s="1050"/>
      <c r="F15390" s="1050"/>
      <c r="G15390" s="1050"/>
    </row>
    <row r="15391" spans="1:7">
      <c r="A15391" s="1079"/>
      <c r="B15391" s="1050"/>
      <c r="C15391" s="1050"/>
      <c r="D15391" s="1050"/>
      <c r="E15391" s="1050"/>
      <c r="F15391" s="1050"/>
      <c r="G15391" s="1050"/>
    </row>
    <row r="15392" spans="1:7">
      <c r="A15392" s="1079"/>
      <c r="B15392" s="1050"/>
      <c r="C15392" s="1050"/>
      <c r="D15392" s="1050"/>
      <c r="E15392" s="1050"/>
      <c r="F15392" s="1050"/>
      <c r="G15392" s="1050"/>
    </row>
    <row r="15393" spans="1:7">
      <c r="A15393" s="1079"/>
      <c r="B15393" s="1050"/>
      <c r="C15393" s="1050"/>
      <c r="D15393" s="1050"/>
      <c r="E15393" s="1050"/>
      <c r="F15393" s="1050"/>
      <c r="G15393" s="1050"/>
    </row>
    <row r="15394" spans="1:7">
      <c r="A15394" s="1079"/>
      <c r="B15394" s="1050"/>
      <c r="C15394" s="1050"/>
      <c r="D15394" s="1050"/>
      <c r="E15394" s="1050"/>
      <c r="F15394" s="1050"/>
      <c r="G15394" s="1050"/>
    </row>
    <row r="15395" spans="1:7">
      <c r="A15395" s="1079"/>
      <c r="B15395" s="1050"/>
      <c r="C15395" s="1050"/>
      <c r="D15395" s="1050"/>
      <c r="E15395" s="1050"/>
      <c r="F15395" s="1050"/>
      <c r="G15395" s="1050"/>
    </row>
    <row r="15396" spans="1:7">
      <c r="A15396" s="1079"/>
      <c r="B15396" s="1050"/>
      <c r="C15396" s="1050"/>
      <c r="D15396" s="1050"/>
      <c r="E15396" s="1050"/>
      <c r="F15396" s="1050"/>
      <c r="G15396" s="1050"/>
    </row>
    <row r="15397" spans="1:7">
      <c r="A15397" s="1079"/>
      <c r="B15397" s="1050"/>
      <c r="C15397" s="1050"/>
      <c r="D15397" s="1050"/>
      <c r="E15397" s="1050"/>
      <c r="F15397" s="1050"/>
      <c r="G15397" s="1050"/>
    </row>
    <row r="15398" spans="1:7">
      <c r="A15398" s="1079"/>
      <c r="B15398" s="1050"/>
      <c r="C15398" s="1050"/>
      <c r="D15398" s="1050"/>
      <c r="E15398" s="1050"/>
      <c r="F15398" s="1050"/>
      <c r="G15398" s="1050"/>
    </row>
    <row r="15399" spans="1:7">
      <c r="A15399" s="1079"/>
      <c r="B15399" s="1050"/>
      <c r="C15399" s="1050"/>
      <c r="D15399" s="1050"/>
      <c r="E15399" s="1050"/>
      <c r="F15399" s="1050"/>
      <c r="G15399" s="1050"/>
    </row>
    <row r="15400" spans="1:7">
      <c r="A15400" s="1079"/>
      <c r="B15400" s="1050"/>
      <c r="C15400" s="1050"/>
      <c r="D15400" s="1050"/>
      <c r="E15400" s="1050"/>
      <c r="F15400" s="1050"/>
      <c r="G15400" s="1050"/>
    </row>
    <row r="15401" spans="1:7">
      <c r="A15401" s="1079"/>
      <c r="B15401" s="1050"/>
      <c r="C15401" s="1050"/>
      <c r="D15401" s="1050"/>
      <c r="E15401" s="1050"/>
      <c r="F15401" s="1050"/>
      <c r="G15401" s="1050"/>
    </row>
    <row r="15402" spans="1:7">
      <c r="A15402" s="1079"/>
      <c r="B15402" s="1050"/>
      <c r="C15402" s="1050"/>
      <c r="D15402" s="1050"/>
      <c r="E15402" s="1050"/>
      <c r="F15402" s="1050"/>
      <c r="G15402" s="1050"/>
    </row>
    <row r="15403" spans="1:7">
      <c r="A15403" s="1079"/>
      <c r="B15403" s="1050"/>
      <c r="C15403" s="1050"/>
      <c r="D15403" s="1050"/>
      <c r="E15403" s="1050"/>
      <c r="F15403" s="1050"/>
      <c r="G15403" s="1050"/>
    </row>
    <row r="15404" spans="1:7">
      <c r="A15404" s="1079"/>
      <c r="B15404" s="1050"/>
      <c r="C15404" s="1050"/>
      <c r="D15404" s="1050"/>
      <c r="E15404" s="1050"/>
      <c r="F15404" s="1050"/>
      <c r="G15404" s="1050"/>
    </row>
    <row r="15405" spans="1:7">
      <c r="A15405" s="1079"/>
      <c r="B15405" s="1050"/>
      <c r="C15405" s="1050"/>
      <c r="D15405" s="1050"/>
      <c r="E15405" s="1050"/>
      <c r="F15405" s="1050"/>
      <c r="G15405" s="1050"/>
    </row>
    <row r="15406" spans="1:7">
      <c r="A15406" s="1079"/>
      <c r="B15406" s="1050"/>
      <c r="C15406" s="1050"/>
      <c r="D15406" s="1050"/>
      <c r="E15406" s="1050"/>
      <c r="F15406" s="1050"/>
      <c r="G15406" s="1050"/>
    </row>
    <row r="15407" spans="1:7">
      <c r="A15407" s="1079"/>
      <c r="B15407" s="1050"/>
      <c r="C15407" s="1050"/>
      <c r="D15407" s="1050"/>
      <c r="E15407" s="1050"/>
      <c r="F15407" s="1050"/>
      <c r="G15407" s="1050"/>
    </row>
    <row r="15408" spans="1:7">
      <c r="A15408" s="1079"/>
      <c r="B15408" s="1050"/>
      <c r="C15408" s="1050"/>
      <c r="D15408" s="1050"/>
      <c r="E15408" s="1050"/>
      <c r="F15408" s="1050"/>
      <c r="G15408" s="1050"/>
    </row>
    <row r="15409" spans="1:7">
      <c r="A15409" s="1079"/>
      <c r="B15409" s="1050"/>
      <c r="C15409" s="1050"/>
      <c r="D15409" s="1050"/>
      <c r="E15409" s="1050"/>
      <c r="F15409" s="1050"/>
      <c r="G15409" s="1050"/>
    </row>
    <row r="15410" spans="1:7">
      <c r="A15410" s="1079"/>
      <c r="B15410" s="1050"/>
      <c r="C15410" s="1050"/>
      <c r="D15410" s="1050"/>
      <c r="E15410" s="1050"/>
      <c r="F15410" s="1050"/>
      <c r="G15410" s="1050"/>
    </row>
    <row r="15411" spans="1:7">
      <c r="A15411" s="1079"/>
      <c r="B15411" s="1050"/>
      <c r="C15411" s="1050"/>
      <c r="D15411" s="1050"/>
      <c r="E15411" s="1050"/>
      <c r="F15411" s="1050"/>
      <c r="G15411" s="1050"/>
    </row>
    <row r="15412" spans="1:7">
      <c r="A15412" s="1079"/>
      <c r="B15412" s="1050"/>
      <c r="C15412" s="1050"/>
      <c r="D15412" s="1050"/>
      <c r="E15412" s="1050"/>
      <c r="F15412" s="1050"/>
      <c r="G15412" s="1050"/>
    </row>
    <row r="15413" spans="1:7">
      <c r="A15413" s="1079"/>
      <c r="B15413" s="1050"/>
      <c r="C15413" s="1050"/>
      <c r="D15413" s="1050"/>
      <c r="E15413" s="1050"/>
      <c r="F15413" s="1050"/>
      <c r="G15413" s="1050"/>
    </row>
    <row r="15414" spans="1:7">
      <c r="A15414" s="1079"/>
      <c r="B15414" s="1050"/>
      <c r="C15414" s="1050"/>
      <c r="D15414" s="1050"/>
      <c r="E15414" s="1050"/>
      <c r="F15414" s="1050"/>
      <c r="G15414" s="1050"/>
    </row>
    <row r="15415" spans="1:7">
      <c r="A15415" s="1079"/>
      <c r="B15415" s="1050"/>
      <c r="C15415" s="1050"/>
      <c r="D15415" s="1050"/>
      <c r="E15415" s="1050"/>
      <c r="F15415" s="1050"/>
      <c r="G15415" s="1050"/>
    </row>
    <row r="15416" spans="1:7">
      <c r="A15416" s="1079"/>
      <c r="B15416" s="1050"/>
      <c r="C15416" s="1050"/>
      <c r="D15416" s="1050"/>
      <c r="E15416" s="1050"/>
      <c r="F15416" s="1050"/>
      <c r="G15416" s="1050"/>
    </row>
    <row r="15417" spans="1:7">
      <c r="A15417" s="1079"/>
      <c r="B15417" s="1050"/>
      <c r="C15417" s="1050"/>
      <c r="D15417" s="1050"/>
      <c r="E15417" s="1050"/>
      <c r="F15417" s="1050"/>
      <c r="G15417" s="1050"/>
    </row>
    <row r="15418" spans="1:7">
      <c r="A15418" s="1079"/>
      <c r="B15418" s="1050"/>
      <c r="C15418" s="1050"/>
      <c r="D15418" s="1050"/>
      <c r="E15418" s="1050"/>
      <c r="F15418" s="1050"/>
      <c r="G15418" s="1050"/>
    </row>
    <row r="15419" spans="1:7">
      <c r="A15419" s="1079"/>
      <c r="B15419" s="1050"/>
      <c r="C15419" s="1050"/>
      <c r="D15419" s="1050"/>
      <c r="E15419" s="1050"/>
      <c r="F15419" s="1050"/>
      <c r="G15419" s="1050"/>
    </row>
    <row r="15420" spans="1:7">
      <c r="A15420" s="1079"/>
      <c r="B15420" s="1050"/>
      <c r="C15420" s="1050"/>
      <c r="D15420" s="1050"/>
      <c r="E15420" s="1050"/>
      <c r="F15420" s="1050"/>
      <c r="G15420" s="1050"/>
    </row>
    <row r="15421" spans="1:7">
      <c r="A15421" s="1079"/>
      <c r="B15421" s="1050"/>
      <c r="C15421" s="1050"/>
      <c r="D15421" s="1050"/>
      <c r="E15421" s="1050"/>
      <c r="F15421" s="1050"/>
      <c r="G15421" s="1050"/>
    </row>
    <row r="15422" spans="1:7">
      <c r="A15422" s="1079"/>
      <c r="B15422" s="1050"/>
      <c r="C15422" s="1050"/>
      <c r="D15422" s="1050"/>
      <c r="E15422" s="1050"/>
      <c r="F15422" s="1050"/>
      <c r="G15422" s="1050"/>
    </row>
    <row r="15423" spans="1:7">
      <c r="A15423" s="1079"/>
      <c r="B15423" s="1050"/>
      <c r="C15423" s="1050"/>
      <c r="D15423" s="1050"/>
      <c r="E15423" s="1050"/>
      <c r="F15423" s="1050"/>
      <c r="G15423" s="1050"/>
    </row>
    <row r="15424" spans="1:7">
      <c r="A15424" s="1079"/>
      <c r="B15424" s="1050"/>
      <c r="C15424" s="1050"/>
      <c r="D15424" s="1050"/>
      <c r="E15424" s="1050"/>
      <c r="F15424" s="1050"/>
      <c r="G15424" s="1050"/>
    </row>
    <row r="15425" spans="1:7">
      <c r="A15425" s="1079"/>
      <c r="B15425" s="1050"/>
      <c r="C15425" s="1050"/>
      <c r="D15425" s="1050"/>
      <c r="E15425" s="1050"/>
      <c r="F15425" s="1050"/>
      <c r="G15425" s="1050"/>
    </row>
    <row r="15426" spans="1:7">
      <c r="A15426" s="1079"/>
      <c r="B15426" s="1050"/>
      <c r="C15426" s="1050"/>
      <c r="D15426" s="1050"/>
      <c r="E15426" s="1050"/>
      <c r="F15426" s="1050"/>
      <c r="G15426" s="1050"/>
    </row>
    <row r="15427" spans="1:7">
      <c r="A15427" s="1079"/>
      <c r="B15427" s="1050"/>
      <c r="C15427" s="1050"/>
      <c r="D15427" s="1050"/>
      <c r="E15427" s="1050"/>
      <c r="F15427" s="1050"/>
      <c r="G15427" s="1050"/>
    </row>
    <row r="15428" spans="1:7">
      <c r="A15428" s="1079"/>
      <c r="B15428" s="1050"/>
      <c r="C15428" s="1050"/>
      <c r="D15428" s="1050"/>
      <c r="E15428" s="1050"/>
      <c r="F15428" s="1050"/>
      <c r="G15428" s="1050"/>
    </row>
    <row r="15429" spans="1:7">
      <c r="A15429" s="1079"/>
      <c r="B15429" s="1050"/>
      <c r="C15429" s="1050"/>
      <c r="D15429" s="1050"/>
      <c r="E15429" s="1050"/>
      <c r="F15429" s="1050"/>
      <c r="G15429" s="1050"/>
    </row>
    <row r="15430" spans="1:7">
      <c r="A15430" s="1079"/>
      <c r="B15430" s="1050"/>
      <c r="C15430" s="1050"/>
      <c r="D15430" s="1050"/>
      <c r="E15430" s="1050"/>
      <c r="F15430" s="1050"/>
      <c r="G15430" s="1050"/>
    </row>
    <row r="15431" spans="1:7">
      <c r="A15431" s="1079"/>
      <c r="B15431" s="1050"/>
      <c r="C15431" s="1050"/>
      <c r="D15431" s="1050"/>
      <c r="E15431" s="1050"/>
      <c r="F15431" s="1050"/>
      <c r="G15431" s="1050"/>
    </row>
    <row r="15432" spans="1:7">
      <c r="A15432" s="1079"/>
      <c r="B15432" s="1050"/>
      <c r="C15432" s="1050"/>
      <c r="D15432" s="1050"/>
      <c r="E15432" s="1050"/>
      <c r="F15432" s="1050"/>
      <c r="G15432" s="1050"/>
    </row>
    <row r="15433" spans="1:7">
      <c r="A15433" s="1079"/>
      <c r="B15433" s="1050"/>
      <c r="C15433" s="1050"/>
      <c r="D15433" s="1050"/>
      <c r="E15433" s="1050"/>
      <c r="F15433" s="1050"/>
      <c r="G15433" s="1050"/>
    </row>
    <row r="15434" spans="1:7">
      <c r="A15434" s="1079"/>
      <c r="B15434" s="1050"/>
      <c r="C15434" s="1050"/>
      <c r="D15434" s="1050"/>
      <c r="E15434" s="1050"/>
      <c r="F15434" s="1050"/>
      <c r="G15434" s="1050"/>
    </row>
    <row r="15435" spans="1:7">
      <c r="A15435" s="1079"/>
      <c r="B15435" s="1050"/>
      <c r="C15435" s="1050"/>
      <c r="D15435" s="1050"/>
      <c r="E15435" s="1050"/>
      <c r="F15435" s="1050"/>
      <c r="G15435" s="1050"/>
    </row>
    <row r="15436" spans="1:7">
      <c r="A15436" s="1079"/>
      <c r="B15436" s="1050"/>
      <c r="C15436" s="1050"/>
      <c r="D15436" s="1050"/>
      <c r="E15436" s="1050"/>
      <c r="F15436" s="1050"/>
      <c r="G15436" s="1050"/>
    </row>
    <row r="15437" spans="1:7">
      <c r="A15437" s="1079"/>
      <c r="B15437" s="1050"/>
      <c r="C15437" s="1050"/>
      <c r="D15437" s="1050"/>
      <c r="E15437" s="1050"/>
      <c r="F15437" s="1050"/>
      <c r="G15437" s="1050"/>
    </row>
    <row r="15438" spans="1:7">
      <c r="A15438" s="1079"/>
      <c r="B15438" s="1050"/>
      <c r="C15438" s="1050"/>
      <c r="D15438" s="1050"/>
      <c r="E15438" s="1050"/>
      <c r="F15438" s="1050"/>
      <c r="G15438" s="1050"/>
    </row>
    <row r="15439" spans="1:7">
      <c r="A15439" s="1079"/>
      <c r="B15439" s="1050"/>
      <c r="C15439" s="1050"/>
      <c r="D15439" s="1050"/>
      <c r="E15439" s="1050"/>
      <c r="F15439" s="1050"/>
      <c r="G15439" s="1050"/>
    </row>
    <row r="15440" spans="1:7">
      <c r="A15440" s="1079"/>
      <c r="B15440" s="1050"/>
      <c r="C15440" s="1050"/>
      <c r="D15440" s="1050"/>
      <c r="E15440" s="1050"/>
      <c r="F15440" s="1050"/>
      <c r="G15440" s="1050"/>
    </row>
    <row r="15441" spans="1:7">
      <c r="A15441" s="1079"/>
      <c r="B15441" s="1050"/>
      <c r="C15441" s="1050"/>
      <c r="D15441" s="1050"/>
      <c r="E15441" s="1050"/>
      <c r="F15441" s="1050"/>
      <c r="G15441" s="1050"/>
    </row>
    <row r="15442" spans="1:7">
      <c r="A15442" s="1079"/>
      <c r="B15442" s="1050"/>
      <c r="C15442" s="1050"/>
      <c r="D15442" s="1050"/>
      <c r="E15442" s="1050"/>
      <c r="F15442" s="1050"/>
      <c r="G15442" s="1050"/>
    </row>
    <row r="15443" spans="1:7">
      <c r="A15443" s="1079"/>
      <c r="B15443" s="1050"/>
      <c r="C15443" s="1050"/>
      <c r="D15443" s="1050"/>
      <c r="E15443" s="1050"/>
      <c r="F15443" s="1050"/>
      <c r="G15443" s="1050"/>
    </row>
    <row r="15444" spans="1:7">
      <c r="A15444" s="1079"/>
      <c r="B15444" s="1050"/>
      <c r="C15444" s="1050"/>
      <c r="D15444" s="1050"/>
      <c r="E15444" s="1050"/>
      <c r="F15444" s="1050"/>
      <c r="G15444" s="1050"/>
    </row>
    <row r="15445" spans="1:7">
      <c r="A15445" s="1079"/>
      <c r="B15445" s="1050"/>
      <c r="C15445" s="1050"/>
      <c r="D15445" s="1050"/>
      <c r="E15445" s="1050"/>
      <c r="F15445" s="1050"/>
      <c r="G15445" s="1050"/>
    </row>
    <row r="15446" spans="1:7">
      <c r="A15446" s="1079"/>
      <c r="B15446" s="1050"/>
      <c r="C15446" s="1050"/>
      <c r="D15446" s="1050"/>
      <c r="E15446" s="1050"/>
      <c r="F15446" s="1050"/>
      <c r="G15446" s="1050"/>
    </row>
    <row r="15447" spans="1:7">
      <c r="A15447" s="1079"/>
      <c r="B15447" s="1050"/>
      <c r="C15447" s="1050"/>
      <c r="D15447" s="1050"/>
      <c r="E15447" s="1050"/>
      <c r="F15447" s="1050"/>
      <c r="G15447" s="1050"/>
    </row>
    <row r="15448" spans="1:7">
      <c r="A15448" s="1079"/>
      <c r="B15448" s="1050"/>
      <c r="C15448" s="1050"/>
      <c r="D15448" s="1050"/>
      <c r="E15448" s="1050"/>
      <c r="F15448" s="1050"/>
      <c r="G15448" s="1050"/>
    </row>
    <row r="15449" spans="1:7">
      <c r="A15449" s="1079"/>
      <c r="B15449" s="1050"/>
      <c r="C15449" s="1050"/>
      <c r="D15449" s="1050"/>
      <c r="E15449" s="1050"/>
      <c r="F15449" s="1050"/>
      <c r="G15449" s="1050"/>
    </row>
    <row r="15450" spans="1:7">
      <c r="A15450" s="1079"/>
      <c r="B15450" s="1050"/>
      <c r="C15450" s="1050"/>
      <c r="D15450" s="1050"/>
      <c r="E15450" s="1050"/>
      <c r="F15450" s="1050"/>
      <c r="G15450" s="1050"/>
    </row>
    <row r="15451" spans="1:7">
      <c r="A15451" s="1079"/>
      <c r="B15451" s="1050"/>
      <c r="C15451" s="1050"/>
      <c r="D15451" s="1050"/>
      <c r="E15451" s="1050"/>
      <c r="F15451" s="1050"/>
      <c r="G15451" s="1050"/>
    </row>
    <row r="15452" spans="1:7">
      <c r="A15452" s="1079"/>
      <c r="B15452" s="1050"/>
      <c r="C15452" s="1050"/>
      <c r="D15452" s="1050"/>
      <c r="E15452" s="1050"/>
      <c r="F15452" s="1050"/>
      <c r="G15452" s="1050"/>
    </row>
    <row r="15453" spans="1:7">
      <c r="A15453" s="1079"/>
      <c r="B15453" s="1050"/>
      <c r="C15453" s="1050"/>
      <c r="D15453" s="1050"/>
      <c r="E15453" s="1050"/>
      <c r="F15453" s="1050"/>
      <c r="G15453" s="1050"/>
    </row>
    <row r="15454" spans="1:7">
      <c r="A15454" s="1079"/>
      <c r="B15454" s="1050"/>
      <c r="C15454" s="1050"/>
      <c r="D15454" s="1050"/>
      <c r="E15454" s="1050"/>
      <c r="F15454" s="1050"/>
      <c r="G15454" s="1050"/>
    </row>
    <row r="15455" spans="1:7">
      <c r="A15455" s="1079"/>
      <c r="B15455" s="1050"/>
      <c r="C15455" s="1050"/>
      <c r="D15455" s="1050"/>
      <c r="E15455" s="1050"/>
      <c r="F15455" s="1050"/>
      <c r="G15455" s="1050"/>
    </row>
    <row r="15456" spans="1:7">
      <c r="A15456" s="1079"/>
      <c r="B15456" s="1050"/>
      <c r="C15456" s="1050"/>
      <c r="D15456" s="1050"/>
      <c r="E15456" s="1050"/>
      <c r="F15456" s="1050"/>
      <c r="G15456" s="1050"/>
    </row>
    <row r="15457" spans="1:7">
      <c r="A15457" s="1079"/>
      <c r="B15457" s="1050"/>
      <c r="C15457" s="1050"/>
      <c r="D15457" s="1050"/>
      <c r="E15457" s="1050"/>
      <c r="F15457" s="1050"/>
      <c r="G15457" s="1050"/>
    </row>
    <row r="15458" spans="1:7">
      <c r="A15458" s="1079"/>
      <c r="B15458" s="1050"/>
      <c r="C15458" s="1050"/>
      <c r="D15458" s="1050"/>
      <c r="E15458" s="1050"/>
      <c r="F15458" s="1050"/>
      <c r="G15458" s="1050"/>
    </row>
    <row r="15459" spans="1:7">
      <c r="A15459" s="1079"/>
      <c r="B15459" s="1050"/>
      <c r="C15459" s="1050"/>
      <c r="D15459" s="1050"/>
      <c r="E15459" s="1050"/>
      <c r="F15459" s="1050"/>
      <c r="G15459" s="1050"/>
    </row>
    <row r="15460" spans="1:7">
      <c r="A15460" s="1079"/>
      <c r="B15460" s="1050"/>
      <c r="C15460" s="1050"/>
      <c r="D15460" s="1050"/>
      <c r="E15460" s="1050"/>
      <c r="F15460" s="1050"/>
      <c r="G15460" s="1050"/>
    </row>
    <row r="15461" spans="1:7">
      <c r="A15461" s="1079"/>
      <c r="B15461" s="1050"/>
      <c r="C15461" s="1050"/>
      <c r="D15461" s="1050"/>
      <c r="E15461" s="1050"/>
      <c r="F15461" s="1050"/>
      <c r="G15461" s="1050"/>
    </row>
    <row r="15462" spans="1:7">
      <c r="A15462" s="1079"/>
      <c r="B15462" s="1050"/>
      <c r="C15462" s="1050"/>
      <c r="D15462" s="1050"/>
      <c r="E15462" s="1050"/>
      <c r="F15462" s="1050"/>
      <c r="G15462" s="1050"/>
    </row>
    <row r="15463" spans="1:7">
      <c r="A15463" s="1079"/>
      <c r="B15463" s="1050"/>
      <c r="C15463" s="1050"/>
      <c r="D15463" s="1050"/>
      <c r="E15463" s="1050"/>
      <c r="F15463" s="1050"/>
      <c r="G15463" s="1050"/>
    </row>
    <row r="15464" spans="1:7">
      <c r="A15464" s="1079"/>
      <c r="B15464" s="1050"/>
      <c r="C15464" s="1050"/>
      <c r="D15464" s="1050"/>
      <c r="E15464" s="1050"/>
      <c r="F15464" s="1050"/>
      <c r="G15464" s="1050"/>
    </row>
    <row r="15465" spans="1:7">
      <c r="A15465" s="1079"/>
      <c r="B15465" s="1050"/>
      <c r="C15465" s="1050"/>
      <c r="D15465" s="1050"/>
      <c r="E15465" s="1050"/>
      <c r="F15465" s="1050"/>
      <c r="G15465" s="1050"/>
    </row>
    <row r="15466" spans="1:7">
      <c r="A15466" s="1079"/>
      <c r="B15466" s="1050"/>
      <c r="C15466" s="1050"/>
      <c r="D15466" s="1050"/>
      <c r="E15466" s="1050"/>
      <c r="F15466" s="1050"/>
      <c r="G15466" s="1050"/>
    </row>
    <row r="15467" spans="1:7">
      <c r="A15467" s="1079"/>
      <c r="B15467" s="1050"/>
      <c r="C15467" s="1050"/>
      <c r="D15467" s="1050"/>
      <c r="E15467" s="1050"/>
      <c r="F15467" s="1050"/>
      <c r="G15467" s="1050"/>
    </row>
    <row r="15468" spans="1:7">
      <c r="A15468" s="1079"/>
      <c r="B15468" s="1050"/>
      <c r="C15468" s="1050"/>
      <c r="D15468" s="1050"/>
      <c r="E15468" s="1050"/>
      <c r="F15468" s="1050"/>
      <c r="G15468" s="1050"/>
    </row>
    <row r="15469" spans="1:7">
      <c r="A15469" s="1079"/>
      <c r="B15469" s="1050"/>
      <c r="C15469" s="1050"/>
      <c r="D15469" s="1050"/>
      <c r="E15469" s="1050"/>
      <c r="F15469" s="1050"/>
      <c r="G15469" s="1050"/>
    </row>
    <row r="15470" spans="1:7">
      <c r="A15470" s="1079"/>
      <c r="B15470" s="1050"/>
      <c r="C15470" s="1050"/>
      <c r="D15470" s="1050"/>
      <c r="E15470" s="1050"/>
      <c r="F15470" s="1050"/>
      <c r="G15470" s="1050"/>
    </row>
    <row r="15471" spans="1:7">
      <c r="A15471" s="1079"/>
      <c r="B15471" s="1050"/>
      <c r="C15471" s="1050"/>
      <c r="D15471" s="1050"/>
      <c r="E15471" s="1050"/>
      <c r="F15471" s="1050"/>
      <c r="G15471" s="1050"/>
    </row>
    <row r="15472" spans="1:7">
      <c r="A15472" s="1079"/>
      <c r="B15472" s="1050"/>
      <c r="C15472" s="1050"/>
      <c r="D15472" s="1050"/>
      <c r="E15472" s="1050"/>
      <c r="F15472" s="1050"/>
      <c r="G15472" s="1050"/>
    </row>
    <row r="15473" spans="1:7">
      <c r="A15473" s="1079"/>
      <c r="B15473" s="1050"/>
      <c r="C15473" s="1050"/>
      <c r="D15473" s="1050"/>
      <c r="E15473" s="1050"/>
      <c r="F15473" s="1050"/>
      <c r="G15473" s="1050"/>
    </row>
    <row r="15474" spans="1:7">
      <c r="A15474" s="1079"/>
      <c r="B15474" s="1050"/>
      <c r="C15474" s="1050"/>
      <c r="D15474" s="1050"/>
      <c r="E15474" s="1050"/>
      <c r="F15474" s="1050"/>
      <c r="G15474" s="1050"/>
    </row>
    <row r="15475" spans="1:7">
      <c r="A15475" s="1079"/>
      <c r="B15475" s="1050"/>
      <c r="C15475" s="1050"/>
      <c r="D15475" s="1050"/>
      <c r="E15475" s="1050"/>
      <c r="F15475" s="1050"/>
      <c r="G15475" s="1050"/>
    </row>
    <row r="15476" spans="1:7">
      <c r="A15476" s="1079"/>
      <c r="B15476" s="1050"/>
      <c r="C15476" s="1050"/>
      <c r="D15476" s="1050"/>
      <c r="E15476" s="1050"/>
      <c r="F15476" s="1050"/>
      <c r="G15476" s="1050"/>
    </row>
    <row r="15477" spans="1:7">
      <c r="A15477" s="1079"/>
      <c r="B15477" s="1050"/>
      <c r="C15477" s="1050"/>
      <c r="D15477" s="1050"/>
      <c r="E15477" s="1050"/>
      <c r="F15477" s="1050"/>
      <c r="G15477" s="1050"/>
    </row>
    <row r="15478" spans="1:7">
      <c r="A15478" s="1079"/>
      <c r="B15478" s="1050"/>
      <c r="C15478" s="1050"/>
      <c r="D15478" s="1050"/>
      <c r="E15478" s="1050"/>
      <c r="F15478" s="1050"/>
      <c r="G15478" s="1050"/>
    </row>
    <row r="15479" spans="1:7">
      <c r="A15479" s="1079"/>
      <c r="B15479" s="1050"/>
      <c r="C15479" s="1050"/>
      <c r="D15479" s="1050"/>
      <c r="E15479" s="1050"/>
      <c r="F15479" s="1050"/>
      <c r="G15479" s="1050"/>
    </row>
    <row r="15480" spans="1:7">
      <c r="A15480" s="1079"/>
      <c r="B15480" s="1050"/>
      <c r="C15480" s="1050"/>
      <c r="D15480" s="1050"/>
      <c r="E15480" s="1050"/>
      <c r="F15480" s="1050"/>
      <c r="G15480" s="1050"/>
    </row>
    <row r="15481" spans="1:7">
      <c r="A15481" s="1079"/>
      <c r="B15481" s="1050"/>
      <c r="C15481" s="1050"/>
      <c r="D15481" s="1050"/>
      <c r="E15481" s="1050"/>
      <c r="F15481" s="1050"/>
      <c r="G15481" s="1050"/>
    </row>
    <row r="15482" spans="1:7">
      <c r="A15482" s="1079"/>
      <c r="B15482" s="1050"/>
      <c r="C15482" s="1050"/>
      <c r="D15482" s="1050"/>
      <c r="E15482" s="1050"/>
      <c r="F15482" s="1050"/>
      <c r="G15482" s="1050"/>
    </row>
    <row r="15483" spans="1:7">
      <c r="A15483" s="1079"/>
      <c r="B15483" s="1050"/>
      <c r="C15483" s="1050"/>
      <c r="D15483" s="1050"/>
      <c r="E15483" s="1050"/>
      <c r="F15483" s="1050"/>
      <c r="G15483" s="1050"/>
    </row>
    <row r="15484" spans="1:7">
      <c r="A15484" s="1079"/>
      <c r="B15484" s="1050"/>
      <c r="C15484" s="1050"/>
      <c r="D15484" s="1050"/>
      <c r="E15484" s="1050"/>
      <c r="F15484" s="1050"/>
      <c r="G15484" s="1050"/>
    </row>
    <row r="15485" spans="1:7">
      <c r="A15485" s="1079"/>
      <c r="B15485" s="1050"/>
      <c r="C15485" s="1050"/>
      <c r="D15485" s="1050"/>
      <c r="E15485" s="1050"/>
      <c r="F15485" s="1050"/>
      <c r="G15485" s="1050"/>
    </row>
    <row r="15486" spans="1:7">
      <c r="A15486" s="1079"/>
      <c r="B15486" s="1050"/>
      <c r="C15486" s="1050"/>
      <c r="D15486" s="1050"/>
      <c r="E15486" s="1050"/>
      <c r="F15486" s="1050"/>
      <c r="G15486" s="1050"/>
    </row>
    <row r="15487" spans="1:7">
      <c r="A15487" s="1079"/>
      <c r="B15487" s="1050"/>
      <c r="C15487" s="1050"/>
      <c r="D15487" s="1050"/>
      <c r="E15487" s="1050"/>
      <c r="F15487" s="1050"/>
      <c r="G15487" s="1050"/>
    </row>
    <row r="15488" spans="1:7">
      <c r="A15488" s="1079"/>
      <c r="B15488" s="1050"/>
      <c r="C15488" s="1050"/>
      <c r="D15488" s="1050"/>
      <c r="E15488" s="1050"/>
      <c r="F15488" s="1050"/>
      <c r="G15488" s="1050"/>
    </row>
    <row r="15489" spans="1:7">
      <c r="A15489" s="1079"/>
      <c r="B15489" s="1050"/>
      <c r="C15489" s="1050"/>
      <c r="D15489" s="1050"/>
      <c r="E15489" s="1050"/>
      <c r="F15489" s="1050"/>
      <c r="G15489" s="1050"/>
    </row>
    <row r="15490" spans="1:7">
      <c r="A15490" s="1079"/>
      <c r="B15490" s="1050"/>
      <c r="C15490" s="1050"/>
      <c r="D15490" s="1050"/>
      <c r="E15490" s="1050"/>
      <c r="F15490" s="1050"/>
      <c r="G15490" s="1050"/>
    </row>
    <row r="15491" spans="1:7">
      <c r="A15491" s="1079"/>
      <c r="B15491" s="1050"/>
      <c r="C15491" s="1050"/>
      <c r="D15491" s="1050"/>
      <c r="E15491" s="1050"/>
      <c r="F15491" s="1050"/>
      <c r="G15491" s="1050"/>
    </row>
    <row r="15492" spans="1:7">
      <c r="A15492" s="1079"/>
      <c r="B15492" s="1050"/>
      <c r="C15492" s="1050"/>
      <c r="D15492" s="1050"/>
      <c r="E15492" s="1050"/>
      <c r="F15492" s="1050"/>
      <c r="G15492" s="1050"/>
    </row>
    <row r="15493" spans="1:7">
      <c r="A15493" s="1079"/>
      <c r="B15493" s="1050"/>
      <c r="C15493" s="1050"/>
      <c r="D15493" s="1050"/>
      <c r="E15493" s="1050"/>
      <c r="F15493" s="1050"/>
      <c r="G15493" s="1050"/>
    </row>
    <row r="15494" spans="1:7">
      <c r="A15494" s="1079"/>
      <c r="B15494" s="1050"/>
      <c r="C15494" s="1050"/>
      <c r="D15494" s="1050"/>
      <c r="E15494" s="1050"/>
      <c r="F15494" s="1050"/>
      <c r="G15494" s="1050"/>
    </row>
    <row r="15495" spans="1:7">
      <c r="A15495" s="1079"/>
      <c r="B15495" s="1050"/>
      <c r="C15495" s="1050"/>
      <c r="D15495" s="1050"/>
      <c r="E15495" s="1050"/>
      <c r="F15495" s="1050"/>
      <c r="G15495" s="1050"/>
    </row>
    <row r="15496" spans="1:7">
      <c r="A15496" s="1079"/>
      <c r="B15496" s="1050"/>
      <c r="C15496" s="1050"/>
      <c r="D15496" s="1050"/>
      <c r="E15496" s="1050"/>
      <c r="F15496" s="1050"/>
      <c r="G15496" s="1050"/>
    </row>
    <row r="15497" spans="1:7">
      <c r="A15497" s="1079"/>
      <c r="B15497" s="1050"/>
      <c r="C15497" s="1050"/>
      <c r="D15497" s="1050"/>
      <c r="E15497" s="1050"/>
      <c r="F15497" s="1050"/>
      <c r="G15497" s="1050"/>
    </row>
    <row r="15498" spans="1:7">
      <c r="A15498" s="1079"/>
      <c r="B15498" s="1050"/>
      <c r="C15498" s="1050"/>
      <c r="D15498" s="1050"/>
      <c r="E15498" s="1050"/>
      <c r="F15498" s="1050"/>
      <c r="G15498" s="1050"/>
    </row>
    <row r="15499" spans="1:7">
      <c r="A15499" s="1079"/>
      <c r="B15499" s="1050"/>
      <c r="C15499" s="1050"/>
      <c r="D15499" s="1050"/>
      <c r="E15499" s="1050"/>
      <c r="F15499" s="1050"/>
      <c r="G15499" s="1050"/>
    </row>
    <row r="15500" spans="1:7">
      <c r="A15500" s="1079"/>
      <c r="B15500" s="1050"/>
      <c r="C15500" s="1050"/>
      <c r="D15500" s="1050"/>
      <c r="E15500" s="1050"/>
      <c r="F15500" s="1050"/>
      <c r="G15500" s="1050"/>
    </row>
    <row r="15501" spans="1:7">
      <c r="A15501" s="1079"/>
      <c r="B15501" s="1050"/>
      <c r="C15501" s="1050"/>
      <c r="D15501" s="1050"/>
      <c r="E15501" s="1050"/>
      <c r="F15501" s="1050"/>
      <c r="G15501" s="1050"/>
    </row>
    <row r="15502" spans="1:7">
      <c r="A15502" s="1079"/>
      <c r="B15502" s="1050"/>
      <c r="C15502" s="1050"/>
      <c r="D15502" s="1050"/>
      <c r="E15502" s="1050"/>
      <c r="F15502" s="1050"/>
      <c r="G15502" s="1050"/>
    </row>
    <row r="15503" spans="1:7">
      <c r="A15503" s="1079"/>
      <c r="B15503" s="1050"/>
      <c r="C15503" s="1050"/>
      <c r="D15503" s="1050"/>
      <c r="E15503" s="1050"/>
      <c r="F15503" s="1050"/>
      <c r="G15503" s="1050"/>
    </row>
    <row r="15504" spans="1:7">
      <c r="A15504" s="1079"/>
      <c r="B15504" s="1050"/>
      <c r="C15504" s="1050"/>
      <c r="D15504" s="1050"/>
      <c r="E15504" s="1050"/>
      <c r="F15504" s="1050"/>
      <c r="G15504" s="1050"/>
    </row>
    <row r="15505" spans="1:7">
      <c r="A15505" s="1079"/>
      <c r="B15505" s="1050"/>
      <c r="C15505" s="1050"/>
      <c r="D15505" s="1050"/>
      <c r="E15505" s="1050"/>
      <c r="F15505" s="1050"/>
      <c r="G15505" s="1050"/>
    </row>
    <row r="15506" spans="1:7">
      <c r="A15506" s="1079"/>
      <c r="B15506" s="1050"/>
      <c r="C15506" s="1050"/>
      <c r="D15506" s="1050"/>
      <c r="E15506" s="1050"/>
      <c r="F15506" s="1050"/>
      <c r="G15506" s="1050"/>
    </row>
    <row r="15507" spans="1:7">
      <c r="A15507" s="1079"/>
      <c r="B15507" s="1050"/>
      <c r="C15507" s="1050"/>
      <c r="D15507" s="1050"/>
      <c r="E15507" s="1050"/>
      <c r="F15507" s="1050"/>
      <c r="G15507" s="1050"/>
    </row>
    <row r="15508" spans="1:7">
      <c r="A15508" s="1079"/>
      <c r="B15508" s="1050"/>
      <c r="C15508" s="1050"/>
      <c r="D15508" s="1050"/>
      <c r="E15508" s="1050"/>
      <c r="F15508" s="1050"/>
      <c r="G15508" s="1050"/>
    </row>
    <row r="15509" spans="1:7">
      <c r="A15509" s="1079"/>
      <c r="B15509" s="1050"/>
      <c r="C15509" s="1050"/>
      <c r="D15509" s="1050"/>
      <c r="E15509" s="1050"/>
      <c r="F15509" s="1050"/>
      <c r="G15509" s="1050"/>
    </row>
    <row r="15510" spans="1:7">
      <c r="A15510" s="1079"/>
      <c r="B15510" s="1050"/>
      <c r="C15510" s="1050"/>
      <c r="D15510" s="1050"/>
      <c r="E15510" s="1050"/>
      <c r="F15510" s="1050"/>
      <c r="G15510" s="1050"/>
    </row>
    <row r="15511" spans="1:7">
      <c r="A15511" s="1079"/>
      <c r="B15511" s="1050"/>
      <c r="C15511" s="1050"/>
      <c r="D15511" s="1050"/>
      <c r="E15511" s="1050"/>
      <c r="F15511" s="1050"/>
      <c r="G15511" s="1050"/>
    </row>
    <row r="15512" spans="1:7">
      <c r="A15512" s="1079"/>
      <c r="B15512" s="1050"/>
      <c r="C15512" s="1050"/>
      <c r="D15512" s="1050"/>
      <c r="E15512" s="1050"/>
      <c r="F15512" s="1050"/>
      <c r="G15512" s="1050"/>
    </row>
    <row r="15513" spans="1:7">
      <c r="A15513" s="1079"/>
      <c r="B15513" s="1050"/>
      <c r="C15513" s="1050"/>
      <c r="D15513" s="1050"/>
      <c r="E15513" s="1050"/>
      <c r="F15513" s="1050"/>
      <c r="G15513" s="1050"/>
    </row>
    <row r="15514" spans="1:7">
      <c r="A15514" s="1079"/>
      <c r="B15514" s="1050"/>
      <c r="C15514" s="1050"/>
      <c r="D15514" s="1050"/>
      <c r="E15514" s="1050"/>
      <c r="F15514" s="1050"/>
      <c r="G15514" s="1050"/>
    </row>
    <row r="15515" spans="1:7">
      <c r="A15515" s="1079"/>
      <c r="B15515" s="1050"/>
      <c r="C15515" s="1050"/>
      <c r="D15515" s="1050"/>
      <c r="E15515" s="1050"/>
      <c r="F15515" s="1050"/>
      <c r="G15515" s="1050"/>
    </row>
    <row r="15516" spans="1:7">
      <c r="A15516" s="1079"/>
      <c r="B15516" s="1050"/>
      <c r="C15516" s="1050"/>
      <c r="D15516" s="1050"/>
      <c r="E15516" s="1050"/>
      <c r="F15516" s="1050"/>
      <c r="G15516" s="1050"/>
    </row>
    <row r="15517" spans="1:7">
      <c r="A15517" s="1079"/>
      <c r="B15517" s="1050"/>
      <c r="C15517" s="1050"/>
      <c r="D15517" s="1050"/>
      <c r="E15517" s="1050"/>
      <c r="F15517" s="1050"/>
      <c r="G15517" s="1050"/>
    </row>
    <row r="15518" spans="1:7">
      <c r="A15518" s="1079"/>
      <c r="B15518" s="1050"/>
      <c r="C15518" s="1050"/>
      <c r="D15518" s="1050"/>
      <c r="E15518" s="1050"/>
      <c r="F15518" s="1050"/>
      <c r="G15518" s="1050"/>
    </row>
    <row r="15519" spans="1:7">
      <c r="A15519" s="1079"/>
      <c r="B15519" s="1050"/>
      <c r="C15519" s="1050"/>
      <c r="D15519" s="1050"/>
      <c r="E15519" s="1050"/>
      <c r="F15519" s="1050"/>
      <c r="G15519" s="1050"/>
    </row>
    <row r="15520" spans="1:7">
      <c r="A15520" s="1079"/>
      <c r="B15520" s="1050"/>
      <c r="C15520" s="1050"/>
      <c r="D15520" s="1050"/>
      <c r="E15520" s="1050"/>
      <c r="F15520" s="1050"/>
      <c r="G15520" s="1050"/>
    </row>
    <row r="15521" spans="1:7">
      <c r="A15521" s="1079"/>
      <c r="B15521" s="1050"/>
      <c r="C15521" s="1050"/>
      <c r="D15521" s="1050"/>
      <c r="E15521" s="1050"/>
      <c r="F15521" s="1050"/>
      <c r="G15521" s="1050"/>
    </row>
    <row r="15522" spans="1:7">
      <c r="A15522" s="1079"/>
      <c r="B15522" s="1050"/>
      <c r="C15522" s="1050"/>
      <c r="D15522" s="1050"/>
      <c r="E15522" s="1050"/>
      <c r="F15522" s="1050"/>
      <c r="G15522" s="1050"/>
    </row>
    <row r="15523" spans="1:7">
      <c r="A15523" s="1079"/>
      <c r="B15523" s="1050"/>
      <c r="C15523" s="1050"/>
      <c r="D15523" s="1050"/>
      <c r="E15523" s="1050"/>
      <c r="F15523" s="1050"/>
      <c r="G15523" s="1050"/>
    </row>
    <row r="15524" spans="1:7">
      <c r="A15524" s="1079"/>
      <c r="B15524" s="1050"/>
      <c r="C15524" s="1050"/>
      <c r="D15524" s="1050"/>
      <c r="E15524" s="1050"/>
      <c r="F15524" s="1050"/>
      <c r="G15524" s="1050"/>
    </row>
    <row r="15525" spans="1:7">
      <c r="A15525" s="1079"/>
      <c r="B15525" s="1050"/>
      <c r="C15525" s="1050"/>
      <c r="D15525" s="1050"/>
      <c r="E15525" s="1050"/>
      <c r="F15525" s="1050"/>
      <c r="G15525" s="1050"/>
    </row>
    <row r="15526" spans="1:7">
      <c r="A15526" s="1079"/>
      <c r="B15526" s="1050"/>
      <c r="C15526" s="1050"/>
      <c r="D15526" s="1050"/>
      <c r="E15526" s="1050"/>
      <c r="F15526" s="1050"/>
      <c r="G15526" s="1050"/>
    </row>
    <row r="15527" spans="1:7">
      <c r="A15527" s="1079"/>
      <c r="B15527" s="1050"/>
      <c r="C15527" s="1050"/>
      <c r="D15527" s="1050"/>
      <c r="E15527" s="1050"/>
      <c r="F15527" s="1050"/>
      <c r="G15527" s="1050"/>
    </row>
    <row r="15528" spans="1:7">
      <c r="A15528" s="1079"/>
      <c r="B15528" s="1050"/>
      <c r="C15528" s="1050"/>
      <c r="D15528" s="1050"/>
      <c r="E15528" s="1050"/>
      <c r="F15528" s="1050"/>
      <c r="G15528" s="1050"/>
    </row>
    <row r="15529" spans="1:7">
      <c r="A15529" s="1079"/>
      <c r="B15529" s="1050"/>
      <c r="C15529" s="1050"/>
      <c r="D15529" s="1050"/>
      <c r="E15529" s="1050"/>
      <c r="F15529" s="1050"/>
      <c r="G15529" s="1050"/>
    </row>
    <row r="15530" spans="1:7">
      <c r="A15530" s="1079"/>
      <c r="B15530" s="1050"/>
      <c r="C15530" s="1050"/>
      <c r="D15530" s="1050"/>
      <c r="E15530" s="1050"/>
      <c r="F15530" s="1050"/>
      <c r="G15530" s="1050"/>
    </row>
    <row r="15531" spans="1:7">
      <c r="A15531" s="1079"/>
      <c r="B15531" s="1050"/>
      <c r="C15531" s="1050"/>
      <c r="D15531" s="1050"/>
      <c r="E15531" s="1050"/>
      <c r="F15531" s="1050"/>
      <c r="G15531" s="1050"/>
    </row>
    <row r="15532" spans="1:7">
      <c r="A15532" s="1079"/>
      <c r="B15532" s="1050"/>
      <c r="C15532" s="1050"/>
      <c r="D15532" s="1050"/>
      <c r="E15532" s="1050"/>
      <c r="F15532" s="1050"/>
      <c r="G15532" s="1050"/>
    </row>
    <row r="15533" spans="1:7">
      <c r="A15533" s="1079"/>
      <c r="B15533" s="1050"/>
      <c r="C15533" s="1050"/>
      <c r="D15533" s="1050"/>
      <c r="E15533" s="1050"/>
      <c r="F15533" s="1050"/>
      <c r="G15533" s="1050"/>
    </row>
    <row r="15534" spans="1:7">
      <c r="A15534" s="1079"/>
      <c r="B15534" s="1050"/>
      <c r="C15534" s="1050"/>
      <c r="D15534" s="1050"/>
      <c r="E15534" s="1050"/>
      <c r="F15534" s="1050"/>
      <c r="G15534" s="1050"/>
    </row>
    <row r="15535" spans="1:7">
      <c r="A15535" s="1079"/>
      <c r="B15535" s="1050"/>
      <c r="C15535" s="1050"/>
      <c r="D15535" s="1050"/>
      <c r="E15535" s="1050"/>
      <c r="F15535" s="1050"/>
      <c r="G15535" s="1050"/>
    </row>
    <row r="15536" spans="1:7">
      <c r="A15536" s="1079"/>
      <c r="B15536" s="1050"/>
      <c r="C15536" s="1050"/>
      <c r="D15536" s="1050"/>
      <c r="E15536" s="1050"/>
      <c r="F15536" s="1050"/>
      <c r="G15536" s="1050"/>
    </row>
    <row r="15537" spans="1:7">
      <c r="A15537" s="1079"/>
      <c r="B15537" s="1050"/>
      <c r="C15537" s="1050"/>
      <c r="D15537" s="1050"/>
      <c r="E15537" s="1050"/>
      <c r="F15537" s="1050"/>
      <c r="G15537" s="1050"/>
    </row>
    <row r="15538" spans="1:7">
      <c r="A15538" s="1079"/>
      <c r="B15538" s="1050"/>
      <c r="C15538" s="1050"/>
      <c r="D15538" s="1050"/>
      <c r="E15538" s="1050"/>
      <c r="F15538" s="1050"/>
      <c r="G15538" s="1050"/>
    </row>
    <row r="15539" spans="1:7">
      <c r="A15539" s="1079"/>
      <c r="B15539" s="1050"/>
      <c r="C15539" s="1050"/>
      <c r="D15539" s="1050"/>
      <c r="E15539" s="1050"/>
      <c r="F15539" s="1050"/>
      <c r="G15539" s="1050"/>
    </row>
    <row r="15540" spans="1:7">
      <c r="A15540" s="1079"/>
      <c r="B15540" s="1050"/>
      <c r="C15540" s="1050"/>
      <c r="D15540" s="1050"/>
      <c r="E15540" s="1050"/>
      <c r="F15540" s="1050"/>
      <c r="G15540" s="1050"/>
    </row>
    <row r="15541" spans="1:7">
      <c r="A15541" s="1079"/>
      <c r="B15541" s="1050"/>
      <c r="C15541" s="1050"/>
      <c r="D15541" s="1050"/>
      <c r="E15541" s="1050"/>
      <c r="F15541" s="1050"/>
      <c r="G15541" s="1050"/>
    </row>
    <row r="15542" spans="1:7">
      <c r="A15542" s="1079"/>
      <c r="B15542" s="1050"/>
      <c r="C15542" s="1050"/>
      <c r="D15542" s="1050"/>
      <c r="E15542" s="1050"/>
      <c r="F15542" s="1050"/>
      <c r="G15542" s="1050"/>
    </row>
    <row r="15543" spans="1:7">
      <c r="A15543" s="1079"/>
      <c r="B15543" s="1050"/>
      <c r="C15543" s="1050"/>
      <c r="D15543" s="1050"/>
      <c r="E15543" s="1050"/>
      <c r="F15543" s="1050"/>
      <c r="G15543" s="1050"/>
    </row>
    <row r="15544" spans="1:7">
      <c r="A15544" s="1079"/>
      <c r="B15544" s="1050"/>
      <c r="C15544" s="1050"/>
      <c r="D15544" s="1050"/>
      <c r="E15544" s="1050"/>
      <c r="F15544" s="1050"/>
      <c r="G15544" s="1050"/>
    </row>
    <row r="15545" spans="1:7">
      <c r="A15545" s="1079"/>
      <c r="B15545" s="1050"/>
      <c r="C15545" s="1050"/>
      <c r="D15545" s="1050"/>
      <c r="E15545" s="1050"/>
      <c r="F15545" s="1050"/>
      <c r="G15545" s="1050"/>
    </row>
    <row r="15546" spans="1:7">
      <c r="A15546" s="1079"/>
      <c r="B15546" s="1050"/>
      <c r="C15546" s="1050"/>
      <c r="D15546" s="1050"/>
      <c r="E15546" s="1050"/>
      <c r="F15546" s="1050"/>
      <c r="G15546" s="1050"/>
    </row>
    <row r="15547" spans="1:7">
      <c r="A15547" s="1079"/>
      <c r="B15547" s="1050"/>
      <c r="C15547" s="1050"/>
      <c r="D15547" s="1050"/>
      <c r="E15547" s="1050"/>
      <c r="F15547" s="1050"/>
      <c r="G15547" s="1050"/>
    </row>
    <row r="15548" spans="1:7">
      <c r="A15548" s="1079"/>
      <c r="B15548" s="1050"/>
      <c r="C15548" s="1050"/>
      <c r="D15548" s="1050"/>
      <c r="E15548" s="1050"/>
      <c r="F15548" s="1050"/>
      <c r="G15548" s="1050"/>
    </row>
    <row r="15549" spans="1:7">
      <c r="A15549" s="1079"/>
      <c r="B15549" s="1050"/>
      <c r="C15549" s="1050"/>
      <c r="D15549" s="1050"/>
      <c r="E15549" s="1050"/>
      <c r="F15549" s="1050"/>
      <c r="G15549" s="1050"/>
    </row>
    <row r="15550" spans="1:7">
      <c r="A15550" s="1079"/>
      <c r="B15550" s="1050"/>
      <c r="C15550" s="1050"/>
      <c r="D15550" s="1050"/>
      <c r="E15550" s="1050"/>
      <c r="F15550" s="1050"/>
      <c r="G15550" s="1050"/>
    </row>
    <row r="15551" spans="1:7">
      <c r="A15551" s="1079"/>
      <c r="B15551" s="1050"/>
      <c r="C15551" s="1050"/>
      <c r="D15551" s="1050"/>
      <c r="E15551" s="1050"/>
      <c r="F15551" s="1050"/>
      <c r="G15551" s="1050"/>
    </row>
    <row r="15552" spans="1:7">
      <c r="A15552" s="1079"/>
      <c r="B15552" s="1050"/>
      <c r="C15552" s="1050"/>
      <c r="D15552" s="1050"/>
      <c r="E15552" s="1050"/>
      <c r="F15552" s="1050"/>
      <c r="G15552" s="1050"/>
    </row>
    <row r="15553" spans="1:7">
      <c r="A15553" s="1079"/>
      <c r="B15553" s="1050"/>
      <c r="C15553" s="1050"/>
      <c r="D15553" s="1050"/>
      <c r="E15553" s="1050"/>
      <c r="F15553" s="1050"/>
      <c r="G15553" s="1050"/>
    </row>
    <row r="15554" spans="1:7">
      <c r="A15554" s="1079"/>
      <c r="B15554" s="1050"/>
      <c r="C15554" s="1050"/>
      <c r="D15554" s="1050"/>
      <c r="E15554" s="1050"/>
      <c r="F15554" s="1050"/>
      <c r="G15554" s="1050"/>
    </row>
    <row r="15555" spans="1:7">
      <c r="A15555" s="1079"/>
      <c r="B15555" s="1050"/>
      <c r="C15555" s="1050"/>
      <c r="D15555" s="1050"/>
      <c r="E15555" s="1050"/>
      <c r="F15555" s="1050"/>
      <c r="G15555" s="1050"/>
    </row>
    <row r="15556" spans="1:7">
      <c r="A15556" s="1079"/>
      <c r="B15556" s="1050"/>
      <c r="C15556" s="1050"/>
      <c r="D15556" s="1050"/>
      <c r="E15556" s="1050"/>
      <c r="F15556" s="1050"/>
      <c r="G15556" s="1050"/>
    </row>
    <row r="15557" spans="1:7">
      <c r="A15557" s="1079"/>
      <c r="B15557" s="1050"/>
      <c r="C15557" s="1050"/>
      <c r="D15557" s="1050"/>
      <c r="E15557" s="1050"/>
      <c r="F15557" s="1050"/>
      <c r="G15557" s="1050"/>
    </row>
    <row r="15558" spans="1:7">
      <c r="A15558" s="1079"/>
      <c r="B15558" s="1050"/>
      <c r="C15558" s="1050"/>
      <c r="D15558" s="1050"/>
      <c r="E15558" s="1050"/>
      <c r="F15558" s="1050"/>
      <c r="G15558" s="1050"/>
    </row>
    <row r="15559" spans="1:7">
      <c r="A15559" s="1079"/>
      <c r="B15559" s="1050"/>
      <c r="C15559" s="1050"/>
      <c r="D15559" s="1050"/>
      <c r="E15559" s="1050"/>
      <c r="F15559" s="1050"/>
      <c r="G15559" s="1050"/>
    </row>
    <row r="15560" spans="1:7">
      <c r="A15560" s="1079"/>
      <c r="B15560" s="1050"/>
      <c r="C15560" s="1050"/>
      <c r="D15560" s="1050"/>
      <c r="E15560" s="1050"/>
      <c r="F15560" s="1050"/>
      <c r="G15560" s="1050"/>
    </row>
    <row r="15561" spans="1:7">
      <c r="A15561" s="1079"/>
      <c r="B15561" s="1050"/>
      <c r="C15561" s="1050"/>
      <c r="D15561" s="1050"/>
      <c r="E15561" s="1050"/>
      <c r="F15561" s="1050"/>
      <c r="G15561" s="1050"/>
    </row>
    <row r="15562" spans="1:7">
      <c r="A15562" s="1079"/>
      <c r="B15562" s="1050"/>
      <c r="C15562" s="1050"/>
      <c r="D15562" s="1050"/>
      <c r="E15562" s="1050"/>
      <c r="F15562" s="1050"/>
      <c r="G15562" s="1050"/>
    </row>
    <row r="15563" spans="1:7">
      <c r="A15563" s="1079"/>
      <c r="B15563" s="1050"/>
      <c r="C15563" s="1050"/>
      <c r="D15563" s="1050"/>
      <c r="E15563" s="1050"/>
      <c r="F15563" s="1050"/>
      <c r="G15563" s="1050"/>
    </row>
    <row r="15564" spans="1:7">
      <c r="A15564" s="1079"/>
      <c r="B15564" s="1050"/>
      <c r="C15564" s="1050"/>
      <c r="D15564" s="1050"/>
      <c r="E15564" s="1050"/>
      <c r="F15564" s="1050"/>
      <c r="G15564" s="1050"/>
    </row>
    <row r="15565" spans="1:7">
      <c r="A15565" s="1079"/>
      <c r="B15565" s="1050"/>
      <c r="C15565" s="1050"/>
      <c r="D15565" s="1050"/>
      <c r="E15565" s="1050"/>
      <c r="F15565" s="1050"/>
      <c r="G15565" s="1050"/>
    </row>
    <row r="15566" spans="1:7">
      <c r="A15566" s="1079"/>
      <c r="B15566" s="1050"/>
      <c r="C15566" s="1050"/>
      <c r="D15566" s="1050"/>
      <c r="E15566" s="1050"/>
      <c r="F15566" s="1050"/>
      <c r="G15566" s="1050"/>
    </row>
    <row r="15567" spans="1:7">
      <c r="A15567" s="1079"/>
      <c r="B15567" s="1050"/>
      <c r="C15567" s="1050"/>
      <c r="D15567" s="1050"/>
      <c r="E15567" s="1050"/>
      <c r="F15567" s="1050"/>
      <c r="G15567" s="1050"/>
    </row>
    <row r="15568" spans="1:7">
      <c r="A15568" s="1079"/>
      <c r="B15568" s="1050"/>
      <c r="C15568" s="1050"/>
      <c r="D15568" s="1050"/>
      <c r="E15568" s="1050"/>
      <c r="F15568" s="1050"/>
      <c r="G15568" s="1050"/>
    </row>
    <row r="15569" spans="1:7">
      <c r="A15569" s="1079"/>
      <c r="B15569" s="1050"/>
      <c r="C15569" s="1050"/>
      <c r="D15569" s="1050"/>
      <c r="E15569" s="1050"/>
      <c r="F15569" s="1050"/>
      <c r="G15569" s="1050"/>
    </row>
    <row r="15570" spans="1:7">
      <c r="A15570" s="1079"/>
      <c r="B15570" s="1050"/>
      <c r="C15570" s="1050"/>
      <c r="D15570" s="1050"/>
      <c r="E15570" s="1050"/>
      <c r="F15570" s="1050"/>
      <c r="G15570" s="1050"/>
    </row>
    <row r="15571" spans="1:7">
      <c r="A15571" s="1079"/>
      <c r="B15571" s="1050"/>
      <c r="C15571" s="1050"/>
      <c r="D15571" s="1050"/>
      <c r="E15571" s="1050"/>
      <c r="F15571" s="1050"/>
      <c r="G15571" s="1050"/>
    </row>
    <row r="15572" spans="1:7">
      <c r="A15572" s="1079"/>
      <c r="B15572" s="1050"/>
      <c r="C15572" s="1050"/>
      <c r="D15572" s="1050"/>
      <c r="E15572" s="1050"/>
      <c r="F15572" s="1050"/>
      <c r="G15572" s="1050"/>
    </row>
    <row r="15573" spans="1:7">
      <c r="A15573" s="1079"/>
      <c r="B15573" s="1050"/>
      <c r="C15573" s="1050"/>
      <c r="D15573" s="1050"/>
      <c r="E15573" s="1050"/>
      <c r="F15573" s="1050"/>
      <c r="G15573" s="1050"/>
    </row>
    <row r="15574" spans="1:7">
      <c r="A15574" s="1079"/>
      <c r="B15574" s="1050"/>
      <c r="C15574" s="1050"/>
      <c r="D15574" s="1050"/>
      <c r="E15574" s="1050"/>
      <c r="F15574" s="1050"/>
      <c r="G15574" s="1050"/>
    </row>
    <row r="15575" spans="1:7">
      <c r="A15575" s="1079"/>
      <c r="B15575" s="1050"/>
      <c r="C15575" s="1050"/>
      <c r="D15575" s="1050"/>
      <c r="E15575" s="1050"/>
      <c r="F15575" s="1050"/>
      <c r="G15575" s="1050"/>
    </row>
    <row r="15576" spans="1:7">
      <c r="A15576" s="1079"/>
      <c r="B15576" s="1050"/>
      <c r="C15576" s="1050"/>
      <c r="D15576" s="1050"/>
      <c r="E15576" s="1050"/>
      <c r="F15576" s="1050"/>
      <c r="G15576" s="1050"/>
    </row>
    <row r="15577" spans="1:7">
      <c r="A15577" s="1079"/>
      <c r="B15577" s="1050"/>
      <c r="C15577" s="1050"/>
      <c r="D15577" s="1050"/>
      <c r="E15577" s="1050"/>
      <c r="F15577" s="1050"/>
      <c r="G15577" s="1050"/>
    </row>
    <row r="15578" spans="1:7">
      <c r="A15578" s="1079"/>
      <c r="B15578" s="1050"/>
      <c r="C15578" s="1050"/>
      <c r="D15578" s="1050"/>
      <c r="E15578" s="1050"/>
      <c r="F15578" s="1050"/>
      <c r="G15578" s="1050"/>
    </row>
    <row r="15579" spans="1:7">
      <c r="A15579" s="1079"/>
      <c r="B15579" s="1050"/>
      <c r="C15579" s="1050"/>
      <c r="D15579" s="1050"/>
      <c r="E15579" s="1050"/>
      <c r="F15579" s="1050"/>
      <c r="G15579" s="1050"/>
    </row>
    <row r="15580" spans="1:7">
      <c r="A15580" s="1079"/>
      <c r="B15580" s="1050"/>
      <c r="C15580" s="1050"/>
      <c r="D15580" s="1050"/>
      <c r="E15580" s="1050"/>
      <c r="F15580" s="1050"/>
      <c r="G15580" s="1050"/>
    </row>
    <row r="15581" spans="1:7">
      <c r="A15581" s="1079"/>
      <c r="B15581" s="1050"/>
      <c r="C15581" s="1050"/>
      <c r="D15581" s="1050"/>
      <c r="E15581" s="1050"/>
      <c r="F15581" s="1050"/>
      <c r="G15581" s="1050"/>
    </row>
    <row r="15582" spans="1:7">
      <c r="A15582" s="1079"/>
      <c r="B15582" s="1050"/>
      <c r="C15582" s="1050"/>
      <c r="D15582" s="1050"/>
      <c r="E15582" s="1050"/>
      <c r="F15582" s="1050"/>
      <c r="G15582" s="1050"/>
    </row>
    <row r="15583" spans="1:7">
      <c r="A15583" s="1079"/>
      <c r="B15583" s="1050"/>
      <c r="C15583" s="1050"/>
      <c r="D15583" s="1050"/>
      <c r="E15583" s="1050"/>
      <c r="F15583" s="1050"/>
      <c r="G15583" s="1050"/>
    </row>
    <row r="15584" spans="1:7">
      <c r="A15584" s="1079"/>
      <c r="B15584" s="1050"/>
      <c r="C15584" s="1050"/>
      <c r="D15584" s="1050"/>
      <c r="E15584" s="1050"/>
      <c r="F15584" s="1050"/>
      <c r="G15584" s="1050"/>
    </row>
    <row r="15585" spans="1:7">
      <c r="A15585" s="1079"/>
      <c r="B15585" s="1050"/>
      <c r="C15585" s="1050"/>
      <c r="D15585" s="1050"/>
      <c r="E15585" s="1050"/>
      <c r="F15585" s="1050"/>
      <c r="G15585" s="1050"/>
    </row>
    <row r="15586" spans="1:7">
      <c r="A15586" s="1079"/>
      <c r="B15586" s="1050"/>
      <c r="C15586" s="1050"/>
      <c r="D15586" s="1050"/>
      <c r="E15586" s="1050"/>
      <c r="F15586" s="1050"/>
      <c r="G15586" s="1050"/>
    </row>
    <row r="15587" spans="1:7">
      <c r="A15587" s="1079"/>
      <c r="B15587" s="1050"/>
      <c r="C15587" s="1050"/>
      <c r="D15587" s="1050"/>
      <c r="E15587" s="1050"/>
      <c r="F15587" s="1050"/>
      <c r="G15587" s="1050"/>
    </row>
    <row r="15588" spans="1:7">
      <c r="A15588" s="1079"/>
      <c r="B15588" s="1050"/>
      <c r="C15588" s="1050"/>
      <c r="D15588" s="1050"/>
      <c r="E15588" s="1050"/>
      <c r="F15588" s="1050"/>
      <c r="G15588" s="1050"/>
    </row>
    <row r="15589" spans="1:7">
      <c r="A15589" s="1079"/>
      <c r="B15589" s="1050"/>
      <c r="C15589" s="1050"/>
      <c r="D15589" s="1050"/>
      <c r="E15589" s="1050"/>
      <c r="F15589" s="1050"/>
      <c r="G15589" s="1050"/>
    </row>
    <row r="15590" spans="1:7">
      <c r="A15590" s="1079"/>
      <c r="B15590" s="1050"/>
      <c r="C15590" s="1050"/>
      <c r="D15590" s="1050"/>
      <c r="E15590" s="1050"/>
      <c r="F15590" s="1050"/>
      <c r="G15590" s="1050"/>
    </row>
    <row r="15591" spans="1:7">
      <c r="A15591" s="1079"/>
      <c r="B15591" s="1050"/>
      <c r="C15591" s="1050"/>
      <c r="D15591" s="1050"/>
      <c r="E15591" s="1050"/>
      <c r="F15591" s="1050"/>
      <c r="G15591" s="1050"/>
    </row>
    <row r="15592" spans="1:7">
      <c r="A15592" s="1079"/>
      <c r="B15592" s="1050"/>
      <c r="C15592" s="1050"/>
      <c r="D15592" s="1050"/>
      <c r="E15592" s="1050"/>
      <c r="F15592" s="1050"/>
      <c r="G15592" s="1050"/>
    </row>
    <row r="15593" spans="1:7">
      <c r="A15593" s="1079"/>
      <c r="B15593" s="1050"/>
      <c r="C15593" s="1050"/>
      <c r="D15593" s="1050"/>
      <c r="E15593" s="1050"/>
      <c r="F15593" s="1050"/>
      <c r="G15593" s="1050"/>
    </row>
    <row r="15594" spans="1:7">
      <c r="A15594" s="1079"/>
      <c r="B15594" s="1050"/>
      <c r="C15594" s="1050"/>
      <c r="D15594" s="1050"/>
      <c r="E15594" s="1050"/>
      <c r="F15594" s="1050"/>
      <c r="G15594" s="1050"/>
    </row>
    <row r="15595" spans="1:7">
      <c r="A15595" s="1079"/>
      <c r="B15595" s="1050"/>
      <c r="C15595" s="1050"/>
      <c r="D15595" s="1050"/>
      <c r="E15595" s="1050"/>
      <c r="F15595" s="1050"/>
      <c r="G15595" s="1050"/>
    </row>
    <row r="15596" spans="1:7">
      <c r="A15596" s="1079"/>
      <c r="B15596" s="1050"/>
      <c r="C15596" s="1050"/>
      <c r="D15596" s="1050"/>
      <c r="E15596" s="1050"/>
      <c r="F15596" s="1050"/>
      <c r="G15596" s="1050"/>
    </row>
    <row r="15597" spans="1:7">
      <c r="A15597" s="1079"/>
      <c r="B15597" s="1050"/>
      <c r="C15597" s="1050"/>
      <c r="D15597" s="1050"/>
      <c r="E15597" s="1050"/>
      <c r="F15597" s="1050"/>
      <c r="G15597" s="1050"/>
    </row>
    <row r="15598" spans="1:7">
      <c r="A15598" s="1079"/>
      <c r="B15598" s="1050"/>
      <c r="C15598" s="1050"/>
      <c r="D15598" s="1050"/>
      <c r="E15598" s="1050"/>
      <c r="F15598" s="1050"/>
      <c r="G15598" s="1050"/>
    </row>
    <row r="15599" spans="1:7">
      <c r="A15599" s="1079"/>
      <c r="B15599" s="1050"/>
      <c r="C15599" s="1050"/>
      <c r="D15599" s="1050"/>
      <c r="E15599" s="1050"/>
      <c r="F15599" s="1050"/>
      <c r="G15599" s="1050"/>
    </row>
    <row r="15600" spans="1:7">
      <c r="A15600" s="1079"/>
      <c r="B15600" s="1050"/>
      <c r="C15600" s="1050"/>
      <c r="D15600" s="1050"/>
      <c r="E15600" s="1050"/>
      <c r="F15600" s="1050"/>
      <c r="G15600" s="1050"/>
    </row>
    <row r="15601" spans="1:7">
      <c r="A15601" s="1079"/>
      <c r="B15601" s="1050"/>
      <c r="C15601" s="1050"/>
      <c r="D15601" s="1050"/>
      <c r="E15601" s="1050"/>
      <c r="F15601" s="1050"/>
      <c r="G15601" s="1050"/>
    </row>
    <row r="15602" spans="1:7">
      <c r="A15602" s="1079"/>
      <c r="B15602" s="1050"/>
      <c r="C15602" s="1050"/>
      <c r="D15602" s="1050"/>
      <c r="E15602" s="1050"/>
      <c r="F15602" s="1050"/>
      <c r="G15602" s="1050"/>
    </row>
    <row r="15603" spans="1:7">
      <c r="A15603" s="1079"/>
      <c r="B15603" s="1050"/>
      <c r="C15603" s="1050"/>
      <c r="D15603" s="1050"/>
      <c r="E15603" s="1050"/>
      <c r="F15603" s="1050"/>
      <c r="G15603" s="1050"/>
    </row>
    <row r="15604" spans="1:7">
      <c r="A15604" s="1079"/>
      <c r="B15604" s="1050"/>
      <c r="C15604" s="1050"/>
      <c r="D15604" s="1050"/>
      <c r="E15604" s="1050"/>
      <c r="F15604" s="1050"/>
      <c r="G15604" s="1050"/>
    </row>
    <row r="15605" spans="1:7">
      <c r="A15605" s="1079"/>
      <c r="B15605" s="1050"/>
      <c r="C15605" s="1050"/>
      <c r="D15605" s="1050"/>
      <c r="E15605" s="1050"/>
      <c r="F15605" s="1050"/>
      <c r="G15605" s="1050"/>
    </row>
    <row r="15606" spans="1:7">
      <c r="A15606" s="1079"/>
      <c r="B15606" s="1050"/>
      <c r="C15606" s="1050"/>
      <c r="D15606" s="1050"/>
      <c r="E15606" s="1050"/>
      <c r="F15606" s="1050"/>
      <c r="G15606" s="1050"/>
    </row>
    <row r="15607" spans="1:7">
      <c r="A15607" s="1079"/>
      <c r="B15607" s="1050"/>
      <c r="C15607" s="1050"/>
      <c r="D15607" s="1050"/>
      <c r="E15607" s="1050"/>
      <c r="F15607" s="1050"/>
      <c r="G15607" s="1050"/>
    </row>
    <row r="15608" spans="1:7">
      <c r="A15608" s="1079"/>
      <c r="B15608" s="1050"/>
      <c r="C15608" s="1050"/>
      <c r="D15608" s="1050"/>
      <c r="E15608" s="1050"/>
      <c r="F15608" s="1050"/>
      <c r="G15608" s="1050"/>
    </row>
    <row r="15609" spans="1:7">
      <c r="A15609" s="1079"/>
      <c r="B15609" s="1050"/>
      <c r="C15609" s="1050"/>
      <c r="D15609" s="1050"/>
      <c r="E15609" s="1050"/>
      <c r="F15609" s="1050"/>
      <c r="G15609" s="1050"/>
    </row>
    <row r="15610" spans="1:7">
      <c r="A15610" s="1079"/>
      <c r="B15610" s="1050"/>
      <c r="C15610" s="1050"/>
      <c r="D15610" s="1050"/>
      <c r="E15610" s="1050"/>
      <c r="F15610" s="1050"/>
      <c r="G15610" s="1050"/>
    </row>
    <row r="15611" spans="1:7">
      <c r="A15611" s="1079"/>
      <c r="B15611" s="1050"/>
      <c r="C15611" s="1050"/>
      <c r="D15611" s="1050"/>
      <c r="E15611" s="1050"/>
      <c r="F15611" s="1050"/>
      <c r="G15611" s="1050"/>
    </row>
    <row r="15612" spans="1:7">
      <c r="A15612" s="1079"/>
      <c r="B15612" s="1050"/>
      <c r="C15612" s="1050"/>
      <c r="D15612" s="1050"/>
      <c r="E15612" s="1050"/>
      <c r="F15612" s="1050"/>
      <c r="G15612" s="1050"/>
    </row>
    <row r="15613" spans="1:7">
      <c r="A15613" s="1079"/>
      <c r="B15613" s="1050"/>
      <c r="C15613" s="1050"/>
      <c r="D15613" s="1050"/>
      <c r="E15613" s="1050"/>
      <c r="F15613" s="1050"/>
      <c r="G15613" s="1050"/>
    </row>
    <row r="15614" spans="1:7">
      <c r="A15614" s="1079"/>
      <c r="B15614" s="1050"/>
      <c r="C15614" s="1050"/>
      <c r="D15614" s="1050"/>
      <c r="E15614" s="1050"/>
      <c r="F15614" s="1050"/>
      <c r="G15614" s="1050"/>
    </row>
    <row r="15615" spans="1:7">
      <c r="A15615" s="1079"/>
      <c r="B15615" s="1050"/>
      <c r="C15615" s="1050"/>
      <c r="D15615" s="1050"/>
      <c r="E15615" s="1050"/>
      <c r="F15615" s="1050"/>
      <c r="G15615" s="1050"/>
    </row>
    <row r="15616" spans="1:7">
      <c r="A15616" s="1079"/>
      <c r="B15616" s="1050"/>
      <c r="C15616" s="1050"/>
      <c r="D15616" s="1050"/>
      <c r="E15616" s="1050"/>
      <c r="F15616" s="1050"/>
      <c r="G15616" s="1050"/>
    </row>
    <row r="15617" spans="1:7">
      <c r="A15617" s="1079"/>
      <c r="B15617" s="1050"/>
      <c r="C15617" s="1050"/>
      <c r="D15617" s="1050"/>
      <c r="E15617" s="1050"/>
      <c r="F15617" s="1050"/>
      <c r="G15617" s="1050"/>
    </row>
    <row r="15618" spans="1:7">
      <c r="A15618" s="1079"/>
      <c r="B15618" s="1050"/>
      <c r="C15618" s="1050"/>
      <c r="D15618" s="1050"/>
      <c r="E15618" s="1050"/>
      <c r="F15618" s="1050"/>
      <c r="G15618" s="1050"/>
    </row>
    <row r="15619" spans="1:7">
      <c r="A15619" s="1079"/>
      <c r="B15619" s="1050"/>
      <c r="C15619" s="1050"/>
      <c r="D15619" s="1050"/>
      <c r="E15619" s="1050"/>
      <c r="F15619" s="1050"/>
      <c r="G15619" s="1050"/>
    </row>
    <row r="15620" spans="1:7">
      <c r="A15620" s="1079"/>
      <c r="B15620" s="1050"/>
      <c r="C15620" s="1050"/>
      <c r="D15620" s="1050"/>
      <c r="E15620" s="1050"/>
      <c r="F15620" s="1050"/>
      <c r="G15620" s="1050"/>
    </row>
    <row r="15621" spans="1:7">
      <c r="A15621" s="1079"/>
      <c r="B15621" s="1050"/>
      <c r="C15621" s="1050"/>
      <c r="D15621" s="1050"/>
      <c r="E15621" s="1050"/>
      <c r="F15621" s="1050"/>
      <c r="G15621" s="1050"/>
    </row>
    <row r="15622" spans="1:7">
      <c r="A15622" s="1079"/>
      <c r="B15622" s="1050"/>
      <c r="C15622" s="1050"/>
      <c r="D15622" s="1050"/>
      <c r="E15622" s="1050"/>
      <c r="F15622" s="1050"/>
      <c r="G15622" s="1050"/>
    </row>
    <row r="15623" spans="1:7">
      <c r="A15623" s="1079"/>
      <c r="B15623" s="1050"/>
      <c r="C15623" s="1050"/>
      <c r="D15623" s="1050"/>
      <c r="E15623" s="1050"/>
      <c r="F15623" s="1050"/>
      <c r="G15623" s="1050"/>
    </row>
    <row r="15624" spans="1:7">
      <c r="A15624" s="1079"/>
      <c r="B15624" s="1050"/>
      <c r="C15624" s="1050"/>
      <c r="D15624" s="1050"/>
      <c r="E15624" s="1050"/>
      <c r="F15624" s="1050"/>
      <c r="G15624" s="1050"/>
    </row>
    <row r="15625" spans="1:7">
      <c r="A15625" s="1079"/>
      <c r="B15625" s="1050"/>
      <c r="C15625" s="1050"/>
      <c r="D15625" s="1050"/>
      <c r="E15625" s="1050"/>
      <c r="F15625" s="1050"/>
      <c r="G15625" s="1050"/>
    </row>
    <row r="15626" spans="1:7">
      <c r="A15626" s="1079"/>
      <c r="B15626" s="1050"/>
      <c r="C15626" s="1050"/>
      <c r="D15626" s="1050"/>
      <c r="E15626" s="1050"/>
      <c r="F15626" s="1050"/>
      <c r="G15626" s="1050"/>
    </row>
    <row r="15627" spans="1:7">
      <c r="A15627" s="1079"/>
      <c r="B15627" s="1050"/>
      <c r="C15627" s="1050"/>
      <c r="D15627" s="1050"/>
      <c r="E15627" s="1050"/>
      <c r="F15627" s="1050"/>
      <c r="G15627" s="1050"/>
    </row>
    <row r="15628" spans="1:7">
      <c r="A15628" s="1079"/>
      <c r="B15628" s="1050"/>
      <c r="C15628" s="1050"/>
      <c r="D15628" s="1050"/>
      <c r="E15628" s="1050"/>
      <c r="F15628" s="1050"/>
      <c r="G15628" s="1050"/>
    </row>
    <row r="15629" spans="1:7">
      <c r="A15629" s="1079"/>
      <c r="B15629" s="1050"/>
      <c r="C15629" s="1050"/>
      <c r="D15629" s="1050"/>
      <c r="E15629" s="1050"/>
      <c r="F15629" s="1050"/>
      <c r="G15629" s="1050"/>
    </row>
    <row r="15630" spans="1:7">
      <c r="A15630" s="1079"/>
      <c r="B15630" s="1050"/>
      <c r="C15630" s="1050"/>
      <c r="D15630" s="1050"/>
      <c r="E15630" s="1050"/>
      <c r="F15630" s="1050"/>
      <c r="G15630" s="1050"/>
    </row>
    <row r="15631" spans="1:7">
      <c r="A15631" s="1079"/>
      <c r="B15631" s="1050"/>
      <c r="C15631" s="1050"/>
      <c r="D15631" s="1050"/>
      <c r="E15631" s="1050"/>
      <c r="F15631" s="1050"/>
      <c r="G15631" s="1050"/>
    </row>
    <row r="15632" spans="1:7">
      <c r="A15632" s="1079"/>
      <c r="B15632" s="1050"/>
      <c r="C15632" s="1050"/>
      <c r="D15632" s="1050"/>
      <c r="E15632" s="1050"/>
      <c r="F15632" s="1050"/>
      <c r="G15632" s="1050"/>
    </row>
    <row r="15633" spans="1:7">
      <c r="A15633" s="1079"/>
      <c r="B15633" s="1050"/>
      <c r="C15633" s="1050"/>
      <c r="D15633" s="1050"/>
      <c r="E15633" s="1050"/>
      <c r="F15633" s="1050"/>
      <c r="G15633" s="1050"/>
    </row>
    <row r="15634" spans="1:7">
      <c r="A15634" s="1079"/>
      <c r="B15634" s="1050"/>
      <c r="C15634" s="1050"/>
      <c r="D15634" s="1050"/>
      <c r="E15634" s="1050"/>
      <c r="F15634" s="1050"/>
      <c r="G15634" s="1050"/>
    </row>
    <row r="15635" spans="1:7">
      <c r="A15635" s="1079"/>
      <c r="B15635" s="1050"/>
      <c r="C15635" s="1050"/>
      <c r="D15635" s="1050"/>
      <c r="E15635" s="1050"/>
      <c r="F15635" s="1050"/>
      <c r="G15635" s="1050"/>
    </row>
    <row r="15636" spans="1:7">
      <c r="A15636" s="1079"/>
      <c r="B15636" s="1050"/>
      <c r="C15636" s="1050"/>
      <c r="D15636" s="1050"/>
      <c r="E15636" s="1050"/>
      <c r="F15636" s="1050"/>
      <c r="G15636" s="1050"/>
    </row>
    <row r="15637" spans="1:7">
      <c r="A15637" s="1079"/>
      <c r="B15637" s="1050"/>
      <c r="C15637" s="1050"/>
      <c r="D15637" s="1050"/>
      <c r="E15637" s="1050"/>
      <c r="F15637" s="1050"/>
      <c r="G15637" s="1050"/>
    </row>
    <row r="15638" spans="1:7">
      <c r="A15638" s="1079"/>
      <c r="B15638" s="1050"/>
      <c r="C15638" s="1050"/>
      <c r="D15638" s="1050"/>
      <c r="E15638" s="1050"/>
      <c r="F15638" s="1050"/>
      <c r="G15638" s="1050"/>
    </row>
    <row r="15639" spans="1:7">
      <c r="A15639" s="1079"/>
      <c r="B15639" s="1050"/>
      <c r="C15639" s="1050"/>
      <c r="D15639" s="1050"/>
      <c r="E15639" s="1050"/>
      <c r="F15639" s="1050"/>
      <c r="G15639" s="1050"/>
    </row>
    <row r="15640" spans="1:7">
      <c r="A15640" s="1079"/>
      <c r="B15640" s="1050"/>
      <c r="C15640" s="1050"/>
      <c r="D15640" s="1050"/>
      <c r="E15640" s="1050"/>
      <c r="F15640" s="1050"/>
      <c r="G15640" s="1050"/>
    </row>
    <row r="15641" spans="1:7">
      <c r="A15641" s="1079"/>
      <c r="B15641" s="1050"/>
      <c r="C15641" s="1050"/>
      <c r="D15641" s="1050"/>
      <c r="E15641" s="1050"/>
      <c r="F15641" s="1050"/>
      <c r="G15641" s="1050"/>
    </row>
    <row r="15642" spans="1:7">
      <c r="A15642" s="1079"/>
      <c r="B15642" s="1050"/>
      <c r="C15642" s="1050"/>
      <c r="D15642" s="1050"/>
      <c r="E15642" s="1050"/>
      <c r="F15642" s="1050"/>
      <c r="G15642" s="1050"/>
    </row>
    <row r="15643" spans="1:7">
      <c r="A15643" s="1079"/>
      <c r="B15643" s="1050"/>
      <c r="C15643" s="1050"/>
      <c r="D15643" s="1050"/>
      <c r="E15643" s="1050"/>
      <c r="F15643" s="1050"/>
      <c r="G15643" s="1050"/>
    </row>
    <row r="15644" spans="1:7">
      <c r="A15644" s="1079"/>
      <c r="B15644" s="1050"/>
      <c r="C15644" s="1050"/>
      <c r="D15644" s="1050"/>
      <c r="E15644" s="1050"/>
      <c r="F15644" s="1050"/>
      <c r="G15644" s="1050"/>
    </row>
    <row r="15645" spans="1:7">
      <c r="A15645" s="1079"/>
      <c r="B15645" s="1050"/>
      <c r="C15645" s="1050"/>
      <c r="D15645" s="1050"/>
      <c r="E15645" s="1050"/>
      <c r="F15645" s="1050"/>
      <c r="G15645" s="1050"/>
    </row>
    <row r="15646" spans="1:7">
      <c r="A15646" s="1079"/>
      <c r="B15646" s="1050"/>
      <c r="C15646" s="1050"/>
      <c r="D15646" s="1050"/>
      <c r="E15646" s="1050"/>
      <c r="F15646" s="1050"/>
      <c r="G15646" s="1050"/>
    </row>
    <row r="15647" spans="1:7">
      <c r="A15647" s="1079"/>
      <c r="B15647" s="1050"/>
      <c r="C15647" s="1050"/>
      <c r="D15647" s="1050"/>
      <c r="E15647" s="1050"/>
      <c r="F15647" s="1050"/>
      <c r="G15647" s="1050"/>
    </row>
    <row r="15648" spans="1:7">
      <c r="A15648" s="1079"/>
      <c r="B15648" s="1050"/>
      <c r="C15648" s="1050"/>
      <c r="D15648" s="1050"/>
      <c r="E15648" s="1050"/>
      <c r="F15648" s="1050"/>
      <c r="G15648" s="1050"/>
    </row>
    <row r="15649" spans="1:7">
      <c r="A15649" s="1079"/>
      <c r="B15649" s="1050"/>
      <c r="C15649" s="1050"/>
      <c r="D15649" s="1050"/>
      <c r="E15649" s="1050"/>
      <c r="F15649" s="1050"/>
      <c r="G15649" s="1050"/>
    </row>
    <row r="15650" spans="1:7">
      <c r="A15650" s="1079"/>
      <c r="B15650" s="1050"/>
      <c r="C15650" s="1050"/>
      <c r="D15650" s="1050"/>
      <c r="E15650" s="1050"/>
      <c r="F15650" s="1050"/>
      <c r="G15650" s="1050"/>
    </row>
    <row r="15651" spans="1:7">
      <c r="A15651" s="1079"/>
      <c r="B15651" s="1050"/>
      <c r="C15651" s="1050"/>
      <c r="D15651" s="1050"/>
      <c r="E15651" s="1050"/>
      <c r="F15651" s="1050"/>
      <c r="G15651" s="1050"/>
    </row>
    <row r="15652" spans="1:7">
      <c r="A15652" s="1079"/>
      <c r="B15652" s="1050"/>
      <c r="C15652" s="1050"/>
      <c r="D15652" s="1050"/>
      <c r="E15652" s="1050"/>
      <c r="F15652" s="1050"/>
      <c r="G15652" s="1050"/>
    </row>
    <row r="15653" spans="1:7">
      <c r="A15653" s="1079"/>
      <c r="B15653" s="1050"/>
      <c r="C15653" s="1050"/>
      <c r="D15653" s="1050"/>
      <c r="E15653" s="1050"/>
      <c r="F15653" s="1050"/>
      <c r="G15653" s="1050"/>
    </row>
    <row r="15654" spans="1:7">
      <c r="A15654" s="1079"/>
      <c r="B15654" s="1050"/>
      <c r="C15654" s="1050"/>
      <c r="D15654" s="1050"/>
      <c r="E15654" s="1050"/>
      <c r="F15654" s="1050"/>
      <c r="G15654" s="1050"/>
    </row>
    <row r="15655" spans="1:7">
      <c r="A15655" s="1079"/>
      <c r="B15655" s="1050"/>
      <c r="C15655" s="1050"/>
      <c r="D15655" s="1050"/>
      <c r="E15655" s="1050"/>
      <c r="F15655" s="1050"/>
      <c r="G15655" s="1050"/>
    </row>
    <row r="15656" spans="1:7">
      <c r="A15656" s="1079"/>
      <c r="B15656" s="1050"/>
      <c r="C15656" s="1050"/>
      <c r="D15656" s="1050"/>
      <c r="E15656" s="1050"/>
      <c r="F15656" s="1050"/>
      <c r="G15656" s="1050"/>
    </row>
    <row r="15657" spans="1:7">
      <c r="A15657" s="1079"/>
      <c r="B15657" s="1050"/>
      <c r="C15657" s="1050"/>
      <c r="D15657" s="1050"/>
      <c r="E15657" s="1050"/>
      <c r="F15657" s="1050"/>
      <c r="G15657" s="1050"/>
    </row>
    <row r="15658" spans="1:7">
      <c r="A15658" s="1079"/>
      <c r="B15658" s="1050"/>
      <c r="C15658" s="1050"/>
      <c r="D15658" s="1050"/>
      <c r="E15658" s="1050"/>
      <c r="F15658" s="1050"/>
      <c r="G15658" s="1050"/>
    </row>
    <row r="15659" spans="1:7">
      <c r="A15659" s="1079"/>
      <c r="B15659" s="1050"/>
      <c r="C15659" s="1050"/>
      <c r="D15659" s="1050"/>
      <c r="E15659" s="1050"/>
      <c r="F15659" s="1050"/>
      <c r="G15659" s="1050"/>
    </row>
    <row r="15660" spans="1:7">
      <c r="A15660" s="1079"/>
      <c r="B15660" s="1050"/>
      <c r="C15660" s="1050"/>
      <c r="D15660" s="1050"/>
      <c r="E15660" s="1050"/>
      <c r="F15660" s="1050"/>
      <c r="G15660" s="1050"/>
    </row>
    <row r="15661" spans="1:7">
      <c r="A15661" s="1079"/>
      <c r="B15661" s="1050"/>
      <c r="C15661" s="1050"/>
      <c r="D15661" s="1050"/>
      <c r="E15661" s="1050"/>
      <c r="F15661" s="1050"/>
      <c r="G15661" s="1050"/>
    </row>
    <row r="15662" spans="1:7">
      <c r="A15662" s="1079"/>
      <c r="B15662" s="1050"/>
      <c r="C15662" s="1050"/>
      <c r="D15662" s="1050"/>
      <c r="E15662" s="1050"/>
      <c r="F15662" s="1050"/>
      <c r="G15662" s="1050"/>
    </row>
    <row r="15663" spans="1:7">
      <c r="A15663" s="1079"/>
      <c r="B15663" s="1050"/>
      <c r="C15663" s="1050"/>
      <c r="D15663" s="1050"/>
      <c r="E15663" s="1050"/>
      <c r="F15663" s="1050"/>
      <c r="G15663" s="1050"/>
    </row>
    <row r="15664" spans="1:7">
      <c r="A15664" s="1079"/>
      <c r="B15664" s="1050"/>
      <c r="C15664" s="1050"/>
      <c r="D15664" s="1050"/>
      <c r="E15664" s="1050"/>
      <c r="F15664" s="1050"/>
      <c r="G15664" s="1050"/>
    </row>
    <row r="15665" spans="1:7">
      <c r="A15665" s="1079"/>
      <c r="B15665" s="1050"/>
      <c r="C15665" s="1050"/>
      <c r="D15665" s="1050"/>
      <c r="E15665" s="1050"/>
      <c r="F15665" s="1050"/>
      <c r="G15665" s="1050"/>
    </row>
    <row r="15666" spans="1:7">
      <c r="A15666" s="1079"/>
      <c r="B15666" s="1050"/>
      <c r="C15666" s="1050"/>
      <c r="D15666" s="1050"/>
      <c r="E15666" s="1050"/>
      <c r="F15666" s="1050"/>
      <c r="G15666" s="1050"/>
    </row>
    <row r="15667" spans="1:7">
      <c r="A15667" s="1079"/>
      <c r="B15667" s="1050"/>
      <c r="C15667" s="1050"/>
      <c r="D15667" s="1050"/>
      <c r="E15667" s="1050"/>
      <c r="F15667" s="1050"/>
      <c r="G15667" s="1050"/>
    </row>
    <row r="15668" spans="1:7">
      <c r="A15668" s="1079"/>
      <c r="B15668" s="1050"/>
      <c r="C15668" s="1050"/>
      <c r="D15668" s="1050"/>
      <c r="E15668" s="1050"/>
      <c r="F15668" s="1050"/>
      <c r="G15668" s="1050"/>
    </row>
    <row r="15669" spans="1:7">
      <c r="A15669" s="1079"/>
      <c r="B15669" s="1050"/>
      <c r="C15669" s="1050"/>
      <c r="D15669" s="1050"/>
      <c r="E15669" s="1050"/>
      <c r="F15669" s="1050"/>
      <c r="G15669" s="1050"/>
    </row>
    <row r="15670" spans="1:7">
      <c r="A15670" s="1079"/>
      <c r="B15670" s="1050"/>
      <c r="C15670" s="1050"/>
      <c r="D15670" s="1050"/>
      <c r="E15670" s="1050"/>
      <c r="F15670" s="1050"/>
      <c r="G15670" s="1050"/>
    </row>
    <row r="15671" spans="1:7">
      <c r="A15671" s="1079"/>
      <c r="B15671" s="1050"/>
      <c r="C15671" s="1050"/>
      <c r="D15671" s="1050"/>
      <c r="E15671" s="1050"/>
      <c r="F15671" s="1050"/>
      <c r="G15671" s="1050"/>
    </row>
    <row r="15672" spans="1:7">
      <c r="A15672" s="1079"/>
      <c r="B15672" s="1050"/>
      <c r="C15672" s="1050"/>
      <c r="D15672" s="1050"/>
      <c r="E15672" s="1050"/>
      <c r="F15672" s="1050"/>
      <c r="G15672" s="1050"/>
    </row>
    <row r="15673" spans="1:7">
      <c r="A15673" s="1079"/>
      <c r="B15673" s="1050"/>
      <c r="C15673" s="1050"/>
      <c r="D15673" s="1050"/>
      <c r="E15673" s="1050"/>
      <c r="F15673" s="1050"/>
      <c r="G15673" s="1050"/>
    </row>
    <row r="15674" spans="1:7">
      <c r="A15674" s="1079"/>
      <c r="B15674" s="1050"/>
      <c r="C15674" s="1050"/>
      <c r="D15674" s="1050"/>
      <c r="E15674" s="1050"/>
      <c r="F15674" s="1050"/>
      <c r="G15674" s="1050"/>
    </row>
    <row r="15675" spans="1:7">
      <c r="A15675" s="1079"/>
      <c r="B15675" s="1050"/>
      <c r="C15675" s="1050"/>
      <c r="D15675" s="1050"/>
      <c r="E15675" s="1050"/>
      <c r="F15675" s="1050"/>
      <c r="G15675" s="1050"/>
    </row>
    <row r="15676" spans="1:7">
      <c r="A15676" s="1079"/>
      <c r="B15676" s="1050"/>
      <c r="C15676" s="1050"/>
      <c r="D15676" s="1050"/>
      <c r="E15676" s="1050"/>
      <c r="F15676" s="1050"/>
      <c r="G15676" s="1050"/>
    </row>
    <row r="15677" spans="1:7">
      <c r="A15677" s="1079"/>
      <c r="B15677" s="1050"/>
      <c r="C15677" s="1050"/>
      <c r="D15677" s="1050"/>
      <c r="E15677" s="1050"/>
      <c r="F15677" s="1050"/>
      <c r="G15677" s="1050"/>
    </row>
    <row r="15678" spans="1:7">
      <c r="A15678" s="1079"/>
      <c r="B15678" s="1050"/>
      <c r="C15678" s="1050"/>
      <c r="D15678" s="1050"/>
      <c r="E15678" s="1050"/>
      <c r="F15678" s="1050"/>
      <c r="G15678" s="1050"/>
    </row>
    <row r="15679" spans="1:7">
      <c r="A15679" s="1079"/>
      <c r="B15679" s="1050"/>
      <c r="C15679" s="1050"/>
      <c r="D15679" s="1050"/>
      <c r="E15679" s="1050"/>
      <c r="F15679" s="1050"/>
      <c r="G15679" s="1050"/>
    </row>
    <row r="15680" spans="1:7">
      <c r="A15680" s="1079"/>
      <c r="B15680" s="1050"/>
      <c r="C15680" s="1050"/>
      <c r="D15680" s="1050"/>
      <c r="E15680" s="1050"/>
      <c r="F15680" s="1050"/>
      <c r="G15680" s="1050"/>
    </row>
    <row r="15681" spans="1:7">
      <c r="A15681" s="1079"/>
      <c r="B15681" s="1050"/>
      <c r="C15681" s="1050"/>
      <c r="D15681" s="1050"/>
      <c r="E15681" s="1050"/>
      <c r="F15681" s="1050"/>
      <c r="G15681" s="1050"/>
    </row>
    <row r="15682" spans="1:7">
      <c r="A15682" s="1079"/>
      <c r="B15682" s="1050"/>
      <c r="C15682" s="1050"/>
      <c r="D15682" s="1050"/>
      <c r="E15682" s="1050"/>
      <c r="F15682" s="1050"/>
      <c r="G15682" s="1050"/>
    </row>
    <row r="15683" spans="1:7">
      <c r="A15683" s="1079"/>
      <c r="B15683" s="1050"/>
      <c r="C15683" s="1050"/>
      <c r="D15683" s="1050"/>
      <c r="E15683" s="1050"/>
      <c r="F15683" s="1050"/>
      <c r="G15683" s="1050"/>
    </row>
    <row r="15684" spans="1:7">
      <c r="A15684" s="1079"/>
      <c r="B15684" s="1050"/>
      <c r="C15684" s="1050"/>
      <c r="D15684" s="1050"/>
      <c r="E15684" s="1050"/>
      <c r="F15684" s="1050"/>
      <c r="G15684" s="1050"/>
    </row>
    <row r="15685" spans="1:7">
      <c r="A15685" s="1079"/>
      <c r="B15685" s="1050"/>
      <c r="C15685" s="1050"/>
      <c r="D15685" s="1050"/>
      <c r="E15685" s="1050"/>
      <c r="F15685" s="1050"/>
      <c r="G15685" s="1050"/>
    </row>
    <row r="15686" spans="1:7">
      <c r="A15686" s="1079"/>
      <c r="B15686" s="1050"/>
      <c r="C15686" s="1050"/>
      <c r="D15686" s="1050"/>
      <c r="E15686" s="1050"/>
      <c r="F15686" s="1050"/>
      <c r="G15686" s="1050"/>
    </row>
    <row r="15687" spans="1:7">
      <c r="A15687" s="1079"/>
      <c r="B15687" s="1050"/>
      <c r="C15687" s="1050"/>
      <c r="D15687" s="1050"/>
      <c r="E15687" s="1050"/>
      <c r="F15687" s="1050"/>
      <c r="G15687" s="1050"/>
    </row>
    <row r="15688" spans="1:7">
      <c r="A15688" s="1079"/>
      <c r="B15688" s="1050"/>
      <c r="C15688" s="1050"/>
      <c r="D15688" s="1050"/>
      <c r="E15688" s="1050"/>
      <c r="F15688" s="1050"/>
      <c r="G15688" s="1050"/>
    </row>
    <row r="15689" spans="1:7">
      <c r="A15689" s="1079"/>
      <c r="B15689" s="1050"/>
      <c r="C15689" s="1050"/>
      <c r="D15689" s="1050"/>
      <c r="E15689" s="1050"/>
      <c r="F15689" s="1050"/>
      <c r="G15689" s="1050"/>
    </row>
    <row r="15690" spans="1:7">
      <c r="A15690" s="1079"/>
      <c r="B15690" s="1050"/>
      <c r="C15690" s="1050"/>
      <c r="D15690" s="1050"/>
      <c r="E15690" s="1050"/>
      <c r="F15690" s="1050"/>
      <c r="G15690" s="1050"/>
    </row>
    <row r="15691" spans="1:7">
      <c r="A15691" s="1079"/>
      <c r="B15691" s="1050"/>
      <c r="C15691" s="1050"/>
      <c r="D15691" s="1050"/>
      <c r="E15691" s="1050"/>
      <c r="F15691" s="1050"/>
      <c r="G15691" s="1050"/>
    </row>
    <row r="15692" spans="1:7">
      <c r="A15692" s="1079"/>
      <c r="B15692" s="1050"/>
      <c r="C15692" s="1050"/>
      <c r="D15692" s="1050"/>
      <c r="E15692" s="1050"/>
      <c r="F15692" s="1050"/>
      <c r="G15692" s="1050"/>
    </row>
    <row r="15693" spans="1:7">
      <c r="A15693" s="1079"/>
      <c r="B15693" s="1050"/>
      <c r="C15693" s="1050"/>
      <c r="D15693" s="1050"/>
      <c r="E15693" s="1050"/>
      <c r="F15693" s="1050"/>
      <c r="G15693" s="1050"/>
    </row>
    <row r="15694" spans="1:7">
      <c r="A15694" s="1079"/>
      <c r="B15694" s="1050"/>
      <c r="C15694" s="1050"/>
      <c r="D15694" s="1050"/>
      <c r="E15694" s="1050"/>
      <c r="F15694" s="1050"/>
      <c r="G15694" s="1050"/>
    </row>
    <row r="15695" spans="1:7">
      <c r="A15695" s="1079"/>
      <c r="B15695" s="1050"/>
      <c r="C15695" s="1050"/>
      <c r="D15695" s="1050"/>
      <c r="E15695" s="1050"/>
      <c r="F15695" s="1050"/>
      <c r="G15695" s="1050"/>
    </row>
    <row r="15696" spans="1:7">
      <c r="A15696" s="1079"/>
      <c r="B15696" s="1050"/>
      <c r="C15696" s="1050"/>
      <c r="D15696" s="1050"/>
      <c r="E15696" s="1050"/>
      <c r="F15696" s="1050"/>
      <c r="G15696" s="1050"/>
    </row>
    <row r="15697" spans="1:7">
      <c r="A15697" s="1079"/>
      <c r="B15697" s="1050"/>
      <c r="C15697" s="1050"/>
      <c r="D15697" s="1050"/>
      <c r="E15697" s="1050"/>
      <c r="F15697" s="1050"/>
      <c r="G15697" s="1050"/>
    </row>
    <row r="15698" spans="1:7">
      <c r="A15698" s="1079"/>
      <c r="B15698" s="1050"/>
      <c r="C15698" s="1050"/>
      <c r="D15698" s="1050"/>
      <c r="E15698" s="1050"/>
      <c r="F15698" s="1050"/>
      <c r="G15698" s="1050"/>
    </row>
    <row r="15699" spans="1:7">
      <c r="A15699" s="1079"/>
      <c r="B15699" s="1050"/>
      <c r="C15699" s="1050"/>
      <c r="D15699" s="1050"/>
      <c r="E15699" s="1050"/>
      <c r="F15699" s="1050"/>
      <c r="G15699" s="1050"/>
    </row>
    <row r="15700" spans="1:7">
      <c r="A15700" s="1079"/>
      <c r="B15700" s="1050"/>
      <c r="C15700" s="1050"/>
      <c r="D15700" s="1050"/>
      <c r="E15700" s="1050"/>
      <c r="F15700" s="1050"/>
      <c r="G15700" s="1050"/>
    </row>
    <row r="15701" spans="1:7">
      <c r="A15701" s="1079"/>
      <c r="B15701" s="1050"/>
      <c r="C15701" s="1050"/>
      <c r="D15701" s="1050"/>
      <c r="E15701" s="1050"/>
      <c r="F15701" s="1050"/>
      <c r="G15701" s="1050"/>
    </row>
    <row r="15702" spans="1:7">
      <c r="A15702" s="1079"/>
      <c r="B15702" s="1050"/>
      <c r="C15702" s="1050"/>
      <c r="D15702" s="1050"/>
      <c r="E15702" s="1050"/>
      <c r="F15702" s="1050"/>
      <c r="G15702" s="1050"/>
    </row>
    <row r="15703" spans="1:7">
      <c r="A15703" s="1079"/>
      <c r="B15703" s="1050"/>
      <c r="C15703" s="1050"/>
      <c r="D15703" s="1050"/>
      <c r="E15703" s="1050"/>
      <c r="F15703" s="1050"/>
      <c r="G15703" s="1050"/>
    </row>
    <row r="15704" spans="1:7">
      <c r="A15704" s="1079"/>
      <c r="B15704" s="1050"/>
      <c r="C15704" s="1050"/>
      <c r="D15704" s="1050"/>
      <c r="E15704" s="1050"/>
      <c r="F15704" s="1050"/>
      <c r="G15704" s="1050"/>
    </row>
    <row r="15705" spans="1:7">
      <c r="A15705" s="1079"/>
      <c r="B15705" s="1050"/>
      <c r="C15705" s="1050"/>
      <c r="D15705" s="1050"/>
      <c r="E15705" s="1050"/>
      <c r="F15705" s="1050"/>
      <c r="G15705" s="1050"/>
    </row>
    <row r="15706" spans="1:7">
      <c r="A15706" s="1079"/>
      <c r="B15706" s="1050"/>
      <c r="C15706" s="1050"/>
      <c r="D15706" s="1050"/>
      <c r="E15706" s="1050"/>
      <c r="F15706" s="1050"/>
      <c r="G15706" s="1050"/>
    </row>
    <row r="15707" spans="1:7">
      <c r="A15707" s="1079"/>
      <c r="B15707" s="1050"/>
      <c r="C15707" s="1050"/>
      <c r="D15707" s="1050"/>
      <c r="E15707" s="1050"/>
      <c r="F15707" s="1050"/>
      <c r="G15707" s="1050"/>
    </row>
    <row r="15708" spans="1:7">
      <c r="A15708" s="1079"/>
      <c r="B15708" s="1050"/>
      <c r="C15708" s="1050"/>
      <c r="D15708" s="1050"/>
      <c r="E15708" s="1050"/>
      <c r="F15708" s="1050"/>
      <c r="G15708" s="1050"/>
    </row>
    <row r="15709" spans="1:7">
      <c r="A15709" s="1079"/>
      <c r="B15709" s="1050"/>
      <c r="C15709" s="1050"/>
      <c r="D15709" s="1050"/>
      <c r="E15709" s="1050"/>
      <c r="F15709" s="1050"/>
      <c r="G15709" s="1050"/>
    </row>
    <row r="15710" spans="1:7">
      <c r="A15710" s="1079"/>
      <c r="B15710" s="1050"/>
      <c r="C15710" s="1050"/>
      <c r="D15710" s="1050"/>
      <c r="E15710" s="1050"/>
      <c r="F15710" s="1050"/>
      <c r="G15710" s="1050"/>
    </row>
    <row r="15711" spans="1:7">
      <c r="A15711" s="1079"/>
      <c r="B15711" s="1050"/>
      <c r="C15711" s="1050"/>
      <c r="D15711" s="1050"/>
      <c r="E15711" s="1050"/>
      <c r="F15711" s="1050"/>
      <c r="G15711" s="1050"/>
    </row>
    <row r="15712" spans="1:7">
      <c r="A15712" s="1079"/>
      <c r="B15712" s="1050"/>
      <c r="C15712" s="1050"/>
      <c r="D15712" s="1050"/>
      <c r="E15712" s="1050"/>
      <c r="F15712" s="1050"/>
      <c r="G15712" s="1050"/>
    </row>
    <row r="15713" spans="1:7">
      <c r="A15713" s="1079"/>
      <c r="B15713" s="1050"/>
      <c r="C15713" s="1050"/>
      <c r="D15713" s="1050"/>
      <c r="E15713" s="1050"/>
      <c r="F15713" s="1050"/>
      <c r="G15713" s="1050"/>
    </row>
    <row r="15714" spans="1:7">
      <c r="A15714" s="1079"/>
      <c r="B15714" s="1050"/>
      <c r="C15714" s="1050"/>
      <c r="D15714" s="1050"/>
      <c r="E15714" s="1050"/>
      <c r="F15714" s="1050"/>
      <c r="G15714" s="1050"/>
    </row>
    <row r="15715" spans="1:7">
      <c r="A15715" s="1079"/>
      <c r="B15715" s="1050"/>
      <c r="C15715" s="1050"/>
      <c r="D15715" s="1050"/>
      <c r="E15715" s="1050"/>
      <c r="F15715" s="1050"/>
      <c r="G15715" s="1050"/>
    </row>
    <row r="15716" spans="1:7">
      <c r="A15716" s="1079"/>
      <c r="B15716" s="1050"/>
      <c r="C15716" s="1050"/>
      <c r="D15716" s="1050"/>
      <c r="E15716" s="1050"/>
      <c r="F15716" s="1050"/>
      <c r="G15716" s="1050"/>
    </row>
    <row r="15717" spans="1:7">
      <c r="A15717" s="1079"/>
      <c r="B15717" s="1050"/>
      <c r="C15717" s="1050"/>
      <c r="D15717" s="1050"/>
      <c r="E15717" s="1050"/>
      <c r="F15717" s="1050"/>
      <c r="G15717" s="1050"/>
    </row>
    <row r="15718" spans="1:7">
      <c r="A15718" s="1079"/>
      <c r="B15718" s="1050"/>
      <c r="C15718" s="1050"/>
      <c r="D15718" s="1050"/>
      <c r="E15718" s="1050"/>
      <c r="F15718" s="1050"/>
      <c r="G15718" s="1050"/>
    </row>
    <row r="15719" spans="1:7">
      <c r="A15719" s="1079"/>
      <c r="B15719" s="1050"/>
      <c r="C15719" s="1050"/>
      <c r="D15719" s="1050"/>
      <c r="E15719" s="1050"/>
      <c r="F15719" s="1050"/>
      <c r="G15719" s="1050"/>
    </row>
    <row r="15720" spans="1:7">
      <c r="A15720" s="1079"/>
      <c r="B15720" s="1050"/>
      <c r="C15720" s="1050"/>
      <c r="D15720" s="1050"/>
      <c r="E15720" s="1050"/>
      <c r="F15720" s="1050"/>
      <c r="G15720" s="1050"/>
    </row>
    <row r="15721" spans="1:7">
      <c r="A15721" s="1079"/>
      <c r="B15721" s="1050"/>
      <c r="C15721" s="1050"/>
      <c r="D15721" s="1050"/>
      <c r="E15721" s="1050"/>
      <c r="F15721" s="1050"/>
      <c r="G15721" s="1050"/>
    </row>
    <row r="15722" spans="1:7">
      <c r="A15722" s="1079"/>
      <c r="B15722" s="1050"/>
      <c r="C15722" s="1050"/>
      <c r="D15722" s="1050"/>
      <c r="E15722" s="1050"/>
      <c r="F15722" s="1050"/>
      <c r="G15722" s="1050"/>
    </row>
    <row r="15723" spans="1:7">
      <c r="A15723" s="1079"/>
      <c r="B15723" s="1050"/>
      <c r="C15723" s="1050"/>
      <c r="D15723" s="1050"/>
      <c r="E15723" s="1050"/>
      <c r="F15723" s="1050"/>
      <c r="G15723" s="1050"/>
    </row>
    <row r="15724" spans="1:7">
      <c r="A15724" s="1079"/>
      <c r="B15724" s="1050"/>
      <c r="C15724" s="1050"/>
      <c r="D15724" s="1050"/>
      <c r="E15724" s="1050"/>
      <c r="F15724" s="1050"/>
      <c r="G15724" s="1050"/>
    </row>
    <row r="15725" spans="1:7">
      <c r="A15725" s="1079"/>
      <c r="B15725" s="1050"/>
      <c r="C15725" s="1050"/>
      <c r="D15725" s="1050"/>
      <c r="E15725" s="1050"/>
      <c r="F15725" s="1050"/>
      <c r="G15725" s="1050"/>
    </row>
    <row r="15726" spans="1:7">
      <c r="A15726" s="1079"/>
      <c r="B15726" s="1050"/>
      <c r="C15726" s="1050"/>
      <c r="D15726" s="1050"/>
      <c r="E15726" s="1050"/>
      <c r="F15726" s="1050"/>
      <c r="G15726" s="1050"/>
    </row>
    <row r="15727" spans="1:7">
      <c r="A15727" s="1079"/>
      <c r="B15727" s="1050"/>
      <c r="C15727" s="1050"/>
      <c r="D15727" s="1050"/>
      <c r="E15727" s="1050"/>
      <c r="F15727" s="1050"/>
      <c r="G15727" s="1050"/>
    </row>
    <row r="15728" spans="1:7">
      <c r="A15728" s="1079"/>
      <c r="B15728" s="1050"/>
      <c r="C15728" s="1050"/>
      <c r="D15728" s="1050"/>
      <c r="E15728" s="1050"/>
      <c r="F15728" s="1050"/>
      <c r="G15728" s="1050"/>
    </row>
    <row r="15729" spans="1:7">
      <c r="A15729" s="1079"/>
      <c r="B15729" s="1050"/>
      <c r="C15729" s="1050"/>
      <c r="D15729" s="1050"/>
      <c r="E15729" s="1050"/>
      <c r="F15729" s="1050"/>
      <c r="G15729" s="1050"/>
    </row>
    <row r="15730" spans="1:7">
      <c r="A15730" s="1079"/>
      <c r="B15730" s="1050"/>
      <c r="C15730" s="1050"/>
      <c r="D15730" s="1050"/>
      <c r="E15730" s="1050"/>
      <c r="F15730" s="1050"/>
      <c r="G15730" s="1050"/>
    </row>
    <row r="15731" spans="1:7">
      <c r="A15731" s="1079"/>
      <c r="B15731" s="1050"/>
      <c r="C15731" s="1050"/>
      <c r="D15731" s="1050"/>
      <c r="E15731" s="1050"/>
      <c r="F15731" s="1050"/>
      <c r="G15731" s="1050"/>
    </row>
    <row r="15732" spans="1:7">
      <c r="A15732" s="1079"/>
      <c r="B15732" s="1050"/>
      <c r="C15732" s="1050"/>
      <c r="D15732" s="1050"/>
      <c r="E15732" s="1050"/>
      <c r="F15732" s="1050"/>
      <c r="G15732" s="1050"/>
    </row>
    <row r="15733" spans="1:7">
      <c r="A15733" s="1079"/>
      <c r="B15733" s="1050"/>
      <c r="C15733" s="1050"/>
      <c r="D15733" s="1050"/>
      <c r="E15733" s="1050"/>
      <c r="F15733" s="1050"/>
      <c r="G15733" s="1050"/>
    </row>
    <row r="15734" spans="1:7">
      <c r="A15734" s="1079"/>
      <c r="B15734" s="1050"/>
      <c r="C15734" s="1050"/>
      <c r="D15734" s="1050"/>
      <c r="E15734" s="1050"/>
      <c r="F15734" s="1050"/>
      <c r="G15734" s="1050"/>
    </row>
    <row r="15735" spans="1:7">
      <c r="A15735" s="1079"/>
      <c r="B15735" s="1050"/>
      <c r="C15735" s="1050"/>
      <c r="D15735" s="1050"/>
      <c r="E15735" s="1050"/>
      <c r="F15735" s="1050"/>
      <c r="G15735" s="1050"/>
    </row>
    <row r="15736" spans="1:7">
      <c r="A15736" s="1079"/>
      <c r="B15736" s="1050"/>
      <c r="C15736" s="1050"/>
      <c r="D15736" s="1050"/>
      <c r="E15736" s="1050"/>
      <c r="F15736" s="1050"/>
      <c r="G15736" s="1050"/>
    </row>
    <row r="15737" spans="1:7">
      <c r="A15737" s="1079"/>
      <c r="B15737" s="1050"/>
      <c r="C15737" s="1050"/>
      <c r="D15737" s="1050"/>
      <c r="E15737" s="1050"/>
      <c r="F15737" s="1050"/>
      <c r="G15737" s="1050"/>
    </row>
    <row r="15738" spans="1:7">
      <c r="A15738" s="1079"/>
      <c r="B15738" s="1050"/>
      <c r="C15738" s="1050"/>
      <c r="D15738" s="1050"/>
      <c r="E15738" s="1050"/>
      <c r="F15738" s="1050"/>
      <c r="G15738" s="1050"/>
    </row>
    <row r="15739" spans="1:7">
      <c r="A15739" s="1079"/>
      <c r="B15739" s="1050"/>
      <c r="C15739" s="1050"/>
      <c r="D15739" s="1050"/>
      <c r="E15739" s="1050"/>
      <c r="F15739" s="1050"/>
      <c r="G15739" s="1050"/>
    </row>
    <row r="15740" spans="1:7">
      <c r="A15740" s="1079"/>
      <c r="B15740" s="1050"/>
      <c r="C15740" s="1050"/>
      <c r="D15740" s="1050"/>
      <c r="E15740" s="1050"/>
      <c r="F15740" s="1050"/>
      <c r="G15740" s="1050"/>
    </row>
    <row r="15741" spans="1:7">
      <c r="A15741" s="1079"/>
      <c r="B15741" s="1050"/>
      <c r="C15741" s="1050"/>
      <c r="D15741" s="1050"/>
      <c r="E15741" s="1050"/>
      <c r="F15741" s="1050"/>
      <c r="G15741" s="1050"/>
    </row>
    <row r="15742" spans="1:7">
      <c r="A15742" s="1079"/>
      <c r="B15742" s="1050"/>
      <c r="C15742" s="1050"/>
      <c r="D15742" s="1050"/>
      <c r="E15742" s="1050"/>
      <c r="F15742" s="1050"/>
      <c r="G15742" s="1050"/>
    </row>
    <row r="15743" spans="1:7">
      <c r="A15743" s="1079"/>
      <c r="B15743" s="1050"/>
      <c r="C15743" s="1050"/>
      <c r="D15743" s="1050"/>
      <c r="E15743" s="1050"/>
      <c r="F15743" s="1050"/>
      <c r="G15743" s="1050"/>
    </row>
    <row r="15744" spans="1:7">
      <c r="A15744" s="1079"/>
      <c r="B15744" s="1050"/>
      <c r="C15744" s="1050"/>
      <c r="D15744" s="1050"/>
      <c r="E15744" s="1050"/>
      <c r="F15744" s="1050"/>
      <c r="G15744" s="1050"/>
    </row>
    <row r="15745" spans="1:7">
      <c r="A15745" s="1079"/>
      <c r="B15745" s="1050"/>
      <c r="C15745" s="1050"/>
      <c r="D15745" s="1050"/>
      <c r="E15745" s="1050"/>
      <c r="F15745" s="1050"/>
      <c r="G15745" s="1050"/>
    </row>
    <row r="15746" spans="1:7">
      <c r="A15746" s="1079"/>
      <c r="B15746" s="1050"/>
      <c r="C15746" s="1050"/>
      <c r="D15746" s="1050"/>
      <c r="E15746" s="1050"/>
      <c r="F15746" s="1050"/>
      <c r="G15746" s="1050"/>
    </row>
    <row r="15747" spans="1:7">
      <c r="A15747" s="1079"/>
      <c r="B15747" s="1050"/>
      <c r="C15747" s="1050"/>
      <c r="D15747" s="1050"/>
      <c r="E15747" s="1050"/>
      <c r="F15747" s="1050"/>
      <c r="G15747" s="1050"/>
    </row>
    <row r="15748" spans="1:7">
      <c r="A15748" s="1079"/>
      <c r="B15748" s="1050"/>
      <c r="C15748" s="1050"/>
      <c r="D15748" s="1050"/>
      <c r="E15748" s="1050"/>
      <c r="F15748" s="1050"/>
      <c r="G15748" s="1050"/>
    </row>
    <row r="15749" spans="1:7">
      <c r="A15749" s="1079"/>
      <c r="B15749" s="1050"/>
      <c r="C15749" s="1050"/>
      <c r="D15749" s="1050"/>
      <c r="E15749" s="1050"/>
      <c r="F15749" s="1050"/>
      <c r="G15749" s="1050"/>
    </row>
    <row r="15750" spans="1:7">
      <c r="A15750" s="1079"/>
      <c r="B15750" s="1050"/>
      <c r="C15750" s="1050"/>
      <c r="D15750" s="1050"/>
      <c r="E15750" s="1050"/>
      <c r="F15750" s="1050"/>
      <c r="G15750" s="1050"/>
    </row>
    <row r="15751" spans="1:7">
      <c r="A15751" s="1079"/>
      <c r="B15751" s="1050"/>
      <c r="C15751" s="1050"/>
      <c r="D15751" s="1050"/>
      <c r="E15751" s="1050"/>
      <c r="F15751" s="1050"/>
      <c r="G15751" s="1050"/>
    </row>
    <row r="15752" spans="1:7">
      <c r="A15752" s="1079"/>
      <c r="B15752" s="1050"/>
      <c r="C15752" s="1050"/>
      <c r="D15752" s="1050"/>
      <c r="E15752" s="1050"/>
      <c r="F15752" s="1050"/>
      <c r="G15752" s="1050"/>
    </row>
    <row r="15753" spans="1:7">
      <c r="A15753" s="1079"/>
      <c r="B15753" s="1050"/>
      <c r="C15753" s="1050"/>
      <c r="D15753" s="1050"/>
      <c r="E15753" s="1050"/>
      <c r="F15753" s="1050"/>
      <c r="G15753" s="1050"/>
    </row>
    <row r="15754" spans="1:7">
      <c r="A15754" s="1079"/>
      <c r="B15754" s="1050"/>
      <c r="C15754" s="1050"/>
      <c r="D15754" s="1050"/>
      <c r="E15754" s="1050"/>
      <c r="F15754" s="1050"/>
      <c r="G15754" s="1050"/>
    </row>
    <row r="15755" spans="1:7">
      <c r="A15755" s="1079"/>
      <c r="B15755" s="1050"/>
      <c r="C15755" s="1050"/>
      <c r="D15755" s="1050"/>
      <c r="E15755" s="1050"/>
      <c r="F15755" s="1050"/>
      <c r="G15755" s="1050"/>
    </row>
    <row r="15756" spans="1:7">
      <c r="A15756" s="1079"/>
      <c r="B15756" s="1050"/>
      <c r="C15756" s="1050"/>
      <c r="D15756" s="1050"/>
      <c r="E15756" s="1050"/>
      <c r="F15756" s="1050"/>
      <c r="G15756" s="1050"/>
    </row>
    <row r="15757" spans="1:7">
      <c r="A15757" s="1079"/>
      <c r="B15757" s="1050"/>
      <c r="C15757" s="1050"/>
      <c r="D15757" s="1050"/>
      <c r="E15757" s="1050"/>
      <c r="F15757" s="1050"/>
      <c r="G15757" s="1050"/>
    </row>
    <row r="15758" spans="1:7">
      <c r="A15758" s="1079"/>
      <c r="B15758" s="1050"/>
      <c r="C15758" s="1050"/>
      <c r="D15758" s="1050"/>
      <c r="E15758" s="1050"/>
      <c r="F15758" s="1050"/>
      <c r="G15758" s="1050"/>
    </row>
    <row r="15759" spans="1:7">
      <c r="A15759" s="1079"/>
      <c r="B15759" s="1050"/>
      <c r="C15759" s="1050"/>
      <c r="D15759" s="1050"/>
      <c r="E15759" s="1050"/>
      <c r="F15759" s="1050"/>
      <c r="G15759" s="1050"/>
    </row>
    <row r="15760" spans="1:7">
      <c r="A15760" s="1079"/>
      <c r="B15760" s="1050"/>
      <c r="C15760" s="1050"/>
      <c r="D15760" s="1050"/>
      <c r="E15760" s="1050"/>
      <c r="F15760" s="1050"/>
      <c r="G15760" s="1050"/>
    </row>
    <row r="15761" spans="1:7">
      <c r="A15761" s="1079"/>
      <c r="B15761" s="1050"/>
      <c r="C15761" s="1050"/>
      <c r="D15761" s="1050"/>
      <c r="E15761" s="1050"/>
      <c r="F15761" s="1050"/>
      <c r="G15761" s="1050"/>
    </row>
    <row r="15762" spans="1:7">
      <c r="A15762" s="1079"/>
      <c r="B15762" s="1050"/>
      <c r="C15762" s="1050"/>
      <c r="D15762" s="1050"/>
      <c r="E15762" s="1050"/>
      <c r="F15762" s="1050"/>
      <c r="G15762" s="1050"/>
    </row>
    <row r="15763" spans="1:7">
      <c r="A15763" s="1079"/>
      <c r="B15763" s="1050"/>
      <c r="C15763" s="1050"/>
      <c r="D15763" s="1050"/>
      <c r="E15763" s="1050"/>
      <c r="F15763" s="1050"/>
      <c r="G15763" s="1050"/>
    </row>
    <row r="15764" spans="1:7">
      <c r="A15764" s="1079"/>
      <c r="B15764" s="1050"/>
      <c r="C15764" s="1050"/>
      <c r="D15764" s="1050"/>
      <c r="E15764" s="1050"/>
      <c r="F15764" s="1050"/>
      <c r="G15764" s="1050"/>
    </row>
    <row r="15765" spans="1:7">
      <c r="A15765" s="1079"/>
      <c r="B15765" s="1050"/>
      <c r="C15765" s="1050"/>
      <c r="D15765" s="1050"/>
      <c r="E15765" s="1050"/>
      <c r="F15765" s="1050"/>
      <c r="G15765" s="1050"/>
    </row>
    <row r="15766" spans="1:7">
      <c r="A15766" s="1079"/>
      <c r="B15766" s="1050"/>
      <c r="C15766" s="1050"/>
      <c r="D15766" s="1050"/>
      <c r="E15766" s="1050"/>
      <c r="F15766" s="1050"/>
      <c r="G15766" s="1050"/>
    </row>
    <row r="15767" spans="1:7">
      <c r="A15767" s="1079"/>
      <c r="B15767" s="1050"/>
      <c r="C15767" s="1050"/>
      <c r="D15767" s="1050"/>
      <c r="E15767" s="1050"/>
      <c r="F15767" s="1050"/>
      <c r="G15767" s="1050"/>
    </row>
    <row r="15768" spans="1:7">
      <c r="A15768" s="1079"/>
      <c r="B15768" s="1050"/>
      <c r="C15768" s="1050"/>
      <c r="D15768" s="1050"/>
      <c r="E15768" s="1050"/>
      <c r="F15768" s="1050"/>
      <c r="G15768" s="1050"/>
    </row>
    <row r="15769" spans="1:7">
      <c r="A15769" s="1079"/>
      <c r="B15769" s="1050"/>
      <c r="C15769" s="1050"/>
      <c r="D15769" s="1050"/>
      <c r="E15769" s="1050"/>
      <c r="F15769" s="1050"/>
      <c r="G15769" s="1050"/>
    </row>
    <row r="15770" spans="1:7">
      <c r="A15770" s="1079"/>
      <c r="B15770" s="1050"/>
      <c r="C15770" s="1050"/>
      <c r="D15770" s="1050"/>
      <c r="E15770" s="1050"/>
      <c r="F15770" s="1050"/>
      <c r="G15770" s="1050"/>
    </row>
    <row r="15771" spans="1:7">
      <c r="A15771" s="1079"/>
      <c r="B15771" s="1050"/>
      <c r="C15771" s="1050"/>
      <c r="D15771" s="1050"/>
      <c r="E15771" s="1050"/>
      <c r="F15771" s="1050"/>
      <c r="G15771" s="1050"/>
    </row>
    <row r="15772" spans="1:7">
      <c r="A15772" s="1079"/>
      <c r="B15772" s="1050"/>
      <c r="C15772" s="1050"/>
      <c r="D15772" s="1050"/>
      <c r="E15772" s="1050"/>
      <c r="F15772" s="1050"/>
      <c r="G15772" s="1050"/>
    </row>
    <row r="15773" spans="1:7">
      <c r="A15773" s="1079"/>
      <c r="B15773" s="1050"/>
      <c r="C15773" s="1050"/>
      <c r="D15773" s="1050"/>
      <c r="E15773" s="1050"/>
      <c r="F15773" s="1050"/>
      <c r="G15773" s="1050"/>
    </row>
    <row r="15774" spans="1:7">
      <c r="A15774" s="1079"/>
      <c r="B15774" s="1050"/>
      <c r="C15774" s="1050"/>
      <c r="D15774" s="1050"/>
      <c r="E15774" s="1050"/>
      <c r="F15774" s="1050"/>
      <c r="G15774" s="1050"/>
    </row>
    <row r="15775" spans="1:7">
      <c r="A15775" s="1079"/>
      <c r="B15775" s="1050"/>
      <c r="C15775" s="1050"/>
      <c r="D15775" s="1050"/>
      <c r="E15775" s="1050"/>
      <c r="F15775" s="1050"/>
      <c r="G15775" s="1050"/>
    </row>
    <row r="15776" spans="1:7">
      <c r="A15776" s="1079"/>
      <c r="B15776" s="1050"/>
      <c r="C15776" s="1050"/>
      <c r="D15776" s="1050"/>
      <c r="E15776" s="1050"/>
      <c r="F15776" s="1050"/>
      <c r="G15776" s="1050"/>
    </row>
    <row r="15777" spans="1:7">
      <c r="A15777" s="1079"/>
      <c r="B15777" s="1050"/>
      <c r="C15777" s="1050"/>
      <c r="D15777" s="1050"/>
      <c r="E15777" s="1050"/>
      <c r="F15777" s="1050"/>
      <c r="G15777" s="1050"/>
    </row>
    <row r="15778" spans="1:7">
      <c r="A15778" s="1079"/>
      <c r="B15778" s="1050"/>
      <c r="C15778" s="1050"/>
      <c r="D15778" s="1050"/>
      <c r="E15778" s="1050"/>
      <c r="F15778" s="1050"/>
      <c r="G15778" s="1050"/>
    </row>
    <row r="15779" spans="1:7">
      <c r="A15779" s="1079"/>
      <c r="B15779" s="1050"/>
      <c r="C15779" s="1050"/>
      <c r="D15779" s="1050"/>
      <c r="E15779" s="1050"/>
      <c r="F15779" s="1050"/>
      <c r="G15779" s="1050"/>
    </row>
    <row r="15780" spans="1:7">
      <c r="A15780" s="1079"/>
      <c r="B15780" s="1050"/>
      <c r="C15780" s="1050"/>
      <c r="D15780" s="1050"/>
      <c r="E15780" s="1050"/>
      <c r="F15780" s="1050"/>
      <c r="G15780" s="1050"/>
    </row>
    <row r="15781" spans="1:7">
      <c r="A15781" s="1079"/>
      <c r="B15781" s="1050"/>
      <c r="C15781" s="1050"/>
      <c r="D15781" s="1050"/>
      <c r="E15781" s="1050"/>
      <c r="F15781" s="1050"/>
      <c r="G15781" s="1050"/>
    </row>
    <row r="15782" spans="1:7">
      <c r="A15782" s="1079"/>
      <c r="B15782" s="1050"/>
      <c r="C15782" s="1050"/>
      <c r="D15782" s="1050"/>
      <c r="E15782" s="1050"/>
      <c r="F15782" s="1050"/>
      <c r="G15782" s="1050"/>
    </row>
    <row r="15783" spans="1:7">
      <c r="A15783" s="1079"/>
      <c r="B15783" s="1050"/>
      <c r="C15783" s="1050"/>
      <c r="D15783" s="1050"/>
      <c r="E15783" s="1050"/>
      <c r="F15783" s="1050"/>
      <c r="G15783" s="1050"/>
    </row>
    <row r="15784" spans="1:7">
      <c r="A15784" s="1079"/>
      <c r="B15784" s="1050"/>
      <c r="C15784" s="1050"/>
      <c r="D15784" s="1050"/>
      <c r="E15784" s="1050"/>
      <c r="F15784" s="1050"/>
      <c r="G15784" s="1050"/>
    </row>
    <row r="15785" spans="1:7">
      <c r="A15785" s="1079"/>
      <c r="B15785" s="1050"/>
      <c r="C15785" s="1050"/>
      <c r="D15785" s="1050"/>
      <c r="E15785" s="1050"/>
      <c r="F15785" s="1050"/>
      <c r="G15785" s="1050"/>
    </row>
    <row r="15786" spans="1:7">
      <c r="A15786" s="1079"/>
      <c r="B15786" s="1050"/>
      <c r="C15786" s="1050"/>
      <c r="D15786" s="1050"/>
      <c r="E15786" s="1050"/>
      <c r="F15786" s="1050"/>
      <c r="G15786" s="1050"/>
    </row>
    <row r="15787" spans="1:7">
      <c r="A15787" s="1079"/>
      <c r="B15787" s="1050"/>
      <c r="C15787" s="1050"/>
      <c r="D15787" s="1050"/>
      <c r="E15787" s="1050"/>
      <c r="F15787" s="1050"/>
      <c r="G15787" s="1050"/>
    </row>
    <row r="15788" spans="1:7">
      <c r="A15788" s="1079"/>
      <c r="B15788" s="1050"/>
      <c r="C15788" s="1050"/>
      <c r="D15788" s="1050"/>
      <c r="E15788" s="1050"/>
      <c r="F15788" s="1050"/>
      <c r="G15788" s="1050"/>
    </row>
    <row r="15789" spans="1:7">
      <c r="A15789" s="1079"/>
      <c r="B15789" s="1050"/>
      <c r="C15789" s="1050"/>
      <c r="D15789" s="1050"/>
      <c r="E15789" s="1050"/>
      <c r="F15789" s="1050"/>
      <c r="G15789" s="1050"/>
    </row>
    <row r="15790" spans="1:7">
      <c r="A15790" s="1079"/>
      <c r="B15790" s="1050"/>
      <c r="C15790" s="1050"/>
      <c r="D15790" s="1050"/>
      <c r="E15790" s="1050"/>
      <c r="F15790" s="1050"/>
      <c r="G15790" s="1050"/>
    </row>
    <row r="15791" spans="1:7">
      <c r="A15791" s="1079"/>
      <c r="B15791" s="1050"/>
      <c r="C15791" s="1050"/>
      <c r="D15791" s="1050"/>
      <c r="E15791" s="1050"/>
      <c r="F15791" s="1050"/>
      <c r="G15791" s="1050"/>
    </row>
    <row r="15792" spans="1:7">
      <c r="A15792" s="1079"/>
      <c r="B15792" s="1050"/>
      <c r="C15792" s="1050"/>
      <c r="D15792" s="1050"/>
      <c r="E15792" s="1050"/>
      <c r="F15792" s="1050"/>
      <c r="G15792" s="1050"/>
    </row>
    <row r="15793" spans="1:7">
      <c r="A15793" s="1079"/>
      <c r="B15793" s="1050"/>
      <c r="C15793" s="1050"/>
      <c r="D15793" s="1050"/>
      <c r="E15793" s="1050"/>
      <c r="F15793" s="1050"/>
      <c r="G15793" s="1050"/>
    </row>
    <row r="15794" spans="1:7">
      <c r="A15794" s="1079"/>
      <c r="B15794" s="1050"/>
      <c r="C15794" s="1050"/>
      <c r="D15794" s="1050"/>
      <c r="E15794" s="1050"/>
      <c r="F15794" s="1050"/>
      <c r="G15794" s="1050"/>
    </row>
    <row r="15795" spans="1:7">
      <c r="A15795" s="1079"/>
      <c r="B15795" s="1050"/>
      <c r="C15795" s="1050"/>
      <c r="D15795" s="1050"/>
      <c r="E15795" s="1050"/>
      <c r="F15795" s="1050"/>
      <c r="G15795" s="1050"/>
    </row>
    <row r="15796" spans="1:7">
      <c r="A15796" s="1079"/>
      <c r="B15796" s="1050"/>
      <c r="C15796" s="1050"/>
      <c r="D15796" s="1050"/>
      <c r="E15796" s="1050"/>
      <c r="F15796" s="1050"/>
      <c r="G15796" s="1050"/>
    </row>
    <row r="15797" spans="1:7">
      <c r="A15797" s="1079"/>
      <c r="B15797" s="1050"/>
      <c r="C15797" s="1050"/>
      <c r="D15797" s="1050"/>
      <c r="E15797" s="1050"/>
      <c r="F15797" s="1050"/>
      <c r="G15797" s="1050"/>
    </row>
    <row r="15798" spans="1:7">
      <c r="A15798" s="1079"/>
      <c r="B15798" s="1050"/>
      <c r="C15798" s="1050"/>
      <c r="D15798" s="1050"/>
      <c r="E15798" s="1050"/>
      <c r="F15798" s="1050"/>
      <c r="G15798" s="1050"/>
    </row>
    <row r="15799" spans="1:7">
      <c r="A15799" s="1079"/>
      <c r="B15799" s="1050"/>
      <c r="C15799" s="1050"/>
      <c r="D15799" s="1050"/>
      <c r="E15799" s="1050"/>
      <c r="F15799" s="1050"/>
      <c r="G15799" s="1050"/>
    </row>
    <row r="15800" spans="1:7">
      <c r="A15800" s="1079"/>
      <c r="B15800" s="1050"/>
      <c r="C15800" s="1050"/>
      <c r="D15800" s="1050"/>
      <c r="E15800" s="1050"/>
      <c r="F15800" s="1050"/>
      <c r="G15800" s="1050"/>
    </row>
    <row r="15801" spans="1:7">
      <c r="A15801" s="1079"/>
      <c r="B15801" s="1050"/>
      <c r="C15801" s="1050"/>
      <c r="D15801" s="1050"/>
      <c r="E15801" s="1050"/>
      <c r="F15801" s="1050"/>
      <c r="G15801" s="1050"/>
    </row>
    <row r="15802" spans="1:7">
      <c r="A15802" s="1079"/>
      <c r="B15802" s="1050"/>
      <c r="C15802" s="1050"/>
      <c r="D15802" s="1050"/>
      <c r="E15802" s="1050"/>
      <c r="F15802" s="1050"/>
      <c r="G15802" s="1050"/>
    </row>
    <row r="15803" spans="1:7">
      <c r="A15803" s="1079"/>
      <c r="B15803" s="1050"/>
      <c r="C15803" s="1050"/>
      <c r="D15803" s="1050"/>
      <c r="E15803" s="1050"/>
      <c r="F15803" s="1050"/>
      <c r="G15803" s="1050"/>
    </row>
    <row r="15804" spans="1:7">
      <c r="A15804" s="1079"/>
      <c r="B15804" s="1050"/>
      <c r="C15804" s="1050"/>
      <c r="D15804" s="1050"/>
      <c r="E15804" s="1050"/>
      <c r="F15804" s="1050"/>
      <c r="G15804" s="1050"/>
    </row>
    <row r="15805" spans="1:7">
      <c r="A15805" s="1079"/>
      <c r="B15805" s="1050"/>
      <c r="C15805" s="1050"/>
      <c r="D15805" s="1050"/>
      <c r="E15805" s="1050"/>
      <c r="F15805" s="1050"/>
      <c r="G15805" s="1050"/>
    </row>
    <row r="15806" spans="1:7">
      <c r="A15806" s="1079"/>
      <c r="B15806" s="1050"/>
      <c r="C15806" s="1050"/>
      <c r="D15806" s="1050"/>
      <c r="E15806" s="1050"/>
      <c r="F15806" s="1050"/>
      <c r="G15806" s="1050"/>
    </row>
    <row r="15807" spans="1:7">
      <c r="A15807" s="1079"/>
      <c r="B15807" s="1050"/>
      <c r="C15807" s="1050"/>
      <c r="D15807" s="1050"/>
      <c r="E15807" s="1050"/>
      <c r="F15807" s="1050"/>
      <c r="G15807" s="1050"/>
    </row>
    <row r="15808" spans="1:7">
      <c r="A15808" s="1079"/>
      <c r="B15808" s="1050"/>
      <c r="C15808" s="1050"/>
      <c r="D15808" s="1050"/>
      <c r="E15808" s="1050"/>
      <c r="F15808" s="1050"/>
      <c r="G15808" s="1050"/>
    </row>
    <row r="15809" spans="1:7">
      <c r="A15809" s="1079"/>
      <c r="B15809" s="1050"/>
      <c r="C15809" s="1050"/>
      <c r="D15809" s="1050"/>
      <c r="E15809" s="1050"/>
      <c r="F15809" s="1050"/>
      <c r="G15809" s="1050"/>
    </row>
    <row r="15810" spans="1:7">
      <c r="A15810" s="1079"/>
      <c r="B15810" s="1050"/>
      <c r="C15810" s="1050"/>
      <c r="D15810" s="1050"/>
      <c r="E15810" s="1050"/>
      <c r="F15810" s="1050"/>
      <c r="G15810" s="1050"/>
    </row>
    <row r="15811" spans="1:7">
      <c r="A15811" s="1079"/>
      <c r="B15811" s="1050"/>
      <c r="C15811" s="1050"/>
      <c r="D15811" s="1050"/>
      <c r="E15811" s="1050"/>
      <c r="F15811" s="1050"/>
      <c r="G15811" s="1050"/>
    </row>
    <row r="15812" spans="1:7">
      <c r="A15812" s="1079"/>
      <c r="B15812" s="1050"/>
      <c r="C15812" s="1050"/>
      <c r="D15812" s="1050"/>
      <c r="E15812" s="1050"/>
      <c r="F15812" s="1050"/>
      <c r="G15812" s="1050"/>
    </row>
    <row r="15813" spans="1:7">
      <c r="A15813" s="1079"/>
      <c r="B15813" s="1050"/>
      <c r="C15813" s="1050"/>
      <c r="D15813" s="1050"/>
      <c r="E15813" s="1050"/>
      <c r="F15813" s="1050"/>
      <c r="G15813" s="1050"/>
    </row>
    <row r="15814" spans="1:7">
      <c r="A15814" s="1079"/>
      <c r="B15814" s="1050"/>
      <c r="C15814" s="1050"/>
      <c r="D15814" s="1050"/>
      <c r="E15814" s="1050"/>
      <c r="F15814" s="1050"/>
      <c r="G15814" s="1050"/>
    </row>
    <row r="15815" spans="1:7">
      <c r="A15815" s="1079"/>
      <c r="B15815" s="1050"/>
      <c r="C15815" s="1050"/>
      <c r="D15815" s="1050"/>
      <c r="E15815" s="1050"/>
      <c r="F15815" s="1050"/>
      <c r="G15815" s="1050"/>
    </row>
    <row r="15816" spans="1:7">
      <c r="A15816" s="1079"/>
      <c r="B15816" s="1050"/>
      <c r="C15816" s="1050"/>
      <c r="D15816" s="1050"/>
      <c r="E15816" s="1050"/>
      <c r="F15816" s="1050"/>
      <c r="G15816" s="1050"/>
    </row>
    <row r="15817" spans="1:7">
      <c r="A15817" s="1079"/>
      <c r="B15817" s="1050"/>
      <c r="C15817" s="1050"/>
      <c r="D15817" s="1050"/>
      <c r="E15817" s="1050"/>
      <c r="F15817" s="1050"/>
      <c r="G15817" s="1050"/>
    </row>
    <row r="15818" spans="1:7">
      <c r="A15818" s="1079"/>
      <c r="B15818" s="1050"/>
      <c r="C15818" s="1050"/>
      <c r="D15818" s="1050"/>
      <c r="E15818" s="1050"/>
      <c r="F15818" s="1050"/>
      <c r="G15818" s="1050"/>
    </row>
    <row r="15819" spans="1:7">
      <c r="A15819" s="1079"/>
      <c r="B15819" s="1050"/>
      <c r="C15819" s="1050"/>
      <c r="D15819" s="1050"/>
      <c r="E15819" s="1050"/>
      <c r="F15819" s="1050"/>
      <c r="G15819" s="1050"/>
    </row>
    <row r="15820" spans="1:7">
      <c r="A15820" s="1079"/>
      <c r="B15820" s="1050"/>
      <c r="C15820" s="1050"/>
      <c r="D15820" s="1050"/>
      <c r="E15820" s="1050"/>
      <c r="F15820" s="1050"/>
      <c r="G15820" s="1050"/>
    </row>
    <row r="15821" spans="1:7">
      <c r="A15821" s="1079"/>
      <c r="B15821" s="1050"/>
      <c r="C15821" s="1050"/>
      <c r="D15821" s="1050"/>
      <c r="E15821" s="1050"/>
      <c r="F15821" s="1050"/>
      <c r="G15821" s="1050"/>
    </row>
    <row r="15822" spans="1:7">
      <c r="A15822" s="1079"/>
      <c r="B15822" s="1050"/>
      <c r="C15822" s="1050"/>
      <c r="D15822" s="1050"/>
      <c r="E15822" s="1050"/>
      <c r="F15822" s="1050"/>
      <c r="G15822" s="1050"/>
    </row>
    <row r="15823" spans="1:7">
      <c r="A15823" s="1079"/>
      <c r="B15823" s="1050"/>
      <c r="C15823" s="1050"/>
      <c r="D15823" s="1050"/>
      <c r="E15823" s="1050"/>
      <c r="F15823" s="1050"/>
      <c r="G15823" s="1050"/>
    </row>
    <row r="15824" spans="1:7">
      <c r="A15824" s="1079"/>
      <c r="B15824" s="1050"/>
      <c r="C15824" s="1050"/>
      <c r="D15824" s="1050"/>
      <c r="E15824" s="1050"/>
      <c r="F15824" s="1050"/>
      <c r="G15824" s="1050"/>
    </row>
    <row r="15825" spans="1:7">
      <c r="A15825" s="1079"/>
      <c r="B15825" s="1050"/>
      <c r="C15825" s="1050"/>
      <c r="D15825" s="1050"/>
      <c r="E15825" s="1050"/>
      <c r="F15825" s="1050"/>
      <c r="G15825" s="1050"/>
    </row>
    <row r="15826" spans="1:7">
      <c r="A15826" s="1079"/>
      <c r="B15826" s="1050"/>
      <c r="C15826" s="1050"/>
      <c r="D15826" s="1050"/>
      <c r="E15826" s="1050"/>
      <c r="F15826" s="1050"/>
      <c r="G15826" s="1050"/>
    </row>
    <row r="15827" spans="1:7">
      <c r="A15827" s="1079"/>
      <c r="B15827" s="1050"/>
      <c r="C15827" s="1050"/>
      <c r="D15827" s="1050"/>
      <c r="E15827" s="1050"/>
      <c r="F15827" s="1050"/>
      <c r="G15827" s="1050"/>
    </row>
    <row r="15828" spans="1:7">
      <c r="A15828" s="1079"/>
      <c r="B15828" s="1050"/>
      <c r="C15828" s="1050"/>
      <c r="D15828" s="1050"/>
      <c r="E15828" s="1050"/>
      <c r="F15828" s="1050"/>
      <c r="G15828" s="1050"/>
    </row>
    <row r="15829" spans="1:7">
      <c r="A15829" s="1079"/>
      <c r="B15829" s="1050"/>
      <c r="C15829" s="1050"/>
      <c r="D15829" s="1050"/>
      <c r="E15829" s="1050"/>
      <c r="F15829" s="1050"/>
      <c r="G15829" s="1050"/>
    </row>
    <row r="15830" spans="1:7">
      <c r="A15830" s="1079"/>
      <c r="B15830" s="1050"/>
      <c r="C15830" s="1050"/>
      <c r="D15830" s="1050"/>
      <c r="E15830" s="1050"/>
      <c r="F15830" s="1050"/>
      <c r="G15830" s="1050"/>
    </row>
    <row r="15831" spans="1:7">
      <c r="A15831" s="1079"/>
      <c r="B15831" s="1050"/>
      <c r="C15831" s="1050"/>
      <c r="D15831" s="1050"/>
      <c r="E15831" s="1050"/>
      <c r="F15831" s="1050"/>
      <c r="G15831" s="1050"/>
    </row>
    <row r="15832" spans="1:7">
      <c r="A15832" s="1079"/>
      <c r="B15832" s="1050"/>
      <c r="C15832" s="1050"/>
      <c r="D15832" s="1050"/>
      <c r="E15832" s="1050"/>
      <c r="F15832" s="1050"/>
      <c r="G15832" s="1050"/>
    </row>
    <row r="15833" spans="1:7">
      <c r="A15833" s="1079"/>
      <c r="B15833" s="1050"/>
      <c r="C15833" s="1050"/>
      <c r="D15833" s="1050"/>
      <c r="E15833" s="1050"/>
      <c r="F15833" s="1050"/>
      <c r="G15833" s="1050"/>
    </row>
    <row r="15834" spans="1:7">
      <c r="A15834" s="1079"/>
      <c r="B15834" s="1050"/>
      <c r="C15834" s="1050"/>
      <c r="D15834" s="1050"/>
      <c r="E15834" s="1050"/>
      <c r="F15834" s="1050"/>
      <c r="G15834" s="1050"/>
    </row>
    <row r="15835" spans="1:7">
      <c r="A15835" s="1079"/>
      <c r="B15835" s="1050"/>
      <c r="C15835" s="1050"/>
      <c r="D15835" s="1050"/>
      <c r="E15835" s="1050"/>
      <c r="F15835" s="1050"/>
      <c r="G15835" s="1050"/>
    </row>
    <row r="15836" spans="1:7">
      <c r="A15836" s="1079"/>
      <c r="B15836" s="1050"/>
      <c r="C15836" s="1050"/>
      <c r="D15836" s="1050"/>
      <c r="E15836" s="1050"/>
      <c r="F15836" s="1050"/>
      <c r="G15836" s="1050"/>
    </row>
    <row r="15837" spans="1:7">
      <c r="A15837" s="1079"/>
      <c r="B15837" s="1050"/>
      <c r="C15837" s="1050"/>
      <c r="D15837" s="1050"/>
      <c r="E15837" s="1050"/>
      <c r="F15837" s="1050"/>
      <c r="G15837" s="1050"/>
    </row>
    <row r="15838" spans="1:7">
      <c r="A15838" s="1079"/>
      <c r="B15838" s="1050"/>
      <c r="C15838" s="1050"/>
      <c r="D15838" s="1050"/>
      <c r="E15838" s="1050"/>
      <c r="F15838" s="1050"/>
      <c r="G15838" s="1050"/>
    </row>
    <row r="15839" spans="1:7">
      <c r="A15839" s="1079"/>
      <c r="B15839" s="1050"/>
      <c r="C15839" s="1050"/>
      <c r="D15839" s="1050"/>
      <c r="E15839" s="1050"/>
      <c r="F15839" s="1050"/>
      <c r="G15839" s="1050"/>
    </row>
    <row r="15840" spans="1:7">
      <c r="A15840" s="1079"/>
      <c r="B15840" s="1050"/>
      <c r="C15840" s="1050"/>
      <c r="D15840" s="1050"/>
      <c r="E15840" s="1050"/>
      <c r="F15840" s="1050"/>
      <c r="G15840" s="1050"/>
    </row>
    <row r="15841" spans="1:7">
      <c r="A15841" s="1079"/>
      <c r="B15841" s="1050"/>
      <c r="C15841" s="1050"/>
      <c r="D15841" s="1050"/>
      <c r="E15841" s="1050"/>
      <c r="F15841" s="1050"/>
      <c r="G15841" s="1050"/>
    </row>
    <row r="15842" spans="1:7">
      <c r="A15842" s="1079"/>
      <c r="B15842" s="1050"/>
      <c r="C15842" s="1050"/>
      <c r="D15842" s="1050"/>
      <c r="E15842" s="1050"/>
      <c r="F15842" s="1050"/>
      <c r="G15842" s="1050"/>
    </row>
    <row r="15843" spans="1:7">
      <c r="A15843" s="1079"/>
      <c r="B15843" s="1050"/>
      <c r="C15843" s="1050"/>
      <c r="D15843" s="1050"/>
      <c r="E15843" s="1050"/>
      <c r="F15843" s="1050"/>
      <c r="G15843" s="1050"/>
    </row>
    <row r="15844" spans="1:7">
      <c r="A15844" s="1079"/>
      <c r="B15844" s="1050"/>
      <c r="C15844" s="1050"/>
      <c r="D15844" s="1050"/>
      <c r="E15844" s="1050"/>
      <c r="F15844" s="1050"/>
      <c r="G15844" s="1050"/>
    </row>
    <row r="15845" spans="1:7">
      <c r="A15845" s="1079"/>
      <c r="B15845" s="1050"/>
      <c r="C15845" s="1050"/>
      <c r="D15845" s="1050"/>
      <c r="E15845" s="1050"/>
      <c r="F15845" s="1050"/>
      <c r="G15845" s="1050"/>
    </row>
    <row r="15846" spans="1:7">
      <c r="A15846" s="1079"/>
      <c r="B15846" s="1050"/>
      <c r="C15846" s="1050"/>
      <c r="D15846" s="1050"/>
      <c r="E15846" s="1050"/>
      <c r="F15846" s="1050"/>
      <c r="G15846" s="1050"/>
    </row>
    <row r="15847" spans="1:7">
      <c r="A15847" s="1079"/>
      <c r="B15847" s="1050"/>
      <c r="C15847" s="1050"/>
      <c r="D15847" s="1050"/>
      <c r="E15847" s="1050"/>
      <c r="F15847" s="1050"/>
      <c r="G15847" s="1050"/>
    </row>
    <row r="15848" spans="1:7">
      <c r="A15848" s="1079"/>
      <c r="B15848" s="1050"/>
      <c r="C15848" s="1050"/>
      <c r="D15848" s="1050"/>
      <c r="E15848" s="1050"/>
      <c r="F15848" s="1050"/>
      <c r="G15848" s="1050"/>
    </row>
    <row r="15849" spans="1:7">
      <c r="A15849" s="1079"/>
      <c r="B15849" s="1050"/>
      <c r="C15849" s="1050"/>
      <c r="D15849" s="1050"/>
      <c r="E15849" s="1050"/>
      <c r="F15849" s="1050"/>
      <c r="G15849" s="1050"/>
    </row>
    <row r="15850" spans="1:7">
      <c r="A15850" s="1079"/>
      <c r="B15850" s="1050"/>
      <c r="C15850" s="1050"/>
      <c r="D15850" s="1050"/>
      <c r="E15850" s="1050"/>
      <c r="F15850" s="1050"/>
      <c r="G15850" s="1050"/>
    </row>
    <row r="15851" spans="1:7">
      <c r="A15851" s="1079"/>
      <c r="B15851" s="1050"/>
      <c r="C15851" s="1050"/>
      <c r="D15851" s="1050"/>
      <c r="E15851" s="1050"/>
      <c r="F15851" s="1050"/>
      <c r="G15851" s="1050"/>
    </row>
    <row r="15852" spans="1:7">
      <c r="A15852" s="1079"/>
      <c r="B15852" s="1050"/>
      <c r="C15852" s="1050"/>
      <c r="D15852" s="1050"/>
      <c r="E15852" s="1050"/>
      <c r="F15852" s="1050"/>
      <c r="G15852" s="1050"/>
    </row>
    <row r="15853" spans="1:7">
      <c r="A15853" s="1079"/>
      <c r="B15853" s="1050"/>
      <c r="C15853" s="1050"/>
      <c r="D15853" s="1050"/>
      <c r="E15853" s="1050"/>
      <c r="F15853" s="1050"/>
      <c r="G15853" s="1050"/>
    </row>
    <row r="15854" spans="1:7">
      <c r="A15854" s="1079"/>
      <c r="B15854" s="1050"/>
      <c r="C15854" s="1050"/>
      <c r="D15854" s="1050"/>
      <c r="E15854" s="1050"/>
      <c r="F15854" s="1050"/>
      <c r="G15854" s="1050"/>
    </row>
    <row r="15855" spans="1:7">
      <c r="A15855" s="1079"/>
      <c r="B15855" s="1050"/>
      <c r="C15855" s="1050"/>
      <c r="D15855" s="1050"/>
      <c r="E15855" s="1050"/>
      <c r="F15855" s="1050"/>
      <c r="G15855" s="1050"/>
    </row>
    <row r="15856" spans="1:7">
      <c r="A15856" s="1079"/>
      <c r="B15856" s="1050"/>
      <c r="C15856" s="1050"/>
      <c r="D15856" s="1050"/>
      <c r="E15856" s="1050"/>
      <c r="F15856" s="1050"/>
      <c r="G15856" s="1050"/>
    </row>
    <row r="15857" spans="1:7">
      <c r="A15857" s="1079"/>
      <c r="B15857" s="1050"/>
      <c r="C15857" s="1050"/>
      <c r="D15857" s="1050"/>
      <c r="E15857" s="1050"/>
      <c r="F15857" s="1050"/>
      <c r="G15857" s="1050"/>
    </row>
    <row r="15858" spans="1:7">
      <c r="A15858" s="1079"/>
      <c r="B15858" s="1050"/>
      <c r="C15858" s="1050"/>
      <c r="D15858" s="1050"/>
      <c r="E15858" s="1050"/>
      <c r="F15858" s="1050"/>
      <c r="G15858" s="1050"/>
    </row>
    <row r="15859" spans="1:7">
      <c r="A15859" s="1079"/>
      <c r="B15859" s="1050"/>
      <c r="C15859" s="1050"/>
      <c r="D15859" s="1050"/>
      <c r="E15859" s="1050"/>
      <c r="F15859" s="1050"/>
      <c r="G15859" s="1050"/>
    </row>
    <row r="15860" spans="1:7">
      <c r="A15860" s="1079"/>
      <c r="B15860" s="1050"/>
      <c r="C15860" s="1050"/>
      <c r="D15860" s="1050"/>
      <c r="E15860" s="1050"/>
      <c r="F15860" s="1050"/>
      <c r="G15860" s="1050"/>
    </row>
    <row r="15861" spans="1:7">
      <c r="A15861" s="1079"/>
      <c r="B15861" s="1050"/>
      <c r="C15861" s="1050"/>
      <c r="D15861" s="1050"/>
      <c r="E15861" s="1050"/>
      <c r="F15861" s="1050"/>
      <c r="G15861" s="1050"/>
    </row>
    <row r="15862" spans="1:7">
      <c r="A15862" s="1079"/>
      <c r="B15862" s="1050"/>
      <c r="C15862" s="1050"/>
      <c r="D15862" s="1050"/>
      <c r="E15862" s="1050"/>
      <c r="F15862" s="1050"/>
      <c r="G15862" s="1050"/>
    </row>
    <row r="15863" spans="1:7">
      <c r="A15863" s="1079"/>
      <c r="B15863" s="1050"/>
      <c r="C15863" s="1050"/>
      <c r="D15863" s="1050"/>
      <c r="E15863" s="1050"/>
      <c r="F15863" s="1050"/>
      <c r="G15863" s="1050"/>
    </row>
    <row r="15864" spans="1:7">
      <c r="A15864" s="1079"/>
      <c r="B15864" s="1050"/>
      <c r="C15864" s="1050"/>
      <c r="D15864" s="1050"/>
      <c r="E15864" s="1050"/>
      <c r="F15864" s="1050"/>
      <c r="G15864" s="1050"/>
    </row>
    <row r="15865" spans="1:7">
      <c r="A15865" s="1079"/>
      <c r="B15865" s="1050"/>
      <c r="C15865" s="1050"/>
      <c r="D15865" s="1050"/>
      <c r="E15865" s="1050"/>
      <c r="F15865" s="1050"/>
      <c r="G15865" s="1050"/>
    </row>
    <row r="15866" spans="1:7">
      <c r="A15866" s="1079"/>
      <c r="B15866" s="1050"/>
      <c r="C15866" s="1050"/>
      <c r="D15866" s="1050"/>
      <c r="E15866" s="1050"/>
      <c r="F15866" s="1050"/>
      <c r="G15866" s="1050"/>
    </row>
    <row r="15867" spans="1:7">
      <c r="A15867" s="1079"/>
      <c r="B15867" s="1050"/>
      <c r="C15867" s="1050"/>
      <c r="D15867" s="1050"/>
      <c r="E15867" s="1050"/>
      <c r="F15867" s="1050"/>
      <c r="G15867" s="1050"/>
    </row>
    <row r="15868" spans="1:7">
      <c r="A15868" s="1079"/>
      <c r="B15868" s="1050"/>
      <c r="C15868" s="1050"/>
      <c r="D15868" s="1050"/>
      <c r="E15868" s="1050"/>
      <c r="F15868" s="1050"/>
      <c r="G15868" s="1050"/>
    </row>
    <row r="15869" spans="1:7">
      <c r="A15869" s="1079"/>
      <c r="B15869" s="1050"/>
      <c r="C15869" s="1050"/>
      <c r="D15869" s="1050"/>
      <c r="E15869" s="1050"/>
      <c r="F15869" s="1050"/>
      <c r="G15869" s="1050"/>
    </row>
    <row r="15870" spans="1:7">
      <c r="A15870" s="1079"/>
      <c r="B15870" s="1050"/>
      <c r="C15870" s="1050"/>
      <c r="D15870" s="1050"/>
      <c r="E15870" s="1050"/>
      <c r="F15870" s="1050"/>
      <c r="G15870" s="1050"/>
    </row>
    <row r="15871" spans="1:7">
      <c r="A15871" s="1079"/>
      <c r="B15871" s="1050"/>
      <c r="C15871" s="1050"/>
      <c r="D15871" s="1050"/>
      <c r="E15871" s="1050"/>
      <c r="F15871" s="1050"/>
      <c r="G15871" s="1050"/>
    </row>
    <row r="15872" spans="1:7">
      <c r="A15872" s="1079"/>
      <c r="B15872" s="1050"/>
      <c r="C15872" s="1050"/>
      <c r="D15872" s="1050"/>
      <c r="E15872" s="1050"/>
      <c r="F15872" s="1050"/>
      <c r="G15872" s="1050"/>
    </row>
    <row r="15873" spans="1:7">
      <c r="A15873" s="1079"/>
      <c r="B15873" s="1050"/>
      <c r="C15873" s="1050"/>
      <c r="D15873" s="1050"/>
      <c r="E15873" s="1050"/>
      <c r="F15873" s="1050"/>
      <c r="G15873" s="1050"/>
    </row>
    <row r="15874" spans="1:7">
      <c r="A15874" s="1079"/>
      <c r="B15874" s="1050"/>
      <c r="C15874" s="1050"/>
      <c r="D15874" s="1050"/>
      <c r="E15874" s="1050"/>
      <c r="F15874" s="1050"/>
      <c r="G15874" s="1050"/>
    </row>
    <row r="15875" spans="1:7">
      <c r="A15875" s="1079"/>
      <c r="B15875" s="1050"/>
      <c r="C15875" s="1050"/>
      <c r="D15875" s="1050"/>
      <c r="E15875" s="1050"/>
      <c r="F15875" s="1050"/>
      <c r="G15875" s="1050"/>
    </row>
    <row r="15876" spans="1:7">
      <c r="A15876" s="1079"/>
      <c r="B15876" s="1050"/>
      <c r="C15876" s="1050"/>
      <c r="D15876" s="1050"/>
      <c r="E15876" s="1050"/>
      <c r="F15876" s="1050"/>
      <c r="G15876" s="1050"/>
    </row>
    <row r="15877" spans="1:7">
      <c r="A15877" s="1079"/>
      <c r="B15877" s="1050"/>
      <c r="C15877" s="1050"/>
      <c r="D15877" s="1050"/>
      <c r="E15877" s="1050"/>
      <c r="F15877" s="1050"/>
      <c r="G15877" s="1050"/>
    </row>
    <row r="15878" spans="1:7">
      <c r="A15878" s="1079"/>
      <c r="B15878" s="1050"/>
      <c r="C15878" s="1050"/>
      <c r="D15878" s="1050"/>
      <c r="E15878" s="1050"/>
      <c r="F15878" s="1050"/>
      <c r="G15878" s="1050"/>
    </row>
    <row r="15879" spans="1:7">
      <c r="A15879" s="1079"/>
      <c r="B15879" s="1050"/>
      <c r="C15879" s="1050"/>
      <c r="D15879" s="1050"/>
      <c r="E15879" s="1050"/>
      <c r="F15879" s="1050"/>
      <c r="G15879" s="1050"/>
    </row>
    <row r="15880" spans="1:7">
      <c r="A15880" s="1079"/>
      <c r="B15880" s="1050"/>
      <c r="C15880" s="1050"/>
      <c r="D15880" s="1050"/>
      <c r="E15880" s="1050"/>
      <c r="F15880" s="1050"/>
      <c r="G15880" s="1050"/>
    </row>
    <row r="15881" spans="1:7">
      <c r="A15881" s="1079"/>
      <c r="B15881" s="1050"/>
      <c r="C15881" s="1050"/>
      <c r="D15881" s="1050"/>
      <c r="E15881" s="1050"/>
      <c r="F15881" s="1050"/>
      <c r="G15881" s="1050"/>
    </row>
    <row r="15882" spans="1:7">
      <c r="A15882" s="1079"/>
      <c r="B15882" s="1050"/>
      <c r="C15882" s="1050"/>
      <c r="D15882" s="1050"/>
      <c r="E15882" s="1050"/>
      <c r="F15882" s="1050"/>
      <c r="G15882" s="1050"/>
    </row>
    <row r="15883" spans="1:7">
      <c r="A15883" s="1079"/>
      <c r="B15883" s="1050"/>
      <c r="C15883" s="1050"/>
      <c r="D15883" s="1050"/>
      <c r="E15883" s="1050"/>
      <c r="F15883" s="1050"/>
      <c r="G15883" s="1050"/>
    </row>
    <row r="15884" spans="1:7">
      <c r="A15884" s="1079"/>
      <c r="B15884" s="1050"/>
      <c r="C15884" s="1050"/>
      <c r="D15884" s="1050"/>
      <c r="E15884" s="1050"/>
      <c r="F15884" s="1050"/>
      <c r="G15884" s="1050"/>
    </row>
    <row r="15885" spans="1:7">
      <c r="A15885" s="1079"/>
      <c r="B15885" s="1050"/>
      <c r="C15885" s="1050"/>
      <c r="D15885" s="1050"/>
      <c r="E15885" s="1050"/>
      <c r="F15885" s="1050"/>
      <c r="G15885" s="1050"/>
    </row>
    <row r="15886" spans="1:7">
      <c r="A15886" s="1079"/>
      <c r="B15886" s="1050"/>
      <c r="C15886" s="1050"/>
      <c r="D15886" s="1050"/>
      <c r="E15886" s="1050"/>
      <c r="F15886" s="1050"/>
      <c r="G15886" s="1050"/>
    </row>
    <row r="15887" spans="1:7">
      <c r="A15887" s="1079"/>
      <c r="B15887" s="1050"/>
      <c r="C15887" s="1050"/>
      <c r="D15887" s="1050"/>
      <c r="E15887" s="1050"/>
      <c r="F15887" s="1050"/>
      <c r="G15887" s="1050"/>
    </row>
    <row r="15888" spans="1:7">
      <c r="A15888" s="1079"/>
      <c r="B15888" s="1050"/>
      <c r="C15888" s="1050"/>
      <c r="D15888" s="1050"/>
      <c r="E15888" s="1050"/>
      <c r="F15888" s="1050"/>
      <c r="G15888" s="1050"/>
    </row>
    <row r="15889" spans="1:7">
      <c r="A15889" s="1079"/>
      <c r="B15889" s="1050"/>
      <c r="C15889" s="1050"/>
      <c r="D15889" s="1050"/>
      <c r="E15889" s="1050"/>
      <c r="F15889" s="1050"/>
      <c r="G15889" s="1050"/>
    </row>
    <row r="15890" spans="1:7">
      <c r="A15890" s="1079"/>
      <c r="B15890" s="1050"/>
      <c r="C15890" s="1050"/>
      <c r="D15890" s="1050"/>
      <c r="E15890" s="1050"/>
      <c r="F15890" s="1050"/>
      <c r="G15890" s="1050"/>
    </row>
    <row r="15891" spans="1:7">
      <c r="A15891" s="1079"/>
      <c r="B15891" s="1050"/>
      <c r="C15891" s="1050"/>
      <c r="D15891" s="1050"/>
      <c r="E15891" s="1050"/>
      <c r="F15891" s="1050"/>
      <c r="G15891" s="1050"/>
    </row>
    <row r="15892" spans="1:7">
      <c r="A15892" s="1079"/>
      <c r="B15892" s="1050"/>
      <c r="C15892" s="1050"/>
      <c r="D15892" s="1050"/>
      <c r="E15892" s="1050"/>
      <c r="F15892" s="1050"/>
      <c r="G15892" s="1050"/>
    </row>
    <row r="15893" spans="1:7">
      <c r="A15893" s="1079"/>
      <c r="B15893" s="1050"/>
      <c r="C15893" s="1050"/>
      <c r="D15893" s="1050"/>
      <c r="E15893" s="1050"/>
      <c r="F15893" s="1050"/>
      <c r="G15893" s="1050"/>
    </row>
    <row r="15894" spans="1:7">
      <c r="A15894" s="1079"/>
      <c r="B15894" s="1050"/>
      <c r="C15894" s="1050"/>
      <c r="D15894" s="1050"/>
      <c r="E15894" s="1050"/>
      <c r="F15894" s="1050"/>
      <c r="G15894" s="1050"/>
    </row>
    <row r="15895" spans="1:7">
      <c r="A15895" s="1079"/>
      <c r="B15895" s="1050"/>
      <c r="C15895" s="1050"/>
      <c r="D15895" s="1050"/>
      <c r="E15895" s="1050"/>
      <c r="F15895" s="1050"/>
      <c r="G15895" s="1050"/>
    </row>
    <row r="15896" spans="1:7">
      <c r="A15896" s="1079"/>
      <c r="B15896" s="1050"/>
      <c r="C15896" s="1050"/>
      <c r="D15896" s="1050"/>
      <c r="E15896" s="1050"/>
      <c r="F15896" s="1050"/>
      <c r="G15896" s="1050"/>
    </row>
    <row r="15897" spans="1:7">
      <c r="A15897" s="1079"/>
      <c r="B15897" s="1050"/>
      <c r="C15897" s="1050"/>
      <c r="D15897" s="1050"/>
      <c r="E15897" s="1050"/>
      <c r="F15897" s="1050"/>
      <c r="G15897" s="1050"/>
    </row>
    <row r="15898" spans="1:7">
      <c r="A15898" s="1079"/>
      <c r="B15898" s="1050"/>
      <c r="C15898" s="1050"/>
      <c r="D15898" s="1050"/>
      <c r="E15898" s="1050"/>
      <c r="F15898" s="1050"/>
      <c r="G15898" s="1050"/>
    </row>
    <row r="15899" spans="1:7">
      <c r="A15899" s="1079"/>
      <c r="B15899" s="1050"/>
      <c r="C15899" s="1050"/>
      <c r="D15899" s="1050"/>
      <c r="E15899" s="1050"/>
      <c r="F15899" s="1050"/>
      <c r="G15899" s="1050"/>
    </row>
    <row r="15900" spans="1:7">
      <c r="A15900" s="1079"/>
      <c r="B15900" s="1050"/>
      <c r="C15900" s="1050"/>
      <c r="D15900" s="1050"/>
      <c r="E15900" s="1050"/>
      <c r="F15900" s="1050"/>
      <c r="G15900" s="1050"/>
    </row>
    <row r="15901" spans="1:7">
      <c r="A15901" s="1079"/>
      <c r="B15901" s="1050"/>
      <c r="C15901" s="1050"/>
      <c r="D15901" s="1050"/>
      <c r="E15901" s="1050"/>
      <c r="F15901" s="1050"/>
      <c r="G15901" s="1050"/>
    </row>
    <row r="15902" spans="1:7">
      <c r="A15902" s="1079"/>
      <c r="B15902" s="1050"/>
      <c r="C15902" s="1050"/>
      <c r="D15902" s="1050"/>
      <c r="E15902" s="1050"/>
      <c r="F15902" s="1050"/>
      <c r="G15902" s="1050"/>
    </row>
    <row r="15903" spans="1:7">
      <c r="A15903" s="1079"/>
      <c r="B15903" s="1050"/>
      <c r="C15903" s="1050"/>
      <c r="D15903" s="1050"/>
      <c r="E15903" s="1050"/>
      <c r="F15903" s="1050"/>
      <c r="G15903" s="1050"/>
    </row>
    <row r="15904" spans="1:7">
      <c r="A15904" s="1079"/>
      <c r="B15904" s="1050"/>
      <c r="C15904" s="1050"/>
      <c r="D15904" s="1050"/>
      <c r="E15904" s="1050"/>
      <c r="F15904" s="1050"/>
      <c r="G15904" s="1050"/>
    </row>
    <row r="15905" spans="1:7">
      <c r="A15905" s="1079"/>
      <c r="B15905" s="1050"/>
      <c r="C15905" s="1050"/>
      <c r="D15905" s="1050"/>
      <c r="E15905" s="1050"/>
      <c r="F15905" s="1050"/>
      <c r="G15905" s="1050"/>
    </row>
    <row r="15906" spans="1:7">
      <c r="A15906" s="1079"/>
      <c r="B15906" s="1050"/>
      <c r="C15906" s="1050"/>
      <c r="D15906" s="1050"/>
      <c r="E15906" s="1050"/>
      <c r="F15906" s="1050"/>
      <c r="G15906" s="1050"/>
    </row>
    <row r="15907" spans="1:7">
      <c r="A15907" s="1079"/>
      <c r="B15907" s="1050"/>
      <c r="C15907" s="1050"/>
      <c r="D15907" s="1050"/>
      <c r="E15907" s="1050"/>
      <c r="F15907" s="1050"/>
      <c r="G15907" s="1050"/>
    </row>
    <row r="15908" spans="1:7">
      <c r="A15908" s="1079"/>
      <c r="B15908" s="1050"/>
      <c r="C15908" s="1050"/>
      <c r="D15908" s="1050"/>
      <c r="E15908" s="1050"/>
      <c r="F15908" s="1050"/>
      <c r="G15908" s="1050"/>
    </row>
    <row r="15909" spans="1:7">
      <c r="A15909" s="1079"/>
      <c r="B15909" s="1050"/>
      <c r="C15909" s="1050"/>
      <c r="D15909" s="1050"/>
      <c r="E15909" s="1050"/>
      <c r="F15909" s="1050"/>
      <c r="G15909" s="1050"/>
    </row>
    <row r="15910" spans="1:7">
      <c r="A15910" s="1079"/>
      <c r="B15910" s="1050"/>
      <c r="C15910" s="1050"/>
      <c r="D15910" s="1050"/>
      <c r="E15910" s="1050"/>
      <c r="F15910" s="1050"/>
      <c r="G15910" s="1050"/>
    </row>
    <row r="15911" spans="1:7">
      <c r="A15911" s="1079"/>
      <c r="B15911" s="1050"/>
      <c r="C15911" s="1050"/>
      <c r="D15911" s="1050"/>
      <c r="E15911" s="1050"/>
      <c r="F15911" s="1050"/>
      <c r="G15911" s="1050"/>
    </row>
    <row r="15912" spans="1:7">
      <c r="A15912" s="1079"/>
      <c r="B15912" s="1050"/>
      <c r="C15912" s="1050"/>
      <c r="D15912" s="1050"/>
      <c r="E15912" s="1050"/>
      <c r="F15912" s="1050"/>
      <c r="G15912" s="1050"/>
    </row>
    <row r="15913" spans="1:7">
      <c r="A15913" s="1079"/>
      <c r="B15913" s="1050"/>
      <c r="C15913" s="1050"/>
      <c r="D15913" s="1050"/>
      <c r="E15913" s="1050"/>
      <c r="F15913" s="1050"/>
      <c r="G15913" s="1050"/>
    </row>
    <row r="15914" spans="1:7">
      <c r="A15914" s="1079"/>
      <c r="B15914" s="1050"/>
      <c r="C15914" s="1050"/>
      <c r="D15914" s="1050"/>
      <c r="E15914" s="1050"/>
      <c r="F15914" s="1050"/>
      <c r="G15914" s="1050"/>
    </row>
    <row r="15915" spans="1:7">
      <c r="A15915" s="1079"/>
      <c r="B15915" s="1050"/>
      <c r="C15915" s="1050"/>
      <c r="D15915" s="1050"/>
      <c r="E15915" s="1050"/>
      <c r="F15915" s="1050"/>
      <c r="G15915" s="1050"/>
    </row>
    <row r="15916" spans="1:7">
      <c r="A15916" s="1079"/>
      <c r="B15916" s="1050"/>
      <c r="C15916" s="1050"/>
      <c r="D15916" s="1050"/>
      <c r="E15916" s="1050"/>
      <c r="F15916" s="1050"/>
      <c r="G15916" s="1050"/>
    </row>
    <row r="15917" spans="1:7">
      <c r="A15917" s="1079"/>
      <c r="B15917" s="1050"/>
      <c r="C15917" s="1050"/>
      <c r="D15917" s="1050"/>
      <c r="E15917" s="1050"/>
      <c r="F15917" s="1050"/>
      <c r="G15917" s="1050"/>
    </row>
    <row r="15918" spans="1:7">
      <c r="A15918" s="1079"/>
      <c r="B15918" s="1050"/>
      <c r="C15918" s="1050"/>
      <c r="D15918" s="1050"/>
      <c r="E15918" s="1050"/>
      <c r="F15918" s="1050"/>
      <c r="G15918" s="1050"/>
    </row>
    <row r="15919" spans="1:7">
      <c r="A15919" s="1079"/>
      <c r="B15919" s="1050"/>
      <c r="C15919" s="1050"/>
      <c r="D15919" s="1050"/>
      <c r="E15919" s="1050"/>
      <c r="F15919" s="1050"/>
      <c r="G15919" s="1050"/>
    </row>
    <row r="15920" spans="1:7">
      <c r="A15920" s="1079"/>
      <c r="B15920" s="1050"/>
      <c r="C15920" s="1050"/>
      <c r="D15920" s="1050"/>
      <c r="E15920" s="1050"/>
      <c r="F15920" s="1050"/>
      <c r="G15920" s="1050"/>
    </row>
    <row r="15921" spans="1:7">
      <c r="A15921" s="1079"/>
      <c r="B15921" s="1050"/>
      <c r="C15921" s="1050"/>
      <c r="D15921" s="1050"/>
      <c r="E15921" s="1050"/>
      <c r="F15921" s="1050"/>
      <c r="G15921" s="1050"/>
    </row>
    <row r="15922" spans="1:7">
      <c r="A15922" s="1079"/>
      <c r="B15922" s="1050"/>
      <c r="C15922" s="1050"/>
      <c r="D15922" s="1050"/>
      <c r="E15922" s="1050"/>
      <c r="F15922" s="1050"/>
      <c r="G15922" s="1050"/>
    </row>
    <row r="15923" spans="1:7">
      <c r="A15923" s="1079"/>
      <c r="B15923" s="1050"/>
      <c r="C15923" s="1050"/>
      <c r="D15923" s="1050"/>
      <c r="E15923" s="1050"/>
      <c r="F15923" s="1050"/>
      <c r="G15923" s="1050"/>
    </row>
    <row r="15924" spans="1:7">
      <c r="A15924" s="1079"/>
      <c r="B15924" s="1050"/>
      <c r="C15924" s="1050"/>
      <c r="D15924" s="1050"/>
      <c r="E15924" s="1050"/>
      <c r="F15924" s="1050"/>
      <c r="G15924" s="1050"/>
    </row>
    <row r="15925" spans="1:7">
      <c r="A15925" s="1079"/>
      <c r="B15925" s="1050"/>
      <c r="C15925" s="1050"/>
      <c r="D15925" s="1050"/>
      <c r="E15925" s="1050"/>
      <c r="F15925" s="1050"/>
      <c r="G15925" s="1050"/>
    </row>
    <row r="15926" spans="1:7">
      <c r="A15926" s="1079"/>
      <c r="B15926" s="1050"/>
      <c r="C15926" s="1050"/>
      <c r="D15926" s="1050"/>
      <c r="E15926" s="1050"/>
      <c r="F15926" s="1050"/>
      <c r="G15926" s="1050"/>
    </row>
    <row r="15927" spans="1:7">
      <c r="A15927" s="1079"/>
      <c r="B15927" s="1050"/>
      <c r="C15927" s="1050"/>
      <c r="D15927" s="1050"/>
      <c r="E15927" s="1050"/>
      <c r="F15927" s="1050"/>
      <c r="G15927" s="1050"/>
    </row>
    <row r="15928" spans="1:7">
      <c r="A15928" s="1079"/>
      <c r="B15928" s="1050"/>
      <c r="C15928" s="1050"/>
      <c r="D15928" s="1050"/>
      <c r="E15928" s="1050"/>
      <c r="F15928" s="1050"/>
      <c r="G15928" s="1050"/>
    </row>
    <row r="15929" spans="1:7">
      <c r="A15929" s="1079"/>
      <c r="B15929" s="1050"/>
      <c r="C15929" s="1050"/>
      <c r="D15929" s="1050"/>
      <c r="E15929" s="1050"/>
      <c r="F15929" s="1050"/>
      <c r="G15929" s="1050"/>
    </row>
    <row r="15930" spans="1:7">
      <c r="A15930" s="1079"/>
      <c r="B15930" s="1050"/>
      <c r="C15930" s="1050"/>
      <c r="D15930" s="1050"/>
      <c r="E15930" s="1050"/>
      <c r="F15930" s="1050"/>
      <c r="G15930" s="1050"/>
    </row>
    <row r="15931" spans="1:7">
      <c r="A15931" s="1079"/>
      <c r="B15931" s="1050"/>
      <c r="C15931" s="1050"/>
      <c r="D15931" s="1050"/>
      <c r="E15931" s="1050"/>
      <c r="F15931" s="1050"/>
      <c r="G15931" s="1050"/>
    </row>
    <row r="15932" spans="1:7">
      <c r="A15932" s="1079"/>
      <c r="B15932" s="1050"/>
      <c r="C15932" s="1050"/>
      <c r="D15932" s="1050"/>
      <c r="E15932" s="1050"/>
      <c r="F15932" s="1050"/>
      <c r="G15932" s="1050"/>
    </row>
    <row r="15933" spans="1:7">
      <c r="A15933" s="1079"/>
      <c r="B15933" s="1050"/>
      <c r="C15933" s="1050"/>
      <c r="D15933" s="1050"/>
      <c r="E15933" s="1050"/>
      <c r="F15933" s="1050"/>
      <c r="G15933" s="1050"/>
    </row>
    <row r="15934" spans="1:7">
      <c r="A15934" s="1079"/>
      <c r="B15934" s="1050"/>
      <c r="C15934" s="1050"/>
      <c r="D15934" s="1050"/>
      <c r="E15934" s="1050"/>
      <c r="F15934" s="1050"/>
      <c r="G15934" s="1050"/>
    </row>
    <row r="15935" spans="1:7">
      <c r="A15935" s="1079"/>
      <c r="B15935" s="1050"/>
      <c r="C15935" s="1050"/>
      <c r="D15935" s="1050"/>
      <c r="E15935" s="1050"/>
      <c r="F15935" s="1050"/>
      <c r="G15935" s="1050"/>
    </row>
    <row r="15936" spans="1:7">
      <c r="A15936" s="1079"/>
      <c r="B15936" s="1050"/>
      <c r="C15936" s="1050"/>
      <c r="D15936" s="1050"/>
      <c r="E15936" s="1050"/>
      <c r="F15936" s="1050"/>
      <c r="G15936" s="1050"/>
    </row>
    <row r="15937" spans="1:7">
      <c r="A15937" s="1079"/>
      <c r="B15937" s="1050"/>
      <c r="C15937" s="1050"/>
      <c r="D15937" s="1050"/>
      <c r="E15937" s="1050"/>
      <c r="F15937" s="1050"/>
      <c r="G15937" s="1050"/>
    </row>
    <row r="15938" spans="1:7">
      <c r="A15938" s="1079"/>
      <c r="B15938" s="1050"/>
      <c r="C15938" s="1050"/>
      <c r="D15938" s="1050"/>
      <c r="E15938" s="1050"/>
      <c r="F15938" s="1050"/>
      <c r="G15938" s="1050"/>
    </row>
    <row r="15939" spans="1:7">
      <c r="A15939" s="1079"/>
      <c r="B15939" s="1050"/>
      <c r="C15939" s="1050"/>
      <c r="D15939" s="1050"/>
      <c r="E15939" s="1050"/>
      <c r="F15939" s="1050"/>
      <c r="G15939" s="1050"/>
    </row>
    <row r="15940" spans="1:7">
      <c r="A15940" s="1079"/>
      <c r="B15940" s="1050"/>
      <c r="C15940" s="1050"/>
      <c r="D15940" s="1050"/>
      <c r="E15940" s="1050"/>
      <c r="F15940" s="1050"/>
      <c r="G15940" s="1050"/>
    </row>
    <row r="15941" spans="1:7">
      <c r="A15941" s="1079"/>
      <c r="B15941" s="1050"/>
      <c r="C15941" s="1050"/>
      <c r="D15941" s="1050"/>
      <c r="E15941" s="1050"/>
      <c r="F15941" s="1050"/>
      <c r="G15941" s="1050"/>
    </row>
    <row r="15942" spans="1:7">
      <c r="A15942" s="1079"/>
      <c r="B15942" s="1050"/>
      <c r="C15942" s="1050"/>
      <c r="D15942" s="1050"/>
      <c r="E15942" s="1050"/>
      <c r="F15942" s="1050"/>
      <c r="G15942" s="1050"/>
    </row>
    <row r="15943" spans="1:7">
      <c r="A15943" s="1079"/>
      <c r="B15943" s="1050"/>
      <c r="C15943" s="1050"/>
      <c r="D15943" s="1050"/>
      <c r="E15943" s="1050"/>
      <c r="F15943" s="1050"/>
      <c r="G15943" s="1050"/>
    </row>
    <row r="15944" spans="1:7">
      <c r="A15944" s="1079"/>
      <c r="B15944" s="1050"/>
      <c r="C15944" s="1050"/>
      <c r="D15944" s="1050"/>
      <c r="E15944" s="1050"/>
      <c r="F15944" s="1050"/>
      <c r="G15944" s="1050"/>
    </row>
    <row r="15945" spans="1:7">
      <c r="A15945" s="1079"/>
      <c r="B15945" s="1050"/>
      <c r="C15945" s="1050"/>
      <c r="D15945" s="1050"/>
      <c r="E15945" s="1050"/>
      <c r="F15945" s="1050"/>
      <c r="G15945" s="1050"/>
    </row>
    <row r="15946" spans="1:7">
      <c r="A15946" s="1079"/>
      <c r="B15946" s="1050"/>
      <c r="C15946" s="1050"/>
      <c r="D15946" s="1050"/>
      <c r="E15946" s="1050"/>
      <c r="F15946" s="1050"/>
      <c r="G15946" s="1050"/>
    </row>
    <row r="15947" spans="1:7">
      <c r="A15947" s="1079"/>
      <c r="B15947" s="1050"/>
      <c r="C15947" s="1050"/>
      <c r="D15947" s="1050"/>
      <c r="E15947" s="1050"/>
      <c r="F15947" s="1050"/>
      <c r="G15947" s="1050"/>
    </row>
    <row r="15948" spans="1:7">
      <c r="A15948" s="1079"/>
      <c r="B15948" s="1050"/>
      <c r="C15948" s="1050"/>
      <c r="D15948" s="1050"/>
      <c r="E15948" s="1050"/>
      <c r="F15948" s="1050"/>
      <c r="G15948" s="1050"/>
    </row>
    <row r="15949" spans="1:7">
      <c r="A15949" s="1079"/>
      <c r="B15949" s="1050"/>
      <c r="C15949" s="1050"/>
      <c r="D15949" s="1050"/>
      <c r="E15949" s="1050"/>
      <c r="F15949" s="1050"/>
      <c r="G15949" s="1050"/>
    </row>
    <row r="15950" spans="1:7">
      <c r="A15950" s="1079"/>
      <c r="B15950" s="1050"/>
      <c r="C15950" s="1050"/>
      <c r="D15950" s="1050"/>
      <c r="E15950" s="1050"/>
      <c r="F15950" s="1050"/>
      <c r="G15950" s="1050"/>
    </row>
    <row r="15951" spans="1:7">
      <c r="A15951" s="1079"/>
      <c r="B15951" s="1050"/>
      <c r="C15951" s="1050"/>
      <c r="D15951" s="1050"/>
      <c r="E15951" s="1050"/>
      <c r="F15951" s="1050"/>
      <c r="G15951" s="1050"/>
    </row>
    <row r="15952" spans="1:7">
      <c r="A15952" s="1079"/>
      <c r="B15952" s="1050"/>
      <c r="C15952" s="1050"/>
      <c r="D15952" s="1050"/>
      <c r="E15952" s="1050"/>
      <c r="F15952" s="1050"/>
      <c r="G15952" s="1050"/>
    </row>
    <row r="15953" spans="1:7">
      <c r="A15953" s="1079"/>
      <c r="B15953" s="1050"/>
      <c r="C15953" s="1050"/>
      <c r="D15953" s="1050"/>
      <c r="E15953" s="1050"/>
      <c r="F15953" s="1050"/>
      <c r="G15953" s="1050"/>
    </row>
    <row r="15954" spans="1:7">
      <c r="A15954" s="1079"/>
      <c r="B15954" s="1050"/>
      <c r="C15954" s="1050"/>
      <c r="D15954" s="1050"/>
      <c r="E15954" s="1050"/>
      <c r="F15954" s="1050"/>
      <c r="G15954" s="1050"/>
    </row>
    <row r="15955" spans="1:7">
      <c r="A15955" s="1079"/>
      <c r="B15955" s="1050"/>
      <c r="C15955" s="1050"/>
      <c r="D15955" s="1050"/>
      <c r="E15955" s="1050"/>
      <c r="F15955" s="1050"/>
      <c r="G15955" s="1050"/>
    </row>
    <row r="15956" spans="1:7">
      <c r="A15956" s="1079"/>
      <c r="B15956" s="1050"/>
      <c r="C15956" s="1050"/>
      <c r="D15956" s="1050"/>
      <c r="E15956" s="1050"/>
      <c r="F15956" s="1050"/>
      <c r="G15956" s="1050"/>
    </row>
    <row r="15957" spans="1:7">
      <c r="A15957" s="1079"/>
      <c r="B15957" s="1050"/>
      <c r="C15957" s="1050"/>
      <c r="D15957" s="1050"/>
      <c r="E15957" s="1050"/>
      <c r="F15957" s="1050"/>
      <c r="G15957" s="1050"/>
    </row>
    <row r="15958" spans="1:7">
      <c r="A15958" s="1079"/>
      <c r="B15958" s="1050"/>
      <c r="C15958" s="1050"/>
      <c r="D15958" s="1050"/>
      <c r="E15958" s="1050"/>
      <c r="F15958" s="1050"/>
      <c r="G15958" s="1050"/>
    </row>
    <row r="15959" spans="1:7">
      <c r="A15959" s="1079"/>
      <c r="B15959" s="1050"/>
      <c r="C15959" s="1050"/>
      <c r="D15959" s="1050"/>
      <c r="E15959" s="1050"/>
      <c r="F15959" s="1050"/>
      <c r="G15959" s="1050"/>
    </row>
    <row r="15960" spans="1:7">
      <c r="A15960" s="1079"/>
      <c r="B15960" s="1050"/>
      <c r="C15960" s="1050"/>
      <c r="D15960" s="1050"/>
      <c r="E15960" s="1050"/>
      <c r="F15960" s="1050"/>
      <c r="G15960" s="1050"/>
    </row>
    <row r="15961" spans="1:7">
      <c r="A15961" s="1079"/>
      <c r="B15961" s="1050"/>
      <c r="C15961" s="1050"/>
      <c r="D15961" s="1050"/>
      <c r="E15961" s="1050"/>
      <c r="F15961" s="1050"/>
      <c r="G15961" s="1050"/>
    </row>
    <row r="15962" spans="1:7">
      <c r="A15962" s="1079"/>
      <c r="B15962" s="1050"/>
      <c r="C15962" s="1050"/>
      <c r="D15962" s="1050"/>
      <c r="E15962" s="1050"/>
      <c r="F15962" s="1050"/>
      <c r="G15962" s="1050"/>
    </row>
    <row r="15963" spans="1:7">
      <c r="A15963" s="1079"/>
      <c r="B15963" s="1050"/>
      <c r="C15963" s="1050"/>
      <c r="D15963" s="1050"/>
      <c r="E15963" s="1050"/>
      <c r="F15963" s="1050"/>
      <c r="G15963" s="1050"/>
    </row>
    <row r="15964" spans="1:7">
      <c r="A15964" s="1079"/>
      <c r="B15964" s="1050"/>
      <c r="C15964" s="1050"/>
      <c r="D15964" s="1050"/>
      <c r="E15964" s="1050"/>
      <c r="F15964" s="1050"/>
      <c r="G15964" s="1050"/>
    </row>
    <row r="15965" spans="1:7">
      <c r="A15965" s="1079"/>
      <c r="B15965" s="1050"/>
      <c r="C15965" s="1050"/>
      <c r="D15965" s="1050"/>
      <c r="E15965" s="1050"/>
      <c r="F15965" s="1050"/>
      <c r="G15965" s="1050"/>
    </row>
    <row r="15966" spans="1:7">
      <c r="A15966" s="1079"/>
      <c r="B15966" s="1050"/>
      <c r="C15966" s="1050"/>
      <c r="D15966" s="1050"/>
      <c r="E15966" s="1050"/>
      <c r="F15966" s="1050"/>
      <c r="G15966" s="1050"/>
    </row>
    <row r="15967" spans="1:7">
      <c r="A15967" s="1079"/>
      <c r="B15967" s="1050"/>
      <c r="C15967" s="1050"/>
      <c r="D15967" s="1050"/>
      <c r="E15967" s="1050"/>
      <c r="F15967" s="1050"/>
      <c r="G15967" s="1050"/>
    </row>
    <row r="15968" spans="1:7">
      <c r="A15968" s="1079"/>
      <c r="B15968" s="1050"/>
      <c r="C15968" s="1050"/>
      <c r="D15968" s="1050"/>
      <c r="E15968" s="1050"/>
      <c r="F15968" s="1050"/>
      <c r="G15968" s="1050"/>
    </row>
    <row r="15969" spans="1:7">
      <c r="A15969" s="1079"/>
      <c r="B15969" s="1050"/>
      <c r="C15969" s="1050"/>
      <c r="D15969" s="1050"/>
      <c r="E15969" s="1050"/>
      <c r="F15969" s="1050"/>
      <c r="G15969" s="1050"/>
    </row>
    <row r="15970" spans="1:7">
      <c r="A15970" s="1079"/>
      <c r="B15970" s="1050"/>
      <c r="C15970" s="1050"/>
      <c r="D15970" s="1050"/>
      <c r="E15970" s="1050"/>
      <c r="F15970" s="1050"/>
      <c r="G15970" s="1050"/>
    </row>
    <row r="15971" spans="1:7">
      <c r="A15971" s="1079"/>
      <c r="B15971" s="1050"/>
      <c r="C15971" s="1050"/>
      <c r="D15971" s="1050"/>
      <c r="E15971" s="1050"/>
      <c r="F15971" s="1050"/>
      <c r="G15971" s="1050"/>
    </row>
    <row r="15972" spans="1:7">
      <c r="A15972" s="1079"/>
      <c r="B15972" s="1050"/>
      <c r="C15972" s="1050"/>
      <c r="D15972" s="1050"/>
      <c r="E15972" s="1050"/>
      <c r="F15972" s="1050"/>
      <c r="G15972" s="1050"/>
    </row>
    <row r="15973" spans="1:7">
      <c r="A15973" s="1079"/>
      <c r="B15973" s="1050"/>
      <c r="C15973" s="1050"/>
      <c r="D15973" s="1050"/>
      <c r="E15973" s="1050"/>
      <c r="F15973" s="1050"/>
      <c r="G15973" s="1050"/>
    </row>
    <row r="15974" spans="1:7">
      <c r="A15974" s="1079"/>
      <c r="B15974" s="1050"/>
      <c r="C15974" s="1050"/>
      <c r="D15974" s="1050"/>
      <c r="E15974" s="1050"/>
      <c r="F15974" s="1050"/>
      <c r="G15974" s="1050"/>
    </row>
    <row r="15975" spans="1:7">
      <c r="A15975" s="1079"/>
      <c r="B15975" s="1050"/>
      <c r="C15975" s="1050"/>
      <c r="D15975" s="1050"/>
      <c r="E15975" s="1050"/>
      <c r="F15975" s="1050"/>
      <c r="G15975" s="1050"/>
    </row>
    <row r="15976" spans="1:7">
      <c r="A15976" s="1079"/>
      <c r="B15976" s="1050"/>
      <c r="C15976" s="1050"/>
      <c r="D15976" s="1050"/>
      <c r="E15976" s="1050"/>
      <c r="F15976" s="1050"/>
      <c r="G15976" s="1050"/>
    </row>
    <row r="15977" spans="1:7">
      <c r="A15977" s="1079"/>
      <c r="B15977" s="1050"/>
      <c r="C15977" s="1050"/>
      <c r="D15977" s="1050"/>
      <c r="E15977" s="1050"/>
      <c r="F15977" s="1050"/>
      <c r="G15977" s="1050"/>
    </row>
    <row r="15978" spans="1:7">
      <c r="A15978" s="1079"/>
      <c r="B15978" s="1050"/>
      <c r="C15978" s="1050"/>
      <c r="D15978" s="1050"/>
      <c r="E15978" s="1050"/>
      <c r="F15978" s="1050"/>
      <c r="G15978" s="1050"/>
    </row>
    <row r="15979" spans="1:7">
      <c r="A15979" s="1079"/>
      <c r="B15979" s="1050"/>
      <c r="C15979" s="1050"/>
      <c r="D15979" s="1050"/>
      <c r="E15979" s="1050"/>
      <c r="F15979" s="1050"/>
      <c r="G15979" s="1050"/>
    </row>
    <row r="15980" spans="1:7">
      <c r="A15980" s="1079"/>
      <c r="B15980" s="1050"/>
      <c r="C15980" s="1050"/>
      <c r="D15980" s="1050"/>
      <c r="E15980" s="1050"/>
      <c r="F15980" s="1050"/>
      <c r="G15980" s="1050"/>
    </row>
    <row r="15981" spans="1:7">
      <c r="A15981" s="1079"/>
      <c r="B15981" s="1050"/>
      <c r="C15981" s="1050"/>
      <c r="D15981" s="1050"/>
      <c r="E15981" s="1050"/>
      <c r="F15981" s="1050"/>
      <c r="G15981" s="1050"/>
    </row>
    <row r="15982" spans="1:7">
      <c r="A15982" s="1079"/>
      <c r="B15982" s="1050"/>
      <c r="C15982" s="1050"/>
      <c r="D15982" s="1050"/>
      <c r="E15982" s="1050"/>
      <c r="F15982" s="1050"/>
      <c r="G15982" s="1050"/>
    </row>
    <row r="15983" spans="1:7">
      <c r="A15983" s="1079"/>
      <c r="B15983" s="1050"/>
      <c r="C15983" s="1050"/>
      <c r="D15983" s="1050"/>
      <c r="E15983" s="1050"/>
      <c r="F15983" s="1050"/>
      <c r="G15983" s="1050"/>
    </row>
    <row r="15984" spans="1:7">
      <c r="A15984" s="1079"/>
      <c r="B15984" s="1050"/>
      <c r="C15984" s="1050"/>
      <c r="D15984" s="1050"/>
      <c r="E15984" s="1050"/>
      <c r="F15984" s="1050"/>
      <c r="G15984" s="1050"/>
    </row>
    <row r="15985" spans="1:7">
      <c r="A15985" s="1079"/>
      <c r="B15985" s="1050"/>
      <c r="C15985" s="1050"/>
      <c r="D15985" s="1050"/>
      <c r="E15985" s="1050"/>
      <c r="F15985" s="1050"/>
      <c r="G15985" s="1050"/>
    </row>
    <row r="15986" spans="1:7">
      <c r="A15986" s="1079"/>
      <c r="B15986" s="1050"/>
      <c r="C15986" s="1050"/>
      <c r="D15986" s="1050"/>
      <c r="E15986" s="1050"/>
      <c r="F15986" s="1050"/>
      <c r="G15986" s="1050"/>
    </row>
    <row r="15987" spans="1:7">
      <c r="A15987" s="1079"/>
      <c r="B15987" s="1050"/>
      <c r="C15987" s="1050"/>
      <c r="D15987" s="1050"/>
      <c r="E15987" s="1050"/>
      <c r="F15987" s="1050"/>
      <c r="G15987" s="1050"/>
    </row>
    <row r="15988" spans="1:7">
      <c r="A15988" s="1079"/>
      <c r="B15988" s="1050"/>
      <c r="C15988" s="1050"/>
      <c r="D15988" s="1050"/>
      <c r="E15988" s="1050"/>
      <c r="F15988" s="1050"/>
      <c r="G15988" s="1050"/>
    </row>
    <row r="15989" spans="1:7">
      <c r="A15989" s="1079"/>
      <c r="B15989" s="1050"/>
      <c r="C15989" s="1050"/>
      <c r="D15989" s="1050"/>
      <c r="E15989" s="1050"/>
      <c r="F15989" s="1050"/>
      <c r="G15989" s="1050"/>
    </row>
    <row r="15990" spans="1:7">
      <c r="A15990" s="1079"/>
      <c r="B15990" s="1050"/>
      <c r="C15990" s="1050"/>
      <c r="D15990" s="1050"/>
      <c r="E15990" s="1050"/>
      <c r="F15990" s="1050"/>
      <c r="G15990" s="1050"/>
    </row>
    <row r="15991" spans="1:7">
      <c r="A15991" s="1079"/>
      <c r="B15991" s="1050"/>
      <c r="C15991" s="1050"/>
      <c r="D15991" s="1050"/>
      <c r="E15991" s="1050"/>
      <c r="F15991" s="1050"/>
      <c r="G15991" s="1050"/>
    </row>
    <row r="15992" spans="1:7">
      <c r="A15992" s="1079"/>
      <c r="B15992" s="1050"/>
      <c r="C15992" s="1050"/>
      <c r="D15992" s="1050"/>
      <c r="E15992" s="1050"/>
      <c r="F15992" s="1050"/>
      <c r="G15992" s="1050"/>
    </row>
    <row r="15993" spans="1:7">
      <c r="A15993" s="1079"/>
      <c r="B15993" s="1050"/>
      <c r="C15993" s="1050"/>
      <c r="D15993" s="1050"/>
      <c r="E15993" s="1050"/>
      <c r="F15993" s="1050"/>
      <c r="G15993" s="1050"/>
    </row>
    <row r="15994" spans="1:7">
      <c r="A15994" s="1079"/>
      <c r="B15994" s="1050"/>
      <c r="C15994" s="1050"/>
      <c r="D15994" s="1050"/>
      <c r="E15994" s="1050"/>
      <c r="F15994" s="1050"/>
      <c r="G15994" s="1050"/>
    </row>
    <row r="15995" spans="1:7">
      <c r="A15995" s="1079"/>
      <c r="B15995" s="1050"/>
      <c r="C15995" s="1050"/>
      <c r="D15995" s="1050"/>
      <c r="E15995" s="1050"/>
      <c r="F15995" s="1050"/>
      <c r="G15995" s="1050"/>
    </row>
    <row r="15996" spans="1:7">
      <c r="A15996" s="1079"/>
      <c r="B15996" s="1050"/>
      <c r="C15996" s="1050"/>
      <c r="D15996" s="1050"/>
      <c r="E15996" s="1050"/>
      <c r="F15996" s="1050"/>
      <c r="G15996" s="1050"/>
    </row>
    <row r="15997" spans="1:7">
      <c r="A15997" s="1079"/>
      <c r="B15997" s="1050"/>
      <c r="C15997" s="1050"/>
      <c r="D15997" s="1050"/>
      <c r="E15997" s="1050"/>
      <c r="F15997" s="1050"/>
      <c r="G15997" s="1050"/>
    </row>
    <row r="15998" spans="1:7">
      <c r="A15998" s="1079"/>
      <c r="B15998" s="1050"/>
      <c r="C15998" s="1050"/>
      <c r="D15998" s="1050"/>
      <c r="E15998" s="1050"/>
      <c r="F15998" s="1050"/>
      <c r="G15998" s="1050"/>
    </row>
    <row r="15999" spans="1:7">
      <c r="A15999" s="1079"/>
      <c r="B15999" s="1050"/>
      <c r="C15999" s="1050"/>
      <c r="D15999" s="1050"/>
      <c r="E15999" s="1050"/>
      <c r="F15999" s="1050"/>
      <c r="G15999" s="1050"/>
    </row>
    <row r="16000" spans="1:7">
      <c r="A16000" s="1079"/>
      <c r="B16000" s="1050"/>
      <c r="C16000" s="1050"/>
      <c r="D16000" s="1050"/>
      <c r="E16000" s="1050"/>
      <c r="F16000" s="1050"/>
      <c r="G16000" s="1050"/>
    </row>
    <row r="16001" spans="1:7">
      <c r="A16001" s="1079"/>
      <c r="B16001" s="1050"/>
      <c r="C16001" s="1050"/>
      <c r="D16001" s="1050"/>
      <c r="E16001" s="1050"/>
      <c r="F16001" s="1050"/>
      <c r="G16001" s="1050"/>
    </row>
    <row r="16002" spans="1:7">
      <c r="A16002" s="1079"/>
      <c r="B16002" s="1050"/>
      <c r="C16002" s="1050"/>
      <c r="D16002" s="1050"/>
      <c r="E16002" s="1050"/>
      <c r="F16002" s="1050"/>
      <c r="G16002" s="1050"/>
    </row>
    <row r="16003" spans="1:7">
      <c r="A16003" s="1079"/>
      <c r="B16003" s="1050"/>
      <c r="C16003" s="1050"/>
      <c r="D16003" s="1050"/>
      <c r="E16003" s="1050"/>
      <c r="F16003" s="1050"/>
      <c r="G16003" s="1050"/>
    </row>
    <row r="16004" spans="1:7">
      <c r="A16004" s="1079"/>
      <c r="B16004" s="1050"/>
      <c r="C16004" s="1050"/>
      <c r="D16004" s="1050"/>
      <c r="E16004" s="1050"/>
      <c r="F16004" s="1050"/>
      <c r="G16004" s="1050"/>
    </row>
    <row r="16005" spans="1:7">
      <c r="A16005" s="1079"/>
      <c r="B16005" s="1050"/>
      <c r="C16005" s="1050"/>
      <c r="D16005" s="1050"/>
      <c r="E16005" s="1050"/>
      <c r="F16005" s="1050"/>
      <c r="G16005" s="1050"/>
    </row>
    <row r="16006" spans="1:7">
      <c r="A16006" s="1079"/>
      <c r="B16006" s="1050"/>
      <c r="C16006" s="1050"/>
      <c r="D16006" s="1050"/>
      <c r="E16006" s="1050"/>
      <c r="F16006" s="1050"/>
      <c r="G16006" s="1050"/>
    </row>
    <row r="16007" spans="1:7">
      <c r="A16007" s="1079"/>
      <c r="B16007" s="1050"/>
      <c r="C16007" s="1050"/>
      <c r="D16007" s="1050"/>
      <c r="E16007" s="1050"/>
      <c r="F16007" s="1050"/>
      <c r="G16007" s="1050"/>
    </row>
    <row r="16008" spans="1:7">
      <c r="A16008" s="1079"/>
      <c r="B16008" s="1050"/>
      <c r="C16008" s="1050"/>
      <c r="D16008" s="1050"/>
      <c r="E16008" s="1050"/>
      <c r="F16008" s="1050"/>
      <c r="G16008" s="1050"/>
    </row>
    <row r="16009" spans="1:7">
      <c r="A16009" s="1079"/>
      <c r="B16009" s="1050"/>
      <c r="C16009" s="1050"/>
      <c r="D16009" s="1050"/>
      <c r="E16009" s="1050"/>
      <c r="F16009" s="1050"/>
      <c r="G16009" s="1050"/>
    </row>
    <row r="16010" spans="1:7">
      <c r="A16010" s="1079"/>
      <c r="B16010" s="1050"/>
      <c r="C16010" s="1050"/>
      <c r="D16010" s="1050"/>
      <c r="E16010" s="1050"/>
      <c r="F16010" s="1050"/>
      <c r="G16010" s="1050"/>
    </row>
    <row r="16011" spans="1:7">
      <c r="A16011" s="1079"/>
      <c r="B16011" s="1050"/>
      <c r="C16011" s="1050"/>
      <c r="D16011" s="1050"/>
      <c r="E16011" s="1050"/>
      <c r="F16011" s="1050"/>
      <c r="G16011" s="1050"/>
    </row>
    <row r="16012" spans="1:7">
      <c r="A16012" s="1079"/>
      <c r="B16012" s="1050"/>
      <c r="C16012" s="1050"/>
      <c r="D16012" s="1050"/>
      <c r="E16012" s="1050"/>
      <c r="F16012" s="1050"/>
      <c r="G16012" s="1050"/>
    </row>
    <row r="16013" spans="1:7">
      <c r="A16013" s="1079"/>
      <c r="B16013" s="1050"/>
      <c r="C16013" s="1050"/>
      <c r="D16013" s="1050"/>
      <c r="E16013" s="1050"/>
      <c r="F16013" s="1050"/>
      <c r="G16013" s="1050"/>
    </row>
    <row r="16014" spans="1:7">
      <c r="A16014" s="1079"/>
      <c r="B16014" s="1050"/>
      <c r="C16014" s="1050"/>
      <c r="D16014" s="1050"/>
      <c r="E16014" s="1050"/>
      <c r="F16014" s="1050"/>
      <c r="G16014" s="1050"/>
    </row>
    <row r="16015" spans="1:7">
      <c r="A16015" s="1079"/>
      <c r="B16015" s="1050"/>
      <c r="C16015" s="1050"/>
      <c r="D16015" s="1050"/>
      <c r="E16015" s="1050"/>
      <c r="F16015" s="1050"/>
      <c r="G16015" s="1050"/>
    </row>
    <row r="16016" spans="1:7">
      <c r="A16016" s="1079"/>
      <c r="B16016" s="1050"/>
      <c r="C16016" s="1050"/>
      <c r="D16016" s="1050"/>
      <c r="E16016" s="1050"/>
      <c r="F16016" s="1050"/>
      <c r="G16016" s="1050"/>
    </row>
    <row r="16017" spans="1:7">
      <c r="A16017" s="1079"/>
      <c r="B16017" s="1050"/>
      <c r="C16017" s="1050"/>
      <c r="D16017" s="1050"/>
      <c r="E16017" s="1050"/>
      <c r="F16017" s="1050"/>
      <c r="G16017" s="1050"/>
    </row>
    <row r="16018" spans="1:7">
      <c r="A16018" s="1079"/>
      <c r="B16018" s="1050"/>
      <c r="C16018" s="1050"/>
      <c r="D16018" s="1050"/>
      <c r="E16018" s="1050"/>
      <c r="F16018" s="1050"/>
      <c r="G16018" s="1050"/>
    </row>
    <row r="16019" spans="1:7">
      <c r="A16019" s="1079"/>
      <c r="B16019" s="1050"/>
      <c r="C16019" s="1050"/>
      <c r="D16019" s="1050"/>
      <c r="E16019" s="1050"/>
      <c r="F16019" s="1050"/>
      <c r="G16019" s="1050"/>
    </row>
    <row r="16020" spans="1:7">
      <c r="A16020" s="1079"/>
      <c r="B16020" s="1050"/>
      <c r="C16020" s="1050"/>
      <c r="D16020" s="1050"/>
      <c r="E16020" s="1050"/>
      <c r="F16020" s="1050"/>
      <c r="G16020" s="1050"/>
    </row>
    <row r="16021" spans="1:7">
      <c r="A16021" s="1079"/>
      <c r="B16021" s="1050"/>
      <c r="C16021" s="1050"/>
      <c r="D16021" s="1050"/>
      <c r="E16021" s="1050"/>
      <c r="F16021" s="1050"/>
      <c r="G16021" s="1050"/>
    </row>
    <row r="16022" spans="1:7">
      <c r="A16022" s="1079"/>
      <c r="B16022" s="1050"/>
      <c r="C16022" s="1050"/>
      <c r="D16022" s="1050"/>
      <c r="E16022" s="1050"/>
      <c r="F16022" s="1050"/>
      <c r="G16022" s="1050"/>
    </row>
    <row r="16023" spans="1:7">
      <c r="A16023" s="1079"/>
      <c r="B16023" s="1050"/>
      <c r="C16023" s="1050"/>
      <c r="D16023" s="1050"/>
      <c r="E16023" s="1050"/>
      <c r="F16023" s="1050"/>
      <c r="G16023" s="1050"/>
    </row>
    <row r="16024" spans="1:7">
      <c r="A16024" s="1079"/>
      <c r="B16024" s="1050"/>
      <c r="C16024" s="1050"/>
      <c r="D16024" s="1050"/>
      <c r="E16024" s="1050"/>
      <c r="F16024" s="1050"/>
      <c r="G16024" s="1050"/>
    </row>
    <row r="16025" spans="1:7">
      <c r="A16025" s="1079"/>
      <c r="B16025" s="1050"/>
      <c r="C16025" s="1050"/>
      <c r="D16025" s="1050"/>
      <c r="E16025" s="1050"/>
      <c r="F16025" s="1050"/>
      <c r="G16025" s="1050"/>
    </row>
    <row r="16026" spans="1:7">
      <c r="A16026" s="1079"/>
      <c r="B16026" s="1050"/>
      <c r="C16026" s="1050"/>
      <c r="D16026" s="1050"/>
      <c r="E16026" s="1050"/>
      <c r="F16026" s="1050"/>
      <c r="G16026" s="1050"/>
    </row>
    <row r="16027" spans="1:7">
      <c r="A16027" s="1079"/>
      <c r="B16027" s="1050"/>
      <c r="C16027" s="1050"/>
      <c r="D16027" s="1050"/>
      <c r="E16027" s="1050"/>
      <c r="F16027" s="1050"/>
      <c r="G16027" s="1050"/>
    </row>
    <row r="16028" spans="1:7">
      <c r="A16028" s="1079"/>
      <c r="B16028" s="1050"/>
      <c r="C16028" s="1050"/>
      <c r="D16028" s="1050"/>
      <c r="E16028" s="1050"/>
      <c r="F16028" s="1050"/>
      <c r="G16028" s="1050"/>
    </row>
    <row r="16029" spans="1:7">
      <c r="A16029" s="1079"/>
      <c r="B16029" s="1050"/>
      <c r="C16029" s="1050"/>
      <c r="D16029" s="1050"/>
      <c r="E16029" s="1050"/>
      <c r="F16029" s="1050"/>
      <c r="G16029" s="1050"/>
    </row>
    <row r="16030" spans="1:7">
      <c r="A16030" s="1079"/>
      <c r="B16030" s="1050"/>
      <c r="C16030" s="1050"/>
      <c r="D16030" s="1050"/>
      <c r="E16030" s="1050"/>
      <c r="F16030" s="1050"/>
      <c r="G16030" s="1050"/>
    </row>
    <row r="16031" spans="1:7">
      <c r="A16031" s="1079"/>
      <c r="B16031" s="1050"/>
      <c r="C16031" s="1050"/>
      <c r="D16031" s="1050"/>
      <c r="E16031" s="1050"/>
      <c r="F16031" s="1050"/>
      <c r="G16031" s="1050"/>
    </row>
    <row r="16032" spans="1:7">
      <c r="A16032" s="1079"/>
      <c r="B16032" s="1050"/>
      <c r="C16032" s="1050"/>
      <c r="D16032" s="1050"/>
      <c r="E16032" s="1050"/>
      <c r="F16032" s="1050"/>
      <c r="G16032" s="1050"/>
    </row>
    <row r="16033" spans="1:7">
      <c r="A16033" s="1079"/>
      <c r="B16033" s="1050"/>
      <c r="C16033" s="1050"/>
      <c r="D16033" s="1050"/>
      <c r="E16033" s="1050"/>
      <c r="F16033" s="1050"/>
      <c r="G16033" s="1050"/>
    </row>
    <row r="16034" spans="1:7">
      <c r="A16034" s="1079"/>
      <c r="B16034" s="1050"/>
      <c r="C16034" s="1050"/>
      <c r="D16034" s="1050"/>
      <c r="E16034" s="1050"/>
      <c r="F16034" s="1050"/>
      <c r="G16034" s="1050"/>
    </row>
    <row r="16035" spans="1:7">
      <c r="A16035" s="1079"/>
      <c r="B16035" s="1050"/>
      <c r="C16035" s="1050"/>
      <c r="D16035" s="1050"/>
      <c r="E16035" s="1050"/>
      <c r="F16035" s="1050"/>
      <c r="G16035" s="1050"/>
    </row>
    <row r="16036" spans="1:7">
      <c r="A16036" s="1079"/>
      <c r="B16036" s="1050"/>
      <c r="C16036" s="1050"/>
      <c r="D16036" s="1050"/>
      <c r="E16036" s="1050"/>
      <c r="F16036" s="1050"/>
      <c r="G16036" s="1050"/>
    </row>
    <row r="16037" spans="1:7">
      <c r="A16037" s="1079"/>
      <c r="B16037" s="1050"/>
      <c r="C16037" s="1050"/>
      <c r="D16037" s="1050"/>
      <c r="E16037" s="1050"/>
      <c r="F16037" s="1050"/>
      <c r="G16037" s="1050"/>
    </row>
    <row r="16038" spans="1:7">
      <c r="A16038" s="1079"/>
      <c r="B16038" s="1050"/>
      <c r="C16038" s="1050"/>
      <c r="D16038" s="1050"/>
      <c r="E16038" s="1050"/>
      <c r="F16038" s="1050"/>
      <c r="G16038" s="1050"/>
    </row>
    <row r="16039" spans="1:7">
      <c r="A16039" s="1079"/>
      <c r="B16039" s="1050"/>
      <c r="C16039" s="1050"/>
      <c r="D16039" s="1050"/>
      <c r="E16039" s="1050"/>
      <c r="F16039" s="1050"/>
      <c r="G16039" s="1050"/>
    </row>
    <row r="16040" spans="1:7">
      <c r="A16040" s="1079"/>
      <c r="B16040" s="1050"/>
      <c r="C16040" s="1050"/>
      <c r="D16040" s="1050"/>
      <c r="E16040" s="1050"/>
      <c r="F16040" s="1050"/>
      <c r="G16040" s="1050"/>
    </row>
    <row r="16041" spans="1:7">
      <c r="A16041" s="1079"/>
      <c r="B16041" s="1050"/>
      <c r="C16041" s="1050"/>
      <c r="D16041" s="1050"/>
      <c r="E16041" s="1050"/>
      <c r="F16041" s="1050"/>
      <c r="G16041" s="1050"/>
    </row>
    <row r="16042" spans="1:7">
      <c r="A16042" s="1079"/>
      <c r="B16042" s="1050"/>
      <c r="C16042" s="1050"/>
      <c r="D16042" s="1050"/>
      <c r="E16042" s="1050"/>
      <c r="F16042" s="1050"/>
      <c r="G16042" s="1050"/>
    </row>
    <row r="16043" spans="1:7">
      <c r="A16043" s="1079"/>
      <c r="B16043" s="1050"/>
      <c r="C16043" s="1050"/>
      <c r="D16043" s="1050"/>
      <c r="E16043" s="1050"/>
      <c r="F16043" s="1050"/>
      <c r="G16043" s="1050"/>
    </row>
    <row r="16044" spans="1:7">
      <c r="A16044" s="1079"/>
      <c r="B16044" s="1050"/>
      <c r="C16044" s="1050"/>
      <c r="D16044" s="1050"/>
      <c r="E16044" s="1050"/>
      <c r="F16044" s="1050"/>
      <c r="G16044" s="1050"/>
    </row>
    <row r="16045" spans="1:7">
      <c r="A16045" s="1079"/>
      <c r="B16045" s="1050"/>
      <c r="C16045" s="1050"/>
      <c r="D16045" s="1050"/>
      <c r="E16045" s="1050"/>
      <c r="F16045" s="1050"/>
      <c r="G16045" s="1050"/>
    </row>
    <row r="16046" spans="1:7">
      <c r="A16046" s="1079"/>
      <c r="B16046" s="1050"/>
      <c r="C16046" s="1050"/>
      <c r="D16046" s="1050"/>
      <c r="E16046" s="1050"/>
      <c r="F16046" s="1050"/>
      <c r="G16046" s="1050"/>
    </row>
    <row r="16047" spans="1:7">
      <c r="A16047" s="1079"/>
      <c r="B16047" s="1050"/>
      <c r="C16047" s="1050"/>
      <c r="D16047" s="1050"/>
      <c r="E16047" s="1050"/>
      <c r="F16047" s="1050"/>
      <c r="G16047" s="1050"/>
    </row>
    <row r="16048" spans="1:7">
      <c r="A16048" s="1079"/>
      <c r="B16048" s="1050"/>
      <c r="C16048" s="1050"/>
      <c r="D16048" s="1050"/>
      <c r="E16048" s="1050"/>
      <c r="F16048" s="1050"/>
      <c r="G16048" s="1050"/>
    </row>
    <row r="16049" spans="1:7">
      <c r="A16049" s="1079"/>
      <c r="B16049" s="1050"/>
      <c r="C16049" s="1050"/>
      <c r="D16049" s="1050"/>
      <c r="E16049" s="1050"/>
      <c r="F16049" s="1050"/>
      <c r="G16049" s="1050"/>
    </row>
    <row r="16050" spans="1:7">
      <c r="A16050" s="1079"/>
      <c r="B16050" s="1050"/>
      <c r="C16050" s="1050"/>
      <c r="D16050" s="1050"/>
      <c r="E16050" s="1050"/>
      <c r="F16050" s="1050"/>
      <c r="G16050" s="1050"/>
    </row>
    <row r="16051" spans="1:7">
      <c r="A16051" s="1079"/>
      <c r="B16051" s="1050"/>
      <c r="C16051" s="1050"/>
      <c r="D16051" s="1050"/>
      <c r="E16051" s="1050"/>
      <c r="F16051" s="1050"/>
      <c r="G16051" s="1050"/>
    </row>
    <row r="16052" spans="1:7">
      <c r="A16052" s="1079"/>
      <c r="B16052" s="1050"/>
      <c r="C16052" s="1050"/>
      <c r="D16052" s="1050"/>
      <c r="E16052" s="1050"/>
      <c r="F16052" s="1050"/>
      <c r="G16052" s="1050"/>
    </row>
    <row r="16053" spans="1:7">
      <c r="A16053" s="1079"/>
      <c r="B16053" s="1050"/>
      <c r="C16053" s="1050"/>
      <c r="D16053" s="1050"/>
      <c r="E16053" s="1050"/>
      <c r="F16053" s="1050"/>
      <c r="G16053" s="1050"/>
    </row>
    <row r="16054" spans="1:7">
      <c r="A16054" s="1079"/>
      <c r="B16054" s="1050"/>
      <c r="C16054" s="1050"/>
      <c r="D16054" s="1050"/>
      <c r="E16054" s="1050"/>
      <c r="F16054" s="1050"/>
      <c r="G16054" s="1050"/>
    </row>
    <row r="16055" spans="1:7">
      <c r="A16055" s="1079"/>
      <c r="B16055" s="1050"/>
      <c r="C16055" s="1050"/>
      <c r="D16055" s="1050"/>
      <c r="E16055" s="1050"/>
      <c r="F16055" s="1050"/>
      <c r="G16055" s="1050"/>
    </row>
    <row r="16056" spans="1:7">
      <c r="A16056" s="1079"/>
      <c r="B16056" s="1050"/>
      <c r="C16056" s="1050"/>
      <c r="D16056" s="1050"/>
      <c r="E16056" s="1050"/>
      <c r="F16056" s="1050"/>
      <c r="G16056" s="1050"/>
    </row>
    <row r="16057" spans="1:7">
      <c r="A16057" s="1079"/>
      <c r="B16057" s="1050"/>
      <c r="C16057" s="1050"/>
      <c r="D16057" s="1050"/>
      <c r="E16057" s="1050"/>
      <c r="F16057" s="1050"/>
      <c r="G16057" s="1050"/>
    </row>
    <row r="16058" spans="1:7">
      <c r="A16058" s="1079"/>
      <c r="B16058" s="1050"/>
      <c r="C16058" s="1050"/>
      <c r="D16058" s="1050"/>
      <c r="E16058" s="1050"/>
      <c r="F16058" s="1050"/>
      <c r="G16058" s="1050"/>
    </row>
    <row r="16059" spans="1:7">
      <c r="A16059" s="1079"/>
      <c r="B16059" s="1050"/>
      <c r="C16059" s="1050"/>
      <c r="D16059" s="1050"/>
      <c r="E16059" s="1050"/>
      <c r="F16059" s="1050"/>
      <c r="G16059" s="1050"/>
    </row>
    <row r="16060" spans="1:7">
      <c r="A16060" s="1079"/>
      <c r="B16060" s="1050"/>
      <c r="C16060" s="1050"/>
      <c r="D16060" s="1050"/>
      <c r="E16060" s="1050"/>
      <c r="F16060" s="1050"/>
      <c r="G16060" s="1050"/>
    </row>
    <row r="16061" spans="1:7">
      <c r="A16061" s="1079"/>
      <c r="B16061" s="1050"/>
      <c r="C16061" s="1050"/>
      <c r="D16061" s="1050"/>
      <c r="E16061" s="1050"/>
      <c r="F16061" s="1050"/>
      <c r="G16061" s="1050"/>
    </row>
    <row r="16062" spans="1:7">
      <c r="A16062" s="1079"/>
      <c r="B16062" s="1050"/>
      <c r="C16062" s="1050"/>
      <c r="D16062" s="1050"/>
      <c r="E16062" s="1050"/>
      <c r="F16062" s="1050"/>
      <c r="G16062" s="1050"/>
    </row>
    <row r="16063" spans="1:7">
      <c r="A16063" s="1079"/>
      <c r="B16063" s="1050"/>
      <c r="C16063" s="1050"/>
      <c r="D16063" s="1050"/>
      <c r="E16063" s="1050"/>
      <c r="F16063" s="1050"/>
      <c r="G16063" s="1050"/>
    </row>
    <row r="16064" spans="1:7">
      <c r="A16064" s="1079"/>
      <c r="B16064" s="1050"/>
      <c r="C16064" s="1050"/>
      <c r="D16064" s="1050"/>
      <c r="E16064" s="1050"/>
      <c r="F16064" s="1050"/>
      <c r="G16064" s="1050"/>
    </row>
    <row r="16065" spans="1:7">
      <c r="A16065" s="1079"/>
      <c r="B16065" s="1050"/>
      <c r="C16065" s="1050"/>
      <c r="D16065" s="1050"/>
      <c r="E16065" s="1050"/>
      <c r="F16065" s="1050"/>
      <c r="G16065" s="1050"/>
    </row>
    <row r="16066" spans="1:7">
      <c r="A16066" s="1079"/>
      <c r="B16066" s="1050"/>
      <c r="C16066" s="1050"/>
      <c r="D16066" s="1050"/>
      <c r="E16066" s="1050"/>
      <c r="F16066" s="1050"/>
      <c r="G16066" s="1050"/>
    </row>
    <row r="16067" spans="1:7">
      <c r="A16067" s="1079"/>
      <c r="B16067" s="1050"/>
      <c r="C16067" s="1050"/>
      <c r="D16067" s="1050"/>
      <c r="E16067" s="1050"/>
      <c r="F16067" s="1050"/>
      <c r="G16067" s="1050"/>
    </row>
    <row r="16068" spans="1:7">
      <c r="A16068" s="1079"/>
      <c r="B16068" s="1050"/>
      <c r="C16068" s="1050"/>
      <c r="D16068" s="1050"/>
      <c r="E16068" s="1050"/>
      <c r="F16068" s="1050"/>
      <c r="G16068" s="1050"/>
    </row>
    <row r="16069" spans="1:7">
      <c r="A16069" s="1079"/>
      <c r="B16069" s="1050"/>
      <c r="C16069" s="1050"/>
      <c r="D16069" s="1050"/>
      <c r="E16069" s="1050"/>
      <c r="F16069" s="1050"/>
      <c r="G16069" s="1050"/>
    </row>
    <row r="16070" spans="1:7">
      <c r="A16070" s="1079"/>
      <c r="B16070" s="1050"/>
      <c r="C16070" s="1050"/>
      <c r="D16070" s="1050"/>
      <c r="E16070" s="1050"/>
      <c r="F16070" s="1050"/>
      <c r="G16070" s="1050"/>
    </row>
    <row r="16071" spans="1:7">
      <c r="A16071" s="1079"/>
      <c r="B16071" s="1050"/>
      <c r="C16071" s="1050"/>
      <c r="D16071" s="1050"/>
      <c r="E16071" s="1050"/>
      <c r="F16071" s="1050"/>
      <c r="G16071" s="1050"/>
    </row>
    <row r="16072" spans="1:7">
      <c r="A16072" s="1079"/>
      <c r="B16072" s="1050"/>
      <c r="C16072" s="1050"/>
      <c r="D16072" s="1050"/>
      <c r="E16072" s="1050"/>
      <c r="F16072" s="1050"/>
      <c r="G16072" s="1050"/>
    </row>
    <row r="16073" spans="1:7">
      <c r="A16073" s="1079"/>
      <c r="B16073" s="1050"/>
      <c r="C16073" s="1050"/>
      <c r="D16073" s="1050"/>
      <c r="E16073" s="1050"/>
      <c r="F16073" s="1050"/>
      <c r="G16073" s="1050"/>
    </row>
    <row r="16074" spans="1:7">
      <c r="A16074" s="1079"/>
      <c r="B16074" s="1050"/>
      <c r="C16074" s="1050"/>
      <c r="D16074" s="1050"/>
      <c r="E16074" s="1050"/>
      <c r="F16074" s="1050"/>
      <c r="G16074" s="1050"/>
    </row>
    <row r="16075" spans="1:7">
      <c r="A16075" s="1079"/>
      <c r="B16075" s="1050"/>
      <c r="C16075" s="1050"/>
      <c r="D16075" s="1050"/>
      <c r="E16075" s="1050"/>
      <c r="F16075" s="1050"/>
      <c r="G16075" s="1050"/>
    </row>
    <row r="16076" spans="1:7">
      <c r="A16076" s="1079"/>
      <c r="B16076" s="1050"/>
      <c r="C16076" s="1050"/>
      <c r="D16076" s="1050"/>
      <c r="E16076" s="1050"/>
      <c r="F16076" s="1050"/>
      <c r="G16076" s="1050"/>
    </row>
    <row r="16077" spans="1:7">
      <c r="A16077" s="1079"/>
      <c r="B16077" s="1050"/>
      <c r="C16077" s="1050"/>
      <c r="D16077" s="1050"/>
      <c r="E16077" s="1050"/>
      <c r="F16077" s="1050"/>
      <c r="G16077" s="1050"/>
    </row>
    <row r="16078" spans="1:7">
      <c r="A16078" s="1079"/>
      <c r="B16078" s="1050"/>
      <c r="C16078" s="1050"/>
      <c r="D16078" s="1050"/>
      <c r="E16078" s="1050"/>
      <c r="F16078" s="1050"/>
      <c r="G16078" s="1050"/>
    </row>
    <row r="16079" spans="1:7">
      <c r="A16079" s="1079"/>
      <c r="B16079" s="1050"/>
      <c r="C16079" s="1050"/>
      <c r="D16079" s="1050"/>
      <c r="E16079" s="1050"/>
      <c r="F16079" s="1050"/>
      <c r="G16079" s="1050"/>
    </row>
    <row r="16080" spans="1:7">
      <c r="A16080" s="1079"/>
      <c r="B16080" s="1050"/>
      <c r="C16080" s="1050"/>
      <c r="D16080" s="1050"/>
      <c r="E16080" s="1050"/>
      <c r="F16080" s="1050"/>
      <c r="G16080" s="1050"/>
    </row>
    <row r="16081" spans="1:7">
      <c r="A16081" s="1079"/>
      <c r="B16081" s="1050"/>
      <c r="C16081" s="1050"/>
      <c r="D16081" s="1050"/>
      <c r="E16081" s="1050"/>
      <c r="F16081" s="1050"/>
      <c r="G16081" s="1050"/>
    </row>
    <row r="16082" spans="1:7">
      <c r="A16082" s="1079"/>
      <c r="B16082" s="1050"/>
      <c r="C16082" s="1050"/>
      <c r="D16082" s="1050"/>
      <c r="E16082" s="1050"/>
      <c r="F16082" s="1050"/>
      <c r="G16082" s="1050"/>
    </row>
    <row r="16083" spans="1:7">
      <c r="A16083" s="1079"/>
      <c r="B16083" s="1050"/>
      <c r="C16083" s="1050"/>
      <c r="D16083" s="1050"/>
      <c r="E16083" s="1050"/>
      <c r="F16083" s="1050"/>
      <c r="G16083" s="1050"/>
    </row>
    <row r="16084" spans="1:7">
      <c r="A16084" s="1079"/>
      <c r="B16084" s="1050"/>
      <c r="C16084" s="1050"/>
      <c r="D16084" s="1050"/>
      <c r="E16084" s="1050"/>
      <c r="F16084" s="1050"/>
      <c r="G16084" s="1050"/>
    </row>
    <row r="16085" spans="1:7">
      <c r="A16085" s="1079"/>
      <c r="B16085" s="1050"/>
      <c r="C16085" s="1050"/>
      <c r="D16085" s="1050"/>
      <c r="E16085" s="1050"/>
      <c r="F16085" s="1050"/>
      <c r="G16085" s="1050"/>
    </row>
    <row r="16086" spans="1:7">
      <c r="A16086" s="1079"/>
      <c r="B16086" s="1050"/>
      <c r="C16086" s="1050"/>
      <c r="D16086" s="1050"/>
      <c r="E16086" s="1050"/>
      <c r="F16086" s="1050"/>
      <c r="G16086" s="1050"/>
    </row>
    <row r="16087" spans="1:7">
      <c r="A16087" s="1079"/>
      <c r="B16087" s="1050"/>
      <c r="C16087" s="1050"/>
      <c r="D16087" s="1050"/>
      <c r="E16087" s="1050"/>
      <c r="F16087" s="1050"/>
      <c r="G16087" s="1050"/>
    </row>
    <row r="16088" spans="1:7">
      <c r="A16088" s="1079"/>
      <c r="B16088" s="1050"/>
      <c r="C16088" s="1050"/>
      <c r="D16088" s="1050"/>
      <c r="E16088" s="1050"/>
      <c r="F16088" s="1050"/>
      <c r="G16088" s="1050"/>
    </row>
    <row r="16089" spans="1:7">
      <c r="A16089" s="1079"/>
      <c r="B16089" s="1050"/>
      <c r="C16089" s="1050"/>
      <c r="D16089" s="1050"/>
      <c r="E16089" s="1050"/>
      <c r="F16089" s="1050"/>
      <c r="G16089" s="1050"/>
    </row>
    <row r="16090" spans="1:7">
      <c r="A16090" s="1079"/>
      <c r="B16090" s="1050"/>
      <c r="C16090" s="1050"/>
      <c r="D16090" s="1050"/>
      <c r="E16090" s="1050"/>
      <c r="F16090" s="1050"/>
      <c r="G16090" s="1050"/>
    </row>
    <row r="16091" spans="1:7">
      <c r="A16091" s="1079"/>
      <c r="B16091" s="1050"/>
      <c r="C16091" s="1050"/>
      <c r="D16091" s="1050"/>
      <c r="E16091" s="1050"/>
      <c r="F16091" s="1050"/>
      <c r="G16091" s="1050"/>
    </row>
    <row r="16092" spans="1:7">
      <c r="A16092" s="1079"/>
      <c r="B16092" s="1050"/>
      <c r="C16092" s="1050"/>
      <c r="D16092" s="1050"/>
      <c r="E16092" s="1050"/>
      <c r="F16092" s="1050"/>
      <c r="G16092" s="1050"/>
    </row>
    <row r="16093" spans="1:7">
      <c r="A16093" s="1079"/>
      <c r="B16093" s="1050"/>
      <c r="C16093" s="1050"/>
      <c r="D16093" s="1050"/>
      <c r="E16093" s="1050"/>
      <c r="F16093" s="1050"/>
      <c r="G16093" s="1050"/>
    </row>
    <row r="16094" spans="1:7">
      <c r="A16094" s="1079"/>
      <c r="B16094" s="1050"/>
      <c r="C16094" s="1050"/>
      <c r="D16094" s="1050"/>
      <c r="E16094" s="1050"/>
      <c r="F16094" s="1050"/>
      <c r="G16094" s="1050"/>
    </row>
    <row r="16095" spans="1:7">
      <c r="A16095" s="1079"/>
      <c r="B16095" s="1050"/>
      <c r="C16095" s="1050"/>
      <c r="D16095" s="1050"/>
      <c r="E16095" s="1050"/>
      <c r="F16095" s="1050"/>
      <c r="G16095" s="1050"/>
    </row>
    <row r="16096" spans="1:7">
      <c r="A16096" s="1079"/>
      <c r="B16096" s="1050"/>
      <c r="C16096" s="1050"/>
      <c r="D16096" s="1050"/>
      <c r="E16096" s="1050"/>
      <c r="F16096" s="1050"/>
      <c r="G16096" s="1050"/>
    </row>
    <row r="16097" spans="1:7">
      <c r="A16097" s="1079"/>
      <c r="B16097" s="1050"/>
      <c r="C16097" s="1050"/>
      <c r="D16097" s="1050"/>
      <c r="E16097" s="1050"/>
      <c r="F16097" s="1050"/>
      <c r="G16097" s="1050"/>
    </row>
    <row r="16098" spans="1:7">
      <c r="A16098" s="1079"/>
      <c r="B16098" s="1050"/>
      <c r="C16098" s="1050"/>
      <c r="D16098" s="1050"/>
      <c r="E16098" s="1050"/>
      <c r="F16098" s="1050"/>
      <c r="G16098" s="1050"/>
    </row>
    <row r="16099" spans="1:7">
      <c r="A16099" s="1079"/>
      <c r="B16099" s="1050"/>
      <c r="C16099" s="1050"/>
      <c r="D16099" s="1050"/>
      <c r="E16099" s="1050"/>
      <c r="F16099" s="1050"/>
      <c r="G16099" s="1050"/>
    </row>
    <row r="16100" spans="1:7">
      <c r="A16100" s="1079"/>
      <c r="B16100" s="1050"/>
      <c r="C16100" s="1050"/>
      <c r="D16100" s="1050"/>
      <c r="E16100" s="1050"/>
      <c r="F16100" s="1050"/>
      <c r="G16100" s="1050"/>
    </row>
    <row r="16101" spans="1:7">
      <c r="A16101" s="1079"/>
      <c r="B16101" s="1050"/>
      <c r="C16101" s="1050"/>
      <c r="D16101" s="1050"/>
      <c r="E16101" s="1050"/>
      <c r="F16101" s="1050"/>
      <c r="G16101" s="1050"/>
    </row>
    <row r="16102" spans="1:7">
      <c r="A16102" s="1079"/>
      <c r="B16102" s="1050"/>
      <c r="C16102" s="1050"/>
      <c r="D16102" s="1050"/>
      <c r="E16102" s="1050"/>
      <c r="F16102" s="1050"/>
      <c r="G16102" s="1050"/>
    </row>
    <row r="16103" spans="1:7">
      <c r="A16103" s="1079"/>
      <c r="B16103" s="1050"/>
      <c r="C16103" s="1050"/>
      <c r="D16103" s="1050"/>
      <c r="E16103" s="1050"/>
      <c r="F16103" s="1050"/>
      <c r="G16103" s="1050"/>
    </row>
    <row r="16104" spans="1:7">
      <c r="A16104" s="1079"/>
      <c r="B16104" s="1050"/>
      <c r="C16104" s="1050"/>
      <c r="D16104" s="1050"/>
      <c r="E16104" s="1050"/>
      <c r="F16104" s="1050"/>
      <c r="G16104" s="1050"/>
    </row>
    <row r="16105" spans="1:7">
      <c r="A16105" s="1079"/>
      <c r="B16105" s="1050"/>
      <c r="C16105" s="1050"/>
      <c r="D16105" s="1050"/>
      <c r="E16105" s="1050"/>
      <c r="F16105" s="1050"/>
      <c r="G16105" s="1050"/>
    </row>
    <row r="16106" spans="1:7">
      <c r="A16106" s="1079"/>
      <c r="B16106" s="1050"/>
      <c r="C16106" s="1050"/>
      <c r="D16106" s="1050"/>
      <c r="E16106" s="1050"/>
      <c r="F16106" s="1050"/>
      <c r="G16106" s="1050"/>
    </row>
    <row r="16107" spans="1:7">
      <c r="A16107" s="1079"/>
      <c r="B16107" s="1050"/>
      <c r="C16107" s="1050"/>
      <c r="D16107" s="1050"/>
      <c r="E16107" s="1050"/>
      <c r="F16107" s="1050"/>
      <c r="G16107" s="1050"/>
    </row>
    <row r="16108" spans="1:7">
      <c r="A16108" s="1079"/>
      <c r="B16108" s="1050"/>
      <c r="C16108" s="1050"/>
      <c r="D16108" s="1050"/>
      <c r="E16108" s="1050"/>
      <c r="F16108" s="1050"/>
      <c r="G16108" s="1050"/>
    </row>
    <row r="16109" spans="1:7">
      <c r="A16109" s="1079"/>
      <c r="B16109" s="1050"/>
      <c r="C16109" s="1050"/>
      <c r="D16109" s="1050"/>
      <c r="E16109" s="1050"/>
      <c r="F16109" s="1050"/>
      <c r="G16109" s="1050"/>
    </row>
    <row r="16110" spans="1:7">
      <c r="A16110" s="1079"/>
      <c r="B16110" s="1050"/>
      <c r="C16110" s="1050"/>
      <c r="D16110" s="1050"/>
      <c r="E16110" s="1050"/>
      <c r="F16110" s="1050"/>
      <c r="G16110" s="1050"/>
    </row>
    <row r="16111" spans="1:7">
      <c r="A16111" s="1079"/>
      <c r="B16111" s="1050"/>
      <c r="C16111" s="1050"/>
      <c r="D16111" s="1050"/>
      <c r="E16111" s="1050"/>
      <c r="F16111" s="1050"/>
      <c r="G16111" s="1050"/>
    </row>
    <row r="16112" spans="1:7">
      <c r="A16112" s="1079"/>
      <c r="B16112" s="1050"/>
      <c r="C16112" s="1050"/>
      <c r="D16112" s="1050"/>
      <c r="E16112" s="1050"/>
      <c r="F16112" s="1050"/>
      <c r="G16112" s="1050"/>
    </row>
    <row r="16113" spans="1:7">
      <c r="A16113" s="1079"/>
      <c r="B16113" s="1050"/>
      <c r="C16113" s="1050"/>
      <c r="D16113" s="1050"/>
      <c r="E16113" s="1050"/>
      <c r="F16113" s="1050"/>
      <c r="G16113" s="1050"/>
    </row>
    <row r="16114" spans="1:7">
      <c r="A16114" s="1079"/>
      <c r="B16114" s="1050"/>
      <c r="C16114" s="1050"/>
      <c r="D16114" s="1050"/>
      <c r="E16114" s="1050"/>
      <c r="F16114" s="1050"/>
      <c r="G16114" s="1050"/>
    </row>
    <row r="16115" spans="1:7">
      <c r="A16115" s="1079"/>
      <c r="B16115" s="1050"/>
      <c r="C16115" s="1050"/>
      <c r="D16115" s="1050"/>
      <c r="E16115" s="1050"/>
      <c r="F16115" s="1050"/>
      <c r="G16115" s="1050"/>
    </row>
    <row r="16116" spans="1:7">
      <c r="A16116" s="1079"/>
      <c r="B16116" s="1050"/>
      <c r="C16116" s="1050"/>
      <c r="D16116" s="1050"/>
      <c r="E16116" s="1050"/>
      <c r="F16116" s="1050"/>
      <c r="G16116" s="1050"/>
    </row>
    <row r="16117" spans="1:7">
      <c r="A16117" s="1079"/>
      <c r="B16117" s="1050"/>
      <c r="C16117" s="1050"/>
      <c r="D16117" s="1050"/>
      <c r="E16117" s="1050"/>
      <c r="F16117" s="1050"/>
      <c r="G16117" s="1050"/>
    </row>
    <row r="16118" spans="1:7">
      <c r="A16118" s="1079"/>
      <c r="B16118" s="1050"/>
      <c r="C16118" s="1050"/>
      <c r="D16118" s="1050"/>
      <c r="E16118" s="1050"/>
      <c r="F16118" s="1050"/>
      <c r="G16118" s="1050"/>
    </row>
    <row r="16119" spans="1:7">
      <c r="A16119" s="1079"/>
      <c r="B16119" s="1050"/>
      <c r="C16119" s="1050"/>
      <c r="D16119" s="1050"/>
      <c r="E16119" s="1050"/>
      <c r="F16119" s="1050"/>
      <c r="G16119" s="1050"/>
    </row>
    <row r="16120" spans="1:7">
      <c r="A16120" s="1079"/>
      <c r="B16120" s="1050"/>
      <c r="C16120" s="1050"/>
      <c r="D16120" s="1050"/>
      <c r="E16120" s="1050"/>
      <c r="F16120" s="1050"/>
      <c r="G16120" s="1050"/>
    </row>
    <row r="16121" spans="1:7">
      <c r="A16121" s="1079"/>
      <c r="B16121" s="1050"/>
      <c r="C16121" s="1050"/>
      <c r="D16121" s="1050"/>
      <c r="E16121" s="1050"/>
      <c r="F16121" s="1050"/>
      <c r="G16121" s="1050"/>
    </row>
    <row r="16122" spans="1:7">
      <c r="A16122" s="1079"/>
      <c r="B16122" s="1050"/>
      <c r="C16122" s="1050"/>
      <c r="D16122" s="1050"/>
      <c r="E16122" s="1050"/>
      <c r="F16122" s="1050"/>
      <c r="G16122" s="1050"/>
    </row>
    <row r="16123" spans="1:7">
      <c r="A16123" s="1079"/>
      <c r="B16123" s="1050"/>
      <c r="C16123" s="1050"/>
      <c r="D16123" s="1050"/>
      <c r="E16123" s="1050"/>
      <c r="F16123" s="1050"/>
      <c r="G16123" s="1050"/>
    </row>
    <row r="16124" spans="1:7">
      <c r="A16124" s="1079"/>
      <c r="B16124" s="1050"/>
      <c r="C16124" s="1050"/>
      <c r="D16124" s="1050"/>
      <c r="E16124" s="1050"/>
      <c r="F16124" s="1050"/>
      <c r="G16124" s="1050"/>
    </row>
    <row r="16125" spans="1:7">
      <c r="A16125" s="1079"/>
      <c r="B16125" s="1050"/>
      <c r="C16125" s="1050"/>
      <c r="D16125" s="1050"/>
      <c r="E16125" s="1050"/>
      <c r="F16125" s="1050"/>
      <c r="G16125" s="1050"/>
    </row>
    <row r="16126" spans="1:7">
      <c r="A16126" s="1079"/>
      <c r="B16126" s="1050"/>
      <c r="C16126" s="1050"/>
      <c r="D16126" s="1050"/>
      <c r="E16126" s="1050"/>
      <c r="F16126" s="1050"/>
      <c r="G16126" s="1050"/>
    </row>
    <row r="16127" spans="1:7">
      <c r="A16127" s="1079"/>
      <c r="B16127" s="1050"/>
      <c r="C16127" s="1050"/>
      <c r="D16127" s="1050"/>
      <c r="E16127" s="1050"/>
      <c r="F16127" s="1050"/>
      <c r="G16127" s="1050"/>
    </row>
    <row r="16128" spans="1:7">
      <c r="A16128" s="1079"/>
      <c r="B16128" s="1050"/>
      <c r="C16128" s="1050"/>
      <c r="D16128" s="1050"/>
      <c r="E16128" s="1050"/>
      <c r="F16128" s="1050"/>
      <c r="G16128" s="1050"/>
    </row>
    <row r="16129" spans="1:7">
      <c r="A16129" s="1079"/>
      <c r="B16129" s="1050"/>
      <c r="C16129" s="1050"/>
      <c r="D16129" s="1050"/>
      <c r="E16129" s="1050"/>
      <c r="F16129" s="1050"/>
      <c r="G16129" s="1050"/>
    </row>
    <row r="16130" spans="1:7">
      <c r="A16130" s="1079"/>
      <c r="B16130" s="1050"/>
      <c r="C16130" s="1050"/>
      <c r="D16130" s="1050"/>
      <c r="E16130" s="1050"/>
      <c r="F16130" s="1050"/>
      <c r="G16130" s="1050"/>
    </row>
    <row r="16131" spans="1:7">
      <c r="A16131" s="1079"/>
      <c r="B16131" s="1050"/>
      <c r="C16131" s="1050"/>
      <c r="D16131" s="1050"/>
      <c r="E16131" s="1050"/>
      <c r="F16131" s="1050"/>
      <c r="G16131" s="1050"/>
    </row>
    <row r="16132" spans="1:7">
      <c r="A16132" s="1079"/>
      <c r="B16132" s="1050"/>
      <c r="C16132" s="1050"/>
      <c r="D16132" s="1050"/>
      <c r="E16132" s="1050"/>
      <c r="F16132" s="1050"/>
      <c r="G16132" s="1050"/>
    </row>
    <row r="16133" spans="1:7">
      <c r="A16133" s="1079"/>
      <c r="B16133" s="1050"/>
      <c r="C16133" s="1050"/>
      <c r="D16133" s="1050"/>
      <c r="E16133" s="1050"/>
      <c r="F16133" s="1050"/>
      <c r="G16133" s="1050"/>
    </row>
    <row r="16134" spans="1:7">
      <c r="A16134" s="1079"/>
      <c r="B16134" s="1050"/>
      <c r="C16134" s="1050"/>
      <c r="D16134" s="1050"/>
      <c r="E16134" s="1050"/>
      <c r="F16134" s="1050"/>
      <c r="G16134" s="1050"/>
    </row>
    <row r="16135" spans="1:7">
      <c r="A16135" s="1079"/>
      <c r="B16135" s="1050"/>
      <c r="C16135" s="1050"/>
      <c r="D16135" s="1050"/>
      <c r="E16135" s="1050"/>
      <c r="F16135" s="1050"/>
      <c r="G16135" s="1050"/>
    </row>
    <row r="16136" spans="1:7">
      <c r="A16136" s="1079"/>
      <c r="B16136" s="1050"/>
      <c r="C16136" s="1050"/>
      <c r="D16136" s="1050"/>
      <c r="E16136" s="1050"/>
      <c r="F16136" s="1050"/>
      <c r="G16136" s="1050"/>
    </row>
    <row r="16137" spans="1:7">
      <c r="A16137" s="1079"/>
      <c r="B16137" s="1050"/>
      <c r="C16137" s="1050"/>
      <c r="D16137" s="1050"/>
      <c r="E16137" s="1050"/>
      <c r="F16137" s="1050"/>
      <c r="G16137" s="1050"/>
    </row>
    <row r="16138" spans="1:7">
      <c r="A16138" s="1079"/>
      <c r="B16138" s="1050"/>
      <c r="C16138" s="1050"/>
      <c r="D16138" s="1050"/>
      <c r="E16138" s="1050"/>
      <c r="F16138" s="1050"/>
      <c r="G16138" s="1050"/>
    </row>
    <row r="16139" spans="1:7">
      <c r="A16139" s="1079"/>
      <c r="B16139" s="1050"/>
      <c r="C16139" s="1050"/>
      <c r="D16139" s="1050"/>
      <c r="E16139" s="1050"/>
      <c r="F16139" s="1050"/>
      <c r="G16139" s="1050"/>
    </row>
    <row r="16140" spans="1:7">
      <c r="A16140" s="1079"/>
      <c r="B16140" s="1050"/>
      <c r="C16140" s="1050"/>
      <c r="D16140" s="1050"/>
      <c r="E16140" s="1050"/>
      <c r="F16140" s="1050"/>
      <c r="G16140" s="1050"/>
    </row>
    <row r="16141" spans="1:7">
      <c r="A16141" s="1079"/>
      <c r="B16141" s="1050"/>
      <c r="C16141" s="1050"/>
      <c r="D16141" s="1050"/>
      <c r="E16141" s="1050"/>
      <c r="F16141" s="1050"/>
      <c r="G16141" s="1050"/>
    </row>
    <row r="16142" spans="1:7">
      <c r="A16142" s="1079"/>
      <c r="B16142" s="1050"/>
      <c r="C16142" s="1050"/>
      <c r="D16142" s="1050"/>
      <c r="E16142" s="1050"/>
      <c r="F16142" s="1050"/>
      <c r="G16142" s="1050"/>
    </row>
    <row r="16143" spans="1:7">
      <c r="A16143" s="1079"/>
      <c r="B16143" s="1050"/>
      <c r="C16143" s="1050"/>
      <c r="D16143" s="1050"/>
      <c r="E16143" s="1050"/>
      <c r="F16143" s="1050"/>
      <c r="G16143" s="1050"/>
    </row>
    <row r="16144" spans="1:7">
      <c r="A16144" s="1079"/>
      <c r="B16144" s="1050"/>
      <c r="C16144" s="1050"/>
      <c r="D16144" s="1050"/>
      <c r="E16144" s="1050"/>
      <c r="F16144" s="1050"/>
      <c r="G16144" s="1050"/>
    </row>
    <row r="16145" spans="1:7">
      <c r="A16145" s="1079"/>
      <c r="B16145" s="1050"/>
      <c r="C16145" s="1050"/>
      <c r="D16145" s="1050"/>
      <c r="E16145" s="1050"/>
      <c r="F16145" s="1050"/>
      <c r="G16145" s="1050"/>
    </row>
    <row r="16146" spans="1:7">
      <c r="A16146" s="1079"/>
      <c r="B16146" s="1050"/>
      <c r="C16146" s="1050"/>
      <c r="D16146" s="1050"/>
      <c r="E16146" s="1050"/>
      <c r="F16146" s="1050"/>
      <c r="G16146" s="1050"/>
    </row>
    <row r="16147" spans="1:7">
      <c r="A16147" s="1079"/>
      <c r="B16147" s="1050"/>
      <c r="C16147" s="1050"/>
      <c r="D16147" s="1050"/>
      <c r="E16147" s="1050"/>
      <c r="F16147" s="1050"/>
      <c r="G16147" s="1050"/>
    </row>
    <row r="16148" spans="1:7">
      <c r="A16148" s="1079"/>
      <c r="B16148" s="1050"/>
      <c r="C16148" s="1050"/>
      <c r="D16148" s="1050"/>
      <c r="E16148" s="1050"/>
      <c r="F16148" s="1050"/>
      <c r="G16148" s="1050"/>
    </row>
    <row r="16149" spans="1:7">
      <c r="A16149" s="1079"/>
      <c r="B16149" s="1050"/>
      <c r="C16149" s="1050"/>
      <c r="D16149" s="1050"/>
      <c r="E16149" s="1050"/>
      <c r="F16149" s="1050"/>
      <c r="G16149" s="1050"/>
    </row>
    <row r="16150" spans="1:7">
      <c r="A16150" s="1079"/>
      <c r="B16150" s="1050"/>
      <c r="C16150" s="1050"/>
      <c r="D16150" s="1050"/>
      <c r="E16150" s="1050"/>
      <c r="F16150" s="1050"/>
      <c r="G16150" s="1050"/>
    </row>
    <row r="16151" spans="1:7">
      <c r="A16151" s="1079"/>
      <c r="B16151" s="1050"/>
      <c r="C16151" s="1050"/>
      <c r="D16151" s="1050"/>
      <c r="E16151" s="1050"/>
      <c r="F16151" s="1050"/>
      <c r="G16151" s="1050"/>
    </row>
    <row r="16152" spans="1:7">
      <c r="A16152" s="1079"/>
      <c r="B16152" s="1050"/>
      <c r="C16152" s="1050"/>
      <c r="D16152" s="1050"/>
      <c r="E16152" s="1050"/>
      <c r="F16152" s="1050"/>
      <c r="G16152" s="1050"/>
    </row>
    <row r="16153" spans="1:7">
      <c r="A16153" s="1079"/>
      <c r="B16153" s="1050"/>
      <c r="C16153" s="1050"/>
      <c r="D16153" s="1050"/>
      <c r="E16153" s="1050"/>
      <c r="F16153" s="1050"/>
      <c r="G16153" s="1050"/>
    </row>
    <row r="16154" spans="1:7">
      <c r="A16154" s="1079"/>
      <c r="B16154" s="1050"/>
      <c r="C16154" s="1050"/>
      <c r="D16154" s="1050"/>
      <c r="E16154" s="1050"/>
      <c r="F16154" s="1050"/>
      <c r="G16154" s="1050"/>
    </row>
    <row r="16155" spans="1:7">
      <c r="A16155" s="1079"/>
      <c r="B16155" s="1050"/>
      <c r="C16155" s="1050"/>
      <c r="D16155" s="1050"/>
      <c r="E16155" s="1050"/>
      <c r="F16155" s="1050"/>
      <c r="G16155" s="1050"/>
    </row>
    <row r="16156" spans="1:7">
      <c r="A16156" s="1079"/>
      <c r="B16156" s="1050"/>
      <c r="C16156" s="1050"/>
      <c r="D16156" s="1050"/>
      <c r="E16156" s="1050"/>
      <c r="F16156" s="1050"/>
      <c r="G16156" s="1050"/>
    </row>
    <row r="16157" spans="1:7">
      <c r="A16157" s="1079"/>
      <c r="B16157" s="1050"/>
      <c r="C16157" s="1050"/>
      <c r="D16157" s="1050"/>
      <c r="E16157" s="1050"/>
      <c r="F16157" s="1050"/>
      <c r="G16157" s="1050"/>
    </row>
    <row r="16158" spans="1:7">
      <c r="A16158" s="1079"/>
      <c r="B16158" s="1050"/>
      <c r="C16158" s="1050"/>
      <c r="D16158" s="1050"/>
      <c r="E16158" s="1050"/>
      <c r="F16158" s="1050"/>
      <c r="G16158" s="1050"/>
    </row>
    <row r="16159" spans="1:7">
      <c r="A16159" s="1079"/>
      <c r="B16159" s="1050"/>
      <c r="C16159" s="1050"/>
      <c r="D16159" s="1050"/>
      <c r="E16159" s="1050"/>
      <c r="F16159" s="1050"/>
      <c r="G16159" s="1050"/>
    </row>
    <row r="16160" spans="1:7">
      <c r="A16160" s="1079"/>
      <c r="B16160" s="1050"/>
      <c r="C16160" s="1050"/>
      <c r="D16160" s="1050"/>
      <c r="E16160" s="1050"/>
      <c r="F16160" s="1050"/>
      <c r="G16160" s="1050"/>
    </row>
    <row r="16161" spans="1:7">
      <c r="A16161" s="1079"/>
      <c r="B16161" s="1050"/>
      <c r="C16161" s="1050"/>
      <c r="D16161" s="1050"/>
      <c r="E16161" s="1050"/>
      <c r="F16161" s="1050"/>
      <c r="G16161" s="1050"/>
    </row>
    <row r="16162" spans="1:7">
      <c r="A16162" s="1079"/>
      <c r="B16162" s="1050"/>
      <c r="C16162" s="1050"/>
      <c r="D16162" s="1050"/>
      <c r="E16162" s="1050"/>
      <c r="F16162" s="1050"/>
      <c r="G16162" s="1050"/>
    </row>
    <row r="16163" spans="1:7">
      <c r="A16163" s="1079"/>
      <c r="B16163" s="1050"/>
      <c r="C16163" s="1050"/>
      <c r="D16163" s="1050"/>
      <c r="E16163" s="1050"/>
      <c r="F16163" s="1050"/>
      <c r="G16163" s="1050"/>
    </row>
    <row r="16164" spans="1:7">
      <c r="A16164" s="1079"/>
      <c r="B16164" s="1050"/>
      <c r="C16164" s="1050"/>
      <c r="D16164" s="1050"/>
      <c r="E16164" s="1050"/>
      <c r="F16164" s="1050"/>
      <c r="G16164" s="1050"/>
    </row>
    <row r="16165" spans="1:7">
      <c r="A16165" s="1079"/>
      <c r="B16165" s="1050"/>
      <c r="C16165" s="1050"/>
      <c r="D16165" s="1050"/>
      <c r="E16165" s="1050"/>
      <c r="F16165" s="1050"/>
      <c r="G16165" s="1050"/>
    </row>
    <row r="16166" spans="1:7">
      <c r="A16166" s="1079"/>
      <c r="B16166" s="1050"/>
      <c r="C16166" s="1050"/>
      <c r="D16166" s="1050"/>
      <c r="E16166" s="1050"/>
      <c r="F16166" s="1050"/>
      <c r="G16166" s="1050"/>
    </row>
    <row r="16167" spans="1:7">
      <c r="A16167" s="1079"/>
      <c r="B16167" s="1050"/>
      <c r="C16167" s="1050"/>
      <c r="D16167" s="1050"/>
      <c r="E16167" s="1050"/>
      <c r="F16167" s="1050"/>
      <c r="G16167" s="1050"/>
    </row>
    <row r="16168" spans="1:7">
      <c r="A16168" s="1079"/>
      <c r="B16168" s="1050"/>
      <c r="C16168" s="1050"/>
      <c r="D16168" s="1050"/>
      <c r="E16168" s="1050"/>
      <c r="F16168" s="1050"/>
      <c r="G16168" s="1050"/>
    </row>
    <row r="16169" spans="1:7">
      <c r="A16169" s="1079"/>
      <c r="B16169" s="1050"/>
      <c r="C16169" s="1050"/>
      <c r="D16169" s="1050"/>
      <c r="E16169" s="1050"/>
      <c r="F16169" s="1050"/>
      <c r="G16169" s="1050"/>
    </row>
    <row r="16170" spans="1:7">
      <c r="A16170" s="1079"/>
      <c r="B16170" s="1050"/>
      <c r="C16170" s="1050"/>
      <c r="D16170" s="1050"/>
      <c r="E16170" s="1050"/>
      <c r="F16170" s="1050"/>
      <c r="G16170" s="1050"/>
    </row>
    <row r="16171" spans="1:7">
      <c r="A16171" s="1079"/>
      <c r="B16171" s="1050"/>
      <c r="C16171" s="1050"/>
      <c r="D16171" s="1050"/>
      <c r="E16171" s="1050"/>
      <c r="F16171" s="1050"/>
      <c r="G16171" s="1050"/>
    </row>
    <row r="16172" spans="1:7">
      <c r="A16172" s="1079"/>
      <c r="B16172" s="1050"/>
      <c r="C16172" s="1050"/>
      <c r="D16172" s="1050"/>
      <c r="E16172" s="1050"/>
      <c r="F16172" s="1050"/>
      <c r="G16172" s="1050"/>
    </row>
    <row r="16173" spans="1:7">
      <c r="A16173" s="1079"/>
      <c r="B16173" s="1050"/>
      <c r="C16173" s="1050"/>
      <c r="D16173" s="1050"/>
      <c r="E16173" s="1050"/>
      <c r="F16173" s="1050"/>
      <c r="G16173" s="1050"/>
    </row>
    <row r="16174" spans="1:7">
      <c r="A16174" s="1079"/>
      <c r="B16174" s="1050"/>
      <c r="C16174" s="1050"/>
      <c r="D16174" s="1050"/>
      <c r="E16174" s="1050"/>
      <c r="F16174" s="1050"/>
      <c r="G16174" s="1050"/>
    </row>
    <row r="16175" spans="1:7">
      <c r="A16175" s="1079"/>
      <c r="B16175" s="1050"/>
      <c r="C16175" s="1050"/>
      <c r="D16175" s="1050"/>
      <c r="E16175" s="1050"/>
      <c r="F16175" s="1050"/>
      <c r="G16175" s="1050"/>
    </row>
    <row r="16176" spans="1:7">
      <c r="A16176" s="1079"/>
      <c r="B16176" s="1050"/>
      <c r="C16176" s="1050"/>
      <c r="D16176" s="1050"/>
      <c r="E16176" s="1050"/>
      <c r="F16176" s="1050"/>
      <c r="G16176" s="1050"/>
    </row>
    <row r="16177" spans="1:7">
      <c r="A16177" s="1079"/>
      <c r="B16177" s="1050"/>
      <c r="C16177" s="1050"/>
      <c r="D16177" s="1050"/>
      <c r="E16177" s="1050"/>
      <c r="F16177" s="1050"/>
      <c r="G16177" s="1050"/>
    </row>
    <row r="16178" spans="1:7">
      <c r="A16178" s="1079"/>
      <c r="B16178" s="1050"/>
      <c r="C16178" s="1050"/>
      <c r="D16178" s="1050"/>
      <c r="E16178" s="1050"/>
      <c r="F16178" s="1050"/>
      <c r="G16178" s="1050"/>
    </row>
    <row r="16179" spans="1:7">
      <c r="A16179" s="1079"/>
      <c r="B16179" s="1050"/>
      <c r="C16179" s="1050"/>
      <c r="D16179" s="1050"/>
      <c r="E16179" s="1050"/>
      <c r="F16179" s="1050"/>
      <c r="G16179" s="1050"/>
    </row>
    <row r="16180" spans="1:7">
      <c r="A16180" s="1079"/>
      <c r="B16180" s="1050"/>
      <c r="C16180" s="1050"/>
      <c r="D16180" s="1050"/>
      <c r="E16180" s="1050"/>
      <c r="F16180" s="1050"/>
      <c r="G16180" s="1050"/>
    </row>
    <row r="16181" spans="1:7">
      <c r="A16181" s="1079"/>
      <c r="B16181" s="1050"/>
      <c r="C16181" s="1050"/>
      <c r="D16181" s="1050"/>
      <c r="E16181" s="1050"/>
      <c r="F16181" s="1050"/>
      <c r="G16181" s="1050"/>
    </row>
    <row r="16182" spans="1:7">
      <c r="A16182" s="1079"/>
      <c r="B16182" s="1050"/>
      <c r="C16182" s="1050"/>
      <c r="D16182" s="1050"/>
      <c r="E16182" s="1050"/>
      <c r="F16182" s="1050"/>
      <c r="G16182" s="1050"/>
    </row>
    <row r="16183" spans="1:7">
      <c r="A16183" s="1079"/>
      <c r="B16183" s="1050"/>
      <c r="C16183" s="1050"/>
      <c r="D16183" s="1050"/>
      <c r="E16183" s="1050"/>
      <c r="F16183" s="1050"/>
      <c r="G16183" s="1050"/>
    </row>
    <row r="16184" spans="1:7">
      <c r="A16184" s="1079"/>
      <c r="B16184" s="1050"/>
      <c r="C16184" s="1050"/>
      <c r="D16184" s="1050"/>
      <c r="E16184" s="1050"/>
      <c r="F16184" s="1050"/>
      <c r="G16184" s="1050"/>
    </row>
    <row r="16185" spans="1:7">
      <c r="A16185" s="1079"/>
      <c r="B16185" s="1050"/>
      <c r="C16185" s="1050"/>
      <c r="D16185" s="1050"/>
      <c r="E16185" s="1050"/>
      <c r="F16185" s="1050"/>
      <c r="G16185" s="1050"/>
    </row>
    <row r="16186" spans="1:7">
      <c r="A16186" s="1079"/>
      <c r="B16186" s="1050"/>
      <c r="C16186" s="1050"/>
      <c r="D16186" s="1050"/>
      <c r="E16186" s="1050"/>
      <c r="F16186" s="1050"/>
      <c r="G16186" s="1050"/>
    </row>
    <row r="16187" spans="1:7">
      <c r="A16187" s="1079"/>
      <c r="B16187" s="1050"/>
      <c r="C16187" s="1050"/>
      <c r="D16187" s="1050"/>
      <c r="E16187" s="1050"/>
      <c r="F16187" s="1050"/>
      <c r="G16187" s="1050"/>
    </row>
    <row r="16188" spans="1:7">
      <c r="A16188" s="1079"/>
      <c r="B16188" s="1050"/>
      <c r="C16188" s="1050"/>
      <c r="D16188" s="1050"/>
      <c r="E16188" s="1050"/>
      <c r="F16188" s="1050"/>
      <c r="G16188" s="1050"/>
    </row>
    <row r="16189" spans="1:7">
      <c r="A16189" s="1079"/>
      <c r="B16189" s="1050"/>
      <c r="C16189" s="1050"/>
      <c r="D16189" s="1050"/>
      <c r="E16189" s="1050"/>
      <c r="F16189" s="1050"/>
      <c r="G16189" s="1050"/>
    </row>
    <row r="16190" spans="1:7">
      <c r="A16190" s="1079"/>
      <c r="B16190" s="1050"/>
      <c r="C16190" s="1050"/>
      <c r="D16190" s="1050"/>
      <c r="E16190" s="1050"/>
      <c r="F16190" s="1050"/>
      <c r="G16190" s="1050"/>
    </row>
    <row r="16191" spans="1:7">
      <c r="A16191" s="1079"/>
      <c r="B16191" s="1050"/>
      <c r="C16191" s="1050"/>
      <c r="D16191" s="1050"/>
      <c r="E16191" s="1050"/>
      <c r="F16191" s="1050"/>
      <c r="G16191" s="1050"/>
    </row>
    <row r="16192" spans="1:7">
      <c r="A16192" s="1079"/>
      <c r="B16192" s="1050"/>
      <c r="C16192" s="1050"/>
      <c r="D16192" s="1050"/>
      <c r="E16192" s="1050"/>
      <c r="F16192" s="1050"/>
      <c r="G16192" s="1050"/>
    </row>
    <row r="16193" spans="1:7">
      <c r="A16193" s="1079"/>
      <c r="B16193" s="1050"/>
      <c r="C16193" s="1050"/>
      <c r="D16193" s="1050"/>
      <c r="E16193" s="1050"/>
      <c r="F16193" s="1050"/>
      <c r="G16193" s="1050"/>
    </row>
    <row r="16194" spans="1:7">
      <c r="A16194" s="1079"/>
      <c r="B16194" s="1050"/>
      <c r="C16194" s="1050"/>
      <c r="D16194" s="1050"/>
      <c r="E16194" s="1050"/>
      <c r="F16194" s="1050"/>
      <c r="G16194" s="1050"/>
    </row>
    <row r="16195" spans="1:7">
      <c r="A16195" s="1079"/>
      <c r="B16195" s="1050"/>
      <c r="C16195" s="1050"/>
      <c r="D16195" s="1050"/>
      <c r="E16195" s="1050"/>
      <c r="F16195" s="1050"/>
      <c r="G16195" s="1050"/>
    </row>
    <row r="16196" spans="1:7">
      <c r="A16196" s="1079"/>
      <c r="B16196" s="1050"/>
      <c r="C16196" s="1050"/>
      <c r="D16196" s="1050"/>
      <c r="E16196" s="1050"/>
      <c r="F16196" s="1050"/>
      <c r="G16196" s="1050"/>
    </row>
    <row r="16197" spans="1:7">
      <c r="A16197" s="1079"/>
      <c r="B16197" s="1050"/>
      <c r="C16197" s="1050"/>
      <c r="D16197" s="1050"/>
      <c r="E16197" s="1050"/>
      <c r="F16197" s="1050"/>
      <c r="G16197" s="1050"/>
    </row>
    <row r="16198" spans="1:7">
      <c r="A16198" s="1079"/>
      <c r="B16198" s="1050"/>
      <c r="C16198" s="1050"/>
      <c r="D16198" s="1050"/>
      <c r="E16198" s="1050"/>
      <c r="F16198" s="1050"/>
      <c r="G16198" s="1050"/>
    </row>
    <row r="16199" spans="1:7">
      <c r="A16199" s="1079"/>
      <c r="B16199" s="1050"/>
      <c r="C16199" s="1050"/>
      <c r="D16199" s="1050"/>
      <c r="E16199" s="1050"/>
      <c r="F16199" s="1050"/>
      <c r="G16199" s="1050"/>
    </row>
    <row r="16200" spans="1:7">
      <c r="A16200" s="1079"/>
      <c r="B16200" s="1050"/>
      <c r="C16200" s="1050"/>
      <c r="D16200" s="1050"/>
      <c r="E16200" s="1050"/>
      <c r="F16200" s="1050"/>
      <c r="G16200" s="1050"/>
    </row>
    <row r="16201" spans="1:7">
      <c r="A16201" s="1079"/>
      <c r="B16201" s="1050"/>
      <c r="C16201" s="1050"/>
      <c r="D16201" s="1050"/>
      <c r="E16201" s="1050"/>
      <c r="F16201" s="1050"/>
      <c r="G16201" s="1050"/>
    </row>
    <row r="16202" spans="1:7">
      <c r="A16202" s="1079"/>
      <c r="B16202" s="1050"/>
      <c r="C16202" s="1050"/>
      <c r="D16202" s="1050"/>
      <c r="E16202" s="1050"/>
      <c r="F16202" s="1050"/>
      <c r="G16202" s="1050"/>
    </row>
    <row r="16203" spans="1:7">
      <c r="A16203" s="1079"/>
      <c r="B16203" s="1050"/>
      <c r="C16203" s="1050"/>
      <c r="D16203" s="1050"/>
      <c r="E16203" s="1050"/>
      <c r="F16203" s="1050"/>
      <c r="G16203" s="1050"/>
    </row>
    <row r="16204" spans="1:7">
      <c r="A16204" s="1079"/>
      <c r="B16204" s="1050"/>
      <c r="C16204" s="1050"/>
      <c r="D16204" s="1050"/>
      <c r="E16204" s="1050"/>
      <c r="F16204" s="1050"/>
      <c r="G16204" s="1050"/>
    </row>
    <row r="16205" spans="1:7">
      <c r="A16205" s="1079"/>
      <c r="B16205" s="1050"/>
      <c r="C16205" s="1050"/>
      <c r="D16205" s="1050"/>
      <c r="E16205" s="1050"/>
      <c r="F16205" s="1050"/>
      <c r="G16205" s="1050"/>
    </row>
    <row r="16206" spans="1:7">
      <c r="A16206" s="1079"/>
      <c r="B16206" s="1050"/>
      <c r="C16206" s="1050"/>
      <c r="D16206" s="1050"/>
      <c r="E16206" s="1050"/>
      <c r="F16206" s="1050"/>
      <c r="G16206" s="1050"/>
    </row>
    <row r="16207" spans="1:7">
      <c r="A16207" s="1079"/>
      <c r="B16207" s="1050"/>
      <c r="C16207" s="1050"/>
      <c r="D16207" s="1050"/>
      <c r="E16207" s="1050"/>
      <c r="F16207" s="1050"/>
      <c r="G16207" s="1050"/>
    </row>
    <row r="16208" spans="1:7">
      <c r="A16208" s="1079"/>
      <c r="B16208" s="1050"/>
      <c r="C16208" s="1050"/>
      <c r="D16208" s="1050"/>
      <c r="E16208" s="1050"/>
      <c r="F16208" s="1050"/>
      <c r="G16208" s="1050"/>
    </row>
    <row r="16209" spans="1:7">
      <c r="A16209" s="1079"/>
      <c r="B16209" s="1050"/>
      <c r="C16209" s="1050"/>
      <c r="D16209" s="1050"/>
      <c r="E16209" s="1050"/>
      <c r="F16209" s="1050"/>
      <c r="G16209" s="1050"/>
    </row>
    <row r="16210" spans="1:7">
      <c r="A16210" s="1079"/>
      <c r="B16210" s="1050"/>
      <c r="C16210" s="1050"/>
      <c r="D16210" s="1050"/>
      <c r="E16210" s="1050"/>
      <c r="F16210" s="1050"/>
      <c r="G16210" s="1050"/>
    </row>
    <row r="16211" spans="1:7">
      <c r="A16211" s="1079"/>
      <c r="B16211" s="1050"/>
      <c r="C16211" s="1050"/>
      <c r="D16211" s="1050"/>
      <c r="E16211" s="1050"/>
      <c r="F16211" s="1050"/>
      <c r="G16211" s="1050"/>
    </row>
    <row r="16212" spans="1:7">
      <c r="A16212" s="1079"/>
      <c r="B16212" s="1050"/>
      <c r="C16212" s="1050"/>
      <c r="D16212" s="1050"/>
      <c r="E16212" s="1050"/>
      <c r="F16212" s="1050"/>
      <c r="G16212" s="1050"/>
    </row>
    <row r="16213" spans="1:7">
      <c r="A16213" s="1079"/>
      <c r="B16213" s="1050"/>
      <c r="C16213" s="1050"/>
      <c r="D16213" s="1050"/>
      <c r="E16213" s="1050"/>
      <c r="F16213" s="1050"/>
      <c r="G16213" s="1050"/>
    </row>
    <row r="16214" spans="1:7">
      <c r="A16214" s="1079"/>
      <c r="B16214" s="1050"/>
      <c r="C16214" s="1050"/>
      <c r="D16214" s="1050"/>
      <c r="E16214" s="1050"/>
      <c r="F16214" s="1050"/>
      <c r="G16214" s="1050"/>
    </row>
    <row r="16215" spans="1:7">
      <c r="A16215" s="1079"/>
      <c r="B16215" s="1050"/>
      <c r="C16215" s="1050"/>
      <c r="D16215" s="1050"/>
      <c r="E16215" s="1050"/>
      <c r="F16215" s="1050"/>
      <c r="G16215" s="1050"/>
    </row>
    <row r="16216" spans="1:7">
      <c r="A16216" s="1079"/>
      <c r="B16216" s="1050"/>
      <c r="C16216" s="1050"/>
      <c r="D16216" s="1050"/>
      <c r="E16216" s="1050"/>
      <c r="F16216" s="1050"/>
      <c r="G16216" s="1050"/>
    </row>
    <row r="16217" spans="1:7">
      <c r="A16217" s="1079"/>
      <c r="B16217" s="1050"/>
      <c r="C16217" s="1050"/>
      <c r="D16217" s="1050"/>
      <c r="E16217" s="1050"/>
      <c r="F16217" s="1050"/>
      <c r="G16217" s="1050"/>
    </row>
    <row r="16218" spans="1:7">
      <c r="A16218" s="1079"/>
      <c r="B16218" s="1050"/>
      <c r="C16218" s="1050"/>
      <c r="D16218" s="1050"/>
      <c r="E16218" s="1050"/>
      <c r="F16218" s="1050"/>
      <c r="G16218" s="1050"/>
    </row>
    <row r="16219" spans="1:7">
      <c r="A16219" s="1079"/>
      <c r="B16219" s="1050"/>
      <c r="C16219" s="1050"/>
      <c r="D16219" s="1050"/>
      <c r="E16219" s="1050"/>
      <c r="F16219" s="1050"/>
      <c r="G16219" s="1050"/>
    </row>
    <row r="16220" spans="1:7">
      <c r="A16220" s="1079"/>
      <c r="B16220" s="1050"/>
      <c r="C16220" s="1050"/>
      <c r="D16220" s="1050"/>
      <c r="E16220" s="1050"/>
      <c r="F16220" s="1050"/>
      <c r="G16220" s="1050"/>
    </row>
    <row r="16221" spans="1:7">
      <c r="A16221" s="1079"/>
      <c r="B16221" s="1050"/>
      <c r="C16221" s="1050"/>
      <c r="D16221" s="1050"/>
      <c r="E16221" s="1050"/>
      <c r="F16221" s="1050"/>
      <c r="G16221" s="1050"/>
    </row>
    <row r="16222" spans="1:7">
      <c r="A16222" s="1079"/>
      <c r="B16222" s="1050"/>
      <c r="C16222" s="1050"/>
      <c r="D16222" s="1050"/>
      <c r="E16222" s="1050"/>
      <c r="F16222" s="1050"/>
      <c r="G16222" s="1050"/>
    </row>
    <row r="16223" spans="1:7">
      <c r="A16223" s="1079"/>
      <c r="B16223" s="1050"/>
      <c r="C16223" s="1050"/>
      <c r="D16223" s="1050"/>
      <c r="E16223" s="1050"/>
      <c r="F16223" s="1050"/>
      <c r="G16223" s="1050"/>
    </row>
    <row r="16224" spans="1:7">
      <c r="A16224" s="1079"/>
      <c r="B16224" s="1050"/>
      <c r="C16224" s="1050"/>
      <c r="D16224" s="1050"/>
      <c r="E16224" s="1050"/>
      <c r="F16224" s="1050"/>
      <c r="G16224" s="1050"/>
    </row>
    <row r="16225" spans="1:7">
      <c r="A16225" s="1079"/>
      <c r="B16225" s="1050"/>
      <c r="C16225" s="1050"/>
      <c r="D16225" s="1050"/>
      <c r="E16225" s="1050"/>
      <c r="F16225" s="1050"/>
      <c r="G16225" s="1050"/>
    </row>
    <row r="16226" spans="1:7">
      <c r="A16226" s="1079"/>
      <c r="B16226" s="1050"/>
      <c r="C16226" s="1050"/>
      <c r="D16226" s="1050"/>
      <c r="E16226" s="1050"/>
      <c r="F16226" s="1050"/>
      <c r="G16226" s="1050"/>
    </row>
    <row r="16227" spans="1:7">
      <c r="A16227" s="1079"/>
      <c r="B16227" s="1050"/>
      <c r="C16227" s="1050"/>
      <c r="D16227" s="1050"/>
      <c r="E16227" s="1050"/>
      <c r="F16227" s="1050"/>
      <c r="G16227" s="1050"/>
    </row>
    <row r="16228" spans="1:7">
      <c r="A16228" s="1079"/>
      <c r="B16228" s="1050"/>
      <c r="C16228" s="1050"/>
      <c r="D16228" s="1050"/>
      <c r="E16228" s="1050"/>
      <c r="F16228" s="1050"/>
      <c r="G16228" s="1050"/>
    </row>
    <row r="16229" spans="1:7">
      <c r="A16229" s="1079"/>
      <c r="B16229" s="1050"/>
      <c r="C16229" s="1050"/>
      <c r="D16229" s="1050"/>
      <c r="E16229" s="1050"/>
      <c r="F16229" s="1050"/>
      <c r="G16229" s="1050"/>
    </row>
    <row r="16230" spans="1:7">
      <c r="A16230" s="1079"/>
      <c r="B16230" s="1050"/>
      <c r="C16230" s="1050"/>
      <c r="D16230" s="1050"/>
      <c r="E16230" s="1050"/>
      <c r="F16230" s="1050"/>
      <c r="G16230" s="1050"/>
    </row>
    <row r="16231" spans="1:7">
      <c r="A16231" s="1079"/>
      <c r="B16231" s="1050"/>
      <c r="C16231" s="1050"/>
      <c r="D16231" s="1050"/>
      <c r="E16231" s="1050"/>
      <c r="F16231" s="1050"/>
      <c r="G16231" s="1050"/>
    </row>
    <row r="16232" spans="1:7">
      <c r="A16232" s="1079"/>
      <c r="B16232" s="1050"/>
      <c r="C16232" s="1050"/>
      <c r="D16232" s="1050"/>
      <c r="E16232" s="1050"/>
      <c r="F16232" s="1050"/>
      <c r="G16232" s="1050"/>
    </row>
    <row r="16233" spans="1:7">
      <c r="A16233" s="1079"/>
      <c r="B16233" s="1050"/>
      <c r="C16233" s="1050"/>
      <c r="D16233" s="1050"/>
      <c r="E16233" s="1050"/>
      <c r="F16233" s="1050"/>
      <c r="G16233" s="1050"/>
    </row>
    <row r="16234" spans="1:7">
      <c r="A16234" s="1079"/>
      <c r="B16234" s="1050"/>
      <c r="C16234" s="1050"/>
      <c r="D16234" s="1050"/>
      <c r="E16234" s="1050"/>
      <c r="F16234" s="1050"/>
      <c r="G16234" s="1050"/>
    </row>
    <row r="16235" spans="1:7">
      <c r="A16235" s="1079"/>
      <c r="B16235" s="1050"/>
      <c r="C16235" s="1050"/>
      <c r="D16235" s="1050"/>
      <c r="E16235" s="1050"/>
      <c r="F16235" s="1050"/>
      <c r="G16235" s="1050"/>
    </row>
    <row r="16236" spans="1:7">
      <c r="A16236" s="1079"/>
      <c r="B16236" s="1050"/>
      <c r="C16236" s="1050"/>
      <c r="D16236" s="1050"/>
      <c r="E16236" s="1050"/>
      <c r="F16236" s="1050"/>
      <c r="G16236" s="1050"/>
    </row>
    <row r="16237" spans="1:7">
      <c r="A16237" s="1079"/>
      <c r="B16237" s="1050"/>
      <c r="C16237" s="1050"/>
      <c r="D16237" s="1050"/>
      <c r="E16237" s="1050"/>
      <c r="F16237" s="1050"/>
      <c r="G16237" s="1050"/>
    </row>
    <row r="16238" spans="1:7">
      <c r="A16238" s="1079"/>
      <c r="B16238" s="1050"/>
      <c r="C16238" s="1050"/>
      <c r="D16238" s="1050"/>
      <c r="E16238" s="1050"/>
      <c r="F16238" s="1050"/>
      <c r="G16238" s="1050"/>
    </row>
    <row r="16239" spans="1:7">
      <c r="A16239" s="1079"/>
      <c r="B16239" s="1050"/>
      <c r="C16239" s="1050"/>
      <c r="D16239" s="1050"/>
      <c r="E16239" s="1050"/>
      <c r="F16239" s="1050"/>
      <c r="G16239" s="1050"/>
    </row>
    <row r="16240" spans="1:7">
      <c r="A16240" s="1079"/>
      <c r="B16240" s="1050"/>
      <c r="C16240" s="1050"/>
      <c r="D16240" s="1050"/>
      <c r="E16240" s="1050"/>
      <c r="F16240" s="1050"/>
      <c r="G16240" s="1050"/>
    </row>
    <row r="16241" spans="1:7">
      <c r="A16241" s="1079"/>
      <c r="B16241" s="1050"/>
      <c r="C16241" s="1050"/>
      <c r="D16241" s="1050"/>
      <c r="E16241" s="1050"/>
      <c r="F16241" s="1050"/>
      <c r="G16241" s="1050"/>
    </row>
    <row r="16242" spans="1:7">
      <c r="A16242" s="1079"/>
      <c r="B16242" s="1050"/>
      <c r="C16242" s="1050"/>
      <c r="D16242" s="1050"/>
      <c r="E16242" s="1050"/>
      <c r="F16242" s="1050"/>
      <c r="G16242" s="1050"/>
    </row>
    <row r="16243" spans="1:7">
      <c r="A16243" s="1079"/>
      <c r="B16243" s="1050"/>
      <c r="C16243" s="1050"/>
      <c r="D16243" s="1050"/>
      <c r="E16243" s="1050"/>
      <c r="F16243" s="1050"/>
      <c r="G16243" s="1050"/>
    </row>
    <row r="16244" spans="1:7">
      <c r="A16244" s="1079"/>
      <c r="B16244" s="1050"/>
      <c r="C16244" s="1050"/>
      <c r="D16244" s="1050"/>
      <c r="E16244" s="1050"/>
      <c r="F16244" s="1050"/>
      <c r="G16244" s="1050"/>
    </row>
    <row r="16245" spans="1:7">
      <c r="A16245" s="1079"/>
      <c r="B16245" s="1050"/>
      <c r="C16245" s="1050"/>
      <c r="D16245" s="1050"/>
      <c r="E16245" s="1050"/>
      <c r="F16245" s="1050"/>
      <c r="G16245" s="1050"/>
    </row>
    <row r="16246" spans="1:7">
      <c r="A16246" s="1079"/>
      <c r="B16246" s="1050"/>
      <c r="C16246" s="1050"/>
      <c r="D16246" s="1050"/>
      <c r="E16246" s="1050"/>
      <c r="F16246" s="1050"/>
      <c r="G16246" s="1050"/>
    </row>
    <row r="16247" spans="1:7">
      <c r="A16247" s="1079"/>
      <c r="B16247" s="1050"/>
      <c r="C16247" s="1050"/>
      <c r="D16247" s="1050"/>
      <c r="E16247" s="1050"/>
      <c r="F16247" s="1050"/>
      <c r="G16247" s="1050"/>
    </row>
    <row r="16248" spans="1:7">
      <c r="A16248" s="1079"/>
      <c r="B16248" s="1050"/>
      <c r="C16248" s="1050"/>
      <c r="D16248" s="1050"/>
      <c r="E16248" s="1050"/>
      <c r="F16248" s="1050"/>
      <c r="G16248" s="1050"/>
    </row>
    <row r="16249" spans="1:7">
      <c r="A16249" s="1079"/>
      <c r="B16249" s="1050"/>
      <c r="C16249" s="1050"/>
      <c r="D16249" s="1050"/>
      <c r="E16249" s="1050"/>
      <c r="F16249" s="1050"/>
      <c r="G16249" s="1050"/>
    </row>
    <row r="16250" spans="1:7">
      <c r="A16250" s="1079"/>
      <c r="B16250" s="1050"/>
      <c r="C16250" s="1050"/>
      <c r="D16250" s="1050"/>
      <c r="E16250" s="1050"/>
      <c r="F16250" s="1050"/>
      <c r="G16250" s="1050"/>
    </row>
    <row r="16251" spans="1:7">
      <c r="A16251" s="1079"/>
      <c r="B16251" s="1050"/>
      <c r="C16251" s="1050"/>
      <c r="D16251" s="1050"/>
      <c r="E16251" s="1050"/>
      <c r="F16251" s="1050"/>
      <c r="G16251" s="1050"/>
    </row>
    <row r="16252" spans="1:7">
      <c r="A16252" s="1079"/>
      <c r="B16252" s="1050"/>
      <c r="C16252" s="1050"/>
      <c r="D16252" s="1050"/>
      <c r="E16252" s="1050"/>
      <c r="F16252" s="1050"/>
      <c r="G16252" s="1050"/>
    </row>
    <row r="16253" spans="1:7">
      <c r="A16253" s="1079"/>
      <c r="B16253" s="1050"/>
      <c r="C16253" s="1050"/>
      <c r="D16253" s="1050"/>
      <c r="E16253" s="1050"/>
      <c r="F16253" s="1050"/>
      <c r="G16253" s="1050"/>
    </row>
    <row r="16254" spans="1:7">
      <c r="A16254" s="1079"/>
      <c r="B16254" s="1050"/>
      <c r="C16254" s="1050"/>
      <c r="D16254" s="1050"/>
      <c r="E16254" s="1050"/>
      <c r="F16254" s="1050"/>
      <c r="G16254" s="1050"/>
    </row>
    <row r="16255" spans="1:7">
      <c r="A16255" s="1079"/>
      <c r="B16255" s="1050"/>
      <c r="C16255" s="1050"/>
      <c r="D16255" s="1050"/>
      <c r="E16255" s="1050"/>
      <c r="F16255" s="1050"/>
      <c r="G16255" s="1050"/>
    </row>
    <row r="16256" spans="1:7">
      <c r="A16256" s="1079"/>
      <c r="B16256" s="1050"/>
      <c r="C16256" s="1050"/>
      <c r="D16256" s="1050"/>
      <c r="E16256" s="1050"/>
      <c r="F16256" s="1050"/>
      <c r="G16256" s="1050"/>
    </row>
    <row r="16257" spans="1:7">
      <c r="A16257" s="1079"/>
      <c r="B16257" s="1050"/>
      <c r="C16257" s="1050"/>
      <c r="D16257" s="1050"/>
      <c r="E16257" s="1050"/>
      <c r="F16257" s="1050"/>
      <c r="G16257" s="1050"/>
    </row>
    <row r="16258" spans="1:7">
      <c r="A16258" s="1079"/>
      <c r="B16258" s="1050"/>
      <c r="C16258" s="1050"/>
      <c r="D16258" s="1050"/>
      <c r="E16258" s="1050"/>
      <c r="F16258" s="1050"/>
      <c r="G16258" s="1050"/>
    </row>
    <row r="16259" spans="1:7">
      <c r="A16259" s="1079"/>
      <c r="B16259" s="1050"/>
      <c r="C16259" s="1050"/>
      <c r="D16259" s="1050"/>
      <c r="E16259" s="1050"/>
      <c r="F16259" s="1050"/>
      <c r="G16259" s="1050"/>
    </row>
    <row r="16260" spans="1:7">
      <c r="A16260" s="1079"/>
      <c r="B16260" s="1050"/>
      <c r="C16260" s="1050"/>
      <c r="D16260" s="1050"/>
      <c r="E16260" s="1050"/>
      <c r="F16260" s="1050"/>
      <c r="G16260" s="1050"/>
    </row>
    <row r="16261" spans="1:7">
      <c r="A16261" s="1079"/>
      <c r="B16261" s="1050"/>
      <c r="C16261" s="1050"/>
      <c r="D16261" s="1050"/>
      <c r="E16261" s="1050"/>
      <c r="F16261" s="1050"/>
      <c r="G16261" s="1050"/>
    </row>
    <row r="16262" spans="1:7">
      <c r="A16262" s="1079"/>
      <c r="B16262" s="1050"/>
      <c r="C16262" s="1050"/>
      <c r="D16262" s="1050"/>
      <c r="E16262" s="1050"/>
      <c r="F16262" s="1050"/>
      <c r="G16262" s="1050"/>
    </row>
    <row r="16263" spans="1:7">
      <c r="A16263" s="1079"/>
      <c r="B16263" s="1050"/>
      <c r="C16263" s="1050"/>
      <c r="D16263" s="1050"/>
      <c r="E16263" s="1050"/>
      <c r="F16263" s="1050"/>
      <c r="G16263" s="1050"/>
    </row>
    <row r="16264" spans="1:7">
      <c r="A16264" s="1079"/>
      <c r="B16264" s="1050"/>
      <c r="C16264" s="1050"/>
      <c r="D16264" s="1050"/>
      <c r="E16264" s="1050"/>
      <c r="F16264" s="1050"/>
      <c r="G16264" s="1050"/>
    </row>
    <row r="16265" spans="1:7">
      <c r="A16265" s="1079"/>
      <c r="B16265" s="1050"/>
      <c r="C16265" s="1050"/>
      <c r="D16265" s="1050"/>
      <c r="E16265" s="1050"/>
      <c r="F16265" s="1050"/>
      <c r="G16265" s="1050"/>
    </row>
    <row r="16266" spans="1:7">
      <c r="A16266" s="1079"/>
      <c r="B16266" s="1050"/>
      <c r="C16266" s="1050"/>
      <c r="D16266" s="1050"/>
      <c r="E16266" s="1050"/>
      <c r="F16266" s="1050"/>
      <c r="G16266" s="1050"/>
    </row>
    <row r="16267" spans="1:7">
      <c r="A16267" s="1079"/>
      <c r="B16267" s="1050"/>
      <c r="C16267" s="1050"/>
      <c r="D16267" s="1050"/>
      <c r="E16267" s="1050"/>
      <c r="F16267" s="1050"/>
      <c r="G16267" s="1050"/>
    </row>
    <row r="16268" spans="1:7">
      <c r="A16268" s="1079"/>
      <c r="B16268" s="1050"/>
      <c r="C16268" s="1050"/>
      <c r="D16268" s="1050"/>
      <c r="E16268" s="1050"/>
      <c r="F16268" s="1050"/>
      <c r="G16268" s="1050"/>
    </row>
    <row r="16269" spans="1:7">
      <c r="A16269" s="1079"/>
      <c r="B16269" s="1050"/>
      <c r="C16269" s="1050"/>
      <c r="D16269" s="1050"/>
      <c r="E16269" s="1050"/>
      <c r="F16269" s="1050"/>
      <c r="G16269" s="1050"/>
    </row>
    <row r="16270" spans="1:7">
      <c r="A16270" s="1079"/>
      <c r="B16270" s="1050"/>
      <c r="C16270" s="1050"/>
      <c r="D16270" s="1050"/>
      <c r="E16270" s="1050"/>
      <c r="F16270" s="1050"/>
      <c r="G16270" s="1050"/>
    </row>
    <row r="16271" spans="1:7">
      <c r="A16271" s="1079"/>
      <c r="B16271" s="1050"/>
      <c r="C16271" s="1050"/>
      <c r="D16271" s="1050"/>
      <c r="E16271" s="1050"/>
      <c r="F16271" s="1050"/>
      <c r="G16271" s="1050"/>
    </row>
    <row r="16272" spans="1:7">
      <c r="A16272" s="1079"/>
      <c r="B16272" s="1050"/>
      <c r="C16272" s="1050"/>
      <c r="D16272" s="1050"/>
      <c r="E16272" s="1050"/>
      <c r="F16272" s="1050"/>
      <c r="G16272" s="1050"/>
    </row>
    <row r="16273" spans="1:7">
      <c r="A16273" s="1079"/>
      <c r="B16273" s="1050"/>
      <c r="C16273" s="1050"/>
      <c r="D16273" s="1050"/>
      <c r="E16273" s="1050"/>
      <c r="F16273" s="1050"/>
      <c r="G16273" s="1050"/>
    </row>
    <row r="16274" spans="1:7">
      <c r="A16274" s="1079"/>
      <c r="B16274" s="1050"/>
      <c r="C16274" s="1050"/>
      <c r="D16274" s="1050"/>
      <c r="E16274" s="1050"/>
      <c r="F16274" s="1050"/>
      <c r="G16274" s="1050"/>
    </row>
    <row r="16275" spans="1:7">
      <c r="A16275" s="1079"/>
      <c r="B16275" s="1050"/>
      <c r="C16275" s="1050"/>
      <c r="D16275" s="1050"/>
      <c r="E16275" s="1050"/>
      <c r="F16275" s="1050"/>
      <c r="G16275" s="1050"/>
    </row>
    <row r="16276" spans="1:7">
      <c r="A16276" s="1079"/>
      <c r="B16276" s="1050"/>
      <c r="C16276" s="1050"/>
      <c r="D16276" s="1050"/>
      <c r="E16276" s="1050"/>
      <c r="F16276" s="1050"/>
      <c r="G16276" s="1050"/>
    </row>
    <row r="16277" spans="1:7">
      <c r="A16277" s="1079"/>
      <c r="B16277" s="1050"/>
      <c r="C16277" s="1050"/>
      <c r="D16277" s="1050"/>
      <c r="E16277" s="1050"/>
      <c r="F16277" s="1050"/>
      <c r="G16277" s="1050"/>
    </row>
    <row r="16278" spans="1:7">
      <c r="A16278" s="1079"/>
      <c r="B16278" s="1050"/>
      <c r="C16278" s="1050"/>
      <c r="D16278" s="1050"/>
      <c r="E16278" s="1050"/>
      <c r="F16278" s="1050"/>
      <c r="G16278" s="1050"/>
    </row>
    <row r="16279" spans="1:7">
      <c r="A16279" s="1079"/>
      <c r="B16279" s="1050"/>
      <c r="C16279" s="1050"/>
      <c r="D16279" s="1050"/>
      <c r="E16279" s="1050"/>
      <c r="F16279" s="1050"/>
      <c r="G16279" s="1050"/>
    </row>
    <row r="16280" spans="1:7">
      <c r="A16280" s="1079"/>
      <c r="B16280" s="1050"/>
      <c r="C16280" s="1050"/>
      <c r="D16280" s="1050"/>
      <c r="E16280" s="1050"/>
      <c r="F16280" s="1050"/>
      <c r="G16280" s="1050"/>
    </row>
    <row r="16281" spans="1:7">
      <c r="A16281" s="1079"/>
      <c r="B16281" s="1050"/>
      <c r="C16281" s="1050"/>
      <c r="D16281" s="1050"/>
      <c r="E16281" s="1050"/>
      <c r="F16281" s="1050"/>
      <c r="G16281" s="1050"/>
    </row>
    <row r="16282" spans="1:7">
      <c r="A16282" s="1079"/>
      <c r="B16282" s="1050"/>
      <c r="C16282" s="1050"/>
      <c r="D16282" s="1050"/>
      <c r="E16282" s="1050"/>
      <c r="F16282" s="1050"/>
      <c r="G16282" s="1050"/>
    </row>
    <row r="16283" spans="1:7">
      <c r="A16283" s="1079"/>
      <c r="B16283" s="1050"/>
      <c r="C16283" s="1050"/>
      <c r="D16283" s="1050"/>
      <c r="E16283" s="1050"/>
      <c r="F16283" s="1050"/>
      <c r="G16283" s="1050"/>
    </row>
    <row r="16284" spans="1:7">
      <c r="A16284" s="1079"/>
      <c r="B16284" s="1050"/>
      <c r="C16284" s="1050"/>
      <c r="D16284" s="1050"/>
      <c r="E16284" s="1050"/>
      <c r="F16284" s="1050"/>
      <c r="G16284" s="1050"/>
    </row>
    <row r="16285" spans="1:7">
      <c r="A16285" s="1079"/>
      <c r="B16285" s="1050"/>
      <c r="C16285" s="1050"/>
      <c r="D16285" s="1050"/>
      <c r="E16285" s="1050"/>
      <c r="F16285" s="1050"/>
      <c r="G16285" s="1050"/>
    </row>
    <row r="16286" spans="1:7">
      <c r="A16286" s="1079"/>
      <c r="B16286" s="1050"/>
      <c r="C16286" s="1050"/>
      <c r="D16286" s="1050"/>
      <c r="E16286" s="1050"/>
      <c r="F16286" s="1050"/>
      <c r="G16286" s="1050"/>
    </row>
    <row r="16287" spans="1:7">
      <c r="A16287" s="1079"/>
      <c r="B16287" s="1050"/>
      <c r="C16287" s="1050"/>
      <c r="D16287" s="1050"/>
      <c r="E16287" s="1050"/>
      <c r="F16287" s="1050"/>
      <c r="G16287" s="1050"/>
    </row>
    <row r="16288" spans="1:7">
      <c r="A16288" s="1079"/>
      <c r="B16288" s="1050"/>
      <c r="C16288" s="1050"/>
      <c r="D16288" s="1050"/>
      <c r="E16288" s="1050"/>
      <c r="F16288" s="1050"/>
      <c r="G16288" s="1050"/>
    </row>
    <row r="16289" spans="1:7">
      <c r="A16289" s="1079"/>
      <c r="B16289" s="1050"/>
      <c r="C16289" s="1050"/>
      <c r="D16289" s="1050"/>
      <c r="E16289" s="1050"/>
      <c r="F16289" s="1050"/>
      <c r="G16289" s="1050"/>
    </row>
    <row r="16290" spans="1:7">
      <c r="A16290" s="1079"/>
      <c r="B16290" s="1050"/>
      <c r="C16290" s="1050"/>
      <c r="D16290" s="1050"/>
      <c r="E16290" s="1050"/>
      <c r="F16290" s="1050"/>
      <c r="G16290" s="1050"/>
    </row>
    <row r="16291" spans="1:7">
      <c r="A16291" s="1079"/>
      <c r="B16291" s="1050"/>
      <c r="C16291" s="1050"/>
      <c r="D16291" s="1050"/>
      <c r="E16291" s="1050"/>
      <c r="F16291" s="1050"/>
      <c r="G16291" s="1050"/>
    </row>
    <row r="16292" spans="1:7">
      <c r="A16292" s="1079"/>
      <c r="B16292" s="1050"/>
      <c r="C16292" s="1050"/>
      <c r="D16292" s="1050"/>
      <c r="E16292" s="1050"/>
      <c r="F16292" s="1050"/>
      <c r="G16292" s="1050"/>
    </row>
    <row r="16293" spans="1:7">
      <c r="A16293" s="1079"/>
      <c r="B16293" s="1050"/>
      <c r="C16293" s="1050"/>
      <c r="D16293" s="1050"/>
      <c r="E16293" s="1050"/>
      <c r="F16293" s="1050"/>
      <c r="G16293" s="1050"/>
    </row>
    <row r="16294" spans="1:7">
      <c r="A16294" s="1079"/>
      <c r="B16294" s="1050"/>
      <c r="C16294" s="1050"/>
      <c r="D16294" s="1050"/>
      <c r="E16294" s="1050"/>
      <c r="F16294" s="1050"/>
      <c r="G16294" s="1050"/>
    </row>
    <row r="16295" spans="1:7">
      <c r="A16295" s="1079"/>
      <c r="B16295" s="1050"/>
      <c r="C16295" s="1050"/>
      <c r="D16295" s="1050"/>
      <c r="E16295" s="1050"/>
      <c r="F16295" s="1050"/>
      <c r="G16295" s="1050"/>
    </row>
    <row r="16296" spans="1:7">
      <c r="A16296" s="1079"/>
      <c r="B16296" s="1050"/>
      <c r="C16296" s="1050"/>
      <c r="D16296" s="1050"/>
      <c r="E16296" s="1050"/>
      <c r="F16296" s="1050"/>
      <c r="G16296" s="1050"/>
    </row>
    <row r="16297" spans="1:7">
      <c r="A16297" s="1079"/>
      <c r="B16297" s="1050"/>
      <c r="C16297" s="1050"/>
      <c r="D16297" s="1050"/>
      <c r="E16297" s="1050"/>
      <c r="F16297" s="1050"/>
      <c r="G16297" s="1050"/>
    </row>
    <row r="16298" spans="1:7">
      <c r="A16298" s="1079"/>
      <c r="B16298" s="1050"/>
      <c r="C16298" s="1050"/>
      <c r="D16298" s="1050"/>
      <c r="E16298" s="1050"/>
      <c r="F16298" s="1050"/>
      <c r="G16298" s="1050"/>
    </row>
    <row r="16299" spans="1:7">
      <c r="A16299" s="1079"/>
      <c r="B16299" s="1050"/>
      <c r="C16299" s="1050"/>
      <c r="D16299" s="1050"/>
      <c r="E16299" s="1050"/>
      <c r="F16299" s="1050"/>
      <c r="G16299" s="1050"/>
    </row>
    <row r="16300" spans="1:7">
      <c r="A16300" s="1079"/>
      <c r="B16300" s="1050"/>
      <c r="C16300" s="1050"/>
      <c r="D16300" s="1050"/>
      <c r="E16300" s="1050"/>
      <c r="F16300" s="1050"/>
      <c r="G16300" s="1050"/>
    </row>
    <row r="16301" spans="1:7">
      <c r="A16301" s="1079"/>
      <c r="B16301" s="1050"/>
      <c r="C16301" s="1050"/>
      <c r="D16301" s="1050"/>
      <c r="E16301" s="1050"/>
      <c r="F16301" s="1050"/>
      <c r="G16301" s="1050"/>
    </row>
    <row r="16302" spans="1:7">
      <c r="A16302" s="1079"/>
      <c r="B16302" s="1050"/>
      <c r="C16302" s="1050"/>
      <c r="D16302" s="1050"/>
      <c r="E16302" s="1050"/>
      <c r="F16302" s="1050"/>
      <c r="G16302" s="1050"/>
    </row>
    <row r="16303" spans="1:7">
      <c r="A16303" s="1079"/>
      <c r="B16303" s="1050"/>
      <c r="C16303" s="1050"/>
      <c r="D16303" s="1050"/>
      <c r="E16303" s="1050"/>
      <c r="F16303" s="1050"/>
      <c r="G16303" s="1050"/>
    </row>
    <row r="16304" spans="1:7">
      <c r="A16304" s="1079"/>
      <c r="B16304" s="1050"/>
      <c r="C16304" s="1050"/>
      <c r="D16304" s="1050"/>
      <c r="E16304" s="1050"/>
      <c r="F16304" s="1050"/>
      <c r="G16304" s="1050"/>
    </row>
    <row r="16305" spans="1:7">
      <c r="A16305" s="1079"/>
      <c r="B16305" s="1050"/>
      <c r="C16305" s="1050"/>
      <c r="D16305" s="1050"/>
      <c r="E16305" s="1050"/>
      <c r="F16305" s="1050"/>
      <c r="G16305" s="1050"/>
    </row>
    <row r="16306" spans="1:7">
      <c r="A16306" s="1079"/>
      <c r="B16306" s="1050"/>
      <c r="C16306" s="1050"/>
      <c r="D16306" s="1050"/>
      <c r="E16306" s="1050"/>
      <c r="F16306" s="1050"/>
      <c r="G16306" s="1050"/>
    </row>
    <row r="16307" spans="1:7">
      <c r="A16307" s="1079"/>
      <c r="B16307" s="1050"/>
      <c r="C16307" s="1050"/>
      <c r="D16307" s="1050"/>
      <c r="E16307" s="1050"/>
      <c r="F16307" s="1050"/>
      <c r="G16307" s="1050"/>
    </row>
    <row r="16308" spans="1:7">
      <c r="A16308" s="1079"/>
      <c r="B16308" s="1050"/>
      <c r="C16308" s="1050"/>
      <c r="D16308" s="1050"/>
      <c r="E16308" s="1050"/>
      <c r="F16308" s="1050"/>
      <c r="G16308" s="1050"/>
    </row>
    <row r="16309" spans="1:7">
      <c r="A16309" s="1079"/>
      <c r="B16309" s="1050"/>
      <c r="C16309" s="1050"/>
      <c r="D16309" s="1050"/>
      <c r="E16309" s="1050"/>
      <c r="F16309" s="1050"/>
      <c r="G16309" s="1050"/>
    </row>
    <row r="16310" spans="1:7">
      <c r="A16310" s="1079"/>
      <c r="B16310" s="1050"/>
      <c r="C16310" s="1050"/>
      <c r="D16310" s="1050"/>
      <c r="E16310" s="1050"/>
      <c r="F16310" s="1050"/>
      <c r="G16310" s="1050"/>
    </row>
    <row r="16311" spans="1:7">
      <c r="A16311" s="1079"/>
      <c r="B16311" s="1050"/>
      <c r="C16311" s="1050"/>
      <c r="D16311" s="1050"/>
      <c r="E16311" s="1050"/>
      <c r="F16311" s="1050"/>
      <c r="G16311" s="1050"/>
    </row>
    <row r="16312" spans="1:7">
      <c r="A16312" s="1079"/>
      <c r="B16312" s="1050"/>
      <c r="C16312" s="1050"/>
      <c r="D16312" s="1050"/>
      <c r="E16312" s="1050"/>
      <c r="F16312" s="1050"/>
      <c r="G16312" s="1050"/>
    </row>
    <row r="16313" spans="1:7">
      <c r="A16313" s="1079"/>
      <c r="B16313" s="1050"/>
      <c r="C16313" s="1050"/>
      <c r="D16313" s="1050"/>
      <c r="E16313" s="1050"/>
      <c r="F16313" s="1050"/>
      <c r="G16313" s="1050"/>
    </row>
    <row r="16314" spans="1:7">
      <c r="A16314" s="1079"/>
      <c r="B16314" s="1050"/>
      <c r="C16314" s="1050"/>
      <c r="D16314" s="1050"/>
      <c r="E16314" s="1050"/>
      <c r="F16314" s="1050"/>
      <c r="G16314" s="1050"/>
    </row>
    <row r="16315" spans="1:7">
      <c r="A16315" s="1079"/>
      <c r="B16315" s="1050"/>
      <c r="C16315" s="1050"/>
      <c r="D16315" s="1050"/>
      <c r="E16315" s="1050"/>
      <c r="F16315" s="1050"/>
      <c r="G16315" s="1050"/>
    </row>
    <row r="16316" spans="1:7">
      <c r="A16316" s="1079"/>
      <c r="B16316" s="1050"/>
      <c r="C16316" s="1050"/>
      <c r="D16316" s="1050"/>
      <c r="E16316" s="1050"/>
      <c r="F16316" s="1050"/>
      <c r="G16316" s="1050"/>
    </row>
    <row r="16317" spans="1:7">
      <c r="A16317" s="1079"/>
      <c r="B16317" s="1050"/>
      <c r="C16317" s="1050"/>
      <c r="D16317" s="1050"/>
      <c r="E16317" s="1050"/>
      <c r="F16317" s="1050"/>
      <c r="G16317" s="1050"/>
    </row>
    <row r="16318" spans="1:7">
      <c r="A16318" s="1079"/>
      <c r="B16318" s="1050"/>
      <c r="C16318" s="1050"/>
      <c r="D16318" s="1050"/>
      <c r="E16318" s="1050"/>
      <c r="F16318" s="1050"/>
      <c r="G16318" s="1050"/>
    </row>
    <row r="16319" spans="1:7">
      <c r="A16319" s="1079"/>
      <c r="B16319" s="1050"/>
      <c r="C16319" s="1050"/>
      <c r="D16319" s="1050"/>
      <c r="E16319" s="1050"/>
      <c r="F16319" s="1050"/>
      <c r="G16319" s="1050"/>
    </row>
    <row r="16320" spans="1:7">
      <c r="A16320" s="1079"/>
      <c r="B16320" s="1050"/>
      <c r="C16320" s="1050"/>
      <c r="D16320" s="1050"/>
      <c r="E16320" s="1050"/>
      <c r="F16320" s="1050"/>
      <c r="G16320" s="1050"/>
    </row>
    <row r="16321" spans="1:7">
      <c r="A16321" s="1079"/>
      <c r="B16321" s="1050"/>
      <c r="C16321" s="1050"/>
      <c r="D16321" s="1050"/>
      <c r="E16321" s="1050"/>
      <c r="F16321" s="1050"/>
      <c r="G16321" s="1050"/>
    </row>
    <row r="16322" spans="1:7">
      <c r="A16322" s="1079"/>
      <c r="B16322" s="1050"/>
      <c r="C16322" s="1050"/>
      <c r="D16322" s="1050"/>
      <c r="E16322" s="1050"/>
      <c r="F16322" s="1050"/>
      <c r="G16322" s="1050"/>
    </row>
    <row r="16323" spans="1:7">
      <c r="A16323" s="1079"/>
      <c r="B16323" s="1050"/>
      <c r="C16323" s="1050"/>
      <c r="D16323" s="1050"/>
      <c r="E16323" s="1050"/>
      <c r="F16323" s="1050"/>
      <c r="G16323" s="1050"/>
    </row>
    <row r="16324" spans="1:7">
      <c r="A16324" s="1079"/>
      <c r="B16324" s="1050"/>
      <c r="C16324" s="1050"/>
      <c r="D16324" s="1050"/>
      <c r="E16324" s="1050"/>
      <c r="F16324" s="1050"/>
      <c r="G16324" s="1050"/>
    </row>
    <row r="16325" spans="1:7">
      <c r="A16325" s="1079"/>
      <c r="B16325" s="1050"/>
      <c r="C16325" s="1050"/>
      <c r="D16325" s="1050"/>
      <c r="E16325" s="1050"/>
      <c r="F16325" s="1050"/>
      <c r="G16325" s="1050"/>
    </row>
    <row r="16326" spans="1:7">
      <c r="A16326" s="1079"/>
      <c r="B16326" s="1050"/>
      <c r="C16326" s="1050"/>
      <c r="D16326" s="1050"/>
      <c r="E16326" s="1050"/>
      <c r="F16326" s="1050"/>
      <c r="G16326" s="1050"/>
    </row>
    <row r="16327" spans="1:7">
      <c r="A16327" s="1079"/>
      <c r="B16327" s="1050"/>
      <c r="C16327" s="1050"/>
      <c r="D16327" s="1050"/>
      <c r="E16327" s="1050"/>
      <c r="F16327" s="1050"/>
      <c r="G16327" s="1050"/>
    </row>
    <row r="16328" spans="1:7">
      <c r="A16328" s="1079"/>
      <c r="B16328" s="1050"/>
      <c r="C16328" s="1050"/>
      <c r="D16328" s="1050"/>
      <c r="E16328" s="1050"/>
      <c r="F16328" s="1050"/>
      <c r="G16328" s="1050"/>
    </row>
    <row r="16329" spans="1:7">
      <c r="A16329" s="1079"/>
      <c r="B16329" s="1050"/>
      <c r="C16329" s="1050"/>
      <c r="D16329" s="1050"/>
      <c r="E16329" s="1050"/>
      <c r="F16329" s="1050"/>
      <c r="G16329" s="1050"/>
    </row>
    <row r="16330" spans="1:7">
      <c r="A16330" s="1079"/>
      <c r="B16330" s="1050"/>
      <c r="C16330" s="1050"/>
      <c r="D16330" s="1050"/>
      <c r="E16330" s="1050"/>
      <c r="F16330" s="1050"/>
      <c r="G16330" s="1050"/>
    </row>
    <row r="16331" spans="1:7">
      <c r="A16331" s="1079"/>
      <c r="B16331" s="1050"/>
      <c r="C16331" s="1050"/>
      <c r="D16331" s="1050"/>
      <c r="E16331" s="1050"/>
      <c r="F16331" s="1050"/>
      <c r="G16331" s="1050"/>
    </row>
    <row r="16332" spans="1:7">
      <c r="A16332" s="1079"/>
      <c r="B16332" s="1050"/>
      <c r="C16332" s="1050"/>
      <c r="D16332" s="1050"/>
      <c r="E16332" s="1050"/>
      <c r="F16332" s="1050"/>
      <c r="G16332" s="1050"/>
    </row>
    <row r="16333" spans="1:7">
      <c r="A16333" s="1079"/>
      <c r="B16333" s="1050"/>
      <c r="C16333" s="1050"/>
      <c r="D16333" s="1050"/>
      <c r="E16333" s="1050"/>
      <c r="F16333" s="1050"/>
      <c r="G16333" s="1050"/>
    </row>
    <row r="16334" spans="1:7">
      <c r="A16334" s="1079"/>
      <c r="B16334" s="1050"/>
      <c r="C16334" s="1050"/>
      <c r="D16334" s="1050"/>
      <c r="E16334" s="1050"/>
      <c r="F16334" s="1050"/>
      <c r="G16334" s="1050"/>
    </row>
    <row r="16335" spans="1:7">
      <c r="A16335" s="1079"/>
      <c r="B16335" s="1050"/>
      <c r="C16335" s="1050"/>
      <c r="D16335" s="1050"/>
      <c r="E16335" s="1050"/>
      <c r="F16335" s="1050"/>
      <c r="G16335" s="1050"/>
    </row>
    <row r="16336" spans="1:7">
      <c r="A16336" s="1079"/>
      <c r="B16336" s="1050"/>
      <c r="C16336" s="1050"/>
      <c r="D16336" s="1050"/>
      <c r="E16336" s="1050"/>
      <c r="F16336" s="1050"/>
      <c r="G16336" s="1050"/>
    </row>
    <row r="16337" spans="1:7">
      <c r="A16337" s="1079"/>
      <c r="B16337" s="1050"/>
      <c r="C16337" s="1050"/>
      <c r="D16337" s="1050"/>
      <c r="E16337" s="1050"/>
      <c r="F16337" s="1050"/>
      <c r="G16337" s="1050"/>
    </row>
    <row r="16338" spans="1:7">
      <c r="A16338" s="1079"/>
      <c r="B16338" s="1050"/>
      <c r="C16338" s="1050"/>
      <c r="D16338" s="1050"/>
      <c r="E16338" s="1050"/>
      <c r="F16338" s="1050"/>
      <c r="G16338" s="1050"/>
    </row>
    <row r="16339" spans="1:7">
      <c r="A16339" s="1079"/>
      <c r="B16339" s="1050"/>
      <c r="C16339" s="1050"/>
      <c r="D16339" s="1050"/>
      <c r="E16339" s="1050"/>
      <c r="F16339" s="1050"/>
      <c r="G16339" s="1050"/>
    </row>
    <row r="16340" spans="1:7">
      <c r="A16340" s="1079"/>
      <c r="B16340" s="1050"/>
      <c r="C16340" s="1050"/>
      <c r="D16340" s="1050"/>
      <c r="E16340" s="1050"/>
      <c r="F16340" s="1050"/>
      <c r="G16340" s="1050"/>
    </row>
    <row r="16341" spans="1:7">
      <c r="A16341" s="1079"/>
      <c r="B16341" s="1050"/>
      <c r="C16341" s="1050"/>
      <c r="D16341" s="1050"/>
      <c r="E16341" s="1050"/>
      <c r="F16341" s="1050"/>
      <c r="G16341" s="1050"/>
    </row>
    <row r="16342" spans="1:7">
      <c r="A16342" s="1079"/>
      <c r="B16342" s="1050"/>
      <c r="C16342" s="1050"/>
      <c r="D16342" s="1050"/>
      <c r="E16342" s="1050"/>
      <c r="F16342" s="1050"/>
      <c r="G16342" s="1050"/>
    </row>
    <row r="16343" spans="1:7">
      <c r="A16343" s="1079"/>
      <c r="B16343" s="1050"/>
      <c r="C16343" s="1050"/>
      <c r="D16343" s="1050"/>
      <c r="E16343" s="1050"/>
      <c r="F16343" s="1050"/>
      <c r="G16343" s="1050"/>
    </row>
    <row r="16344" spans="1:7">
      <c r="A16344" s="1079"/>
      <c r="B16344" s="1050"/>
      <c r="C16344" s="1050"/>
      <c r="D16344" s="1050"/>
      <c r="E16344" s="1050"/>
      <c r="F16344" s="1050"/>
      <c r="G16344" s="1050"/>
    </row>
    <row r="16345" spans="1:7">
      <c r="A16345" s="1079"/>
      <c r="B16345" s="1050"/>
      <c r="C16345" s="1050"/>
      <c r="D16345" s="1050"/>
      <c r="E16345" s="1050"/>
      <c r="F16345" s="1050"/>
      <c r="G16345" s="1050"/>
    </row>
    <row r="16346" spans="1:7">
      <c r="A16346" s="1079"/>
      <c r="B16346" s="1050"/>
      <c r="C16346" s="1050"/>
      <c r="D16346" s="1050"/>
      <c r="E16346" s="1050"/>
      <c r="F16346" s="1050"/>
      <c r="G16346" s="1050"/>
    </row>
    <row r="16347" spans="1:7">
      <c r="A16347" s="1079"/>
      <c r="B16347" s="1050"/>
      <c r="C16347" s="1050"/>
      <c r="D16347" s="1050"/>
      <c r="E16347" s="1050"/>
      <c r="F16347" s="1050"/>
      <c r="G16347" s="1050"/>
    </row>
    <row r="16348" spans="1:7">
      <c r="A16348" s="1079"/>
      <c r="B16348" s="1050"/>
      <c r="C16348" s="1050"/>
      <c r="D16348" s="1050"/>
      <c r="E16348" s="1050"/>
      <c r="F16348" s="1050"/>
      <c r="G16348" s="1050"/>
    </row>
    <row r="16349" spans="1:7">
      <c r="A16349" s="1079"/>
      <c r="B16349" s="1050"/>
      <c r="C16349" s="1050"/>
      <c r="D16349" s="1050"/>
      <c r="E16349" s="1050"/>
      <c r="F16349" s="1050"/>
      <c r="G16349" s="1050"/>
    </row>
    <row r="16350" spans="1:7">
      <c r="A16350" s="1079"/>
      <c r="B16350" s="1050"/>
      <c r="C16350" s="1050"/>
      <c r="D16350" s="1050"/>
      <c r="E16350" s="1050"/>
      <c r="F16350" s="1050"/>
      <c r="G16350" s="1050"/>
    </row>
    <row r="16351" spans="1:7">
      <c r="A16351" s="1079"/>
      <c r="B16351" s="1050"/>
      <c r="C16351" s="1050"/>
      <c r="D16351" s="1050"/>
      <c r="E16351" s="1050"/>
      <c r="F16351" s="1050"/>
      <c r="G16351" s="1050"/>
    </row>
    <row r="16352" spans="1:7">
      <c r="A16352" s="1079"/>
      <c r="B16352" s="1050"/>
      <c r="C16352" s="1050"/>
      <c r="D16352" s="1050"/>
      <c r="E16352" s="1050"/>
      <c r="F16352" s="1050"/>
      <c r="G16352" s="1050"/>
    </row>
    <row r="16353" spans="1:7">
      <c r="A16353" s="1079"/>
      <c r="B16353" s="1050"/>
      <c r="C16353" s="1050"/>
      <c r="D16353" s="1050"/>
      <c r="E16353" s="1050"/>
      <c r="F16353" s="1050"/>
      <c r="G16353" s="1050"/>
    </row>
    <row r="16354" spans="1:7">
      <c r="A16354" s="1079"/>
      <c r="B16354" s="1050"/>
      <c r="C16354" s="1050"/>
      <c r="D16354" s="1050"/>
      <c r="E16354" s="1050"/>
      <c r="F16354" s="1050"/>
      <c r="G16354" s="1050"/>
    </row>
    <row r="16355" spans="1:7">
      <c r="A16355" s="1079"/>
      <c r="B16355" s="1050"/>
      <c r="C16355" s="1050"/>
      <c r="D16355" s="1050"/>
      <c r="E16355" s="1050"/>
      <c r="F16355" s="1050"/>
      <c r="G16355" s="1050"/>
    </row>
    <row r="16356" spans="1:7">
      <c r="A16356" s="1079"/>
      <c r="B16356" s="1050"/>
      <c r="C16356" s="1050"/>
      <c r="D16356" s="1050"/>
      <c r="E16356" s="1050"/>
      <c r="F16356" s="1050"/>
      <c r="G16356" s="1050"/>
    </row>
    <row r="16357" spans="1:7">
      <c r="A16357" s="1079"/>
      <c r="B16357" s="1050"/>
      <c r="C16357" s="1050"/>
      <c r="D16357" s="1050"/>
      <c r="E16357" s="1050"/>
      <c r="F16357" s="1050"/>
      <c r="G16357" s="1050"/>
    </row>
    <row r="16358" spans="1:7">
      <c r="A16358" s="1079"/>
      <c r="B16358" s="1050"/>
      <c r="C16358" s="1050"/>
      <c r="D16358" s="1050"/>
      <c r="E16358" s="1050"/>
      <c r="F16358" s="1050"/>
      <c r="G16358" s="1050"/>
    </row>
    <row r="16359" spans="1:7">
      <c r="A16359" s="1079"/>
      <c r="B16359" s="1050"/>
      <c r="C16359" s="1050"/>
      <c r="D16359" s="1050"/>
      <c r="E16359" s="1050"/>
      <c r="F16359" s="1050"/>
      <c r="G16359" s="1050"/>
    </row>
    <row r="16360" spans="1:7">
      <c r="A16360" s="1079"/>
      <c r="B16360" s="1050"/>
      <c r="C16360" s="1050"/>
      <c r="D16360" s="1050"/>
      <c r="E16360" s="1050"/>
      <c r="F16360" s="1050"/>
      <c r="G16360" s="1050"/>
    </row>
    <row r="16361" spans="1:7">
      <c r="A16361" s="1079"/>
      <c r="B16361" s="1050"/>
      <c r="C16361" s="1050"/>
      <c r="D16361" s="1050"/>
      <c r="E16361" s="1050"/>
      <c r="F16361" s="1050"/>
      <c r="G16361" s="1050"/>
    </row>
    <row r="16362" spans="1:7">
      <c r="A16362" s="1079"/>
      <c r="B16362" s="1050"/>
      <c r="C16362" s="1050"/>
      <c r="D16362" s="1050"/>
      <c r="E16362" s="1050"/>
      <c r="F16362" s="1050"/>
      <c r="G16362" s="1050"/>
    </row>
    <row r="16363" spans="1:7">
      <c r="A16363" s="1079"/>
      <c r="B16363" s="1050"/>
      <c r="C16363" s="1050"/>
      <c r="D16363" s="1050"/>
      <c r="E16363" s="1050"/>
      <c r="F16363" s="1050"/>
      <c r="G16363" s="1050"/>
    </row>
    <row r="16364" spans="1:7">
      <c r="A16364" s="1079"/>
      <c r="B16364" s="1050"/>
      <c r="C16364" s="1050"/>
      <c r="D16364" s="1050"/>
      <c r="E16364" s="1050"/>
      <c r="F16364" s="1050"/>
      <c r="G16364" s="1050"/>
    </row>
    <row r="16365" spans="1:7">
      <c r="A16365" s="1079"/>
      <c r="B16365" s="1050"/>
      <c r="C16365" s="1050"/>
      <c r="D16365" s="1050"/>
      <c r="E16365" s="1050"/>
      <c r="F16365" s="1050"/>
      <c r="G16365" s="1050"/>
    </row>
    <row r="16366" spans="1:7">
      <c r="A16366" s="1079"/>
      <c r="B16366" s="1050"/>
      <c r="C16366" s="1050"/>
      <c r="D16366" s="1050"/>
      <c r="E16366" s="1050"/>
      <c r="F16366" s="1050"/>
      <c r="G16366" s="1050"/>
    </row>
    <row r="16367" spans="1:7">
      <c r="A16367" s="1079"/>
      <c r="B16367" s="1050"/>
      <c r="C16367" s="1050"/>
      <c r="D16367" s="1050"/>
      <c r="E16367" s="1050"/>
      <c r="F16367" s="1050"/>
      <c r="G16367" s="1050"/>
    </row>
    <row r="16368" spans="1:7">
      <c r="A16368" s="1079"/>
      <c r="B16368" s="1050"/>
      <c r="C16368" s="1050"/>
      <c r="D16368" s="1050"/>
      <c r="E16368" s="1050"/>
      <c r="F16368" s="1050"/>
      <c r="G16368" s="1050"/>
    </row>
    <row r="16369" spans="1:7">
      <c r="A16369" s="1079"/>
      <c r="B16369" s="1050"/>
      <c r="C16369" s="1050"/>
      <c r="D16369" s="1050"/>
      <c r="E16369" s="1050"/>
      <c r="F16369" s="1050"/>
      <c r="G16369" s="1050"/>
    </row>
    <row r="16370" spans="1:7">
      <c r="A16370" s="1079"/>
      <c r="B16370" s="1050"/>
      <c r="C16370" s="1050"/>
      <c r="D16370" s="1050"/>
      <c r="E16370" s="1050"/>
      <c r="F16370" s="1050"/>
      <c r="G16370" s="1050"/>
    </row>
    <row r="16371" spans="1:7">
      <c r="A16371" s="1079"/>
      <c r="B16371" s="1050"/>
      <c r="C16371" s="1050"/>
      <c r="D16371" s="1050"/>
      <c r="E16371" s="1050"/>
      <c r="F16371" s="1050"/>
      <c r="G16371" s="1050"/>
    </row>
    <row r="16372" spans="1:7">
      <c r="A16372" s="1079"/>
      <c r="B16372" s="1050"/>
      <c r="C16372" s="1050"/>
      <c r="D16372" s="1050"/>
      <c r="E16372" s="1050"/>
      <c r="F16372" s="1050"/>
      <c r="G16372" s="1050"/>
    </row>
    <row r="16373" spans="1:7">
      <c r="A16373" s="1079"/>
      <c r="B16373" s="1050"/>
      <c r="C16373" s="1050"/>
      <c r="D16373" s="1050"/>
      <c r="E16373" s="1050"/>
      <c r="F16373" s="1050"/>
      <c r="G16373" s="1050"/>
    </row>
    <row r="16374" spans="1:7">
      <c r="A16374" s="1079"/>
      <c r="B16374" s="1050"/>
      <c r="C16374" s="1050"/>
      <c r="D16374" s="1050"/>
      <c r="E16374" s="1050"/>
      <c r="F16374" s="1050"/>
      <c r="G16374" s="1050"/>
    </row>
    <row r="16375" spans="1:7">
      <c r="A16375" s="1079"/>
      <c r="B16375" s="1050"/>
      <c r="C16375" s="1050"/>
      <c r="D16375" s="1050"/>
      <c r="E16375" s="1050"/>
      <c r="F16375" s="1050"/>
      <c r="G16375" s="1050"/>
    </row>
    <row r="16376" spans="1:7">
      <c r="A16376" s="1079"/>
      <c r="B16376" s="1050"/>
      <c r="C16376" s="1050"/>
      <c r="D16376" s="1050"/>
      <c r="E16376" s="1050"/>
      <c r="F16376" s="1050"/>
      <c r="G16376" s="1050"/>
    </row>
    <row r="16377" spans="1:7">
      <c r="A16377" s="1079"/>
      <c r="B16377" s="1050"/>
      <c r="C16377" s="1050"/>
      <c r="D16377" s="1050"/>
      <c r="E16377" s="1050"/>
      <c r="F16377" s="1050"/>
      <c r="G16377" s="1050"/>
    </row>
    <row r="16378" spans="1:7">
      <c r="A16378" s="1079"/>
      <c r="B16378" s="1050"/>
      <c r="C16378" s="1050"/>
      <c r="D16378" s="1050"/>
      <c r="E16378" s="1050"/>
      <c r="F16378" s="1050"/>
      <c r="G16378" s="1050"/>
    </row>
    <row r="16379" spans="1:7">
      <c r="A16379" s="1079"/>
      <c r="B16379" s="1050"/>
      <c r="C16379" s="1050"/>
      <c r="D16379" s="1050"/>
      <c r="E16379" s="1050"/>
      <c r="F16379" s="1050"/>
      <c r="G16379" s="1050"/>
    </row>
    <row r="16380" spans="1:7">
      <c r="A16380" s="1079"/>
      <c r="B16380" s="1050"/>
      <c r="C16380" s="1050"/>
      <c r="D16380" s="1050"/>
      <c r="E16380" s="1050"/>
      <c r="F16380" s="1050"/>
      <c r="G16380" s="1050"/>
    </row>
    <row r="16381" spans="1:7">
      <c r="A16381" s="1079"/>
      <c r="B16381" s="1050"/>
      <c r="C16381" s="1050"/>
      <c r="D16381" s="1050"/>
      <c r="E16381" s="1050"/>
      <c r="F16381" s="1050"/>
      <c r="G16381" s="1050"/>
    </row>
    <row r="16382" spans="1:7">
      <c r="A16382" s="1079"/>
      <c r="B16382" s="1050"/>
      <c r="C16382" s="1050"/>
      <c r="D16382" s="1050"/>
      <c r="E16382" s="1050"/>
      <c r="F16382" s="1050"/>
      <c r="G16382" s="1050"/>
    </row>
    <row r="16383" spans="1:7">
      <c r="A16383" s="1079"/>
      <c r="B16383" s="1050"/>
      <c r="C16383" s="1050"/>
      <c r="D16383" s="1050"/>
      <c r="E16383" s="1050"/>
      <c r="F16383" s="1050"/>
      <c r="G16383" s="1050"/>
    </row>
    <row r="16384" spans="1:7">
      <c r="A16384" s="1079"/>
      <c r="B16384" s="1050"/>
      <c r="C16384" s="1050"/>
      <c r="D16384" s="1050"/>
      <c r="E16384" s="1050"/>
      <c r="F16384" s="1050"/>
      <c r="G16384" s="1050"/>
    </row>
    <row r="16385" spans="1:7">
      <c r="A16385" s="1079"/>
      <c r="B16385" s="1050"/>
      <c r="C16385" s="1050"/>
      <c r="D16385" s="1050"/>
      <c r="E16385" s="1050"/>
      <c r="F16385" s="1050"/>
      <c r="G16385" s="1050"/>
    </row>
    <row r="16386" spans="1:7">
      <c r="A16386" s="1079"/>
      <c r="B16386" s="1050"/>
      <c r="C16386" s="1050"/>
      <c r="D16386" s="1050"/>
      <c r="E16386" s="1050"/>
      <c r="F16386" s="1050"/>
      <c r="G16386" s="1050"/>
    </row>
    <row r="16387" spans="1:7">
      <c r="A16387" s="1079"/>
      <c r="B16387" s="1050"/>
      <c r="C16387" s="1050"/>
      <c r="D16387" s="1050"/>
      <c r="E16387" s="1050"/>
      <c r="F16387" s="1050"/>
      <c r="G16387" s="1050"/>
    </row>
    <row r="16388" spans="1:7">
      <c r="A16388" s="1079"/>
      <c r="B16388" s="1050"/>
      <c r="C16388" s="1050"/>
      <c r="D16388" s="1050"/>
      <c r="E16388" s="1050"/>
      <c r="F16388" s="1050"/>
      <c r="G16388" s="1050"/>
    </row>
    <row r="16389" spans="1:7">
      <c r="A16389" s="1079"/>
      <c r="B16389" s="1050"/>
      <c r="C16389" s="1050"/>
      <c r="D16389" s="1050"/>
      <c r="E16389" s="1050"/>
      <c r="F16389" s="1050"/>
      <c r="G16389" s="1050"/>
    </row>
    <row r="16390" spans="1:7">
      <c r="A16390" s="1079"/>
      <c r="B16390" s="1050"/>
      <c r="C16390" s="1050"/>
      <c r="D16390" s="1050"/>
      <c r="E16390" s="1050"/>
      <c r="F16390" s="1050"/>
      <c r="G16390" s="1050"/>
    </row>
    <row r="16391" spans="1:7">
      <c r="A16391" s="1079"/>
      <c r="B16391" s="1050"/>
      <c r="C16391" s="1050"/>
      <c r="D16391" s="1050"/>
      <c r="E16391" s="1050"/>
      <c r="F16391" s="1050"/>
      <c r="G16391" s="1050"/>
    </row>
    <row r="16392" spans="1:7">
      <c r="A16392" s="1079"/>
      <c r="B16392" s="1050"/>
      <c r="C16392" s="1050"/>
      <c r="D16392" s="1050"/>
      <c r="E16392" s="1050"/>
      <c r="F16392" s="1050"/>
      <c r="G16392" s="1050"/>
    </row>
    <row r="16393" spans="1:7">
      <c r="A16393" s="1079"/>
      <c r="B16393" s="1050"/>
      <c r="C16393" s="1050"/>
      <c r="D16393" s="1050"/>
      <c r="E16393" s="1050"/>
      <c r="F16393" s="1050"/>
      <c r="G16393" s="1050"/>
    </row>
    <row r="16394" spans="1:7">
      <c r="A16394" s="1079"/>
      <c r="B16394" s="1050"/>
      <c r="C16394" s="1050"/>
      <c r="D16394" s="1050"/>
      <c r="E16394" s="1050"/>
      <c r="F16394" s="1050"/>
      <c r="G16394" s="1050"/>
    </row>
    <row r="16395" spans="1:7">
      <c r="A16395" s="1079"/>
      <c r="B16395" s="1050"/>
      <c r="C16395" s="1050"/>
      <c r="D16395" s="1050"/>
      <c r="E16395" s="1050"/>
      <c r="F16395" s="1050"/>
      <c r="G16395" s="1050"/>
    </row>
    <row r="16396" spans="1:7">
      <c r="A16396" s="1079"/>
      <c r="B16396" s="1050"/>
      <c r="C16396" s="1050"/>
      <c r="D16396" s="1050"/>
      <c r="E16396" s="1050"/>
      <c r="F16396" s="1050"/>
      <c r="G16396" s="1050"/>
    </row>
    <row r="16397" spans="1:7">
      <c r="A16397" s="1079"/>
      <c r="B16397" s="1050"/>
      <c r="C16397" s="1050"/>
      <c r="D16397" s="1050"/>
      <c r="E16397" s="1050"/>
      <c r="F16397" s="1050"/>
      <c r="G16397" s="1050"/>
    </row>
    <row r="16398" spans="1:7">
      <c r="A16398" s="1079"/>
      <c r="B16398" s="1050"/>
      <c r="C16398" s="1050"/>
      <c r="D16398" s="1050"/>
      <c r="E16398" s="1050"/>
      <c r="F16398" s="1050"/>
      <c r="G16398" s="1050"/>
    </row>
    <row r="16399" spans="1:7">
      <c r="A16399" s="1079"/>
      <c r="B16399" s="1050"/>
      <c r="C16399" s="1050"/>
      <c r="D16399" s="1050"/>
      <c r="E16399" s="1050"/>
      <c r="F16399" s="1050"/>
      <c r="G16399" s="1050"/>
    </row>
    <row r="16400" spans="1:7">
      <c r="A16400" s="1079"/>
      <c r="B16400" s="1050"/>
      <c r="C16400" s="1050"/>
      <c r="D16400" s="1050"/>
      <c r="E16400" s="1050"/>
      <c r="F16400" s="1050"/>
      <c r="G16400" s="1050"/>
    </row>
  </sheetData>
  <phoneticPr fontId="170" type="noConversion"/>
  <pageMargins left="0.70866141732283472" right="0.70866141732283472" top="0.74803149606299213" bottom="0.74803149606299213" header="0.31496062992125984" footer="0.31496062992125984"/>
  <pageSetup paperSize="9" scale="35" orientation="landscape" r:id="rId1"/>
  <headerFooter>
    <oddHeader>&amp;L&amp;F / &amp;A&amp;R&amp;D</oddHeader>
    <oddFooter>&amp;L&amp;12CONFIDENTIAL&amp;C&amp;12BARKER JET&amp;Rpage &amp;P / &amp;N</oddFooter>
  </headerFooter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pageSetUpPr fitToPage="1"/>
  </sheetPr>
  <dimension ref="A1:AG106"/>
  <sheetViews>
    <sheetView zoomScale="60" zoomScaleNormal="60" workbookViewId="0">
      <pane xSplit="2" ySplit="3" topLeftCell="C41" activePane="bottomRight" state="frozen"/>
      <selection activeCell="E125" sqref="E125"/>
      <selection pane="topRight" activeCell="E125" sqref="E125"/>
      <selection pane="bottomLeft" activeCell="E125" sqref="E125"/>
      <selection pane="bottomRight" activeCell="I92" sqref="I92"/>
    </sheetView>
  </sheetViews>
  <sheetFormatPr defaultColWidth="15.7109375" defaultRowHeight="15.75"/>
  <cols>
    <col min="1" max="1" width="15.7109375" style="453"/>
    <col min="2" max="2" width="24.85546875" style="453" customWidth="1"/>
    <col min="3" max="16384" width="15.7109375" style="453"/>
  </cols>
  <sheetData>
    <row r="1" spans="1:33">
      <c r="A1" s="453">
        <v>1</v>
      </c>
      <c r="B1" s="453">
        <f>A1+1</f>
        <v>2</v>
      </c>
      <c r="C1" s="453">
        <f>B1+1</f>
        <v>3</v>
      </c>
      <c r="D1" s="453">
        <f t="shared" ref="D1:K1" si="0">C1+1</f>
        <v>4</v>
      </c>
      <c r="E1" s="453">
        <f t="shared" si="0"/>
        <v>5</v>
      </c>
      <c r="F1" s="453">
        <f t="shared" si="0"/>
        <v>6</v>
      </c>
      <c r="G1" s="453">
        <f t="shared" si="0"/>
        <v>7</v>
      </c>
      <c r="H1" s="453">
        <f t="shared" si="0"/>
        <v>8</v>
      </c>
      <c r="I1" s="453">
        <f t="shared" si="0"/>
        <v>9</v>
      </c>
      <c r="J1" s="453">
        <f t="shared" si="0"/>
        <v>10</v>
      </c>
      <c r="K1" s="453">
        <f t="shared" si="0"/>
        <v>11</v>
      </c>
    </row>
    <row r="2" spans="1:33" s="3" customFormat="1" ht="15.95" customHeight="1">
      <c r="B2" s="67" t="s">
        <v>1139</v>
      </c>
      <c r="C2" s="769" t="s">
        <v>1255</v>
      </c>
      <c r="D2" s="770">
        <v>10</v>
      </c>
      <c r="E2" s="771" t="s">
        <v>136</v>
      </c>
      <c r="F2" s="4"/>
      <c r="G2" s="4"/>
      <c r="H2" s="4"/>
      <c r="I2" s="4"/>
      <c r="J2" s="4"/>
      <c r="M2" s="1020" t="s">
        <v>2256</v>
      </c>
      <c r="N2" s="1021" t="s">
        <v>2257</v>
      </c>
      <c r="O2" s="1021" t="s">
        <v>2258</v>
      </c>
      <c r="P2" s="1021" t="s">
        <v>2259</v>
      </c>
      <c r="Q2" s="1022" t="s">
        <v>2260</v>
      </c>
      <c r="R2" s="1022" t="s">
        <v>2261</v>
      </c>
      <c r="S2" s="64"/>
      <c r="T2" s="4"/>
      <c r="U2" s="4"/>
      <c r="V2" s="4"/>
      <c r="W2" s="4"/>
      <c r="X2" s="4"/>
      <c r="Y2" s="4"/>
      <c r="Z2" s="4"/>
      <c r="AA2" s="4"/>
    </row>
    <row r="3" spans="1:33" s="64" customFormat="1" ht="15.95" customHeight="1" thickBot="1">
      <c r="A3" s="721"/>
      <c r="B3" s="1329"/>
      <c r="C3" s="1330" t="s">
        <v>119</v>
      </c>
      <c r="D3" s="1331" t="s">
        <v>120</v>
      </c>
      <c r="E3" s="1331" t="s">
        <v>118</v>
      </c>
      <c r="F3" s="1331" t="s">
        <v>1021</v>
      </c>
      <c r="G3" s="1331" t="s">
        <v>1300</v>
      </c>
      <c r="H3" s="1331" t="s">
        <v>1301</v>
      </c>
      <c r="I3" s="1331" t="s">
        <v>2517</v>
      </c>
      <c r="J3" s="1332" t="s">
        <v>1140</v>
      </c>
      <c r="K3" s="1333" t="s">
        <v>1390</v>
      </c>
      <c r="M3" s="1023"/>
      <c r="N3" s="1024" t="s">
        <v>232</v>
      </c>
      <c r="O3" s="1024" t="s">
        <v>186</v>
      </c>
      <c r="P3" s="1024" t="s">
        <v>136</v>
      </c>
      <c r="Q3" s="1025" t="s">
        <v>2262</v>
      </c>
      <c r="R3" s="1025" t="s">
        <v>2263</v>
      </c>
      <c r="S3" s="4"/>
    </row>
    <row r="4" spans="1:33" s="3" customFormat="1" ht="15.95" customHeight="1">
      <c r="A4" s="79">
        <v>1</v>
      </c>
      <c r="B4" s="1334" t="s">
        <v>1321</v>
      </c>
      <c r="C4" s="772">
        <v>24</v>
      </c>
      <c r="D4" s="772">
        <v>4500</v>
      </c>
      <c r="E4" s="772">
        <v>25</v>
      </c>
      <c r="F4" s="772">
        <v>0.84</v>
      </c>
      <c r="G4" s="772">
        <v>104</v>
      </c>
      <c r="H4" s="4">
        <v>66</v>
      </c>
      <c r="I4" s="772">
        <v>10</v>
      </c>
      <c r="J4" s="778" t="e">
        <f t="shared" ref="J4:J35" ca="1" si="1">IF(OR($C4&lt;TMO0/1000,$D4&lt;Fan_Max_rpm,AD=0,SD=0,$E4&lt;SD),0,"OK")</f>
        <v>#REF!</v>
      </c>
      <c r="K4" s="773">
        <f t="shared" ref="K4:K35" si="2">(H4+I4)/2+C_slack</f>
        <v>48</v>
      </c>
      <c r="L4" s="4"/>
      <c r="M4" s="1026" t="s">
        <v>2264</v>
      </c>
      <c r="N4" s="1021">
        <v>24</v>
      </c>
      <c r="O4" s="1026">
        <v>4500</v>
      </c>
      <c r="P4" s="1021">
        <v>25</v>
      </c>
      <c r="Q4" s="1027">
        <v>0.84</v>
      </c>
      <c r="R4" s="1028">
        <v>151.06</v>
      </c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</row>
    <row r="5" spans="1:33" s="3" customFormat="1" ht="15.95" customHeight="1">
      <c r="A5" s="79">
        <f t="shared" ref="A5:A68" si="3">A4+1</f>
        <v>2</v>
      </c>
      <c r="B5" s="1335" t="s">
        <v>1322</v>
      </c>
      <c r="C5" s="772">
        <v>66</v>
      </c>
      <c r="D5" s="772">
        <v>4500</v>
      </c>
      <c r="E5" s="772">
        <v>32</v>
      </c>
      <c r="F5" s="772">
        <v>1.26</v>
      </c>
      <c r="G5" s="772">
        <v>133</v>
      </c>
      <c r="H5" s="4">
        <v>75</v>
      </c>
      <c r="I5" s="772">
        <v>10</v>
      </c>
      <c r="J5" s="778" t="e">
        <f t="shared" ca="1" si="1"/>
        <v>#REF!</v>
      </c>
      <c r="K5" s="773">
        <f t="shared" si="2"/>
        <v>52.5</v>
      </c>
      <c r="L5" s="4"/>
      <c r="M5" s="1019" t="s">
        <v>2265</v>
      </c>
      <c r="N5" s="1024">
        <v>66</v>
      </c>
      <c r="O5" s="1019">
        <v>4500</v>
      </c>
      <c r="P5" s="1024">
        <v>32</v>
      </c>
      <c r="Q5" s="1029">
        <v>1.26</v>
      </c>
      <c r="R5" s="1030">
        <v>204.44</v>
      </c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</row>
    <row r="6" spans="1:33" s="3" customFormat="1" ht="15.95" customHeight="1">
      <c r="A6" s="79">
        <f t="shared" si="3"/>
        <v>3</v>
      </c>
      <c r="B6" s="1335" t="s">
        <v>1323</v>
      </c>
      <c r="C6" s="772">
        <v>127</v>
      </c>
      <c r="D6" s="772">
        <v>4000</v>
      </c>
      <c r="E6" s="772">
        <v>42</v>
      </c>
      <c r="F6" s="772">
        <v>2.1</v>
      </c>
      <c r="G6" s="772">
        <v>165</v>
      </c>
      <c r="H6" s="4">
        <v>83</v>
      </c>
      <c r="I6" s="772">
        <v>10</v>
      </c>
      <c r="J6" s="778" t="e">
        <f t="shared" ca="1" si="1"/>
        <v>#REF!</v>
      </c>
      <c r="K6" s="773">
        <f t="shared" si="2"/>
        <v>56.5</v>
      </c>
      <c r="L6" s="4"/>
      <c r="M6" s="1026" t="s">
        <v>2266</v>
      </c>
      <c r="N6" s="1021">
        <v>127</v>
      </c>
      <c r="O6" s="1021">
        <v>4000</v>
      </c>
      <c r="P6" s="1021">
        <v>42</v>
      </c>
      <c r="Q6" s="1027">
        <v>2.1</v>
      </c>
      <c r="R6" s="1028">
        <v>281.77</v>
      </c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</row>
    <row r="7" spans="1:33" s="3" customFormat="1" ht="15.95" customHeight="1">
      <c r="A7" s="79">
        <f t="shared" si="3"/>
        <v>4</v>
      </c>
      <c r="B7" s="1335" t="s">
        <v>1324</v>
      </c>
      <c r="C7" s="772">
        <v>250</v>
      </c>
      <c r="D7" s="772">
        <v>3600</v>
      </c>
      <c r="E7" s="772">
        <v>50</v>
      </c>
      <c r="F7" s="772">
        <v>3.26</v>
      </c>
      <c r="G7" s="772">
        <v>187</v>
      </c>
      <c r="H7" s="4">
        <v>87</v>
      </c>
      <c r="I7" s="772">
        <v>10</v>
      </c>
      <c r="J7" s="778" t="e">
        <f t="shared" ca="1" si="1"/>
        <v>#REF!</v>
      </c>
      <c r="K7" s="773">
        <f t="shared" si="2"/>
        <v>58.5</v>
      </c>
      <c r="L7" s="4"/>
      <c r="M7" s="1019" t="s">
        <v>2267</v>
      </c>
      <c r="N7" s="1024">
        <v>250</v>
      </c>
      <c r="O7" s="1024">
        <v>3600</v>
      </c>
      <c r="P7" s="1024">
        <v>50</v>
      </c>
      <c r="Q7" s="1029">
        <v>3.26</v>
      </c>
      <c r="R7" s="1030">
        <v>398.21000000000004</v>
      </c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</row>
    <row r="8" spans="1:33" s="3" customFormat="1" ht="15.95" customHeight="1">
      <c r="A8" s="79">
        <f t="shared" si="3"/>
        <v>5</v>
      </c>
      <c r="B8" s="1335" t="s">
        <v>1325</v>
      </c>
      <c r="C8" s="772">
        <v>375</v>
      </c>
      <c r="D8" s="772">
        <v>3100</v>
      </c>
      <c r="E8" s="772">
        <v>60</v>
      </c>
      <c r="F8" s="772">
        <v>5.15</v>
      </c>
      <c r="G8" s="772">
        <v>211</v>
      </c>
      <c r="H8" s="4">
        <v>115</v>
      </c>
      <c r="I8" s="772">
        <v>10</v>
      </c>
      <c r="J8" s="778" t="e">
        <f t="shared" ca="1" si="1"/>
        <v>#REF!</v>
      </c>
      <c r="K8" s="773">
        <f t="shared" si="2"/>
        <v>72.5</v>
      </c>
      <c r="L8" s="4"/>
      <c r="M8" s="1026" t="s">
        <v>2268</v>
      </c>
      <c r="N8" s="1021">
        <v>375</v>
      </c>
      <c r="O8" s="1021">
        <v>3100</v>
      </c>
      <c r="P8" s="1021">
        <v>65</v>
      </c>
      <c r="Q8" s="1027">
        <v>5.15</v>
      </c>
      <c r="R8" s="1028">
        <v>568.25</v>
      </c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</row>
    <row r="9" spans="1:33" s="3" customFormat="1" ht="15.95" customHeight="1">
      <c r="A9" s="79">
        <f t="shared" si="3"/>
        <v>6</v>
      </c>
      <c r="B9" s="1335" t="s">
        <v>1326</v>
      </c>
      <c r="C9" s="772">
        <v>500</v>
      </c>
      <c r="D9" s="772">
        <v>3000</v>
      </c>
      <c r="E9" s="772">
        <v>60</v>
      </c>
      <c r="F9" s="772">
        <v>7.35</v>
      </c>
      <c r="G9" s="772">
        <v>235</v>
      </c>
      <c r="H9" s="4">
        <v>117</v>
      </c>
      <c r="I9" s="772">
        <v>10</v>
      </c>
      <c r="J9" s="778" t="e">
        <f t="shared" ca="1" si="1"/>
        <v>#REF!</v>
      </c>
      <c r="K9" s="773">
        <f t="shared" si="2"/>
        <v>73.5</v>
      </c>
      <c r="L9" s="4"/>
      <c r="M9" s="1019" t="s">
        <v>2269</v>
      </c>
      <c r="N9" s="1024">
        <v>500</v>
      </c>
      <c r="O9" s="1024">
        <v>3000</v>
      </c>
      <c r="P9" s="1024">
        <v>65</v>
      </c>
      <c r="Q9" s="1029">
        <v>7.35</v>
      </c>
      <c r="R9" s="1030">
        <v>682.07</v>
      </c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</row>
    <row r="10" spans="1:33" s="3" customFormat="1" ht="15.95" customHeight="1">
      <c r="A10" s="79">
        <f t="shared" si="3"/>
        <v>7</v>
      </c>
      <c r="B10" s="1335" t="s">
        <v>1327</v>
      </c>
      <c r="C10" s="772">
        <v>675</v>
      </c>
      <c r="D10" s="772">
        <v>2600</v>
      </c>
      <c r="E10" s="772">
        <v>75</v>
      </c>
      <c r="F10" s="772">
        <v>10.4</v>
      </c>
      <c r="G10" s="772">
        <v>254</v>
      </c>
      <c r="H10" s="4">
        <v>129</v>
      </c>
      <c r="I10" s="772">
        <v>10</v>
      </c>
      <c r="J10" s="778" t="e">
        <f t="shared" ca="1" si="1"/>
        <v>#REF!</v>
      </c>
      <c r="K10" s="773">
        <f t="shared" si="2"/>
        <v>79.5</v>
      </c>
      <c r="L10" s="4"/>
      <c r="M10" s="1026" t="s">
        <v>2270</v>
      </c>
      <c r="N10" s="1021">
        <v>675</v>
      </c>
      <c r="O10" s="1021">
        <v>2600</v>
      </c>
      <c r="P10" s="1021">
        <v>75</v>
      </c>
      <c r="Q10" s="1027">
        <v>10.4</v>
      </c>
      <c r="R10" s="1028">
        <v>916.67</v>
      </c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</row>
    <row r="11" spans="1:33" s="3" customFormat="1" ht="15.95" customHeight="1">
      <c r="A11" s="79">
        <f t="shared" si="3"/>
        <v>8</v>
      </c>
      <c r="B11" s="1335" t="s">
        <v>1328</v>
      </c>
      <c r="C11" s="772">
        <v>875</v>
      </c>
      <c r="D11" s="772">
        <v>2300</v>
      </c>
      <c r="E11" s="772">
        <v>75</v>
      </c>
      <c r="F11" s="772">
        <v>12.3</v>
      </c>
      <c r="G11" s="772">
        <v>279</v>
      </c>
      <c r="H11" s="4">
        <v>127</v>
      </c>
      <c r="I11" s="772">
        <v>10</v>
      </c>
      <c r="J11" s="778" t="e">
        <f t="shared" ca="1" si="1"/>
        <v>#REF!</v>
      </c>
      <c r="K11" s="773">
        <f t="shared" si="2"/>
        <v>78.5</v>
      </c>
      <c r="L11" s="4"/>
      <c r="M11" s="1019" t="s">
        <v>2271</v>
      </c>
      <c r="N11" s="1024">
        <v>875</v>
      </c>
      <c r="O11" s="1024">
        <v>2300</v>
      </c>
      <c r="P11" s="1024">
        <v>75</v>
      </c>
      <c r="Q11" s="1029">
        <v>12.3</v>
      </c>
      <c r="R11" s="1030">
        <v>1103.6500000000001</v>
      </c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</row>
    <row r="12" spans="1:33" s="3" customFormat="1" ht="15.95" customHeight="1">
      <c r="A12" s="79">
        <f t="shared" si="3"/>
        <v>9</v>
      </c>
      <c r="B12" s="1335" t="s">
        <v>1329</v>
      </c>
      <c r="C12" s="772">
        <v>1330</v>
      </c>
      <c r="D12" s="772">
        <v>2050</v>
      </c>
      <c r="E12" s="772">
        <v>100</v>
      </c>
      <c r="F12" s="772">
        <v>17.3</v>
      </c>
      <c r="G12" s="772">
        <v>314</v>
      </c>
      <c r="H12" s="4">
        <v>159</v>
      </c>
      <c r="I12" s="772">
        <v>10</v>
      </c>
      <c r="J12" s="778" t="e">
        <f t="shared" ca="1" si="1"/>
        <v>#REF!</v>
      </c>
      <c r="K12" s="773">
        <f t="shared" si="2"/>
        <v>94.5</v>
      </c>
      <c r="L12" s="4"/>
      <c r="M12" s="1026" t="s">
        <v>2272</v>
      </c>
      <c r="N12" s="1021">
        <v>1330</v>
      </c>
      <c r="O12" s="1021">
        <v>2050</v>
      </c>
      <c r="P12" s="1021">
        <v>100</v>
      </c>
      <c r="Q12" s="1027">
        <v>17.3</v>
      </c>
      <c r="R12" s="1028">
        <v>1548.11</v>
      </c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</row>
    <row r="13" spans="1:33" s="3" customFormat="1" ht="15.95" customHeight="1">
      <c r="A13" s="79">
        <f t="shared" si="3"/>
        <v>10</v>
      </c>
      <c r="B13" s="1335" t="s">
        <v>1330</v>
      </c>
      <c r="C13" s="772">
        <v>2325</v>
      </c>
      <c r="D13" s="772">
        <v>1800</v>
      </c>
      <c r="E13" s="772">
        <v>100</v>
      </c>
      <c r="F13" s="772">
        <v>23.4</v>
      </c>
      <c r="G13" s="772">
        <v>359</v>
      </c>
      <c r="H13" s="4">
        <v>162</v>
      </c>
      <c r="I13" s="772">
        <v>10</v>
      </c>
      <c r="J13" s="778" t="e">
        <f t="shared" ca="1" si="1"/>
        <v>#REF!</v>
      </c>
      <c r="K13" s="773">
        <f t="shared" si="2"/>
        <v>96</v>
      </c>
      <c r="L13" s="4"/>
      <c r="M13" s="1019" t="s">
        <v>2273</v>
      </c>
      <c r="N13" s="1024">
        <v>2325</v>
      </c>
      <c r="O13" s="1024">
        <v>1800</v>
      </c>
      <c r="P13" s="1024">
        <v>100</v>
      </c>
      <c r="Q13" s="1029">
        <v>23.4</v>
      </c>
      <c r="R13" s="1030">
        <v>2268.4500000000003</v>
      </c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/>
    </row>
    <row r="14" spans="1:33" s="3" customFormat="1" ht="15.95" customHeight="1">
      <c r="A14" s="79">
        <f t="shared" si="3"/>
        <v>11</v>
      </c>
      <c r="B14" s="1335" t="s">
        <v>1331</v>
      </c>
      <c r="C14" s="772">
        <v>3770</v>
      </c>
      <c r="D14" s="772">
        <v>1600</v>
      </c>
      <c r="E14" s="772">
        <v>115</v>
      </c>
      <c r="F14" s="772">
        <v>34.1</v>
      </c>
      <c r="G14" s="772">
        <v>402</v>
      </c>
      <c r="H14" s="4">
        <v>182</v>
      </c>
      <c r="I14" s="772">
        <v>10</v>
      </c>
      <c r="J14" s="778" t="e">
        <f t="shared" ca="1" si="1"/>
        <v>#REF!</v>
      </c>
      <c r="K14" s="773">
        <f t="shared" si="2"/>
        <v>106</v>
      </c>
      <c r="L14" s="4"/>
      <c r="M14" s="1026" t="s">
        <v>2274</v>
      </c>
      <c r="N14" s="1021">
        <v>3770</v>
      </c>
      <c r="O14" s="1021">
        <v>1600</v>
      </c>
      <c r="P14" s="1021">
        <v>115</v>
      </c>
      <c r="Q14" s="1027">
        <v>34.1</v>
      </c>
      <c r="R14" s="1028">
        <v>3161.09</v>
      </c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</row>
    <row r="15" spans="1:33" s="3" customFormat="1" ht="15.95" customHeight="1">
      <c r="A15" s="79">
        <f t="shared" si="3"/>
        <v>12</v>
      </c>
      <c r="B15" s="1335" t="s">
        <v>1332</v>
      </c>
      <c r="C15" s="772">
        <v>6270</v>
      </c>
      <c r="D15" s="772">
        <v>1500</v>
      </c>
      <c r="E15" s="772">
        <v>125</v>
      </c>
      <c r="F15" s="772">
        <v>44.3</v>
      </c>
      <c r="G15" s="772">
        <v>470</v>
      </c>
      <c r="H15" s="4">
        <v>224</v>
      </c>
      <c r="I15" s="772">
        <v>10</v>
      </c>
      <c r="J15" s="778" t="e">
        <f t="shared" ca="1" si="1"/>
        <v>#REF!</v>
      </c>
      <c r="K15" s="773">
        <f t="shared" si="2"/>
        <v>127</v>
      </c>
      <c r="L15" s="4"/>
      <c r="M15" s="1019" t="s">
        <v>2275</v>
      </c>
      <c r="N15" s="1024">
        <v>6270</v>
      </c>
      <c r="O15" s="1024">
        <v>1500</v>
      </c>
      <c r="P15" s="1024">
        <v>125</v>
      </c>
      <c r="Q15" s="1029">
        <v>44.3</v>
      </c>
      <c r="R15" s="1030">
        <v>5058.28</v>
      </c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</row>
    <row r="16" spans="1:33" s="3" customFormat="1" ht="15.95" customHeight="1">
      <c r="A16" s="79">
        <f t="shared" si="3"/>
        <v>13</v>
      </c>
      <c r="B16" s="1335" t="s">
        <v>1333</v>
      </c>
      <c r="C16" s="772">
        <v>9325</v>
      </c>
      <c r="D16" s="772">
        <v>1300</v>
      </c>
      <c r="E16" s="772">
        <v>125</v>
      </c>
      <c r="F16" s="772">
        <v>56.3</v>
      </c>
      <c r="G16" s="772">
        <v>508</v>
      </c>
      <c r="H16" s="4">
        <v>226</v>
      </c>
      <c r="I16" s="772">
        <v>10</v>
      </c>
      <c r="J16" s="778" t="e">
        <f t="shared" ca="1" si="1"/>
        <v>#REF!</v>
      </c>
      <c r="K16" s="773">
        <f t="shared" si="2"/>
        <v>128</v>
      </c>
      <c r="L16" s="4"/>
      <c r="M16" s="1026" t="s">
        <v>2276</v>
      </c>
      <c r="N16" s="1021">
        <v>9325</v>
      </c>
      <c r="O16" s="1021">
        <v>1300</v>
      </c>
      <c r="P16" s="1021">
        <v>125</v>
      </c>
      <c r="Q16" s="1027">
        <v>56.3</v>
      </c>
      <c r="R16" s="1028">
        <v>5422.17</v>
      </c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</row>
    <row r="17" spans="1:33" s="3" customFormat="1" ht="15.95" customHeight="1">
      <c r="A17" s="79">
        <f t="shared" si="3"/>
        <v>14</v>
      </c>
      <c r="B17" s="1335" t="s">
        <v>1334</v>
      </c>
      <c r="C17" s="772">
        <v>11600</v>
      </c>
      <c r="D17" s="772">
        <v>1100</v>
      </c>
      <c r="E17" s="772">
        <v>125</v>
      </c>
      <c r="F17" s="772">
        <v>75.599999999999994</v>
      </c>
      <c r="G17" s="772">
        <v>562</v>
      </c>
      <c r="H17" s="4">
        <v>259</v>
      </c>
      <c r="I17" s="772">
        <v>10</v>
      </c>
      <c r="J17" s="778" t="e">
        <f t="shared" ca="1" si="1"/>
        <v>#REF!</v>
      </c>
      <c r="K17" s="773">
        <f t="shared" si="2"/>
        <v>144.5</v>
      </c>
      <c r="L17" s="4"/>
      <c r="M17" s="1019" t="s">
        <v>2277</v>
      </c>
      <c r="N17" s="1024">
        <v>11600</v>
      </c>
      <c r="O17" s="1024">
        <v>1100</v>
      </c>
      <c r="P17" s="1024">
        <v>125</v>
      </c>
      <c r="Q17" s="1029">
        <v>75.599999999999994</v>
      </c>
      <c r="R17" s="1030">
        <v>7666.43</v>
      </c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</row>
    <row r="18" spans="1:33" s="3" customFormat="1" ht="15.95" customHeight="1">
      <c r="A18" s="79">
        <f t="shared" si="3"/>
        <v>15</v>
      </c>
      <c r="B18" s="1335" t="s">
        <v>1335</v>
      </c>
      <c r="C18" s="772">
        <v>14675</v>
      </c>
      <c r="D18" s="772">
        <v>1000</v>
      </c>
      <c r="E18" s="772">
        <v>190</v>
      </c>
      <c r="F18" s="772">
        <v>106</v>
      </c>
      <c r="G18" s="772">
        <v>628</v>
      </c>
      <c r="H18" s="4">
        <v>323</v>
      </c>
      <c r="I18" s="772">
        <v>10</v>
      </c>
      <c r="J18" s="778" t="e">
        <f t="shared" ca="1" si="1"/>
        <v>#REF!</v>
      </c>
      <c r="K18" s="773">
        <f t="shared" si="2"/>
        <v>176.5</v>
      </c>
      <c r="L18" s="4"/>
      <c r="M18" s="1026" t="s">
        <v>2278</v>
      </c>
      <c r="N18" s="1021">
        <v>14675</v>
      </c>
      <c r="O18" s="1021">
        <v>1000</v>
      </c>
      <c r="P18" s="1021">
        <v>125</v>
      </c>
      <c r="Q18" s="1027">
        <v>106</v>
      </c>
      <c r="R18" s="1028">
        <v>10655.779999999999</v>
      </c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</row>
    <row r="19" spans="1:33" s="3" customFormat="1" ht="15.95" customHeight="1">
      <c r="A19" s="79">
        <f t="shared" si="3"/>
        <v>16</v>
      </c>
      <c r="B19" s="1335" t="s">
        <v>1302</v>
      </c>
      <c r="C19" s="772">
        <v>52</v>
      </c>
      <c r="D19" s="772">
        <v>4500</v>
      </c>
      <c r="E19" s="772">
        <v>30</v>
      </c>
      <c r="F19" s="772">
        <v>1.3</v>
      </c>
      <c r="G19" s="772">
        <v>88</v>
      </c>
      <c r="H19" s="772">
        <v>99</v>
      </c>
      <c r="I19" s="772">
        <v>3</v>
      </c>
      <c r="J19" s="778" t="e">
        <f t="shared" ca="1" si="1"/>
        <v>#REF!</v>
      </c>
      <c r="K19" s="773">
        <f t="shared" si="2"/>
        <v>61</v>
      </c>
      <c r="M19" s="1024" t="s">
        <v>1302</v>
      </c>
      <c r="N19" s="1024">
        <v>52</v>
      </c>
      <c r="O19" s="1019">
        <v>4500</v>
      </c>
      <c r="P19" s="1024">
        <v>28</v>
      </c>
      <c r="Q19" s="1025">
        <v>1.29</v>
      </c>
      <c r="R19" s="1031">
        <v>1500.1</v>
      </c>
      <c r="S19" s="453"/>
    </row>
    <row r="20" spans="1:33">
      <c r="A20" s="79">
        <f t="shared" si="3"/>
        <v>17</v>
      </c>
      <c r="B20" s="1335" t="s">
        <v>1303</v>
      </c>
      <c r="C20" s="772">
        <v>149</v>
      </c>
      <c r="D20" s="772">
        <v>4500</v>
      </c>
      <c r="E20" s="772">
        <v>35</v>
      </c>
      <c r="F20" s="772">
        <v>2</v>
      </c>
      <c r="G20" s="772">
        <v>99</v>
      </c>
      <c r="H20" s="772">
        <v>99</v>
      </c>
      <c r="I20" s="772">
        <v>3</v>
      </c>
      <c r="J20" s="778" t="e">
        <f t="shared" ca="1" si="1"/>
        <v>#REF!</v>
      </c>
      <c r="K20" s="773">
        <f t="shared" si="2"/>
        <v>61</v>
      </c>
      <c r="M20" s="1021" t="s">
        <v>1303</v>
      </c>
      <c r="N20" s="1021">
        <v>149</v>
      </c>
      <c r="O20" s="1026">
        <v>4500</v>
      </c>
      <c r="P20" s="1021">
        <v>35</v>
      </c>
      <c r="Q20" s="1022">
        <v>2.58</v>
      </c>
      <c r="R20" s="1032">
        <v>1650.1</v>
      </c>
    </row>
    <row r="21" spans="1:33">
      <c r="A21" s="79">
        <f t="shared" si="3"/>
        <v>18</v>
      </c>
      <c r="B21" s="1335" t="s">
        <v>1304</v>
      </c>
      <c r="C21" s="772">
        <v>249</v>
      </c>
      <c r="D21" s="772">
        <v>4500</v>
      </c>
      <c r="E21" s="772">
        <v>43</v>
      </c>
      <c r="F21" s="772">
        <v>2</v>
      </c>
      <c r="G21" s="772">
        <v>107</v>
      </c>
      <c r="H21" s="772">
        <v>105</v>
      </c>
      <c r="I21" s="772">
        <v>3</v>
      </c>
      <c r="J21" s="778" t="e">
        <f t="shared" ca="1" si="1"/>
        <v>#REF!</v>
      </c>
      <c r="K21" s="773">
        <f t="shared" si="2"/>
        <v>64</v>
      </c>
      <c r="M21" s="1024" t="s">
        <v>1304</v>
      </c>
      <c r="N21" s="1024">
        <v>249</v>
      </c>
      <c r="O21" s="1019">
        <v>4500</v>
      </c>
      <c r="P21" s="1024">
        <v>43</v>
      </c>
      <c r="Q21" s="1025">
        <v>3.34</v>
      </c>
      <c r="R21" s="1033">
        <v>1898</v>
      </c>
    </row>
    <row r="22" spans="1:33">
      <c r="A22" s="79">
        <f t="shared" si="3"/>
        <v>19</v>
      </c>
      <c r="B22" s="1335" t="s">
        <v>1305</v>
      </c>
      <c r="C22" s="772">
        <v>435</v>
      </c>
      <c r="D22" s="772">
        <v>4500</v>
      </c>
      <c r="E22" s="772">
        <v>50</v>
      </c>
      <c r="F22" s="772">
        <v>3</v>
      </c>
      <c r="G22" s="772">
        <v>129</v>
      </c>
      <c r="H22" s="772">
        <v>124</v>
      </c>
      <c r="I22" s="772">
        <v>3</v>
      </c>
      <c r="J22" s="778" t="e">
        <f t="shared" ca="1" si="1"/>
        <v>#REF!</v>
      </c>
      <c r="K22" s="773">
        <f t="shared" si="2"/>
        <v>73.5</v>
      </c>
      <c r="M22" s="1021" t="s">
        <v>1305</v>
      </c>
      <c r="N22" s="1021">
        <v>435</v>
      </c>
      <c r="O22" s="1026">
        <v>4500</v>
      </c>
      <c r="P22" s="1021">
        <v>50</v>
      </c>
      <c r="Q22" s="1022">
        <v>5.44</v>
      </c>
      <c r="R22" s="1032">
        <v>2000.1</v>
      </c>
    </row>
    <row r="23" spans="1:33">
      <c r="A23" s="79">
        <f t="shared" si="3"/>
        <v>20</v>
      </c>
      <c r="B23" s="1335" t="s">
        <v>1306</v>
      </c>
      <c r="C23" s="772">
        <v>684</v>
      </c>
      <c r="D23" s="772">
        <v>4350</v>
      </c>
      <c r="E23" s="772">
        <v>56</v>
      </c>
      <c r="F23" s="772">
        <v>5</v>
      </c>
      <c r="G23" s="772">
        <v>139</v>
      </c>
      <c r="H23" s="772">
        <v>130</v>
      </c>
      <c r="I23" s="772">
        <v>3</v>
      </c>
      <c r="J23" s="778" t="e">
        <f t="shared" ca="1" si="1"/>
        <v>#REF!</v>
      </c>
      <c r="K23" s="773">
        <f t="shared" si="2"/>
        <v>76.5</v>
      </c>
      <c r="M23" s="1024" t="s">
        <v>1306</v>
      </c>
      <c r="N23" s="1024">
        <v>684</v>
      </c>
      <c r="O23" s="1024">
        <v>4350</v>
      </c>
      <c r="P23" s="1024">
        <v>56</v>
      </c>
      <c r="Q23" s="1025">
        <v>7.44</v>
      </c>
      <c r="R23" s="1031">
        <v>2355</v>
      </c>
    </row>
    <row r="24" spans="1:33">
      <c r="A24" s="79">
        <f t="shared" si="3"/>
        <v>21</v>
      </c>
      <c r="B24" s="1335" t="s">
        <v>1307</v>
      </c>
      <c r="C24" s="772">
        <v>994</v>
      </c>
      <c r="D24" s="772">
        <v>4125</v>
      </c>
      <c r="E24" s="772">
        <v>67</v>
      </c>
      <c r="F24" s="772">
        <v>6</v>
      </c>
      <c r="G24" s="772">
        <v>150</v>
      </c>
      <c r="H24" s="772">
        <v>156</v>
      </c>
      <c r="I24" s="772">
        <v>3</v>
      </c>
      <c r="J24" s="778" t="e">
        <f t="shared" ca="1" si="1"/>
        <v>#REF!</v>
      </c>
      <c r="K24" s="773">
        <f t="shared" si="2"/>
        <v>89.5</v>
      </c>
      <c r="M24" s="1021" t="s">
        <v>1307</v>
      </c>
      <c r="N24" s="1021">
        <v>994</v>
      </c>
      <c r="O24" s="1021">
        <v>4125</v>
      </c>
      <c r="P24" s="1021">
        <v>67</v>
      </c>
      <c r="Q24" s="1022">
        <v>10.4</v>
      </c>
      <c r="R24" s="1034">
        <v>3250</v>
      </c>
    </row>
    <row r="25" spans="1:33">
      <c r="A25" s="79">
        <f t="shared" si="3"/>
        <v>22</v>
      </c>
      <c r="B25" s="1335" t="s">
        <v>1308</v>
      </c>
      <c r="C25" s="772">
        <v>2051</v>
      </c>
      <c r="D25" s="772">
        <v>3600</v>
      </c>
      <c r="E25" s="772">
        <v>80</v>
      </c>
      <c r="F25" s="772">
        <v>11</v>
      </c>
      <c r="G25" s="772">
        <v>176</v>
      </c>
      <c r="H25" s="772">
        <v>181</v>
      </c>
      <c r="I25" s="772">
        <v>3</v>
      </c>
      <c r="J25" s="778" t="e">
        <f t="shared" ca="1" si="1"/>
        <v>#REF!</v>
      </c>
      <c r="K25" s="773">
        <f t="shared" si="2"/>
        <v>102</v>
      </c>
      <c r="M25" s="1024" t="s">
        <v>1308</v>
      </c>
      <c r="N25" s="1024">
        <v>2050</v>
      </c>
      <c r="O25" s="1024">
        <v>3600</v>
      </c>
      <c r="P25" s="1024">
        <v>80</v>
      </c>
      <c r="Q25" s="1025">
        <v>17.899999999999999</v>
      </c>
      <c r="R25" s="1033">
        <v>4398</v>
      </c>
    </row>
    <row r="26" spans="1:33">
      <c r="A26" s="79">
        <f t="shared" si="3"/>
        <v>23</v>
      </c>
      <c r="B26" s="1335" t="s">
        <v>1309</v>
      </c>
      <c r="C26" s="772">
        <v>3729</v>
      </c>
      <c r="D26" s="772">
        <v>3600</v>
      </c>
      <c r="E26" s="772">
        <v>95</v>
      </c>
      <c r="F26" s="772">
        <v>16</v>
      </c>
      <c r="G26" s="772">
        <v>196</v>
      </c>
      <c r="H26" s="772">
        <v>200</v>
      </c>
      <c r="I26" s="772">
        <v>3</v>
      </c>
      <c r="J26" s="778" t="e">
        <f t="shared" ca="1" si="1"/>
        <v>#REF!</v>
      </c>
      <c r="K26" s="773">
        <f t="shared" si="2"/>
        <v>111.5</v>
      </c>
      <c r="M26" s="1021" t="s">
        <v>1309</v>
      </c>
      <c r="N26" s="1021">
        <v>3730</v>
      </c>
      <c r="O26" s="1021">
        <v>3600</v>
      </c>
      <c r="P26" s="1021">
        <v>95</v>
      </c>
      <c r="Q26" s="1022">
        <v>25.6</v>
      </c>
      <c r="R26" s="1034">
        <v>5822</v>
      </c>
    </row>
    <row r="27" spans="1:33">
      <c r="A27" s="79">
        <f t="shared" si="3"/>
        <v>24</v>
      </c>
      <c r="B27" s="1335" t="s">
        <v>1310</v>
      </c>
      <c r="C27" s="772">
        <v>6277</v>
      </c>
      <c r="D27" s="772">
        <v>2440</v>
      </c>
      <c r="E27" s="772">
        <v>110</v>
      </c>
      <c r="F27" s="772">
        <v>28</v>
      </c>
      <c r="G27" s="772">
        <v>251</v>
      </c>
      <c r="H27" s="772">
        <v>246</v>
      </c>
      <c r="I27" s="772">
        <v>5</v>
      </c>
      <c r="J27" s="778" t="e">
        <f t="shared" ca="1" si="1"/>
        <v>#REF!</v>
      </c>
      <c r="K27" s="773">
        <f t="shared" si="2"/>
        <v>135.5</v>
      </c>
      <c r="M27" s="1024" t="s">
        <v>1310</v>
      </c>
      <c r="N27" s="1024">
        <v>6280</v>
      </c>
      <c r="O27" s="1024">
        <v>2440</v>
      </c>
      <c r="P27" s="1024">
        <v>110</v>
      </c>
      <c r="Q27" s="1025">
        <v>42</v>
      </c>
      <c r="R27" s="1033">
        <v>7736</v>
      </c>
    </row>
    <row r="28" spans="1:33">
      <c r="A28" s="79">
        <f t="shared" si="3"/>
        <v>25</v>
      </c>
      <c r="B28" s="1335" t="s">
        <v>1311</v>
      </c>
      <c r="C28" s="772">
        <v>9323</v>
      </c>
      <c r="D28" s="772">
        <v>2250</v>
      </c>
      <c r="E28" s="772">
        <v>120</v>
      </c>
      <c r="F28" s="772">
        <v>36</v>
      </c>
      <c r="G28" s="772">
        <v>270</v>
      </c>
      <c r="H28" s="772">
        <v>259</v>
      </c>
      <c r="I28" s="772">
        <v>5</v>
      </c>
      <c r="J28" s="778" t="e">
        <f t="shared" ca="1" si="1"/>
        <v>#REF!</v>
      </c>
      <c r="K28" s="773">
        <f t="shared" si="2"/>
        <v>142</v>
      </c>
      <c r="M28" s="1021" t="s">
        <v>1311</v>
      </c>
      <c r="N28" s="1021">
        <v>9320</v>
      </c>
      <c r="O28" s="1021">
        <v>2250</v>
      </c>
      <c r="P28" s="1021">
        <v>120</v>
      </c>
      <c r="Q28" s="1022">
        <v>54.3</v>
      </c>
      <c r="R28" s="1034">
        <v>9495</v>
      </c>
    </row>
    <row r="29" spans="1:33">
      <c r="A29" s="79">
        <f t="shared" si="3"/>
        <v>26</v>
      </c>
      <c r="B29" s="1335" t="s">
        <v>1312</v>
      </c>
      <c r="C29" s="772">
        <v>13675</v>
      </c>
      <c r="D29" s="772">
        <v>2025</v>
      </c>
      <c r="E29" s="772">
        <v>138</v>
      </c>
      <c r="F29" s="772">
        <v>52</v>
      </c>
      <c r="G29" s="772">
        <v>308</v>
      </c>
      <c r="H29" s="772">
        <v>305</v>
      </c>
      <c r="I29" s="772">
        <v>8</v>
      </c>
      <c r="J29" s="778" t="e">
        <f t="shared" ca="1" si="1"/>
        <v>#REF!</v>
      </c>
      <c r="K29" s="773">
        <f t="shared" si="2"/>
        <v>166.5</v>
      </c>
      <c r="M29" s="1024" t="s">
        <v>1312</v>
      </c>
      <c r="N29" s="1024">
        <v>13700</v>
      </c>
      <c r="O29" s="1024">
        <v>2025</v>
      </c>
      <c r="P29" s="1024">
        <v>140</v>
      </c>
      <c r="Q29" s="1025">
        <v>81.2</v>
      </c>
      <c r="R29" s="1033">
        <v>14392</v>
      </c>
    </row>
    <row r="30" spans="1:33">
      <c r="A30" s="79">
        <f t="shared" si="3"/>
        <v>27</v>
      </c>
      <c r="B30" s="1335" t="s">
        <v>1313</v>
      </c>
      <c r="C30" s="772">
        <v>19888</v>
      </c>
      <c r="D30" s="772">
        <v>1800</v>
      </c>
      <c r="E30" s="772">
        <v>168</v>
      </c>
      <c r="F30" s="772">
        <v>75</v>
      </c>
      <c r="G30" s="772">
        <v>348</v>
      </c>
      <c r="H30" s="772">
        <v>330</v>
      </c>
      <c r="I30" s="772">
        <v>8</v>
      </c>
      <c r="J30" s="778" t="e">
        <f t="shared" ca="1" si="1"/>
        <v>#REF!</v>
      </c>
      <c r="K30" s="773">
        <f t="shared" si="2"/>
        <v>179</v>
      </c>
      <c r="M30" s="1021" t="s">
        <v>1313</v>
      </c>
      <c r="N30" s="1021">
        <v>19900</v>
      </c>
      <c r="O30" s="1021">
        <v>1800</v>
      </c>
      <c r="P30" s="1021">
        <v>170</v>
      </c>
      <c r="Q30" s="1022">
        <v>121</v>
      </c>
      <c r="R30" s="1035">
        <v>20000.099999999999</v>
      </c>
    </row>
    <row r="31" spans="1:33">
      <c r="A31" s="79">
        <f t="shared" si="3"/>
        <v>28</v>
      </c>
      <c r="B31" s="1335" t="s">
        <v>1314</v>
      </c>
      <c r="C31" s="772">
        <v>28589</v>
      </c>
      <c r="D31" s="772">
        <v>1650</v>
      </c>
      <c r="E31" s="772">
        <v>191</v>
      </c>
      <c r="F31" s="772">
        <v>107</v>
      </c>
      <c r="G31" s="772">
        <v>384</v>
      </c>
      <c r="H31" s="772">
        <v>375</v>
      </c>
      <c r="I31" s="772">
        <v>8</v>
      </c>
      <c r="J31" s="778" t="e">
        <f t="shared" ca="1" si="1"/>
        <v>#REF!</v>
      </c>
      <c r="K31" s="773">
        <f t="shared" si="2"/>
        <v>201.5</v>
      </c>
      <c r="M31" s="1024" t="s">
        <v>1314</v>
      </c>
      <c r="N31" s="1024">
        <v>28600</v>
      </c>
      <c r="O31" s="1024">
        <v>1650</v>
      </c>
      <c r="P31" s="1024">
        <v>200</v>
      </c>
      <c r="Q31" s="1025">
        <v>178</v>
      </c>
      <c r="R31" s="1031">
        <v>25000.1</v>
      </c>
    </row>
    <row r="32" spans="1:33">
      <c r="A32" s="79">
        <f t="shared" si="3"/>
        <v>29</v>
      </c>
      <c r="B32" s="1335" t="s">
        <v>1315</v>
      </c>
      <c r="C32" s="772">
        <v>39776</v>
      </c>
      <c r="D32" s="772">
        <v>1500</v>
      </c>
      <c r="E32" s="772">
        <v>215</v>
      </c>
      <c r="F32" s="772">
        <v>234</v>
      </c>
      <c r="G32" s="772">
        <v>455</v>
      </c>
      <c r="H32" s="772">
        <v>373</v>
      </c>
      <c r="I32" s="772">
        <v>8</v>
      </c>
      <c r="J32" s="778" t="e">
        <f t="shared" ca="1" si="1"/>
        <v>#REF!</v>
      </c>
      <c r="K32" s="773">
        <f t="shared" si="2"/>
        <v>200.5</v>
      </c>
      <c r="M32" s="1021" t="s">
        <v>1315</v>
      </c>
      <c r="N32" s="1021">
        <v>39800</v>
      </c>
      <c r="O32" s="1021">
        <v>1500</v>
      </c>
      <c r="P32" s="1021">
        <v>215</v>
      </c>
      <c r="Q32" s="1022">
        <v>234</v>
      </c>
      <c r="R32" s="1032">
        <v>30000.1</v>
      </c>
    </row>
    <row r="33" spans="1:19">
      <c r="A33" s="79">
        <f t="shared" si="3"/>
        <v>30</v>
      </c>
      <c r="B33" s="1335" t="s">
        <v>1316</v>
      </c>
      <c r="C33" s="772">
        <v>55935</v>
      </c>
      <c r="D33" s="772">
        <v>1350</v>
      </c>
      <c r="E33" s="772">
        <v>240</v>
      </c>
      <c r="F33" s="772">
        <v>317</v>
      </c>
      <c r="G33" s="772">
        <v>503</v>
      </c>
      <c r="H33" s="772">
        <v>404</v>
      </c>
      <c r="I33" s="772">
        <v>8</v>
      </c>
      <c r="J33" s="778" t="e">
        <f t="shared" ca="1" si="1"/>
        <v>#REF!</v>
      </c>
      <c r="K33" s="773">
        <f t="shared" si="2"/>
        <v>216</v>
      </c>
      <c r="M33" s="1024" t="s">
        <v>1316</v>
      </c>
      <c r="N33" s="1024">
        <v>55900</v>
      </c>
      <c r="O33" s="1024">
        <v>1350</v>
      </c>
      <c r="P33" s="1024">
        <v>240</v>
      </c>
      <c r="Q33" s="1025">
        <v>317</v>
      </c>
      <c r="R33" s="1031">
        <v>35000.1</v>
      </c>
    </row>
    <row r="34" spans="1:19">
      <c r="A34" s="79">
        <f t="shared" si="3"/>
        <v>31</v>
      </c>
      <c r="B34" s="1335" t="s">
        <v>1317</v>
      </c>
      <c r="C34" s="772">
        <v>74580</v>
      </c>
      <c r="D34" s="772">
        <v>1225</v>
      </c>
      <c r="E34" s="772">
        <v>280</v>
      </c>
      <c r="F34" s="772">
        <v>449</v>
      </c>
      <c r="G34" s="772">
        <v>569</v>
      </c>
      <c r="H34" s="772">
        <v>439</v>
      </c>
      <c r="I34" s="772">
        <v>8</v>
      </c>
      <c r="J34" s="778" t="e">
        <f t="shared" ca="1" si="1"/>
        <v>#REF!</v>
      </c>
      <c r="K34" s="773">
        <f t="shared" si="2"/>
        <v>233.5</v>
      </c>
      <c r="M34" s="1021" t="s">
        <v>1317</v>
      </c>
      <c r="N34" s="1021">
        <v>74600</v>
      </c>
      <c r="O34" s="1021">
        <v>1225</v>
      </c>
      <c r="P34" s="1021">
        <v>280</v>
      </c>
      <c r="Q34" s="1022">
        <v>448</v>
      </c>
      <c r="R34" s="1032">
        <v>40000.1</v>
      </c>
    </row>
    <row r="35" spans="1:19">
      <c r="A35" s="79">
        <f t="shared" si="3"/>
        <v>32</v>
      </c>
      <c r="B35" s="1335" t="s">
        <v>1318</v>
      </c>
      <c r="C35" s="772">
        <v>103395</v>
      </c>
      <c r="D35" s="772">
        <v>1110</v>
      </c>
      <c r="E35" s="772">
        <v>300</v>
      </c>
      <c r="F35" s="772">
        <v>620</v>
      </c>
      <c r="G35" s="772">
        <v>630</v>
      </c>
      <c r="H35" s="772">
        <v>485</v>
      </c>
      <c r="I35" s="772">
        <v>8</v>
      </c>
      <c r="J35" s="778" t="e">
        <f t="shared" ca="1" si="1"/>
        <v>#REF!</v>
      </c>
      <c r="K35" s="773">
        <f t="shared" si="2"/>
        <v>256.5</v>
      </c>
      <c r="M35" s="1024" t="s">
        <v>1318</v>
      </c>
      <c r="N35" s="1024">
        <v>103000</v>
      </c>
      <c r="O35" s="1024">
        <v>1100</v>
      </c>
      <c r="P35" s="1024">
        <v>300</v>
      </c>
      <c r="Q35" s="1025">
        <v>619</v>
      </c>
      <c r="R35" s="1031">
        <v>45000.1</v>
      </c>
    </row>
    <row r="36" spans="1:19">
      <c r="A36" s="79">
        <f t="shared" si="3"/>
        <v>33</v>
      </c>
      <c r="B36" s="1335" t="s">
        <v>1319</v>
      </c>
      <c r="C36" s="772">
        <v>136730</v>
      </c>
      <c r="D36" s="772">
        <v>1050</v>
      </c>
      <c r="E36" s="772">
        <v>335</v>
      </c>
      <c r="F36" s="772">
        <v>777</v>
      </c>
      <c r="G36" s="772">
        <v>671</v>
      </c>
      <c r="H36" s="772">
        <v>526</v>
      </c>
      <c r="I36" s="772">
        <v>8</v>
      </c>
      <c r="J36" s="778" t="e">
        <f t="shared" ref="J36:J67" ca="1" si="4">IF(OR($C36&lt;TMO0/1000,$D36&lt;Fan_Max_rpm,AD=0,SD=0,$E36&lt;SD),0,"OK")</f>
        <v>#REF!</v>
      </c>
      <c r="K36" s="773">
        <f t="shared" ref="K36:K67" si="5">(H36+I36)/2+C_slack</f>
        <v>277</v>
      </c>
      <c r="M36" s="1021" t="s">
        <v>1319</v>
      </c>
      <c r="N36" s="1021">
        <v>137000</v>
      </c>
      <c r="O36" s="1021">
        <v>1050</v>
      </c>
      <c r="P36" s="1021">
        <v>335</v>
      </c>
      <c r="Q36" s="1022">
        <v>776</v>
      </c>
      <c r="R36" s="1032">
        <v>50000.1</v>
      </c>
    </row>
    <row r="37" spans="1:19">
      <c r="A37" s="79">
        <f t="shared" si="3"/>
        <v>34</v>
      </c>
      <c r="B37" s="1335" t="s">
        <v>1320</v>
      </c>
      <c r="C37" s="772">
        <v>186450</v>
      </c>
      <c r="D37" s="772">
        <v>900</v>
      </c>
      <c r="E37" s="772">
        <v>360</v>
      </c>
      <c r="F37" s="772">
        <v>1059</v>
      </c>
      <c r="G37" s="772">
        <v>762</v>
      </c>
      <c r="H37" s="772">
        <v>566</v>
      </c>
      <c r="I37" s="772">
        <v>8</v>
      </c>
      <c r="J37" s="778" t="e">
        <f t="shared" ca="1" si="4"/>
        <v>#REF!</v>
      </c>
      <c r="K37" s="773">
        <f t="shared" si="5"/>
        <v>297</v>
      </c>
      <c r="M37" s="1024" t="s">
        <v>1320</v>
      </c>
      <c r="N37" s="1024">
        <v>186000</v>
      </c>
      <c r="O37" s="1024">
        <v>900</v>
      </c>
      <c r="P37" s="1024">
        <v>360</v>
      </c>
      <c r="Q37" s="1025">
        <v>1058</v>
      </c>
      <c r="R37" s="1031">
        <v>60000.1</v>
      </c>
      <c r="S37" s="3"/>
    </row>
    <row r="38" spans="1:19" s="3" customFormat="1" ht="15.95" customHeight="1">
      <c r="A38" s="79">
        <f t="shared" si="3"/>
        <v>35</v>
      </c>
      <c r="B38" s="1335" t="s">
        <v>1336</v>
      </c>
      <c r="C38" s="772">
        <v>52</v>
      </c>
      <c r="D38" s="772">
        <v>6000</v>
      </c>
      <c r="E38" s="772">
        <v>28</v>
      </c>
      <c r="F38" s="772">
        <v>1.4</v>
      </c>
      <c r="G38" s="4"/>
      <c r="H38" s="772">
        <v>99</v>
      </c>
      <c r="I38" s="772">
        <v>3</v>
      </c>
      <c r="J38" s="778" t="e">
        <f t="shared" ca="1" si="4"/>
        <v>#REF!</v>
      </c>
      <c r="K38" s="773">
        <f t="shared" si="5"/>
        <v>61</v>
      </c>
      <c r="M38" s="1021" t="s">
        <v>1336</v>
      </c>
      <c r="N38" s="1021">
        <v>52</v>
      </c>
      <c r="O38" s="1026">
        <v>6000</v>
      </c>
      <c r="P38" s="1021">
        <v>28</v>
      </c>
      <c r="Q38" s="1027">
        <v>1.95</v>
      </c>
      <c r="R38" s="1032">
        <v>1600.1</v>
      </c>
      <c r="S38" s="453"/>
    </row>
    <row r="39" spans="1:19">
      <c r="A39" s="79">
        <f t="shared" si="3"/>
        <v>36</v>
      </c>
      <c r="B39" s="1335" t="s">
        <v>1337</v>
      </c>
      <c r="C39" s="772">
        <v>149</v>
      </c>
      <c r="D39" s="772">
        <v>6000</v>
      </c>
      <c r="E39" s="772">
        <v>35</v>
      </c>
      <c r="F39" s="772">
        <v>1.8</v>
      </c>
      <c r="G39" s="772"/>
      <c r="H39" s="772">
        <v>99</v>
      </c>
      <c r="I39" s="772">
        <v>3</v>
      </c>
      <c r="J39" s="778" t="e">
        <f t="shared" ca="1" si="4"/>
        <v>#REF!</v>
      </c>
      <c r="K39" s="773">
        <f t="shared" si="5"/>
        <v>61</v>
      </c>
      <c r="M39" s="1024" t="s">
        <v>1337</v>
      </c>
      <c r="N39" s="1024">
        <v>149</v>
      </c>
      <c r="O39" s="1019">
        <v>6000</v>
      </c>
      <c r="P39" s="1024">
        <v>35</v>
      </c>
      <c r="Q39" s="1029">
        <v>2.59</v>
      </c>
      <c r="R39" s="1031">
        <v>1800.1</v>
      </c>
    </row>
    <row r="40" spans="1:19">
      <c r="A40" s="79">
        <f t="shared" si="3"/>
        <v>37</v>
      </c>
      <c r="B40" s="1335" t="s">
        <v>1338</v>
      </c>
      <c r="C40" s="772">
        <v>249</v>
      </c>
      <c r="D40" s="772">
        <v>6000</v>
      </c>
      <c r="E40" s="772">
        <v>43</v>
      </c>
      <c r="F40" s="772">
        <v>2.2000000000000002</v>
      </c>
      <c r="G40" s="772"/>
      <c r="H40" s="772">
        <v>105</v>
      </c>
      <c r="I40" s="772">
        <v>3</v>
      </c>
      <c r="J40" s="778" t="e">
        <f t="shared" ca="1" si="4"/>
        <v>#REF!</v>
      </c>
      <c r="K40" s="773">
        <f t="shared" si="5"/>
        <v>64</v>
      </c>
      <c r="M40" s="1021" t="s">
        <v>1338</v>
      </c>
      <c r="N40" s="1021">
        <v>249</v>
      </c>
      <c r="O40" s="1026">
        <v>6000</v>
      </c>
      <c r="P40" s="1021">
        <v>43</v>
      </c>
      <c r="Q40" s="1027">
        <v>3.36</v>
      </c>
      <c r="R40" s="1032">
        <v>2000.1</v>
      </c>
    </row>
    <row r="41" spans="1:19">
      <c r="A41" s="79">
        <f t="shared" si="3"/>
        <v>38</v>
      </c>
      <c r="B41" s="1335" t="s">
        <v>1339</v>
      </c>
      <c r="C41" s="772">
        <v>435</v>
      </c>
      <c r="D41" s="772">
        <v>6000</v>
      </c>
      <c r="E41" s="772">
        <v>50</v>
      </c>
      <c r="F41" s="772">
        <v>3.4</v>
      </c>
      <c r="G41" s="772"/>
      <c r="H41" s="772">
        <v>124</v>
      </c>
      <c r="I41" s="772">
        <v>3</v>
      </c>
      <c r="J41" s="778" t="e">
        <f t="shared" ca="1" si="4"/>
        <v>#REF!</v>
      </c>
      <c r="K41" s="773">
        <f t="shared" si="5"/>
        <v>73.5</v>
      </c>
      <c r="M41" s="1024" t="s">
        <v>1339</v>
      </c>
      <c r="N41" s="1024">
        <v>435</v>
      </c>
      <c r="O41" s="1019">
        <v>6000</v>
      </c>
      <c r="P41" s="1024">
        <v>50</v>
      </c>
      <c r="Q41" s="1029">
        <v>5.44</v>
      </c>
      <c r="R41" s="1031">
        <v>2100.1</v>
      </c>
    </row>
    <row r="42" spans="1:19">
      <c r="A42" s="79">
        <f t="shared" si="3"/>
        <v>39</v>
      </c>
      <c r="B42" s="1335" t="s">
        <v>1340</v>
      </c>
      <c r="C42" s="772">
        <v>684</v>
      </c>
      <c r="D42" s="772">
        <v>6000</v>
      </c>
      <c r="E42" s="772">
        <v>56</v>
      </c>
      <c r="F42" s="772">
        <v>5</v>
      </c>
      <c r="G42" s="772"/>
      <c r="H42" s="772">
        <v>130</v>
      </c>
      <c r="I42" s="772">
        <v>3</v>
      </c>
      <c r="J42" s="778" t="e">
        <f t="shared" ca="1" si="4"/>
        <v>#REF!</v>
      </c>
      <c r="K42" s="773">
        <f t="shared" si="5"/>
        <v>76.5</v>
      </c>
      <c r="M42" s="1021" t="s">
        <v>1340</v>
      </c>
      <c r="N42" s="1021">
        <v>684</v>
      </c>
      <c r="O42" s="1026">
        <v>6000</v>
      </c>
      <c r="P42" s="1021">
        <v>56</v>
      </c>
      <c r="Q42" s="1027">
        <v>7.26</v>
      </c>
      <c r="R42" s="1032">
        <v>2494</v>
      </c>
    </row>
    <row r="43" spans="1:19">
      <c r="A43" s="79">
        <f t="shared" si="3"/>
        <v>40</v>
      </c>
      <c r="B43" s="1335" t="s">
        <v>1341</v>
      </c>
      <c r="C43" s="772">
        <v>994</v>
      </c>
      <c r="D43" s="772">
        <v>5500</v>
      </c>
      <c r="E43" s="772">
        <v>67</v>
      </c>
      <c r="F43" s="772">
        <v>6.4</v>
      </c>
      <c r="G43" s="772"/>
      <c r="H43" s="772">
        <v>156</v>
      </c>
      <c r="I43" s="772">
        <v>3</v>
      </c>
      <c r="J43" s="778" t="e">
        <f t="shared" ca="1" si="4"/>
        <v>#REF!</v>
      </c>
      <c r="K43" s="773">
        <f t="shared" si="5"/>
        <v>89.5</v>
      </c>
      <c r="M43" s="1024" t="s">
        <v>1341</v>
      </c>
      <c r="N43" s="1024">
        <v>994</v>
      </c>
      <c r="O43" s="1024">
        <v>5500</v>
      </c>
      <c r="P43" s="1024">
        <v>67</v>
      </c>
      <c r="Q43" s="1029">
        <v>10.4</v>
      </c>
      <c r="R43" s="1033">
        <v>3441</v>
      </c>
    </row>
    <row r="44" spans="1:19">
      <c r="A44" s="79">
        <f t="shared" si="3"/>
        <v>41</v>
      </c>
      <c r="B44" s="1335" t="s">
        <v>1342</v>
      </c>
      <c r="C44" s="772">
        <v>2051</v>
      </c>
      <c r="D44" s="772">
        <v>4750</v>
      </c>
      <c r="E44" s="772">
        <v>80</v>
      </c>
      <c r="F44" s="772">
        <v>12</v>
      </c>
      <c r="G44" s="772"/>
      <c r="H44" s="772">
        <v>181</v>
      </c>
      <c r="I44" s="772">
        <v>3</v>
      </c>
      <c r="J44" s="778" t="e">
        <f t="shared" ca="1" si="4"/>
        <v>#REF!</v>
      </c>
      <c r="K44" s="773">
        <f t="shared" si="5"/>
        <v>102</v>
      </c>
      <c r="M44" s="1021" t="s">
        <v>1342</v>
      </c>
      <c r="N44" s="1021">
        <v>2050</v>
      </c>
      <c r="O44" s="1021">
        <v>4750</v>
      </c>
      <c r="P44" s="1021">
        <v>80</v>
      </c>
      <c r="Q44" s="1027">
        <v>17.7</v>
      </c>
      <c r="R44" s="1034">
        <v>4657</v>
      </c>
    </row>
    <row r="45" spans="1:19">
      <c r="A45" s="79">
        <f t="shared" si="3"/>
        <v>42</v>
      </c>
      <c r="B45" s="1335" t="s">
        <v>1343</v>
      </c>
      <c r="C45" s="772">
        <v>3729</v>
      </c>
      <c r="D45" s="772">
        <v>4000</v>
      </c>
      <c r="E45" s="772">
        <v>95</v>
      </c>
      <c r="F45" s="772">
        <v>16</v>
      </c>
      <c r="G45" s="772"/>
      <c r="H45" s="772">
        <v>200</v>
      </c>
      <c r="I45" s="772">
        <v>3</v>
      </c>
      <c r="J45" s="778" t="e">
        <f t="shared" ca="1" si="4"/>
        <v>#REF!</v>
      </c>
      <c r="K45" s="773">
        <f t="shared" si="5"/>
        <v>111.5</v>
      </c>
      <c r="M45" s="1024" t="s">
        <v>1343</v>
      </c>
      <c r="N45" s="1024">
        <v>3730</v>
      </c>
      <c r="O45" s="1024">
        <v>4000</v>
      </c>
      <c r="P45" s="1024">
        <v>95</v>
      </c>
      <c r="Q45" s="1029">
        <v>25.4</v>
      </c>
      <c r="R45" s="1033">
        <v>6165</v>
      </c>
    </row>
    <row r="46" spans="1:19">
      <c r="A46" s="79">
        <f t="shared" si="3"/>
        <v>43</v>
      </c>
      <c r="B46" s="1335" t="s">
        <v>1344</v>
      </c>
      <c r="C46" s="772">
        <v>6277</v>
      </c>
      <c r="D46" s="772">
        <v>3250</v>
      </c>
      <c r="E46" s="772">
        <v>110</v>
      </c>
      <c r="F46" s="772">
        <v>29</v>
      </c>
      <c r="G46" s="772"/>
      <c r="H46" s="772">
        <v>246</v>
      </c>
      <c r="I46" s="772">
        <v>5</v>
      </c>
      <c r="J46" s="778" t="e">
        <f t="shared" ca="1" si="4"/>
        <v>#REF!</v>
      </c>
      <c r="K46" s="773">
        <f t="shared" si="5"/>
        <v>135.5</v>
      </c>
      <c r="M46" s="1021" t="s">
        <v>1344</v>
      </c>
      <c r="N46" s="1021">
        <v>6280</v>
      </c>
      <c r="O46" s="1021">
        <v>3250</v>
      </c>
      <c r="P46" s="1021">
        <v>110</v>
      </c>
      <c r="Q46" s="1027">
        <v>42.4</v>
      </c>
      <c r="R46" s="1034">
        <v>8191</v>
      </c>
    </row>
    <row r="47" spans="1:19">
      <c r="A47" s="79">
        <f t="shared" si="3"/>
        <v>44</v>
      </c>
      <c r="B47" s="1335" t="s">
        <v>1345</v>
      </c>
      <c r="C47" s="772">
        <v>9323</v>
      </c>
      <c r="D47" s="772">
        <v>3000</v>
      </c>
      <c r="E47" s="772">
        <v>120</v>
      </c>
      <c r="F47" s="772">
        <v>36</v>
      </c>
      <c r="G47" s="772"/>
      <c r="H47" s="772">
        <v>259</v>
      </c>
      <c r="I47" s="772">
        <v>5</v>
      </c>
      <c r="J47" s="778" t="e">
        <f t="shared" ca="1" si="4"/>
        <v>#REF!</v>
      </c>
      <c r="K47" s="773">
        <f t="shared" si="5"/>
        <v>142</v>
      </c>
      <c r="M47" s="1024" t="s">
        <v>1345</v>
      </c>
      <c r="N47" s="1024">
        <v>9320</v>
      </c>
      <c r="O47" s="1024">
        <v>3000</v>
      </c>
      <c r="P47" s="1024">
        <v>120</v>
      </c>
      <c r="Q47" s="1029">
        <v>54.4</v>
      </c>
      <c r="R47" s="1033">
        <v>10053</v>
      </c>
    </row>
    <row r="48" spans="1:19">
      <c r="A48" s="79">
        <f t="shared" si="3"/>
        <v>45</v>
      </c>
      <c r="B48" s="1335" t="s">
        <v>1346</v>
      </c>
      <c r="C48" s="772">
        <v>13673</v>
      </c>
      <c r="D48" s="772">
        <v>2700</v>
      </c>
      <c r="E48" s="772">
        <v>140</v>
      </c>
      <c r="F48" s="772">
        <v>52</v>
      </c>
      <c r="G48" s="772"/>
      <c r="H48" s="772">
        <v>305</v>
      </c>
      <c r="I48" s="772">
        <v>8</v>
      </c>
      <c r="J48" s="778" t="e">
        <f t="shared" ca="1" si="4"/>
        <v>#REF!</v>
      </c>
      <c r="K48" s="773">
        <f t="shared" si="5"/>
        <v>166.5</v>
      </c>
      <c r="M48" s="1021" t="s">
        <v>1346</v>
      </c>
      <c r="N48" s="1021">
        <v>13700</v>
      </c>
      <c r="O48" s="1021">
        <v>2700</v>
      </c>
      <c r="P48" s="1021">
        <v>140</v>
      </c>
      <c r="Q48" s="1027">
        <v>81.599999999999994</v>
      </c>
      <c r="R48" s="1034">
        <v>15239</v>
      </c>
    </row>
    <row r="49" spans="1:19">
      <c r="A49" s="79">
        <f t="shared" si="3"/>
        <v>46</v>
      </c>
      <c r="B49" s="1335" t="s">
        <v>1347</v>
      </c>
      <c r="C49" s="772">
        <v>19888</v>
      </c>
      <c r="D49" s="772">
        <v>2400</v>
      </c>
      <c r="E49" s="772">
        <v>170</v>
      </c>
      <c r="F49" s="772">
        <v>75</v>
      </c>
      <c r="G49" s="772"/>
      <c r="H49" s="772">
        <v>330</v>
      </c>
      <c r="I49" s="772">
        <v>8</v>
      </c>
      <c r="J49" s="778" t="e">
        <f t="shared" ca="1" si="4"/>
        <v>#REF!</v>
      </c>
      <c r="K49" s="773">
        <f t="shared" si="5"/>
        <v>179</v>
      </c>
      <c r="M49" s="1024" t="s">
        <v>1347</v>
      </c>
      <c r="N49" s="1024">
        <v>19900</v>
      </c>
      <c r="O49" s="1024">
        <v>2400</v>
      </c>
      <c r="P49" s="1024">
        <v>170</v>
      </c>
      <c r="Q49" s="1029">
        <v>122</v>
      </c>
      <c r="R49" s="1031">
        <v>21000.1</v>
      </c>
    </row>
    <row r="50" spans="1:19">
      <c r="A50" s="79">
        <f t="shared" si="3"/>
        <v>47</v>
      </c>
      <c r="B50" s="1335" t="s">
        <v>1348</v>
      </c>
      <c r="C50" s="772">
        <v>28589</v>
      </c>
      <c r="D50" s="772">
        <v>2200</v>
      </c>
      <c r="E50" s="772">
        <v>200</v>
      </c>
      <c r="F50" s="772">
        <v>107</v>
      </c>
      <c r="G50" s="772"/>
      <c r="H50" s="772">
        <v>375</v>
      </c>
      <c r="I50" s="772">
        <v>8</v>
      </c>
      <c r="J50" s="778" t="e">
        <f t="shared" ca="1" si="4"/>
        <v>#REF!</v>
      </c>
      <c r="K50" s="773">
        <f t="shared" si="5"/>
        <v>201.5</v>
      </c>
      <c r="M50" s="1021" t="s">
        <v>1348</v>
      </c>
      <c r="N50" s="1021">
        <v>28600</v>
      </c>
      <c r="O50" s="1021">
        <v>2200</v>
      </c>
      <c r="P50" s="1021">
        <v>200</v>
      </c>
      <c r="Q50" s="1027">
        <v>180</v>
      </c>
      <c r="R50" s="1032">
        <v>26000.1</v>
      </c>
    </row>
    <row r="51" spans="1:19">
      <c r="A51" s="79">
        <f t="shared" si="3"/>
        <v>48</v>
      </c>
      <c r="B51" s="1335" t="s">
        <v>1349</v>
      </c>
      <c r="C51" s="772">
        <v>39776</v>
      </c>
      <c r="D51" s="772">
        <v>2000</v>
      </c>
      <c r="E51" s="772">
        <v>215</v>
      </c>
      <c r="F51" s="772">
        <v>234</v>
      </c>
      <c r="G51" s="772"/>
      <c r="H51" s="772">
        <v>373</v>
      </c>
      <c r="I51" s="772">
        <v>8</v>
      </c>
      <c r="J51" s="778" t="e">
        <f t="shared" ca="1" si="4"/>
        <v>#REF!</v>
      </c>
      <c r="K51" s="773">
        <f t="shared" si="5"/>
        <v>200.5</v>
      </c>
      <c r="M51" s="1024" t="s">
        <v>1349</v>
      </c>
      <c r="N51" s="1024">
        <v>39800</v>
      </c>
      <c r="O51" s="1024">
        <v>2000</v>
      </c>
      <c r="P51" s="1024">
        <v>215</v>
      </c>
      <c r="Q51" s="1029">
        <v>230</v>
      </c>
      <c r="R51" s="1031">
        <v>31000.1</v>
      </c>
    </row>
    <row r="52" spans="1:19">
      <c r="A52" s="79">
        <f t="shared" si="3"/>
        <v>49</v>
      </c>
      <c r="B52" s="1335" t="s">
        <v>1350</v>
      </c>
      <c r="C52" s="772">
        <v>55935</v>
      </c>
      <c r="D52" s="772">
        <v>1750</v>
      </c>
      <c r="E52" s="772">
        <v>240</v>
      </c>
      <c r="F52" s="772">
        <v>317</v>
      </c>
      <c r="G52" s="772"/>
      <c r="H52" s="772">
        <v>404</v>
      </c>
      <c r="I52" s="772">
        <v>8</v>
      </c>
      <c r="J52" s="778" t="e">
        <f t="shared" ca="1" si="4"/>
        <v>#REF!</v>
      </c>
      <c r="K52" s="773">
        <f t="shared" si="5"/>
        <v>216</v>
      </c>
      <c r="M52" s="1021" t="s">
        <v>1350</v>
      </c>
      <c r="N52" s="1021">
        <v>55900</v>
      </c>
      <c r="O52" s="1021">
        <v>1750</v>
      </c>
      <c r="P52" s="1021">
        <v>240</v>
      </c>
      <c r="Q52" s="1027">
        <v>321</v>
      </c>
      <c r="R52" s="1032">
        <v>36000.1</v>
      </c>
    </row>
    <row r="53" spans="1:19">
      <c r="A53" s="79">
        <f t="shared" si="3"/>
        <v>50</v>
      </c>
      <c r="B53" s="1335" t="s">
        <v>1351</v>
      </c>
      <c r="C53" s="772">
        <v>74580</v>
      </c>
      <c r="D53" s="772">
        <v>1600</v>
      </c>
      <c r="E53" s="772">
        <v>280</v>
      </c>
      <c r="F53" s="772">
        <v>449</v>
      </c>
      <c r="G53" s="772"/>
      <c r="H53" s="772">
        <v>439</v>
      </c>
      <c r="I53" s="772">
        <v>8</v>
      </c>
      <c r="J53" s="778" t="e">
        <f t="shared" ca="1" si="4"/>
        <v>#REF!</v>
      </c>
      <c r="K53" s="773">
        <f t="shared" si="5"/>
        <v>233.5</v>
      </c>
      <c r="M53" s="1024" t="s">
        <v>1351</v>
      </c>
      <c r="N53" s="1024">
        <v>74600</v>
      </c>
      <c r="O53" s="1024">
        <v>1600</v>
      </c>
      <c r="P53" s="1024">
        <v>280</v>
      </c>
      <c r="Q53" s="1029">
        <v>448</v>
      </c>
      <c r="R53" s="1031">
        <v>41000.1</v>
      </c>
    </row>
    <row r="54" spans="1:19">
      <c r="A54" s="79">
        <f t="shared" si="3"/>
        <v>51</v>
      </c>
      <c r="B54" s="1335" t="s">
        <v>1352</v>
      </c>
      <c r="C54" s="772">
        <v>103395</v>
      </c>
      <c r="D54" s="772">
        <v>1600</v>
      </c>
      <c r="E54" s="772">
        <v>280</v>
      </c>
      <c r="F54" s="772">
        <v>620</v>
      </c>
      <c r="G54" s="772"/>
      <c r="H54" s="772">
        <v>485</v>
      </c>
      <c r="I54" s="772">
        <v>8</v>
      </c>
      <c r="J54" s="778" t="e">
        <f t="shared" ca="1" si="4"/>
        <v>#REF!</v>
      </c>
      <c r="K54" s="773">
        <f t="shared" si="5"/>
        <v>256.5</v>
      </c>
    </row>
    <row r="55" spans="1:19">
      <c r="A55" s="79">
        <f t="shared" si="3"/>
        <v>52</v>
      </c>
      <c r="B55" s="1335" t="s">
        <v>1353</v>
      </c>
      <c r="C55" s="772">
        <v>136730</v>
      </c>
      <c r="D55" s="772">
        <v>1600</v>
      </c>
      <c r="E55" s="772">
        <v>280</v>
      </c>
      <c r="F55" s="772">
        <v>777</v>
      </c>
      <c r="G55" s="772"/>
      <c r="H55" s="772">
        <v>526</v>
      </c>
      <c r="I55" s="772">
        <v>8</v>
      </c>
      <c r="J55" s="778" t="e">
        <f t="shared" ca="1" si="4"/>
        <v>#REF!</v>
      </c>
      <c r="K55" s="773">
        <f t="shared" si="5"/>
        <v>277</v>
      </c>
    </row>
    <row r="56" spans="1:19">
      <c r="A56" s="79">
        <f t="shared" si="3"/>
        <v>53</v>
      </c>
      <c r="B56" s="1335" t="s">
        <v>1354</v>
      </c>
      <c r="C56" s="772">
        <v>186450</v>
      </c>
      <c r="D56" s="772">
        <v>1600</v>
      </c>
      <c r="E56" s="772">
        <v>280</v>
      </c>
      <c r="F56" s="772">
        <v>1059</v>
      </c>
      <c r="G56" s="772"/>
      <c r="H56" s="772">
        <v>566</v>
      </c>
      <c r="I56" s="772">
        <v>8</v>
      </c>
      <c r="J56" s="778" t="e">
        <f t="shared" ca="1" si="4"/>
        <v>#REF!</v>
      </c>
      <c r="K56" s="773">
        <f t="shared" si="5"/>
        <v>297</v>
      </c>
      <c r="S56" s="3"/>
    </row>
    <row r="57" spans="1:19" s="3" customFormat="1" ht="15.95" customHeight="1">
      <c r="A57" s="79">
        <f t="shared" si="3"/>
        <v>54</v>
      </c>
      <c r="B57" s="1335" t="s">
        <v>1355</v>
      </c>
      <c r="C57" s="772">
        <v>48</v>
      </c>
      <c r="D57" s="772">
        <v>3600</v>
      </c>
      <c r="E57" s="772">
        <v>35</v>
      </c>
      <c r="F57" s="772">
        <v>3.7</v>
      </c>
      <c r="G57" s="4"/>
      <c r="H57" s="772">
        <v>99</v>
      </c>
      <c r="I57" s="772">
        <v>100</v>
      </c>
      <c r="J57" s="778" t="e">
        <f t="shared" ca="1" si="4"/>
        <v>#REF!</v>
      </c>
      <c r="K57" s="773">
        <f t="shared" si="5"/>
        <v>109.5</v>
      </c>
      <c r="S57" s="453"/>
    </row>
    <row r="58" spans="1:19">
      <c r="A58" s="79">
        <f t="shared" si="3"/>
        <v>55</v>
      </c>
      <c r="B58" s="1335" t="s">
        <v>1356</v>
      </c>
      <c r="C58" s="772">
        <v>136</v>
      </c>
      <c r="D58" s="772">
        <v>3600</v>
      </c>
      <c r="E58" s="772">
        <v>43</v>
      </c>
      <c r="F58" s="772">
        <v>5</v>
      </c>
      <c r="G58" s="772"/>
      <c r="H58" s="772">
        <v>99</v>
      </c>
      <c r="I58" s="772">
        <v>100</v>
      </c>
      <c r="J58" s="778" t="e">
        <f t="shared" ca="1" si="4"/>
        <v>#REF!</v>
      </c>
      <c r="K58" s="773">
        <f t="shared" si="5"/>
        <v>109.5</v>
      </c>
    </row>
    <row r="59" spans="1:19">
      <c r="A59" s="79">
        <f t="shared" si="3"/>
        <v>56</v>
      </c>
      <c r="B59" s="1335" t="s">
        <v>1357</v>
      </c>
      <c r="C59" s="772">
        <v>226</v>
      </c>
      <c r="D59" s="772">
        <v>3600</v>
      </c>
      <c r="E59" s="772">
        <v>56</v>
      </c>
      <c r="F59" s="772">
        <v>8.1999999999999993</v>
      </c>
      <c r="G59" s="772"/>
      <c r="H59" s="772">
        <v>105</v>
      </c>
      <c r="I59" s="772">
        <v>100</v>
      </c>
      <c r="J59" s="778" t="e">
        <f t="shared" ca="1" si="4"/>
        <v>#REF!</v>
      </c>
      <c r="K59" s="773">
        <f t="shared" si="5"/>
        <v>112.5</v>
      </c>
    </row>
    <row r="60" spans="1:19">
      <c r="A60" s="79">
        <f t="shared" si="3"/>
        <v>57</v>
      </c>
      <c r="B60" s="1335" t="s">
        <v>1358</v>
      </c>
      <c r="C60" s="772">
        <v>396</v>
      </c>
      <c r="D60" s="772">
        <v>3600</v>
      </c>
      <c r="E60" s="772">
        <v>67</v>
      </c>
      <c r="F60" s="772">
        <v>12</v>
      </c>
      <c r="G60" s="772"/>
      <c r="H60" s="772">
        <v>124</v>
      </c>
      <c r="I60" s="772">
        <v>100</v>
      </c>
      <c r="J60" s="778" t="e">
        <f t="shared" ca="1" si="4"/>
        <v>#REF!</v>
      </c>
      <c r="K60" s="773">
        <f t="shared" si="5"/>
        <v>122</v>
      </c>
    </row>
    <row r="61" spans="1:19">
      <c r="A61" s="79">
        <f t="shared" si="3"/>
        <v>58</v>
      </c>
      <c r="B61" s="1335" t="s">
        <v>1359</v>
      </c>
      <c r="C61" s="772">
        <v>622</v>
      </c>
      <c r="D61" s="772">
        <v>3600</v>
      </c>
      <c r="E61" s="772">
        <v>80</v>
      </c>
      <c r="F61" s="772">
        <v>19</v>
      </c>
      <c r="G61" s="772"/>
      <c r="H61" s="772">
        <v>130</v>
      </c>
      <c r="I61" s="772">
        <v>100</v>
      </c>
      <c r="J61" s="778" t="e">
        <f t="shared" ca="1" si="4"/>
        <v>#REF!</v>
      </c>
      <c r="K61" s="773">
        <f t="shared" si="5"/>
        <v>125</v>
      </c>
    </row>
    <row r="62" spans="1:19">
      <c r="A62" s="79">
        <f t="shared" si="3"/>
        <v>59</v>
      </c>
      <c r="B62" s="1335" t="s">
        <v>1360</v>
      </c>
      <c r="C62" s="772">
        <v>904</v>
      </c>
      <c r="D62" s="772">
        <v>3600</v>
      </c>
      <c r="E62" s="772">
        <v>85</v>
      </c>
      <c r="F62" s="772">
        <v>24</v>
      </c>
      <c r="G62" s="772"/>
      <c r="H62" s="772">
        <v>156</v>
      </c>
      <c r="I62" s="772">
        <v>100</v>
      </c>
      <c r="J62" s="778" t="e">
        <f t="shared" ca="1" si="4"/>
        <v>#REF!</v>
      </c>
      <c r="K62" s="773">
        <f t="shared" si="5"/>
        <v>138</v>
      </c>
    </row>
    <row r="63" spans="1:19">
      <c r="A63" s="79">
        <f t="shared" si="3"/>
        <v>60</v>
      </c>
      <c r="B63" s="1335" t="s">
        <v>1361</v>
      </c>
      <c r="C63" s="772">
        <v>1685</v>
      </c>
      <c r="D63" s="772">
        <v>3600</v>
      </c>
      <c r="E63" s="772">
        <v>95</v>
      </c>
      <c r="F63" s="772">
        <v>38</v>
      </c>
      <c r="G63" s="772"/>
      <c r="H63" s="772">
        <v>181</v>
      </c>
      <c r="I63" s="772">
        <v>100</v>
      </c>
      <c r="J63" s="778" t="e">
        <f t="shared" ca="1" si="4"/>
        <v>#REF!</v>
      </c>
      <c r="K63" s="773">
        <f t="shared" si="5"/>
        <v>150.5</v>
      </c>
    </row>
    <row r="64" spans="1:19">
      <c r="A64" s="79">
        <f t="shared" si="3"/>
        <v>61</v>
      </c>
      <c r="B64" s="1335" t="s">
        <v>1362</v>
      </c>
      <c r="C64" s="772">
        <v>3390</v>
      </c>
      <c r="D64" s="772">
        <v>3600</v>
      </c>
      <c r="E64" s="772">
        <v>110</v>
      </c>
      <c r="F64" s="772">
        <v>59</v>
      </c>
      <c r="G64" s="772"/>
      <c r="H64" s="772">
        <v>200</v>
      </c>
      <c r="I64" s="772">
        <v>100</v>
      </c>
      <c r="J64" s="778" t="e">
        <f t="shared" ca="1" si="4"/>
        <v>#REF!</v>
      </c>
      <c r="K64" s="773">
        <f t="shared" si="5"/>
        <v>160</v>
      </c>
    </row>
    <row r="65" spans="1:19">
      <c r="A65" s="79">
        <f t="shared" si="3"/>
        <v>62</v>
      </c>
      <c r="B65" s="1335" t="s">
        <v>1363</v>
      </c>
      <c r="C65" s="772">
        <v>6277</v>
      </c>
      <c r="D65" s="772">
        <v>2440</v>
      </c>
      <c r="E65" s="772">
        <v>130</v>
      </c>
      <c r="F65" s="772">
        <v>90</v>
      </c>
      <c r="G65" s="772"/>
      <c r="H65" s="772">
        <v>246</v>
      </c>
      <c r="I65" s="772">
        <v>100</v>
      </c>
      <c r="J65" s="778" t="e">
        <f t="shared" ca="1" si="4"/>
        <v>#REF!</v>
      </c>
      <c r="K65" s="773">
        <f t="shared" si="5"/>
        <v>183</v>
      </c>
    </row>
    <row r="66" spans="1:19">
      <c r="A66" s="79">
        <f t="shared" si="3"/>
        <v>63</v>
      </c>
      <c r="B66" s="1335" t="s">
        <v>1364</v>
      </c>
      <c r="C66" s="772">
        <v>9323</v>
      </c>
      <c r="D66" s="772">
        <v>2250</v>
      </c>
      <c r="E66" s="772">
        <v>150</v>
      </c>
      <c r="F66" s="772">
        <v>119</v>
      </c>
      <c r="G66" s="772"/>
      <c r="H66" s="772">
        <v>259</v>
      </c>
      <c r="I66" s="772">
        <v>100</v>
      </c>
      <c r="J66" s="778" t="e">
        <f t="shared" ca="1" si="4"/>
        <v>#REF!</v>
      </c>
      <c r="K66" s="773">
        <f t="shared" si="5"/>
        <v>189.5</v>
      </c>
    </row>
    <row r="67" spans="1:19">
      <c r="A67" s="79">
        <f t="shared" si="3"/>
        <v>64</v>
      </c>
      <c r="B67" s="1335" t="s">
        <v>1365</v>
      </c>
      <c r="C67" s="772">
        <v>13673</v>
      </c>
      <c r="D67" s="772">
        <v>2025</v>
      </c>
      <c r="E67" s="772">
        <v>170</v>
      </c>
      <c r="F67" s="772">
        <v>178</v>
      </c>
      <c r="G67" s="772"/>
      <c r="H67" s="772">
        <v>305</v>
      </c>
      <c r="I67" s="772">
        <v>100</v>
      </c>
      <c r="J67" s="778" t="e">
        <f t="shared" ca="1" si="4"/>
        <v>#REF!</v>
      </c>
      <c r="K67" s="773">
        <f t="shared" si="5"/>
        <v>212.5</v>
      </c>
    </row>
    <row r="68" spans="1:19">
      <c r="A68" s="79">
        <f t="shared" si="3"/>
        <v>65</v>
      </c>
      <c r="B68" s="1335" t="s">
        <v>1366</v>
      </c>
      <c r="C68" s="772">
        <v>19888</v>
      </c>
      <c r="D68" s="772">
        <v>1800</v>
      </c>
      <c r="E68" s="772">
        <v>190</v>
      </c>
      <c r="F68" s="772">
        <v>237</v>
      </c>
      <c r="G68" s="772"/>
      <c r="H68" s="772">
        <v>330</v>
      </c>
      <c r="I68" s="772">
        <v>100</v>
      </c>
      <c r="J68" s="778" t="e">
        <f t="shared" ref="J68:J99" ca="1" si="6">IF(OR($C68&lt;TMO0/1000,$D68&lt;Fan_Max_rpm,AD=0,SD=0,$E68&lt;SD),0,"OK")</f>
        <v>#REF!</v>
      </c>
      <c r="K68" s="773">
        <f t="shared" ref="K68:K99" si="7">(H68+I68)/2+C_slack</f>
        <v>225</v>
      </c>
    </row>
    <row r="69" spans="1:19">
      <c r="A69" s="79">
        <f t="shared" ref="A69:A104" si="8">A68+1</f>
        <v>66</v>
      </c>
      <c r="B69" s="1335" t="s">
        <v>1367</v>
      </c>
      <c r="C69" s="772">
        <v>28589</v>
      </c>
      <c r="D69" s="772">
        <v>1650</v>
      </c>
      <c r="E69" s="772">
        <v>210</v>
      </c>
      <c r="F69" s="772">
        <v>327</v>
      </c>
      <c r="G69" s="772"/>
      <c r="H69" s="772">
        <v>375</v>
      </c>
      <c r="I69" s="772">
        <v>100</v>
      </c>
      <c r="J69" s="778" t="e">
        <f t="shared" ca="1" si="6"/>
        <v>#REF!</v>
      </c>
      <c r="K69" s="773">
        <f t="shared" si="7"/>
        <v>247.5</v>
      </c>
    </row>
    <row r="70" spans="1:19">
      <c r="A70" s="79">
        <f t="shared" si="8"/>
        <v>67</v>
      </c>
      <c r="B70" s="1335" t="s">
        <v>1368</v>
      </c>
      <c r="C70" s="772">
        <v>39776</v>
      </c>
      <c r="D70" s="772">
        <v>1500</v>
      </c>
      <c r="E70" s="772">
        <v>270</v>
      </c>
      <c r="F70" s="772">
        <v>462</v>
      </c>
      <c r="G70" s="772"/>
      <c r="H70" s="772">
        <v>373</v>
      </c>
      <c r="I70" s="772">
        <v>100</v>
      </c>
      <c r="J70" s="778" t="e">
        <f t="shared" ca="1" si="6"/>
        <v>#REF!</v>
      </c>
      <c r="K70" s="773">
        <f t="shared" si="7"/>
        <v>246.5</v>
      </c>
    </row>
    <row r="71" spans="1:19">
      <c r="A71" s="79">
        <f t="shared" si="8"/>
        <v>68</v>
      </c>
      <c r="B71" s="1335" t="s">
        <v>1369</v>
      </c>
      <c r="C71" s="772">
        <v>55935</v>
      </c>
      <c r="D71" s="772">
        <v>1350</v>
      </c>
      <c r="E71" s="772">
        <v>290</v>
      </c>
      <c r="F71" s="772">
        <v>566</v>
      </c>
      <c r="G71" s="772"/>
      <c r="H71" s="772">
        <v>404</v>
      </c>
      <c r="I71" s="772">
        <v>100</v>
      </c>
      <c r="J71" s="778" t="e">
        <f t="shared" ca="1" si="6"/>
        <v>#REF!</v>
      </c>
      <c r="K71" s="773">
        <f t="shared" si="7"/>
        <v>262</v>
      </c>
    </row>
    <row r="72" spans="1:19">
      <c r="A72" s="79">
        <f t="shared" si="8"/>
        <v>69</v>
      </c>
      <c r="B72" s="1335" t="s">
        <v>1370</v>
      </c>
      <c r="C72" s="772">
        <v>74580</v>
      </c>
      <c r="D72" s="772">
        <v>1225</v>
      </c>
      <c r="E72" s="772">
        <v>340</v>
      </c>
      <c r="F72" s="772">
        <v>856</v>
      </c>
      <c r="G72" s="772"/>
      <c r="H72" s="772">
        <v>439</v>
      </c>
      <c r="I72" s="772">
        <v>100</v>
      </c>
      <c r="J72" s="778" t="e">
        <f t="shared" ca="1" si="6"/>
        <v>#REF!</v>
      </c>
      <c r="K72" s="773">
        <f t="shared" si="7"/>
        <v>279.5</v>
      </c>
    </row>
    <row r="73" spans="1:19">
      <c r="A73" s="79">
        <f t="shared" si="8"/>
        <v>70</v>
      </c>
      <c r="B73" s="1335" t="s">
        <v>1371</v>
      </c>
      <c r="C73" s="772">
        <v>103395</v>
      </c>
      <c r="D73" s="772">
        <v>1100</v>
      </c>
      <c r="E73" s="772">
        <v>340</v>
      </c>
      <c r="F73" s="772">
        <v>1135</v>
      </c>
      <c r="G73" s="772"/>
      <c r="H73" s="772">
        <v>485</v>
      </c>
      <c r="I73" s="772">
        <v>100</v>
      </c>
      <c r="J73" s="778" t="e">
        <f t="shared" ca="1" si="6"/>
        <v>#REF!</v>
      </c>
      <c r="K73" s="773">
        <f t="shared" si="7"/>
        <v>302.5</v>
      </c>
    </row>
    <row r="74" spans="1:19">
      <c r="A74" s="79">
        <f t="shared" si="8"/>
        <v>71</v>
      </c>
      <c r="B74" s="1335" t="s">
        <v>1372</v>
      </c>
      <c r="C74" s="772">
        <v>136730</v>
      </c>
      <c r="D74" s="772">
        <v>1050</v>
      </c>
      <c r="E74" s="772">
        <v>380</v>
      </c>
      <c r="F74" s="772">
        <v>1525</v>
      </c>
      <c r="G74" s="772"/>
      <c r="H74" s="772">
        <v>526</v>
      </c>
      <c r="I74" s="772">
        <v>100</v>
      </c>
      <c r="J74" s="778" t="e">
        <f t="shared" ca="1" si="6"/>
        <v>#REF!</v>
      </c>
      <c r="K74" s="773">
        <f t="shared" si="7"/>
        <v>323</v>
      </c>
    </row>
    <row r="75" spans="1:19">
      <c r="A75" s="79">
        <f t="shared" si="8"/>
        <v>72</v>
      </c>
      <c r="B75" s="1335" t="s">
        <v>1373</v>
      </c>
      <c r="C75" s="772">
        <v>186450</v>
      </c>
      <c r="D75" s="772">
        <v>900</v>
      </c>
      <c r="E75" s="772">
        <v>400</v>
      </c>
      <c r="F75" s="772">
        <v>1910</v>
      </c>
      <c r="G75" s="772"/>
      <c r="H75" s="772">
        <v>566</v>
      </c>
      <c r="I75" s="772">
        <v>100</v>
      </c>
      <c r="J75" s="778" t="e">
        <f t="shared" ca="1" si="6"/>
        <v>#REF!</v>
      </c>
      <c r="K75" s="773">
        <f t="shared" si="7"/>
        <v>343</v>
      </c>
      <c r="M75" s="3"/>
      <c r="N75" s="3"/>
      <c r="O75" s="3"/>
      <c r="P75" s="3"/>
      <c r="Q75" s="3"/>
      <c r="R75" s="3"/>
      <c r="S75" s="3"/>
    </row>
    <row r="76" spans="1:19" s="3" customFormat="1" ht="15.95" customHeight="1">
      <c r="A76" s="79">
        <f t="shared" si="8"/>
        <v>73</v>
      </c>
      <c r="B76" s="1335" t="s">
        <v>1374</v>
      </c>
      <c r="C76" s="772">
        <v>40</v>
      </c>
      <c r="D76" s="772">
        <v>29000</v>
      </c>
      <c r="E76" s="772">
        <v>22</v>
      </c>
      <c r="F76" s="772">
        <v>0.5</v>
      </c>
      <c r="G76" s="4"/>
      <c r="H76" s="772">
        <v>99</v>
      </c>
      <c r="I76" s="772">
        <v>50</v>
      </c>
      <c r="J76" s="778" t="e">
        <f t="shared" ca="1" si="6"/>
        <v>#REF!</v>
      </c>
      <c r="K76" s="773">
        <f t="shared" si="7"/>
        <v>84.5</v>
      </c>
      <c r="M76" s="1024" t="s">
        <v>1374</v>
      </c>
      <c r="N76" s="1024">
        <v>40</v>
      </c>
      <c r="O76" s="1024">
        <v>29000</v>
      </c>
      <c r="P76" s="1024">
        <v>22</v>
      </c>
      <c r="Q76" s="1025">
        <v>0.5</v>
      </c>
      <c r="R76" s="1031">
        <v>800.1</v>
      </c>
      <c r="S76" s="453"/>
    </row>
    <row r="77" spans="1:19">
      <c r="A77" s="79">
        <f>A76+1</f>
        <v>74</v>
      </c>
      <c r="B77" s="1335" t="s">
        <v>1375</v>
      </c>
      <c r="C77" s="772">
        <v>100</v>
      </c>
      <c r="D77" s="772">
        <v>24600</v>
      </c>
      <c r="E77" s="772">
        <v>25</v>
      </c>
      <c r="F77" s="772">
        <v>0.9</v>
      </c>
      <c r="G77" s="772"/>
      <c r="H77" s="772">
        <v>99</v>
      </c>
      <c r="I77" s="772">
        <v>50</v>
      </c>
      <c r="J77" s="778" t="e">
        <f t="shared" ca="1" si="6"/>
        <v>#REF!</v>
      </c>
      <c r="K77" s="773">
        <f t="shared" si="7"/>
        <v>84.5</v>
      </c>
      <c r="M77" s="1021" t="s">
        <v>1375</v>
      </c>
      <c r="N77" s="1021">
        <v>100</v>
      </c>
      <c r="O77" s="1021">
        <v>24600</v>
      </c>
      <c r="P77" s="1021">
        <v>25</v>
      </c>
      <c r="Q77" s="1022">
        <v>0.9</v>
      </c>
      <c r="R77" s="1032">
        <v>860.1</v>
      </c>
    </row>
    <row r="78" spans="1:19">
      <c r="A78" s="79">
        <f t="shared" si="8"/>
        <v>75</v>
      </c>
      <c r="B78" s="1335" t="s">
        <v>1376</v>
      </c>
      <c r="C78" s="772">
        <v>200</v>
      </c>
      <c r="D78" s="772">
        <v>20000</v>
      </c>
      <c r="E78" s="772">
        <v>30</v>
      </c>
      <c r="F78" s="772">
        <v>1.4</v>
      </c>
      <c r="G78" s="772"/>
      <c r="H78" s="772">
        <v>105</v>
      </c>
      <c r="I78" s="772">
        <v>80</v>
      </c>
      <c r="J78" s="778" t="e">
        <f t="shared" ca="1" si="6"/>
        <v>#REF!</v>
      </c>
      <c r="K78" s="773">
        <f t="shared" si="7"/>
        <v>102.5</v>
      </c>
      <c r="M78" s="1024" t="s">
        <v>1376</v>
      </c>
      <c r="N78" s="1024">
        <v>200</v>
      </c>
      <c r="O78" s="1024">
        <v>20000</v>
      </c>
      <c r="P78" s="1024">
        <v>30</v>
      </c>
      <c r="Q78" s="1025">
        <v>1.4</v>
      </c>
      <c r="R78" s="1031">
        <v>920.1</v>
      </c>
    </row>
    <row r="79" spans="1:19">
      <c r="A79" s="79">
        <f t="shared" si="8"/>
        <v>76</v>
      </c>
      <c r="B79" s="1335" t="s">
        <v>1377</v>
      </c>
      <c r="C79" s="772">
        <v>400</v>
      </c>
      <c r="D79" s="772">
        <v>16800</v>
      </c>
      <c r="E79" s="772">
        <v>38</v>
      </c>
      <c r="F79" s="772">
        <v>2.7</v>
      </c>
      <c r="G79" s="772"/>
      <c r="H79" s="772">
        <v>124</v>
      </c>
      <c r="I79" s="772">
        <v>80</v>
      </c>
      <c r="J79" s="778" t="e">
        <f t="shared" ca="1" si="6"/>
        <v>#REF!</v>
      </c>
      <c r="K79" s="773">
        <f t="shared" si="7"/>
        <v>112</v>
      </c>
      <c r="M79" s="1021" t="s">
        <v>1377</v>
      </c>
      <c r="N79" s="1021">
        <v>400</v>
      </c>
      <c r="O79" s="1021">
        <v>16800</v>
      </c>
      <c r="P79" s="1021">
        <v>38</v>
      </c>
      <c r="Q79" s="1022">
        <v>2.7</v>
      </c>
      <c r="R79" s="1032">
        <v>1000.1</v>
      </c>
    </row>
    <row r="80" spans="1:19">
      <c r="A80" s="79">
        <f t="shared" si="8"/>
        <v>77</v>
      </c>
      <c r="B80" s="1335" t="s">
        <v>1378</v>
      </c>
      <c r="C80" s="772">
        <v>630</v>
      </c>
      <c r="D80" s="772">
        <v>14500</v>
      </c>
      <c r="E80" s="772">
        <v>50</v>
      </c>
      <c r="F80" s="772">
        <v>4.4000000000000004</v>
      </c>
      <c r="G80" s="772"/>
      <c r="H80" s="772">
        <v>130</v>
      </c>
      <c r="I80" s="772">
        <v>80</v>
      </c>
      <c r="J80" s="778" t="e">
        <f t="shared" ca="1" si="6"/>
        <v>#REF!</v>
      </c>
      <c r="K80" s="773">
        <f t="shared" si="7"/>
        <v>115</v>
      </c>
      <c r="M80" s="1024" t="s">
        <v>1378</v>
      </c>
      <c r="N80" s="1024">
        <v>630</v>
      </c>
      <c r="O80" s="1024">
        <v>14500</v>
      </c>
      <c r="P80" s="1024">
        <v>50</v>
      </c>
      <c r="Q80" s="1025">
        <v>4.4000000000000004</v>
      </c>
      <c r="R80" s="1031">
        <v>1200</v>
      </c>
    </row>
    <row r="81" spans="1:18">
      <c r="A81" s="79">
        <f t="shared" si="8"/>
        <v>78</v>
      </c>
      <c r="B81" s="1335" t="s">
        <v>1379</v>
      </c>
      <c r="C81" s="772">
        <v>1400</v>
      </c>
      <c r="D81" s="772">
        <v>11800</v>
      </c>
      <c r="E81" s="772">
        <v>65</v>
      </c>
      <c r="F81" s="772">
        <v>7</v>
      </c>
      <c r="G81" s="772"/>
      <c r="H81" s="772">
        <v>156</v>
      </c>
      <c r="I81" s="772">
        <v>100</v>
      </c>
      <c r="J81" s="778" t="e">
        <f t="shared" ca="1" si="6"/>
        <v>#REF!</v>
      </c>
      <c r="K81" s="773">
        <f t="shared" si="7"/>
        <v>138</v>
      </c>
      <c r="M81" s="1021" t="s">
        <v>1379</v>
      </c>
      <c r="N81" s="1021">
        <v>1400</v>
      </c>
      <c r="O81" s="1021">
        <v>11800</v>
      </c>
      <c r="P81" s="1021">
        <v>65</v>
      </c>
      <c r="Q81" s="1022">
        <v>7</v>
      </c>
      <c r="R81" s="1032">
        <v>1500</v>
      </c>
    </row>
    <row r="82" spans="1:18">
      <c r="A82" s="79">
        <f t="shared" si="8"/>
        <v>79</v>
      </c>
      <c r="B82" s="1335" t="s">
        <v>1380</v>
      </c>
      <c r="C82" s="772">
        <v>2000</v>
      </c>
      <c r="D82" s="772">
        <v>10300</v>
      </c>
      <c r="E82" s="772">
        <v>75</v>
      </c>
      <c r="F82" s="772">
        <v>10.3</v>
      </c>
      <c r="G82" s="772"/>
      <c r="H82" s="772">
        <v>181</v>
      </c>
      <c r="I82" s="772">
        <v>100</v>
      </c>
      <c r="J82" s="778" t="e">
        <f t="shared" ca="1" si="6"/>
        <v>#REF!</v>
      </c>
      <c r="K82" s="773">
        <f t="shared" si="7"/>
        <v>150.5</v>
      </c>
      <c r="M82" s="1024" t="s">
        <v>1380</v>
      </c>
      <c r="N82" s="1024">
        <v>2000</v>
      </c>
      <c r="O82" s="1024">
        <v>10300</v>
      </c>
      <c r="P82" s="1024">
        <v>75</v>
      </c>
      <c r="Q82" s="1025">
        <v>10.3</v>
      </c>
      <c r="R82" s="1031">
        <v>1850</v>
      </c>
    </row>
    <row r="83" spans="1:18">
      <c r="A83" s="79">
        <f t="shared" si="8"/>
        <v>80</v>
      </c>
      <c r="B83" s="1335" t="s">
        <v>1381</v>
      </c>
      <c r="C83" s="772">
        <v>3550</v>
      </c>
      <c r="D83" s="772">
        <v>8880</v>
      </c>
      <c r="E83" s="772">
        <v>85</v>
      </c>
      <c r="F83" s="772">
        <v>16.5</v>
      </c>
      <c r="G83" s="772"/>
      <c r="H83" s="772">
        <v>200</v>
      </c>
      <c r="I83" s="772">
        <v>140</v>
      </c>
      <c r="J83" s="778" t="e">
        <f t="shared" ca="1" si="6"/>
        <v>#REF!</v>
      </c>
      <c r="K83" s="773">
        <f t="shared" si="7"/>
        <v>180</v>
      </c>
      <c r="M83" s="1021" t="s">
        <v>1381</v>
      </c>
      <c r="N83" s="1021">
        <v>3550</v>
      </c>
      <c r="O83" s="1021">
        <v>8880</v>
      </c>
      <c r="P83" s="1021">
        <v>85</v>
      </c>
      <c r="Q83" s="1022">
        <v>16.5</v>
      </c>
      <c r="R83" s="1032">
        <v>2250</v>
      </c>
    </row>
    <row r="84" spans="1:18">
      <c r="A84" s="79">
        <f t="shared" si="8"/>
        <v>81</v>
      </c>
      <c r="B84" s="1335" t="s">
        <v>1382</v>
      </c>
      <c r="C84" s="772">
        <v>4500</v>
      </c>
      <c r="D84" s="772">
        <v>7800</v>
      </c>
      <c r="E84" s="772">
        <v>100</v>
      </c>
      <c r="F84" s="772">
        <v>23</v>
      </c>
      <c r="G84" s="772"/>
      <c r="H84" s="772">
        <v>246</v>
      </c>
      <c r="I84" s="772">
        <v>140</v>
      </c>
      <c r="J84" s="778" t="e">
        <f t="shared" ca="1" si="6"/>
        <v>#REF!</v>
      </c>
      <c r="K84" s="773">
        <f t="shared" si="7"/>
        <v>203</v>
      </c>
      <c r="M84" s="1024" t="s">
        <v>1382</v>
      </c>
      <c r="N84" s="1024">
        <v>4500</v>
      </c>
      <c r="O84" s="1024">
        <v>7800</v>
      </c>
      <c r="P84" s="1024">
        <v>100</v>
      </c>
      <c r="Q84" s="1025">
        <v>23</v>
      </c>
      <c r="R84" s="1031">
        <v>3200</v>
      </c>
    </row>
    <row r="85" spans="1:18">
      <c r="A85" s="79">
        <f t="shared" si="8"/>
        <v>82</v>
      </c>
      <c r="B85" s="1335" t="s">
        <v>1383</v>
      </c>
      <c r="C85" s="772">
        <v>5000</v>
      </c>
      <c r="D85" s="772">
        <v>6800</v>
      </c>
      <c r="E85" s="772">
        <v>120</v>
      </c>
      <c r="F85" s="772">
        <v>34.5</v>
      </c>
      <c r="G85" s="772"/>
      <c r="H85" s="772">
        <v>259</v>
      </c>
      <c r="I85" s="772">
        <v>140</v>
      </c>
      <c r="J85" s="778" t="e">
        <f t="shared" ca="1" si="6"/>
        <v>#REF!</v>
      </c>
      <c r="K85" s="773">
        <f t="shared" si="7"/>
        <v>209.5</v>
      </c>
      <c r="M85" s="1021" t="s">
        <v>1383</v>
      </c>
      <c r="N85" s="1021">
        <v>5000</v>
      </c>
      <c r="O85" s="1021">
        <v>6800</v>
      </c>
      <c r="P85" s="1021">
        <v>120</v>
      </c>
      <c r="Q85" s="1022">
        <v>34.5</v>
      </c>
      <c r="R85" s="1032">
        <v>4100</v>
      </c>
    </row>
    <row r="86" spans="1:18">
      <c r="A86" s="79">
        <f t="shared" si="8"/>
        <v>83</v>
      </c>
      <c r="B86" s="1335" t="s">
        <v>1384</v>
      </c>
      <c r="C86" s="772">
        <v>8000</v>
      </c>
      <c r="D86" s="772">
        <v>6700</v>
      </c>
      <c r="E86" s="772">
        <v>120</v>
      </c>
      <c r="F86" s="772">
        <v>34.5</v>
      </c>
      <c r="G86" s="772"/>
      <c r="H86" s="772">
        <v>305</v>
      </c>
      <c r="I86" s="772">
        <v>140</v>
      </c>
      <c r="J86" s="778" t="e">
        <f t="shared" ca="1" si="6"/>
        <v>#REF!</v>
      </c>
      <c r="K86" s="773">
        <f t="shared" si="7"/>
        <v>232.5</v>
      </c>
      <c r="M86" s="1024" t="s">
        <v>1384</v>
      </c>
      <c r="N86" s="1024">
        <v>8000</v>
      </c>
      <c r="O86" s="1024">
        <v>6700</v>
      </c>
      <c r="P86" s="1024">
        <v>120</v>
      </c>
      <c r="Q86" s="1025">
        <v>34.5</v>
      </c>
      <c r="R86" s="1031">
        <v>6200</v>
      </c>
    </row>
    <row r="87" spans="1:18">
      <c r="A87" s="79">
        <f t="shared" si="8"/>
        <v>84</v>
      </c>
      <c r="B87" s="1335" t="s">
        <v>1385</v>
      </c>
      <c r="C87" s="772">
        <v>12500</v>
      </c>
      <c r="D87" s="772">
        <v>6200</v>
      </c>
      <c r="E87" s="772">
        <v>130</v>
      </c>
      <c r="F87" s="772">
        <v>48</v>
      </c>
      <c r="G87" s="772"/>
      <c r="H87" s="772">
        <v>330</v>
      </c>
      <c r="I87" s="772">
        <v>180</v>
      </c>
      <c r="J87" s="778" t="e">
        <f t="shared" ca="1" si="6"/>
        <v>#REF!</v>
      </c>
      <c r="K87" s="773">
        <f t="shared" si="7"/>
        <v>265</v>
      </c>
      <c r="M87" s="1021" t="s">
        <v>1385</v>
      </c>
      <c r="N87" s="1021">
        <v>12500</v>
      </c>
      <c r="O87" s="1021">
        <v>6200</v>
      </c>
      <c r="P87" s="1021">
        <v>130</v>
      </c>
      <c r="Q87" s="1022">
        <v>48</v>
      </c>
      <c r="R87" s="1032">
        <v>7000</v>
      </c>
    </row>
    <row r="88" spans="1:18">
      <c r="A88" s="79">
        <f t="shared" si="8"/>
        <v>85</v>
      </c>
      <c r="B88" s="1335" t="s">
        <v>1386</v>
      </c>
      <c r="C88" s="772">
        <v>20000</v>
      </c>
      <c r="D88" s="772">
        <v>5580</v>
      </c>
      <c r="E88" s="772">
        <v>145</v>
      </c>
      <c r="F88" s="772">
        <v>59.2</v>
      </c>
      <c r="G88" s="772"/>
      <c r="H88" s="772">
        <v>375</v>
      </c>
      <c r="I88" s="772">
        <v>200</v>
      </c>
      <c r="J88" s="778" t="e">
        <f t="shared" ca="1" si="6"/>
        <v>#REF!</v>
      </c>
      <c r="K88" s="773">
        <f t="shared" si="7"/>
        <v>297.5</v>
      </c>
      <c r="M88" s="1024" t="s">
        <v>1386</v>
      </c>
      <c r="N88" s="1024">
        <v>20000</v>
      </c>
      <c r="O88" s="1024">
        <v>5580</v>
      </c>
      <c r="P88" s="1024">
        <v>145</v>
      </c>
      <c r="Q88" s="1025">
        <v>59.2</v>
      </c>
      <c r="R88" s="1031">
        <v>9000</v>
      </c>
    </row>
    <row r="89" spans="1:18">
      <c r="A89" s="79">
        <f t="shared" si="8"/>
        <v>86</v>
      </c>
      <c r="B89" s="1335" t="s">
        <v>1387</v>
      </c>
      <c r="C89" s="772">
        <v>25000</v>
      </c>
      <c r="D89" s="772">
        <v>5180</v>
      </c>
      <c r="E89" s="772">
        <v>155</v>
      </c>
      <c r="F89" s="772">
        <v>76.2</v>
      </c>
      <c r="G89" s="772"/>
      <c r="H89" s="772">
        <v>373</v>
      </c>
      <c r="I89" s="772">
        <v>200</v>
      </c>
      <c r="J89" s="778" t="e">
        <f t="shared" ca="1" si="6"/>
        <v>#REF!</v>
      </c>
      <c r="K89" s="773">
        <f t="shared" si="7"/>
        <v>296.5</v>
      </c>
      <c r="M89" s="1021" t="s">
        <v>1387</v>
      </c>
      <c r="N89" s="1021">
        <v>25000</v>
      </c>
      <c r="O89" s="1021">
        <v>5180</v>
      </c>
      <c r="P89" s="1021">
        <v>155</v>
      </c>
      <c r="Q89" s="1022">
        <v>76.2</v>
      </c>
      <c r="R89" s="1032">
        <v>10500</v>
      </c>
    </row>
    <row r="90" spans="1:18">
      <c r="A90" s="79">
        <f t="shared" si="8"/>
        <v>87</v>
      </c>
      <c r="B90" s="1335" t="s">
        <v>1388</v>
      </c>
      <c r="C90" s="772">
        <v>31500</v>
      </c>
      <c r="D90" s="772">
        <v>4680</v>
      </c>
      <c r="E90" s="772">
        <v>170</v>
      </c>
      <c r="F90" s="772">
        <v>107.3</v>
      </c>
      <c r="G90" s="772"/>
      <c r="H90" s="772">
        <v>404</v>
      </c>
      <c r="I90" s="772">
        <v>250</v>
      </c>
      <c r="J90" s="778" t="e">
        <f t="shared" ca="1" si="6"/>
        <v>#REF!</v>
      </c>
      <c r="K90" s="773">
        <f t="shared" si="7"/>
        <v>337</v>
      </c>
      <c r="M90" s="1024" t="s">
        <v>1388</v>
      </c>
      <c r="N90" s="1024">
        <v>31500</v>
      </c>
      <c r="O90" s="1024">
        <v>4680</v>
      </c>
      <c r="P90" s="1024">
        <v>170</v>
      </c>
      <c r="Q90" s="1025">
        <v>107.3</v>
      </c>
      <c r="R90" s="1031">
        <v>12500</v>
      </c>
    </row>
    <row r="91" spans="1:18">
      <c r="A91" s="79">
        <f t="shared" si="8"/>
        <v>88</v>
      </c>
      <c r="B91" s="1335" t="s">
        <v>1389</v>
      </c>
      <c r="C91" s="772">
        <v>40000</v>
      </c>
      <c r="D91" s="772">
        <v>4180</v>
      </c>
      <c r="E91" s="772">
        <v>190</v>
      </c>
      <c r="F91" s="772">
        <v>147.19999999999999</v>
      </c>
      <c r="G91" s="772"/>
      <c r="H91" s="772">
        <v>439</v>
      </c>
      <c r="I91" s="772">
        <v>250</v>
      </c>
      <c r="J91" s="778" t="e">
        <f t="shared" ca="1" si="6"/>
        <v>#REF!</v>
      </c>
      <c r="K91" s="773">
        <f t="shared" si="7"/>
        <v>354.5</v>
      </c>
      <c r="M91" s="1021" t="s">
        <v>1389</v>
      </c>
      <c r="N91" s="1021">
        <v>40000</v>
      </c>
      <c r="O91" s="1021">
        <v>4180</v>
      </c>
      <c r="P91" s="1021">
        <v>190</v>
      </c>
      <c r="Q91" s="1022">
        <v>147.19999999999999</v>
      </c>
      <c r="R91" s="1032">
        <v>16200</v>
      </c>
    </row>
    <row r="92" spans="1:18">
      <c r="A92" s="79">
        <f t="shared" si="8"/>
        <v>89</v>
      </c>
      <c r="B92" s="1335"/>
      <c r="C92" s="772"/>
      <c r="D92" s="772"/>
      <c r="E92" s="772"/>
      <c r="F92" s="772"/>
      <c r="G92" s="772"/>
      <c r="H92" s="772"/>
      <c r="I92" s="772"/>
      <c r="J92" s="778" t="e">
        <f t="shared" ca="1" si="6"/>
        <v>#REF!</v>
      </c>
      <c r="K92" s="773">
        <f t="shared" si="7"/>
        <v>10</v>
      </c>
    </row>
    <row r="93" spans="1:18">
      <c r="A93" s="79">
        <f t="shared" si="8"/>
        <v>90</v>
      </c>
      <c r="B93" s="1335"/>
      <c r="C93" s="772"/>
      <c r="D93" s="772"/>
      <c r="E93" s="772"/>
      <c r="F93" s="772"/>
      <c r="G93" s="772"/>
      <c r="H93" s="772"/>
      <c r="I93" s="772"/>
      <c r="J93" s="778" t="e">
        <f t="shared" ca="1" si="6"/>
        <v>#REF!</v>
      </c>
      <c r="K93" s="773">
        <f t="shared" si="7"/>
        <v>10</v>
      </c>
    </row>
    <row r="94" spans="1:18">
      <c r="A94" s="79">
        <f t="shared" si="8"/>
        <v>91</v>
      </c>
      <c r="B94" s="1335"/>
      <c r="C94" s="772"/>
      <c r="D94" s="772"/>
      <c r="E94" s="772"/>
      <c r="F94" s="772"/>
      <c r="G94" s="772"/>
      <c r="H94" s="772"/>
      <c r="I94" s="772"/>
      <c r="J94" s="778" t="e">
        <f t="shared" ca="1" si="6"/>
        <v>#REF!</v>
      </c>
      <c r="K94" s="773">
        <f t="shared" si="7"/>
        <v>10</v>
      </c>
    </row>
    <row r="95" spans="1:18">
      <c r="A95" s="79">
        <f t="shared" si="8"/>
        <v>92</v>
      </c>
      <c r="B95" s="778"/>
      <c r="C95" s="58"/>
      <c r="D95" s="4"/>
      <c r="E95" s="4"/>
      <c r="F95" s="4"/>
      <c r="G95" s="4"/>
      <c r="H95" s="4"/>
      <c r="I95" s="4"/>
      <c r="J95" s="778" t="e">
        <f t="shared" ca="1" si="6"/>
        <v>#REF!</v>
      </c>
      <c r="K95" s="773">
        <f t="shared" si="7"/>
        <v>10</v>
      </c>
    </row>
    <row r="96" spans="1:18">
      <c r="A96" s="79">
        <f t="shared" si="8"/>
        <v>93</v>
      </c>
      <c r="B96" s="778"/>
      <c r="C96" s="58"/>
      <c r="D96" s="4"/>
      <c r="E96" s="4"/>
      <c r="F96" s="4"/>
      <c r="G96" s="4"/>
      <c r="H96" s="4"/>
      <c r="I96" s="4"/>
      <c r="J96" s="778" t="e">
        <f t="shared" ca="1" si="6"/>
        <v>#REF!</v>
      </c>
      <c r="K96" s="773">
        <f t="shared" si="7"/>
        <v>10</v>
      </c>
    </row>
    <row r="97" spans="1:11">
      <c r="A97" s="79">
        <f t="shared" si="8"/>
        <v>94</v>
      </c>
      <c r="B97" s="778"/>
      <c r="C97" s="58"/>
      <c r="D97" s="4"/>
      <c r="E97" s="4"/>
      <c r="F97" s="4"/>
      <c r="G97" s="4"/>
      <c r="H97" s="4"/>
      <c r="I97" s="4"/>
      <c r="J97" s="778" t="e">
        <f t="shared" ca="1" si="6"/>
        <v>#REF!</v>
      </c>
      <c r="K97" s="773">
        <f t="shared" si="7"/>
        <v>10</v>
      </c>
    </row>
    <row r="98" spans="1:11">
      <c r="A98" s="79">
        <f t="shared" si="8"/>
        <v>95</v>
      </c>
      <c r="B98" s="778"/>
      <c r="C98" s="58"/>
      <c r="D98" s="4"/>
      <c r="E98" s="4"/>
      <c r="F98" s="4"/>
      <c r="G98" s="4"/>
      <c r="H98" s="4"/>
      <c r="I98" s="4"/>
      <c r="J98" s="778" t="e">
        <f t="shared" ca="1" si="6"/>
        <v>#REF!</v>
      </c>
      <c r="K98" s="773">
        <f t="shared" si="7"/>
        <v>10</v>
      </c>
    </row>
    <row r="99" spans="1:11">
      <c r="A99" s="79">
        <f t="shared" si="8"/>
        <v>96</v>
      </c>
      <c r="B99" s="778"/>
      <c r="C99" s="58"/>
      <c r="D99" s="4"/>
      <c r="E99" s="4"/>
      <c r="F99" s="4"/>
      <c r="G99" s="4"/>
      <c r="H99" s="4"/>
      <c r="I99" s="4"/>
      <c r="J99" s="778" t="e">
        <f t="shared" ca="1" si="6"/>
        <v>#REF!</v>
      </c>
      <c r="K99" s="773">
        <f t="shared" si="7"/>
        <v>10</v>
      </c>
    </row>
    <row r="100" spans="1:11">
      <c r="A100" s="79">
        <f t="shared" si="8"/>
        <v>97</v>
      </c>
      <c r="B100" s="778"/>
      <c r="C100" s="58"/>
      <c r="D100" s="4"/>
      <c r="E100" s="4"/>
      <c r="F100" s="4"/>
      <c r="G100" s="4"/>
      <c r="H100" s="4"/>
      <c r="I100" s="4"/>
      <c r="J100" s="778" t="e">
        <f t="shared" ref="J100:J105" ca="1" si="9">IF(OR($C100&lt;TMO0/1000,$D100&lt;Fan_Max_rpm,AD=0,SD=0,$E100&lt;SD),0,"OK")</f>
        <v>#REF!</v>
      </c>
      <c r="K100" s="773">
        <f t="shared" ref="K100:K105" si="10">(H100+I100)/2+C_slack</f>
        <v>10</v>
      </c>
    </row>
    <row r="101" spans="1:11">
      <c r="A101" s="79">
        <f t="shared" si="8"/>
        <v>98</v>
      </c>
      <c r="B101" s="778"/>
      <c r="C101" s="58"/>
      <c r="D101" s="4"/>
      <c r="E101" s="4"/>
      <c r="F101" s="4"/>
      <c r="G101" s="4"/>
      <c r="H101" s="4"/>
      <c r="I101" s="4"/>
      <c r="J101" s="778" t="e">
        <f t="shared" ca="1" si="9"/>
        <v>#REF!</v>
      </c>
      <c r="K101" s="773">
        <f t="shared" si="10"/>
        <v>10</v>
      </c>
    </row>
    <row r="102" spans="1:11">
      <c r="A102" s="79">
        <f t="shared" si="8"/>
        <v>99</v>
      </c>
      <c r="B102" s="778"/>
      <c r="C102" s="58"/>
      <c r="D102" s="4"/>
      <c r="E102" s="4"/>
      <c r="F102" s="4"/>
      <c r="G102" s="4"/>
      <c r="H102" s="4"/>
      <c r="I102" s="4"/>
      <c r="J102" s="778" t="e">
        <f t="shared" ca="1" si="9"/>
        <v>#REF!</v>
      </c>
      <c r="K102" s="773">
        <f t="shared" si="10"/>
        <v>10</v>
      </c>
    </row>
    <row r="103" spans="1:11">
      <c r="A103" s="79">
        <f t="shared" si="8"/>
        <v>100</v>
      </c>
      <c r="B103" s="778"/>
      <c r="C103" s="58"/>
      <c r="D103" s="4"/>
      <c r="E103" s="4"/>
      <c r="F103" s="4"/>
      <c r="G103" s="4"/>
      <c r="H103" s="4"/>
      <c r="I103" s="4"/>
      <c r="J103" s="778" t="e">
        <f t="shared" ca="1" si="9"/>
        <v>#REF!</v>
      </c>
      <c r="K103" s="773">
        <f t="shared" si="10"/>
        <v>10</v>
      </c>
    </row>
    <row r="104" spans="1:11">
      <c r="A104" s="79">
        <f t="shared" si="8"/>
        <v>101</v>
      </c>
      <c r="B104" s="778"/>
      <c r="C104" s="58"/>
      <c r="D104" s="4"/>
      <c r="E104" s="4"/>
      <c r="F104" s="4"/>
      <c r="G104" s="4"/>
      <c r="H104" s="4"/>
      <c r="I104" s="4"/>
      <c r="J104" s="778" t="e">
        <f t="shared" ca="1" si="9"/>
        <v>#REF!</v>
      </c>
      <c r="K104" s="773">
        <f t="shared" si="10"/>
        <v>10</v>
      </c>
    </row>
    <row r="105" spans="1:11" ht="16.5" thickBot="1">
      <c r="A105" s="1328"/>
      <c r="B105" s="779"/>
      <c r="C105" s="775"/>
      <c r="D105" s="776"/>
      <c r="E105" s="776"/>
      <c r="F105" s="776"/>
      <c r="G105" s="776"/>
      <c r="H105" s="776"/>
      <c r="I105" s="776"/>
      <c r="J105" s="779" t="e">
        <f t="shared" ca="1" si="9"/>
        <v>#REF!</v>
      </c>
      <c r="K105" s="777">
        <f t="shared" si="10"/>
        <v>10</v>
      </c>
    </row>
    <row r="106" spans="1:11">
      <c r="B106" s="3"/>
      <c r="C106" s="11"/>
      <c r="D106" s="3"/>
      <c r="E106" s="3"/>
      <c r="F106" s="3"/>
      <c r="G106" s="3"/>
      <c r="H106" s="3"/>
      <c r="I106" s="3"/>
      <c r="J106" s="3"/>
      <c r="K106" s="3"/>
    </row>
  </sheetData>
  <phoneticPr fontId="170" type="noConversion"/>
  <conditionalFormatting sqref="N4:P53">
    <cfRule type="expression" dxfId="244" priority="1">
      <formula>N4&lt;&gt;C4</formula>
    </cfRule>
  </conditionalFormatting>
  <conditionalFormatting sqref="N76:P91">
    <cfRule type="expression" dxfId="243" priority="299">
      <formula>N76&lt;&gt;C76</formula>
    </cfRule>
  </conditionalFormatting>
  <pageMargins left="0.70866141732283472" right="0.70866141732283472" top="0.74803149606299213" bottom="0.74803149606299213" header="0.31496062992125984" footer="0.31496062992125984"/>
  <pageSetup paperSize="9" scale="28" orientation="landscape" r:id="rId1"/>
  <headerFooter>
    <oddHeader>&amp;L&amp;F / &amp;A&amp;R&amp;D</oddHeader>
    <oddFooter>&amp;L&amp;12CONFIDENTIAL&amp;C&amp;12BARKER JET&amp;Rpage &amp;P / &amp;N</oddFooter>
  </headerFooter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>
    <pageSetUpPr fitToPage="1"/>
  </sheetPr>
  <dimension ref="A1:BR673"/>
  <sheetViews>
    <sheetView zoomScale="85" zoomScaleNormal="85" workbookViewId="0">
      <pane xSplit="7" ySplit="1" topLeftCell="H119" activePane="bottomRight" state="frozen"/>
      <selection activeCell="E125" sqref="E125"/>
      <selection pane="topRight" activeCell="E125" sqref="E125"/>
      <selection pane="bottomLeft" activeCell="E125" sqref="E125"/>
      <selection pane="bottomRight" activeCell="G43" sqref="G43"/>
    </sheetView>
  </sheetViews>
  <sheetFormatPr defaultColWidth="9.140625" defaultRowHeight="12" customHeight="1"/>
  <cols>
    <col min="1" max="1" width="9.140625" style="320"/>
    <col min="2" max="2" width="8.85546875" style="324" customWidth="1"/>
    <col min="3" max="3" width="9.140625" style="320"/>
    <col min="4" max="4" width="10.28515625" style="323" bestFit="1" customWidth="1"/>
    <col min="5" max="5" width="10.28515625" style="320" bestFit="1" customWidth="1"/>
    <col min="6" max="6" width="9.140625" style="322" customWidth="1"/>
    <col min="7" max="10" width="9.28515625" style="320" bestFit="1" customWidth="1"/>
    <col min="11" max="11" width="9.140625" style="320" customWidth="1"/>
    <col min="12" max="12" width="9.28515625" style="320" bestFit="1" customWidth="1"/>
    <col min="13" max="13" width="9.140625" style="320" customWidth="1"/>
    <col min="14" max="15" width="9.28515625" style="320" bestFit="1" customWidth="1"/>
    <col min="16" max="21" width="9.140625" style="320"/>
    <col min="22" max="24" width="9.28515625" style="320" bestFit="1" customWidth="1"/>
    <col min="25" max="27" width="9.140625" style="320" customWidth="1"/>
    <col min="28" max="30" width="9.28515625" style="320" bestFit="1" customWidth="1"/>
    <col min="31" max="33" width="9.140625" style="320" customWidth="1"/>
    <col min="34" max="52" width="9.28515625" style="320" bestFit="1" customWidth="1"/>
    <col min="53" max="53" width="9.140625" style="320"/>
    <col min="54" max="57" width="9.28515625" style="320" bestFit="1" customWidth="1"/>
    <col min="58" max="58" width="9.140625" style="320"/>
    <col min="59" max="64" width="9.28515625" style="320" bestFit="1" customWidth="1"/>
    <col min="65" max="66" width="9.140625" style="320"/>
    <col min="67" max="68" width="9.140625" style="321"/>
    <col min="69" max="69" width="9.140625" style="320" customWidth="1"/>
    <col min="70" max="16384" width="9.140625" style="320"/>
  </cols>
  <sheetData>
    <row r="1" spans="1:70" s="385" customFormat="1" ht="33.75" customHeight="1">
      <c r="A1" s="397" t="s">
        <v>1018</v>
      </c>
      <c r="B1" s="397" t="s">
        <v>1017</v>
      </c>
      <c r="C1" s="397" t="s">
        <v>1016</v>
      </c>
      <c r="D1" s="396" t="s">
        <v>268</v>
      </c>
      <c r="E1" s="389" t="s">
        <v>1015</v>
      </c>
      <c r="F1" s="389" t="s">
        <v>1014</v>
      </c>
      <c r="G1" s="394" t="s">
        <v>1013</v>
      </c>
      <c r="H1" s="393" t="s">
        <v>1012</v>
      </c>
      <c r="I1" s="389" t="s">
        <v>1011</v>
      </c>
      <c r="J1" s="395" t="s">
        <v>1010</v>
      </c>
      <c r="K1" s="394" t="s">
        <v>1009</v>
      </c>
      <c r="L1" s="394" t="s">
        <v>1008</v>
      </c>
      <c r="M1" s="393" t="s">
        <v>1007</v>
      </c>
      <c r="N1" s="394" t="s">
        <v>1006</v>
      </c>
      <c r="O1" s="394" t="s">
        <v>1005</v>
      </c>
      <c r="P1" s="390" t="s">
        <v>1004</v>
      </c>
      <c r="Q1" s="390" t="s">
        <v>1003</v>
      </c>
      <c r="R1" s="393" t="s">
        <v>1002</v>
      </c>
      <c r="S1" s="392" t="s">
        <v>1001</v>
      </c>
      <c r="T1" s="392" t="s">
        <v>1000</v>
      </c>
      <c r="U1" s="392" t="s">
        <v>999</v>
      </c>
      <c r="V1" s="390" t="s">
        <v>998</v>
      </c>
      <c r="W1" s="390" t="s">
        <v>997</v>
      </c>
      <c r="X1" s="390" t="s">
        <v>996</v>
      </c>
      <c r="Y1" s="390" t="s">
        <v>995</v>
      </c>
      <c r="Z1" s="390" t="s">
        <v>994</v>
      </c>
      <c r="AA1" s="390" t="s">
        <v>993</v>
      </c>
      <c r="AB1" s="391" t="s">
        <v>992</v>
      </c>
      <c r="AC1" s="390" t="s">
        <v>991</v>
      </c>
      <c r="AD1" s="390" t="s">
        <v>990</v>
      </c>
      <c r="AE1" s="389" t="s">
        <v>989</v>
      </c>
      <c r="AF1" s="389" t="s">
        <v>988</v>
      </c>
      <c r="AG1" s="389" t="s">
        <v>987</v>
      </c>
      <c r="AH1" s="388" t="s">
        <v>986</v>
      </c>
      <c r="AI1" s="388" t="s">
        <v>985</v>
      </c>
      <c r="AJ1" s="388" t="s">
        <v>984</v>
      </c>
      <c r="AK1" s="388" t="s">
        <v>983</v>
      </c>
      <c r="AL1" s="386" t="s">
        <v>982</v>
      </c>
      <c r="AM1" s="388" t="s">
        <v>981</v>
      </c>
      <c r="AN1" s="388" t="s">
        <v>980</v>
      </c>
      <c r="AO1" s="388" t="s">
        <v>979</v>
      </c>
      <c r="AP1" s="388" t="s">
        <v>978</v>
      </c>
      <c r="AQ1" s="388" t="s">
        <v>977</v>
      </c>
      <c r="AR1" s="388" t="s">
        <v>976</v>
      </c>
      <c r="AS1" s="388" t="s">
        <v>975</v>
      </c>
      <c r="AT1" s="386" t="s">
        <v>974</v>
      </c>
      <c r="AU1" s="386" t="s">
        <v>973</v>
      </c>
      <c r="AV1" s="386" t="s">
        <v>972</v>
      </c>
      <c r="AW1" s="386" t="s">
        <v>971</v>
      </c>
      <c r="AX1" s="387" t="s">
        <v>970</v>
      </c>
      <c r="AY1" s="387" t="s">
        <v>969</v>
      </c>
      <c r="AZ1" s="387" t="s">
        <v>968</v>
      </c>
      <c r="BA1" s="387" t="s">
        <v>967</v>
      </c>
      <c r="BB1" s="387" t="s">
        <v>966</v>
      </c>
      <c r="BC1" s="388" t="s">
        <v>965</v>
      </c>
      <c r="BD1" s="388" t="s">
        <v>964</v>
      </c>
      <c r="BE1" s="388" t="s">
        <v>963</v>
      </c>
      <c r="BF1" s="388" t="s">
        <v>962</v>
      </c>
      <c r="BG1" s="388" t="s">
        <v>961</v>
      </c>
      <c r="BH1" s="387" t="s">
        <v>960</v>
      </c>
      <c r="BI1" s="387" t="s">
        <v>959</v>
      </c>
      <c r="BJ1" s="387" t="s">
        <v>958</v>
      </c>
      <c r="BK1" s="387" t="s">
        <v>957</v>
      </c>
      <c r="BL1" s="387" t="s">
        <v>956</v>
      </c>
      <c r="BM1" s="386" t="s">
        <v>1729</v>
      </c>
      <c r="BN1" s="386" t="s">
        <v>1730</v>
      </c>
      <c r="BO1" s="386" t="s">
        <v>955</v>
      </c>
      <c r="BP1" s="386" t="s">
        <v>954</v>
      </c>
      <c r="BQ1" s="386" t="s">
        <v>953</v>
      </c>
    </row>
    <row r="2" spans="1:70" ht="12" customHeight="1">
      <c r="A2" s="320">
        <v>1</v>
      </c>
      <c r="B2" s="336" t="s">
        <v>767</v>
      </c>
      <c r="C2" s="325" t="s">
        <v>745</v>
      </c>
      <c r="D2" s="336" t="s">
        <v>952</v>
      </c>
      <c r="E2" s="328">
        <v>56</v>
      </c>
      <c r="F2" s="328">
        <v>2</v>
      </c>
      <c r="G2" s="325">
        <v>0.09</v>
      </c>
      <c r="H2" s="325">
        <v>0.1</v>
      </c>
      <c r="I2" s="325">
        <v>2720</v>
      </c>
      <c r="J2" s="325">
        <v>3264</v>
      </c>
      <c r="K2" s="328"/>
      <c r="L2" s="332">
        <v>0.27</v>
      </c>
      <c r="M2" s="331">
        <f t="shared" ref="M2:M66" si="0">L2*480/460</f>
        <v>0.28173913043478266</v>
      </c>
      <c r="N2" s="325">
        <v>0.77</v>
      </c>
      <c r="O2" s="339">
        <v>62</v>
      </c>
      <c r="P2" s="328"/>
      <c r="Q2" s="328"/>
      <c r="R2" s="325">
        <v>0.77</v>
      </c>
      <c r="S2" s="339">
        <v>62</v>
      </c>
      <c r="T2" s="328"/>
      <c r="U2" s="328"/>
      <c r="V2" s="325">
        <v>5.2</v>
      </c>
      <c r="W2" s="325">
        <v>2.2000000000000002</v>
      </c>
      <c r="X2" s="325">
        <v>2.1</v>
      </c>
      <c r="Y2" s="328"/>
      <c r="Z2" s="328"/>
      <c r="AA2" s="328"/>
      <c r="AB2" s="329">
        <v>1E-4</v>
      </c>
      <c r="AC2" s="328"/>
      <c r="AD2" s="325">
        <v>3.6</v>
      </c>
      <c r="AE2" s="328"/>
      <c r="AF2" s="328"/>
      <c r="AG2" s="328"/>
      <c r="AH2" s="327">
        <v>90</v>
      </c>
      <c r="AI2" s="327">
        <v>71</v>
      </c>
      <c r="AJ2" s="327">
        <v>36</v>
      </c>
      <c r="AK2" s="327">
        <v>9</v>
      </c>
      <c r="AL2" s="327">
        <v>20</v>
      </c>
      <c r="AM2" s="327">
        <v>3</v>
      </c>
      <c r="AN2" s="327">
        <v>7.2</v>
      </c>
      <c r="AO2" s="327" t="s">
        <v>842</v>
      </c>
      <c r="AP2" s="327">
        <v>56</v>
      </c>
      <c r="AQ2" s="327">
        <v>5.8</v>
      </c>
      <c r="AR2" s="327">
        <v>115</v>
      </c>
      <c r="AS2" s="327">
        <v>110</v>
      </c>
      <c r="AT2" s="327">
        <v>100</v>
      </c>
      <c r="AU2" s="327">
        <v>156</v>
      </c>
      <c r="AV2" s="327">
        <v>199</v>
      </c>
      <c r="AW2" s="328"/>
      <c r="AX2" s="327">
        <v>65</v>
      </c>
      <c r="AY2" s="327">
        <v>50</v>
      </c>
      <c r="AZ2" s="327">
        <v>80</v>
      </c>
      <c r="BA2" s="327" t="s">
        <v>792</v>
      </c>
      <c r="BB2" s="327">
        <v>2.5</v>
      </c>
      <c r="BC2" s="327">
        <v>85</v>
      </c>
      <c r="BD2" s="327">
        <v>70</v>
      </c>
      <c r="BE2" s="327">
        <v>105</v>
      </c>
      <c r="BF2" s="327" t="s">
        <v>244</v>
      </c>
      <c r="BG2" s="327">
        <v>2.5</v>
      </c>
      <c r="BH2" s="327">
        <v>100</v>
      </c>
      <c r="BI2" s="327">
        <v>80</v>
      </c>
      <c r="BJ2" s="327">
        <v>120</v>
      </c>
      <c r="BK2" s="327">
        <v>7</v>
      </c>
      <c r="BL2" s="327">
        <v>3</v>
      </c>
      <c r="BM2" s="325" t="s">
        <v>841</v>
      </c>
      <c r="BN2" s="325" t="s">
        <v>841</v>
      </c>
      <c r="BO2" s="326"/>
      <c r="BP2" s="326"/>
      <c r="BQ2" s="328" t="s">
        <v>480</v>
      </c>
    </row>
    <row r="3" spans="1:70" ht="12" customHeight="1">
      <c r="A3" s="320">
        <v>2</v>
      </c>
      <c r="B3" s="336" t="s">
        <v>767</v>
      </c>
      <c r="C3" s="325" t="s">
        <v>745</v>
      </c>
      <c r="D3" s="336" t="s">
        <v>951</v>
      </c>
      <c r="E3" s="328">
        <v>56</v>
      </c>
      <c r="F3" s="328">
        <v>2</v>
      </c>
      <c r="G3" s="325">
        <v>0.12</v>
      </c>
      <c r="H3" s="325">
        <v>0.14000000000000001</v>
      </c>
      <c r="I3" s="325">
        <v>2720</v>
      </c>
      <c r="J3" s="325">
        <v>3264</v>
      </c>
      <c r="K3" s="328"/>
      <c r="L3" s="332">
        <v>0.35</v>
      </c>
      <c r="M3" s="331">
        <f t="shared" si="0"/>
        <v>0.36521739130434783</v>
      </c>
      <c r="N3" s="325">
        <v>0.78</v>
      </c>
      <c r="O3" s="339">
        <v>64</v>
      </c>
      <c r="P3" s="328"/>
      <c r="Q3" s="328"/>
      <c r="R3" s="325">
        <v>0.78</v>
      </c>
      <c r="S3" s="339">
        <v>64</v>
      </c>
      <c r="T3" s="328"/>
      <c r="U3" s="328"/>
      <c r="V3" s="325">
        <v>5.2</v>
      </c>
      <c r="W3" s="325">
        <v>2.2000000000000002</v>
      </c>
      <c r="X3" s="325">
        <v>2.1</v>
      </c>
      <c r="Y3" s="328"/>
      <c r="Z3" s="328"/>
      <c r="AA3" s="328"/>
      <c r="AB3" s="329">
        <v>2.0000000000000001E-4</v>
      </c>
      <c r="AC3" s="328"/>
      <c r="AD3" s="325">
        <v>3.9</v>
      </c>
      <c r="AE3" s="328"/>
      <c r="AF3" s="328"/>
      <c r="AG3" s="328"/>
      <c r="AH3" s="327">
        <v>90</v>
      </c>
      <c r="AI3" s="327">
        <v>71</v>
      </c>
      <c r="AJ3" s="327">
        <v>36</v>
      </c>
      <c r="AK3" s="327">
        <v>9</v>
      </c>
      <c r="AL3" s="327">
        <v>20</v>
      </c>
      <c r="AM3" s="327">
        <v>3</v>
      </c>
      <c r="AN3" s="327">
        <v>7.2</v>
      </c>
      <c r="AO3" s="327" t="s">
        <v>842</v>
      </c>
      <c r="AP3" s="327">
        <v>56</v>
      </c>
      <c r="AQ3" s="327">
        <v>5.8</v>
      </c>
      <c r="AR3" s="327">
        <v>115</v>
      </c>
      <c r="AS3" s="327">
        <v>110</v>
      </c>
      <c r="AT3" s="327">
        <v>100</v>
      </c>
      <c r="AU3" s="327">
        <v>156</v>
      </c>
      <c r="AV3" s="327">
        <v>199</v>
      </c>
      <c r="AW3" s="328"/>
      <c r="AX3" s="327">
        <v>65</v>
      </c>
      <c r="AY3" s="327">
        <v>50</v>
      </c>
      <c r="AZ3" s="327">
        <v>80</v>
      </c>
      <c r="BA3" s="327" t="s">
        <v>792</v>
      </c>
      <c r="BB3" s="327">
        <v>2.5</v>
      </c>
      <c r="BC3" s="327">
        <v>85</v>
      </c>
      <c r="BD3" s="327">
        <v>70</v>
      </c>
      <c r="BE3" s="327">
        <v>105</v>
      </c>
      <c r="BF3" s="327" t="s">
        <v>244</v>
      </c>
      <c r="BG3" s="327">
        <v>2.5</v>
      </c>
      <c r="BH3" s="327">
        <v>100</v>
      </c>
      <c r="BI3" s="327">
        <v>80</v>
      </c>
      <c r="BJ3" s="327">
        <v>120</v>
      </c>
      <c r="BK3" s="327">
        <v>7</v>
      </c>
      <c r="BL3" s="327">
        <v>3</v>
      </c>
      <c r="BM3" s="325" t="s">
        <v>841</v>
      </c>
      <c r="BN3" s="325" t="s">
        <v>841</v>
      </c>
      <c r="BO3" s="326"/>
      <c r="BP3" s="326"/>
      <c r="BQ3" s="328" t="s">
        <v>480</v>
      </c>
    </row>
    <row r="4" spans="1:70" ht="12" customHeight="1">
      <c r="A4" s="320">
        <v>3</v>
      </c>
      <c r="B4" s="336" t="s">
        <v>767</v>
      </c>
      <c r="C4" s="325" t="s">
        <v>745</v>
      </c>
      <c r="D4" s="336" t="s">
        <v>950</v>
      </c>
      <c r="E4" s="328">
        <v>63</v>
      </c>
      <c r="F4" s="328">
        <v>2</v>
      </c>
      <c r="G4" s="325">
        <v>0.18</v>
      </c>
      <c r="H4" s="325">
        <v>0.21</v>
      </c>
      <c r="I4" s="325">
        <v>2720</v>
      </c>
      <c r="J4" s="325">
        <v>3264</v>
      </c>
      <c r="K4" s="328"/>
      <c r="L4" s="332">
        <v>0.5</v>
      </c>
      <c r="M4" s="331">
        <f t="shared" si="0"/>
        <v>0.52173913043478259</v>
      </c>
      <c r="N4" s="332">
        <v>0.8</v>
      </c>
      <c r="O4" s="339">
        <v>65</v>
      </c>
      <c r="P4" s="328"/>
      <c r="Q4" s="328"/>
      <c r="R4" s="332">
        <v>0.8</v>
      </c>
      <c r="S4" s="339">
        <v>65</v>
      </c>
      <c r="T4" s="328"/>
      <c r="U4" s="328"/>
      <c r="V4" s="325">
        <v>5.5</v>
      </c>
      <c r="W4" s="325">
        <v>2.2999999999999998</v>
      </c>
      <c r="X4" s="325">
        <v>2.2999999999999998</v>
      </c>
      <c r="Y4" s="328"/>
      <c r="Z4" s="328"/>
      <c r="AA4" s="328"/>
      <c r="AB4" s="329">
        <v>2.9999999999999997E-4</v>
      </c>
      <c r="AC4" s="328"/>
      <c r="AD4" s="325">
        <v>4.8</v>
      </c>
      <c r="AE4" s="328"/>
      <c r="AF4" s="328"/>
      <c r="AG4" s="328"/>
      <c r="AH4" s="327">
        <v>100</v>
      </c>
      <c r="AI4" s="327">
        <v>80</v>
      </c>
      <c r="AJ4" s="327">
        <v>40</v>
      </c>
      <c r="AK4" s="327">
        <v>11</v>
      </c>
      <c r="AL4" s="327">
        <v>23</v>
      </c>
      <c r="AM4" s="327">
        <v>4</v>
      </c>
      <c r="AN4" s="327">
        <v>8.5</v>
      </c>
      <c r="AO4" s="320" t="s">
        <v>842</v>
      </c>
      <c r="AP4" s="327">
        <v>63</v>
      </c>
      <c r="AQ4" s="327">
        <v>7</v>
      </c>
      <c r="AR4" s="327">
        <v>135</v>
      </c>
      <c r="AS4" s="327">
        <v>130</v>
      </c>
      <c r="AT4" s="327">
        <v>115</v>
      </c>
      <c r="AU4" s="327">
        <v>180</v>
      </c>
      <c r="AV4" s="327">
        <v>217</v>
      </c>
      <c r="AW4" s="328"/>
      <c r="AX4" s="327">
        <v>75</v>
      </c>
      <c r="AY4" s="327">
        <v>60</v>
      </c>
      <c r="AZ4" s="327">
        <v>90</v>
      </c>
      <c r="BA4" s="327" t="s">
        <v>792</v>
      </c>
      <c r="BB4" s="327">
        <v>2.5</v>
      </c>
      <c r="BC4" s="327">
        <v>100</v>
      </c>
      <c r="BD4" s="327">
        <v>80</v>
      </c>
      <c r="BE4" s="327">
        <v>120</v>
      </c>
      <c r="BF4" s="327" t="s">
        <v>244</v>
      </c>
      <c r="BG4" s="327">
        <v>2.5</v>
      </c>
      <c r="BH4" s="327">
        <v>115</v>
      </c>
      <c r="BI4" s="327">
        <v>95</v>
      </c>
      <c r="BJ4" s="327">
        <v>140</v>
      </c>
      <c r="BK4" s="327">
        <v>10</v>
      </c>
      <c r="BL4" s="327">
        <v>3</v>
      </c>
      <c r="BM4" s="325" t="s">
        <v>841</v>
      </c>
      <c r="BN4" s="325" t="s">
        <v>841</v>
      </c>
      <c r="BO4" s="340" t="s">
        <v>840</v>
      </c>
      <c r="BP4" s="340" t="s">
        <v>840</v>
      </c>
      <c r="BQ4" s="328" t="s">
        <v>480</v>
      </c>
    </row>
    <row r="5" spans="1:70" ht="12" customHeight="1">
      <c r="A5" s="320">
        <v>4</v>
      </c>
      <c r="B5" s="336" t="s">
        <v>767</v>
      </c>
      <c r="C5" s="325" t="s">
        <v>745</v>
      </c>
      <c r="D5" s="336" t="s">
        <v>949</v>
      </c>
      <c r="E5" s="328">
        <v>63</v>
      </c>
      <c r="F5" s="328">
        <v>2</v>
      </c>
      <c r="G5" s="325">
        <v>0.25</v>
      </c>
      <c r="H5" s="325">
        <v>0.3</v>
      </c>
      <c r="I5" s="325">
        <v>2720</v>
      </c>
      <c r="J5" s="325">
        <v>3264</v>
      </c>
      <c r="K5" s="328"/>
      <c r="L5" s="332">
        <v>0.65</v>
      </c>
      <c r="M5" s="331">
        <f t="shared" si="0"/>
        <v>0.67826086956521736</v>
      </c>
      <c r="N5" s="325">
        <v>0.81</v>
      </c>
      <c r="O5" s="339">
        <v>68</v>
      </c>
      <c r="P5" s="328"/>
      <c r="Q5" s="328"/>
      <c r="R5" s="325">
        <v>0.81</v>
      </c>
      <c r="S5" s="339">
        <v>68</v>
      </c>
      <c r="T5" s="328"/>
      <c r="U5" s="328"/>
      <c r="V5" s="325">
        <v>5.5</v>
      </c>
      <c r="W5" s="325">
        <v>2.2999999999999998</v>
      </c>
      <c r="X5" s="325">
        <v>2.2999999999999998</v>
      </c>
      <c r="Y5" s="328"/>
      <c r="Z5" s="328"/>
      <c r="AA5" s="328"/>
      <c r="AB5" s="329">
        <v>5.9999999999999995E-4</v>
      </c>
      <c r="AC5" s="328"/>
      <c r="AD5" s="325">
        <v>5.0999999999999996</v>
      </c>
      <c r="AE5" s="328"/>
      <c r="AF5" s="328"/>
      <c r="AG5" s="328"/>
      <c r="AH5" s="327">
        <v>100</v>
      </c>
      <c r="AI5" s="327">
        <v>80</v>
      </c>
      <c r="AJ5" s="327">
        <v>40</v>
      </c>
      <c r="AK5" s="327">
        <v>11</v>
      </c>
      <c r="AL5" s="327">
        <v>23</v>
      </c>
      <c r="AM5" s="327">
        <v>4</v>
      </c>
      <c r="AN5" s="327">
        <v>8.5</v>
      </c>
      <c r="AO5" s="320" t="s">
        <v>842</v>
      </c>
      <c r="AP5" s="327">
        <v>63</v>
      </c>
      <c r="AQ5" s="327">
        <v>7</v>
      </c>
      <c r="AR5" s="327">
        <v>135</v>
      </c>
      <c r="AS5" s="327">
        <v>130</v>
      </c>
      <c r="AT5" s="327">
        <v>115</v>
      </c>
      <c r="AU5" s="327">
        <v>180</v>
      </c>
      <c r="AV5" s="327">
        <v>217</v>
      </c>
      <c r="AW5" s="328"/>
      <c r="AX5" s="327">
        <v>75</v>
      </c>
      <c r="AY5" s="327">
        <v>60</v>
      </c>
      <c r="AZ5" s="327">
        <v>90</v>
      </c>
      <c r="BA5" s="327" t="s">
        <v>792</v>
      </c>
      <c r="BB5" s="327">
        <v>2.5</v>
      </c>
      <c r="BC5" s="327">
        <v>100</v>
      </c>
      <c r="BD5" s="327">
        <v>80</v>
      </c>
      <c r="BE5" s="327">
        <v>120</v>
      </c>
      <c r="BF5" s="327" t="s">
        <v>244</v>
      </c>
      <c r="BG5" s="327">
        <v>2.5</v>
      </c>
      <c r="BH5" s="327">
        <v>115</v>
      </c>
      <c r="BI5" s="327">
        <v>95</v>
      </c>
      <c r="BJ5" s="327">
        <v>140</v>
      </c>
      <c r="BK5" s="327">
        <v>10</v>
      </c>
      <c r="BL5" s="327">
        <v>3</v>
      </c>
      <c r="BM5" s="325" t="s">
        <v>841</v>
      </c>
      <c r="BN5" s="325" t="s">
        <v>841</v>
      </c>
      <c r="BO5" s="340" t="s">
        <v>840</v>
      </c>
      <c r="BP5" s="340" t="s">
        <v>840</v>
      </c>
      <c r="BQ5" s="328" t="s">
        <v>480</v>
      </c>
    </row>
    <row r="6" spans="1:70" ht="12" customHeight="1">
      <c r="A6" s="320">
        <v>5</v>
      </c>
      <c r="B6" s="336" t="s">
        <v>767</v>
      </c>
      <c r="C6" s="325" t="s">
        <v>745</v>
      </c>
      <c r="D6" s="336" t="s">
        <v>948</v>
      </c>
      <c r="E6" s="328">
        <v>71</v>
      </c>
      <c r="F6" s="328">
        <v>2</v>
      </c>
      <c r="G6" s="325">
        <v>0.37</v>
      </c>
      <c r="H6" s="325">
        <v>0.44</v>
      </c>
      <c r="I6" s="325">
        <v>2755</v>
      </c>
      <c r="J6" s="325">
        <v>3306</v>
      </c>
      <c r="K6" s="328"/>
      <c r="L6" s="332">
        <v>0.96</v>
      </c>
      <c r="M6" s="331">
        <f t="shared" si="0"/>
        <v>1.0017391304347825</v>
      </c>
      <c r="N6" s="325">
        <v>0.81</v>
      </c>
      <c r="O6" s="339">
        <v>69</v>
      </c>
      <c r="P6" s="328"/>
      <c r="Q6" s="328"/>
      <c r="R6" s="325">
        <v>0.81</v>
      </c>
      <c r="S6" s="339">
        <v>69</v>
      </c>
      <c r="T6" s="328"/>
      <c r="U6" s="328"/>
      <c r="V6" s="325">
        <v>6.1</v>
      </c>
      <c r="W6" s="325">
        <v>2.2000000000000002</v>
      </c>
      <c r="X6" s="325">
        <v>2.2999999999999998</v>
      </c>
      <c r="Y6" s="328"/>
      <c r="Z6" s="328"/>
      <c r="AA6" s="328"/>
      <c r="AB6" s="329">
        <v>6.9999999999999999E-4</v>
      </c>
      <c r="AC6" s="328"/>
      <c r="AD6" s="325">
        <v>6</v>
      </c>
      <c r="AE6" s="328"/>
      <c r="AF6" s="328"/>
      <c r="AG6" s="328"/>
      <c r="AH6" s="327">
        <v>112</v>
      </c>
      <c r="AI6" s="327">
        <v>90</v>
      </c>
      <c r="AJ6" s="327">
        <v>45</v>
      </c>
      <c r="AK6" s="327">
        <v>14</v>
      </c>
      <c r="AL6" s="327">
        <v>30</v>
      </c>
      <c r="AM6" s="327">
        <v>5</v>
      </c>
      <c r="AN6" s="327">
        <v>11</v>
      </c>
      <c r="AO6" s="327" t="s">
        <v>792</v>
      </c>
      <c r="AP6" s="327">
        <v>71</v>
      </c>
      <c r="AQ6" s="327">
        <v>7</v>
      </c>
      <c r="AR6" s="327">
        <v>150</v>
      </c>
      <c r="AS6" s="327">
        <v>145</v>
      </c>
      <c r="AT6" s="327">
        <v>127</v>
      </c>
      <c r="AU6" s="327">
        <v>200</v>
      </c>
      <c r="AV6" s="327">
        <v>245</v>
      </c>
      <c r="AW6" s="328"/>
      <c r="AX6" s="327">
        <v>75</v>
      </c>
      <c r="AY6" s="327">
        <v>60</v>
      </c>
      <c r="AZ6" s="327">
        <v>90</v>
      </c>
      <c r="BA6" s="327" t="s">
        <v>792</v>
      </c>
      <c r="BB6" s="327">
        <v>2.5</v>
      </c>
      <c r="BC6" s="327">
        <v>100</v>
      </c>
      <c r="BD6" s="327">
        <v>80</v>
      </c>
      <c r="BE6" s="327">
        <v>120</v>
      </c>
      <c r="BF6" s="327" t="s">
        <v>244</v>
      </c>
      <c r="BG6" s="327">
        <v>2.5</v>
      </c>
      <c r="BH6" s="327">
        <v>130</v>
      </c>
      <c r="BI6" s="327">
        <v>110</v>
      </c>
      <c r="BJ6" s="327">
        <v>160</v>
      </c>
      <c r="BK6" s="327">
        <v>10</v>
      </c>
      <c r="BL6" s="327">
        <v>3.5</v>
      </c>
      <c r="BM6" s="325" t="s">
        <v>791</v>
      </c>
      <c r="BN6" s="325" t="s">
        <v>791</v>
      </c>
      <c r="BO6" s="340" t="s">
        <v>790</v>
      </c>
      <c r="BP6" s="340" t="s">
        <v>790</v>
      </c>
      <c r="BQ6" s="328" t="s">
        <v>480</v>
      </c>
    </row>
    <row r="7" spans="1:70" ht="12" customHeight="1">
      <c r="A7" s="320">
        <v>6</v>
      </c>
      <c r="B7" s="336" t="s">
        <v>767</v>
      </c>
      <c r="C7" s="325" t="s">
        <v>745</v>
      </c>
      <c r="D7" s="336" t="s">
        <v>947</v>
      </c>
      <c r="E7" s="328">
        <v>71</v>
      </c>
      <c r="F7" s="328">
        <v>2</v>
      </c>
      <c r="G7" s="325">
        <v>0.55000000000000004</v>
      </c>
      <c r="H7" s="325">
        <v>0.66</v>
      </c>
      <c r="I7" s="325">
        <v>2790</v>
      </c>
      <c r="J7" s="325">
        <v>3348</v>
      </c>
      <c r="K7" s="328"/>
      <c r="L7" s="332">
        <v>1.3</v>
      </c>
      <c r="M7" s="331">
        <f t="shared" si="0"/>
        <v>1.3565217391304347</v>
      </c>
      <c r="N7" s="325">
        <v>0.82</v>
      </c>
      <c r="O7" s="339">
        <v>74</v>
      </c>
      <c r="P7" s="328"/>
      <c r="Q7" s="328"/>
      <c r="R7" s="325">
        <v>0.82</v>
      </c>
      <c r="S7" s="339">
        <v>74</v>
      </c>
      <c r="T7" s="328"/>
      <c r="U7" s="328"/>
      <c r="V7" s="325">
        <v>6.1</v>
      </c>
      <c r="W7" s="325">
        <v>2.2999999999999998</v>
      </c>
      <c r="X7" s="325">
        <v>2.2999999999999998</v>
      </c>
      <c r="Y7" s="328"/>
      <c r="Z7" s="328"/>
      <c r="AA7" s="328"/>
      <c r="AB7" s="329">
        <v>8.9999999999999998E-4</v>
      </c>
      <c r="AC7" s="328"/>
      <c r="AD7" s="325">
        <v>6.5</v>
      </c>
      <c r="AE7" s="328"/>
      <c r="AF7" s="328"/>
      <c r="AG7" s="328"/>
      <c r="AH7" s="327">
        <v>112</v>
      </c>
      <c r="AI7" s="327">
        <v>90</v>
      </c>
      <c r="AJ7" s="327">
        <v>45</v>
      </c>
      <c r="AK7" s="327">
        <v>14</v>
      </c>
      <c r="AL7" s="327">
        <v>30</v>
      </c>
      <c r="AM7" s="327">
        <v>5</v>
      </c>
      <c r="AN7" s="327">
        <v>11</v>
      </c>
      <c r="AO7" s="327" t="s">
        <v>792</v>
      </c>
      <c r="AP7" s="327">
        <v>71</v>
      </c>
      <c r="AQ7" s="327">
        <v>7</v>
      </c>
      <c r="AR7" s="327">
        <v>150</v>
      </c>
      <c r="AS7" s="327">
        <v>145</v>
      </c>
      <c r="AT7" s="327">
        <v>127</v>
      </c>
      <c r="AU7" s="327">
        <v>200</v>
      </c>
      <c r="AV7" s="327">
        <v>245</v>
      </c>
      <c r="AW7" s="328"/>
      <c r="AX7" s="327">
        <v>75</v>
      </c>
      <c r="AY7" s="327">
        <v>60</v>
      </c>
      <c r="AZ7" s="327">
        <v>90</v>
      </c>
      <c r="BA7" s="327" t="s">
        <v>792</v>
      </c>
      <c r="BB7" s="327">
        <v>2.5</v>
      </c>
      <c r="BC7" s="327">
        <v>100</v>
      </c>
      <c r="BD7" s="327">
        <v>80</v>
      </c>
      <c r="BE7" s="327">
        <v>120</v>
      </c>
      <c r="BF7" s="327" t="s">
        <v>244</v>
      </c>
      <c r="BG7" s="327">
        <v>2.5</v>
      </c>
      <c r="BH7" s="327">
        <v>130</v>
      </c>
      <c r="BI7" s="327">
        <v>110</v>
      </c>
      <c r="BJ7" s="327">
        <v>160</v>
      </c>
      <c r="BK7" s="327">
        <v>10</v>
      </c>
      <c r="BL7" s="327">
        <v>3.5</v>
      </c>
      <c r="BM7" s="325" t="s">
        <v>791</v>
      </c>
      <c r="BN7" s="325" t="s">
        <v>791</v>
      </c>
      <c r="BO7" s="340" t="s">
        <v>790</v>
      </c>
      <c r="BP7" s="340" t="s">
        <v>790</v>
      </c>
      <c r="BQ7" s="328" t="s">
        <v>480</v>
      </c>
    </row>
    <row r="8" spans="1:70" ht="12" customHeight="1">
      <c r="A8" s="320">
        <v>7</v>
      </c>
      <c r="B8" s="336" t="s">
        <v>767</v>
      </c>
      <c r="C8" s="325" t="s">
        <v>745</v>
      </c>
      <c r="D8" s="336" t="s">
        <v>946</v>
      </c>
      <c r="E8" s="328">
        <v>80</v>
      </c>
      <c r="F8" s="328">
        <v>2</v>
      </c>
      <c r="G8" s="325">
        <v>0.75</v>
      </c>
      <c r="H8" s="325">
        <v>0.89999999999999991</v>
      </c>
      <c r="I8" s="325">
        <v>2845</v>
      </c>
      <c r="J8" s="325">
        <v>3414</v>
      </c>
      <c r="K8" s="328"/>
      <c r="L8" s="332">
        <v>1.67</v>
      </c>
      <c r="M8" s="333">
        <f t="shared" si="0"/>
        <v>1.7426086956521738</v>
      </c>
      <c r="N8" s="325">
        <v>0.83</v>
      </c>
      <c r="O8" s="339">
        <v>75</v>
      </c>
      <c r="P8" s="328"/>
      <c r="Q8" s="328"/>
      <c r="R8" s="325">
        <v>0.83</v>
      </c>
      <c r="S8" s="339">
        <v>75</v>
      </c>
      <c r="T8" s="328"/>
      <c r="U8" s="328"/>
      <c r="V8" s="325">
        <v>6.1</v>
      </c>
      <c r="W8" s="325">
        <v>2.2999999999999998</v>
      </c>
      <c r="X8" s="325">
        <v>2.2000000000000002</v>
      </c>
      <c r="Y8" s="328"/>
      <c r="Z8" s="328"/>
      <c r="AA8" s="328"/>
      <c r="AB8" s="329">
        <v>1.1999999999999999E-3</v>
      </c>
      <c r="AC8" s="328">
        <v>56</v>
      </c>
      <c r="AD8" s="325">
        <v>8.6999999999999993</v>
      </c>
      <c r="AE8" s="328"/>
      <c r="AF8" s="328"/>
      <c r="AG8" s="328"/>
      <c r="AH8" s="327">
        <v>125</v>
      </c>
      <c r="AI8" s="327">
        <v>100</v>
      </c>
      <c r="AJ8" s="327">
        <v>50</v>
      </c>
      <c r="AK8" s="327">
        <v>19</v>
      </c>
      <c r="AL8" s="327">
        <v>40</v>
      </c>
      <c r="AM8" s="327">
        <v>6</v>
      </c>
      <c r="AN8" s="327">
        <v>15.5</v>
      </c>
      <c r="AO8" s="327" t="s">
        <v>244</v>
      </c>
      <c r="AP8" s="327">
        <v>80</v>
      </c>
      <c r="AQ8" s="327">
        <v>10</v>
      </c>
      <c r="AR8" s="327">
        <v>165</v>
      </c>
      <c r="AS8" s="327">
        <v>175</v>
      </c>
      <c r="AT8" s="327">
        <v>134</v>
      </c>
      <c r="AU8" s="327">
        <v>215</v>
      </c>
      <c r="AV8" s="327">
        <v>287</v>
      </c>
      <c r="AW8" s="328">
        <v>337</v>
      </c>
      <c r="AX8" s="327">
        <v>100</v>
      </c>
      <c r="AY8" s="327">
        <v>80</v>
      </c>
      <c r="AZ8" s="327">
        <v>120</v>
      </c>
      <c r="BA8" s="327" t="s">
        <v>244</v>
      </c>
      <c r="BB8" s="327">
        <v>3</v>
      </c>
      <c r="BC8" s="327">
        <v>130</v>
      </c>
      <c r="BD8" s="327">
        <v>110</v>
      </c>
      <c r="BE8" s="327">
        <v>160</v>
      </c>
      <c r="BF8" s="327" t="s">
        <v>245</v>
      </c>
      <c r="BG8" s="327">
        <v>3.5</v>
      </c>
      <c r="BH8" s="327">
        <v>165</v>
      </c>
      <c r="BI8" s="327">
        <v>130</v>
      </c>
      <c r="BJ8" s="327">
        <v>200</v>
      </c>
      <c r="BK8" s="327">
        <v>12</v>
      </c>
      <c r="BL8" s="327">
        <v>3.5</v>
      </c>
      <c r="BM8" s="325" t="s">
        <v>568</v>
      </c>
      <c r="BN8" s="325" t="s">
        <v>568</v>
      </c>
      <c r="BO8" s="340" t="s">
        <v>714</v>
      </c>
      <c r="BP8" s="340" t="s">
        <v>714</v>
      </c>
      <c r="BQ8" s="328" t="s">
        <v>480</v>
      </c>
    </row>
    <row r="9" spans="1:70" ht="12" customHeight="1">
      <c r="A9" s="320">
        <v>8</v>
      </c>
      <c r="B9" s="336" t="s">
        <v>746</v>
      </c>
      <c r="C9" s="325" t="s">
        <v>745</v>
      </c>
      <c r="D9" s="336" t="s">
        <v>945</v>
      </c>
      <c r="E9" s="328">
        <v>80</v>
      </c>
      <c r="F9" s="365">
        <v>2</v>
      </c>
      <c r="G9" s="325">
        <v>0.75</v>
      </c>
      <c r="H9" s="325">
        <v>0.89999999999999991</v>
      </c>
      <c r="I9" s="325">
        <v>2845</v>
      </c>
      <c r="J9" s="335">
        <v>3414</v>
      </c>
      <c r="K9" s="328"/>
      <c r="L9" s="332">
        <v>1.74</v>
      </c>
      <c r="M9" s="331">
        <f t="shared" si="0"/>
        <v>1.8156521739130436</v>
      </c>
      <c r="N9" s="328">
        <v>0.83</v>
      </c>
      <c r="O9" s="339">
        <v>75</v>
      </c>
      <c r="P9" s="328"/>
      <c r="Q9" s="328"/>
      <c r="R9" s="328">
        <v>0.83</v>
      </c>
      <c r="S9" s="339">
        <v>75</v>
      </c>
      <c r="T9" s="328"/>
      <c r="U9" s="328"/>
      <c r="V9" s="339">
        <v>6.1</v>
      </c>
      <c r="W9" s="339">
        <v>2.2000000000000002</v>
      </c>
      <c r="X9" s="339">
        <v>2.2999999999999998</v>
      </c>
      <c r="Y9" s="328"/>
      <c r="Z9" s="328"/>
      <c r="AA9" s="328"/>
      <c r="AB9" s="328">
        <v>8.0000000000000004E-4</v>
      </c>
      <c r="AC9" s="328">
        <v>56</v>
      </c>
      <c r="AD9" s="325">
        <v>12</v>
      </c>
      <c r="AE9" s="328"/>
      <c r="AF9" s="328"/>
      <c r="AG9" s="328"/>
      <c r="AH9" s="327">
        <v>125</v>
      </c>
      <c r="AI9" s="327">
        <v>100</v>
      </c>
      <c r="AJ9" s="327">
        <v>50</v>
      </c>
      <c r="AK9" s="327">
        <v>19</v>
      </c>
      <c r="AL9" s="327">
        <v>40</v>
      </c>
      <c r="AM9" s="327">
        <v>6</v>
      </c>
      <c r="AN9" s="327">
        <v>15.5</v>
      </c>
      <c r="AO9" s="327" t="s">
        <v>244</v>
      </c>
      <c r="AP9" s="327">
        <v>80</v>
      </c>
      <c r="AQ9" s="327">
        <v>10</v>
      </c>
      <c r="AR9" s="327">
        <v>165</v>
      </c>
      <c r="AS9" s="327">
        <v>165</v>
      </c>
      <c r="AT9" s="327">
        <v>165</v>
      </c>
      <c r="AU9" s="327">
        <v>245</v>
      </c>
      <c r="AV9" s="327">
        <v>295</v>
      </c>
      <c r="AW9" s="327">
        <v>345</v>
      </c>
      <c r="AX9" s="327">
        <v>100</v>
      </c>
      <c r="AY9" s="327">
        <v>80</v>
      </c>
      <c r="AZ9" s="327">
        <v>120</v>
      </c>
      <c r="BA9" s="327" t="s">
        <v>244</v>
      </c>
      <c r="BB9" s="327">
        <v>3</v>
      </c>
      <c r="BC9" s="327">
        <v>130</v>
      </c>
      <c r="BD9" s="327">
        <v>110</v>
      </c>
      <c r="BE9" s="327">
        <v>160</v>
      </c>
      <c r="BF9" s="327" t="s">
        <v>245</v>
      </c>
      <c r="BG9" s="327">
        <v>3.5</v>
      </c>
      <c r="BH9" s="327">
        <v>165</v>
      </c>
      <c r="BI9" s="327">
        <v>130</v>
      </c>
      <c r="BJ9" s="327">
        <v>200</v>
      </c>
      <c r="BK9" s="327">
        <v>12</v>
      </c>
      <c r="BL9" s="327">
        <v>3.5</v>
      </c>
      <c r="BM9" s="325" t="s">
        <v>568</v>
      </c>
      <c r="BN9" s="325" t="s">
        <v>568</v>
      </c>
      <c r="BO9" s="326"/>
      <c r="BP9" s="326"/>
      <c r="BQ9" s="325" t="s">
        <v>480</v>
      </c>
    </row>
    <row r="10" spans="1:70" ht="12" customHeight="1">
      <c r="A10" s="320">
        <v>9</v>
      </c>
      <c r="B10" s="336" t="s">
        <v>767</v>
      </c>
      <c r="C10" s="325" t="s">
        <v>745</v>
      </c>
      <c r="D10" s="336" t="s">
        <v>944</v>
      </c>
      <c r="E10" s="328">
        <v>80</v>
      </c>
      <c r="F10" s="328">
        <v>2</v>
      </c>
      <c r="G10" s="325">
        <v>1.1000000000000001</v>
      </c>
      <c r="H10" s="325">
        <v>1.32</v>
      </c>
      <c r="I10" s="325">
        <v>2835</v>
      </c>
      <c r="J10" s="325">
        <v>3402</v>
      </c>
      <c r="K10" s="328"/>
      <c r="L10" s="332">
        <v>2.34</v>
      </c>
      <c r="M10" s="333">
        <f t="shared" si="0"/>
        <v>2.4417391304347822</v>
      </c>
      <c r="N10" s="325">
        <v>0.84</v>
      </c>
      <c r="O10" s="339">
        <v>76.2</v>
      </c>
      <c r="P10" s="328"/>
      <c r="Q10" s="328"/>
      <c r="R10" s="325">
        <v>0.84</v>
      </c>
      <c r="S10" s="339">
        <v>76.2</v>
      </c>
      <c r="T10" s="328"/>
      <c r="U10" s="328"/>
      <c r="V10" s="325">
        <v>6.9</v>
      </c>
      <c r="W10" s="325">
        <v>2.2999999999999998</v>
      </c>
      <c r="X10" s="325">
        <v>2.2000000000000002</v>
      </c>
      <c r="Y10" s="328"/>
      <c r="Z10" s="328"/>
      <c r="AA10" s="328"/>
      <c r="AB10" s="329">
        <v>1.4E-3</v>
      </c>
      <c r="AC10" s="328">
        <v>56</v>
      </c>
      <c r="AD10" s="325">
        <v>9.5</v>
      </c>
      <c r="AE10" s="328"/>
      <c r="AF10" s="328"/>
      <c r="AG10" s="328"/>
      <c r="AH10" s="327">
        <v>125</v>
      </c>
      <c r="AI10" s="327">
        <v>100</v>
      </c>
      <c r="AJ10" s="327">
        <v>50</v>
      </c>
      <c r="AK10" s="327">
        <v>19</v>
      </c>
      <c r="AL10" s="327">
        <v>40</v>
      </c>
      <c r="AM10" s="327">
        <v>6</v>
      </c>
      <c r="AN10" s="327">
        <v>15.5</v>
      </c>
      <c r="AO10" s="327" t="s">
        <v>244</v>
      </c>
      <c r="AP10" s="327">
        <v>80</v>
      </c>
      <c r="AQ10" s="327">
        <v>10</v>
      </c>
      <c r="AR10" s="327">
        <v>165</v>
      </c>
      <c r="AS10" s="327">
        <v>175</v>
      </c>
      <c r="AT10" s="327">
        <v>134</v>
      </c>
      <c r="AU10" s="327">
        <v>215</v>
      </c>
      <c r="AV10" s="327">
        <v>287</v>
      </c>
      <c r="AW10" s="328">
        <v>337</v>
      </c>
      <c r="AX10" s="327">
        <v>100</v>
      </c>
      <c r="AY10" s="327">
        <v>80</v>
      </c>
      <c r="AZ10" s="327">
        <v>120</v>
      </c>
      <c r="BA10" s="327" t="s">
        <v>244</v>
      </c>
      <c r="BB10" s="327">
        <v>3</v>
      </c>
      <c r="BC10" s="327">
        <v>130</v>
      </c>
      <c r="BD10" s="327">
        <v>110</v>
      </c>
      <c r="BE10" s="327">
        <v>160</v>
      </c>
      <c r="BF10" s="327" t="s">
        <v>245</v>
      </c>
      <c r="BG10" s="327">
        <v>3.5</v>
      </c>
      <c r="BH10" s="327">
        <v>165</v>
      </c>
      <c r="BI10" s="327">
        <v>130</v>
      </c>
      <c r="BJ10" s="327">
        <v>200</v>
      </c>
      <c r="BK10" s="327">
        <v>12</v>
      </c>
      <c r="BL10" s="327">
        <v>3.5</v>
      </c>
      <c r="BM10" s="325" t="s">
        <v>568</v>
      </c>
      <c r="BN10" s="325" t="s">
        <v>568</v>
      </c>
      <c r="BO10" s="340" t="s">
        <v>714</v>
      </c>
      <c r="BP10" s="340" t="s">
        <v>714</v>
      </c>
      <c r="BQ10" s="328" t="s">
        <v>480</v>
      </c>
    </row>
    <row r="11" spans="1:70" ht="12" customHeight="1">
      <c r="A11" s="320">
        <v>10</v>
      </c>
      <c r="B11" s="336" t="s">
        <v>746</v>
      </c>
      <c r="C11" s="325" t="s">
        <v>745</v>
      </c>
      <c r="D11" s="336" t="s">
        <v>943</v>
      </c>
      <c r="E11" s="328">
        <v>80</v>
      </c>
      <c r="F11" s="365">
        <v>2</v>
      </c>
      <c r="G11" s="325">
        <v>1.1000000000000001</v>
      </c>
      <c r="H11" s="325">
        <v>1.32</v>
      </c>
      <c r="I11" s="325">
        <v>2840</v>
      </c>
      <c r="J11" s="335">
        <v>3408</v>
      </c>
      <c r="K11" s="328"/>
      <c r="L11" s="332">
        <v>2.48</v>
      </c>
      <c r="M11" s="331">
        <f t="shared" si="0"/>
        <v>2.5878260869565217</v>
      </c>
      <c r="N11" s="328">
        <v>0.84</v>
      </c>
      <c r="O11" s="339">
        <v>76.2</v>
      </c>
      <c r="P11" s="328"/>
      <c r="Q11" s="328"/>
      <c r="R11" s="328">
        <v>0.84</v>
      </c>
      <c r="S11" s="339">
        <v>76.2</v>
      </c>
      <c r="T11" s="328"/>
      <c r="U11" s="328"/>
      <c r="V11" s="339">
        <v>7</v>
      </c>
      <c r="W11" s="339">
        <v>2.2000000000000002</v>
      </c>
      <c r="X11" s="339">
        <v>2.2999999999999998</v>
      </c>
      <c r="Y11" s="328"/>
      <c r="Z11" s="328"/>
      <c r="AA11" s="328"/>
      <c r="AB11" s="329">
        <v>1E-3</v>
      </c>
      <c r="AC11" s="328">
        <v>56</v>
      </c>
      <c r="AD11" s="325">
        <v>14</v>
      </c>
      <c r="AE11" s="328"/>
      <c r="AF11" s="328"/>
      <c r="AG11" s="328"/>
      <c r="AH11" s="327">
        <v>125</v>
      </c>
      <c r="AI11" s="327">
        <v>100</v>
      </c>
      <c r="AJ11" s="327">
        <v>50</v>
      </c>
      <c r="AK11" s="327">
        <v>19</v>
      </c>
      <c r="AL11" s="327">
        <v>40</v>
      </c>
      <c r="AM11" s="327">
        <v>6</v>
      </c>
      <c r="AN11" s="327">
        <v>15.5</v>
      </c>
      <c r="AO11" s="327" t="s">
        <v>244</v>
      </c>
      <c r="AP11" s="327">
        <v>80</v>
      </c>
      <c r="AQ11" s="327">
        <v>10</v>
      </c>
      <c r="AR11" s="327">
        <v>165</v>
      </c>
      <c r="AS11" s="327">
        <v>165</v>
      </c>
      <c r="AT11" s="327">
        <v>165</v>
      </c>
      <c r="AU11" s="327">
        <v>245</v>
      </c>
      <c r="AV11" s="327">
        <v>295</v>
      </c>
      <c r="AW11" s="327">
        <v>345</v>
      </c>
      <c r="AX11" s="327">
        <v>100</v>
      </c>
      <c r="AY11" s="327">
        <v>80</v>
      </c>
      <c r="AZ11" s="327">
        <v>120</v>
      </c>
      <c r="BA11" s="327" t="s">
        <v>244</v>
      </c>
      <c r="BB11" s="327">
        <v>3</v>
      </c>
      <c r="BC11" s="327">
        <v>130</v>
      </c>
      <c r="BD11" s="327">
        <v>110</v>
      </c>
      <c r="BE11" s="327">
        <v>160</v>
      </c>
      <c r="BF11" s="327" t="s">
        <v>245</v>
      </c>
      <c r="BG11" s="327">
        <v>3.5</v>
      </c>
      <c r="BH11" s="327">
        <v>165</v>
      </c>
      <c r="BI11" s="327">
        <v>130</v>
      </c>
      <c r="BJ11" s="327">
        <v>200</v>
      </c>
      <c r="BK11" s="327">
        <v>12</v>
      </c>
      <c r="BL11" s="327">
        <v>3.5</v>
      </c>
      <c r="BM11" s="325" t="s">
        <v>568</v>
      </c>
      <c r="BN11" s="325" t="s">
        <v>568</v>
      </c>
      <c r="BO11" s="326"/>
      <c r="BP11" s="326"/>
      <c r="BQ11" s="325" t="s">
        <v>480</v>
      </c>
    </row>
    <row r="12" spans="1:70" ht="12" customHeight="1">
      <c r="A12" s="320">
        <v>11</v>
      </c>
      <c r="B12" s="336" t="s">
        <v>767</v>
      </c>
      <c r="C12" s="325" t="s">
        <v>745</v>
      </c>
      <c r="D12" s="336" t="s">
        <v>942</v>
      </c>
      <c r="E12" s="328">
        <v>90</v>
      </c>
      <c r="F12" s="328">
        <v>2</v>
      </c>
      <c r="G12" s="325">
        <v>1.5</v>
      </c>
      <c r="H12" s="325">
        <v>1.7999999999999998</v>
      </c>
      <c r="I12" s="325">
        <v>2850</v>
      </c>
      <c r="J12" s="325">
        <v>3420</v>
      </c>
      <c r="K12" s="328"/>
      <c r="L12" s="332">
        <v>3.29</v>
      </c>
      <c r="M12" s="331">
        <f t="shared" si="0"/>
        <v>3.4330434782608696</v>
      </c>
      <c r="N12" s="325">
        <v>0.84</v>
      </c>
      <c r="O12" s="339">
        <v>78.5</v>
      </c>
      <c r="P12" s="328"/>
      <c r="Q12" s="328"/>
      <c r="R12" s="325">
        <v>0.84</v>
      </c>
      <c r="S12" s="339">
        <v>78.5</v>
      </c>
      <c r="T12" s="328"/>
      <c r="U12" s="328"/>
      <c r="V12" s="339">
        <v>7</v>
      </c>
      <c r="W12" s="325">
        <v>2.2999999999999998</v>
      </c>
      <c r="X12" s="325">
        <v>2.2000000000000002</v>
      </c>
      <c r="Y12" s="328"/>
      <c r="Z12" s="328"/>
      <c r="AA12" s="328"/>
      <c r="AB12" s="329">
        <v>2.8999999999999998E-3</v>
      </c>
      <c r="AC12" s="328">
        <v>60</v>
      </c>
      <c r="AD12" s="325">
        <v>12</v>
      </c>
      <c r="AE12" s="328"/>
      <c r="AF12" s="328"/>
      <c r="AG12" s="328"/>
      <c r="AH12" s="327">
        <v>140</v>
      </c>
      <c r="AI12" s="327">
        <v>100</v>
      </c>
      <c r="AJ12" s="327">
        <v>56</v>
      </c>
      <c r="AK12" s="327">
        <v>24</v>
      </c>
      <c r="AL12" s="327">
        <v>50</v>
      </c>
      <c r="AM12" s="327">
        <v>8</v>
      </c>
      <c r="AN12" s="327">
        <v>20</v>
      </c>
      <c r="AO12" s="327" t="s">
        <v>245</v>
      </c>
      <c r="AP12" s="327">
        <v>90</v>
      </c>
      <c r="AQ12" s="327">
        <v>10</v>
      </c>
      <c r="AR12" s="327">
        <v>180</v>
      </c>
      <c r="AS12" s="327">
        <v>195</v>
      </c>
      <c r="AT12" s="327">
        <v>140</v>
      </c>
      <c r="AU12" s="327">
        <v>230</v>
      </c>
      <c r="AV12" s="327">
        <v>315</v>
      </c>
      <c r="AW12" s="327">
        <v>365</v>
      </c>
      <c r="AX12" s="327">
        <v>115</v>
      </c>
      <c r="AY12" s="327">
        <v>95</v>
      </c>
      <c r="AZ12" s="327">
        <v>140</v>
      </c>
      <c r="BA12" s="327" t="s">
        <v>245</v>
      </c>
      <c r="BB12" s="327">
        <v>3</v>
      </c>
      <c r="BC12" s="327">
        <v>130</v>
      </c>
      <c r="BD12" s="327">
        <v>110</v>
      </c>
      <c r="BE12" s="327">
        <v>160</v>
      </c>
      <c r="BF12" s="327" t="s">
        <v>245</v>
      </c>
      <c r="BG12" s="327">
        <v>3.5</v>
      </c>
      <c r="BH12" s="327">
        <v>165</v>
      </c>
      <c r="BI12" s="327">
        <v>130</v>
      </c>
      <c r="BJ12" s="327">
        <v>200</v>
      </c>
      <c r="BK12" s="327">
        <v>12</v>
      </c>
      <c r="BL12" s="327">
        <v>3.5</v>
      </c>
      <c r="BM12" s="325" t="s">
        <v>485</v>
      </c>
      <c r="BN12" s="325" t="s">
        <v>485</v>
      </c>
      <c r="BO12" s="340" t="s">
        <v>686</v>
      </c>
      <c r="BP12" s="340" t="s">
        <v>686</v>
      </c>
      <c r="BQ12" s="325" t="s">
        <v>480</v>
      </c>
    </row>
    <row r="13" spans="1:70" ht="12" customHeight="1">
      <c r="A13" s="320">
        <v>12</v>
      </c>
      <c r="B13" s="336" t="s">
        <v>746</v>
      </c>
      <c r="C13" s="325" t="s">
        <v>745</v>
      </c>
      <c r="D13" s="336" t="s">
        <v>941</v>
      </c>
      <c r="E13" s="328">
        <v>90</v>
      </c>
      <c r="F13" s="365">
        <v>2</v>
      </c>
      <c r="G13" s="325">
        <v>1.5</v>
      </c>
      <c r="H13" s="325">
        <v>1.7999999999999998</v>
      </c>
      <c r="I13" s="325">
        <v>2840</v>
      </c>
      <c r="J13" s="335">
        <v>3408</v>
      </c>
      <c r="K13" s="328"/>
      <c r="L13" s="332">
        <v>3.28</v>
      </c>
      <c r="M13" s="331">
        <f t="shared" si="0"/>
        <v>3.4226086956521735</v>
      </c>
      <c r="N13" s="328">
        <v>0.84</v>
      </c>
      <c r="O13" s="339">
        <v>78.5</v>
      </c>
      <c r="P13" s="328"/>
      <c r="Q13" s="328"/>
      <c r="R13" s="328">
        <v>0.84</v>
      </c>
      <c r="S13" s="339">
        <v>78.5</v>
      </c>
      <c r="T13" s="328"/>
      <c r="U13" s="328"/>
      <c r="V13" s="339">
        <v>7</v>
      </c>
      <c r="W13" s="339">
        <v>2.2000000000000002</v>
      </c>
      <c r="X13" s="339">
        <v>2.2999999999999998</v>
      </c>
      <c r="Y13" s="328"/>
      <c r="Z13" s="328"/>
      <c r="AA13" s="328"/>
      <c r="AB13" s="329">
        <v>1.5E-3</v>
      </c>
      <c r="AC13" s="328">
        <v>60</v>
      </c>
      <c r="AD13" s="325">
        <v>18</v>
      </c>
      <c r="AE13" s="328"/>
      <c r="AF13" s="328"/>
      <c r="AG13" s="328"/>
      <c r="AH13" s="327">
        <v>140</v>
      </c>
      <c r="AI13" s="327">
        <v>100</v>
      </c>
      <c r="AJ13" s="327">
        <v>56</v>
      </c>
      <c r="AK13" s="327">
        <v>24</v>
      </c>
      <c r="AL13" s="327">
        <v>50</v>
      </c>
      <c r="AM13" s="327">
        <v>8</v>
      </c>
      <c r="AN13" s="327">
        <v>20</v>
      </c>
      <c r="AO13" s="327" t="s">
        <v>245</v>
      </c>
      <c r="AP13" s="327">
        <v>90</v>
      </c>
      <c r="AQ13" s="327">
        <v>10</v>
      </c>
      <c r="AR13" s="327">
        <v>180</v>
      </c>
      <c r="AS13" s="327">
        <v>180</v>
      </c>
      <c r="AT13" s="327">
        <v>175</v>
      </c>
      <c r="AU13" s="327">
        <v>265</v>
      </c>
      <c r="AV13" s="327">
        <v>315</v>
      </c>
      <c r="AW13" s="327">
        <v>365</v>
      </c>
      <c r="AX13" s="327">
        <v>115</v>
      </c>
      <c r="AY13" s="327">
        <v>95</v>
      </c>
      <c r="AZ13" s="327">
        <v>140</v>
      </c>
      <c r="BA13" s="327" t="s">
        <v>245</v>
      </c>
      <c r="BB13" s="327">
        <v>3</v>
      </c>
      <c r="BC13" s="327">
        <v>130</v>
      </c>
      <c r="BD13" s="327">
        <v>110</v>
      </c>
      <c r="BE13" s="327">
        <v>160</v>
      </c>
      <c r="BF13" s="327" t="s">
        <v>245</v>
      </c>
      <c r="BG13" s="327">
        <v>3.5</v>
      </c>
      <c r="BH13" s="327">
        <v>165</v>
      </c>
      <c r="BI13" s="327">
        <v>130</v>
      </c>
      <c r="BJ13" s="327">
        <v>200</v>
      </c>
      <c r="BK13" s="327">
        <v>12</v>
      </c>
      <c r="BL13" s="327">
        <v>3.5</v>
      </c>
      <c r="BM13" s="325" t="s">
        <v>485</v>
      </c>
      <c r="BN13" s="325" t="s">
        <v>485</v>
      </c>
      <c r="BO13" s="326"/>
      <c r="BP13" s="326"/>
      <c r="BQ13" s="325" t="s">
        <v>480</v>
      </c>
    </row>
    <row r="14" spans="1:70" ht="12" customHeight="1">
      <c r="A14" s="320">
        <v>13</v>
      </c>
      <c r="B14" s="336" t="s">
        <v>767</v>
      </c>
      <c r="C14" s="325" t="s">
        <v>745</v>
      </c>
      <c r="D14" s="336" t="s">
        <v>940</v>
      </c>
      <c r="E14" s="328">
        <v>90</v>
      </c>
      <c r="F14" s="328">
        <v>2</v>
      </c>
      <c r="G14" s="325">
        <v>2.2000000000000002</v>
      </c>
      <c r="H14" s="325">
        <v>2.64</v>
      </c>
      <c r="I14" s="325">
        <v>2855</v>
      </c>
      <c r="J14" s="325">
        <v>3426</v>
      </c>
      <c r="K14" s="328"/>
      <c r="L14" s="332">
        <v>4.5999999999999996</v>
      </c>
      <c r="M14" s="331">
        <f t="shared" si="0"/>
        <v>4.8</v>
      </c>
      <c r="N14" s="325">
        <v>0.85</v>
      </c>
      <c r="O14" s="339">
        <v>81</v>
      </c>
      <c r="P14" s="328"/>
      <c r="Q14" s="328"/>
      <c r="R14" s="325">
        <v>0.85</v>
      </c>
      <c r="S14" s="339">
        <v>81</v>
      </c>
      <c r="T14" s="328"/>
      <c r="U14" s="328"/>
      <c r="V14" s="339">
        <v>7</v>
      </c>
      <c r="W14" s="325">
        <v>2.2999999999999998</v>
      </c>
      <c r="X14" s="325">
        <v>2.2000000000000002</v>
      </c>
      <c r="Y14" s="328"/>
      <c r="Z14" s="328"/>
      <c r="AA14" s="328"/>
      <c r="AB14" s="329">
        <v>5.4999999999999997E-3</v>
      </c>
      <c r="AC14" s="328">
        <v>60</v>
      </c>
      <c r="AD14" s="325">
        <v>13.5</v>
      </c>
      <c r="AE14" s="328"/>
      <c r="AF14" s="328"/>
      <c r="AG14" s="328"/>
      <c r="AH14" s="327">
        <v>140</v>
      </c>
      <c r="AI14" s="327">
        <v>125</v>
      </c>
      <c r="AJ14" s="327">
        <v>56</v>
      </c>
      <c r="AK14" s="327">
        <v>24</v>
      </c>
      <c r="AL14" s="327">
        <v>50</v>
      </c>
      <c r="AM14" s="327">
        <v>8</v>
      </c>
      <c r="AN14" s="327">
        <v>20</v>
      </c>
      <c r="AO14" s="327" t="s">
        <v>245</v>
      </c>
      <c r="AP14" s="327">
        <v>90</v>
      </c>
      <c r="AQ14" s="327">
        <v>10</v>
      </c>
      <c r="AR14" s="327">
        <v>180</v>
      </c>
      <c r="AS14" s="327">
        <v>195</v>
      </c>
      <c r="AT14" s="327">
        <v>140</v>
      </c>
      <c r="AU14" s="327">
        <v>230</v>
      </c>
      <c r="AV14" s="327">
        <v>340</v>
      </c>
      <c r="AW14" s="327">
        <v>390</v>
      </c>
      <c r="AX14" s="327">
        <v>115</v>
      </c>
      <c r="AY14" s="327">
        <v>95</v>
      </c>
      <c r="AZ14" s="327">
        <v>140</v>
      </c>
      <c r="BA14" s="327" t="s">
        <v>245</v>
      </c>
      <c r="BB14" s="327">
        <v>3</v>
      </c>
      <c r="BC14" s="327">
        <v>130</v>
      </c>
      <c r="BD14" s="327">
        <v>110</v>
      </c>
      <c r="BE14" s="327">
        <v>160</v>
      </c>
      <c r="BF14" s="327" t="s">
        <v>245</v>
      </c>
      <c r="BG14" s="327">
        <v>3.5</v>
      </c>
      <c r="BH14" s="327">
        <v>165</v>
      </c>
      <c r="BI14" s="327">
        <v>130</v>
      </c>
      <c r="BJ14" s="327">
        <v>200</v>
      </c>
      <c r="BK14" s="327">
        <v>12</v>
      </c>
      <c r="BL14" s="327">
        <v>3.5</v>
      </c>
      <c r="BM14" s="325" t="s">
        <v>485</v>
      </c>
      <c r="BN14" s="325" t="s">
        <v>485</v>
      </c>
      <c r="BO14" s="340" t="s">
        <v>686</v>
      </c>
      <c r="BP14" s="340" t="s">
        <v>686</v>
      </c>
      <c r="BQ14" s="325" t="s">
        <v>480</v>
      </c>
    </row>
    <row r="15" spans="1:70" s="328" customFormat="1" ht="12" customHeight="1">
      <c r="A15" s="320">
        <v>14</v>
      </c>
      <c r="B15" s="336" t="s">
        <v>746</v>
      </c>
      <c r="C15" s="325" t="s">
        <v>745</v>
      </c>
      <c r="D15" s="336" t="s">
        <v>939</v>
      </c>
      <c r="E15" s="328">
        <v>90</v>
      </c>
      <c r="F15" s="365">
        <v>2</v>
      </c>
      <c r="G15" s="325">
        <v>2.2000000000000002</v>
      </c>
      <c r="H15" s="325">
        <v>2.64</v>
      </c>
      <c r="I15" s="325">
        <v>2840</v>
      </c>
      <c r="J15" s="335">
        <v>3408</v>
      </c>
      <c r="L15" s="332">
        <v>4.6100000000000003</v>
      </c>
      <c r="M15" s="331">
        <f t="shared" si="0"/>
        <v>4.8104347826086959</v>
      </c>
      <c r="N15" s="328">
        <v>0.85</v>
      </c>
      <c r="O15" s="339">
        <v>81</v>
      </c>
      <c r="R15" s="328">
        <v>0.85</v>
      </c>
      <c r="S15" s="339">
        <v>81</v>
      </c>
      <c r="V15" s="339">
        <v>7</v>
      </c>
      <c r="W15" s="339">
        <v>2.2000000000000002</v>
      </c>
      <c r="X15" s="339">
        <v>2.2999999999999998</v>
      </c>
      <c r="AB15" s="329">
        <v>2.0999999999999999E-3</v>
      </c>
      <c r="AC15" s="328">
        <v>60</v>
      </c>
      <c r="AD15" s="325">
        <v>24</v>
      </c>
      <c r="AH15" s="327">
        <v>140</v>
      </c>
      <c r="AI15" s="327">
        <v>125</v>
      </c>
      <c r="AJ15" s="327">
        <v>56</v>
      </c>
      <c r="AK15" s="327">
        <v>24</v>
      </c>
      <c r="AL15" s="327">
        <v>50</v>
      </c>
      <c r="AM15" s="327">
        <v>8</v>
      </c>
      <c r="AN15" s="327">
        <v>20</v>
      </c>
      <c r="AO15" s="327" t="s">
        <v>245</v>
      </c>
      <c r="AP15" s="327">
        <v>90</v>
      </c>
      <c r="AQ15" s="327">
        <v>10</v>
      </c>
      <c r="AR15" s="327">
        <v>180</v>
      </c>
      <c r="AS15" s="327">
        <v>180</v>
      </c>
      <c r="AT15" s="327">
        <v>175</v>
      </c>
      <c r="AU15" s="327">
        <v>265</v>
      </c>
      <c r="AV15" s="327">
        <v>315</v>
      </c>
      <c r="AW15" s="327">
        <v>390</v>
      </c>
      <c r="AX15" s="327">
        <v>115</v>
      </c>
      <c r="AY15" s="327">
        <v>95</v>
      </c>
      <c r="AZ15" s="327">
        <v>140</v>
      </c>
      <c r="BA15" s="327" t="s">
        <v>245</v>
      </c>
      <c r="BB15" s="327">
        <v>3</v>
      </c>
      <c r="BC15" s="327">
        <v>130</v>
      </c>
      <c r="BD15" s="327">
        <v>110</v>
      </c>
      <c r="BE15" s="327">
        <v>160</v>
      </c>
      <c r="BF15" s="327" t="s">
        <v>245</v>
      </c>
      <c r="BG15" s="327">
        <v>3.5</v>
      </c>
      <c r="BH15" s="327">
        <v>165</v>
      </c>
      <c r="BI15" s="327">
        <v>130</v>
      </c>
      <c r="BJ15" s="327">
        <v>200</v>
      </c>
      <c r="BK15" s="327">
        <v>12</v>
      </c>
      <c r="BL15" s="327">
        <v>3.5</v>
      </c>
      <c r="BM15" s="325" t="s">
        <v>485</v>
      </c>
      <c r="BN15" s="325" t="s">
        <v>485</v>
      </c>
      <c r="BO15" s="326"/>
      <c r="BP15" s="326"/>
      <c r="BQ15" s="325" t="s">
        <v>480</v>
      </c>
      <c r="BR15" s="320"/>
    </row>
    <row r="16" spans="1:70" s="328" customFormat="1" ht="12" customHeight="1">
      <c r="A16" s="320">
        <v>15</v>
      </c>
      <c r="B16" s="336" t="s">
        <v>767</v>
      </c>
      <c r="C16" s="325" t="s">
        <v>745</v>
      </c>
      <c r="D16" s="336" t="s">
        <v>938</v>
      </c>
      <c r="E16" s="328">
        <v>100</v>
      </c>
      <c r="F16" s="328">
        <v>2</v>
      </c>
      <c r="G16" s="325">
        <v>3</v>
      </c>
      <c r="H16" s="325">
        <v>3.5999999999999996</v>
      </c>
      <c r="I16" s="325">
        <v>2860</v>
      </c>
      <c r="J16" s="325">
        <v>3432</v>
      </c>
      <c r="L16" s="332">
        <v>6.02</v>
      </c>
      <c r="M16" s="331">
        <f t="shared" si="0"/>
        <v>6.281739130434782</v>
      </c>
      <c r="N16" s="325">
        <v>0.87</v>
      </c>
      <c r="O16" s="339">
        <v>82.6</v>
      </c>
      <c r="R16" s="325">
        <v>0.87</v>
      </c>
      <c r="S16" s="339">
        <v>82.6</v>
      </c>
      <c r="V16" s="325">
        <v>7.5</v>
      </c>
      <c r="W16" s="325">
        <v>2.2999999999999998</v>
      </c>
      <c r="X16" s="325">
        <v>2.2000000000000002</v>
      </c>
      <c r="AB16" s="329">
        <v>1.09E-2</v>
      </c>
      <c r="AC16" s="328">
        <v>63</v>
      </c>
      <c r="AD16" s="325">
        <v>21</v>
      </c>
      <c r="AH16" s="327">
        <v>160</v>
      </c>
      <c r="AI16" s="327">
        <v>140</v>
      </c>
      <c r="AJ16" s="327">
        <v>63</v>
      </c>
      <c r="AK16" s="327">
        <v>28</v>
      </c>
      <c r="AL16" s="327">
        <v>60</v>
      </c>
      <c r="AM16" s="327">
        <v>8</v>
      </c>
      <c r="AN16" s="327">
        <v>24</v>
      </c>
      <c r="AO16" s="327" t="s">
        <v>246</v>
      </c>
      <c r="AP16" s="327">
        <v>100</v>
      </c>
      <c r="AQ16" s="327">
        <v>12</v>
      </c>
      <c r="AR16" s="327">
        <v>205</v>
      </c>
      <c r="AS16" s="327">
        <v>215</v>
      </c>
      <c r="AT16" s="327">
        <v>160</v>
      </c>
      <c r="AU16" s="327">
        <v>260</v>
      </c>
      <c r="AV16" s="327">
        <v>385</v>
      </c>
      <c r="AW16" s="328">
        <v>435</v>
      </c>
      <c r="AX16" s="327">
        <v>130</v>
      </c>
      <c r="AY16" s="327">
        <v>110</v>
      </c>
      <c r="AZ16" s="327">
        <v>160</v>
      </c>
      <c r="BA16" s="327" t="s">
        <v>245</v>
      </c>
      <c r="BB16" s="327">
        <v>3.5</v>
      </c>
      <c r="BC16" s="327">
        <v>165</v>
      </c>
      <c r="BD16" s="327">
        <v>130</v>
      </c>
      <c r="BE16" s="327">
        <v>200</v>
      </c>
      <c r="BF16" s="327" t="s">
        <v>246</v>
      </c>
      <c r="BG16" s="327">
        <v>3.5</v>
      </c>
      <c r="BH16" s="327">
        <v>215</v>
      </c>
      <c r="BI16" s="327">
        <v>180</v>
      </c>
      <c r="BJ16" s="327">
        <v>250</v>
      </c>
      <c r="BK16" s="327">
        <v>15</v>
      </c>
      <c r="BL16" s="327">
        <v>4</v>
      </c>
      <c r="BM16" s="325" t="s">
        <v>475</v>
      </c>
      <c r="BN16" s="325" t="s">
        <v>475</v>
      </c>
      <c r="BO16" s="340" t="s">
        <v>682</v>
      </c>
      <c r="BP16" s="340" t="s">
        <v>682</v>
      </c>
      <c r="BQ16" s="325" t="s">
        <v>480</v>
      </c>
      <c r="BR16" s="320"/>
    </row>
    <row r="17" spans="1:70" s="328" customFormat="1" ht="12" customHeight="1">
      <c r="A17" s="320">
        <v>16</v>
      </c>
      <c r="B17" s="336" t="s">
        <v>746</v>
      </c>
      <c r="C17" s="325" t="s">
        <v>745</v>
      </c>
      <c r="D17" s="336" t="s">
        <v>937</v>
      </c>
      <c r="E17" s="328">
        <v>100</v>
      </c>
      <c r="F17" s="365">
        <v>2</v>
      </c>
      <c r="G17" s="325">
        <v>3</v>
      </c>
      <c r="H17" s="325">
        <v>3.5999999999999996</v>
      </c>
      <c r="I17" s="325">
        <v>2860</v>
      </c>
      <c r="J17" s="335">
        <v>3432</v>
      </c>
      <c r="L17" s="332">
        <v>6.03</v>
      </c>
      <c r="M17" s="331">
        <f t="shared" si="0"/>
        <v>6.2921739130434782</v>
      </c>
      <c r="N17" s="332">
        <v>0.87</v>
      </c>
      <c r="O17" s="328">
        <v>82.6</v>
      </c>
      <c r="R17" s="332">
        <v>0.87</v>
      </c>
      <c r="S17" s="328">
        <v>82.6</v>
      </c>
      <c r="V17" s="339">
        <v>7.5</v>
      </c>
      <c r="W17" s="339">
        <v>2.2000000000000002</v>
      </c>
      <c r="X17" s="339">
        <v>2.2999999999999998</v>
      </c>
      <c r="AB17" s="329">
        <v>3.0999999999999999E-3</v>
      </c>
      <c r="AC17" s="328">
        <v>63</v>
      </c>
      <c r="AD17" s="325">
        <v>30</v>
      </c>
      <c r="AH17" s="327">
        <v>160</v>
      </c>
      <c r="AI17" s="327">
        <v>140</v>
      </c>
      <c r="AJ17" s="327">
        <v>63</v>
      </c>
      <c r="AK17" s="327">
        <v>28</v>
      </c>
      <c r="AL17" s="327">
        <v>60</v>
      </c>
      <c r="AM17" s="327">
        <v>8</v>
      </c>
      <c r="AN17" s="327">
        <v>24</v>
      </c>
      <c r="AO17" s="327" t="s">
        <v>246</v>
      </c>
      <c r="AP17" s="327">
        <v>100</v>
      </c>
      <c r="AQ17" s="327">
        <v>12</v>
      </c>
      <c r="AR17" s="327">
        <v>205</v>
      </c>
      <c r="AS17" s="327">
        <v>205</v>
      </c>
      <c r="AT17" s="327">
        <v>200</v>
      </c>
      <c r="AU17" s="327">
        <v>290</v>
      </c>
      <c r="AV17" s="327">
        <v>385</v>
      </c>
      <c r="AW17" s="327">
        <v>435</v>
      </c>
      <c r="AX17" s="327">
        <v>130</v>
      </c>
      <c r="AY17" s="327">
        <v>110</v>
      </c>
      <c r="AZ17" s="327">
        <v>160</v>
      </c>
      <c r="BA17" s="327" t="s">
        <v>245</v>
      </c>
      <c r="BB17" s="327">
        <v>3.5</v>
      </c>
      <c r="BC17" s="327">
        <v>165</v>
      </c>
      <c r="BD17" s="327">
        <v>130</v>
      </c>
      <c r="BE17" s="327">
        <v>200</v>
      </c>
      <c r="BF17" s="327" t="s">
        <v>246</v>
      </c>
      <c r="BG17" s="327">
        <v>3.5</v>
      </c>
      <c r="BH17" s="327">
        <v>215</v>
      </c>
      <c r="BI17" s="327">
        <v>180</v>
      </c>
      <c r="BJ17" s="327">
        <v>250</v>
      </c>
      <c r="BK17" s="327">
        <v>15</v>
      </c>
      <c r="BL17" s="327">
        <v>4</v>
      </c>
      <c r="BM17" s="325" t="s">
        <v>475</v>
      </c>
      <c r="BN17" s="325" t="s">
        <v>475</v>
      </c>
      <c r="BO17" s="326"/>
      <c r="BP17" s="326"/>
      <c r="BQ17" s="325" t="s">
        <v>480</v>
      </c>
      <c r="BR17" s="320"/>
    </row>
    <row r="18" spans="1:70" s="328" customFormat="1" ht="12" customHeight="1">
      <c r="A18" s="320">
        <v>17</v>
      </c>
      <c r="B18" s="336" t="s">
        <v>767</v>
      </c>
      <c r="C18" s="325" t="s">
        <v>745</v>
      </c>
      <c r="D18" s="336" t="s">
        <v>936</v>
      </c>
      <c r="E18" s="328">
        <v>112</v>
      </c>
      <c r="F18" s="328">
        <v>2</v>
      </c>
      <c r="G18" s="325">
        <v>4</v>
      </c>
      <c r="H18" s="325">
        <v>4.8</v>
      </c>
      <c r="I18" s="325">
        <v>2880</v>
      </c>
      <c r="J18" s="325">
        <v>3456</v>
      </c>
      <c r="L18" s="332">
        <v>7.8</v>
      </c>
      <c r="M18" s="331">
        <f t="shared" si="0"/>
        <v>8.1391304347826079</v>
      </c>
      <c r="N18" s="325">
        <v>0.88</v>
      </c>
      <c r="O18" s="339">
        <v>84.2</v>
      </c>
      <c r="R18" s="325">
        <v>0.88</v>
      </c>
      <c r="S18" s="339">
        <v>84.2</v>
      </c>
      <c r="V18" s="325">
        <v>7.5</v>
      </c>
      <c r="W18" s="325">
        <v>2.2999999999999998</v>
      </c>
      <c r="X18" s="325">
        <v>2.2000000000000002</v>
      </c>
      <c r="AB18" s="329">
        <v>1.26E-2</v>
      </c>
      <c r="AC18" s="328">
        <v>65</v>
      </c>
      <c r="AD18" s="325">
        <v>28</v>
      </c>
      <c r="AH18" s="327">
        <v>190</v>
      </c>
      <c r="AI18" s="327">
        <v>140</v>
      </c>
      <c r="AJ18" s="327">
        <v>70</v>
      </c>
      <c r="AK18" s="327">
        <v>28</v>
      </c>
      <c r="AL18" s="327">
        <v>60</v>
      </c>
      <c r="AM18" s="327">
        <v>8</v>
      </c>
      <c r="AN18" s="327">
        <v>24</v>
      </c>
      <c r="AO18" s="327" t="s">
        <v>246</v>
      </c>
      <c r="AP18" s="327">
        <v>112</v>
      </c>
      <c r="AQ18" s="327">
        <v>12</v>
      </c>
      <c r="AR18" s="327">
        <v>230</v>
      </c>
      <c r="AS18" s="327">
        <v>240</v>
      </c>
      <c r="AT18" s="327">
        <v>178</v>
      </c>
      <c r="AU18" s="327">
        <v>290</v>
      </c>
      <c r="AV18" s="327">
        <v>400</v>
      </c>
      <c r="AW18" s="328">
        <v>450</v>
      </c>
      <c r="AX18" s="327">
        <v>130</v>
      </c>
      <c r="AY18" s="327">
        <v>110</v>
      </c>
      <c r="AZ18" s="327">
        <v>160</v>
      </c>
      <c r="BA18" s="327" t="s">
        <v>245</v>
      </c>
      <c r="BB18" s="327">
        <v>3.5</v>
      </c>
      <c r="BC18" s="327">
        <v>165</v>
      </c>
      <c r="BD18" s="327">
        <v>130</v>
      </c>
      <c r="BE18" s="327">
        <v>200</v>
      </c>
      <c r="BF18" s="327" t="s">
        <v>246</v>
      </c>
      <c r="BG18" s="327">
        <v>3.5</v>
      </c>
      <c r="BH18" s="327">
        <v>215</v>
      </c>
      <c r="BI18" s="327">
        <v>180</v>
      </c>
      <c r="BJ18" s="327">
        <v>250</v>
      </c>
      <c r="BK18" s="327">
        <v>15</v>
      </c>
      <c r="BL18" s="327">
        <v>4</v>
      </c>
      <c r="BM18" s="325" t="s">
        <v>683</v>
      </c>
      <c r="BN18" s="325" t="s">
        <v>683</v>
      </c>
      <c r="BO18" s="340" t="s">
        <v>682</v>
      </c>
      <c r="BP18" s="340" t="s">
        <v>682</v>
      </c>
      <c r="BQ18" s="325" t="s">
        <v>464</v>
      </c>
      <c r="BR18" s="320"/>
    </row>
    <row r="19" spans="1:70" s="328" customFormat="1" ht="12" customHeight="1">
      <c r="A19" s="320">
        <v>18</v>
      </c>
      <c r="B19" s="336" t="s">
        <v>746</v>
      </c>
      <c r="C19" s="325" t="s">
        <v>745</v>
      </c>
      <c r="D19" s="336" t="s">
        <v>935</v>
      </c>
      <c r="E19" s="328">
        <v>112</v>
      </c>
      <c r="F19" s="365">
        <v>2</v>
      </c>
      <c r="G19" s="325">
        <v>4</v>
      </c>
      <c r="H19" s="325">
        <v>4.8</v>
      </c>
      <c r="I19" s="325">
        <v>2880</v>
      </c>
      <c r="J19" s="335">
        <v>3456</v>
      </c>
      <c r="L19" s="343">
        <v>7.8</v>
      </c>
      <c r="M19" s="331">
        <f t="shared" si="0"/>
        <v>8.1391304347826079</v>
      </c>
      <c r="N19" s="328">
        <v>0.88</v>
      </c>
      <c r="O19" s="339">
        <v>84.2</v>
      </c>
      <c r="R19" s="328">
        <v>0.88</v>
      </c>
      <c r="S19" s="339">
        <v>84.2</v>
      </c>
      <c r="V19" s="339">
        <v>7.5</v>
      </c>
      <c r="W19" s="339">
        <v>2.2000000000000002</v>
      </c>
      <c r="X19" s="339">
        <v>2.2999999999999998</v>
      </c>
      <c r="AB19" s="329">
        <v>5.7999999999999996E-3</v>
      </c>
      <c r="AC19" s="328">
        <v>65</v>
      </c>
      <c r="AD19" s="325">
        <v>40</v>
      </c>
      <c r="AH19" s="327">
        <v>190</v>
      </c>
      <c r="AI19" s="327">
        <v>140</v>
      </c>
      <c r="AJ19" s="327">
        <v>70</v>
      </c>
      <c r="AK19" s="327">
        <v>28</v>
      </c>
      <c r="AL19" s="327">
        <v>60</v>
      </c>
      <c r="AM19" s="327">
        <v>8</v>
      </c>
      <c r="AN19" s="327">
        <v>24</v>
      </c>
      <c r="AO19" s="327" t="s">
        <v>246</v>
      </c>
      <c r="AP19" s="327">
        <v>112</v>
      </c>
      <c r="AQ19" s="327">
        <v>12</v>
      </c>
      <c r="AR19" s="327">
        <v>230</v>
      </c>
      <c r="AS19" s="327">
        <v>240</v>
      </c>
      <c r="AT19" s="327">
        <v>220</v>
      </c>
      <c r="AU19" s="327">
        <v>325</v>
      </c>
      <c r="AV19" s="327">
        <v>400</v>
      </c>
      <c r="AW19" s="327">
        <v>450</v>
      </c>
      <c r="AX19" s="327">
        <v>130</v>
      </c>
      <c r="AY19" s="327">
        <v>110</v>
      </c>
      <c r="AZ19" s="327">
        <v>160</v>
      </c>
      <c r="BA19" s="327" t="s">
        <v>245</v>
      </c>
      <c r="BB19" s="327">
        <v>3.5</v>
      </c>
      <c r="BC19" s="327">
        <v>165</v>
      </c>
      <c r="BD19" s="327">
        <v>130</v>
      </c>
      <c r="BE19" s="327">
        <v>200</v>
      </c>
      <c r="BF19" s="327" t="s">
        <v>246</v>
      </c>
      <c r="BG19" s="327">
        <v>3.5</v>
      </c>
      <c r="BH19" s="327">
        <v>215</v>
      </c>
      <c r="BI19" s="327">
        <v>180</v>
      </c>
      <c r="BJ19" s="327">
        <v>250</v>
      </c>
      <c r="BK19" s="327">
        <v>15</v>
      </c>
      <c r="BL19" s="327">
        <v>4</v>
      </c>
      <c r="BM19" s="325" t="s">
        <v>475</v>
      </c>
      <c r="BN19" s="325" t="s">
        <v>475</v>
      </c>
      <c r="BO19" s="326"/>
      <c r="BP19" s="326"/>
      <c r="BQ19" s="325" t="s">
        <v>464</v>
      </c>
      <c r="BR19" s="320"/>
    </row>
    <row r="20" spans="1:70" s="328" customFormat="1" ht="12" customHeight="1">
      <c r="A20" s="320">
        <v>19</v>
      </c>
      <c r="B20" s="336" t="s">
        <v>767</v>
      </c>
      <c r="C20" s="325" t="s">
        <v>745</v>
      </c>
      <c r="D20" s="336" t="s">
        <v>934</v>
      </c>
      <c r="E20" s="328">
        <v>112</v>
      </c>
      <c r="F20" s="328">
        <v>2</v>
      </c>
      <c r="G20" s="325">
        <v>5.5</v>
      </c>
      <c r="H20" s="325">
        <v>6.6</v>
      </c>
      <c r="I20" s="325">
        <v>2900</v>
      </c>
      <c r="J20" s="325">
        <v>3480</v>
      </c>
      <c r="L20" s="332">
        <v>10.5</v>
      </c>
      <c r="M20" s="331">
        <f t="shared" si="0"/>
        <v>10.956521739130435</v>
      </c>
      <c r="N20" s="325">
        <v>0.88</v>
      </c>
      <c r="O20" s="339">
        <v>85.7</v>
      </c>
      <c r="R20" s="325">
        <v>0.88</v>
      </c>
      <c r="S20" s="339">
        <v>85.7</v>
      </c>
      <c r="V20" s="325">
        <v>7.5</v>
      </c>
      <c r="W20" s="325">
        <v>2.2999999999999998</v>
      </c>
      <c r="X20" s="325">
        <v>2.2000000000000002</v>
      </c>
      <c r="AB20" s="329">
        <v>3.7699999999999997E-2</v>
      </c>
      <c r="AC20" s="328">
        <v>69</v>
      </c>
      <c r="AD20" s="325">
        <v>32</v>
      </c>
      <c r="AH20" s="327">
        <v>190</v>
      </c>
      <c r="AI20" s="327">
        <v>140</v>
      </c>
      <c r="AJ20" s="327">
        <v>70</v>
      </c>
      <c r="AK20" s="327">
        <v>28</v>
      </c>
      <c r="AL20" s="327">
        <v>60</v>
      </c>
      <c r="AM20" s="327">
        <v>8</v>
      </c>
      <c r="AN20" s="327">
        <v>24</v>
      </c>
      <c r="AO20" s="327" t="s">
        <v>246</v>
      </c>
      <c r="AP20" s="327">
        <v>112</v>
      </c>
      <c r="AQ20" s="327">
        <v>12</v>
      </c>
      <c r="AR20" s="327">
        <v>230</v>
      </c>
      <c r="AS20" s="327">
        <v>240</v>
      </c>
      <c r="AT20" s="327">
        <v>178</v>
      </c>
      <c r="AU20" s="327">
        <v>290</v>
      </c>
      <c r="AV20" s="327">
        <v>400</v>
      </c>
      <c r="AW20" s="328">
        <v>450</v>
      </c>
      <c r="AX20" s="327">
        <v>130</v>
      </c>
      <c r="AY20" s="327">
        <v>110</v>
      </c>
      <c r="AZ20" s="327">
        <v>160</v>
      </c>
      <c r="BA20" s="327" t="s">
        <v>245</v>
      </c>
      <c r="BB20" s="327">
        <v>3.5</v>
      </c>
      <c r="BC20" s="327">
        <v>165</v>
      </c>
      <c r="BD20" s="327">
        <v>130</v>
      </c>
      <c r="BE20" s="327">
        <v>200</v>
      </c>
      <c r="BF20" s="327" t="s">
        <v>246</v>
      </c>
      <c r="BG20" s="327">
        <v>3.5</v>
      </c>
      <c r="BH20" s="327">
        <v>215</v>
      </c>
      <c r="BI20" s="327">
        <v>180</v>
      </c>
      <c r="BJ20" s="327">
        <v>250</v>
      </c>
      <c r="BK20" s="327">
        <v>15</v>
      </c>
      <c r="BL20" s="327">
        <v>4</v>
      </c>
      <c r="BM20" s="325" t="s">
        <v>683</v>
      </c>
      <c r="BN20" s="325" t="s">
        <v>683</v>
      </c>
      <c r="BO20" s="340" t="s">
        <v>682</v>
      </c>
      <c r="BP20" s="340" t="s">
        <v>682</v>
      </c>
      <c r="BQ20" s="325" t="s">
        <v>464</v>
      </c>
      <c r="BR20" s="320"/>
    </row>
    <row r="21" spans="1:70" s="328" customFormat="1" ht="12" customHeight="1">
      <c r="A21" s="320">
        <v>20</v>
      </c>
      <c r="B21" s="336" t="s">
        <v>746</v>
      </c>
      <c r="C21" s="325" t="s">
        <v>745</v>
      </c>
      <c r="D21" s="336" t="s">
        <v>933</v>
      </c>
      <c r="E21" s="328">
        <v>112</v>
      </c>
      <c r="F21" s="365">
        <v>2</v>
      </c>
      <c r="G21" s="325">
        <v>5.5</v>
      </c>
      <c r="H21" s="325">
        <v>6.6</v>
      </c>
      <c r="I21" s="325">
        <v>2900</v>
      </c>
      <c r="J21" s="335">
        <v>3480</v>
      </c>
      <c r="L21" s="343">
        <v>10.5</v>
      </c>
      <c r="M21" s="331">
        <f t="shared" si="0"/>
        <v>10.956521739130435</v>
      </c>
      <c r="N21" s="328">
        <v>0.88</v>
      </c>
      <c r="O21" s="339">
        <v>85.7</v>
      </c>
      <c r="R21" s="328">
        <v>0.88</v>
      </c>
      <c r="S21" s="339">
        <v>85.7</v>
      </c>
      <c r="V21" s="339">
        <v>7.5</v>
      </c>
      <c r="W21" s="339">
        <v>2.2000000000000002</v>
      </c>
      <c r="X21" s="339">
        <v>2.2999999999999998</v>
      </c>
      <c r="AB21" s="329">
        <v>1.1299999999999999E-2</v>
      </c>
      <c r="AC21" s="328">
        <v>69</v>
      </c>
      <c r="AD21" s="325">
        <v>54</v>
      </c>
      <c r="AH21" s="327">
        <v>190</v>
      </c>
      <c r="AI21" s="327">
        <v>140</v>
      </c>
      <c r="AJ21" s="327">
        <v>70</v>
      </c>
      <c r="AK21" s="327">
        <v>28</v>
      </c>
      <c r="AL21" s="327">
        <v>60</v>
      </c>
      <c r="AM21" s="327">
        <v>8</v>
      </c>
      <c r="AN21" s="327">
        <v>24</v>
      </c>
      <c r="AO21" s="327" t="s">
        <v>246</v>
      </c>
      <c r="AP21" s="327">
        <v>112</v>
      </c>
      <c r="AQ21" s="327">
        <v>12</v>
      </c>
      <c r="AR21" s="327">
        <v>230</v>
      </c>
      <c r="AS21" s="327">
        <v>240</v>
      </c>
      <c r="AT21" s="327">
        <v>220</v>
      </c>
      <c r="AU21" s="327">
        <v>325</v>
      </c>
      <c r="AV21" s="327">
        <v>400</v>
      </c>
      <c r="AW21" s="327">
        <v>450</v>
      </c>
      <c r="AX21" s="327">
        <v>130</v>
      </c>
      <c r="AY21" s="327">
        <v>110</v>
      </c>
      <c r="AZ21" s="327">
        <v>160</v>
      </c>
      <c r="BA21" s="327" t="s">
        <v>245</v>
      </c>
      <c r="BB21" s="327">
        <v>3.5</v>
      </c>
      <c r="BC21" s="327">
        <v>165</v>
      </c>
      <c r="BD21" s="327">
        <v>130</v>
      </c>
      <c r="BE21" s="327">
        <v>200</v>
      </c>
      <c r="BF21" s="327" t="s">
        <v>246</v>
      </c>
      <c r="BG21" s="327">
        <v>3.5</v>
      </c>
      <c r="BH21" s="327">
        <v>215</v>
      </c>
      <c r="BI21" s="327">
        <v>180</v>
      </c>
      <c r="BJ21" s="327">
        <v>250</v>
      </c>
      <c r="BK21" s="327">
        <v>15</v>
      </c>
      <c r="BL21" s="327">
        <v>4</v>
      </c>
      <c r="BM21" s="325" t="s">
        <v>475</v>
      </c>
      <c r="BN21" s="325" t="s">
        <v>475</v>
      </c>
      <c r="BO21" s="326"/>
      <c r="BP21" s="326"/>
      <c r="BQ21" s="325" t="s">
        <v>464</v>
      </c>
      <c r="BR21" s="320"/>
    </row>
    <row r="22" spans="1:70" s="328" customFormat="1" ht="12" customHeight="1">
      <c r="A22" s="320">
        <v>21</v>
      </c>
      <c r="B22" s="336" t="s">
        <v>767</v>
      </c>
      <c r="C22" s="325" t="s">
        <v>745</v>
      </c>
      <c r="D22" s="336" t="s">
        <v>932</v>
      </c>
      <c r="E22" s="328">
        <v>132</v>
      </c>
      <c r="F22" s="328">
        <v>2</v>
      </c>
      <c r="G22" s="325">
        <v>5.5</v>
      </c>
      <c r="H22" s="325">
        <v>6.6</v>
      </c>
      <c r="I22" s="325">
        <v>2900</v>
      </c>
      <c r="J22" s="325">
        <v>3480</v>
      </c>
      <c r="L22" s="332">
        <v>10.5</v>
      </c>
      <c r="M22" s="331">
        <f t="shared" si="0"/>
        <v>10.956521739130435</v>
      </c>
      <c r="N22" s="325">
        <v>0.88</v>
      </c>
      <c r="O22" s="339">
        <v>85.7</v>
      </c>
      <c r="R22" s="325">
        <v>0.88</v>
      </c>
      <c r="S22" s="339">
        <v>85.7</v>
      </c>
      <c r="V22" s="325">
        <v>7.5</v>
      </c>
      <c r="W22" s="325">
        <v>2.2999999999999998</v>
      </c>
      <c r="X22" s="325">
        <v>2.2000000000000002</v>
      </c>
      <c r="AB22" s="329">
        <v>3.7699999999999997E-2</v>
      </c>
      <c r="AC22" s="328">
        <v>69</v>
      </c>
      <c r="AD22" s="325">
        <v>39</v>
      </c>
      <c r="AH22" s="327">
        <v>216</v>
      </c>
      <c r="AI22" s="327">
        <v>140</v>
      </c>
      <c r="AJ22" s="327">
        <v>89</v>
      </c>
      <c r="AK22" s="327">
        <v>38</v>
      </c>
      <c r="AL22" s="327">
        <v>80</v>
      </c>
      <c r="AM22" s="327">
        <v>10</v>
      </c>
      <c r="AN22" s="327">
        <v>33</v>
      </c>
      <c r="AO22" s="327" t="s">
        <v>247</v>
      </c>
      <c r="AP22" s="327">
        <v>132</v>
      </c>
      <c r="AQ22" s="327">
        <v>12</v>
      </c>
      <c r="AR22" s="327">
        <v>270</v>
      </c>
      <c r="AS22" s="327">
        <v>275</v>
      </c>
      <c r="AT22" s="327">
        <v>206</v>
      </c>
      <c r="AU22" s="327">
        <v>340</v>
      </c>
      <c r="AV22" s="327">
        <v>483</v>
      </c>
      <c r="AW22" s="328">
        <v>533</v>
      </c>
      <c r="AX22" s="327">
        <v>165</v>
      </c>
      <c r="AY22" s="327">
        <v>130</v>
      </c>
      <c r="AZ22" s="327">
        <v>200</v>
      </c>
      <c r="BA22" s="327" t="s">
        <v>246</v>
      </c>
      <c r="BB22" s="327">
        <v>3.5</v>
      </c>
      <c r="BC22" s="327">
        <v>215</v>
      </c>
      <c r="BD22" s="327">
        <v>180</v>
      </c>
      <c r="BE22" s="327">
        <v>250</v>
      </c>
      <c r="BF22" s="327" t="s">
        <v>247</v>
      </c>
      <c r="BG22" s="327">
        <v>4</v>
      </c>
      <c r="BH22" s="327">
        <v>265</v>
      </c>
      <c r="BI22" s="327">
        <v>230</v>
      </c>
      <c r="BJ22" s="327">
        <v>300</v>
      </c>
      <c r="BK22" s="327">
        <v>15</v>
      </c>
      <c r="BL22" s="327">
        <v>4</v>
      </c>
      <c r="BM22" s="325" t="s">
        <v>678</v>
      </c>
      <c r="BN22" s="325" t="s">
        <v>678</v>
      </c>
      <c r="BO22" s="340" t="s">
        <v>677</v>
      </c>
      <c r="BP22" s="340" t="s">
        <v>677</v>
      </c>
      <c r="BQ22" s="325" t="s">
        <v>464</v>
      </c>
      <c r="BR22" s="320"/>
    </row>
    <row r="23" spans="1:70" s="328" customFormat="1" ht="12" customHeight="1">
      <c r="A23" s="320">
        <v>22</v>
      </c>
      <c r="B23" s="336" t="s">
        <v>746</v>
      </c>
      <c r="C23" s="325" t="s">
        <v>745</v>
      </c>
      <c r="D23" s="336" t="s">
        <v>931</v>
      </c>
      <c r="E23" s="328">
        <v>132</v>
      </c>
      <c r="F23" s="365">
        <v>2</v>
      </c>
      <c r="G23" s="325">
        <v>5.5</v>
      </c>
      <c r="H23" s="325">
        <v>6.6</v>
      </c>
      <c r="I23" s="325">
        <v>2900</v>
      </c>
      <c r="J23" s="335">
        <v>3480</v>
      </c>
      <c r="K23" s="332">
        <v>6.2921739130434782</v>
      </c>
      <c r="L23" s="343">
        <v>10.5</v>
      </c>
      <c r="M23" s="331">
        <f t="shared" si="0"/>
        <v>10.956521739130435</v>
      </c>
      <c r="N23" s="328">
        <v>0.88</v>
      </c>
      <c r="O23" s="339">
        <v>85.7</v>
      </c>
      <c r="R23" s="328">
        <v>0.88</v>
      </c>
      <c r="S23" s="339">
        <v>85.7</v>
      </c>
      <c r="V23" s="339">
        <v>7.5</v>
      </c>
      <c r="W23" s="339">
        <v>2.2000000000000002</v>
      </c>
      <c r="X23" s="339">
        <v>2.2999999999999998</v>
      </c>
      <c r="AB23" s="329">
        <v>1.1299999999999999E-2</v>
      </c>
      <c r="AC23" s="328">
        <v>69</v>
      </c>
      <c r="AD23" s="325">
        <v>56</v>
      </c>
      <c r="AH23" s="327">
        <v>216</v>
      </c>
      <c r="AI23" s="327">
        <v>140</v>
      </c>
      <c r="AJ23" s="327">
        <v>89</v>
      </c>
      <c r="AK23" s="327">
        <v>38</v>
      </c>
      <c r="AL23" s="327">
        <v>80</v>
      </c>
      <c r="AM23" s="327">
        <v>10</v>
      </c>
      <c r="AN23" s="327">
        <v>33</v>
      </c>
      <c r="AO23" s="327" t="s">
        <v>247</v>
      </c>
      <c r="AP23" s="327">
        <v>132</v>
      </c>
      <c r="AQ23" s="327">
        <v>12</v>
      </c>
      <c r="AR23" s="327">
        <v>270</v>
      </c>
      <c r="AS23" s="327">
        <v>275</v>
      </c>
      <c r="AT23" s="327">
        <v>240</v>
      </c>
      <c r="AU23" s="327">
        <v>365</v>
      </c>
      <c r="AV23" s="327">
        <v>470</v>
      </c>
      <c r="AW23" s="327">
        <v>520</v>
      </c>
      <c r="AX23" s="327">
        <v>165</v>
      </c>
      <c r="AY23" s="327">
        <v>130</v>
      </c>
      <c r="AZ23" s="327">
        <v>200</v>
      </c>
      <c r="BA23" s="327" t="s">
        <v>246</v>
      </c>
      <c r="BB23" s="327">
        <v>3.5</v>
      </c>
      <c r="BC23" s="327">
        <v>215</v>
      </c>
      <c r="BD23" s="327">
        <v>180</v>
      </c>
      <c r="BE23" s="327">
        <v>250</v>
      </c>
      <c r="BF23" s="327" t="s">
        <v>247</v>
      </c>
      <c r="BG23" s="327">
        <v>4</v>
      </c>
      <c r="BH23" s="327">
        <v>265</v>
      </c>
      <c r="BI23" s="327">
        <v>230</v>
      </c>
      <c r="BJ23" s="327">
        <v>300</v>
      </c>
      <c r="BK23" s="327">
        <v>15</v>
      </c>
      <c r="BL23" s="327">
        <v>4</v>
      </c>
      <c r="BM23" s="325" t="s">
        <v>465</v>
      </c>
      <c r="BN23" s="325" t="s">
        <v>465</v>
      </c>
      <c r="BO23" s="326"/>
      <c r="BP23" s="326"/>
      <c r="BQ23" s="325" t="s">
        <v>464</v>
      </c>
      <c r="BR23" s="320"/>
    </row>
    <row r="24" spans="1:70" s="328" customFormat="1" ht="12" customHeight="1">
      <c r="A24" s="320">
        <v>23</v>
      </c>
      <c r="B24" s="336" t="s">
        <v>767</v>
      </c>
      <c r="C24" s="325" t="s">
        <v>745</v>
      </c>
      <c r="D24" s="336" t="s">
        <v>930</v>
      </c>
      <c r="E24" s="328">
        <v>132</v>
      </c>
      <c r="F24" s="328">
        <v>2</v>
      </c>
      <c r="G24" s="325">
        <v>7.5</v>
      </c>
      <c r="H24" s="325">
        <v>9</v>
      </c>
      <c r="I24" s="325">
        <v>2900</v>
      </c>
      <c r="J24" s="325">
        <v>3480</v>
      </c>
      <c r="L24" s="332">
        <v>14.15</v>
      </c>
      <c r="M24" s="331">
        <f t="shared" si="0"/>
        <v>14.765217391304347</v>
      </c>
      <c r="N24" s="325">
        <v>0.88</v>
      </c>
      <c r="O24" s="339">
        <v>87</v>
      </c>
      <c r="R24" s="325">
        <v>0.88</v>
      </c>
      <c r="S24" s="339">
        <v>87</v>
      </c>
      <c r="V24" s="325">
        <v>7.5</v>
      </c>
      <c r="W24" s="325">
        <v>2.2999999999999998</v>
      </c>
      <c r="X24" s="325">
        <v>2.2000000000000002</v>
      </c>
      <c r="AB24" s="329">
        <v>4.99E-2</v>
      </c>
      <c r="AC24" s="328">
        <v>69</v>
      </c>
      <c r="AD24" s="325">
        <v>45</v>
      </c>
      <c r="AH24" s="327">
        <v>216</v>
      </c>
      <c r="AI24" s="327">
        <v>140</v>
      </c>
      <c r="AJ24" s="327">
        <v>89</v>
      </c>
      <c r="AK24" s="327">
        <v>38</v>
      </c>
      <c r="AL24" s="327">
        <v>80</v>
      </c>
      <c r="AM24" s="327">
        <v>10</v>
      </c>
      <c r="AN24" s="327">
        <v>33</v>
      </c>
      <c r="AO24" s="327" t="s">
        <v>247</v>
      </c>
      <c r="AP24" s="327">
        <v>132</v>
      </c>
      <c r="AQ24" s="327">
        <v>12</v>
      </c>
      <c r="AR24" s="327">
        <v>270</v>
      </c>
      <c r="AS24" s="327">
        <v>275</v>
      </c>
      <c r="AT24" s="327">
        <v>206</v>
      </c>
      <c r="AU24" s="327">
        <v>340</v>
      </c>
      <c r="AV24" s="327">
        <v>483</v>
      </c>
      <c r="AW24" s="328">
        <v>533</v>
      </c>
      <c r="AX24" s="327">
        <v>165</v>
      </c>
      <c r="AY24" s="327">
        <v>130</v>
      </c>
      <c r="AZ24" s="327">
        <v>200</v>
      </c>
      <c r="BA24" s="327" t="s">
        <v>246</v>
      </c>
      <c r="BB24" s="327">
        <v>3.5</v>
      </c>
      <c r="BC24" s="327">
        <v>215</v>
      </c>
      <c r="BD24" s="327">
        <v>180</v>
      </c>
      <c r="BE24" s="327">
        <v>250</v>
      </c>
      <c r="BF24" s="327" t="s">
        <v>247</v>
      </c>
      <c r="BG24" s="327">
        <v>4</v>
      </c>
      <c r="BH24" s="327">
        <v>265</v>
      </c>
      <c r="BI24" s="327">
        <v>230</v>
      </c>
      <c r="BJ24" s="327">
        <v>300</v>
      </c>
      <c r="BK24" s="327">
        <v>15</v>
      </c>
      <c r="BL24" s="327">
        <v>4</v>
      </c>
      <c r="BM24" s="325" t="s">
        <v>678</v>
      </c>
      <c r="BN24" s="325" t="s">
        <v>678</v>
      </c>
      <c r="BO24" s="340" t="s">
        <v>677</v>
      </c>
      <c r="BP24" s="340" t="s">
        <v>677</v>
      </c>
      <c r="BQ24" s="325" t="s">
        <v>464</v>
      </c>
      <c r="BR24" s="320"/>
    </row>
    <row r="25" spans="1:70" s="328" customFormat="1" ht="12" customHeight="1">
      <c r="A25" s="320">
        <v>24</v>
      </c>
      <c r="B25" s="336" t="s">
        <v>746</v>
      </c>
      <c r="C25" s="325" t="s">
        <v>745</v>
      </c>
      <c r="D25" s="336" t="s">
        <v>929</v>
      </c>
      <c r="E25" s="328">
        <v>132</v>
      </c>
      <c r="F25" s="365">
        <v>2</v>
      </c>
      <c r="G25" s="325">
        <v>7.5</v>
      </c>
      <c r="H25" s="325">
        <v>9</v>
      </c>
      <c r="I25" s="325">
        <v>2900</v>
      </c>
      <c r="J25" s="335">
        <v>3480</v>
      </c>
      <c r="L25" s="343"/>
      <c r="M25" s="331">
        <f t="shared" si="0"/>
        <v>0</v>
      </c>
      <c r="N25" s="328">
        <v>0.88</v>
      </c>
      <c r="O25" s="339">
        <v>87</v>
      </c>
      <c r="R25" s="328">
        <v>0.88</v>
      </c>
      <c r="S25" s="339">
        <v>87</v>
      </c>
      <c r="V25" s="339">
        <v>7.5</v>
      </c>
      <c r="W25" s="339">
        <v>2.2000000000000002</v>
      </c>
      <c r="X25" s="339">
        <v>2.2999999999999998</v>
      </c>
      <c r="AB25" s="329">
        <v>1.3299999999999999E-2</v>
      </c>
      <c r="AC25" s="328">
        <v>69</v>
      </c>
      <c r="AD25" s="325">
        <v>60</v>
      </c>
      <c r="AH25" s="327">
        <v>216</v>
      </c>
      <c r="AI25" s="327">
        <v>140</v>
      </c>
      <c r="AJ25" s="327">
        <v>89</v>
      </c>
      <c r="AK25" s="327">
        <v>38</v>
      </c>
      <c r="AL25" s="327">
        <v>80</v>
      </c>
      <c r="AM25" s="327">
        <v>10</v>
      </c>
      <c r="AN25" s="327">
        <v>33</v>
      </c>
      <c r="AO25" s="327" t="s">
        <v>247</v>
      </c>
      <c r="AP25" s="327">
        <v>132</v>
      </c>
      <c r="AQ25" s="327">
        <v>12</v>
      </c>
      <c r="AR25" s="327">
        <v>270</v>
      </c>
      <c r="AS25" s="327">
        <v>275</v>
      </c>
      <c r="AT25" s="327">
        <v>240</v>
      </c>
      <c r="AU25" s="327">
        <v>365</v>
      </c>
      <c r="AV25" s="327">
        <v>470</v>
      </c>
      <c r="AW25" s="327">
        <v>520</v>
      </c>
      <c r="AX25" s="327">
        <v>165</v>
      </c>
      <c r="AY25" s="327">
        <v>130</v>
      </c>
      <c r="AZ25" s="327">
        <v>200</v>
      </c>
      <c r="BA25" s="327" t="s">
        <v>246</v>
      </c>
      <c r="BB25" s="327">
        <v>3.5</v>
      </c>
      <c r="BC25" s="327">
        <v>215</v>
      </c>
      <c r="BD25" s="327">
        <v>180</v>
      </c>
      <c r="BE25" s="327">
        <v>250</v>
      </c>
      <c r="BF25" s="327" t="s">
        <v>247</v>
      </c>
      <c r="BG25" s="327">
        <v>4</v>
      </c>
      <c r="BH25" s="327">
        <v>265</v>
      </c>
      <c r="BI25" s="327">
        <v>230</v>
      </c>
      <c r="BJ25" s="327">
        <v>300</v>
      </c>
      <c r="BK25" s="327">
        <v>15</v>
      </c>
      <c r="BL25" s="327">
        <v>4</v>
      </c>
      <c r="BM25" s="325" t="s">
        <v>465</v>
      </c>
      <c r="BN25" s="325" t="s">
        <v>465</v>
      </c>
      <c r="BO25" s="326"/>
      <c r="BP25" s="326"/>
      <c r="BQ25" s="325" t="s">
        <v>464</v>
      </c>
      <c r="BR25" s="320"/>
    </row>
    <row r="26" spans="1:70" s="328" customFormat="1" ht="12" customHeight="1">
      <c r="A26" s="320">
        <v>25</v>
      </c>
      <c r="B26" s="336" t="s">
        <v>767</v>
      </c>
      <c r="C26" s="325" t="s">
        <v>745</v>
      </c>
      <c r="D26" s="336" t="s">
        <v>928</v>
      </c>
      <c r="E26" s="328">
        <v>132</v>
      </c>
      <c r="F26" s="328">
        <v>2</v>
      </c>
      <c r="G26" s="325">
        <v>11</v>
      </c>
      <c r="H26" s="325">
        <v>13.2</v>
      </c>
      <c r="I26" s="325">
        <v>2930</v>
      </c>
      <c r="J26" s="325">
        <v>3516</v>
      </c>
      <c r="L26" s="332"/>
      <c r="M26" s="331">
        <f t="shared" si="0"/>
        <v>0</v>
      </c>
      <c r="N26" s="325">
        <v>0.89</v>
      </c>
      <c r="O26" s="339">
        <v>88</v>
      </c>
      <c r="R26" s="325">
        <v>0.89</v>
      </c>
      <c r="S26" s="339">
        <v>88</v>
      </c>
      <c r="V26" s="325">
        <v>7.5</v>
      </c>
      <c r="W26" s="325">
        <v>2.2999999999999998</v>
      </c>
      <c r="X26" s="325">
        <v>2.2000000000000002</v>
      </c>
      <c r="AB26" s="329">
        <v>5.5E-2</v>
      </c>
      <c r="AC26" s="328">
        <v>70</v>
      </c>
      <c r="AD26" s="325">
        <v>58</v>
      </c>
      <c r="AH26" s="327">
        <v>216</v>
      </c>
      <c r="AI26" s="327">
        <v>178</v>
      </c>
      <c r="AJ26" s="327">
        <v>89</v>
      </c>
      <c r="AK26" s="327">
        <v>38</v>
      </c>
      <c r="AL26" s="327">
        <v>80</v>
      </c>
      <c r="AM26" s="327">
        <v>10</v>
      </c>
      <c r="AN26" s="327">
        <v>33</v>
      </c>
      <c r="AO26" s="327" t="s">
        <v>247</v>
      </c>
      <c r="AP26" s="327">
        <v>132</v>
      </c>
      <c r="AQ26" s="327">
        <v>12</v>
      </c>
      <c r="AR26" s="327">
        <v>270</v>
      </c>
      <c r="AS26" s="327">
        <v>275</v>
      </c>
      <c r="AT26" s="327">
        <v>206</v>
      </c>
      <c r="AU26" s="327">
        <v>340</v>
      </c>
      <c r="AV26" s="327">
        <v>510</v>
      </c>
      <c r="AW26" s="328">
        <v>560</v>
      </c>
      <c r="AX26" s="327">
        <v>165</v>
      </c>
      <c r="AY26" s="327">
        <v>130</v>
      </c>
      <c r="AZ26" s="327">
        <v>200</v>
      </c>
      <c r="BA26" s="327" t="s">
        <v>246</v>
      </c>
      <c r="BB26" s="327">
        <v>3.5</v>
      </c>
      <c r="BC26" s="327">
        <v>215</v>
      </c>
      <c r="BD26" s="327">
        <v>180</v>
      </c>
      <c r="BE26" s="327">
        <v>250</v>
      </c>
      <c r="BF26" s="327" t="s">
        <v>247</v>
      </c>
      <c r="BG26" s="327">
        <v>4</v>
      </c>
      <c r="BH26" s="327">
        <v>265</v>
      </c>
      <c r="BI26" s="327">
        <v>230</v>
      </c>
      <c r="BJ26" s="327">
        <v>300</v>
      </c>
      <c r="BK26" s="327">
        <v>15</v>
      </c>
      <c r="BL26" s="327">
        <v>4</v>
      </c>
      <c r="BM26" s="325" t="s">
        <v>678</v>
      </c>
      <c r="BN26" s="325" t="s">
        <v>678</v>
      </c>
      <c r="BO26" s="340" t="s">
        <v>677</v>
      </c>
      <c r="BP26" s="340" t="s">
        <v>677</v>
      </c>
      <c r="BQ26" s="325" t="s">
        <v>464</v>
      </c>
      <c r="BR26" s="320"/>
    </row>
    <row r="27" spans="1:70" s="328" customFormat="1" ht="12" customHeight="1">
      <c r="A27" s="320">
        <v>26</v>
      </c>
      <c r="B27" s="336" t="s">
        <v>746</v>
      </c>
      <c r="C27" s="325" t="s">
        <v>745</v>
      </c>
      <c r="D27" s="336" t="s">
        <v>927</v>
      </c>
      <c r="E27" s="328">
        <v>132</v>
      </c>
      <c r="F27" s="365">
        <v>2</v>
      </c>
      <c r="G27" s="325">
        <v>11</v>
      </c>
      <c r="H27" s="325">
        <v>13.2</v>
      </c>
      <c r="I27" s="325">
        <v>2930</v>
      </c>
      <c r="J27" s="335">
        <v>3516</v>
      </c>
      <c r="L27" s="343"/>
      <c r="M27" s="331">
        <f t="shared" si="0"/>
        <v>0</v>
      </c>
      <c r="N27" s="328">
        <v>0.89</v>
      </c>
      <c r="O27" s="339">
        <v>88.4</v>
      </c>
      <c r="R27" s="328">
        <v>0.89</v>
      </c>
      <c r="S27" s="339">
        <v>88.4</v>
      </c>
      <c r="V27" s="339">
        <v>7.5</v>
      </c>
      <c r="W27" s="339">
        <v>2.2000000000000002</v>
      </c>
      <c r="X27" s="339">
        <v>2.2999999999999998</v>
      </c>
      <c r="AB27" s="329">
        <v>4.4299999999999999E-2</v>
      </c>
      <c r="AC27" s="328">
        <v>70</v>
      </c>
      <c r="AD27" s="325">
        <v>90</v>
      </c>
      <c r="AH27" s="327">
        <v>216</v>
      </c>
      <c r="AI27" s="327">
        <v>178</v>
      </c>
      <c r="AJ27" s="327">
        <v>89</v>
      </c>
      <c r="AK27" s="327">
        <v>38</v>
      </c>
      <c r="AL27" s="327">
        <v>80</v>
      </c>
      <c r="AM27" s="327">
        <v>10</v>
      </c>
      <c r="AN27" s="327">
        <v>33</v>
      </c>
      <c r="AO27" s="327" t="s">
        <v>247</v>
      </c>
      <c r="AP27" s="327">
        <v>132</v>
      </c>
      <c r="AQ27" s="327">
        <v>12</v>
      </c>
      <c r="AR27" s="327">
        <v>270</v>
      </c>
      <c r="AS27" s="327">
        <v>275</v>
      </c>
      <c r="AT27" s="327">
        <v>240</v>
      </c>
      <c r="AU27" s="327">
        <v>365</v>
      </c>
      <c r="AV27" s="327">
        <v>510</v>
      </c>
      <c r="AW27" s="327">
        <v>560</v>
      </c>
      <c r="AX27" s="327">
        <v>165</v>
      </c>
      <c r="AY27" s="327">
        <v>130</v>
      </c>
      <c r="AZ27" s="327">
        <v>200</v>
      </c>
      <c r="BA27" s="327" t="s">
        <v>246</v>
      </c>
      <c r="BB27" s="327">
        <v>3.5</v>
      </c>
      <c r="BC27" s="327">
        <v>215</v>
      </c>
      <c r="BD27" s="327">
        <v>180</v>
      </c>
      <c r="BE27" s="327">
        <v>250</v>
      </c>
      <c r="BF27" s="327" t="s">
        <v>247</v>
      </c>
      <c r="BG27" s="327">
        <v>4</v>
      </c>
      <c r="BH27" s="327">
        <v>265</v>
      </c>
      <c r="BI27" s="327">
        <v>230</v>
      </c>
      <c r="BJ27" s="327">
        <v>300</v>
      </c>
      <c r="BK27" s="327">
        <v>15</v>
      </c>
      <c r="BL27" s="327">
        <v>4</v>
      </c>
      <c r="BM27" s="325" t="s">
        <v>465</v>
      </c>
      <c r="BN27" s="325" t="s">
        <v>465</v>
      </c>
      <c r="BO27" s="326"/>
      <c r="BP27" s="326"/>
      <c r="BQ27" s="325" t="s">
        <v>464</v>
      </c>
      <c r="BR27" s="320"/>
    </row>
    <row r="28" spans="1:70" s="328" customFormat="1" ht="12" customHeight="1">
      <c r="A28" s="320">
        <v>27</v>
      </c>
      <c r="B28" s="336" t="s">
        <v>767</v>
      </c>
      <c r="C28" s="325" t="s">
        <v>745</v>
      </c>
      <c r="D28" s="336" t="s">
        <v>926</v>
      </c>
      <c r="E28" s="328">
        <v>160</v>
      </c>
      <c r="F28" s="328">
        <v>2</v>
      </c>
      <c r="G28" s="325">
        <v>11</v>
      </c>
      <c r="H28" s="325">
        <v>13.2</v>
      </c>
      <c r="I28" s="325">
        <v>2930</v>
      </c>
      <c r="J28" s="325">
        <v>3516</v>
      </c>
      <c r="L28" s="332">
        <v>20.2</v>
      </c>
      <c r="M28" s="331">
        <f t="shared" si="0"/>
        <v>21.078260869565216</v>
      </c>
      <c r="N28" s="325">
        <v>0.89</v>
      </c>
      <c r="O28" s="339">
        <v>88</v>
      </c>
      <c r="R28" s="325">
        <v>0.89</v>
      </c>
      <c r="S28" s="339">
        <v>88</v>
      </c>
      <c r="V28" s="325">
        <v>7.5</v>
      </c>
      <c r="W28" s="325">
        <v>2.2999999999999998</v>
      </c>
      <c r="X28" s="325">
        <v>2.2000000000000002</v>
      </c>
      <c r="AB28" s="329">
        <v>5.5E-2</v>
      </c>
      <c r="AC28" s="328">
        <v>70</v>
      </c>
      <c r="AD28" s="325">
        <v>69</v>
      </c>
      <c r="AH28" s="327">
        <v>254</v>
      </c>
      <c r="AI28" s="327">
        <v>210</v>
      </c>
      <c r="AJ28" s="327">
        <v>108</v>
      </c>
      <c r="AK28" s="327">
        <v>42</v>
      </c>
      <c r="AL28" s="327">
        <v>110</v>
      </c>
      <c r="AM28" s="327">
        <v>12</v>
      </c>
      <c r="AN28" s="327">
        <v>37</v>
      </c>
      <c r="AO28" s="327" t="s">
        <v>248</v>
      </c>
      <c r="AP28" s="327">
        <v>160</v>
      </c>
      <c r="AQ28" s="327">
        <v>15</v>
      </c>
      <c r="AR28" s="327">
        <v>320</v>
      </c>
      <c r="AS28" s="327">
        <v>330</v>
      </c>
      <c r="AT28" s="327">
        <v>255</v>
      </c>
      <c r="AU28" s="327">
        <v>415</v>
      </c>
      <c r="AV28" s="327">
        <v>615</v>
      </c>
      <c r="AW28" s="328">
        <v>665</v>
      </c>
      <c r="AX28" s="327">
        <v>215</v>
      </c>
      <c r="AY28" s="327">
        <v>180</v>
      </c>
      <c r="AZ28" s="327">
        <v>250</v>
      </c>
      <c r="BA28" s="327" t="s">
        <v>247</v>
      </c>
      <c r="BB28" s="327">
        <v>4</v>
      </c>
      <c r="BC28" s="327">
        <v>265</v>
      </c>
      <c r="BD28" s="327">
        <v>230</v>
      </c>
      <c r="BE28" s="327">
        <v>300</v>
      </c>
      <c r="BF28" s="327" t="s">
        <v>248</v>
      </c>
      <c r="BG28" s="327">
        <v>5</v>
      </c>
      <c r="BH28" s="327">
        <v>300</v>
      </c>
      <c r="BI28" s="327">
        <v>250</v>
      </c>
      <c r="BJ28" s="327">
        <v>350</v>
      </c>
      <c r="BK28" s="327">
        <v>19</v>
      </c>
      <c r="BL28" s="327">
        <v>5</v>
      </c>
      <c r="BM28" s="325" t="s">
        <v>672</v>
      </c>
      <c r="BN28" s="325" t="s">
        <v>672</v>
      </c>
      <c r="BO28" s="340" t="s">
        <v>671</v>
      </c>
      <c r="BP28" s="340" t="s">
        <v>671</v>
      </c>
      <c r="BQ28" s="325" t="s">
        <v>450</v>
      </c>
      <c r="BR28" s="320"/>
    </row>
    <row r="29" spans="1:70" s="328" customFormat="1" ht="12" customHeight="1">
      <c r="A29" s="320">
        <v>28</v>
      </c>
      <c r="B29" s="336" t="s">
        <v>746</v>
      </c>
      <c r="C29" s="325" t="s">
        <v>745</v>
      </c>
      <c r="D29" s="336" t="s">
        <v>925</v>
      </c>
      <c r="E29" s="328">
        <v>160</v>
      </c>
      <c r="F29" s="365">
        <v>2</v>
      </c>
      <c r="G29" s="325">
        <v>11</v>
      </c>
      <c r="H29" s="325">
        <v>13.2</v>
      </c>
      <c r="I29" s="325">
        <v>2930</v>
      </c>
      <c r="J29" s="335">
        <v>3516</v>
      </c>
      <c r="K29" s="339">
        <v>10.956521739130435</v>
      </c>
      <c r="L29" s="343">
        <v>20.2</v>
      </c>
      <c r="M29" s="331">
        <f t="shared" si="0"/>
        <v>21.078260869565216</v>
      </c>
      <c r="N29" s="328">
        <v>0.89</v>
      </c>
      <c r="O29" s="339">
        <v>88.4</v>
      </c>
      <c r="R29" s="328">
        <v>0.89</v>
      </c>
      <c r="S29" s="339">
        <v>88.4</v>
      </c>
      <c r="V29" s="339">
        <v>7.5</v>
      </c>
      <c r="W29" s="339">
        <v>2.2000000000000002</v>
      </c>
      <c r="X29" s="339">
        <v>2.2999999999999998</v>
      </c>
      <c r="AB29" s="329">
        <v>4.4299999999999999E-2</v>
      </c>
      <c r="AC29" s="328">
        <v>70</v>
      </c>
      <c r="AD29" s="325">
        <v>102</v>
      </c>
      <c r="AH29" s="327">
        <v>254</v>
      </c>
      <c r="AI29" s="327">
        <v>210</v>
      </c>
      <c r="AJ29" s="327">
        <v>108</v>
      </c>
      <c r="AK29" s="327">
        <v>42</v>
      </c>
      <c r="AL29" s="327">
        <v>110</v>
      </c>
      <c r="AM29" s="327">
        <v>12</v>
      </c>
      <c r="AN29" s="327">
        <v>37</v>
      </c>
      <c r="AO29" s="327" t="s">
        <v>248</v>
      </c>
      <c r="AP29" s="327">
        <v>160</v>
      </c>
      <c r="AQ29" s="327">
        <v>15</v>
      </c>
      <c r="AR29" s="327">
        <v>320</v>
      </c>
      <c r="AS29" s="327">
        <v>320</v>
      </c>
      <c r="AT29" s="327">
        <v>285</v>
      </c>
      <c r="AU29" s="327">
        <v>440</v>
      </c>
      <c r="AV29" s="327">
        <v>620</v>
      </c>
      <c r="AW29" s="327">
        <v>670</v>
      </c>
      <c r="BH29" s="327">
        <v>300</v>
      </c>
      <c r="BI29" s="327">
        <v>250</v>
      </c>
      <c r="BJ29" s="327">
        <v>350</v>
      </c>
      <c r="BK29" s="327">
        <v>19</v>
      </c>
      <c r="BL29" s="327">
        <v>5</v>
      </c>
      <c r="BM29" s="325" t="s">
        <v>457</v>
      </c>
      <c r="BN29" s="325" t="s">
        <v>457</v>
      </c>
      <c r="BO29" s="341" t="s">
        <v>456</v>
      </c>
      <c r="BP29" s="341" t="s">
        <v>456</v>
      </c>
      <c r="BQ29" s="325" t="s">
        <v>450</v>
      </c>
      <c r="BR29" s="320"/>
    </row>
    <row r="30" spans="1:70" s="328" customFormat="1" ht="12" customHeight="1">
      <c r="A30" s="320">
        <v>29</v>
      </c>
      <c r="B30" s="336" t="s">
        <v>767</v>
      </c>
      <c r="C30" s="325" t="s">
        <v>745</v>
      </c>
      <c r="D30" s="336" t="s">
        <v>924</v>
      </c>
      <c r="E30" s="328">
        <v>160</v>
      </c>
      <c r="F30" s="328">
        <v>2</v>
      </c>
      <c r="G30" s="325">
        <v>15</v>
      </c>
      <c r="H30" s="325">
        <v>18</v>
      </c>
      <c r="I30" s="325">
        <v>2930</v>
      </c>
      <c r="J30" s="325">
        <v>3516</v>
      </c>
      <c r="L30" s="332">
        <v>27.4</v>
      </c>
      <c r="M30" s="331">
        <f t="shared" si="0"/>
        <v>28.591304347826085</v>
      </c>
      <c r="N30" s="325">
        <v>0.89</v>
      </c>
      <c r="O30" s="339">
        <v>89</v>
      </c>
      <c r="R30" s="325">
        <v>0.89</v>
      </c>
      <c r="S30" s="339">
        <v>89</v>
      </c>
      <c r="V30" s="325">
        <v>7.5</v>
      </c>
      <c r="W30" s="325">
        <v>2.2999999999999998</v>
      </c>
      <c r="X30" s="325">
        <v>2.2000000000000002</v>
      </c>
      <c r="AB30" s="329">
        <v>7.4999999999999997E-2</v>
      </c>
      <c r="AC30" s="328">
        <v>71</v>
      </c>
      <c r="AD30" s="325">
        <v>78</v>
      </c>
      <c r="AH30" s="327">
        <v>254</v>
      </c>
      <c r="AI30" s="327">
        <v>210</v>
      </c>
      <c r="AJ30" s="327">
        <v>108</v>
      </c>
      <c r="AK30" s="327">
        <v>42</v>
      </c>
      <c r="AL30" s="327">
        <v>110</v>
      </c>
      <c r="AM30" s="327">
        <v>12</v>
      </c>
      <c r="AN30" s="327">
        <v>37</v>
      </c>
      <c r="AO30" s="327" t="s">
        <v>248</v>
      </c>
      <c r="AP30" s="327">
        <v>160</v>
      </c>
      <c r="AQ30" s="327">
        <v>15</v>
      </c>
      <c r="AR30" s="327">
        <v>320</v>
      </c>
      <c r="AS30" s="327">
        <v>330</v>
      </c>
      <c r="AT30" s="327">
        <v>255</v>
      </c>
      <c r="AU30" s="327">
        <v>415</v>
      </c>
      <c r="AV30" s="327">
        <v>615</v>
      </c>
      <c r="AW30" s="328">
        <v>665</v>
      </c>
      <c r="AX30" s="327">
        <v>215</v>
      </c>
      <c r="AY30" s="327">
        <v>180</v>
      </c>
      <c r="AZ30" s="327">
        <v>250</v>
      </c>
      <c r="BA30" s="327" t="s">
        <v>247</v>
      </c>
      <c r="BB30" s="327">
        <v>4</v>
      </c>
      <c r="BC30" s="327">
        <v>265</v>
      </c>
      <c r="BD30" s="327">
        <v>230</v>
      </c>
      <c r="BE30" s="327">
        <v>300</v>
      </c>
      <c r="BF30" s="327" t="s">
        <v>248</v>
      </c>
      <c r="BG30" s="327">
        <v>5</v>
      </c>
      <c r="BH30" s="327">
        <v>300</v>
      </c>
      <c r="BI30" s="327">
        <v>250</v>
      </c>
      <c r="BJ30" s="327">
        <v>350</v>
      </c>
      <c r="BK30" s="327">
        <v>19</v>
      </c>
      <c r="BL30" s="327">
        <v>5</v>
      </c>
      <c r="BM30" s="325" t="s">
        <v>672</v>
      </c>
      <c r="BN30" s="325" t="s">
        <v>672</v>
      </c>
      <c r="BO30" s="340" t="s">
        <v>671</v>
      </c>
      <c r="BP30" s="340" t="s">
        <v>671</v>
      </c>
      <c r="BQ30" s="325" t="s">
        <v>450</v>
      </c>
      <c r="BR30" s="320"/>
    </row>
    <row r="31" spans="1:70" s="328" customFormat="1" ht="12" customHeight="1">
      <c r="A31" s="320">
        <v>30</v>
      </c>
      <c r="B31" s="336" t="s">
        <v>746</v>
      </c>
      <c r="C31" s="325" t="s">
        <v>745</v>
      </c>
      <c r="D31" s="336" t="s">
        <v>923</v>
      </c>
      <c r="E31" s="328">
        <v>160</v>
      </c>
      <c r="F31" s="365">
        <v>2</v>
      </c>
      <c r="G31" s="325">
        <v>15</v>
      </c>
      <c r="H31" s="325">
        <v>18</v>
      </c>
      <c r="I31" s="325">
        <v>2930</v>
      </c>
      <c r="J31" s="335">
        <v>3516</v>
      </c>
      <c r="L31" s="343">
        <v>27.2</v>
      </c>
      <c r="M31" s="331">
        <f t="shared" si="0"/>
        <v>28.382608695652173</v>
      </c>
      <c r="N31" s="328">
        <v>0.89</v>
      </c>
      <c r="O31" s="339">
        <v>89.4</v>
      </c>
      <c r="R31" s="328">
        <v>0.89</v>
      </c>
      <c r="S31" s="339">
        <v>89.4</v>
      </c>
      <c r="V31" s="339">
        <v>7.5</v>
      </c>
      <c r="W31" s="339">
        <v>2.2000000000000002</v>
      </c>
      <c r="X31" s="339">
        <v>2.2999999999999998</v>
      </c>
      <c r="AB31" s="329">
        <v>5.4899999999999997E-2</v>
      </c>
      <c r="AC31" s="328">
        <v>71</v>
      </c>
      <c r="AD31" s="325">
        <v>114</v>
      </c>
      <c r="AH31" s="327">
        <v>254</v>
      </c>
      <c r="AI31" s="327">
        <v>210</v>
      </c>
      <c r="AJ31" s="327">
        <v>108</v>
      </c>
      <c r="AK31" s="327">
        <v>42</v>
      </c>
      <c r="AL31" s="327">
        <v>110</v>
      </c>
      <c r="AM31" s="327">
        <v>12</v>
      </c>
      <c r="AN31" s="327">
        <v>37</v>
      </c>
      <c r="AO31" s="327" t="s">
        <v>248</v>
      </c>
      <c r="AP31" s="327">
        <v>160</v>
      </c>
      <c r="AQ31" s="327">
        <v>15</v>
      </c>
      <c r="AR31" s="327">
        <v>320</v>
      </c>
      <c r="AS31" s="327">
        <v>320</v>
      </c>
      <c r="AT31" s="327">
        <v>285</v>
      </c>
      <c r="AU31" s="327">
        <v>440</v>
      </c>
      <c r="AV31" s="327">
        <v>620</v>
      </c>
      <c r="AW31" s="327">
        <v>670</v>
      </c>
      <c r="BH31" s="327">
        <v>300</v>
      </c>
      <c r="BI31" s="327">
        <v>250</v>
      </c>
      <c r="BJ31" s="327">
        <v>350</v>
      </c>
      <c r="BK31" s="327">
        <v>19</v>
      </c>
      <c r="BL31" s="327">
        <v>5</v>
      </c>
      <c r="BM31" s="325" t="s">
        <v>457</v>
      </c>
      <c r="BN31" s="325" t="s">
        <v>457</v>
      </c>
      <c r="BO31" s="341" t="s">
        <v>456</v>
      </c>
      <c r="BP31" s="341" t="s">
        <v>456</v>
      </c>
      <c r="BQ31" s="325" t="s">
        <v>450</v>
      </c>
      <c r="BR31" s="320"/>
    </row>
    <row r="32" spans="1:70" s="328" customFormat="1" ht="12" customHeight="1">
      <c r="A32" s="320">
        <v>31</v>
      </c>
      <c r="B32" s="336" t="s">
        <v>767</v>
      </c>
      <c r="C32" s="325" t="s">
        <v>745</v>
      </c>
      <c r="D32" s="336" t="s">
        <v>922</v>
      </c>
      <c r="E32" s="328">
        <v>160</v>
      </c>
      <c r="F32" s="328">
        <v>2</v>
      </c>
      <c r="G32" s="325">
        <v>18.5</v>
      </c>
      <c r="H32" s="325">
        <v>22.2</v>
      </c>
      <c r="I32" s="325">
        <v>2930</v>
      </c>
      <c r="J32" s="325">
        <v>3516</v>
      </c>
      <c r="L32" s="332">
        <v>32.97</v>
      </c>
      <c r="M32" s="331">
        <f t="shared" si="0"/>
        <v>34.403478260869562</v>
      </c>
      <c r="N32" s="332">
        <v>0.9</v>
      </c>
      <c r="O32" s="339">
        <v>90</v>
      </c>
      <c r="R32" s="332">
        <v>0.9</v>
      </c>
      <c r="S32" s="339">
        <v>90</v>
      </c>
      <c r="V32" s="325">
        <v>7.5</v>
      </c>
      <c r="W32" s="325">
        <v>2.2999999999999998</v>
      </c>
      <c r="X32" s="325">
        <v>2.2000000000000002</v>
      </c>
      <c r="AB32" s="329">
        <v>0.124</v>
      </c>
      <c r="AC32" s="328">
        <v>71</v>
      </c>
      <c r="AD32" s="325">
        <v>89</v>
      </c>
      <c r="AH32" s="327">
        <v>254</v>
      </c>
      <c r="AI32" s="327">
        <v>254</v>
      </c>
      <c r="AJ32" s="327">
        <v>108</v>
      </c>
      <c r="AK32" s="327">
        <v>42</v>
      </c>
      <c r="AL32" s="327">
        <v>110</v>
      </c>
      <c r="AM32" s="327">
        <v>12</v>
      </c>
      <c r="AN32" s="327">
        <v>37</v>
      </c>
      <c r="AO32" s="327" t="s">
        <v>248</v>
      </c>
      <c r="AP32" s="327">
        <v>160</v>
      </c>
      <c r="AQ32" s="327">
        <v>15</v>
      </c>
      <c r="AR32" s="327">
        <v>320</v>
      </c>
      <c r="AS32" s="327">
        <v>330</v>
      </c>
      <c r="AT32" s="327">
        <v>255</v>
      </c>
      <c r="AU32" s="327">
        <v>415</v>
      </c>
      <c r="AV32" s="327">
        <v>670</v>
      </c>
      <c r="AW32" s="328">
        <v>720</v>
      </c>
      <c r="AX32" s="327">
        <v>215</v>
      </c>
      <c r="AY32" s="327">
        <v>180</v>
      </c>
      <c r="AZ32" s="327">
        <v>250</v>
      </c>
      <c r="BA32" s="327" t="s">
        <v>247</v>
      </c>
      <c r="BB32" s="327">
        <v>4</v>
      </c>
      <c r="BC32" s="327">
        <v>265</v>
      </c>
      <c r="BD32" s="327">
        <v>230</v>
      </c>
      <c r="BE32" s="327">
        <v>300</v>
      </c>
      <c r="BF32" s="327" t="s">
        <v>248</v>
      </c>
      <c r="BG32" s="327">
        <v>5</v>
      </c>
      <c r="BH32" s="327">
        <v>300</v>
      </c>
      <c r="BI32" s="327">
        <v>250</v>
      </c>
      <c r="BJ32" s="327">
        <v>350</v>
      </c>
      <c r="BK32" s="327">
        <v>19</v>
      </c>
      <c r="BL32" s="327">
        <v>5</v>
      </c>
      <c r="BM32" s="325" t="s">
        <v>672</v>
      </c>
      <c r="BN32" s="325" t="s">
        <v>672</v>
      </c>
      <c r="BO32" s="340" t="s">
        <v>671</v>
      </c>
      <c r="BP32" s="340" t="s">
        <v>671</v>
      </c>
      <c r="BQ32" s="325" t="s">
        <v>450</v>
      </c>
      <c r="BR32" s="320"/>
    </row>
    <row r="33" spans="1:70" s="328" customFormat="1" ht="12" customHeight="1">
      <c r="A33" s="320">
        <v>32</v>
      </c>
      <c r="B33" s="336" t="s">
        <v>746</v>
      </c>
      <c r="C33" s="325" t="s">
        <v>745</v>
      </c>
      <c r="D33" s="336" t="s">
        <v>921</v>
      </c>
      <c r="E33" s="328">
        <v>160</v>
      </c>
      <c r="F33" s="365">
        <v>2</v>
      </c>
      <c r="G33" s="325">
        <v>18.5</v>
      </c>
      <c r="H33" s="325">
        <v>22.2</v>
      </c>
      <c r="I33" s="325">
        <v>2930</v>
      </c>
      <c r="J33" s="335">
        <v>3516</v>
      </c>
      <c r="L33" s="343">
        <v>33</v>
      </c>
      <c r="M33" s="331">
        <f t="shared" si="0"/>
        <v>34.434782608695649</v>
      </c>
      <c r="N33" s="333">
        <v>0.9</v>
      </c>
      <c r="O33" s="339">
        <v>90</v>
      </c>
      <c r="R33" s="333">
        <v>0.9</v>
      </c>
      <c r="S33" s="339">
        <v>90</v>
      </c>
      <c r="V33" s="339">
        <v>7.5</v>
      </c>
      <c r="W33" s="339">
        <v>2.2000000000000002</v>
      </c>
      <c r="X33" s="339">
        <v>2.2999999999999998</v>
      </c>
      <c r="AB33" s="329">
        <v>6.2E-2</v>
      </c>
      <c r="AC33" s="328">
        <v>71</v>
      </c>
      <c r="AD33" s="325">
        <v>128</v>
      </c>
      <c r="AH33" s="327">
        <v>254</v>
      </c>
      <c r="AI33" s="327">
        <v>254</v>
      </c>
      <c r="AJ33" s="327">
        <v>108</v>
      </c>
      <c r="AK33" s="327">
        <v>42</v>
      </c>
      <c r="AL33" s="327">
        <v>110</v>
      </c>
      <c r="AM33" s="327">
        <v>12</v>
      </c>
      <c r="AN33" s="327">
        <v>37</v>
      </c>
      <c r="AO33" s="327" t="s">
        <v>248</v>
      </c>
      <c r="AP33" s="327">
        <v>160</v>
      </c>
      <c r="AQ33" s="327">
        <v>15</v>
      </c>
      <c r="AR33" s="327">
        <v>320</v>
      </c>
      <c r="AS33" s="327">
        <v>320</v>
      </c>
      <c r="AT33" s="327">
        <v>285</v>
      </c>
      <c r="AU33" s="327">
        <v>440</v>
      </c>
      <c r="AV33" s="327">
        <v>675</v>
      </c>
      <c r="AW33" s="327">
        <v>725</v>
      </c>
      <c r="BH33" s="327">
        <v>300</v>
      </c>
      <c r="BI33" s="327">
        <v>250</v>
      </c>
      <c r="BJ33" s="327">
        <v>350</v>
      </c>
      <c r="BK33" s="327">
        <v>19</v>
      </c>
      <c r="BL33" s="327">
        <v>5</v>
      </c>
      <c r="BM33" s="325" t="s">
        <v>457</v>
      </c>
      <c r="BN33" s="325" t="s">
        <v>457</v>
      </c>
      <c r="BO33" s="341" t="s">
        <v>456</v>
      </c>
      <c r="BP33" s="341" t="s">
        <v>456</v>
      </c>
      <c r="BQ33" s="325" t="s">
        <v>450</v>
      </c>
      <c r="BR33" s="320"/>
    </row>
    <row r="34" spans="1:70" s="328" customFormat="1" ht="12" customHeight="1">
      <c r="A34" s="320">
        <v>33</v>
      </c>
      <c r="B34" s="336" t="s">
        <v>746</v>
      </c>
      <c r="C34" s="325" t="s">
        <v>745</v>
      </c>
      <c r="D34" s="336" t="s">
        <v>920</v>
      </c>
      <c r="E34" s="328">
        <v>180</v>
      </c>
      <c r="F34" s="365">
        <v>2</v>
      </c>
      <c r="G34" s="325">
        <v>22</v>
      </c>
      <c r="H34" s="325">
        <v>26.4</v>
      </c>
      <c r="I34" s="325">
        <v>2940</v>
      </c>
      <c r="J34" s="335">
        <v>3528</v>
      </c>
      <c r="L34" s="343">
        <v>39</v>
      </c>
      <c r="M34" s="331">
        <f t="shared" si="0"/>
        <v>40.695652173913047</v>
      </c>
      <c r="N34" s="332">
        <v>0.9</v>
      </c>
      <c r="O34" s="339">
        <v>90.5</v>
      </c>
      <c r="R34" s="332">
        <v>0.9</v>
      </c>
      <c r="S34" s="339">
        <v>90.5</v>
      </c>
      <c r="V34" s="339">
        <v>7.5</v>
      </c>
      <c r="W34" s="339">
        <v>2</v>
      </c>
      <c r="X34" s="339">
        <v>2.2999999999999998</v>
      </c>
      <c r="AB34" s="329">
        <v>8.5300000000000001E-2</v>
      </c>
      <c r="AC34" s="325">
        <v>73</v>
      </c>
      <c r="AD34" s="325">
        <v>166</v>
      </c>
      <c r="AH34" s="327">
        <v>279</v>
      </c>
      <c r="AI34" s="327">
        <v>241</v>
      </c>
      <c r="AJ34" s="327">
        <v>121</v>
      </c>
      <c r="AK34" s="327">
        <v>48</v>
      </c>
      <c r="AL34" s="327">
        <v>110</v>
      </c>
      <c r="AM34" s="327">
        <v>14</v>
      </c>
      <c r="AN34" s="327">
        <v>42.5</v>
      </c>
      <c r="AO34" s="327" t="s">
        <v>248</v>
      </c>
      <c r="AP34" s="327">
        <v>180</v>
      </c>
      <c r="AQ34" s="327">
        <v>15</v>
      </c>
      <c r="AR34" s="327">
        <v>355</v>
      </c>
      <c r="AS34" s="327">
        <v>380</v>
      </c>
      <c r="AT34" s="327">
        <v>310</v>
      </c>
      <c r="AU34" s="327">
        <v>470</v>
      </c>
      <c r="AV34" s="327">
        <v>700</v>
      </c>
      <c r="AW34" s="327">
        <v>760</v>
      </c>
      <c r="BH34" s="327">
        <v>300</v>
      </c>
      <c r="BI34" s="327">
        <v>250</v>
      </c>
      <c r="BJ34" s="327">
        <v>350</v>
      </c>
      <c r="BK34" s="327">
        <v>19</v>
      </c>
      <c r="BL34" s="327">
        <v>5</v>
      </c>
      <c r="BM34" s="325" t="s">
        <v>452</v>
      </c>
      <c r="BN34" s="325" t="s">
        <v>452</v>
      </c>
      <c r="BO34" s="341" t="s">
        <v>451</v>
      </c>
      <c r="BP34" s="341" t="s">
        <v>451</v>
      </c>
      <c r="BQ34" s="325" t="s">
        <v>450</v>
      </c>
      <c r="BR34" s="320"/>
    </row>
    <row r="35" spans="1:70" s="328" customFormat="1" ht="12" customHeight="1">
      <c r="A35" s="320">
        <v>34</v>
      </c>
      <c r="B35" s="336" t="s">
        <v>746</v>
      </c>
      <c r="C35" s="325" t="s">
        <v>745</v>
      </c>
      <c r="D35" s="336" t="s">
        <v>919</v>
      </c>
      <c r="E35" s="328">
        <v>200</v>
      </c>
      <c r="F35" s="365">
        <v>2</v>
      </c>
      <c r="G35" s="325">
        <v>30</v>
      </c>
      <c r="H35" s="325">
        <v>36</v>
      </c>
      <c r="I35" s="325">
        <v>2950</v>
      </c>
      <c r="J35" s="335">
        <v>3540</v>
      </c>
      <c r="L35" s="343">
        <v>52.6</v>
      </c>
      <c r="M35" s="331">
        <f t="shared" si="0"/>
        <v>54.88695652173913</v>
      </c>
      <c r="N35" s="332">
        <v>0.9</v>
      </c>
      <c r="O35" s="339">
        <v>91.4</v>
      </c>
      <c r="R35" s="332">
        <v>0.9</v>
      </c>
      <c r="S35" s="339">
        <v>91.4</v>
      </c>
      <c r="V35" s="339">
        <v>7.5</v>
      </c>
      <c r="W35" s="339">
        <v>2</v>
      </c>
      <c r="X35" s="339">
        <v>2.2999999999999998</v>
      </c>
      <c r="AB35" s="329">
        <v>0.153</v>
      </c>
      <c r="AC35" s="328">
        <v>77</v>
      </c>
      <c r="AD35" s="325">
        <v>230</v>
      </c>
      <c r="AH35" s="327">
        <v>318</v>
      </c>
      <c r="AI35" s="327">
        <v>305</v>
      </c>
      <c r="AJ35" s="327">
        <v>133</v>
      </c>
      <c r="AK35" s="327">
        <v>55</v>
      </c>
      <c r="AL35" s="327">
        <v>110</v>
      </c>
      <c r="AM35" s="327">
        <v>16</v>
      </c>
      <c r="AN35" s="327">
        <v>49</v>
      </c>
      <c r="AO35" s="327" t="s">
        <v>249</v>
      </c>
      <c r="AP35" s="327">
        <v>200</v>
      </c>
      <c r="AQ35" s="327">
        <v>19</v>
      </c>
      <c r="AR35" s="327">
        <v>395</v>
      </c>
      <c r="AS35" s="327">
        <v>410</v>
      </c>
      <c r="AT35" s="327">
        <v>335</v>
      </c>
      <c r="AU35" s="327">
        <v>525</v>
      </c>
      <c r="AV35" s="327">
        <v>775</v>
      </c>
      <c r="AW35" s="327">
        <v>845</v>
      </c>
      <c r="BH35" s="327">
        <v>350</v>
      </c>
      <c r="BI35" s="327">
        <v>300</v>
      </c>
      <c r="BJ35" s="327">
        <v>400</v>
      </c>
      <c r="BK35" s="327">
        <v>19</v>
      </c>
      <c r="BL35" s="327">
        <v>5</v>
      </c>
      <c r="BM35" s="325" t="s">
        <v>442</v>
      </c>
      <c r="BN35" s="325" t="s">
        <v>442</v>
      </c>
      <c r="BO35" s="341" t="s">
        <v>441</v>
      </c>
      <c r="BP35" s="341" t="s">
        <v>441</v>
      </c>
      <c r="BQ35" s="325" t="s">
        <v>434</v>
      </c>
      <c r="BR35" s="320"/>
    </row>
    <row r="36" spans="1:70" s="328" customFormat="1" ht="12" customHeight="1">
      <c r="A36" s="320">
        <v>35</v>
      </c>
      <c r="B36" s="336" t="s">
        <v>746</v>
      </c>
      <c r="C36" s="325" t="s">
        <v>745</v>
      </c>
      <c r="D36" s="336" t="s">
        <v>918</v>
      </c>
      <c r="E36" s="328">
        <v>200</v>
      </c>
      <c r="F36" s="365">
        <v>2</v>
      </c>
      <c r="G36" s="325">
        <v>37</v>
      </c>
      <c r="H36" s="325">
        <v>44.4</v>
      </c>
      <c r="I36" s="325">
        <v>2950</v>
      </c>
      <c r="J36" s="335">
        <v>3540</v>
      </c>
      <c r="K36" s="339">
        <v>21.078260869565216</v>
      </c>
      <c r="L36" s="343">
        <v>64.5</v>
      </c>
      <c r="M36" s="331">
        <f t="shared" si="0"/>
        <v>67.304347826086953</v>
      </c>
      <c r="N36" s="332">
        <v>0.9</v>
      </c>
      <c r="O36" s="339">
        <v>92</v>
      </c>
      <c r="R36" s="332">
        <v>0.9</v>
      </c>
      <c r="S36" s="339">
        <v>92</v>
      </c>
      <c r="V36" s="339">
        <v>7.5</v>
      </c>
      <c r="W36" s="339">
        <v>2</v>
      </c>
      <c r="X36" s="339">
        <v>2.2999999999999998</v>
      </c>
      <c r="AB36" s="329">
        <v>0.17799999999999999</v>
      </c>
      <c r="AC36" s="328">
        <v>77</v>
      </c>
      <c r="AD36" s="325">
        <v>244</v>
      </c>
      <c r="AH36" s="327">
        <v>318</v>
      </c>
      <c r="AI36" s="327">
        <v>305</v>
      </c>
      <c r="AJ36" s="327">
        <v>133</v>
      </c>
      <c r="AK36" s="327">
        <v>55</v>
      </c>
      <c r="AL36" s="327">
        <v>110</v>
      </c>
      <c r="AM36" s="327">
        <v>16</v>
      </c>
      <c r="AN36" s="327">
        <v>49</v>
      </c>
      <c r="AO36" s="327" t="s">
        <v>249</v>
      </c>
      <c r="AP36" s="327">
        <v>200</v>
      </c>
      <c r="AQ36" s="327">
        <v>19</v>
      </c>
      <c r="AR36" s="327">
        <v>395</v>
      </c>
      <c r="AS36" s="327">
        <v>410</v>
      </c>
      <c r="AT36" s="327">
        <v>335</v>
      </c>
      <c r="AU36" s="327">
        <v>525</v>
      </c>
      <c r="AV36" s="327">
        <v>775</v>
      </c>
      <c r="AW36" s="327">
        <v>845</v>
      </c>
      <c r="BH36" s="327">
        <v>350</v>
      </c>
      <c r="BI36" s="327">
        <v>300</v>
      </c>
      <c r="BJ36" s="327">
        <v>400</v>
      </c>
      <c r="BK36" s="327">
        <v>19</v>
      </c>
      <c r="BL36" s="327">
        <v>5</v>
      </c>
      <c r="BM36" s="325" t="s">
        <v>442</v>
      </c>
      <c r="BN36" s="325" t="s">
        <v>442</v>
      </c>
      <c r="BO36" s="341" t="s">
        <v>441</v>
      </c>
      <c r="BP36" s="341" t="s">
        <v>441</v>
      </c>
      <c r="BQ36" s="325" t="s">
        <v>434</v>
      </c>
      <c r="BR36" s="320"/>
    </row>
    <row r="37" spans="1:70" s="328" customFormat="1" ht="12" customHeight="1">
      <c r="A37" s="320">
        <v>36</v>
      </c>
      <c r="B37" s="336" t="s">
        <v>746</v>
      </c>
      <c r="C37" s="325" t="s">
        <v>745</v>
      </c>
      <c r="D37" s="336" t="s">
        <v>917</v>
      </c>
      <c r="E37" s="328">
        <v>225</v>
      </c>
      <c r="F37" s="365">
        <v>2</v>
      </c>
      <c r="G37" s="325">
        <v>45</v>
      </c>
      <c r="H37" s="325">
        <v>54</v>
      </c>
      <c r="I37" s="325">
        <v>2960</v>
      </c>
      <c r="J37" s="335">
        <v>3552</v>
      </c>
      <c r="K37" s="339">
        <v>28.382608695652173</v>
      </c>
      <c r="L37" s="343">
        <v>78</v>
      </c>
      <c r="M37" s="331">
        <f t="shared" si="0"/>
        <v>81.391304347826093</v>
      </c>
      <c r="N37" s="332">
        <v>0.9</v>
      </c>
      <c r="O37" s="339">
        <v>92.5</v>
      </c>
      <c r="R37" s="332">
        <v>0.9</v>
      </c>
      <c r="S37" s="339">
        <v>92.5</v>
      </c>
      <c r="V37" s="339">
        <v>7.5</v>
      </c>
      <c r="W37" s="339">
        <v>2</v>
      </c>
      <c r="X37" s="339">
        <v>2.2999999999999998</v>
      </c>
      <c r="AB37" s="329">
        <v>0.27700000000000002</v>
      </c>
      <c r="AC37" s="328">
        <v>77</v>
      </c>
      <c r="AD37" s="325">
        <v>286</v>
      </c>
      <c r="AH37" s="327">
        <v>356</v>
      </c>
      <c r="AI37" s="327">
        <v>311</v>
      </c>
      <c r="AJ37" s="327">
        <v>149</v>
      </c>
      <c r="AK37" s="327">
        <v>55</v>
      </c>
      <c r="AL37" s="327">
        <v>110</v>
      </c>
      <c r="AM37" s="327">
        <v>16</v>
      </c>
      <c r="AN37" s="327">
        <v>49</v>
      </c>
      <c r="AO37" s="327" t="s">
        <v>249</v>
      </c>
      <c r="AP37" s="327">
        <v>225</v>
      </c>
      <c r="AQ37" s="327">
        <v>19</v>
      </c>
      <c r="AR37" s="327">
        <v>435</v>
      </c>
      <c r="AS37" s="327">
        <v>470</v>
      </c>
      <c r="AT37" s="327">
        <v>370</v>
      </c>
      <c r="AU37" s="327">
        <v>580</v>
      </c>
      <c r="AV37" s="327">
        <v>815</v>
      </c>
      <c r="AW37" s="327">
        <v>910</v>
      </c>
      <c r="BH37" s="327">
        <v>400</v>
      </c>
      <c r="BI37" s="327">
        <v>350</v>
      </c>
      <c r="BJ37" s="327">
        <v>450</v>
      </c>
      <c r="BK37" s="327">
        <v>19</v>
      </c>
      <c r="BL37" s="327">
        <v>5</v>
      </c>
      <c r="BM37" s="325" t="s">
        <v>442</v>
      </c>
      <c r="BN37" s="325" t="s">
        <v>442</v>
      </c>
      <c r="BO37" s="341" t="s">
        <v>435</v>
      </c>
      <c r="BP37" s="341" t="s">
        <v>435</v>
      </c>
      <c r="BQ37" s="325" t="s">
        <v>434</v>
      </c>
      <c r="BR37" s="320"/>
    </row>
    <row r="38" spans="1:70" s="328" customFormat="1" ht="12" customHeight="1">
      <c r="A38" s="320">
        <v>37</v>
      </c>
      <c r="B38" s="336" t="s">
        <v>746</v>
      </c>
      <c r="C38" s="325" t="s">
        <v>745</v>
      </c>
      <c r="D38" s="336" t="s">
        <v>916</v>
      </c>
      <c r="E38" s="328">
        <v>250</v>
      </c>
      <c r="F38" s="365">
        <v>2</v>
      </c>
      <c r="G38" s="325">
        <v>55</v>
      </c>
      <c r="H38" s="325">
        <v>66</v>
      </c>
      <c r="I38" s="325">
        <v>2965</v>
      </c>
      <c r="J38" s="335">
        <v>3558</v>
      </c>
      <c r="L38" s="343">
        <v>94.8</v>
      </c>
      <c r="M38" s="331">
        <f t="shared" si="0"/>
        <v>98.921739130434787</v>
      </c>
      <c r="N38" s="332">
        <v>0.9</v>
      </c>
      <c r="O38" s="339">
        <v>93</v>
      </c>
      <c r="R38" s="332">
        <v>0.9</v>
      </c>
      <c r="S38" s="339">
        <v>93</v>
      </c>
      <c r="V38" s="339">
        <v>7.5</v>
      </c>
      <c r="W38" s="339">
        <v>2</v>
      </c>
      <c r="X38" s="339">
        <v>2.2999999999999998</v>
      </c>
      <c r="AB38" s="329">
        <v>0.38800000000000001</v>
      </c>
      <c r="AC38" s="328">
        <v>77</v>
      </c>
      <c r="AD38" s="325">
        <v>382</v>
      </c>
      <c r="AH38" s="327">
        <v>406</v>
      </c>
      <c r="AI38" s="327">
        <v>349</v>
      </c>
      <c r="AJ38" s="327">
        <v>168</v>
      </c>
      <c r="AK38" s="327">
        <v>60</v>
      </c>
      <c r="AL38" s="327">
        <v>140</v>
      </c>
      <c r="AM38" s="327">
        <v>18</v>
      </c>
      <c r="AN38" s="327">
        <v>53</v>
      </c>
      <c r="AO38" s="327" t="s">
        <v>249</v>
      </c>
      <c r="AP38" s="327">
        <v>250</v>
      </c>
      <c r="AQ38" s="327">
        <v>24</v>
      </c>
      <c r="AR38" s="327">
        <v>490</v>
      </c>
      <c r="AS38" s="327">
        <v>490</v>
      </c>
      <c r="AT38" s="327">
        <v>380</v>
      </c>
      <c r="AU38" s="327">
        <v>635</v>
      </c>
      <c r="AV38" s="327">
        <v>930</v>
      </c>
      <c r="AW38" s="327">
        <v>1035</v>
      </c>
      <c r="BH38" s="327">
        <v>500</v>
      </c>
      <c r="BI38" s="327">
        <v>450</v>
      </c>
      <c r="BJ38" s="327">
        <v>550</v>
      </c>
      <c r="BK38" s="327">
        <v>19</v>
      </c>
      <c r="BL38" s="327">
        <v>5</v>
      </c>
      <c r="BM38" s="325" t="s">
        <v>429</v>
      </c>
      <c r="BN38" s="325" t="s">
        <v>429</v>
      </c>
      <c r="BO38" s="341" t="s">
        <v>428</v>
      </c>
      <c r="BP38" s="341" t="s">
        <v>428</v>
      </c>
      <c r="BQ38" s="325" t="s">
        <v>388</v>
      </c>
      <c r="BR38" s="320"/>
    </row>
    <row r="39" spans="1:70" s="328" customFormat="1" ht="12" customHeight="1">
      <c r="A39" s="320">
        <v>38</v>
      </c>
      <c r="B39" s="336" t="s">
        <v>746</v>
      </c>
      <c r="C39" s="325" t="s">
        <v>745</v>
      </c>
      <c r="D39" s="336" t="s">
        <v>915</v>
      </c>
      <c r="E39" s="328">
        <v>250</v>
      </c>
      <c r="F39" s="365">
        <v>2</v>
      </c>
      <c r="G39" s="325">
        <v>75</v>
      </c>
      <c r="H39" s="325">
        <v>90</v>
      </c>
      <c r="I39" s="325">
        <v>2970</v>
      </c>
      <c r="J39" s="335">
        <v>3564</v>
      </c>
      <c r="L39" s="343">
        <v>128.5</v>
      </c>
      <c r="M39" s="331">
        <f t="shared" si="0"/>
        <v>134.08695652173913</v>
      </c>
      <c r="N39" s="332">
        <v>0.9</v>
      </c>
      <c r="O39" s="339">
        <v>93.6</v>
      </c>
      <c r="R39" s="332">
        <v>0.9</v>
      </c>
      <c r="S39" s="339">
        <v>93.6</v>
      </c>
      <c r="V39" s="339">
        <v>7.5</v>
      </c>
      <c r="W39" s="339">
        <v>2</v>
      </c>
      <c r="X39" s="339">
        <v>2.2999999999999998</v>
      </c>
      <c r="AB39" s="329">
        <v>0.57399999999999995</v>
      </c>
      <c r="AC39" s="328">
        <v>78</v>
      </c>
      <c r="AD39" s="325">
        <v>410</v>
      </c>
      <c r="AH39" s="327">
        <v>406</v>
      </c>
      <c r="AI39" s="327">
        <v>349</v>
      </c>
      <c r="AJ39" s="327">
        <v>168</v>
      </c>
      <c r="AK39" s="327">
        <v>60</v>
      </c>
      <c r="AL39" s="327">
        <v>140</v>
      </c>
      <c r="AM39" s="327">
        <v>18</v>
      </c>
      <c r="AN39" s="327">
        <v>53</v>
      </c>
      <c r="AO39" s="327" t="s">
        <v>249</v>
      </c>
      <c r="AP39" s="327">
        <v>250</v>
      </c>
      <c r="AQ39" s="327">
        <v>24</v>
      </c>
      <c r="AR39" s="327">
        <v>490</v>
      </c>
      <c r="AS39" s="327">
        <v>490</v>
      </c>
      <c r="AT39" s="327">
        <v>380</v>
      </c>
      <c r="AU39" s="327">
        <v>635</v>
      </c>
      <c r="AV39" s="327">
        <v>930</v>
      </c>
      <c r="AW39" s="327">
        <v>1035</v>
      </c>
      <c r="BH39" s="327">
        <v>500</v>
      </c>
      <c r="BI39" s="327">
        <v>450</v>
      </c>
      <c r="BJ39" s="327">
        <v>550</v>
      </c>
      <c r="BK39" s="327">
        <v>19</v>
      </c>
      <c r="BL39" s="327">
        <v>5</v>
      </c>
      <c r="BM39" s="325" t="s">
        <v>429</v>
      </c>
      <c r="BN39" s="325" t="s">
        <v>429</v>
      </c>
      <c r="BO39" s="341" t="s">
        <v>428</v>
      </c>
      <c r="BP39" s="341" t="s">
        <v>428</v>
      </c>
      <c r="BQ39" s="325" t="s">
        <v>388</v>
      </c>
      <c r="BR39" s="320"/>
    </row>
    <row r="40" spans="1:70" s="328" customFormat="1" ht="12" customHeight="1">
      <c r="A40" s="320">
        <v>39</v>
      </c>
      <c r="B40" s="336" t="s">
        <v>746</v>
      </c>
      <c r="C40" s="325" t="s">
        <v>745</v>
      </c>
      <c r="D40" s="336" t="s">
        <v>914</v>
      </c>
      <c r="E40" s="334">
        <v>280</v>
      </c>
      <c r="F40" s="384">
        <v>2</v>
      </c>
      <c r="G40" s="325">
        <v>75</v>
      </c>
      <c r="H40" s="325">
        <v>90</v>
      </c>
      <c r="I40" s="325">
        <v>2970</v>
      </c>
      <c r="J40" s="335">
        <v>3564</v>
      </c>
      <c r="K40" s="334"/>
      <c r="L40" s="343">
        <v>128.5</v>
      </c>
      <c r="M40" s="331">
        <f t="shared" si="0"/>
        <v>134.08695652173913</v>
      </c>
      <c r="N40" s="332">
        <v>0.9</v>
      </c>
      <c r="O40" s="339">
        <v>93.6</v>
      </c>
      <c r="P40" s="334"/>
      <c r="Q40" s="334"/>
      <c r="R40" s="332">
        <v>0.9</v>
      </c>
      <c r="S40" s="339">
        <v>93.6</v>
      </c>
      <c r="T40" s="334"/>
      <c r="U40" s="334"/>
      <c r="V40" s="339">
        <v>7.5</v>
      </c>
      <c r="W40" s="339">
        <v>2</v>
      </c>
      <c r="X40" s="339">
        <v>2.2999999999999998</v>
      </c>
      <c r="AB40" s="329">
        <v>0.57399999999999995</v>
      </c>
      <c r="AC40" s="328">
        <v>78</v>
      </c>
      <c r="AD40" s="325">
        <v>508</v>
      </c>
      <c r="AH40" s="327">
        <v>457</v>
      </c>
      <c r="AI40" s="327">
        <v>368</v>
      </c>
      <c r="AJ40" s="327">
        <v>190</v>
      </c>
      <c r="AK40" s="327">
        <v>65</v>
      </c>
      <c r="AL40" s="327">
        <v>140</v>
      </c>
      <c r="AM40" s="327">
        <v>18</v>
      </c>
      <c r="AN40" s="327">
        <v>58</v>
      </c>
      <c r="AO40" s="327" t="s">
        <v>249</v>
      </c>
      <c r="AP40" s="327">
        <v>280</v>
      </c>
      <c r="AQ40" s="327">
        <v>24</v>
      </c>
      <c r="AR40" s="327">
        <v>550</v>
      </c>
      <c r="AS40" s="327">
        <v>580</v>
      </c>
      <c r="AT40" s="327">
        <v>410</v>
      </c>
      <c r="AU40" s="327">
        <v>698</v>
      </c>
      <c r="AV40" s="327">
        <v>981</v>
      </c>
      <c r="AW40" s="327">
        <v>1115</v>
      </c>
      <c r="BH40" s="327">
        <v>500</v>
      </c>
      <c r="BI40" s="327">
        <v>450</v>
      </c>
      <c r="BJ40" s="327">
        <v>550</v>
      </c>
      <c r="BK40" s="327">
        <v>19</v>
      </c>
      <c r="BL40" s="327">
        <v>5</v>
      </c>
      <c r="BM40" s="325" t="s">
        <v>420</v>
      </c>
      <c r="BN40" s="325" t="s">
        <v>420</v>
      </c>
      <c r="BO40" s="341" t="s">
        <v>419</v>
      </c>
      <c r="BP40" s="340" t="s">
        <v>419</v>
      </c>
      <c r="BQ40" s="325" t="s">
        <v>388</v>
      </c>
      <c r="BR40" s="320"/>
    </row>
    <row r="41" spans="1:70" s="328" customFormat="1" ht="12" customHeight="1">
      <c r="A41" s="320">
        <v>40</v>
      </c>
      <c r="B41" s="336" t="s">
        <v>746</v>
      </c>
      <c r="C41" s="325" t="s">
        <v>745</v>
      </c>
      <c r="D41" s="336" t="s">
        <v>913</v>
      </c>
      <c r="E41" s="328">
        <v>280</v>
      </c>
      <c r="F41" s="365">
        <v>2</v>
      </c>
      <c r="G41" s="325">
        <v>90</v>
      </c>
      <c r="H41" s="325">
        <v>108</v>
      </c>
      <c r="I41" s="325">
        <v>2970</v>
      </c>
      <c r="J41" s="335">
        <v>3564</v>
      </c>
      <c r="L41" s="343">
        <v>152</v>
      </c>
      <c r="M41" s="331">
        <f t="shared" si="0"/>
        <v>158.60869565217391</v>
      </c>
      <c r="N41" s="332">
        <v>0.91</v>
      </c>
      <c r="O41" s="339">
        <v>93.9</v>
      </c>
      <c r="R41" s="332">
        <v>0.91</v>
      </c>
      <c r="S41" s="339">
        <v>93.9</v>
      </c>
      <c r="V41" s="339">
        <v>7.5</v>
      </c>
      <c r="W41" s="339">
        <v>2</v>
      </c>
      <c r="X41" s="339">
        <v>2.2999999999999998</v>
      </c>
      <c r="AB41" s="329">
        <v>0.67700000000000005</v>
      </c>
      <c r="AC41" s="328">
        <v>78</v>
      </c>
      <c r="AD41" s="325">
        <v>544</v>
      </c>
      <c r="AH41" s="327">
        <v>457</v>
      </c>
      <c r="AI41" s="327">
        <v>419</v>
      </c>
      <c r="AJ41" s="327">
        <v>190</v>
      </c>
      <c r="AK41" s="327">
        <v>65</v>
      </c>
      <c r="AL41" s="327">
        <v>140</v>
      </c>
      <c r="AM41" s="327">
        <v>18</v>
      </c>
      <c r="AN41" s="327">
        <v>58</v>
      </c>
      <c r="AO41" s="327" t="s">
        <v>249</v>
      </c>
      <c r="AP41" s="327">
        <v>280</v>
      </c>
      <c r="AQ41" s="327">
        <v>24</v>
      </c>
      <c r="AR41" s="327">
        <v>550</v>
      </c>
      <c r="AS41" s="327">
        <v>580</v>
      </c>
      <c r="AT41" s="327">
        <v>410</v>
      </c>
      <c r="AU41" s="327">
        <v>698</v>
      </c>
      <c r="AV41" s="327">
        <v>1032</v>
      </c>
      <c r="AW41" s="327">
        <v>1157</v>
      </c>
      <c r="BH41" s="327">
        <v>500</v>
      </c>
      <c r="BI41" s="327">
        <v>450</v>
      </c>
      <c r="BJ41" s="327">
        <v>550</v>
      </c>
      <c r="BK41" s="327">
        <v>19</v>
      </c>
      <c r="BL41" s="327">
        <v>5</v>
      </c>
      <c r="BM41" s="325" t="s">
        <v>420</v>
      </c>
      <c r="BN41" s="325" t="s">
        <v>420</v>
      </c>
      <c r="BO41" s="341" t="s">
        <v>419</v>
      </c>
      <c r="BP41" s="340" t="s">
        <v>419</v>
      </c>
      <c r="BQ41" s="325" t="s">
        <v>388</v>
      </c>
      <c r="BR41" s="320"/>
    </row>
    <row r="42" spans="1:70" s="328" customFormat="1" ht="12" customHeight="1">
      <c r="A42" s="320">
        <v>41</v>
      </c>
      <c r="B42" s="336" t="s">
        <v>746</v>
      </c>
      <c r="C42" s="325" t="s">
        <v>745</v>
      </c>
      <c r="D42" s="336" t="s">
        <v>912</v>
      </c>
      <c r="E42" s="328">
        <v>280</v>
      </c>
      <c r="F42" s="365">
        <v>2</v>
      </c>
      <c r="G42" s="325">
        <v>110</v>
      </c>
      <c r="H42" s="325">
        <v>132</v>
      </c>
      <c r="I42" s="325">
        <v>2980</v>
      </c>
      <c r="J42" s="335">
        <v>3576</v>
      </c>
      <c r="L42" s="343">
        <v>185.6</v>
      </c>
      <c r="M42" s="331">
        <f t="shared" si="0"/>
        <v>193.66956521739129</v>
      </c>
      <c r="N42" s="332">
        <v>0.91</v>
      </c>
      <c r="O42" s="339">
        <v>94</v>
      </c>
      <c r="R42" s="332">
        <v>0.91</v>
      </c>
      <c r="S42" s="339">
        <v>94</v>
      </c>
      <c r="V42" s="339">
        <v>7.1</v>
      </c>
      <c r="W42" s="339">
        <v>1.8</v>
      </c>
      <c r="X42" s="339">
        <v>2.2000000000000002</v>
      </c>
      <c r="AB42" s="329">
        <v>1.4</v>
      </c>
      <c r="AC42" s="328">
        <v>82</v>
      </c>
      <c r="AD42" s="325">
        <v>730</v>
      </c>
      <c r="AH42" s="327">
        <v>457</v>
      </c>
      <c r="AI42" s="327">
        <v>419</v>
      </c>
      <c r="AJ42" s="327">
        <v>190</v>
      </c>
      <c r="AK42" s="327">
        <v>65</v>
      </c>
      <c r="AL42" s="327">
        <v>140</v>
      </c>
      <c r="AM42" s="327">
        <v>18</v>
      </c>
      <c r="AN42" s="327">
        <v>58</v>
      </c>
      <c r="AO42" s="327" t="s">
        <v>249</v>
      </c>
      <c r="AP42" s="327">
        <v>280</v>
      </c>
      <c r="AQ42" s="327">
        <v>24</v>
      </c>
      <c r="AR42" s="327">
        <v>550</v>
      </c>
      <c r="AS42" s="327">
        <v>580</v>
      </c>
      <c r="AT42" s="327">
        <v>410</v>
      </c>
      <c r="AU42" s="327">
        <v>698</v>
      </c>
      <c r="AV42" s="327">
        <v>1032</v>
      </c>
      <c r="AW42" s="327">
        <v>1157</v>
      </c>
      <c r="BH42" s="327">
        <v>500</v>
      </c>
      <c r="BI42" s="327">
        <v>450</v>
      </c>
      <c r="BJ42" s="327">
        <v>550</v>
      </c>
      <c r="BK42" s="327">
        <v>19</v>
      </c>
      <c r="BL42" s="327">
        <v>5</v>
      </c>
      <c r="BM42" s="325" t="s">
        <v>420</v>
      </c>
      <c r="BN42" s="325" t="s">
        <v>420</v>
      </c>
      <c r="BO42" s="341" t="s">
        <v>419</v>
      </c>
      <c r="BP42" s="340" t="s">
        <v>419</v>
      </c>
      <c r="BQ42" s="325" t="s">
        <v>388</v>
      </c>
      <c r="BR42" s="320"/>
    </row>
    <row r="43" spans="1:70" s="328" customFormat="1" ht="12" customHeight="1">
      <c r="A43" s="320">
        <v>42</v>
      </c>
      <c r="B43" s="336" t="s">
        <v>746</v>
      </c>
      <c r="C43" s="325" t="s">
        <v>745</v>
      </c>
      <c r="D43" s="336" t="s">
        <v>911</v>
      </c>
      <c r="E43" s="328">
        <v>315</v>
      </c>
      <c r="F43" s="365">
        <v>2</v>
      </c>
      <c r="G43" s="325">
        <v>110</v>
      </c>
      <c r="H43" s="325">
        <v>132</v>
      </c>
      <c r="I43" s="325">
        <v>2980</v>
      </c>
      <c r="J43" s="335">
        <v>3576</v>
      </c>
      <c r="L43" s="343">
        <v>185.6</v>
      </c>
      <c r="M43" s="331">
        <f t="shared" si="0"/>
        <v>193.66956521739129</v>
      </c>
      <c r="N43" s="332">
        <v>0.91</v>
      </c>
      <c r="O43" s="339">
        <v>94</v>
      </c>
      <c r="R43" s="332">
        <v>0.91</v>
      </c>
      <c r="S43" s="339">
        <v>94</v>
      </c>
      <c r="V43" s="339">
        <v>7.1</v>
      </c>
      <c r="W43" s="339">
        <v>1.8</v>
      </c>
      <c r="X43" s="339">
        <v>2.2000000000000002</v>
      </c>
      <c r="AB43" s="329">
        <v>1.4</v>
      </c>
      <c r="AC43" s="328">
        <v>82</v>
      </c>
      <c r="AD43" s="325">
        <v>868</v>
      </c>
      <c r="AH43" s="327">
        <v>508</v>
      </c>
      <c r="AI43" s="327">
        <v>406</v>
      </c>
      <c r="AJ43" s="327">
        <v>216</v>
      </c>
      <c r="AK43" s="327">
        <v>65</v>
      </c>
      <c r="AL43" s="327">
        <v>140</v>
      </c>
      <c r="AM43" s="327">
        <v>18</v>
      </c>
      <c r="AN43" s="327">
        <v>58</v>
      </c>
      <c r="AO43" s="327" t="s">
        <v>249</v>
      </c>
      <c r="AP43" s="327">
        <v>315</v>
      </c>
      <c r="AQ43" s="327">
        <v>28</v>
      </c>
      <c r="AR43" s="327">
        <v>630</v>
      </c>
      <c r="AS43" s="327">
        <v>645</v>
      </c>
      <c r="AT43" s="327">
        <v>535</v>
      </c>
      <c r="AU43" s="327">
        <v>885</v>
      </c>
      <c r="AV43" s="327">
        <v>1185</v>
      </c>
      <c r="AW43" s="327">
        <v>1310</v>
      </c>
      <c r="BH43" s="327">
        <v>600</v>
      </c>
      <c r="BI43" s="327">
        <v>550</v>
      </c>
      <c r="BJ43" s="327">
        <v>660</v>
      </c>
      <c r="BK43" s="327">
        <v>24</v>
      </c>
      <c r="BL43" s="327">
        <v>6</v>
      </c>
      <c r="BM43" s="325" t="s">
        <v>420</v>
      </c>
      <c r="BN43" s="325" t="s">
        <v>420</v>
      </c>
      <c r="BO43" s="326"/>
      <c r="BP43" s="326"/>
      <c r="BQ43" s="325" t="s">
        <v>388</v>
      </c>
      <c r="BR43" s="320"/>
    </row>
    <row r="44" spans="1:70" s="328" customFormat="1" ht="12" customHeight="1">
      <c r="A44" s="320">
        <v>43</v>
      </c>
      <c r="B44" s="336" t="s">
        <v>746</v>
      </c>
      <c r="C44" s="325" t="s">
        <v>745</v>
      </c>
      <c r="D44" s="336" t="s">
        <v>910</v>
      </c>
      <c r="E44" s="328">
        <v>315</v>
      </c>
      <c r="F44" s="365">
        <v>2</v>
      </c>
      <c r="G44" s="325">
        <v>132</v>
      </c>
      <c r="H44" s="325">
        <v>158.4</v>
      </c>
      <c r="I44" s="325">
        <v>2980</v>
      </c>
      <c r="J44" s="335">
        <v>3576</v>
      </c>
      <c r="L44" s="343">
        <v>221.6</v>
      </c>
      <c r="M44" s="331">
        <f t="shared" si="0"/>
        <v>231.23478260869564</v>
      </c>
      <c r="N44" s="332">
        <v>0.91</v>
      </c>
      <c r="O44" s="339">
        <v>94.5</v>
      </c>
      <c r="R44" s="332">
        <v>0.91</v>
      </c>
      <c r="S44" s="339">
        <v>94.5</v>
      </c>
      <c r="V44" s="339">
        <v>7.1</v>
      </c>
      <c r="W44" s="339">
        <v>1.8</v>
      </c>
      <c r="X44" s="339">
        <v>2.2000000000000002</v>
      </c>
      <c r="AB44" s="329">
        <v>1.57</v>
      </c>
      <c r="AC44" s="328">
        <v>82</v>
      </c>
      <c r="AD44" s="325">
        <v>908</v>
      </c>
      <c r="AH44" s="327">
        <v>508</v>
      </c>
      <c r="AI44" s="327">
        <v>457</v>
      </c>
      <c r="AJ44" s="327">
        <v>216</v>
      </c>
      <c r="AK44" s="327">
        <v>65</v>
      </c>
      <c r="AL44" s="327">
        <v>140</v>
      </c>
      <c r="AM44" s="327">
        <v>18</v>
      </c>
      <c r="AN44" s="327">
        <v>58</v>
      </c>
      <c r="AO44" s="327" t="s">
        <v>249</v>
      </c>
      <c r="AP44" s="327">
        <v>315</v>
      </c>
      <c r="AQ44" s="327">
        <v>28</v>
      </c>
      <c r="AR44" s="327">
        <v>630</v>
      </c>
      <c r="AS44" s="327">
        <v>645</v>
      </c>
      <c r="AT44" s="327">
        <v>535</v>
      </c>
      <c r="AU44" s="327">
        <v>885</v>
      </c>
      <c r="AV44" s="327">
        <v>1295</v>
      </c>
      <c r="AW44" s="327">
        <v>1425</v>
      </c>
      <c r="BH44" s="327">
        <v>600</v>
      </c>
      <c r="BI44" s="327">
        <v>550</v>
      </c>
      <c r="BJ44" s="327">
        <v>660</v>
      </c>
      <c r="BK44" s="327">
        <v>24</v>
      </c>
      <c r="BL44" s="327">
        <v>6</v>
      </c>
      <c r="BM44" s="325" t="s">
        <v>420</v>
      </c>
      <c r="BN44" s="325" t="s">
        <v>420</v>
      </c>
      <c r="BO44" s="326"/>
      <c r="BP44" s="326"/>
      <c r="BQ44" s="325" t="s">
        <v>388</v>
      </c>
      <c r="BR44" s="320"/>
    </row>
    <row r="45" spans="1:70" s="328" customFormat="1" ht="12" customHeight="1">
      <c r="A45" s="320">
        <v>44</v>
      </c>
      <c r="B45" s="336" t="s">
        <v>746</v>
      </c>
      <c r="C45" s="325" t="s">
        <v>745</v>
      </c>
      <c r="D45" s="336" t="s">
        <v>909</v>
      </c>
      <c r="E45" s="328">
        <v>315</v>
      </c>
      <c r="F45" s="382">
        <v>2</v>
      </c>
      <c r="G45" s="325">
        <v>160</v>
      </c>
      <c r="H45" s="325">
        <v>192</v>
      </c>
      <c r="I45" s="325">
        <v>2980</v>
      </c>
      <c r="J45" s="335">
        <v>3576</v>
      </c>
      <c r="K45" s="339">
        <v>93.6</v>
      </c>
      <c r="L45" s="343">
        <v>265.39999999999998</v>
      </c>
      <c r="M45" s="331">
        <f t="shared" si="0"/>
        <v>276.93913043478256</v>
      </c>
      <c r="N45" s="332">
        <v>0.92</v>
      </c>
      <c r="O45" s="339">
        <v>94.6</v>
      </c>
      <c r="R45" s="332">
        <v>0.92</v>
      </c>
      <c r="S45" s="339">
        <v>94.6</v>
      </c>
      <c r="V45" s="339">
        <v>7.1</v>
      </c>
      <c r="W45" s="339">
        <v>1.8</v>
      </c>
      <c r="X45" s="339">
        <v>2.2000000000000002</v>
      </c>
      <c r="AB45" s="329">
        <v>1.76</v>
      </c>
      <c r="AC45" s="328">
        <v>83</v>
      </c>
      <c r="AD45" s="325">
        <v>1014</v>
      </c>
      <c r="AH45" s="327">
        <v>508</v>
      </c>
      <c r="AI45" s="327">
        <v>508</v>
      </c>
      <c r="AJ45" s="327">
        <v>216</v>
      </c>
      <c r="AK45" s="327">
        <v>65</v>
      </c>
      <c r="AL45" s="327">
        <v>140</v>
      </c>
      <c r="AM45" s="327">
        <v>18</v>
      </c>
      <c r="AN45" s="327">
        <v>58</v>
      </c>
      <c r="AO45" s="327" t="s">
        <v>249</v>
      </c>
      <c r="AP45" s="327">
        <v>315</v>
      </c>
      <c r="AQ45" s="327">
        <v>28</v>
      </c>
      <c r="AR45" s="327">
        <v>630</v>
      </c>
      <c r="AS45" s="327">
        <v>645</v>
      </c>
      <c r="AT45" s="327">
        <v>535</v>
      </c>
      <c r="AU45" s="327">
        <v>885</v>
      </c>
      <c r="AV45" s="327">
        <v>1295</v>
      </c>
      <c r="AW45" s="327">
        <v>1425</v>
      </c>
      <c r="BH45" s="327">
        <v>600</v>
      </c>
      <c r="BI45" s="327">
        <v>550</v>
      </c>
      <c r="BJ45" s="327">
        <v>660</v>
      </c>
      <c r="BK45" s="327">
        <v>24</v>
      </c>
      <c r="BL45" s="327">
        <v>6</v>
      </c>
      <c r="BM45" s="325" t="s">
        <v>420</v>
      </c>
      <c r="BN45" s="325" t="s">
        <v>420</v>
      </c>
      <c r="BO45" s="326"/>
      <c r="BP45" s="326"/>
      <c r="BQ45" s="325" t="s">
        <v>388</v>
      </c>
      <c r="BR45" s="320"/>
    </row>
    <row r="46" spans="1:70" s="328" customFormat="1" ht="12" customHeight="1">
      <c r="A46" s="320">
        <v>45</v>
      </c>
      <c r="B46" s="336" t="s">
        <v>746</v>
      </c>
      <c r="C46" s="325" t="s">
        <v>745</v>
      </c>
      <c r="D46" s="336" t="s">
        <v>908</v>
      </c>
      <c r="E46" s="328">
        <v>315</v>
      </c>
      <c r="F46" s="383">
        <v>2</v>
      </c>
      <c r="G46" s="325">
        <v>200</v>
      </c>
      <c r="H46" s="325">
        <v>240</v>
      </c>
      <c r="I46" s="325">
        <v>2980</v>
      </c>
      <c r="J46" s="335">
        <v>3576</v>
      </c>
      <c r="K46" s="339">
        <v>93.9</v>
      </c>
      <c r="L46" s="343">
        <v>331</v>
      </c>
      <c r="M46" s="331">
        <f t="shared" si="0"/>
        <v>345.39130434782606</v>
      </c>
      <c r="N46" s="332">
        <v>0.92</v>
      </c>
      <c r="O46" s="339">
        <v>94.8</v>
      </c>
      <c r="R46" s="332">
        <v>0.92</v>
      </c>
      <c r="S46" s="339">
        <v>94.8</v>
      </c>
      <c r="V46" s="339">
        <v>7.1</v>
      </c>
      <c r="W46" s="339">
        <v>1.8</v>
      </c>
      <c r="X46" s="339">
        <v>2.2000000000000002</v>
      </c>
      <c r="AB46" s="329">
        <v>2.35</v>
      </c>
      <c r="AC46" s="328">
        <v>83</v>
      </c>
      <c r="AD46" s="325">
        <v>1162</v>
      </c>
      <c r="AH46" s="327">
        <v>508</v>
      </c>
      <c r="AI46" s="327">
        <v>508</v>
      </c>
      <c r="AJ46" s="327">
        <v>216</v>
      </c>
      <c r="AK46" s="327">
        <v>65</v>
      </c>
      <c r="AL46" s="327">
        <v>140</v>
      </c>
      <c r="AM46" s="327">
        <v>18</v>
      </c>
      <c r="AN46" s="327">
        <v>58</v>
      </c>
      <c r="AO46" s="327" t="s">
        <v>249</v>
      </c>
      <c r="AP46" s="327">
        <v>315</v>
      </c>
      <c r="AQ46" s="327">
        <v>28</v>
      </c>
      <c r="AR46" s="327">
        <v>630</v>
      </c>
      <c r="AS46" s="327">
        <v>645</v>
      </c>
      <c r="AT46" s="327">
        <v>535</v>
      </c>
      <c r="AU46" s="327">
        <v>885</v>
      </c>
      <c r="AV46" s="327">
        <v>1295</v>
      </c>
      <c r="AW46" s="327">
        <v>1425</v>
      </c>
      <c r="BH46" s="327">
        <v>600</v>
      </c>
      <c r="BI46" s="327">
        <v>550</v>
      </c>
      <c r="BJ46" s="327">
        <v>660</v>
      </c>
      <c r="BK46" s="327">
        <v>24</v>
      </c>
      <c r="BL46" s="327">
        <v>6</v>
      </c>
      <c r="BM46" s="325" t="s">
        <v>420</v>
      </c>
      <c r="BN46" s="325" t="s">
        <v>420</v>
      </c>
      <c r="BO46" s="326"/>
      <c r="BP46" s="326"/>
      <c r="BQ46" s="325" t="s">
        <v>388</v>
      </c>
      <c r="BR46" s="320"/>
    </row>
    <row r="47" spans="1:70" s="328" customFormat="1" ht="12" customHeight="1">
      <c r="A47" s="320">
        <v>46</v>
      </c>
      <c r="B47" s="336" t="s">
        <v>746</v>
      </c>
      <c r="C47" s="325" t="s">
        <v>745</v>
      </c>
      <c r="D47" s="336" t="s">
        <v>907</v>
      </c>
      <c r="E47" s="328">
        <v>355</v>
      </c>
      <c r="F47" s="365">
        <v>2</v>
      </c>
      <c r="G47" s="325">
        <v>250</v>
      </c>
      <c r="H47" s="325">
        <v>300</v>
      </c>
      <c r="I47" s="325">
        <v>2980</v>
      </c>
      <c r="J47" s="335">
        <v>3576</v>
      </c>
      <c r="L47" s="343">
        <v>412</v>
      </c>
      <c r="M47" s="331">
        <f t="shared" si="0"/>
        <v>429.91304347826087</v>
      </c>
      <c r="N47" s="332">
        <v>0.92</v>
      </c>
      <c r="O47" s="339">
        <v>95.2</v>
      </c>
      <c r="R47" s="332">
        <v>0.92</v>
      </c>
      <c r="S47" s="339">
        <v>95.2</v>
      </c>
      <c r="V47" s="339">
        <v>7.1</v>
      </c>
      <c r="W47" s="339">
        <v>1.6</v>
      </c>
      <c r="X47" s="339">
        <v>2.2000000000000002</v>
      </c>
      <c r="AB47" s="329">
        <v>3.25</v>
      </c>
      <c r="AC47" s="328">
        <v>86</v>
      </c>
      <c r="AD47" s="325">
        <v>1616</v>
      </c>
      <c r="AH47" s="327">
        <v>610</v>
      </c>
      <c r="AI47" s="327">
        <v>560</v>
      </c>
      <c r="AJ47" s="327">
        <v>254</v>
      </c>
      <c r="AK47" s="327">
        <v>75</v>
      </c>
      <c r="AL47" s="327">
        <v>140</v>
      </c>
      <c r="AM47" s="327">
        <v>20</v>
      </c>
      <c r="AN47" s="327">
        <v>67.5</v>
      </c>
      <c r="AO47" s="327" t="s">
        <v>249</v>
      </c>
      <c r="AP47" s="327">
        <v>355</v>
      </c>
      <c r="AQ47" s="327">
        <v>28</v>
      </c>
      <c r="AR47" s="327">
        <v>730</v>
      </c>
      <c r="AS47" s="327">
        <v>720</v>
      </c>
      <c r="AT47" s="327">
        <v>700</v>
      </c>
      <c r="AU47" s="327">
        <v>1065</v>
      </c>
      <c r="AV47" s="327">
        <v>1495</v>
      </c>
      <c r="AW47" s="327">
        <v>1640</v>
      </c>
      <c r="BH47" s="327">
        <v>600</v>
      </c>
      <c r="BI47" s="327">
        <v>550</v>
      </c>
      <c r="BJ47" s="327">
        <v>660</v>
      </c>
      <c r="BK47" s="327">
        <v>24</v>
      </c>
      <c r="BL47" s="327">
        <v>6</v>
      </c>
      <c r="BM47" s="325" t="s">
        <v>389</v>
      </c>
      <c r="BN47" s="325" t="s">
        <v>389</v>
      </c>
      <c r="BO47" s="326"/>
      <c r="BP47" s="326"/>
      <c r="BQ47" s="325" t="s">
        <v>388</v>
      </c>
      <c r="BR47" s="320"/>
    </row>
    <row r="48" spans="1:70" s="328" customFormat="1" ht="12" customHeight="1">
      <c r="A48" s="320">
        <v>47</v>
      </c>
      <c r="B48" s="336" t="s">
        <v>746</v>
      </c>
      <c r="C48" s="325" t="s">
        <v>745</v>
      </c>
      <c r="D48" s="336" t="s">
        <v>906</v>
      </c>
      <c r="E48" s="328">
        <v>355</v>
      </c>
      <c r="F48" s="365">
        <v>2</v>
      </c>
      <c r="G48" s="325">
        <v>315</v>
      </c>
      <c r="H48" s="325">
        <v>378</v>
      </c>
      <c r="I48" s="325">
        <v>2980</v>
      </c>
      <c r="J48" s="335">
        <v>3576</v>
      </c>
      <c r="L48" s="343">
        <v>518</v>
      </c>
      <c r="M48" s="331">
        <f t="shared" si="0"/>
        <v>540.52173913043475</v>
      </c>
      <c r="N48" s="332">
        <v>0.92</v>
      </c>
      <c r="O48" s="339">
        <v>95.4</v>
      </c>
      <c r="R48" s="332">
        <v>0.92</v>
      </c>
      <c r="S48" s="339">
        <v>95.4</v>
      </c>
      <c r="V48" s="339">
        <v>7.1</v>
      </c>
      <c r="W48" s="339">
        <v>1.6</v>
      </c>
      <c r="X48" s="339">
        <v>2.2000000000000002</v>
      </c>
      <c r="AB48" s="329">
        <v>3.93</v>
      </c>
      <c r="AC48" s="328">
        <v>86</v>
      </c>
      <c r="AD48" s="325">
        <v>1806</v>
      </c>
      <c r="AH48" s="327">
        <v>610</v>
      </c>
      <c r="AI48" s="327">
        <v>630</v>
      </c>
      <c r="AJ48" s="327">
        <v>254</v>
      </c>
      <c r="AK48" s="327">
        <v>75</v>
      </c>
      <c r="AL48" s="327">
        <v>140</v>
      </c>
      <c r="AM48" s="327">
        <v>20</v>
      </c>
      <c r="AN48" s="327">
        <v>67.5</v>
      </c>
      <c r="AO48" s="327" t="s">
        <v>249</v>
      </c>
      <c r="AP48" s="327">
        <v>355</v>
      </c>
      <c r="AQ48" s="327">
        <v>28</v>
      </c>
      <c r="AR48" s="327">
        <v>730</v>
      </c>
      <c r="AS48" s="327">
        <v>720</v>
      </c>
      <c r="AT48" s="327">
        <v>700</v>
      </c>
      <c r="AU48" s="327">
        <v>1065</v>
      </c>
      <c r="AV48" s="327">
        <v>1495</v>
      </c>
      <c r="AW48" s="327">
        <v>1640</v>
      </c>
      <c r="BH48" s="327">
        <v>740</v>
      </c>
      <c r="BI48" s="327">
        <v>680</v>
      </c>
      <c r="BJ48" s="327">
        <v>800</v>
      </c>
      <c r="BK48" s="327">
        <v>24</v>
      </c>
      <c r="BL48" s="327">
        <v>6</v>
      </c>
      <c r="BM48" s="325" t="s">
        <v>389</v>
      </c>
      <c r="BN48" s="325" t="s">
        <v>389</v>
      </c>
      <c r="BO48" s="326"/>
      <c r="BP48" s="326"/>
      <c r="BQ48" s="325" t="s">
        <v>388</v>
      </c>
      <c r="BR48" s="320"/>
    </row>
    <row r="49" spans="1:70" s="328" customFormat="1" ht="12" customHeight="1">
      <c r="A49" s="320">
        <v>48</v>
      </c>
      <c r="B49" s="336" t="s">
        <v>746</v>
      </c>
      <c r="C49" s="325" t="s">
        <v>745</v>
      </c>
      <c r="D49" s="336" t="s">
        <v>905</v>
      </c>
      <c r="E49" s="328">
        <v>355</v>
      </c>
      <c r="F49" s="383">
        <v>2</v>
      </c>
      <c r="G49" s="325">
        <v>355</v>
      </c>
      <c r="H49" s="325">
        <v>426</v>
      </c>
      <c r="I49" s="325">
        <v>2982</v>
      </c>
      <c r="J49" s="335">
        <v>3578.4</v>
      </c>
      <c r="K49" s="339">
        <v>94</v>
      </c>
      <c r="L49" s="325">
        <v>597</v>
      </c>
      <c r="M49" s="331">
        <f t="shared" si="0"/>
        <v>622.95652173913038</v>
      </c>
      <c r="N49" s="332">
        <v>0.9</v>
      </c>
      <c r="O49" s="339">
        <v>95.3</v>
      </c>
      <c r="R49" s="332">
        <v>0.9</v>
      </c>
      <c r="S49" s="339">
        <v>95.3</v>
      </c>
      <c r="V49" s="339">
        <v>7.5</v>
      </c>
      <c r="W49" s="339">
        <v>1.55</v>
      </c>
      <c r="X49" s="339">
        <v>2.4</v>
      </c>
      <c r="AB49" s="329">
        <v>7.45</v>
      </c>
      <c r="AD49" s="325">
        <v>2240</v>
      </c>
      <c r="AH49" s="327">
        <v>610</v>
      </c>
      <c r="AI49" s="327">
        <v>630</v>
      </c>
      <c r="AJ49" s="327">
        <v>254</v>
      </c>
      <c r="AK49" s="327">
        <v>75</v>
      </c>
      <c r="AL49" s="327">
        <v>140</v>
      </c>
      <c r="AM49" s="327">
        <v>20</v>
      </c>
      <c r="AN49" s="327">
        <v>67.5</v>
      </c>
      <c r="AO49" s="327" t="s">
        <v>249</v>
      </c>
      <c r="AP49" s="327">
        <v>355</v>
      </c>
      <c r="AQ49" s="327">
        <v>28</v>
      </c>
      <c r="AR49" s="327">
        <v>730</v>
      </c>
      <c r="AS49" s="327">
        <v>720</v>
      </c>
      <c r="AT49" s="327">
        <v>700</v>
      </c>
      <c r="AU49" s="327">
        <v>1065</v>
      </c>
      <c r="AV49" s="327">
        <v>1495</v>
      </c>
      <c r="AW49" s="327">
        <v>1640</v>
      </c>
      <c r="BH49" s="327">
        <v>740</v>
      </c>
      <c r="BI49" s="327">
        <v>680</v>
      </c>
      <c r="BJ49" s="327">
        <v>800</v>
      </c>
      <c r="BK49" s="327">
        <v>24</v>
      </c>
      <c r="BL49" s="327">
        <v>6</v>
      </c>
      <c r="BM49" s="325" t="s">
        <v>389</v>
      </c>
      <c r="BN49" s="325" t="s">
        <v>389</v>
      </c>
      <c r="BO49" s="326"/>
      <c r="BP49" s="326"/>
      <c r="BQ49" s="325" t="s">
        <v>388</v>
      </c>
      <c r="BR49" s="320"/>
    </row>
    <row r="50" spans="1:70" s="328" customFormat="1" ht="12" customHeight="1">
      <c r="A50" s="320">
        <v>49</v>
      </c>
      <c r="B50" s="336" t="s">
        <v>746</v>
      </c>
      <c r="C50" s="325" t="s">
        <v>745</v>
      </c>
      <c r="D50" s="336" t="s">
        <v>904</v>
      </c>
      <c r="E50" s="328">
        <v>400</v>
      </c>
      <c r="F50" s="383">
        <v>2</v>
      </c>
      <c r="G50" s="325">
        <v>355</v>
      </c>
      <c r="H50" s="325">
        <v>426</v>
      </c>
      <c r="I50" s="325">
        <v>2982</v>
      </c>
      <c r="J50" s="335">
        <v>3578.4</v>
      </c>
      <c r="K50" s="339">
        <v>94.5</v>
      </c>
      <c r="L50" s="325">
        <v>597</v>
      </c>
      <c r="M50" s="331">
        <f t="shared" si="0"/>
        <v>622.95652173913038</v>
      </c>
      <c r="N50" s="332">
        <v>0.9</v>
      </c>
      <c r="O50" s="339">
        <v>95.3</v>
      </c>
      <c r="R50" s="332">
        <v>0.9</v>
      </c>
      <c r="S50" s="339">
        <v>95.3</v>
      </c>
      <c r="V50" s="339">
        <v>7.5</v>
      </c>
      <c r="W50" s="332">
        <v>1.55</v>
      </c>
      <c r="X50" s="339">
        <v>2.4</v>
      </c>
      <c r="AB50" s="329">
        <v>7.45</v>
      </c>
      <c r="AD50" s="325">
        <v>2450</v>
      </c>
      <c r="AH50" s="327">
        <v>686</v>
      </c>
      <c r="AI50" s="327">
        <v>710</v>
      </c>
      <c r="AJ50" s="327">
        <v>280</v>
      </c>
      <c r="AK50" s="327">
        <v>85</v>
      </c>
      <c r="AL50" s="327">
        <v>170</v>
      </c>
      <c r="AM50" s="327">
        <v>22</v>
      </c>
      <c r="AN50" s="327">
        <v>76</v>
      </c>
      <c r="AO50" s="327" t="s">
        <v>250</v>
      </c>
      <c r="AP50" s="327">
        <v>400</v>
      </c>
      <c r="AQ50" s="327">
        <v>36</v>
      </c>
      <c r="AR50" s="327">
        <v>806</v>
      </c>
      <c r="AS50" s="327">
        <v>810</v>
      </c>
      <c r="AT50" s="327" t="s">
        <v>251</v>
      </c>
      <c r="AU50" s="327">
        <v>1075</v>
      </c>
      <c r="AV50" s="327">
        <v>1820</v>
      </c>
      <c r="AW50" s="327">
        <v>1980</v>
      </c>
      <c r="BH50" s="327">
        <v>940</v>
      </c>
      <c r="BI50" s="327">
        <v>880</v>
      </c>
      <c r="BJ50" s="327">
        <v>1000</v>
      </c>
      <c r="BK50" s="327">
        <v>28</v>
      </c>
      <c r="BL50" s="327">
        <v>6</v>
      </c>
      <c r="BM50" s="461" t="s">
        <v>390</v>
      </c>
      <c r="BN50" s="461" t="s">
        <v>389</v>
      </c>
      <c r="BO50" s="326"/>
      <c r="BP50" s="326"/>
      <c r="BR50" s="320"/>
    </row>
    <row r="51" spans="1:70" s="328" customFormat="1" ht="12" customHeight="1">
      <c r="A51" s="320">
        <v>50</v>
      </c>
      <c r="B51" s="336" t="s">
        <v>746</v>
      </c>
      <c r="C51" s="325" t="s">
        <v>745</v>
      </c>
      <c r="D51" s="336" t="s">
        <v>903</v>
      </c>
      <c r="E51" s="328">
        <v>400</v>
      </c>
      <c r="F51" s="383">
        <v>2</v>
      </c>
      <c r="G51" s="325">
        <v>400</v>
      </c>
      <c r="H51" s="325">
        <v>480</v>
      </c>
      <c r="I51" s="325">
        <v>2982</v>
      </c>
      <c r="J51" s="335">
        <v>3578.4</v>
      </c>
      <c r="L51" s="325">
        <v>657</v>
      </c>
      <c r="M51" s="331">
        <f t="shared" si="0"/>
        <v>685.56521739130437</v>
      </c>
      <c r="N51" s="332">
        <v>0.92</v>
      </c>
      <c r="O51" s="339">
        <v>95.9</v>
      </c>
      <c r="R51" s="332">
        <v>0.92</v>
      </c>
      <c r="S51" s="339">
        <v>95.9</v>
      </c>
      <c r="V51" s="332">
        <v>5.8</v>
      </c>
      <c r="W51" s="332">
        <v>1.23</v>
      </c>
      <c r="X51" s="332">
        <v>2.8</v>
      </c>
      <c r="AB51" s="380">
        <v>12.52</v>
      </c>
      <c r="AD51" s="325">
        <v>2604</v>
      </c>
      <c r="AH51" s="327">
        <v>686</v>
      </c>
      <c r="AI51" s="327">
        <v>710</v>
      </c>
      <c r="AJ51" s="327">
        <v>280</v>
      </c>
      <c r="AK51" s="327">
        <v>85</v>
      </c>
      <c r="AL51" s="327">
        <v>170</v>
      </c>
      <c r="AM51" s="327">
        <v>22</v>
      </c>
      <c r="AN51" s="327">
        <v>76</v>
      </c>
      <c r="AO51" s="327" t="s">
        <v>250</v>
      </c>
      <c r="AP51" s="327">
        <v>400</v>
      </c>
      <c r="AQ51" s="327">
        <v>36</v>
      </c>
      <c r="AR51" s="327">
        <v>806</v>
      </c>
      <c r="AS51" s="327">
        <v>810</v>
      </c>
      <c r="AT51" s="327" t="s">
        <v>251</v>
      </c>
      <c r="AU51" s="327">
        <v>1075</v>
      </c>
      <c r="AV51" s="327">
        <v>1820</v>
      </c>
      <c r="AW51" s="327">
        <v>1980</v>
      </c>
      <c r="BH51" s="327">
        <v>940</v>
      </c>
      <c r="BI51" s="327">
        <v>880</v>
      </c>
      <c r="BJ51" s="327">
        <v>1000</v>
      </c>
      <c r="BK51" s="327">
        <v>28</v>
      </c>
      <c r="BL51" s="327">
        <v>6</v>
      </c>
      <c r="BM51" s="461" t="s">
        <v>390</v>
      </c>
      <c r="BN51" s="461" t="s">
        <v>389</v>
      </c>
      <c r="BO51" s="326"/>
      <c r="BP51" s="326"/>
      <c r="BR51" s="320"/>
    </row>
    <row r="52" spans="1:70" s="328" customFormat="1" ht="12" customHeight="1">
      <c r="A52" s="320">
        <v>51</v>
      </c>
      <c r="B52" s="336" t="s">
        <v>746</v>
      </c>
      <c r="C52" s="325" t="s">
        <v>745</v>
      </c>
      <c r="D52" s="336" t="s">
        <v>902</v>
      </c>
      <c r="E52" s="328">
        <v>400</v>
      </c>
      <c r="F52" s="383">
        <v>2</v>
      </c>
      <c r="G52" s="325">
        <v>450</v>
      </c>
      <c r="H52" s="325">
        <v>540</v>
      </c>
      <c r="I52" s="325">
        <v>2982</v>
      </c>
      <c r="J52" s="335">
        <v>3578.4</v>
      </c>
      <c r="L52" s="325">
        <v>737</v>
      </c>
      <c r="M52" s="331">
        <f t="shared" si="0"/>
        <v>769.04347826086962</v>
      </c>
      <c r="N52" s="332">
        <v>0.92</v>
      </c>
      <c r="O52" s="339">
        <v>95.9</v>
      </c>
      <c r="R52" s="332">
        <v>0.92</v>
      </c>
      <c r="S52" s="339">
        <v>95.9</v>
      </c>
      <c r="V52" s="332">
        <v>7.11</v>
      </c>
      <c r="W52" s="332">
        <v>1.64</v>
      </c>
      <c r="X52" s="339">
        <v>2.7</v>
      </c>
      <c r="AB52" s="380">
        <v>13.26</v>
      </c>
      <c r="AD52" s="325">
        <v>3035</v>
      </c>
      <c r="AH52" s="327">
        <v>686</v>
      </c>
      <c r="AI52" s="327">
        <v>710</v>
      </c>
      <c r="AJ52" s="327">
        <v>280</v>
      </c>
      <c r="AK52" s="327">
        <v>85</v>
      </c>
      <c r="AL52" s="327">
        <v>170</v>
      </c>
      <c r="AM52" s="327">
        <v>22</v>
      </c>
      <c r="AN52" s="327">
        <v>76</v>
      </c>
      <c r="AO52" s="327" t="s">
        <v>250</v>
      </c>
      <c r="AP52" s="327">
        <v>400</v>
      </c>
      <c r="AQ52" s="327">
        <v>36</v>
      </c>
      <c r="AR52" s="327">
        <v>806</v>
      </c>
      <c r="AS52" s="327">
        <v>810</v>
      </c>
      <c r="AT52" s="327" t="s">
        <v>251</v>
      </c>
      <c r="AU52" s="327">
        <v>1075</v>
      </c>
      <c r="AV52" s="327">
        <v>1820</v>
      </c>
      <c r="AW52" s="327">
        <v>1980</v>
      </c>
      <c r="BH52" s="327">
        <v>940</v>
      </c>
      <c r="BI52" s="327">
        <v>880</v>
      </c>
      <c r="BJ52" s="327">
        <v>1000</v>
      </c>
      <c r="BK52" s="327">
        <v>28</v>
      </c>
      <c r="BL52" s="327">
        <v>6</v>
      </c>
      <c r="BM52" s="461" t="s">
        <v>390</v>
      </c>
      <c r="BN52" s="461" t="s">
        <v>389</v>
      </c>
      <c r="BO52" s="326"/>
      <c r="BP52" s="326"/>
      <c r="BR52" s="320"/>
    </row>
    <row r="53" spans="1:70" s="328" customFormat="1" ht="12" customHeight="1">
      <c r="A53" s="320">
        <v>52</v>
      </c>
      <c r="B53" s="336" t="s">
        <v>746</v>
      </c>
      <c r="C53" s="325" t="s">
        <v>745</v>
      </c>
      <c r="D53" s="336" t="s">
        <v>901</v>
      </c>
      <c r="E53" s="328">
        <v>400</v>
      </c>
      <c r="F53" s="383">
        <v>2</v>
      </c>
      <c r="G53" s="325">
        <v>500</v>
      </c>
      <c r="H53" s="325">
        <v>600</v>
      </c>
      <c r="I53" s="325">
        <v>2982</v>
      </c>
      <c r="J53" s="335">
        <v>3578.4</v>
      </c>
      <c r="K53" s="339"/>
      <c r="L53" s="325">
        <v>814</v>
      </c>
      <c r="M53" s="331">
        <f t="shared" si="0"/>
        <v>849.39130434782612</v>
      </c>
      <c r="N53" s="332">
        <v>0.92</v>
      </c>
      <c r="O53" s="339">
        <v>96</v>
      </c>
      <c r="P53" s="329"/>
      <c r="Q53" s="325"/>
      <c r="R53" s="332">
        <v>0.92</v>
      </c>
      <c r="S53" s="339">
        <v>96</v>
      </c>
      <c r="T53" s="329"/>
      <c r="U53" s="325"/>
      <c r="V53" s="332">
        <v>6.42</v>
      </c>
      <c r="W53" s="332">
        <v>1.47</v>
      </c>
      <c r="X53" s="339">
        <v>2.8</v>
      </c>
      <c r="AB53" s="380">
        <v>14.21</v>
      </c>
      <c r="AD53" s="325">
        <v>3122</v>
      </c>
      <c r="AH53" s="327">
        <v>686</v>
      </c>
      <c r="AI53" s="327">
        <v>710</v>
      </c>
      <c r="AJ53" s="327">
        <v>280</v>
      </c>
      <c r="AK53" s="327">
        <v>85</v>
      </c>
      <c r="AL53" s="327">
        <v>170</v>
      </c>
      <c r="AM53" s="327">
        <v>22</v>
      </c>
      <c r="AN53" s="327">
        <v>76</v>
      </c>
      <c r="AO53" s="327" t="s">
        <v>250</v>
      </c>
      <c r="AP53" s="327">
        <v>400</v>
      </c>
      <c r="AQ53" s="327">
        <v>36</v>
      </c>
      <c r="AR53" s="327">
        <v>806</v>
      </c>
      <c r="AS53" s="327">
        <v>810</v>
      </c>
      <c r="AT53" s="327" t="s">
        <v>251</v>
      </c>
      <c r="AU53" s="327">
        <v>1075</v>
      </c>
      <c r="AV53" s="327">
        <v>1820</v>
      </c>
      <c r="AW53" s="327">
        <v>1980</v>
      </c>
      <c r="BH53" s="327">
        <v>940</v>
      </c>
      <c r="BI53" s="327">
        <v>880</v>
      </c>
      <c r="BJ53" s="327">
        <v>1000</v>
      </c>
      <c r="BK53" s="327">
        <v>28</v>
      </c>
      <c r="BL53" s="327">
        <v>6</v>
      </c>
      <c r="BM53" s="461" t="s">
        <v>390</v>
      </c>
      <c r="BN53" s="461" t="s">
        <v>389</v>
      </c>
      <c r="BO53" s="326"/>
      <c r="BP53" s="326"/>
      <c r="BR53" s="320"/>
    </row>
    <row r="54" spans="1:70" s="328" customFormat="1" ht="12" customHeight="1">
      <c r="A54" s="320">
        <v>53</v>
      </c>
      <c r="B54" s="336" t="s">
        <v>746</v>
      </c>
      <c r="C54" s="325" t="s">
        <v>745</v>
      </c>
      <c r="D54" s="336" t="s">
        <v>900</v>
      </c>
      <c r="E54" s="328">
        <v>400</v>
      </c>
      <c r="F54" s="383">
        <v>2</v>
      </c>
      <c r="G54" s="325">
        <v>560</v>
      </c>
      <c r="H54" s="325">
        <v>672</v>
      </c>
      <c r="I54" s="325">
        <v>2982</v>
      </c>
      <c r="J54" s="335">
        <v>3578.4</v>
      </c>
      <c r="K54" s="339"/>
      <c r="L54" s="325">
        <v>908</v>
      </c>
      <c r="M54" s="331">
        <f t="shared" si="0"/>
        <v>947.47826086956525</v>
      </c>
      <c r="N54" s="332">
        <v>0.92</v>
      </c>
      <c r="O54" s="339">
        <v>96</v>
      </c>
      <c r="P54" s="329"/>
      <c r="Q54" s="325"/>
      <c r="R54" s="332">
        <v>0.92</v>
      </c>
      <c r="S54" s="339">
        <v>96</v>
      </c>
      <c r="T54" s="329"/>
      <c r="U54" s="325"/>
      <c r="V54" s="332">
        <v>5.74</v>
      </c>
      <c r="W54" s="332">
        <v>1.31</v>
      </c>
      <c r="X54" s="339">
        <v>2.7</v>
      </c>
      <c r="AB54" s="380">
        <v>14.95</v>
      </c>
      <c r="AD54" s="325">
        <v>3588</v>
      </c>
      <c r="AH54" s="327">
        <v>686</v>
      </c>
      <c r="AI54" s="327">
        <v>710</v>
      </c>
      <c r="AJ54" s="327">
        <v>280</v>
      </c>
      <c r="AK54" s="327">
        <v>85</v>
      </c>
      <c r="AL54" s="327">
        <v>170</v>
      </c>
      <c r="AM54" s="327">
        <v>22</v>
      </c>
      <c r="AN54" s="327">
        <v>76</v>
      </c>
      <c r="AO54" s="327" t="s">
        <v>250</v>
      </c>
      <c r="AP54" s="327">
        <v>400</v>
      </c>
      <c r="AQ54" s="327">
        <v>36</v>
      </c>
      <c r="AR54" s="327">
        <v>806</v>
      </c>
      <c r="AS54" s="327">
        <v>810</v>
      </c>
      <c r="AT54" s="327" t="s">
        <v>251</v>
      </c>
      <c r="AU54" s="327">
        <v>1075</v>
      </c>
      <c r="AV54" s="327">
        <v>1820</v>
      </c>
      <c r="AW54" s="327">
        <v>1980</v>
      </c>
      <c r="BH54" s="327">
        <v>940</v>
      </c>
      <c r="BI54" s="327">
        <v>880</v>
      </c>
      <c r="BJ54" s="327">
        <v>1000</v>
      </c>
      <c r="BK54" s="327">
        <v>28</v>
      </c>
      <c r="BL54" s="327">
        <v>6</v>
      </c>
      <c r="BM54" s="461" t="s">
        <v>390</v>
      </c>
      <c r="BN54" s="461" t="s">
        <v>389</v>
      </c>
      <c r="BO54" s="326"/>
      <c r="BP54" s="326"/>
      <c r="BR54" s="320"/>
    </row>
    <row r="55" spans="1:70" s="328" customFormat="1" ht="12" customHeight="1">
      <c r="A55" s="320">
        <v>54</v>
      </c>
      <c r="B55" s="336" t="s">
        <v>746</v>
      </c>
      <c r="C55" s="325" t="s">
        <v>745</v>
      </c>
      <c r="D55" s="336" t="s">
        <v>899</v>
      </c>
      <c r="E55" s="328">
        <v>400</v>
      </c>
      <c r="F55" s="383">
        <v>2</v>
      </c>
      <c r="G55" s="325">
        <v>630</v>
      </c>
      <c r="H55" s="325">
        <v>756</v>
      </c>
      <c r="I55" s="325">
        <v>2982</v>
      </c>
      <c r="J55" s="335">
        <v>3578.4</v>
      </c>
      <c r="L55" s="325">
        <v>1019</v>
      </c>
      <c r="M55" s="331">
        <f t="shared" ref="M55" si="1">L55*480/460</f>
        <v>1063.304347826087</v>
      </c>
      <c r="N55" s="332">
        <v>0.93</v>
      </c>
      <c r="O55" s="339">
        <v>96.1</v>
      </c>
      <c r="R55" s="332">
        <v>0.93</v>
      </c>
      <c r="S55" s="339">
        <v>96.1</v>
      </c>
      <c r="V55" s="332">
        <v>7.27</v>
      </c>
      <c r="W55" s="332">
        <v>1.83</v>
      </c>
      <c r="X55" s="339">
        <v>2.8</v>
      </c>
      <c r="AB55" s="380">
        <v>15.67</v>
      </c>
      <c r="AD55" s="325">
        <v>3987</v>
      </c>
      <c r="AH55" s="327">
        <v>686</v>
      </c>
      <c r="AI55" s="327">
        <v>710</v>
      </c>
      <c r="AJ55" s="327">
        <v>280</v>
      </c>
      <c r="AK55" s="327">
        <v>85</v>
      </c>
      <c r="AL55" s="327">
        <v>170</v>
      </c>
      <c r="AM55" s="327">
        <v>22</v>
      </c>
      <c r="AN55" s="327">
        <v>76</v>
      </c>
      <c r="AO55" s="327" t="s">
        <v>250</v>
      </c>
      <c r="AP55" s="327">
        <v>400</v>
      </c>
      <c r="AQ55" s="327">
        <v>36</v>
      </c>
      <c r="AR55" s="327">
        <v>806</v>
      </c>
      <c r="AS55" s="327">
        <v>810</v>
      </c>
      <c r="AT55" s="327" t="s">
        <v>251</v>
      </c>
      <c r="AU55" s="327">
        <v>1075</v>
      </c>
      <c r="AV55" s="327">
        <v>1820</v>
      </c>
      <c r="AW55" s="327">
        <v>1980</v>
      </c>
      <c r="BH55" s="327">
        <v>940</v>
      </c>
      <c r="BI55" s="327">
        <v>880</v>
      </c>
      <c r="BJ55" s="327">
        <v>1000</v>
      </c>
      <c r="BK55" s="327">
        <v>28</v>
      </c>
      <c r="BL55" s="327">
        <v>6</v>
      </c>
      <c r="BM55" s="461" t="s">
        <v>390</v>
      </c>
      <c r="BN55" s="461" t="s">
        <v>389</v>
      </c>
      <c r="BO55" s="326"/>
      <c r="BP55" s="326"/>
      <c r="BR55" s="320"/>
    </row>
    <row r="56" spans="1:70" s="1845" customFormat="1" ht="12" customHeight="1">
      <c r="A56" s="1842">
        <f>A55</f>
        <v>54</v>
      </c>
      <c r="B56" s="1843" t="str">
        <f t="shared" ref="B56:BM56" si="2">B55</f>
        <v>3D</v>
      </c>
      <c r="C56" s="1844" t="str">
        <f t="shared" si="2"/>
        <v>Eff2</v>
      </c>
      <c r="D56" s="1843" t="str">
        <f t="shared" si="2"/>
        <v>3D 400 L4-2</v>
      </c>
      <c r="E56" s="1845">
        <f t="shared" si="2"/>
        <v>400</v>
      </c>
      <c r="F56" s="1846">
        <f t="shared" si="2"/>
        <v>2</v>
      </c>
      <c r="G56" s="1844">
        <f t="shared" si="2"/>
        <v>630</v>
      </c>
      <c r="H56" s="1844">
        <f t="shared" si="2"/>
        <v>756</v>
      </c>
      <c r="I56" s="1844">
        <f t="shared" si="2"/>
        <v>2982</v>
      </c>
      <c r="J56" s="1847">
        <f t="shared" si="2"/>
        <v>3578.4</v>
      </c>
      <c r="K56" s="1845">
        <f t="shared" si="2"/>
        <v>0</v>
      </c>
      <c r="L56" s="1844">
        <f t="shared" si="2"/>
        <v>1019</v>
      </c>
      <c r="M56" s="1848">
        <f t="shared" si="2"/>
        <v>1063.304347826087</v>
      </c>
      <c r="N56" s="1849">
        <f t="shared" si="2"/>
        <v>0.93</v>
      </c>
      <c r="O56" s="1850">
        <f t="shared" si="2"/>
        <v>96.1</v>
      </c>
      <c r="P56" s="1845">
        <f t="shared" si="2"/>
        <v>0</v>
      </c>
      <c r="Q56" s="1845">
        <f t="shared" si="2"/>
        <v>0</v>
      </c>
      <c r="R56" s="1849">
        <f t="shared" si="2"/>
        <v>0.93</v>
      </c>
      <c r="S56" s="1850">
        <f t="shared" si="2"/>
        <v>96.1</v>
      </c>
      <c r="T56" s="1845">
        <f t="shared" si="2"/>
        <v>0</v>
      </c>
      <c r="U56" s="1845">
        <f t="shared" si="2"/>
        <v>0</v>
      </c>
      <c r="V56" s="1849">
        <f t="shared" si="2"/>
        <v>7.27</v>
      </c>
      <c r="W56" s="1849">
        <f t="shared" si="2"/>
        <v>1.83</v>
      </c>
      <c r="X56" s="1850">
        <f t="shared" si="2"/>
        <v>2.8</v>
      </c>
      <c r="Y56" s="1845">
        <f t="shared" si="2"/>
        <v>0</v>
      </c>
      <c r="Z56" s="1845">
        <f t="shared" si="2"/>
        <v>0</v>
      </c>
      <c r="AA56" s="1845">
        <f t="shared" si="2"/>
        <v>0</v>
      </c>
      <c r="AB56" s="1851">
        <f t="shared" si="2"/>
        <v>15.67</v>
      </c>
      <c r="AC56" s="1845">
        <f t="shared" si="2"/>
        <v>0</v>
      </c>
      <c r="AD56" s="1844">
        <f t="shared" si="2"/>
        <v>3987</v>
      </c>
      <c r="AE56" s="1845">
        <f t="shared" si="2"/>
        <v>0</v>
      </c>
      <c r="AF56" s="1845">
        <f t="shared" si="2"/>
        <v>0</v>
      </c>
      <c r="AG56" s="1845">
        <f t="shared" si="2"/>
        <v>0</v>
      </c>
      <c r="AH56" s="1844">
        <f t="shared" si="2"/>
        <v>686</v>
      </c>
      <c r="AI56" s="1844">
        <f t="shared" si="2"/>
        <v>710</v>
      </c>
      <c r="AJ56" s="1844">
        <f t="shared" si="2"/>
        <v>280</v>
      </c>
      <c r="AK56" s="1844">
        <f t="shared" si="2"/>
        <v>85</v>
      </c>
      <c r="AL56" s="1844">
        <f t="shared" si="2"/>
        <v>170</v>
      </c>
      <c r="AM56" s="1844">
        <f t="shared" si="2"/>
        <v>22</v>
      </c>
      <c r="AN56" s="1844">
        <f t="shared" si="2"/>
        <v>76</v>
      </c>
      <c r="AO56" s="1844" t="str">
        <f t="shared" si="2"/>
        <v>M24</v>
      </c>
      <c r="AP56" s="1844">
        <f t="shared" si="2"/>
        <v>400</v>
      </c>
      <c r="AQ56" s="1844">
        <f t="shared" si="2"/>
        <v>36</v>
      </c>
      <c r="AR56" s="1844">
        <f t="shared" si="2"/>
        <v>806</v>
      </c>
      <c r="AS56" s="1844">
        <f t="shared" si="2"/>
        <v>810</v>
      </c>
      <c r="AT56" s="1844" t="str">
        <f t="shared" si="2"/>
        <v>-</v>
      </c>
      <c r="AU56" s="1844">
        <f t="shared" si="2"/>
        <v>1075</v>
      </c>
      <c r="AV56" s="1844">
        <f t="shared" si="2"/>
        <v>1820</v>
      </c>
      <c r="AW56" s="1844">
        <f t="shared" si="2"/>
        <v>1980</v>
      </c>
      <c r="AX56" s="1845">
        <f t="shared" si="2"/>
        <v>0</v>
      </c>
      <c r="AY56" s="1845">
        <f t="shared" si="2"/>
        <v>0</v>
      </c>
      <c r="AZ56" s="1845">
        <f t="shared" si="2"/>
        <v>0</v>
      </c>
      <c r="BA56" s="1845">
        <f t="shared" si="2"/>
        <v>0</v>
      </c>
      <c r="BB56" s="1845">
        <f t="shared" si="2"/>
        <v>0</v>
      </c>
      <c r="BC56" s="1845">
        <f t="shared" si="2"/>
        <v>0</v>
      </c>
      <c r="BD56" s="1845">
        <f t="shared" si="2"/>
        <v>0</v>
      </c>
      <c r="BE56" s="1845">
        <f t="shared" si="2"/>
        <v>0</v>
      </c>
      <c r="BF56" s="1845">
        <f t="shared" si="2"/>
        <v>0</v>
      </c>
      <c r="BG56" s="1845">
        <f t="shared" si="2"/>
        <v>0</v>
      </c>
      <c r="BH56" s="1844">
        <f t="shared" si="2"/>
        <v>940</v>
      </c>
      <c r="BI56" s="1844">
        <f t="shared" si="2"/>
        <v>880</v>
      </c>
      <c r="BJ56" s="1844">
        <f t="shared" si="2"/>
        <v>1000</v>
      </c>
      <c r="BK56" s="1844">
        <f t="shared" si="2"/>
        <v>28</v>
      </c>
      <c r="BL56" s="1844">
        <f t="shared" si="2"/>
        <v>6</v>
      </c>
      <c r="BM56" s="1844" t="str">
        <f t="shared" si="2"/>
        <v>6322/C3</v>
      </c>
      <c r="BN56" s="1844" t="str">
        <f t="shared" ref="BN56:BQ56" si="3">BN55</f>
        <v>6319/C3</v>
      </c>
      <c r="BO56" s="1852">
        <f t="shared" si="3"/>
        <v>0</v>
      </c>
      <c r="BP56" s="1852">
        <f t="shared" si="3"/>
        <v>0</v>
      </c>
      <c r="BQ56" s="1845">
        <f t="shared" si="3"/>
        <v>0</v>
      </c>
      <c r="BR56" s="1842"/>
    </row>
    <row r="57" spans="1:70" ht="12" customHeight="1">
      <c r="A57" s="320">
        <v>101</v>
      </c>
      <c r="B57" s="336" t="s">
        <v>767</v>
      </c>
      <c r="C57" s="325" t="s">
        <v>745</v>
      </c>
      <c r="D57" s="336" t="s">
        <v>898</v>
      </c>
      <c r="E57" s="328">
        <v>56</v>
      </c>
      <c r="F57" s="365">
        <v>4</v>
      </c>
      <c r="G57" s="325">
        <v>0.06</v>
      </c>
      <c r="H57" s="325">
        <v>7.0000000000000007E-2</v>
      </c>
      <c r="I57" s="325">
        <v>1310</v>
      </c>
      <c r="J57" s="325">
        <v>1572</v>
      </c>
      <c r="K57" s="328"/>
      <c r="L57" s="332">
        <v>0.22</v>
      </c>
      <c r="M57" s="331">
        <f t="shared" si="0"/>
        <v>0.22956521739130434</v>
      </c>
      <c r="N57" s="332">
        <v>0.7</v>
      </c>
      <c r="O57" s="339">
        <v>56</v>
      </c>
      <c r="P57" s="328"/>
      <c r="Q57" s="328"/>
      <c r="R57" s="332">
        <v>0.7</v>
      </c>
      <c r="S57" s="339">
        <v>56</v>
      </c>
      <c r="T57" s="328"/>
      <c r="U57" s="328"/>
      <c r="V57" s="339">
        <v>4</v>
      </c>
      <c r="W57" s="339">
        <v>2.1</v>
      </c>
      <c r="X57" s="339">
        <v>2</v>
      </c>
      <c r="Y57" s="328"/>
      <c r="Z57" s="328"/>
      <c r="AA57" s="328"/>
      <c r="AB57" s="329">
        <v>2.9999999999999997E-4</v>
      </c>
      <c r="AC57" s="328"/>
      <c r="AD57" s="325">
        <v>3.6</v>
      </c>
      <c r="AE57" s="328"/>
      <c r="AF57" s="328"/>
      <c r="AG57" s="328"/>
      <c r="AH57" s="327">
        <v>90</v>
      </c>
      <c r="AI57" s="327">
        <v>71</v>
      </c>
      <c r="AJ57" s="327">
        <v>36</v>
      </c>
      <c r="AK57" s="327">
        <v>9</v>
      </c>
      <c r="AL57" s="327">
        <v>20</v>
      </c>
      <c r="AM57" s="327">
        <v>3</v>
      </c>
      <c r="AN57" s="327">
        <v>7.2</v>
      </c>
      <c r="AO57" s="327" t="s">
        <v>842</v>
      </c>
      <c r="AP57" s="327">
        <v>56</v>
      </c>
      <c r="AQ57" s="327">
        <v>5.8</v>
      </c>
      <c r="AR57" s="327">
        <v>115</v>
      </c>
      <c r="AS57" s="327">
        <v>110</v>
      </c>
      <c r="AT57" s="327">
        <v>100</v>
      </c>
      <c r="AU57" s="327">
        <v>156</v>
      </c>
      <c r="AV57" s="327">
        <v>199</v>
      </c>
      <c r="AW57" s="328"/>
      <c r="AX57" s="327">
        <v>65</v>
      </c>
      <c r="AY57" s="327">
        <v>50</v>
      </c>
      <c r="AZ57" s="327">
        <v>80</v>
      </c>
      <c r="BA57" s="327" t="s">
        <v>792</v>
      </c>
      <c r="BB57" s="327">
        <v>2.5</v>
      </c>
      <c r="BC57" s="327">
        <v>85</v>
      </c>
      <c r="BD57" s="327">
        <v>70</v>
      </c>
      <c r="BE57" s="327">
        <v>105</v>
      </c>
      <c r="BF57" s="327" t="s">
        <v>244</v>
      </c>
      <c r="BG57" s="327">
        <v>2.5</v>
      </c>
      <c r="BH57" s="327">
        <v>100</v>
      </c>
      <c r="BI57" s="327">
        <v>80</v>
      </c>
      <c r="BJ57" s="327">
        <v>120</v>
      </c>
      <c r="BK57" s="327">
        <v>7</v>
      </c>
      <c r="BL57" s="327">
        <v>3</v>
      </c>
      <c r="BM57" s="325" t="s">
        <v>841</v>
      </c>
      <c r="BN57" s="325" t="s">
        <v>841</v>
      </c>
      <c r="BO57" s="340"/>
      <c r="BP57" s="340"/>
      <c r="BQ57" s="328" t="s">
        <v>480</v>
      </c>
    </row>
    <row r="58" spans="1:70" ht="12" customHeight="1">
      <c r="A58" s="320">
        <v>102</v>
      </c>
      <c r="B58" s="336" t="s">
        <v>767</v>
      </c>
      <c r="C58" s="325" t="s">
        <v>745</v>
      </c>
      <c r="D58" s="336" t="s">
        <v>897</v>
      </c>
      <c r="E58" s="328">
        <v>56</v>
      </c>
      <c r="F58" s="365">
        <v>4</v>
      </c>
      <c r="G58" s="325">
        <v>0.09</v>
      </c>
      <c r="H58" s="325">
        <v>0.1</v>
      </c>
      <c r="I58" s="325">
        <v>1310</v>
      </c>
      <c r="J58" s="325">
        <v>1572</v>
      </c>
      <c r="K58" s="328"/>
      <c r="L58" s="332">
        <v>0.31</v>
      </c>
      <c r="M58" s="331">
        <f t="shared" si="0"/>
        <v>0.32347826086956522</v>
      </c>
      <c r="N58" s="332">
        <v>0.72</v>
      </c>
      <c r="O58" s="339">
        <v>58</v>
      </c>
      <c r="P58" s="328"/>
      <c r="Q58" s="328"/>
      <c r="R58" s="332">
        <v>0.72</v>
      </c>
      <c r="S58" s="339">
        <v>58</v>
      </c>
      <c r="T58" s="328"/>
      <c r="U58" s="328"/>
      <c r="V58" s="339">
        <v>4</v>
      </c>
      <c r="W58" s="339">
        <v>2.1</v>
      </c>
      <c r="X58" s="339">
        <v>2</v>
      </c>
      <c r="Y58" s="328"/>
      <c r="Z58" s="328"/>
      <c r="AA58" s="328"/>
      <c r="AB58" s="329">
        <v>4.0000000000000002E-4</v>
      </c>
      <c r="AC58" s="328"/>
      <c r="AD58" s="325">
        <v>3.9</v>
      </c>
      <c r="AE58" s="328"/>
      <c r="AF58" s="328"/>
      <c r="AG58" s="328"/>
      <c r="AH58" s="327">
        <v>90</v>
      </c>
      <c r="AI58" s="327">
        <v>71</v>
      </c>
      <c r="AJ58" s="327">
        <v>36</v>
      </c>
      <c r="AK58" s="327">
        <v>9</v>
      </c>
      <c r="AL58" s="327">
        <v>20</v>
      </c>
      <c r="AM58" s="327">
        <v>3</v>
      </c>
      <c r="AN58" s="327">
        <v>7.2</v>
      </c>
      <c r="AO58" s="327" t="s">
        <v>842</v>
      </c>
      <c r="AP58" s="327">
        <v>56</v>
      </c>
      <c r="AQ58" s="327">
        <v>5.8</v>
      </c>
      <c r="AR58" s="327">
        <v>115</v>
      </c>
      <c r="AS58" s="327">
        <v>110</v>
      </c>
      <c r="AT58" s="327">
        <v>100</v>
      </c>
      <c r="AU58" s="327">
        <v>156</v>
      </c>
      <c r="AV58" s="327">
        <v>199</v>
      </c>
      <c r="AW58" s="328"/>
      <c r="AX58" s="327">
        <v>65</v>
      </c>
      <c r="AY58" s="327">
        <v>50</v>
      </c>
      <c r="AZ58" s="327">
        <v>80</v>
      </c>
      <c r="BA58" s="327" t="s">
        <v>792</v>
      </c>
      <c r="BB58" s="327">
        <v>2.5</v>
      </c>
      <c r="BC58" s="327">
        <v>85</v>
      </c>
      <c r="BD58" s="327">
        <v>70</v>
      </c>
      <c r="BE58" s="327">
        <v>105</v>
      </c>
      <c r="BF58" s="327" t="s">
        <v>244</v>
      </c>
      <c r="BG58" s="327">
        <v>2.5</v>
      </c>
      <c r="BH58" s="327">
        <v>100</v>
      </c>
      <c r="BI58" s="327">
        <v>80</v>
      </c>
      <c r="BJ58" s="327">
        <v>120</v>
      </c>
      <c r="BK58" s="327">
        <v>7</v>
      </c>
      <c r="BL58" s="327">
        <v>3</v>
      </c>
      <c r="BM58" s="325" t="s">
        <v>841</v>
      </c>
      <c r="BN58" s="325" t="s">
        <v>841</v>
      </c>
      <c r="BO58" s="326"/>
      <c r="BP58" s="326"/>
      <c r="BQ58" s="328" t="s">
        <v>480</v>
      </c>
    </row>
    <row r="59" spans="1:70" ht="12" customHeight="1">
      <c r="A59" s="320">
        <v>103</v>
      </c>
      <c r="B59" s="336" t="s">
        <v>767</v>
      </c>
      <c r="C59" s="325" t="s">
        <v>745</v>
      </c>
      <c r="D59" s="336" t="s">
        <v>896</v>
      </c>
      <c r="E59" s="328">
        <v>63</v>
      </c>
      <c r="F59" s="365">
        <v>4</v>
      </c>
      <c r="G59" s="325">
        <v>0.12</v>
      </c>
      <c r="H59" s="325">
        <v>0.14000000000000001</v>
      </c>
      <c r="I59" s="325">
        <v>1310</v>
      </c>
      <c r="J59" s="325">
        <v>1572</v>
      </c>
      <c r="K59" s="328"/>
      <c r="L59" s="332">
        <v>0.42</v>
      </c>
      <c r="M59" s="331">
        <f t="shared" si="0"/>
        <v>0.43826086956521737</v>
      </c>
      <c r="N59" s="332">
        <v>0.72</v>
      </c>
      <c r="O59" s="339">
        <v>57</v>
      </c>
      <c r="P59" s="328"/>
      <c r="Q59" s="328"/>
      <c r="R59" s="332">
        <v>0.72</v>
      </c>
      <c r="S59" s="339">
        <v>57</v>
      </c>
      <c r="T59" s="328"/>
      <c r="U59" s="328"/>
      <c r="V59" s="339">
        <v>4.4000000000000004</v>
      </c>
      <c r="W59" s="339">
        <v>2.2000000000000002</v>
      </c>
      <c r="X59" s="339">
        <v>2.1</v>
      </c>
      <c r="Y59" s="328"/>
      <c r="Z59" s="328"/>
      <c r="AA59" s="328"/>
      <c r="AB59" s="329">
        <v>5.0000000000000001E-4</v>
      </c>
      <c r="AC59" s="328"/>
      <c r="AD59" s="325">
        <v>4.8</v>
      </c>
      <c r="AE59" s="328"/>
      <c r="AF59" s="328"/>
      <c r="AG59" s="328"/>
      <c r="AH59" s="327">
        <v>100</v>
      </c>
      <c r="AI59" s="327">
        <v>80</v>
      </c>
      <c r="AJ59" s="327">
        <v>40</v>
      </c>
      <c r="AK59" s="327">
        <v>11</v>
      </c>
      <c r="AL59" s="327">
        <v>23</v>
      </c>
      <c r="AM59" s="327">
        <v>4</v>
      </c>
      <c r="AN59" s="327">
        <v>8.5</v>
      </c>
      <c r="AO59" s="320" t="s">
        <v>842</v>
      </c>
      <c r="AP59" s="327">
        <v>63</v>
      </c>
      <c r="AQ59" s="327">
        <v>7</v>
      </c>
      <c r="AR59" s="327">
        <v>135</v>
      </c>
      <c r="AS59" s="327">
        <v>130</v>
      </c>
      <c r="AT59" s="327">
        <v>115</v>
      </c>
      <c r="AU59" s="327">
        <v>180</v>
      </c>
      <c r="AV59" s="327">
        <v>217</v>
      </c>
      <c r="AW59" s="328"/>
      <c r="AX59" s="327">
        <v>75</v>
      </c>
      <c r="AY59" s="327">
        <v>60</v>
      </c>
      <c r="AZ59" s="327">
        <v>90</v>
      </c>
      <c r="BA59" s="327" t="s">
        <v>792</v>
      </c>
      <c r="BB59" s="327">
        <v>2.5</v>
      </c>
      <c r="BC59" s="327">
        <v>100</v>
      </c>
      <c r="BD59" s="327">
        <v>80</v>
      </c>
      <c r="BE59" s="327">
        <v>120</v>
      </c>
      <c r="BF59" s="327" t="s">
        <v>244</v>
      </c>
      <c r="BG59" s="327">
        <v>2.5</v>
      </c>
      <c r="BH59" s="327">
        <v>115</v>
      </c>
      <c r="BI59" s="327">
        <v>95</v>
      </c>
      <c r="BJ59" s="327">
        <v>140</v>
      </c>
      <c r="BK59" s="327">
        <v>10</v>
      </c>
      <c r="BL59" s="327">
        <v>3</v>
      </c>
      <c r="BM59" s="325" t="s">
        <v>841</v>
      </c>
      <c r="BN59" s="325" t="s">
        <v>841</v>
      </c>
      <c r="BO59" s="340" t="s">
        <v>840</v>
      </c>
      <c r="BP59" s="340" t="s">
        <v>840</v>
      </c>
      <c r="BQ59" s="328" t="s">
        <v>480</v>
      </c>
    </row>
    <row r="60" spans="1:70" ht="12" customHeight="1">
      <c r="A60" s="320">
        <v>104</v>
      </c>
      <c r="B60" s="336" t="s">
        <v>767</v>
      </c>
      <c r="C60" s="325" t="s">
        <v>745</v>
      </c>
      <c r="D60" s="336" t="s">
        <v>895</v>
      </c>
      <c r="E60" s="328">
        <v>63</v>
      </c>
      <c r="F60" s="365">
        <v>4</v>
      </c>
      <c r="G60" s="325">
        <v>0.18</v>
      </c>
      <c r="H60" s="325">
        <v>0.21</v>
      </c>
      <c r="I60" s="325">
        <v>1310</v>
      </c>
      <c r="J60" s="325">
        <v>1572</v>
      </c>
      <c r="K60" s="328"/>
      <c r="L60" s="332">
        <v>0.59</v>
      </c>
      <c r="M60" s="331">
        <f t="shared" si="0"/>
        <v>0.6156521739130435</v>
      </c>
      <c r="N60" s="332">
        <v>0.73</v>
      </c>
      <c r="O60" s="339">
        <v>60</v>
      </c>
      <c r="P60" s="328"/>
      <c r="Q60" s="328"/>
      <c r="R60" s="332">
        <v>0.73</v>
      </c>
      <c r="S60" s="339">
        <v>60</v>
      </c>
      <c r="T60" s="328"/>
      <c r="U60" s="328"/>
      <c r="V60" s="339">
        <v>4.4000000000000004</v>
      </c>
      <c r="W60" s="339">
        <v>2.2000000000000002</v>
      </c>
      <c r="X60" s="339">
        <v>2.1</v>
      </c>
      <c r="Y60" s="328"/>
      <c r="Z60" s="328"/>
      <c r="AA60" s="328"/>
      <c r="AB60" s="329">
        <v>5.9999999999999995E-4</v>
      </c>
      <c r="AC60" s="328"/>
      <c r="AD60" s="325">
        <v>5</v>
      </c>
      <c r="AE60" s="328"/>
      <c r="AF60" s="328"/>
      <c r="AG60" s="328"/>
      <c r="AH60" s="327">
        <v>100</v>
      </c>
      <c r="AI60" s="327">
        <v>80</v>
      </c>
      <c r="AJ60" s="327">
        <v>40</v>
      </c>
      <c r="AK60" s="327">
        <v>11</v>
      </c>
      <c r="AL60" s="327">
        <v>23</v>
      </c>
      <c r="AM60" s="327">
        <v>4</v>
      </c>
      <c r="AN60" s="327">
        <v>8.5</v>
      </c>
      <c r="AO60" s="320" t="s">
        <v>842</v>
      </c>
      <c r="AP60" s="327">
        <v>63</v>
      </c>
      <c r="AQ60" s="327">
        <v>7</v>
      </c>
      <c r="AR60" s="327">
        <v>135</v>
      </c>
      <c r="AS60" s="327">
        <v>130</v>
      </c>
      <c r="AT60" s="327">
        <v>115</v>
      </c>
      <c r="AU60" s="327">
        <v>180</v>
      </c>
      <c r="AV60" s="327">
        <v>217</v>
      </c>
      <c r="AW60" s="328"/>
      <c r="AX60" s="327">
        <v>75</v>
      </c>
      <c r="AY60" s="327">
        <v>60</v>
      </c>
      <c r="AZ60" s="327">
        <v>90</v>
      </c>
      <c r="BA60" s="327" t="s">
        <v>792</v>
      </c>
      <c r="BB60" s="327">
        <v>2.5</v>
      </c>
      <c r="BC60" s="327">
        <v>100</v>
      </c>
      <c r="BD60" s="327">
        <v>80</v>
      </c>
      <c r="BE60" s="327">
        <v>120</v>
      </c>
      <c r="BF60" s="327" t="s">
        <v>244</v>
      </c>
      <c r="BG60" s="327">
        <v>2.5</v>
      </c>
      <c r="BH60" s="327">
        <v>115</v>
      </c>
      <c r="BI60" s="327">
        <v>95</v>
      </c>
      <c r="BJ60" s="327">
        <v>140</v>
      </c>
      <c r="BK60" s="327">
        <v>10</v>
      </c>
      <c r="BL60" s="327">
        <v>3</v>
      </c>
      <c r="BM60" s="325" t="s">
        <v>841</v>
      </c>
      <c r="BN60" s="325" t="s">
        <v>841</v>
      </c>
      <c r="BO60" s="340" t="s">
        <v>840</v>
      </c>
      <c r="BP60" s="340" t="s">
        <v>840</v>
      </c>
      <c r="BQ60" s="328" t="s">
        <v>480</v>
      </c>
    </row>
    <row r="61" spans="1:70" ht="12" customHeight="1">
      <c r="A61" s="320">
        <v>105</v>
      </c>
      <c r="B61" s="336" t="s">
        <v>767</v>
      </c>
      <c r="C61" s="325" t="s">
        <v>745</v>
      </c>
      <c r="D61" s="336" t="s">
        <v>894</v>
      </c>
      <c r="E61" s="328">
        <v>71</v>
      </c>
      <c r="F61" s="365">
        <v>4</v>
      </c>
      <c r="G61" s="325">
        <v>0.25</v>
      </c>
      <c r="H61" s="325">
        <v>0.3</v>
      </c>
      <c r="I61" s="325">
        <v>1345</v>
      </c>
      <c r="J61" s="325">
        <v>1614</v>
      </c>
      <c r="K61" s="328"/>
      <c r="L61" s="332">
        <v>0.75</v>
      </c>
      <c r="M61" s="331">
        <f t="shared" si="0"/>
        <v>0.78260869565217395</v>
      </c>
      <c r="N61" s="332">
        <v>0.74</v>
      </c>
      <c r="O61" s="339">
        <v>65</v>
      </c>
      <c r="P61" s="328"/>
      <c r="Q61" s="328"/>
      <c r="R61" s="332">
        <v>0.74</v>
      </c>
      <c r="S61" s="339">
        <v>65</v>
      </c>
      <c r="T61" s="328"/>
      <c r="U61" s="328"/>
      <c r="V61" s="339">
        <v>5.2</v>
      </c>
      <c r="W61" s="339">
        <v>2.2000000000000002</v>
      </c>
      <c r="X61" s="339">
        <v>2.1</v>
      </c>
      <c r="Y61" s="328"/>
      <c r="Z61" s="328"/>
      <c r="AA61" s="328"/>
      <c r="AB61" s="329">
        <v>8.0000000000000004E-4</v>
      </c>
      <c r="AC61" s="328"/>
      <c r="AD61" s="325">
        <v>6</v>
      </c>
      <c r="AE61" s="328"/>
      <c r="AF61" s="328"/>
      <c r="AG61" s="328"/>
      <c r="AH61" s="327">
        <v>112</v>
      </c>
      <c r="AI61" s="327">
        <v>90</v>
      </c>
      <c r="AJ61" s="327">
        <v>45</v>
      </c>
      <c r="AK61" s="327">
        <v>14</v>
      </c>
      <c r="AL61" s="327">
        <v>30</v>
      </c>
      <c r="AM61" s="327">
        <v>5</v>
      </c>
      <c r="AN61" s="327">
        <v>11</v>
      </c>
      <c r="AO61" s="327" t="s">
        <v>792</v>
      </c>
      <c r="AP61" s="327">
        <v>71</v>
      </c>
      <c r="AQ61" s="327">
        <v>7</v>
      </c>
      <c r="AR61" s="327">
        <v>150</v>
      </c>
      <c r="AS61" s="327">
        <v>145</v>
      </c>
      <c r="AT61" s="327">
        <v>127</v>
      </c>
      <c r="AU61" s="327">
        <v>200</v>
      </c>
      <c r="AV61" s="327">
        <v>245</v>
      </c>
      <c r="AW61" s="328"/>
      <c r="AX61" s="327">
        <v>75</v>
      </c>
      <c r="AY61" s="327">
        <v>60</v>
      </c>
      <c r="AZ61" s="327">
        <v>90</v>
      </c>
      <c r="BA61" s="327" t="s">
        <v>792</v>
      </c>
      <c r="BB61" s="327">
        <v>2.5</v>
      </c>
      <c r="BC61" s="327">
        <v>100</v>
      </c>
      <c r="BD61" s="327">
        <v>80</v>
      </c>
      <c r="BE61" s="327">
        <v>120</v>
      </c>
      <c r="BF61" s="327" t="s">
        <v>244</v>
      </c>
      <c r="BG61" s="327">
        <v>2.5</v>
      </c>
      <c r="BH61" s="327">
        <v>130</v>
      </c>
      <c r="BI61" s="327">
        <v>110</v>
      </c>
      <c r="BJ61" s="327">
        <v>160</v>
      </c>
      <c r="BK61" s="327">
        <v>10</v>
      </c>
      <c r="BL61" s="327">
        <v>3.5</v>
      </c>
      <c r="BM61" s="325" t="s">
        <v>791</v>
      </c>
      <c r="BN61" s="325" t="s">
        <v>791</v>
      </c>
      <c r="BO61" s="340" t="s">
        <v>790</v>
      </c>
      <c r="BP61" s="340" t="s">
        <v>790</v>
      </c>
      <c r="BQ61" s="328" t="s">
        <v>480</v>
      </c>
    </row>
    <row r="62" spans="1:70" ht="12" customHeight="1">
      <c r="A62" s="320">
        <v>106</v>
      </c>
      <c r="B62" s="336" t="s">
        <v>767</v>
      </c>
      <c r="C62" s="325" t="s">
        <v>745</v>
      </c>
      <c r="D62" s="336" t="s">
        <v>893</v>
      </c>
      <c r="E62" s="328">
        <v>71</v>
      </c>
      <c r="F62" s="365">
        <v>4</v>
      </c>
      <c r="G62" s="325">
        <v>0.37</v>
      </c>
      <c r="H62" s="325">
        <v>0.44</v>
      </c>
      <c r="I62" s="325">
        <v>1340</v>
      </c>
      <c r="J62" s="325">
        <v>1608</v>
      </c>
      <c r="K62" s="328"/>
      <c r="L62" s="332">
        <v>1.1000000000000001</v>
      </c>
      <c r="M62" s="333">
        <f t="shared" si="0"/>
        <v>1.1478260869565218</v>
      </c>
      <c r="N62" s="332">
        <v>0.75</v>
      </c>
      <c r="O62" s="339">
        <v>67</v>
      </c>
      <c r="P62" s="328"/>
      <c r="Q62" s="328"/>
      <c r="R62" s="332">
        <v>0.75</v>
      </c>
      <c r="S62" s="339">
        <v>67</v>
      </c>
      <c r="T62" s="328"/>
      <c r="U62" s="328"/>
      <c r="V62" s="339">
        <v>5.2</v>
      </c>
      <c r="W62" s="339">
        <v>2.2000000000000002</v>
      </c>
      <c r="X62" s="339">
        <v>2.1</v>
      </c>
      <c r="Y62" s="328"/>
      <c r="Z62" s="328"/>
      <c r="AA62" s="328"/>
      <c r="AB62" s="329">
        <v>1.2999999999999999E-3</v>
      </c>
      <c r="AC62" s="328"/>
      <c r="AD62" s="325">
        <v>6.3</v>
      </c>
      <c r="AE62" s="328"/>
      <c r="AF62" s="328"/>
      <c r="AG62" s="328"/>
      <c r="AH62" s="327">
        <v>112</v>
      </c>
      <c r="AI62" s="327">
        <v>90</v>
      </c>
      <c r="AJ62" s="327">
        <v>45</v>
      </c>
      <c r="AK62" s="327">
        <v>14</v>
      </c>
      <c r="AL62" s="327">
        <v>30</v>
      </c>
      <c r="AM62" s="327">
        <v>5</v>
      </c>
      <c r="AN62" s="327">
        <v>11</v>
      </c>
      <c r="AO62" s="327" t="s">
        <v>792</v>
      </c>
      <c r="AP62" s="327">
        <v>71</v>
      </c>
      <c r="AQ62" s="327">
        <v>7</v>
      </c>
      <c r="AR62" s="327">
        <v>150</v>
      </c>
      <c r="AS62" s="327">
        <v>145</v>
      </c>
      <c r="AT62" s="327">
        <v>127</v>
      </c>
      <c r="AU62" s="327">
        <v>200</v>
      </c>
      <c r="AV62" s="327">
        <v>245</v>
      </c>
      <c r="AW62" s="328"/>
      <c r="AX62" s="327">
        <v>75</v>
      </c>
      <c r="AY62" s="327">
        <v>60</v>
      </c>
      <c r="AZ62" s="327">
        <v>90</v>
      </c>
      <c r="BA62" s="327" t="s">
        <v>792</v>
      </c>
      <c r="BB62" s="327">
        <v>2.5</v>
      </c>
      <c r="BC62" s="327">
        <v>100</v>
      </c>
      <c r="BD62" s="327">
        <v>80</v>
      </c>
      <c r="BE62" s="327">
        <v>120</v>
      </c>
      <c r="BF62" s="327" t="s">
        <v>244</v>
      </c>
      <c r="BG62" s="327">
        <v>2.5</v>
      </c>
      <c r="BH62" s="327">
        <v>130</v>
      </c>
      <c r="BI62" s="327">
        <v>110</v>
      </c>
      <c r="BJ62" s="327">
        <v>160</v>
      </c>
      <c r="BK62" s="327">
        <v>10</v>
      </c>
      <c r="BL62" s="327">
        <v>3.5</v>
      </c>
      <c r="BM62" s="325" t="s">
        <v>791</v>
      </c>
      <c r="BN62" s="325" t="s">
        <v>791</v>
      </c>
      <c r="BO62" s="340" t="s">
        <v>790</v>
      </c>
      <c r="BP62" s="340" t="s">
        <v>790</v>
      </c>
      <c r="BQ62" s="328" t="s">
        <v>480</v>
      </c>
    </row>
    <row r="63" spans="1:70" ht="12" customHeight="1">
      <c r="A63" s="320">
        <v>107</v>
      </c>
      <c r="B63" s="336" t="s">
        <v>767</v>
      </c>
      <c r="C63" s="325" t="s">
        <v>745</v>
      </c>
      <c r="D63" s="336" t="s">
        <v>892</v>
      </c>
      <c r="E63" s="328">
        <v>80</v>
      </c>
      <c r="F63" s="365">
        <v>4</v>
      </c>
      <c r="G63" s="325">
        <v>0.55000000000000004</v>
      </c>
      <c r="H63" s="325">
        <v>0.66</v>
      </c>
      <c r="I63" s="325">
        <v>1390</v>
      </c>
      <c r="J63" s="325">
        <v>1668</v>
      </c>
      <c r="K63" s="328"/>
      <c r="L63" s="332">
        <v>1.44</v>
      </c>
      <c r="M63" s="333">
        <f t="shared" si="0"/>
        <v>1.5026086956521738</v>
      </c>
      <c r="N63" s="332">
        <v>0.75</v>
      </c>
      <c r="O63" s="339">
        <v>71</v>
      </c>
      <c r="P63" s="328"/>
      <c r="Q63" s="328"/>
      <c r="R63" s="332">
        <v>0.75</v>
      </c>
      <c r="S63" s="339">
        <v>71</v>
      </c>
      <c r="T63" s="328"/>
      <c r="U63" s="328"/>
      <c r="V63" s="339">
        <v>5.2</v>
      </c>
      <c r="W63" s="339">
        <v>2.2999999999999998</v>
      </c>
      <c r="X63" s="339">
        <v>2.4</v>
      </c>
      <c r="Y63" s="328"/>
      <c r="Z63" s="328"/>
      <c r="AA63" s="328"/>
      <c r="AB63" s="329">
        <v>1.8E-3</v>
      </c>
      <c r="AC63" s="328">
        <v>48</v>
      </c>
      <c r="AD63" s="325">
        <v>9.4</v>
      </c>
      <c r="AE63" s="328"/>
      <c r="AF63" s="328"/>
      <c r="AG63" s="328"/>
      <c r="AH63" s="327">
        <v>125</v>
      </c>
      <c r="AI63" s="327">
        <v>100</v>
      </c>
      <c r="AJ63" s="327">
        <v>50</v>
      </c>
      <c r="AK63" s="327">
        <v>19</v>
      </c>
      <c r="AL63" s="327">
        <v>40</v>
      </c>
      <c r="AM63" s="327">
        <v>6</v>
      </c>
      <c r="AN63" s="327">
        <v>15.5</v>
      </c>
      <c r="AO63" s="327" t="s">
        <v>244</v>
      </c>
      <c r="AP63" s="327">
        <v>80</v>
      </c>
      <c r="AQ63" s="327">
        <v>10</v>
      </c>
      <c r="AR63" s="327">
        <v>165</v>
      </c>
      <c r="AS63" s="327">
        <v>175</v>
      </c>
      <c r="AT63" s="327">
        <v>134</v>
      </c>
      <c r="AU63" s="327">
        <v>215</v>
      </c>
      <c r="AV63" s="327">
        <v>287</v>
      </c>
      <c r="AW63" s="328">
        <v>337</v>
      </c>
      <c r="AX63" s="327">
        <v>100</v>
      </c>
      <c r="AY63" s="327">
        <v>80</v>
      </c>
      <c r="AZ63" s="327">
        <v>120</v>
      </c>
      <c r="BA63" s="327" t="s">
        <v>244</v>
      </c>
      <c r="BB63" s="327">
        <v>3</v>
      </c>
      <c r="BC63" s="327">
        <v>130</v>
      </c>
      <c r="BD63" s="327">
        <v>110</v>
      </c>
      <c r="BE63" s="327">
        <v>160</v>
      </c>
      <c r="BF63" s="327" t="s">
        <v>245</v>
      </c>
      <c r="BG63" s="327">
        <v>3.5</v>
      </c>
      <c r="BH63" s="327">
        <v>165</v>
      </c>
      <c r="BI63" s="327">
        <v>130</v>
      </c>
      <c r="BJ63" s="327">
        <v>200</v>
      </c>
      <c r="BK63" s="327">
        <v>12</v>
      </c>
      <c r="BL63" s="327">
        <v>3.5</v>
      </c>
      <c r="BM63" s="325" t="s">
        <v>568</v>
      </c>
      <c r="BN63" s="325" t="s">
        <v>568</v>
      </c>
      <c r="BO63" s="340" t="s">
        <v>714</v>
      </c>
      <c r="BP63" s="340" t="s">
        <v>714</v>
      </c>
      <c r="BQ63" s="328" t="s">
        <v>480</v>
      </c>
    </row>
    <row r="64" spans="1:70" ht="12" customHeight="1">
      <c r="A64" s="320">
        <v>108</v>
      </c>
      <c r="B64" s="336" t="s">
        <v>746</v>
      </c>
      <c r="C64" s="325" t="s">
        <v>745</v>
      </c>
      <c r="D64" s="336" t="s">
        <v>891</v>
      </c>
      <c r="E64" s="334">
        <v>80</v>
      </c>
      <c r="F64" s="382">
        <v>4</v>
      </c>
      <c r="G64" s="325">
        <v>0.55000000000000004</v>
      </c>
      <c r="H64" s="325">
        <v>0.66</v>
      </c>
      <c r="I64" s="325">
        <v>1390</v>
      </c>
      <c r="J64" s="335">
        <v>1668</v>
      </c>
      <c r="K64" s="334"/>
      <c r="L64" s="332">
        <v>1.49</v>
      </c>
      <c r="M64" s="331">
        <f t="shared" si="0"/>
        <v>1.5547826086956522</v>
      </c>
      <c r="N64" s="332">
        <v>0.75</v>
      </c>
      <c r="O64" s="339">
        <v>71</v>
      </c>
      <c r="P64" s="334"/>
      <c r="Q64" s="334"/>
      <c r="R64" s="332">
        <v>0.75</v>
      </c>
      <c r="S64" s="339">
        <v>71</v>
      </c>
      <c r="T64" s="334"/>
      <c r="U64" s="334"/>
      <c r="V64" s="339">
        <v>5.2</v>
      </c>
      <c r="W64" s="339">
        <v>2.4</v>
      </c>
      <c r="X64" s="339">
        <v>2.2999999999999998</v>
      </c>
      <c r="Y64" s="328"/>
      <c r="Z64" s="328"/>
      <c r="AA64" s="328"/>
      <c r="AB64" s="329">
        <v>1.2999999999999999E-3</v>
      </c>
      <c r="AC64" s="328">
        <v>48</v>
      </c>
      <c r="AD64" s="325">
        <v>14</v>
      </c>
      <c r="AE64" s="328"/>
      <c r="AF64" s="328"/>
      <c r="AG64" s="328"/>
      <c r="AH64" s="327">
        <v>125</v>
      </c>
      <c r="AI64" s="327">
        <v>100</v>
      </c>
      <c r="AJ64" s="327">
        <v>50</v>
      </c>
      <c r="AK64" s="327">
        <v>19</v>
      </c>
      <c r="AL64" s="327">
        <v>40</v>
      </c>
      <c r="AM64" s="327">
        <v>6</v>
      </c>
      <c r="AN64" s="327">
        <v>15.5</v>
      </c>
      <c r="AO64" s="327" t="s">
        <v>244</v>
      </c>
      <c r="AP64" s="327">
        <v>80</v>
      </c>
      <c r="AQ64" s="327">
        <v>10</v>
      </c>
      <c r="AR64" s="327">
        <v>165</v>
      </c>
      <c r="AS64" s="327">
        <v>165</v>
      </c>
      <c r="AT64" s="327">
        <v>165</v>
      </c>
      <c r="AU64" s="327">
        <v>245</v>
      </c>
      <c r="AV64" s="327">
        <v>295</v>
      </c>
      <c r="AW64" s="327">
        <v>345</v>
      </c>
      <c r="AX64" s="327">
        <v>100</v>
      </c>
      <c r="AY64" s="327">
        <v>80</v>
      </c>
      <c r="AZ64" s="327">
        <v>120</v>
      </c>
      <c r="BA64" s="327" t="s">
        <v>244</v>
      </c>
      <c r="BB64" s="327">
        <v>3</v>
      </c>
      <c r="BC64" s="327">
        <v>130</v>
      </c>
      <c r="BD64" s="327">
        <v>110</v>
      </c>
      <c r="BE64" s="327">
        <v>160</v>
      </c>
      <c r="BF64" s="327" t="s">
        <v>245</v>
      </c>
      <c r="BG64" s="327">
        <v>3.5</v>
      </c>
      <c r="BH64" s="327">
        <v>165</v>
      </c>
      <c r="BI64" s="327">
        <v>130</v>
      </c>
      <c r="BJ64" s="327">
        <v>200</v>
      </c>
      <c r="BK64" s="327">
        <v>12</v>
      </c>
      <c r="BL64" s="327">
        <v>3.5</v>
      </c>
      <c r="BM64" s="325" t="s">
        <v>568</v>
      </c>
      <c r="BN64" s="325" t="s">
        <v>568</v>
      </c>
      <c r="BO64" s="326"/>
      <c r="BP64" s="326"/>
      <c r="BQ64" s="325" t="s">
        <v>480</v>
      </c>
    </row>
    <row r="65" spans="1:69" ht="12" customHeight="1">
      <c r="A65" s="320">
        <v>109</v>
      </c>
      <c r="B65" s="336" t="s">
        <v>767</v>
      </c>
      <c r="C65" s="325" t="s">
        <v>745</v>
      </c>
      <c r="D65" s="336" t="s">
        <v>890</v>
      </c>
      <c r="E65" s="328">
        <v>80</v>
      </c>
      <c r="F65" s="365">
        <v>4</v>
      </c>
      <c r="G65" s="325">
        <v>0.75</v>
      </c>
      <c r="H65" s="325">
        <v>0.89999999999999991</v>
      </c>
      <c r="I65" s="325">
        <v>1380</v>
      </c>
      <c r="J65" s="325">
        <v>1656</v>
      </c>
      <c r="K65" s="328"/>
      <c r="L65" s="332">
        <v>1.85</v>
      </c>
      <c r="M65" s="333">
        <f t="shared" si="0"/>
        <v>1.9304347826086956</v>
      </c>
      <c r="N65" s="332">
        <v>0.76</v>
      </c>
      <c r="O65" s="339">
        <v>73</v>
      </c>
      <c r="P65" s="328"/>
      <c r="Q65" s="328"/>
      <c r="R65" s="332">
        <v>0.76</v>
      </c>
      <c r="S65" s="339">
        <v>73</v>
      </c>
      <c r="T65" s="328"/>
      <c r="U65" s="328"/>
      <c r="V65" s="339">
        <v>6</v>
      </c>
      <c r="W65" s="339">
        <v>2.2999999999999998</v>
      </c>
      <c r="X65" s="339">
        <v>2.2999999999999998</v>
      </c>
      <c r="Y65" s="328"/>
      <c r="Z65" s="328"/>
      <c r="AA65" s="328"/>
      <c r="AB65" s="329">
        <v>2.0999999999999999E-3</v>
      </c>
      <c r="AC65" s="328">
        <v>48</v>
      </c>
      <c r="AD65" s="325">
        <v>11</v>
      </c>
      <c r="AE65" s="328"/>
      <c r="AF65" s="328"/>
      <c r="AG65" s="328"/>
      <c r="AH65" s="327">
        <v>125</v>
      </c>
      <c r="AI65" s="327">
        <v>100</v>
      </c>
      <c r="AJ65" s="327">
        <v>50</v>
      </c>
      <c r="AK65" s="327">
        <v>19</v>
      </c>
      <c r="AL65" s="327">
        <v>40</v>
      </c>
      <c r="AM65" s="327">
        <v>6</v>
      </c>
      <c r="AN65" s="327">
        <v>15.5</v>
      </c>
      <c r="AO65" s="327" t="s">
        <v>244</v>
      </c>
      <c r="AP65" s="327">
        <v>80</v>
      </c>
      <c r="AQ65" s="327">
        <v>10</v>
      </c>
      <c r="AR65" s="327">
        <v>165</v>
      </c>
      <c r="AS65" s="327">
        <v>175</v>
      </c>
      <c r="AT65" s="327">
        <v>134</v>
      </c>
      <c r="AU65" s="327">
        <v>215</v>
      </c>
      <c r="AV65" s="327">
        <v>287</v>
      </c>
      <c r="AW65" s="328">
        <v>337</v>
      </c>
      <c r="AX65" s="327">
        <v>100</v>
      </c>
      <c r="AY65" s="327">
        <v>80</v>
      </c>
      <c r="AZ65" s="327">
        <v>120</v>
      </c>
      <c r="BA65" s="327" t="s">
        <v>244</v>
      </c>
      <c r="BB65" s="327">
        <v>3</v>
      </c>
      <c r="BC65" s="327">
        <v>130</v>
      </c>
      <c r="BD65" s="327">
        <v>110</v>
      </c>
      <c r="BE65" s="327">
        <v>160</v>
      </c>
      <c r="BF65" s="327" t="s">
        <v>245</v>
      </c>
      <c r="BG65" s="327">
        <v>3.5</v>
      </c>
      <c r="BH65" s="327">
        <v>165</v>
      </c>
      <c r="BI65" s="327">
        <v>130</v>
      </c>
      <c r="BJ65" s="327">
        <v>200</v>
      </c>
      <c r="BK65" s="327">
        <v>12</v>
      </c>
      <c r="BL65" s="327">
        <v>3.5</v>
      </c>
      <c r="BM65" s="325" t="s">
        <v>568</v>
      </c>
      <c r="BN65" s="325" t="s">
        <v>568</v>
      </c>
      <c r="BO65" s="340" t="s">
        <v>714</v>
      </c>
      <c r="BP65" s="340" t="s">
        <v>714</v>
      </c>
      <c r="BQ65" s="328" t="s">
        <v>480</v>
      </c>
    </row>
    <row r="66" spans="1:69" ht="12" customHeight="1">
      <c r="A66" s="320">
        <v>110</v>
      </c>
      <c r="B66" s="336" t="s">
        <v>746</v>
      </c>
      <c r="C66" s="325" t="s">
        <v>745</v>
      </c>
      <c r="D66" s="336" t="s">
        <v>889</v>
      </c>
      <c r="E66" s="334">
        <v>80</v>
      </c>
      <c r="F66" s="382">
        <v>4</v>
      </c>
      <c r="G66" s="325">
        <v>0.75</v>
      </c>
      <c r="H66" s="325">
        <v>0.89999999999999991</v>
      </c>
      <c r="I66" s="325">
        <v>1380</v>
      </c>
      <c r="J66" s="335">
        <v>1656</v>
      </c>
      <c r="K66" s="334"/>
      <c r="L66" s="332">
        <v>1.95</v>
      </c>
      <c r="M66" s="331">
        <f t="shared" si="0"/>
        <v>2.034782608695652</v>
      </c>
      <c r="N66" s="332">
        <v>0.76</v>
      </c>
      <c r="O66" s="339">
        <v>73</v>
      </c>
      <c r="P66" s="334"/>
      <c r="Q66" s="334"/>
      <c r="R66" s="332">
        <v>0.76</v>
      </c>
      <c r="S66" s="339">
        <v>73</v>
      </c>
      <c r="T66" s="334"/>
      <c r="U66" s="334"/>
      <c r="V66" s="339">
        <v>6</v>
      </c>
      <c r="W66" s="339">
        <v>2.2999999999999998</v>
      </c>
      <c r="X66" s="339">
        <v>2.2999999999999998</v>
      </c>
      <c r="Y66" s="328"/>
      <c r="Z66" s="328"/>
      <c r="AA66" s="328"/>
      <c r="AB66" s="329">
        <v>1.6999999999999999E-3</v>
      </c>
      <c r="AC66" s="328">
        <v>48</v>
      </c>
      <c r="AD66" s="325">
        <v>16</v>
      </c>
      <c r="AE66" s="328"/>
      <c r="AF66" s="328"/>
      <c r="AG66" s="328"/>
      <c r="AH66" s="327">
        <v>125</v>
      </c>
      <c r="AI66" s="327">
        <v>100</v>
      </c>
      <c r="AJ66" s="327">
        <v>50</v>
      </c>
      <c r="AK66" s="327">
        <v>19</v>
      </c>
      <c r="AL66" s="327">
        <v>40</v>
      </c>
      <c r="AM66" s="327">
        <v>6</v>
      </c>
      <c r="AN66" s="327">
        <v>15.5</v>
      </c>
      <c r="AO66" s="327" t="s">
        <v>244</v>
      </c>
      <c r="AP66" s="327">
        <v>80</v>
      </c>
      <c r="AQ66" s="327">
        <v>10</v>
      </c>
      <c r="AR66" s="327">
        <v>165</v>
      </c>
      <c r="AS66" s="327">
        <v>165</v>
      </c>
      <c r="AT66" s="327">
        <v>165</v>
      </c>
      <c r="AU66" s="327">
        <v>245</v>
      </c>
      <c r="AV66" s="327">
        <v>295</v>
      </c>
      <c r="AW66" s="327">
        <v>345</v>
      </c>
      <c r="AX66" s="327">
        <v>100</v>
      </c>
      <c r="AY66" s="327">
        <v>80</v>
      </c>
      <c r="AZ66" s="327">
        <v>120</v>
      </c>
      <c r="BA66" s="327" t="s">
        <v>244</v>
      </c>
      <c r="BB66" s="327">
        <v>3</v>
      </c>
      <c r="BC66" s="327">
        <v>130</v>
      </c>
      <c r="BD66" s="327">
        <v>110</v>
      </c>
      <c r="BE66" s="327">
        <v>160</v>
      </c>
      <c r="BF66" s="327" t="s">
        <v>245</v>
      </c>
      <c r="BG66" s="327">
        <v>3.5</v>
      </c>
      <c r="BH66" s="327">
        <v>165</v>
      </c>
      <c r="BI66" s="327">
        <v>130</v>
      </c>
      <c r="BJ66" s="327">
        <v>200</v>
      </c>
      <c r="BK66" s="327">
        <v>12</v>
      </c>
      <c r="BL66" s="327">
        <v>3.5</v>
      </c>
      <c r="BM66" s="325" t="s">
        <v>568</v>
      </c>
      <c r="BN66" s="325" t="s">
        <v>568</v>
      </c>
      <c r="BO66" s="326"/>
      <c r="BP66" s="326"/>
      <c r="BQ66" s="325" t="s">
        <v>480</v>
      </c>
    </row>
    <row r="67" spans="1:69" ht="12" customHeight="1">
      <c r="A67" s="320">
        <v>111</v>
      </c>
      <c r="B67" s="336" t="s">
        <v>767</v>
      </c>
      <c r="C67" s="325" t="s">
        <v>745</v>
      </c>
      <c r="D67" s="336" t="s">
        <v>888</v>
      </c>
      <c r="E67" s="328">
        <v>90</v>
      </c>
      <c r="F67" s="365">
        <v>4</v>
      </c>
      <c r="G67" s="325">
        <v>1.1000000000000001</v>
      </c>
      <c r="H67" s="325">
        <v>1.32</v>
      </c>
      <c r="I67" s="325">
        <v>1390</v>
      </c>
      <c r="J67" s="325">
        <v>1668</v>
      </c>
      <c r="K67" s="328"/>
      <c r="L67" s="332">
        <v>2.7</v>
      </c>
      <c r="M67" s="331">
        <f t="shared" ref="M67:M131" si="4">L67*480/460</f>
        <v>2.8173913043478263</v>
      </c>
      <c r="N67" s="332">
        <v>0.77</v>
      </c>
      <c r="O67" s="339">
        <v>76.2</v>
      </c>
      <c r="P67" s="328"/>
      <c r="Q67" s="328"/>
      <c r="R67" s="332">
        <v>0.77</v>
      </c>
      <c r="S67" s="339">
        <v>76.2</v>
      </c>
      <c r="T67" s="328"/>
      <c r="U67" s="328"/>
      <c r="V67" s="339">
        <v>6</v>
      </c>
      <c r="W67" s="339">
        <v>2.2999999999999998</v>
      </c>
      <c r="X67" s="339">
        <v>2.2999999999999998</v>
      </c>
      <c r="Y67" s="328"/>
      <c r="Z67" s="328"/>
      <c r="AA67" s="328"/>
      <c r="AB67" s="329">
        <v>2.3E-3</v>
      </c>
      <c r="AC67" s="328">
        <v>52</v>
      </c>
      <c r="AD67" s="325">
        <v>12</v>
      </c>
      <c r="AE67" s="328"/>
      <c r="AF67" s="328"/>
      <c r="AG67" s="328"/>
      <c r="AH67" s="327">
        <v>140</v>
      </c>
      <c r="AI67" s="327">
        <v>100</v>
      </c>
      <c r="AJ67" s="327">
        <v>56</v>
      </c>
      <c r="AK67" s="327">
        <v>24</v>
      </c>
      <c r="AL67" s="327">
        <v>50</v>
      </c>
      <c r="AM67" s="327">
        <v>8</v>
      </c>
      <c r="AN67" s="327">
        <v>20</v>
      </c>
      <c r="AO67" s="327" t="s">
        <v>245</v>
      </c>
      <c r="AP67" s="327">
        <v>90</v>
      </c>
      <c r="AQ67" s="327">
        <v>10</v>
      </c>
      <c r="AR67" s="327">
        <v>180</v>
      </c>
      <c r="AS67" s="327">
        <v>195</v>
      </c>
      <c r="AT67" s="327">
        <v>140</v>
      </c>
      <c r="AU67" s="327">
        <v>230</v>
      </c>
      <c r="AV67" s="327">
        <v>315</v>
      </c>
      <c r="AW67" s="327">
        <v>365</v>
      </c>
      <c r="AX67" s="327">
        <v>115</v>
      </c>
      <c r="AY67" s="327">
        <v>95</v>
      </c>
      <c r="AZ67" s="327">
        <v>140</v>
      </c>
      <c r="BA67" s="327" t="s">
        <v>245</v>
      </c>
      <c r="BB67" s="327">
        <v>3</v>
      </c>
      <c r="BC67" s="327">
        <v>130</v>
      </c>
      <c r="BD67" s="327">
        <v>110</v>
      </c>
      <c r="BE67" s="327">
        <v>160</v>
      </c>
      <c r="BF67" s="327" t="s">
        <v>245</v>
      </c>
      <c r="BG67" s="327">
        <v>3.5</v>
      </c>
      <c r="BH67" s="327">
        <v>165</v>
      </c>
      <c r="BI67" s="327">
        <v>130</v>
      </c>
      <c r="BJ67" s="327">
        <v>200</v>
      </c>
      <c r="BK67" s="327">
        <v>12</v>
      </c>
      <c r="BL67" s="327">
        <v>3.5</v>
      </c>
      <c r="BM67" s="325" t="s">
        <v>485</v>
      </c>
      <c r="BN67" s="325" t="s">
        <v>485</v>
      </c>
      <c r="BO67" s="340" t="s">
        <v>686</v>
      </c>
      <c r="BP67" s="340" t="s">
        <v>686</v>
      </c>
      <c r="BQ67" s="325" t="s">
        <v>480</v>
      </c>
    </row>
    <row r="68" spans="1:69" ht="12" customHeight="1">
      <c r="A68" s="320">
        <v>112</v>
      </c>
      <c r="B68" s="336" t="s">
        <v>746</v>
      </c>
      <c r="C68" s="325" t="s">
        <v>745</v>
      </c>
      <c r="D68" s="336" t="s">
        <v>887</v>
      </c>
      <c r="E68" s="334">
        <v>90</v>
      </c>
      <c r="F68" s="382">
        <v>4</v>
      </c>
      <c r="G68" s="325">
        <v>1.1000000000000001</v>
      </c>
      <c r="H68" s="325">
        <v>1.32</v>
      </c>
      <c r="I68" s="325">
        <v>1390</v>
      </c>
      <c r="J68" s="335">
        <v>1668</v>
      </c>
      <c r="K68" s="334"/>
      <c r="L68" s="332">
        <v>2.71</v>
      </c>
      <c r="M68" s="331">
        <f t="shared" si="4"/>
        <v>2.8278260869565215</v>
      </c>
      <c r="N68" s="332">
        <v>0.77</v>
      </c>
      <c r="O68" s="339">
        <v>76.2</v>
      </c>
      <c r="P68" s="334"/>
      <c r="Q68" s="334"/>
      <c r="R68" s="332">
        <v>0.77</v>
      </c>
      <c r="S68" s="339">
        <v>76.2</v>
      </c>
      <c r="T68" s="334"/>
      <c r="U68" s="334"/>
      <c r="V68" s="339">
        <v>6</v>
      </c>
      <c r="W68" s="339">
        <v>2.2999999999999998</v>
      </c>
      <c r="X68" s="339">
        <v>2.2999999999999998</v>
      </c>
      <c r="Y68" s="328"/>
      <c r="Z68" s="328"/>
      <c r="AA68" s="328"/>
      <c r="AB68" s="329">
        <v>2.5999999999999999E-3</v>
      </c>
      <c r="AC68" s="328">
        <v>52</v>
      </c>
      <c r="AD68" s="325">
        <v>18</v>
      </c>
      <c r="AE68" s="328"/>
      <c r="AF68" s="328"/>
      <c r="AG68" s="328"/>
      <c r="AH68" s="327">
        <v>140</v>
      </c>
      <c r="AI68" s="327">
        <v>100</v>
      </c>
      <c r="AJ68" s="327">
        <v>56</v>
      </c>
      <c r="AK68" s="327">
        <v>24</v>
      </c>
      <c r="AL68" s="327">
        <v>50</v>
      </c>
      <c r="AM68" s="327">
        <v>8</v>
      </c>
      <c r="AN68" s="327">
        <v>20</v>
      </c>
      <c r="AO68" s="327" t="s">
        <v>245</v>
      </c>
      <c r="AP68" s="327">
        <v>90</v>
      </c>
      <c r="AQ68" s="327">
        <v>10</v>
      </c>
      <c r="AR68" s="327">
        <v>180</v>
      </c>
      <c r="AS68" s="327">
        <v>180</v>
      </c>
      <c r="AT68" s="327">
        <v>175</v>
      </c>
      <c r="AU68" s="327">
        <v>265</v>
      </c>
      <c r="AV68" s="327">
        <v>315</v>
      </c>
      <c r="AW68" s="327">
        <v>365</v>
      </c>
      <c r="AX68" s="327">
        <v>115</v>
      </c>
      <c r="AY68" s="327">
        <v>95</v>
      </c>
      <c r="AZ68" s="327">
        <v>140</v>
      </c>
      <c r="BA68" s="327" t="s">
        <v>245</v>
      </c>
      <c r="BB68" s="327">
        <v>3</v>
      </c>
      <c r="BC68" s="327">
        <v>130</v>
      </c>
      <c r="BD68" s="327">
        <v>110</v>
      </c>
      <c r="BE68" s="327">
        <v>160</v>
      </c>
      <c r="BF68" s="327" t="s">
        <v>245</v>
      </c>
      <c r="BG68" s="327">
        <v>3.5</v>
      </c>
      <c r="BH68" s="327">
        <v>165</v>
      </c>
      <c r="BI68" s="327">
        <v>130</v>
      </c>
      <c r="BJ68" s="327">
        <v>200</v>
      </c>
      <c r="BK68" s="327">
        <v>12</v>
      </c>
      <c r="BL68" s="327">
        <v>3.5</v>
      </c>
      <c r="BM68" s="325" t="s">
        <v>485</v>
      </c>
      <c r="BN68" s="325" t="s">
        <v>485</v>
      </c>
      <c r="BO68" s="326"/>
      <c r="BP68" s="326"/>
      <c r="BQ68" s="325" t="s">
        <v>480</v>
      </c>
    </row>
    <row r="69" spans="1:69" ht="12" customHeight="1">
      <c r="A69" s="320">
        <v>113</v>
      </c>
      <c r="B69" s="336" t="s">
        <v>767</v>
      </c>
      <c r="C69" s="325" t="s">
        <v>745</v>
      </c>
      <c r="D69" s="336" t="s">
        <v>886</v>
      </c>
      <c r="E69" s="328">
        <v>90</v>
      </c>
      <c r="F69" s="365">
        <v>4</v>
      </c>
      <c r="G69" s="325">
        <v>1.5</v>
      </c>
      <c r="H69" s="325">
        <v>1.7999999999999998</v>
      </c>
      <c r="I69" s="325">
        <v>1400</v>
      </c>
      <c r="J69" s="325">
        <v>1680</v>
      </c>
      <c r="K69" s="328"/>
      <c r="L69" s="332">
        <v>3.53</v>
      </c>
      <c r="M69" s="331">
        <f t="shared" si="4"/>
        <v>3.6834782608695651</v>
      </c>
      <c r="N69" s="332">
        <v>0.78</v>
      </c>
      <c r="O69" s="339">
        <v>78.5</v>
      </c>
      <c r="P69" s="328"/>
      <c r="Q69" s="328"/>
      <c r="R69" s="332">
        <v>0.78</v>
      </c>
      <c r="S69" s="339">
        <v>78.5</v>
      </c>
      <c r="T69" s="328"/>
      <c r="U69" s="328"/>
      <c r="V69" s="339">
        <v>6</v>
      </c>
      <c r="W69" s="339">
        <v>2.2999999999999998</v>
      </c>
      <c r="X69" s="339">
        <v>2.2999999999999998</v>
      </c>
      <c r="Y69" s="328"/>
      <c r="Z69" s="328"/>
      <c r="AA69" s="328"/>
      <c r="AB69" s="329">
        <v>2.7000000000000001E-3</v>
      </c>
      <c r="AC69" s="328">
        <v>52</v>
      </c>
      <c r="AD69" s="325">
        <v>14</v>
      </c>
      <c r="AE69" s="328"/>
      <c r="AF69" s="328"/>
      <c r="AG69" s="328"/>
      <c r="AH69" s="327">
        <v>140</v>
      </c>
      <c r="AI69" s="327">
        <v>125</v>
      </c>
      <c r="AJ69" s="327">
        <v>56</v>
      </c>
      <c r="AK69" s="327">
        <v>24</v>
      </c>
      <c r="AL69" s="327">
        <v>50</v>
      </c>
      <c r="AM69" s="327">
        <v>8</v>
      </c>
      <c r="AN69" s="327">
        <v>20</v>
      </c>
      <c r="AO69" s="327" t="s">
        <v>245</v>
      </c>
      <c r="AP69" s="327">
        <v>90</v>
      </c>
      <c r="AQ69" s="327">
        <v>10</v>
      </c>
      <c r="AR69" s="327">
        <v>180</v>
      </c>
      <c r="AS69" s="327">
        <v>195</v>
      </c>
      <c r="AT69" s="327">
        <v>140</v>
      </c>
      <c r="AU69" s="327">
        <v>230</v>
      </c>
      <c r="AV69" s="327">
        <v>340</v>
      </c>
      <c r="AW69" s="327">
        <v>390</v>
      </c>
      <c r="AX69" s="327">
        <v>115</v>
      </c>
      <c r="AY69" s="327">
        <v>95</v>
      </c>
      <c r="AZ69" s="327">
        <v>140</v>
      </c>
      <c r="BA69" s="327" t="s">
        <v>245</v>
      </c>
      <c r="BB69" s="327">
        <v>3</v>
      </c>
      <c r="BC69" s="327">
        <v>130</v>
      </c>
      <c r="BD69" s="327">
        <v>110</v>
      </c>
      <c r="BE69" s="327">
        <v>160</v>
      </c>
      <c r="BF69" s="327" t="s">
        <v>245</v>
      </c>
      <c r="BG69" s="327">
        <v>3.5</v>
      </c>
      <c r="BH69" s="327">
        <v>165</v>
      </c>
      <c r="BI69" s="327">
        <v>130</v>
      </c>
      <c r="BJ69" s="327">
        <v>200</v>
      </c>
      <c r="BK69" s="327">
        <v>12</v>
      </c>
      <c r="BL69" s="327">
        <v>3.5</v>
      </c>
      <c r="BM69" s="325" t="s">
        <v>485</v>
      </c>
      <c r="BN69" s="325" t="s">
        <v>485</v>
      </c>
      <c r="BO69" s="340" t="s">
        <v>686</v>
      </c>
      <c r="BP69" s="340" t="s">
        <v>686</v>
      </c>
      <c r="BQ69" s="325" t="s">
        <v>480</v>
      </c>
    </row>
    <row r="70" spans="1:69" ht="12" customHeight="1">
      <c r="A70" s="320">
        <v>114</v>
      </c>
      <c r="B70" s="336" t="s">
        <v>746</v>
      </c>
      <c r="C70" s="325" t="s">
        <v>745</v>
      </c>
      <c r="D70" s="336" t="s">
        <v>885</v>
      </c>
      <c r="E70" s="334">
        <v>90</v>
      </c>
      <c r="F70" s="382">
        <v>4</v>
      </c>
      <c r="G70" s="325">
        <v>1.5</v>
      </c>
      <c r="H70" s="325">
        <v>1.7999999999999998</v>
      </c>
      <c r="I70" s="325">
        <v>1390</v>
      </c>
      <c r="J70" s="335">
        <v>1668</v>
      </c>
      <c r="K70" s="334"/>
      <c r="L70" s="332">
        <v>3.49</v>
      </c>
      <c r="M70" s="331">
        <f t="shared" si="4"/>
        <v>3.6417391304347828</v>
      </c>
      <c r="N70" s="332">
        <v>0.79</v>
      </c>
      <c r="O70" s="339">
        <v>78.5</v>
      </c>
      <c r="P70" s="334"/>
      <c r="Q70" s="334"/>
      <c r="R70" s="332">
        <v>0.79</v>
      </c>
      <c r="S70" s="339">
        <v>78.5</v>
      </c>
      <c r="T70" s="334"/>
      <c r="U70" s="334"/>
      <c r="V70" s="339">
        <v>6</v>
      </c>
      <c r="W70" s="339">
        <v>2.2999999999999998</v>
      </c>
      <c r="X70" s="339">
        <v>2.2999999999999998</v>
      </c>
      <c r="Y70" s="328"/>
      <c r="Z70" s="328"/>
      <c r="AA70" s="328"/>
      <c r="AB70" s="329">
        <v>3.5000000000000001E-3</v>
      </c>
      <c r="AC70" s="328">
        <v>52</v>
      </c>
      <c r="AD70" s="325">
        <v>22</v>
      </c>
      <c r="AE70" s="328"/>
      <c r="AF70" s="328"/>
      <c r="AG70" s="328"/>
      <c r="AH70" s="327">
        <v>140</v>
      </c>
      <c r="AI70" s="327">
        <v>125</v>
      </c>
      <c r="AJ70" s="327">
        <v>56</v>
      </c>
      <c r="AK70" s="327">
        <v>24</v>
      </c>
      <c r="AL70" s="327">
        <v>50</v>
      </c>
      <c r="AM70" s="327">
        <v>8</v>
      </c>
      <c r="AN70" s="327">
        <v>20</v>
      </c>
      <c r="AO70" s="327" t="s">
        <v>245</v>
      </c>
      <c r="AP70" s="327">
        <v>90</v>
      </c>
      <c r="AQ70" s="327">
        <v>10</v>
      </c>
      <c r="AR70" s="327">
        <v>180</v>
      </c>
      <c r="AS70" s="327">
        <v>180</v>
      </c>
      <c r="AT70" s="327">
        <v>175</v>
      </c>
      <c r="AU70" s="327">
        <v>265</v>
      </c>
      <c r="AV70" s="327">
        <v>315</v>
      </c>
      <c r="AW70" s="327">
        <v>390</v>
      </c>
      <c r="AX70" s="327">
        <v>115</v>
      </c>
      <c r="AY70" s="327">
        <v>95</v>
      </c>
      <c r="AZ70" s="327">
        <v>140</v>
      </c>
      <c r="BA70" s="327" t="s">
        <v>245</v>
      </c>
      <c r="BB70" s="327">
        <v>3</v>
      </c>
      <c r="BC70" s="327">
        <v>130</v>
      </c>
      <c r="BD70" s="327">
        <v>110</v>
      </c>
      <c r="BE70" s="327">
        <v>160</v>
      </c>
      <c r="BF70" s="327" t="s">
        <v>245</v>
      </c>
      <c r="BG70" s="327">
        <v>3.5</v>
      </c>
      <c r="BH70" s="327">
        <v>165</v>
      </c>
      <c r="BI70" s="327">
        <v>130</v>
      </c>
      <c r="BJ70" s="327">
        <v>200</v>
      </c>
      <c r="BK70" s="327">
        <v>12</v>
      </c>
      <c r="BL70" s="327">
        <v>3.5</v>
      </c>
      <c r="BM70" s="325" t="s">
        <v>485</v>
      </c>
      <c r="BN70" s="325" t="s">
        <v>485</v>
      </c>
      <c r="BO70" s="326"/>
      <c r="BP70" s="326"/>
      <c r="BQ70" s="325" t="s">
        <v>480</v>
      </c>
    </row>
    <row r="71" spans="1:69" ht="12" customHeight="1">
      <c r="A71" s="320">
        <v>115</v>
      </c>
      <c r="B71" s="336" t="s">
        <v>767</v>
      </c>
      <c r="C71" s="325" t="s">
        <v>745</v>
      </c>
      <c r="D71" s="336" t="s">
        <v>884</v>
      </c>
      <c r="E71" s="328">
        <v>100</v>
      </c>
      <c r="F71" s="365">
        <v>4</v>
      </c>
      <c r="G71" s="325">
        <v>2.2000000000000002</v>
      </c>
      <c r="H71" s="325">
        <v>2.64</v>
      </c>
      <c r="I71" s="325">
        <v>1420</v>
      </c>
      <c r="J71" s="325">
        <v>1704</v>
      </c>
      <c r="K71" s="328"/>
      <c r="L71" s="332">
        <v>4.83</v>
      </c>
      <c r="M71" s="331">
        <f t="shared" si="4"/>
        <v>5.04</v>
      </c>
      <c r="N71" s="332">
        <v>0.81</v>
      </c>
      <c r="O71" s="339">
        <v>81</v>
      </c>
      <c r="P71" s="328"/>
      <c r="Q71" s="328"/>
      <c r="R71" s="332">
        <v>0.81</v>
      </c>
      <c r="S71" s="339">
        <v>81</v>
      </c>
      <c r="T71" s="328"/>
      <c r="U71" s="328"/>
      <c r="V71" s="339">
        <v>7</v>
      </c>
      <c r="W71" s="339">
        <v>2.2999999999999998</v>
      </c>
      <c r="X71" s="339">
        <v>2.2999999999999998</v>
      </c>
      <c r="Y71" s="328"/>
      <c r="Z71" s="328"/>
      <c r="AA71" s="328"/>
      <c r="AB71" s="329">
        <v>5.4000000000000003E-3</v>
      </c>
      <c r="AC71" s="328">
        <v>53</v>
      </c>
      <c r="AD71" s="325">
        <v>21</v>
      </c>
      <c r="AE71" s="328"/>
      <c r="AF71" s="328"/>
      <c r="AG71" s="328"/>
      <c r="AH71" s="327">
        <v>160</v>
      </c>
      <c r="AI71" s="327">
        <v>140</v>
      </c>
      <c r="AJ71" s="327">
        <v>63</v>
      </c>
      <c r="AK71" s="327">
        <v>28</v>
      </c>
      <c r="AL71" s="327">
        <v>60</v>
      </c>
      <c r="AM71" s="327">
        <v>8</v>
      </c>
      <c r="AN71" s="327">
        <v>24</v>
      </c>
      <c r="AO71" s="327" t="s">
        <v>246</v>
      </c>
      <c r="AP71" s="327">
        <v>100</v>
      </c>
      <c r="AQ71" s="327">
        <v>12</v>
      </c>
      <c r="AR71" s="327">
        <v>205</v>
      </c>
      <c r="AS71" s="327">
        <v>215</v>
      </c>
      <c r="AT71" s="327">
        <v>160</v>
      </c>
      <c r="AU71" s="327">
        <v>260</v>
      </c>
      <c r="AV71" s="327">
        <v>385</v>
      </c>
      <c r="AW71" s="328">
        <v>435</v>
      </c>
      <c r="AX71" s="327">
        <v>130</v>
      </c>
      <c r="AY71" s="327">
        <v>110</v>
      </c>
      <c r="AZ71" s="327">
        <v>160</v>
      </c>
      <c r="BA71" s="327" t="s">
        <v>245</v>
      </c>
      <c r="BB71" s="327">
        <v>3.5</v>
      </c>
      <c r="BC71" s="327">
        <v>165</v>
      </c>
      <c r="BD71" s="327">
        <v>130</v>
      </c>
      <c r="BE71" s="327">
        <v>200</v>
      </c>
      <c r="BF71" s="327" t="s">
        <v>246</v>
      </c>
      <c r="BG71" s="327">
        <v>3.5</v>
      </c>
      <c r="BH71" s="327">
        <v>215</v>
      </c>
      <c r="BI71" s="327">
        <v>180</v>
      </c>
      <c r="BJ71" s="327">
        <v>250</v>
      </c>
      <c r="BK71" s="327">
        <v>15</v>
      </c>
      <c r="BL71" s="327">
        <v>4</v>
      </c>
      <c r="BM71" s="325" t="s">
        <v>475</v>
      </c>
      <c r="BN71" s="325" t="s">
        <v>475</v>
      </c>
      <c r="BO71" s="340" t="s">
        <v>682</v>
      </c>
      <c r="BP71" s="340" t="s">
        <v>682</v>
      </c>
      <c r="BQ71" s="325" t="s">
        <v>480</v>
      </c>
    </row>
    <row r="72" spans="1:69" ht="12" customHeight="1">
      <c r="A72" s="320">
        <v>116</v>
      </c>
      <c r="B72" s="336" t="s">
        <v>746</v>
      </c>
      <c r="C72" s="325" t="s">
        <v>745</v>
      </c>
      <c r="D72" s="336" t="s">
        <v>883</v>
      </c>
      <c r="E72" s="334">
        <v>100</v>
      </c>
      <c r="F72" s="382">
        <v>4</v>
      </c>
      <c r="G72" s="325">
        <v>2.2000000000000002</v>
      </c>
      <c r="H72" s="325">
        <v>2.64</v>
      </c>
      <c r="I72" s="325">
        <v>1410</v>
      </c>
      <c r="J72" s="335">
        <v>1692</v>
      </c>
      <c r="K72" s="334"/>
      <c r="L72" s="332">
        <v>4.84</v>
      </c>
      <c r="M72" s="331">
        <f t="shared" si="4"/>
        <v>5.0504347826086953</v>
      </c>
      <c r="N72" s="332">
        <v>0.81</v>
      </c>
      <c r="O72" s="339">
        <v>81</v>
      </c>
      <c r="P72" s="334"/>
      <c r="Q72" s="334"/>
      <c r="R72" s="332">
        <v>0.81</v>
      </c>
      <c r="S72" s="339">
        <v>81</v>
      </c>
      <c r="T72" s="334"/>
      <c r="U72" s="334"/>
      <c r="V72" s="339">
        <v>7</v>
      </c>
      <c r="W72" s="339">
        <v>2.2999999999999998</v>
      </c>
      <c r="X72" s="339">
        <v>2.2999999999999998</v>
      </c>
      <c r="Y72" s="328"/>
      <c r="Z72" s="328"/>
      <c r="AA72" s="328"/>
      <c r="AB72" s="329">
        <v>6.4999999999999997E-3</v>
      </c>
      <c r="AC72" s="328">
        <v>53</v>
      </c>
      <c r="AD72" s="325">
        <v>30</v>
      </c>
      <c r="AE72" s="328"/>
      <c r="AF72" s="328"/>
      <c r="AG72" s="328"/>
      <c r="AH72" s="327">
        <v>160</v>
      </c>
      <c r="AI72" s="327">
        <v>140</v>
      </c>
      <c r="AJ72" s="327">
        <v>63</v>
      </c>
      <c r="AK72" s="327">
        <v>28</v>
      </c>
      <c r="AL72" s="327">
        <v>60</v>
      </c>
      <c r="AM72" s="327">
        <v>8</v>
      </c>
      <c r="AN72" s="327">
        <v>24</v>
      </c>
      <c r="AO72" s="327" t="s">
        <v>246</v>
      </c>
      <c r="AP72" s="327">
        <v>100</v>
      </c>
      <c r="AQ72" s="327">
        <v>12</v>
      </c>
      <c r="AR72" s="327">
        <v>205</v>
      </c>
      <c r="AS72" s="327">
        <v>205</v>
      </c>
      <c r="AT72" s="327">
        <v>200</v>
      </c>
      <c r="AU72" s="327">
        <v>290</v>
      </c>
      <c r="AV72" s="327">
        <v>385</v>
      </c>
      <c r="AW72" s="327">
        <v>435</v>
      </c>
      <c r="AX72" s="327">
        <v>130</v>
      </c>
      <c r="AY72" s="327">
        <v>110</v>
      </c>
      <c r="AZ72" s="327">
        <v>160</v>
      </c>
      <c r="BA72" s="327" t="s">
        <v>245</v>
      </c>
      <c r="BB72" s="327">
        <v>3.5</v>
      </c>
      <c r="BC72" s="327">
        <v>165</v>
      </c>
      <c r="BD72" s="327">
        <v>130</v>
      </c>
      <c r="BE72" s="327">
        <v>200</v>
      </c>
      <c r="BF72" s="327" t="s">
        <v>246</v>
      </c>
      <c r="BG72" s="327">
        <v>3.5</v>
      </c>
      <c r="BH72" s="327">
        <v>215</v>
      </c>
      <c r="BI72" s="327">
        <v>180</v>
      </c>
      <c r="BJ72" s="327">
        <v>250</v>
      </c>
      <c r="BK72" s="327">
        <v>15</v>
      </c>
      <c r="BL72" s="327">
        <v>4</v>
      </c>
      <c r="BM72" s="325" t="s">
        <v>475</v>
      </c>
      <c r="BN72" s="325" t="s">
        <v>475</v>
      </c>
      <c r="BO72" s="326"/>
      <c r="BP72" s="326"/>
      <c r="BQ72" s="325" t="s">
        <v>480</v>
      </c>
    </row>
    <row r="73" spans="1:69" ht="12" customHeight="1">
      <c r="A73" s="320">
        <v>117</v>
      </c>
      <c r="B73" s="336" t="s">
        <v>767</v>
      </c>
      <c r="C73" s="325" t="s">
        <v>745</v>
      </c>
      <c r="D73" s="336" t="s">
        <v>882</v>
      </c>
      <c r="E73" s="328">
        <v>100</v>
      </c>
      <c r="F73" s="365">
        <v>4</v>
      </c>
      <c r="G73" s="325">
        <v>3</v>
      </c>
      <c r="H73" s="325">
        <v>3.5999999999999996</v>
      </c>
      <c r="I73" s="325">
        <v>1410</v>
      </c>
      <c r="J73" s="325">
        <v>1692</v>
      </c>
      <c r="K73" s="328"/>
      <c r="L73" s="332">
        <v>6.4</v>
      </c>
      <c r="M73" s="331">
        <f t="shared" si="4"/>
        <v>6.678260869565217</v>
      </c>
      <c r="N73" s="332">
        <v>0.82</v>
      </c>
      <c r="O73" s="339">
        <v>82.6</v>
      </c>
      <c r="P73" s="328"/>
      <c r="Q73" s="328"/>
      <c r="R73" s="332">
        <v>0.82</v>
      </c>
      <c r="S73" s="339">
        <v>82.6</v>
      </c>
      <c r="T73" s="328"/>
      <c r="U73" s="328"/>
      <c r="V73" s="339">
        <v>7</v>
      </c>
      <c r="W73" s="339">
        <v>2.2999999999999998</v>
      </c>
      <c r="X73" s="339">
        <v>2.2999999999999998</v>
      </c>
      <c r="Y73" s="328"/>
      <c r="Z73" s="328"/>
      <c r="AA73" s="328"/>
      <c r="AB73" s="329">
        <v>6.7000000000000002E-3</v>
      </c>
      <c r="AC73" s="328">
        <v>53</v>
      </c>
      <c r="AD73" s="325">
        <v>24</v>
      </c>
      <c r="AE73" s="328"/>
      <c r="AF73" s="328"/>
      <c r="AG73" s="328"/>
      <c r="AH73" s="327">
        <v>160</v>
      </c>
      <c r="AI73" s="327">
        <v>140</v>
      </c>
      <c r="AJ73" s="327">
        <v>63</v>
      </c>
      <c r="AK73" s="327">
        <v>28</v>
      </c>
      <c r="AL73" s="327">
        <v>60</v>
      </c>
      <c r="AM73" s="327">
        <v>8</v>
      </c>
      <c r="AN73" s="327">
        <v>24</v>
      </c>
      <c r="AO73" s="327" t="s">
        <v>246</v>
      </c>
      <c r="AP73" s="327">
        <v>100</v>
      </c>
      <c r="AQ73" s="327">
        <v>12</v>
      </c>
      <c r="AR73" s="327">
        <v>205</v>
      </c>
      <c r="AS73" s="327">
        <v>215</v>
      </c>
      <c r="AT73" s="327">
        <v>160</v>
      </c>
      <c r="AU73" s="327">
        <v>260</v>
      </c>
      <c r="AV73" s="327">
        <v>385</v>
      </c>
      <c r="AW73" s="328">
        <v>435</v>
      </c>
      <c r="AX73" s="327">
        <v>130</v>
      </c>
      <c r="AY73" s="327">
        <v>110</v>
      </c>
      <c r="AZ73" s="327">
        <v>160</v>
      </c>
      <c r="BA73" s="327" t="s">
        <v>245</v>
      </c>
      <c r="BB73" s="327">
        <v>3.5</v>
      </c>
      <c r="BC73" s="327">
        <v>165</v>
      </c>
      <c r="BD73" s="327">
        <v>130</v>
      </c>
      <c r="BE73" s="327">
        <v>200</v>
      </c>
      <c r="BF73" s="327" t="s">
        <v>246</v>
      </c>
      <c r="BG73" s="327">
        <v>3.5</v>
      </c>
      <c r="BH73" s="327">
        <v>215</v>
      </c>
      <c r="BI73" s="327">
        <v>180</v>
      </c>
      <c r="BJ73" s="327">
        <v>250</v>
      </c>
      <c r="BK73" s="327">
        <v>15</v>
      </c>
      <c r="BL73" s="327">
        <v>4</v>
      </c>
      <c r="BM73" s="325" t="s">
        <v>475</v>
      </c>
      <c r="BN73" s="325" t="s">
        <v>475</v>
      </c>
      <c r="BO73" s="340" t="s">
        <v>682</v>
      </c>
      <c r="BP73" s="340" t="s">
        <v>682</v>
      </c>
      <c r="BQ73" s="325" t="s">
        <v>480</v>
      </c>
    </row>
    <row r="74" spans="1:69" ht="12" customHeight="1">
      <c r="A74" s="320">
        <v>118</v>
      </c>
      <c r="B74" s="336" t="s">
        <v>746</v>
      </c>
      <c r="C74" s="325" t="s">
        <v>745</v>
      </c>
      <c r="D74" s="336" t="s">
        <v>881</v>
      </c>
      <c r="E74" s="334">
        <v>100</v>
      </c>
      <c r="F74" s="382">
        <v>4</v>
      </c>
      <c r="G74" s="325">
        <v>3</v>
      </c>
      <c r="H74" s="325">
        <v>3.5999999999999996</v>
      </c>
      <c r="I74" s="325">
        <v>1410</v>
      </c>
      <c r="J74" s="335">
        <v>1692</v>
      </c>
      <c r="K74" s="334"/>
      <c r="L74" s="332">
        <v>6.39</v>
      </c>
      <c r="M74" s="331">
        <f t="shared" si="4"/>
        <v>6.6678260869565209</v>
      </c>
      <c r="N74" s="332">
        <v>0.82</v>
      </c>
      <c r="O74" s="339">
        <v>82.6</v>
      </c>
      <c r="P74" s="334"/>
      <c r="Q74" s="334"/>
      <c r="R74" s="332">
        <v>0.82</v>
      </c>
      <c r="S74" s="339">
        <v>82.6</v>
      </c>
      <c r="T74" s="334"/>
      <c r="U74" s="334"/>
      <c r="V74" s="339">
        <v>7</v>
      </c>
      <c r="W74" s="339">
        <v>2.2999999999999998</v>
      </c>
      <c r="X74" s="339">
        <v>2.2999999999999998</v>
      </c>
      <c r="Y74" s="328"/>
      <c r="Z74" s="328"/>
      <c r="AA74" s="328"/>
      <c r="AB74" s="329">
        <v>8.8000000000000005E-3</v>
      </c>
      <c r="AC74" s="328">
        <v>53</v>
      </c>
      <c r="AD74" s="325">
        <v>32</v>
      </c>
      <c r="AE74" s="328"/>
      <c r="AF74" s="328"/>
      <c r="AG74" s="328"/>
      <c r="AH74" s="327">
        <v>160</v>
      </c>
      <c r="AI74" s="327">
        <v>140</v>
      </c>
      <c r="AJ74" s="327">
        <v>63</v>
      </c>
      <c r="AK74" s="327">
        <v>28</v>
      </c>
      <c r="AL74" s="327">
        <v>60</v>
      </c>
      <c r="AM74" s="327">
        <v>8</v>
      </c>
      <c r="AN74" s="327">
        <v>24</v>
      </c>
      <c r="AO74" s="327" t="s">
        <v>246</v>
      </c>
      <c r="AP74" s="327">
        <v>100</v>
      </c>
      <c r="AQ74" s="327">
        <v>12</v>
      </c>
      <c r="AR74" s="327">
        <v>205</v>
      </c>
      <c r="AS74" s="327">
        <v>205</v>
      </c>
      <c r="AT74" s="327">
        <v>200</v>
      </c>
      <c r="AU74" s="327">
        <v>290</v>
      </c>
      <c r="AV74" s="327">
        <v>385</v>
      </c>
      <c r="AW74" s="327">
        <v>435</v>
      </c>
      <c r="AX74" s="327">
        <v>130</v>
      </c>
      <c r="AY74" s="327">
        <v>110</v>
      </c>
      <c r="AZ74" s="327">
        <v>160</v>
      </c>
      <c r="BA74" s="327" t="s">
        <v>245</v>
      </c>
      <c r="BB74" s="327">
        <v>3.5</v>
      </c>
      <c r="BC74" s="327">
        <v>165</v>
      </c>
      <c r="BD74" s="327">
        <v>130</v>
      </c>
      <c r="BE74" s="327">
        <v>200</v>
      </c>
      <c r="BF74" s="327" t="s">
        <v>246</v>
      </c>
      <c r="BG74" s="327">
        <v>3.5</v>
      </c>
      <c r="BH74" s="327">
        <v>215</v>
      </c>
      <c r="BI74" s="327">
        <v>180</v>
      </c>
      <c r="BJ74" s="327">
        <v>250</v>
      </c>
      <c r="BK74" s="327">
        <v>15</v>
      </c>
      <c r="BL74" s="327">
        <v>4</v>
      </c>
      <c r="BM74" s="325" t="s">
        <v>475</v>
      </c>
      <c r="BN74" s="325" t="s">
        <v>475</v>
      </c>
      <c r="BO74" s="326"/>
      <c r="BP74" s="326"/>
      <c r="BQ74" s="325" t="s">
        <v>480</v>
      </c>
    </row>
    <row r="75" spans="1:69" ht="12" customHeight="1">
      <c r="A75" s="320">
        <v>119</v>
      </c>
      <c r="B75" s="336" t="s">
        <v>767</v>
      </c>
      <c r="C75" s="325" t="s">
        <v>745</v>
      </c>
      <c r="D75" s="336" t="s">
        <v>880</v>
      </c>
      <c r="E75" s="328">
        <v>112</v>
      </c>
      <c r="F75" s="365">
        <v>4</v>
      </c>
      <c r="G75" s="325">
        <v>4</v>
      </c>
      <c r="H75" s="325">
        <v>4.8</v>
      </c>
      <c r="I75" s="325">
        <v>1435</v>
      </c>
      <c r="J75" s="325">
        <v>1722</v>
      </c>
      <c r="K75" s="328"/>
      <c r="L75" s="332">
        <v>8.36</v>
      </c>
      <c r="M75" s="331">
        <f t="shared" si="4"/>
        <v>8.7234782608695642</v>
      </c>
      <c r="N75" s="332">
        <v>0.82</v>
      </c>
      <c r="O75" s="339">
        <v>84.2</v>
      </c>
      <c r="P75" s="328"/>
      <c r="Q75" s="328"/>
      <c r="R75" s="332">
        <v>0.82</v>
      </c>
      <c r="S75" s="339">
        <v>84.2</v>
      </c>
      <c r="T75" s="328"/>
      <c r="U75" s="328"/>
      <c r="V75" s="339">
        <v>7</v>
      </c>
      <c r="W75" s="339">
        <v>2.2999999999999998</v>
      </c>
      <c r="X75" s="339">
        <v>2.2999999999999998</v>
      </c>
      <c r="Y75" s="328"/>
      <c r="Z75" s="328"/>
      <c r="AA75" s="328"/>
      <c r="AB75" s="329">
        <v>9.4999999999999998E-3</v>
      </c>
      <c r="AC75" s="328">
        <v>57</v>
      </c>
      <c r="AD75" s="325">
        <v>29</v>
      </c>
      <c r="AE75" s="328"/>
      <c r="AF75" s="328"/>
      <c r="AG75" s="328"/>
      <c r="AH75" s="327">
        <v>190</v>
      </c>
      <c r="AI75" s="327">
        <v>140</v>
      </c>
      <c r="AJ75" s="327">
        <v>70</v>
      </c>
      <c r="AK75" s="327">
        <v>28</v>
      </c>
      <c r="AL75" s="327">
        <v>60</v>
      </c>
      <c r="AM75" s="327">
        <v>8</v>
      </c>
      <c r="AN75" s="327">
        <v>24</v>
      </c>
      <c r="AO75" s="327" t="s">
        <v>246</v>
      </c>
      <c r="AP75" s="327">
        <v>112</v>
      </c>
      <c r="AQ75" s="327">
        <v>12</v>
      </c>
      <c r="AR75" s="327">
        <v>230</v>
      </c>
      <c r="AS75" s="327">
        <v>240</v>
      </c>
      <c r="AT75" s="327">
        <v>178</v>
      </c>
      <c r="AU75" s="327">
        <v>290</v>
      </c>
      <c r="AV75" s="327">
        <v>400</v>
      </c>
      <c r="AW75" s="328">
        <v>450</v>
      </c>
      <c r="AX75" s="327">
        <v>130</v>
      </c>
      <c r="AY75" s="327">
        <v>110</v>
      </c>
      <c r="AZ75" s="327">
        <v>160</v>
      </c>
      <c r="BA75" s="327" t="s">
        <v>245</v>
      </c>
      <c r="BB75" s="327">
        <v>3.5</v>
      </c>
      <c r="BC75" s="327">
        <v>165</v>
      </c>
      <c r="BD75" s="327">
        <v>130</v>
      </c>
      <c r="BE75" s="327">
        <v>200</v>
      </c>
      <c r="BF75" s="327" t="s">
        <v>246</v>
      </c>
      <c r="BG75" s="327">
        <v>3.5</v>
      </c>
      <c r="BH75" s="327">
        <v>215</v>
      </c>
      <c r="BI75" s="327">
        <v>180</v>
      </c>
      <c r="BJ75" s="327">
        <v>250</v>
      </c>
      <c r="BK75" s="327">
        <v>15</v>
      </c>
      <c r="BL75" s="327">
        <v>4</v>
      </c>
      <c r="BM75" s="325" t="s">
        <v>683</v>
      </c>
      <c r="BN75" s="325" t="s">
        <v>683</v>
      </c>
      <c r="BO75" s="340" t="s">
        <v>682</v>
      </c>
      <c r="BP75" s="340" t="s">
        <v>682</v>
      </c>
      <c r="BQ75" s="325" t="s">
        <v>464</v>
      </c>
    </row>
    <row r="76" spans="1:69" ht="12" customHeight="1">
      <c r="A76" s="320">
        <v>120</v>
      </c>
      <c r="B76" s="336" t="s">
        <v>746</v>
      </c>
      <c r="C76" s="325" t="s">
        <v>745</v>
      </c>
      <c r="D76" s="336" t="s">
        <v>879</v>
      </c>
      <c r="E76" s="334">
        <v>112</v>
      </c>
      <c r="F76" s="382">
        <v>4</v>
      </c>
      <c r="G76" s="325">
        <v>4</v>
      </c>
      <c r="H76" s="325">
        <v>4.8</v>
      </c>
      <c r="I76" s="325">
        <v>1435</v>
      </c>
      <c r="J76" s="335">
        <v>1722</v>
      </c>
      <c r="K76" s="334"/>
      <c r="L76" s="332">
        <v>8.36</v>
      </c>
      <c r="M76" s="331">
        <f t="shared" si="4"/>
        <v>8.7234782608695642</v>
      </c>
      <c r="N76" s="332">
        <v>0.82</v>
      </c>
      <c r="O76" s="339">
        <v>84.2</v>
      </c>
      <c r="P76" s="334"/>
      <c r="Q76" s="334"/>
      <c r="R76" s="332">
        <v>0.82</v>
      </c>
      <c r="S76" s="339">
        <v>84.2</v>
      </c>
      <c r="T76" s="334"/>
      <c r="U76" s="334"/>
      <c r="V76" s="339">
        <v>7</v>
      </c>
      <c r="W76" s="339">
        <v>2.2999999999999998</v>
      </c>
      <c r="X76" s="339">
        <v>2.2999999999999998</v>
      </c>
      <c r="Y76" s="328"/>
      <c r="Z76" s="328"/>
      <c r="AA76" s="328"/>
      <c r="AB76" s="329">
        <v>9.7999999999999997E-3</v>
      </c>
      <c r="AC76" s="328">
        <v>57</v>
      </c>
      <c r="AD76" s="325">
        <v>42</v>
      </c>
      <c r="AE76" s="328"/>
      <c r="AF76" s="328"/>
      <c r="AG76" s="328"/>
      <c r="AH76" s="327">
        <v>190</v>
      </c>
      <c r="AI76" s="327">
        <v>140</v>
      </c>
      <c r="AJ76" s="327">
        <v>70</v>
      </c>
      <c r="AK76" s="327">
        <v>28</v>
      </c>
      <c r="AL76" s="327">
        <v>60</v>
      </c>
      <c r="AM76" s="327">
        <v>8</v>
      </c>
      <c r="AN76" s="327">
        <v>24</v>
      </c>
      <c r="AO76" s="327" t="s">
        <v>246</v>
      </c>
      <c r="AP76" s="327">
        <v>112</v>
      </c>
      <c r="AQ76" s="327">
        <v>12</v>
      </c>
      <c r="AR76" s="327">
        <v>230</v>
      </c>
      <c r="AS76" s="327">
        <v>240</v>
      </c>
      <c r="AT76" s="327">
        <v>220</v>
      </c>
      <c r="AU76" s="327">
        <v>325</v>
      </c>
      <c r="AV76" s="327">
        <v>400</v>
      </c>
      <c r="AW76" s="327">
        <v>450</v>
      </c>
      <c r="AX76" s="327">
        <v>130</v>
      </c>
      <c r="AY76" s="327">
        <v>110</v>
      </c>
      <c r="AZ76" s="327">
        <v>160</v>
      </c>
      <c r="BA76" s="327" t="s">
        <v>245</v>
      </c>
      <c r="BB76" s="327">
        <v>3.5</v>
      </c>
      <c r="BC76" s="327">
        <v>165</v>
      </c>
      <c r="BD76" s="327">
        <v>130</v>
      </c>
      <c r="BE76" s="327">
        <v>200</v>
      </c>
      <c r="BF76" s="327" t="s">
        <v>246</v>
      </c>
      <c r="BG76" s="327">
        <v>3.5</v>
      </c>
      <c r="BH76" s="327">
        <v>215</v>
      </c>
      <c r="BI76" s="327">
        <v>180</v>
      </c>
      <c r="BJ76" s="327">
        <v>250</v>
      </c>
      <c r="BK76" s="327">
        <v>15</v>
      </c>
      <c r="BL76" s="327">
        <v>4</v>
      </c>
      <c r="BM76" s="325" t="s">
        <v>475</v>
      </c>
      <c r="BN76" s="325" t="s">
        <v>475</v>
      </c>
      <c r="BO76" s="326"/>
      <c r="BP76" s="326"/>
      <c r="BQ76" s="325" t="s">
        <v>464</v>
      </c>
    </row>
    <row r="77" spans="1:69" ht="12" customHeight="1">
      <c r="A77" s="320">
        <v>121</v>
      </c>
      <c r="B77" s="336" t="s">
        <v>767</v>
      </c>
      <c r="C77" s="325" t="s">
        <v>745</v>
      </c>
      <c r="D77" s="336" t="s">
        <v>878</v>
      </c>
      <c r="E77" s="328">
        <v>112</v>
      </c>
      <c r="F77" s="365">
        <v>4</v>
      </c>
      <c r="G77" s="325">
        <v>5.5</v>
      </c>
      <c r="H77" s="325">
        <v>6.6</v>
      </c>
      <c r="I77" s="325">
        <v>1440</v>
      </c>
      <c r="J77" s="325">
        <v>1728</v>
      </c>
      <c r="K77" s="328"/>
      <c r="L77" s="332">
        <v>11.12</v>
      </c>
      <c r="M77" s="331">
        <f t="shared" si="4"/>
        <v>11.603478260869563</v>
      </c>
      <c r="N77" s="332">
        <v>0.83</v>
      </c>
      <c r="O77" s="339">
        <v>85.7</v>
      </c>
      <c r="P77" s="328"/>
      <c r="Q77" s="328"/>
      <c r="R77" s="332">
        <v>0.83</v>
      </c>
      <c r="S77" s="339">
        <v>85.7</v>
      </c>
      <c r="T77" s="328"/>
      <c r="U77" s="328"/>
      <c r="V77" s="339">
        <v>7</v>
      </c>
      <c r="W77" s="339">
        <v>2.2999999999999998</v>
      </c>
      <c r="X77" s="339">
        <v>2.2999999999999998</v>
      </c>
      <c r="Y77" s="328"/>
      <c r="Z77" s="328"/>
      <c r="AA77" s="328"/>
      <c r="AB77" s="329">
        <v>2.1399999999999999E-2</v>
      </c>
      <c r="AC77" s="328">
        <v>61</v>
      </c>
      <c r="AD77" s="325">
        <v>32</v>
      </c>
      <c r="AE77" s="328"/>
      <c r="AF77" s="328"/>
      <c r="AG77" s="328"/>
      <c r="AH77" s="327">
        <v>190</v>
      </c>
      <c r="AI77" s="327">
        <v>140</v>
      </c>
      <c r="AJ77" s="327">
        <v>70</v>
      </c>
      <c r="AK77" s="327">
        <v>28</v>
      </c>
      <c r="AL77" s="327">
        <v>60</v>
      </c>
      <c r="AM77" s="327">
        <v>8</v>
      </c>
      <c r="AN77" s="327">
        <v>24</v>
      </c>
      <c r="AO77" s="327" t="s">
        <v>246</v>
      </c>
      <c r="AP77" s="327">
        <v>112</v>
      </c>
      <c r="AQ77" s="327">
        <v>12</v>
      </c>
      <c r="AR77" s="327">
        <v>230</v>
      </c>
      <c r="AS77" s="327">
        <v>240</v>
      </c>
      <c r="AT77" s="327">
        <v>178</v>
      </c>
      <c r="AU77" s="327">
        <v>290</v>
      </c>
      <c r="AV77" s="327">
        <v>400</v>
      </c>
      <c r="AW77" s="328">
        <v>450</v>
      </c>
      <c r="AX77" s="327">
        <v>130</v>
      </c>
      <c r="AY77" s="327">
        <v>110</v>
      </c>
      <c r="AZ77" s="327">
        <v>160</v>
      </c>
      <c r="BA77" s="327" t="s">
        <v>245</v>
      </c>
      <c r="BB77" s="327">
        <v>3.5</v>
      </c>
      <c r="BC77" s="327">
        <v>165</v>
      </c>
      <c r="BD77" s="327">
        <v>130</v>
      </c>
      <c r="BE77" s="327">
        <v>200</v>
      </c>
      <c r="BF77" s="327" t="s">
        <v>246</v>
      </c>
      <c r="BG77" s="327">
        <v>3.5</v>
      </c>
      <c r="BH77" s="327">
        <v>215</v>
      </c>
      <c r="BI77" s="327">
        <v>180</v>
      </c>
      <c r="BJ77" s="327">
        <v>250</v>
      </c>
      <c r="BK77" s="327">
        <v>15</v>
      </c>
      <c r="BL77" s="327">
        <v>4</v>
      </c>
      <c r="BM77" s="325" t="s">
        <v>683</v>
      </c>
      <c r="BN77" s="325" t="s">
        <v>683</v>
      </c>
      <c r="BO77" s="340" t="s">
        <v>682</v>
      </c>
      <c r="BP77" s="340" t="s">
        <v>682</v>
      </c>
      <c r="BQ77" s="325" t="s">
        <v>464</v>
      </c>
    </row>
    <row r="78" spans="1:69" ht="12" customHeight="1">
      <c r="A78" s="320">
        <v>122</v>
      </c>
      <c r="B78" s="336" t="s">
        <v>746</v>
      </c>
      <c r="C78" s="325" t="s">
        <v>745</v>
      </c>
      <c r="D78" s="336" t="s">
        <v>877</v>
      </c>
      <c r="E78" s="334">
        <v>112</v>
      </c>
      <c r="F78" s="382">
        <v>4</v>
      </c>
      <c r="G78" s="325">
        <v>5.5</v>
      </c>
      <c r="H78" s="325">
        <v>6.6</v>
      </c>
      <c r="I78" s="325">
        <v>1440</v>
      </c>
      <c r="J78" s="335">
        <v>1728</v>
      </c>
      <c r="K78" s="334"/>
      <c r="L78" s="339">
        <v>11.2</v>
      </c>
      <c r="M78" s="331">
        <f t="shared" si="4"/>
        <v>11.68695652173913</v>
      </c>
      <c r="N78" s="332">
        <v>0.83</v>
      </c>
      <c r="O78" s="339">
        <v>85.7</v>
      </c>
      <c r="P78" s="334"/>
      <c r="Q78" s="334"/>
      <c r="R78" s="332">
        <v>0.83</v>
      </c>
      <c r="S78" s="339">
        <v>85.7</v>
      </c>
      <c r="T78" s="334"/>
      <c r="U78" s="334"/>
      <c r="V78" s="339">
        <v>7</v>
      </c>
      <c r="W78" s="339">
        <v>2.2999999999999998</v>
      </c>
      <c r="X78" s="339">
        <v>2.2999999999999998</v>
      </c>
      <c r="Y78" s="328"/>
      <c r="Z78" s="328"/>
      <c r="AA78" s="328"/>
      <c r="AB78" s="329">
        <v>2.5399999999999999E-2</v>
      </c>
      <c r="AC78" s="328">
        <v>61</v>
      </c>
      <c r="AD78" s="325">
        <v>55</v>
      </c>
      <c r="AE78" s="328"/>
      <c r="AF78" s="328"/>
      <c r="AG78" s="328"/>
      <c r="AH78" s="327">
        <v>190</v>
      </c>
      <c r="AI78" s="327">
        <v>140</v>
      </c>
      <c r="AJ78" s="327">
        <v>70</v>
      </c>
      <c r="AK78" s="327">
        <v>28</v>
      </c>
      <c r="AL78" s="327">
        <v>60</v>
      </c>
      <c r="AM78" s="327">
        <v>8</v>
      </c>
      <c r="AN78" s="327">
        <v>24</v>
      </c>
      <c r="AO78" s="327" t="s">
        <v>246</v>
      </c>
      <c r="AP78" s="327">
        <v>112</v>
      </c>
      <c r="AQ78" s="327">
        <v>12</v>
      </c>
      <c r="AR78" s="327">
        <v>230</v>
      </c>
      <c r="AS78" s="327">
        <v>240</v>
      </c>
      <c r="AT78" s="327">
        <v>220</v>
      </c>
      <c r="AU78" s="327">
        <v>325</v>
      </c>
      <c r="AV78" s="327">
        <v>400</v>
      </c>
      <c r="AW78" s="327">
        <v>450</v>
      </c>
      <c r="AX78" s="327">
        <v>130</v>
      </c>
      <c r="AY78" s="327">
        <v>110</v>
      </c>
      <c r="AZ78" s="327">
        <v>160</v>
      </c>
      <c r="BA78" s="327" t="s">
        <v>245</v>
      </c>
      <c r="BB78" s="327">
        <v>3.5</v>
      </c>
      <c r="BC78" s="327">
        <v>165</v>
      </c>
      <c r="BD78" s="327">
        <v>130</v>
      </c>
      <c r="BE78" s="327">
        <v>200</v>
      </c>
      <c r="BF78" s="327" t="s">
        <v>246</v>
      </c>
      <c r="BG78" s="327">
        <v>3.5</v>
      </c>
      <c r="BH78" s="327">
        <v>215</v>
      </c>
      <c r="BI78" s="327">
        <v>180</v>
      </c>
      <c r="BJ78" s="327">
        <v>250</v>
      </c>
      <c r="BK78" s="327">
        <v>15</v>
      </c>
      <c r="BL78" s="327">
        <v>4</v>
      </c>
      <c r="BM78" s="325" t="s">
        <v>475</v>
      </c>
      <c r="BN78" s="325" t="s">
        <v>475</v>
      </c>
      <c r="BO78" s="326"/>
      <c r="BP78" s="326"/>
      <c r="BQ78" s="325" t="s">
        <v>464</v>
      </c>
    </row>
    <row r="79" spans="1:69" ht="12" customHeight="1">
      <c r="A79" s="320">
        <v>123</v>
      </c>
      <c r="B79" s="336" t="s">
        <v>767</v>
      </c>
      <c r="C79" s="325" t="s">
        <v>745</v>
      </c>
      <c r="D79" s="336" t="s">
        <v>876</v>
      </c>
      <c r="E79" s="328">
        <v>132</v>
      </c>
      <c r="F79" s="365">
        <v>4</v>
      </c>
      <c r="G79" s="325">
        <v>5.5</v>
      </c>
      <c r="H79" s="325">
        <v>6.6</v>
      </c>
      <c r="I79" s="325">
        <v>1440</v>
      </c>
      <c r="J79" s="325">
        <v>1728</v>
      </c>
      <c r="K79" s="328"/>
      <c r="L79" s="332">
        <v>11.12</v>
      </c>
      <c r="M79" s="331">
        <f t="shared" si="4"/>
        <v>11.603478260869563</v>
      </c>
      <c r="N79" s="332">
        <v>0.83</v>
      </c>
      <c r="O79" s="339">
        <v>85.7</v>
      </c>
      <c r="P79" s="328"/>
      <c r="Q79" s="328"/>
      <c r="R79" s="332">
        <v>0.83</v>
      </c>
      <c r="S79" s="339">
        <v>85.7</v>
      </c>
      <c r="T79" s="328"/>
      <c r="U79" s="328"/>
      <c r="V79" s="339">
        <v>7</v>
      </c>
      <c r="W79" s="339">
        <v>2.2999999999999998</v>
      </c>
      <c r="X79" s="339">
        <v>2.2999999999999998</v>
      </c>
      <c r="Y79" s="328"/>
      <c r="Z79" s="328"/>
      <c r="AA79" s="328"/>
      <c r="AB79" s="329">
        <v>2.1399999999999999E-2</v>
      </c>
      <c r="AC79" s="328">
        <v>61</v>
      </c>
      <c r="AD79" s="325">
        <v>41</v>
      </c>
      <c r="AE79" s="328"/>
      <c r="AF79" s="328"/>
      <c r="AG79" s="328"/>
      <c r="AH79" s="327">
        <v>216</v>
      </c>
      <c r="AI79" s="327">
        <v>140</v>
      </c>
      <c r="AJ79" s="327">
        <v>89</v>
      </c>
      <c r="AK79" s="327">
        <v>38</v>
      </c>
      <c r="AL79" s="327">
        <v>80</v>
      </c>
      <c r="AM79" s="327">
        <v>10</v>
      </c>
      <c r="AN79" s="327">
        <v>33</v>
      </c>
      <c r="AO79" s="327" t="s">
        <v>247</v>
      </c>
      <c r="AP79" s="327">
        <v>132</v>
      </c>
      <c r="AQ79" s="327">
        <v>12</v>
      </c>
      <c r="AR79" s="327">
        <v>270</v>
      </c>
      <c r="AS79" s="327">
        <v>275</v>
      </c>
      <c r="AT79" s="327">
        <v>206</v>
      </c>
      <c r="AU79" s="327">
        <v>340</v>
      </c>
      <c r="AV79" s="327">
        <v>483</v>
      </c>
      <c r="AW79" s="328">
        <v>533</v>
      </c>
      <c r="AX79" s="327">
        <v>165</v>
      </c>
      <c r="AY79" s="327">
        <v>130</v>
      </c>
      <c r="AZ79" s="327">
        <v>200</v>
      </c>
      <c r="BA79" s="327" t="s">
        <v>246</v>
      </c>
      <c r="BB79" s="327">
        <v>3.5</v>
      </c>
      <c r="BC79" s="327">
        <v>215</v>
      </c>
      <c r="BD79" s="327">
        <v>180</v>
      </c>
      <c r="BE79" s="327">
        <v>250</v>
      </c>
      <c r="BF79" s="327" t="s">
        <v>247</v>
      </c>
      <c r="BG79" s="327">
        <v>4</v>
      </c>
      <c r="BH79" s="327">
        <v>265</v>
      </c>
      <c r="BI79" s="327">
        <v>230</v>
      </c>
      <c r="BJ79" s="327">
        <v>300</v>
      </c>
      <c r="BK79" s="327">
        <v>15</v>
      </c>
      <c r="BL79" s="327">
        <v>4</v>
      </c>
      <c r="BM79" s="325" t="s">
        <v>678</v>
      </c>
      <c r="BN79" s="325" t="s">
        <v>678</v>
      </c>
      <c r="BO79" s="340" t="s">
        <v>677</v>
      </c>
      <c r="BP79" s="340" t="s">
        <v>677</v>
      </c>
      <c r="BQ79" s="325" t="s">
        <v>464</v>
      </c>
    </row>
    <row r="80" spans="1:69" ht="12" customHeight="1">
      <c r="A80" s="320">
        <v>124</v>
      </c>
      <c r="B80" s="336" t="s">
        <v>746</v>
      </c>
      <c r="C80" s="325" t="s">
        <v>745</v>
      </c>
      <c r="D80" s="336" t="s">
        <v>875</v>
      </c>
      <c r="E80" s="334">
        <v>132</v>
      </c>
      <c r="F80" s="382">
        <v>4</v>
      </c>
      <c r="G80" s="325">
        <v>5.5</v>
      </c>
      <c r="H80" s="325">
        <v>6.6</v>
      </c>
      <c r="I80" s="325">
        <v>1440</v>
      </c>
      <c r="J80" s="335">
        <v>1728</v>
      </c>
      <c r="K80" s="334"/>
      <c r="L80" s="339">
        <v>11.2</v>
      </c>
      <c r="M80" s="331">
        <f t="shared" si="4"/>
        <v>11.68695652173913</v>
      </c>
      <c r="N80" s="332">
        <v>0.83</v>
      </c>
      <c r="O80" s="339">
        <v>85.7</v>
      </c>
      <c r="P80" s="334"/>
      <c r="Q80" s="334"/>
      <c r="R80" s="332">
        <v>0.83</v>
      </c>
      <c r="S80" s="339">
        <v>85.7</v>
      </c>
      <c r="T80" s="334"/>
      <c r="U80" s="334"/>
      <c r="V80" s="339">
        <v>7</v>
      </c>
      <c r="W80" s="339">
        <v>2.2999999999999998</v>
      </c>
      <c r="X80" s="339">
        <v>2.2999999999999998</v>
      </c>
      <c r="Y80" s="328"/>
      <c r="Z80" s="328"/>
      <c r="AA80" s="328"/>
      <c r="AB80" s="329">
        <v>2.5399999999999999E-2</v>
      </c>
      <c r="AC80" s="328">
        <v>61</v>
      </c>
      <c r="AD80" s="325">
        <v>56</v>
      </c>
      <c r="AE80" s="328"/>
      <c r="AF80" s="328"/>
      <c r="AG80" s="328"/>
      <c r="AH80" s="327">
        <v>216</v>
      </c>
      <c r="AI80" s="327">
        <v>140</v>
      </c>
      <c r="AJ80" s="327">
        <v>89</v>
      </c>
      <c r="AK80" s="327">
        <v>38</v>
      </c>
      <c r="AL80" s="327">
        <v>80</v>
      </c>
      <c r="AM80" s="327">
        <v>10</v>
      </c>
      <c r="AN80" s="327">
        <v>33</v>
      </c>
      <c r="AO80" s="327" t="s">
        <v>247</v>
      </c>
      <c r="AP80" s="327">
        <v>132</v>
      </c>
      <c r="AQ80" s="327">
        <v>12</v>
      </c>
      <c r="AR80" s="327">
        <v>270</v>
      </c>
      <c r="AS80" s="327">
        <v>275</v>
      </c>
      <c r="AT80" s="327">
        <v>240</v>
      </c>
      <c r="AU80" s="327">
        <v>365</v>
      </c>
      <c r="AV80" s="327">
        <v>470</v>
      </c>
      <c r="AW80" s="327">
        <v>520</v>
      </c>
      <c r="AX80" s="327">
        <v>165</v>
      </c>
      <c r="AY80" s="327">
        <v>130</v>
      </c>
      <c r="AZ80" s="327">
        <v>200</v>
      </c>
      <c r="BA80" s="327" t="s">
        <v>246</v>
      </c>
      <c r="BB80" s="327">
        <v>3.5</v>
      </c>
      <c r="BC80" s="327">
        <v>215</v>
      </c>
      <c r="BD80" s="327">
        <v>180</v>
      </c>
      <c r="BE80" s="327">
        <v>250</v>
      </c>
      <c r="BF80" s="327" t="s">
        <v>247</v>
      </c>
      <c r="BG80" s="327">
        <v>4</v>
      </c>
      <c r="BH80" s="327">
        <v>265</v>
      </c>
      <c r="BI80" s="327">
        <v>230</v>
      </c>
      <c r="BJ80" s="327">
        <v>300</v>
      </c>
      <c r="BK80" s="327">
        <v>15</v>
      </c>
      <c r="BL80" s="327">
        <v>4</v>
      </c>
      <c r="BM80" s="325" t="s">
        <v>465</v>
      </c>
      <c r="BN80" s="325" t="s">
        <v>465</v>
      </c>
      <c r="BO80" s="326"/>
      <c r="BP80" s="326"/>
      <c r="BQ80" s="325" t="s">
        <v>464</v>
      </c>
    </row>
    <row r="81" spans="1:69" ht="12" customHeight="1">
      <c r="A81" s="320">
        <v>125</v>
      </c>
      <c r="B81" s="336" t="s">
        <v>767</v>
      </c>
      <c r="C81" s="325" t="s">
        <v>745</v>
      </c>
      <c r="D81" s="336" t="s">
        <v>874</v>
      </c>
      <c r="E81" s="328">
        <v>132</v>
      </c>
      <c r="F81" s="365">
        <v>4</v>
      </c>
      <c r="G81" s="325">
        <v>7.5</v>
      </c>
      <c r="H81" s="325">
        <v>9</v>
      </c>
      <c r="I81" s="325">
        <v>1450</v>
      </c>
      <c r="J81" s="325">
        <v>1740</v>
      </c>
      <c r="K81" s="328"/>
      <c r="L81" s="332">
        <v>14.8</v>
      </c>
      <c r="M81" s="331">
        <f t="shared" si="4"/>
        <v>15.443478260869565</v>
      </c>
      <c r="N81" s="332">
        <v>0.84</v>
      </c>
      <c r="O81" s="339">
        <v>87</v>
      </c>
      <c r="P81" s="328"/>
      <c r="Q81" s="328"/>
      <c r="R81" s="332">
        <v>0.84</v>
      </c>
      <c r="S81" s="339">
        <v>87</v>
      </c>
      <c r="T81" s="328"/>
      <c r="U81" s="328"/>
      <c r="V81" s="339">
        <v>7</v>
      </c>
      <c r="W81" s="339">
        <v>2.2999999999999998</v>
      </c>
      <c r="X81" s="339">
        <v>2.2999999999999998</v>
      </c>
      <c r="Y81" s="328"/>
      <c r="Z81" s="328"/>
      <c r="AA81" s="328"/>
      <c r="AB81" s="329">
        <v>2.9600000000000001E-2</v>
      </c>
      <c r="AC81" s="328">
        <v>62</v>
      </c>
      <c r="AD81" s="325">
        <v>48</v>
      </c>
      <c r="AE81" s="328"/>
      <c r="AF81" s="328"/>
      <c r="AG81" s="328"/>
      <c r="AH81" s="327">
        <v>216</v>
      </c>
      <c r="AI81" s="327">
        <v>178</v>
      </c>
      <c r="AJ81" s="327">
        <v>89</v>
      </c>
      <c r="AK81" s="327">
        <v>38</v>
      </c>
      <c r="AL81" s="327">
        <v>80</v>
      </c>
      <c r="AM81" s="327">
        <v>10</v>
      </c>
      <c r="AN81" s="327">
        <v>33</v>
      </c>
      <c r="AO81" s="327" t="s">
        <v>247</v>
      </c>
      <c r="AP81" s="327">
        <v>132</v>
      </c>
      <c r="AQ81" s="327">
        <v>12</v>
      </c>
      <c r="AR81" s="327">
        <v>270</v>
      </c>
      <c r="AS81" s="327">
        <v>275</v>
      </c>
      <c r="AT81" s="327">
        <v>206</v>
      </c>
      <c r="AU81" s="327">
        <v>340</v>
      </c>
      <c r="AV81" s="327">
        <v>510</v>
      </c>
      <c r="AW81" s="328">
        <v>560</v>
      </c>
      <c r="AX81" s="327">
        <v>165</v>
      </c>
      <c r="AY81" s="327">
        <v>130</v>
      </c>
      <c r="AZ81" s="327">
        <v>200</v>
      </c>
      <c r="BA81" s="327" t="s">
        <v>246</v>
      </c>
      <c r="BB81" s="327">
        <v>3.5</v>
      </c>
      <c r="BC81" s="327">
        <v>215</v>
      </c>
      <c r="BD81" s="327">
        <v>180</v>
      </c>
      <c r="BE81" s="327">
        <v>250</v>
      </c>
      <c r="BF81" s="327" t="s">
        <v>247</v>
      </c>
      <c r="BG81" s="327">
        <v>4</v>
      </c>
      <c r="BH81" s="327">
        <v>265</v>
      </c>
      <c r="BI81" s="327">
        <v>230</v>
      </c>
      <c r="BJ81" s="327">
        <v>300</v>
      </c>
      <c r="BK81" s="327">
        <v>15</v>
      </c>
      <c r="BL81" s="327">
        <v>4</v>
      </c>
      <c r="BM81" s="325" t="s">
        <v>678</v>
      </c>
      <c r="BN81" s="325" t="s">
        <v>678</v>
      </c>
      <c r="BO81" s="340" t="s">
        <v>677</v>
      </c>
      <c r="BP81" s="340" t="s">
        <v>677</v>
      </c>
      <c r="BQ81" s="325" t="s">
        <v>464</v>
      </c>
    </row>
    <row r="82" spans="1:69" ht="12" customHeight="1">
      <c r="A82" s="320">
        <v>126</v>
      </c>
      <c r="B82" s="336" t="s">
        <v>746</v>
      </c>
      <c r="C82" s="325" t="s">
        <v>745</v>
      </c>
      <c r="D82" s="336" t="s">
        <v>873</v>
      </c>
      <c r="E82" s="334">
        <v>132</v>
      </c>
      <c r="F82" s="382">
        <v>4</v>
      </c>
      <c r="G82" s="325">
        <v>7.5</v>
      </c>
      <c r="H82" s="325">
        <v>9</v>
      </c>
      <c r="I82" s="325">
        <v>1440</v>
      </c>
      <c r="J82" s="335">
        <v>1728</v>
      </c>
      <c r="K82" s="334"/>
      <c r="L82" s="339">
        <v>14.8</v>
      </c>
      <c r="M82" s="331">
        <f t="shared" si="4"/>
        <v>15.443478260869565</v>
      </c>
      <c r="N82" s="332">
        <v>0.84</v>
      </c>
      <c r="O82" s="339">
        <v>87</v>
      </c>
      <c r="P82" s="334"/>
      <c r="Q82" s="334"/>
      <c r="R82" s="332">
        <v>0.84</v>
      </c>
      <c r="S82" s="339">
        <v>87</v>
      </c>
      <c r="T82" s="334"/>
      <c r="U82" s="334"/>
      <c r="V82" s="339">
        <v>7</v>
      </c>
      <c r="W82" s="339">
        <v>2.2999999999999998</v>
      </c>
      <c r="X82" s="339">
        <v>2.2999999999999998</v>
      </c>
      <c r="Y82" s="328"/>
      <c r="Z82" s="328"/>
      <c r="AA82" s="328"/>
      <c r="AB82" s="329">
        <v>3.5099999999999999E-2</v>
      </c>
      <c r="AC82" s="328">
        <v>62</v>
      </c>
      <c r="AD82" s="325">
        <v>70</v>
      </c>
      <c r="AE82" s="328"/>
      <c r="AF82" s="328"/>
      <c r="AG82" s="328"/>
      <c r="AH82" s="327">
        <v>216</v>
      </c>
      <c r="AI82" s="327">
        <v>178</v>
      </c>
      <c r="AJ82" s="327">
        <v>89</v>
      </c>
      <c r="AK82" s="327">
        <v>38</v>
      </c>
      <c r="AL82" s="327">
        <v>80</v>
      </c>
      <c r="AM82" s="327">
        <v>10</v>
      </c>
      <c r="AN82" s="327">
        <v>33</v>
      </c>
      <c r="AO82" s="327" t="s">
        <v>247</v>
      </c>
      <c r="AP82" s="327">
        <v>132</v>
      </c>
      <c r="AQ82" s="327">
        <v>12</v>
      </c>
      <c r="AR82" s="327">
        <v>270</v>
      </c>
      <c r="AS82" s="327">
        <v>275</v>
      </c>
      <c r="AT82" s="327">
        <v>240</v>
      </c>
      <c r="AU82" s="327">
        <v>365</v>
      </c>
      <c r="AV82" s="327">
        <v>510</v>
      </c>
      <c r="AW82" s="327">
        <v>560</v>
      </c>
      <c r="AX82" s="327">
        <v>165</v>
      </c>
      <c r="AY82" s="327">
        <v>130</v>
      </c>
      <c r="AZ82" s="327">
        <v>200</v>
      </c>
      <c r="BA82" s="327" t="s">
        <v>246</v>
      </c>
      <c r="BB82" s="327">
        <v>3.5</v>
      </c>
      <c r="BC82" s="327">
        <v>215</v>
      </c>
      <c r="BD82" s="327">
        <v>180</v>
      </c>
      <c r="BE82" s="327">
        <v>250</v>
      </c>
      <c r="BF82" s="327" t="s">
        <v>247</v>
      </c>
      <c r="BG82" s="327">
        <v>4</v>
      </c>
      <c r="BH82" s="327">
        <v>265</v>
      </c>
      <c r="BI82" s="327">
        <v>230</v>
      </c>
      <c r="BJ82" s="327">
        <v>300</v>
      </c>
      <c r="BK82" s="327">
        <v>15</v>
      </c>
      <c r="BL82" s="327">
        <v>4</v>
      </c>
      <c r="BM82" s="325" t="s">
        <v>465</v>
      </c>
      <c r="BN82" s="325" t="s">
        <v>465</v>
      </c>
      <c r="BO82" s="326"/>
      <c r="BP82" s="326"/>
      <c r="BQ82" s="325" t="s">
        <v>464</v>
      </c>
    </row>
    <row r="83" spans="1:69" ht="12" customHeight="1">
      <c r="A83" s="320">
        <v>127</v>
      </c>
      <c r="B83" s="336" t="s">
        <v>767</v>
      </c>
      <c r="C83" s="325" t="s">
        <v>745</v>
      </c>
      <c r="D83" s="336" t="s">
        <v>872</v>
      </c>
      <c r="E83" s="328">
        <v>132</v>
      </c>
      <c r="F83" s="365">
        <v>4</v>
      </c>
      <c r="G83" s="325">
        <v>11</v>
      </c>
      <c r="H83" s="325">
        <v>13.2</v>
      </c>
      <c r="I83" s="325">
        <v>1460</v>
      </c>
      <c r="J83" s="325">
        <v>1752</v>
      </c>
      <c r="K83" s="328"/>
      <c r="L83" s="332">
        <v>21.2</v>
      </c>
      <c r="M83" s="331">
        <f t="shared" si="4"/>
        <v>22.121739130434783</v>
      </c>
      <c r="N83" s="332">
        <v>0.85</v>
      </c>
      <c r="O83" s="339">
        <v>88</v>
      </c>
      <c r="P83" s="328"/>
      <c r="Q83" s="328"/>
      <c r="R83" s="332">
        <v>0.85</v>
      </c>
      <c r="S83" s="339">
        <v>88</v>
      </c>
      <c r="T83" s="328"/>
      <c r="U83" s="328"/>
      <c r="V83" s="339">
        <v>7</v>
      </c>
      <c r="W83" s="339">
        <v>2.2999999999999998</v>
      </c>
      <c r="X83" s="339">
        <v>2.2999999999999998</v>
      </c>
      <c r="Y83" s="328"/>
      <c r="Z83" s="328"/>
      <c r="AA83" s="328"/>
      <c r="AB83" s="329">
        <v>7.4700000000000003E-2</v>
      </c>
      <c r="AC83" s="328">
        <v>63</v>
      </c>
      <c r="AD83" s="325">
        <v>64</v>
      </c>
      <c r="AE83" s="328"/>
      <c r="AF83" s="328"/>
      <c r="AG83" s="328"/>
      <c r="AH83" s="327">
        <v>216</v>
      </c>
      <c r="AI83" s="327">
        <v>178</v>
      </c>
      <c r="AJ83" s="327">
        <v>89</v>
      </c>
      <c r="AK83" s="327">
        <v>38</v>
      </c>
      <c r="AL83" s="327">
        <v>80</v>
      </c>
      <c r="AM83" s="327">
        <v>10</v>
      </c>
      <c r="AN83" s="327">
        <v>33</v>
      </c>
      <c r="AO83" s="327" t="s">
        <v>247</v>
      </c>
      <c r="AP83" s="327">
        <v>132</v>
      </c>
      <c r="AQ83" s="327">
        <v>12</v>
      </c>
      <c r="AR83" s="327">
        <v>270</v>
      </c>
      <c r="AS83" s="327">
        <v>275</v>
      </c>
      <c r="AT83" s="327">
        <v>206</v>
      </c>
      <c r="AU83" s="327">
        <v>340</v>
      </c>
      <c r="AV83" s="327">
        <v>510</v>
      </c>
      <c r="AW83" s="328">
        <v>560</v>
      </c>
      <c r="AX83" s="327">
        <v>165</v>
      </c>
      <c r="AY83" s="327">
        <v>130</v>
      </c>
      <c r="AZ83" s="327">
        <v>200</v>
      </c>
      <c r="BA83" s="327" t="s">
        <v>246</v>
      </c>
      <c r="BB83" s="327">
        <v>3.5</v>
      </c>
      <c r="BC83" s="327">
        <v>215</v>
      </c>
      <c r="BD83" s="327">
        <v>180</v>
      </c>
      <c r="BE83" s="327">
        <v>250</v>
      </c>
      <c r="BF83" s="327" t="s">
        <v>247</v>
      </c>
      <c r="BG83" s="327">
        <v>4</v>
      </c>
      <c r="BH83" s="327">
        <v>265</v>
      </c>
      <c r="BI83" s="327">
        <v>230</v>
      </c>
      <c r="BJ83" s="327">
        <v>300</v>
      </c>
      <c r="BK83" s="327">
        <v>15</v>
      </c>
      <c r="BL83" s="327">
        <v>4</v>
      </c>
      <c r="BM83" s="325" t="s">
        <v>678</v>
      </c>
      <c r="BN83" s="325" t="s">
        <v>678</v>
      </c>
      <c r="BO83" s="340" t="s">
        <v>677</v>
      </c>
      <c r="BP83" s="340" t="s">
        <v>677</v>
      </c>
      <c r="BQ83" s="325" t="s">
        <v>464</v>
      </c>
    </row>
    <row r="84" spans="1:69" ht="12" customHeight="1">
      <c r="A84" s="320">
        <v>128</v>
      </c>
      <c r="B84" s="336" t="s">
        <v>746</v>
      </c>
      <c r="C84" s="325" t="s">
        <v>745</v>
      </c>
      <c r="D84" s="336" t="s">
        <v>871</v>
      </c>
      <c r="E84" s="334">
        <v>132</v>
      </c>
      <c r="F84" s="382">
        <v>4</v>
      </c>
      <c r="G84" s="325">
        <v>11</v>
      </c>
      <c r="H84" s="325">
        <v>13.2</v>
      </c>
      <c r="I84" s="325">
        <v>1460</v>
      </c>
      <c r="J84" s="335">
        <v>1752</v>
      </c>
      <c r="K84" s="334"/>
      <c r="L84" s="339">
        <v>21.4</v>
      </c>
      <c r="M84" s="331">
        <f t="shared" si="4"/>
        <v>22.330434782608695</v>
      </c>
      <c r="N84" s="332">
        <v>0.84</v>
      </c>
      <c r="O84" s="339">
        <v>88.4</v>
      </c>
      <c r="P84" s="334"/>
      <c r="Q84" s="334"/>
      <c r="R84" s="332">
        <v>0.84</v>
      </c>
      <c r="S84" s="339">
        <v>88.4</v>
      </c>
      <c r="T84" s="334"/>
      <c r="U84" s="334"/>
      <c r="V84" s="339">
        <v>7</v>
      </c>
      <c r="W84" s="339">
        <v>2.2000000000000002</v>
      </c>
      <c r="X84" s="339">
        <v>2.2999999999999998</v>
      </c>
      <c r="Y84" s="328"/>
      <c r="Z84" s="328"/>
      <c r="AA84" s="328"/>
      <c r="AB84" s="329">
        <v>7.9799999999999996E-2</v>
      </c>
      <c r="AC84" s="328">
        <v>63</v>
      </c>
      <c r="AD84" s="325">
        <v>87</v>
      </c>
      <c r="AE84" s="328"/>
      <c r="AF84" s="328"/>
      <c r="AG84" s="328"/>
      <c r="AH84" s="327">
        <v>216</v>
      </c>
      <c r="AI84" s="327">
        <v>178</v>
      </c>
      <c r="AJ84" s="327">
        <v>89</v>
      </c>
      <c r="AK84" s="327">
        <v>38</v>
      </c>
      <c r="AL84" s="327">
        <v>80</v>
      </c>
      <c r="AM84" s="327">
        <v>10</v>
      </c>
      <c r="AN84" s="327">
        <v>33</v>
      </c>
      <c r="AO84" s="327" t="s">
        <v>247</v>
      </c>
      <c r="AP84" s="327">
        <v>132</v>
      </c>
      <c r="AQ84" s="327">
        <v>12</v>
      </c>
      <c r="AR84" s="327">
        <v>270</v>
      </c>
      <c r="AS84" s="327">
        <v>275</v>
      </c>
      <c r="AT84" s="327">
        <v>240</v>
      </c>
      <c r="AU84" s="327">
        <v>365</v>
      </c>
      <c r="AV84" s="327">
        <v>510</v>
      </c>
      <c r="AW84" s="327">
        <v>560</v>
      </c>
      <c r="AX84" s="327">
        <v>165</v>
      </c>
      <c r="AY84" s="327">
        <v>130</v>
      </c>
      <c r="AZ84" s="327">
        <v>200</v>
      </c>
      <c r="BA84" s="327" t="s">
        <v>246</v>
      </c>
      <c r="BB84" s="327">
        <v>3.5</v>
      </c>
      <c r="BC84" s="327">
        <v>215</v>
      </c>
      <c r="BD84" s="327">
        <v>180</v>
      </c>
      <c r="BE84" s="327">
        <v>250</v>
      </c>
      <c r="BF84" s="327" t="s">
        <v>247</v>
      </c>
      <c r="BG84" s="327">
        <v>4</v>
      </c>
      <c r="BH84" s="327">
        <v>265</v>
      </c>
      <c r="BI84" s="327">
        <v>230</v>
      </c>
      <c r="BJ84" s="327">
        <v>300</v>
      </c>
      <c r="BK84" s="327">
        <v>15</v>
      </c>
      <c r="BL84" s="327">
        <v>4</v>
      </c>
      <c r="BM84" s="325" t="s">
        <v>465</v>
      </c>
      <c r="BN84" s="325" t="s">
        <v>465</v>
      </c>
      <c r="BO84" s="326"/>
      <c r="BP84" s="326"/>
      <c r="BQ84" s="325" t="s">
        <v>464</v>
      </c>
    </row>
    <row r="85" spans="1:69" ht="12" customHeight="1">
      <c r="A85" s="320">
        <v>129</v>
      </c>
      <c r="B85" s="336" t="s">
        <v>767</v>
      </c>
      <c r="C85" s="325" t="s">
        <v>745</v>
      </c>
      <c r="D85" s="336" t="s">
        <v>870</v>
      </c>
      <c r="E85" s="328">
        <v>160</v>
      </c>
      <c r="F85" s="365">
        <v>4</v>
      </c>
      <c r="G85" s="325">
        <v>11</v>
      </c>
      <c r="H85" s="325">
        <v>13.2</v>
      </c>
      <c r="I85" s="325">
        <v>1460</v>
      </c>
      <c r="J85" s="325">
        <v>1752</v>
      </c>
      <c r="K85" s="328"/>
      <c r="L85" s="332">
        <v>21.2</v>
      </c>
      <c r="M85" s="331">
        <f t="shared" si="4"/>
        <v>22.121739130434783</v>
      </c>
      <c r="N85" s="332">
        <v>0.85</v>
      </c>
      <c r="O85" s="339">
        <v>88</v>
      </c>
      <c r="P85" s="328"/>
      <c r="Q85" s="328"/>
      <c r="R85" s="332">
        <v>0.85</v>
      </c>
      <c r="S85" s="339">
        <v>88</v>
      </c>
      <c r="T85" s="328"/>
      <c r="U85" s="328"/>
      <c r="V85" s="339">
        <v>7</v>
      </c>
      <c r="W85" s="339">
        <v>2.2999999999999998</v>
      </c>
      <c r="X85" s="339">
        <v>2.2999999999999998</v>
      </c>
      <c r="Y85" s="328"/>
      <c r="Z85" s="328"/>
      <c r="AA85" s="328"/>
      <c r="AB85" s="329">
        <v>7.4700000000000003E-2</v>
      </c>
      <c r="AC85" s="328">
        <v>63</v>
      </c>
      <c r="AD85" s="325">
        <v>73</v>
      </c>
      <c r="AE85" s="328"/>
      <c r="AF85" s="328"/>
      <c r="AG85" s="328"/>
      <c r="AH85" s="327">
        <v>254</v>
      </c>
      <c r="AI85" s="327">
        <v>210</v>
      </c>
      <c r="AJ85" s="327">
        <v>108</v>
      </c>
      <c r="AK85" s="327">
        <v>42</v>
      </c>
      <c r="AL85" s="327">
        <v>110</v>
      </c>
      <c r="AM85" s="327">
        <v>12</v>
      </c>
      <c r="AN85" s="327">
        <v>37</v>
      </c>
      <c r="AO85" s="327" t="s">
        <v>248</v>
      </c>
      <c r="AP85" s="327">
        <v>160</v>
      </c>
      <c r="AQ85" s="327">
        <v>15</v>
      </c>
      <c r="AR85" s="327">
        <v>320</v>
      </c>
      <c r="AS85" s="327">
        <v>330</v>
      </c>
      <c r="AT85" s="327">
        <v>255</v>
      </c>
      <c r="AU85" s="327">
        <v>415</v>
      </c>
      <c r="AV85" s="327">
        <v>615</v>
      </c>
      <c r="AW85" s="328">
        <v>665</v>
      </c>
      <c r="AX85" s="327">
        <v>215</v>
      </c>
      <c r="AY85" s="327">
        <v>180</v>
      </c>
      <c r="AZ85" s="327">
        <v>250</v>
      </c>
      <c r="BA85" s="327" t="s">
        <v>247</v>
      </c>
      <c r="BB85" s="327">
        <v>4</v>
      </c>
      <c r="BC85" s="327">
        <v>265</v>
      </c>
      <c r="BD85" s="327">
        <v>230</v>
      </c>
      <c r="BE85" s="327">
        <v>300</v>
      </c>
      <c r="BF85" s="327" t="s">
        <v>248</v>
      </c>
      <c r="BG85" s="327">
        <v>5</v>
      </c>
      <c r="BH85" s="327">
        <v>300</v>
      </c>
      <c r="BI85" s="327">
        <v>250</v>
      </c>
      <c r="BJ85" s="327">
        <v>350</v>
      </c>
      <c r="BK85" s="327">
        <v>19</v>
      </c>
      <c r="BL85" s="327">
        <v>5</v>
      </c>
      <c r="BM85" s="325" t="s">
        <v>672</v>
      </c>
      <c r="BN85" s="325" t="s">
        <v>672</v>
      </c>
      <c r="BO85" s="340" t="s">
        <v>671</v>
      </c>
      <c r="BP85" s="340" t="s">
        <v>671</v>
      </c>
      <c r="BQ85" s="325" t="s">
        <v>450</v>
      </c>
    </row>
    <row r="86" spans="1:69" ht="12" customHeight="1">
      <c r="A86" s="320">
        <v>130</v>
      </c>
      <c r="B86" s="336" t="s">
        <v>746</v>
      </c>
      <c r="C86" s="325" t="s">
        <v>745</v>
      </c>
      <c r="D86" s="336" t="s">
        <v>869</v>
      </c>
      <c r="E86" s="334">
        <v>160</v>
      </c>
      <c r="F86" s="382">
        <v>4</v>
      </c>
      <c r="G86" s="325">
        <v>11</v>
      </c>
      <c r="H86" s="325">
        <v>13.2</v>
      </c>
      <c r="I86" s="325">
        <v>1460</v>
      </c>
      <c r="J86" s="335">
        <v>1752</v>
      </c>
      <c r="K86" s="334"/>
      <c r="L86" s="339">
        <v>21.4</v>
      </c>
      <c r="M86" s="331">
        <f t="shared" si="4"/>
        <v>22.330434782608695</v>
      </c>
      <c r="N86" s="332">
        <v>0.84</v>
      </c>
      <c r="O86" s="339">
        <v>88.4</v>
      </c>
      <c r="P86" s="334"/>
      <c r="Q86" s="334"/>
      <c r="R86" s="332">
        <v>0.84</v>
      </c>
      <c r="S86" s="339">
        <v>88.4</v>
      </c>
      <c r="T86" s="334"/>
      <c r="U86" s="334"/>
      <c r="V86" s="339">
        <v>7</v>
      </c>
      <c r="W86" s="339">
        <v>2.2000000000000002</v>
      </c>
      <c r="X86" s="339">
        <v>2.2999999999999998</v>
      </c>
      <c r="Y86" s="328"/>
      <c r="Z86" s="328"/>
      <c r="AA86" s="328"/>
      <c r="AB86" s="329">
        <v>7.9799999999999996E-2</v>
      </c>
      <c r="AC86" s="328">
        <v>63</v>
      </c>
      <c r="AD86" s="325">
        <v>106</v>
      </c>
      <c r="AE86" s="328"/>
      <c r="AF86" s="328"/>
      <c r="AG86" s="328"/>
      <c r="AH86" s="327">
        <v>254</v>
      </c>
      <c r="AI86" s="327">
        <v>210</v>
      </c>
      <c r="AJ86" s="327">
        <v>108</v>
      </c>
      <c r="AK86" s="327">
        <v>42</v>
      </c>
      <c r="AL86" s="327">
        <v>110</v>
      </c>
      <c r="AM86" s="327">
        <v>12</v>
      </c>
      <c r="AN86" s="327">
        <v>37</v>
      </c>
      <c r="AO86" s="327" t="s">
        <v>248</v>
      </c>
      <c r="AP86" s="327">
        <v>160</v>
      </c>
      <c r="AQ86" s="327">
        <v>15</v>
      </c>
      <c r="AR86" s="327">
        <v>320</v>
      </c>
      <c r="AS86" s="327">
        <v>320</v>
      </c>
      <c r="AT86" s="327">
        <v>285</v>
      </c>
      <c r="AU86" s="327">
        <v>440</v>
      </c>
      <c r="AV86" s="327">
        <v>620</v>
      </c>
      <c r="AW86" s="327">
        <v>670</v>
      </c>
      <c r="AX86" s="328"/>
      <c r="AY86" s="328"/>
      <c r="AZ86" s="328"/>
      <c r="BA86" s="328"/>
      <c r="BB86" s="328"/>
      <c r="BC86" s="328"/>
      <c r="BD86" s="328"/>
      <c r="BE86" s="328"/>
      <c r="BF86" s="328"/>
      <c r="BG86" s="328"/>
      <c r="BH86" s="327">
        <v>300</v>
      </c>
      <c r="BI86" s="327">
        <v>250</v>
      </c>
      <c r="BJ86" s="327">
        <v>350</v>
      </c>
      <c r="BK86" s="327">
        <v>19</v>
      </c>
      <c r="BL86" s="327">
        <v>5</v>
      </c>
      <c r="BM86" s="325" t="s">
        <v>457</v>
      </c>
      <c r="BN86" s="325" t="s">
        <v>457</v>
      </c>
      <c r="BO86" s="341" t="s">
        <v>456</v>
      </c>
      <c r="BP86" s="341" t="s">
        <v>456</v>
      </c>
      <c r="BQ86" s="325" t="s">
        <v>450</v>
      </c>
    </row>
    <row r="87" spans="1:69" ht="12" customHeight="1">
      <c r="A87" s="320">
        <v>131</v>
      </c>
      <c r="B87" s="336" t="s">
        <v>767</v>
      </c>
      <c r="C87" s="325" t="s">
        <v>745</v>
      </c>
      <c r="D87" s="336" t="s">
        <v>868</v>
      </c>
      <c r="E87" s="328">
        <v>160</v>
      </c>
      <c r="F87" s="365">
        <v>4</v>
      </c>
      <c r="G87" s="325">
        <v>15</v>
      </c>
      <c r="H87" s="325">
        <v>18</v>
      </c>
      <c r="I87" s="325">
        <v>1460</v>
      </c>
      <c r="J87" s="325">
        <v>1752</v>
      </c>
      <c r="K87" s="328"/>
      <c r="L87" s="332">
        <v>28.6</v>
      </c>
      <c r="M87" s="331">
        <f t="shared" si="4"/>
        <v>29.843478260869563</v>
      </c>
      <c r="N87" s="332">
        <v>0.85</v>
      </c>
      <c r="O87" s="339">
        <v>89</v>
      </c>
      <c r="P87" s="328"/>
      <c r="Q87" s="328"/>
      <c r="R87" s="332">
        <v>0.85</v>
      </c>
      <c r="S87" s="339">
        <v>89</v>
      </c>
      <c r="T87" s="328"/>
      <c r="U87" s="328"/>
      <c r="V87" s="339">
        <v>7</v>
      </c>
      <c r="W87" s="339">
        <v>2.2999999999999998</v>
      </c>
      <c r="X87" s="339">
        <v>2.2999999999999998</v>
      </c>
      <c r="Y87" s="328"/>
      <c r="Z87" s="328"/>
      <c r="AA87" s="328"/>
      <c r="AB87" s="329">
        <v>9.1800000000000007E-2</v>
      </c>
      <c r="AC87" s="328">
        <v>64</v>
      </c>
      <c r="AD87" s="325">
        <v>86</v>
      </c>
      <c r="AE87" s="328"/>
      <c r="AF87" s="328"/>
      <c r="AG87" s="328"/>
      <c r="AH87" s="327">
        <v>254</v>
      </c>
      <c r="AI87" s="327">
        <v>254</v>
      </c>
      <c r="AJ87" s="327">
        <v>108</v>
      </c>
      <c r="AK87" s="327">
        <v>42</v>
      </c>
      <c r="AL87" s="327">
        <v>110</v>
      </c>
      <c r="AM87" s="327">
        <v>12</v>
      </c>
      <c r="AN87" s="327">
        <v>37</v>
      </c>
      <c r="AO87" s="327" t="s">
        <v>248</v>
      </c>
      <c r="AP87" s="327">
        <v>160</v>
      </c>
      <c r="AQ87" s="327">
        <v>15</v>
      </c>
      <c r="AR87" s="327">
        <v>320</v>
      </c>
      <c r="AS87" s="327">
        <v>330</v>
      </c>
      <c r="AT87" s="327">
        <v>255</v>
      </c>
      <c r="AU87" s="327">
        <v>415</v>
      </c>
      <c r="AV87" s="327">
        <v>670</v>
      </c>
      <c r="AW87" s="328">
        <v>720</v>
      </c>
      <c r="AX87" s="327">
        <v>215</v>
      </c>
      <c r="AY87" s="327">
        <v>180</v>
      </c>
      <c r="AZ87" s="327">
        <v>250</v>
      </c>
      <c r="BA87" s="327" t="s">
        <v>247</v>
      </c>
      <c r="BB87" s="327">
        <v>4</v>
      </c>
      <c r="BC87" s="327">
        <v>265</v>
      </c>
      <c r="BD87" s="327">
        <v>230</v>
      </c>
      <c r="BE87" s="327">
        <v>300</v>
      </c>
      <c r="BF87" s="327" t="s">
        <v>248</v>
      </c>
      <c r="BG87" s="327">
        <v>5</v>
      </c>
      <c r="BH87" s="327">
        <v>300</v>
      </c>
      <c r="BI87" s="327">
        <v>250</v>
      </c>
      <c r="BJ87" s="327">
        <v>350</v>
      </c>
      <c r="BK87" s="327">
        <v>19</v>
      </c>
      <c r="BL87" s="327">
        <v>5</v>
      </c>
      <c r="BM87" s="325" t="s">
        <v>672</v>
      </c>
      <c r="BN87" s="325" t="s">
        <v>672</v>
      </c>
      <c r="BO87" s="340" t="s">
        <v>671</v>
      </c>
      <c r="BP87" s="340" t="s">
        <v>671</v>
      </c>
      <c r="BQ87" s="325" t="s">
        <v>450</v>
      </c>
    </row>
    <row r="88" spans="1:69" ht="12" customHeight="1">
      <c r="A88" s="320">
        <v>132</v>
      </c>
      <c r="B88" s="336" t="s">
        <v>746</v>
      </c>
      <c r="C88" s="325" t="s">
        <v>745</v>
      </c>
      <c r="D88" s="336" t="s">
        <v>867</v>
      </c>
      <c r="E88" s="334">
        <v>160</v>
      </c>
      <c r="F88" s="382">
        <v>4</v>
      </c>
      <c r="G88" s="325">
        <v>15</v>
      </c>
      <c r="H88" s="325">
        <v>18</v>
      </c>
      <c r="I88" s="325">
        <v>1460</v>
      </c>
      <c r="J88" s="335">
        <v>1752</v>
      </c>
      <c r="K88" s="334"/>
      <c r="L88" s="339">
        <v>28.5</v>
      </c>
      <c r="M88" s="331">
        <f t="shared" si="4"/>
        <v>29.739130434782609</v>
      </c>
      <c r="N88" s="332">
        <v>0.85</v>
      </c>
      <c r="O88" s="339">
        <v>89.4</v>
      </c>
      <c r="P88" s="334"/>
      <c r="Q88" s="334"/>
      <c r="R88" s="332">
        <v>0.85</v>
      </c>
      <c r="S88" s="339">
        <v>89.4</v>
      </c>
      <c r="T88" s="334"/>
      <c r="U88" s="334"/>
      <c r="V88" s="339">
        <v>7.5</v>
      </c>
      <c r="W88" s="339">
        <v>2.2000000000000002</v>
      </c>
      <c r="X88" s="339">
        <v>2.2999999999999998</v>
      </c>
      <c r="Y88" s="328"/>
      <c r="Z88" s="328"/>
      <c r="AA88" s="328"/>
      <c r="AB88" s="329">
        <v>0.106</v>
      </c>
      <c r="AC88" s="328">
        <v>64</v>
      </c>
      <c r="AD88" s="325">
        <v>130</v>
      </c>
      <c r="AE88" s="328"/>
      <c r="AF88" s="328"/>
      <c r="AG88" s="328"/>
      <c r="AH88" s="327">
        <v>254</v>
      </c>
      <c r="AI88" s="327">
        <v>254</v>
      </c>
      <c r="AJ88" s="327">
        <v>108</v>
      </c>
      <c r="AK88" s="327">
        <v>42</v>
      </c>
      <c r="AL88" s="327">
        <v>110</v>
      </c>
      <c r="AM88" s="327">
        <v>12</v>
      </c>
      <c r="AN88" s="327">
        <v>37</v>
      </c>
      <c r="AO88" s="327" t="s">
        <v>248</v>
      </c>
      <c r="AP88" s="327">
        <v>160</v>
      </c>
      <c r="AQ88" s="327">
        <v>15</v>
      </c>
      <c r="AR88" s="327">
        <v>320</v>
      </c>
      <c r="AS88" s="327">
        <v>320</v>
      </c>
      <c r="AT88" s="327">
        <v>285</v>
      </c>
      <c r="AU88" s="327">
        <v>440</v>
      </c>
      <c r="AV88" s="327">
        <v>675</v>
      </c>
      <c r="AW88" s="327">
        <v>725</v>
      </c>
      <c r="AX88" s="328"/>
      <c r="AY88" s="328"/>
      <c r="AZ88" s="328"/>
      <c r="BA88" s="328"/>
      <c r="BB88" s="328"/>
      <c r="BC88" s="328"/>
      <c r="BD88" s="328"/>
      <c r="BE88" s="328"/>
      <c r="BF88" s="328"/>
      <c r="BG88" s="328"/>
      <c r="BH88" s="327">
        <v>300</v>
      </c>
      <c r="BI88" s="327">
        <v>250</v>
      </c>
      <c r="BJ88" s="327">
        <v>350</v>
      </c>
      <c r="BK88" s="327">
        <v>19</v>
      </c>
      <c r="BL88" s="327">
        <v>5</v>
      </c>
      <c r="BM88" s="325" t="s">
        <v>457</v>
      </c>
      <c r="BN88" s="325" t="s">
        <v>457</v>
      </c>
      <c r="BO88" s="341" t="s">
        <v>456</v>
      </c>
      <c r="BP88" s="341" t="s">
        <v>456</v>
      </c>
      <c r="BQ88" s="325" t="s">
        <v>450</v>
      </c>
    </row>
    <row r="89" spans="1:69" ht="12" customHeight="1">
      <c r="A89" s="320">
        <v>133</v>
      </c>
      <c r="B89" s="336" t="s">
        <v>746</v>
      </c>
      <c r="C89" s="325" t="s">
        <v>745</v>
      </c>
      <c r="D89" s="336" t="s">
        <v>866</v>
      </c>
      <c r="E89" s="334">
        <v>180</v>
      </c>
      <c r="F89" s="382">
        <v>4</v>
      </c>
      <c r="G89" s="325">
        <v>18.5</v>
      </c>
      <c r="H89" s="325">
        <v>22.2</v>
      </c>
      <c r="I89" s="325">
        <v>1470</v>
      </c>
      <c r="J89" s="335">
        <v>1764</v>
      </c>
      <c r="K89" s="334"/>
      <c r="L89" s="339">
        <v>34.5</v>
      </c>
      <c r="M89" s="331">
        <f t="shared" si="4"/>
        <v>36</v>
      </c>
      <c r="N89" s="332">
        <v>0.86</v>
      </c>
      <c r="O89" s="339">
        <v>90</v>
      </c>
      <c r="P89" s="334"/>
      <c r="Q89" s="334"/>
      <c r="R89" s="332">
        <v>0.86</v>
      </c>
      <c r="S89" s="339">
        <v>90</v>
      </c>
      <c r="T89" s="334"/>
      <c r="U89" s="334"/>
      <c r="V89" s="339">
        <v>7.5</v>
      </c>
      <c r="W89" s="339">
        <v>2.2000000000000002</v>
      </c>
      <c r="X89" s="339">
        <v>2.2999999999999998</v>
      </c>
      <c r="Y89" s="328"/>
      <c r="Z89" s="328"/>
      <c r="AA89" s="328"/>
      <c r="AB89" s="329">
        <v>0.14699999999999999</v>
      </c>
      <c r="AC89" s="328">
        <v>65</v>
      </c>
      <c r="AD89" s="325">
        <v>162</v>
      </c>
      <c r="AE89" s="328"/>
      <c r="AF89" s="328"/>
      <c r="AG89" s="328"/>
      <c r="AH89" s="327">
        <v>279</v>
      </c>
      <c r="AI89" s="327">
        <v>241</v>
      </c>
      <c r="AJ89" s="327">
        <v>121</v>
      </c>
      <c r="AK89" s="327">
        <v>48</v>
      </c>
      <c r="AL89" s="327">
        <v>110</v>
      </c>
      <c r="AM89" s="327">
        <v>14</v>
      </c>
      <c r="AN89" s="327">
        <v>42.5</v>
      </c>
      <c r="AO89" s="327" t="s">
        <v>248</v>
      </c>
      <c r="AP89" s="327">
        <v>180</v>
      </c>
      <c r="AQ89" s="327">
        <v>15</v>
      </c>
      <c r="AR89" s="327">
        <v>355</v>
      </c>
      <c r="AS89" s="327">
        <v>380</v>
      </c>
      <c r="AT89" s="327">
        <v>310</v>
      </c>
      <c r="AU89" s="327">
        <v>470</v>
      </c>
      <c r="AV89" s="327">
        <v>700</v>
      </c>
      <c r="AW89" s="327">
        <v>760</v>
      </c>
      <c r="AX89" s="328"/>
      <c r="AY89" s="328"/>
      <c r="AZ89" s="328"/>
      <c r="BA89" s="328"/>
      <c r="BB89" s="328"/>
      <c r="BC89" s="328"/>
      <c r="BD89" s="328"/>
      <c r="BE89" s="328"/>
      <c r="BF89" s="328"/>
      <c r="BG89" s="328"/>
      <c r="BH89" s="327">
        <v>300</v>
      </c>
      <c r="BI89" s="327">
        <v>250</v>
      </c>
      <c r="BJ89" s="327">
        <v>350</v>
      </c>
      <c r="BK89" s="327">
        <v>19</v>
      </c>
      <c r="BL89" s="327">
        <v>5</v>
      </c>
      <c r="BM89" s="325" t="s">
        <v>452</v>
      </c>
      <c r="BN89" s="325" t="s">
        <v>452</v>
      </c>
      <c r="BO89" s="341" t="s">
        <v>451</v>
      </c>
      <c r="BP89" s="341" t="s">
        <v>451</v>
      </c>
      <c r="BQ89" s="325" t="s">
        <v>450</v>
      </c>
    </row>
    <row r="90" spans="1:69" ht="12" customHeight="1">
      <c r="A90" s="320">
        <v>134</v>
      </c>
      <c r="B90" s="336" t="s">
        <v>746</v>
      </c>
      <c r="C90" s="325" t="s">
        <v>745</v>
      </c>
      <c r="D90" s="336" t="s">
        <v>865</v>
      </c>
      <c r="E90" s="334">
        <v>180</v>
      </c>
      <c r="F90" s="382">
        <v>4</v>
      </c>
      <c r="G90" s="325">
        <v>22</v>
      </c>
      <c r="H90" s="325">
        <v>26.4</v>
      </c>
      <c r="I90" s="325">
        <v>1470</v>
      </c>
      <c r="J90" s="335">
        <v>1764</v>
      </c>
      <c r="K90" s="334"/>
      <c r="L90" s="339">
        <v>40.799999999999997</v>
      </c>
      <c r="M90" s="331">
        <f t="shared" si="4"/>
        <v>42.573913043478264</v>
      </c>
      <c r="N90" s="332">
        <v>0.86</v>
      </c>
      <c r="O90" s="339">
        <v>90.5</v>
      </c>
      <c r="P90" s="334"/>
      <c r="Q90" s="334"/>
      <c r="R90" s="332">
        <v>0.86</v>
      </c>
      <c r="S90" s="339">
        <v>90.5</v>
      </c>
      <c r="T90" s="334"/>
      <c r="U90" s="334"/>
      <c r="V90" s="339">
        <v>7.5</v>
      </c>
      <c r="W90" s="339">
        <v>2.2000000000000002</v>
      </c>
      <c r="X90" s="339">
        <v>2.2999999999999998</v>
      </c>
      <c r="Y90" s="328"/>
      <c r="Z90" s="328"/>
      <c r="AA90" s="328"/>
      <c r="AB90" s="329">
        <v>0.16400000000000001</v>
      </c>
      <c r="AC90" s="328">
        <v>66</v>
      </c>
      <c r="AD90" s="325">
        <v>180</v>
      </c>
      <c r="AE90" s="328"/>
      <c r="AF90" s="328"/>
      <c r="AG90" s="328"/>
      <c r="AH90" s="327">
        <v>279</v>
      </c>
      <c r="AI90" s="327">
        <v>279</v>
      </c>
      <c r="AJ90" s="327">
        <v>121</v>
      </c>
      <c r="AK90" s="327">
        <v>48</v>
      </c>
      <c r="AL90" s="327">
        <v>110</v>
      </c>
      <c r="AM90" s="327">
        <v>14</v>
      </c>
      <c r="AN90" s="327">
        <v>42.5</v>
      </c>
      <c r="AO90" s="327" t="s">
        <v>248</v>
      </c>
      <c r="AP90" s="327">
        <v>180</v>
      </c>
      <c r="AQ90" s="327">
        <v>15</v>
      </c>
      <c r="AR90" s="327">
        <v>355</v>
      </c>
      <c r="AS90" s="327">
        <v>380</v>
      </c>
      <c r="AT90" s="327">
        <v>310</v>
      </c>
      <c r="AU90" s="327">
        <v>470</v>
      </c>
      <c r="AV90" s="327">
        <v>740</v>
      </c>
      <c r="AW90" s="327">
        <v>800</v>
      </c>
      <c r="AX90" s="328"/>
      <c r="AY90" s="328"/>
      <c r="AZ90" s="328"/>
      <c r="BA90" s="328"/>
      <c r="BB90" s="328"/>
      <c r="BC90" s="328"/>
      <c r="BD90" s="328"/>
      <c r="BE90" s="328"/>
      <c r="BF90" s="328"/>
      <c r="BG90" s="328"/>
      <c r="BH90" s="327">
        <v>300</v>
      </c>
      <c r="BI90" s="327">
        <v>250</v>
      </c>
      <c r="BJ90" s="327">
        <v>350</v>
      </c>
      <c r="BK90" s="327">
        <v>19</v>
      </c>
      <c r="BL90" s="327">
        <v>5</v>
      </c>
      <c r="BM90" s="325" t="s">
        <v>452</v>
      </c>
      <c r="BN90" s="325" t="s">
        <v>452</v>
      </c>
      <c r="BO90" s="341" t="s">
        <v>451</v>
      </c>
      <c r="BP90" s="341" t="s">
        <v>451</v>
      </c>
      <c r="BQ90" s="325" t="s">
        <v>450</v>
      </c>
    </row>
    <row r="91" spans="1:69" ht="12" customHeight="1">
      <c r="A91" s="320">
        <v>135</v>
      </c>
      <c r="B91" s="336" t="s">
        <v>746</v>
      </c>
      <c r="C91" s="325" t="s">
        <v>745</v>
      </c>
      <c r="D91" s="336" t="s">
        <v>864</v>
      </c>
      <c r="E91" s="334">
        <v>200</v>
      </c>
      <c r="F91" s="382">
        <v>4</v>
      </c>
      <c r="G91" s="325">
        <v>30</v>
      </c>
      <c r="H91" s="325">
        <v>36</v>
      </c>
      <c r="I91" s="325">
        <v>1470</v>
      </c>
      <c r="J91" s="335">
        <v>1764</v>
      </c>
      <c r="K91" s="334"/>
      <c r="L91" s="339">
        <v>55.1</v>
      </c>
      <c r="M91" s="331">
        <f t="shared" si="4"/>
        <v>57.495652173913044</v>
      </c>
      <c r="N91" s="332">
        <v>0.86</v>
      </c>
      <c r="O91" s="339">
        <v>91.4</v>
      </c>
      <c r="P91" s="334"/>
      <c r="Q91" s="334"/>
      <c r="R91" s="332">
        <v>0.86</v>
      </c>
      <c r="S91" s="339">
        <v>91.4</v>
      </c>
      <c r="T91" s="334"/>
      <c r="U91" s="334"/>
      <c r="V91" s="339">
        <v>7.2</v>
      </c>
      <c r="W91" s="339">
        <v>2.2000000000000002</v>
      </c>
      <c r="X91" s="339">
        <v>2.2999999999999998</v>
      </c>
      <c r="Y91" s="328"/>
      <c r="Z91" s="328"/>
      <c r="AA91" s="328"/>
      <c r="AB91" s="329">
        <v>0.26800000000000002</v>
      </c>
      <c r="AC91" s="328">
        <v>67</v>
      </c>
      <c r="AD91" s="325">
        <v>234</v>
      </c>
      <c r="AE91" s="328"/>
      <c r="AF91" s="328"/>
      <c r="AG91" s="328"/>
      <c r="AH91" s="327">
        <v>318</v>
      </c>
      <c r="AI91" s="327">
        <v>305</v>
      </c>
      <c r="AJ91" s="327">
        <v>133</v>
      </c>
      <c r="AK91" s="327">
        <v>55</v>
      </c>
      <c r="AL91" s="327">
        <v>110</v>
      </c>
      <c r="AM91" s="327">
        <v>16</v>
      </c>
      <c r="AN91" s="327">
        <v>49</v>
      </c>
      <c r="AO91" s="327" t="s">
        <v>249</v>
      </c>
      <c r="AP91" s="327">
        <v>200</v>
      </c>
      <c r="AQ91" s="327">
        <v>19</v>
      </c>
      <c r="AR91" s="327">
        <v>395</v>
      </c>
      <c r="AS91" s="327">
        <v>410</v>
      </c>
      <c r="AT91" s="327">
        <v>335</v>
      </c>
      <c r="AU91" s="327">
        <v>525</v>
      </c>
      <c r="AV91" s="327">
        <v>775</v>
      </c>
      <c r="AW91" s="327">
        <v>845</v>
      </c>
      <c r="AX91" s="328"/>
      <c r="AY91" s="328"/>
      <c r="AZ91" s="328"/>
      <c r="BA91" s="328"/>
      <c r="BB91" s="328"/>
      <c r="BC91" s="328"/>
      <c r="BD91" s="328"/>
      <c r="BE91" s="328"/>
      <c r="BF91" s="328"/>
      <c r="BG91" s="328"/>
      <c r="BH91" s="327">
        <v>350</v>
      </c>
      <c r="BI91" s="327">
        <v>300</v>
      </c>
      <c r="BJ91" s="327">
        <v>400</v>
      </c>
      <c r="BK91" s="327">
        <v>19</v>
      </c>
      <c r="BL91" s="327">
        <v>5</v>
      </c>
      <c r="BM91" s="325" t="s">
        <v>442</v>
      </c>
      <c r="BN91" s="325" t="s">
        <v>442</v>
      </c>
      <c r="BO91" s="341" t="s">
        <v>441</v>
      </c>
      <c r="BP91" s="341" t="s">
        <v>441</v>
      </c>
      <c r="BQ91" s="325" t="s">
        <v>434</v>
      </c>
    </row>
    <row r="92" spans="1:69" ht="12" customHeight="1">
      <c r="A92" s="320">
        <v>136</v>
      </c>
      <c r="B92" s="336" t="s">
        <v>746</v>
      </c>
      <c r="C92" s="325" t="s">
        <v>745</v>
      </c>
      <c r="D92" s="336" t="s">
        <v>863</v>
      </c>
      <c r="E92" s="334">
        <v>225</v>
      </c>
      <c r="F92" s="382">
        <v>4</v>
      </c>
      <c r="G92" s="325">
        <v>37</v>
      </c>
      <c r="H92" s="325">
        <v>44.4</v>
      </c>
      <c r="I92" s="325">
        <v>1475</v>
      </c>
      <c r="J92" s="335">
        <v>1770</v>
      </c>
      <c r="K92" s="334"/>
      <c r="L92" s="325">
        <v>66.7</v>
      </c>
      <c r="M92" s="331">
        <f t="shared" si="4"/>
        <v>69.599999999999994</v>
      </c>
      <c r="N92" s="332">
        <v>0.87</v>
      </c>
      <c r="O92" s="339">
        <v>92</v>
      </c>
      <c r="P92" s="334"/>
      <c r="Q92" s="334"/>
      <c r="R92" s="332">
        <v>0.87</v>
      </c>
      <c r="S92" s="339">
        <v>92</v>
      </c>
      <c r="T92" s="334"/>
      <c r="U92" s="334"/>
      <c r="V92" s="339">
        <v>7.2</v>
      </c>
      <c r="W92" s="339">
        <v>2.2000000000000002</v>
      </c>
      <c r="X92" s="339">
        <v>2.2999999999999998</v>
      </c>
      <c r="Y92" s="328"/>
      <c r="Z92" s="328"/>
      <c r="AA92" s="328"/>
      <c r="AB92" s="329">
        <v>0.45800000000000002</v>
      </c>
      <c r="AC92" s="328">
        <v>69</v>
      </c>
      <c r="AD92" s="325">
        <v>278</v>
      </c>
      <c r="AE92" s="328"/>
      <c r="AF92" s="328"/>
      <c r="AG92" s="328"/>
      <c r="AH92" s="327">
        <v>356</v>
      </c>
      <c r="AI92" s="327">
        <v>286</v>
      </c>
      <c r="AJ92" s="327">
        <v>149</v>
      </c>
      <c r="AK92" s="327">
        <v>60</v>
      </c>
      <c r="AL92" s="327">
        <v>140</v>
      </c>
      <c r="AM92" s="327">
        <v>18</v>
      </c>
      <c r="AN92" s="327">
        <v>53</v>
      </c>
      <c r="AO92" s="327" t="s">
        <v>249</v>
      </c>
      <c r="AP92" s="327">
        <v>225</v>
      </c>
      <c r="AQ92" s="327">
        <v>19</v>
      </c>
      <c r="AR92" s="327">
        <v>435</v>
      </c>
      <c r="AS92" s="327">
        <v>470</v>
      </c>
      <c r="AT92" s="327">
        <v>370</v>
      </c>
      <c r="AU92" s="327">
        <v>580</v>
      </c>
      <c r="AV92" s="327">
        <v>820</v>
      </c>
      <c r="AW92" s="327">
        <v>915</v>
      </c>
      <c r="AX92" s="328"/>
      <c r="AY92" s="328"/>
      <c r="AZ92" s="328"/>
      <c r="BA92" s="328"/>
      <c r="BB92" s="328"/>
      <c r="BC92" s="328"/>
      <c r="BD92" s="328"/>
      <c r="BE92" s="328"/>
      <c r="BF92" s="328"/>
      <c r="BG92" s="328"/>
      <c r="BH92" s="327">
        <v>400</v>
      </c>
      <c r="BI92" s="327">
        <v>350</v>
      </c>
      <c r="BJ92" s="327">
        <v>450</v>
      </c>
      <c r="BK92" s="327">
        <v>19</v>
      </c>
      <c r="BL92" s="327">
        <v>5</v>
      </c>
      <c r="BM92" s="325" t="s">
        <v>436</v>
      </c>
      <c r="BN92" s="325" t="s">
        <v>436</v>
      </c>
      <c r="BO92" s="341" t="s">
        <v>435</v>
      </c>
      <c r="BP92" s="341" t="s">
        <v>435</v>
      </c>
      <c r="BQ92" s="325" t="s">
        <v>434</v>
      </c>
    </row>
    <row r="93" spans="1:69" ht="12" customHeight="1">
      <c r="A93" s="320">
        <v>137</v>
      </c>
      <c r="B93" s="336" t="s">
        <v>746</v>
      </c>
      <c r="C93" s="325" t="s">
        <v>745</v>
      </c>
      <c r="D93" s="336" t="s">
        <v>862</v>
      </c>
      <c r="E93" s="334">
        <v>225</v>
      </c>
      <c r="F93" s="382">
        <v>4</v>
      </c>
      <c r="G93" s="325">
        <v>45</v>
      </c>
      <c r="H93" s="325">
        <v>54</v>
      </c>
      <c r="I93" s="325">
        <v>1475</v>
      </c>
      <c r="J93" s="335">
        <v>1770</v>
      </c>
      <c r="K93" s="334"/>
      <c r="L93" s="325">
        <v>80.7</v>
      </c>
      <c r="M93" s="331">
        <f t="shared" si="4"/>
        <v>84.208695652173915</v>
      </c>
      <c r="N93" s="332">
        <v>0.87</v>
      </c>
      <c r="O93" s="339">
        <v>92.5</v>
      </c>
      <c r="P93" s="334"/>
      <c r="Q93" s="334"/>
      <c r="R93" s="332">
        <v>0.87</v>
      </c>
      <c r="S93" s="339">
        <v>92.5</v>
      </c>
      <c r="T93" s="334"/>
      <c r="U93" s="334"/>
      <c r="V93" s="339">
        <v>7.2</v>
      </c>
      <c r="W93" s="339">
        <v>2.2000000000000002</v>
      </c>
      <c r="X93" s="339">
        <v>2.2999999999999998</v>
      </c>
      <c r="Y93" s="328"/>
      <c r="Z93" s="328"/>
      <c r="AA93" s="328"/>
      <c r="AB93" s="329">
        <v>0.56000000000000005</v>
      </c>
      <c r="AC93" s="328">
        <v>69</v>
      </c>
      <c r="AD93" s="325">
        <v>314</v>
      </c>
      <c r="AE93" s="328"/>
      <c r="AF93" s="328"/>
      <c r="AG93" s="328"/>
      <c r="AH93" s="327">
        <v>356</v>
      </c>
      <c r="AI93" s="327">
        <v>311</v>
      </c>
      <c r="AJ93" s="327">
        <v>149</v>
      </c>
      <c r="AK93" s="327">
        <v>60</v>
      </c>
      <c r="AL93" s="327">
        <v>140</v>
      </c>
      <c r="AM93" s="327">
        <v>18</v>
      </c>
      <c r="AN93" s="327">
        <v>53</v>
      </c>
      <c r="AO93" s="327" t="s">
        <v>249</v>
      </c>
      <c r="AP93" s="327">
        <v>225</v>
      </c>
      <c r="AQ93" s="327">
        <v>19</v>
      </c>
      <c r="AR93" s="327">
        <v>435</v>
      </c>
      <c r="AS93" s="327">
        <v>470</v>
      </c>
      <c r="AT93" s="327">
        <v>370</v>
      </c>
      <c r="AU93" s="327">
        <v>580</v>
      </c>
      <c r="AV93" s="327">
        <v>845</v>
      </c>
      <c r="AW93" s="327">
        <v>940</v>
      </c>
      <c r="AX93" s="328"/>
      <c r="AY93" s="328"/>
      <c r="AZ93" s="328"/>
      <c r="BA93" s="328"/>
      <c r="BB93" s="328"/>
      <c r="BC93" s="328"/>
      <c r="BD93" s="328"/>
      <c r="BE93" s="328"/>
      <c r="BF93" s="328"/>
      <c r="BG93" s="328"/>
      <c r="BH93" s="327">
        <v>400</v>
      </c>
      <c r="BI93" s="327">
        <v>350</v>
      </c>
      <c r="BJ93" s="327">
        <v>450</v>
      </c>
      <c r="BK93" s="327">
        <v>19</v>
      </c>
      <c r="BL93" s="327">
        <v>5</v>
      </c>
      <c r="BM93" s="325" t="s">
        <v>436</v>
      </c>
      <c r="BN93" s="325" t="s">
        <v>436</v>
      </c>
      <c r="BO93" s="341" t="s">
        <v>435</v>
      </c>
      <c r="BP93" s="341" t="s">
        <v>435</v>
      </c>
      <c r="BQ93" s="325" t="s">
        <v>434</v>
      </c>
    </row>
    <row r="94" spans="1:69" ht="12" customHeight="1">
      <c r="A94" s="320">
        <v>138</v>
      </c>
      <c r="B94" s="336" t="s">
        <v>746</v>
      </c>
      <c r="C94" s="325" t="s">
        <v>745</v>
      </c>
      <c r="D94" s="336" t="s">
        <v>861</v>
      </c>
      <c r="E94" s="334">
        <v>250</v>
      </c>
      <c r="F94" s="382">
        <v>4</v>
      </c>
      <c r="G94" s="325">
        <v>55</v>
      </c>
      <c r="H94" s="325">
        <v>66</v>
      </c>
      <c r="I94" s="325">
        <v>1480</v>
      </c>
      <c r="J94" s="335">
        <v>1776</v>
      </c>
      <c r="K94" s="334"/>
      <c r="L94" s="325">
        <v>98.1</v>
      </c>
      <c r="M94" s="331">
        <f t="shared" si="4"/>
        <v>102.36521739130434</v>
      </c>
      <c r="N94" s="332">
        <v>0.87</v>
      </c>
      <c r="O94" s="339">
        <v>93</v>
      </c>
      <c r="P94" s="334"/>
      <c r="Q94" s="334"/>
      <c r="R94" s="332">
        <v>0.87</v>
      </c>
      <c r="S94" s="339">
        <v>93</v>
      </c>
      <c r="T94" s="334"/>
      <c r="U94" s="334"/>
      <c r="V94" s="339">
        <v>7.2</v>
      </c>
      <c r="W94" s="339">
        <v>2.2000000000000002</v>
      </c>
      <c r="X94" s="339">
        <v>2.2999999999999998</v>
      </c>
      <c r="Y94" s="328"/>
      <c r="Z94" s="328"/>
      <c r="AA94" s="328"/>
      <c r="AB94" s="329">
        <v>0.77300000000000002</v>
      </c>
      <c r="AC94" s="328">
        <v>71</v>
      </c>
      <c r="AD94" s="325">
        <v>406</v>
      </c>
      <c r="AE94" s="328"/>
      <c r="AF94" s="328"/>
      <c r="AG94" s="328"/>
      <c r="AH94" s="327">
        <v>406</v>
      </c>
      <c r="AI94" s="327">
        <v>349</v>
      </c>
      <c r="AJ94" s="327">
        <v>168</v>
      </c>
      <c r="AK94" s="327">
        <v>65</v>
      </c>
      <c r="AL94" s="327">
        <v>140</v>
      </c>
      <c r="AM94" s="327">
        <v>18</v>
      </c>
      <c r="AN94" s="327">
        <v>58</v>
      </c>
      <c r="AO94" s="327" t="s">
        <v>249</v>
      </c>
      <c r="AP94" s="327">
        <v>250</v>
      </c>
      <c r="AQ94" s="327">
        <v>24</v>
      </c>
      <c r="AR94" s="327">
        <v>490</v>
      </c>
      <c r="AS94" s="327">
        <v>490</v>
      </c>
      <c r="AT94" s="327">
        <v>380</v>
      </c>
      <c r="AU94" s="327">
        <v>635</v>
      </c>
      <c r="AV94" s="327">
        <v>930</v>
      </c>
      <c r="AW94" s="327">
        <v>1035</v>
      </c>
      <c r="AX94" s="328"/>
      <c r="AY94" s="328"/>
      <c r="AZ94" s="328"/>
      <c r="BA94" s="328"/>
      <c r="BB94" s="328"/>
      <c r="BC94" s="328"/>
      <c r="BD94" s="328"/>
      <c r="BE94" s="328"/>
      <c r="BF94" s="328"/>
      <c r="BG94" s="328"/>
      <c r="BH94" s="327">
        <v>500</v>
      </c>
      <c r="BI94" s="327">
        <v>450</v>
      </c>
      <c r="BJ94" s="327">
        <v>550</v>
      </c>
      <c r="BK94" s="327">
        <v>19</v>
      </c>
      <c r="BL94" s="327">
        <v>5</v>
      </c>
      <c r="BM94" s="325" t="s">
        <v>429</v>
      </c>
      <c r="BN94" s="325" t="s">
        <v>429</v>
      </c>
      <c r="BO94" s="341" t="s">
        <v>428</v>
      </c>
      <c r="BP94" s="341" t="s">
        <v>428</v>
      </c>
      <c r="BQ94" s="325" t="s">
        <v>388</v>
      </c>
    </row>
    <row r="95" spans="1:69" ht="12" customHeight="1">
      <c r="A95" s="320">
        <v>139</v>
      </c>
      <c r="B95" s="336" t="s">
        <v>746</v>
      </c>
      <c r="C95" s="325" t="s">
        <v>745</v>
      </c>
      <c r="D95" s="336" t="s">
        <v>860</v>
      </c>
      <c r="E95" s="334">
        <v>250</v>
      </c>
      <c r="F95" s="382">
        <v>4</v>
      </c>
      <c r="G95" s="325">
        <v>75</v>
      </c>
      <c r="H95" s="325">
        <v>90</v>
      </c>
      <c r="I95" s="325">
        <v>1480</v>
      </c>
      <c r="J95" s="335">
        <v>1776</v>
      </c>
      <c r="K95" s="334"/>
      <c r="L95" s="339">
        <v>133</v>
      </c>
      <c r="M95" s="331">
        <f t="shared" si="4"/>
        <v>138.78260869565219</v>
      </c>
      <c r="N95" s="332">
        <v>0.87</v>
      </c>
      <c r="O95" s="339">
        <v>93.6</v>
      </c>
      <c r="P95" s="334"/>
      <c r="Q95" s="334"/>
      <c r="R95" s="332">
        <v>0.87</v>
      </c>
      <c r="S95" s="339">
        <v>93.6</v>
      </c>
      <c r="T95" s="334"/>
      <c r="U95" s="334"/>
      <c r="V95" s="339">
        <v>7.2</v>
      </c>
      <c r="W95" s="339">
        <v>2.2000000000000002</v>
      </c>
      <c r="X95" s="339">
        <v>2.2999999999999998</v>
      </c>
      <c r="Y95" s="328"/>
      <c r="Z95" s="328"/>
      <c r="AA95" s="328"/>
      <c r="AB95" s="329">
        <v>1.23</v>
      </c>
      <c r="AC95" s="328">
        <v>73</v>
      </c>
      <c r="AD95" s="325">
        <v>477</v>
      </c>
      <c r="AE95" s="328"/>
      <c r="AF95" s="328"/>
      <c r="AG95" s="328"/>
      <c r="AH95" s="327">
        <v>406</v>
      </c>
      <c r="AI95" s="327">
        <v>349</v>
      </c>
      <c r="AJ95" s="327">
        <v>168</v>
      </c>
      <c r="AK95" s="327">
        <v>65</v>
      </c>
      <c r="AL95" s="327">
        <v>140</v>
      </c>
      <c r="AM95" s="327">
        <v>18</v>
      </c>
      <c r="AN95" s="327">
        <v>58</v>
      </c>
      <c r="AO95" s="327" t="s">
        <v>249</v>
      </c>
      <c r="AP95" s="327">
        <v>250</v>
      </c>
      <c r="AQ95" s="327">
        <v>24</v>
      </c>
      <c r="AR95" s="327">
        <v>490</v>
      </c>
      <c r="AS95" s="327">
        <v>490</v>
      </c>
      <c r="AT95" s="327">
        <v>380</v>
      </c>
      <c r="AU95" s="327">
        <v>635</v>
      </c>
      <c r="AV95" s="327">
        <v>930</v>
      </c>
      <c r="AW95" s="327">
        <v>1035</v>
      </c>
      <c r="AX95" s="328"/>
      <c r="AY95" s="328"/>
      <c r="AZ95" s="328"/>
      <c r="BA95" s="328"/>
      <c r="BB95" s="328"/>
      <c r="BC95" s="328"/>
      <c r="BD95" s="328"/>
      <c r="BE95" s="328"/>
      <c r="BF95" s="328"/>
      <c r="BG95" s="328"/>
      <c r="BH95" s="327">
        <v>500</v>
      </c>
      <c r="BI95" s="327">
        <v>450</v>
      </c>
      <c r="BJ95" s="327">
        <v>550</v>
      </c>
      <c r="BK95" s="327">
        <v>19</v>
      </c>
      <c r="BL95" s="327">
        <v>5</v>
      </c>
      <c r="BM95" s="325" t="s">
        <v>429</v>
      </c>
      <c r="BN95" s="325" t="s">
        <v>429</v>
      </c>
      <c r="BO95" s="341" t="s">
        <v>428</v>
      </c>
      <c r="BP95" s="341" t="s">
        <v>428</v>
      </c>
      <c r="BQ95" s="325" t="s">
        <v>388</v>
      </c>
    </row>
    <row r="96" spans="1:69" ht="12" customHeight="1">
      <c r="A96" s="320">
        <v>140</v>
      </c>
      <c r="B96" s="336" t="s">
        <v>746</v>
      </c>
      <c r="C96" s="325" t="s">
        <v>745</v>
      </c>
      <c r="D96" s="336" t="s">
        <v>859</v>
      </c>
      <c r="E96" s="334">
        <v>280</v>
      </c>
      <c r="F96" s="382">
        <v>4</v>
      </c>
      <c r="G96" s="325">
        <v>75</v>
      </c>
      <c r="H96" s="325">
        <v>90</v>
      </c>
      <c r="I96" s="325">
        <v>1480</v>
      </c>
      <c r="J96" s="335">
        <v>1776</v>
      </c>
      <c r="K96" s="334"/>
      <c r="L96" s="339">
        <v>133</v>
      </c>
      <c r="M96" s="331">
        <f t="shared" si="4"/>
        <v>138.78260869565219</v>
      </c>
      <c r="N96" s="332">
        <v>0.87</v>
      </c>
      <c r="O96" s="339">
        <v>93.6</v>
      </c>
      <c r="P96" s="334"/>
      <c r="Q96" s="334"/>
      <c r="R96" s="332">
        <v>0.87</v>
      </c>
      <c r="S96" s="339">
        <v>93.6</v>
      </c>
      <c r="T96" s="334"/>
      <c r="U96" s="334"/>
      <c r="V96" s="339">
        <v>7.2</v>
      </c>
      <c r="W96" s="339">
        <v>2.2000000000000002</v>
      </c>
      <c r="X96" s="339">
        <v>2.2999999999999998</v>
      </c>
      <c r="Y96" s="328"/>
      <c r="Z96" s="328"/>
      <c r="AA96" s="328"/>
      <c r="AB96" s="329">
        <v>1.23</v>
      </c>
      <c r="AC96" s="328">
        <v>73</v>
      </c>
      <c r="AD96" s="325">
        <v>512</v>
      </c>
      <c r="AE96" s="328"/>
      <c r="AF96" s="328"/>
      <c r="AG96" s="328"/>
      <c r="AH96" s="327">
        <v>457</v>
      </c>
      <c r="AI96" s="327">
        <v>368</v>
      </c>
      <c r="AJ96" s="327">
        <v>190</v>
      </c>
      <c r="AK96" s="327">
        <v>75</v>
      </c>
      <c r="AL96" s="327">
        <v>140</v>
      </c>
      <c r="AM96" s="327">
        <v>20</v>
      </c>
      <c r="AN96" s="327">
        <v>67.5</v>
      </c>
      <c r="AO96" s="327" t="s">
        <v>249</v>
      </c>
      <c r="AP96" s="327">
        <v>280</v>
      </c>
      <c r="AQ96" s="327">
        <v>24</v>
      </c>
      <c r="AR96" s="327">
        <v>550</v>
      </c>
      <c r="AS96" s="327">
        <v>580</v>
      </c>
      <c r="AT96" s="327">
        <v>410</v>
      </c>
      <c r="AU96" s="327">
        <v>698</v>
      </c>
      <c r="AV96" s="327">
        <v>981</v>
      </c>
      <c r="AW96" s="327">
        <v>1115</v>
      </c>
      <c r="AX96" s="328"/>
      <c r="AY96" s="328"/>
      <c r="AZ96" s="328"/>
      <c r="BA96" s="328"/>
      <c r="BB96" s="328"/>
      <c r="BC96" s="328"/>
      <c r="BD96" s="328"/>
      <c r="BE96" s="328"/>
      <c r="BF96" s="328"/>
      <c r="BG96" s="328"/>
      <c r="BH96" s="327">
        <v>500</v>
      </c>
      <c r="BI96" s="327">
        <v>450</v>
      </c>
      <c r="BJ96" s="327">
        <v>550</v>
      </c>
      <c r="BK96" s="327">
        <v>19</v>
      </c>
      <c r="BL96" s="327">
        <v>5</v>
      </c>
      <c r="BM96" s="325" t="s">
        <v>420</v>
      </c>
      <c r="BN96" s="325" t="s">
        <v>420</v>
      </c>
      <c r="BO96" s="341" t="s">
        <v>419</v>
      </c>
      <c r="BP96" s="340" t="s">
        <v>419</v>
      </c>
      <c r="BQ96" s="325" t="s">
        <v>388</v>
      </c>
    </row>
    <row r="97" spans="1:70" ht="12" customHeight="1">
      <c r="A97" s="320">
        <v>141</v>
      </c>
      <c r="B97" s="336" t="s">
        <v>746</v>
      </c>
      <c r="C97" s="325" t="s">
        <v>745</v>
      </c>
      <c r="D97" s="336" t="s">
        <v>858</v>
      </c>
      <c r="E97" s="334">
        <v>280</v>
      </c>
      <c r="F97" s="382">
        <v>4</v>
      </c>
      <c r="G97" s="325">
        <v>90</v>
      </c>
      <c r="H97" s="325">
        <v>108</v>
      </c>
      <c r="I97" s="325">
        <v>1480</v>
      </c>
      <c r="J97" s="335">
        <v>1776</v>
      </c>
      <c r="K97" s="334"/>
      <c r="L97" s="339">
        <v>159</v>
      </c>
      <c r="M97" s="331">
        <f t="shared" si="4"/>
        <v>165.91304347826087</v>
      </c>
      <c r="N97" s="332">
        <v>0.87</v>
      </c>
      <c r="O97" s="339">
        <v>93.9</v>
      </c>
      <c r="P97" s="334"/>
      <c r="Q97" s="334"/>
      <c r="R97" s="332">
        <v>0.87</v>
      </c>
      <c r="S97" s="339">
        <v>93.9</v>
      </c>
      <c r="T97" s="334"/>
      <c r="U97" s="334"/>
      <c r="V97" s="339">
        <v>7.2</v>
      </c>
      <c r="W97" s="339">
        <v>2.2000000000000002</v>
      </c>
      <c r="X97" s="339">
        <v>2.2999999999999998</v>
      </c>
      <c r="Y97" s="328"/>
      <c r="Z97" s="328"/>
      <c r="AA97" s="328"/>
      <c r="AB97" s="329">
        <v>1.54</v>
      </c>
      <c r="AC97" s="328">
        <v>73</v>
      </c>
      <c r="AD97" s="325">
        <v>606</v>
      </c>
      <c r="AE97" s="328"/>
      <c r="AF97" s="328"/>
      <c r="AG97" s="328"/>
      <c r="AH97" s="327">
        <v>457</v>
      </c>
      <c r="AI97" s="327">
        <v>419</v>
      </c>
      <c r="AJ97" s="327">
        <v>190</v>
      </c>
      <c r="AK97" s="327">
        <v>75</v>
      </c>
      <c r="AL97" s="327">
        <v>140</v>
      </c>
      <c r="AM97" s="327">
        <v>20</v>
      </c>
      <c r="AN97" s="327">
        <v>67.5</v>
      </c>
      <c r="AO97" s="327" t="s">
        <v>249</v>
      </c>
      <c r="AP97" s="327">
        <v>280</v>
      </c>
      <c r="AQ97" s="327">
        <v>24</v>
      </c>
      <c r="AR97" s="327">
        <v>550</v>
      </c>
      <c r="AS97" s="327">
        <v>580</v>
      </c>
      <c r="AT97" s="327">
        <v>410</v>
      </c>
      <c r="AU97" s="327">
        <v>698</v>
      </c>
      <c r="AV97" s="327">
        <v>1032</v>
      </c>
      <c r="AW97" s="327">
        <v>1157</v>
      </c>
      <c r="AX97" s="328"/>
      <c r="AY97" s="328"/>
      <c r="AZ97" s="328"/>
      <c r="BA97" s="328"/>
      <c r="BB97" s="328"/>
      <c r="BC97" s="328"/>
      <c r="BD97" s="328"/>
      <c r="BE97" s="328"/>
      <c r="BF97" s="328"/>
      <c r="BG97" s="328"/>
      <c r="BH97" s="327">
        <v>500</v>
      </c>
      <c r="BI97" s="327">
        <v>450</v>
      </c>
      <c r="BJ97" s="327">
        <v>550</v>
      </c>
      <c r="BK97" s="327">
        <v>19</v>
      </c>
      <c r="BL97" s="327">
        <v>5</v>
      </c>
      <c r="BM97" s="325" t="s">
        <v>420</v>
      </c>
      <c r="BN97" s="325" t="s">
        <v>420</v>
      </c>
      <c r="BO97" s="341" t="s">
        <v>419</v>
      </c>
      <c r="BP97" s="340" t="s">
        <v>419</v>
      </c>
      <c r="BQ97" s="325" t="s">
        <v>388</v>
      </c>
    </row>
    <row r="98" spans="1:70" ht="12" customHeight="1">
      <c r="A98" s="320">
        <v>142</v>
      </c>
      <c r="B98" s="336" t="s">
        <v>746</v>
      </c>
      <c r="C98" s="325" t="s">
        <v>745</v>
      </c>
      <c r="D98" s="336" t="s">
        <v>857</v>
      </c>
      <c r="E98" s="334">
        <v>280</v>
      </c>
      <c r="F98" s="382">
        <v>4</v>
      </c>
      <c r="G98" s="325">
        <v>110</v>
      </c>
      <c r="H98" s="325">
        <v>132</v>
      </c>
      <c r="I98" s="325">
        <v>1480</v>
      </c>
      <c r="J98" s="335">
        <v>1776</v>
      </c>
      <c r="K98" s="334"/>
      <c r="L98" s="325">
        <v>190.9</v>
      </c>
      <c r="M98" s="331">
        <f t="shared" si="4"/>
        <v>199.2</v>
      </c>
      <c r="N98" s="332">
        <v>0.88</v>
      </c>
      <c r="O98" s="339">
        <v>94.5</v>
      </c>
      <c r="P98" s="334"/>
      <c r="Q98" s="334"/>
      <c r="R98" s="332">
        <v>0.88</v>
      </c>
      <c r="S98" s="339">
        <v>94.5</v>
      </c>
      <c r="T98" s="334"/>
      <c r="U98" s="334"/>
      <c r="V98" s="339">
        <v>6.9</v>
      </c>
      <c r="W98" s="339">
        <v>2.1</v>
      </c>
      <c r="X98" s="339">
        <v>2.2000000000000002</v>
      </c>
      <c r="Y98" s="328"/>
      <c r="Z98" s="328"/>
      <c r="AA98" s="328"/>
      <c r="AB98" s="329">
        <v>2.97</v>
      </c>
      <c r="AC98" s="328">
        <v>75</v>
      </c>
      <c r="AD98" s="325">
        <v>731</v>
      </c>
      <c r="AE98" s="328"/>
      <c r="AF98" s="328"/>
      <c r="AG98" s="328"/>
      <c r="AH98" s="327">
        <v>457</v>
      </c>
      <c r="AI98" s="327">
        <v>419</v>
      </c>
      <c r="AJ98" s="327">
        <v>190</v>
      </c>
      <c r="AK98" s="327">
        <v>75</v>
      </c>
      <c r="AL98" s="327">
        <v>140</v>
      </c>
      <c r="AM98" s="327">
        <v>20</v>
      </c>
      <c r="AN98" s="327">
        <v>67.5</v>
      </c>
      <c r="AO98" s="327" t="s">
        <v>249</v>
      </c>
      <c r="AP98" s="327">
        <v>280</v>
      </c>
      <c r="AQ98" s="327">
        <v>24</v>
      </c>
      <c r="AR98" s="327">
        <v>550</v>
      </c>
      <c r="AS98" s="327">
        <v>580</v>
      </c>
      <c r="AT98" s="327">
        <v>410</v>
      </c>
      <c r="AU98" s="327">
        <v>698</v>
      </c>
      <c r="AV98" s="327">
        <v>1032</v>
      </c>
      <c r="AW98" s="327">
        <v>1157</v>
      </c>
      <c r="AX98" s="328"/>
      <c r="AY98" s="328"/>
      <c r="AZ98" s="328"/>
      <c r="BA98" s="328"/>
      <c r="BB98" s="328"/>
      <c r="BC98" s="328"/>
      <c r="BD98" s="328"/>
      <c r="BE98" s="328"/>
      <c r="BF98" s="328"/>
      <c r="BG98" s="328"/>
      <c r="BH98" s="327">
        <v>500</v>
      </c>
      <c r="BI98" s="327">
        <v>450</v>
      </c>
      <c r="BJ98" s="327">
        <v>550</v>
      </c>
      <c r="BK98" s="327">
        <v>19</v>
      </c>
      <c r="BL98" s="327">
        <v>5</v>
      </c>
      <c r="BM98" s="325" t="s">
        <v>420</v>
      </c>
      <c r="BN98" s="325" t="s">
        <v>420</v>
      </c>
      <c r="BO98" s="341" t="s">
        <v>419</v>
      </c>
      <c r="BP98" s="340" t="s">
        <v>419</v>
      </c>
      <c r="BQ98" s="325" t="s">
        <v>388</v>
      </c>
    </row>
    <row r="99" spans="1:70" ht="12" customHeight="1">
      <c r="A99" s="320">
        <v>143</v>
      </c>
      <c r="B99" s="336" t="s">
        <v>746</v>
      </c>
      <c r="C99" s="325" t="s">
        <v>745</v>
      </c>
      <c r="D99" s="336" t="s">
        <v>856</v>
      </c>
      <c r="E99" s="328">
        <v>315</v>
      </c>
      <c r="F99" s="382">
        <v>4</v>
      </c>
      <c r="G99" s="325">
        <v>110</v>
      </c>
      <c r="H99" s="325">
        <v>132</v>
      </c>
      <c r="I99" s="325">
        <v>1480</v>
      </c>
      <c r="J99" s="335">
        <v>1776</v>
      </c>
      <c r="K99" s="328"/>
      <c r="L99" s="325">
        <v>190.9</v>
      </c>
      <c r="M99" s="331">
        <f t="shared" si="4"/>
        <v>199.2</v>
      </c>
      <c r="N99" s="332">
        <v>0.88</v>
      </c>
      <c r="O99" s="339">
        <v>94.5</v>
      </c>
      <c r="P99" s="328"/>
      <c r="Q99" s="328"/>
      <c r="R99" s="332">
        <v>0.88</v>
      </c>
      <c r="S99" s="339">
        <v>94.5</v>
      </c>
      <c r="T99" s="328"/>
      <c r="U99" s="328"/>
      <c r="V99" s="339">
        <v>6.9</v>
      </c>
      <c r="W99" s="339">
        <v>2.1</v>
      </c>
      <c r="X99" s="339">
        <v>2.2000000000000002</v>
      </c>
      <c r="Y99" s="328"/>
      <c r="Z99" s="328"/>
      <c r="AA99" s="328"/>
      <c r="AB99" s="329">
        <v>2.97</v>
      </c>
      <c r="AC99" s="328">
        <v>75</v>
      </c>
      <c r="AD99" s="325">
        <v>898</v>
      </c>
      <c r="AE99" s="328"/>
      <c r="AF99" s="328"/>
      <c r="AG99" s="328"/>
      <c r="AH99" s="327">
        <v>508</v>
      </c>
      <c r="AI99" s="327">
        <v>406</v>
      </c>
      <c r="AJ99" s="327">
        <v>216</v>
      </c>
      <c r="AK99" s="327">
        <v>80</v>
      </c>
      <c r="AL99" s="327">
        <v>170</v>
      </c>
      <c r="AM99" s="327">
        <v>22</v>
      </c>
      <c r="AN99" s="327">
        <v>71</v>
      </c>
      <c r="AO99" s="327" t="s">
        <v>249</v>
      </c>
      <c r="AP99" s="327">
        <v>315</v>
      </c>
      <c r="AQ99" s="327">
        <v>28</v>
      </c>
      <c r="AR99" s="327">
        <v>630</v>
      </c>
      <c r="AS99" s="327">
        <v>645</v>
      </c>
      <c r="AT99" s="327">
        <v>535</v>
      </c>
      <c r="AU99" s="327">
        <v>885</v>
      </c>
      <c r="AV99" s="327">
        <v>1215</v>
      </c>
      <c r="AW99" s="327">
        <v>1340</v>
      </c>
      <c r="AX99" s="328"/>
      <c r="AY99" s="328"/>
      <c r="AZ99" s="328"/>
      <c r="BA99" s="328"/>
      <c r="BB99" s="328"/>
      <c r="BC99" s="328"/>
      <c r="BD99" s="328"/>
      <c r="BE99" s="328"/>
      <c r="BF99" s="328"/>
      <c r="BG99" s="328"/>
      <c r="BH99" s="327">
        <v>600</v>
      </c>
      <c r="BI99" s="327">
        <v>550</v>
      </c>
      <c r="BJ99" s="327">
        <v>660</v>
      </c>
      <c r="BK99" s="327">
        <v>24</v>
      </c>
      <c r="BL99" s="327">
        <v>6</v>
      </c>
      <c r="BM99" s="325" t="s">
        <v>389</v>
      </c>
      <c r="BN99" s="325" t="s">
        <v>389</v>
      </c>
      <c r="BO99" s="325"/>
      <c r="BP99" s="340"/>
      <c r="BQ99" s="325" t="s">
        <v>405</v>
      </c>
    </row>
    <row r="100" spans="1:70" ht="12" customHeight="1">
      <c r="A100" s="320">
        <v>144</v>
      </c>
      <c r="B100" s="336" t="s">
        <v>746</v>
      </c>
      <c r="C100" s="325" t="s">
        <v>745</v>
      </c>
      <c r="D100" s="336" t="s">
        <v>855</v>
      </c>
      <c r="E100" s="328">
        <v>315</v>
      </c>
      <c r="F100" s="382">
        <v>4</v>
      </c>
      <c r="G100" s="325">
        <v>132</v>
      </c>
      <c r="H100" s="325">
        <v>158.4</v>
      </c>
      <c r="I100" s="325">
        <v>1480</v>
      </c>
      <c r="J100" s="335">
        <v>1776</v>
      </c>
      <c r="K100" s="328"/>
      <c r="L100" s="325">
        <v>228.4</v>
      </c>
      <c r="M100" s="331">
        <f t="shared" si="4"/>
        <v>238.33043478260871</v>
      </c>
      <c r="N100" s="332">
        <v>0.88</v>
      </c>
      <c r="O100" s="339">
        <v>94.8</v>
      </c>
      <c r="P100" s="328"/>
      <c r="Q100" s="328"/>
      <c r="R100" s="332">
        <v>0.88</v>
      </c>
      <c r="S100" s="339">
        <v>94.8</v>
      </c>
      <c r="T100" s="328"/>
      <c r="U100" s="328"/>
      <c r="V100" s="339">
        <v>6.9</v>
      </c>
      <c r="W100" s="339">
        <v>2.1</v>
      </c>
      <c r="X100" s="339">
        <v>2.2000000000000002</v>
      </c>
      <c r="Y100" s="328"/>
      <c r="Z100" s="328"/>
      <c r="AA100" s="328"/>
      <c r="AB100" s="329">
        <v>3.34</v>
      </c>
      <c r="AC100" s="328">
        <v>75</v>
      </c>
      <c r="AD100" s="325">
        <v>956</v>
      </c>
      <c r="AE100" s="328"/>
      <c r="AF100" s="328"/>
      <c r="AG100" s="328"/>
      <c r="AH100" s="327">
        <v>508</v>
      </c>
      <c r="AI100" s="327">
        <v>457</v>
      </c>
      <c r="AJ100" s="327">
        <v>216</v>
      </c>
      <c r="AK100" s="327">
        <v>80</v>
      </c>
      <c r="AL100" s="327">
        <v>170</v>
      </c>
      <c r="AM100" s="327">
        <v>22</v>
      </c>
      <c r="AN100" s="327">
        <v>71</v>
      </c>
      <c r="AO100" s="327" t="s">
        <v>249</v>
      </c>
      <c r="AP100" s="327">
        <v>315</v>
      </c>
      <c r="AQ100" s="327">
        <v>28</v>
      </c>
      <c r="AR100" s="327">
        <v>630</v>
      </c>
      <c r="AS100" s="327">
        <v>645</v>
      </c>
      <c r="AT100" s="327">
        <v>535</v>
      </c>
      <c r="AU100" s="327">
        <v>885</v>
      </c>
      <c r="AV100" s="327">
        <v>1325</v>
      </c>
      <c r="AW100" s="327">
        <v>1450</v>
      </c>
      <c r="AX100" s="328"/>
      <c r="AY100" s="328"/>
      <c r="AZ100" s="328"/>
      <c r="BA100" s="328"/>
      <c r="BB100" s="328"/>
      <c r="BC100" s="328"/>
      <c r="BD100" s="328"/>
      <c r="BE100" s="328"/>
      <c r="BF100" s="328"/>
      <c r="BG100" s="328"/>
      <c r="BH100" s="327">
        <v>600</v>
      </c>
      <c r="BI100" s="327">
        <v>550</v>
      </c>
      <c r="BJ100" s="327">
        <v>660</v>
      </c>
      <c r="BK100" s="327">
        <v>24</v>
      </c>
      <c r="BL100" s="327">
        <v>6</v>
      </c>
      <c r="BM100" s="325" t="s">
        <v>389</v>
      </c>
      <c r="BN100" s="325" t="s">
        <v>389</v>
      </c>
      <c r="BO100" s="325"/>
      <c r="BP100" s="328"/>
      <c r="BQ100" s="325" t="s">
        <v>405</v>
      </c>
    </row>
    <row r="101" spans="1:70" ht="12" customHeight="1">
      <c r="A101" s="320">
        <v>145</v>
      </c>
      <c r="B101" s="336" t="s">
        <v>746</v>
      </c>
      <c r="C101" s="325" t="s">
        <v>745</v>
      </c>
      <c r="D101" s="336" t="s">
        <v>854</v>
      </c>
      <c r="E101" s="328">
        <v>315</v>
      </c>
      <c r="F101" s="382">
        <v>4</v>
      </c>
      <c r="G101" s="325">
        <v>160</v>
      </c>
      <c r="H101" s="325">
        <v>192</v>
      </c>
      <c r="I101" s="325">
        <v>1480</v>
      </c>
      <c r="J101" s="335">
        <v>1776</v>
      </c>
      <c r="K101" s="328"/>
      <c r="L101" s="325">
        <v>273.39999999999998</v>
      </c>
      <c r="M101" s="331">
        <f t="shared" si="4"/>
        <v>285.28695652173911</v>
      </c>
      <c r="N101" s="332">
        <v>0.89</v>
      </c>
      <c r="O101" s="339">
        <v>94.9</v>
      </c>
      <c r="P101" s="328"/>
      <c r="Q101" s="328"/>
      <c r="R101" s="332">
        <v>0.89</v>
      </c>
      <c r="S101" s="339">
        <v>94.9</v>
      </c>
      <c r="T101" s="328"/>
      <c r="U101" s="328"/>
      <c r="V101" s="339">
        <v>6.9</v>
      </c>
      <c r="W101" s="339">
        <v>2.1</v>
      </c>
      <c r="X101" s="339">
        <v>2.2000000000000002</v>
      </c>
      <c r="Y101" s="328"/>
      <c r="Z101" s="328"/>
      <c r="AA101" s="328"/>
      <c r="AB101" s="329">
        <v>4.03</v>
      </c>
      <c r="AC101" s="328">
        <v>79</v>
      </c>
      <c r="AD101" s="325">
        <v>1064</v>
      </c>
      <c r="AE101" s="328"/>
      <c r="AF101" s="328"/>
      <c r="AG101" s="328"/>
      <c r="AH101" s="327">
        <v>508</v>
      </c>
      <c r="AI101" s="327">
        <v>508</v>
      </c>
      <c r="AJ101" s="327">
        <v>216</v>
      </c>
      <c r="AK101" s="327">
        <v>80</v>
      </c>
      <c r="AL101" s="327">
        <v>170</v>
      </c>
      <c r="AM101" s="327">
        <v>22</v>
      </c>
      <c r="AN101" s="327">
        <v>71</v>
      </c>
      <c r="AO101" s="327" t="s">
        <v>249</v>
      </c>
      <c r="AP101" s="327">
        <v>315</v>
      </c>
      <c r="AQ101" s="327">
        <v>28</v>
      </c>
      <c r="AR101" s="327">
        <v>630</v>
      </c>
      <c r="AS101" s="327">
        <v>645</v>
      </c>
      <c r="AT101" s="327">
        <v>535</v>
      </c>
      <c r="AU101" s="327">
        <v>885</v>
      </c>
      <c r="AV101" s="327">
        <v>1325</v>
      </c>
      <c r="AW101" s="327">
        <v>1450</v>
      </c>
      <c r="AX101" s="328"/>
      <c r="AY101" s="328"/>
      <c r="AZ101" s="328"/>
      <c r="BA101" s="328"/>
      <c r="BB101" s="328"/>
      <c r="BC101" s="328"/>
      <c r="BD101" s="328"/>
      <c r="BE101" s="328"/>
      <c r="BF101" s="328"/>
      <c r="BG101" s="328"/>
      <c r="BH101" s="327">
        <v>600</v>
      </c>
      <c r="BI101" s="327">
        <v>550</v>
      </c>
      <c r="BJ101" s="327">
        <v>660</v>
      </c>
      <c r="BK101" s="327">
        <v>24</v>
      </c>
      <c r="BL101" s="327">
        <v>6</v>
      </c>
      <c r="BM101" s="325" t="s">
        <v>389</v>
      </c>
      <c r="BN101" s="325" t="s">
        <v>389</v>
      </c>
      <c r="BO101" s="325"/>
      <c r="BP101" s="328"/>
      <c r="BQ101" s="325" t="s">
        <v>405</v>
      </c>
    </row>
    <row r="102" spans="1:70" ht="12" customHeight="1">
      <c r="A102" s="320">
        <v>146</v>
      </c>
      <c r="B102" s="336" t="s">
        <v>746</v>
      </c>
      <c r="C102" s="325" t="s">
        <v>745</v>
      </c>
      <c r="D102" s="336" t="s">
        <v>853</v>
      </c>
      <c r="E102" s="328">
        <v>315</v>
      </c>
      <c r="F102" s="382">
        <v>4</v>
      </c>
      <c r="G102" s="325">
        <v>200</v>
      </c>
      <c r="H102" s="325">
        <v>240</v>
      </c>
      <c r="I102" s="325">
        <v>1480</v>
      </c>
      <c r="J102" s="335">
        <v>1776</v>
      </c>
      <c r="K102" s="328"/>
      <c r="L102" s="325">
        <v>341.8</v>
      </c>
      <c r="M102" s="331">
        <f t="shared" si="4"/>
        <v>356.66086956521741</v>
      </c>
      <c r="N102" s="332">
        <v>0.89</v>
      </c>
      <c r="O102" s="339">
        <v>94.9</v>
      </c>
      <c r="P102" s="328"/>
      <c r="Q102" s="328"/>
      <c r="R102" s="332">
        <v>0.89</v>
      </c>
      <c r="S102" s="339">
        <v>94.9</v>
      </c>
      <c r="T102" s="328"/>
      <c r="U102" s="328"/>
      <c r="V102" s="339">
        <v>6.9</v>
      </c>
      <c r="W102" s="339">
        <v>2.1</v>
      </c>
      <c r="X102" s="339">
        <v>2.2000000000000002</v>
      </c>
      <c r="Y102" s="328"/>
      <c r="Z102" s="328"/>
      <c r="AA102" s="328"/>
      <c r="AB102" s="329">
        <v>4.88</v>
      </c>
      <c r="AC102" s="328">
        <v>79</v>
      </c>
      <c r="AD102" s="325">
        <v>1212</v>
      </c>
      <c r="AE102" s="328"/>
      <c r="AF102" s="328"/>
      <c r="AG102" s="328"/>
      <c r="AH102" s="327">
        <v>508</v>
      </c>
      <c r="AI102" s="327">
        <v>508</v>
      </c>
      <c r="AJ102" s="327">
        <v>216</v>
      </c>
      <c r="AK102" s="327">
        <v>80</v>
      </c>
      <c r="AL102" s="327">
        <v>170</v>
      </c>
      <c r="AM102" s="327">
        <v>22</v>
      </c>
      <c r="AN102" s="327">
        <v>71</v>
      </c>
      <c r="AO102" s="327" t="s">
        <v>249</v>
      </c>
      <c r="AP102" s="327">
        <v>315</v>
      </c>
      <c r="AQ102" s="327">
        <v>28</v>
      </c>
      <c r="AR102" s="327">
        <v>630</v>
      </c>
      <c r="AS102" s="327">
        <v>645</v>
      </c>
      <c r="AT102" s="327">
        <v>535</v>
      </c>
      <c r="AU102" s="327">
        <v>885</v>
      </c>
      <c r="AV102" s="327">
        <v>1325</v>
      </c>
      <c r="AW102" s="327">
        <v>1450</v>
      </c>
      <c r="AX102" s="328"/>
      <c r="AY102" s="328"/>
      <c r="AZ102" s="328"/>
      <c r="BA102" s="328"/>
      <c r="BB102" s="328"/>
      <c r="BC102" s="328"/>
      <c r="BD102" s="328"/>
      <c r="BE102" s="328"/>
      <c r="BF102" s="328"/>
      <c r="BG102" s="328"/>
      <c r="BH102" s="327">
        <v>600</v>
      </c>
      <c r="BI102" s="327">
        <v>550</v>
      </c>
      <c r="BJ102" s="327">
        <v>660</v>
      </c>
      <c r="BK102" s="327">
        <v>24</v>
      </c>
      <c r="BL102" s="327">
        <v>6</v>
      </c>
      <c r="BM102" s="325" t="s">
        <v>389</v>
      </c>
      <c r="BN102" s="325" t="s">
        <v>389</v>
      </c>
      <c r="BO102" s="325"/>
      <c r="BP102" s="328"/>
      <c r="BQ102" s="325" t="s">
        <v>405</v>
      </c>
    </row>
    <row r="103" spans="1:70" ht="12" customHeight="1">
      <c r="A103" s="320">
        <v>147</v>
      </c>
      <c r="B103" s="336" t="s">
        <v>746</v>
      </c>
      <c r="C103" s="325" t="s">
        <v>745</v>
      </c>
      <c r="D103" s="336" t="s">
        <v>852</v>
      </c>
      <c r="E103" s="334">
        <v>355</v>
      </c>
      <c r="F103" s="382">
        <v>4</v>
      </c>
      <c r="G103" s="325">
        <v>250</v>
      </c>
      <c r="H103" s="325">
        <v>300</v>
      </c>
      <c r="I103" s="325">
        <v>1490</v>
      </c>
      <c r="J103" s="335">
        <v>1788</v>
      </c>
      <c r="K103" s="334"/>
      <c r="L103" s="325">
        <v>421.2</v>
      </c>
      <c r="M103" s="331">
        <f t="shared" si="4"/>
        <v>439.5130434782609</v>
      </c>
      <c r="N103" s="332">
        <v>0.9</v>
      </c>
      <c r="O103" s="339">
        <v>95.2</v>
      </c>
      <c r="P103" s="334"/>
      <c r="Q103" s="334"/>
      <c r="R103" s="332">
        <v>0.9</v>
      </c>
      <c r="S103" s="339">
        <v>95.2</v>
      </c>
      <c r="T103" s="334"/>
      <c r="U103" s="334"/>
      <c r="V103" s="339">
        <v>6.9</v>
      </c>
      <c r="W103" s="339">
        <v>2.1</v>
      </c>
      <c r="X103" s="339">
        <v>2.2000000000000002</v>
      </c>
      <c r="Y103" s="328"/>
      <c r="Z103" s="328"/>
      <c r="AA103" s="328"/>
      <c r="AB103" s="329">
        <v>8.33</v>
      </c>
      <c r="AC103" s="328">
        <v>83</v>
      </c>
      <c r="AD103" s="325">
        <v>1643</v>
      </c>
      <c r="AE103" s="328"/>
      <c r="AF103" s="328"/>
      <c r="AG103" s="328"/>
      <c r="AH103" s="327">
        <v>610</v>
      </c>
      <c r="AI103" s="327">
        <v>560</v>
      </c>
      <c r="AJ103" s="327">
        <v>254</v>
      </c>
      <c r="AK103" s="327">
        <v>95</v>
      </c>
      <c r="AL103" s="327">
        <v>170</v>
      </c>
      <c r="AM103" s="327">
        <v>25</v>
      </c>
      <c r="AN103" s="327">
        <v>86</v>
      </c>
      <c r="AO103" s="327" t="s">
        <v>250</v>
      </c>
      <c r="AP103" s="327">
        <v>355</v>
      </c>
      <c r="AQ103" s="327">
        <v>28</v>
      </c>
      <c r="AR103" s="327">
        <v>730</v>
      </c>
      <c r="AS103" s="327">
        <v>720</v>
      </c>
      <c r="AT103" s="327">
        <v>700</v>
      </c>
      <c r="AU103" s="327">
        <v>1065</v>
      </c>
      <c r="AV103" s="327">
        <v>1525</v>
      </c>
      <c r="AW103" s="327">
        <v>1670</v>
      </c>
      <c r="AX103" s="328"/>
      <c r="AY103" s="328"/>
      <c r="AZ103" s="328"/>
      <c r="BA103" s="328"/>
      <c r="BB103" s="328"/>
      <c r="BC103" s="328"/>
      <c r="BD103" s="328"/>
      <c r="BE103" s="328"/>
      <c r="BF103" s="328"/>
      <c r="BG103" s="328"/>
      <c r="BH103" s="327">
        <v>740</v>
      </c>
      <c r="BI103" s="327">
        <v>680</v>
      </c>
      <c r="BJ103" s="327">
        <v>800</v>
      </c>
      <c r="BK103" s="327">
        <v>24</v>
      </c>
      <c r="BL103" s="327">
        <v>6</v>
      </c>
      <c r="BM103" s="325" t="s">
        <v>390</v>
      </c>
      <c r="BN103" s="325" t="s">
        <v>389</v>
      </c>
      <c r="BO103" s="326"/>
      <c r="BP103" s="326"/>
      <c r="BQ103" s="325" t="s">
        <v>388</v>
      </c>
    </row>
    <row r="104" spans="1:70" ht="12" customHeight="1">
      <c r="A104" s="320">
        <v>148</v>
      </c>
      <c r="B104" s="336" t="s">
        <v>746</v>
      </c>
      <c r="C104" s="325" t="s">
        <v>745</v>
      </c>
      <c r="D104" s="336" t="s">
        <v>851</v>
      </c>
      <c r="E104" s="334">
        <v>355</v>
      </c>
      <c r="F104" s="382">
        <v>4</v>
      </c>
      <c r="G104" s="325">
        <v>315</v>
      </c>
      <c r="H104" s="325">
        <v>378</v>
      </c>
      <c r="I104" s="325">
        <v>1490</v>
      </c>
      <c r="J104" s="335">
        <v>1788</v>
      </c>
      <c r="K104" s="334"/>
      <c r="L104" s="325">
        <v>530.70000000000005</v>
      </c>
      <c r="M104" s="331">
        <f t="shared" si="4"/>
        <v>553.77391304347827</v>
      </c>
      <c r="N104" s="332">
        <v>0.9</v>
      </c>
      <c r="O104" s="339">
        <v>95.2</v>
      </c>
      <c r="P104" s="334"/>
      <c r="Q104" s="334"/>
      <c r="R104" s="332">
        <v>0.9</v>
      </c>
      <c r="S104" s="339">
        <v>95.2</v>
      </c>
      <c r="T104" s="334"/>
      <c r="U104" s="334"/>
      <c r="V104" s="339">
        <v>6.9</v>
      </c>
      <c r="W104" s="339">
        <v>2.1</v>
      </c>
      <c r="X104" s="339">
        <v>2.2000000000000002</v>
      </c>
      <c r="Y104" s="328"/>
      <c r="Z104" s="328"/>
      <c r="AA104" s="328"/>
      <c r="AB104" s="380">
        <v>10.51</v>
      </c>
      <c r="AC104" s="328">
        <v>83</v>
      </c>
      <c r="AD104" s="325">
        <v>1818</v>
      </c>
      <c r="AE104" s="328"/>
      <c r="AF104" s="328"/>
      <c r="AG104" s="328"/>
      <c r="AH104" s="327">
        <v>610</v>
      </c>
      <c r="AI104" s="327">
        <v>630</v>
      </c>
      <c r="AJ104" s="327">
        <v>254</v>
      </c>
      <c r="AK104" s="327">
        <v>95</v>
      </c>
      <c r="AL104" s="327">
        <v>170</v>
      </c>
      <c r="AM104" s="327">
        <v>25</v>
      </c>
      <c r="AN104" s="327">
        <v>86</v>
      </c>
      <c r="AO104" s="327" t="s">
        <v>250</v>
      </c>
      <c r="AP104" s="327">
        <v>355</v>
      </c>
      <c r="AQ104" s="327">
        <v>28</v>
      </c>
      <c r="AR104" s="327">
        <v>730</v>
      </c>
      <c r="AS104" s="327">
        <v>720</v>
      </c>
      <c r="AT104" s="327">
        <v>700</v>
      </c>
      <c r="AU104" s="327">
        <v>1065</v>
      </c>
      <c r="AV104" s="327">
        <v>1525</v>
      </c>
      <c r="AW104" s="327">
        <v>1670</v>
      </c>
      <c r="AX104" s="328"/>
      <c r="AY104" s="328"/>
      <c r="AZ104" s="328"/>
      <c r="BA104" s="328"/>
      <c r="BB104" s="328"/>
      <c r="BC104" s="328"/>
      <c r="BD104" s="328"/>
      <c r="BE104" s="328"/>
      <c r="BF104" s="328"/>
      <c r="BG104" s="328"/>
      <c r="BH104" s="327">
        <v>740</v>
      </c>
      <c r="BI104" s="327">
        <v>680</v>
      </c>
      <c r="BJ104" s="327">
        <v>800</v>
      </c>
      <c r="BK104" s="327">
        <v>24</v>
      </c>
      <c r="BL104" s="327">
        <v>6</v>
      </c>
      <c r="BM104" s="325" t="s">
        <v>390</v>
      </c>
      <c r="BN104" s="325" t="s">
        <v>389</v>
      </c>
      <c r="BO104" s="326"/>
      <c r="BP104" s="326"/>
      <c r="BQ104" s="325" t="s">
        <v>388</v>
      </c>
    </row>
    <row r="105" spans="1:70" ht="12" customHeight="1">
      <c r="A105" s="320">
        <v>149</v>
      </c>
      <c r="B105" s="336" t="s">
        <v>746</v>
      </c>
      <c r="C105" s="325" t="s">
        <v>745</v>
      </c>
      <c r="D105" s="336" t="s">
        <v>850</v>
      </c>
      <c r="E105" s="334">
        <v>355</v>
      </c>
      <c r="F105" s="382">
        <v>4</v>
      </c>
      <c r="G105" s="325">
        <v>355</v>
      </c>
      <c r="H105" s="325">
        <v>426</v>
      </c>
      <c r="I105" s="325">
        <v>1490</v>
      </c>
      <c r="J105" s="335">
        <v>1788</v>
      </c>
      <c r="K105" s="334"/>
      <c r="L105" s="325">
        <v>603</v>
      </c>
      <c r="M105" s="331">
        <f t="shared" si="4"/>
        <v>629.21739130434787</v>
      </c>
      <c r="N105" s="332">
        <v>0.9</v>
      </c>
      <c r="O105" s="339">
        <v>95.7</v>
      </c>
      <c r="P105" s="334"/>
      <c r="Q105" s="334"/>
      <c r="R105" s="332">
        <v>0.9</v>
      </c>
      <c r="S105" s="339">
        <v>95.7</v>
      </c>
      <c r="T105" s="334"/>
      <c r="U105" s="334"/>
      <c r="V105" s="339">
        <v>7.5</v>
      </c>
      <c r="W105" s="339">
        <v>2.2999999999999998</v>
      </c>
      <c r="X105" s="339">
        <v>2.4</v>
      </c>
      <c r="Y105" s="328"/>
      <c r="Z105" s="328"/>
      <c r="AA105" s="328"/>
      <c r="AB105" s="380">
        <v>11.2</v>
      </c>
      <c r="AC105" s="328"/>
      <c r="AD105" s="325">
        <v>2000</v>
      </c>
      <c r="AE105" s="328"/>
      <c r="AF105" s="328"/>
      <c r="AG105" s="328"/>
      <c r="AH105" s="327">
        <v>610</v>
      </c>
      <c r="AI105" s="327">
        <v>630</v>
      </c>
      <c r="AJ105" s="327">
        <v>254</v>
      </c>
      <c r="AK105" s="327">
        <v>95</v>
      </c>
      <c r="AL105" s="327">
        <v>170</v>
      </c>
      <c r="AM105" s="327">
        <v>25</v>
      </c>
      <c r="AN105" s="327">
        <v>86</v>
      </c>
      <c r="AO105" s="327" t="s">
        <v>250</v>
      </c>
      <c r="AP105" s="327">
        <v>355</v>
      </c>
      <c r="AQ105" s="327">
        <v>28</v>
      </c>
      <c r="AR105" s="327">
        <v>730</v>
      </c>
      <c r="AS105" s="327">
        <v>720</v>
      </c>
      <c r="AT105" s="327">
        <v>700</v>
      </c>
      <c r="AU105" s="327">
        <v>1065</v>
      </c>
      <c r="AV105" s="327">
        <v>1525</v>
      </c>
      <c r="AW105" s="327">
        <v>1670</v>
      </c>
      <c r="AX105" s="328"/>
      <c r="AY105" s="328"/>
      <c r="AZ105" s="328"/>
      <c r="BA105" s="328"/>
      <c r="BB105" s="328"/>
      <c r="BC105" s="328"/>
      <c r="BD105" s="328"/>
      <c r="BE105" s="328"/>
      <c r="BF105" s="328"/>
      <c r="BG105" s="328"/>
      <c r="BH105" s="327">
        <v>740</v>
      </c>
      <c r="BI105" s="327">
        <v>680</v>
      </c>
      <c r="BJ105" s="327">
        <v>800</v>
      </c>
      <c r="BK105" s="327">
        <v>24</v>
      </c>
      <c r="BL105" s="327">
        <v>6</v>
      </c>
      <c r="BM105" s="325" t="s">
        <v>390</v>
      </c>
      <c r="BN105" s="325" t="s">
        <v>389</v>
      </c>
      <c r="BO105" s="326"/>
      <c r="BP105" s="326"/>
      <c r="BQ105" s="325" t="s">
        <v>388</v>
      </c>
    </row>
    <row r="106" spans="1:70" ht="12" customHeight="1">
      <c r="A106" s="320">
        <v>150</v>
      </c>
      <c r="B106" s="336" t="s">
        <v>746</v>
      </c>
      <c r="C106" s="325" t="s">
        <v>745</v>
      </c>
      <c r="D106" s="336" t="s">
        <v>849</v>
      </c>
      <c r="E106" s="334">
        <v>400</v>
      </c>
      <c r="F106" s="382">
        <v>4</v>
      </c>
      <c r="G106" s="325">
        <v>400</v>
      </c>
      <c r="H106" s="325">
        <v>480</v>
      </c>
      <c r="I106" s="325">
        <v>1492</v>
      </c>
      <c r="J106" s="335">
        <v>1790.3999999999999</v>
      </c>
      <c r="K106" s="334"/>
      <c r="L106" s="325">
        <v>666</v>
      </c>
      <c r="M106" s="331">
        <f t="shared" si="4"/>
        <v>694.95652173913038</v>
      </c>
      <c r="N106" s="332">
        <v>0.9</v>
      </c>
      <c r="O106" s="339">
        <v>96</v>
      </c>
      <c r="P106" s="334"/>
      <c r="Q106" s="334"/>
      <c r="R106" s="332">
        <v>0.9</v>
      </c>
      <c r="S106" s="339">
        <v>96</v>
      </c>
      <c r="T106" s="334"/>
      <c r="U106" s="334"/>
      <c r="V106" s="332">
        <v>6.61</v>
      </c>
      <c r="W106" s="332">
        <v>1.92</v>
      </c>
      <c r="X106" s="332">
        <v>2.75</v>
      </c>
      <c r="Y106" s="328"/>
      <c r="Z106" s="328"/>
      <c r="AA106" s="328"/>
      <c r="AB106" s="380">
        <v>14.95</v>
      </c>
      <c r="AC106" s="328"/>
      <c r="AD106" s="325">
        <v>2786</v>
      </c>
      <c r="AE106" s="328"/>
      <c r="AF106" s="328"/>
      <c r="AG106" s="328"/>
      <c r="AH106" s="327">
        <v>686</v>
      </c>
      <c r="AI106" s="327">
        <v>710</v>
      </c>
      <c r="AJ106" s="327">
        <v>280</v>
      </c>
      <c r="AK106" s="327">
        <v>120</v>
      </c>
      <c r="AL106" s="327">
        <v>210</v>
      </c>
      <c r="AM106" s="327">
        <v>28</v>
      </c>
      <c r="AN106" s="327">
        <v>100</v>
      </c>
      <c r="AO106" s="327" t="s">
        <v>250</v>
      </c>
      <c r="AP106" s="327">
        <v>400</v>
      </c>
      <c r="AQ106" s="327">
        <v>36</v>
      </c>
      <c r="AR106" s="327">
        <v>806</v>
      </c>
      <c r="AS106" s="327">
        <v>810</v>
      </c>
      <c r="AT106" s="327" t="s">
        <v>251</v>
      </c>
      <c r="AU106" s="327">
        <v>1075</v>
      </c>
      <c r="AV106" s="327">
        <v>1881</v>
      </c>
      <c r="AW106" s="327">
        <v>2040</v>
      </c>
      <c r="AX106" s="328"/>
      <c r="AY106" s="328"/>
      <c r="AZ106" s="328"/>
      <c r="BA106" s="328"/>
      <c r="BB106" s="328"/>
      <c r="BC106" s="328"/>
      <c r="BD106" s="328"/>
      <c r="BE106" s="328"/>
      <c r="BF106" s="328"/>
      <c r="BG106" s="328"/>
      <c r="BH106" s="327">
        <v>940</v>
      </c>
      <c r="BI106" s="327">
        <v>880</v>
      </c>
      <c r="BJ106" s="327">
        <v>1000</v>
      </c>
      <c r="BK106" s="327">
        <v>28</v>
      </c>
      <c r="BL106" s="327">
        <v>6</v>
      </c>
      <c r="BM106" s="461" t="s">
        <v>390</v>
      </c>
      <c r="BN106" s="461" t="s">
        <v>389</v>
      </c>
      <c r="BO106" s="326"/>
      <c r="BP106" s="326"/>
      <c r="BQ106" s="328"/>
    </row>
    <row r="107" spans="1:70" ht="12" customHeight="1">
      <c r="A107" s="320">
        <v>151</v>
      </c>
      <c r="B107" s="336" t="s">
        <v>746</v>
      </c>
      <c r="C107" s="325" t="s">
        <v>745</v>
      </c>
      <c r="D107" s="336" t="s">
        <v>848</v>
      </c>
      <c r="E107" s="334">
        <v>400</v>
      </c>
      <c r="F107" s="382">
        <v>4</v>
      </c>
      <c r="G107" s="325">
        <v>450</v>
      </c>
      <c r="H107" s="325">
        <v>540</v>
      </c>
      <c r="I107" s="325">
        <v>1492</v>
      </c>
      <c r="J107" s="335">
        <v>1790.3999999999999</v>
      </c>
      <c r="K107" s="334"/>
      <c r="L107" s="325">
        <v>750</v>
      </c>
      <c r="M107" s="331">
        <f t="shared" si="4"/>
        <v>782.60869565217388</v>
      </c>
      <c r="N107" s="332">
        <v>0.9</v>
      </c>
      <c r="O107" s="339">
        <v>96.1</v>
      </c>
      <c r="P107" s="334"/>
      <c r="Q107" s="334"/>
      <c r="R107" s="332">
        <v>0.9</v>
      </c>
      <c r="S107" s="339">
        <v>96.1</v>
      </c>
      <c r="T107" s="334"/>
      <c r="U107" s="334"/>
      <c r="V107" s="332">
        <v>6.84</v>
      </c>
      <c r="W107" s="332">
        <v>2.0299999999999998</v>
      </c>
      <c r="X107" s="332">
        <v>2.81</v>
      </c>
      <c r="Y107" s="328"/>
      <c r="Z107" s="328"/>
      <c r="AA107" s="328"/>
      <c r="AB107" s="380">
        <v>15.63</v>
      </c>
      <c r="AC107" s="328"/>
      <c r="AD107" s="325">
        <v>3122</v>
      </c>
      <c r="AE107" s="328"/>
      <c r="AF107" s="328"/>
      <c r="AG107" s="328"/>
      <c r="AH107" s="327">
        <v>686</v>
      </c>
      <c r="AI107" s="327">
        <v>710</v>
      </c>
      <c r="AJ107" s="327">
        <v>280</v>
      </c>
      <c r="AK107" s="327">
        <v>120</v>
      </c>
      <c r="AL107" s="327">
        <v>210</v>
      </c>
      <c r="AM107" s="327">
        <v>28</v>
      </c>
      <c r="AN107" s="327">
        <v>100</v>
      </c>
      <c r="AO107" s="327" t="s">
        <v>250</v>
      </c>
      <c r="AP107" s="327">
        <v>400</v>
      </c>
      <c r="AQ107" s="327">
        <v>36</v>
      </c>
      <c r="AR107" s="327">
        <v>806</v>
      </c>
      <c r="AS107" s="327">
        <v>810</v>
      </c>
      <c r="AT107" s="327" t="s">
        <v>251</v>
      </c>
      <c r="AU107" s="327">
        <v>1075</v>
      </c>
      <c r="AV107" s="327">
        <v>1881</v>
      </c>
      <c r="AW107" s="327">
        <v>2040</v>
      </c>
      <c r="AX107" s="328"/>
      <c r="AY107" s="328"/>
      <c r="AZ107" s="328"/>
      <c r="BA107" s="328"/>
      <c r="BB107" s="328"/>
      <c r="BC107" s="328"/>
      <c r="BD107" s="328"/>
      <c r="BE107" s="328"/>
      <c r="BF107" s="328"/>
      <c r="BG107" s="328"/>
      <c r="BH107" s="327">
        <v>940</v>
      </c>
      <c r="BI107" s="327">
        <v>880</v>
      </c>
      <c r="BJ107" s="327">
        <v>1000</v>
      </c>
      <c r="BK107" s="327">
        <v>28</v>
      </c>
      <c r="BL107" s="327">
        <v>6</v>
      </c>
      <c r="BM107" s="461" t="s">
        <v>390</v>
      </c>
      <c r="BN107" s="461" t="s">
        <v>389</v>
      </c>
      <c r="BO107" s="326"/>
      <c r="BP107" s="326"/>
      <c r="BQ107" s="328"/>
    </row>
    <row r="108" spans="1:70" ht="12" customHeight="1">
      <c r="A108" s="320">
        <v>152</v>
      </c>
      <c r="B108" s="336" t="s">
        <v>746</v>
      </c>
      <c r="C108" s="325" t="s">
        <v>745</v>
      </c>
      <c r="D108" s="336" t="s">
        <v>847</v>
      </c>
      <c r="E108" s="334">
        <v>400</v>
      </c>
      <c r="F108" s="382">
        <v>4</v>
      </c>
      <c r="G108" s="325">
        <v>500</v>
      </c>
      <c r="H108" s="325">
        <v>600</v>
      </c>
      <c r="I108" s="325">
        <v>1492</v>
      </c>
      <c r="J108" s="335">
        <v>1790.3999999999999</v>
      </c>
      <c r="K108" s="334"/>
      <c r="L108" s="325">
        <v>831</v>
      </c>
      <c r="M108" s="331">
        <f t="shared" si="4"/>
        <v>867.13043478260875</v>
      </c>
      <c r="N108" s="332">
        <v>0.9</v>
      </c>
      <c r="O108" s="339">
        <v>96.4</v>
      </c>
      <c r="P108" s="334"/>
      <c r="Q108" s="334"/>
      <c r="R108" s="332">
        <v>0.9</v>
      </c>
      <c r="S108" s="339">
        <v>96.4</v>
      </c>
      <c r="T108" s="334"/>
      <c r="U108" s="334"/>
      <c r="V108" s="332">
        <v>6.19</v>
      </c>
      <c r="W108" s="332">
        <v>1.83</v>
      </c>
      <c r="X108" s="332">
        <v>2.52</v>
      </c>
      <c r="Y108" s="328"/>
      <c r="Z108" s="328"/>
      <c r="AA108" s="328"/>
      <c r="AB108" s="380">
        <v>18.41</v>
      </c>
      <c r="AC108" s="328"/>
      <c r="AD108" s="325">
        <v>3132</v>
      </c>
      <c r="AE108" s="328"/>
      <c r="AF108" s="328"/>
      <c r="AG108" s="328"/>
      <c r="AH108" s="327">
        <v>686</v>
      </c>
      <c r="AI108" s="327">
        <v>710</v>
      </c>
      <c r="AJ108" s="327">
        <v>280</v>
      </c>
      <c r="AK108" s="327">
        <v>120</v>
      </c>
      <c r="AL108" s="327">
        <v>210</v>
      </c>
      <c r="AM108" s="327">
        <v>28</v>
      </c>
      <c r="AN108" s="327">
        <v>100</v>
      </c>
      <c r="AO108" s="327" t="s">
        <v>250</v>
      </c>
      <c r="AP108" s="327">
        <v>400</v>
      </c>
      <c r="AQ108" s="327">
        <v>36</v>
      </c>
      <c r="AR108" s="327">
        <v>806</v>
      </c>
      <c r="AS108" s="327">
        <v>810</v>
      </c>
      <c r="AT108" s="327" t="s">
        <v>251</v>
      </c>
      <c r="AU108" s="327">
        <v>1075</v>
      </c>
      <c r="AV108" s="327">
        <v>1881</v>
      </c>
      <c r="AW108" s="327">
        <v>2040</v>
      </c>
      <c r="AX108" s="328"/>
      <c r="AY108" s="328"/>
      <c r="AZ108" s="328"/>
      <c r="BA108" s="328"/>
      <c r="BB108" s="328"/>
      <c r="BC108" s="328"/>
      <c r="BD108" s="328"/>
      <c r="BE108" s="328"/>
      <c r="BF108" s="328"/>
      <c r="BG108" s="328"/>
      <c r="BH108" s="327">
        <v>940</v>
      </c>
      <c r="BI108" s="327">
        <v>880</v>
      </c>
      <c r="BJ108" s="327">
        <v>1000</v>
      </c>
      <c r="BK108" s="327">
        <v>28</v>
      </c>
      <c r="BL108" s="327">
        <v>6</v>
      </c>
      <c r="BM108" s="461" t="s">
        <v>390</v>
      </c>
      <c r="BN108" s="461" t="s">
        <v>389</v>
      </c>
      <c r="BO108" s="326"/>
      <c r="BP108" s="326"/>
      <c r="BQ108" s="328"/>
    </row>
    <row r="109" spans="1:70" ht="12" customHeight="1">
      <c r="A109" s="320">
        <v>153</v>
      </c>
      <c r="B109" s="336" t="s">
        <v>746</v>
      </c>
      <c r="C109" s="325" t="s">
        <v>745</v>
      </c>
      <c r="D109" s="336" t="s">
        <v>846</v>
      </c>
      <c r="E109" s="334">
        <v>400</v>
      </c>
      <c r="F109" s="382">
        <v>4</v>
      </c>
      <c r="G109" s="325">
        <v>560</v>
      </c>
      <c r="H109" s="325">
        <v>672</v>
      </c>
      <c r="I109" s="325">
        <v>1492</v>
      </c>
      <c r="J109" s="335">
        <v>1790.3999999999999</v>
      </c>
      <c r="K109" s="334"/>
      <c r="L109" s="325">
        <v>924</v>
      </c>
      <c r="M109" s="331">
        <f t="shared" si="4"/>
        <v>964.17391304347825</v>
      </c>
      <c r="N109" s="332">
        <v>0.9</v>
      </c>
      <c r="O109" s="339">
        <v>96.4</v>
      </c>
      <c r="P109" s="334"/>
      <c r="Q109" s="334"/>
      <c r="R109" s="332">
        <v>0.9</v>
      </c>
      <c r="S109" s="339">
        <v>96.4</v>
      </c>
      <c r="T109" s="334"/>
      <c r="U109" s="334"/>
      <c r="V109" s="332">
        <v>6.64</v>
      </c>
      <c r="W109" s="332">
        <v>2.02</v>
      </c>
      <c r="X109" s="332">
        <v>2.67</v>
      </c>
      <c r="Y109" s="328"/>
      <c r="Z109" s="328"/>
      <c r="AA109" s="328"/>
      <c r="AB109" s="380">
        <v>19.62</v>
      </c>
      <c r="AC109" s="328"/>
      <c r="AD109" s="325">
        <v>3548</v>
      </c>
      <c r="AE109" s="328"/>
      <c r="AF109" s="328"/>
      <c r="AG109" s="328"/>
      <c r="AH109" s="327">
        <v>686</v>
      </c>
      <c r="AI109" s="327">
        <v>710</v>
      </c>
      <c r="AJ109" s="327">
        <v>280</v>
      </c>
      <c r="AK109" s="327">
        <v>120</v>
      </c>
      <c r="AL109" s="327">
        <v>210</v>
      </c>
      <c r="AM109" s="327">
        <v>28</v>
      </c>
      <c r="AN109" s="327">
        <v>100</v>
      </c>
      <c r="AO109" s="327" t="s">
        <v>250</v>
      </c>
      <c r="AP109" s="327">
        <v>400</v>
      </c>
      <c r="AQ109" s="327">
        <v>36</v>
      </c>
      <c r="AR109" s="327">
        <v>806</v>
      </c>
      <c r="AS109" s="327">
        <v>810</v>
      </c>
      <c r="AT109" s="327" t="s">
        <v>251</v>
      </c>
      <c r="AU109" s="327">
        <v>1075</v>
      </c>
      <c r="AV109" s="327">
        <v>1881</v>
      </c>
      <c r="AW109" s="327">
        <v>2040</v>
      </c>
      <c r="AX109" s="328"/>
      <c r="AY109" s="328"/>
      <c r="AZ109" s="328"/>
      <c r="BA109" s="328"/>
      <c r="BB109" s="328"/>
      <c r="BC109" s="328"/>
      <c r="BD109" s="328"/>
      <c r="BE109" s="328"/>
      <c r="BF109" s="328"/>
      <c r="BG109" s="328"/>
      <c r="BH109" s="327">
        <v>940</v>
      </c>
      <c r="BI109" s="327">
        <v>880</v>
      </c>
      <c r="BJ109" s="327">
        <v>1000</v>
      </c>
      <c r="BK109" s="327">
        <v>28</v>
      </c>
      <c r="BL109" s="327">
        <v>6</v>
      </c>
      <c r="BM109" s="461" t="s">
        <v>390</v>
      </c>
      <c r="BN109" s="461" t="s">
        <v>389</v>
      </c>
      <c r="BO109" s="326"/>
      <c r="BP109" s="326"/>
      <c r="BQ109" s="328"/>
    </row>
    <row r="110" spans="1:70" ht="12" customHeight="1">
      <c r="A110" s="320">
        <v>154</v>
      </c>
      <c r="B110" s="336" t="s">
        <v>746</v>
      </c>
      <c r="C110" s="325" t="s">
        <v>745</v>
      </c>
      <c r="D110" s="336" t="s">
        <v>845</v>
      </c>
      <c r="E110" s="334">
        <v>400</v>
      </c>
      <c r="F110" s="382">
        <v>4</v>
      </c>
      <c r="G110" s="325">
        <v>630</v>
      </c>
      <c r="H110" s="325">
        <v>756</v>
      </c>
      <c r="I110" s="325">
        <v>1492</v>
      </c>
      <c r="J110" s="335">
        <v>1790.3999999999999</v>
      </c>
      <c r="K110" s="334"/>
      <c r="L110" s="325">
        <v>1043</v>
      </c>
      <c r="M110" s="331">
        <f t="shared" ref="M110" si="5">L110*480/460</f>
        <v>1088.3478260869565</v>
      </c>
      <c r="N110" s="332">
        <v>0.91</v>
      </c>
      <c r="O110" s="339">
        <v>96.4</v>
      </c>
      <c r="P110" s="334"/>
      <c r="Q110" s="334"/>
      <c r="R110" s="332">
        <v>0.91</v>
      </c>
      <c r="S110" s="339">
        <v>96.4</v>
      </c>
      <c r="T110" s="334"/>
      <c r="U110" s="334"/>
      <c r="V110" s="332">
        <v>5.81</v>
      </c>
      <c r="W110" s="332">
        <v>1.75</v>
      </c>
      <c r="X110" s="332">
        <v>2.34</v>
      </c>
      <c r="Y110" s="328"/>
      <c r="Z110" s="328"/>
      <c r="AA110" s="328"/>
      <c r="AB110" s="380">
        <v>21.33</v>
      </c>
      <c r="AC110" s="328"/>
      <c r="AD110" s="325">
        <v>3589</v>
      </c>
      <c r="AE110" s="328"/>
      <c r="AF110" s="328"/>
      <c r="AG110" s="328"/>
      <c r="AH110" s="327">
        <v>686</v>
      </c>
      <c r="AI110" s="327">
        <v>710</v>
      </c>
      <c r="AJ110" s="327">
        <v>280</v>
      </c>
      <c r="AK110" s="327">
        <v>120</v>
      </c>
      <c r="AL110" s="327">
        <v>210</v>
      </c>
      <c r="AM110" s="327">
        <v>28</v>
      </c>
      <c r="AN110" s="327">
        <v>100</v>
      </c>
      <c r="AO110" s="327" t="s">
        <v>250</v>
      </c>
      <c r="AP110" s="327">
        <v>400</v>
      </c>
      <c r="AQ110" s="327">
        <v>36</v>
      </c>
      <c r="AR110" s="327">
        <v>806</v>
      </c>
      <c r="AS110" s="327">
        <v>810</v>
      </c>
      <c r="AT110" s="327" t="s">
        <v>251</v>
      </c>
      <c r="AU110" s="327">
        <v>1075</v>
      </c>
      <c r="AV110" s="327">
        <v>1881</v>
      </c>
      <c r="AW110" s="327">
        <v>2040</v>
      </c>
      <c r="AX110" s="328"/>
      <c r="AY110" s="328"/>
      <c r="AZ110" s="328"/>
      <c r="BA110" s="328"/>
      <c r="BB110" s="328"/>
      <c r="BC110" s="328"/>
      <c r="BD110" s="328"/>
      <c r="BE110" s="328"/>
      <c r="BF110" s="328"/>
      <c r="BG110" s="328"/>
      <c r="BH110" s="327">
        <v>940</v>
      </c>
      <c r="BI110" s="327">
        <v>880</v>
      </c>
      <c r="BJ110" s="327">
        <v>1000</v>
      </c>
      <c r="BK110" s="327">
        <v>28</v>
      </c>
      <c r="BL110" s="327">
        <v>6</v>
      </c>
      <c r="BM110" s="461" t="s">
        <v>390</v>
      </c>
      <c r="BN110" s="461" t="s">
        <v>389</v>
      </c>
      <c r="BO110" s="326"/>
      <c r="BP110" s="326"/>
      <c r="BQ110" s="328"/>
    </row>
    <row r="111" spans="1:70" s="1845" customFormat="1" ht="12" customHeight="1">
      <c r="A111" s="1842">
        <f>A110</f>
        <v>154</v>
      </c>
      <c r="B111" s="1843" t="str">
        <f t="shared" ref="B111" si="6">B110</f>
        <v>3D</v>
      </c>
      <c r="C111" s="1844" t="str">
        <f t="shared" ref="C111" si="7">C110</f>
        <v>Eff2</v>
      </c>
      <c r="D111" s="1843" t="str">
        <f t="shared" ref="D111" si="8">D110</f>
        <v>3D 400 L3-4</v>
      </c>
      <c r="E111" s="1845">
        <f t="shared" ref="E111" si="9">E110</f>
        <v>400</v>
      </c>
      <c r="F111" s="1846">
        <f t="shared" ref="F111" si="10">F110</f>
        <v>4</v>
      </c>
      <c r="G111" s="1844">
        <f t="shared" ref="G111" si="11">G110</f>
        <v>630</v>
      </c>
      <c r="H111" s="1844">
        <f t="shared" ref="H111" si="12">H110</f>
        <v>756</v>
      </c>
      <c r="I111" s="1844">
        <f t="shared" ref="I111" si="13">I110</f>
        <v>1492</v>
      </c>
      <c r="J111" s="1847">
        <f t="shared" ref="J111" si="14">J110</f>
        <v>1790.3999999999999</v>
      </c>
      <c r="K111" s="1845">
        <f t="shared" ref="K111" si="15">K110</f>
        <v>0</v>
      </c>
      <c r="L111" s="1844">
        <f t="shared" ref="L111" si="16">L110</f>
        <v>1043</v>
      </c>
      <c r="M111" s="1848">
        <f t="shared" ref="M111" si="17">M110</f>
        <v>1088.3478260869565</v>
      </c>
      <c r="N111" s="1849">
        <f t="shared" ref="N111" si="18">N110</f>
        <v>0.91</v>
      </c>
      <c r="O111" s="1850">
        <f t="shared" ref="O111" si="19">O110</f>
        <v>96.4</v>
      </c>
      <c r="P111" s="1845">
        <f t="shared" ref="P111" si="20">P110</f>
        <v>0</v>
      </c>
      <c r="Q111" s="1845">
        <f t="shared" ref="Q111" si="21">Q110</f>
        <v>0</v>
      </c>
      <c r="R111" s="1849">
        <f t="shared" ref="R111" si="22">R110</f>
        <v>0.91</v>
      </c>
      <c r="S111" s="1850">
        <f t="shared" ref="S111" si="23">S110</f>
        <v>96.4</v>
      </c>
      <c r="T111" s="1845">
        <f t="shared" ref="T111" si="24">T110</f>
        <v>0</v>
      </c>
      <c r="U111" s="1845">
        <f t="shared" ref="U111" si="25">U110</f>
        <v>0</v>
      </c>
      <c r="V111" s="1849">
        <f t="shared" ref="V111" si="26">V110</f>
        <v>5.81</v>
      </c>
      <c r="W111" s="1849">
        <f t="shared" ref="W111" si="27">W110</f>
        <v>1.75</v>
      </c>
      <c r="X111" s="1850">
        <f t="shared" ref="X111" si="28">X110</f>
        <v>2.34</v>
      </c>
      <c r="Y111" s="1845">
        <f t="shared" ref="Y111" si="29">Y110</f>
        <v>0</v>
      </c>
      <c r="Z111" s="1845">
        <f t="shared" ref="Z111" si="30">Z110</f>
        <v>0</v>
      </c>
      <c r="AA111" s="1845">
        <f t="shared" ref="AA111" si="31">AA110</f>
        <v>0</v>
      </c>
      <c r="AB111" s="1851">
        <f t="shared" ref="AB111" si="32">AB110</f>
        <v>21.33</v>
      </c>
      <c r="AC111" s="1845">
        <f t="shared" ref="AC111" si="33">AC110</f>
        <v>0</v>
      </c>
      <c r="AD111" s="1844">
        <f t="shared" ref="AD111" si="34">AD110</f>
        <v>3589</v>
      </c>
      <c r="AE111" s="1845">
        <f t="shared" ref="AE111" si="35">AE110</f>
        <v>0</v>
      </c>
      <c r="AF111" s="1845">
        <f t="shared" ref="AF111" si="36">AF110</f>
        <v>0</v>
      </c>
      <c r="AG111" s="1845">
        <f t="shared" ref="AG111" si="37">AG110</f>
        <v>0</v>
      </c>
      <c r="AH111" s="1844">
        <f t="shared" ref="AH111" si="38">AH110</f>
        <v>686</v>
      </c>
      <c r="AI111" s="1844">
        <f t="shared" ref="AI111" si="39">AI110</f>
        <v>710</v>
      </c>
      <c r="AJ111" s="1844">
        <f t="shared" ref="AJ111" si="40">AJ110</f>
        <v>280</v>
      </c>
      <c r="AK111" s="1844">
        <f t="shared" ref="AK111" si="41">AK110</f>
        <v>120</v>
      </c>
      <c r="AL111" s="1844">
        <f t="shared" ref="AL111" si="42">AL110</f>
        <v>210</v>
      </c>
      <c r="AM111" s="1844">
        <f t="shared" ref="AM111" si="43">AM110</f>
        <v>28</v>
      </c>
      <c r="AN111" s="1844">
        <f t="shared" ref="AN111" si="44">AN110</f>
        <v>100</v>
      </c>
      <c r="AO111" s="1844" t="str">
        <f t="shared" ref="AO111" si="45">AO110</f>
        <v>M24</v>
      </c>
      <c r="AP111" s="1844">
        <f t="shared" ref="AP111" si="46">AP110</f>
        <v>400</v>
      </c>
      <c r="AQ111" s="1844">
        <f t="shared" ref="AQ111" si="47">AQ110</f>
        <v>36</v>
      </c>
      <c r="AR111" s="1844">
        <f t="shared" ref="AR111" si="48">AR110</f>
        <v>806</v>
      </c>
      <c r="AS111" s="1844">
        <f t="shared" ref="AS111" si="49">AS110</f>
        <v>810</v>
      </c>
      <c r="AT111" s="1844" t="str">
        <f t="shared" ref="AT111" si="50">AT110</f>
        <v>-</v>
      </c>
      <c r="AU111" s="1844">
        <f t="shared" ref="AU111" si="51">AU110</f>
        <v>1075</v>
      </c>
      <c r="AV111" s="1844">
        <f t="shared" ref="AV111" si="52">AV110</f>
        <v>1881</v>
      </c>
      <c r="AW111" s="1844">
        <f t="shared" ref="AW111" si="53">AW110</f>
        <v>2040</v>
      </c>
      <c r="AX111" s="1845">
        <f t="shared" ref="AX111" si="54">AX110</f>
        <v>0</v>
      </c>
      <c r="AY111" s="1845">
        <f t="shared" ref="AY111" si="55">AY110</f>
        <v>0</v>
      </c>
      <c r="AZ111" s="1845">
        <f t="shared" ref="AZ111" si="56">AZ110</f>
        <v>0</v>
      </c>
      <c r="BA111" s="1845">
        <f t="shared" ref="BA111" si="57">BA110</f>
        <v>0</v>
      </c>
      <c r="BB111" s="1845">
        <f t="shared" ref="BB111" si="58">BB110</f>
        <v>0</v>
      </c>
      <c r="BC111" s="1845">
        <f t="shared" ref="BC111" si="59">BC110</f>
        <v>0</v>
      </c>
      <c r="BD111" s="1845">
        <f t="shared" ref="BD111" si="60">BD110</f>
        <v>0</v>
      </c>
      <c r="BE111" s="1845">
        <f t="shared" ref="BE111" si="61">BE110</f>
        <v>0</v>
      </c>
      <c r="BF111" s="1845">
        <f t="shared" ref="BF111" si="62">BF110</f>
        <v>0</v>
      </c>
      <c r="BG111" s="1845">
        <f t="shared" ref="BG111" si="63">BG110</f>
        <v>0</v>
      </c>
      <c r="BH111" s="1844">
        <f t="shared" ref="BH111" si="64">BH110</f>
        <v>940</v>
      </c>
      <c r="BI111" s="1844">
        <f t="shared" ref="BI111" si="65">BI110</f>
        <v>880</v>
      </c>
      <c r="BJ111" s="1844">
        <f t="shared" ref="BJ111" si="66">BJ110</f>
        <v>1000</v>
      </c>
      <c r="BK111" s="1844">
        <f t="shared" ref="BK111" si="67">BK110</f>
        <v>28</v>
      </c>
      <c r="BL111" s="1844">
        <f t="shared" ref="BL111" si="68">BL110</f>
        <v>6</v>
      </c>
      <c r="BM111" s="1844" t="str">
        <f t="shared" ref="BM111" si="69">BM110</f>
        <v>6322/C3</v>
      </c>
      <c r="BN111" s="1844" t="str">
        <f t="shared" ref="BN111" si="70">BN110</f>
        <v>6319/C3</v>
      </c>
      <c r="BO111" s="1852">
        <f t="shared" ref="BO111" si="71">BO110</f>
        <v>0</v>
      </c>
      <c r="BP111" s="1852">
        <f t="shared" ref="BP111" si="72">BP110</f>
        <v>0</v>
      </c>
      <c r="BQ111" s="1845">
        <f t="shared" ref="BQ111" si="73">BQ110</f>
        <v>0</v>
      </c>
      <c r="BR111" s="1842"/>
    </row>
    <row r="112" spans="1:70" ht="12" customHeight="1">
      <c r="A112" s="320">
        <v>201</v>
      </c>
      <c r="B112" s="336" t="s">
        <v>767</v>
      </c>
      <c r="C112" s="325" t="s">
        <v>745</v>
      </c>
      <c r="D112" s="336" t="s">
        <v>844</v>
      </c>
      <c r="E112" s="328">
        <v>63</v>
      </c>
      <c r="F112" s="365">
        <v>6</v>
      </c>
      <c r="G112" s="325">
        <v>0.09</v>
      </c>
      <c r="H112" s="325">
        <v>0.1</v>
      </c>
      <c r="I112" s="325">
        <v>840</v>
      </c>
      <c r="J112" s="325">
        <v>1008</v>
      </c>
      <c r="K112" s="328"/>
      <c r="L112" s="332">
        <v>0.49</v>
      </c>
      <c r="M112" s="331">
        <f t="shared" si="4"/>
        <v>0.51130434782608691</v>
      </c>
      <c r="N112" s="332">
        <v>0.6</v>
      </c>
      <c r="O112" s="349">
        <v>44</v>
      </c>
      <c r="P112" s="328"/>
      <c r="Q112" s="328"/>
      <c r="R112" s="332">
        <v>0.6</v>
      </c>
      <c r="S112" s="349">
        <v>44</v>
      </c>
      <c r="T112" s="328"/>
      <c r="U112" s="328"/>
      <c r="V112" s="339">
        <v>3.5</v>
      </c>
      <c r="W112" s="339">
        <v>1.8</v>
      </c>
      <c r="X112" s="339">
        <v>1.9</v>
      </c>
      <c r="Y112" s="328"/>
      <c r="Z112" s="328"/>
      <c r="AA112" s="328"/>
      <c r="AB112" s="329">
        <v>2.0000000000000001E-4</v>
      </c>
      <c r="AC112" s="328"/>
      <c r="AD112" s="325">
        <v>4.8</v>
      </c>
      <c r="AE112" s="328"/>
      <c r="AF112" s="328"/>
      <c r="AG112" s="328"/>
      <c r="AH112" s="327">
        <v>100</v>
      </c>
      <c r="AI112" s="327">
        <v>80</v>
      </c>
      <c r="AJ112" s="327">
        <v>40</v>
      </c>
      <c r="AK112" s="327">
        <v>11</v>
      </c>
      <c r="AL112" s="327">
        <v>23</v>
      </c>
      <c r="AM112" s="327">
        <v>4</v>
      </c>
      <c r="AN112" s="327">
        <v>8.5</v>
      </c>
      <c r="AO112" s="320" t="s">
        <v>842</v>
      </c>
      <c r="AP112" s="327">
        <v>63</v>
      </c>
      <c r="AQ112" s="327">
        <v>7</v>
      </c>
      <c r="AR112" s="327">
        <v>135</v>
      </c>
      <c r="AS112" s="327">
        <v>130</v>
      </c>
      <c r="AT112" s="327">
        <v>115</v>
      </c>
      <c r="AU112" s="327">
        <v>180</v>
      </c>
      <c r="AV112" s="327">
        <v>217</v>
      </c>
      <c r="AW112" s="328"/>
      <c r="AX112" s="327">
        <v>75</v>
      </c>
      <c r="AY112" s="327">
        <v>60</v>
      </c>
      <c r="AZ112" s="327">
        <v>90</v>
      </c>
      <c r="BA112" s="327" t="s">
        <v>792</v>
      </c>
      <c r="BB112" s="327">
        <v>2.5</v>
      </c>
      <c r="BC112" s="327">
        <v>100</v>
      </c>
      <c r="BD112" s="327">
        <v>80</v>
      </c>
      <c r="BE112" s="327">
        <v>120</v>
      </c>
      <c r="BF112" s="327" t="s">
        <v>244</v>
      </c>
      <c r="BG112" s="327">
        <v>2.5</v>
      </c>
      <c r="BH112" s="327">
        <v>115</v>
      </c>
      <c r="BI112" s="327">
        <v>95</v>
      </c>
      <c r="BJ112" s="327">
        <v>140</v>
      </c>
      <c r="BK112" s="327">
        <v>10</v>
      </c>
      <c r="BL112" s="327">
        <v>3</v>
      </c>
      <c r="BM112" s="325" t="s">
        <v>841</v>
      </c>
      <c r="BN112" s="325" t="s">
        <v>841</v>
      </c>
      <c r="BO112" s="340" t="s">
        <v>840</v>
      </c>
      <c r="BP112" s="340" t="s">
        <v>840</v>
      </c>
      <c r="BQ112" s="328" t="s">
        <v>480</v>
      </c>
    </row>
    <row r="113" spans="1:69" ht="12" customHeight="1">
      <c r="A113" s="320">
        <v>202</v>
      </c>
      <c r="B113" s="336" t="s">
        <v>767</v>
      </c>
      <c r="C113" s="325" t="s">
        <v>745</v>
      </c>
      <c r="D113" s="336" t="s">
        <v>843</v>
      </c>
      <c r="E113" s="328">
        <v>63</v>
      </c>
      <c r="F113" s="365">
        <v>6</v>
      </c>
      <c r="G113" s="325">
        <v>0.12</v>
      </c>
      <c r="H113" s="325">
        <v>0.14000000000000001</v>
      </c>
      <c r="I113" s="325">
        <v>850</v>
      </c>
      <c r="J113" s="325">
        <v>1020</v>
      </c>
      <c r="K113" s="328"/>
      <c r="L113" s="332">
        <v>0.6</v>
      </c>
      <c r="M113" s="331">
        <f t="shared" si="4"/>
        <v>0.62608695652173918</v>
      </c>
      <c r="N113" s="332">
        <v>0.6</v>
      </c>
      <c r="O113" s="349">
        <v>48</v>
      </c>
      <c r="P113" s="328"/>
      <c r="Q113" s="328"/>
      <c r="R113" s="332">
        <v>0.6</v>
      </c>
      <c r="S113" s="349">
        <v>48</v>
      </c>
      <c r="T113" s="328"/>
      <c r="U113" s="328"/>
      <c r="V113" s="339">
        <v>3.5</v>
      </c>
      <c r="W113" s="339">
        <v>1.8</v>
      </c>
      <c r="X113" s="339">
        <v>1.9</v>
      </c>
      <c r="Y113" s="328"/>
      <c r="Z113" s="328"/>
      <c r="AA113" s="328"/>
      <c r="AB113" s="329">
        <v>4.0000000000000002E-4</v>
      </c>
      <c r="AC113" s="328"/>
      <c r="AD113" s="325">
        <v>5</v>
      </c>
      <c r="AE113" s="328"/>
      <c r="AF113" s="328"/>
      <c r="AG113" s="328"/>
      <c r="AH113" s="327">
        <v>100</v>
      </c>
      <c r="AI113" s="327">
        <v>80</v>
      </c>
      <c r="AJ113" s="327">
        <v>40</v>
      </c>
      <c r="AK113" s="327">
        <v>11</v>
      </c>
      <c r="AL113" s="327">
        <v>23</v>
      </c>
      <c r="AM113" s="327">
        <v>4</v>
      </c>
      <c r="AN113" s="327">
        <v>8.5</v>
      </c>
      <c r="AO113" s="320" t="s">
        <v>842</v>
      </c>
      <c r="AP113" s="327">
        <v>63</v>
      </c>
      <c r="AQ113" s="327">
        <v>7</v>
      </c>
      <c r="AR113" s="327">
        <v>135</v>
      </c>
      <c r="AS113" s="327">
        <v>130</v>
      </c>
      <c r="AT113" s="327">
        <v>115</v>
      </c>
      <c r="AU113" s="327">
        <v>180</v>
      </c>
      <c r="AV113" s="327">
        <v>217</v>
      </c>
      <c r="AW113" s="328"/>
      <c r="AX113" s="327">
        <v>75</v>
      </c>
      <c r="AY113" s="327">
        <v>60</v>
      </c>
      <c r="AZ113" s="327">
        <v>90</v>
      </c>
      <c r="BA113" s="327" t="s">
        <v>792</v>
      </c>
      <c r="BB113" s="327">
        <v>2.5</v>
      </c>
      <c r="BC113" s="327">
        <v>100</v>
      </c>
      <c r="BD113" s="327">
        <v>80</v>
      </c>
      <c r="BE113" s="327">
        <v>120</v>
      </c>
      <c r="BF113" s="327" t="s">
        <v>244</v>
      </c>
      <c r="BG113" s="327">
        <v>2.5</v>
      </c>
      <c r="BH113" s="327">
        <v>115</v>
      </c>
      <c r="BI113" s="327">
        <v>95</v>
      </c>
      <c r="BJ113" s="327">
        <v>140</v>
      </c>
      <c r="BK113" s="327">
        <v>10</v>
      </c>
      <c r="BL113" s="327">
        <v>3</v>
      </c>
      <c r="BM113" s="325" t="s">
        <v>841</v>
      </c>
      <c r="BN113" s="325" t="s">
        <v>841</v>
      </c>
      <c r="BO113" s="340" t="s">
        <v>840</v>
      </c>
      <c r="BP113" s="340" t="s">
        <v>840</v>
      </c>
      <c r="BQ113" s="328" t="s">
        <v>480</v>
      </c>
    </row>
    <row r="114" spans="1:69" ht="12" customHeight="1">
      <c r="A114" s="320">
        <v>203</v>
      </c>
      <c r="B114" s="336" t="s">
        <v>767</v>
      </c>
      <c r="C114" s="325" t="s">
        <v>745</v>
      </c>
      <c r="D114" s="336" t="s">
        <v>839</v>
      </c>
      <c r="E114" s="328">
        <v>71</v>
      </c>
      <c r="F114" s="365">
        <v>6</v>
      </c>
      <c r="G114" s="325">
        <v>0.18</v>
      </c>
      <c r="H114" s="325">
        <v>0.21</v>
      </c>
      <c r="I114" s="325">
        <v>870</v>
      </c>
      <c r="J114" s="325">
        <v>1044</v>
      </c>
      <c r="K114" s="328"/>
      <c r="L114" s="332">
        <v>0.7</v>
      </c>
      <c r="M114" s="331">
        <f t="shared" si="4"/>
        <v>0.73043478260869565</v>
      </c>
      <c r="N114" s="332">
        <v>0.66</v>
      </c>
      <c r="O114" s="349">
        <v>56</v>
      </c>
      <c r="P114" s="328"/>
      <c r="Q114" s="328"/>
      <c r="R114" s="332">
        <v>0.66</v>
      </c>
      <c r="S114" s="349">
        <v>56</v>
      </c>
      <c r="T114" s="328"/>
      <c r="U114" s="328"/>
      <c r="V114" s="339">
        <v>4</v>
      </c>
      <c r="W114" s="339">
        <v>2</v>
      </c>
      <c r="X114" s="339">
        <v>1.9</v>
      </c>
      <c r="Y114" s="328"/>
      <c r="Z114" s="328"/>
      <c r="AA114" s="328"/>
      <c r="AB114" s="329">
        <v>1.1000000000000001E-3</v>
      </c>
      <c r="AC114" s="328"/>
      <c r="AD114" s="325">
        <v>6</v>
      </c>
      <c r="AE114" s="328"/>
      <c r="AF114" s="328"/>
      <c r="AG114" s="328"/>
      <c r="AH114" s="327">
        <v>112</v>
      </c>
      <c r="AI114" s="327">
        <v>90</v>
      </c>
      <c r="AJ114" s="327">
        <v>45</v>
      </c>
      <c r="AK114" s="327">
        <v>14</v>
      </c>
      <c r="AL114" s="327">
        <v>30</v>
      </c>
      <c r="AM114" s="327">
        <v>5</v>
      </c>
      <c r="AN114" s="327">
        <v>11</v>
      </c>
      <c r="AO114" s="327" t="s">
        <v>792</v>
      </c>
      <c r="AP114" s="327">
        <v>71</v>
      </c>
      <c r="AQ114" s="327">
        <v>7</v>
      </c>
      <c r="AR114" s="327">
        <v>150</v>
      </c>
      <c r="AS114" s="327">
        <v>145</v>
      </c>
      <c r="AT114" s="327">
        <v>127</v>
      </c>
      <c r="AU114" s="327">
        <v>200</v>
      </c>
      <c r="AV114" s="327">
        <v>245</v>
      </c>
      <c r="AW114" s="328"/>
      <c r="AX114" s="327">
        <v>75</v>
      </c>
      <c r="AY114" s="327">
        <v>60</v>
      </c>
      <c r="AZ114" s="327">
        <v>90</v>
      </c>
      <c r="BA114" s="327" t="s">
        <v>792</v>
      </c>
      <c r="BB114" s="327">
        <v>2.5</v>
      </c>
      <c r="BC114" s="327">
        <v>100</v>
      </c>
      <c r="BD114" s="327">
        <v>80</v>
      </c>
      <c r="BE114" s="327">
        <v>120</v>
      </c>
      <c r="BF114" s="327" t="s">
        <v>244</v>
      </c>
      <c r="BG114" s="327">
        <v>2.5</v>
      </c>
      <c r="BH114" s="327">
        <v>130</v>
      </c>
      <c r="BI114" s="327">
        <v>110</v>
      </c>
      <c r="BJ114" s="327">
        <v>160</v>
      </c>
      <c r="BK114" s="327">
        <v>10</v>
      </c>
      <c r="BL114" s="327">
        <v>3.5</v>
      </c>
      <c r="BM114" s="325" t="s">
        <v>791</v>
      </c>
      <c r="BN114" s="325" t="s">
        <v>791</v>
      </c>
      <c r="BO114" s="340" t="s">
        <v>790</v>
      </c>
      <c r="BP114" s="340" t="s">
        <v>790</v>
      </c>
      <c r="BQ114" s="328" t="s">
        <v>480</v>
      </c>
    </row>
    <row r="115" spans="1:69" ht="12" customHeight="1">
      <c r="A115" s="320">
        <v>204</v>
      </c>
      <c r="B115" s="336" t="s">
        <v>767</v>
      </c>
      <c r="C115" s="325" t="s">
        <v>745</v>
      </c>
      <c r="D115" s="336" t="s">
        <v>838</v>
      </c>
      <c r="E115" s="328">
        <v>71</v>
      </c>
      <c r="F115" s="365">
        <v>6</v>
      </c>
      <c r="G115" s="325">
        <v>0.25</v>
      </c>
      <c r="H115" s="325">
        <v>0.3</v>
      </c>
      <c r="I115" s="325">
        <v>870</v>
      </c>
      <c r="J115" s="325">
        <v>1044</v>
      </c>
      <c r="K115" s="328"/>
      <c r="L115" s="332">
        <v>0.9</v>
      </c>
      <c r="M115" s="331">
        <f t="shared" si="4"/>
        <v>0.93913043478260871</v>
      </c>
      <c r="N115" s="332">
        <v>0.68</v>
      </c>
      <c r="O115" s="349">
        <v>59</v>
      </c>
      <c r="P115" s="328"/>
      <c r="Q115" s="328"/>
      <c r="R115" s="332">
        <v>0.68</v>
      </c>
      <c r="S115" s="349">
        <v>59</v>
      </c>
      <c r="T115" s="328"/>
      <c r="U115" s="328"/>
      <c r="V115" s="339">
        <v>4</v>
      </c>
      <c r="W115" s="339">
        <v>2</v>
      </c>
      <c r="X115" s="339">
        <v>1.9</v>
      </c>
      <c r="Y115" s="328"/>
      <c r="Z115" s="328"/>
      <c r="AA115" s="328"/>
      <c r="AB115" s="329">
        <v>1.4E-3</v>
      </c>
      <c r="AC115" s="328"/>
      <c r="AD115" s="325">
        <v>6.5</v>
      </c>
      <c r="AE115" s="328"/>
      <c r="AF115" s="328"/>
      <c r="AG115" s="328"/>
      <c r="AH115" s="327">
        <v>112</v>
      </c>
      <c r="AI115" s="327">
        <v>90</v>
      </c>
      <c r="AJ115" s="327">
        <v>45</v>
      </c>
      <c r="AK115" s="327">
        <v>14</v>
      </c>
      <c r="AL115" s="327">
        <v>30</v>
      </c>
      <c r="AM115" s="327">
        <v>5</v>
      </c>
      <c r="AN115" s="327">
        <v>11</v>
      </c>
      <c r="AO115" s="327" t="s">
        <v>792</v>
      </c>
      <c r="AP115" s="327">
        <v>71</v>
      </c>
      <c r="AQ115" s="327">
        <v>7</v>
      </c>
      <c r="AR115" s="327">
        <v>150</v>
      </c>
      <c r="AS115" s="327">
        <v>145</v>
      </c>
      <c r="AT115" s="327">
        <v>127</v>
      </c>
      <c r="AU115" s="327">
        <v>200</v>
      </c>
      <c r="AV115" s="327">
        <v>245</v>
      </c>
      <c r="AW115" s="328"/>
      <c r="AX115" s="327">
        <v>75</v>
      </c>
      <c r="AY115" s="327">
        <v>60</v>
      </c>
      <c r="AZ115" s="327">
        <v>90</v>
      </c>
      <c r="BA115" s="327" t="s">
        <v>792</v>
      </c>
      <c r="BB115" s="327">
        <v>2.5</v>
      </c>
      <c r="BC115" s="327">
        <v>100</v>
      </c>
      <c r="BD115" s="327">
        <v>80</v>
      </c>
      <c r="BE115" s="327">
        <v>120</v>
      </c>
      <c r="BF115" s="327" t="s">
        <v>244</v>
      </c>
      <c r="BG115" s="327">
        <v>2.5</v>
      </c>
      <c r="BH115" s="327">
        <v>130</v>
      </c>
      <c r="BI115" s="327">
        <v>110</v>
      </c>
      <c r="BJ115" s="327">
        <v>160</v>
      </c>
      <c r="BK115" s="327">
        <v>10</v>
      </c>
      <c r="BL115" s="327">
        <v>3.5</v>
      </c>
      <c r="BM115" s="325" t="s">
        <v>791</v>
      </c>
      <c r="BN115" s="325" t="s">
        <v>791</v>
      </c>
      <c r="BO115" s="340" t="s">
        <v>790</v>
      </c>
      <c r="BP115" s="340" t="s">
        <v>790</v>
      </c>
      <c r="BQ115" s="328" t="s">
        <v>480</v>
      </c>
    </row>
    <row r="116" spans="1:69" ht="12" customHeight="1">
      <c r="A116" s="320">
        <v>205</v>
      </c>
      <c r="B116" s="336" t="s">
        <v>767</v>
      </c>
      <c r="C116" s="325" t="s">
        <v>745</v>
      </c>
      <c r="D116" s="336" t="s">
        <v>837</v>
      </c>
      <c r="E116" s="328">
        <v>80</v>
      </c>
      <c r="F116" s="365">
        <v>6</v>
      </c>
      <c r="G116" s="325">
        <v>0.37</v>
      </c>
      <c r="H116" s="325">
        <v>0.44</v>
      </c>
      <c r="I116" s="325">
        <v>880</v>
      </c>
      <c r="J116" s="325">
        <v>1056</v>
      </c>
      <c r="K116" s="328"/>
      <c r="L116" s="332">
        <v>1.17</v>
      </c>
      <c r="M116" s="333">
        <f t="shared" si="4"/>
        <v>1.2208695652173911</v>
      </c>
      <c r="N116" s="332">
        <v>0.7</v>
      </c>
      <c r="O116" s="349">
        <v>62</v>
      </c>
      <c r="P116" s="328"/>
      <c r="Q116" s="328"/>
      <c r="R116" s="332">
        <v>0.7</v>
      </c>
      <c r="S116" s="349">
        <v>62</v>
      </c>
      <c r="T116" s="328"/>
      <c r="U116" s="328"/>
      <c r="V116" s="339">
        <v>4.7</v>
      </c>
      <c r="W116" s="339">
        <v>2</v>
      </c>
      <c r="X116" s="339">
        <v>1.9</v>
      </c>
      <c r="Y116" s="328"/>
      <c r="Z116" s="328"/>
      <c r="AA116" s="328"/>
      <c r="AB116" s="329">
        <v>1.6000000000000001E-3</v>
      </c>
      <c r="AC116" s="328">
        <v>45</v>
      </c>
      <c r="AD116" s="325">
        <v>9</v>
      </c>
      <c r="AE116" s="328"/>
      <c r="AF116" s="328"/>
      <c r="AG116" s="328"/>
      <c r="AH116" s="327">
        <v>125</v>
      </c>
      <c r="AI116" s="327">
        <v>100</v>
      </c>
      <c r="AJ116" s="327">
        <v>50</v>
      </c>
      <c r="AK116" s="327">
        <v>19</v>
      </c>
      <c r="AL116" s="327">
        <v>40</v>
      </c>
      <c r="AM116" s="327">
        <v>6</v>
      </c>
      <c r="AN116" s="327">
        <v>15.5</v>
      </c>
      <c r="AO116" s="327" t="s">
        <v>244</v>
      </c>
      <c r="AP116" s="327">
        <v>80</v>
      </c>
      <c r="AQ116" s="327">
        <v>10</v>
      </c>
      <c r="AR116" s="327">
        <v>165</v>
      </c>
      <c r="AS116" s="327">
        <v>175</v>
      </c>
      <c r="AT116" s="327">
        <v>134</v>
      </c>
      <c r="AU116" s="327">
        <v>215</v>
      </c>
      <c r="AV116" s="327">
        <v>287</v>
      </c>
      <c r="AW116" s="328">
        <v>337</v>
      </c>
      <c r="AX116" s="327">
        <v>100</v>
      </c>
      <c r="AY116" s="327">
        <v>80</v>
      </c>
      <c r="AZ116" s="327">
        <v>120</v>
      </c>
      <c r="BA116" s="327" t="s">
        <v>244</v>
      </c>
      <c r="BB116" s="327">
        <v>3</v>
      </c>
      <c r="BC116" s="327">
        <v>130</v>
      </c>
      <c r="BD116" s="327">
        <v>110</v>
      </c>
      <c r="BE116" s="327">
        <v>160</v>
      </c>
      <c r="BF116" s="327" t="s">
        <v>245</v>
      </c>
      <c r="BG116" s="327">
        <v>3.5</v>
      </c>
      <c r="BH116" s="327">
        <v>165</v>
      </c>
      <c r="BI116" s="327">
        <v>130</v>
      </c>
      <c r="BJ116" s="327">
        <v>200</v>
      </c>
      <c r="BK116" s="327">
        <v>12</v>
      </c>
      <c r="BL116" s="327">
        <v>3.5</v>
      </c>
      <c r="BM116" s="325" t="s">
        <v>568</v>
      </c>
      <c r="BN116" s="325" t="s">
        <v>568</v>
      </c>
      <c r="BO116" s="340" t="s">
        <v>714</v>
      </c>
      <c r="BP116" s="340" t="s">
        <v>714</v>
      </c>
      <c r="BQ116" s="328" t="s">
        <v>480</v>
      </c>
    </row>
    <row r="117" spans="1:69" ht="12" customHeight="1">
      <c r="A117" s="320">
        <v>206</v>
      </c>
      <c r="B117" s="336" t="s">
        <v>746</v>
      </c>
      <c r="C117" s="325" t="s">
        <v>745</v>
      </c>
      <c r="D117" s="336" t="s">
        <v>836</v>
      </c>
      <c r="E117" s="334">
        <v>80</v>
      </c>
      <c r="F117" s="382">
        <v>6</v>
      </c>
      <c r="G117" s="325">
        <v>0.37</v>
      </c>
      <c r="H117" s="325">
        <v>0.44</v>
      </c>
      <c r="I117" s="325">
        <v>885</v>
      </c>
      <c r="J117" s="335">
        <v>1062</v>
      </c>
      <c r="K117" s="334"/>
      <c r="L117" s="332">
        <v>1.23</v>
      </c>
      <c r="M117" s="331">
        <f t="shared" si="4"/>
        <v>1.2834782608695652</v>
      </c>
      <c r="N117" s="332">
        <v>0.7</v>
      </c>
      <c r="O117" s="339">
        <v>62</v>
      </c>
      <c r="P117" s="334"/>
      <c r="Q117" s="334"/>
      <c r="R117" s="332">
        <v>0.7</v>
      </c>
      <c r="S117" s="339">
        <v>62</v>
      </c>
      <c r="T117" s="334"/>
      <c r="U117" s="334"/>
      <c r="V117" s="339">
        <v>4.7</v>
      </c>
      <c r="W117" s="339">
        <v>1.9</v>
      </c>
      <c r="X117" s="339">
        <v>2</v>
      </c>
      <c r="Y117" s="328"/>
      <c r="Z117" s="328"/>
      <c r="AA117" s="328"/>
      <c r="AB117" s="329">
        <v>1.6999999999999999E-3</v>
      </c>
      <c r="AC117" s="328">
        <v>45</v>
      </c>
      <c r="AD117" s="325">
        <v>15</v>
      </c>
      <c r="AE117" s="328"/>
      <c r="AF117" s="328"/>
      <c r="AG117" s="328"/>
      <c r="AH117" s="327">
        <v>125</v>
      </c>
      <c r="AI117" s="327">
        <v>100</v>
      </c>
      <c r="AJ117" s="327">
        <v>50</v>
      </c>
      <c r="AK117" s="327">
        <v>19</v>
      </c>
      <c r="AL117" s="327">
        <v>40</v>
      </c>
      <c r="AM117" s="327">
        <v>6</v>
      </c>
      <c r="AN117" s="327">
        <v>15.5</v>
      </c>
      <c r="AO117" s="327" t="s">
        <v>244</v>
      </c>
      <c r="AP117" s="327">
        <v>80</v>
      </c>
      <c r="AQ117" s="327">
        <v>10</v>
      </c>
      <c r="AR117" s="327">
        <v>165</v>
      </c>
      <c r="AS117" s="327">
        <v>165</v>
      </c>
      <c r="AT117" s="327">
        <v>165</v>
      </c>
      <c r="AU117" s="327">
        <v>245</v>
      </c>
      <c r="AV117" s="327">
        <v>295</v>
      </c>
      <c r="AW117" s="327">
        <v>345</v>
      </c>
      <c r="AX117" s="327">
        <v>100</v>
      </c>
      <c r="AY117" s="327">
        <v>80</v>
      </c>
      <c r="AZ117" s="327">
        <v>120</v>
      </c>
      <c r="BA117" s="327" t="s">
        <v>244</v>
      </c>
      <c r="BB117" s="327">
        <v>3</v>
      </c>
      <c r="BC117" s="327">
        <v>130</v>
      </c>
      <c r="BD117" s="327">
        <v>110</v>
      </c>
      <c r="BE117" s="327">
        <v>160</v>
      </c>
      <c r="BF117" s="327" t="s">
        <v>245</v>
      </c>
      <c r="BG117" s="327">
        <v>3.5</v>
      </c>
      <c r="BH117" s="327">
        <v>165</v>
      </c>
      <c r="BI117" s="327">
        <v>130</v>
      </c>
      <c r="BJ117" s="327">
        <v>200</v>
      </c>
      <c r="BK117" s="327">
        <v>12</v>
      </c>
      <c r="BL117" s="327">
        <v>3.5</v>
      </c>
      <c r="BM117" s="325" t="s">
        <v>568</v>
      </c>
      <c r="BN117" s="325" t="s">
        <v>568</v>
      </c>
      <c r="BO117" s="326"/>
      <c r="BP117" s="326"/>
      <c r="BQ117" s="328"/>
    </row>
    <row r="118" spans="1:69" ht="12" customHeight="1">
      <c r="A118" s="320">
        <v>207</v>
      </c>
      <c r="B118" s="336" t="s">
        <v>767</v>
      </c>
      <c r="C118" s="325" t="s">
        <v>745</v>
      </c>
      <c r="D118" s="336" t="s">
        <v>835</v>
      </c>
      <c r="E118" s="328">
        <v>80</v>
      </c>
      <c r="F118" s="365">
        <v>6</v>
      </c>
      <c r="G118" s="325">
        <v>0.55000000000000004</v>
      </c>
      <c r="H118" s="325">
        <v>0.66</v>
      </c>
      <c r="I118" s="325">
        <v>880</v>
      </c>
      <c r="J118" s="325">
        <v>1056</v>
      </c>
      <c r="K118" s="328"/>
      <c r="L118" s="332">
        <v>1.6</v>
      </c>
      <c r="M118" s="333">
        <f t="shared" si="4"/>
        <v>1.6695652173913043</v>
      </c>
      <c r="N118" s="325">
        <v>0.72</v>
      </c>
      <c r="O118" s="349">
        <v>65</v>
      </c>
      <c r="P118" s="328"/>
      <c r="Q118" s="328"/>
      <c r="R118" s="325">
        <v>0.72</v>
      </c>
      <c r="S118" s="349">
        <v>65</v>
      </c>
      <c r="T118" s="328"/>
      <c r="U118" s="328"/>
      <c r="V118" s="339">
        <v>4.7</v>
      </c>
      <c r="W118" s="339">
        <v>2.1</v>
      </c>
      <c r="X118" s="339">
        <v>1.9</v>
      </c>
      <c r="Y118" s="328"/>
      <c r="Z118" s="328"/>
      <c r="AA118" s="328"/>
      <c r="AB118" s="329">
        <v>1.9E-3</v>
      </c>
      <c r="AC118" s="328">
        <v>45</v>
      </c>
      <c r="AD118" s="325">
        <v>10.5</v>
      </c>
      <c r="AE118" s="328"/>
      <c r="AF118" s="328"/>
      <c r="AG118" s="328"/>
      <c r="AH118" s="327">
        <v>125</v>
      </c>
      <c r="AI118" s="327">
        <v>100</v>
      </c>
      <c r="AJ118" s="327">
        <v>50</v>
      </c>
      <c r="AK118" s="327">
        <v>19</v>
      </c>
      <c r="AL118" s="327">
        <v>40</v>
      </c>
      <c r="AM118" s="327">
        <v>6</v>
      </c>
      <c r="AN118" s="327">
        <v>15.5</v>
      </c>
      <c r="AO118" s="327" t="s">
        <v>244</v>
      </c>
      <c r="AP118" s="327">
        <v>80</v>
      </c>
      <c r="AQ118" s="327">
        <v>10</v>
      </c>
      <c r="AR118" s="327">
        <v>165</v>
      </c>
      <c r="AS118" s="327">
        <v>175</v>
      </c>
      <c r="AT118" s="327">
        <v>134</v>
      </c>
      <c r="AU118" s="327">
        <v>215</v>
      </c>
      <c r="AV118" s="327">
        <v>287</v>
      </c>
      <c r="AW118" s="328">
        <v>337</v>
      </c>
      <c r="AX118" s="327">
        <v>100</v>
      </c>
      <c r="AY118" s="327">
        <v>80</v>
      </c>
      <c r="AZ118" s="327">
        <v>120</v>
      </c>
      <c r="BA118" s="327" t="s">
        <v>244</v>
      </c>
      <c r="BB118" s="327">
        <v>3</v>
      </c>
      <c r="BC118" s="327">
        <v>130</v>
      </c>
      <c r="BD118" s="327">
        <v>110</v>
      </c>
      <c r="BE118" s="327">
        <v>160</v>
      </c>
      <c r="BF118" s="327" t="s">
        <v>245</v>
      </c>
      <c r="BG118" s="327">
        <v>3.5</v>
      </c>
      <c r="BH118" s="327">
        <v>165</v>
      </c>
      <c r="BI118" s="327">
        <v>130</v>
      </c>
      <c r="BJ118" s="327">
        <v>200</v>
      </c>
      <c r="BK118" s="327">
        <v>12</v>
      </c>
      <c r="BL118" s="327">
        <v>3.5</v>
      </c>
      <c r="BM118" s="325" t="s">
        <v>568</v>
      </c>
      <c r="BN118" s="325" t="s">
        <v>568</v>
      </c>
      <c r="BO118" s="340" t="s">
        <v>714</v>
      </c>
      <c r="BP118" s="340" t="s">
        <v>714</v>
      </c>
      <c r="BQ118" s="328" t="s">
        <v>480</v>
      </c>
    </row>
    <row r="119" spans="1:69" ht="12" customHeight="1">
      <c r="A119" s="320">
        <v>208</v>
      </c>
      <c r="B119" s="336" t="s">
        <v>746</v>
      </c>
      <c r="C119" s="325" t="s">
        <v>745</v>
      </c>
      <c r="D119" s="336" t="s">
        <v>834</v>
      </c>
      <c r="E119" s="334">
        <v>80</v>
      </c>
      <c r="F119" s="382">
        <v>6</v>
      </c>
      <c r="G119" s="325">
        <v>0.55000000000000004</v>
      </c>
      <c r="H119" s="325">
        <v>0.66</v>
      </c>
      <c r="I119" s="325">
        <v>885</v>
      </c>
      <c r="J119" s="335">
        <v>1062</v>
      </c>
      <c r="K119" s="334"/>
      <c r="L119" s="332">
        <v>1.7</v>
      </c>
      <c r="M119" s="331">
        <f t="shared" si="4"/>
        <v>1.7739130434782608</v>
      </c>
      <c r="N119" s="332">
        <v>0.72</v>
      </c>
      <c r="O119" s="339">
        <v>65</v>
      </c>
      <c r="P119" s="334"/>
      <c r="Q119" s="334"/>
      <c r="R119" s="332">
        <v>0.72</v>
      </c>
      <c r="S119" s="339">
        <v>65</v>
      </c>
      <c r="T119" s="334"/>
      <c r="U119" s="334"/>
      <c r="V119" s="339">
        <v>4.7</v>
      </c>
      <c r="W119" s="339">
        <v>1.9</v>
      </c>
      <c r="X119" s="339">
        <v>2.1</v>
      </c>
      <c r="Y119" s="328"/>
      <c r="Z119" s="328"/>
      <c r="AA119" s="328"/>
      <c r="AB119" s="329">
        <v>2.2000000000000001E-3</v>
      </c>
      <c r="AC119" s="328">
        <v>45</v>
      </c>
      <c r="AD119" s="325">
        <v>16</v>
      </c>
      <c r="AE119" s="328"/>
      <c r="AF119" s="328"/>
      <c r="AG119" s="328"/>
      <c r="AH119" s="327">
        <v>125</v>
      </c>
      <c r="AI119" s="327">
        <v>100</v>
      </c>
      <c r="AJ119" s="327">
        <v>50</v>
      </c>
      <c r="AK119" s="327">
        <v>19</v>
      </c>
      <c r="AL119" s="327">
        <v>40</v>
      </c>
      <c r="AM119" s="327">
        <v>6</v>
      </c>
      <c r="AN119" s="327">
        <v>15.5</v>
      </c>
      <c r="AO119" s="327" t="s">
        <v>244</v>
      </c>
      <c r="AP119" s="327">
        <v>80</v>
      </c>
      <c r="AQ119" s="327">
        <v>10</v>
      </c>
      <c r="AR119" s="327">
        <v>165</v>
      </c>
      <c r="AS119" s="327">
        <v>165</v>
      </c>
      <c r="AT119" s="327">
        <v>165</v>
      </c>
      <c r="AU119" s="327">
        <v>245</v>
      </c>
      <c r="AV119" s="327">
        <v>295</v>
      </c>
      <c r="AW119" s="327">
        <v>345</v>
      </c>
      <c r="AX119" s="327">
        <v>100</v>
      </c>
      <c r="AY119" s="327">
        <v>80</v>
      </c>
      <c r="AZ119" s="327">
        <v>120</v>
      </c>
      <c r="BA119" s="327" t="s">
        <v>244</v>
      </c>
      <c r="BB119" s="327">
        <v>3</v>
      </c>
      <c r="BC119" s="327">
        <v>130</v>
      </c>
      <c r="BD119" s="327">
        <v>110</v>
      </c>
      <c r="BE119" s="327">
        <v>160</v>
      </c>
      <c r="BF119" s="327" t="s">
        <v>245</v>
      </c>
      <c r="BG119" s="327">
        <v>3.5</v>
      </c>
      <c r="BH119" s="327">
        <v>165</v>
      </c>
      <c r="BI119" s="327">
        <v>130</v>
      </c>
      <c r="BJ119" s="327">
        <v>200</v>
      </c>
      <c r="BK119" s="327">
        <v>12</v>
      </c>
      <c r="BL119" s="327">
        <v>3.5</v>
      </c>
      <c r="BM119" s="325" t="s">
        <v>568</v>
      </c>
      <c r="BN119" s="325" t="s">
        <v>568</v>
      </c>
      <c r="BO119" s="326"/>
      <c r="BP119" s="326"/>
      <c r="BQ119" s="328"/>
    </row>
    <row r="120" spans="1:69" ht="12" customHeight="1">
      <c r="A120" s="320">
        <v>209</v>
      </c>
      <c r="B120" s="336" t="s">
        <v>767</v>
      </c>
      <c r="C120" s="325" t="s">
        <v>745</v>
      </c>
      <c r="D120" s="336" t="s">
        <v>833</v>
      </c>
      <c r="E120" s="328">
        <v>90</v>
      </c>
      <c r="F120" s="365">
        <v>6</v>
      </c>
      <c r="G120" s="325">
        <v>0.75</v>
      </c>
      <c r="H120" s="325">
        <v>0.89999999999999991</v>
      </c>
      <c r="I120" s="325">
        <v>905</v>
      </c>
      <c r="J120" s="325">
        <v>1086</v>
      </c>
      <c r="K120" s="328"/>
      <c r="L120" s="332">
        <v>2.1800000000000002</v>
      </c>
      <c r="M120" s="331">
        <f t="shared" si="4"/>
        <v>2.2747826086956522</v>
      </c>
      <c r="N120" s="325">
        <v>0.72</v>
      </c>
      <c r="O120" s="349">
        <v>69</v>
      </c>
      <c r="P120" s="328"/>
      <c r="Q120" s="328"/>
      <c r="R120" s="325">
        <v>0.72</v>
      </c>
      <c r="S120" s="349">
        <v>69</v>
      </c>
      <c r="T120" s="328"/>
      <c r="U120" s="328"/>
      <c r="V120" s="339">
        <v>5.3</v>
      </c>
      <c r="W120" s="339">
        <v>2.1</v>
      </c>
      <c r="X120" s="339">
        <v>2</v>
      </c>
      <c r="Y120" s="328"/>
      <c r="Z120" s="328"/>
      <c r="AA120" s="328"/>
      <c r="AB120" s="329">
        <v>2.8999999999999998E-3</v>
      </c>
      <c r="AC120" s="328">
        <v>47</v>
      </c>
      <c r="AD120" s="325">
        <v>12</v>
      </c>
      <c r="AE120" s="328"/>
      <c r="AF120" s="328"/>
      <c r="AG120" s="328"/>
      <c r="AH120" s="327">
        <v>140</v>
      </c>
      <c r="AI120" s="327">
        <v>100</v>
      </c>
      <c r="AJ120" s="327">
        <v>56</v>
      </c>
      <c r="AK120" s="327">
        <v>24</v>
      </c>
      <c r="AL120" s="327">
        <v>50</v>
      </c>
      <c r="AM120" s="327">
        <v>8</v>
      </c>
      <c r="AN120" s="327">
        <v>20</v>
      </c>
      <c r="AO120" s="327" t="s">
        <v>245</v>
      </c>
      <c r="AP120" s="327">
        <v>90</v>
      </c>
      <c r="AQ120" s="327">
        <v>10</v>
      </c>
      <c r="AR120" s="327">
        <v>180</v>
      </c>
      <c r="AS120" s="327">
        <v>195</v>
      </c>
      <c r="AT120" s="327">
        <v>140</v>
      </c>
      <c r="AU120" s="327">
        <v>230</v>
      </c>
      <c r="AV120" s="327">
        <v>315</v>
      </c>
      <c r="AW120" s="327">
        <v>365</v>
      </c>
      <c r="AX120" s="327">
        <v>115</v>
      </c>
      <c r="AY120" s="327">
        <v>95</v>
      </c>
      <c r="AZ120" s="327">
        <v>140</v>
      </c>
      <c r="BA120" s="327" t="s">
        <v>245</v>
      </c>
      <c r="BB120" s="327">
        <v>3</v>
      </c>
      <c r="BC120" s="327">
        <v>130</v>
      </c>
      <c r="BD120" s="327">
        <v>110</v>
      </c>
      <c r="BE120" s="327">
        <v>160</v>
      </c>
      <c r="BF120" s="327" t="s">
        <v>245</v>
      </c>
      <c r="BG120" s="327">
        <v>3.5</v>
      </c>
      <c r="BH120" s="327">
        <v>165</v>
      </c>
      <c r="BI120" s="327">
        <v>130</v>
      </c>
      <c r="BJ120" s="327">
        <v>200</v>
      </c>
      <c r="BK120" s="327">
        <v>12</v>
      </c>
      <c r="BL120" s="327">
        <v>3.5</v>
      </c>
      <c r="BM120" s="325" t="s">
        <v>485</v>
      </c>
      <c r="BN120" s="325" t="s">
        <v>485</v>
      </c>
      <c r="BO120" s="340" t="s">
        <v>686</v>
      </c>
      <c r="BP120" s="340" t="s">
        <v>686</v>
      </c>
      <c r="BQ120" s="325" t="s">
        <v>480</v>
      </c>
    </row>
    <row r="121" spans="1:69" ht="12" customHeight="1">
      <c r="A121" s="320">
        <v>210</v>
      </c>
      <c r="B121" s="336" t="s">
        <v>746</v>
      </c>
      <c r="C121" s="325" t="s">
        <v>745</v>
      </c>
      <c r="D121" s="336" t="s">
        <v>832</v>
      </c>
      <c r="E121" s="334">
        <v>90</v>
      </c>
      <c r="F121" s="382">
        <v>6</v>
      </c>
      <c r="G121" s="325">
        <v>0.75</v>
      </c>
      <c r="H121" s="325">
        <v>0.89999999999999991</v>
      </c>
      <c r="I121" s="325">
        <v>910</v>
      </c>
      <c r="J121" s="335">
        <v>1092</v>
      </c>
      <c r="K121" s="334"/>
      <c r="L121" s="332">
        <v>2.1800000000000002</v>
      </c>
      <c r="M121" s="331">
        <f t="shared" si="4"/>
        <v>2.2747826086956522</v>
      </c>
      <c r="N121" s="332">
        <v>0.72</v>
      </c>
      <c r="O121" s="339">
        <v>69</v>
      </c>
      <c r="P121" s="334"/>
      <c r="Q121" s="334"/>
      <c r="R121" s="332">
        <v>0.72</v>
      </c>
      <c r="S121" s="339">
        <v>69</v>
      </c>
      <c r="T121" s="334"/>
      <c r="U121" s="334"/>
      <c r="V121" s="339">
        <v>5.5</v>
      </c>
      <c r="W121" s="339">
        <v>2</v>
      </c>
      <c r="X121" s="339">
        <v>2.1</v>
      </c>
      <c r="Y121" s="328"/>
      <c r="Z121" s="328"/>
      <c r="AA121" s="328"/>
      <c r="AB121" s="329">
        <v>3.3E-3</v>
      </c>
      <c r="AC121" s="328">
        <v>47</v>
      </c>
      <c r="AD121" s="325">
        <v>20</v>
      </c>
      <c r="AE121" s="328"/>
      <c r="AF121" s="328"/>
      <c r="AG121" s="328"/>
      <c r="AH121" s="327">
        <v>140</v>
      </c>
      <c r="AI121" s="327">
        <v>100</v>
      </c>
      <c r="AJ121" s="327">
        <v>56</v>
      </c>
      <c r="AK121" s="327">
        <v>24</v>
      </c>
      <c r="AL121" s="327">
        <v>50</v>
      </c>
      <c r="AM121" s="327">
        <v>8</v>
      </c>
      <c r="AN121" s="327">
        <v>20</v>
      </c>
      <c r="AO121" s="327" t="s">
        <v>245</v>
      </c>
      <c r="AP121" s="327">
        <v>90</v>
      </c>
      <c r="AQ121" s="327">
        <v>10</v>
      </c>
      <c r="AR121" s="327">
        <v>180</v>
      </c>
      <c r="AS121" s="327">
        <v>180</v>
      </c>
      <c r="AT121" s="327">
        <v>175</v>
      </c>
      <c r="AU121" s="327">
        <v>265</v>
      </c>
      <c r="AV121" s="327">
        <v>315</v>
      </c>
      <c r="AW121" s="327">
        <v>365</v>
      </c>
      <c r="AX121" s="327">
        <v>115</v>
      </c>
      <c r="AY121" s="327">
        <v>95</v>
      </c>
      <c r="AZ121" s="327">
        <v>140</v>
      </c>
      <c r="BA121" s="327" t="s">
        <v>245</v>
      </c>
      <c r="BB121" s="327">
        <v>3</v>
      </c>
      <c r="BC121" s="327">
        <v>130</v>
      </c>
      <c r="BD121" s="327">
        <v>110</v>
      </c>
      <c r="BE121" s="327">
        <v>160</v>
      </c>
      <c r="BF121" s="327" t="s">
        <v>245</v>
      </c>
      <c r="BG121" s="327">
        <v>3.5</v>
      </c>
      <c r="BH121" s="327">
        <v>165</v>
      </c>
      <c r="BI121" s="327">
        <v>130</v>
      </c>
      <c r="BJ121" s="327">
        <v>200</v>
      </c>
      <c r="BK121" s="327">
        <v>12</v>
      </c>
      <c r="BL121" s="327">
        <v>3.5</v>
      </c>
      <c r="BM121" s="325" t="s">
        <v>485</v>
      </c>
      <c r="BN121" s="325" t="s">
        <v>485</v>
      </c>
      <c r="BO121" s="326"/>
      <c r="BP121" s="326"/>
      <c r="BQ121" s="325" t="s">
        <v>480</v>
      </c>
    </row>
    <row r="122" spans="1:69" ht="12" customHeight="1">
      <c r="A122" s="320">
        <v>211</v>
      </c>
      <c r="B122" s="336" t="s">
        <v>767</v>
      </c>
      <c r="C122" s="325" t="s">
        <v>745</v>
      </c>
      <c r="D122" s="336" t="s">
        <v>831</v>
      </c>
      <c r="E122" s="328">
        <v>90</v>
      </c>
      <c r="F122" s="365">
        <v>6</v>
      </c>
      <c r="G122" s="325">
        <v>1.1000000000000001</v>
      </c>
      <c r="H122" s="325">
        <v>1.32</v>
      </c>
      <c r="I122" s="325">
        <v>905</v>
      </c>
      <c r="J122" s="325">
        <v>1086</v>
      </c>
      <c r="K122" s="328"/>
      <c r="L122" s="332">
        <v>3.02</v>
      </c>
      <c r="M122" s="331">
        <f t="shared" si="4"/>
        <v>3.1513043478260867</v>
      </c>
      <c r="N122" s="325">
        <v>0.73</v>
      </c>
      <c r="O122" s="349">
        <v>72</v>
      </c>
      <c r="P122" s="328"/>
      <c r="Q122" s="328"/>
      <c r="R122" s="325">
        <v>0.73</v>
      </c>
      <c r="S122" s="349">
        <v>72</v>
      </c>
      <c r="T122" s="328"/>
      <c r="U122" s="328"/>
      <c r="V122" s="339">
        <v>5.5</v>
      </c>
      <c r="W122" s="339">
        <v>2.1</v>
      </c>
      <c r="X122" s="339">
        <v>2</v>
      </c>
      <c r="Y122" s="328"/>
      <c r="Z122" s="328"/>
      <c r="AA122" s="328"/>
      <c r="AB122" s="329">
        <v>3.5000000000000001E-3</v>
      </c>
      <c r="AC122" s="328">
        <v>47</v>
      </c>
      <c r="AD122" s="325">
        <v>14</v>
      </c>
      <c r="AE122" s="328"/>
      <c r="AF122" s="328"/>
      <c r="AG122" s="328"/>
      <c r="AH122" s="327">
        <v>140</v>
      </c>
      <c r="AI122" s="327">
        <v>125</v>
      </c>
      <c r="AJ122" s="327">
        <v>56</v>
      </c>
      <c r="AK122" s="327">
        <v>24</v>
      </c>
      <c r="AL122" s="327">
        <v>50</v>
      </c>
      <c r="AM122" s="327">
        <v>8</v>
      </c>
      <c r="AN122" s="327">
        <v>20</v>
      </c>
      <c r="AO122" s="327" t="s">
        <v>245</v>
      </c>
      <c r="AP122" s="327">
        <v>90</v>
      </c>
      <c r="AQ122" s="327">
        <v>10</v>
      </c>
      <c r="AR122" s="327">
        <v>180</v>
      </c>
      <c r="AS122" s="327">
        <v>195</v>
      </c>
      <c r="AT122" s="327">
        <v>140</v>
      </c>
      <c r="AU122" s="327">
        <v>230</v>
      </c>
      <c r="AV122" s="327">
        <v>340</v>
      </c>
      <c r="AW122" s="327">
        <v>390</v>
      </c>
      <c r="AX122" s="327">
        <v>115</v>
      </c>
      <c r="AY122" s="327">
        <v>95</v>
      </c>
      <c r="AZ122" s="327">
        <v>140</v>
      </c>
      <c r="BA122" s="327" t="s">
        <v>245</v>
      </c>
      <c r="BB122" s="327">
        <v>3</v>
      </c>
      <c r="BC122" s="327">
        <v>130</v>
      </c>
      <c r="BD122" s="327">
        <v>110</v>
      </c>
      <c r="BE122" s="327">
        <v>160</v>
      </c>
      <c r="BF122" s="327" t="s">
        <v>245</v>
      </c>
      <c r="BG122" s="327">
        <v>3.5</v>
      </c>
      <c r="BH122" s="327">
        <v>165</v>
      </c>
      <c r="BI122" s="327">
        <v>130</v>
      </c>
      <c r="BJ122" s="327">
        <v>200</v>
      </c>
      <c r="BK122" s="327">
        <v>12</v>
      </c>
      <c r="BL122" s="327">
        <v>3.5</v>
      </c>
      <c r="BM122" s="325" t="s">
        <v>485</v>
      </c>
      <c r="BN122" s="325" t="s">
        <v>485</v>
      </c>
      <c r="BO122" s="340" t="s">
        <v>686</v>
      </c>
      <c r="BP122" s="340" t="s">
        <v>686</v>
      </c>
      <c r="BQ122" s="325" t="s">
        <v>480</v>
      </c>
    </row>
    <row r="123" spans="1:69" ht="12" customHeight="1">
      <c r="A123" s="320">
        <v>212</v>
      </c>
      <c r="B123" s="336" t="s">
        <v>746</v>
      </c>
      <c r="C123" s="325" t="s">
        <v>745</v>
      </c>
      <c r="D123" s="336" t="s">
        <v>830</v>
      </c>
      <c r="E123" s="334">
        <v>90</v>
      </c>
      <c r="F123" s="382">
        <v>6</v>
      </c>
      <c r="G123" s="325">
        <v>1.1000000000000001</v>
      </c>
      <c r="H123" s="325">
        <v>1.32</v>
      </c>
      <c r="I123" s="325">
        <v>910</v>
      </c>
      <c r="J123" s="335">
        <v>1092</v>
      </c>
      <c r="K123" s="334"/>
      <c r="L123" s="332">
        <v>3.02</v>
      </c>
      <c r="M123" s="331">
        <f t="shared" si="4"/>
        <v>3.1513043478260867</v>
      </c>
      <c r="N123" s="332">
        <v>0.73</v>
      </c>
      <c r="O123" s="339">
        <v>72</v>
      </c>
      <c r="P123" s="334"/>
      <c r="Q123" s="334"/>
      <c r="R123" s="332">
        <v>0.73</v>
      </c>
      <c r="S123" s="339">
        <v>72</v>
      </c>
      <c r="T123" s="334"/>
      <c r="U123" s="334"/>
      <c r="V123" s="339">
        <v>5.5</v>
      </c>
      <c r="W123" s="339">
        <v>2</v>
      </c>
      <c r="X123" s="339">
        <v>2.1</v>
      </c>
      <c r="Y123" s="328"/>
      <c r="Z123" s="328"/>
      <c r="AA123" s="328"/>
      <c r="AB123" s="329">
        <v>4.4999999999999997E-3</v>
      </c>
      <c r="AC123" s="328">
        <v>47</v>
      </c>
      <c r="AD123" s="325">
        <v>22</v>
      </c>
      <c r="AE123" s="328"/>
      <c r="AF123" s="328"/>
      <c r="AG123" s="328"/>
      <c r="AH123" s="327">
        <v>140</v>
      </c>
      <c r="AI123" s="327">
        <v>125</v>
      </c>
      <c r="AJ123" s="327">
        <v>56</v>
      </c>
      <c r="AK123" s="327">
        <v>24</v>
      </c>
      <c r="AL123" s="327">
        <v>50</v>
      </c>
      <c r="AM123" s="327">
        <v>8</v>
      </c>
      <c r="AN123" s="327">
        <v>20</v>
      </c>
      <c r="AO123" s="327" t="s">
        <v>245</v>
      </c>
      <c r="AP123" s="327">
        <v>90</v>
      </c>
      <c r="AQ123" s="327">
        <v>10</v>
      </c>
      <c r="AR123" s="327">
        <v>180</v>
      </c>
      <c r="AS123" s="327">
        <v>180</v>
      </c>
      <c r="AT123" s="327">
        <v>175</v>
      </c>
      <c r="AU123" s="327">
        <v>265</v>
      </c>
      <c r="AV123" s="327">
        <v>315</v>
      </c>
      <c r="AW123" s="327">
        <v>390</v>
      </c>
      <c r="AX123" s="327">
        <v>115</v>
      </c>
      <c r="AY123" s="327">
        <v>95</v>
      </c>
      <c r="AZ123" s="327">
        <v>140</v>
      </c>
      <c r="BA123" s="327" t="s">
        <v>245</v>
      </c>
      <c r="BB123" s="327">
        <v>3</v>
      </c>
      <c r="BC123" s="327">
        <v>130</v>
      </c>
      <c r="BD123" s="327">
        <v>110</v>
      </c>
      <c r="BE123" s="327">
        <v>160</v>
      </c>
      <c r="BF123" s="327" t="s">
        <v>245</v>
      </c>
      <c r="BG123" s="327">
        <v>3.5</v>
      </c>
      <c r="BH123" s="327">
        <v>165</v>
      </c>
      <c r="BI123" s="327">
        <v>130</v>
      </c>
      <c r="BJ123" s="327">
        <v>200</v>
      </c>
      <c r="BK123" s="327">
        <v>12</v>
      </c>
      <c r="BL123" s="327">
        <v>3.5</v>
      </c>
      <c r="BM123" s="325" t="s">
        <v>485</v>
      </c>
      <c r="BN123" s="325" t="s">
        <v>485</v>
      </c>
      <c r="BO123" s="326"/>
      <c r="BP123" s="326"/>
      <c r="BQ123" s="325" t="s">
        <v>480</v>
      </c>
    </row>
    <row r="124" spans="1:69" ht="12" customHeight="1">
      <c r="A124" s="320">
        <v>213</v>
      </c>
      <c r="B124" s="336" t="s">
        <v>767</v>
      </c>
      <c r="C124" s="325" t="s">
        <v>745</v>
      </c>
      <c r="D124" s="336" t="s">
        <v>829</v>
      </c>
      <c r="E124" s="328">
        <v>100</v>
      </c>
      <c r="F124" s="365">
        <v>6</v>
      </c>
      <c r="G124" s="325">
        <v>1.5</v>
      </c>
      <c r="H124" s="325">
        <v>1.7999999999999998</v>
      </c>
      <c r="I124" s="325">
        <v>920</v>
      </c>
      <c r="J124" s="325">
        <v>1104</v>
      </c>
      <c r="K124" s="328"/>
      <c r="L124" s="332">
        <v>3.8</v>
      </c>
      <c r="M124" s="331">
        <f t="shared" si="4"/>
        <v>3.965217391304348</v>
      </c>
      <c r="N124" s="325">
        <v>0.76</v>
      </c>
      <c r="O124" s="349">
        <v>76</v>
      </c>
      <c r="P124" s="328"/>
      <c r="Q124" s="328"/>
      <c r="R124" s="325">
        <v>0.76</v>
      </c>
      <c r="S124" s="349">
        <v>76</v>
      </c>
      <c r="T124" s="328"/>
      <c r="U124" s="328"/>
      <c r="V124" s="339">
        <v>5.5</v>
      </c>
      <c r="W124" s="339">
        <v>2.1</v>
      </c>
      <c r="X124" s="339">
        <v>2</v>
      </c>
      <c r="Y124" s="328"/>
      <c r="Z124" s="328"/>
      <c r="AA124" s="328"/>
      <c r="AB124" s="329">
        <v>6.8999999999999999E-3</v>
      </c>
      <c r="AC124" s="328">
        <v>53</v>
      </c>
      <c r="AD124" s="325">
        <v>23</v>
      </c>
      <c r="AE124" s="328"/>
      <c r="AF124" s="328"/>
      <c r="AG124" s="328"/>
      <c r="AH124" s="327">
        <v>160</v>
      </c>
      <c r="AI124" s="327">
        <v>140</v>
      </c>
      <c r="AJ124" s="327">
        <v>63</v>
      </c>
      <c r="AK124" s="327">
        <v>28</v>
      </c>
      <c r="AL124" s="327">
        <v>60</v>
      </c>
      <c r="AM124" s="327">
        <v>8</v>
      </c>
      <c r="AN124" s="327">
        <v>24</v>
      </c>
      <c r="AO124" s="327" t="s">
        <v>246</v>
      </c>
      <c r="AP124" s="327">
        <v>100</v>
      </c>
      <c r="AQ124" s="327">
        <v>12</v>
      </c>
      <c r="AR124" s="327">
        <v>205</v>
      </c>
      <c r="AS124" s="327">
        <v>215</v>
      </c>
      <c r="AT124" s="327">
        <v>160</v>
      </c>
      <c r="AU124" s="327">
        <v>260</v>
      </c>
      <c r="AV124" s="327">
        <v>385</v>
      </c>
      <c r="AW124" s="328">
        <v>435</v>
      </c>
      <c r="AX124" s="327">
        <v>130</v>
      </c>
      <c r="AY124" s="327">
        <v>110</v>
      </c>
      <c r="AZ124" s="327">
        <v>160</v>
      </c>
      <c r="BA124" s="327" t="s">
        <v>245</v>
      </c>
      <c r="BB124" s="327">
        <v>3.5</v>
      </c>
      <c r="BC124" s="327">
        <v>165</v>
      </c>
      <c r="BD124" s="327">
        <v>130</v>
      </c>
      <c r="BE124" s="327">
        <v>200</v>
      </c>
      <c r="BF124" s="327" t="s">
        <v>246</v>
      </c>
      <c r="BG124" s="327">
        <v>3.5</v>
      </c>
      <c r="BH124" s="327">
        <v>215</v>
      </c>
      <c r="BI124" s="327">
        <v>180</v>
      </c>
      <c r="BJ124" s="327">
        <v>250</v>
      </c>
      <c r="BK124" s="327">
        <v>15</v>
      </c>
      <c r="BL124" s="327">
        <v>4</v>
      </c>
      <c r="BM124" s="325" t="s">
        <v>475</v>
      </c>
      <c r="BN124" s="325" t="s">
        <v>475</v>
      </c>
      <c r="BO124" s="340" t="s">
        <v>682</v>
      </c>
      <c r="BP124" s="340" t="s">
        <v>682</v>
      </c>
      <c r="BQ124" s="325" t="s">
        <v>480</v>
      </c>
    </row>
    <row r="125" spans="1:69" ht="12" customHeight="1">
      <c r="A125" s="320">
        <v>214</v>
      </c>
      <c r="B125" s="336" t="s">
        <v>746</v>
      </c>
      <c r="C125" s="325" t="s">
        <v>745</v>
      </c>
      <c r="D125" s="336" t="s">
        <v>828</v>
      </c>
      <c r="E125" s="334">
        <v>100</v>
      </c>
      <c r="F125" s="382">
        <v>6</v>
      </c>
      <c r="G125" s="325">
        <v>1.5</v>
      </c>
      <c r="H125" s="325">
        <v>1.7999999999999998</v>
      </c>
      <c r="I125" s="325">
        <v>920</v>
      </c>
      <c r="J125" s="335">
        <v>1104</v>
      </c>
      <c r="K125" s="334"/>
      <c r="L125" s="332">
        <v>3.8</v>
      </c>
      <c r="M125" s="331">
        <f t="shared" si="4"/>
        <v>3.965217391304348</v>
      </c>
      <c r="N125" s="332">
        <v>0.75</v>
      </c>
      <c r="O125" s="339">
        <v>76</v>
      </c>
      <c r="P125" s="334"/>
      <c r="Q125" s="334"/>
      <c r="R125" s="332">
        <v>0.75</v>
      </c>
      <c r="S125" s="339">
        <v>76</v>
      </c>
      <c r="T125" s="334"/>
      <c r="U125" s="334"/>
      <c r="V125" s="339">
        <v>5.5</v>
      </c>
      <c r="W125" s="339">
        <v>2</v>
      </c>
      <c r="X125" s="339">
        <v>2.1</v>
      </c>
      <c r="Y125" s="328"/>
      <c r="Z125" s="328"/>
      <c r="AA125" s="328"/>
      <c r="AB125" s="329">
        <v>8.0999999999999996E-3</v>
      </c>
      <c r="AC125" s="328">
        <v>53</v>
      </c>
      <c r="AD125" s="325">
        <v>28</v>
      </c>
      <c r="AE125" s="328"/>
      <c r="AF125" s="328"/>
      <c r="AG125" s="328"/>
      <c r="AH125" s="327">
        <v>160</v>
      </c>
      <c r="AI125" s="327">
        <v>140</v>
      </c>
      <c r="AJ125" s="327">
        <v>63</v>
      </c>
      <c r="AK125" s="327">
        <v>28</v>
      </c>
      <c r="AL125" s="327">
        <v>60</v>
      </c>
      <c r="AM125" s="327">
        <v>8</v>
      </c>
      <c r="AN125" s="327">
        <v>24</v>
      </c>
      <c r="AO125" s="327" t="s">
        <v>246</v>
      </c>
      <c r="AP125" s="327">
        <v>100</v>
      </c>
      <c r="AQ125" s="327">
        <v>12</v>
      </c>
      <c r="AR125" s="327">
        <v>205</v>
      </c>
      <c r="AS125" s="327">
        <v>205</v>
      </c>
      <c r="AT125" s="327">
        <v>200</v>
      </c>
      <c r="AU125" s="327">
        <v>290</v>
      </c>
      <c r="AV125" s="327">
        <v>385</v>
      </c>
      <c r="AW125" s="327">
        <v>435</v>
      </c>
      <c r="AX125" s="327">
        <v>130</v>
      </c>
      <c r="AY125" s="327">
        <v>110</v>
      </c>
      <c r="AZ125" s="327">
        <v>160</v>
      </c>
      <c r="BA125" s="327" t="s">
        <v>245</v>
      </c>
      <c r="BB125" s="327">
        <v>3.5</v>
      </c>
      <c r="BC125" s="327">
        <v>165</v>
      </c>
      <c r="BD125" s="327">
        <v>130</v>
      </c>
      <c r="BE125" s="327">
        <v>200</v>
      </c>
      <c r="BF125" s="327" t="s">
        <v>246</v>
      </c>
      <c r="BG125" s="327">
        <v>3.5</v>
      </c>
      <c r="BH125" s="327">
        <v>215</v>
      </c>
      <c r="BI125" s="327">
        <v>180</v>
      </c>
      <c r="BJ125" s="327">
        <v>250</v>
      </c>
      <c r="BK125" s="327">
        <v>15</v>
      </c>
      <c r="BL125" s="327">
        <v>4</v>
      </c>
      <c r="BM125" s="325" t="s">
        <v>475</v>
      </c>
      <c r="BN125" s="325" t="s">
        <v>475</v>
      </c>
      <c r="BO125" s="326"/>
      <c r="BP125" s="326"/>
      <c r="BQ125" s="325" t="s">
        <v>480</v>
      </c>
    </row>
    <row r="126" spans="1:69" ht="12" customHeight="1">
      <c r="A126" s="320">
        <v>215</v>
      </c>
      <c r="B126" s="336" t="s">
        <v>767</v>
      </c>
      <c r="C126" s="325" t="s">
        <v>745</v>
      </c>
      <c r="D126" s="336" t="s">
        <v>827</v>
      </c>
      <c r="E126" s="328">
        <v>112</v>
      </c>
      <c r="F126" s="365">
        <v>6</v>
      </c>
      <c r="G126" s="325">
        <v>2.2000000000000002</v>
      </c>
      <c r="H126" s="325">
        <v>2.64</v>
      </c>
      <c r="I126" s="325">
        <v>935</v>
      </c>
      <c r="J126" s="325">
        <v>1122</v>
      </c>
      <c r="K126" s="328"/>
      <c r="L126" s="332">
        <v>5.32</v>
      </c>
      <c r="M126" s="331">
        <f t="shared" si="4"/>
        <v>5.5513043478260879</v>
      </c>
      <c r="N126" s="325">
        <v>0.76</v>
      </c>
      <c r="O126" s="349">
        <v>79</v>
      </c>
      <c r="P126" s="328"/>
      <c r="Q126" s="328"/>
      <c r="R126" s="325">
        <v>0.76</v>
      </c>
      <c r="S126" s="349">
        <v>79</v>
      </c>
      <c r="T126" s="328"/>
      <c r="U126" s="328"/>
      <c r="V126" s="339">
        <v>6.5</v>
      </c>
      <c r="W126" s="339">
        <v>2.1</v>
      </c>
      <c r="X126" s="339">
        <v>2</v>
      </c>
      <c r="Y126" s="328"/>
      <c r="Z126" s="328"/>
      <c r="AA126" s="328"/>
      <c r="AB126" s="329">
        <v>1.4E-2</v>
      </c>
      <c r="AC126" s="328">
        <v>54</v>
      </c>
      <c r="AD126" s="325">
        <v>28</v>
      </c>
      <c r="AE126" s="328"/>
      <c r="AF126" s="328"/>
      <c r="AG126" s="328"/>
      <c r="AH126" s="327">
        <v>190</v>
      </c>
      <c r="AI126" s="327">
        <v>140</v>
      </c>
      <c r="AJ126" s="327">
        <v>70</v>
      </c>
      <c r="AK126" s="327">
        <v>28</v>
      </c>
      <c r="AL126" s="327">
        <v>60</v>
      </c>
      <c r="AM126" s="327">
        <v>8</v>
      </c>
      <c r="AN126" s="327">
        <v>24</v>
      </c>
      <c r="AO126" s="327" t="s">
        <v>246</v>
      </c>
      <c r="AP126" s="327">
        <v>112</v>
      </c>
      <c r="AQ126" s="327">
        <v>12</v>
      </c>
      <c r="AR126" s="327">
        <v>230</v>
      </c>
      <c r="AS126" s="327">
        <v>240</v>
      </c>
      <c r="AT126" s="327">
        <v>178</v>
      </c>
      <c r="AU126" s="327">
        <v>290</v>
      </c>
      <c r="AV126" s="327">
        <v>400</v>
      </c>
      <c r="AW126" s="328">
        <v>450</v>
      </c>
      <c r="AX126" s="327">
        <v>130</v>
      </c>
      <c r="AY126" s="327">
        <v>110</v>
      </c>
      <c r="AZ126" s="327">
        <v>160</v>
      </c>
      <c r="BA126" s="327" t="s">
        <v>245</v>
      </c>
      <c r="BB126" s="327">
        <v>3.5</v>
      </c>
      <c r="BC126" s="327">
        <v>165</v>
      </c>
      <c r="BD126" s="327">
        <v>130</v>
      </c>
      <c r="BE126" s="327">
        <v>200</v>
      </c>
      <c r="BF126" s="327" t="s">
        <v>246</v>
      </c>
      <c r="BG126" s="327">
        <v>3.5</v>
      </c>
      <c r="BH126" s="327">
        <v>215</v>
      </c>
      <c r="BI126" s="327">
        <v>180</v>
      </c>
      <c r="BJ126" s="327">
        <v>250</v>
      </c>
      <c r="BK126" s="327">
        <v>15</v>
      </c>
      <c r="BL126" s="327">
        <v>4</v>
      </c>
      <c r="BM126" s="325" t="s">
        <v>683</v>
      </c>
      <c r="BN126" s="325" t="s">
        <v>683</v>
      </c>
      <c r="BO126" s="340" t="s">
        <v>682</v>
      </c>
      <c r="BP126" s="340" t="s">
        <v>682</v>
      </c>
      <c r="BQ126" s="325" t="s">
        <v>464</v>
      </c>
    </row>
    <row r="127" spans="1:69" ht="12" customHeight="1">
      <c r="A127" s="320">
        <v>216</v>
      </c>
      <c r="B127" s="336" t="s">
        <v>746</v>
      </c>
      <c r="C127" s="325" t="s">
        <v>745</v>
      </c>
      <c r="D127" s="336" t="s">
        <v>826</v>
      </c>
      <c r="E127" s="334">
        <v>112</v>
      </c>
      <c r="F127" s="382">
        <v>6</v>
      </c>
      <c r="G127" s="325">
        <v>2.2000000000000002</v>
      </c>
      <c r="H127" s="325">
        <v>2.64</v>
      </c>
      <c r="I127" s="325">
        <v>935</v>
      </c>
      <c r="J127" s="335">
        <v>1122</v>
      </c>
      <c r="K127" s="334"/>
      <c r="L127" s="332">
        <v>5.3</v>
      </c>
      <c r="M127" s="331">
        <f t="shared" si="4"/>
        <v>5.5304347826086957</v>
      </c>
      <c r="N127" s="332">
        <v>0.76</v>
      </c>
      <c r="O127" s="339">
        <v>79</v>
      </c>
      <c r="P127" s="334"/>
      <c r="Q127" s="334"/>
      <c r="R127" s="332">
        <v>0.76</v>
      </c>
      <c r="S127" s="339">
        <v>79</v>
      </c>
      <c r="T127" s="334"/>
      <c r="U127" s="334"/>
      <c r="V127" s="339">
        <v>6.5</v>
      </c>
      <c r="W127" s="339">
        <v>2</v>
      </c>
      <c r="X127" s="339">
        <v>2.1</v>
      </c>
      <c r="Y127" s="328"/>
      <c r="Z127" s="328"/>
      <c r="AA127" s="328"/>
      <c r="AB127" s="329">
        <v>1.4999999999999999E-2</v>
      </c>
      <c r="AC127" s="328">
        <v>54</v>
      </c>
      <c r="AD127" s="325">
        <v>38</v>
      </c>
      <c r="AE127" s="328"/>
      <c r="AF127" s="328"/>
      <c r="AG127" s="328"/>
      <c r="AH127" s="327">
        <v>190</v>
      </c>
      <c r="AI127" s="327">
        <v>140</v>
      </c>
      <c r="AJ127" s="327">
        <v>70</v>
      </c>
      <c r="AK127" s="327">
        <v>28</v>
      </c>
      <c r="AL127" s="327">
        <v>60</v>
      </c>
      <c r="AM127" s="327">
        <v>8</v>
      </c>
      <c r="AN127" s="327">
        <v>24</v>
      </c>
      <c r="AO127" s="327" t="s">
        <v>246</v>
      </c>
      <c r="AP127" s="327">
        <v>112</v>
      </c>
      <c r="AQ127" s="327">
        <v>12</v>
      </c>
      <c r="AR127" s="327">
        <v>230</v>
      </c>
      <c r="AS127" s="327">
        <v>240</v>
      </c>
      <c r="AT127" s="327">
        <v>220</v>
      </c>
      <c r="AU127" s="327">
        <v>325</v>
      </c>
      <c r="AV127" s="327">
        <v>400</v>
      </c>
      <c r="AW127" s="327">
        <v>450</v>
      </c>
      <c r="AX127" s="327">
        <v>130</v>
      </c>
      <c r="AY127" s="327">
        <v>110</v>
      </c>
      <c r="AZ127" s="327">
        <v>160</v>
      </c>
      <c r="BA127" s="327" t="s">
        <v>245</v>
      </c>
      <c r="BB127" s="327">
        <v>3.5</v>
      </c>
      <c r="BC127" s="327">
        <v>165</v>
      </c>
      <c r="BD127" s="327">
        <v>130</v>
      </c>
      <c r="BE127" s="327">
        <v>200</v>
      </c>
      <c r="BF127" s="327" t="s">
        <v>246</v>
      </c>
      <c r="BG127" s="327">
        <v>3.5</v>
      </c>
      <c r="BH127" s="327">
        <v>215</v>
      </c>
      <c r="BI127" s="327">
        <v>180</v>
      </c>
      <c r="BJ127" s="327">
        <v>250</v>
      </c>
      <c r="BK127" s="327">
        <v>15</v>
      </c>
      <c r="BL127" s="327">
        <v>4</v>
      </c>
      <c r="BM127" s="325" t="s">
        <v>475</v>
      </c>
      <c r="BN127" s="325" t="s">
        <v>475</v>
      </c>
      <c r="BO127" s="326"/>
      <c r="BP127" s="326"/>
      <c r="BQ127" s="325" t="s">
        <v>464</v>
      </c>
    </row>
    <row r="128" spans="1:69" ht="12" customHeight="1">
      <c r="A128" s="320">
        <v>217</v>
      </c>
      <c r="B128" s="336" t="s">
        <v>767</v>
      </c>
      <c r="C128" s="325" t="s">
        <v>745</v>
      </c>
      <c r="D128" s="336" t="s">
        <v>825</v>
      </c>
      <c r="E128" s="328">
        <v>132</v>
      </c>
      <c r="F128" s="365">
        <v>6</v>
      </c>
      <c r="G128" s="325">
        <v>3</v>
      </c>
      <c r="H128" s="325">
        <v>3.5999999999999996</v>
      </c>
      <c r="I128" s="325">
        <v>960</v>
      </c>
      <c r="J128" s="325">
        <v>1152</v>
      </c>
      <c r="K128" s="328"/>
      <c r="L128" s="332">
        <v>7.03</v>
      </c>
      <c r="M128" s="331">
        <f t="shared" si="4"/>
        <v>7.3356521739130436</v>
      </c>
      <c r="N128" s="325">
        <v>0.76</v>
      </c>
      <c r="O128" s="349">
        <v>81</v>
      </c>
      <c r="P128" s="328"/>
      <c r="Q128" s="328"/>
      <c r="R128" s="325">
        <v>0.76</v>
      </c>
      <c r="S128" s="349">
        <v>81</v>
      </c>
      <c r="T128" s="328"/>
      <c r="U128" s="328"/>
      <c r="V128" s="339">
        <v>6.5</v>
      </c>
      <c r="W128" s="339">
        <v>2.1</v>
      </c>
      <c r="X128" s="339">
        <v>2.1</v>
      </c>
      <c r="Y128" s="328"/>
      <c r="Z128" s="328"/>
      <c r="AA128" s="328"/>
      <c r="AB128" s="329">
        <v>2.86E-2</v>
      </c>
      <c r="AC128" s="328">
        <v>58</v>
      </c>
      <c r="AD128" s="325">
        <v>40</v>
      </c>
      <c r="AE128" s="328"/>
      <c r="AF128" s="328"/>
      <c r="AG128" s="328"/>
      <c r="AH128" s="327">
        <v>216</v>
      </c>
      <c r="AI128" s="327">
        <v>140</v>
      </c>
      <c r="AJ128" s="327">
        <v>89</v>
      </c>
      <c r="AK128" s="327">
        <v>38</v>
      </c>
      <c r="AL128" s="327">
        <v>80</v>
      </c>
      <c r="AM128" s="327">
        <v>10</v>
      </c>
      <c r="AN128" s="327">
        <v>33</v>
      </c>
      <c r="AO128" s="327" t="s">
        <v>247</v>
      </c>
      <c r="AP128" s="327">
        <v>132</v>
      </c>
      <c r="AQ128" s="327">
        <v>12</v>
      </c>
      <c r="AR128" s="327">
        <v>270</v>
      </c>
      <c r="AS128" s="327">
        <v>275</v>
      </c>
      <c r="AT128" s="327">
        <v>206</v>
      </c>
      <c r="AU128" s="327">
        <v>340</v>
      </c>
      <c r="AV128" s="327">
        <v>483</v>
      </c>
      <c r="AW128" s="328">
        <v>533</v>
      </c>
      <c r="AX128" s="327">
        <v>165</v>
      </c>
      <c r="AY128" s="327">
        <v>130</v>
      </c>
      <c r="AZ128" s="327">
        <v>200</v>
      </c>
      <c r="BA128" s="327" t="s">
        <v>246</v>
      </c>
      <c r="BB128" s="327">
        <v>3.5</v>
      </c>
      <c r="BC128" s="327">
        <v>215</v>
      </c>
      <c r="BD128" s="327">
        <v>180</v>
      </c>
      <c r="BE128" s="327">
        <v>250</v>
      </c>
      <c r="BF128" s="327" t="s">
        <v>247</v>
      </c>
      <c r="BG128" s="327">
        <v>4</v>
      </c>
      <c r="BH128" s="327">
        <v>265</v>
      </c>
      <c r="BI128" s="327">
        <v>230</v>
      </c>
      <c r="BJ128" s="327">
        <v>300</v>
      </c>
      <c r="BK128" s="327">
        <v>15</v>
      </c>
      <c r="BL128" s="327">
        <v>4</v>
      </c>
      <c r="BM128" s="325" t="s">
        <v>678</v>
      </c>
      <c r="BN128" s="325" t="s">
        <v>678</v>
      </c>
      <c r="BO128" s="340" t="s">
        <v>677</v>
      </c>
      <c r="BP128" s="340" t="s">
        <v>677</v>
      </c>
      <c r="BQ128" s="325" t="s">
        <v>464</v>
      </c>
    </row>
    <row r="129" spans="1:69" ht="12" customHeight="1">
      <c r="A129" s="320">
        <v>218</v>
      </c>
      <c r="B129" s="336" t="s">
        <v>746</v>
      </c>
      <c r="C129" s="325" t="s">
        <v>745</v>
      </c>
      <c r="D129" s="336" t="s">
        <v>824</v>
      </c>
      <c r="E129" s="334">
        <v>132</v>
      </c>
      <c r="F129" s="382">
        <v>6</v>
      </c>
      <c r="G129" s="325">
        <v>3</v>
      </c>
      <c r="H129" s="325">
        <v>3.5999999999999996</v>
      </c>
      <c r="I129" s="325">
        <v>960</v>
      </c>
      <c r="J129" s="335">
        <v>1152</v>
      </c>
      <c r="K129" s="334"/>
      <c r="L129" s="332">
        <v>7.03</v>
      </c>
      <c r="M129" s="331">
        <f t="shared" si="4"/>
        <v>7.3356521739130436</v>
      </c>
      <c r="N129" s="332">
        <v>0.76</v>
      </c>
      <c r="O129" s="339">
        <v>81</v>
      </c>
      <c r="P129" s="334"/>
      <c r="Q129" s="334"/>
      <c r="R129" s="332">
        <v>0.76</v>
      </c>
      <c r="S129" s="339">
        <v>81</v>
      </c>
      <c r="T129" s="334"/>
      <c r="U129" s="334"/>
      <c r="V129" s="339">
        <v>6.5</v>
      </c>
      <c r="W129" s="339">
        <v>2.1</v>
      </c>
      <c r="X129" s="339">
        <v>2.1</v>
      </c>
      <c r="Y129" s="328"/>
      <c r="Z129" s="328"/>
      <c r="AA129" s="328"/>
      <c r="AB129" s="329">
        <v>2.9000000000000001E-2</v>
      </c>
      <c r="AC129" s="328">
        <v>58</v>
      </c>
      <c r="AD129" s="325">
        <v>58</v>
      </c>
      <c r="AE129" s="328"/>
      <c r="AF129" s="328"/>
      <c r="AG129" s="328"/>
      <c r="AH129" s="327">
        <v>216</v>
      </c>
      <c r="AI129" s="327">
        <v>140</v>
      </c>
      <c r="AJ129" s="327">
        <v>89</v>
      </c>
      <c r="AK129" s="327">
        <v>38</v>
      </c>
      <c r="AL129" s="327">
        <v>80</v>
      </c>
      <c r="AM129" s="327">
        <v>10</v>
      </c>
      <c r="AN129" s="327">
        <v>33</v>
      </c>
      <c r="AO129" s="327" t="s">
        <v>247</v>
      </c>
      <c r="AP129" s="327">
        <v>132</v>
      </c>
      <c r="AQ129" s="327">
        <v>12</v>
      </c>
      <c r="AR129" s="327">
        <v>270</v>
      </c>
      <c r="AS129" s="327">
        <v>275</v>
      </c>
      <c r="AT129" s="327">
        <v>240</v>
      </c>
      <c r="AU129" s="327">
        <v>365</v>
      </c>
      <c r="AV129" s="327">
        <v>470</v>
      </c>
      <c r="AW129" s="327">
        <v>520</v>
      </c>
      <c r="AX129" s="327">
        <v>165</v>
      </c>
      <c r="AY129" s="327">
        <v>130</v>
      </c>
      <c r="AZ129" s="327">
        <v>200</v>
      </c>
      <c r="BA129" s="327" t="s">
        <v>246</v>
      </c>
      <c r="BB129" s="327">
        <v>3.5</v>
      </c>
      <c r="BC129" s="327">
        <v>215</v>
      </c>
      <c r="BD129" s="327">
        <v>180</v>
      </c>
      <c r="BE129" s="327">
        <v>250</v>
      </c>
      <c r="BF129" s="327" t="s">
        <v>247</v>
      </c>
      <c r="BG129" s="327">
        <v>4</v>
      </c>
      <c r="BH129" s="327">
        <v>265</v>
      </c>
      <c r="BI129" s="327">
        <v>230</v>
      </c>
      <c r="BJ129" s="327">
        <v>300</v>
      </c>
      <c r="BK129" s="327">
        <v>15</v>
      </c>
      <c r="BL129" s="327">
        <v>4</v>
      </c>
      <c r="BM129" s="325" t="s">
        <v>465</v>
      </c>
      <c r="BN129" s="325" t="s">
        <v>465</v>
      </c>
      <c r="BO129" s="326"/>
      <c r="BP129" s="326"/>
      <c r="BQ129" s="325" t="s">
        <v>464</v>
      </c>
    </row>
    <row r="130" spans="1:69" ht="12" customHeight="1">
      <c r="A130" s="320">
        <v>219</v>
      </c>
      <c r="B130" s="336" t="s">
        <v>767</v>
      </c>
      <c r="C130" s="325" t="s">
        <v>745</v>
      </c>
      <c r="D130" s="336" t="s">
        <v>823</v>
      </c>
      <c r="E130" s="328">
        <v>132</v>
      </c>
      <c r="F130" s="365">
        <v>6</v>
      </c>
      <c r="G130" s="325">
        <v>4</v>
      </c>
      <c r="H130" s="325">
        <v>4.8</v>
      </c>
      <c r="I130" s="325">
        <v>960</v>
      </c>
      <c r="J130" s="325">
        <v>1152</v>
      </c>
      <c r="K130" s="328"/>
      <c r="L130" s="332">
        <v>9.0299999999999994</v>
      </c>
      <c r="M130" s="333">
        <f t="shared" si="4"/>
        <v>9.4226086956521726</v>
      </c>
      <c r="N130" s="325">
        <v>0.76</v>
      </c>
      <c r="O130" s="349">
        <v>82</v>
      </c>
      <c r="P130" s="328"/>
      <c r="Q130" s="328"/>
      <c r="R130" s="325">
        <v>0.76</v>
      </c>
      <c r="S130" s="349">
        <v>82</v>
      </c>
      <c r="T130" s="328"/>
      <c r="U130" s="328"/>
      <c r="V130" s="339">
        <v>6.5</v>
      </c>
      <c r="W130" s="339">
        <v>2.1</v>
      </c>
      <c r="X130" s="339">
        <v>2.1</v>
      </c>
      <c r="Y130" s="328"/>
      <c r="Z130" s="328"/>
      <c r="AA130" s="328"/>
      <c r="AB130" s="329">
        <v>3.5700000000000003E-2</v>
      </c>
      <c r="AC130" s="328">
        <v>58</v>
      </c>
      <c r="AD130" s="325">
        <v>43</v>
      </c>
      <c r="AE130" s="328"/>
      <c r="AF130" s="328"/>
      <c r="AG130" s="328"/>
      <c r="AH130" s="327">
        <v>216</v>
      </c>
      <c r="AI130" s="327">
        <v>178</v>
      </c>
      <c r="AJ130" s="327">
        <v>89</v>
      </c>
      <c r="AK130" s="327">
        <v>38</v>
      </c>
      <c r="AL130" s="327">
        <v>80</v>
      </c>
      <c r="AM130" s="327">
        <v>10</v>
      </c>
      <c r="AN130" s="327">
        <v>33</v>
      </c>
      <c r="AO130" s="327" t="s">
        <v>247</v>
      </c>
      <c r="AP130" s="327">
        <v>132</v>
      </c>
      <c r="AQ130" s="327">
        <v>12</v>
      </c>
      <c r="AR130" s="327">
        <v>270</v>
      </c>
      <c r="AS130" s="327">
        <v>275</v>
      </c>
      <c r="AT130" s="327">
        <v>206</v>
      </c>
      <c r="AU130" s="327">
        <v>340</v>
      </c>
      <c r="AV130" s="327">
        <v>510</v>
      </c>
      <c r="AW130" s="328">
        <v>560</v>
      </c>
      <c r="AX130" s="327">
        <v>165</v>
      </c>
      <c r="AY130" s="327">
        <v>130</v>
      </c>
      <c r="AZ130" s="327">
        <v>200</v>
      </c>
      <c r="BA130" s="327" t="s">
        <v>246</v>
      </c>
      <c r="BB130" s="327">
        <v>3.5</v>
      </c>
      <c r="BC130" s="327">
        <v>215</v>
      </c>
      <c r="BD130" s="327">
        <v>180</v>
      </c>
      <c r="BE130" s="327">
        <v>250</v>
      </c>
      <c r="BF130" s="327" t="s">
        <v>247</v>
      </c>
      <c r="BG130" s="327">
        <v>4</v>
      </c>
      <c r="BH130" s="327">
        <v>265</v>
      </c>
      <c r="BI130" s="327">
        <v>230</v>
      </c>
      <c r="BJ130" s="327">
        <v>300</v>
      </c>
      <c r="BK130" s="327">
        <v>15</v>
      </c>
      <c r="BL130" s="327">
        <v>4</v>
      </c>
      <c r="BM130" s="325" t="s">
        <v>678</v>
      </c>
      <c r="BN130" s="325" t="s">
        <v>678</v>
      </c>
      <c r="BO130" s="340" t="s">
        <v>677</v>
      </c>
      <c r="BP130" s="340" t="s">
        <v>677</v>
      </c>
      <c r="BQ130" s="325" t="s">
        <v>464</v>
      </c>
    </row>
    <row r="131" spans="1:69" ht="12" customHeight="1">
      <c r="A131" s="320">
        <v>220</v>
      </c>
      <c r="B131" s="336" t="s">
        <v>746</v>
      </c>
      <c r="C131" s="325" t="s">
        <v>745</v>
      </c>
      <c r="D131" s="336" t="s">
        <v>822</v>
      </c>
      <c r="E131" s="328">
        <v>132</v>
      </c>
      <c r="F131" s="382">
        <v>6</v>
      </c>
      <c r="G131" s="325">
        <v>4</v>
      </c>
      <c r="H131" s="325">
        <v>4.8</v>
      </c>
      <c r="I131" s="325">
        <v>960</v>
      </c>
      <c r="J131" s="335">
        <v>1152</v>
      </c>
      <c r="K131" s="328"/>
      <c r="L131" s="343">
        <v>9.3000000000000007</v>
      </c>
      <c r="M131" s="331">
        <f t="shared" si="4"/>
        <v>9.7043478260869573</v>
      </c>
      <c r="N131" s="332">
        <v>0.76</v>
      </c>
      <c r="O131" s="339">
        <v>82</v>
      </c>
      <c r="P131" s="328"/>
      <c r="Q131" s="328"/>
      <c r="R131" s="332">
        <v>0.76</v>
      </c>
      <c r="S131" s="339">
        <v>82</v>
      </c>
      <c r="T131" s="328"/>
      <c r="U131" s="328"/>
      <c r="V131" s="339">
        <v>6.5</v>
      </c>
      <c r="W131" s="339">
        <v>2.1</v>
      </c>
      <c r="X131" s="339">
        <v>2.1</v>
      </c>
      <c r="Y131" s="328"/>
      <c r="Z131" s="328"/>
      <c r="AA131" s="328"/>
      <c r="AB131" s="329">
        <v>3.9E-2</v>
      </c>
      <c r="AC131" s="328">
        <v>58</v>
      </c>
      <c r="AD131" s="325">
        <v>68</v>
      </c>
      <c r="AE131" s="328"/>
      <c r="AF131" s="328"/>
      <c r="AG131" s="328"/>
      <c r="AH131" s="327">
        <v>216</v>
      </c>
      <c r="AI131" s="327">
        <v>178</v>
      </c>
      <c r="AJ131" s="327">
        <v>89</v>
      </c>
      <c r="AK131" s="327">
        <v>38</v>
      </c>
      <c r="AL131" s="327">
        <v>80</v>
      </c>
      <c r="AM131" s="327">
        <v>10</v>
      </c>
      <c r="AN131" s="327">
        <v>33</v>
      </c>
      <c r="AO131" s="327" t="s">
        <v>247</v>
      </c>
      <c r="AP131" s="327">
        <v>132</v>
      </c>
      <c r="AQ131" s="327">
        <v>12</v>
      </c>
      <c r="AR131" s="327">
        <v>270</v>
      </c>
      <c r="AS131" s="327">
        <v>275</v>
      </c>
      <c r="AT131" s="327">
        <v>240</v>
      </c>
      <c r="AU131" s="327">
        <v>365</v>
      </c>
      <c r="AV131" s="327">
        <v>510</v>
      </c>
      <c r="AW131" s="327">
        <v>560</v>
      </c>
      <c r="AX131" s="327">
        <v>165</v>
      </c>
      <c r="AY131" s="327">
        <v>130</v>
      </c>
      <c r="AZ131" s="327">
        <v>200</v>
      </c>
      <c r="BA131" s="327" t="s">
        <v>246</v>
      </c>
      <c r="BB131" s="327">
        <v>3.5</v>
      </c>
      <c r="BC131" s="327">
        <v>215</v>
      </c>
      <c r="BD131" s="327">
        <v>180</v>
      </c>
      <c r="BE131" s="327">
        <v>250</v>
      </c>
      <c r="BF131" s="327" t="s">
        <v>247</v>
      </c>
      <c r="BG131" s="327">
        <v>4</v>
      </c>
      <c r="BH131" s="327">
        <v>265</v>
      </c>
      <c r="BI131" s="327">
        <v>230</v>
      </c>
      <c r="BJ131" s="327">
        <v>300</v>
      </c>
      <c r="BK131" s="327">
        <v>15</v>
      </c>
      <c r="BL131" s="327">
        <v>4</v>
      </c>
      <c r="BM131" s="325" t="s">
        <v>465</v>
      </c>
      <c r="BN131" s="325" t="s">
        <v>465</v>
      </c>
      <c r="BO131" s="326"/>
      <c r="BP131" s="326"/>
      <c r="BQ131" s="325" t="s">
        <v>464</v>
      </c>
    </row>
    <row r="132" spans="1:69" ht="12" customHeight="1">
      <c r="A132" s="320">
        <v>221</v>
      </c>
      <c r="B132" s="336" t="s">
        <v>767</v>
      </c>
      <c r="C132" s="325" t="s">
        <v>745</v>
      </c>
      <c r="D132" s="336" t="s">
        <v>821</v>
      </c>
      <c r="E132" s="328">
        <v>132</v>
      </c>
      <c r="F132" s="365">
        <v>6</v>
      </c>
      <c r="G132" s="325">
        <v>5.5</v>
      </c>
      <c r="H132" s="325">
        <v>6.6</v>
      </c>
      <c r="I132" s="325">
        <v>960</v>
      </c>
      <c r="J132" s="325">
        <v>1152</v>
      </c>
      <c r="K132" s="328"/>
      <c r="L132" s="332">
        <v>11.97</v>
      </c>
      <c r="M132" s="333">
        <f t="shared" ref="M132:M196" si="74">L132*480/460</f>
        <v>12.490434782608697</v>
      </c>
      <c r="N132" s="325">
        <v>0.77</v>
      </c>
      <c r="O132" s="349">
        <v>84</v>
      </c>
      <c r="P132" s="328"/>
      <c r="Q132" s="328"/>
      <c r="R132" s="325">
        <v>0.77</v>
      </c>
      <c r="S132" s="349">
        <v>84</v>
      </c>
      <c r="T132" s="328"/>
      <c r="U132" s="328"/>
      <c r="V132" s="339">
        <v>6.5</v>
      </c>
      <c r="W132" s="339">
        <v>2.1</v>
      </c>
      <c r="X132" s="339">
        <v>2.1</v>
      </c>
      <c r="Y132" s="328"/>
      <c r="Z132" s="328"/>
      <c r="AA132" s="328"/>
      <c r="AB132" s="329">
        <v>4.4900000000000002E-2</v>
      </c>
      <c r="AC132" s="328">
        <v>59</v>
      </c>
      <c r="AD132" s="325">
        <v>47</v>
      </c>
      <c r="AE132" s="328"/>
      <c r="AF132" s="328"/>
      <c r="AG132" s="328"/>
      <c r="AH132" s="327">
        <v>216</v>
      </c>
      <c r="AI132" s="327">
        <v>178</v>
      </c>
      <c r="AJ132" s="327">
        <v>89</v>
      </c>
      <c r="AK132" s="327">
        <v>38</v>
      </c>
      <c r="AL132" s="327">
        <v>80</v>
      </c>
      <c r="AM132" s="327">
        <v>10</v>
      </c>
      <c r="AN132" s="327">
        <v>33</v>
      </c>
      <c r="AO132" s="327" t="s">
        <v>247</v>
      </c>
      <c r="AP132" s="327">
        <v>132</v>
      </c>
      <c r="AQ132" s="327">
        <v>12</v>
      </c>
      <c r="AR132" s="327">
        <v>270</v>
      </c>
      <c r="AS132" s="327">
        <v>275</v>
      </c>
      <c r="AT132" s="327">
        <v>206</v>
      </c>
      <c r="AU132" s="327">
        <v>340</v>
      </c>
      <c r="AV132" s="327">
        <v>510</v>
      </c>
      <c r="AW132" s="328">
        <v>560</v>
      </c>
      <c r="AX132" s="327">
        <v>165</v>
      </c>
      <c r="AY132" s="327">
        <v>130</v>
      </c>
      <c r="AZ132" s="327">
        <v>200</v>
      </c>
      <c r="BA132" s="327" t="s">
        <v>246</v>
      </c>
      <c r="BB132" s="327">
        <v>3.5</v>
      </c>
      <c r="BC132" s="327">
        <v>215</v>
      </c>
      <c r="BD132" s="327">
        <v>180</v>
      </c>
      <c r="BE132" s="327">
        <v>250</v>
      </c>
      <c r="BF132" s="327" t="s">
        <v>247</v>
      </c>
      <c r="BG132" s="327">
        <v>4</v>
      </c>
      <c r="BH132" s="327">
        <v>265</v>
      </c>
      <c r="BI132" s="327">
        <v>230</v>
      </c>
      <c r="BJ132" s="327">
        <v>300</v>
      </c>
      <c r="BK132" s="327">
        <v>15</v>
      </c>
      <c r="BL132" s="327">
        <v>4</v>
      </c>
      <c r="BM132" s="325" t="s">
        <v>678</v>
      </c>
      <c r="BN132" s="325" t="s">
        <v>678</v>
      </c>
      <c r="BO132" s="340" t="s">
        <v>677</v>
      </c>
      <c r="BP132" s="340" t="s">
        <v>677</v>
      </c>
      <c r="BQ132" s="325" t="s">
        <v>464</v>
      </c>
    </row>
    <row r="133" spans="1:69" ht="12" customHeight="1">
      <c r="A133" s="320">
        <v>222</v>
      </c>
      <c r="B133" s="336" t="s">
        <v>746</v>
      </c>
      <c r="C133" s="325" t="s">
        <v>745</v>
      </c>
      <c r="D133" s="336" t="s">
        <v>820</v>
      </c>
      <c r="E133" s="328">
        <v>132</v>
      </c>
      <c r="F133" s="382">
        <v>6</v>
      </c>
      <c r="G133" s="325">
        <v>5.5</v>
      </c>
      <c r="H133" s="325">
        <v>6.6</v>
      </c>
      <c r="I133" s="325">
        <v>960</v>
      </c>
      <c r="J133" s="335">
        <v>1152</v>
      </c>
      <c r="K133" s="328"/>
      <c r="L133" s="343">
        <v>12.3</v>
      </c>
      <c r="M133" s="331">
        <f t="shared" si="74"/>
        <v>12.834782608695653</v>
      </c>
      <c r="N133" s="332">
        <v>0.77</v>
      </c>
      <c r="O133" s="339">
        <v>84</v>
      </c>
      <c r="P133" s="328"/>
      <c r="Q133" s="328"/>
      <c r="R133" s="332">
        <v>0.77</v>
      </c>
      <c r="S133" s="339">
        <v>84</v>
      </c>
      <c r="T133" s="328"/>
      <c r="U133" s="328"/>
      <c r="V133" s="339">
        <v>6.5</v>
      </c>
      <c r="W133" s="339">
        <v>2.1</v>
      </c>
      <c r="X133" s="339">
        <v>2.1</v>
      </c>
      <c r="Y133" s="328"/>
      <c r="Z133" s="328"/>
      <c r="AA133" s="328"/>
      <c r="AB133" s="329">
        <v>5.2999999999999999E-2</v>
      </c>
      <c r="AC133" s="328">
        <v>59</v>
      </c>
      <c r="AD133" s="325">
        <v>76</v>
      </c>
      <c r="AE133" s="328"/>
      <c r="AF133" s="328"/>
      <c r="AG133" s="328"/>
      <c r="AH133" s="327">
        <v>216</v>
      </c>
      <c r="AI133" s="327">
        <v>178</v>
      </c>
      <c r="AJ133" s="327">
        <v>89</v>
      </c>
      <c r="AK133" s="327">
        <v>38</v>
      </c>
      <c r="AL133" s="327">
        <v>80</v>
      </c>
      <c r="AM133" s="327">
        <v>10</v>
      </c>
      <c r="AN133" s="327">
        <v>33</v>
      </c>
      <c r="AO133" s="327" t="s">
        <v>247</v>
      </c>
      <c r="AP133" s="327">
        <v>132</v>
      </c>
      <c r="AQ133" s="327">
        <v>12</v>
      </c>
      <c r="AR133" s="327">
        <v>270</v>
      </c>
      <c r="AS133" s="327">
        <v>275</v>
      </c>
      <c r="AT133" s="327">
        <v>240</v>
      </c>
      <c r="AU133" s="327">
        <v>365</v>
      </c>
      <c r="AV133" s="327">
        <v>510</v>
      </c>
      <c r="AW133" s="327">
        <v>560</v>
      </c>
      <c r="AX133" s="327">
        <v>165</v>
      </c>
      <c r="AY133" s="327">
        <v>130</v>
      </c>
      <c r="AZ133" s="327">
        <v>200</v>
      </c>
      <c r="BA133" s="327" t="s">
        <v>246</v>
      </c>
      <c r="BB133" s="327">
        <v>3.5</v>
      </c>
      <c r="BC133" s="327">
        <v>215</v>
      </c>
      <c r="BD133" s="327">
        <v>180</v>
      </c>
      <c r="BE133" s="327">
        <v>250</v>
      </c>
      <c r="BF133" s="327" t="s">
        <v>247</v>
      </c>
      <c r="BG133" s="327">
        <v>4</v>
      </c>
      <c r="BH133" s="327">
        <v>265</v>
      </c>
      <c r="BI133" s="327">
        <v>230</v>
      </c>
      <c r="BJ133" s="327">
        <v>300</v>
      </c>
      <c r="BK133" s="327">
        <v>15</v>
      </c>
      <c r="BL133" s="327">
        <v>4</v>
      </c>
      <c r="BM133" s="325" t="s">
        <v>465</v>
      </c>
      <c r="BN133" s="325" t="s">
        <v>465</v>
      </c>
      <c r="BO133" s="326"/>
      <c r="BP133" s="326"/>
      <c r="BQ133" s="325" t="s">
        <v>464</v>
      </c>
    </row>
    <row r="134" spans="1:69" ht="12" customHeight="1">
      <c r="A134" s="320">
        <v>223</v>
      </c>
      <c r="B134" s="336" t="s">
        <v>767</v>
      </c>
      <c r="C134" s="325" t="s">
        <v>745</v>
      </c>
      <c r="D134" s="336" t="s">
        <v>819</v>
      </c>
      <c r="E134" s="328">
        <v>160</v>
      </c>
      <c r="F134" s="365">
        <v>6</v>
      </c>
      <c r="G134" s="325">
        <v>7.5</v>
      </c>
      <c r="H134" s="325">
        <v>9</v>
      </c>
      <c r="I134" s="325">
        <v>970</v>
      </c>
      <c r="J134" s="325">
        <v>1164</v>
      </c>
      <c r="K134" s="328"/>
      <c r="L134" s="332">
        <v>16.100000000000001</v>
      </c>
      <c r="M134" s="331">
        <f t="shared" si="74"/>
        <v>16.8</v>
      </c>
      <c r="N134" s="325">
        <v>0.78</v>
      </c>
      <c r="O134" s="349">
        <v>86</v>
      </c>
      <c r="P134" s="328"/>
      <c r="Q134" s="328"/>
      <c r="R134" s="325">
        <v>0.78</v>
      </c>
      <c r="S134" s="349">
        <v>86</v>
      </c>
      <c r="T134" s="328"/>
      <c r="U134" s="328"/>
      <c r="V134" s="339">
        <v>6.5</v>
      </c>
      <c r="W134" s="339">
        <v>2.1</v>
      </c>
      <c r="X134" s="339">
        <v>2</v>
      </c>
      <c r="Y134" s="328"/>
      <c r="Z134" s="328"/>
      <c r="AA134" s="328"/>
      <c r="AB134" s="329">
        <v>8.1000000000000003E-2</v>
      </c>
      <c r="AC134" s="328">
        <v>59</v>
      </c>
      <c r="AD134" s="325">
        <v>71</v>
      </c>
      <c r="AE134" s="328"/>
      <c r="AF134" s="328"/>
      <c r="AG134" s="328"/>
      <c r="AH134" s="327">
        <v>254</v>
      </c>
      <c r="AI134" s="327">
        <v>210</v>
      </c>
      <c r="AJ134" s="327">
        <v>108</v>
      </c>
      <c r="AK134" s="327">
        <v>42</v>
      </c>
      <c r="AL134" s="327">
        <v>110</v>
      </c>
      <c r="AM134" s="327">
        <v>12</v>
      </c>
      <c r="AN134" s="327">
        <v>37</v>
      </c>
      <c r="AO134" s="327" t="s">
        <v>248</v>
      </c>
      <c r="AP134" s="327">
        <v>160</v>
      </c>
      <c r="AQ134" s="327">
        <v>15</v>
      </c>
      <c r="AR134" s="327">
        <v>320</v>
      </c>
      <c r="AS134" s="327">
        <v>330</v>
      </c>
      <c r="AT134" s="327">
        <v>255</v>
      </c>
      <c r="AU134" s="327">
        <v>415</v>
      </c>
      <c r="AV134" s="327">
        <v>615</v>
      </c>
      <c r="AW134" s="328">
        <v>665</v>
      </c>
      <c r="AX134" s="327">
        <v>215</v>
      </c>
      <c r="AY134" s="327">
        <v>180</v>
      </c>
      <c r="AZ134" s="327">
        <v>250</v>
      </c>
      <c r="BA134" s="327" t="s">
        <v>247</v>
      </c>
      <c r="BB134" s="327">
        <v>4</v>
      </c>
      <c r="BC134" s="327">
        <v>265</v>
      </c>
      <c r="BD134" s="327">
        <v>230</v>
      </c>
      <c r="BE134" s="327">
        <v>300</v>
      </c>
      <c r="BF134" s="327" t="s">
        <v>248</v>
      </c>
      <c r="BG134" s="327">
        <v>5</v>
      </c>
      <c r="BH134" s="327">
        <v>300</v>
      </c>
      <c r="BI134" s="327">
        <v>250</v>
      </c>
      <c r="BJ134" s="327">
        <v>350</v>
      </c>
      <c r="BK134" s="327">
        <v>19</v>
      </c>
      <c r="BL134" s="327">
        <v>5</v>
      </c>
      <c r="BM134" s="325" t="s">
        <v>672</v>
      </c>
      <c r="BN134" s="325" t="s">
        <v>672</v>
      </c>
      <c r="BO134" s="340" t="s">
        <v>671</v>
      </c>
      <c r="BP134" s="340" t="s">
        <v>671</v>
      </c>
      <c r="BQ134" s="325" t="s">
        <v>450</v>
      </c>
    </row>
    <row r="135" spans="1:69" ht="12" customHeight="1">
      <c r="A135" s="320">
        <v>224</v>
      </c>
      <c r="B135" s="336" t="s">
        <v>746</v>
      </c>
      <c r="C135" s="325" t="s">
        <v>745</v>
      </c>
      <c r="D135" s="336" t="s">
        <v>818</v>
      </c>
      <c r="E135" s="328">
        <v>160</v>
      </c>
      <c r="F135" s="382">
        <v>6</v>
      </c>
      <c r="G135" s="325">
        <v>7.5</v>
      </c>
      <c r="H135" s="325">
        <v>9</v>
      </c>
      <c r="I135" s="325">
        <v>970</v>
      </c>
      <c r="J135" s="335">
        <v>1164</v>
      </c>
      <c r="K135" s="328"/>
      <c r="L135" s="343">
        <v>16.3</v>
      </c>
      <c r="M135" s="331">
        <f t="shared" si="74"/>
        <v>17.008695652173913</v>
      </c>
      <c r="N135" s="332">
        <v>0.77</v>
      </c>
      <c r="O135" s="339">
        <v>86</v>
      </c>
      <c r="P135" s="328"/>
      <c r="Q135" s="328"/>
      <c r="R135" s="332">
        <v>0.77</v>
      </c>
      <c r="S135" s="339">
        <v>86</v>
      </c>
      <c r="T135" s="328"/>
      <c r="U135" s="328"/>
      <c r="V135" s="339">
        <v>6.5</v>
      </c>
      <c r="W135" s="339">
        <v>2</v>
      </c>
      <c r="X135" s="339">
        <v>2.1</v>
      </c>
      <c r="Y135" s="328"/>
      <c r="Z135" s="328"/>
      <c r="AA135" s="328"/>
      <c r="AB135" s="329">
        <v>8.9700000000000002E-2</v>
      </c>
      <c r="AC135" s="328">
        <v>59</v>
      </c>
      <c r="AD135" s="325">
        <v>106</v>
      </c>
      <c r="AE135" s="328"/>
      <c r="AF135" s="328"/>
      <c r="AG135" s="328"/>
      <c r="AH135" s="327">
        <v>254</v>
      </c>
      <c r="AI135" s="327">
        <v>210</v>
      </c>
      <c r="AJ135" s="327">
        <v>108</v>
      </c>
      <c r="AK135" s="327">
        <v>42</v>
      </c>
      <c r="AL135" s="327">
        <v>110</v>
      </c>
      <c r="AM135" s="327">
        <v>12</v>
      </c>
      <c r="AN135" s="327">
        <v>37</v>
      </c>
      <c r="AO135" s="327" t="s">
        <v>248</v>
      </c>
      <c r="AP135" s="327">
        <v>160</v>
      </c>
      <c r="AQ135" s="327">
        <v>15</v>
      </c>
      <c r="AR135" s="327">
        <v>320</v>
      </c>
      <c r="AS135" s="327">
        <v>320</v>
      </c>
      <c r="AT135" s="327">
        <v>285</v>
      </c>
      <c r="AU135" s="327">
        <v>440</v>
      </c>
      <c r="AV135" s="327">
        <v>620</v>
      </c>
      <c r="AW135" s="327">
        <v>670</v>
      </c>
      <c r="AX135" s="328"/>
      <c r="AY135" s="328"/>
      <c r="AZ135" s="328"/>
      <c r="BA135" s="328"/>
      <c r="BB135" s="328"/>
      <c r="BC135" s="328"/>
      <c r="BD135" s="328"/>
      <c r="BE135" s="328"/>
      <c r="BF135" s="328"/>
      <c r="BG135" s="328"/>
      <c r="BH135" s="327">
        <v>300</v>
      </c>
      <c r="BI135" s="327">
        <v>250</v>
      </c>
      <c r="BJ135" s="327">
        <v>350</v>
      </c>
      <c r="BK135" s="327">
        <v>19</v>
      </c>
      <c r="BL135" s="327">
        <v>5</v>
      </c>
      <c r="BM135" s="325" t="s">
        <v>457</v>
      </c>
      <c r="BN135" s="325" t="s">
        <v>457</v>
      </c>
      <c r="BO135" s="341" t="s">
        <v>456</v>
      </c>
      <c r="BP135" s="341" t="s">
        <v>456</v>
      </c>
      <c r="BQ135" s="325" t="s">
        <v>450</v>
      </c>
    </row>
    <row r="136" spans="1:69" ht="12" customHeight="1">
      <c r="A136" s="320">
        <v>225</v>
      </c>
      <c r="B136" s="336" t="s">
        <v>767</v>
      </c>
      <c r="C136" s="325" t="s">
        <v>745</v>
      </c>
      <c r="D136" s="336" t="s">
        <v>817</v>
      </c>
      <c r="E136" s="328">
        <v>160</v>
      </c>
      <c r="F136" s="365">
        <v>6</v>
      </c>
      <c r="G136" s="325">
        <v>11</v>
      </c>
      <c r="H136" s="325">
        <v>13.2</v>
      </c>
      <c r="I136" s="325">
        <v>970</v>
      </c>
      <c r="J136" s="325">
        <v>1164</v>
      </c>
      <c r="K136" s="328"/>
      <c r="L136" s="332">
        <v>22.99</v>
      </c>
      <c r="M136" s="331">
        <f t="shared" si="74"/>
        <v>23.989565217391302</v>
      </c>
      <c r="N136" s="325">
        <v>0.79</v>
      </c>
      <c r="O136" s="349">
        <v>87.5</v>
      </c>
      <c r="P136" s="328"/>
      <c r="Q136" s="328"/>
      <c r="R136" s="325">
        <v>0.79</v>
      </c>
      <c r="S136" s="349">
        <v>87.5</v>
      </c>
      <c r="T136" s="328"/>
      <c r="U136" s="328"/>
      <c r="V136" s="339">
        <v>6.5</v>
      </c>
      <c r="W136" s="339">
        <v>2.1</v>
      </c>
      <c r="X136" s="339">
        <v>2</v>
      </c>
      <c r="Y136" s="328"/>
      <c r="Z136" s="328"/>
      <c r="AA136" s="328"/>
      <c r="AB136" s="329">
        <v>0.11600000000000001</v>
      </c>
      <c r="AC136" s="328">
        <v>64</v>
      </c>
      <c r="AD136" s="325">
        <v>85</v>
      </c>
      <c r="AE136" s="328"/>
      <c r="AF136" s="328"/>
      <c r="AG136" s="328"/>
      <c r="AH136" s="327">
        <v>254</v>
      </c>
      <c r="AI136" s="327">
        <v>254</v>
      </c>
      <c r="AJ136" s="327">
        <v>108</v>
      </c>
      <c r="AK136" s="327">
        <v>42</v>
      </c>
      <c r="AL136" s="327">
        <v>110</v>
      </c>
      <c r="AM136" s="327">
        <v>12</v>
      </c>
      <c r="AN136" s="327">
        <v>37</v>
      </c>
      <c r="AO136" s="327" t="s">
        <v>248</v>
      </c>
      <c r="AP136" s="327">
        <v>160</v>
      </c>
      <c r="AQ136" s="327">
        <v>15</v>
      </c>
      <c r="AR136" s="327">
        <v>320</v>
      </c>
      <c r="AS136" s="327">
        <v>330</v>
      </c>
      <c r="AT136" s="327">
        <v>255</v>
      </c>
      <c r="AU136" s="327">
        <v>415</v>
      </c>
      <c r="AV136" s="327">
        <v>670</v>
      </c>
      <c r="AW136" s="328">
        <v>720</v>
      </c>
      <c r="AX136" s="327">
        <v>215</v>
      </c>
      <c r="AY136" s="327">
        <v>180</v>
      </c>
      <c r="AZ136" s="327">
        <v>250</v>
      </c>
      <c r="BA136" s="327" t="s">
        <v>247</v>
      </c>
      <c r="BB136" s="327">
        <v>4</v>
      </c>
      <c r="BC136" s="327">
        <v>265</v>
      </c>
      <c r="BD136" s="327">
        <v>230</v>
      </c>
      <c r="BE136" s="327">
        <v>300</v>
      </c>
      <c r="BF136" s="327" t="s">
        <v>248</v>
      </c>
      <c r="BG136" s="327">
        <v>5</v>
      </c>
      <c r="BH136" s="327">
        <v>300</v>
      </c>
      <c r="BI136" s="327">
        <v>250</v>
      </c>
      <c r="BJ136" s="327">
        <v>350</v>
      </c>
      <c r="BK136" s="327">
        <v>19</v>
      </c>
      <c r="BL136" s="327">
        <v>5</v>
      </c>
      <c r="BM136" s="325" t="s">
        <v>672</v>
      </c>
      <c r="BN136" s="325" t="s">
        <v>672</v>
      </c>
      <c r="BO136" s="340" t="s">
        <v>671</v>
      </c>
      <c r="BP136" s="340" t="s">
        <v>671</v>
      </c>
      <c r="BQ136" s="325" t="s">
        <v>450</v>
      </c>
    </row>
    <row r="137" spans="1:69" ht="12" customHeight="1">
      <c r="A137" s="320">
        <v>226</v>
      </c>
      <c r="B137" s="336" t="s">
        <v>746</v>
      </c>
      <c r="C137" s="325" t="s">
        <v>745</v>
      </c>
      <c r="D137" s="336" t="s">
        <v>816</v>
      </c>
      <c r="E137" s="328">
        <v>160</v>
      </c>
      <c r="F137" s="382">
        <v>6</v>
      </c>
      <c r="G137" s="325">
        <v>11</v>
      </c>
      <c r="H137" s="325">
        <v>13.2</v>
      </c>
      <c r="I137" s="325">
        <v>970</v>
      </c>
      <c r="J137" s="335">
        <v>1164</v>
      </c>
      <c r="K137" s="328"/>
      <c r="L137" s="343">
        <v>23.3</v>
      </c>
      <c r="M137" s="331">
        <f t="shared" si="74"/>
        <v>24.31304347826087</v>
      </c>
      <c r="N137" s="332">
        <v>0.78</v>
      </c>
      <c r="O137" s="339">
        <v>87.5</v>
      </c>
      <c r="P137" s="328"/>
      <c r="Q137" s="328"/>
      <c r="R137" s="332">
        <v>0.78</v>
      </c>
      <c r="S137" s="339">
        <v>87.5</v>
      </c>
      <c r="T137" s="328"/>
      <c r="U137" s="328"/>
      <c r="V137" s="339">
        <v>6.5</v>
      </c>
      <c r="W137" s="339">
        <v>2</v>
      </c>
      <c r="X137" s="339">
        <v>2.1</v>
      </c>
      <c r="Y137" s="328"/>
      <c r="Z137" s="328"/>
      <c r="AA137" s="328"/>
      <c r="AB137" s="329">
        <v>0.127</v>
      </c>
      <c r="AC137" s="328">
        <v>64</v>
      </c>
      <c r="AD137" s="325">
        <v>130</v>
      </c>
      <c r="AE137" s="328"/>
      <c r="AF137" s="328"/>
      <c r="AG137" s="328"/>
      <c r="AH137" s="327">
        <v>254</v>
      </c>
      <c r="AI137" s="327">
        <v>254</v>
      </c>
      <c r="AJ137" s="327">
        <v>108</v>
      </c>
      <c r="AK137" s="327">
        <v>42</v>
      </c>
      <c r="AL137" s="327">
        <v>110</v>
      </c>
      <c r="AM137" s="327">
        <v>12</v>
      </c>
      <c r="AN137" s="327">
        <v>37</v>
      </c>
      <c r="AO137" s="327" t="s">
        <v>248</v>
      </c>
      <c r="AP137" s="327">
        <v>160</v>
      </c>
      <c r="AQ137" s="327">
        <v>15</v>
      </c>
      <c r="AR137" s="327">
        <v>320</v>
      </c>
      <c r="AS137" s="327">
        <v>320</v>
      </c>
      <c r="AT137" s="327">
        <v>285</v>
      </c>
      <c r="AU137" s="327">
        <v>440</v>
      </c>
      <c r="AV137" s="327">
        <v>675</v>
      </c>
      <c r="AW137" s="327">
        <v>725</v>
      </c>
      <c r="AX137" s="328"/>
      <c r="AY137" s="328"/>
      <c r="AZ137" s="328"/>
      <c r="BA137" s="328"/>
      <c r="BB137" s="328"/>
      <c r="BC137" s="328"/>
      <c r="BD137" s="328"/>
      <c r="BE137" s="328"/>
      <c r="BF137" s="328"/>
      <c r="BG137" s="328"/>
      <c r="BH137" s="327">
        <v>300</v>
      </c>
      <c r="BI137" s="327">
        <v>250</v>
      </c>
      <c r="BJ137" s="327">
        <v>350</v>
      </c>
      <c r="BK137" s="327">
        <v>19</v>
      </c>
      <c r="BL137" s="327">
        <v>5</v>
      </c>
      <c r="BM137" s="325" t="s">
        <v>457</v>
      </c>
      <c r="BN137" s="325" t="s">
        <v>457</v>
      </c>
      <c r="BO137" s="341" t="s">
        <v>456</v>
      </c>
      <c r="BP137" s="341" t="s">
        <v>456</v>
      </c>
      <c r="BQ137" s="325" t="s">
        <v>450</v>
      </c>
    </row>
    <row r="138" spans="1:69" ht="12" customHeight="1">
      <c r="A138" s="320">
        <v>227</v>
      </c>
      <c r="B138" s="336" t="s">
        <v>746</v>
      </c>
      <c r="C138" s="325" t="s">
        <v>745</v>
      </c>
      <c r="D138" s="336" t="s">
        <v>815</v>
      </c>
      <c r="E138" s="328">
        <v>180</v>
      </c>
      <c r="F138" s="382">
        <v>6</v>
      </c>
      <c r="G138" s="325">
        <v>15</v>
      </c>
      <c r="H138" s="325">
        <v>18</v>
      </c>
      <c r="I138" s="325">
        <v>970</v>
      </c>
      <c r="J138" s="335">
        <v>1164</v>
      </c>
      <c r="K138" s="328"/>
      <c r="L138" s="343">
        <v>30</v>
      </c>
      <c r="M138" s="331">
        <f t="shared" si="74"/>
        <v>31.304347826086957</v>
      </c>
      <c r="N138" s="332">
        <v>0.81</v>
      </c>
      <c r="O138" s="339">
        <v>89</v>
      </c>
      <c r="P138" s="328"/>
      <c r="Q138" s="328"/>
      <c r="R138" s="332">
        <v>0.81</v>
      </c>
      <c r="S138" s="339">
        <v>89</v>
      </c>
      <c r="T138" s="328"/>
      <c r="U138" s="328"/>
      <c r="V138" s="339">
        <v>7</v>
      </c>
      <c r="W138" s="339">
        <v>2</v>
      </c>
      <c r="X138" s="339">
        <v>2.1</v>
      </c>
      <c r="Y138" s="328"/>
      <c r="Z138" s="328"/>
      <c r="AA138" s="328"/>
      <c r="AB138" s="329">
        <v>0.214</v>
      </c>
      <c r="AC138" s="328">
        <v>64</v>
      </c>
      <c r="AD138" s="325">
        <v>176</v>
      </c>
      <c r="AE138" s="328"/>
      <c r="AF138" s="328"/>
      <c r="AG138" s="328"/>
      <c r="AH138" s="327">
        <v>279</v>
      </c>
      <c r="AI138" s="327">
        <v>279</v>
      </c>
      <c r="AJ138" s="327">
        <v>121</v>
      </c>
      <c r="AK138" s="327">
        <v>48</v>
      </c>
      <c r="AL138" s="327">
        <v>110</v>
      </c>
      <c r="AM138" s="327">
        <v>14</v>
      </c>
      <c r="AN138" s="327">
        <v>42.5</v>
      </c>
      <c r="AO138" s="327" t="s">
        <v>248</v>
      </c>
      <c r="AP138" s="327">
        <v>180</v>
      </c>
      <c r="AQ138" s="327">
        <v>15</v>
      </c>
      <c r="AR138" s="327">
        <v>355</v>
      </c>
      <c r="AS138" s="327">
        <v>380</v>
      </c>
      <c r="AT138" s="327">
        <v>310</v>
      </c>
      <c r="AU138" s="327">
        <v>470</v>
      </c>
      <c r="AV138" s="327">
        <v>740</v>
      </c>
      <c r="AW138" s="327">
        <v>800</v>
      </c>
      <c r="AX138" s="328"/>
      <c r="AY138" s="328"/>
      <c r="AZ138" s="328"/>
      <c r="BA138" s="328"/>
      <c r="BB138" s="328"/>
      <c r="BC138" s="328"/>
      <c r="BD138" s="328"/>
      <c r="BE138" s="328"/>
      <c r="BF138" s="328"/>
      <c r="BG138" s="328"/>
      <c r="BH138" s="327">
        <v>300</v>
      </c>
      <c r="BI138" s="327">
        <v>250</v>
      </c>
      <c r="BJ138" s="327">
        <v>350</v>
      </c>
      <c r="BK138" s="327">
        <v>19</v>
      </c>
      <c r="BL138" s="327">
        <v>5</v>
      </c>
      <c r="BM138" s="325" t="s">
        <v>452</v>
      </c>
      <c r="BN138" s="325" t="s">
        <v>452</v>
      </c>
      <c r="BO138" s="341" t="s">
        <v>451</v>
      </c>
      <c r="BP138" s="341" t="s">
        <v>451</v>
      </c>
      <c r="BQ138" s="325" t="s">
        <v>450</v>
      </c>
    </row>
    <row r="139" spans="1:69" ht="12" customHeight="1">
      <c r="A139" s="320">
        <v>228</v>
      </c>
      <c r="B139" s="336" t="s">
        <v>746</v>
      </c>
      <c r="C139" s="325" t="s">
        <v>745</v>
      </c>
      <c r="D139" s="336" t="s">
        <v>814</v>
      </c>
      <c r="E139" s="328">
        <v>200</v>
      </c>
      <c r="F139" s="382">
        <v>6</v>
      </c>
      <c r="G139" s="325">
        <v>18.5</v>
      </c>
      <c r="H139" s="325">
        <v>22.2</v>
      </c>
      <c r="I139" s="325">
        <v>980</v>
      </c>
      <c r="J139" s="335">
        <v>1176</v>
      </c>
      <c r="K139" s="328"/>
      <c r="L139" s="343">
        <v>36.6</v>
      </c>
      <c r="M139" s="331">
        <f t="shared" si="74"/>
        <v>38.19130434782609</v>
      </c>
      <c r="N139" s="332">
        <v>0.81</v>
      </c>
      <c r="O139" s="339">
        <v>90</v>
      </c>
      <c r="P139" s="328"/>
      <c r="Q139" s="328"/>
      <c r="R139" s="332">
        <v>0.81</v>
      </c>
      <c r="S139" s="339">
        <v>90</v>
      </c>
      <c r="T139" s="328"/>
      <c r="U139" s="328"/>
      <c r="V139" s="339">
        <v>7</v>
      </c>
      <c r="W139" s="339">
        <v>2.1</v>
      </c>
      <c r="X139" s="339">
        <v>2.1</v>
      </c>
      <c r="Y139" s="328"/>
      <c r="Z139" s="328"/>
      <c r="AA139" s="328"/>
      <c r="AB139" s="329">
        <v>0.31900000000000001</v>
      </c>
      <c r="AC139" s="328">
        <v>65</v>
      </c>
      <c r="AD139" s="325">
        <v>216</v>
      </c>
      <c r="AE139" s="328"/>
      <c r="AF139" s="328"/>
      <c r="AG139" s="328"/>
      <c r="AH139" s="327">
        <v>318</v>
      </c>
      <c r="AI139" s="327">
        <v>305</v>
      </c>
      <c r="AJ139" s="327">
        <v>133</v>
      </c>
      <c r="AK139" s="327">
        <v>55</v>
      </c>
      <c r="AL139" s="327">
        <v>110</v>
      </c>
      <c r="AM139" s="327">
        <v>16</v>
      </c>
      <c r="AN139" s="327">
        <v>49</v>
      </c>
      <c r="AO139" s="327" t="s">
        <v>249</v>
      </c>
      <c r="AP139" s="327">
        <v>200</v>
      </c>
      <c r="AQ139" s="327">
        <v>19</v>
      </c>
      <c r="AR139" s="327">
        <v>395</v>
      </c>
      <c r="AS139" s="327">
        <v>410</v>
      </c>
      <c r="AT139" s="327">
        <v>335</v>
      </c>
      <c r="AU139" s="327">
        <v>525</v>
      </c>
      <c r="AV139" s="327">
        <v>775</v>
      </c>
      <c r="AW139" s="327">
        <v>845</v>
      </c>
      <c r="AX139" s="328"/>
      <c r="AY139" s="328"/>
      <c r="AZ139" s="328"/>
      <c r="BA139" s="328"/>
      <c r="BB139" s="328"/>
      <c r="BC139" s="328"/>
      <c r="BD139" s="328"/>
      <c r="BE139" s="328"/>
      <c r="BF139" s="328"/>
      <c r="BG139" s="328"/>
      <c r="BH139" s="327">
        <v>350</v>
      </c>
      <c r="BI139" s="327">
        <v>300</v>
      </c>
      <c r="BJ139" s="327">
        <v>400</v>
      </c>
      <c r="BK139" s="327">
        <v>19</v>
      </c>
      <c r="BL139" s="327">
        <v>5</v>
      </c>
      <c r="BM139" s="325" t="s">
        <v>442</v>
      </c>
      <c r="BN139" s="325" t="s">
        <v>442</v>
      </c>
      <c r="BO139" s="341" t="s">
        <v>441</v>
      </c>
      <c r="BP139" s="341" t="s">
        <v>441</v>
      </c>
      <c r="BQ139" s="325" t="s">
        <v>434</v>
      </c>
    </row>
    <row r="140" spans="1:69" ht="12" customHeight="1">
      <c r="A140" s="320">
        <v>229</v>
      </c>
      <c r="B140" s="336" t="s">
        <v>746</v>
      </c>
      <c r="C140" s="325" t="s">
        <v>745</v>
      </c>
      <c r="D140" s="336" t="s">
        <v>813</v>
      </c>
      <c r="E140" s="328">
        <v>200</v>
      </c>
      <c r="F140" s="382">
        <v>6</v>
      </c>
      <c r="G140" s="325">
        <v>22</v>
      </c>
      <c r="H140" s="325">
        <v>26.4</v>
      </c>
      <c r="I140" s="325">
        <v>980</v>
      </c>
      <c r="J140" s="335">
        <v>1176</v>
      </c>
      <c r="K140" s="328"/>
      <c r="L140" s="343">
        <v>42.5</v>
      </c>
      <c r="M140" s="331">
        <f t="shared" si="74"/>
        <v>44.347826086956523</v>
      </c>
      <c r="N140" s="332">
        <v>0.83</v>
      </c>
      <c r="O140" s="339">
        <v>90</v>
      </c>
      <c r="P140" s="328"/>
      <c r="Q140" s="328"/>
      <c r="R140" s="332">
        <v>0.83</v>
      </c>
      <c r="S140" s="339">
        <v>90</v>
      </c>
      <c r="T140" s="328"/>
      <c r="U140" s="328"/>
      <c r="V140" s="339">
        <v>7</v>
      </c>
      <c r="W140" s="339">
        <v>2.1</v>
      </c>
      <c r="X140" s="339">
        <v>2.1</v>
      </c>
      <c r="Y140" s="328"/>
      <c r="Z140" s="328"/>
      <c r="AA140" s="328"/>
      <c r="AB140" s="329">
        <v>0.36899999999999999</v>
      </c>
      <c r="AC140" s="328">
        <v>65</v>
      </c>
      <c r="AD140" s="325">
        <v>226</v>
      </c>
      <c r="AE140" s="328"/>
      <c r="AF140" s="328"/>
      <c r="AG140" s="328"/>
      <c r="AH140" s="327">
        <v>318</v>
      </c>
      <c r="AI140" s="327">
        <v>305</v>
      </c>
      <c r="AJ140" s="327">
        <v>133</v>
      </c>
      <c r="AK140" s="327">
        <v>55</v>
      </c>
      <c r="AL140" s="327">
        <v>110</v>
      </c>
      <c r="AM140" s="327">
        <v>16</v>
      </c>
      <c r="AN140" s="327">
        <v>49</v>
      </c>
      <c r="AO140" s="327" t="s">
        <v>249</v>
      </c>
      <c r="AP140" s="327">
        <v>200</v>
      </c>
      <c r="AQ140" s="327">
        <v>19</v>
      </c>
      <c r="AR140" s="327">
        <v>395</v>
      </c>
      <c r="AS140" s="327">
        <v>410</v>
      </c>
      <c r="AT140" s="327">
        <v>335</v>
      </c>
      <c r="AU140" s="327">
        <v>525</v>
      </c>
      <c r="AV140" s="327">
        <v>775</v>
      </c>
      <c r="AW140" s="327">
        <v>845</v>
      </c>
      <c r="AX140" s="328"/>
      <c r="AY140" s="328"/>
      <c r="AZ140" s="328"/>
      <c r="BA140" s="328"/>
      <c r="BB140" s="328"/>
      <c r="BC140" s="328"/>
      <c r="BD140" s="328"/>
      <c r="BE140" s="328"/>
      <c r="BF140" s="328"/>
      <c r="BG140" s="328"/>
      <c r="BH140" s="327">
        <v>350</v>
      </c>
      <c r="BI140" s="327">
        <v>300</v>
      </c>
      <c r="BJ140" s="327">
        <v>400</v>
      </c>
      <c r="BK140" s="327">
        <v>19</v>
      </c>
      <c r="BL140" s="327">
        <v>5</v>
      </c>
      <c r="BM140" s="325" t="s">
        <v>442</v>
      </c>
      <c r="BN140" s="325" t="s">
        <v>442</v>
      </c>
      <c r="BO140" s="341" t="s">
        <v>441</v>
      </c>
      <c r="BP140" s="341" t="s">
        <v>441</v>
      </c>
      <c r="BQ140" s="325" t="s">
        <v>434</v>
      </c>
    </row>
    <row r="141" spans="1:69" ht="12" customHeight="1">
      <c r="A141" s="320">
        <v>230</v>
      </c>
      <c r="B141" s="336" t="s">
        <v>746</v>
      </c>
      <c r="C141" s="325" t="s">
        <v>745</v>
      </c>
      <c r="D141" s="336" t="s">
        <v>812</v>
      </c>
      <c r="E141" s="328">
        <v>225</v>
      </c>
      <c r="F141" s="382">
        <v>6</v>
      </c>
      <c r="G141" s="325">
        <v>30</v>
      </c>
      <c r="H141" s="325">
        <v>36</v>
      </c>
      <c r="I141" s="325">
        <v>980</v>
      </c>
      <c r="J141" s="335">
        <v>1176</v>
      </c>
      <c r="K141" s="328"/>
      <c r="L141" s="343">
        <v>56.3</v>
      </c>
      <c r="M141" s="331">
        <f t="shared" si="74"/>
        <v>58.747826086956522</v>
      </c>
      <c r="N141" s="332">
        <v>0.84</v>
      </c>
      <c r="O141" s="339">
        <v>91.5</v>
      </c>
      <c r="P141" s="328"/>
      <c r="Q141" s="328"/>
      <c r="R141" s="332">
        <v>0.84</v>
      </c>
      <c r="S141" s="339">
        <v>91.5</v>
      </c>
      <c r="T141" s="328"/>
      <c r="U141" s="328"/>
      <c r="V141" s="339">
        <v>7</v>
      </c>
      <c r="W141" s="339">
        <v>2</v>
      </c>
      <c r="X141" s="339">
        <v>2.1</v>
      </c>
      <c r="Y141" s="328"/>
      <c r="Z141" s="328"/>
      <c r="AA141" s="328"/>
      <c r="AB141" s="329">
        <v>0.58599999999999997</v>
      </c>
      <c r="AC141" s="328">
        <v>67</v>
      </c>
      <c r="AD141" s="325">
        <v>292</v>
      </c>
      <c r="AE141" s="328"/>
      <c r="AF141" s="328"/>
      <c r="AG141" s="328"/>
      <c r="AH141" s="327">
        <v>356</v>
      </c>
      <c r="AI141" s="327">
        <v>311</v>
      </c>
      <c r="AJ141" s="327">
        <v>149</v>
      </c>
      <c r="AK141" s="327">
        <v>60</v>
      </c>
      <c r="AL141" s="327">
        <v>140</v>
      </c>
      <c r="AM141" s="327">
        <v>18</v>
      </c>
      <c r="AN141" s="327">
        <v>53</v>
      </c>
      <c r="AO141" s="327" t="s">
        <v>249</v>
      </c>
      <c r="AP141" s="327">
        <v>225</v>
      </c>
      <c r="AQ141" s="327">
        <v>19</v>
      </c>
      <c r="AR141" s="327">
        <v>435</v>
      </c>
      <c r="AS141" s="327">
        <v>470</v>
      </c>
      <c r="AT141" s="327">
        <v>370</v>
      </c>
      <c r="AU141" s="327">
        <v>580</v>
      </c>
      <c r="AV141" s="327">
        <v>845</v>
      </c>
      <c r="AW141" s="327">
        <v>940</v>
      </c>
      <c r="AX141" s="328"/>
      <c r="AY141" s="328"/>
      <c r="AZ141" s="328"/>
      <c r="BA141" s="328"/>
      <c r="BB141" s="328"/>
      <c r="BC141" s="328"/>
      <c r="BD141" s="328"/>
      <c r="BE141" s="328"/>
      <c r="BF141" s="328"/>
      <c r="BG141" s="328"/>
      <c r="BH141" s="327">
        <v>400</v>
      </c>
      <c r="BI141" s="327">
        <v>350</v>
      </c>
      <c r="BJ141" s="327">
        <v>450</v>
      </c>
      <c r="BK141" s="327">
        <v>19</v>
      </c>
      <c r="BL141" s="327">
        <v>5</v>
      </c>
      <c r="BM141" s="325" t="s">
        <v>436</v>
      </c>
      <c r="BN141" s="325" t="s">
        <v>436</v>
      </c>
      <c r="BO141" s="341" t="s">
        <v>435</v>
      </c>
      <c r="BP141" s="341" t="s">
        <v>435</v>
      </c>
      <c r="BQ141" s="325" t="s">
        <v>434</v>
      </c>
    </row>
    <row r="142" spans="1:69" ht="12" customHeight="1">
      <c r="A142" s="320">
        <v>231</v>
      </c>
      <c r="B142" s="336" t="s">
        <v>746</v>
      </c>
      <c r="C142" s="325" t="s">
        <v>745</v>
      </c>
      <c r="D142" s="336" t="s">
        <v>811</v>
      </c>
      <c r="E142" s="328">
        <v>250</v>
      </c>
      <c r="F142" s="382">
        <v>6</v>
      </c>
      <c r="G142" s="325">
        <v>37</v>
      </c>
      <c r="H142" s="325">
        <v>44.4</v>
      </c>
      <c r="I142" s="325">
        <v>980</v>
      </c>
      <c r="J142" s="335">
        <v>1176</v>
      </c>
      <c r="K142" s="328"/>
      <c r="L142" s="343">
        <v>67.5</v>
      </c>
      <c r="M142" s="331">
        <f t="shared" si="74"/>
        <v>70.434782608695656</v>
      </c>
      <c r="N142" s="332">
        <v>0.86</v>
      </c>
      <c r="O142" s="339">
        <v>92</v>
      </c>
      <c r="P142" s="328"/>
      <c r="Q142" s="328"/>
      <c r="R142" s="332">
        <v>0.86</v>
      </c>
      <c r="S142" s="339">
        <v>92</v>
      </c>
      <c r="T142" s="328"/>
      <c r="U142" s="328"/>
      <c r="V142" s="339">
        <v>7</v>
      </c>
      <c r="W142" s="339">
        <v>2.1</v>
      </c>
      <c r="X142" s="339">
        <v>2.1</v>
      </c>
      <c r="Y142" s="328"/>
      <c r="Z142" s="328"/>
      <c r="AA142" s="328"/>
      <c r="AB142" s="329">
        <v>0.94</v>
      </c>
      <c r="AC142" s="328">
        <v>67</v>
      </c>
      <c r="AD142" s="325">
        <v>364</v>
      </c>
      <c r="AE142" s="328"/>
      <c r="AF142" s="328"/>
      <c r="AG142" s="328"/>
      <c r="AH142" s="327">
        <v>406</v>
      </c>
      <c r="AI142" s="327">
        <v>349</v>
      </c>
      <c r="AJ142" s="327">
        <v>168</v>
      </c>
      <c r="AK142" s="327">
        <v>65</v>
      </c>
      <c r="AL142" s="327">
        <v>140</v>
      </c>
      <c r="AM142" s="327">
        <v>18</v>
      </c>
      <c r="AN142" s="327">
        <v>58</v>
      </c>
      <c r="AO142" s="327" t="s">
        <v>249</v>
      </c>
      <c r="AP142" s="327">
        <v>250</v>
      </c>
      <c r="AQ142" s="327">
        <v>24</v>
      </c>
      <c r="AR142" s="327">
        <v>490</v>
      </c>
      <c r="AS142" s="327">
        <v>490</v>
      </c>
      <c r="AT142" s="327">
        <v>380</v>
      </c>
      <c r="AU142" s="327">
        <v>635</v>
      </c>
      <c r="AV142" s="327">
        <v>930</v>
      </c>
      <c r="AW142" s="327">
        <v>1035</v>
      </c>
      <c r="AX142" s="328"/>
      <c r="AY142" s="328"/>
      <c r="AZ142" s="328"/>
      <c r="BA142" s="328"/>
      <c r="BB142" s="328"/>
      <c r="BC142" s="328"/>
      <c r="BD142" s="328"/>
      <c r="BE142" s="328"/>
      <c r="BF142" s="328"/>
      <c r="BG142" s="328"/>
      <c r="BH142" s="327">
        <v>500</v>
      </c>
      <c r="BI142" s="327">
        <v>450</v>
      </c>
      <c r="BJ142" s="327">
        <v>550</v>
      </c>
      <c r="BK142" s="327">
        <v>19</v>
      </c>
      <c r="BL142" s="327">
        <v>5</v>
      </c>
      <c r="BM142" s="325" t="s">
        <v>429</v>
      </c>
      <c r="BN142" s="325" t="s">
        <v>429</v>
      </c>
      <c r="BO142" s="341" t="s">
        <v>428</v>
      </c>
      <c r="BP142" s="341" t="s">
        <v>428</v>
      </c>
      <c r="BQ142" s="325" t="s">
        <v>388</v>
      </c>
    </row>
    <row r="143" spans="1:69" ht="12" customHeight="1">
      <c r="A143" s="320">
        <v>232</v>
      </c>
      <c r="B143" s="336" t="s">
        <v>746</v>
      </c>
      <c r="C143" s="325" t="s">
        <v>745</v>
      </c>
      <c r="D143" s="336" t="s">
        <v>810</v>
      </c>
      <c r="E143" s="328">
        <v>280</v>
      </c>
      <c r="F143" s="382">
        <v>6</v>
      </c>
      <c r="G143" s="325">
        <v>45</v>
      </c>
      <c r="H143" s="325">
        <v>54</v>
      </c>
      <c r="I143" s="325">
        <v>980</v>
      </c>
      <c r="J143" s="335">
        <v>1176</v>
      </c>
      <c r="K143" s="328"/>
      <c r="L143" s="343">
        <v>81.599999999999994</v>
      </c>
      <c r="M143" s="331">
        <f t="shared" si="74"/>
        <v>85.147826086956528</v>
      </c>
      <c r="N143" s="332">
        <v>0.86</v>
      </c>
      <c r="O143" s="339">
        <v>92.5</v>
      </c>
      <c r="P143" s="328"/>
      <c r="Q143" s="328"/>
      <c r="R143" s="332">
        <v>0.86</v>
      </c>
      <c r="S143" s="339">
        <v>92.5</v>
      </c>
      <c r="T143" s="328"/>
      <c r="U143" s="328"/>
      <c r="V143" s="339">
        <v>7</v>
      </c>
      <c r="W143" s="339">
        <v>2.1</v>
      </c>
      <c r="X143" s="339">
        <v>2</v>
      </c>
      <c r="Y143" s="328"/>
      <c r="Z143" s="328"/>
      <c r="AA143" s="328"/>
      <c r="AB143" s="329">
        <v>1.71</v>
      </c>
      <c r="AC143" s="328">
        <v>69</v>
      </c>
      <c r="AD143" s="325">
        <v>472</v>
      </c>
      <c r="AE143" s="328"/>
      <c r="AF143" s="328"/>
      <c r="AG143" s="328"/>
      <c r="AH143" s="327">
        <v>457</v>
      </c>
      <c r="AI143" s="327">
        <v>368</v>
      </c>
      <c r="AJ143" s="327">
        <v>190</v>
      </c>
      <c r="AK143" s="327">
        <v>75</v>
      </c>
      <c r="AL143" s="327">
        <v>140</v>
      </c>
      <c r="AM143" s="327">
        <v>20</v>
      </c>
      <c r="AN143" s="327">
        <v>67.5</v>
      </c>
      <c r="AO143" s="327" t="s">
        <v>249</v>
      </c>
      <c r="AP143" s="327">
        <v>280</v>
      </c>
      <c r="AQ143" s="327">
        <v>24</v>
      </c>
      <c r="AR143" s="327">
        <v>550</v>
      </c>
      <c r="AS143" s="327">
        <v>580</v>
      </c>
      <c r="AT143" s="327">
        <v>410</v>
      </c>
      <c r="AU143" s="327">
        <v>698</v>
      </c>
      <c r="AV143" s="327">
        <v>981</v>
      </c>
      <c r="AW143" s="327">
        <v>1115</v>
      </c>
      <c r="AX143" s="328"/>
      <c r="AY143" s="328"/>
      <c r="AZ143" s="328"/>
      <c r="BA143" s="328"/>
      <c r="BB143" s="328"/>
      <c r="BC143" s="328"/>
      <c r="BD143" s="328"/>
      <c r="BE143" s="328"/>
      <c r="BF143" s="328"/>
      <c r="BG143" s="328"/>
      <c r="BH143" s="327">
        <v>500</v>
      </c>
      <c r="BI143" s="327">
        <v>450</v>
      </c>
      <c r="BJ143" s="327">
        <v>550</v>
      </c>
      <c r="BK143" s="327">
        <v>19</v>
      </c>
      <c r="BL143" s="327">
        <v>5</v>
      </c>
      <c r="BM143" s="325" t="s">
        <v>420</v>
      </c>
      <c r="BN143" s="325" t="s">
        <v>420</v>
      </c>
      <c r="BO143" s="341" t="s">
        <v>419</v>
      </c>
      <c r="BP143" s="340" t="s">
        <v>419</v>
      </c>
      <c r="BQ143" s="325" t="s">
        <v>388</v>
      </c>
    </row>
    <row r="144" spans="1:69" ht="12" customHeight="1">
      <c r="A144" s="320">
        <v>233</v>
      </c>
      <c r="B144" s="336" t="s">
        <v>746</v>
      </c>
      <c r="C144" s="325" t="s">
        <v>745</v>
      </c>
      <c r="D144" s="336" t="s">
        <v>809</v>
      </c>
      <c r="E144" s="328">
        <v>280</v>
      </c>
      <c r="F144" s="382">
        <v>6</v>
      </c>
      <c r="G144" s="325">
        <v>55</v>
      </c>
      <c r="H144" s="325">
        <v>66</v>
      </c>
      <c r="I144" s="325">
        <v>980</v>
      </c>
      <c r="J144" s="335">
        <v>1176</v>
      </c>
      <c r="K144" s="328"/>
      <c r="L144" s="343">
        <v>99.5</v>
      </c>
      <c r="M144" s="331">
        <f t="shared" si="74"/>
        <v>103.82608695652173</v>
      </c>
      <c r="N144" s="332">
        <v>0.86</v>
      </c>
      <c r="O144" s="339">
        <v>92.8</v>
      </c>
      <c r="P144" s="328"/>
      <c r="Q144" s="328"/>
      <c r="R144" s="332">
        <v>0.86</v>
      </c>
      <c r="S144" s="339">
        <v>92.8</v>
      </c>
      <c r="T144" s="328"/>
      <c r="U144" s="328"/>
      <c r="V144" s="339">
        <v>7</v>
      </c>
      <c r="W144" s="339">
        <v>2.1</v>
      </c>
      <c r="X144" s="339">
        <v>2</v>
      </c>
      <c r="Y144" s="328"/>
      <c r="Z144" s="328"/>
      <c r="AA144" s="328"/>
      <c r="AB144" s="329">
        <v>2.15</v>
      </c>
      <c r="AC144" s="328">
        <v>69</v>
      </c>
      <c r="AD144" s="325">
        <v>512</v>
      </c>
      <c r="AE144" s="328"/>
      <c r="AF144" s="328"/>
      <c r="AG144" s="328"/>
      <c r="AH144" s="327">
        <v>457</v>
      </c>
      <c r="AI144" s="327">
        <v>419</v>
      </c>
      <c r="AJ144" s="327">
        <v>190</v>
      </c>
      <c r="AK144" s="327">
        <v>75</v>
      </c>
      <c r="AL144" s="327">
        <v>140</v>
      </c>
      <c r="AM144" s="327">
        <v>20</v>
      </c>
      <c r="AN144" s="327">
        <v>67.5</v>
      </c>
      <c r="AO144" s="327" t="s">
        <v>249</v>
      </c>
      <c r="AP144" s="327">
        <v>280</v>
      </c>
      <c r="AQ144" s="327">
        <v>24</v>
      </c>
      <c r="AR144" s="327">
        <v>550</v>
      </c>
      <c r="AS144" s="327">
        <v>580</v>
      </c>
      <c r="AT144" s="327">
        <v>410</v>
      </c>
      <c r="AU144" s="327">
        <v>698</v>
      </c>
      <c r="AV144" s="327">
        <v>1032</v>
      </c>
      <c r="AW144" s="327">
        <v>1157</v>
      </c>
      <c r="AX144" s="328"/>
      <c r="AY144" s="328"/>
      <c r="AZ144" s="328"/>
      <c r="BA144" s="328"/>
      <c r="BB144" s="328"/>
      <c r="BC144" s="328"/>
      <c r="BD144" s="328"/>
      <c r="BE144" s="328"/>
      <c r="BF144" s="328"/>
      <c r="BG144" s="328"/>
      <c r="BH144" s="327">
        <v>500</v>
      </c>
      <c r="BI144" s="327">
        <v>450</v>
      </c>
      <c r="BJ144" s="327">
        <v>550</v>
      </c>
      <c r="BK144" s="327">
        <v>19</v>
      </c>
      <c r="BL144" s="327">
        <v>5</v>
      </c>
      <c r="BM144" s="325" t="s">
        <v>420</v>
      </c>
      <c r="BN144" s="325" t="s">
        <v>420</v>
      </c>
      <c r="BO144" s="341" t="s">
        <v>419</v>
      </c>
      <c r="BP144" s="340" t="s">
        <v>419</v>
      </c>
      <c r="BQ144" s="325" t="s">
        <v>388</v>
      </c>
    </row>
    <row r="145" spans="1:70" ht="12" customHeight="1">
      <c r="A145" s="320">
        <v>234</v>
      </c>
      <c r="B145" s="336" t="s">
        <v>746</v>
      </c>
      <c r="C145" s="325" t="s">
        <v>745</v>
      </c>
      <c r="D145" s="336" t="s">
        <v>808</v>
      </c>
      <c r="E145" s="328">
        <v>315</v>
      </c>
      <c r="F145" s="382">
        <v>6</v>
      </c>
      <c r="G145" s="325">
        <v>75</v>
      </c>
      <c r="H145" s="325">
        <v>90</v>
      </c>
      <c r="I145" s="325">
        <v>980</v>
      </c>
      <c r="J145" s="335">
        <v>1176</v>
      </c>
      <c r="K145" s="328"/>
      <c r="L145" s="343">
        <v>134.6</v>
      </c>
      <c r="M145" s="331">
        <f t="shared" si="74"/>
        <v>140.45217391304348</v>
      </c>
      <c r="N145" s="332">
        <v>0.86</v>
      </c>
      <c r="O145" s="339">
        <v>93.5</v>
      </c>
      <c r="P145" s="328"/>
      <c r="Q145" s="328"/>
      <c r="R145" s="332">
        <v>0.86</v>
      </c>
      <c r="S145" s="339">
        <v>93.5</v>
      </c>
      <c r="T145" s="328"/>
      <c r="U145" s="328"/>
      <c r="V145" s="339">
        <v>7</v>
      </c>
      <c r="W145" s="339">
        <v>2</v>
      </c>
      <c r="X145" s="339">
        <v>2</v>
      </c>
      <c r="Y145" s="328"/>
      <c r="Z145" s="328"/>
      <c r="AA145" s="328"/>
      <c r="AB145" s="329">
        <v>3.45</v>
      </c>
      <c r="AC145" s="328">
        <v>71</v>
      </c>
      <c r="AD145" s="325">
        <v>806</v>
      </c>
      <c r="AE145" s="328"/>
      <c r="AF145" s="328"/>
      <c r="AG145" s="328"/>
      <c r="AH145" s="327">
        <v>508</v>
      </c>
      <c r="AI145" s="327">
        <v>406</v>
      </c>
      <c r="AJ145" s="327">
        <v>216</v>
      </c>
      <c r="AK145" s="327">
        <v>80</v>
      </c>
      <c r="AL145" s="327">
        <v>170</v>
      </c>
      <c r="AM145" s="327">
        <v>22</v>
      </c>
      <c r="AN145" s="327">
        <v>71</v>
      </c>
      <c r="AO145" s="327" t="s">
        <v>249</v>
      </c>
      <c r="AP145" s="327">
        <v>315</v>
      </c>
      <c r="AQ145" s="327">
        <v>28</v>
      </c>
      <c r="AR145" s="327">
        <v>630</v>
      </c>
      <c r="AS145" s="327">
        <v>645</v>
      </c>
      <c r="AT145" s="327">
        <v>535</v>
      </c>
      <c r="AU145" s="327">
        <v>885</v>
      </c>
      <c r="AV145" s="327">
        <v>1215</v>
      </c>
      <c r="AW145" s="327">
        <v>1340</v>
      </c>
      <c r="AX145" s="328"/>
      <c r="AY145" s="328"/>
      <c r="AZ145" s="328"/>
      <c r="BA145" s="328"/>
      <c r="BB145" s="328"/>
      <c r="BC145" s="328"/>
      <c r="BD145" s="328"/>
      <c r="BE145" s="328"/>
      <c r="BF145" s="328"/>
      <c r="BG145" s="328"/>
      <c r="BH145" s="327">
        <v>600</v>
      </c>
      <c r="BI145" s="327">
        <v>550</v>
      </c>
      <c r="BJ145" s="327">
        <v>660</v>
      </c>
      <c r="BK145" s="327">
        <v>24</v>
      </c>
      <c r="BL145" s="327">
        <v>6</v>
      </c>
      <c r="BM145" s="325" t="s">
        <v>389</v>
      </c>
      <c r="BN145" s="325" t="s">
        <v>389</v>
      </c>
      <c r="BO145" s="325"/>
      <c r="BP145" s="328"/>
      <c r="BQ145" s="325" t="s">
        <v>405</v>
      </c>
    </row>
    <row r="146" spans="1:70" ht="12" customHeight="1">
      <c r="A146" s="320">
        <v>235</v>
      </c>
      <c r="B146" s="336" t="s">
        <v>746</v>
      </c>
      <c r="C146" s="325" t="s">
        <v>745</v>
      </c>
      <c r="D146" s="336" t="s">
        <v>807</v>
      </c>
      <c r="E146" s="328">
        <v>315</v>
      </c>
      <c r="F146" s="382">
        <v>6</v>
      </c>
      <c r="G146" s="325">
        <v>90</v>
      </c>
      <c r="H146" s="325">
        <v>108</v>
      </c>
      <c r="I146" s="325">
        <v>980</v>
      </c>
      <c r="J146" s="335">
        <v>1176</v>
      </c>
      <c r="K146" s="328"/>
      <c r="L146" s="343">
        <v>161</v>
      </c>
      <c r="M146" s="331">
        <f t="shared" si="74"/>
        <v>168</v>
      </c>
      <c r="N146" s="332">
        <v>0.86</v>
      </c>
      <c r="O146" s="339">
        <v>93.8</v>
      </c>
      <c r="P146" s="328"/>
      <c r="Q146" s="328"/>
      <c r="R146" s="332">
        <v>0.86</v>
      </c>
      <c r="S146" s="339">
        <v>93.8</v>
      </c>
      <c r="T146" s="328"/>
      <c r="U146" s="328"/>
      <c r="V146" s="339">
        <v>7</v>
      </c>
      <c r="W146" s="339">
        <v>2</v>
      </c>
      <c r="X146" s="339">
        <v>2</v>
      </c>
      <c r="Y146" s="328"/>
      <c r="Z146" s="328"/>
      <c r="AA146" s="328"/>
      <c r="AB146" s="329">
        <v>4.08</v>
      </c>
      <c r="AC146" s="328">
        <v>71</v>
      </c>
      <c r="AD146" s="325">
        <v>958</v>
      </c>
      <c r="AE146" s="328"/>
      <c r="AF146" s="328"/>
      <c r="AG146" s="328"/>
      <c r="AH146" s="327">
        <v>508</v>
      </c>
      <c r="AI146" s="327">
        <v>457</v>
      </c>
      <c r="AJ146" s="327">
        <v>216</v>
      </c>
      <c r="AK146" s="327">
        <v>80</v>
      </c>
      <c r="AL146" s="327">
        <v>170</v>
      </c>
      <c r="AM146" s="327">
        <v>22</v>
      </c>
      <c r="AN146" s="327">
        <v>71</v>
      </c>
      <c r="AO146" s="327" t="s">
        <v>249</v>
      </c>
      <c r="AP146" s="327">
        <v>315</v>
      </c>
      <c r="AQ146" s="327">
        <v>28</v>
      </c>
      <c r="AR146" s="327">
        <v>630</v>
      </c>
      <c r="AS146" s="327">
        <v>645</v>
      </c>
      <c r="AT146" s="327">
        <v>535</v>
      </c>
      <c r="AU146" s="327">
        <v>885</v>
      </c>
      <c r="AV146" s="327">
        <v>1325</v>
      </c>
      <c r="AW146" s="327">
        <v>1450</v>
      </c>
      <c r="AX146" s="328"/>
      <c r="AY146" s="328"/>
      <c r="AZ146" s="328"/>
      <c r="BA146" s="328"/>
      <c r="BB146" s="328"/>
      <c r="BC146" s="328"/>
      <c r="BD146" s="328"/>
      <c r="BE146" s="328"/>
      <c r="BF146" s="328"/>
      <c r="BG146" s="328"/>
      <c r="BH146" s="327">
        <v>600</v>
      </c>
      <c r="BI146" s="327">
        <v>550</v>
      </c>
      <c r="BJ146" s="327">
        <v>660</v>
      </c>
      <c r="BK146" s="327">
        <v>24</v>
      </c>
      <c r="BL146" s="327">
        <v>6</v>
      </c>
      <c r="BM146" s="325" t="s">
        <v>389</v>
      </c>
      <c r="BN146" s="325" t="s">
        <v>389</v>
      </c>
      <c r="BO146" s="325"/>
      <c r="BP146" s="328"/>
      <c r="BQ146" s="325" t="s">
        <v>405</v>
      </c>
    </row>
    <row r="147" spans="1:70" ht="12" customHeight="1">
      <c r="A147" s="320">
        <v>236</v>
      </c>
      <c r="B147" s="336" t="s">
        <v>746</v>
      </c>
      <c r="C147" s="325" t="s">
        <v>745</v>
      </c>
      <c r="D147" s="336" t="s">
        <v>806</v>
      </c>
      <c r="E147" s="328">
        <v>315</v>
      </c>
      <c r="F147" s="382">
        <v>6</v>
      </c>
      <c r="G147" s="325">
        <v>110</v>
      </c>
      <c r="H147" s="325">
        <v>132</v>
      </c>
      <c r="I147" s="325">
        <v>980</v>
      </c>
      <c r="J147" s="335">
        <v>1176</v>
      </c>
      <c r="K147" s="328"/>
      <c r="L147" s="343">
        <v>196.4</v>
      </c>
      <c r="M147" s="331">
        <f t="shared" si="74"/>
        <v>204.93913043478261</v>
      </c>
      <c r="N147" s="332">
        <v>0.86</v>
      </c>
      <c r="O147" s="339">
        <v>94</v>
      </c>
      <c r="P147" s="328"/>
      <c r="Q147" s="328"/>
      <c r="R147" s="332">
        <v>0.86</v>
      </c>
      <c r="S147" s="339">
        <v>94</v>
      </c>
      <c r="T147" s="328"/>
      <c r="U147" s="328"/>
      <c r="V147" s="339">
        <v>6.7</v>
      </c>
      <c r="W147" s="339">
        <v>2</v>
      </c>
      <c r="X147" s="339">
        <v>2</v>
      </c>
      <c r="Y147" s="328"/>
      <c r="Z147" s="328"/>
      <c r="AA147" s="328"/>
      <c r="AB147" s="329">
        <v>5.0599999999999996</v>
      </c>
      <c r="AC147" s="328">
        <v>71</v>
      </c>
      <c r="AD147" s="325">
        <v>990</v>
      </c>
      <c r="AE147" s="328"/>
      <c r="AF147" s="328"/>
      <c r="AG147" s="328"/>
      <c r="AH147" s="327">
        <v>508</v>
      </c>
      <c r="AI147" s="327">
        <v>508</v>
      </c>
      <c r="AJ147" s="327">
        <v>216</v>
      </c>
      <c r="AK147" s="327">
        <v>80</v>
      </c>
      <c r="AL147" s="327">
        <v>170</v>
      </c>
      <c r="AM147" s="327">
        <v>22</v>
      </c>
      <c r="AN147" s="327">
        <v>71</v>
      </c>
      <c r="AO147" s="327" t="s">
        <v>249</v>
      </c>
      <c r="AP147" s="327">
        <v>315</v>
      </c>
      <c r="AQ147" s="327">
        <v>28</v>
      </c>
      <c r="AR147" s="327">
        <v>630</v>
      </c>
      <c r="AS147" s="327">
        <v>645</v>
      </c>
      <c r="AT147" s="327">
        <v>535</v>
      </c>
      <c r="AU147" s="327">
        <v>885</v>
      </c>
      <c r="AV147" s="327">
        <v>1325</v>
      </c>
      <c r="AW147" s="327">
        <v>1450</v>
      </c>
      <c r="AX147" s="328"/>
      <c r="AY147" s="328"/>
      <c r="AZ147" s="328"/>
      <c r="BA147" s="328"/>
      <c r="BB147" s="328"/>
      <c r="BC147" s="328"/>
      <c r="BD147" s="328"/>
      <c r="BE147" s="328"/>
      <c r="BF147" s="328"/>
      <c r="BG147" s="328"/>
      <c r="BH147" s="327">
        <v>600</v>
      </c>
      <c r="BI147" s="327">
        <v>550</v>
      </c>
      <c r="BJ147" s="327">
        <v>660</v>
      </c>
      <c r="BK147" s="327">
        <v>24</v>
      </c>
      <c r="BL147" s="327">
        <v>6</v>
      </c>
      <c r="BM147" s="325" t="s">
        <v>389</v>
      </c>
      <c r="BN147" s="325" t="s">
        <v>389</v>
      </c>
      <c r="BO147" s="325"/>
      <c r="BP147" s="328"/>
      <c r="BQ147" s="325" t="s">
        <v>405</v>
      </c>
    </row>
    <row r="148" spans="1:70" ht="12" customHeight="1">
      <c r="A148" s="320">
        <v>237</v>
      </c>
      <c r="B148" s="336" t="s">
        <v>746</v>
      </c>
      <c r="C148" s="325" t="s">
        <v>745</v>
      </c>
      <c r="D148" s="336" t="s">
        <v>805</v>
      </c>
      <c r="E148" s="328">
        <v>315</v>
      </c>
      <c r="F148" s="382">
        <v>6</v>
      </c>
      <c r="G148" s="325">
        <v>132</v>
      </c>
      <c r="H148" s="325">
        <v>158.4</v>
      </c>
      <c r="I148" s="325">
        <v>980</v>
      </c>
      <c r="J148" s="335">
        <v>1176</v>
      </c>
      <c r="K148" s="328"/>
      <c r="L148" s="343">
        <v>232.5</v>
      </c>
      <c r="M148" s="331">
        <f t="shared" si="74"/>
        <v>242.60869565217391</v>
      </c>
      <c r="N148" s="332">
        <v>0.87</v>
      </c>
      <c r="O148" s="339">
        <v>94.2</v>
      </c>
      <c r="P148" s="328"/>
      <c r="Q148" s="328"/>
      <c r="R148" s="332">
        <v>0.87</v>
      </c>
      <c r="S148" s="339">
        <v>94.2</v>
      </c>
      <c r="T148" s="328"/>
      <c r="U148" s="328"/>
      <c r="V148" s="339">
        <v>6.7</v>
      </c>
      <c r="W148" s="339">
        <v>2</v>
      </c>
      <c r="X148" s="339">
        <v>2</v>
      </c>
      <c r="Y148" s="328"/>
      <c r="Z148" s="328"/>
      <c r="AA148" s="328"/>
      <c r="AB148" s="329">
        <v>5.84</v>
      </c>
      <c r="AC148" s="328">
        <v>71</v>
      </c>
      <c r="AD148" s="325">
        <v>1050</v>
      </c>
      <c r="AE148" s="328"/>
      <c r="AF148" s="328"/>
      <c r="AG148" s="328"/>
      <c r="AH148" s="327">
        <v>508</v>
      </c>
      <c r="AI148" s="327">
        <v>508</v>
      </c>
      <c r="AJ148" s="327">
        <v>216</v>
      </c>
      <c r="AK148" s="327">
        <v>80</v>
      </c>
      <c r="AL148" s="327">
        <v>170</v>
      </c>
      <c r="AM148" s="327">
        <v>22</v>
      </c>
      <c r="AN148" s="327">
        <v>71</v>
      </c>
      <c r="AO148" s="327" t="s">
        <v>249</v>
      </c>
      <c r="AP148" s="327">
        <v>315</v>
      </c>
      <c r="AQ148" s="327">
        <v>28</v>
      </c>
      <c r="AR148" s="327">
        <v>630</v>
      </c>
      <c r="AS148" s="327">
        <v>645</v>
      </c>
      <c r="AT148" s="327">
        <v>535</v>
      </c>
      <c r="AU148" s="327">
        <v>885</v>
      </c>
      <c r="AV148" s="327">
        <v>1325</v>
      </c>
      <c r="AW148" s="327">
        <v>1450</v>
      </c>
      <c r="AX148" s="328"/>
      <c r="AY148" s="328"/>
      <c r="AZ148" s="328"/>
      <c r="BA148" s="328"/>
      <c r="BB148" s="328"/>
      <c r="BC148" s="328"/>
      <c r="BD148" s="328"/>
      <c r="BE148" s="328"/>
      <c r="BF148" s="328"/>
      <c r="BG148" s="328"/>
      <c r="BH148" s="327">
        <v>600</v>
      </c>
      <c r="BI148" s="327">
        <v>550</v>
      </c>
      <c r="BJ148" s="327">
        <v>660</v>
      </c>
      <c r="BK148" s="327">
        <v>24</v>
      </c>
      <c r="BL148" s="327">
        <v>6</v>
      </c>
      <c r="BM148" s="325" t="s">
        <v>389</v>
      </c>
      <c r="BN148" s="325" t="s">
        <v>389</v>
      </c>
      <c r="BO148" s="325"/>
      <c r="BP148" s="328"/>
      <c r="BQ148" s="325" t="s">
        <v>405</v>
      </c>
    </row>
    <row r="149" spans="1:70" ht="12" customHeight="1">
      <c r="A149" s="320">
        <v>238</v>
      </c>
      <c r="B149" s="336" t="s">
        <v>746</v>
      </c>
      <c r="C149" s="325" t="s">
        <v>745</v>
      </c>
      <c r="D149" s="336" t="s">
        <v>804</v>
      </c>
      <c r="E149" s="328">
        <v>355</v>
      </c>
      <c r="F149" s="382">
        <v>6</v>
      </c>
      <c r="G149" s="325">
        <v>160</v>
      </c>
      <c r="H149" s="325">
        <v>192</v>
      </c>
      <c r="I149" s="325">
        <v>990</v>
      </c>
      <c r="J149" s="335">
        <v>1188</v>
      </c>
      <c r="K149" s="328"/>
      <c r="L149" s="343">
        <v>277</v>
      </c>
      <c r="M149" s="331">
        <f t="shared" si="74"/>
        <v>289.04347826086956</v>
      </c>
      <c r="N149" s="332">
        <v>0.88</v>
      </c>
      <c r="O149" s="339">
        <v>94.5</v>
      </c>
      <c r="P149" s="328"/>
      <c r="Q149" s="328"/>
      <c r="R149" s="332">
        <v>0.88</v>
      </c>
      <c r="S149" s="339">
        <v>94.5</v>
      </c>
      <c r="T149" s="328"/>
      <c r="U149" s="328"/>
      <c r="V149" s="339">
        <v>6.7</v>
      </c>
      <c r="W149" s="339">
        <v>1.9</v>
      </c>
      <c r="X149" s="339">
        <v>2</v>
      </c>
      <c r="Y149" s="328"/>
      <c r="Z149" s="328"/>
      <c r="AA149" s="328"/>
      <c r="AB149" s="329">
        <v>9.5299999999999994</v>
      </c>
      <c r="AC149" s="328">
        <v>75</v>
      </c>
      <c r="AD149" s="325">
        <v>1634</v>
      </c>
      <c r="AE149" s="328"/>
      <c r="AF149" s="328"/>
      <c r="AG149" s="328"/>
      <c r="AH149" s="327">
        <v>610</v>
      </c>
      <c r="AI149" s="327">
        <v>560</v>
      </c>
      <c r="AJ149" s="327">
        <v>254</v>
      </c>
      <c r="AK149" s="327">
        <v>95</v>
      </c>
      <c r="AL149" s="327">
        <v>170</v>
      </c>
      <c r="AM149" s="327">
        <v>25</v>
      </c>
      <c r="AN149" s="327">
        <v>86</v>
      </c>
      <c r="AO149" s="327" t="s">
        <v>250</v>
      </c>
      <c r="AP149" s="327">
        <v>355</v>
      </c>
      <c r="AQ149" s="327">
        <v>28</v>
      </c>
      <c r="AR149" s="327">
        <v>730</v>
      </c>
      <c r="AS149" s="327">
        <v>720</v>
      </c>
      <c r="AT149" s="327">
        <v>700</v>
      </c>
      <c r="AU149" s="327">
        <v>1065</v>
      </c>
      <c r="AV149" s="327">
        <v>1525</v>
      </c>
      <c r="AW149" s="327">
        <v>1670</v>
      </c>
      <c r="AX149" s="328"/>
      <c r="AY149" s="328"/>
      <c r="AZ149" s="328"/>
      <c r="BA149" s="328"/>
      <c r="BB149" s="328"/>
      <c r="BC149" s="328"/>
      <c r="BD149" s="328"/>
      <c r="BE149" s="328"/>
      <c r="BF149" s="328"/>
      <c r="BG149" s="328"/>
      <c r="BH149" s="327">
        <v>740</v>
      </c>
      <c r="BI149" s="327">
        <v>680</v>
      </c>
      <c r="BJ149" s="327">
        <v>800</v>
      </c>
      <c r="BK149" s="327">
        <v>24</v>
      </c>
      <c r="BL149" s="327">
        <v>6</v>
      </c>
      <c r="BM149" s="325" t="s">
        <v>390</v>
      </c>
      <c r="BN149" s="325" t="s">
        <v>389</v>
      </c>
      <c r="BO149" s="326"/>
      <c r="BP149" s="326"/>
      <c r="BQ149" s="325" t="s">
        <v>388</v>
      </c>
    </row>
    <row r="150" spans="1:70" ht="12" customHeight="1">
      <c r="A150" s="320">
        <v>239</v>
      </c>
      <c r="B150" s="336" t="s">
        <v>746</v>
      </c>
      <c r="C150" s="325" t="s">
        <v>745</v>
      </c>
      <c r="D150" s="336" t="s">
        <v>803</v>
      </c>
      <c r="E150" s="328">
        <v>355</v>
      </c>
      <c r="F150" s="382">
        <v>6</v>
      </c>
      <c r="G150" s="325">
        <v>200</v>
      </c>
      <c r="H150" s="325">
        <v>240</v>
      </c>
      <c r="I150" s="325">
        <v>990</v>
      </c>
      <c r="J150" s="335">
        <v>1188</v>
      </c>
      <c r="K150" s="328"/>
      <c r="L150" s="343">
        <v>347</v>
      </c>
      <c r="M150" s="331">
        <f t="shared" si="74"/>
        <v>362.08695652173913</v>
      </c>
      <c r="N150" s="332">
        <v>0.88</v>
      </c>
      <c r="O150" s="339">
        <v>94.5</v>
      </c>
      <c r="P150" s="328"/>
      <c r="Q150" s="328"/>
      <c r="R150" s="332">
        <v>0.88</v>
      </c>
      <c r="S150" s="339">
        <v>94.5</v>
      </c>
      <c r="T150" s="328"/>
      <c r="U150" s="328"/>
      <c r="V150" s="339">
        <v>6.7</v>
      </c>
      <c r="W150" s="339">
        <v>1.9</v>
      </c>
      <c r="X150" s="339">
        <v>2</v>
      </c>
      <c r="Y150" s="328"/>
      <c r="Z150" s="328"/>
      <c r="AA150" s="328"/>
      <c r="AB150" s="380">
        <v>11.8</v>
      </c>
      <c r="AC150" s="328">
        <v>75</v>
      </c>
      <c r="AD150" s="325">
        <v>1772</v>
      </c>
      <c r="AE150" s="328"/>
      <c r="AF150" s="328"/>
      <c r="AG150" s="328"/>
      <c r="AH150" s="327">
        <v>610</v>
      </c>
      <c r="AI150" s="327">
        <v>560</v>
      </c>
      <c r="AJ150" s="327">
        <v>254</v>
      </c>
      <c r="AK150" s="327">
        <v>95</v>
      </c>
      <c r="AL150" s="327">
        <v>170</v>
      </c>
      <c r="AM150" s="327">
        <v>25</v>
      </c>
      <c r="AN150" s="327">
        <v>86</v>
      </c>
      <c r="AO150" s="327" t="s">
        <v>250</v>
      </c>
      <c r="AP150" s="327">
        <v>355</v>
      </c>
      <c r="AQ150" s="327">
        <v>28</v>
      </c>
      <c r="AR150" s="327">
        <v>730</v>
      </c>
      <c r="AS150" s="327">
        <v>720</v>
      </c>
      <c r="AT150" s="327">
        <v>700</v>
      </c>
      <c r="AU150" s="327">
        <v>1065</v>
      </c>
      <c r="AV150" s="327">
        <v>1525</v>
      </c>
      <c r="AW150" s="327">
        <v>1670</v>
      </c>
      <c r="AX150" s="328"/>
      <c r="AY150" s="328"/>
      <c r="AZ150" s="328"/>
      <c r="BA150" s="328"/>
      <c r="BB150" s="328"/>
      <c r="BC150" s="328"/>
      <c r="BD150" s="328"/>
      <c r="BE150" s="328"/>
      <c r="BF150" s="328"/>
      <c r="BG150" s="328"/>
      <c r="BH150" s="327">
        <v>740</v>
      </c>
      <c r="BI150" s="327">
        <v>680</v>
      </c>
      <c r="BJ150" s="327">
        <v>800</v>
      </c>
      <c r="BK150" s="327">
        <v>24</v>
      </c>
      <c r="BL150" s="327">
        <v>6</v>
      </c>
      <c r="BM150" s="325" t="s">
        <v>390</v>
      </c>
      <c r="BN150" s="325" t="s">
        <v>389</v>
      </c>
      <c r="BO150" s="326"/>
      <c r="BP150" s="326"/>
      <c r="BQ150" s="325" t="s">
        <v>388</v>
      </c>
    </row>
    <row r="151" spans="1:70" ht="12" customHeight="1">
      <c r="A151" s="320">
        <v>240</v>
      </c>
      <c r="B151" s="336" t="s">
        <v>746</v>
      </c>
      <c r="C151" s="325" t="s">
        <v>745</v>
      </c>
      <c r="D151" s="336" t="s">
        <v>802</v>
      </c>
      <c r="E151" s="328">
        <v>355</v>
      </c>
      <c r="F151" s="382">
        <v>6</v>
      </c>
      <c r="G151" s="325">
        <v>250</v>
      </c>
      <c r="H151" s="325">
        <v>300</v>
      </c>
      <c r="I151" s="325">
        <v>990</v>
      </c>
      <c r="J151" s="335">
        <v>1188</v>
      </c>
      <c r="K151" s="328"/>
      <c r="L151" s="343">
        <v>433</v>
      </c>
      <c r="M151" s="331">
        <f t="shared" si="74"/>
        <v>451.82608695652175</v>
      </c>
      <c r="N151" s="332">
        <v>0.88</v>
      </c>
      <c r="O151" s="339">
        <v>94.5</v>
      </c>
      <c r="P151" s="328"/>
      <c r="Q151" s="328"/>
      <c r="R151" s="332">
        <v>0.88</v>
      </c>
      <c r="S151" s="339">
        <v>94.5</v>
      </c>
      <c r="T151" s="328"/>
      <c r="U151" s="328"/>
      <c r="V151" s="339">
        <v>6.7</v>
      </c>
      <c r="W151" s="339">
        <v>1.9</v>
      </c>
      <c r="X151" s="339">
        <v>2</v>
      </c>
      <c r="Y151" s="328"/>
      <c r="Z151" s="328"/>
      <c r="AA151" s="328"/>
      <c r="AB151" s="380">
        <v>14.8</v>
      </c>
      <c r="AC151" s="328">
        <v>75</v>
      </c>
      <c r="AD151" s="325">
        <v>1784</v>
      </c>
      <c r="AE151" s="328"/>
      <c r="AF151" s="328"/>
      <c r="AG151" s="328"/>
      <c r="AH151" s="327">
        <v>610</v>
      </c>
      <c r="AI151" s="327">
        <v>630</v>
      </c>
      <c r="AJ151" s="327">
        <v>254</v>
      </c>
      <c r="AK151" s="327">
        <v>95</v>
      </c>
      <c r="AL151" s="327">
        <v>170</v>
      </c>
      <c r="AM151" s="327">
        <v>25</v>
      </c>
      <c r="AN151" s="327">
        <v>86</v>
      </c>
      <c r="AO151" s="327" t="s">
        <v>250</v>
      </c>
      <c r="AP151" s="327">
        <v>355</v>
      </c>
      <c r="AQ151" s="327">
        <v>28</v>
      </c>
      <c r="AR151" s="327">
        <v>730</v>
      </c>
      <c r="AS151" s="327">
        <v>720</v>
      </c>
      <c r="AT151" s="327">
        <v>700</v>
      </c>
      <c r="AU151" s="327">
        <v>1065</v>
      </c>
      <c r="AV151" s="327">
        <v>1525</v>
      </c>
      <c r="AW151" s="327">
        <v>1670</v>
      </c>
      <c r="AX151" s="328"/>
      <c r="AY151" s="328"/>
      <c r="AZ151" s="328"/>
      <c r="BA151" s="328"/>
      <c r="BB151" s="328"/>
      <c r="BC151" s="328"/>
      <c r="BD151" s="328"/>
      <c r="BE151" s="328"/>
      <c r="BF151" s="328"/>
      <c r="BG151" s="328"/>
      <c r="BH151" s="327">
        <v>740</v>
      </c>
      <c r="BI151" s="327">
        <v>680</v>
      </c>
      <c r="BJ151" s="327">
        <v>800</v>
      </c>
      <c r="BK151" s="327">
        <v>24</v>
      </c>
      <c r="BL151" s="327">
        <v>6</v>
      </c>
      <c r="BM151" s="325" t="s">
        <v>390</v>
      </c>
      <c r="BN151" s="325" t="s">
        <v>389</v>
      </c>
      <c r="BO151" s="326"/>
      <c r="BP151" s="326"/>
      <c r="BQ151" s="325" t="s">
        <v>388</v>
      </c>
    </row>
    <row r="152" spans="1:70" ht="12" customHeight="1">
      <c r="A152" s="320">
        <v>241</v>
      </c>
      <c r="B152" s="336" t="s">
        <v>746</v>
      </c>
      <c r="C152" s="325" t="s">
        <v>745</v>
      </c>
      <c r="D152" s="336" t="s">
        <v>801</v>
      </c>
      <c r="E152" s="328">
        <v>400</v>
      </c>
      <c r="F152" s="382">
        <v>6</v>
      </c>
      <c r="G152" s="325">
        <v>315</v>
      </c>
      <c r="H152" s="325">
        <v>378</v>
      </c>
      <c r="I152" s="325">
        <v>994</v>
      </c>
      <c r="J152" s="335">
        <v>1192.8</v>
      </c>
      <c r="K152" s="328"/>
      <c r="L152" s="325">
        <v>552</v>
      </c>
      <c r="M152" s="331">
        <f t="shared" si="74"/>
        <v>576</v>
      </c>
      <c r="N152" s="332">
        <v>0.86</v>
      </c>
      <c r="O152" s="339">
        <v>95.8</v>
      </c>
      <c r="P152" s="328"/>
      <c r="Q152" s="328"/>
      <c r="R152" s="332">
        <v>0.86</v>
      </c>
      <c r="S152" s="339">
        <v>95.8</v>
      </c>
      <c r="T152" s="328"/>
      <c r="U152" s="328"/>
      <c r="V152" s="332">
        <v>5.91</v>
      </c>
      <c r="W152" s="332">
        <v>1.83</v>
      </c>
      <c r="X152" s="339">
        <v>2.34</v>
      </c>
      <c r="Y152" s="328"/>
      <c r="Z152" s="328"/>
      <c r="AA152" s="328"/>
      <c r="AB152" s="380">
        <v>18.21</v>
      </c>
      <c r="AC152" s="328" t="s">
        <v>800</v>
      </c>
      <c r="AD152" s="325">
        <v>3003</v>
      </c>
      <c r="AE152" s="328"/>
      <c r="AF152" s="328"/>
      <c r="AG152" s="328"/>
      <c r="AH152" s="327">
        <v>686</v>
      </c>
      <c r="AI152" s="327">
        <v>710</v>
      </c>
      <c r="AJ152" s="327">
        <v>280</v>
      </c>
      <c r="AK152" s="327">
        <v>120</v>
      </c>
      <c r="AL152" s="327">
        <v>210</v>
      </c>
      <c r="AM152" s="327">
        <v>28</v>
      </c>
      <c r="AN152" s="327">
        <v>100</v>
      </c>
      <c r="AO152" s="327" t="s">
        <v>250</v>
      </c>
      <c r="AP152" s="327">
        <v>400</v>
      </c>
      <c r="AQ152" s="327">
        <v>36</v>
      </c>
      <c r="AR152" s="327">
        <v>806</v>
      </c>
      <c r="AS152" s="327">
        <v>810</v>
      </c>
      <c r="AT152" s="327" t="s">
        <v>251</v>
      </c>
      <c r="AU152" s="327">
        <v>1075</v>
      </c>
      <c r="AV152" s="327">
        <v>1881</v>
      </c>
      <c r="AW152" s="327">
        <v>2040</v>
      </c>
      <c r="AX152" s="328"/>
      <c r="AY152" s="328"/>
      <c r="AZ152" s="328"/>
      <c r="BA152" s="328"/>
      <c r="BB152" s="328"/>
      <c r="BC152" s="328"/>
      <c r="BD152" s="328"/>
      <c r="BE152" s="328"/>
      <c r="BF152" s="328"/>
      <c r="BG152" s="328"/>
      <c r="BH152" s="327">
        <v>940</v>
      </c>
      <c r="BI152" s="327">
        <v>880</v>
      </c>
      <c r="BJ152" s="327">
        <v>1000</v>
      </c>
      <c r="BK152" s="327">
        <v>28</v>
      </c>
      <c r="BL152" s="327">
        <v>6</v>
      </c>
      <c r="BM152" s="461" t="s">
        <v>390</v>
      </c>
      <c r="BN152" s="461" t="s">
        <v>389</v>
      </c>
      <c r="BO152" s="326"/>
      <c r="BP152" s="326"/>
      <c r="BQ152" s="328"/>
    </row>
    <row r="153" spans="1:70" ht="12" customHeight="1">
      <c r="A153" s="320">
        <v>242</v>
      </c>
      <c r="B153" s="336" t="s">
        <v>746</v>
      </c>
      <c r="C153" s="325" t="s">
        <v>745</v>
      </c>
      <c r="D153" s="336" t="s">
        <v>799</v>
      </c>
      <c r="E153" s="328">
        <v>400</v>
      </c>
      <c r="F153" s="382">
        <v>6</v>
      </c>
      <c r="G153" s="325">
        <v>355</v>
      </c>
      <c r="H153" s="325">
        <v>426</v>
      </c>
      <c r="I153" s="325">
        <v>994</v>
      </c>
      <c r="J153" s="335">
        <v>1192.8</v>
      </c>
      <c r="K153" s="328"/>
      <c r="L153" s="325">
        <v>624</v>
      </c>
      <c r="M153" s="331">
        <f t="shared" si="74"/>
        <v>651.13043478260875</v>
      </c>
      <c r="N153" s="332">
        <v>0.86</v>
      </c>
      <c r="O153" s="339">
        <v>95.9</v>
      </c>
      <c r="P153" s="328"/>
      <c r="Q153" s="328"/>
      <c r="R153" s="332">
        <v>0.86</v>
      </c>
      <c r="S153" s="339">
        <v>95.9</v>
      </c>
      <c r="T153" s="328"/>
      <c r="U153" s="328"/>
      <c r="V153" s="332">
        <v>5.89</v>
      </c>
      <c r="W153" s="332">
        <v>1.86</v>
      </c>
      <c r="X153" s="339">
        <v>2.31</v>
      </c>
      <c r="Y153" s="328"/>
      <c r="Z153" s="328"/>
      <c r="AA153" s="328"/>
      <c r="AB153" s="380">
        <v>19.32</v>
      </c>
      <c r="AC153" s="328"/>
      <c r="AD153" s="325">
        <v>3410</v>
      </c>
      <c r="AE153" s="328"/>
      <c r="AF153" s="328"/>
      <c r="AG153" s="328"/>
      <c r="AH153" s="327">
        <v>686</v>
      </c>
      <c r="AI153" s="327">
        <v>710</v>
      </c>
      <c r="AJ153" s="327">
        <v>280</v>
      </c>
      <c r="AK153" s="327">
        <v>120</v>
      </c>
      <c r="AL153" s="327">
        <v>210</v>
      </c>
      <c r="AM153" s="327">
        <v>28</v>
      </c>
      <c r="AN153" s="327">
        <v>100</v>
      </c>
      <c r="AO153" s="327" t="s">
        <v>250</v>
      </c>
      <c r="AP153" s="327">
        <v>400</v>
      </c>
      <c r="AQ153" s="327">
        <v>36</v>
      </c>
      <c r="AR153" s="327">
        <v>806</v>
      </c>
      <c r="AS153" s="327">
        <v>810</v>
      </c>
      <c r="AT153" s="327" t="s">
        <v>251</v>
      </c>
      <c r="AU153" s="327">
        <v>1075</v>
      </c>
      <c r="AV153" s="327">
        <v>1881</v>
      </c>
      <c r="AW153" s="327">
        <v>2040</v>
      </c>
      <c r="AX153" s="328"/>
      <c r="AY153" s="328"/>
      <c r="AZ153" s="328"/>
      <c r="BA153" s="328"/>
      <c r="BB153" s="328"/>
      <c r="BC153" s="328"/>
      <c r="BD153" s="328"/>
      <c r="BE153" s="328"/>
      <c r="BF153" s="328"/>
      <c r="BG153" s="328"/>
      <c r="BH153" s="327">
        <v>940</v>
      </c>
      <c r="BI153" s="327">
        <v>880</v>
      </c>
      <c r="BJ153" s="327">
        <v>1000</v>
      </c>
      <c r="BK153" s="327">
        <v>28</v>
      </c>
      <c r="BL153" s="327">
        <v>6</v>
      </c>
      <c r="BM153" s="461" t="s">
        <v>390</v>
      </c>
      <c r="BN153" s="461" t="s">
        <v>389</v>
      </c>
      <c r="BO153" s="326"/>
      <c r="BP153" s="326"/>
      <c r="BQ153" s="328"/>
    </row>
    <row r="154" spans="1:70" ht="12" customHeight="1">
      <c r="A154" s="320">
        <v>243</v>
      </c>
      <c r="B154" s="336" t="s">
        <v>746</v>
      </c>
      <c r="C154" s="325" t="s">
        <v>745</v>
      </c>
      <c r="D154" s="336" t="s">
        <v>798</v>
      </c>
      <c r="E154" s="328">
        <v>400</v>
      </c>
      <c r="F154" s="382">
        <v>6</v>
      </c>
      <c r="G154" s="325">
        <v>400</v>
      </c>
      <c r="H154" s="325">
        <v>480</v>
      </c>
      <c r="I154" s="325">
        <v>994</v>
      </c>
      <c r="J154" s="335">
        <v>1192.8</v>
      </c>
      <c r="K154" s="328"/>
      <c r="L154" s="325">
        <v>701</v>
      </c>
      <c r="M154" s="331">
        <f t="shared" si="74"/>
        <v>731.47826086956525</v>
      </c>
      <c r="N154" s="332">
        <v>0.86</v>
      </c>
      <c r="O154" s="339">
        <v>95.9</v>
      </c>
      <c r="P154" s="328"/>
      <c r="Q154" s="328"/>
      <c r="R154" s="332">
        <v>0.86</v>
      </c>
      <c r="S154" s="339">
        <v>95.9</v>
      </c>
      <c r="T154" s="328"/>
      <c r="U154" s="328"/>
      <c r="V154" s="332">
        <v>6.38</v>
      </c>
      <c r="W154" s="332">
        <v>2.08</v>
      </c>
      <c r="X154" s="339">
        <v>2.48</v>
      </c>
      <c r="Y154" s="328"/>
      <c r="Z154" s="328"/>
      <c r="AA154" s="328"/>
      <c r="AB154" s="380">
        <v>21.86</v>
      </c>
      <c r="AC154" s="328"/>
      <c r="AD154" s="325">
        <v>3558</v>
      </c>
      <c r="AE154" s="328"/>
      <c r="AF154" s="328"/>
      <c r="AG154" s="328"/>
      <c r="AH154" s="327">
        <v>686</v>
      </c>
      <c r="AI154" s="327">
        <v>710</v>
      </c>
      <c r="AJ154" s="327">
        <v>280</v>
      </c>
      <c r="AK154" s="327">
        <v>120</v>
      </c>
      <c r="AL154" s="327">
        <v>210</v>
      </c>
      <c r="AM154" s="327">
        <v>28</v>
      </c>
      <c r="AN154" s="327">
        <v>100</v>
      </c>
      <c r="AO154" s="327" t="s">
        <v>250</v>
      </c>
      <c r="AP154" s="327">
        <v>400</v>
      </c>
      <c r="AQ154" s="327">
        <v>36</v>
      </c>
      <c r="AR154" s="327">
        <v>806</v>
      </c>
      <c r="AS154" s="327">
        <v>810</v>
      </c>
      <c r="AT154" s="327" t="s">
        <v>251</v>
      </c>
      <c r="AU154" s="327">
        <v>1075</v>
      </c>
      <c r="AV154" s="327">
        <v>1881</v>
      </c>
      <c r="AW154" s="327">
        <v>2040</v>
      </c>
      <c r="AX154" s="328"/>
      <c r="AY154" s="328"/>
      <c r="AZ154" s="328"/>
      <c r="BA154" s="328"/>
      <c r="BB154" s="328"/>
      <c r="BC154" s="328"/>
      <c r="BD154" s="328"/>
      <c r="BE154" s="328"/>
      <c r="BF154" s="328"/>
      <c r="BG154" s="328"/>
      <c r="BH154" s="327">
        <v>940</v>
      </c>
      <c r="BI154" s="327">
        <v>880</v>
      </c>
      <c r="BJ154" s="327">
        <v>1000</v>
      </c>
      <c r="BK154" s="327">
        <v>28</v>
      </c>
      <c r="BL154" s="327">
        <v>6</v>
      </c>
      <c r="BM154" s="461" t="s">
        <v>390</v>
      </c>
      <c r="BN154" s="461" t="s">
        <v>389</v>
      </c>
      <c r="BO154" s="326"/>
      <c r="BP154" s="326"/>
      <c r="BQ154" s="328"/>
    </row>
    <row r="155" spans="1:70" ht="12" customHeight="1">
      <c r="A155" s="320">
        <v>244</v>
      </c>
      <c r="B155" s="336" t="s">
        <v>746</v>
      </c>
      <c r="C155" s="325" t="s">
        <v>745</v>
      </c>
      <c r="D155" s="336" t="s">
        <v>797</v>
      </c>
      <c r="E155" s="328">
        <v>400</v>
      </c>
      <c r="F155" s="382">
        <v>6</v>
      </c>
      <c r="G155" s="325">
        <v>450</v>
      </c>
      <c r="H155" s="325">
        <v>540</v>
      </c>
      <c r="I155" s="325">
        <v>994</v>
      </c>
      <c r="J155" s="335">
        <v>1192.8</v>
      </c>
      <c r="K155" s="328"/>
      <c r="L155" s="325">
        <v>783</v>
      </c>
      <c r="M155" s="331">
        <f t="shared" si="74"/>
        <v>817.04347826086962</v>
      </c>
      <c r="N155" s="332">
        <v>0.86</v>
      </c>
      <c r="O155" s="339">
        <v>95.9</v>
      </c>
      <c r="P155" s="328"/>
      <c r="Q155" s="328"/>
      <c r="R155" s="332">
        <v>0.86</v>
      </c>
      <c r="S155" s="339">
        <v>95.9</v>
      </c>
      <c r="T155" s="328"/>
      <c r="U155" s="328"/>
      <c r="V155" s="332">
        <v>6.31</v>
      </c>
      <c r="W155" s="332">
        <v>2.0699999999999998</v>
      </c>
      <c r="X155" s="339">
        <v>2.4300000000000002</v>
      </c>
      <c r="Y155" s="328"/>
      <c r="Z155" s="328"/>
      <c r="AA155" s="328"/>
      <c r="AB155" s="380">
        <v>22.31</v>
      </c>
      <c r="AC155" s="328"/>
      <c r="AD155" s="325">
        <v>3841</v>
      </c>
      <c r="AE155" s="328"/>
      <c r="AF155" s="328"/>
      <c r="AG155" s="328"/>
      <c r="AH155" s="327">
        <v>686</v>
      </c>
      <c r="AI155" s="327">
        <v>710</v>
      </c>
      <c r="AJ155" s="327">
        <v>280</v>
      </c>
      <c r="AK155" s="327">
        <v>120</v>
      </c>
      <c r="AL155" s="327">
        <v>210</v>
      </c>
      <c r="AM155" s="327">
        <v>28</v>
      </c>
      <c r="AN155" s="327">
        <v>100</v>
      </c>
      <c r="AO155" s="327" t="s">
        <v>250</v>
      </c>
      <c r="AP155" s="327">
        <v>400</v>
      </c>
      <c r="AQ155" s="327">
        <v>36</v>
      </c>
      <c r="AR155" s="327">
        <v>806</v>
      </c>
      <c r="AS155" s="327">
        <v>810</v>
      </c>
      <c r="AT155" s="327" t="s">
        <v>251</v>
      </c>
      <c r="AU155" s="327">
        <v>1075</v>
      </c>
      <c r="AV155" s="327">
        <v>1881</v>
      </c>
      <c r="AW155" s="327">
        <v>2040</v>
      </c>
      <c r="AX155" s="328"/>
      <c r="AY155" s="328"/>
      <c r="AZ155" s="328"/>
      <c r="BA155" s="328"/>
      <c r="BB155" s="328"/>
      <c r="BC155" s="328"/>
      <c r="BD155" s="328"/>
      <c r="BE155" s="328"/>
      <c r="BF155" s="328"/>
      <c r="BG155" s="328"/>
      <c r="BH155" s="327">
        <v>940</v>
      </c>
      <c r="BI155" s="327">
        <v>880</v>
      </c>
      <c r="BJ155" s="327">
        <v>1000</v>
      </c>
      <c r="BK155" s="327">
        <v>28</v>
      </c>
      <c r="BL155" s="327">
        <v>6</v>
      </c>
      <c r="BM155" s="461" t="s">
        <v>390</v>
      </c>
      <c r="BN155" s="461" t="s">
        <v>389</v>
      </c>
      <c r="BO155" s="326"/>
      <c r="BP155" s="326"/>
      <c r="BQ155" s="328"/>
    </row>
    <row r="156" spans="1:70" ht="12" customHeight="1">
      <c r="A156" s="320">
        <v>245</v>
      </c>
      <c r="B156" s="336" t="s">
        <v>746</v>
      </c>
      <c r="C156" s="325" t="s">
        <v>745</v>
      </c>
      <c r="D156" s="336" t="s">
        <v>796</v>
      </c>
      <c r="E156" s="328">
        <v>400</v>
      </c>
      <c r="F156" s="382">
        <v>6</v>
      </c>
      <c r="G156" s="325">
        <v>500</v>
      </c>
      <c r="H156" s="325">
        <v>600</v>
      </c>
      <c r="I156" s="325">
        <v>994</v>
      </c>
      <c r="J156" s="335">
        <v>1192.8</v>
      </c>
      <c r="K156" s="328"/>
      <c r="L156" s="325">
        <v>871</v>
      </c>
      <c r="M156" s="331">
        <f t="shared" si="74"/>
        <v>908.86956521739125</v>
      </c>
      <c r="N156" s="332">
        <v>0.86</v>
      </c>
      <c r="O156" s="339">
        <v>96.1</v>
      </c>
      <c r="P156" s="328"/>
      <c r="Q156" s="328"/>
      <c r="R156" s="332">
        <v>0.86</v>
      </c>
      <c r="S156" s="339">
        <v>96.1</v>
      </c>
      <c r="T156" s="328"/>
      <c r="U156" s="328"/>
      <c r="V156" s="332">
        <v>5.72</v>
      </c>
      <c r="W156" s="332">
        <v>1.86</v>
      </c>
      <c r="X156" s="339">
        <v>2.19</v>
      </c>
      <c r="Y156" s="328"/>
      <c r="Z156" s="328"/>
      <c r="AA156" s="328"/>
      <c r="AB156" s="380">
        <v>23.52</v>
      </c>
      <c r="AC156" s="328"/>
      <c r="AD156" s="325">
        <v>3866</v>
      </c>
      <c r="AE156" s="328"/>
      <c r="AF156" s="328"/>
      <c r="AG156" s="328"/>
      <c r="AH156" s="327">
        <v>686</v>
      </c>
      <c r="AI156" s="327">
        <v>710</v>
      </c>
      <c r="AJ156" s="327">
        <v>280</v>
      </c>
      <c r="AK156" s="327">
        <v>120</v>
      </c>
      <c r="AL156" s="327">
        <v>210</v>
      </c>
      <c r="AM156" s="327">
        <v>28</v>
      </c>
      <c r="AN156" s="327">
        <v>100</v>
      </c>
      <c r="AO156" s="327" t="s">
        <v>250</v>
      </c>
      <c r="AP156" s="327">
        <v>400</v>
      </c>
      <c r="AQ156" s="327">
        <v>36</v>
      </c>
      <c r="AR156" s="327">
        <v>806</v>
      </c>
      <c r="AS156" s="327">
        <v>810</v>
      </c>
      <c r="AT156" s="327" t="s">
        <v>251</v>
      </c>
      <c r="AU156" s="327">
        <v>1075</v>
      </c>
      <c r="AV156" s="327">
        <v>1881</v>
      </c>
      <c r="AW156" s="327">
        <v>2040</v>
      </c>
      <c r="AX156" s="328"/>
      <c r="AY156" s="328"/>
      <c r="AZ156" s="328"/>
      <c r="BA156" s="328"/>
      <c r="BB156" s="328"/>
      <c r="BC156" s="328"/>
      <c r="BD156" s="328"/>
      <c r="BE156" s="328"/>
      <c r="BF156" s="328"/>
      <c r="BG156" s="328"/>
      <c r="BH156" s="327">
        <v>940</v>
      </c>
      <c r="BI156" s="327">
        <v>880</v>
      </c>
      <c r="BJ156" s="327">
        <v>1000</v>
      </c>
      <c r="BK156" s="327">
        <v>28</v>
      </c>
      <c r="BL156" s="327">
        <v>6</v>
      </c>
      <c r="BM156" s="461" t="s">
        <v>390</v>
      </c>
      <c r="BN156" s="461" t="s">
        <v>389</v>
      </c>
      <c r="BO156" s="326"/>
      <c r="BP156" s="326"/>
      <c r="BQ156" s="328"/>
    </row>
    <row r="157" spans="1:70" ht="12" customHeight="1">
      <c r="A157" s="320">
        <v>246</v>
      </c>
      <c r="B157" s="336" t="s">
        <v>746</v>
      </c>
      <c r="C157" s="325" t="s">
        <v>745</v>
      </c>
      <c r="D157" s="336" t="s">
        <v>795</v>
      </c>
      <c r="E157" s="328">
        <v>400</v>
      </c>
      <c r="F157" s="382">
        <v>6</v>
      </c>
      <c r="G157" s="325">
        <v>560</v>
      </c>
      <c r="H157" s="325">
        <v>672</v>
      </c>
      <c r="I157" s="325">
        <v>994</v>
      </c>
      <c r="J157" s="335">
        <v>1192.8</v>
      </c>
      <c r="K157" s="328"/>
      <c r="L157" s="325">
        <v>958</v>
      </c>
      <c r="M157" s="333">
        <f t="shared" si="74"/>
        <v>999.6521739130435</v>
      </c>
      <c r="N157" s="332">
        <v>0.86</v>
      </c>
      <c r="O157" s="339">
        <v>96.1</v>
      </c>
      <c r="P157" s="328"/>
      <c r="Q157" s="328"/>
      <c r="R157" s="332">
        <v>0.86</v>
      </c>
      <c r="S157" s="339">
        <v>96.1</v>
      </c>
      <c r="T157" s="328"/>
      <c r="U157" s="328"/>
      <c r="V157" s="332">
        <v>5.88</v>
      </c>
      <c r="W157" s="332">
        <v>1.95</v>
      </c>
      <c r="X157" s="339">
        <v>2.2200000000000002</v>
      </c>
      <c r="Y157" s="328"/>
      <c r="Z157" s="328"/>
      <c r="AA157" s="328"/>
      <c r="AB157" s="380">
        <v>24.46</v>
      </c>
      <c r="AC157" s="328"/>
      <c r="AD157" s="325">
        <v>4140</v>
      </c>
      <c r="AE157" s="328"/>
      <c r="AF157" s="328"/>
      <c r="AG157" s="328"/>
      <c r="AH157" s="327">
        <v>686</v>
      </c>
      <c r="AI157" s="327">
        <v>710</v>
      </c>
      <c r="AJ157" s="327">
        <v>280</v>
      </c>
      <c r="AK157" s="327">
        <v>120</v>
      </c>
      <c r="AL157" s="327">
        <v>210</v>
      </c>
      <c r="AM157" s="327">
        <v>28</v>
      </c>
      <c r="AN157" s="327">
        <v>100</v>
      </c>
      <c r="AO157" s="327" t="s">
        <v>250</v>
      </c>
      <c r="AP157" s="327">
        <v>400</v>
      </c>
      <c r="AQ157" s="327">
        <v>36</v>
      </c>
      <c r="AR157" s="327">
        <v>806</v>
      </c>
      <c r="AS157" s="327">
        <v>810</v>
      </c>
      <c r="AT157" s="327" t="s">
        <v>251</v>
      </c>
      <c r="AU157" s="327">
        <v>1075</v>
      </c>
      <c r="AV157" s="327">
        <v>1881</v>
      </c>
      <c r="AW157" s="327">
        <v>2040</v>
      </c>
      <c r="AX157" s="328"/>
      <c r="AY157" s="328"/>
      <c r="AZ157" s="328"/>
      <c r="BA157" s="328"/>
      <c r="BB157" s="328"/>
      <c r="BC157" s="328"/>
      <c r="BD157" s="328"/>
      <c r="BE157" s="328"/>
      <c r="BF157" s="328"/>
      <c r="BG157" s="328"/>
      <c r="BH157" s="327">
        <v>940</v>
      </c>
      <c r="BI157" s="327">
        <v>880</v>
      </c>
      <c r="BJ157" s="327">
        <v>1000</v>
      </c>
      <c r="BK157" s="327">
        <v>28</v>
      </c>
      <c r="BL157" s="327">
        <v>6</v>
      </c>
      <c r="BM157" s="461" t="s">
        <v>390</v>
      </c>
      <c r="BN157" s="461" t="s">
        <v>389</v>
      </c>
      <c r="BO157" s="326"/>
      <c r="BP157" s="326"/>
      <c r="BQ157" s="328"/>
    </row>
    <row r="158" spans="1:70" s="1845" customFormat="1" ht="12" customHeight="1">
      <c r="A158" s="1842">
        <f>A157</f>
        <v>246</v>
      </c>
      <c r="B158" s="1843" t="str">
        <f t="shared" ref="B158" si="75">B157</f>
        <v>3D</v>
      </c>
      <c r="C158" s="1844" t="str">
        <f t="shared" ref="C158" si="76">C157</f>
        <v>Eff2</v>
      </c>
      <c r="D158" s="1843" t="str">
        <f t="shared" ref="D158" si="77">D157</f>
        <v>3D 400 L4-6</v>
      </c>
      <c r="E158" s="1845">
        <f t="shared" ref="E158" si="78">E157</f>
        <v>400</v>
      </c>
      <c r="F158" s="1846">
        <f t="shared" ref="F158" si="79">F157</f>
        <v>6</v>
      </c>
      <c r="G158" s="1844">
        <f t="shared" ref="G158" si="80">G157</f>
        <v>560</v>
      </c>
      <c r="H158" s="1844">
        <f t="shared" ref="H158" si="81">H157</f>
        <v>672</v>
      </c>
      <c r="I158" s="1844">
        <f t="shared" ref="I158" si="82">I157</f>
        <v>994</v>
      </c>
      <c r="J158" s="1847">
        <f t="shared" ref="J158" si="83">J157</f>
        <v>1192.8</v>
      </c>
      <c r="K158" s="1845">
        <f t="shared" ref="K158" si="84">K157</f>
        <v>0</v>
      </c>
      <c r="L158" s="1844">
        <f t="shared" ref="L158" si="85">L157</f>
        <v>958</v>
      </c>
      <c r="M158" s="1848">
        <f t="shared" ref="M158" si="86">M157</f>
        <v>999.6521739130435</v>
      </c>
      <c r="N158" s="1849">
        <f t="shared" ref="N158" si="87">N157</f>
        <v>0.86</v>
      </c>
      <c r="O158" s="1850">
        <f t="shared" ref="O158" si="88">O157</f>
        <v>96.1</v>
      </c>
      <c r="P158" s="1845">
        <f t="shared" ref="P158" si="89">P157</f>
        <v>0</v>
      </c>
      <c r="Q158" s="1845">
        <f t="shared" ref="Q158" si="90">Q157</f>
        <v>0</v>
      </c>
      <c r="R158" s="1849">
        <f t="shared" ref="R158" si="91">R157</f>
        <v>0.86</v>
      </c>
      <c r="S158" s="1850">
        <f t="shared" ref="S158" si="92">S157</f>
        <v>96.1</v>
      </c>
      <c r="T158" s="1845">
        <f t="shared" ref="T158" si="93">T157</f>
        <v>0</v>
      </c>
      <c r="U158" s="1845">
        <f t="shared" ref="U158" si="94">U157</f>
        <v>0</v>
      </c>
      <c r="V158" s="1849">
        <f t="shared" ref="V158" si="95">V157</f>
        <v>5.88</v>
      </c>
      <c r="W158" s="1849">
        <f t="shared" ref="W158" si="96">W157</f>
        <v>1.95</v>
      </c>
      <c r="X158" s="1850">
        <f t="shared" ref="X158" si="97">X157</f>
        <v>2.2200000000000002</v>
      </c>
      <c r="Y158" s="1845">
        <f t="shared" ref="Y158" si="98">Y157</f>
        <v>0</v>
      </c>
      <c r="Z158" s="1845">
        <f t="shared" ref="Z158" si="99">Z157</f>
        <v>0</v>
      </c>
      <c r="AA158" s="1845">
        <f t="shared" ref="AA158" si="100">AA157</f>
        <v>0</v>
      </c>
      <c r="AB158" s="1851">
        <f t="shared" ref="AB158" si="101">AB157</f>
        <v>24.46</v>
      </c>
      <c r="AC158" s="1845">
        <f t="shared" ref="AC158" si="102">AC157</f>
        <v>0</v>
      </c>
      <c r="AD158" s="1844">
        <f t="shared" ref="AD158" si="103">AD157</f>
        <v>4140</v>
      </c>
      <c r="AE158" s="1845">
        <f t="shared" ref="AE158" si="104">AE157</f>
        <v>0</v>
      </c>
      <c r="AF158" s="1845">
        <f t="shared" ref="AF158" si="105">AF157</f>
        <v>0</v>
      </c>
      <c r="AG158" s="1845">
        <f t="shared" ref="AG158" si="106">AG157</f>
        <v>0</v>
      </c>
      <c r="AH158" s="1844">
        <f t="shared" ref="AH158" si="107">AH157</f>
        <v>686</v>
      </c>
      <c r="AI158" s="1844">
        <f t="shared" ref="AI158" si="108">AI157</f>
        <v>710</v>
      </c>
      <c r="AJ158" s="1844">
        <f t="shared" ref="AJ158" si="109">AJ157</f>
        <v>280</v>
      </c>
      <c r="AK158" s="1844">
        <f t="shared" ref="AK158" si="110">AK157</f>
        <v>120</v>
      </c>
      <c r="AL158" s="1844">
        <f t="shared" ref="AL158" si="111">AL157</f>
        <v>210</v>
      </c>
      <c r="AM158" s="1844">
        <f t="shared" ref="AM158" si="112">AM157</f>
        <v>28</v>
      </c>
      <c r="AN158" s="1844">
        <f t="shared" ref="AN158" si="113">AN157</f>
        <v>100</v>
      </c>
      <c r="AO158" s="1844" t="str">
        <f t="shared" ref="AO158" si="114">AO157</f>
        <v>M24</v>
      </c>
      <c r="AP158" s="1844">
        <f t="shared" ref="AP158" si="115">AP157</f>
        <v>400</v>
      </c>
      <c r="AQ158" s="1844">
        <f t="shared" ref="AQ158" si="116">AQ157</f>
        <v>36</v>
      </c>
      <c r="AR158" s="1844">
        <f t="shared" ref="AR158" si="117">AR157</f>
        <v>806</v>
      </c>
      <c r="AS158" s="1844">
        <f t="shared" ref="AS158" si="118">AS157</f>
        <v>810</v>
      </c>
      <c r="AT158" s="1844" t="str">
        <f t="shared" ref="AT158" si="119">AT157</f>
        <v>-</v>
      </c>
      <c r="AU158" s="1844">
        <f t="shared" ref="AU158" si="120">AU157</f>
        <v>1075</v>
      </c>
      <c r="AV158" s="1844">
        <f t="shared" ref="AV158" si="121">AV157</f>
        <v>1881</v>
      </c>
      <c r="AW158" s="1844">
        <f t="shared" ref="AW158" si="122">AW157</f>
        <v>2040</v>
      </c>
      <c r="AX158" s="1845">
        <f t="shared" ref="AX158" si="123">AX157</f>
        <v>0</v>
      </c>
      <c r="AY158" s="1845">
        <f t="shared" ref="AY158" si="124">AY157</f>
        <v>0</v>
      </c>
      <c r="AZ158" s="1845">
        <f t="shared" ref="AZ158" si="125">AZ157</f>
        <v>0</v>
      </c>
      <c r="BA158" s="1845">
        <f t="shared" ref="BA158" si="126">BA157</f>
        <v>0</v>
      </c>
      <c r="BB158" s="1845">
        <f t="shared" ref="BB158" si="127">BB157</f>
        <v>0</v>
      </c>
      <c r="BC158" s="1845">
        <f t="shared" ref="BC158" si="128">BC157</f>
        <v>0</v>
      </c>
      <c r="BD158" s="1845">
        <f t="shared" ref="BD158" si="129">BD157</f>
        <v>0</v>
      </c>
      <c r="BE158" s="1845">
        <f t="shared" ref="BE158" si="130">BE157</f>
        <v>0</v>
      </c>
      <c r="BF158" s="1845">
        <f t="shared" ref="BF158" si="131">BF157</f>
        <v>0</v>
      </c>
      <c r="BG158" s="1845">
        <f t="shared" ref="BG158" si="132">BG157</f>
        <v>0</v>
      </c>
      <c r="BH158" s="1844">
        <f t="shared" ref="BH158" si="133">BH157</f>
        <v>940</v>
      </c>
      <c r="BI158" s="1844">
        <f t="shared" ref="BI158" si="134">BI157</f>
        <v>880</v>
      </c>
      <c r="BJ158" s="1844">
        <f t="shared" ref="BJ158" si="135">BJ157</f>
        <v>1000</v>
      </c>
      <c r="BK158" s="1844">
        <f t="shared" ref="BK158" si="136">BK157</f>
        <v>28</v>
      </c>
      <c r="BL158" s="1844">
        <f t="shared" ref="BL158" si="137">BL157</f>
        <v>6</v>
      </c>
      <c r="BM158" s="1844" t="str">
        <f t="shared" ref="BM158" si="138">BM157</f>
        <v>6322/C3</v>
      </c>
      <c r="BN158" s="1844" t="str">
        <f t="shared" ref="BN158" si="139">BN157</f>
        <v>6319/C3</v>
      </c>
      <c r="BO158" s="1852">
        <f t="shared" ref="BO158" si="140">BO157</f>
        <v>0</v>
      </c>
      <c r="BP158" s="1852">
        <f t="shared" ref="BP158" si="141">BP157</f>
        <v>0</v>
      </c>
      <c r="BQ158" s="1845">
        <f t="shared" ref="BQ158" si="142">BQ157</f>
        <v>0</v>
      </c>
      <c r="BR158" s="1842"/>
    </row>
    <row r="159" spans="1:70" ht="12" customHeight="1">
      <c r="A159" s="320">
        <v>301</v>
      </c>
      <c r="B159" s="336" t="s">
        <v>767</v>
      </c>
      <c r="C159" s="325" t="s">
        <v>745</v>
      </c>
      <c r="D159" s="336" t="s">
        <v>794</v>
      </c>
      <c r="E159" s="328">
        <v>71</v>
      </c>
      <c r="F159" s="365">
        <v>8</v>
      </c>
      <c r="G159" s="325">
        <v>0.09</v>
      </c>
      <c r="H159" s="325">
        <v>0.1</v>
      </c>
      <c r="I159" s="325">
        <v>600</v>
      </c>
      <c r="J159" s="325">
        <v>720</v>
      </c>
      <c r="K159" s="328"/>
      <c r="L159" s="381">
        <v>0.56999999999999995</v>
      </c>
      <c r="M159" s="331">
        <f t="shared" si="74"/>
        <v>0.59478260869565214</v>
      </c>
      <c r="N159" s="325">
        <v>0.56999999999999995</v>
      </c>
      <c r="O159" s="339">
        <v>40</v>
      </c>
      <c r="P159" s="328"/>
      <c r="Q159" s="328"/>
      <c r="R159" s="325">
        <v>0.56999999999999995</v>
      </c>
      <c r="S159" s="339">
        <v>40</v>
      </c>
      <c r="T159" s="328"/>
      <c r="U159" s="328"/>
      <c r="V159" s="339">
        <v>2.8</v>
      </c>
      <c r="W159" s="339">
        <v>1.8</v>
      </c>
      <c r="X159" s="339">
        <v>1.9</v>
      </c>
      <c r="Y159" s="328"/>
      <c r="Z159" s="328"/>
      <c r="AA159" s="328"/>
      <c r="AB159" s="329">
        <v>8.0000000000000004E-4</v>
      </c>
      <c r="AC159" s="328"/>
      <c r="AD159" s="325">
        <v>6</v>
      </c>
      <c r="AE159" s="328"/>
      <c r="AF159" s="328"/>
      <c r="AG159" s="328"/>
      <c r="AH159" s="327">
        <v>112</v>
      </c>
      <c r="AI159" s="327">
        <v>90</v>
      </c>
      <c r="AJ159" s="327">
        <v>45</v>
      </c>
      <c r="AK159" s="327">
        <v>14</v>
      </c>
      <c r="AL159" s="327">
        <v>30</v>
      </c>
      <c r="AM159" s="327">
        <v>5</v>
      </c>
      <c r="AN159" s="327">
        <v>11</v>
      </c>
      <c r="AO159" s="327" t="s">
        <v>792</v>
      </c>
      <c r="AP159" s="327">
        <v>71</v>
      </c>
      <c r="AQ159" s="327">
        <v>7</v>
      </c>
      <c r="AR159" s="327">
        <v>150</v>
      </c>
      <c r="AS159" s="327">
        <v>145</v>
      </c>
      <c r="AT159" s="327">
        <v>127</v>
      </c>
      <c r="AU159" s="327">
        <v>200</v>
      </c>
      <c r="AV159" s="327">
        <v>245</v>
      </c>
      <c r="AW159" s="328"/>
      <c r="AX159" s="327">
        <v>75</v>
      </c>
      <c r="AY159" s="327">
        <v>60</v>
      </c>
      <c r="AZ159" s="327">
        <v>90</v>
      </c>
      <c r="BA159" s="327" t="s">
        <v>792</v>
      </c>
      <c r="BB159" s="327">
        <v>2.5</v>
      </c>
      <c r="BC159" s="327">
        <v>100</v>
      </c>
      <c r="BD159" s="327">
        <v>80</v>
      </c>
      <c r="BE159" s="327">
        <v>120</v>
      </c>
      <c r="BF159" s="327" t="s">
        <v>244</v>
      </c>
      <c r="BG159" s="327">
        <v>2.5</v>
      </c>
      <c r="BH159" s="327">
        <v>130</v>
      </c>
      <c r="BI159" s="327">
        <v>110</v>
      </c>
      <c r="BJ159" s="327">
        <v>160</v>
      </c>
      <c r="BK159" s="327">
        <v>10</v>
      </c>
      <c r="BL159" s="327">
        <v>3.5</v>
      </c>
      <c r="BM159" s="325" t="s">
        <v>791</v>
      </c>
      <c r="BN159" s="325" t="s">
        <v>791</v>
      </c>
      <c r="BO159" s="340" t="s">
        <v>790</v>
      </c>
      <c r="BP159" s="340" t="s">
        <v>790</v>
      </c>
      <c r="BQ159" s="328" t="s">
        <v>480</v>
      </c>
    </row>
    <row r="160" spans="1:70" ht="12" customHeight="1">
      <c r="A160" s="320">
        <v>302</v>
      </c>
      <c r="B160" s="336" t="s">
        <v>767</v>
      </c>
      <c r="C160" s="325" t="s">
        <v>745</v>
      </c>
      <c r="D160" s="336" t="s">
        <v>793</v>
      </c>
      <c r="E160" s="328">
        <v>71</v>
      </c>
      <c r="F160" s="365">
        <v>8</v>
      </c>
      <c r="G160" s="325">
        <v>0.12</v>
      </c>
      <c r="H160" s="325">
        <v>0.14000000000000001</v>
      </c>
      <c r="I160" s="325">
        <v>600</v>
      </c>
      <c r="J160" s="325">
        <v>720</v>
      </c>
      <c r="K160" s="328"/>
      <c r="L160" s="381">
        <v>0.7</v>
      </c>
      <c r="M160" s="333">
        <f t="shared" si="74"/>
        <v>0.73043478260869565</v>
      </c>
      <c r="N160" s="325">
        <v>0.56999999999999995</v>
      </c>
      <c r="O160" s="339">
        <v>45</v>
      </c>
      <c r="P160" s="328"/>
      <c r="Q160" s="328"/>
      <c r="R160" s="325">
        <v>0.56999999999999995</v>
      </c>
      <c r="S160" s="339">
        <v>45</v>
      </c>
      <c r="T160" s="328"/>
      <c r="U160" s="328"/>
      <c r="V160" s="339">
        <v>2.8</v>
      </c>
      <c r="W160" s="339">
        <v>1.8</v>
      </c>
      <c r="X160" s="339">
        <v>1.9</v>
      </c>
      <c r="Y160" s="328"/>
      <c r="Z160" s="328"/>
      <c r="AA160" s="328"/>
      <c r="AB160" s="329">
        <v>1E-3</v>
      </c>
      <c r="AC160" s="328"/>
      <c r="AD160" s="325">
        <v>6.3</v>
      </c>
      <c r="AE160" s="328"/>
      <c r="AF160" s="328"/>
      <c r="AG160" s="328"/>
      <c r="AH160" s="327">
        <v>112</v>
      </c>
      <c r="AI160" s="327">
        <v>90</v>
      </c>
      <c r="AJ160" s="327">
        <v>45</v>
      </c>
      <c r="AK160" s="327">
        <v>14</v>
      </c>
      <c r="AL160" s="327">
        <v>30</v>
      </c>
      <c r="AM160" s="327">
        <v>5</v>
      </c>
      <c r="AN160" s="327">
        <v>11</v>
      </c>
      <c r="AO160" s="327" t="s">
        <v>792</v>
      </c>
      <c r="AP160" s="327">
        <v>71</v>
      </c>
      <c r="AQ160" s="327">
        <v>7</v>
      </c>
      <c r="AR160" s="327">
        <v>150</v>
      </c>
      <c r="AS160" s="327">
        <v>145</v>
      </c>
      <c r="AT160" s="327">
        <v>127</v>
      </c>
      <c r="AU160" s="327">
        <v>200</v>
      </c>
      <c r="AV160" s="327">
        <v>245</v>
      </c>
      <c r="AW160" s="328"/>
      <c r="AX160" s="327">
        <v>75</v>
      </c>
      <c r="AY160" s="327">
        <v>60</v>
      </c>
      <c r="AZ160" s="327">
        <v>90</v>
      </c>
      <c r="BA160" s="327" t="s">
        <v>792</v>
      </c>
      <c r="BB160" s="327">
        <v>2.5</v>
      </c>
      <c r="BC160" s="327">
        <v>100</v>
      </c>
      <c r="BD160" s="327">
        <v>80</v>
      </c>
      <c r="BE160" s="327">
        <v>120</v>
      </c>
      <c r="BF160" s="327" t="s">
        <v>244</v>
      </c>
      <c r="BG160" s="327">
        <v>2.5</v>
      </c>
      <c r="BH160" s="327">
        <v>130</v>
      </c>
      <c r="BI160" s="327">
        <v>110</v>
      </c>
      <c r="BJ160" s="327">
        <v>160</v>
      </c>
      <c r="BK160" s="327">
        <v>10</v>
      </c>
      <c r="BL160" s="327">
        <v>3.5</v>
      </c>
      <c r="BM160" s="325" t="s">
        <v>791</v>
      </c>
      <c r="BN160" s="325" t="s">
        <v>791</v>
      </c>
      <c r="BO160" s="340" t="s">
        <v>790</v>
      </c>
      <c r="BP160" s="340" t="s">
        <v>790</v>
      </c>
      <c r="BQ160" s="328" t="s">
        <v>480</v>
      </c>
    </row>
    <row r="161" spans="1:69" ht="12" customHeight="1">
      <c r="A161" s="320">
        <v>303</v>
      </c>
      <c r="B161" s="336" t="s">
        <v>767</v>
      </c>
      <c r="C161" s="325" t="s">
        <v>745</v>
      </c>
      <c r="D161" s="336" t="s">
        <v>789</v>
      </c>
      <c r="E161" s="328">
        <v>80</v>
      </c>
      <c r="F161" s="365">
        <v>8</v>
      </c>
      <c r="G161" s="325">
        <v>0.18</v>
      </c>
      <c r="H161" s="325">
        <v>0.21</v>
      </c>
      <c r="I161" s="325">
        <v>645</v>
      </c>
      <c r="J161" s="325">
        <v>774</v>
      </c>
      <c r="K161" s="328"/>
      <c r="L161" s="381">
        <v>0.79</v>
      </c>
      <c r="M161" s="333">
        <f t="shared" si="74"/>
        <v>0.82434782608695667</v>
      </c>
      <c r="N161" s="325">
        <v>0.61</v>
      </c>
      <c r="O161" s="339">
        <v>51</v>
      </c>
      <c r="P161" s="328"/>
      <c r="Q161" s="328"/>
      <c r="R161" s="325">
        <v>0.61</v>
      </c>
      <c r="S161" s="339">
        <v>51</v>
      </c>
      <c r="T161" s="328"/>
      <c r="U161" s="328"/>
      <c r="V161" s="339">
        <v>3.3</v>
      </c>
      <c r="W161" s="339">
        <v>1.9</v>
      </c>
      <c r="X161" s="339">
        <v>1.8</v>
      </c>
      <c r="Y161" s="328"/>
      <c r="Z161" s="328"/>
      <c r="AA161" s="328"/>
      <c r="AB161" s="329">
        <v>2.5000000000000001E-3</v>
      </c>
      <c r="AC161" s="328"/>
      <c r="AD161" s="325">
        <v>9</v>
      </c>
      <c r="AE161" s="328"/>
      <c r="AF161" s="328"/>
      <c r="AG161" s="328"/>
      <c r="AH161" s="327">
        <v>125</v>
      </c>
      <c r="AI161" s="327">
        <v>100</v>
      </c>
      <c r="AJ161" s="327">
        <v>50</v>
      </c>
      <c r="AK161" s="327">
        <v>19</v>
      </c>
      <c r="AL161" s="327">
        <v>40</v>
      </c>
      <c r="AM161" s="327">
        <v>6</v>
      </c>
      <c r="AN161" s="327">
        <v>15.5</v>
      </c>
      <c r="AO161" s="327" t="s">
        <v>244</v>
      </c>
      <c r="AP161" s="327">
        <v>80</v>
      </c>
      <c r="AQ161" s="327">
        <v>10</v>
      </c>
      <c r="AR161" s="327">
        <v>165</v>
      </c>
      <c r="AS161" s="327">
        <v>175</v>
      </c>
      <c r="AT161" s="327">
        <v>134</v>
      </c>
      <c r="AU161" s="327">
        <v>215</v>
      </c>
      <c r="AV161" s="327">
        <v>287</v>
      </c>
      <c r="AW161" s="328">
        <v>337</v>
      </c>
      <c r="AX161" s="327">
        <v>100</v>
      </c>
      <c r="AY161" s="327">
        <v>80</v>
      </c>
      <c r="AZ161" s="327">
        <v>120</v>
      </c>
      <c r="BA161" s="327" t="s">
        <v>244</v>
      </c>
      <c r="BB161" s="327">
        <v>3</v>
      </c>
      <c r="BC161" s="327">
        <v>130</v>
      </c>
      <c r="BD161" s="327">
        <v>110</v>
      </c>
      <c r="BE161" s="327">
        <v>160</v>
      </c>
      <c r="BF161" s="327" t="s">
        <v>245</v>
      </c>
      <c r="BG161" s="327">
        <v>3.5</v>
      </c>
      <c r="BH161" s="327">
        <v>165</v>
      </c>
      <c r="BI161" s="327">
        <v>130</v>
      </c>
      <c r="BJ161" s="327">
        <v>200</v>
      </c>
      <c r="BK161" s="327">
        <v>12</v>
      </c>
      <c r="BL161" s="327">
        <v>3.5</v>
      </c>
      <c r="BM161" s="325" t="s">
        <v>568</v>
      </c>
      <c r="BN161" s="325" t="s">
        <v>568</v>
      </c>
      <c r="BO161" s="340" t="s">
        <v>714</v>
      </c>
      <c r="BP161" s="340" t="s">
        <v>714</v>
      </c>
      <c r="BQ161" s="328" t="s">
        <v>480</v>
      </c>
    </row>
    <row r="162" spans="1:69" ht="12" customHeight="1">
      <c r="A162" s="320">
        <v>304</v>
      </c>
      <c r="B162" s="336" t="s">
        <v>746</v>
      </c>
      <c r="C162" s="325" t="s">
        <v>745</v>
      </c>
      <c r="D162" s="336" t="s">
        <v>788</v>
      </c>
      <c r="E162" s="328">
        <v>80</v>
      </c>
      <c r="F162" s="328">
        <v>8</v>
      </c>
      <c r="G162" s="325">
        <v>0.18</v>
      </c>
      <c r="H162" s="325">
        <v>0.21</v>
      </c>
      <c r="I162" s="325">
        <v>645</v>
      </c>
      <c r="J162" s="325">
        <v>774</v>
      </c>
      <c r="K162" s="328"/>
      <c r="L162" s="332">
        <v>0.84</v>
      </c>
      <c r="M162" s="331">
        <f t="shared" si="74"/>
        <v>0.87652173913043474</v>
      </c>
      <c r="N162" s="332">
        <v>0.61</v>
      </c>
      <c r="O162" s="339">
        <v>51</v>
      </c>
      <c r="P162" s="328"/>
      <c r="Q162" s="328"/>
      <c r="R162" s="332">
        <v>0.61</v>
      </c>
      <c r="S162" s="339">
        <v>51</v>
      </c>
      <c r="T162" s="328"/>
      <c r="U162" s="328"/>
      <c r="V162" s="339">
        <v>3.3</v>
      </c>
      <c r="W162" s="339">
        <v>1.8</v>
      </c>
      <c r="X162" s="339">
        <v>1.9</v>
      </c>
      <c r="Y162" s="328"/>
      <c r="Z162" s="328"/>
      <c r="AA162" s="328"/>
      <c r="AB162" s="329">
        <v>2E-3</v>
      </c>
      <c r="AC162" s="328"/>
      <c r="AD162" s="325">
        <v>16</v>
      </c>
      <c r="AE162" s="328"/>
      <c r="AF162" s="328"/>
      <c r="AG162" s="328"/>
      <c r="AH162" s="327">
        <v>125</v>
      </c>
      <c r="AI162" s="327">
        <v>100</v>
      </c>
      <c r="AJ162" s="327">
        <v>50</v>
      </c>
      <c r="AK162" s="327">
        <v>19</v>
      </c>
      <c r="AL162" s="327">
        <v>40</v>
      </c>
      <c r="AM162" s="327">
        <v>6</v>
      </c>
      <c r="AN162" s="327">
        <v>15.5</v>
      </c>
      <c r="AO162" s="327" t="s">
        <v>244</v>
      </c>
      <c r="AP162" s="327">
        <v>80</v>
      </c>
      <c r="AQ162" s="327">
        <v>10</v>
      </c>
      <c r="AR162" s="327">
        <v>165</v>
      </c>
      <c r="AS162" s="327">
        <v>165</v>
      </c>
      <c r="AT162" s="327">
        <v>165</v>
      </c>
      <c r="AU162" s="327">
        <v>245</v>
      </c>
      <c r="AV162" s="327">
        <v>295</v>
      </c>
      <c r="AW162" s="327">
        <v>345</v>
      </c>
      <c r="AX162" s="327">
        <v>100</v>
      </c>
      <c r="AY162" s="327">
        <v>80</v>
      </c>
      <c r="AZ162" s="327">
        <v>120</v>
      </c>
      <c r="BA162" s="327" t="s">
        <v>244</v>
      </c>
      <c r="BB162" s="327">
        <v>3</v>
      </c>
      <c r="BC162" s="327">
        <v>130</v>
      </c>
      <c r="BD162" s="327">
        <v>110</v>
      </c>
      <c r="BE162" s="327">
        <v>160</v>
      </c>
      <c r="BF162" s="327" t="s">
        <v>245</v>
      </c>
      <c r="BG162" s="327">
        <v>3.5</v>
      </c>
      <c r="BH162" s="327">
        <v>165</v>
      </c>
      <c r="BI162" s="327">
        <v>130</v>
      </c>
      <c r="BJ162" s="327">
        <v>200</v>
      </c>
      <c r="BK162" s="327">
        <v>12</v>
      </c>
      <c r="BL162" s="327">
        <v>3.5</v>
      </c>
      <c r="BM162" s="325" t="s">
        <v>568</v>
      </c>
      <c r="BN162" s="325" t="s">
        <v>568</v>
      </c>
      <c r="BO162" s="326"/>
      <c r="BP162" s="326"/>
      <c r="BQ162" s="328"/>
    </row>
    <row r="163" spans="1:69" ht="12" customHeight="1">
      <c r="A163" s="320">
        <v>305</v>
      </c>
      <c r="B163" s="336" t="s">
        <v>767</v>
      </c>
      <c r="C163" s="325" t="s">
        <v>745</v>
      </c>
      <c r="D163" s="336" t="s">
        <v>787</v>
      </c>
      <c r="E163" s="328">
        <v>80</v>
      </c>
      <c r="F163" s="365">
        <v>8</v>
      </c>
      <c r="G163" s="325">
        <v>0.25</v>
      </c>
      <c r="H163" s="325">
        <v>0.3</v>
      </c>
      <c r="I163" s="325">
        <v>645</v>
      </c>
      <c r="J163" s="325">
        <v>774</v>
      </c>
      <c r="K163" s="328"/>
      <c r="L163" s="381">
        <v>1.05</v>
      </c>
      <c r="M163" s="333">
        <f t="shared" si="74"/>
        <v>1.0956521739130434</v>
      </c>
      <c r="N163" s="325">
        <v>0.61</v>
      </c>
      <c r="O163" s="339">
        <v>54</v>
      </c>
      <c r="P163" s="328"/>
      <c r="Q163" s="328"/>
      <c r="R163" s="325">
        <v>0.61</v>
      </c>
      <c r="S163" s="339">
        <v>54</v>
      </c>
      <c r="T163" s="328"/>
      <c r="U163" s="328"/>
      <c r="V163" s="339">
        <v>3.3</v>
      </c>
      <c r="W163" s="339">
        <v>1.9</v>
      </c>
      <c r="X163" s="339">
        <v>1.8</v>
      </c>
      <c r="Y163" s="328"/>
      <c r="Z163" s="328"/>
      <c r="AA163" s="328"/>
      <c r="AB163" s="329">
        <v>3.0000000000000001E-3</v>
      </c>
      <c r="AC163" s="328"/>
      <c r="AD163" s="325">
        <v>10.5</v>
      </c>
      <c r="AE163" s="328"/>
      <c r="AF163" s="328"/>
      <c r="AG163" s="328"/>
      <c r="AH163" s="327">
        <v>125</v>
      </c>
      <c r="AI163" s="327">
        <v>100</v>
      </c>
      <c r="AJ163" s="327">
        <v>50</v>
      </c>
      <c r="AK163" s="327">
        <v>19</v>
      </c>
      <c r="AL163" s="327">
        <v>40</v>
      </c>
      <c r="AM163" s="327">
        <v>6</v>
      </c>
      <c r="AN163" s="327">
        <v>15.5</v>
      </c>
      <c r="AO163" s="327" t="s">
        <v>244</v>
      </c>
      <c r="AP163" s="327">
        <v>80</v>
      </c>
      <c r="AQ163" s="327">
        <v>10</v>
      </c>
      <c r="AR163" s="327">
        <v>165</v>
      </c>
      <c r="AS163" s="327">
        <v>175</v>
      </c>
      <c r="AT163" s="327">
        <v>134</v>
      </c>
      <c r="AU163" s="327">
        <v>215</v>
      </c>
      <c r="AV163" s="327">
        <v>287</v>
      </c>
      <c r="AW163" s="328">
        <v>337</v>
      </c>
      <c r="AX163" s="327">
        <v>100</v>
      </c>
      <c r="AY163" s="327">
        <v>80</v>
      </c>
      <c r="AZ163" s="327">
        <v>120</v>
      </c>
      <c r="BA163" s="327" t="s">
        <v>244</v>
      </c>
      <c r="BB163" s="327">
        <v>3</v>
      </c>
      <c r="BC163" s="327">
        <v>130</v>
      </c>
      <c r="BD163" s="327">
        <v>110</v>
      </c>
      <c r="BE163" s="327">
        <v>160</v>
      </c>
      <c r="BF163" s="327" t="s">
        <v>245</v>
      </c>
      <c r="BG163" s="327">
        <v>3.5</v>
      </c>
      <c r="BH163" s="327">
        <v>165</v>
      </c>
      <c r="BI163" s="327">
        <v>130</v>
      </c>
      <c r="BJ163" s="327">
        <v>200</v>
      </c>
      <c r="BK163" s="327">
        <v>12</v>
      </c>
      <c r="BL163" s="327">
        <v>3.5</v>
      </c>
      <c r="BM163" s="325" t="s">
        <v>568</v>
      </c>
      <c r="BN163" s="325" t="s">
        <v>568</v>
      </c>
      <c r="BO163" s="340" t="s">
        <v>714</v>
      </c>
      <c r="BP163" s="340" t="s">
        <v>714</v>
      </c>
      <c r="BQ163" s="328" t="s">
        <v>480</v>
      </c>
    </row>
    <row r="164" spans="1:69" ht="12" customHeight="1">
      <c r="A164" s="320">
        <v>306</v>
      </c>
      <c r="B164" s="336" t="s">
        <v>746</v>
      </c>
      <c r="C164" s="325" t="s">
        <v>745</v>
      </c>
      <c r="D164" s="336" t="s">
        <v>786</v>
      </c>
      <c r="E164" s="328">
        <v>80</v>
      </c>
      <c r="F164" s="328">
        <v>8</v>
      </c>
      <c r="G164" s="325">
        <v>0.25</v>
      </c>
      <c r="H164" s="325">
        <v>0.3</v>
      </c>
      <c r="I164" s="325">
        <v>645</v>
      </c>
      <c r="J164" s="325">
        <v>774</v>
      </c>
      <c r="K164" s="328"/>
      <c r="L164" s="332">
        <v>1.1000000000000001</v>
      </c>
      <c r="M164" s="331">
        <f t="shared" si="74"/>
        <v>1.1478260869565218</v>
      </c>
      <c r="N164" s="332">
        <v>0.61</v>
      </c>
      <c r="O164" s="339">
        <v>54</v>
      </c>
      <c r="P164" s="328"/>
      <c r="Q164" s="328"/>
      <c r="R164" s="332">
        <v>0.61</v>
      </c>
      <c r="S164" s="339">
        <v>54</v>
      </c>
      <c r="T164" s="328"/>
      <c r="U164" s="328"/>
      <c r="V164" s="339">
        <v>3.3</v>
      </c>
      <c r="W164" s="339">
        <v>1.8</v>
      </c>
      <c r="X164" s="339">
        <v>1.9</v>
      </c>
      <c r="Y164" s="328"/>
      <c r="Z164" s="328"/>
      <c r="AA164" s="328"/>
      <c r="AB164" s="329">
        <v>2.3999999999999998E-3</v>
      </c>
      <c r="AC164" s="328"/>
      <c r="AD164" s="325">
        <v>18</v>
      </c>
      <c r="AE164" s="328"/>
      <c r="AF164" s="328"/>
      <c r="AG164" s="328"/>
      <c r="AH164" s="327">
        <v>125</v>
      </c>
      <c r="AI164" s="327">
        <v>100</v>
      </c>
      <c r="AJ164" s="327">
        <v>50</v>
      </c>
      <c r="AK164" s="327">
        <v>19</v>
      </c>
      <c r="AL164" s="327">
        <v>40</v>
      </c>
      <c r="AM164" s="327">
        <v>6</v>
      </c>
      <c r="AN164" s="327">
        <v>15.5</v>
      </c>
      <c r="AO164" s="327" t="s">
        <v>244</v>
      </c>
      <c r="AP164" s="327">
        <v>80</v>
      </c>
      <c r="AQ164" s="327">
        <v>10</v>
      </c>
      <c r="AR164" s="327">
        <v>165</v>
      </c>
      <c r="AS164" s="327">
        <v>165</v>
      </c>
      <c r="AT164" s="327">
        <v>165</v>
      </c>
      <c r="AU164" s="327">
        <v>245</v>
      </c>
      <c r="AV164" s="327">
        <v>295</v>
      </c>
      <c r="AW164" s="327">
        <v>345</v>
      </c>
      <c r="AX164" s="327">
        <v>100</v>
      </c>
      <c r="AY164" s="327">
        <v>80</v>
      </c>
      <c r="AZ164" s="327">
        <v>120</v>
      </c>
      <c r="BA164" s="327" t="s">
        <v>244</v>
      </c>
      <c r="BB164" s="327">
        <v>3</v>
      </c>
      <c r="BC164" s="327">
        <v>130</v>
      </c>
      <c r="BD164" s="327">
        <v>110</v>
      </c>
      <c r="BE164" s="327">
        <v>160</v>
      </c>
      <c r="BF164" s="327" t="s">
        <v>245</v>
      </c>
      <c r="BG164" s="327">
        <v>3.5</v>
      </c>
      <c r="BH164" s="327">
        <v>165</v>
      </c>
      <c r="BI164" s="327">
        <v>130</v>
      </c>
      <c r="BJ164" s="327">
        <v>200</v>
      </c>
      <c r="BK164" s="327">
        <v>12</v>
      </c>
      <c r="BL164" s="327">
        <v>3.5</v>
      </c>
      <c r="BM164" s="325" t="s">
        <v>568</v>
      </c>
      <c r="BN164" s="325" t="s">
        <v>568</v>
      </c>
      <c r="BO164" s="326"/>
      <c r="BP164" s="326"/>
      <c r="BQ164" s="328"/>
    </row>
    <row r="165" spans="1:69" ht="12" customHeight="1">
      <c r="A165" s="320">
        <v>307</v>
      </c>
      <c r="B165" s="336" t="s">
        <v>767</v>
      </c>
      <c r="C165" s="325" t="s">
        <v>745</v>
      </c>
      <c r="D165" s="336" t="s">
        <v>785</v>
      </c>
      <c r="E165" s="328">
        <v>90</v>
      </c>
      <c r="F165" s="365">
        <v>8</v>
      </c>
      <c r="G165" s="325">
        <v>0.37</v>
      </c>
      <c r="H165" s="325">
        <v>0.44</v>
      </c>
      <c r="I165" s="325">
        <v>675</v>
      </c>
      <c r="J165" s="325">
        <v>810</v>
      </c>
      <c r="K165" s="328"/>
      <c r="L165" s="381">
        <v>1.4</v>
      </c>
      <c r="M165" s="331">
        <f t="shared" si="74"/>
        <v>1.4608695652173913</v>
      </c>
      <c r="N165" s="325">
        <v>0.61</v>
      </c>
      <c r="O165" s="339">
        <v>62</v>
      </c>
      <c r="P165" s="328"/>
      <c r="Q165" s="328"/>
      <c r="R165" s="325">
        <v>0.61</v>
      </c>
      <c r="S165" s="339">
        <v>62</v>
      </c>
      <c r="T165" s="328"/>
      <c r="U165" s="328"/>
      <c r="V165" s="339">
        <v>4</v>
      </c>
      <c r="W165" s="339">
        <v>1.9</v>
      </c>
      <c r="X165" s="339">
        <v>1.8</v>
      </c>
      <c r="Y165" s="328"/>
      <c r="Z165" s="328"/>
      <c r="AA165" s="328"/>
      <c r="AB165" s="329">
        <v>5.1000000000000004E-3</v>
      </c>
      <c r="AC165" s="328"/>
      <c r="AD165" s="325">
        <v>12</v>
      </c>
      <c r="AE165" s="328"/>
      <c r="AF165" s="328"/>
      <c r="AG165" s="328"/>
      <c r="AH165" s="327">
        <v>140</v>
      </c>
      <c r="AI165" s="327">
        <v>100</v>
      </c>
      <c r="AJ165" s="327">
        <v>56</v>
      </c>
      <c r="AK165" s="327">
        <v>24</v>
      </c>
      <c r="AL165" s="327">
        <v>50</v>
      </c>
      <c r="AM165" s="327">
        <v>8</v>
      </c>
      <c r="AN165" s="327">
        <v>20</v>
      </c>
      <c r="AO165" s="327" t="s">
        <v>245</v>
      </c>
      <c r="AP165" s="327">
        <v>90</v>
      </c>
      <c r="AQ165" s="327">
        <v>10</v>
      </c>
      <c r="AR165" s="327">
        <v>180</v>
      </c>
      <c r="AS165" s="327">
        <v>195</v>
      </c>
      <c r="AT165" s="327">
        <v>140</v>
      </c>
      <c r="AU165" s="327">
        <v>230</v>
      </c>
      <c r="AV165" s="327">
        <v>315</v>
      </c>
      <c r="AW165" s="327">
        <v>365</v>
      </c>
      <c r="AX165" s="327">
        <v>115</v>
      </c>
      <c r="AY165" s="327">
        <v>95</v>
      </c>
      <c r="AZ165" s="327">
        <v>140</v>
      </c>
      <c r="BA165" s="327" t="s">
        <v>245</v>
      </c>
      <c r="BB165" s="327">
        <v>3</v>
      </c>
      <c r="BC165" s="327">
        <v>130</v>
      </c>
      <c r="BD165" s="327">
        <v>110</v>
      </c>
      <c r="BE165" s="327">
        <v>160</v>
      </c>
      <c r="BF165" s="327" t="s">
        <v>245</v>
      </c>
      <c r="BG165" s="327">
        <v>3.5</v>
      </c>
      <c r="BH165" s="327">
        <v>165</v>
      </c>
      <c r="BI165" s="327">
        <v>130</v>
      </c>
      <c r="BJ165" s="327">
        <v>200</v>
      </c>
      <c r="BK165" s="327">
        <v>12</v>
      </c>
      <c r="BL165" s="327">
        <v>3.5</v>
      </c>
      <c r="BM165" s="325" t="s">
        <v>485</v>
      </c>
      <c r="BN165" s="325" t="s">
        <v>485</v>
      </c>
      <c r="BO165" s="340" t="s">
        <v>686</v>
      </c>
      <c r="BP165" s="340" t="s">
        <v>686</v>
      </c>
      <c r="BQ165" s="325" t="s">
        <v>480</v>
      </c>
    </row>
    <row r="166" spans="1:69" ht="12" customHeight="1">
      <c r="A166" s="320">
        <v>308</v>
      </c>
      <c r="B166" s="336" t="s">
        <v>746</v>
      </c>
      <c r="C166" s="325" t="s">
        <v>745</v>
      </c>
      <c r="D166" s="336" t="s">
        <v>784</v>
      </c>
      <c r="E166" s="328">
        <v>90</v>
      </c>
      <c r="F166" s="328">
        <v>8</v>
      </c>
      <c r="G166" s="325">
        <v>0.37</v>
      </c>
      <c r="H166" s="325">
        <v>0.44</v>
      </c>
      <c r="I166" s="325">
        <v>670</v>
      </c>
      <c r="J166" s="325">
        <v>804</v>
      </c>
      <c r="K166" s="328"/>
      <c r="L166" s="332">
        <v>1.41</v>
      </c>
      <c r="M166" s="331">
        <f t="shared" si="74"/>
        <v>1.4713043478260868</v>
      </c>
      <c r="N166" s="332">
        <v>0.61</v>
      </c>
      <c r="O166" s="339">
        <v>62</v>
      </c>
      <c r="P166" s="328"/>
      <c r="Q166" s="328"/>
      <c r="R166" s="332">
        <v>0.61</v>
      </c>
      <c r="S166" s="339">
        <v>62</v>
      </c>
      <c r="T166" s="328"/>
      <c r="U166" s="328"/>
      <c r="V166" s="339">
        <v>4</v>
      </c>
      <c r="W166" s="339">
        <v>1.8</v>
      </c>
      <c r="X166" s="339">
        <v>1.9</v>
      </c>
      <c r="Y166" s="328"/>
      <c r="Z166" s="328"/>
      <c r="AA166" s="328"/>
      <c r="AB166" s="329">
        <v>3.8999999999999998E-3</v>
      </c>
      <c r="AC166" s="328"/>
      <c r="AD166" s="325">
        <v>26</v>
      </c>
      <c r="AE166" s="328"/>
      <c r="AF166" s="328"/>
      <c r="AG166" s="328"/>
      <c r="AH166" s="327">
        <v>140</v>
      </c>
      <c r="AI166" s="327">
        <v>100</v>
      </c>
      <c r="AJ166" s="327">
        <v>56</v>
      </c>
      <c r="AK166" s="327">
        <v>24</v>
      </c>
      <c r="AL166" s="327">
        <v>50</v>
      </c>
      <c r="AM166" s="327">
        <v>8</v>
      </c>
      <c r="AN166" s="327">
        <v>20</v>
      </c>
      <c r="AO166" s="327" t="s">
        <v>245</v>
      </c>
      <c r="AP166" s="327">
        <v>90</v>
      </c>
      <c r="AQ166" s="327">
        <v>10</v>
      </c>
      <c r="AR166" s="327">
        <v>180</v>
      </c>
      <c r="AS166" s="327">
        <v>180</v>
      </c>
      <c r="AT166" s="327">
        <v>175</v>
      </c>
      <c r="AU166" s="327">
        <v>265</v>
      </c>
      <c r="AV166" s="327">
        <v>315</v>
      </c>
      <c r="AW166" s="327">
        <v>365</v>
      </c>
      <c r="AX166" s="327">
        <v>115</v>
      </c>
      <c r="AY166" s="327">
        <v>95</v>
      </c>
      <c r="AZ166" s="327">
        <v>140</v>
      </c>
      <c r="BA166" s="327" t="s">
        <v>245</v>
      </c>
      <c r="BB166" s="327">
        <v>3</v>
      </c>
      <c r="BC166" s="327">
        <v>130</v>
      </c>
      <c r="BD166" s="327">
        <v>110</v>
      </c>
      <c r="BE166" s="327">
        <v>160</v>
      </c>
      <c r="BF166" s="327" t="s">
        <v>245</v>
      </c>
      <c r="BG166" s="327">
        <v>3.5</v>
      </c>
      <c r="BH166" s="327">
        <v>165</v>
      </c>
      <c r="BI166" s="327">
        <v>130</v>
      </c>
      <c r="BJ166" s="327">
        <v>200</v>
      </c>
      <c r="BK166" s="327">
        <v>12</v>
      </c>
      <c r="BL166" s="327">
        <v>3.5</v>
      </c>
      <c r="BM166" s="325" t="s">
        <v>485</v>
      </c>
      <c r="BN166" s="325" t="s">
        <v>485</v>
      </c>
      <c r="BO166" s="326"/>
      <c r="BP166" s="326"/>
      <c r="BQ166" s="325" t="s">
        <v>480</v>
      </c>
    </row>
    <row r="167" spans="1:69" ht="12" customHeight="1">
      <c r="A167" s="320">
        <v>309</v>
      </c>
      <c r="B167" s="336" t="s">
        <v>767</v>
      </c>
      <c r="C167" s="325" t="s">
        <v>745</v>
      </c>
      <c r="D167" s="336" t="s">
        <v>783</v>
      </c>
      <c r="E167" s="328">
        <v>90</v>
      </c>
      <c r="F167" s="365">
        <v>8</v>
      </c>
      <c r="G167" s="325">
        <v>0.55000000000000004</v>
      </c>
      <c r="H167" s="325">
        <v>0.66</v>
      </c>
      <c r="I167" s="325">
        <v>680</v>
      </c>
      <c r="J167" s="325">
        <v>816</v>
      </c>
      <c r="K167" s="328"/>
      <c r="L167" s="381">
        <v>2.06</v>
      </c>
      <c r="M167" s="331">
        <f t="shared" si="74"/>
        <v>2.1495652173913045</v>
      </c>
      <c r="N167" s="325">
        <v>0.61</v>
      </c>
      <c r="O167" s="339">
        <v>63</v>
      </c>
      <c r="P167" s="328"/>
      <c r="Q167" s="328"/>
      <c r="R167" s="325">
        <v>0.61</v>
      </c>
      <c r="S167" s="339">
        <v>63</v>
      </c>
      <c r="T167" s="328"/>
      <c r="U167" s="328"/>
      <c r="V167" s="339">
        <v>4</v>
      </c>
      <c r="W167" s="339">
        <v>2</v>
      </c>
      <c r="X167" s="339">
        <v>1.8</v>
      </c>
      <c r="Y167" s="328"/>
      <c r="Z167" s="328"/>
      <c r="AA167" s="328"/>
      <c r="AB167" s="329">
        <v>6.4999999999999997E-3</v>
      </c>
      <c r="AC167" s="328">
        <v>46</v>
      </c>
      <c r="AD167" s="325">
        <v>14</v>
      </c>
      <c r="AE167" s="328"/>
      <c r="AF167" s="328"/>
      <c r="AG167" s="328"/>
      <c r="AH167" s="327">
        <v>140</v>
      </c>
      <c r="AI167" s="327">
        <v>125</v>
      </c>
      <c r="AJ167" s="327">
        <v>56</v>
      </c>
      <c r="AK167" s="327">
        <v>24</v>
      </c>
      <c r="AL167" s="327">
        <v>50</v>
      </c>
      <c r="AM167" s="327">
        <v>8</v>
      </c>
      <c r="AN167" s="327">
        <v>20</v>
      </c>
      <c r="AO167" s="327" t="s">
        <v>245</v>
      </c>
      <c r="AP167" s="327">
        <v>90</v>
      </c>
      <c r="AQ167" s="327">
        <v>10</v>
      </c>
      <c r="AR167" s="327">
        <v>180</v>
      </c>
      <c r="AS167" s="327">
        <v>195</v>
      </c>
      <c r="AT167" s="327">
        <v>140</v>
      </c>
      <c r="AU167" s="327">
        <v>230</v>
      </c>
      <c r="AV167" s="327">
        <v>340</v>
      </c>
      <c r="AW167" s="327">
        <v>390</v>
      </c>
      <c r="AX167" s="327">
        <v>115</v>
      </c>
      <c r="AY167" s="327">
        <v>95</v>
      </c>
      <c r="AZ167" s="327">
        <v>140</v>
      </c>
      <c r="BA167" s="327" t="s">
        <v>245</v>
      </c>
      <c r="BB167" s="327">
        <v>3</v>
      </c>
      <c r="BC167" s="327">
        <v>130</v>
      </c>
      <c r="BD167" s="327">
        <v>110</v>
      </c>
      <c r="BE167" s="327">
        <v>160</v>
      </c>
      <c r="BF167" s="327" t="s">
        <v>245</v>
      </c>
      <c r="BG167" s="327">
        <v>3.5</v>
      </c>
      <c r="BH167" s="327">
        <v>165</v>
      </c>
      <c r="BI167" s="327">
        <v>130</v>
      </c>
      <c r="BJ167" s="327">
        <v>200</v>
      </c>
      <c r="BK167" s="327">
        <v>12</v>
      </c>
      <c r="BL167" s="327">
        <v>3.5</v>
      </c>
      <c r="BM167" s="325" t="s">
        <v>485</v>
      </c>
      <c r="BN167" s="325" t="s">
        <v>485</v>
      </c>
      <c r="BO167" s="340" t="s">
        <v>686</v>
      </c>
      <c r="BP167" s="340" t="s">
        <v>686</v>
      </c>
      <c r="BQ167" s="325" t="s">
        <v>480</v>
      </c>
    </row>
    <row r="168" spans="1:69" ht="12" customHeight="1">
      <c r="A168" s="320">
        <v>310</v>
      </c>
      <c r="B168" s="336" t="s">
        <v>746</v>
      </c>
      <c r="C168" s="325" t="s">
        <v>745</v>
      </c>
      <c r="D168" s="336" t="s">
        <v>782</v>
      </c>
      <c r="E168" s="328">
        <v>90</v>
      </c>
      <c r="F168" s="328">
        <v>8</v>
      </c>
      <c r="G168" s="325">
        <v>0.55000000000000004</v>
      </c>
      <c r="H168" s="325">
        <v>0.66</v>
      </c>
      <c r="I168" s="325">
        <v>670</v>
      </c>
      <c r="J168" s="325">
        <v>804</v>
      </c>
      <c r="K168" s="328"/>
      <c r="L168" s="332">
        <v>2.0699999999999998</v>
      </c>
      <c r="M168" s="331">
        <f t="shared" si="74"/>
        <v>2.1599999999999997</v>
      </c>
      <c r="N168" s="332">
        <v>0.61</v>
      </c>
      <c r="O168" s="339">
        <v>63</v>
      </c>
      <c r="P168" s="328"/>
      <c r="Q168" s="328"/>
      <c r="R168" s="332">
        <v>0.61</v>
      </c>
      <c r="S168" s="339">
        <v>63</v>
      </c>
      <c r="T168" s="328"/>
      <c r="U168" s="328"/>
      <c r="V168" s="339">
        <v>4</v>
      </c>
      <c r="W168" s="339">
        <v>1.8</v>
      </c>
      <c r="X168" s="339">
        <v>2</v>
      </c>
      <c r="Y168" s="328"/>
      <c r="Z168" s="328"/>
      <c r="AA168" s="328"/>
      <c r="AB168" s="329">
        <v>4.7999999999999996E-3</v>
      </c>
      <c r="AC168" s="328">
        <v>46</v>
      </c>
      <c r="AD168" s="325">
        <v>28</v>
      </c>
      <c r="AE168" s="328"/>
      <c r="AF168" s="328"/>
      <c r="AG168" s="328"/>
      <c r="AH168" s="327">
        <v>140</v>
      </c>
      <c r="AI168" s="327">
        <v>125</v>
      </c>
      <c r="AJ168" s="327">
        <v>56</v>
      </c>
      <c r="AK168" s="327">
        <v>24</v>
      </c>
      <c r="AL168" s="327">
        <v>50</v>
      </c>
      <c r="AM168" s="327">
        <v>8</v>
      </c>
      <c r="AN168" s="327">
        <v>20</v>
      </c>
      <c r="AO168" s="327" t="s">
        <v>245</v>
      </c>
      <c r="AP168" s="327">
        <v>90</v>
      </c>
      <c r="AQ168" s="327">
        <v>10</v>
      </c>
      <c r="AR168" s="327">
        <v>180</v>
      </c>
      <c r="AS168" s="327">
        <v>180</v>
      </c>
      <c r="AT168" s="327">
        <v>175</v>
      </c>
      <c r="AU168" s="327">
        <v>265</v>
      </c>
      <c r="AV168" s="327">
        <v>315</v>
      </c>
      <c r="AW168" s="327">
        <v>390</v>
      </c>
      <c r="AX168" s="327">
        <v>115</v>
      </c>
      <c r="AY168" s="327">
        <v>95</v>
      </c>
      <c r="AZ168" s="327">
        <v>140</v>
      </c>
      <c r="BA168" s="327" t="s">
        <v>245</v>
      </c>
      <c r="BB168" s="327">
        <v>3</v>
      </c>
      <c r="BC168" s="327">
        <v>130</v>
      </c>
      <c r="BD168" s="327">
        <v>110</v>
      </c>
      <c r="BE168" s="327">
        <v>160</v>
      </c>
      <c r="BF168" s="327" t="s">
        <v>245</v>
      </c>
      <c r="BG168" s="327">
        <v>3.5</v>
      </c>
      <c r="BH168" s="327">
        <v>165</v>
      </c>
      <c r="BI168" s="327">
        <v>130</v>
      </c>
      <c r="BJ168" s="327">
        <v>200</v>
      </c>
      <c r="BK168" s="327">
        <v>12</v>
      </c>
      <c r="BL168" s="327">
        <v>3.5</v>
      </c>
      <c r="BM168" s="325" t="s">
        <v>485</v>
      </c>
      <c r="BN168" s="325" t="s">
        <v>485</v>
      </c>
      <c r="BO168" s="326"/>
      <c r="BP168" s="326"/>
      <c r="BQ168" s="325" t="s">
        <v>480</v>
      </c>
    </row>
    <row r="169" spans="1:69" ht="12" customHeight="1">
      <c r="A169" s="320">
        <v>311</v>
      </c>
      <c r="B169" s="336" t="s">
        <v>767</v>
      </c>
      <c r="C169" s="325" t="s">
        <v>745</v>
      </c>
      <c r="D169" s="336" t="s">
        <v>781</v>
      </c>
      <c r="E169" s="328">
        <v>100</v>
      </c>
      <c r="F169" s="365">
        <v>8</v>
      </c>
      <c r="G169" s="325">
        <v>0.75</v>
      </c>
      <c r="H169" s="325">
        <v>0.89999999999999991</v>
      </c>
      <c r="I169" s="325">
        <v>680</v>
      </c>
      <c r="J169" s="325">
        <v>816</v>
      </c>
      <c r="K169" s="328"/>
      <c r="L169" s="381">
        <v>2.2999999999999998</v>
      </c>
      <c r="M169" s="331">
        <f t="shared" si="74"/>
        <v>2.4</v>
      </c>
      <c r="N169" s="325">
        <v>0.67</v>
      </c>
      <c r="O169" s="339">
        <v>70</v>
      </c>
      <c r="P169" s="328"/>
      <c r="Q169" s="328"/>
      <c r="R169" s="325">
        <v>0.67</v>
      </c>
      <c r="S169" s="339">
        <v>70</v>
      </c>
      <c r="T169" s="328"/>
      <c r="U169" s="328"/>
      <c r="V169" s="339">
        <v>4</v>
      </c>
      <c r="W169" s="339">
        <v>2</v>
      </c>
      <c r="X169" s="339">
        <v>1.8</v>
      </c>
      <c r="Y169" s="328"/>
      <c r="Z169" s="328"/>
      <c r="AA169" s="328"/>
      <c r="AB169" s="329">
        <v>9.4999999999999998E-3</v>
      </c>
      <c r="AC169" s="328">
        <v>51</v>
      </c>
      <c r="AD169" s="325">
        <v>23</v>
      </c>
      <c r="AE169" s="328"/>
      <c r="AF169" s="328"/>
      <c r="AG169" s="328"/>
      <c r="AH169" s="327">
        <v>160</v>
      </c>
      <c r="AI169" s="327">
        <v>140</v>
      </c>
      <c r="AJ169" s="327">
        <v>63</v>
      </c>
      <c r="AK169" s="327">
        <v>28</v>
      </c>
      <c r="AL169" s="327">
        <v>60</v>
      </c>
      <c r="AM169" s="327">
        <v>8</v>
      </c>
      <c r="AN169" s="327">
        <v>24</v>
      </c>
      <c r="AO169" s="327" t="s">
        <v>246</v>
      </c>
      <c r="AP169" s="327">
        <v>100</v>
      </c>
      <c r="AQ169" s="327">
        <v>12</v>
      </c>
      <c r="AR169" s="327">
        <v>205</v>
      </c>
      <c r="AS169" s="327">
        <v>215</v>
      </c>
      <c r="AT169" s="327">
        <v>160</v>
      </c>
      <c r="AU169" s="327">
        <v>260</v>
      </c>
      <c r="AV169" s="327">
        <v>385</v>
      </c>
      <c r="AW169" s="328">
        <v>435</v>
      </c>
      <c r="AX169" s="327">
        <v>130</v>
      </c>
      <c r="AY169" s="327">
        <v>110</v>
      </c>
      <c r="AZ169" s="327">
        <v>160</v>
      </c>
      <c r="BA169" s="327" t="s">
        <v>245</v>
      </c>
      <c r="BB169" s="327">
        <v>3.5</v>
      </c>
      <c r="BC169" s="327">
        <v>165</v>
      </c>
      <c r="BD169" s="327">
        <v>130</v>
      </c>
      <c r="BE169" s="327">
        <v>200</v>
      </c>
      <c r="BF169" s="327" t="s">
        <v>246</v>
      </c>
      <c r="BG169" s="327">
        <v>3.5</v>
      </c>
      <c r="BH169" s="327">
        <v>215</v>
      </c>
      <c r="BI169" s="327">
        <v>180</v>
      </c>
      <c r="BJ169" s="327">
        <v>250</v>
      </c>
      <c r="BK169" s="327">
        <v>15</v>
      </c>
      <c r="BL169" s="327">
        <v>4</v>
      </c>
      <c r="BM169" s="325" t="s">
        <v>475</v>
      </c>
      <c r="BN169" s="325" t="s">
        <v>475</v>
      </c>
      <c r="BO169" s="340" t="s">
        <v>682</v>
      </c>
      <c r="BP169" s="340" t="s">
        <v>682</v>
      </c>
      <c r="BQ169" s="325" t="s">
        <v>480</v>
      </c>
    </row>
    <row r="170" spans="1:69" ht="12" customHeight="1">
      <c r="A170" s="320">
        <v>312</v>
      </c>
      <c r="B170" s="336" t="s">
        <v>746</v>
      </c>
      <c r="C170" s="325" t="s">
        <v>745</v>
      </c>
      <c r="D170" s="336" t="s">
        <v>780</v>
      </c>
      <c r="E170" s="328">
        <v>100</v>
      </c>
      <c r="F170" s="328">
        <v>8</v>
      </c>
      <c r="G170" s="325">
        <v>0.75</v>
      </c>
      <c r="H170" s="325">
        <v>0.89999999999999991</v>
      </c>
      <c r="I170" s="325">
        <v>680</v>
      </c>
      <c r="J170" s="325">
        <v>816</v>
      </c>
      <c r="K170" s="328"/>
      <c r="L170" s="332">
        <v>2.2799999999999998</v>
      </c>
      <c r="M170" s="331">
        <f t="shared" si="74"/>
        <v>2.3791304347826085</v>
      </c>
      <c r="N170" s="332">
        <v>0.67</v>
      </c>
      <c r="O170" s="339">
        <v>71</v>
      </c>
      <c r="P170" s="328"/>
      <c r="Q170" s="328"/>
      <c r="R170" s="332">
        <v>0.67</v>
      </c>
      <c r="S170" s="339">
        <v>71</v>
      </c>
      <c r="T170" s="328"/>
      <c r="U170" s="328"/>
      <c r="V170" s="339">
        <v>4</v>
      </c>
      <c r="W170" s="339">
        <v>1.8</v>
      </c>
      <c r="X170" s="339">
        <v>2</v>
      </c>
      <c r="Y170" s="328"/>
      <c r="Z170" s="328"/>
      <c r="AA170" s="328"/>
      <c r="AB170" s="329">
        <v>7.1999999999999998E-3</v>
      </c>
      <c r="AC170" s="328">
        <v>51</v>
      </c>
      <c r="AD170" s="325">
        <v>30</v>
      </c>
      <c r="AE170" s="328"/>
      <c r="AF170" s="328"/>
      <c r="AG170" s="328"/>
      <c r="AH170" s="327">
        <v>160</v>
      </c>
      <c r="AI170" s="327">
        <v>140</v>
      </c>
      <c r="AJ170" s="327">
        <v>63</v>
      </c>
      <c r="AK170" s="327">
        <v>28</v>
      </c>
      <c r="AL170" s="327">
        <v>60</v>
      </c>
      <c r="AM170" s="327">
        <v>8</v>
      </c>
      <c r="AN170" s="327">
        <v>24</v>
      </c>
      <c r="AO170" s="327" t="s">
        <v>246</v>
      </c>
      <c r="AP170" s="327">
        <v>100</v>
      </c>
      <c r="AQ170" s="327">
        <v>12</v>
      </c>
      <c r="AR170" s="327">
        <v>205</v>
      </c>
      <c r="AS170" s="327">
        <v>205</v>
      </c>
      <c r="AT170" s="327">
        <v>200</v>
      </c>
      <c r="AU170" s="327">
        <v>290</v>
      </c>
      <c r="AV170" s="327">
        <v>385</v>
      </c>
      <c r="AW170" s="327">
        <v>435</v>
      </c>
      <c r="AX170" s="327">
        <v>130</v>
      </c>
      <c r="AY170" s="327">
        <v>110</v>
      </c>
      <c r="AZ170" s="327">
        <v>160</v>
      </c>
      <c r="BA170" s="327" t="s">
        <v>245</v>
      </c>
      <c r="BB170" s="327">
        <v>3.5</v>
      </c>
      <c r="BC170" s="327">
        <v>165</v>
      </c>
      <c r="BD170" s="327">
        <v>130</v>
      </c>
      <c r="BE170" s="327">
        <v>200</v>
      </c>
      <c r="BF170" s="327" t="s">
        <v>246</v>
      </c>
      <c r="BG170" s="327">
        <v>3.5</v>
      </c>
      <c r="BH170" s="327">
        <v>215</v>
      </c>
      <c r="BI170" s="327">
        <v>180</v>
      </c>
      <c r="BJ170" s="327">
        <v>250</v>
      </c>
      <c r="BK170" s="327">
        <v>15</v>
      </c>
      <c r="BL170" s="327">
        <v>4</v>
      </c>
      <c r="BM170" s="325" t="s">
        <v>475</v>
      </c>
      <c r="BN170" s="325" t="s">
        <v>475</v>
      </c>
      <c r="BO170" s="326"/>
      <c r="BP170" s="326"/>
      <c r="BQ170" s="325" t="s">
        <v>480</v>
      </c>
    </row>
    <row r="171" spans="1:69" ht="12" customHeight="1">
      <c r="A171" s="320">
        <v>313</v>
      </c>
      <c r="B171" s="336" t="s">
        <v>767</v>
      </c>
      <c r="C171" s="325" t="s">
        <v>745</v>
      </c>
      <c r="D171" s="336" t="s">
        <v>779</v>
      </c>
      <c r="E171" s="328">
        <v>100</v>
      </c>
      <c r="F171" s="365">
        <v>8</v>
      </c>
      <c r="G171" s="325">
        <v>1.1000000000000001</v>
      </c>
      <c r="H171" s="325">
        <v>1.32</v>
      </c>
      <c r="I171" s="325">
        <v>680</v>
      </c>
      <c r="J171" s="325">
        <v>816</v>
      </c>
      <c r="K171" s="328"/>
      <c r="L171" s="381">
        <v>3.2</v>
      </c>
      <c r="M171" s="331">
        <f t="shared" si="74"/>
        <v>3.3391304347826085</v>
      </c>
      <c r="N171" s="325">
        <v>0.69</v>
      </c>
      <c r="O171" s="339">
        <v>72</v>
      </c>
      <c r="P171" s="328"/>
      <c r="Q171" s="328"/>
      <c r="R171" s="325">
        <v>0.69</v>
      </c>
      <c r="S171" s="339">
        <v>72</v>
      </c>
      <c r="T171" s="328"/>
      <c r="U171" s="328"/>
      <c r="V171" s="339">
        <v>5</v>
      </c>
      <c r="W171" s="339">
        <v>2</v>
      </c>
      <c r="X171" s="339">
        <v>1.8</v>
      </c>
      <c r="Y171" s="328"/>
      <c r="Z171" s="328"/>
      <c r="AA171" s="328"/>
      <c r="AB171" s="329">
        <v>1.0999999999999999E-2</v>
      </c>
      <c r="AC171" s="328">
        <v>51</v>
      </c>
      <c r="AD171" s="325">
        <v>25</v>
      </c>
      <c r="AE171" s="328"/>
      <c r="AF171" s="328"/>
      <c r="AG171" s="328"/>
      <c r="AH171" s="327">
        <v>160</v>
      </c>
      <c r="AI171" s="327">
        <v>140</v>
      </c>
      <c r="AJ171" s="327">
        <v>63</v>
      </c>
      <c r="AK171" s="327">
        <v>28</v>
      </c>
      <c r="AL171" s="327">
        <v>60</v>
      </c>
      <c r="AM171" s="327">
        <v>8</v>
      </c>
      <c r="AN171" s="327">
        <v>24</v>
      </c>
      <c r="AO171" s="327" t="s">
        <v>246</v>
      </c>
      <c r="AP171" s="327">
        <v>100</v>
      </c>
      <c r="AQ171" s="327">
        <v>12</v>
      </c>
      <c r="AR171" s="327">
        <v>205</v>
      </c>
      <c r="AS171" s="327">
        <v>215</v>
      </c>
      <c r="AT171" s="327">
        <v>160</v>
      </c>
      <c r="AU171" s="327">
        <v>260</v>
      </c>
      <c r="AV171" s="327">
        <v>385</v>
      </c>
      <c r="AW171" s="328">
        <v>435</v>
      </c>
      <c r="AX171" s="327">
        <v>130</v>
      </c>
      <c r="AY171" s="327">
        <v>110</v>
      </c>
      <c r="AZ171" s="327">
        <v>160</v>
      </c>
      <c r="BA171" s="327" t="s">
        <v>245</v>
      </c>
      <c r="BB171" s="327">
        <v>3.5</v>
      </c>
      <c r="BC171" s="327">
        <v>165</v>
      </c>
      <c r="BD171" s="327">
        <v>130</v>
      </c>
      <c r="BE171" s="327">
        <v>200</v>
      </c>
      <c r="BF171" s="327" t="s">
        <v>246</v>
      </c>
      <c r="BG171" s="327">
        <v>3.5</v>
      </c>
      <c r="BH171" s="327">
        <v>215</v>
      </c>
      <c r="BI171" s="327">
        <v>180</v>
      </c>
      <c r="BJ171" s="327">
        <v>250</v>
      </c>
      <c r="BK171" s="327">
        <v>15</v>
      </c>
      <c r="BL171" s="327">
        <v>4</v>
      </c>
      <c r="BM171" s="325" t="s">
        <v>475</v>
      </c>
      <c r="BN171" s="325" t="s">
        <v>475</v>
      </c>
      <c r="BO171" s="340" t="s">
        <v>682</v>
      </c>
      <c r="BP171" s="340" t="s">
        <v>682</v>
      </c>
      <c r="BQ171" s="325" t="s">
        <v>480</v>
      </c>
    </row>
    <row r="172" spans="1:69" ht="12" customHeight="1">
      <c r="A172" s="320">
        <v>314</v>
      </c>
      <c r="B172" s="336" t="s">
        <v>746</v>
      </c>
      <c r="C172" s="325" t="s">
        <v>745</v>
      </c>
      <c r="D172" s="336" t="s">
        <v>778</v>
      </c>
      <c r="E172" s="328">
        <v>100</v>
      </c>
      <c r="F172" s="328">
        <v>8</v>
      </c>
      <c r="G172" s="325">
        <v>1.1000000000000001</v>
      </c>
      <c r="H172" s="325">
        <v>1.32</v>
      </c>
      <c r="I172" s="325">
        <v>680</v>
      </c>
      <c r="J172" s="325">
        <v>816</v>
      </c>
      <c r="K172" s="328"/>
      <c r="L172" s="332">
        <v>3.15</v>
      </c>
      <c r="M172" s="331">
        <f t="shared" si="74"/>
        <v>3.2869565217391306</v>
      </c>
      <c r="N172" s="332">
        <v>0.69</v>
      </c>
      <c r="O172" s="339">
        <v>73</v>
      </c>
      <c r="P172" s="328"/>
      <c r="Q172" s="328"/>
      <c r="R172" s="332">
        <v>0.69</v>
      </c>
      <c r="S172" s="339">
        <v>73</v>
      </c>
      <c r="T172" s="328"/>
      <c r="U172" s="328"/>
      <c r="V172" s="339">
        <v>5</v>
      </c>
      <c r="W172" s="339">
        <v>1.8</v>
      </c>
      <c r="X172" s="339">
        <v>2</v>
      </c>
      <c r="Y172" s="328"/>
      <c r="Z172" s="328"/>
      <c r="AA172" s="328"/>
      <c r="AB172" s="329">
        <v>8.0999999999999996E-3</v>
      </c>
      <c r="AC172" s="328">
        <v>51</v>
      </c>
      <c r="AD172" s="325">
        <v>32</v>
      </c>
      <c r="AE172" s="328"/>
      <c r="AF172" s="328"/>
      <c r="AG172" s="328"/>
      <c r="AH172" s="327">
        <v>160</v>
      </c>
      <c r="AI172" s="327">
        <v>140</v>
      </c>
      <c r="AJ172" s="327">
        <v>63</v>
      </c>
      <c r="AK172" s="327">
        <v>28</v>
      </c>
      <c r="AL172" s="327">
        <v>60</v>
      </c>
      <c r="AM172" s="327">
        <v>8</v>
      </c>
      <c r="AN172" s="327">
        <v>24</v>
      </c>
      <c r="AO172" s="327" t="s">
        <v>246</v>
      </c>
      <c r="AP172" s="327">
        <v>100</v>
      </c>
      <c r="AQ172" s="327">
        <v>12</v>
      </c>
      <c r="AR172" s="327">
        <v>205</v>
      </c>
      <c r="AS172" s="327">
        <v>205</v>
      </c>
      <c r="AT172" s="327">
        <v>200</v>
      </c>
      <c r="AU172" s="327">
        <v>290</v>
      </c>
      <c r="AV172" s="327">
        <v>385</v>
      </c>
      <c r="AW172" s="327">
        <v>435</v>
      </c>
      <c r="AX172" s="327">
        <v>130</v>
      </c>
      <c r="AY172" s="327">
        <v>110</v>
      </c>
      <c r="AZ172" s="327">
        <v>160</v>
      </c>
      <c r="BA172" s="327" t="s">
        <v>245</v>
      </c>
      <c r="BB172" s="327">
        <v>3.5</v>
      </c>
      <c r="BC172" s="327">
        <v>165</v>
      </c>
      <c r="BD172" s="327">
        <v>130</v>
      </c>
      <c r="BE172" s="327">
        <v>200</v>
      </c>
      <c r="BF172" s="327" t="s">
        <v>246</v>
      </c>
      <c r="BG172" s="327">
        <v>3.5</v>
      </c>
      <c r="BH172" s="327">
        <v>215</v>
      </c>
      <c r="BI172" s="327">
        <v>180</v>
      </c>
      <c r="BJ172" s="327">
        <v>250</v>
      </c>
      <c r="BK172" s="327">
        <v>15</v>
      </c>
      <c r="BL172" s="327">
        <v>4</v>
      </c>
      <c r="BM172" s="325" t="s">
        <v>475</v>
      </c>
      <c r="BN172" s="325" t="s">
        <v>475</v>
      </c>
      <c r="BO172" s="326"/>
      <c r="BP172" s="326"/>
      <c r="BQ172" s="325" t="s">
        <v>480</v>
      </c>
    </row>
    <row r="173" spans="1:69" ht="12" customHeight="1">
      <c r="A173" s="320">
        <v>315</v>
      </c>
      <c r="B173" s="336" t="s">
        <v>767</v>
      </c>
      <c r="C173" s="325" t="s">
        <v>745</v>
      </c>
      <c r="D173" s="336" t="s">
        <v>777</v>
      </c>
      <c r="E173" s="328">
        <v>112</v>
      </c>
      <c r="F173" s="365">
        <v>8</v>
      </c>
      <c r="G173" s="325">
        <v>1.5</v>
      </c>
      <c r="H173" s="325">
        <v>1.7999999999999998</v>
      </c>
      <c r="I173" s="325">
        <v>690</v>
      </c>
      <c r="J173" s="325">
        <v>828</v>
      </c>
      <c r="K173" s="328"/>
      <c r="L173" s="381">
        <v>4.22</v>
      </c>
      <c r="M173" s="331">
        <f t="shared" si="74"/>
        <v>4.4034782608695648</v>
      </c>
      <c r="N173" s="332">
        <v>0.7</v>
      </c>
      <c r="O173" s="339">
        <v>74</v>
      </c>
      <c r="P173" s="328"/>
      <c r="Q173" s="328"/>
      <c r="R173" s="332">
        <v>0.7</v>
      </c>
      <c r="S173" s="339">
        <v>74</v>
      </c>
      <c r="T173" s="328"/>
      <c r="U173" s="328"/>
      <c r="V173" s="339">
        <v>5</v>
      </c>
      <c r="W173" s="339">
        <v>2</v>
      </c>
      <c r="X173" s="339">
        <v>1.8</v>
      </c>
      <c r="Y173" s="328"/>
      <c r="Z173" s="328"/>
      <c r="AA173" s="328"/>
      <c r="AB173" s="329">
        <v>2.4500000000000001E-2</v>
      </c>
      <c r="AC173" s="328">
        <v>55</v>
      </c>
      <c r="AD173" s="325">
        <v>28</v>
      </c>
      <c r="AE173" s="328"/>
      <c r="AF173" s="328"/>
      <c r="AG173" s="328"/>
      <c r="AH173" s="327">
        <v>190</v>
      </c>
      <c r="AI173" s="327">
        <v>140</v>
      </c>
      <c r="AJ173" s="327">
        <v>70</v>
      </c>
      <c r="AK173" s="327">
        <v>28</v>
      </c>
      <c r="AL173" s="327">
        <v>60</v>
      </c>
      <c r="AM173" s="327">
        <v>8</v>
      </c>
      <c r="AN173" s="327">
        <v>24</v>
      </c>
      <c r="AO173" s="327" t="s">
        <v>246</v>
      </c>
      <c r="AP173" s="327">
        <v>112</v>
      </c>
      <c r="AQ173" s="327">
        <v>12</v>
      </c>
      <c r="AR173" s="327">
        <v>230</v>
      </c>
      <c r="AS173" s="327">
        <v>240</v>
      </c>
      <c r="AT173" s="327">
        <v>178</v>
      </c>
      <c r="AU173" s="327">
        <v>290</v>
      </c>
      <c r="AV173" s="327">
        <v>400</v>
      </c>
      <c r="AW173" s="328">
        <v>450</v>
      </c>
      <c r="AX173" s="327">
        <v>130</v>
      </c>
      <c r="AY173" s="327">
        <v>110</v>
      </c>
      <c r="AZ173" s="327">
        <v>160</v>
      </c>
      <c r="BA173" s="327" t="s">
        <v>245</v>
      </c>
      <c r="BB173" s="327">
        <v>3.5</v>
      </c>
      <c r="BC173" s="327">
        <v>165</v>
      </c>
      <c r="BD173" s="327">
        <v>130</v>
      </c>
      <c r="BE173" s="327">
        <v>200</v>
      </c>
      <c r="BF173" s="327" t="s">
        <v>246</v>
      </c>
      <c r="BG173" s="327">
        <v>3.5</v>
      </c>
      <c r="BH173" s="327">
        <v>215</v>
      </c>
      <c r="BI173" s="327">
        <v>180</v>
      </c>
      <c r="BJ173" s="327">
        <v>250</v>
      </c>
      <c r="BK173" s="327">
        <v>15</v>
      </c>
      <c r="BL173" s="327">
        <v>4</v>
      </c>
      <c r="BM173" s="325" t="s">
        <v>683</v>
      </c>
      <c r="BN173" s="325" t="s">
        <v>683</v>
      </c>
      <c r="BO173" s="340" t="s">
        <v>682</v>
      </c>
      <c r="BP173" s="340" t="s">
        <v>682</v>
      </c>
      <c r="BQ173" s="325" t="s">
        <v>464</v>
      </c>
    </row>
    <row r="174" spans="1:69" ht="12" customHeight="1">
      <c r="A174" s="320">
        <v>316</v>
      </c>
      <c r="B174" s="336" t="s">
        <v>746</v>
      </c>
      <c r="C174" s="325" t="s">
        <v>745</v>
      </c>
      <c r="D174" s="336" t="s">
        <v>776</v>
      </c>
      <c r="E174" s="328">
        <v>112</v>
      </c>
      <c r="F174" s="328">
        <v>8</v>
      </c>
      <c r="G174" s="325">
        <v>1.5</v>
      </c>
      <c r="H174" s="325">
        <v>1.7999999999999998</v>
      </c>
      <c r="I174" s="325">
        <v>690</v>
      </c>
      <c r="J174" s="325">
        <v>828</v>
      </c>
      <c r="K174" s="328"/>
      <c r="L174" s="332">
        <v>4.18</v>
      </c>
      <c r="M174" s="331">
        <f t="shared" si="74"/>
        <v>4.3617391304347821</v>
      </c>
      <c r="N174" s="332">
        <v>0.69</v>
      </c>
      <c r="O174" s="339">
        <v>75</v>
      </c>
      <c r="P174" s="328"/>
      <c r="Q174" s="328"/>
      <c r="R174" s="332">
        <v>0.69</v>
      </c>
      <c r="S174" s="339">
        <v>75</v>
      </c>
      <c r="T174" s="328"/>
      <c r="U174" s="328"/>
      <c r="V174" s="339">
        <v>5</v>
      </c>
      <c r="W174" s="339">
        <v>1.8</v>
      </c>
      <c r="X174" s="339">
        <v>2</v>
      </c>
      <c r="Y174" s="328"/>
      <c r="Z174" s="328"/>
      <c r="AA174" s="328"/>
      <c r="AB174" s="329">
        <v>1.4E-2</v>
      </c>
      <c r="AC174" s="328">
        <v>55</v>
      </c>
      <c r="AD174" s="325">
        <v>40</v>
      </c>
      <c r="AE174" s="328"/>
      <c r="AF174" s="328"/>
      <c r="AG174" s="328"/>
      <c r="AH174" s="327">
        <v>190</v>
      </c>
      <c r="AI174" s="327">
        <v>140</v>
      </c>
      <c r="AJ174" s="327">
        <v>70</v>
      </c>
      <c r="AK174" s="327">
        <v>28</v>
      </c>
      <c r="AL174" s="327">
        <v>60</v>
      </c>
      <c r="AM174" s="327">
        <v>8</v>
      </c>
      <c r="AN174" s="327">
        <v>24</v>
      </c>
      <c r="AO174" s="327" t="s">
        <v>246</v>
      </c>
      <c r="AP174" s="327">
        <v>112</v>
      </c>
      <c r="AQ174" s="327">
        <v>12</v>
      </c>
      <c r="AR174" s="327">
        <v>230</v>
      </c>
      <c r="AS174" s="327">
        <v>240</v>
      </c>
      <c r="AT174" s="327">
        <v>220</v>
      </c>
      <c r="AU174" s="327">
        <v>325</v>
      </c>
      <c r="AV174" s="327">
        <v>400</v>
      </c>
      <c r="AW174" s="327">
        <v>450</v>
      </c>
      <c r="AX174" s="327">
        <v>130</v>
      </c>
      <c r="AY174" s="327">
        <v>110</v>
      </c>
      <c r="AZ174" s="327">
        <v>160</v>
      </c>
      <c r="BA174" s="327" t="s">
        <v>245</v>
      </c>
      <c r="BB174" s="327">
        <v>3.5</v>
      </c>
      <c r="BC174" s="327">
        <v>165</v>
      </c>
      <c r="BD174" s="327">
        <v>130</v>
      </c>
      <c r="BE174" s="327">
        <v>200</v>
      </c>
      <c r="BF174" s="327" t="s">
        <v>246</v>
      </c>
      <c r="BG174" s="327">
        <v>3.5</v>
      </c>
      <c r="BH174" s="327">
        <v>215</v>
      </c>
      <c r="BI174" s="327">
        <v>180</v>
      </c>
      <c r="BJ174" s="327">
        <v>250</v>
      </c>
      <c r="BK174" s="327">
        <v>15</v>
      </c>
      <c r="BL174" s="327">
        <v>4</v>
      </c>
      <c r="BM174" s="325" t="s">
        <v>475</v>
      </c>
      <c r="BN174" s="325" t="s">
        <v>475</v>
      </c>
      <c r="BO174" s="326"/>
      <c r="BP174" s="326"/>
      <c r="BQ174" s="325" t="s">
        <v>464</v>
      </c>
    </row>
    <row r="175" spans="1:69" ht="12" customHeight="1">
      <c r="A175" s="320">
        <v>317</v>
      </c>
      <c r="B175" s="336" t="s">
        <v>767</v>
      </c>
      <c r="C175" s="325" t="s">
        <v>745</v>
      </c>
      <c r="D175" s="336" t="s">
        <v>775</v>
      </c>
      <c r="E175" s="328">
        <v>132</v>
      </c>
      <c r="F175" s="365">
        <v>8</v>
      </c>
      <c r="G175" s="325">
        <v>2.2000000000000002</v>
      </c>
      <c r="H175" s="325">
        <v>2.64</v>
      </c>
      <c r="I175" s="325">
        <v>710</v>
      </c>
      <c r="J175" s="325">
        <v>852</v>
      </c>
      <c r="K175" s="328"/>
      <c r="L175" s="381">
        <v>5.7</v>
      </c>
      <c r="M175" s="331">
        <f t="shared" si="74"/>
        <v>5.947826086956522</v>
      </c>
      <c r="N175" s="325">
        <v>0.71</v>
      </c>
      <c r="O175" s="339">
        <v>79</v>
      </c>
      <c r="P175" s="328"/>
      <c r="Q175" s="328"/>
      <c r="R175" s="325">
        <v>0.71</v>
      </c>
      <c r="S175" s="339">
        <v>79</v>
      </c>
      <c r="T175" s="328"/>
      <c r="U175" s="328"/>
      <c r="V175" s="339">
        <v>6</v>
      </c>
      <c r="W175" s="339">
        <v>2</v>
      </c>
      <c r="X175" s="339">
        <v>1.8</v>
      </c>
      <c r="Y175" s="328"/>
      <c r="Z175" s="328"/>
      <c r="AA175" s="328"/>
      <c r="AB175" s="329">
        <v>3.1399999999999997E-2</v>
      </c>
      <c r="AC175" s="328">
        <v>55</v>
      </c>
      <c r="AD175" s="325">
        <v>40</v>
      </c>
      <c r="AE175" s="328"/>
      <c r="AF175" s="328"/>
      <c r="AG175" s="328"/>
      <c r="AH175" s="327">
        <v>216</v>
      </c>
      <c r="AI175" s="327">
        <v>140</v>
      </c>
      <c r="AJ175" s="327">
        <v>89</v>
      </c>
      <c r="AK175" s="327">
        <v>38</v>
      </c>
      <c r="AL175" s="327">
        <v>80</v>
      </c>
      <c r="AM175" s="327">
        <v>10</v>
      </c>
      <c r="AN175" s="327">
        <v>33</v>
      </c>
      <c r="AO175" s="327" t="s">
        <v>247</v>
      </c>
      <c r="AP175" s="327">
        <v>132</v>
      </c>
      <c r="AQ175" s="327">
        <v>12</v>
      </c>
      <c r="AR175" s="327">
        <v>270</v>
      </c>
      <c r="AS175" s="327">
        <v>275</v>
      </c>
      <c r="AT175" s="327">
        <v>206</v>
      </c>
      <c r="AU175" s="327">
        <v>340</v>
      </c>
      <c r="AV175" s="327">
        <v>483</v>
      </c>
      <c r="AW175" s="328">
        <v>533</v>
      </c>
      <c r="AX175" s="327">
        <v>165</v>
      </c>
      <c r="AY175" s="327">
        <v>130</v>
      </c>
      <c r="AZ175" s="327">
        <v>200</v>
      </c>
      <c r="BA175" s="327" t="s">
        <v>246</v>
      </c>
      <c r="BB175" s="327">
        <v>3.5</v>
      </c>
      <c r="BC175" s="327">
        <v>215</v>
      </c>
      <c r="BD175" s="327">
        <v>180</v>
      </c>
      <c r="BE175" s="327">
        <v>250</v>
      </c>
      <c r="BF175" s="327" t="s">
        <v>247</v>
      </c>
      <c r="BG175" s="327">
        <v>4</v>
      </c>
      <c r="BH175" s="327">
        <v>265</v>
      </c>
      <c r="BI175" s="327">
        <v>230</v>
      </c>
      <c r="BJ175" s="327">
        <v>300</v>
      </c>
      <c r="BK175" s="327">
        <v>15</v>
      </c>
      <c r="BL175" s="327">
        <v>4</v>
      </c>
      <c r="BM175" s="325" t="s">
        <v>678</v>
      </c>
      <c r="BN175" s="325" t="s">
        <v>678</v>
      </c>
      <c r="BO175" s="340" t="s">
        <v>677</v>
      </c>
      <c r="BP175" s="340" t="s">
        <v>677</v>
      </c>
      <c r="BQ175" s="325" t="s">
        <v>464</v>
      </c>
    </row>
    <row r="176" spans="1:69" ht="12" customHeight="1">
      <c r="A176" s="320">
        <v>318</v>
      </c>
      <c r="B176" s="336" t="s">
        <v>746</v>
      </c>
      <c r="C176" s="325" t="s">
        <v>745</v>
      </c>
      <c r="D176" s="336" t="s">
        <v>774</v>
      </c>
      <c r="E176" s="328">
        <v>132</v>
      </c>
      <c r="F176" s="328">
        <v>8</v>
      </c>
      <c r="G176" s="325">
        <v>2.2000000000000002</v>
      </c>
      <c r="H176" s="325">
        <v>2.64</v>
      </c>
      <c r="I176" s="325">
        <v>705</v>
      </c>
      <c r="J176" s="325">
        <v>846</v>
      </c>
      <c r="K176" s="328"/>
      <c r="L176" s="332">
        <v>5.73</v>
      </c>
      <c r="M176" s="331">
        <f t="shared" si="74"/>
        <v>5.9791304347826086</v>
      </c>
      <c r="N176" s="332">
        <v>0.71</v>
      </c>
      <c r="O176" s="339">
        <v>78</v>
      </c>
      <c r="P176" s="328"/>
      <c r="Q176" s="328"/>
      <c r="R176" s="332">
        <v>0.71</v>
      </c>
      <c r="S176" s="339">
        <v>78</v>
      </c>
      <c r="T176" s="328"/>
      <c r="U176" s="328"/>
      <c r="V176" s="339">
        <v>6</v>
      </c>
      <c r="W176" s="339">
        <v>1.8</v>
      </c>
      <c r="X176" s="339">
        <v>2</v>
      </c>
      <c r="Y176" s="328"/>
      <c r="Z176" s="328"/>
      <c r="AA176" s="328"/>
      <c r="AB176" s="329">
        <v>3.2000000000000001E-2</v>
      </c>
      <c r="AC176" s="328">
        <v>55</v>
      </c>
      <c r="AD176" s="325">
        <v>58</v>
      </c>
      <c r="AE176" s="328"/>
      <c r="AF176" s="328"/>
      <c r="AG176" s="328"/>
      <c r="AH176" s="327">
        <v>216</v>
      </c>
      <c r="AI176" s="327">
        <v>140</v>
      </c>
      <c r="AJ176" s="327">
        <v>89</v>
      </c>
      <c r="AK176" s="327">
        <v>38</v>
      </c>
      <c r="AL176" s="327">
        <v>80</v>
      </c>
      <c r="AM176" s="327">
        <v>10</v>
      </c>
      <c r="AN176" s="327">
        <v>33</v>
      </c>
      <c r="AO176" s="327" t="s">
        <v>247</v>
      </c>
      <c r="AP176" s="327">
        <v>132</v>
      </c>
      <c r="AQ176" s="327">
        <v>12</v>
      </c>
      <c r="AR176" s="327">
        <v>270</v>
      </c>
      <c r="AS176" s="327">
        <v>275</v>
      </c>
      <c r="AT176" s="327">
        <v>240</v>
      </c>
      <c r="AU176" s="327">
        <v>365</v>
      </c>
      <c r="AV176" s="327">
        <v>470</v>
      </c>
      <c r="AW176" s="327">
        <v>520</v>
      </c>
      <c r="AX176" s="327">
        <v>165</v>
      </c>
      <c r="AY176" s="327">
        <v>130</v>
      </c>
      <c r="AZ176" s="327">
        <v>200</v>
      </c>
      <c r="BA176" s="327" t="s">
        <v>246</v>
      </c>
      <c r="BB176" s="327">
        <v>3.5</v>
      </c>
      <c r="BC176" s="327">
        <v>215</v>
      </c>
      <c r="BD176" s="327">
        <v>180</v>
      </c>
      <c r="BE176" s="327">
        <v>250</v>
      </c>
      <c r="BF176" s="327" t="s">
        <v>247</v>
      </c>
      <c r="BG176" s="327">
        <v>4</v>
      </c>
      <c r="BH176" s="327">
        <v>265</v>
      </c>
      <c r="BI176" s="327">
        <v>230</v>
      </c>
      <c r="BJ176" s="327">
        <v>300</v>
      </c>
      <c r="BK176" s="327">
        <v>15</v>
      </c>
      <c r="BL176" s="327">
        <v>4</v>
      </c>
      <c r="BM176" s="325" t="s">
        <v>465</v>
      </c>
      <c r="BN176" s="325" t="s">
        <v>465</v>
      </c>
      <c r="BO176" s="326"/>
      <c r="BP176" s="326"/>
      <c r="BQ176" s="325" t="s">
        <v>464</v>
      </c>
    </row>
    <row r="177" spans="1:69" ht="12" customHeight="1">
      <c r="A177" s="320">
        <v>319</v>
      </c>
      <c r="B177" s="336" t="s">
        <v>767</v>
      </c>
      <c r="C177" s="325" t="s">
        <v>745</v>
      </c>
      <c r="D177" s="336" t="s">
        <v>773</v>
      </c>
      <c r="E177" s="328">
        <v>132</v>
      </c>
      <c r="F177" s="365">
        <v>8</v>
      </c>
      <c r="G177" s="325">
        <v>3</v>
      </c>
      <c r="H177" s="325">
        <v>3.5999999999999996</v>
      </c>
      <c r="I177" s="325">
        <v>710</v>
      </c>
      <c r="J177" s="325">
        <v>852</v>
      </c>
      <c r="K177" s="328"/>
      <c r="L177" s="381">
        <v>7.4</v>
      </c>
      <c r="M177" s="331">
        <f t="shared" si="74"/>
        <v>7.7217391304347824</v>
      </c>
      <c r="N177" s="325">
        <v>0.73</v>
      </c>
      <c r="O177" s="339">
        <v>80</v>
      </c>
      <c r="P177" s="328"/>
      <c r="Q177" s="328"/>
      <c r="R177" s="325">
        <v>0.73</v>
      </c>
      <c r="S177" s="339">
        <v>80</v>
      </c>
      <c r="T177" s="328"/>
      <c r="U177" s="328"/>
      <c r="V177" s="339">
        <v>6</v>
      </c>
      <c r="W177" s="339">
        <v>2</v>
      </c>
      <c r="X177" s="339">
        <v>1.8</v>
      </c>
      <c r="Y177" s="328"/>
      <c r="Z177" s="328"/>
      <c r="AA177" s="328"/>
      <c r="AB177" s="329">
        <v>3.95E-2</v>
      </c>
      <c r="AC177" s="328">
        <v>55</v>
      </c>
      <c r="AD177" s="325">
        <v>45</v>
      </c>
      <c r="AE177" s="328"/>
      <c r="AF177" s="328"/>
      <c r="AG177" s="328"/>
      <c r="AH177" s="327">
        <v>216</v>
      </c>
      <c r="AI177" s="327">
        <v>178</v>
      </c>
      <c r="AJ177" s="327">
        <v>89</v>
      </c>
      <c r="AK177" s="327">
        <v>38</v>
      </c>
      <c r="AL177" s="327">
        <v>80</v>
      </c>
      <c r="AM177" s="327">
        <v>10</v>
      </c>
      <c r="AN177" s="327">
        <v>33</v>
      </c>
      <c r="AO177" s="327" t="s">
        <v>247</v>
      </c>
      <c r="AP177" s="327">
        <v>132</v>
      </c>
      <c r="AQ177" s="327">
        <v>12</v>
      </c>
      <c r="AR177" s="327">
        <v>270</v>
      </c>
      <c r="AS177" s="327">
        <v>275</v>
      </c>
      <c r="AT177" s="327">
        <v>206</v>
      </c>
      <c r="AU177" s="327">
        <v>340</v>
      </c>
      <c r="AV177" s="327">
        <v>510</v>
      </c>
      <c r="AW177" s="328">
        <v>560</v>
      </c>
      <c r="AX177" s="327">
        <v>165</v>
      </c>
      <c r="AY177" s="327">
        <v>130</v>
      </c>
      <c r="AZ177" s="327">
        <v>200</v>
      </c>
      <c r="BA177" s="327" t="s">
        <v>246</v>
      </c>
      <c r="BB177" s="327">
        <v>3.5</v>
      </c>
      <c r="BC177" s="327">
        <v>215</v>
      </c>
      <c r="BD177" s="327">
        <v>180</v>
      </c>
      <c r="BE177" s="327">
        <v>250</v>
      </c>
      <c r="BF177" s="327" t="s">
        <v>247</v>
      </c>
      <c r="BG177" s="327">
        <v>4</v>
      </c>
      <c r="BH177" s="327">
        <v>265</v>
      </c>
      <c r="BI177" s="327">
        <v>230</v>
      </c>
      <c r="BJ177" s="327">
        <v>300</v>
      </c>
      <c r="BK177" s="327">
        <v>15</v>
      </c>
      <c r="BL177" s="327">
        <v>4</v>
      </c>
      <c r="BM177" s="325" t="s">
        <v>678</v>
      </c>
      <c r="BN177" s="325" t="s">
        <v>678</v>
      </c>
      <c r="BO177" s="340" t="s">
        <v>677</v>
      </c>
      <c r="BP177" s="340" t="s">
        <v>677</v>
      </c>
      <c r="BQ177" s="325" t="s">
        <v>464</v>
      </c>
    </row>
    <row r="178" spans="1:69" ht="12" customHeight="1">
      <c r="A178" s="320">
        <v>320</v>
      </c>
      <c r="B178" s="336" t="s">
        <v>746</v>
      </c>
      <c r="C178" s="325" t="s">
        <v>745</v>
      </c>
      <c r="D178" s="336" t="s">
        <v>772</v>
      </c>
      <c r="E178" s="328">
        <v>132</v>
      </c>
      <c r="F178" s="328">
        <v>8</v>
      </c>
      <c r="G178" s="325">
        <v>3</v>
      </c>
      <c r="H178" s="325">
        <v>3.5999999999999996</v>
      </c>
      <c r="I178" s="325">
        <v>705</v>
      </c>
      <c r="J178" s="325">
        <v>846</v>
      </c>
      <c r="K178" s="328"/>
      <c r="L178" s="339">
        <v>7.5</v>
      </c>
      <c r="M178" s="331">
        <f t="shared" si="74"/>
        <v>7.8260869565217392</v>
      </c>
      <c r="N178" s="332">
        <v>0.73</v>
      </c>
      <c r="O178" s="339">
        <v>79</v>
      </c>
      <c r="P178" s="328"/>
      <c r="Q178" s="328"/>
      <c r="R178" s="332">
        <v>0.73</v>
      </c>
      <c r="S178" s="339">
        <v>79</v>
      </c>
      <c r="T178" s="328"/>
      <c r="U178" s="328"/>
      <c r="V178" s="339">
        <v>6</v>
      </c>
      <c r="W178" s="339">
        <v>1.8</v>
      </c>
      <c r="X178" s="339">
        <v>2</v>
      </c>
      <c r="Y178" s="328"/>
      <c r="Z178" s="328"/>
      <c r="AA178" s="328"/>
      <c r="AB178" s="329">
        <v>3.9199999999999999E-2</v>
      </c>
      <c r="AC178" s="328">
        <v>55</v>
      </c>
      <c r="AD178" s="325">
        <v>68</v>
      </c>
      <c r="AE178" s="328"/>
      <c r="AF178" s="328"/>
      <c r="AG178" s="328"/>
      <c r="AH178" s="327">
        <v>216</v>
      </c>
      <c r="AI178" s="327">
        <v>178</v>
      </c>
      <c r="AJ178" s="327">
        <v>89</v>
      </c>
      <c r="AK178" s="327">
        <v>38</v>
      </c>
      <c r="AL178" s="327">
        <v>80</v>
      </c>
      <c r="AM178" s="327">
        <v>10</v>
      </c>
      <c r="AN178" s="327">
        <v>33</v>
      </c>
      <c r="AO178" s="327" t="s">
        <v>247</v>
      </c>
      <c r="AP178" s="327">
        <v>132</v>
      </c>
      <c r="AQ178" s="327">
        <v>12</v>
      </c>
      <c r="AR178" s="327">
        <v>270</v>
      </c>
      <c r="AS178" s="327">
        <v>275</v>
      </c>
      <c r="AT178" s="327">
        <v>240</v>
      </c>
      <c r="AU178" s="327">
        <v>365</v>
      </c>
      <c r="AV178" s="327">
        <v>510</v>
      </c>
      <c r="AW178" s="327">
        <v>560</v>
      </c>
      <c r="AX178" s="327">
        <v>165</v>
      </c>
      <c r="AY178" s="327">
        <v>130</v>
      </c>
      <c r="AZ178" s="327">
        <v>200</v>
      </c>
      <c r="BA178" s="327" t="s">
        <v>246</v>
      </c>
      <c r="BB178" s="327">
        <v>3.5</v>
      </c>
      <c r="BC178" s="327">
        <v>215</v>
      </c>
      <c r="BD178" s="327">
        <v>180</v>
      </c>
      <c r="BE178" s="327">
        <v>250</v>
      </c>
      <c r="BF178" s="327" t="s">
        <v>247</v>
      </c>
      <c r="BG178" s="327">
        <v>4</v>
      </c>
      <c r="BH178" s="327">
        <v>265</v>
      </c>
      <c r="BI178" s="327">
        <v>230</v>
      </c>
      <c r="BJ178" s="327">
        <v>300</v>
      </c>
      <c r="BK178" s="327">
        <v>15</v>
      </c>
      <c r="BL178" s="327">
        <v>4</v>
      </c>
      <c r="BM178" s="325" t="s">
        <v>465</v>
      </c>
      <c r="BN178" s="325" t="s">
        <v>465</v>
      </c>
      <c r="BO178" s="326"/>
      <c r="BP178" s="326"/>
      <c r="BQ178" s="325" t="s">
        <v>464</v>
      </c>
    </row>
    <row r="179" spans="1:69" ht="12" customHeight="1">
      <c r="A179" s="320">
        <v>321</v>
      </c>
      <c r="B179" s="336" t="s">
        <v>767</v>
      </c>
      <c r="C179" s="325" t="s">
        <v>745</v>
      </c>
      <c r="D179" s="336" t="s">
        <v>771</v>
      </c>
      <c r="E179" s="328">
        <v>160</v>
      </c>
      <c r="F179" s="365">
        <v>8</v>
      </c>
      <c r="G179" s="325">
        <v>4</v>
      </c>
      <c r="H179" s="325">
        <v>4.8</v>
      </c>
      <c r="I179" s="325">
        <v>720</v>
      </c>
      <c r="J179" s="325">
        <v>864</v>
      </c>
      <c r="K179" s="328"/>
      <c r="L179" s="381">
        <v>9.7799999999999994</v>
      </c>
      <c r="M179" s="331">
        <f t="shared" si="74"/>
        <v>10.205217391304346</v>
      </c>
      <c r="N179" s="325">
        <v>0.73</v>
      </c>
      <c r="O179" s="339">
        <v>81</v>
      </c>
      <c r="P179" s="328"/>
      <c r="Q179" s="328"/>
      <c r="R179" s="325">
        <v>0.73</v>
      </c>
      <c r="S179" s="339">
        <v>81</v>
      </c>
      <c r="T179" s="328"/>
      <c r="U179" s="328"/>
      <c r="V179" s="339">
        <v>6</v>
      </c>
      <c r="W179" s="339">
        <v>2</v>
      </c>
      <c r="X179" s="339">
        <v>1.9</v>
      </c>
      <c r="Y179" s="328"/>
      <c r="Z179" s="328"/>
      <c r="AA179" s="328"/>
      <c r="AB179" s="329">
        <v>7.5300000000000006E-2</v>
      </c>
      <c r="AC179" s="328">
        <v>61</v>
      </c>
      <c r="AD179" s="325">
        <v>69</v>
      </c>
      <c r="AE179" s="328"/>
      <c r="AF179" s="328"/>
      <c r="AG179" s="328"/>
      <c r="AH179" s="327">
        <v>254</v>
      </c>
      <c r="AI179" s="327">
        <v>210</v>
      </c>
      <c r="AJ179" s="327">
        <v>108</v>
      </c>
      <c r="AK179" s="327">
        <v>42</v>
      </c>
      <c r="AL179" s="327">
        <v>110</v>
      </c>
      <c r="AM179" s="327">
        <v>12</v>
      </c>
      <c r="AN179" s="327">
        <v>37</v>
      </c>
      <c r="AO179" s="327" t="s">
        <v>248</v>
      </c>
      <c r="AP179" s="327">
        <v>160</v>
      </c>
      <c r="AQ179" s="327">
        <v>15</v>
      </c>
      <c r="AR179" s="327">
        <v>320</v>
      </c>
      <c r="AS179" s="327">
        <v>330</v>
      </c>
      <c r="AT179" s="327">
        <v>255</v>
      </c>
      <c r="AU179" s="327">
        <v>415</v>
      </c>
      <c r="AV179" s="327">
        <v>615</v>
      </c>
      <c r="AW179" s="328">
        <v>665</v>
      </c>
      <c r="AX179" s="327">
        <v>215</v>
      </c>
      <c r="AY179" s="327">
        <v>180</v>
      </c>
      <c r="AZ179" s="327">
        <v>250</v>
      </c>
      <c r="BA179" s="327" t="s">
        <v>247</v>
      </c>
      <c r="BB179" s="327">
        <v>4</v>
      </c>
      <c r="BC179" s="327">
        <v>265</v>
      </c>
      <c r="BD179" s="327">
        <v>230</v>
      </c>
      <c r="BE179" s="327">
        <v>300</v>
      </c>
      <c r="BF179" s="327" t="s">
        <v>248</v>
      </c>
      <c r="BG179" s="327">
        <v>5</v>
      </c>
      <c r="BH179" s="327">
        <v>300</v>
      </c>
      <c r="BI179" s="327">
        <v>250</v>
      </c>
      <c r="BJ179" s="327">
        <v>350</v>
      </c>
      <c r="BK179" s="327">
        <v>19</v>
      </c>
      <c r="BL179" s="327">
        <v>5</v>
      </c>
      <c r="BM179" s="325" t="s">
        <v>672</v>
      </c>
      <c r="BN179" s="325" t="s">
        <v>672</v>
      </c>
      <c r="BO179" s="340" t="s">
        <v>671</v>
      </c>
      <c r="BP179" s="340" t="s">
        <v>671</v>
      </c>
      <c r="BQ179" s="325" t="s">
        <v>450</v>
      </c>
    </row>
    <row r="180" spans="1:69" ht="12" customHeight="1">
      <c r="A180" s="320">
        <v>322</v>
      </c>
      <c r="B180" s="336" t="s">
        <v>746</v>
      </c>
      <c r="C180" s="325" t="s">
        <v>745</v>
      </c>
      <c r="D180" s="336" t="s">
        <v>770</v>
      </c>
      <c r="E180" s="328">
        <v>160</v>
      </c>
      <c r="F180" s="328">
        <v>8</v>
      </c>
      <c r="G180" s="325">
        <v>4</v>
      </c>
      <c r="H180" s="325">
        <v>4.8</v>
      </c>
      <c r="I180" s="325">
        <v>720</v>
      </c>
      <c r="J180" s="325">
        <v>864</v>
      </c>
      <c r="K180" s="328"/>
      <c r="L180" s="332">
        <v>9.76</v>
      </c>
      <c r="M180" s="331">
        <f t="shared" si="74"/>
        <v>10.184347826086958</v>
      </c>
      <c r="N180" s="332">
        <v>0.73</v>
      </c>
      <c r="O180" s="339">
        <v>81</v>
      </c>
      <c r="P180" s="328"/>
      <c r="Q180" s="328"/>
      <c r="R180" s="332">
        <v>0.73</v>
      </c>
      <c r="S180" s="339">
        <v>81</v>
      </c>
      <c r="T180" s="328"/>
      <c r="U180" s="328"/>
      <c r="V180" s="339">
        <v>6</v>
      </c>
      <c r="W180" s="339">
        <v>1.9</v>
      </c>
      <c r="X180" s="339">
        <v>2</v>
      </c>
      <c r="Y180" s="328"/>
      <c r="Z180" s="328"/>
      <c r="AA180" s="328"/>
      <c r="AB180" s="329">
        <v>6.3500000000000001E-2</v>
      </c>
      <c r="AC180" s="328">
        <v>61</v>
      </c>
      <c r="AD180" s="325">
        <v>98</v>
      </c>
      <c r="AE180" s="328"/>
      <c r="AF180" s="328"/>
      <c r="AG180" s="328"/>
      <c r="AH180" s="327">
        <v>254</v>
      </c>
      <c r="AI180" s="327">
        <v>210</v>
      </c>
      <c r="AJ180" s="327">
        <v>108</v>
      </c>
      <c r="AK180" s="327">
        <v>42</v>
      </c>
      <c r="AL180" s="327">
        <v>110</v>
      </c>
      <c r="AM180" s="327">
        <v>12</v>
      </c>
      <c r="AN180" s="327">
        <v>37</v>
      </c>
      <c r="AO180" s="327" t="s">
        <v>248</v>
      </c>
      <c r="AP180" s="327">
        <v>160</v>
      </c>
      <c r="AQ180" s="327">
        <v>15</v>
      </c>
      <c r="AR180" s="327">
        <v>320</v>
      </c>
      <c r="AS180" s="327">
        <v>320</v>
      </c>
      <c r="AT180" s="327">
        <v>285</v>
      </c>
      <c r="AU180" s="327">
        <v>440</v>
      </c>
      <c r="AV180" s="327">
        <v>620</v>
      </c>
      <c r="AW180" s="327">
        <v>670</v>
      </c>
      <c r="AX180" s="328"/>
      <c r="AY180" s="328"/>
      <c r="AZ180" s="328"/>
      <c r="BA180" s="328"/>
      <c r="BB180" s="328"/>
      <c r="BC180" s="328"/>
      <c r="BD180" s="328"/>
      <c r="BE180" s="328"/>
      <c r="BF180" s="328"/>
      <c r="BG180" s="328"/>
      <c r="BH180" s="327">
        <v>300</v>
      </c>
      <c r="BI180" s="327">
        <v>250</v>
      </c>
      <c r="BJ180" s="327">
        <v>350</v>
      </c>
      <c r="BK180" s="327">
        <v>19</v>
      </c>
      <c r="BL180" s="327">
        <v>5</v>
      </c>
      <c r="BM180" s="325" t="s">
        <v>457</v>
      </c>
      <c r="BN180" s="325" t="s">
        <v>457</v>
      </c>
      <c r="BO180" s="341" t="s">
        <v>456</v>
      </c>
      <c r="BP180" s="341" t="s">
        <v>456</v>
      </c>
      <c r="BQ180" s="325" t="s">
        <v>450</v>
      </c>
    </row>
    <row r="181" spans="1:69" ht="12" customHeight="1">
      <c r="A181" s="320">
        <v>323</v>
      </c>
      <c r="B181" s="336" t="s">
        <v>767</v>
      </c>
      <c r="C181" s="325" t="s">
        <v>745</v>
      </c>
      <c r="D181" s="336" t="s">
        <v>769</v>
      </c>
      <c r="E181" s="328">
        <v>160</v>
      </c>
      <c r="F181" s="365">
        <v>8</v>
      </c>
      <c r="G181" s="325">
        <v>5.5</v>
      </c>
      <c r="H181" s="325">
        <v>6.6</v>
      </c>
      <c r="I181" s="325">
        <v>720</v>
      </c>
      <c r="J181" s="325">
        <v>864</v>
      </c>
      <c r="K181" s="328"/>
      <c r="L181" s="381">
        <v>12.9</v>
      </c>
      <c r="M181" s="331">
        <f t="shared" si="74"/>
        <v>13.460869565217392</v>
      </c>
      <c r="N181" s="325">
        <v>0.74</v>
      </c>
      <c r="O181" s="339">
        <v>83</v>
      </c>
      <c r="P181" s="328"/>
      <c r="Q181" s="328"/>
      <c r="R181" s="325">
        <v>0.74</v>
      </c>
      <c r="S181" s="339">
        <v>83</v>
      </c>
      <c r="T181" s="328"/>
      <c r="U181" s="328"/>
      <c r="V181" s="339">
        <v>6.5</v>
      </c>
      <c r="W181" s="339">
        <v>2</v>
      </c>
      <c r="X181" s="339">
        <v>2</v>
      </c>
      <c r="Y181" s="328"/>
      <c r="Z181" s="328"/>
      <c r="AA181" s="328"/>
      <c r="AB181" s="329">
        <v>9.3100000000000002E-2</v>
      </c>
      <c r="AC181" s="328">
        <v>61</v>
      </c>
      <c r="AD181" s="325">
        <v>76</v>
      </c>
      <c r="AE181" s="328"/>
      <c r="AF181" s="328"/>
      <c r="AG181" s="328"/>
      <c r="AH181" s="327">
        <v>254</v>
      </c>
      <c r="AI181" s="327">
        <v>210</v>
      </c>
      <c r="AJ181" s="327">
        <v>108</v>
      </c>
      <c r="AK181" s="327">
        <v>42</v>
      </c>
      <c r="AL181" s="327">
        <v>110</v>
      </c>
      <c r="AM181" s="327">
        <v>12</v>
      </c>
      <c r="AN181" s="327">
        <v>37</v>
      </c>
      <c r="AO181" s="327" t="s">
        <v>248</v>
      </c>
      <c r="AP181" s="327">
        <v>160</v>
      </c>
      <c r="AQ181" s="327">
        <v>15</v>
      </c>
      <c r="AR181" s="327">
        <v>320</v>
      </c>
      <c r="AS181" s="327">
        <v>330</v>
      </c>
      <c r="AT181" s="327">
        <v>255</v>
      </c>
      <c r="AU181" s="327">
        <v>415</v>
      </c>
      <c r="AV181" s="327">
        <v>615</v>
      </c>
      <c r="AW181" s="328">
        <v>665</v>
      </c>
      <c r="AX181" s="327">
        <v>215</v>
      </c>
      <c r="AY181" s="327">
        <v>180</v>
      </c>
      <c r="AZ181" s="327">
        <v>250</v>
      </c>
      <c r="BA181" s="327" t="s">
        <v>247</v>
      </c>
      <c r="BB181" s="327">
        <v>4</v>
      </c>
      <c r="BC181" s="327">
        <v>265</v>
      </c>
      <c r="BD181" s="327">
        <v>230</v>
      </c>
      <c r="BE181" s="327">
        <v>300</v>
      </c>
      <c r="BF181" s="327" t="s">
        <v>248</v>
      </c>
      <c r="BG181" s="327">
        <v>5</v>
      </c>
      <c r="BH181" s="327">
        <v>300</v>
      </c>
      <c r="BI181" s="327">
        <v>250</v>
      </c>
      <c r="BJ181" s="327">
        <v>350</v>
      </c>
      <c r="BK181" s="327">
        <v>19</v>
      </c>
      <c r="BL181" s="327">
        <v>5</v>
      </c>
      <c r="BM181" s="325" t="s">
        <v>672</v>
      </c>
      <c r="BN181" s="325" t="s">
        <v>672</v>
      </c>
      <c r="BO181" s="340" t="s">
        <v>671</v>
      </c>
      <c r="BP181" s="340" t="s">
        <v>671</v>
      </c>
      <c r="BQ181" s="325" t="s">
        <v>450</v>
      </c>
    </row>
    <row r="182" spans="1:69" ht="12" customHeight="1">
      <c r="A182" s="320">
        <v>324</v>
      </c>
      <c r="B182" s="336" t="s">
        <v>746</v>
      </c>
      <c r="C182" s="325" t="s">
        <v>745</v>
      </c>
      <c r="D182" s="336" t="s">
        <v>768</v>
      </c>
      <c r="E182" s="328">
        <v>160</v>
      </c>
      <c r="F182" s="328">
        <v>8</v>
      </c>
      <c r="G182" s="325">
        <v>5.5</v>
      </c>
      <c r="H182" s="325">
        <v>6.6</v>
      </c>
      <c r="I182" s="325">
        <v>720</v>
      </c>
      <c r="J182" s="325">
        <v>864</v>
      </c>
      <c r="K182" s="328"/>
      <c r="L182" s="339">
        <v>12.9</v>
      </c>
      <c r="M182" s="331">
        <f t="shared" si="74"/>
        <v>13.460869565217392</v>
      </c>
      <c r="N182" s="332">
        <v>0.74</v>
      </c>
      <c r="O182" s="339">
        <v>83</v>
      </c>
      <c r="P182" s="328"/>
      <c r="Q182" s="328"/>
      <c r="R182" s="332">
        <v>0.74</v>
      </c>
      <c r="S182" s="339">
        <v>83</v>
      </c>
      <c r="T182" s="328"/>
      <c r="U182" s="328"/>
      <c r="V182" s="339">
        <v>6</v>
      </c>
      <c r="W182" s="339">
        <v>2</v>
      </c>
      <c r="X182" s="339">
        <v>2</v>
      </c>
      <c r="Y182" s="328"/>
      <c r="Z182" s="328"/>
      <c r="AA182" s="328"/>
      <c r="AB182" s="329">
        <v>8.9700000000000002E-2</v>
      </c>
      <c r="AC182" s="328">
        <v>61</v>
      </c>
      <c r="AD182" s="325">
        <v>110</v>
      </c>
      <c r="AE182" s="328"/>
      <c r="AF182" s="328"/>
      <c r="AG182" s="328"/>
      <c r="AH182" s="327">
        <v>254</v>
      </c>
      <c r="AI182" s="327">
        <v>210</v>
      </c>
      <c r="AJ182" s="327">
        <v>108</v>
      </c>
      <c r="AK182" s="327">
        <v>42</v>
      </c>
      <c r="AL182" s="327">
        <v>110</v>
      </c>
      <c r="AM182" s="327">
        <v>12</v>
      </c>
      <c r="AN182" s="327">
        <v>37</v>
      </c>
      <c r="AO182" s="327" t="s">
        <v>248</v>
      </c>
      <c r="AP182" s="327">
        <v>160</v>
      </c>
      <c r="AQ182" s="327">
        <v>15</v>
      </c>
      <c r="AR182" s="327">
        <v>320</v>
      </c>
      <c r="AS182" s="327">
        <v>320</v>
      </c>
      <c r="AT182" s="327">
        <v>285</v>
      </c>
      <c r="AU182" s="327">
        <v>440</v>
      </c>
      <c r="AV182" s="327">
        <v>620</v>
      </c>
      <c r="AW182" s="327">
        <v>670</v>
      </c>
      <c r="AX182" s="328"/>
      <c r="AY182" s="328"/>
      <c r="AZ182" s="328"/>
      <c r="BA182" s="328"/>
      <c r="BB182" s="328"/>
      <c r="BC182" s="328"/>
      <c r="BD182" s="328"/>
      <c r="BE182" s="328"/>
      <c r="BF182" s="328"/>
      <c r="BG182" s="328"/>
      <c r="BH182" s="327">
        <v>300</v>
      </c>
      <c r="BI182" s="327">
        <v>250</v>
      </c>
      <c r="BJ182" s="327">
        <v>350</v>
      </c>
      <c r="BK182" s="327">
        <v>19</v>
      </c>
      <c r="BL182" s="327">
        <v>5</v>
      </c>
      <c r="BM182" s="325" t="s">
        <v>457</v>
      </c>
      <c r="BN182" s="325" t="s">
        <v>457</v>
      </c>
      <c r="BO182" s="341" t="s">
        <v>456</v>
      </c>
      <c r="BP182" s="341" t="s">
        <v>456</v>
      </c>
      <c r="BQ182" s="325" t="s">
        <v>450</v>
      </c>
    </row>
    <row r="183" spans="1:69" ht="12" customHeight="1">
      <c r="A183" s="320">
        <v>325</v>
      </c>
      <c r="B183" s="336" t="s">
        <v>767</v>
      </c>
      <c r="C183" s="325" t="s">
        <v>745</v>
      </c>
      <c r="D183" s="336" t="s">
        <v>766</v>
      </c>
      <c r="E183" s="328">
        <v>160</v>
      </c>
      <c r="F183" s="365">
        <v>8</v>
      </c>
      <c r="G183" s="325">
        <v>7.5</v>
      </c>
      <c r="H183" s="325">
        <v>9</v>
      </c>
      <c r="I183" s="325">
        <v>720</v>
      </c>
      <c r="J183" s="325">
        <v>864</v>
      </c>
      <c r="K183" s="328"/>
      <c r="L183" s="381">
        <v>16.899999999999999</v>
      </c>
      <c r="M183" s="331">
        <f t="shared" si="74"/>
        <v>17.634782608695652</v>
      </c>
      <c r="N183" s="325">
        <v>0.75</v>
      </c>
      <c r="O183" s="339">
        <v>85.5</v>
      </c>
      <c r="P183" s="328"/>
      <c r="Q183" s="328"/>
      <c r="R183" s="325">
        <v>0.75</v>
      </c>
      <c r="S183" s="339">
        <v>85.5</v>
      </c>
      <c r="T183" s="328"/>
      <c r="U183" s="328"/>
      <c r="V183" s="339">
        <v>6</v>
      </c>
      <c r="W183" s="339">
        <v>2</v>
      </c>
      <c r="X183" s="339">
        <v>2</v>
      </c>
      <c r="Y183" s="328"/>
      <c r="Z183" s="328"/>
      <c r="AA183" s="328"/>
      <c r="AB183" s="329">
        <v>0.126</v>
      </c>
      <c r="AC183" s="328">
        <v>61</v>
      </c>
      <c r="AD183" s="325">
        <v>86</v>
      </c>
      <c r="AE183" s="328"/>
      <c r="AF183" s="328"/>
      <c r="AG183" s="328"/>
      <c r="AH183" s="327">
        <v>254</v>
      </c>
      <c r="AI183" s="327">
        <v>254</v>
      </c>
      <c r="AJ183" s="327">
        <v>108</v>
      </c>
      <c r="AK183" s="327">
        <v>42</v>
      </c>
      <c r="AL183" s="327">
        <v>110</v>
      </c>
      <c r="AM183" s="327">
        <v>12</v>
      </c>
      <c r="AN183" s="327">
        <v>37</v>
      </c>
      <c r="AO183" s="327" t="s">
        <v>248</v>
      </c>
      <c r="AP183" s="327">
        <v>160</v>
      </c>
      <c r="AQ183" s="327">
        <v>15</v>
      </c>
      <c r="AR183" s="327">
        <v>320</v>
      </c>
      <c r="AS183" s="327">
        <v>330</v>
      </c>
      <c r="AT183" s="327">
        <v>255</v>
      </c>
      <c r="AU183" s="327">
        <v>415</v>
      </c>
      <c r="AV183" s="327">
        <v>670</v>
      </c>
      <c r="AW183" s="328">
        <v>720</v>
      </c>
      <c r="AX183" s="327">
        <v>215</v>
      </c>
      <c r="AY183" s="327">
        <v>180</v>
      </c>
      <c r="AZ183" s="327">
        <v>250</v>
      </c>
      <c r="BA183" s="327" t="s">
        <v>247</v>
      </c>
      <c r="BB183" s="327">
        <v>4</v>
      </c>
      <c r="BC183" s="327">
        <v>265</v>
      </c>
      <c r="BD183" s="327">
        <v>230</v>
      </c>
      <c r="BE183" s="327">
        <v>300</v>
      </c>
      <c r="BF183" s="327" t="s">
        <v>248</v>
      </c>
      <c r="BG183" s="327">
        <v>5</v>
      </c>
      <c r="BH183" s="327">
        <v>300</v>
      </c>
      <c r="BI183" s="327">
        <v>250</v>
      </c>
      <c r="BJ183" s="327">
        <v>350</v>
      </c>
      <c r="BK183" s="327">
        <v>19</v>
      </c>
      <c r="BL183" s="327">
        <v>5</v>
      </c>
      <c r="BM183" s="325" t="s">
        <v>672</v>
      </c>
      <c r="BN183" s="325" t="s">
        <v>672</v>
      </c>
      <c r="BO183" s="340" t="s">
        <v>671</v>
      </c>
      <c r="BP183" s="340" t="s">
        <v>671</v>
      </c>
      <c r="BQ183" s="325" t="s">
        <v>450</v>
      </c>
    </row>
    <row r="184" spans="1:69" ht="12" customHeight="1">
      <c r="A184" s="320">
        <v>326</v>
      </c>
      <c r="B184" s="336" t="s">
        <v>746</v>
      </c>
      <c r="C184" s="325" t="s">
        <v>745</v>
      </c>
      <c r="D184" s="336" t="s">
        <v>765</v>
      </c>
      <c r="E184" s="328">
        <v>160</v>
      </c>
      <c r="F184" s="328">
        <v>8</v>
      </c>
      <c r="G184" s="325">
        <v>7.5</v>
      </c>
      <c r="H184" s="325">
        <v>9</v>
      </c>
      <c r="I184" s="325">
        <v>720</v>
      </c>
      <c r="J184" s="325">
        <v>864</v>
      </c>
      <c r="K184" s="328"/>
      <c r="L184" s="339">
        <v>16.899999999999999</v>
      </c>
      <c r="M184" s="331">
        <f t="shared" si="74"/>
        <v>17.634782608695652</v>
      </c>
      <c r="N184" s="332">
        <v>0.75</v>
      </c>
      <c r="O184" s="339">
        <v>85.5</v>
      </c>
      <c r="P184" s="328"/>
      <c r="Q184" s="328"/>
      <c r="R184" s="332">
        <v>0.75</v>
      </c>
      <c r="S184" s="339">
        <v>85.5</v>
      </c>
      <c r="T184" s="328"/>
      <c r="U184" s="328"/>
      <c r="V184" s="339">
        <v>6</v>
      </c>
      <c r="W184" s="339">
        <v>2</v>
      </c>
      <c r="X184" s="339">
        <v>2</v>
      </c>
      <c r="Y184" s="328"/>
      <c r="Z184" s="328"/>
      <c r="AA184" s="328"/>
      <c r="AB184" s="329">
        <v>0.127</v>
      </c>
      <c r="AC184" s="328">
        <v>61</v>
      </c>
      <c r="AD184" s="325">
        <v>132</v>
      </c>
      <c r="AE184" s="328"/>
      <c r="AF184" s="328"/>
      <c r="AG184" s="328"/>
      <c r="AH184" s="327">
        <v>254</v>
      </c>
      <c r="AI184" s="327">
        <v>254</v>
      </c>
      <c r="AJ184" s="327">
        <v>108</v>
      </c>
      <c r="AK184" s="327">
        <v>42</v>
      </c>
      <c r="AL184" s="327">
        <v>110</v>
      </c>
      <c r="AM184" s="327">
        <v>12</v>
      </c>
      <c r="AN184" s="327">
        <v>37</v>
      </c>
      <c r="AO184" s="327" t="s">
        <v>248</v>
      </c>
      <c r="AP184" s="327">
        <v>160</v>
      </c>
      <c r="AQ184" s="327">
        <v>15</v>
      </c>
      <c r="AR184" s="327">
        <v>320</v>
      </c>
      <c r="AS184" s="327">
        <v>320</v>
      </c>
      <c r="AT184" s="327">
        <v>285</v>
      </c>
      <c r="AU184" s="327">
        <v>440</v>
      </c>
      <c r="AV184" s="327">
        <v>675</v>
      </c>
      <c r="AW184" s="327">
        <v>725</v>
      </c>
      <c r="AX184" s="328"/>
      <c r="AY184" s="328"/>
      <c r="AZ184" s="328"/>
      <c r="BA184" s="328"/>
      <c r="BB184" s="328"/>
      <c r="BC184" s="328"/>
      <c r="BD184" s="328"/>
      <c r="BE184" s="328"/>
      <c r="BF184" s="328"/>
      <c r="BG184" s="328"/>
      <c r="BH184" s="327">
        <v>300</v>
      </c>
      <c r="BI184" s="327">
        <v>250</v>
      </c>
      <c r="BJ184" s="327">
        <v>350</v>
      </c>
      <c r="BK184" s="327">
        <v>19</v>
      </c>
      <c r="BL184" s="327">
        <v>5</v>
      </c>
      <c r="BM184" s="325" t="s">
        <v>457</v>
      </c>
      <c r="BN184" s="325" t="s">
        <v>457</v>
      </c>
      <c r="BO184" s="341" t="s">
        <v>456</v>
      </c>
      <c r="BP184" s="341" t="s">
        <v>456</v>
      </c>
      <c r="BQ184" s="325" t="s">
        <v>450</v>
      </c>
    </row>
    <row r="185" spans="1:69" ht="12" customHeight="1">
      <c r="A185" s="320">
        <v>327</v>
      </c>
      <c r="B185" s="336" t="s">
        <v>746</v>
      </c>
      <c r="C185" s="325" t="s">
        <v>745</v>
      </c>
      <c r="D185" s="336" t="s">
        <v>764</v>
      </c>
      <c r="E185" s="328">
        <v>180</v>
      </c>
      <c r="F185" s="328">
        <v>8</v>
      </c>
      <c r="G185" s="325">
        <v>11</v>
      </c>
      <c r="H185" s="325">
        <v>13.2</v>
      </c>
      <c r="I185" s="325">
        <v>730</v>
      </c>
      <c r="J185" s="325">
        <v>876</v>
      </c>
      <c r="K185" s="328"/>
      <c r="L185" s="339">
        <v>23.9</v>
      </c>
      <c r="M185" s="331">
        <f t="shared" si="74"/>
        <v>24.939130434782609</v>
      </c>
      <c r="N185" s="332">
        <v>0.76</v>
      </c>
      <c r="O185" s="339">
        <v>87.5</v>
      </c>
      <c r="P185" s="328"/>
      <c r="Q185" s="328"/>
      <c r="R185" s="332">
        <v>0.76</v>
      </c>
      <c r="S185" s="339">
        <v>87.5</v>
      </c>
      <c r="T185" s="328"/>
      <c r="U185" s="328"/>
      <c r="V185" s="339">
        <v>6.6</v>
      </c>
      <c r="W185" s="339">
        <v>2</v>
      </c>
      <c r="X185" s="339">
        <v>2</v>
      </c>
      <c r="Y185" s="328"/>
      <c r="Z185" s="328"/>
      <c r="AA185" s="328"/>
      <c r="AB185" s="329">
        <v>0.214</v>
      </c>
      <c r="AC185" s="328">
        <v>64</v>
      </c>
      <c r="AD185" s="325">
        <v>176</v>
      </c>
      <c r="AE185" s="328"/>
      <c r="AF185" s="328"/>
      <c r="AG185" s="328"/>
      <c r="AH185" s="327">
        <v>279</v>
      </c>
      <c r="AI185" s="327">
        <v>279</v>
      </c>
      <c r="AJ185" s="327">
        <v>121</v>
      </c>
      <c r="AK185" s="327">
        <v>48</v>
      </c>
      <c r="AL185" s="327">
        <v>110</v>
      </c>
      <c r="AM185" s="327">
        <v>14</v>
      </c>
      <c r="AN185" s="327">
        <v>42.5</v>
      </c>
      <c r="AO185" s="327" t="s">
        <v>248</v>
      </c>
      <c r="AP185" s="327">
        <v>180</v>
      </c>
      <c r="AQ185" s="327">
        <v>15</v>
      </c>
      <c r="AR185" s="327">
        <v>355</v>
      </c>
      <c r="AS185" s="327">
        <v>380</v>
      </c>
      <c r="AT185" s="327">
        <v>310</v>
      </c>
      <c r="AU185" s="327">
        <v>470</v>
      </c>
      <c r="AV185" s="327">
        <v>740</v>
      </c>
      <c r="AW185" s="327">
        <v>800</v>
      </c>
      <c r="AX185" s="328"/>
      <c r="AY185" s="328"/>
      <c r="AZ185" s="328"/>
      <c r="BA185" s="328"/>
      <c r="BB185" s="328"/>
      <c r="BC185" s="328"/>
      <c r="BD185" s="328"/>
      <c r="BE185" s="328"/>
      <c r="BF185" s="328"/>
      <c r="BG185" s="328"/>
      <c r="BH185" s="327">
        <v>300</v>
      </c>
      <c r="BI185" s="327">
        <v>250</v>
      </c>
      <c r="BJ185" s="327">
        <v>350</v>
      </c>
      <c r="BK185" s="327">
        <v>19</v>
      </c>
      <c r="BL185" s="327">
        <v>5</v>
      </c>
      <c r="BM185" s="325" t="s">
        <v>452</v>
      </c>
      <c r="BN185" s="325" t="s">
        <v>452</v>
      </c>
      <c r="BO185" s="341" t="s">
        <v>451</v>
      </c>
      <c r="BP185" s="341" t="s">
        <v>451</v>
      </c>
      <c r="BQ185" s="325" t="s">
        <v>450</v>
      </c>
    </row>
    <row r="186" spans="1:69" ht="12" customHeight="1">
      <c r="A186" s="320">
        <v>328</v>
      </c>
      <c r="B186" s="336" t="s">
        <v>746</v>
      </c>
      <c r="C186" s="325" t="s">
        <v>745</v>
      </c>
      <c r="D186" s="336" t="s">
        <v>763</v>
      </c>
      <c r="E186" s="328">
        <v>200</v>
      </c>
      <c r="F186" s="328">
        <v>8</v>
      </c>
      <c r="G186" s="325">
        <v>15</v>
      </c>
      <c r="H186" s="325">
        <v>18</v>
      </c>
      <c r="I186" s="325">
        <v>730</v>
      </c>
      <c r="J186" s="325">
        <v>876</v>
      </c>
      <c r="K186" s="328"/>
      <c r="L186" s="339">
        <v>32.4</v>
      </c>
      <c r="M186" s="331">
        <f t="shared" si="74"/>
        <v>33.80869565217391</v>
      </c>
      <c r="N186" s="332">
        <v>0.76</v>
      </c>
      <c r="O186" s="339">
        <v>88</v>
      </c>
      <c r="P186" s="328"/>
      <c r="Q186" s="328"/>
      <c r="R186" s="332">
        <v>0.76</v>
      </c>
      <c r="S186" s="339">
        <v>88</v>
      </c>
      <c r="T186" s="328"/>
      <c r="U186" s="328"/>
      <c r="V186" s="339">
        <v>6.6</v>
      </c>
      <c r="W186" s="339">
        <v>2</v>
      </c>
      <c r="X186" s="339">
        <v>2</v>
      </c>
      <c r="Y186" s="328"/>
      <c r="Z186" s="328"/>
      <c r="AA186" s="328"/>
      <c r="AB186" s="329">
        <v>0.34899999999999998</v>
      </c>
      <c r="AC186" s="328">
        <v>65</v>
      </c>
      <c r="AD186" s="325">
        <v>232</v>
      </c>
      <c r="AE186" s="328"/>
      <c r="AF186" s="328"/>
      <c r="AG186" s="328"/>
      <c r="AH186" s="327">
        <v>318</v>
      </c>
      <c r="AI186" s="327">
        <v>305</v>
      </c>
      <c r="AJ186" s="327">
        <v>133</v>
      </c>
      <c r="AK186" s="327">
        <v>55</v>
      </c>
      <c r="AL186" s="327">
        <v>110</v>
      </c>
      <c r="AM186" s="327">
        <v>16</v>
      </c>
      <c r="AN186" s="327">
        <v>49</v>
      </c>
      <c r="AO186" s="327" t="s">
        <v>249</v>
      </c>
      <c r="AP186" s="327">
        <v>200</v>
      </c>
      <c r="AQ186" s="327">
        <v>19</v>
      </c>
      <c r="AR186" s="327">
        <v>395</v>
      </c>
      <c r="AS186" s="327">
        <v>410</v>
      </c>
      <c r="AT186" s="327">
        <v>335</v>
      </c>
      <c r="AU186" s="327">
        <v>525</v>
      </c>
      <c r="AV186" s="327">
        <v>775</v>
      </c>
      <c r="AW186" s="327">
        <v>845</v>
      </c>
      <c r="AX186" s="328"/>
      <c r="AY186" s="328"/>
      <c r="AZ186" s="328"/>
      <c r="BA186" s="328"/>
      <c r="BB186" s="328"/>
      <c r="BC186" s="328"/>
      <c r="BD186" s="328"/>
      <c r="BE186" s="328"/>
      <c r="BF186" s="328"/>
      <c r="BG186" s="328"/>
      <c r="BH186" s="327">
        <v>350</v>
      </c>
      <c r="BI186" s="327">
        <v>300</v>
      </c>
      <c r="BJ186" s="327">
        <v>400</v>
      </c>
      <c r="BK186" s="327">
        <v>19</v>
      </c>
      <c r="BL186" s="327">
        <v>5</v>
      </c>
      <c r="BM186" s="325" t="s">
        <v>442</v>
      </c>
      <c r="BN186" s="325" t="s">
        <v>442</v>
      </c>
      <c r="BO186" s="341" t="s">
        <v>441</v>
      </c>
      <c r="BP186" s="341" t="s">
        <v>441</v>
      </c>
      <c r="BQ186" s="325" t="s">
        <v>434</v>
      </c>
    </row>
    <row r="187" spans="1:69" ht="12" customHeight="1">
      <c r="A187" s="320">
        <v>329</v>
      </c>
      <c r="B187" s="336" t="s">
        <v>746</v>
      </c>
      <c r="C187" s="325" t="s">
        <v>745</v>
      </c>
      <c r="D187" s="336" t="s">
        <v>762</v>
      </c>
      <c r="E187" s="328">
        <v>225</v>
      </c>
      <c r="F187" s="328">
        <v>8</v>
      </c>
      <c r="G187" s="325">
        <v>18.5</v>
      </c>
      <c r="H187" s="325">
        <v>22.2</v>
      </c>
      <c r="I187" s="325">
        <v>730</v>
      </c>
      <c r="J187" s="325">
        <v>876</v>
      </c>
      <c r="K187" s="328"/>
      <c r="L187" s="339">
        <v>39</v>
      </c>
      <c r="M187" s="331">
        <f t="shared" si="74"/>
        <v>40.695652173913047</v>
      </c>
      <c r="N187" s="332">
        <v>0.76</v>
      </c>
      <c r="O187" s="339">
        <v>90</v>
      </c>
      <c r="P187" s="328"/>
      <c r="Q187" s="328"/>
      <c r="R187" s="332">
        <v>0.76</v>
      </c>
      <c r="S187" s="339">
        <v>90</v>
      </c>
      <c r="T187" s="328"/>
      <c r="U187" s="328"/>
      <c r="V187" s="339">
        <v>6.6</v>
      </c>
      <c r="W187" s="339">
        <v>1.9</v>
      </c>
      <c r="X187" s="339">
        <v>2</v>
      </c>
      <c r="Y187" s="328"/>
      <c r="Z187" s="328"/>
      <c r="AA187" s="328"/>
      <c r="AB187" s="329">
        <v>0.52</v>
      </c>
      <c r="AC187" s="328">
        <v>63</v>
      </c>
      <c r="AD187" s="325">
        <v>268</v>
      </c>
      <c r="AE187" s="328"/>
      <c r="AF187" s="328"/>
      <c r="AG187" s="328"/>
      <c r="AH187" s="327">
        <v>356</v>
      </c>
      <c r="AI187" s="327">
        <v>286</v>
      </c>
      <c r="AJ187" s="327">
        <v>149</v>
      </c>
      <c r="AK187" s="327">
        <v>60</v>
      </c>
      <c r="AL187" s="327">
        <v>140</v>
      </c>
      <c r="AM187" s="327">
        <v>18</v>
      </c>
      <c r="AN187" s="327">
        <v>53</v>
      </c>
      <c r="AO187" s="327" t="s">
        <v>249</v>
      </c>
      <c r="AP187" s="327">
        <v>225</v>
      </c>
      <c r="AQ187" s="327">
        <v>19</v>
      </c>
      <c r="AR187" s="327">
        <v>435</v>
      </c>
      <c r="AS187" s="327">
        <v>470</v>
      </c>
      <c r="AT187" s="327">
        <v>370</v>
      </c>
      <c r="AU187" s="327">
        <v>580</v>
      </c>
      <c r="AV187" s="327">
        <v>820</v>
      </c>
      <c r="AW187" s="327">
        <v>915</v>
      </c>
      <c r="AX187" s="328"/>
      <c r="AY187" s="328"/>
      <c r="AZ187" s="328"/>
      <c r="BA187" s="328"/>
      <c r="BB187" s="328"/>
      <c r="BC187" s="328"/>
      <c r="BD187" s="328"/>
      <c r="BE187" s="328"/>
      <c r="BF187" s="328"/>
      <c r="BG187" s="328"/>
      <c r="BH187" s="327">
        <v>400</v>
      </c>
      <c r="BI187" s="327">
        <v>350</v>
      </c>
      <c r="BJ187" s="327">
        <v>450</v>
      </c>
      <c r="BK187" s="327">
        <v>19</v>
      </c>
      <c r="BL187" s="327">
        <v>5</v>
      </c>
      <c r="BM187" s="325" t="s">
        <v>436</v>
      </c>
      <c r="BN187" s="325" t="s">
        <v>436</v>
      </c>
      <c r="BO187" s="341" t="s">
        <v>435</v>
      </c>
      <c r="BP187" s="341" t="s">
        <v>435</v>
      </c>
      <c r="BQ187" s="325" t="s">
        <v>434</v>
      </c>
    </row>
    <row r="188" spans="1:69" ht="12" customHeight="1">
      <c r="A188" s="320">
        <v>330</v>
      </c>
      <c r="B188" s="336" t="s">
        <v>746</v>
      </c>
      <c r="C188" s="325" t="s">
        <v>745</v>
      </c>
      <c r="D188" s="336" t="s">
        <v>761</v>
      </c>
      <c r="E188" s="328">
        <v>225</v>
      </c>
      <c r="F188" s="328">
        <v>8</v>
      </c>
      <c r="G188" s="325">
        <v>22</v>
      </c>
      <c r="H188" s="325">
        <v>26.4</v>
      </c>
      <c r="I188" s="325">
        <v>730</v>
      </c>
      <c r="J188" s="325">
        <v>876</v>
      </c>
      <c r="K188" s="328"/>
      <c r="L188" s="339">
        <v>45</v>
      </c>
      <c r="M188" s="331">
        <f t="shared" si="74"/>
        <v>46.956521739130437</v>
      </c>
      <c r="N188" s="332">
        <v>0.78</v>
      </c>
      <c r="O188" s="339">
        <v>90.5</v>
      </c>
      <c r="P188" s="328"/>
      <c r="Q188" s="328"/>
      <c r="R188" s="332">
        <v>0.78</v>
      </c>
      <c r="S188" s="339">
        <v>90.5</v>
      </c>
      <c r="T188" s="328"/>
      <c r="U188" s="328"/>
      <c r="V188" s="339">
        <v>6.6</v>
      </c>
      <c r="W188" s="339">
        <v>1.9</v>
      </c>
      <c r="X188" s="339">
        <v>2</v>
      </c>
      <c r="Y188" s="328"/>
      <c r="Z188" s="328"/>
      <c r="AA188" s="328"/>
      <c r="AB188" s="329">
        <v>0.62</v>
      </c>
      <c r="AC188" s="328">
        <v>63</v>
      </c>
      <c r="AD188" s="325">
        <v>288</v>
      </c>
      <c r="AE188" s="328"/>
      <c r="AF188" s="328"/>
      <c r="AG188" s="328"/>
      <c r="AH188" s="327">
        <v>356</v>
      </c>
      <c r="AI188" s="327">
        <v>311</v>
      </c>
      <c r="AJ188" s="327">
        <v>149</v>
      </c>
      <c r="AK188" s="327">
        <v>60</v>
      </c>
      <c r="AL188" s="327">
        <v>140</v>
      </c>
      <c r="AM188" s="327">
        <v>18</v>
      </c>
      <c r="AN188" s="327">
        <v>53</v>
      </c>
      <c r="AO188" s="327" t="s">
        <v>249</v>
      </c>
      <c r="AP188" s="327">
        <v>225</v>
      </c>
      <c r="AQ188" s="327">
        <v>19</v>
      </c>
      <c r="AR188" s="327">
        <v>435</v>
      </c>
      <c r="AS188" s="327">
        <v>470</v>
      </c>
      <c r="AT188" s="327">
        <v>370</v>
      </c>
      <c r="AU188" s="327">
        <v>580</v>
      </c>
      <c r="AV188" s="327">
        <v>845</v>
      </c>
      <c r="AW188" s="327">
        <v>940</v>
      </c>
      <c r="AX188" s="328"/>
      <c r="AY188" s="328"/>
      <c r="AZ188" s="328"/>
      <c r="BA188" s="328"/>
      <c r="BB188" s="328"/>
      <c r="BC188" s="328"/>
      <c r="BD188" s="328"/>
      <c r="BE188" s="328"/>
      <c r="BF188" s="328"/>
      <c r="BG188" s="328"/>
      <c r="BH188" s="327">
        <v>400</v>
      </c>
      <c r="BI188" s="327">
        <v>350</v>
      </c>
      <c r="BJ188" s="327">
        <v>450</v>
      </c>
      <c r="BK188" s="327">
        <v>19</v>
      </c>
      <c r="BL188" s="327">
        <v>5</v>
      </c>
      <c r="BM188" s="325" t="s">
        <v>436</v>
      </c>
      <c r="BN188" s="325" t="s">
        <v>436</v>
      </c>
      <c r="BO188" s="341" t="s">
        <v>435</v>
      </c>
      <c r="BP188" s="341" t="s">
        <v>435</v>
      </c>
      <c r="BQ188" s="325" t="s">
        <v>434</v>
      </c>
    </row>
    <row r="189" spans="1:69" ht="12" customHeight="1">
      <c r="A189" s="320">
        <v>331</v>
      </c>
      <c r="B189" s="336" t="s">
        <v>746</v>
      </c>
      <c r="C189" s="325" t="s">
        <v>745</v>
      </c>
      <c r="D189" s="336" t="s">
        <v>760</v>
      </c>
      <c r="E189" s="328">
        <v>250</v>
      </c>
      <c r="F189" s="328">
        <v>8</v>
      </c>
      <c r="G189" s="325">
        <v>30</v>
      </c>
      <c r="H189" s="325">
        <v>36</v>
      </c>
      <c r="I189" s="325">
        <v>735</v>
      </c>
      <c r="J189" s="325">
        <v>882</v>
      </c>
      <c r="K189" s="328"/>
      <c r="L189" s="339">
        <v>60.2</v>
      </c>
      <c r="M189" s="331">
        <f t="shared" si="74"/>
        <v>62.817391304347829</v>
      </c>
      <c r="N189" s="332">
        <v>0.79</v>
      </c>
      <c r="O189" s="339">
        <v>91</v>
      </c>
      <c r="P189" s="328"/>
      <c r="Q189" s="328"/>
      <c r="R189" s="332">
        <v>0.79</v>
      </c>
      <c r="S189" s="339">
        <v>91</v>
      </c>
      <c r="T189" s="328"/>
      <c r="U189" s="328"/>
      <c r="V189" s="339">
        <v>6.6</v>
      </c>
      <c r="W189" s="339">
        <v>1.9</v>
      </c>
      <c r="X189" s="339">
        <v>2</v>
      </c>
      <c r="Y189" s="328"/>
      <c r="Z189" s="328"/>
      <c r="AA189" s="328"/>
      <c r="AB189" s="329">
        <v>0.89</v>
      </c>
      <c r="AC189" s="328">
        <v>67</v>
      </c>
      <c r="AD189" s="325">
        <v>372</v>
      </c>
      <c r="AE189" s="328"/>
      <c r="AF189" s="328"/>
      <c r="AG189" s="328"/>
      <c r="AH189" s="327">
        <v>406</v>
      </c>
      <c r="AI189" s="327">
        <v>349</v>
      </c>
      <c r="AJ189" s="327">
        <v>168</v>
      </c>
      <c r="AK189" s="327">
        <v>65</v>
      </c>
      <c r="AL189" s="327">
        <v>140</v>
      </c>
      <c r="AM189" s="327">
        <v>18</v>
      </c>
      <c r="AN189" s="327">
        <v>58</v>
      </c>
      <c r="AO189" s="327" t="s">
        <v>249</v>
      </c>
      <c r="AP189" s="327">
        <v>250</v>
      </c>
      <c r="AQ189" s="327">
        <v>24</v>
      </c>
      <c r="AR189" s="327">
        <v>490</v>
      </c>
      <c r="AS189" s="327">
        <v>490</v>
      </c>
      <c r="AT189" s="327">
        <v>380</v>
      </c>
      <c r="AU189" s="327">
        <v>635</v>
      </c>
      <c r="AV189" s="327">
        <v>930</v>
      </c>
      <c r="AW189" s="327">
        <v>1035</v>
      </c>
      <c r="AX189" s="328"/>
      <c r="AY189" s="328"/>
      <c r="AZ189" s="328"/>
      <c r="BA189" s="328"/>
      <c r="BB189" s="328"/>
      <c r="BC189" s="328"/>
      <c r="BD189" s="328"/>
      <c r="BE189" s="328"/>
      <c r="BF189" s="328"/>
      <c r="BG189" s="328"/>
      <c r="BH189" s="327">
        <v>500</v>
      </c>
      <c r="BI189" s="327">
        <v>450</v>
      </c>
      <c r="BJ189" s="327">
        <v>550</v>
      </c>
      <c r="BK189" s="327">
        <v>19</v>
      </c>
      <c r="BL189" s="327">
        <v>5</v>
      </c>
      <c r="BM189" s="325" t="s">
        <v>429</v>
      </c>
      <c r="BN189" s="325" t="s">
        <v>429</v>
      </c>
      <c r="BO189" s="341" t="s">
        <v>428</v>
      </c>
      <c r="BP189" s="341" t="s">
        <v>428</v>
      </c>
      <c r="BQ189" s="325" t="s">
        <v>388</v>
      </c>
    </row>
    <row r="190" spans="1:69" ht="12" customHeight="1">
      <c r="A190" s="320">
        <v>332</v>
      </c>
      <c r="B190" s="336" t="s">
        <v>746</v>
      </c>
      <c r="C190" s="325" t="s">
        <v>745</v>
      </c>
      <c r="D190" s="336" t="s">
        <v>759</v>
      </c>
      <c r="E190" s="328">
        <v>280</v>
      </c>
      <c r="F190" s="328">
        <v>8</v>
      </c>
      <c r="G190" s="325">
        <v>37</v>
      </c>
      <c r="H190" s="325">
        <v>44.4</v>
      </c>
      <c r="I190" s="325">
        <v>735</v>
      </c>
      <c r="J190" s="325">
        <v>882</v>
      </c>
      <c r="K190" s="328"/>
      <c r="L190" s="339">
        <v>73.900000000000006</v>
      </c>
      <c r="M190" s="331">
        <f t="shared" si="74"/>
        <v>77.113043478260863</v>
      </c>
      <c r="N190" s="332">
        <v>0.79</v>
      </c>
      <c r="O190" s="339">
        <v>91.5</v>
      </c>
      <c r="P190" s="328"/>
      <c r="Q190" s="328"/>
      <c r="R190" s="332">
        <v>0.79</v>
      </c>
      <c r="S190" s="339">
        <v>91.5</v>
      </c>
      <c r="T190" s="328"/>
      <c r="U190" s="328"/>
      <c r="V190" s="339">
        <v>6.6</v>
      </c>
      <c r="W190" s="339">
        <v>1.9</v>
      </c>
      <c r="X190" s="339">
        <v>2</v>
      </c>
      <c r="Y190" s="328"/>
      <c r="Z190" s="328"/>
      <c r="AA190" s="328"/>
      <c r="AB190" s="329">
        <v>1.71</v>
      </c>
      <c r="AC190" s="328">
        <v>66</v>
      </c>
      <c r="AD190" s="325">
        <v>472</v>
      </c>
      <c r="AE190" s="328"/>
      <c r="AF190" s="328"/>
      <c r="AG190" s="328"/>
      <c r="AH190" s="327">
        <v>457</v>
      </c>
      <c r="AI190" s="327">
        <v>368</v>
      </c>
      <c r="AJ190" s="327">
        <v>190</v>
      </c>
      <c r="AK190" s="327">
        <v>75</v>
      </c>
      <c r="AL190" s="327">
        <v>140</v>
      </c>
      <c r="AM190" s="327">
        <v>20</v>
      </c>
      <c r="AN190" s="327">
        <v>67.5</v>
      </c>
      <c r="AO190" s="327" t="s">
        <v>249</v>
      </c>
      <c r="AP190" s="327">
        <v>280</v>
      </c>
      <c r="AQ190" s="327">
        <v>24</v>
      </c>
      <c r="AR190" s="327">
        <v>550</v>
      </c>
      <c r="AS190" s="327">
        <v>580</v>
      </c>
      <c r="AT190" s="327">
        <v>410</v>
      </c>
      <c r="AU190" s="327">
        <v>698</v>
      </c>
      <c r="AV190" s="327">
        <v>981</v>
      </c>
      <c r="AW190" s="327">
        <v>1115</v>
      </c>
      <c r="AX190" s="328"/>
      <c r="AY190" s="328"/>
      <c r="AZ190" s="328"/>
      <c r="BA190" s="328"/>
      <c r="BB190" s="328"/>
      <c r="BC190" s="328"/>
      <c r="BD190" s="328"/>
      <c r="BE190" s="328"/>
      <c r="BF190" s="328"/>
      <c r="BG190" s="328"/>
      <c r="BH190" s="327">
        <v>500</v>
      </c>
      <c r="BI190" s="327">
        <v>450</v>
      </c>
      <c r="BJ190" s="327">
        <v>550</v>
      </c>
      <c r="BK190" s="327">
        <v>19</v>
      </c>
      <c r="BL190" s="327">
        <v>5</v>
      </c>
      <c r="BM190" s="325" t="s">
        <v>420</v>
      </c>
      <c r="BN190" s="325" t="s">
        <v>420</v>
      </c>
      <c r="BO190" s="341" t="s">
        <v>419</v>
      </c>
      <c r="BP190" s="340" t="s">
        <v>419</v>
      </c>
      <c r="BQ190" s="325" t="s">
        <v>388</v>
      </c>
    </row>
    <row r="191" spans="1:69" ht="12" customHeight="1">
      <c r="A191" s="320">
        <v>333</v>
      </c>
      <c r="B191" s="336" t="s">
        <v>746</v>
      </c>
      <c r="C191" s="325" t="s">
        <v>745</v>
      </c>
      <c r="D191" s="336" t="s">
        <v>758</v>
      </c>
      <c r="E191" s="328">
        <v>280</v>
      </c>
      <c r="F191" s="328">
        <v>8</v>
      </c>
      <c r="G191" s="325">
        <v>45</v>
      </c>
      <c r="H191" s="325">
        <v>54</v>
      </c>
      <c r="I191" s="325">
        <v>735</v>
      </c>
      <c r="J191" s="325">
        <v>882</v>
      </c>
      <c r="K191" s="328"/>
      <c r="L191" s="325">
        <v>89.4</v>
      </c>
      <c r="M191" s="331">
        <f t="shared" si="74"/>
        <v>93.286956521739128</v>
      </c>
      <c r="N191" s="332">
        <v>0.79</v>
      </c>
      <c r="O191" s="339">
        <v>92</v>
      </c>
      <c r="P191" s="328"/>
      <c r="Q191" s="328"/>
      <c r="R191" s="332">
        <v>0.79</v>
      </c>
      <c r="S191" s="339">
        <v>92</v>
      </c>
      <c r="T191" s="328"/>
      <c r="U191" s="328"/>
      <c r="V191" s="339">
        <v>6.6</v>
      </c>
      <c r="W191" s="339">
        <v>1.9</v>
      </c>
      <c r="X191" s="339">
        <v>2</v>
      </c>
      <c r="Y191" s="328"/>
      <c r="Z191" s="328"/>
      <c r="AA191" s="328"/>
      <c r="AB191" s="329">
        <v>2.15</v>
      </c>
      <c r="AC191" s="328">
        <v>66</v>
      </c>
      <c r="AD191" s="325">
        <v>530</v>
      </c>
      <c r="AE191" s="328"/>
      <c r="AF191" s="328"/>
      <c r="AG191" s="328"/>
      <c r="AH191" s="327">
        <v>457</v>
      </c>
      <c r="AI191" s="327">
        <v>419</v>
      </c>
      <c r="AJ191" s="327">
        <v>190</v>
      </c>
      <c r="AK191" s="327">
        <v>75</v>
      </c>
      <c r="AL191" s="327">
        <v>140</v>
      </c>
      <c r="AM191" s="327">
        <v>20</v>
      </c>
      <c r="AN191" s="327">
        <v>67.5</v>
      </c>
      <c r="AO191" s="327" t="s">
        <v>249</v>
      </c>
      <c r="AP191" s="327">
        <v>280</v>
      </c>
      <c r="AQ191" s="327">
        <v>24</v>
      </c>
      <c r="AR191" s="327">
        <v>550</v>
      </c>
      <c r="AS191" s="327">
        <v>580</v>
      </c>
      <c r="AT191" s="327">
        <v>410</v>
      </c>
      <c r="AU191" s="327">
        <v>698</v>
      </c>
      <c r="AV191" s="327">
        <v>1032</v>
      </c>
      <c r="AW191" s="327">
        <v>1157</v>
      </c>
      <c r="AX191" s="328"/>
      <c r="AY191" s="328"/>
      <c r="AZ191" s="328"/>
      <c r="BA191" s="328"/>
      <c r="BB191" s="328"/>
      <c r="BC191" s="328"/>
      <c r="BD191" s="328"/>
      <c r="BE191" s="328"/>
      <c r="BF191" s="328"/>
      <c r="BG191" s="328"/>
      <c r="BH191" s="327">
        <v>500</v>
      </c>
      <c r="BI191" s="327">
        <v>450</v>
      </c>
      <c r="BJ191" s="327">
        <v>550</v>
      </c>
      <c r="BK191" s="327">
        <v>19</v>
      </c>
      <c r="BL191" s="327">
        <v>5</v>
      </c>
      <c r="BM191" s="325" t="s">
        <v>420</v>
      </c>
      <c r="BN191" s="325" t="s">
        <v>420</v>
      </c>
      <c r="BO191" s="341" t="s">
        <v>419</v>
      </c>
      <c r="BP191" s="340" t="s">
        <v>419</v>
      </c>
      <c r="BQ191" s="325" t="s">
        <v>388</v>
      </c>
    </row>
    <row r="192" spans="1:69" ht="12" customHeight="1">
      <c r="A192" s="320">
        <v>334</v>
      </c>
      <c r="B192" s="336" t="s">
        <v>746</v>
      </c>
      <c r="C192" s="325" t="s">
        <v>745</v>
      </c>
      <c r="D192" s="336" t="s">
        <v>757</v>
      </c>
      <c r="E192" s="328">
        <v>315</v>
      </c>
      <c r="F192" s="328">
        <v>8</v>
      </c>
      <c r="G192" s="325">
        <v>55</v>
      </c>
      <c r="H192" s="325">
        <v>66</v>
      </c>
      <c r="I192" s="325">
        <v>735</v>
      </c>
      <c r="J192" s="325">
        <v>882</v>
      </c>
      <c r="K192" s="328"/>
      <c r="L192" s="325">
        <v>105.6</v>
      </c>
      <c r="M192" s="331">
        <f t="shared" si="74"/>
        <v>110.19130434782609</v>
      </c>
      <c r="N192" s="332">
        <v>0.81</v>
      </c>
      <c r="O192" s="339">
        <v>92.8</v>
      </c>
      <c r="P192" s="328"/>
      <c r="Q192" s="328"/>
      <c r="R192" s="332">
        <v>0.81</v>
      </c>
      <c r="S192" s="339">
        <v>92.8</v>
      </c>
      <c r="T192" s="328"/>
      <c r="U192" s="328"/>
      <c r="V192" s="339">
        <v>6.6</v>
      </c>
      <c r="W192" s="339">
        <v>1.8</v>
      </c>
      <c r="X192" s="339">
        <v>2</v>
      </c>
      <c r="Y192" s="328"/>
      <c r="Z192" s="328"/>
      <c r="AA192" s="328"/>
      <c r="AB192" s="329">
        <v>3.79</v>
      </c>
      <c r="AC192" s="328">
        <v>69</v>
      </c>
      <c r="AD192" s="325">
        <v>804</v>
      </c>
      <c r="AE192" s="328"/>
      <c r="AF192" s="328"/>
      <c r="AG192" s="328"/>
      <c r="AH192" s="327">
        <v>508</v>
      </c>
      <c r="AI192" s="327">
        <v>406</v>
      </c>
      <c r="AJ192" s="327">
        <v>216</v>
      </c>
      <c r="AK192" s="327">
        <v>80</v>
      </c>
      <c r="AL192" s="327">
        <v>170</v>
      </c>
      <c r="AM192" s="327">
        <v>22</v>
      </c>
      <c r="AN192" s="327">
        <v>71</v>
      </c>
      <c r="AO192" s="327" t="s">
        <v>249</v>
      </c>
      <c r="AP192" s="327">
        <v>315</v>
      </c>
      <c r="AQ192" s="327">
        <v>28</v>
      </c>
      <c r="AR192" s="327">
        <v>630</v>
      </c>
      <c r="AS192" s="327">
        <v>645</v>
      </c>
      <c r="AT192" s="327">
        <v>535</v>
      </c>
      <c r="AU192" s="327">
        <v>885</v>
      </c>
      <c r="AV192" s="327">
        <v>1215</v>
      </c>
      <c r="AW192" s="327">
        <v>1340</v>
      </c>
      <c r="AX192" s="328"/>
      <c r="AY192" s="328"/>
      <c r="AZ192" s="328"/>
      <c r="BA192" s="328"/>
      <c r="BB192" s="328"/>
      <c r="BC192" s="328"/>
      <c r="BD192" s="328"/>
      <c r="BE192" s="328"/>
      <c r="BF192" s="328"/>
      <c r="BG192" s="328"/>
      <c r="BH192" s="327">
        <v>600</v>
      </c>
      <c r="BI192" s="327">
        <v>550</v>
      </c>
      <c r="BJ192" s="327">
        <v>660</v>
      </c>
      <c r="BK192" s="327">
        <v>24</v>
      </c>
      <c r="BL192" s="327">
        <v>6</v>
      </c>
      <c r="BM192" s="325" t="s">
        <v>389</v>
      </c>
      <c r="BN192" s="325" t="s">
        <v>389</v>
      </c>
      <c r="BO192" s="325"/>
      <c r="BP192" s="328"/>
      <c r="BQ192" s="325" t="s">
        <v>405</v>
      </c>
    </row>
    <row r="193" spans="1:70" ht="12" customHeight="1">
      <c r="A193" s="320">
        <v>335</v>
      </c>
      <c r="B193" s="336" t="s">
        <v>746</v>
      </c>
      <c r="C193" s="325" t="s">
        <v>745</v>
      </c>
      <c r="D193" s="336" t="s">
        <v>756</v>
      </c>
      <c r="E193" s="328">
        <v>315</v>
      </c>
      <c r="F193" s="328">
        <v>8</v>
      </c>
      <c r="G193" s="325">
        <v>75</v>
      </c>
      <c r="H193" s="325">
        <v>90</v>
      </c>
      <c r="I193" s="325">
        <v>735</v>
      </c>
      <c r="J193" s="325">
        <v>882</v>
      </c>
      <c r="K193" s="328"/>
      <c r="L193" s="325">
        <v>143.69999999999999</v>
      </c>
      <c r="M193" s="331">
        <f t="shared" si="74"/>
        <v>149.94782608695652</v>
      </c>
      <c r="N193" s="332">
        <v>0.81</v>
      </c>
      <c r="O193" s="339">
        <v>93</v>
      </c>
      <c r="P193" s="328"/>
      <c r="Q193" s="328"/>
      <c r="R193" s="332">
        <v>0.81</v>
      </c>
      <c r="S193" s="339">
        <v>93</v>
      </c>
      <c r="T193" s="328"/>
      <c r="U193" s="328"/>
      <c r="V193" s="339">
        <v>6.6</v>
      </c>
      <c r="W193" s="339">
        <v>1.8</v>
      </c>
      <c r="X193" s="339">
        <v>2</v>
      </c>
      <c r="Y193" s="328"/>
      <c r="Z193" s="328"/>
      <c r="AA193" s="328"/>
      <c r="AB193" s="329">
        <v>5.2</v>
      </c>
      <c r="AC193" s="328">
        <v>69</v>
      </c>
      <c r="AD193" s="325">
        <v>1000</v>
      </c>
      <c r="AE193" s="328"/>
      <c r="AF193" s="328"/>
      <c r="AG193" s="328"/>
      <c r="AH193" s="327">
        <v>508</v>
      </c>
      <c r="AI193" s="327">
        <v>457</v>
      </c>
      <c r="AJ193" s="327">
        <v>216</v>
      </c>
      <c r="AK193" s="327">
        <v>80</v>
      </c>
      <c r="AL193" s="327">
        <v>170</v>
      </c>
      <c r="AM193" s="327">
        <v>22</v>
      </c>
      <c r="AN193" s="327">
        <v>71</v>
      </c>
      <c r="AO193" s="327" t="s">
        <v>249</v>
      </c>
      <c r="AP193" s="327">
        <v>315</v>
      </c>
      <c r="AQ193" s="327">
        <v>28</v>
      </c>
      <c r="AR193" s="327">
        <v>630</v>
      </c>
      <c r="AS193" s="327">
        <v>645</v>
      </c>
      <c r="AT193" s="327">
        <v>535</v>
      </c>
      <c r="AU193" s="327">
        <v>885</v>
      </c>
      <c r="AV193" s="327">
        <v>1325</v>
      </c>
      <c r="AW193" s="327">
        <v>1450</v>
      </c>
      <c r="AX193" s="328"/>
      <c r="AY193" s="328"/>
      <c r="AZ193" s="328"/>
      <c r="BA193" s="328"/>
      <c r="BB193" s="328"/>
      <c r="BC193" s="328"/>
      <c r="BD193" s="328"/>
      <c r="BE193" s="328"/>
      <c r="BF193" s="328"/>
      <c r="BG193" s="328"/>
      <c r="BH193" s="327">
        <v>600</v>
      </c>
      <c r="BI193" s="327">
        <v>550</v>
      </c>
      <c r="BJ193" s="327">
        <v>660</v>
      </c>
      <c r="BK193" s="327">
        <v>24</v>
      </c>
      <c r="BL193" s="327">
        <v>6</v>
      </c>
      <c r="BM193" s="325" t="s">
        <v>389</v>
      </c>
      <c r="BN193" s="325" t="s">
        <v>389</v>
      </c>
      <c r="BO193" s="325"/>
      <c r="BP193" s="328"/>
      <c r="BQ193" s="325" t="s">
        <v>405</v>
      </c>
    </row>
    <row r="194" spans="1:70" ht="12" customHeight="1">
      <c r="A194" s="320">
        <v>336</v>
      </c>
      <c r="B194" s="336" t="s">
        <v>746</v>
      </c>
      <c r="C194" s="325" t="s">
        <v>745</v>
      </c>
      <c r="D194" s="336" t="s">
        <v>755</v>
      </c>
      <c r="E194" s="328">
        <v>315</v>
      </c>
      <c r="F194" s="328">
        <v>8</v>
      </c>
      <c r="G194" s="325">
        <v>90</v>
      </c>
      <c r="H194" s="325">
        <v>108</v>
      </c>
      <c r="I194" s="325">
        <v>735</v>
      </c>
      <c r="J194" s="325">
        <v>882</v>
      </c>
      <c r="K194" s="328"/>
      <c r="L194" s="325">
        <v>168.9</v>
      </c>
      <c r="M194" s="331">
        <f t="shared" si="74"/>
        <v>176.24347826086955</v>
      </c>
      <c r="N194" s="332">
        <v>0.82</v>
      </c>
      <c r="O194" s="339">
        <v>93.8</v>
      </c>
      <c r="P194" s="328"/>
      <c r="Q194" s="328"/>
      <c r="R194" s="332">
        <v>0.82</v>
      </c>
      <c r="S194" s="339">
        <v>93.8</v>
      </c>
      <c r="T194" s="328"/>
      <c r="U194" s="328"/>
      <c r="V194" s="339">
        <v>6.6</v>
      </c>
      <c r="W194" s="339">
        <v>1.8</v>
      </c>
      <c r="X194" s="339">
        <v>2</v>
      </c>
      <c r="Y194" s="328"/>
      <c r="Z194" s="328"/>
      <c r="AA194" s="328"/>
      <c r="AB194" s="329">
        <v>6.19</v>
      </c>
      <c r="AC194" s="328">
        <v>70</v>
      </c>
      <c r="AD194" s="325">
        <v>1018</v>
      </c>
      <c r="AE194" s="328"/>
      <c r="AF194" s="328"/>
      <c r="AG194" s="328"/>
      <c r="AH194" s="327">
        <v>508</v>
      </c>
      <c r="AI194" s="327">
        <v>508</v>
      </c>
      <c r="AJ194" s="327">
        <v>216</v>
      </c>
      <c r="AK194" s="327">
        <v>80</v>
      </c>
      <c r="AL194" s="327">
        <v>170</v>
      </c>
      <c r="AM194" s="327">
        <v>22</v>
      </c>
      <c r="AN194" s="327">
        <v>71</v>
      </c>
      <c r="AO194" s="327" t="s">
        <v>249</v>
      </c>
      <c r="AP194" s="327">
        <v>315</v>
      </c>
      <c r="AQ194" s="327">
        <v>28</v>
      </c>
      <c r="AR194" s="327">
        <v>630</v>
      </c>
      <c r="AS194" s="327">
        <v>645</v>
      </c>
      <c r="AT194" s="327">
        <v>535</v>
      </c>
      <c r="AU194" s="327">
        <v>885</v>
      </c>
      <c r="AV194" s="327">
        <v>1325</v>
      </c>
      <c r="AW194" s="327">
        <v>1450</v>
      </c>
      <c r="AX194" s="328"/>
      <c r="AY194" s="328"/>
      <c r="AZ194" s="328"/>
      <c r="BA194" s="328"/>
      <c r="BB194" s="328"/>
      <c r="BC194" s="328"/>
      <c r="BD194" s="328"/>
      <c r="BE194" s="328"/>
      <c r="BF194" s="328"/>
      <c r="BG194" s="328"/>
      <c r="BH194" s="327">
        <v>600</v>
      </c>
      <c r="BI194" s="327">
        <v>550</v>
      </c>
      <c r="BJ194" s="327">
        <v>660</v>
      </c>
      <c r="BK194" s="327">
        <v>24</v>
      </c>
      <c r="BL194" s="327">
        <v>6</v>
      </c>
      <c r="BM194" s="325" t="s">
        <v>389</v>
      </c>
      <c r="BN194" s="325" t="s">
        <v>389</v>
      </c>
      <c r="BO194" s="325"/>
      <c r="BP194" s="328"/>
      <c r="BQ194" s="325" t="s">
        <v>405</v>
      </c>
    </row>
    <row r="195" spans="1:70" ht="12" customHeight="1">
      <c r="A195" s="320">
        <v>337</v>
      </c>
      <c r="B195" s="336" t="s">
        <v>746</v>
      </c>
      <c r="C195" s="325" t="s">
        <v>745</v>
      </c>
      <c r="D195" s="336" t="s">
        <v>754</v>
      </c>
      <c r="E195" s="328">
        <v>315</v>
      </c>
      <c r="F195" s="328">
        <v>8</v>
      </c>
      <c r="G195" s="325">
        <v>110</v>
      </c>
      <c r="H195" s="325">
        <v>132</v>
      </c>
      <c r="I195" s="325">
        <v>735</v>
      </c>
      <c r="J195" s="325">
        <v>882</v>
      </c>
      <c r="K195" s="328"/>
      <c r="L195" s="339">
        <v>206</v>
      </c>
      <c r="M195" s="331">
        <f t="shared" si="74"/>
        <v>214.95652173913044</v>
      </c>
      <c r="N195" s="332">
        <v>0.82</v>
      </c>
      <c r="O195" s="339">
        <v>94</v>
      </c>
      <c r="P195" s="328"/>
      <c r="Q195" s="328"/>
      <c r="R195" s="332">
        <v>0.82</v>
      </c>
      <c r="S195" s="339">
        <v>94</v>
      </c>
      <c r="T195" s="328"/>
      <c r="U195" s="328"/>
      <c r="V195" s="339">
        <v>6.4</v>
      </c>
      <c r="W195" s="339">
        <v>1.8</v>
      </c>
      <c r="X195" s="339">
        <v>2</v>
      </c>
      <c r="Y195" s="328"/>
      <c r="Z195" s="328"/>
      <c r="AA195" s="328"/>
      <c r="AB195" s="329">
        <v>7.26</v>
      </c>
      <c r="AC195" s="328">
        <v>70</v>
      </c>
      <c r="AD195" s="325">
        <v>1118</v>
      </c>
      <c r="AE195" s="328"/>
      <c r="AF195" s="328"/>
      <c r="AG195" s="328"/>
      <c r="AH195" s="327">
        <v>508</v>
      </c>
      <c r="AI195" s="327">
        <v>508</v>
      </c>
      <c r="AJ195" s="327">
        <v>216</v>
      </c>
      <c r="AK195" s="327">
        <v>80</v>
      </c>
      <c r="AL195" s="327">
        <v>170</v>
      </c>
      <c r="AM195" s="327">
        <v>22</v>
      </c>
      <c r="AN195" s="327">
        <v>71</v>
      </c>
      <c r="AO195" s="327" t="s">
        <v>249</v>
      </c>
      <c r="AP195" s="327">
        <v>315</v>
      </c>
      <c r="AQ195" s="327">
        <v>28</v>
      </c>
      <c r="AR195" s="327">
        <v>630</v>
      </c>
      <c r="AS195" s="327">
        <v>645</v>
      </c>
      <c r="AT195" s="327">
        <v>535</v>
      </c>
      <c r="AU195" s="327">
        <v>885</v>
      </c>
      <c r="AV195" s="327">
        <v>1325</v>
      </c>
      <c r="AW195" s="327">
        <v>1450</v>
      </c>
      <c r="AX195" s="328"/>
      <c r="AY195" s="328"/>
      <c r="AZ195" s="328"/>
      <c r="BA195" s="328"/>
      <c r="BB195" s="328"/>
      <c r="BC195" s="328"/>
      <c r="BD195" s="328"/>
      <c r="BE195" s="328"/>
      <c r="BF195" s="328"/>
      <c r="BG195" s="328"/>
      <c r="BH195" s="327">
        <v>600</v>
      </c>
      <c r="BI195" s="327">
        <v>550</v>
      </c>
      <c r="BJ195" s="327">
        <v>660</v>
      </c>
      <c r="BK195" s="327">
        <v>24</v>
      </c>
      <c r="BL195" s="327">
        <v>6</v>
      </c>
      <c r="BM195" s="325" t="s">
        <v>389</v>
      </c>
      <c r="BN195" s="325" t="s">
        <v>389</v>
      </c>
      <c r="BO195" s="325"/>
      <c r="BP195" s="328"/>
      <c r="BQ195" s="325" t="s">
        <v>405</v>
      </c>
    </row>
    <row r="196" spans="1:70" ht="12" customHeight="1">
      <c r="A196" s="320">
        <v>338</v>
      </c>
      <c r="B196" s="336" t="s">
        <v>746</v>
      </c>
      <c r="C196" s="325" t="s">
        <v>745</v>
      </c>
      <c r="D196" s="336" t="s">
        <v>753</v>
      </c>
      <c r="E196" s="328">
        <v>355</v>
      </c>
      <c r="F196" s="328">
        <v>8</v>
      </c>
      <c r="G196" s="325">
        <v>132</v>
      </c>
      <c r="H196" s="325">
        <v>158.4</v>
      </c>
      <c r="I196" s="325">
        <v>740</v>
      </c>
      <c r="J196" s="325">
        <v>888</v>
      </c>
      <c r="K196" s="328"/>
      <c r="L196" s="339">
        <v>248</v>
      </c>
      <c r="M196" s="331">
        <f t="shared" si="74"/>
        <v>258.78260869565219</v>
      </c>
      <c r="N196" s="332">
        <v>0.82</v>
      </c>
      <c r="O196" s="339">
        <v>93.7</v>
      </c>
      <c r="P196" s="328"/>
      <c r="Q196" s="328"/>
      <c r="R196" s="332">
        <v>0.82</v>
      </c>
      <c r="S196" s="339">
        <v>93.7</v>
      </c>
      <c r="T196" s="328"/>
      <c r="U196" s="328"/>
      <c r="V196" s="339">
        <v>6.4</v>
      </c>
      <c r="W196" s="339">
        <v>1.8</v>
      </c>
      <c r="X196" s="339">
        <v>2</v>
      </c>
      <c r="Y196" s="328"/>
      <c r="Z196" s="328"/>
      <c r="AA196" s="328"/>
      <c r="AB196" s="380">
        <v>11.85</v>
      </c>
      <c r="AC196" s="328">
        <v>73</v>
      </c>
      <c r="AD196" s="325">
        <v>1584</v>
      </c>
      <c r="AE196" s="328"/>
      <c r="AF196" s="328"/>
      <c r="AG196" s="328"/>
      <c r="AH196" s="327">
        <v>610</v>
      </c>
      <c r="AI196" s="327">
        <v>560</v>
      </c>
      <c r="AJ196" s="327">
        <v>254</v>
      </c>
      <c r="AK196" s="327">
        <v>95</v>
      </c>
      <c r="AL196" s="327">
        <v>170</v>
      </c>
      <c r="AM196" s="327">
        <v>25</v>
      </c>
      <c r="AN196" s="327">
        <v>86</v>
      </c>
      <c r="AO196" s="327" t="s">
        <v>250</v>
      </c>
      <c r="AP196" s="327">
        <v>355</v>
      </c>
      <c r="AQ196" s="327">
        <v>28</v>
      </c>
      <c r="AR196" s="327">
        <v>730</v>
      </c>
      <c r="AS196" s="327">
        <v>720</v>
      </c>
      <c r="AT196" s="327">
        <v>700</v>
      </c>
      <c r="AU196" s="327">
        <v>1065</v>
      </c>
      <c r="AV196" s="327">
        <v>1525</v>
      </c>
      <c r="AW196" s="327">
        <v>1670</v>
      </c>
      <c r="AX196" s="328"/>
      <c r="AY196" s="328"/>
      <c r="AZ196" s="328"/>
      <c r="BA196" s="328"/>
      <c r="BB196" s="328"/>
      <c r="BC196" s="328"/>
      <c r="BD196" s="328"/>
      <c r="BE196" s="328"/>
      <c r="BF196" s="328"/>
      <c r="BG196" s="328"/>
      <c r="BH196" s="327">
        <v>740</v>
      </c>
      <c r="BI196" s="327">
        <v>680</v>
      </c>
      <c r="BJ196" s="327">
        <v>800</v>
      </c>
      <c r="BK196" s="327">
        <v>24</v>
      </c>
      <c r="BL196" s="327">
        <v>6</v>
      </c>
      <c r="BM196" s="325" t="s">
        <v>390</v>
      </c>
      <c r="BN196" s="325" t="s">
        <v>389</v>
      </c>
      <c r="BO196" s="326"/>
      <c r="BP196" s="326"/>
      <c r="BQ196" s="325" t="s">
        <v>388</v>
      </c>
    </row>
    <row r="197" spans="1:70" ht="12" customHeight="1">
      <c r="A197" s="320">
        <v>339</v>
      </c>
      <c r="B197" s="336" t="s">
        <v>746</v>
      </c>
      <c r="C197" s="325" t="s">
        <v>745</v>
      </c>
      <c r="D197" s="336" t="s">
        <v>752</v>
      </c>
      <c r="E197" s="328">
        <v>355</v>
      </c>
      <c r="F197" s="328">
        <v>8</v>
      </c>
      <c r="G197" s="325">
        <v>160</v>
      </c>
      <c r="H197" s="325">
        <v>192</v>
      </c>
      <c r="I197" s="325">
        <v>740</v>
      </c>
      <c r="J197" s="325">
        <v>888</v>
      </c>
      <c r="K197" s="328"/>
      <c r="L197" s="339">
        <v>299</v>
      </c>
      <c r="M197" s="331">
        <f t="shared" ref="M197:M263" si="143">L197*480/460</f>
        <v>312</v>
      </c>
      <c r="N197" s="332">
        <v>0.82</v>
      </c>
      <c r="O197" s="339">
        <v>94.2</v>
      </c>
      <c r="P197" s="328"/>
      <c r="Q197" s="328"/>
      <c r="R197" s="332">
        <v>0.82</v>
      </c>
      <c r="S197" s="339">
        <v>94.2</v>
      </c>
      <c r="T197" s="328"/>
      <c r="U197" s="328"/>
      <c r="V197" s="339">
        <v>6.4</v>
      </c>
      <c r="W197" s="339">
        <v>1.8</v>
      </c>
      <c r="X197" s="339">
        <v>2</v>
      </c>
      <c r="Y197" s="328"/>
      <c r="Z197" s="328"/>
      <c r="AA197" s="328"/>
      <c r="AB197" s="380">
        <v>14.5</v>
      </c>
      <c r="AC197" s="328">
        <v>73</v>
      </c>
      <c r="AD197" s="325">
        <v>1734</v>
      </c>
      <c r="AE197" s="328"/>
      <c r="AF197" s="328"/>
      <c r="AG197" s="328"/>
      <c r="AH197" s="327">
        <v>610</v>
      </c>
      <c r="AI197" s="327">
        <v>560</v>
      </c>
      <c r="AJ197" s="327">
        <v>254</v>
      </c>
      <c r="AK197" s="327">
        <v>95</v>
      </c>
      <c r="AL197" s="327">
        <v>170</v>
      </c>
      <c r="AM197" s="327">
        <v>25</v>
      </c>
      <c r="AN197" s="327">
        <v>86</v>
      </c>
      <c r="AO197" s="327" t="s">
        <v>250</v>
      </c>
      <c r="AP197" s="327">
        <v>355</v>
      </c>
      <c r="AQ197" s="327">
        <v>28</v>
      </c>
      <c r="AR197" s="327">
        <v>730</v>
      </c>
      <c r="AS197" s="327">
        <v>720</v>
      </c>
      <c r="AT197" s="327">
        <v>700</v>
      </c>
      <c r="AU197" s="327">
        <v>1065</v>
      </c>
      <c r="AV197" s="327">
        <v>1525</v>
      </c>
      <c r="AW197" s="327">
        <v>1670</v>
      </c>
      <c r="AX197" s="328"/>
      <c r="AY197" s="328"/>
      <c r="AZ197" s="328"/>
      <c r="BA197" s="328"/>
      <c r="BB197" s="328"/>
      <c r="BC197" s="328"/>
      <c r="BD197" s="328"/>
      <c r="BE197" s="328"/>
      <c r="BF197" s="328"/>
      <c r="BG197" s="328"/>
      <c r="BH197" s="327">
        <v>740</v>
      </c>
      <c r="BI197" s="327">
        <v>680</v>
      </c>
      <c r="BJ197" s="327">
        <v>800</v>
      </c>
      <c r="BK197" s="327">
        <v>24</v>
      </c>
      <c r="BL197" s="327">
        <v>6</v>
      </c>
      <c r="BM197" s="325" t="s">
        <v>390</v>
      </c>
      <c r="BN197" s="325" t="s">
        <v>389</v>
      </c>
      <c r="BO197" s="326"/>
      <c r="BP197" s="326"/>
      <c r="BQ197" s="325" t="s">
        <v>388</v>
      </c>
    </row>
    <row r="198" spans="1:70" ht="12" customHeight="1">
      <c r="A198" s="320">
        <v>340</v>
      </c>
      <c r="B198" s="336" t="s">
        <v>746</v>
      </c>
      <c r="C198" s="325" t="s">
        <v>745</v>
      </c>
      <c r="D198" s="336" t="s">
        <v>751</v>
      </c>
      <c r="E198" s="328">
        <v>355</v>
      </c>
      <c r="F198" s="328">
        <v>8</v>
      </c>
      <c r="G198" s="325">
        <v>200</v>
      </c>
      <c r="H198" s="325">
        <v>240</v>
      </c>
      <c r="I198" s="325">
        <v>740</v>
      </c>
      <c r="J198" s="325">
        <v>888</v>
      </c>
      <c r="K198" s="328"/>
      <c r="L198" s="339">
        <v>368</v>
      </c>
      <c r="M198" s="331">
        <f t="shared" si="143"/>
        <v>384</v>
      </c>
      <c r="N198" s="332">
        <v>0.83</v>
      </c>
      <c r="O198" s="339">
        <v>94.5</v>
      </c>
      <c r="P198" s="328"/>
      <c r="Q198" s="328"/>
      <c r="R198" s="332">
        <v>0.83</v>
      </c>
      <c r="S198" s="339">
        <v>94.5</v>
      </c>
      <c r="T198" s="328"/>
      <c r="U198" s="328"/>
      <c r="V198" s="339">
        <v>6.4</v>
      </c>
      <c r="W198" s="339">
        <v>1.8</v>
      </c>
      <c r="X198" s="339">
        <v>2</v>
      </c>
      <c r="Y198" s="328"/>
      <c r="Z198" s="328"/>
      <c r="AA198" s="328"/>
      <c r="AB198" s="380">
        <v>18.12</v>
      </c>
      <c r="AC198" s="328">
        <v>73</v>
      </c>
      <c r="AD198" s="325">
        <v>1850</v>
      </c>
      <c r="AE198" s="328"/>
      <c r="AF198" s="328"/>
      <c r="AG198" s="328"/>
      <c r="AH198" s="327">
        <v>610</v>
      </c>
      <c r="AI198" s="327">
        <v>630</v>
      </c>
      <c r="AJ198" s="327">
        <v>254</v>
      </c>
      <c r="AK198" s="327">
        <v>95</v>
      </c>
      <c r="AL198" s="327">
        <v>170</v>
      </c>
      <c r="AM198" s="327">
        <v>25</v>
      </c>
      <c r="AN198" s="327">
        <v>86</v>
      </c>
      <c r="AO198" s="327" t="s">
        <v>250</v>
      </c>
      <c r="AP198" s="327">
        <v>355</v>
      </c>
      <c r="AQ198" s="327">
        <v>28</v>
      </c>
      <c r="AR198" s="327">
        <v>730</v>
      </c>
      <c r="AS198" s="327">
        <v>720</v>
      </c>
      <c r="AT198" s="327">
        <v>700</v>
      </c>
      <c r="AU198" s="327">
        <v>1065</v>
      </c>
      <c r="AV198" s="327">
        <v>1525</v>
      </c>
      <c r="AW198" s="327">
        <v>1670</v>
      </c>
      <c r="AX198" s="328"/>
      <c r="AY198" s="328"/>
      <c r="AZ198" s="328"/>
      <c r="BA198" s="328"/>
      <c r="BB198" s="328"/>
      <c r="BC198" s="328"/>
      <c r="BD198" s="328"/>
      <c r="BE198" s="328"/>
      <c r="BF198" s="328"/>
      <c r="BG198" s="328"/>
      <c r="BH198" s="327">
        <v>740</v>
      </c>
      <c r="BI198" s="327">
        <v>680</v>
      </c>
      <c r="BJ198" s="327">
        <v>800</v>
      </c>
      <c r="BK198" s="327">
        <v>24</v>
      </c>
      <c r="BL198" s="327">
        <v>6</v>
      </c>
      <c r="BM198" s="325" t="s">
        <v>390</v>
      </c>
      <c r="BN198" s="325" t="s">
        <v>389</v>
      </c>
      <c r="BO198" s="326"/>
      <c r="BP198" s="326"/>
      <c r="BQ198" s="325" t="s">
        <v>388</v>
      </c>
    </row>
    <row r="199" spans="1:70" ht="12" customHeight="1">
      <c r="A199" s="320">
        <v>341</v>
      </c>
      <c r="B199" s="336" t="s">
        <v>746</v>
      </c>
      <c r="C199" s="325" t="s">
        <v>745</v>
      </c>
      <c r="D199" s="336" t="s">
        <v>750</v>
      </c>
      <c r="E199" s="328">
        <v>400</v>
      </c>
      <c r="F199" s="328">
        <v>8</v>
      </c>
      <c r="G199" s="325">
        <v>250</v>
      </c>
      <c r="H199" s="325">
        <v>300</v>
      </c>
      <c r="I199" s="325">
        <v>745</v>
      </c>
      <c r="J199" s="325">
        <v>894</v>
      </c>
      <c r="K199" s="328"/>
      <c r="L199" s="343">
        <v>455</v>
      </c>
      <c r="M199" s="331">
        <f t="shared" si="143"/>
        <v>474.78260869565219</v>
      </c>
      <c r="N199" s="332">
        <v>0.84</v>
      </c>
      <c r="O199" s="339">
        <v>95.3</v>
      </c>
      <c r="P199" s="328"/>
      <c r="Q199" s="328"/>
      <c r="R199" s="332">
        <v>0.84</v>
      </c>
      <c r="S199" s="339">
        <v>95.3</v>
      </c>
      <c r="T199" s="328"/>
      <c r="U199" s="328"/>
      <c r="V199" s="332">
        <v>6.29</v>
      </c>
      <c r="W199" s="332">
        <v>1.85</v>
      </c>
      <c r="X199" s="332">
        <v>2.48</v>
      </c>
      <c r="Y199" s="328"/>
      <c r="Z199" s="328"/>
      <c r="AA199" s="328"/>
      <c r="AB199" s="380">
        <v>25.63</v>
      </c>
      <c r="AC199" s="328"/>
      <c r="AD199" s="325">
        <v>2914</v>
      </c>
      <c r="AE199" s="328"/>
      <c r="AF199" s="328"/>
      <c r="AG199" s="328"/>
      <c r="AH199" s="327">
        <v>686</v>
      </c>
      <c r="AI199" s="327">
        <v>710</v>
      </c>
      <c r="AJ199" s="327">
        <v>280</v>
      </c>
      <c r="AK199" s="327">
        <v>120</v>
      </c>
      <c r="AL199" s="327">
        <v>210</v>
      </c>
      <c r="AM199" s="327">
        <v>28</v>
      </c>
      <c r="AN199" s="327">
        <v>100</v>
      </c>
      <c r="AO199" s="327" t="s">
        <v>250</v>
      </c>
      <c r="AP199" s="327">
        <v>400</v>
      </c>
      <c r="AQ199" s="327">
        <v>36</v>
      </c>
      <c r="AR199" s="327">
        <v>806</v>
      </c>
      <c r="AS199" s="327">
        <v>810</v>
      </c>
      <c r="AT199" s="327" t="s">
        <v>251</v>
      </c>
      <c r="AU199" s="327">
        <v>1075</v>
      </c>
      <c r="AV199" s="327">
        <v>1881</v>
      </c>
      <c r="AW199" s="327">
        <v>2040</v>
      </c>
      <c r="AX199" s="328"/>
      <c r="AY199" s="328"/>
      <c r="AZ199" s="328"/>
      <c r="BA199" s="328"/>
      <c r="BB199" s="328"/>
      <c r="BC199" s="328"/>
      <c r="BD199" s="328"/>
      <c r="BE199" s="328"/>
      <c r="BF199" s="328"/>
      <c r="BG199" s="328"/>
      <c r="BH199" s="327">
        <v>940</v>
      </c>
      <c r="BI199" s="327">
        <v>880</v>
      </c>
      <c r="BJ199" s="327">
        <v>1000</v>
      </c>
      <c r="BK199" s="327">
        <v>28</v>
      </c>
      <c r="BL199" s="327">
        <v>6</v>
      </c>
      <c r="BM199" s="461" t="s">
        <v>390</v>
      </c>
      <c r="BN199" s="461" t="s">
        <v>389</v>
      </c>
      <c r="BO199" s="326"/>
      <c r="BP199" s="326"/>
      <c r="BQ199" s="328"/>
    </row>
    <row r="200" spans="1:70" ht="12" customHeight="1">
      <c r="A200" s="320">
        <v>342</v>
      </c>
      <c r="B200" s="336" t="s">
        <v>746</v>
      </c>
      <c r="C200" s="325" t="s">
        <v>745</v>
      </c>
      <c r="D200" s="336" t="s">
        <v>749</v>
      </c>
      <c r="E200" s="328">
        <v>400</v>
      </c>
      <c r="F200" s="328">
        <v>8</v>
      </c>
      <c r="G200" s="325">
        <v>280</v>
      </c>
      <c r="H200" s="325">
        <v>336</v>
      </c>
      <c r="I200" s="325">
        <v>745</v>
      </c>
      <c r="J200" s="325">
        <v>894</v>
      </c>
      <c r="K200" s="328"/>
      <c r="L200" s="343">
        <v>503</v>
      </c>
      <c r="M200" s="331">
        <f t="shared" si="143"/>
        <v>524.86956521739125</v>
      </c>
      <c r="N200" s="332">
        <v>0.84</v>
      </c>
      <c r="O200" s="339">
        <v>95.3</v>
      </c>
      <c r="P200" s="328"/>
      <c r="Q200" s="328"/>
      <c r="R200" s="332">
        <v>0.84</v>
      </c>
      <c r="S200" s="339">
        <v>95.3</v>
      </c>
      <c r="T200" s="328"/>
      <c r="U200" s="328"/>
      <c r="V200" s="332">
        <v>5.9</v>
      </c>
      <c r="W200" s="332">
        <v>1.71</v>
      </c>
      <c r="X200" s="332">
        <v>2.31</v>
      </c>
      <c r="Y200" s="328"/>
      <c r="Z200" s="328"/>
      <c r="AA200" s="328"/>
      <c r="AB200" s="380">
        <v>26.52</v>
      </c>
      <c r="AC200" s="328"/>
      <c r="AD200" s="325">
        <v>3070</v>
      </c>
      <c r="AE200" s="328"/>
      <c r="AF200" s="328"/>
      <c r="AG200" s="328"/>
      <c r="AH200" s="327">
        <v>686</v>
      </c>
      <c r="AI200" s="327">
        <v>710</v>
      </c>
      <c r="AJ200" s="327">
        <v>280</v>
      </c>
      <c r="AK200" s="327">
        <v>120</v>
      </c>
      <c r="AL200" s="327">
        <v>210</v>
      </c>
      <c r="AM200" s="327">
        <v>28</v>
      </c>
      <c r="AN200" s="327">
        <v>100</v>
      </c>
      <c r="AO200" s="327" t="s">
        <v>250</v>
      </c>
      <c r="AP200" s="327">
        <v>400</v>
      </c>
      <c r="AQ200" s="327">
        <v>36</v>
      </c>
      <c r="AR200" s="327">
        <v>806</v>
      </c>
      <c r="AS200" s="327">
        <v>810</v>
      </c>
      <c r="AT200" s="327" t="s">
        <v>251</v>
      </c>
      <c r="AU200" s="327">
        <v>1075</v>
      </c>
      <c r="AV200" s="327">
        <v>1881</v>
      </c>
      <c r="AW200" s="327">
        <v>2040</v>
      </c>
      <c r="AX200" s="328"/>
      <c r="AY200" s="328"/>
      <c r="AZ200" s="328"/>
      <c r="BA200" s="328"/>
      <c r="BB200" s="328"/>
      <c r="BC200" s="328"/>
      <c r="BD200" s="328"/>
      <c r="BE200" s="328"/>
      <c r="BF200" s="328"/>
      <c r="BG200" s="328"/>
      <c r="BH200" s="327">
        <v>940</v>
      </c>
      <c r="BI200" s="327">
        <v>880</v>
      </c>
      <c r="BJ200" s="327">
        <v>1000</v>
      </c>
      <c r="BK200" s="327">
        <v>28</v>
      </c>
      <c r="BL200" s="327">
        <v>6</v>
      </c>
      <c r="BM200" s="461" t="s">
        <v>390</v>
      </c>
      <c r="BN200" s="461" t="s">
        <v>389</v>
      </c>
      <c r="BO200" s="326"/>
      <c r="BP200" s="326"/>
      <c r="BQ200" s="328"/>
    </row>
    <row r="201" spans="1:70" ht="12" customHeight="1">
      <c r="A201" s="320">
        <v>343</v>
      </c>
      <c r="B201" s="336" t="s">
        <v>746</v>
      </c>
      <c r="C201" s="325" t="s">
        <v>745</v>
      </c>
      <c r="D201" s="336" t="s">
        <v>748</v>
      </c>
      <c r="E201" s="328">
        <v>400</v>
      </c>
      <c r="F201" s="328">
        <v>8</v>
      </c>
      <c r="G201" s="325">
        <v>315</v>
      </c>
      <c r="H201" s="325">
        <v>378</v>
      </c>
      <c r="I201" s="325">
        <v>745</v>
      </c>
      <c r="J201" s="325">
        <v>894</v>
      </c>
      <c r="K201" s="328"/>
      <c r="L201" s="343">
        <v>566</v>
      </c>
      <c r="M201" s="331">
        <f t="shared" si="143"/>
        <v>590.60869565217388</v>
      </c>
      <c r="N201" s="332">
        <v>0.85</v>
      </c>
      <c r="O201" s="339">
        <v>95.5</v>
      </c>
      <c r="P201" s="328"/>
      <c r="Q201" s="328"/>
      <c r="R201" s="332">
        <v>0.85</v>
      </c>
      <c r="S201" s="339">
        <v>95.5</v>
      </c>
      <c r="T201" s="328"/>
      <c r="U201" s="328"/>
      <c r="V201" s="332">
        <v>6.13</v>
      </c>
      <c r="W201" s="332">
        <v>1.81</v>
      </c>
      <c r="X201" s="332">
        <v>2.38</v>
      </c>
      <c r="Y201" s="328"/>
      <c r="Z201" s="328"/>
      <c r="AA201" s="328"/>
      <c r="AB201" s="380">
        <v>27.86</v>
      </c>
      <c r="AC201" s="328"/>
      <c r="AD201" s="325">
        <v>3392</v>
      </c>
      <c r="AE201" s="328"/>
      <c r="AF201" s="328"/>
      <c r="AG201" s="328"/>
      <c r="AH201" s="327">
        <v>686</v>
      </c>
      <c r="AI201" s="327">
        <v>710</v>
      </c>
      <c r="AJ201" s="327">
        <v>280</v>
      </c>
      <c r="AK201" s="327">
        <v>120</v>
      </c>
      <c r="AL201" s="327">
        <v>210</v>
      </c>
      <c r="AM201" s="327">
        <v>28</v>
      </c>
      <c r="AN201" s="327">
        <v>100</v>
      </c>
      <c r="AO201" s="327" t="s">
        <v>250</v>
      </c>
      <c r="AP201" s="327">
        <v>400</v>
      </c>
      <c r="AQ201" s="327">
        <v>36</v>
      </c>
      <c r="AR201" s="327">
        <v>806</v>
      </c>
      <c r="AS201" s="327">
        <v>810</v>
      </c>
      <c r="AT201" s="327" t="s">
        <v>251</v>
      </c>
      <c r="AU201" s="327">
        <v>1075</v>
      </c>
      <c r="AV201" s="327">
        <v>1881</v>
      </c>
      <c r="AW201" s="327">
        <v>2040</v>
      </c>
      <c r="AX201" s="328"/>
      <c r="AY201" s="328"/>
      <c r="AZ201" s="328"/>
      <c r="BA201" s="328"/>
      <c r="BB201" s="328"/>
      <c r="BC201" s="328"/>
      <c r="BD201" s="328"/>
      <c r="BE201" s="328"/>
      <c r="BF201" s="328"/>
      <c r="BG201" s="328"/>
      <c r="BH201" s="327">
        <v>940</v>
      </c>
      <c r="BI201" s="327">
        <v>880</v>
      </c>
      <c r="BJ201" s="327">
        <v>1000</v>
      </c>
      <c r="BK201" s="327">
        <v>28</v>
      </c>
      <c r="BL201" s="327">
        <v>6</v>
      </c>
      <c r="BM201" s="461" t="s">
        <v>390</v>
      </c>
      <c r="BN201" s="461" t="s">
        <v>389</v>
      </c>
      <c r="BO201" s="326"/>
      <c r="BP201" s="326"/>
      <c r="BQ201" s="328"/>
    </row>
    <row r="202" spans="1:70" ht="12" customHeight="1">
      <c r="A202" s="320">
        <v>344</v>
      </c>
      <c r="B202" s="336" t="s">
        <v>746</v>
      </c>
      <c r="C202" s="325" t="s">
        <v>745</v>
      </c>
      <c r="D202" s="336" t="s">
        <v>747</v>
      </c>
      <c r="E202" s="328">
        <v>400</v>
      </c>
      <c r="F202" s="328">
        <v>8</v>
      </c>
      <c r="G202" s="325">
        <v>355</v>
      </c>
      <c r="H202" s="325">
        <v>426</v>
      </c>
      <c r="I202" s="325">
        <v>745</v>
      </c>
      <c r="J202" s="325">
        <v>894</v>
      </c>
      <c r="K202" s="328"/>
      <c r="L202" s="343">
        <v>641</v>
      </c>
      <c r="M202" s="331">
        <f t="shared" si="143"/>
        <v>668.86956521739125</v>
      </c>
      <c r="N202" s="332">
        <v>0.85</v>
      </c>
      <c r="O202" s="339">
        <v>95.6</v>
      </c>
      <c r="P202" s="328"/>
      <c r="Q202" s="328"/>
      <c r="R202" s="332">
        <v>0.85</v>
      </c>
      <c r="S202" s="339">
        <v>95.6</v>
      </c>
      <c r="T202" s="328"/>
      <c r="U202" s="328"/>
      <c r="V202" s="332">
        <v>5.84</v>
      </c>
      <c r="W202" s="332">
        <v>1.72</v>
      </c>
      <c r="X202" s="332">
        <v>2.25</v>
      </c>
      <c r="Y202" s="328"/>
      <c r="Z202" s="328"/>
      <c r="AA202" s="328"/>
      <c r="AB202" s="380">
        <v>29.76</v>
      </c>
      <c r="AC202" s="328"/>
      <c r="AD202" s="325">
        <v>3592</v>
      </c>
      <c r="AE202" s="328"/>
      <c r="AF202" s="328"/>
      <c r="AG202" s="328"/>
      <c r="AH202" s="327">
        <v>686</v>
      </c>
      <c r="AI202" s="327">
        <v>710</v>
      </c>
      <c r="AJ202" s="327">
        <v>280</v>
      </c>
      <c r="AK202" s="327">
        <v>120</v>
      </c>
      <c r="AL202" s="327">
        <v>210</v>
      </c>
      <c r="AM202" s="327">
        <v>28</v>
      </c>
      <c r="AN202" s="327">
        <v>100</v>
      </c>
      <c r="AO202" s="327" t="s">
        <v>250</v>
      </c>
      <c r="AP202" s="327">
        <v>400</v>
      </c>
      <c r="AQ202" s="327">
        <v>36</v>
      </c>
      <c r="AR202" s="327">
        <v>806</v>
      </c>
      <c r="AS202" s="327">
        <v>810</v>
      </c>
      <c r="AT202" s="327" t="s">
        <v>251</v>
      </c>
      <c r="AU202" s="327">
        <v>1075</v>
      </c>
      <c r="AV202" s="327">
        <v>1881</v>
      </c>
      <c r="AW202" s="327">
        <v>2040</v>
      </c>
      <c r="AX202" s="328"/>
      <c r="AY202" s="328"/>
      <c r="AZ202" s="328"/>
      <c r="BA202" s="328"/>
      <c r="BB202" s="328"/>
      <c r="BC202" s="328"/>
      <c r="BD202" s="328"/>
      <c r="BE202" s="328"/>
      <c r="BF202" s="328"/>
      <c r="BG202" s="328"/>
      <c r="BH202" s="327">
        <v>940</v>
      </c>
      <c r="BI202" s="327">
        <v>880</v>
      </c>
      <c r="BJ202" s="327">
        <v>1000</v>
      </c>
      <c r="BK202" s="327">
        <v>28</v>
      </c>
      <c r="BL202" s="327">
        <v>6</v>
      </c>
      <c r="BM202" s="461" t="s">
        <v>390</v>
      </c>
      <c r="BN202" s="461" t="s">
        <v>389</v>
      </c>
      <c r="BO202" s="326"/>
      <c r="BP202" s="326"/>
      <c r="BQ202" s="328"/>
    </row>
    <row r="203" spans="1:70" ht="12" customHeight="1">
      <c r="A203" s="320">
        <v>345</v>
      </c>
      <c r="B203" s="336" t="s">
        <v>746</v>
      </c>
      <c r="C203" s="325" t="s">
        <v>745</v>
      </c>
      <c r="D203" s="336" t="s">
        <v>744</v>
      </c>
      <c r="E203" s="328">
        <v>400</v>
      </c>
      <c r="F203" s="328">
        <v>8</v>
      </c>
      <c r="G203" s="325">
        <v>400</v>
      </c>
      <c r="H203" s="325">
        <v>480</v>
      </c>
      <c r="I203" s="325">
        <v>740</v>
      </c>
      <c r="J203" s="325">
        <v>888</v>
      </c>
      <c r="K203" s="328"/>
      <c r="L203" s="343">
        <v>723</v>
      </c>
      <c r="M203" s="331">
        <f t="shared" si="143"/>
        <v>754.43478260869563</v>
      </c>
      <c r="N203" s="332">
        <v>0.85</v>
      </c>
      <c r="O203" s="339">
        <v>95.6</v>
      </c>
      <c r="P203" s="328"/>
      <c r="Q203" s="328"/>
      <c r="R203" s="332">
        <v>0.85</v>
      </c>
      <c r="S203" s="339">
        <v>95.6</v>
      </c>
      <c r="T203" s="328"/>
      <c r="U203" s="328"/>
      <c r="V203" s="332">
        <v>6.39</v>
      </c>
      <c r="W203" s="332">
        <v>1.96</v>
      </c>
      <c r="X203" s="332">
        <v>2.44</v>
      </c>
      <c r="Y203" s="328"/>
      <c r="Z203" s="328"/>
      <c r="AA203" s="328"/>
      <c r="AB203" s="380">
        <v>31.34</v>
      </c>
      <c r="AC203" s="328"/>
      <c r="AD203" s="325">
        <v>3949</v>
      </c>
      <c r="AE203" s="328"/>
      <c r="AF203" s="328"/>
      <c r="AG203" s="328"/>
      <c r="AH203" s="327">
        <v>686</v>
      </c>
      <c r="AI203" s="327">
        <v>710</v>
      </c>
      <c r="AJ203" s="327">
        <v>280</v>
      </c>
      <c r="AK203" s="327">
        <v>120</v>
      </c>
      <c r="AL203" s="327">
        <v>210</v>
      </c>
      <c r="AM203" s="327">
        <v>28</v>
      </c>
      <c r="AN203" s="327">
        <v>100</v>
      </c>
      <c r="AO203" s="327" t="s">
        <v>250</v>
      </c>
      <c r="AP203" s="327">
        <v>400</v>
      </c>
      <c r="AQ203" s="327">
        <v>36</v>
      </c>
      <c r="AR203" s="327">
        <v>806</v>
      </c>
      <c r="AS203" s="327">
        <v>810</v>
      </c>
      <c r="AT203" s="327" t="s">
        <v>251</v>
      </c>
      <c r="AU203" s="327">
        <v>1075</v>
      </c>
      <c r="AV203" s="327">
        <v>1881</v>
      </c>
      <c r="AW203" s="327">
        <v>2040</v>
      </c>
      <c r="AX203" s="328"/>
      <c r="AY203" s="328"/>
      <c r="AZ203" s="328"/>
      <c r="BA203" s="328"/>
      <c r="BB203" s="328"/>
      <c r="BC203" s="328"/>
      <c r="BD203" s="328"/>
      <c r="BE203" s="328"/>
      <c r="BF203" s="328"/>
      <c r="BG203" s="328"/>
      <c r="BH203" s="327">
        <v>940</v>
      </c>
      <c r="BI203" s="327">
        <v>880</v>
      </c>
      <c r="BJ203" s="327">
        <v>1000</v>
      </c>
      <c r="BK203" s="327">
        <v>28</v>
      </c>
      <c r="BL203" s="327">
        <v>6</v>
      </c>
      <c r="BM203" s="461" t="s">
        <v>390</v>
      </c>
      <c r="BN203" s="461" t="s">
        <v>389</v>
      </c>
      <c r="BO203" s="326"/>
      <c r="BP203" s="326"/>
      <c r="BQ203" s="328"/>
    </row>
    <row r="204" spans="1:70" s="1845" customFormat="1" ht="12" customHeight="1">
      <c r="A204" s="1842">
        <f>A203</f>
        <v>345</v>
      </c>
      <c r="B204" s="1843" t="str">
        <f t="shared" ref="B204" si="144">B203</f>
        <v>3D</v>
      </c>
      <c r="C204" s="1844" t="str">
        <f t="shared" ref="C204" si="145">C203</f>
        <v>Eff2</v>
      </c>
      <c r="D204" s="1843" t="str">
        <f t="shared" ref="D204" si="146">D203</f>
        <v>3D 400 L3-8</v>
      </c>
      <c r="E204" s="1845">
        <f t="shared" ref="E204" si="147">E203</f>
        <v>400</v>
      </c>
      <c r="F204" s="1846">
        <f t="shared" ref="F204" si="148">F203</f>
        <v>8</v>
      </c>
      <c r="G204" s="1844">
        <f t="shared" ref="G204" si="149">G203</f>
        <v>400</v>
      </c>
      <c r="H204" s="1844">
        <f t="shared" ref="H204" si="150">H203</f>
        <v>480</v>
      </c>
      <c r="I204" s="1844">
        <f t="shared" ref="I204" si="151">I203</f>
        <v>740</v>
      </c>
      <c r="J204" s="1847">
        <f t="shared" ref="J204" si="152">J203</f>
        <v>888</v>
      </c>
      <c r="K204" s="1845">
        <f t="shared" ref="K204" si="153">K203</f>
        <v>0</v>
      </c>
      <c r="L204" s="1844">
        <f t="shared" ref="L204" si="154">L203</f>
        <v>723</v>
      </c>
      <c r="M204" s="1848">
        <f t="shared" ref="M204" si="155">M203</f>
        <v>754.43478260869563</v>
      </c>
      <c r="N204" s="1849">
        <f t="shared" ref="N204" si="156">N203</f>
        <v>0.85</v>
      </c>
      <c r="O204" s="1850">
        <f t="shared" ref="O204" si="157">O203</f>
        <v>95.6</v>
      </c>
      <c r="P204" s="1845">
        <f t="shared" ref="P204" si="158">P203</f>
        <v>0</v>
      </c>
      <c r="Q204" s="1845">
        <f t="shared" ref="Q204" si="159">Q203</f>
        <v>0</v>
      </c>
      <c r="R204" s="1849">
        <f t="shared" ref="R204" si="160">R203</f>
        <v>0.85</v>
      </c>
      <c r="S204" s="1850">
        <f t="shared" ref="S204" si="161">S203</f>
        <v>95.6</v>
      </c>
      <c r="T204" s="1845">
        <f t="shared" ref="T204" si="162">T203</f>
        <v>0</v>
      </c>
      <c r="U204" s="1845">
        <f t="shared" ref="U204" si="163">U203</f>
        <v>0</v>
      </c>
      <c r="V204" s="1849">
        <f t="shared" ref="V204" si="164">V203</f>
        <v>6.39</v>
      </c>
      <c r="W204" s="1849">
        <f t="shared" ref="W204" si="165">W203</f>
        <v>1.96</v>
      </c>
      <c r="X204" s="1850">
        <f t="shared" ref="X204" si="166">X203</f>
        <v>2.44</v>
      </c>
      <c r="Y204" s="1845">
        <f t="shared" ref="Y204" si="167">Y203</f>
        <v>0</v>
      </c>
      <c r="Z204" s="1845">
        <f t="shared" ref="Z204" si="168">Z203</f>
        <v>0</v>
      </c>
      <c r="AA204" s="1845">
        <f t="shared" ref="AA204" si="169">AA203</f>
        <v>0</v>
      </c>
      <c r="AB204" s="1851">
        <f t="shared" ref="AB204" si="170">AB203</f>
        <v>31.34</v>
      </c>
      <c r="AC204" s="1845">
        <f t="shared" ref="AC204" si="171">AC203</f>
        <v>0</v>
      </c>
      <c r="AD204" s="1844">
        <f t="shared" ref="AD204" si="172">AD203</f>
        <v>3949</v>
      </c>
      <c r="AE204" s="1845">
        <f t="shared" ref="AE204" si="173">AE203</f>
        <v>0</v>
      </c>
      <c r="AF204" s="1845">
        <f t="shared" ref="AF204" si="174">AF203</f>
        <v>0</v>
      </c>
      <c r="AG204" s="1845">
        <f t="shared" ref="AG204" si="175">AG203</f>
        <v>0</v>
      </c>
      <c r="AH204" s="1844">
        <f t="shared" ref="AH204" si="176">AH203</f>
        <v>686</v>
      </c>
      <c r="AI204" s="1844">
        <f t="shared" ref="AI204" si="177">AI203</f>
        <v>710</v>
      </c>
      <c r="AJ204" s="1844">
        <f t="shared" ref="AJ204" si="178">AJ203</f>
        <v>280</v>
      </c>
      <c r="AK204" s="1844">
        <f t="shared" ref="AK204" si="179">AK203</f>
        <v>120</v>
      </c>
      <c r="AL204" s="1844">
        <f t="shared" ref="AL204" si="180">AL203</f>
        <v>210</v>
      </c>
      <c r="AM204" s="1844">
        <f t="shared" ref="AM204" si="181">AM203</f>
        <v>28</v>
      </c>
      <c r="AN204" s="1844">
        <f t="shared" ref="AN204" si="182">AN203</f>
        <v>100</v>
      </c>
      <c r="AO204" s="1844" t="str">
        <f t="shared" ref="AO204" si="183">AO203</f>
        <v>M24</v>
      </c>
      <c r="AP204" s="1844">
        <f t="shared" ref="AP204" si="184">AP203</f>
        <v>400</v>
      </c>
      <c r="AQ204" s="1844">
        <f t="shared" ref="AQ204" si="185">AQ203</f>
        <v>36</v>
      </c>
      <c r="AR204" s="1844">
        <f t="shared" ref="AR204" si="186">AR203</f>
        <v>806</v>
      </c>
      <c r="AS204" s="1844">
        <f t="shared" ref="AS204" si="187">AS203</f>
        <v>810</v>
      </c>
      <c r="AT204" s="1844" t="str">
        <f t="shared" ref="AT204" si="188">AT203</f>
        <v>-</v>
      </c>
      <c r="AU204" s="1844">
        <f t="shared" ref="AU204" si="189">AU203</f>
        <v>1075</v>
      </c>
      <c r="AV204" s="1844">
        <f t="shared" ref="AV204" si="190">AV203</f>
        <v>1881</v>
      </c>
      <c r="AW204" s="1844">
        <f t="shared" ref="AW204" si="191">AW203</f>
        <v>2040</v>
      </c>
      <c r="AX204" s="1845">
        <f t="shared" ref="AX204" si="192">AX203</f>
        <v>0</v>
      </c>
      <c r="AY204" s="1845">
        <f t="shared" ref="AY204" si="193">AY203</f>
        <v>0</v>
      </c>
      <c r="AZ204" s="1845">
        <f t="shared" ref="AZ204" si="194">AZ203</f>
        <v>0</v>
      </c>
      <c r="BA204" s="1845">
        <f t="shared" ref="BA204" si="195">BA203</f>
        <v>0</v>
      </c>
      <c r="BB204" s="1845">
        <f t="shared" ref="BB204" si="196">BB203</f>
        <v>0</v>
      </c>
      <c r="BC204" s="1845">
        <f t="shared" ref="BC204" si="197">BC203</f>
        <v>0</v>
      </c>
      <c r="BD204" s="1845">
        <f t="shared" ref="BD204" si="198">BD203</f>
        <v>0</v>
      </c>
      <c r="BE204" s="1845">
        <f t="shared" ref="BE204" si="199">BE203</f>
        <v>0</v>
      </c>
      <c r="BF204" s="1845">
        <f t="shared" ref="BF204" si="200">BF203</f>
        <v>0</v>
      </c>
      <c r="BG204" s="1845">
        <f t="shared" ref="BG204" si="201">BG203</f>
        <v>0</v>
      </c>
      <c r="BH204" s="1844">
        <f t="shared" ref="BH204" si="202">BH203</f>
        <v>940</v>
      </c>
      <c r="BI204" s="1844">
        <f t="shared" ref="BI204" si="203">BI203</f>
        <v>880</v>
      </c>
      <c r="BJ204" s="1844">
        <f t="shared" ref="BJ204" si="204">BJ203</f>
        <v>1000</v>
      </c>
      <c r="BK204" s="1844">
        <f t="shared" ref="BK204" si="205">BK203</f>
        <v>28</v>
      </c>
      <c r="BL204" s="1844">
        <f t="shared" ref="BL204" si="206">BL203</f>
        <v>6</v>
      </c>
      <c r="BM204" s="1844" t="str">
        <f t="shared" ref="BM204" si="207">BM203</f>
        <v>6322/C3</v>
      </c>
      <c r="BN204" s="1844" t="str">
        <f t="shared" ref="BN204" si="208">BN203</f>
        <v>6319/C3</v>
      </c>
      <c r="BO204" s="1852">
        <f t="shared" ref="BO204" si="209">BO203</f>
        <v>0</v>
      </c>
      <c r="BP204" s="1852">
        <f t="shared" ref="BP204" si="210">BP203</f>
        <v>0</v>
      </c>
      <c r="BQ204" s="1845">
        <f t="shared" ref="BQ204" si="211">BQ203</f>
        <v>0</v>
      </c>
      <c r="BR204" s="1842"/>
    </row>
    <row r="205" spans="1:70" ht="12" customHeight="1">
      <c r="A205" s="320">
        <v>401</v>
      </c>
      <c r="B205" s="371" t="s">
        <v>674</v>
      </c>
      <c r="C205" s="328" t="s">
        <v>655</v>
      </c>
      <c r="D205" s="371" t="s">
        <v>743</v>
      </c>
      <c r="E205" s="328">
        <v>80</v>
      </c>
      <c r="F205" s="365">
        <v>2</v>
      </c>
      <c r="G205" s="346">
        <v>0.75</v>
      </c>
      <c r="H205" s="370">
        <v>0.9</v>
      </c>
      <c r="I205" s="370">
        <v>2860</v>
      </c>
      <c r="J205" s="370">
        <v>3432</v>
      </c>
      <c r="K205" s="328"/>
      <c r="L205" s="347">
        <v>1.66</v>
      </c>
      <c r="M205" s="331">
        <f t="shared" si="143"/>
        <v>1.7321739130434781</v>
      </c>
      <c r="N205" s="347">
        <v>0.83</v>
      </c>
      <c r="O205" s="367">
        <v>77.400000000000006</v>
      </c>
      <c r="P205" s="348">
        <v>78.5</v>
      </c>
      <c r="Q205" s="348">
        <v>77.3</v>
      </c>
      <c r="R205" s="347">
        <v>0.83</v>
      </c>
      <c r="S205" s="367">
        <v>77.400000000000006</v>
      </c>
      <c r="T205" s="348">
        <v>78.5</v>
      </c>
      <c r="U205" s="348">
        <v>77.3</v>
      </c>
      <c r="V205" s="367">
        <v>6.8</v>
      </c>
      <c r="W205" s="367">
        <v>2.2999999999999998</v>
      </c>
      <c r="X205" s="367">
        <v>2.2999999999999998</v>
      </c>
      <c r="Y205" s="328"/>
      <c r="Z205" s="328"/>
      <c r="AA205" s="328"/>
      <c r="AB205" s="366">
        <v>8.0000000000000004E-4</v>
      </c>
      <c r="AC205" s="328">
        <v>56</v>
      </c>
      <c r="AD205" s="346">
        <v>11</v>
      </c>
      <c r="AE205" s="328"/>
      <c r="AF205" s="328"/>
      <c r="AG205" s="328"/>
      <c r="AH205" s="327">
        <v>125</v>
      </c>
      <c r="AI205" s="327">
        <v>100</v>
      </c>
      <c r="AJ205" s="327">
        <v>50</v>
      </c>
      <c r="AK205" s="327">
        <v>19</v>
      </c>
      <c r="AL205" s="327">
        <v>40</v>
      </c>
      <c r="AM205" s="327">
        <v>6</v>
      </c>
      <c r="AN205" s="327">
        <v>15.5</v>
      </c>
      <c r="AO205" s="327" t="s">
        <v>244</v>
      </c>
      <c r="AP205" s="327">
        <v>80</v>
      </c>
      <c r="AQ205" s="327">
        <v>10</v>
      </c>
      <c r="AR205" s="327">
        <v>153</v>
      </c>
      <c r="AS205" s="327">
        <v>167</v>
      </c>
      <c r="AT205" s="327">
        <v>138</v>
      </c>
      <c r="AU205" s="327">
        <v>217</v>
      </c>
      <c r="AV205" s="327">
        <v>295</v>
      </c>
      <c r="AW205" s="327">
        <v>295</v>
      </c>
      <c r="AX205" s="327">
        <v>100</v>
      </c>
      <c r="AY205" s="327">
        <v>80</v>
      </c>
      <c r="AZ205" s="327">
        <v>120</v>
      </c>
      <c r="BA205" s="327" t="s">
        <v>244</v>
      </c>
      <c r="BB205" s="327">
        <v>3</v>
      </c>
      <c r="BC205" s="327">
        <v>130</v>
      </c>
      <c r="BD205" s="327">
        <v>110</v>
      </c>
      <c r="BE205" s="327">
        <v>160</v>
      </c>
      <c r="BF205" s="327" t="s">
        <v>245</v>
      </c>
      <c r="BG205" s="327">
        <v>3.5</v>
      </c>
      <c r="BH205" s="327">
        <v>165</v>
      </c>
      <c r="BI205" s="327">
        <v>130</v>
      </c>
      <c r="BJ205" s="327">
        <v>200</v>
      </c>
      <c r="BK205" s="327">
        <v>12</v>
      </c>
      <c r="BL205" s="327">
        <v>3</v>
      </c>
      <c r="BM205" s="325" t="s">
        <v>568</v>
      </c>
      <c r="BN205" s="325" t="s">
        <v>568</v>
      </c>
      <c r="BO205" s="340" t="s">
        <v>714</v>
      </c>
      <c r="BP205" s="340" t="s">
        <v>714</v>
      </c>
      <c r="BQ205" s="325" t="s">
        <v>480</v>
      </c>
    </row>
    <row r="206" spans="1:70" ht="12" customHeight="1">
      <c r="A206" s="320">
        <v>402</v>
      </c>
      <c r="B206" s="371" t="s">
        <v>674</v>
      </c>
      <c r="C206" s="328" t="s">
        <v>655</v>
      </c>
      <c r="D206" s="371" t="s">
        <v>742</v>
      </c>
      <c r="E206" s="328">
        <v>80</v>
      </c>
      <c r="F206" s="365">
        <v>2</v>
      </c>
      <c r="G206" s="346">
        <v>1.1000000000000001</v>
      </c>
      <c r="H206" s="370">
        <v>1.32</v>
      </c>
      <c r="I206" s="370">
        <v>2880</v>
      </c>
      <c r="J206" s="370">
        <v>3456</v>
      </c>
      <c r="K206" s="328"/>
      <c r="L206" s="347">
        <v>2.31</v>
      </c>
      <c r="M206" s="333">
        <f t="shared" si="143"/>
        <v>2.4104347826086956</v>
      </c>
      <c r="N206" s="347">
        <v>0.83</v>
      </c>
      <c r="O206" s="367">
        <v>79.599999999999994</v>
      </c>
      <c r="P206" s="348">
        <v>80</v>
      </c>
      <c r="Q206" s="348">
        <v>78.5</v>
      </c>
      <c r="R206" s="347">
        <v>0.83</v>
      </c>
      <c r="S206" s="367">
        <v>79.599999999999994</v>
      </c>
      <c r="T206" s="348">
        <v>80</v>
      </c>
      <c r="U206" s="348">
        <v>78.5</v>
      </c>
      <c r="V206" s="367">
        <v>7.3</v>
      </c>
      <c r="W206" s="367">
        <v>2.2999999999999998</v>
      </c>
      <c r="X206" s="367">
        <v>2.2999999999999998</v>
      </c>
      <c r="Y206" s="328"/>
      <c r="Z206" s="328"/>
      <c r="AA206" s="328"/>
      <c r="AB206" s="366">
        <v>8.9999999999999998E-4</v>
      </c>
      <c r="AC206" s="328">
        <v>56</v>
      </c>
      <c r="AD206" s="346">
        <v>12.5</v>
      </c>
      <c r="AE206" s="328"/>
      <c r="AF206" s="328"/>
      <c r="AG206" s="328"/>
      <c r="AH206" s="327">
        <v>125</v>
      </c>
      <c r="AI206" s="327">
        <v>100</v>
      </c>
      <c r="AJ206" s="327">
        <v>50</v>
      </c>
      <c r="AK206" s="327">
        <v>19</v>
      </c>
      <c r="AL206" s="327">
        <v>40</v>
      </c>
      <c r="AM206" s="327">
        <v>6</v>
      </c>
      <c r="AN206" s="327">
        <v>15.5</v>
      </c>
      <c r="AO206" s="327" t="s">
        <v>244</v>
      </c>
      <c r="AP206" s="327">
        <v>80</v>
      </c>
      <c r="AQ206" s="327">
        <v>10</v>
      </c>
      <c r="AR206" s="327">
        <v>153</v>
      </c>
      <c r="AS206" s="327">
        <v>167</v>
      </c>
      <c r="AT206" s="327">
        <v>138</v>
      </c>
      <c r="AU206" s="327">
        <v>217</v>
      </c>
      <c r="AV206" s="327">
        <v>295</v>
      </c>
      <c r="AW206" s="327">
        <v>295</v>
      </c>
      <c r="AX206" s="327">
        <v>100</v>
      </c>
      <c r="AY206" s="327">
        <v>80</v>
      </c>
      <c r="AZ206" s="327">
        <v>120</v>
      </c>
      <c r="BA206" s="327" t="s">
        <v>244</v>
      </c>
      <c r="BB206" s="327">
        <v>3</v>
      </c>
      <c r="BC206" s="327">
        <v>130</v>
      </c>
      <c r="BD206" s="327">
        <v>110</v>
      </c>
      <c r="BE206" s="327">
        <v>160</v>
      </c>
      <c r="BF206" s="327" t="s">
        <v>245</v>
      </c>
      <c r="BG206" s="327">
        <v>3.5</v>
      </c>
      <c r="BH206" s="327">
        <v>165</v>
      </c>
      <c r="BI206" s="327">
        <v>130</v>
      </c>
      <c r="BJ206" s="327">
        <v>200</v>
      </c>
      <c r="BK206" s="327">
        <v>12</v>
      </c>
      <c r="BL206" s="327">
        <v>3</v>
      </c>
      <c r="BM206" s="325" t="s">
        <v>568</v>
      </c>
      <c r="BN206" s="325" t="s">
        <v>568</v>
      </c>
      <c r="BO206" s="340" t="s">
        <v>714</v>
      </c>
      <c r="BP206" s="340" t="s">
        <v>714</v>
      </c>
      <c r="BQ206" s="325" t="s">
        <v>480</v>
      </c>
    </row>
    <row r="207" spans="1:70" ht="12" customHeight="1">
      <c r="A207" s="320">
        <v>403</v>
      </c>
      <c r="B207" s="371" t="s">
        <v>674</v>
      </c>
      <c r="C207" s="328" t="s">
        <v>655</v>
      </c>
      <c r="D207" s="371" t="s">
        <v>741</v>
      </c>
      <c r="E207" s="328">
        <v>90</v>
      </c>
      <c r="F207" s="365">
        <v>2</v>
      </c>
      <c r="G207" s="346">
        <v>1.5</v>
      </c>
      <c r="H207" s="370">
        <v>1.8</v>
      </c>
      <c r="I207" s="370">
        <v>2890</v>
      </c>
      <c r="J207" s="370">
        <v>3468</v>
      </c>
      <c r="K207" s="328"/>
      <c r="L207" s="347">
        <v>3.08</v>
      </c>
      <c r="M207" s="331">
        <f t="shared" si="143"/>
        <v>3.2139130434782612</v>
      </c>
      <c r="N207" s="347">
        <v>0.85</v>
      </c>
      <c r="O207" s="367">
        <v>81.3</v>
      </c>
      <c r="P207" s="348">
        <v>81.8</v>
      </c>
      <c r="Q207" s="348">
        <v>80</v>
      </c>
      <c r="R207" s="347">
        <v>0.85</v>
      </c>
      <c r="S207" s="367">
        <v>81.3</v>
      </c>
      <c r="T207" s="348">
        <v>81.8</v>
      </c>
      <c r="U207" s="348">
        <v>80</v>
      </c>
      <c r="V207" s="367">
        <v>7.5</v>
      </c>
      <c r="W207" s="367">
        <v>2.2999999999999998</v>
      </c>
      <c r="X207" s="367">
        <v>2.2999999999999998</v>
      </c>
      <c r="Y207" s="328"/>
      <c r="Z207" s="328"/>
      <c r="AA207" s="328"/>
      <c r="AB207" s="366">
        <v>1.1999999999999999E-3</v>
      </c>
      <c r="AC207" s="328">
        <v>60</v>
      </c>
      <c r="AD207" s="346">
        <v>14.5</v>
      </c>
      <c r="AE207" s="328"/>
      <c r="AF207" s="328"/>
      <c r="AG207" s="328"/>
      <c r="AH207" s="327">
        <v>143</v>
      </c>
      <c r="AI207" s="327">
        <v>100</v>
      </c>
      <c r="AJ207" s="327">
        <v>56</v>
      </c>
      <c r="AK207" s="327">
        <v>24</v>
      </c>
      <c r="AL207" s="327">
        <v>50</v>
      </c>
      <c r="AM207" s="327">
        <v>8</v>
      </c>
      <c r="AN207" s="327">
        <v>20</v>
      </c>
      <c r="AO207" s="327" t="s">
        <v>245</v>
      </c>
      <c r="AP207" s="327">
        <v>90</v>
      </c>
      <c r="AQ207" s="327">
        <v>10</v>
      </c>
      <c r="AR207" s="327">
        <v>178</v>
      </c>
      <c r="AS207" s="327">
        <v>180</v>
      </c>
      <c r="AT207" s="327">
        <v>150</v>
      </c>
      <c r="AU207" s="327">
        <v>240</v>
      </c>
      <c r="AV207" s="327">
        <v>327</v>
      </c>
      <c r="AW207" s="327">
        <v>327</v>
      </c>
      <c r="AX207" s="327">
        <v>115</v>
      </c>
      <c r="AY207" s="327">
        <v>95</v>
      </c>
      <c r="AZ207" s="327">
        <v>140</v>
      </c>
      <c r="BA207" s="327" t="s">
        <v>245</v>
      </c>
      <c r="BB207" s="327">
        <v>3</v>
      </c>
      <c r="BC207" s="327">
        <v>130</v>
      </c>
      <c r="BD207" s="327">
        <v>110</v>
      </c>
      <c r="BE207" s="327">
        <v>160</v>
      </c>
      <c r="BF207" s="327" t="s">
        <v>245</v>
      </c>
      <c r="BG207" s="327">
        <v>3.5</v>
      </c>
      <c r="BH207" s="327">
        <v>165</v>
      </c>
      <c r="BI207" s="327">
        <v>130</v>
      </c>
      <c r="BJ207" s="327">
        <v>200</v>
      </c>
      <c r="BK207" s="327">
        <v>12</v>
      </c>
      <c r="BL207" s="327">
        <v>3.5</v>
      </c>
      <c r="BM207" s="325" t="s">
        <v>485</v>
      </c>
      <c r="BN207" s="325" t="s">
        <v>485</v>
      </c>
      <c r="BO207" s="340" t="s">
        <v>686</v>
      </c>
      <c r="BP207" s="340" t="s">
        <v>686</v>
      </c>
      <c r="BQ207" s="325" t="s">
        <v>480</v>
      </c>
    </row>
    <row r="208" spans="1:70" ht="12" customHeight="1">
      <c r="A208" s="320">
        <v>404</v>
      </c>
      <c r="B208" s="371" t="s">
        <v>674</v>
      </c>
      <c r="C208" s="328" t="s">
        <v>655</v>
      </c>
      <c r="D208" s="371" t="s">
        <v>740</v>
      </c>
      <c r="E208" s="328">
        <v>90</v>
      </c>
      <c r="F208" s="365">
        <v>2</v>
      </c>
      <c r="G208" s="346">
        <v>2.2000000000000002</v>
      </c>
      <c r="H208" s="370">
        <v>2.64</v>
      </c>
      <c r="I208" s="370">
        <v>2890</v>
      </c>
      <c r="J208" s="370">
        <v>3468</v>
      </c>
      <c r="K208" s="328"/>
      <c r="L208" s="347">
        <v>4.3899999999999997</v>
      </c>
      <c r="M208" s="333">
        <f t="shared" si="143"/>
        <v>4.580869565217391</v>
      </c>
      <c r="N208" s="347">
        <v>0.85</v>
      </c>
      <c r="O208" s="367">
        <v>83.2</v>
      </c>
      <c r="P208" s="348">
        <v>84</v>
      </c>
      <c r="Q208" s="348">
        <v>82.5</v>
      </c>
      <c r="R208" s="347">
        <v>0.85</v>
      </c>
      <c r="S208" s="367">
        <v>83.2</v>
      </c>
      <c r="T208" s="348">
        <v>84</v>
      </c>
      <c r="U208" s="348">
        <v>82.5</v>
      </c>
      <c r="V208" s="367">
        <v>7.6</v>
      </c>
      <c r="W208" s="367">
        <v>2.2999999999999998</v>
      </c>
      <c r="X208" s="367">
        <v>2.2999999999999998</v>
      </c>
      <c r="Y208" s="328"/>
      <c r="Z208" s="328"/>
      <c r="AA208" s="328"/>
      <c r="AB208" s="366">
        <v>1.4E-3</v>
      </c>
      <c r="AC208" s="328">
        <v>60</v>
      </c>
      <c r="AD208" s="346">
        <v>18</v>
      </c>
      <c r="AE208" s="328"/>
      <c r="AF208" s="328"/>
      <c r="AG208" s="328"/>
      <c r="AH208" s="327">
        <v>143</v>
      </c>
      <c r="AI208" s="327">
        <v>125</v>
      </c>
      <c r="AJ208" s="327">
        <v>56</v>
      </c>
      <c r="AK208" s="327">
        <v>24</v>
      </c>
      <c r="AL208" s="327">
        <v>50</v>
      </c>
      <c r="AM208" s="327">
        <v>8</v>
      </c>
      <c r="AN208" s="327">
        <v>20</v>
      </c>
      <c r="AO208" s="327" t="s">
        <v>245</v>
      </c>
      <c r="AP208" s="327">
        <v>90</v>
      </c>
      <c r="AQ208" s="327">
        <v>10</v>
      </c>
      <c r="AR208" s="327">
        <v>178</v>
      </c>
      <c r="AS208" s="327">
        <v>180</v>
      </c>
      <c r="AT208" s="327">
        <v>150</v>
      </c>
      <c r="AU208" s="327">
        <v>240</v>
      </c>
      <c r="AV208" s="327">
        <v>360</v>
      </c>
      <c r="AW208" s="327">
        <v>360</v>
      </c>
      <c r="AX208" s="327">
        <v>115</v>
      </c>
      <c r="AY208" s="327">
        <v>95</v>
      </c>
      <c r="AZ208" s="327">
        <v>140</v>
      </c>
      <c r="BA208" s="327" t="s">
        <v>245</v>
      </c>
      <c r="BB208" s="327">
        <v>3</v>
      </c>
      <c r="BC208" s="327">
        <v>130</v>
      </c>
      <c r="BD208" s="327">
        <v>110</v>
      </c>
      <c r="BE208" s="327">
        <v>160</v>
      </c>
      <c r="BF208" s="327" t="s">
        <v>245</v>
      </c>
      <c r="BG208" s="327">
        <v>3.5</v>
      </c>
      <c r="BH208" s="327">
        <v>165</v>
      </c>
      <c r="BI208" s="327">
        <v>130</v>
      </c>
      <c r="BJ208" s="327">
        <v>200</v>
      </c>
      <c r="BK208" s="327">
        <v>12</v>
      </c>
      <c r="BL208" s="327">
        <v>3.5</v>
      </c>
      <c r="BM208" s="325" t="s">
        <v>485</v>
      </c>
      <c r="BN208" s="325" t="s">
        <v>485</v>
      </c>
      <c r="BO208" s="340" t="s">
        <v>686</v>
      </c>
      <c r="BP208" s="340" t="s">
        <v>686</v>
      </c>
      <c r="BQ208" s="325" t="s">
        <v>480</v>
      </c>
    </row>
    <row r="209" spans="1:69" ht="12" customHeight="1">
      <c r="A209" s="320">
        <v>405</v>
      </c>
      <c r="B209" s="371" t="s">
        <v>674</v>
      </c>
      <c r="C209" s="328" t="s">
        <v>655</v>
      </c>
      <c r="D209" s="371" t="s">
        <v>739</v>
      </c>
      <c r="E209" s="328">
        <v>100</v>
      </c>
      <c r="F209" s="365">
        <v>2</v>
      </c>
      <c r="G209" s="346">
        <v>3</v>
      </c>
      <c r="H209" s="370">
        <v>3.6</v>
      </c>
      <c r="I209" s="370">
        <v>2890</v>
      </c>
      <c r="J209" s="370">
        <v>3468</v>
      </c>
      <c r="K209" s="328"/>
      <c r="L209" s="347">
        <v>5.8</v>
      </c>
      <c r="M209" s="331">
        <f t="shared" si="143"/>
        <v>6.052173913043478</v>
      </c>
      <c r="N209" s="347">
        <v>0.87</v>
      </c>
      <c r="O209" s="367">
        <v>84.6</v>
      </c>
      <c r="P209" s="348">
        <v>85.8</v>
      </c>
      <c r="Q209" s="348">
        <v>84.1</v>
      </c>
      <c r="R209" s="347">
        <v>0.87</v>
      </c>
      <c r="S209" s="367">
        <v>84.6</v>
      </c>
      <c r="T209" s="348">
        <v>85.8</v>
      </c>
      <c r="U209" s="348">
        <v>84.1</v>
      </c>
      <c r="V209" s="367">
        <v>8.1</v>
      </c>
      <c r="W209" s="367">
        <v>2.2999999999999998</v>
      </c>
      <c r="X209" s="367">
        <v>2.2999999999999998</v>
      </c>
      <c r="Y209" s="328"/>
      <c r="Z209" s="328"/>
      <c r="AA209" s="328"/>
      <c r="AB209" s="366">
        <v>2.8999999999999998E-3</v>
      </c>
      <c r="AC209" s="328">
        <v>63</v>
      </c>
      <c r="AD209" s="346">
        <v>21</v>
      </c>
      <c r="AE209" s="328"/>
      <c r="AF209" s="328"/>
      <c r="AG209" s="328"/>
      <c r="AH209" s="327">
        <v>160</v>
      </c>
      <c r="AI209" s="327">
        <v>140</v>
      </c>
      <c r="AJ209" s="327">
        <v>63</v>
      </c>
      <c r="AK209" s="327">
        <v>28</v>
      </c>
      <c r="AL209" s="327">
        <v>60</v>
      </c>
      <c r="AM209" s="327">
        <v>8</v>
      </c>
      <c r="AN209" s="327">
        <v>24</v>
      </c>
      <c r="AO209" s="327" t="s">
        <v>246</v>
      </c>
      <c r="AP209" s="327">
        <v>100</v>
      </c>
      <c r="AQ209" s="327">
        <v>12</v>
      </c>
      <c r="AR209" s="327">
        <v>196</v>
      </c>
      <c r="AS209" s="327">
        <v>205</v>
      </c>
      <c r="AT209" s="327">
        <v>168</v>
      </c>
      <c r="AU209" s="327">
        <v>266</v>
      </c>
      <c r="AV209" s="327">
        <v>406</v>
      </c>
      <c r="AW209" s="327">
        <v>406</v>
      </c>
      <c r="AX209" s="327">
        <v>130</v>
      </c>
      <c r="AY209" s="327">
        <v>110</v>
      </c>
      <c r="AZ209" s="327">
        <v>160</v>
      </c>
      <c r="BA209" s="327" t="s">
        <v>245</v>
      </c>
      <c r="BB209" s="327">
        <v>3.5</v>
      </c>
      <c r="BC209" s="327">
        <v>165</v>
      </c>
      <c r="BD209" s="327">
        <v>130</v>
      </c>
      <c r="BE209" s="327">
        <v>200</v>
      </c>
      <c r="BF209" s="327" t="s">
        <v>246</v>
      </c>
      <c r="BG209" s="327">
        <v>3.5</v>
      </c>
      <c r="BH209" s="327">
        <v>215</v>
      </c>
      <c r="BI209" s="327">
        <v>180</v>
      </c>
      <c r="BJ209" s="327">
        <v>250</v>
      </c>
      <c r="BK209" s="327">
        <v>15</v>
      </c>
      <c r="BL209" s="327">
        <v>4</v>
      </c>
      <c r="BM209" s="325" t="s">
        <v>475</v>
      </c>
      <c r="BN209" s="325" t="s">
        <v>475</v>
      </c>
      <c r="BO209" s="340" t="s">
        <v>682</v>
      </c>
      <c r="BP209" s="340" t="s">
        <v>682</v>
      </c>
      <c r="BQ209" s="325" t="s">
        <v>480</v>
      </c>
    </row>
    <row r="210" spans="1:69" ht="12" customHeight="1">
      <c r="A210" s="320">
        <v>406</v>
      </c>
      <c r="B210" s="371" t="s">
        <v>674</v>
      </c>
      <c r="C210" s="328" t="s">
        <v>655</v>
      </c>
      <c r="D210" s="371" t="s">
        <v>738</v>
      </c>
      <c r="E210" s="379">
        <v>112</v>
      </c>
      <c r="F210" s="365">
        <v>2</v>
      </c>
      <c r="G210" s="346">
        <v>4</v>
      </c>
      <c r="H210" s="370">
        <v>4.8</v>
      </c>
      <c r="I210" s="370">
        <v>2910</v>
      </c>
      <c r="J210" s="370">
        <v>3492</v>
      </c>
      <c r="K210" s="378"/>
      <c r="L210" s="347">
        <v>7.55</v>
      </c>
      <c r="M210" s="331">
        <f t="shared" si="143"/>
        <v>7.8782608695652172</v>
      </c>
      <c r="N210" s="347">
        <v>0.88</v>
      </c>
      <c r="O210" s="367">
        <v>85.8</v>
      </c>
      <c r="P210" s="348">
        <v>87</v>
      </c>
      <c r="Q210" s="348">
        <v>85.5</v>
      </c>
      <c r="R210" s="347">
        <v>0.88</v>
      </c>
      <c r="S210" s="367">
        <v>85.8</v>
      </c>
      <c r="T210" s="348">
        <v>87</v>
      </c>
      <c r="U210" s="348">
        <v>85.5</v>
      </c>
      <c r="V210" s="367">
        <v>8.3000000000000007</v>
      </c>
      <c r="W210" s="367">
        <v>2.2999999999999998</v>
      </c>
      <c r="X210" s="367">
        <v>2.2999999999999998</v>
      </c>
      <c r="Y210" s="328"/>
      <c r="Z210" s="328"/>
      <c r="AA210" s="328"/>
      <c r="AB210" s="366">
        <v>5.4999999999999997E-3</v>
      </c>
      <c r="AC210" s="328">
        <v>65</v>
      </c>
      <c r="AD210" s="346">
        <v>28</v>
      </c>
      <c r="AE210" s="328"/>
      <c r="AF210" s="328"/>
      <c r="AG210" s="328"/>
      <c r="AH210" s="327">
        <v>192</v>
      </c>
      <c r="AI210" s="327">
        <v>140</v>
      </c>
      <c r="AJ210" s="327">
        <v>70</v>
      </c>
      <c r="AK210" s="327">
        <v>28</v>
      </c>
      <c r="AL210" s="327">
        <v>60</v>
      </c>
      <c r="AM210" s="327">
        <v>8</v>
      </c>
      <c r="AN210" s="327">
        <v>24</v>
      </c>
      <c r="AO210" s="327" t="s">
        <v>246</v>
      </c>
      <c r="AP210" s="327">
        <v>112</v>
      </c>
      <c r="AQ210" s="327">
        <v>12</v>
      </c>
      <c r="AR210" s="327">
        <v>227</v>
      </c>
      <c r="AS210" s="327">
        <v>218</v>
      </c>
      <c r="AT210" s="327">
        <v>178</v>
      </c>
      <c r="AU210" s="327">
        <v>290</v>
      </c>
      <c r="AV210" s="327">
        <v>432</v>
      </c>
      <c r="AW210" s="328">
        <v>432</v>
      </c>
      <c r="AX210" s="327">
        <v>130</v>
      </c>
      <c r="AY210" s="327">
        <v>110</v>
      </c>
      <c r="AZ210" s="327">
        <v>160</v>
      </c>
      <c r="BA210" s="327" t="s">
        <v>245</v>
      </c>
      <c r="BB210" s="327">
        <v>3.5</v>
      </c>
      <c r="BC210" s="327">
        <v>165</v>
      </c>
      <c r="BD210" s="327">
        <v>130</v>
      </c>
      <c r="BE210" s="327">
        <v>200</v>
      </c>
      <c r="BF210" s="327" t="s">
        <v>246</v>
      </c>
      <c r="BG210" s="327">
        <v>3.5</v>
      </c>
      <c r="BH210" s="327">
        <v>215</v>
      </c>
      <c r="BI210" s="327">
        <v>180</v>
      </c>
      <c r="BJ210" s="327">
        <v>250</v>
      </c>
      <c r="BK210" s="327">
        <v>15</v>
      </c>
      <c r="BL210" s="327">
        <v>4</v>
      </c>
      <c r="BM210" s="325" t="s">
        <v>683</v>
      </c>
      <c r="BN210" s="325" t="s">
        <v>683</v>
      </c>
      <c r="BO210" s="340" t="s">
        <v>682</v>
      </c>
      <c r="BP210" s="340" t="s">
        <v>682</v>
      </c>
      <c r="BQ210" s="325" t="s">
        <v>464</v>
      </c>
    </row>
    <row r="211" spans="1:69" ht="12" customHeight="1">
      <c r="A211" s="320">
        <v>407</v>
      </c>
      <c r="B211" s="371" t="s">
        <v>674</v>
      </c>
      <c r="C211" s="328" t="s">
        <v>655</v>
      </c>
      <c r="D211" s="371" t="s">
        <v>737</v>
      </c>
      <c r="E211" s="334">
        <v>132</v>
      </c>
      <c r="F211" s="365">
        <v>2</v>
      </c>
      <c r="G211" s="346">
        <v>5.5</v>
      </c>
      <c r="H211" s="370">
        <v>6.6</v>
      </c>
      <c r="I211" s="370">
        <v>2910</v>
      </c>
      <c r="J211" s="370">
        <v>3492</v>
      </c>
      <c r="K211" s="375"/>
      <c r="L211" s="367">
        <v>10.3</v>
      </c>
      <c r="M211" s="331">
        <f t="shared" si="143"/>
        <v>10.747826086956522</v>
      </c>
      <c r="N211" s="347">
        <v>0.88</v>
      </c>
      <c r="O211" s="367">
        <v>87</v>
      </c>
      <c r="P211" s="348">
        <v>88</v>
      </c>
      <c r="Q211" s="348">
        <v>86</v>
      </c>
      <c r="R211" s="347">
        <v>0.88</v>
      </c>
      <c r="S211" s="367">
        <v>87</v>
      </c>
      <c r="T211" s="348">
        <v>88</v>
      </c>
      <c r="U211" s="348">
        <v>86</v>
      </c>
      <c r="V211" s="367">
        <v>7.7</v>
      </c>
      <c r="W211" s="367">
        <v>2.2000000000000002</v>
      </c>
      <c r="X211" s="367">
        <v>2.2999999999999998</v>
      </c>
      <c r="Y211" s="328"/>
      <c r="Z211" s="328"/>
      <c r="AA211" s="328"/>
      <c r="AB211" s="366">
        <v>1.09E-2</v>
      </c>
      <c r="AC211" s="328">
        <v>69</v>
      </c>
      <c r="AD211" s="346">
        <v>40.5</v>
      </c>
      <c r="AE211" s="328"/>
      <c r="AF211" s="328"/>
      <c r="AG211" s="328"/>
      <c r="AH211" s="327">
        <v>216</v>
      </c>
      <c r="AI211" s="327">
        <v>140</v>
      </c>
      <c r="AJ211" s="327">
        <v>89</v>
      </c>
      <c r="AK211" s="327">
        <v>38</v>
      </c>
      <c r="AL211" s="327">
        <v>80</v>
      </c>
      <c r="AM211" s="327">
        <v>10</v>
      </c>
      <c r="AN211" s="327">
        <v>33</v>
      </c>
      <c r="AO211" s="327" t="s">
        <v>247</v>
      </c>
      <c r="AP211" s="327">
        <v>132</v>
      </c>
      <c r="AQ211" s="327">
        <v>12</v>
      </c>
      <c r="AR211" s="327">
        <v>262</v>
      </c>
      <c r="AS211" s="327">
        <v>257</v>
      </c>
      <c r="AT211" s="327">
        <v>198</v>
      </c>
      <c r="AU211" s="327">
        <v>330</v>
      </c>
      <c r="AV211" s="327">
        <v>490</v>
      </c>
      <c r="AW211" s="328">
        <v>490</v>
      </c>
      <c r="AX211" s="327">
        <v>165</v>
      </c>
      <c r="AY211" s="327">
        <v>130</v>
      </c>
      <c r="AZ211" s="327">
        <v>200</v>
      </c>
      <c r="BA211" s="327" t="s">
        <v>246</v>
      </c>
      <c r="BB211" s="327">
        <v>3.5</v>
      </c>
      <c r="BC211" s="327">
        <v>215</v>
      </c>
      <c r="BD211" s="327">
        <v>180</v>
      </c>
      <c r="BE211" s="327">
        <v>250</v>
      </c>
      <c r="BF211" s="327" t="s">
        <v>247</v>
      </c>
      <c r="BG211" s="327">
        <v>4</v>
      </c>
      <c r="BH211" s="327">
        <v>265</v>
      </c>
      <c r="BI211" s="327">
        <v>230</v>
      </c>
      <c r="BJ211" s="327">
        <v>300</v>
      </c>
      <c r="BK211" s="327">
        <v>15</v>
      </c>
      <c r="BL211" s="327">
        <v>5</v>
      </c>
      <c r="BM211" s="325" t="s">
        <v>678</v>
      </c>
      <c r="BN211" s="325" t="s">
        <v>678</v>
      </c>
      <c r="BO211" s="340" t="s">
        <v>677</v>
      </c>
      <c r="BP211" s="340" t="s">
        <v>677</v>
      </c>
      <c r="BQ211" s="325" t="s">
        <v>464</v>
      </c>
    </row>
    <row r="212" spans="1:69" ht="12" customHeight="1">
      <c r="A212" s="320">
        <v>408</v>
      </c>
      <c r="B212" s="371" t="s">
        <v>674</v>
      </c>
      <c r="C212" s="328" t="s">
        <v>655</v>
      </c>
      <c r="D212" s="371" t="s">
        <v>736</v>
      </c>
      <c r="E212" s="334">
        <v>132</v>
      </c>
      <c r="F212" s="365">
        <v>2</v>
      </c>
      <c r="G212" s="346">
        <v>7.5</v>
      </c>
      <c r="H212" s="370">
        <v>9</v>
      </c>
      <c r="I212" s="370">
        <v>2910</v>
      </c>
      <c r="J212" s="370">
        <v>3492</v>
      </c>
      <c r="K212" s="377"/>
      <c r="L212" s="367">
        <v>13.8</v>
      </c>
      <c r="M212" s="331">
        <f t="shared" si="143"/>
        <v>14.4</v>
      </c>
      <c r="N212" s="347">
        <v>0.88</v>
      </c>
      <c r="O212" s="367">
        <v>88.1</v>
      </c>
      <c r="P212" s="348">
        <v>88.6</v>
      </c>
      <c r="Q212" s="348">
        <v>86.3</v>
      </c>
      <c r="R212" s="347">
        <v>0.88</v>
      </c>
      <c r="S212" s="367">
        <v>88.1</v>
      </c>
      <c r="T212" s="348">
        <v>88.6</v>
      </c>
      <c r="U212" s="348">
        <v>86.3</v>
      </c>
      <c r="V212" s="367">
        <v>7.7</v>
      </c>
      <c r="W212" s="367">
        <v>2.2000000000000002</v>
      </c>
      <c r="X212" s="367">
        <v>2.2999999999999998</v>
      </c>
      <c r="Y212" s="328"/>
      <c r="Z212" s="328"/>
      <c r="AA212" s="328"/>
      <c r="AB212" s="366">
        <v>1.26E-2</v>
      </c>
      <c r="AC212" s="328">
        <v>69</v>
      </c>
      <c r="AD212" s="346">
        <v>46</v>
      </c>
      <c r="AE212" s="328"/>
      <c r="AF212" s="328"/>
      <c r="AG212" s="328"/>
      <c r="AH212" s="327">
        <v>216</v>
      </c>
      <c r="AI212" s="327">
        <v>140</v>
      </c>
      <c r="AJ212" s="327">
        <v>89</v>
      </c>
      <c r="AK212" s="327">
        <v>38</v>
      </c>
      <c r="AL212" s="327">
        <v>80</v>
      </c>
      <c r="AM212" s="327">
        <v>10</v>
      </c>
      <c r="AN212" s="327">
        <v>33</v>
      </c>
      <c r="AO212" s="327" t="s">
        <v>247</v>
      </c>
      <c r="AP212" s="327">
        <v>132</v>
      </c>
      <c r="AQ212" s="327">
        <v>12</v>
      </c>
      <c r="AR212" s="327">
        <v>262</v>
      </c>
      <c r="AS212" s="327">
        <v>257</v>
      </c>
      <c r="AT212" s="327">
        <v>198</v>
      </c>
      <c r="AU212" s="327">
        <v>330</v>
      </c>
      <c r="AV212" s="327">
        <v>490</v>
      </c>
      <c r="AW212" s="328">
        <v>490</v>
      </c>
      <c r="AX212" s="327">
        <v>165</v>
      </c>
      <c r="AY212" s="327">
        <v>130</v>
      </c>
      <c r="AZ212" s="327">
        <v>200</v>
      </c>
      <c r="BA212" s="327" t="s">
        <v>246</v>
      </c>
      <c r="BB212" s="327">
        <v>3.5</v>
      </c>
      <c r="BC212" s="327">
        <v>215</v>
      </c>
      <c r="BD212" s="327">
        <v>180</v>
      </c>
      <c r="BE212" s="327">
        <v>250</v>
      </c>
      <c r="BF212" s="327" t="s">
        <v>247</v>
      </c>
      <c r="BG212" s="327">
        <v>4</v>
      </c>
      <c r="BH212" s="327">
        <v>265</v>
      </c>
      <c r="BI212" s="327">
        <v>230</v>
      </c>
      <c r="BJ212" s="327">
        <v>300</v>
      </c>
      <c r="BK212" s="327">
        <v>15</v>
      </c>
      <c r="BL212" s="327">
        <v>5</v>
      </c>
      <c r="BM212" s="325" t="s">
        <v>678</v>
      </c>
      <c r="BN212" s="325" t="s">
        <v>678</v>
      </c>
      <c r="BO212" s="340" t="s">
        <v>677</v>
      </c>
      <c r="BP212" s="340" t="s">
        <v>677</v>
      </c>
      <c r="BQ212" s="325" t="s">
        <v>464</v>
      </c>
    </row>
    <row r="213" spans="1:69" ht="12" customHeight="1">
      <c r="A213" s="320">
        <v>409</v>
      </c>
      <c r="B213" s="371" t="s">
        <v>674</v>
      </c>
      <c r="C213" s="328" t="s">
        <v>655</v>
      </c>
      <c r="D213" s="371" t="s">
        <v>735</v>
      </c>
      <c r="E213" s="334">
        <v>160</v>
      </c>
      <c r="F213" s="365">
        <v>2</v>
      </c>
      <c r="G213" s="346">
        <v>11</v>
      </c>
      <c r="H213" s="370">
        <v>13.2</v>
      </c>
      <c r="I213" s="370">
        <v>2940</v>
      </c>
      <c r="J213" s="370">
        <v>3528</v>
      </c>
      <c r="K213" s="375"/>
      <c r="L213" s="367">
        <v>20</v>
      </c>
      <c r="M213" s="331">
        <f t="shared" si="143"/>
        <v>20.869565217391305</v>
      </c>
      <c r="N213" s="347">
        <v>0.89</v>
      </c>
      <c r="O213" s="367">
        <v>89.4</v>
      </c>
      <c r="P213" s="348">
        <v>90.2</v>
      </c>
      <c r="Q213" s="348">
        <v>88.9</v>
      </c>
      <c r="R213" s="347">
        <v>0.89</v>
      </c>
      <c r="S213" s="367">
        <v>89.4</v>
      </c>
      <c r="T213" s="348">
        <v>90.2</v>
      </c>
      <c r="U213" s="348">
        <v>88.9</v>
      </c>
      <c r="V213" s="367">
        <v>7.9</v>
      </c>
      <c r="W213" s="367">
        <v>2.2999999999999998</v>
      </c>
      <c r="X213" s="367">
        <v>2.2999999999999998</v>
      </c>
      <c r="Y213" s="328"/>
      <c r="Z213" s="328"/>
      <c r="AA213" s="328"/>
      <c r="AB213" s="366">
        <v>3.7699999999999997E-2</v>
      </c>
      <c r="AC213" s="328">
        <v>70</v>
      </c>
      <c r="AD213" s="346">
        <v>80</v>
      </c>
      <c r="AE213" s="328"/>
      <c r="AF213" s="328"/>
      <c r="AG213" s="328"/>
      <c r="AH213" s="327">
        <v>254</v>
      </c>
      <c r="AI213" s="327">
        <v>210</v>
      </c>
      <c r="AJ213" s="327">
        <v>108</v>
      </c>
      <c r="AK213" s="327">
        <v>42</v>
      </c>
      <c r="AL213" s="327">
        <v>110</v>
      </c>
      <c r="AM213" s="327">
        <v>12</v>
      </c>
      <c r="AN213" s="327">
        <v>37</v>
      </c>
      <c r="AO213" s="327" t="s">
        <v>248</v>
      </c>
      <c r="AP213" s="327">
        <v>160</v>
      </c>
      <c r="AQ213" s="327">
        <v>15</v>
      </c>
      <c r="AR213" s="327">
        <v>312</v>
      </c>
      <c r="AS213" s="327">
        <v>310</v>
      </c>
      <c r="AT213" s="327">
        <v>255</v>
      </c>
      <c r="AU213" s="327">
        <v>415</v>
      </c>
      <c r="AV213" s="327">
        <v>615</v>
      </c>
      <c r="AW213" s="328">
        <v>615</v>
      </c>
      <c r="AX213" s="328"/>
      <c r="AY213" s="328"/>
      <c r="AZ213" s="328"/>
      <c r="BA213" s="328"/>
      <c r="BB213" s="328"/>
      <c r="BC213" s="328"/>
      <c r="BD213" s="328"/>
      <c r="BE213" s="328"/>
      <c r="BF213" s="328"/>
      <c r="BG213" s="328"/>
      <c r="BH213" s="327">
        <v>300</v>
      </c>
      <c r="BI213" s="327">
        <v>250</v>
      </c>
      <c r="BJ213" s="327">
        <v>350</v>
      </c>
      <c r="BK213" s="327">
        <v>19</v>
      </c>
      <c r="BL213" s="327">
        <v>5</v>
      </c>
      <c r="BM213" s="325" t="s">
        <v>672</v>
      </c>
      <c r="BN213" s="325" t="s">
        <v>672</v>
      </c>
      <c r="BO213" s="340" t="s">
        <v>671</v>
      </c>
      <c r="BP213" s="340" t="s">
        <v>671</v>
      </c>
      <c r="BQ213" s="325" t="s">
        <v>450</v>
      </c>
    </row>
    <row r="214" spans="1:69" ht="12" customHeight="1">
      <c r="A214" s="320">
        <v>410</v>
      </c>
      <c r="B214" s="371" t="s">
        <v>656</v>
      </c>
      <c r="C214" s="328" t="s">
        <v>655</v>
      </c>
      <c r="D214" s="371" t="s">
        <v>734</v>
      </c>
      <c r="E214" s="328">
        <v>160</v>
      </c>
      <c r="F214" s="365">
        <v>2</v>
      </c>
      <c r="G214" s="346">
        <v>11</v>
      </c>
      <c r="H214" s="370">
        <v>13.2</v>
      </c>
      <c r="I214" s="370">
        <v>2945</v>
      </c>
      <c r="J214" s="370">
        <v>3534</v>
      </c>
      <c r="K214" s="328"/>
      <c r="L214" s="367">
        <v>20</v>
      </c>
      <c r="M214" s="331">
        <f t="shared" si="143"/>
        <v>20.869565217391305</v>
      </c>
      <c r="N214" s="347">
        <v>0.89</v>
      </c>
      <c r="O214" s="367">
        <v>89.4</v>
      </c>
      <c r="P214" s="348">
        <v>90.31</v>
      </c>
      <c r="Q214" s="348">
        <v>89.07</v>
      </c>
      <c r="R214" s="347">
        <v>0.89</v>
      </c>
      <c r="S214" s="367">
        <v>89.4</v>
      </c>
      <c r="T214" s="348">
        <v>90.31</v>
      </c>
      <c r="U214" s="348">
        <v>89.07</v>
      </c>
      <c r="V214" s="367">
        <v>7.9</v>
      </c>
      <c r="W214" s="367">
        <v>2.2000000000000002</v>
      </c>
      <c r="X214" s="367">
        <v>2.2999999999999998</v>
      </c>
      <c r="Y214" s="328"/>
      <c r="Z214" s="328"/>
      <c r="AA214" s="328"/>
      <c r="AB214" s="373">
        <v>4.8899999999999999E-2</v>
      </c>
      <c r="AC214" s="328">
        <v>70</v>
      </c>
      <c r="AD214" s="370">
        <v>119</v>
      </c>
      <c r="AE214" s="328"/>
      <c r="AF214" s="328"/>
      <c r="AG214" s="328"/>
      <c r="AH214" s="327">
        <v>254</v>
      </c>
      <c r="AI214" s="327">
        <v>210</v>
      </c>
      <c r="AJ214" s="327">
        <v>108</v>
      </c>
      <c r="AK214" s="327">
        <v>42</v>
      </c>
      <c r="AL214" s="327">
        <v>110</v>
      </c>
      <c r="AM214" s="327">
        <v>12</v>
      </c>
      <c r="AN214" s="327">
        <v>37</v>
      </c>
      <c r="AO214" s="327" t="s">
        <v>248</v>
      </c>
      <c r="AP214" s="327">
        <v>160</v>
      </c>
      <c r="AQ214" s="327">
        <v>15</v>
      </c>
      <c r="AR214" s="327">
        <v>320</v>
      </c>
      <c r="AS214" s="327">
        <v>320</v>
      </c>
      <c r="AT214" s="327">
        <v>285</v>
      </c>
      <c r="AU214" s="327">
        <v>440</v>
      </c>
      <c r="AV214" s="327">
        <v>680</v>
      </c>
      <c r="AW214" s="328">
        <v>730</v>
      </c>
      <c r="AX214" s="328"/>
      <c r="AY214" s="328"/>
      <c r="AZ214" s="328"/>
      <c r="BA214" s="328"/>
      <c r="BB214" s="328"/>
      <c r="BC214" s="328"/>
      <c r="BD214" s="328"/>
      <c r="BE214" s="328"/>
      <c r="BF214" s="328"/>
      <c r="BG214" s="328"/>
      <c r="BH214" s="327">
        <v>300</v>
      </c>
      <c r="BI214" s="327">
        <v>250</v>
      </c>
      <c r="BJ214" s="327">
        <v>350</v>
      </c>
      <c r="BK214" s="327">
        <v>19</v>
      </c>
      <c r="BL214" s="327">
        <v>5</v>
      </c>
      <c r="BM214" s="325" t="s">
        <v>457</v>
      </c>
      <c r="BN214" s="325" t="s">
        <v>457</v>
      </c>
      <c r="BO214" s="340" t="s">
        <v>456</v>
      </c>
      <c r="BP214" s="340" t="s">
        <v>456</v>
      </c>
      <c r="BQ214" s="325" t="s">
        <v>450</v>
      </c>
    </row>
    <row r="215" spans="1:69" ht="12" customHeight="1">
      <c r="A215" s="320">
        <v>411</v>
      </c>
      <c r="B215" s="371" t="s">
        <v>674</v>
      </c>
      <c r="C215" s="328" t="s">
        <v>655</v>
      </c>
      <c r="D215" s="371" t="s">
        <v>733</v>
      </c>
      <c r="E215" s="334">
        <v>160</v>
      </c>
      <c r="F215" s="365">
        <v>2</v>
      </c>
      <c r="G215" s="346">
        <v>15</v>
      </c>
      <c r="H215" s="370">
        <v>18</v>
      </c>
      <c r="I215" s="370">
        <v>2940</v>
      </c>
      <c r="J215" s="370">
        <v>3528</v>
      </c>
      <c r="K215" s="376"/>
      <c r="L215" s="367">
        <v>26.8</v>
      </c>
      <c r="M215" s="331">
        <f t="shared" si="143"/>
        <v>27.965217391304346</v>
      </c>
      <c r="N215" s="347">
        <v>0.89</v>
      </c>
      <c r="O215" s="367">
        <v>90.3</v>
      </c>
      <c r="P215" s="348">
        <v>91</v>
      </c>
      <c r="Q215" s="348">
        <v>90</v>
      </c>
      <c r="R215" s="347">
        <v>0.89</v>
      </c>
      <c r="S215" s="367">
        <v>90.3</v>
      </c>
      <c r="T215" s="348">
        <v>91</v>
      </c>
      <c r="U215" s="348">
        <v>90</v>
      </c>
      <c r="V215" s="367">
        <v>8.1</v>
      </c>
      <c r="W215" s="367">
        <v>2.2999999999999998</v>
      </c>
      <c r="X215" s="367">
        <v>2.2999999999999998</v>
      </c>
      <c r="Y215" s="328"/>
      <c r="Z215" s="328"/>
      <c r="AA215" s="328"/>
      <c r="AB215" s="366">
        <v>4.99E-2</v>
      </c>
      <c r="AC215" s="328">
        <v>71</v>
      </c>
      <c r="AD215" s="346">
        <v>94</v>
      </c>
      <c r="AE215" s="328"/>
      <c r="AF215" s="328"/>
      <c r="AG215" s="328"/>
      <c r="AH215" s="327">
        <v>254</v>
      </c>
      <c r="AI215" s="327">
        <v>210</v>
      </c>
      <c r="AJ215" s="327">
        <v>108</v>
      </c>
      <c r="AK215" s="327">
        <v>42</v>
      </c>
      <c r="AL215" s="327">
        <v>110</v>
      </c>
      <c r="AM215" s="327">
        <v>12</v>
      </c>
      <c r="AN215" s="327">
        <v>37</v>
      </c>
      <c r="AO215" s="327" t="s">
        <v>248</v>
      </c>
      <c r="AP215" s="327">
        <v>160</v>
      </c>
      <c r="AQ215" s="327">
        <v>15</v>
      </c>
      <c r="AR215" s="327">
        <v>312</v>
      </c>
      <c r="AS215" s="327">
        <v>310</v>
      </c>
      <c r="AT215" s="327">
        <v>255</v>
      </c>
      <c r="AU215" s="327">
        <v>415</v>
      </c>
      <c r="AV215" s="327">
        <v>615</v>
      </c>
      <c r="AW215" s="328">
        <v>615</v>
      </c>
      <c r="AX215" s="328"/>
      <c r="AY215" s="328"/>
      <c r="AZ215" s="328"/>
      <c r="BA215" s="328"/>
      <c r="BB215" s="328"/>
      <c r="BC215" s="328"/>
      <c r="BD215" s="328"/>
      <c r="BE215" s="328"/>
      <c r="BF215" s="328"/>
      <c r="BG215" s="328"/>
      <c r="BH215" s="327">
        <v>300</v>
      </c>
      <c r="BI215" s="327">
        <v>250</v>
      </c>
      <c r="BJ215" s="327">
        <v>350</v>
      </c>
      <c r="BK215" s="327">
        <v>19</v>
      </c>
      <c r="BL215" s="327">
        <v>5</v>
      </c>
      <c r="BM215" s="325" t="s">
        <v>672</v>
      </c>
      <c r="BN215" s="325" t="s">
        <v>672</v>
      </c>
      <c r="BO215" s="340" t="s">
        <v>671</v>
      </c>
      <c r="BP215" s="340" t="s">
        <v>671</v>
      </c>
      <c r="BQ215" s="325" t="s">
        <v>450</v>
      </c>
    </row>
    <row r="216" spans="1:69" ht="12" customHeight="1">
      <c r="A216" s="320">
        <v>412</v>
      </c>
      <c r="B216" s="371" t="s">
        <v>656</v>
      </c>
      <c r="C216" s="328" t="s">
        <v>655</v>
      </c>
      <c r="D216" s="371" t="s">
        <v>732</v>
      </c>
      <c r="E216" s="328">
        <v>160</v>
      </c>
      <c r="F216" s="365">
        <v>2</v>
      </c>
      <c r="G216" s="346">
        <v>15</v>
      </c>
      <c r="H216" s="370">
        <v>18</v>
      </c>
      <c r="I216" s="370">
        <v>2945</v>
      </c>
      <c r="J216" s="370">
        <v>3534</v>
      </c>
      <c r="K216" s="328"/>
      <c r="L216" s="367">
        <v>26.9</v>
      </c>
      <c r="M216" s="331">
        <f t="shared" si="143"/>
        <v>28.069565217391304</v>
      </c>
      <c r="N216" s="347">
        <v>0.89</v>
      </c>
      <c r="O216" s="367">
        <v>90.3</v>
      </c>
      <c r="P216" s="348">
        <v>91.57</v>
      </c>
      <c r="Q216" s="348">
        <v>90.62</v>
      </c>
      <c r="R216" s="347">
        <v>0.89</v>
      </c>
      <c r="S216" s="367">
        <v>90.3</v>
      </c>
      <c r="T216" s="348">
        <v>91.57</v>
      </c>
      <c r="U216" s="348">
        <v>90.62</v>
      </c>
      <c r="V216" s="367">
        <v>8</v>
      </c>
      <c r="W216" s="367">
        <v>2.2000000000000002</v>
      </c>
      <c r="X216" s="367">
        <v>2.2999999999999998</v>
      </c>
      <c r="Y216" s="328"/>
      <c r="Z216" s="328"/>
      <c r="AA216" s="328"/>
      <c r="AB216" s="373">
        <v>5.5899999999999998E-2</v>
      </c>
      <c r="AC216" s="328">
        <v>71</v>
      </c>
      <c r="AD216" s="370">
        <v>128</v>
      </c>
      <c r="AE216" s="328"/>
      <c r="AF216" s="328"/>
      <c r="AG216" s="328"/>
      <c r="AH216" s="327">
        <v>254</v>
      </c>
      <c r="AI216" s="327">
        <v>210</v>
      </c>
      <c r="AJ216" s="327">
        <v>108</v>
      </c>
      <c r="AK216" s="327">
        <v>42</v>
      </c>
      <c r="AL216" s="327">
        <v>110</v>
      </c>
      <c r="AM216" s="327">
        <v>12</v>
      </c>
      <c r="AN216" s="327">
        <v>37</v>
      </c>
      <c r="AO216" s="327" t="s">
        <v>248</v>
      </c>
      <c r="AP216" s="327">
        <v>160</v>
      </c>
      <c r="AQ216" s="327">
        <v>15</v>
      </c>
      <c r="AR216" s="327">
        <v>320</v>
      </c>
      <c r="AS216" s="327">
        <v>320</v>
      </c>
      <c r="AT216" s="327">
        <v>285</v>
      </c>
      <c r="AU216" s="327">
        <v>440</v>
      </c>
      <c r="AV216" s="327">
        <v>680</v>
      </c>
      <c r="AW216" s="328">
        <v>730</v>
      </c>
      <c r="AX216" s="328"/>
      <c r="AY216" s="328"/>
      <c r="AZ216" s="328"/>
      <c r="BA216" s="328"/>
      <c r="BB216" s="328"/>
      <c r="BC216" s="328"/>
      <c r="BD216" s="328"/>
      <c r="BE216" s="328"/>
      <c r="BF216" s="328"/>
      <c r="BG216" s="328"/>
      <c r="BH216" s="327">
        <v>300</v>
      </c>
      <c r="BI216" s="327">
        <v>250</v>
      </c>
      <c r="BJ216" s="327">
        <v>350</v>
      </c>
      <c r="BK216" s="327">
        <v>19</v>
      </c>
      <c r="BL216" s="327">
        <v>5</v>
      </c>
      <c r="BM216" s="325" t="s">
        <v>457</v>
      </c>
      <c r="BN216" s="325" t="s">
        <v>457</v>
      </c>
      <c r="BO216" s="340" t="s">
        <v>456</v>
      </c>
      <c r="BP216" s="340" t="s">
        <v>456</v>
      </c>
      <c r="BQ216" s="325" t="s">
        <v>450</v>
      </c>
    </row>
    <row r="217" spans="1:69" ht="12" customHeight="1">
      <c r="A217" s="320">
        <v>413</v>
      </c>
      <c r="B217" s="371" t="s">
        <v>674</v>
      </c>
      <c r="C217" s="328" t="s">
        <v>655</v>
      </c>
      <c r="D217" s="371" t="s">
        <v>731</v>
      </c>
      <c r="E217" s="334">
        <v>160</v>
      </c>
      <c r="F217" s="365">
        <v>2</v>
      </c>
      <c r="G217" s="346">
        <v>18.5</v>
      </c>
      <c r="H217" s="370">
        <v>22.2</v>
      </c>
      <c r="I217" s="370">
        <v>2940</v>
      </c>
      <c r="J217" s="370">
        <v>3528</v>
      </c>
      <c r="K217" s="375"/>
      <c r="L217" s="367">
        <v>32.799999999999997</v>
      </c>
      <c r="M217" s="331">
        <f t="shared" si="143"/>
        <v>34.226086956521733</v>
      </c>
      <c r="N217" s="347">
        <v>0.9</v>
      </c>
      <c r="O217" s="367">
        <v>90.9</v>
      </c>
      <c r="P217" s="348">
        <v>91.6</v>
      </c>
      <c r="Q217" s="348">
        <v>90.3</v>
      </c>
      <c r="R217" s="347">
        <v>0.9</v>
      </c>
      <c r="S217" s="367">
        <v>90.9</v>
      </c>
      <c r="T217" s="348">
        <v>91.6</v>
      </c>
      <c r="U217" s="348">
        <v>90.3</v>
      </c>
      <c r="V217" s="367">
        <v>8.1</v>
      </c>
      <c r="W217" s="367">
        <v>2.2999999999999998</v>
      </c>
      <c r="X217" s="367">
        <v>2.2999999999999998</v>
      </c>
      <c r="Y217" s="328"/>
      <c r="Z217" s="328"/>
      <c r="AA217" s="328"/>
      <c r="AB217" s="366">
        <v>5.5E-2</v>
      </c>
      <c r="AC217" s="328">
        <v>71</v>
      </c>
      <c r="AD217" s="346">
        <v>106</v>
      </c>
      <c r="AE217" s="328"/>
      <c r="AF217" s="328"/>
      <c r="AG217" s="328"/>
      <c r="AH217" s="327">
        <v>254</v>
      </c>
      <c r="AI217" s="327">
        <v>254</v>
      </c>
      <c r="AJ217" s="327">
        <v>108</v>
      </c>
      <c r="AK217" s="327">
        <v>42</v>
      </c>
      <c r="AL217" s="327">
        <v>110</v>
      </c>
      <c r="AM217" s="327">
        <v>12</v>
      </c>
      <c r="AN217" s="327">
        <v>37</v>
      </c>
      <c r="AO217" s="327" t="s">
        <v>248</v>
      </c>
      <c r="AP217" s="327">
        <v>160</v>
      </c>
      <c r="AQ217" s="327">
        <v>15</v>
      </c>
      <c r="AR217" s="327">
        <v>312</v>
      </c>
      <c r="AS217" s="327">
        <v>310</v>
      </c>
      <c r="AT217" s="327">
        <v>255</v>
      </c>
      <c r="AU217" s="327">
        <v>415</v>
      </c>
      <c r="AV217" s="327">
        <v>670</v>
      </c>
      <c r="AW217" s="328">
        <v>670</v>
      </c>
      <c r="AX217" s="328"/>
      <c r="AY217" s="328"/>
      <c r="AZ217" s="328"/>
      <c r="BA217" s="328"/>
      <c r="BB217" s="328"/>
      <c r="BC217" s="328"/>
      <c r="BD217" s="328"/>
      <c r="BE217" s="328"/>
      <c r="BF217" s="328"/>
      <c r="BG217" s="328"/>
      <c r="BH217" s="327">
        <v>300</v>
      </c>
      <c r="BI217" s="327">
        <v>250</v>
      </c>
      <c r="BJ217" s="327">
        <v>350</v>
      </c>
      <c r="BK217" s="327">
        <v>19</v>
      </c>
      <c r="BL217" s="327">
        <v>5</v>
      </c>
      <c r="BM217" s="325" t="s">
        <v>672</v>
      </c>
      <c r="BN217" s="325" t="s">
        <v>672</v>
      </c>
      <c r="BO217" s="340" t="s">
        <v>671</v>
      </c>
      <c r="BP217" s="340" t="s">
        <v>671</v>
      </c>
      <c r="BQ217" s="325" t="s">
        <v>450</v>
      </c>
    </row>
    <row r="218" spans="1:69" ht="12" customHeight="1">
      <c r="A218" s="320">
        <v>414</v>
      </c>
      <c r="B218" s="371" t="s">
        <v>656</v>
      </c>
      <c r="C218" s="328" t="s">
        <v>655</v>
      </c>
      <c r="D218" s="371" t="s">
        <v>730</v>
      </c>
      <c r="E218" s="328">
        <v>160</v>
      </c>
      <c r="F218" s="365">
        <v>2</v>
      </c>
      <c r="G218" s="346">
        <v>18.5</v>
      </c>
      <c r="H218" s="370">
        <v>22.2</v>
      </c>
      <c r="I218" s="370">
        <v>2940</v>
      </c>
      <c r="J218" s="370">
        <v>3528</v>
      </c>
      <c r="K218" s="328"/>
      <c r="L218" s="367">
        <v>33</v>
      </c>
      <c r="M218" s="331">
        <f t="shared" si="143"/>
        <v>34.434782608695649</v>
      </c>
      <c r="N218" s="347">
        <v>0.89</v>
      </c>
      <c r="O218" s="367">
        <v>90.9</v>
      </c>
      <c r="P218" s="348">
        <v>92.15</v>
      </c>
      <c r="Q218" s="348">
        <v>91.27</v>
      </c>
      <c r="R218" s="347">
        <v>0.89</v>
      </c>
      <c r="S218" s="367">
        <v>90.9</v>
      </c>
      <c r="T218" s="348">
        <v>92.15</v>
      </c>
      <c r="U218" s="348">
        <v>91.27</v>
      </c>
      <c r="V218" s="367">
        <v>8.1</v>
      </c>
      <c r="W218" s="367">
        <v>2.2000000000000002</v>
      </c>
      <c r="X218" s="367">
        <v>2.2999999999999998</v>
      </c>
      <c r="Y218" s="328"/>
      <c r="Z218" s="328"/>
      <c r="AA218" s="328"/>
      <c r="AB218" s="373">
        <v>6.4799999999999996E-2</v>
      </c>
      <c r="AC218" s="328">
        <v>71</v>
      </c>
      <c r="AD218" s="370">
        <v>134</v>
      </c>
      <c r="AE218" s="328"/>
      <c r="AF218" s="328"/>
      <c r="AG218" s="328"/>
      <c r="AH218" s="327">
        <v>254</v>
      </c>
      <c r="AI218" s="327">
        <v>254</v>
      </c>
      <c r="AJ218" s="327">
        <v>108</v>
      </c>
      <c r="AK218" s="327">
        <v>42</v>
      </c>
      <c r="AL218" s="327">
        <v>110</v>
      </c>
      <c r="AM218" s="327">
        <v>12</v>
      </c>
      <c r="AN218" s="327">
        <v>37</v>
      </c>
      <c r="AO218" s="327" t="s">
        <v>248</v>
      </c>
      <c r="AP218" s="327">
        <v>160</v>
      </c>
      <c r="AQ218" s="327">
        <v>15</v>
      </c>
      <c r="AR218" s="327">
        <v>320</v>
      </c>
      <c r="AS218" s="327">
        <v>320</v>
      </c>
      <c r="AT218" s="327">
        <v>285</v>
      </c>
      <c r="AU218" s="327">
        <v>440</v>
      </c>
      <c r="AV218" s="327">
        <v>680</v>
      </c>
      <c r="AW218" s="328">
        <v>730</v>
      </c>
      <c r="AX218" s="328"/>
      <c r="AY218" s="328"/>
      <c r="AZ218" s="328"/>
      <c r="BA218" s="328"/>
      <c r="BB218" s="328"/>
      <c r="BC218" s="328"/>
      <c r="BD218" s="328"/>
      <c r="BE218" s="328"/>
      <c r="BF218" s="328"/>
      <c r="BG218" s="328"/>
      <c r="BH218" s="327">
        <v>300</v>
      </c>
      <c r="BI218" s="327">
        <v>250</v>
      </c>
      <c r="BJ218" s="327">
        <v>350</v>
      </c>
      <c r="BK218" s="327">
        <v>19</v>
      </c>
      <c r="BL218" s="327">
        <v>5</v>
      </c>
      <c r="BM218" s="325" t="s">
        <v>457</v>
      </c>
      <c r="BN218" s="325" t="s">
        <v>457</v>
      </c>
      <c r="BO218" s="340" t="s">
        <v>456</v>
      </c>
      <c r="BP218" s="340" t="s">
        <v>456</v>
      </c>
      <c r="BQ218" s="325" t="s">
        <v>450</v>
      </c>
    </row>
    <row r="219" spans="1:69" ht="12" customHeight="1">
      <c r="A219" s="320">
        <v>415</v>
      </c>
      <c r="B219" s="336" t="s">
        <v>656</v>
      </c>
      <c r="C219" s="328" t="s">
        <v>655</v>
      </c>
      <c r="D219" s="336" t="s">
        <v>729</v>
      </c>
      <c r="E219" s="328">
        <v>180</v>
      </c>
      <c r="F219" s="365">
        <v>2</v>
      </c>
      <c r="G219" s="325">
        <v>22</v>
      </c>
      <c r="H219" s="327">
        <v>26.4</v>
      </c>
      <c r="I219" s="327">
        <v>2960</v>
      </c>
      <c r="J219" s="344">
        <v>3552</v>
      </c>
      <c r="K219" s="328"/>
      <c r="L219" s="364">
        <v>39.1</v>
      </c>
      <c r="M219" s="331">
        <f t="shared" si="143"/>
        <v>40.799999999999997</v>
      </c>
      <c r="N219" s="347">
        <v>0.89</v>
      </c>
      <c r="O219" s="349">
        <v>91.3</v>
      </c>
      <c r="P219" s="348">
        <v>91.87</v>
      </c>
      <c r="Q219" s="348">
        <v>90.54</v>
      </c>
      <c r="R219" s="347">
        <v>0.89</v>
      </c>
      <c r="S219" s="349">
        <v>91.3</v>
      </c>
      <c r="T219" s="348">
        <v>91.87</v>
      </c>
      <c r="U219" s="348">
        <v>90.54</v>
      </c>
      <c r="V219" s="367">
        <v>8.1999999999999993</v>
      </c>
      <c r="W219" s="367">
        <v>2.2000000000000002</v>
      </c>
      <c r="X219" s="367">
        <v>2.2999999999999998</v>
      </c>
      <c r="Y219" s="328"/>
      <c r="Z219" s="328"/>
      <c r="AA219" s="328"/>
      <c r="AB219" s="366">
        <v>8.0799999999999997E-2</v>
      </c>
      <c r="AC219" s="328">
        <v>73</v>
      </c>
      <c r="AD219" s="346">
        <v>191</v>
      </c>
      <c r="AE219" s="328"/>
      <c r="AF219" s="328"/>
      <c r="AG219" s="328"/>
      <c r="AH219" s="327">
        <v>279</v>
      </c>
      <c r="AI219" s="327">
        <v>241</v>
      </c>
      <c r="AJ219" s="327">
        <v>121</v>
      </c>
      <c r="AK219" s="327">
        <v>48</v>
      </c>
      <c r="AL219" s="327">
        <v>110</v>
      </c>
      <c r="AM219" s="327">
        <v>14</v>
      </c>
      <c r="AN219" s="327">
        <v>42.5</v>
      </c>
      <c r="AO219" s="327" t="s">
        <v>248</v>
      </c>
      <c r="AP219" s="327">
        <v>180</v>
      </c>
      <c r="AQ219" s="327">
        <v>15</v>
      </c>
      <c r="AR219" s="327">
        <v>355</v>
      </c>
      <c r="AS219" s="327">
        <v>380</v>
      </c>
      <c r="AT219" s="327">
        <v>310</v>
      </c>
      <c r="AU219" s="327">
        <v>470</v>
      </c>
      <c r="AV219" s="327">
        <v>730</v>
      </c>
      <c r="AW219" s="328">
        <v>760</v>
      </c>
      <c r="AX219" s="328"/>
      <c r="AY219" s="328"/>
      <c r="AZ219" s="328"/>
      <c r="BA219" s="328"/>
      <c r="BB219" s="328"/>
      <c r="BC219" s="328"/>
      <c r="BD219" s="328"/>
      <c r="BE219" s="328"/>
      <c r="BF219" s="328"/>
      <c r="BG219" s="328"/>
      <c r="BH219" s="327">
        <v>300</v>
      </c>
      <c r="BI219" s="327">
        <v>250</v>
      </c>
      <c r="BJ219" s="327">
        <v>350</v>
      </c>
      <c r="BK219" s="327">
        <v>19</v>
      </c>
      <c r="BL219" s="327">
        <v>5</v>
      </c>
      <c r="BM219" s="325" t="s">
        <v>452</v>
      </c>
      <c r="BN219" s="325" t="s">
        <v>452</v>
      </c>
      <c r="BO219" s="340" t="s">
        <v>451</v>
      </c>
      <c r="BP219" s="340" t="s">
        <v>451</v>
      </c>
      <c r="BQ219" s="325" t="s">
        <v>450</v>
      </c>
    </row>
    <row r="220" spans="1:69" ht="12" customHeight="1">
      <c r="A220" s="320">
        <v>416</v>
      </c>
      <c r="B220" s="336" t="s">
        <v>656</v>
      </c>
      <c r="C220" s="328" t="s">
        <v>655</v>
      </c>
      <c r="D220" s="336" t="s">
        <v>728</v>
      </c>
      <c r="E220" s="328">
        <v>200</v>
      </c>
      <c r="F220" s="365">
        <v>2</v>
      </c>
      <c r="G220" s="325">
        <v>30</v>
      </c>
      <c r="H220" s="327">
        <v>36</v>
      </c>
      <c r="I220" s="327">
        <v>2965</v>
      </c>
      <c r="J220" s="344">
        <v>3558</v>
      </c>
      <c r="K220" s="328"/>
      <c r="L220" s="364">
        <v>52.9</v>
      </c>
      <c r="M220" s="331">
        <f t="shared" si="143"/>
        <v>55.2</v>
      </c>
      <c r="N220" s="347">
        <v>0.89</v>
      </c>
      <c r="O220" s="349">
        <v>92</v>
      </c>
      <c r="P220" s="348">
        <v>92.65</v>
      </c>
      <c r="Q220" s="348">
        <v>91.51</v>
      </c>
      <c r="R220" s="347">
        <v>0.89</v>
      </c>
      <c r="S220" s="349">
        <v>92</v>
      </c>
      <c r="T220" s="348">
        <v>92.65</v>
      </c>
      <c r="U220" s="348">
        <v>91.51</v>
      </c>
      <c r="V220" s="367">
        <v>7.5</v>
      </c>
      <c r="W220" s="367">
        <v>2.2000000000000002</v>
      </c>
      <c r="X220" s="367">
        <v>2.2999999999999998</v>
      </c>
      <c r="Y220" s="328"/>
      <c r="Z220" s="328"/>
      <c r="AA220" s="328"/>
      <c r="AB220" s="366">
        <v>0.16300000000000001</v>
      </c>
      <c r="AC220" s="328">
        <v>77</v>
      </c>
      <c r="AD220" s="346">
        <v>237</v>
      </c>
      <c r="AE220" s="328"/>
      <c r="AF220" s="328"/>
      <c r="AG220" s="328"/>
      <c r="AH220" s="327">
        <v>318</v>
      </c>
      <c r="AI220" s="327">
        <v>305</v>
      </c>
      <c r="AJ220" s="327">
        <v>133</v>
      </c>
      <c r="AK220" s="327">
        <v>55</v>
      </c>
      <c r="AL220" s="327">
        <v>110</v>
      </c>
      <c r="AM220" s="327">
        <v>16</v>
      </c>
      <c r="AN220" s="327">
        <v>49</v>
      </c>
      <c r="AO220" s="327" t="s">
        <v>249</v>
      </c>
      <c r="AP220" s="327">
        <v>200</v>
      </c>
      <c r="AQ220" s="327">
        <v>19</v>
      </c>
      <c r="AR220" s="327">
        <v>395</v>
      </c>
      <c r="AS220" s="327">
        <v>410</v>
      </c>
      <c r="AT220" s="327">
        <v>335</v>
      </c>
      <c r="AU220" s="327">
        <v>525</v>
      </c>
      <c r="AV220" s="327">
        <v>785</v>
      </c>
      <c r="AW220" s="328">
        <v>845</v>
      </c>
      <c r="AX220" s="328"/>
      <c r="AY220" s="328"/>
      <c r="AZ220" s="328"/>
      <c r="BA220" s="328"/>
      <c r="BB220" s="328"/>
      <c r="BC220" s="328"/>
      <c r="BD220" s="328"/>
      <c r="BE220" s="328"/>
      <c r="BF220" s="328"/>
      <c r="BG220" s="328"/>
      <c r="BH220" s="327">
        <v>350</v>
      </c>
      <c r="BI220" s="327">
        <v>300</v>
      </c>
      <c r="BJ220" s="327">
        <v>400</v>
      </c>
      <c r="BK220" s="327">
        <v>19</v>
      </c>
      <c r="BL220" s="327">
        <v>5</v>
      </c>
      <c r="BM220" s="325" t="s">
        <v>442</v>
      </c>
      <c r="BN220" s="325" t="s">
        <v>442</v>
      </c>
      <c r="BO220" s="340" t="s">
        <v>441</v>
      </c>
      <c r="BP220" s="340" t="s">
        <v>441</v>
      </c>
      <c r="BQ220" s="325" t="s">
        <v>434</v>
      </c>
    </row>
    <row r="221" spans="1:69" ht="12" customHeight="1">
      <c r="A221" s="320">
        <v>417</v>
      </c>
      <c r="B221" s="336" t="s">
        <v>656</v>
      </c>
      <c r="C221" s="328" t="s">
        <v>655</v>
      </c>
      <c r="D221" s="336" t="s">
        <v>727</v>
      </c>
      <c r="E221" s="328">
        <v>200</v>
      </c>
      <c r="F221" s="365">
        <v>2</v>
      </c>
      <c r="G221" s="325">
        <v>37</v>
      </c>
      <c r="H221" s="327">
        <v>44.4</v>
      </c>
      <c r="I221" s="327">
        <v>2965</v>
      </c>
      <c r="J221" s="344">
        <v>3558</v>
      </c>
      <c r="K221" s="328"/>
      <c r="L221" s="364">
        <v>64.900000000000006</v>
      </c>
      <c r="M221" s="331">
        <f t="shared" si="143"/>
        <v>67.721739130434784</v>
      </c>
      <c r="N221" s="347">
        <v>0.89</v>
      </c>
      <c r="O221" s="349">
        <v>92.5</v>
      </c>
      <c r="P221" s="348">
        <v>93.25</v>
      </c>
      <c r="Q221" s="348">
        <v>92.26</v>
      </c>
      <c r="R221" s="347">
        <v>0.89</v>
      </c>
      <c r="S221" s="349">
        <v>92.5</v>
      </c>
      <c r="T221" s="348">
        <v>93.25</v>
      </c>
      <c r="U221" s="348">
        <v>92.26</v>
      </c>
      <c r="V221" s="367">
        <v>7.5</v>
      </c>
      <c r="W221" s="367">
        <v>2.2000000000000002</v>
      </c>
      <c r="X221" s="367">
        <v>2.2999999999999998</v>
      </c>
      <c r="Y221" s="328"/>
      <c r="Z221" s="328"/>
      <c r="AA221" s="328"/>
      <c r="AB221" s="366">
        <v>0.17199999999999999</v>
      </c>
      <c r="AC221" s="328">
        <v>77</v>
      </c>
      <c r="AD221" s="346">
        <v>254</v>
      </c>
      <c r="AE221" s="328"/>
      <c r="AF221" s="328"/>
      <c r="AG221" s="328"/>
      <c r="AH221" s="327">
        <v>318</v>
      </c>
      <c r="AI221" s="327">
        <v>305</v>
      </c>
      <c r="AJ221" s="327">
        <v>133</v>
      </c>
      <c r="AK221" s="327">
        <v>55</v>
      </c>
      <c r="AL221" s="327">
        <v>110</v>
      </c>
      <c r="AM221" s="327">
        <v>16</v>
      </c>
      <c r="AN221" s="327">
        <v>49</v>
      </c>
      <c r="AO221" s="327" t="s">
        <v>249</v>
      </c>
      <c r="AP221" s="327">
        <v>200</v>
      </c>
      <c r="AQ221" s="327">
        <v>19</v>
      </c>
      <c r="AR221" s="327">
        <v>395</v>
      </c>
      <c r="AS221" s="327">
        <v>410</v>
      </c>
      <c r="AT221" s="327">
        <v>335</v>
      </c>
      <c r="AU221" s="327">
        <v>525</v>
      </c>
      <c r="AV221" s="327">
        <v>785</v>
      </c>
      <c r="AW221" s="328">
        <v>845</v>
      </c>
      <c r="AX221" s="328"/>
      <c r="AY221" s="328"/>
      <c r="AZ221" s="328"/>
      <c r="BA221" s="328"/>
      <c r="BB221" s="328"/>
      <c r="BC221" s="328"/>
      <c r="BD221" s="328"/>
      <c r="BE221" s="328"/>
      <c r="BF221" s="328"/>
      <c r="BG221" s="328"/>
      <c r="BH221" s="327">
        <v>350</v>
      </c>
      <c r="BI221" s="327">
        <v>300</v>
      </c>
      <c r="BJ221" s="327">
        <v>400</v>
      </c>
      <c r="BK221" s="327">
        <v>19</v>
      </c>
      <c r="BL221" s="327">
        <v>5</v>
      </c>
      <c r="BM221" s="325" t="s">
        <v>442</v>
      </c>
      <c r="BN221" s="325" t="s">
        <v>442</v>
      </c>
      <c r="BO221" s="340" t="s">
        <v>441</v>
      </c>
      <c r="BP221" s="340" t="s">
        <v>441</v>
      </c>
      <c r="BQ221" s="325" t="s">
        <v>434</v>
      </c>
    </row>
    <row r="222" spans="1:69" ht="12" customHeight="1">
      <c r="A222" s="320">
        <v>418</v>
      </c>
      <c r="B222" s="336" t="s">
        <v>656</v>
      </c>
      <c r="C222" s="328" t="s">
        <v>655</v>
      </c>
      <c r="D222" s="336" t="s">
        <v>726</v>
      </c>
      <c r="E222" s="328">
        <v>225</v>
      </c>
      <c r="F222" s="365">
        <v>2</v>
      </c>
      <c r="G222" s="325">
        <v>45</v>
      </c>
      <c r="H222" s="327">
        <v>54</v>
      </c>
      <c r="I222" s="327">
        <v>2965</v>
      </c>
      <c r="J222" s="344">
        <v>3558</v>
      </c>
      <c r="K222" s="328"/>
      <c r="L222" s="364">
        <v>78.599999999999994</v>
      </c>
      <c r="M222" s="331">
        <f t="shared" si="143"/>
        <v>82.017391304347825</v>
      </c>
      <c r="N222" s="347">
        <v>0.89</v>
      </c>
      <c r="O222" s="349">
        <v>92.9</v>
      </c>
      <c r="P222" s="348">
        <v>93.47</v>
      </c>
      <c r="Q222" s="348">
        <v>92.43</v>
      </c>
      <c r="R222" s="347">
        <v>0.89</v>
      </c>
      <c r="S222" s="349">
        <v>92.9</v>
      </c>
      <c r="T222" s="348">
        <v>93.47</v>
      </c>
      <c r="U222" s="348">
        <v>92.43</v>
      </c>
      <c r="V222" s="367">
        <v>7.6</v>
      </c>
      <c r="W222" s="367">
        <v>2.2000000000000002</v>
      </c>
      <c r="X222" s="367">
        <v>2.2999999999999998</v>
      </c>
      <c r="Y222" s="328"/>
      <c r="Z222" s="328"/>
      <c r="AA222" s="328"/>
      <c r="AB222" s="366">
        <v>0.30199999999999999</v>
      </c>
      <c r="AC222" s="328">
        <v>77</v>
      </c>
      <c r="AD222" s="346">
        <v>307</v>
      </c>
      <c r="AE222" s="328"/>
      <c r="AF222" s="328"/>
      <c r="AG222" s="328"/>
      <c r="AH222" s="327">
        <v>356</v>
      </c>
      <c r="AI222" s="327">
        <v>311</v>
      </c>
      <c r="AJ222" s="327">
        <v>149</v>
      </c>
      <c r="AK222" s="327">
        <v>55</v>
      </c>
      <c r="AL222" s="327">
        <v>110</v>
      </c>
      <c r="AM222" s="327">
        <v>16</v>
      </c>
      <c r="AN222" s="327">
        <v>49</v>
      </c>
      <c r="AO222" s="327" t="s">
        <v>249</v>
      </c>
      <c r="AP222" s="327">
        <v>225</v>
      </c>
      <c r="AQ222" s="327">
        <v>19</v>
      </c>
      <c r="AR222" s="327">
        <v>435</v>
      </c>
      <c r="AS222" s="327">
        <v>470</v>
      </c>
      <c r="AT222" s="327">
        <v>370</v>
      </c>
      <c r="AU222" s="327">
        <v>580</v>
      </c>
      <c r="AV222" s="327">
        <v>825</v>
      </c>
      <c r="AW222" s="328">
        <v>910</v>
      </c>
      <c r="AX222" s="328"/>
      <c r="AY222" s="328"/>
      <c r="AZ222" s="328"/>
      <c r="BA222" s="328"/>
      <c r="BB222" s="328"/>
      <c r="BC222" s="328"/>
      <c r="BD222" s="328"/>
      <c r="BE222" s="328"/>
      <c r="BF222" s="328"/>
      <c r="BG222" s="328"/>
      <c r="BH222" s="327">
        <v>400</v>
      </c>
      <c r="BI222" s="327">
        <v>350</v>
      </c>
      <c r="BJ222" s="327">
        <v>450</v>
      </c>
      <c r="BK222" s="327">
        <v>19</v>
      </c>
      <c r="BL222" s="327">
        <v>5</v>
      </c>
      <c r="BM222" s="325" t="s">
        <v>442</v>
      </c>
      <c r="BN222" s="325" t="s">
        <v>442</v>
      </c>
      <c r="BO222" s="340" t="s">
        <v>435</v>
      </c>
      <c r="BP222" s="340" t="s">
        <v>435</v>
      </c>
      <c r="BQ222" s="325" t="s">
        <v>434</v>
      </c>
    </row>
    <row r="223" spans="1:69" ht="12" customHeight="1">
      <c r="A223" s="320">
        <v>419</v>
      </c>
      <c r="B223" s="336" t="s">
        <v>656</v>
      </c>
      <c r="C223" s="328" t="s">
        <v>655</v>
      </c>
      <c r="D223" s="336" t="s">
        <v>725</v>
      </c>
      <c r="E223" s="328">
        <v>250</v>
      </c>
      <c r="F223" s="365">
        <v>2</v>
      </c>
      <c r="G223" s="325">
        <v>55</v>
      </c>
      <c r="H223" s="327">
        <v>66</v>
      </c>
      <c r="I223" s="327">
        <v>2965</v>
      </c>
      <c r="J223" s="344">
        <v>3558</v>
      </c>
      <c r="K223" s="328"/>
      <c r="L223" s="364">
        <v>95.7</v>
      </c>
      <c r="M223" s="331">
        <f t="shared" si="143"/>
        <v>99.860869565217385</v>
      </c>
      <c r="N223" s="347">
        <v>0.89</v>
      </c>
      <c r="O223" s="349">
        <v>93.2</v>
      </c>
      <c r="P223" s="348">
        <v>93.6</v>
      </c>
      <c r="Q223" s="348">
        <v>92.54</v>
      </c>
      <c r="R223" s="347">
        <v>0.89</v>
      </c>
      <c r="S223" s="349">
        <v>93.2</v>
      </c>
      <c r="T223" s="348">
        <v>93.6</v>
      </c>
      <c r="U223" s="348">
        <v>92.54</v>
      </c>
      <c r="V223" s="367">
        <v>7.6</v>
      </c>
      <c r="W223" s="367">
        <v>2.2000000000000002</v>
      </c>
      <c r="X223" s="367">
        <v>2.2999999999999998</v>
      </c>
      <c r="Y223" s="328"/>
      <c r="Z223" s="328"/>
      <c r="AA223" s="328"/>
      <c r="AB223" s="366">
        <v>0.42</v>
      </c>
      <c r="AC223" s="328">
        <v>77</v>
      </c>
      <c r="AD223" s="346">
        <v>388</v>
      </c>
      <c r="AE223" s="328"/>
      <c r="AF223" s="328"/>
      <c r="AG223" s="328"/>
      <c r="AH223" s="327">
        <v>406</v>
      </c>
      <c r="AI223" s="327">
        <v>349</v>
      </c>
      <c r="AJ223" s="327">
        <v>168</v>
      </c>
      <c r="AK223" s="327">
        <v>60</v>
      </c>
      <c r="AL223" s="327">
        <v>140</v>
      </c>
      <c r="AM223" s="327">
        <v>18</v>
      </c>
      <c r="AN223" s="327">
        <v>53</v>
      </c>
      <c r="AO223" s="327" t="s">
        <v>249</v>
      </c>
      <c r="AP223" s="327">
        <v>250</v>
      </c>
      <c r="AQ223" s="327">
        <v>24</v>
      </c>
      <c r="AR223" s="327">
        <v>490</v>
      </c>
      <c r="AS223" s="327">
        <v>490</v>
      </c>
      <c r="AT223" s="327">
        <v>380</v>
      </c>
      <c r="AU223" s="327">
        <v>635</v>
      </c>
      <c r="AV223" s="327">
        <v>930</v>
      </c>
      <c r="AW223" s="328">
        <v>1035</v>
      </c>
      <c r="AX223" s="328"/>
      <c r="AY223" s="328"/>
      <c r="AZ223" s="328"/>
      <c r="BA223" s="328"/>
      <c r="BB223" s="328"/>
      <c r="BC223" s="328"/>
      <c r="BD223" s="328"/>
      <c r="BE223" s="328"/>
      <c r="BF223" s="328"/>
      <c r="BG223" s="328"/>
      <c r="BH223" s="327">
        <v>500</v>
      </c>
      <c r="BI223" s="327">
        <v>450</v>
      </c>
      <c r="BJ223" s="327">
        <v>550</v>
      </c>
      <c r="BK223" s="327">
        <v>19</v>
      </c>
      <c r="BL223" s="327">
        <v>5</v>
      </c>
      <c r="BM223" s="325" t="s">
        <v>429</v>
      </c>
      <c r="BN223" s="325" t="s">
        <v>429</v>
      </c>
      <c r="BO223" s="340" t="s">
        <v>428</v>
      </c>
      <c r="BP223" s="326" t="s">
        <v>428</v>
      </c>
      <c r="BQ223" s="325" t="s">
        <v>388</v>
      </c>
    </row>
    <row r="224" spans="1:69" ht="12" customHeight="1">
      <c r="A224" s="320">
        <v>420</v>
      </c>
      <c r="B224" s="336" t="s">
        <v>656</v>
      </c>
      <c r="C224" s="328" t="s">
        <v>655</v>
      </c>
      <c r="D224" s="336" t="s">
        <v>724</v>
      </c>
      <c r="E224" s="328">
        <v>280</v>
      </c>
      <c r="F224" s="365">
        <v>2</v>
      </c>
      <c r="G224" s="325">
        <v>75</v>
      </c>
      <c r="H224" s="327">
        <v>90</v>
      </c>
      <c r="I224" s="327">
        <v>2980</v>
      </c>
      <c r="J224" s="344">
        <v>3576</v>
      </c>
      <c r="K224" s="328"/>
      <c r="L224" s="364">
        <v>129.69999999999999</v>
      </c>
      <c r="M224" s="331">
        <f t="shared" si="143"/>
        <v>135.33913043478259</v>
      </c>
      <c r="N224" s="347">
        <v>0.89</v>
      </c>
      <c r="O224" s="349">
        <v>93.8</v>
      </c>
      <c r="P224" s="348">
        <v>94.03</v>
      </c>
      <c r="Q224" s="348">
        <v>92.78</v>
      </c>
      <c r="R224" s="347">
        <v>0.89</v>
      </c>
      <c r="S224" s="349">
        <v>93.8</v>
      </c>
      <c r="T224" s="348">
        <v>94.03</v>
      </c>
      <c r="U224" s="348">
        <v>92.78</v>
      </c>
      <c r="V224" s="367">
        <v>6.9</v>
      </c>
      <c r="W224" s="367">
        <v>2</v>
      </c>
      <c r="X224" s="367">
        <v>2.2999999999999998</v>
      </c>
      <c r="Y224" s="328"/>
      <c r="Z224" s="328"/>
      <c r="AA224" s="328"/>
      <c r="AB224" s="366">
        <v>0.98599999999999999</v>
      </c>
      <c r="AC224" s="328">
        <v>78</v>
      </c>
      <c r="AD224" s="346">
        <v>501</v>
      </c>
      <c r="AE224" s="328"/>
      <c r="AF224" s="328"/>
      <c r="AG224" s="328"/>
      <c r="AH224" s="327">
        <v>457</v>
      </c>
      <c r="AI224" s="327">
        <v>368</v>
      </c>
      <c r="AJ224" s="327">
        <v>190</v>
      </c>
      <c r="AK224" s="327">
        <v>65</v>
      </c>
      <c r="AL224" s="327">
        <v>140</v>
      </c>
      <c r="AM224" s="327">
        <v>18</v>
      </c>
      <c r="AN224" s="327">
        <v>58</v>
      </c>
      <c r="AO224" s="327" t="s">
        <v>249</v>
      </c>
      <c r="AP224" s="327">
        <v>280</v>
      </c>
      <c r="AQ224" s="327">
        <v>24</v>
      </c>
      <c r="AR224" s="327">
        <v>550</v>
      </c>
      <c r="AS224" s="327">
        <v>580</v>
      </c>
      <c r="AT224" s="327">
        <v>410</v>
      </c>
      <c r="AU224" s="327">
        <v>698</v>
      </c>
      <c r="AV224" s="327">
        <v>981</v>
      </c>
      <c r="AW224" s="328">
        <v>1115</v>
      </c>
      <c r="AX224" s="328"/>
      <c r="AY224" s="328"/>
      <c r="AZ224" s="328"/>
      <c r="BA224" s="328"/>
      <c r="BB224" s="328"/>
      <c r="BC224" s="328"/>
      <c r="BD224" s="328"/>
      <c r="BE224" s="328"/>
      <c r="BF224" s="328"/>
      <c r="BG224" s="328"/>
      <c r="BH224" s="327">
        <v>500</v>
      </c>
      <c r="BI224" s="327">
        <v>450</v>
      </c>
      <c r="BJ224" s="327">
        <v>550</v>
      </c>
      <c r="BK224" s="327">
        <v>19</v>
      </c>
      <c r="BL224" s="327">
        <v>5</v>
      </c>
      <c r="BM224" s="325" t="s">
        <v>420</v>
      </c>
      <c r="BN224" s="325" t="s">
        <v>420</v>
      </c>
      <c r="BO224" s="340" t="s">
        <v>419</v>
      </c>
      <c r="BP224" s="340" t="s">
        <v>419</v>
      </c>
      <c r="BQ224" s="325" t="s">
        <v>388</v>
      </c>
    </row>
    <row r="225" spans="1:70" ht="12" customHeight="1">
      <c r="A225" s="320">
        <v>421</v>
      </c>
      <c r="B225" s="336" t="s">
        <v>656</v>
      </c>
      <c r="C225" s="328" t="s">
        <v>655</v>
      </c>
      <c r="D225" s="336" t="s">
        <v>723</v>
      </c>
      <c r="E225" s="328">
        <v>280</v>
      </c>
      <c r="F225" s="365">
        <v>2</v>
      </c>
      <c r="G225" s="325">
        <v>90</v>
      </c>
      <c r="H225" s="327">
        <v>108</v>
      </c>
      <c r="I225" s="327">
        <v>2970</v>
      </c>
      <c r="J225" s="344">
        <v>3564</v>
      </c>
      <c r="K225" s="328"/>
      <c r="L225" s="364">
        <v>155.1</v>
      </c>
      <c r="M225" s="331">
        <f t="shared" si="143"/>
        <v>161.84347826086957</v>
      </c>
      <c r="N225" s="347">
        <v>0.89</v>
      </c>
      <c r="O225" s="349">
        <v>94.1</v>
      </c>
      <c r="P225" s="348">
        <v>94.51</v>
      </c>
      <c r="Q225" s="348">
        <v>93.44</v>
      </c>
      <c r="R225" s="347">
        <v>0.89</v>
      </c>
      <c r="S225" s="349">
        <v>94.1</v>
      </c>
      <c r="T225" s="348">
        <v>94.51</v>
      </c>
      <c r="U225" s="348">
        <v>93.44</v>
      </c>
      <c r="V225" s="367">
        <v>7</v>
      </c>
      <c r="W225" s="367">
        <v>2</v>
      </c>
      <c r="X225" s="367">
        <v>2.2999999999999998</v>
      </c>
      <c r="Y225" s="328"/>
      <c r="Z225" s="328"/>
      <c r="AA225" s="328"/>
      <c r="AB225" s="366">
        <v>1.04</v>
      </c>
      <c r="AC225" s="328">
        <v>78</v>
      </c>
      <c r="AD225" s="346">
        <v>551</v>
      </c>
      <c r="AE225" s="328"/>
      <c r="AF225" s="328"/>
      <c r="AG225" s="328"/>
      <c r="AH225" s="327">
        <v>457</v>
      </c>
      <c r="AI225" s="327">
        <v>419</v>
      </c>
      <c r="AJ225" s="327">
        <v>190</v>
      </c>
      <c r="AK225" s="327">
        <v>65</v>
      </c>
      <c r="AL225" s="327">
        <v>140</v>
      </c>
      <c r="AM225" s="327">
        <v>18</v>
      </c>
      <c r="AN225" s="327">
        <v>58</v>
      </c>
      <c r="AO225" s="327" t="s">
        <v>249</v>
      </c>
      <c r="AP225" s="327">
        <v>280</v>
      </c>
      <c r="AQ225" s="327">
        <v>24</v>
      </c>
      <c r="AR225" s="327">
        <v>550</v>
      </c>
      <c r="AS225" s="327">
        <v>580</v>
      </c>
      <c r="AT225" s="327">
        <v>410</v>
      </c>
      <c r="AU225" s="327">
        <v>698</v>
      </c>
      <c r="AV225" s="327">
        <v>1032</v>
      </c>
      <c r="AW225" s="328">
        <v>1157</v>
      </c>
      <c r="AX225" s="328"/>
      <c r="AY225" s="328"/>
      <c r="AZ225" s="328"/>
      <c r="BA225" s="328"/>
      <c r="BB225" s="328"/>
      <c r="BC225" s="328"/>
      <c r="BD225" s="328"/>
      <c r="BE225" s="328"/>
      <c r="BF225" s="328"/>
      <c r="BG225" s="328"/>
      <c r="BH225" s="327">
        <v>500</v>
      </c>
      <c r="BI225" s="327">
        <v>450</v>
      </c>
      <c r="BJ225" s="327">
        <v>550</v>
      </c>
      <c r="BK225" s="327">
        <v>19</v>
      </c>
      <c r="BL225" s="327">
        <v>5</v>
      </c>
      <c r="BM225" s="325" t="s">
        <v>420</v>
      </c>
      <c r="BN225" s="325" t="s">
        <v>420</v>
      </c>
      <c r="BO225" s="340" t="s">
        <v>419</v>
      </c>
      <c r="BP225" s="340" t="s">
        <v>419</v>
      </c>
      <c r="BQ225" s="325" t="s">
        <v>388</v>
      </c>
    </row>
    <row r="226" spans="1:70" ht="12" customHeight="1">
      <c r="A226" s="320">
        <v>422</v>
      </c>
      <c r="B226" s="336" t="s">
        <v>656</v>
      </c>
      <c r="C226" s="328" t="s">
        <v>655</v>
      </c>
      <c r="D226" s="336" t="s">
        <v>722</v>
      </c>
      <c r="E226" s="328">
        <v>315</v>
      </c>
      <c r="F226" s="365">
        <v>2</v>
      </c>
      <c r="G226" s="325">
        <v>110</v>
      </c>
      <c r="H226" s="327">
        <v>132</v>
      </c>
      <c r="I226" s="327">
        <v>2980</v>
      </c>
      <c r="J226" s="344">
        <v>3576</v>
      </c>
      <c r="K226" s="328"/>
      <c r="L226" s="364">
        <v>187.1</v>
      </c>
      <c r="M226" s="331">
        <f t="shared" si="143"/>
        <v>195.23478260869564</v>
      </c>
      <c r="N226" s="347">
        <v>0.9</v>
      </c>
      <c r="O226" s="349">
        <v>94.3</v>
      </c>
      <c r="P226" s="348">
        <v>94.31</v>
      </c>
      <c r="Q226" s="348">
        <v>92.98</v>
      </c>
      <c r="R226" s="347">
        <v>0.9</v>
      </c>
      <c r="S226" s="349">
        <v>94.3</v>
      </c>
      <c r="T226" s="348">
        <v>94.31</v>
      </c>
      <c r="U226" s="348">
        <v>92.98</v>
      </c>
      <c r="V226" s="367">
        <v>7.1</v>
      </c>
      <c r="W226" s="367">
        <v>2</v>
      </c>
      <c r="X226" s="367">
        <v>2.2000000000000002</v>
      </c>
      <c r="Y226" s="328"/>
      <c r="Z226" s="328"/>
      <c r="AA226" s="328"/>
      <c r="AB226" s="366">
        <v>1.33</v>
      </c>
      <c r="AC226" s="328">
        <v>82</v>
      </c>
      <c r="AD226" s="346">
        <v>916</v>
      </c>
      <c r="AE226" s="328"/>
      <c r="AF226" s="328"/>
      <c r="AG226" s="328"/>
      <c r="AH226" s="327">
        <v>508</v>
      </c>
      <c r="AI226" s="327">
        <v>406</v>
      </c>
      <c r="AJ226" s="327">
        <v>216</v>
      </c>
      <c r="AK226" s="327">
        <v>65</v>
      </c>
      <c r="AL226" s="327">
        <v>140</v>
      </c>
      <c r="AM226" s="327">
        <v>18</v>
      </c>
      <c r="AN226" s="327">
        <v>58</v>
      </c>
      <c r="AO226" s="327" t="s">
        <v>249</v>
      </c>
      <c r="AP226" s="327">
        <v>315</v>
      </c>
      <c r="AQ226" s="327">
        <v>28</v>
      </c>
      <c r="AR226" s="327">
        <v>630</v>
      </c>
      <c r="AS226" s="327">
        <v>645</v>
      </c>
      <c r="AT226" s="327">
        <v>535</v>
      </c>
      <c r="AU226" s="327">
        <v>885</v>
      </c>
      <c r="AV226" s="327">
        <v>1195</v>
      </c>
      <c r="AW226" s="328">
        <v>1320</v>
      </c>
      <c r="AX226" s="328"/>
      <c r="AY226" s="328"/>
      <c r="AZ226" s="328"/>
      <c r="BA226" s="328"/>
      <c r="BB226" s="328"/>
      <c r="BC226" s="328"/>
      <c r="BD226" s="328"/>
      <c r="BE226" s="328"/>
      <c r="BF226" s="328"/>
      <c r="BG226" s="328"/>
      <c r="BH226" s="327">
        <v>600</v>
      </c>
      <c r="BI226" s="327">
        <v>550</v>
      </c>
      <c r="BJ226" s="327">
        <v>660</v>
      </c>
      <c r="BK226" s="327">
        <v>24</v>
      </c>
      <c r="BL226" s="327">
        <v>6</v>
      </c>
      <c r="BM226" s="325" t="s">
        <v>420</v>
      </c>
      <c r="BN226" s="325" t="s">
        <v>420</v>
      </c>
      <c r="BO226" s="326"/>
      <c r="BP226" s="326"/>
      <c r="BQ226" s="325" t="s">
        <v>388</v>
      </c>
    </row>
    <row r="227" spans="1:70" ht="12" customHeight="1">
      <c r="A227" s="320">
        <v>423</v>
      </c>
      <c r="B227" s="336" t="s">
        <v>656</v>
      </c>
      <c r="C227" s="328" t="s">
        <v>655</v>
      </c>
      <c r="D227" s="336" t="s">
        <v>721</v>
      </c>
      <c r="E227" s="328">
        <v>315</v>
      </c>
      <c r="F227" s="365">
        <v>2</v>
      </c>
      <c r="G227" s="325">
        <v>132</v>
      </c>
      <c r="H227" s="327">
        <v>158.4</v>
      </c>
      <c r="I227" s="327">
        <v>2980</v>
      </c>
      <c r="J227" s="344">
        <v>3576</v>
      </c>
      <c r="K227" s="328"/>
      <c r="L227" s="364">
        <v>223.8</v>
      </c>
      <c r="M227" s="331">
        <f t="shared" si="143"/>
        <v>233.53043478260869</v>
      </c>
      <c r="N227" s="347">
        <v>0.9</v>
      </c>
      <c r="O227" s="349">
        <v>94.6</v>
      </c>
      <c r="P227" s="348">
        <v>94.93</v>
      </c>
      <c r="Q227" s="348">
        <v>93.83</v>
      </c>
      <c r="R227" s="347">
        <v>0.9</v>
      </c>
      <c r="S227" s="349">
        <v>94.6</v>
      </c>
      <c r="T227" s="348">
        <v>94.93</v>
      </c>
      <c r="U227" s="348">
        <v>93.83</v>
      </c>
      <c r="V227" s="367">
        <v>7.1</v>
      </c>
      <c r="W227" s="367">
        <v>2</v>
      </c>
      <c r="X227" s="367">
        <v>2.2000000000000002</v>
      </c>
      <c r="Y227" s="328"/>
      <c r="Z227" s="328"/>
      <c r="AA227" s="328"/>
      <c r="AB227" s="366">
        <v>1.5</v>
      </c>
      <c r="AC227" s="328">
        <v>82</v>
      </c>
      <c r="AD227" s="346">
        <v>954</v>
      </c>
      <c r="AE227" s="328"/>
      <c r="AF227" s="328"/>
      <c r="AG227" s="328"/>
      <c r="AH227" s="327">
        <v>508</v>
      </c>
      <c r="AI227" s="327">
        <v>457</v>
      </c>
      <c r="AJ227" s="327">
        <v>216</v>
      </c>
      <c r="AK227" s="327">
        <v>65</v>
      </c>
      <c r="AL227" s="327">
        <v>140</v>
      </c>
      <c r="AM227" s="327">
        <v>18</v>
      </c>
      <c r="AN227" s="327">
        <v>58</v>
      </c>
      <c r="AO227" s="327" t="s">
        <v>249</v>
      </c>
      <c r="AP227" s="327">
        <v>315</v>
      </c>
      <c r="AQ227" s="327">
        <v>28</v>
      </c>
      <c r="AR227" s="327">
        <v>630</v>
      </c>
      <c r="AS227" s="327">
        <v>645</v>
      </c>
      <c r="AT227" s="327">
        <v>535</v>
      </c>
      <c r="AU227" s="327">
        <v>885</v>
      </c>
      <c r="AV227" s="327">
        <v>1305</v>
      </c>
      <c r="AW227" s="328">
        <v>1435</v>
      </c>
      <c r="AX227" s="328"/>
      <c r="AY227" s="328"/>
      <c r="AZ227" s="328"/>
      <c r="BA227" s="328"/>
      <c r="BB227" s="328"/>
      <c r="BC227" s="328"/>
      <c r="BD227" s="328"/>
      <c r="BE227" s="328"/>
      <c r="BF227" s="328"/>
      <c r="BG227" s="328"/>
      <c r="BH227" s="327">
        <v>600</v>
      </c>
      <c r="BI227" s="327">
        <v>550</v>
      </c>
      <c r="BJ227" s="327">
        <v>660</v>
      </c>
      <c r="BK227" s="327">
        <v>24</v>
      </c>
      <c r="BL227" s="327">
        <v>6</v>
      </c>
      <c r="BM227" s="325" t="s">
        <v>420</v>
      </c>
      <c r="BN227" s="325" t="s">
        <v>420</v>
      </c>
      <c r="BO227" s="326"/>
      <c r="BP227" s="326"/>
      <c r="BQ227" s="325" t="s">
        <v>388</v>
      </c>
    </row>
    <row r="228" spans="1:70" ht="12" customHeight="1">
      <c r="A228" s="320">
        <v>424</v>
      </c>
      <c r="B228" s="336" t="s">
        <v>656</v>
      </c>
      <c r="C228" s="328" t="s">
        <v>655</v>
      </c>
      <c r="D228" s="336" t="s">
        <v>720</v>
      </c>
      <c r="E228" s="328">
        <v>315</v>
      </c>
      <c r="F228" s="365">
        <v>2</v>
      </c>
      <c r="G228" s="325">
        <v>160</v>
      </c>
      <c r="H228" s="327">
        <v>192</v>
      </c>
      <c r="I228" s="327">
        <v>2980</v>
      </c>
      <c r="J228" s="344">
        <v>3576</v>
      </c>
      <c r="K228" s="328"/>
      <c r="L228" s="364">
        <v>267.7</v>
      </c>
      <c r="M228" s="331">
        <f t="shared" si="143"/>
        <v>279.33913043478259</v>
      </c>
      <c r="N228" s="347">
        <v>0.91</v>
      </c>
      <c r="O228" s="349">
        <v>94.8</v>
      </c>
      <c r="P228" s="348">
        <v>95.33</v>
      </c>
      <c r="Q228" s="348">
        <v>94.46</v>
      </c>
      <c r="R228" s="347">
        <v>0.91</v>
      </c>
      <c r="S228" s="349">
        <v>94.8</v>
      </c>
      <c r="T228" s="348">
        <v>95.33</v>
      </c>
      <c r="U228" s="348">
        <v>94.46</v>
      </c>
      <c r="V228" s="367">
        <v>7.1</v>
      </c>
      <c r="W228" s="367">
        <v>2</v>
      </c>
      <c r="X228" s="367">
        <v>2.2000000000000002</v>
      </c>
      <c r="Y228" s="328"/>
      <c r="Z228" s="328"/>
      <c r="AA228" s="328"/>
      <c r="AB228" s="366">
        <v>1.67</v>
      </c>
      <c r="AC228" s="328">
        <v>83</v>
      </c>
      <c r="AD228" s="346">
        <v>1083</v>
      </c>
      <c r="AE228" s="328"/>
      <c r="AF228" s="328"/>
      <c r="AG228" s="328"/>
      <c r="AH228" s="327">
        <v>508</v>
      </c>
      <c r="AI228" s="327">
        <v>508</v>
      </c>
      <c r="AJ228" s="327">
        <v>216</v>
      </c>
      <c r="AK228" s="327">
        <v>65</v>
      </c>
      <c r="AL228" s="327">
        <v>140</v>
      </c>
      <c r="AM228" s="327">
        <v>18</v>
      </c>
      <c r="AN228" s="327">
        <v>58</v>
      </c>
      <c r="AO228" s="327" t="s">
        <v>249</v>
      </c>
      <c r="AP228" s="327">
        <v>315</v>
      </c>
      <c r="AQ228" s="327">
        <v>28</v>
      </c>
      <c r="AR228" s="327">
        <v>630</v>
      </c>
      <c r="AS228" s="327">
        <v>645</v>
      </c>
      <c r="AT228" s="327">
        <v>535</v>
      </c>
      <c r="AU228" s="327">
        <v>885</v>
      </c>
      <c r="AV228" s="327">
        <v>1305</v>
      </c>
      <c r="AW228" s="328">
        <v>1435</v>
      </c>
      <c r="AX228" s="328"/>
      <c r="AY228" s="328"/>
      <c r="AZ228" s="328"/>
      <c r="BA228" s="328"/>
      <c r="BB228" s="328"/>
      <c r="BC228" s="328"/>
      <c r="BD228" s="328"/>
      <c r="BE228" s="328"/>
      <c r="BF228" s="328"/>
      <c r="BG228" s="328"/>
      <c r="BH228" s="327">
        <v>600</v>
      </c>
      <c r="BI228" s="327">
        <v>550</v>
      </c>
      <c r="BJ228" s="327">
        <v>660</v>
      </c>
      <c r="BK228" s="327">
        <v>24</v>
      </c>
      <c r="BL228" s="327">
        <v>6</v>
      </c>
      <c r="BM228" s="325" t="s">
        <v>420</v>
      </c>
      <c r="BN228" s="325" t="s">
        <v>420</v>
      </c>
      <c r="BO228" s="326"/>
      <c r="BP228" s="326"/>
      <c r="BQ228" s="325" t="s">
        <v>388</v>
      </c>
    </row>
    <row r="229" spans="1:70" ht="12" customHeight="1">
      <c r="A229" s="320">
        <v>425</v>
      </c>
      <c r="B229" s="336" t="s">
        <v>656</v>
      </c>
      <c r="C229" s="328" t="s">
        <v>655</v>
      </c>
      <c r="D229" s="336" t="s">
        <v>719</v>
      </c>
      <c r="E229" s="328">
        <v>315</v>
      </c>
      <c r="F229" s="365">
        <v>2</v>
      </c>
      <c r="G229" s="325">
        <v>200</v>
      </c>
      <c r="H229" s="327">
        <v>240</v>
      </c>
      <c r="I229" s="327">
        <v>2980</v>
      </c>
      <c r="J229" s="344">
        <v>3576</v>
      </c>
      <c r="K229" s="328"/>
      <c r="L229" s="364">
        <v>333.9</v>
      </c>
      <c r="M229" s="331">
        <f t="shared" si="143"/>
        <v>348.4173913043478</v>
      </c>
      <c r="N229" s="347">
        <v>0.91</v>
      </c>
      <c r="O229" s="349">
        <v>95</v>
      </c>
      <c r="P229" s="348">
        <v>94.93</v>
      </c>
      <c r="Q229" s="348">
        <v>93.63</v>
      </c>
      <c r="R229" s="347">
        <v>0.91</v>
      </c>
      <c r="S229" s="349">
        <v>95</v>
      </c>
      <c r="T229" s="348">
        <v>94.93</v>
      </c>
      <c r="U229" s="348">
        <v>93.63</v>
      </c>
      <c r="V229" s="367">
        <v>7.1</v>
      </c>
      <c r="W229" s="367">
        <v>2</v>
      </c>
      <c r="X229" s="367">
        <v>2.2000000000000002</v>
      </c>
      <c r="Y229" s="328"/>
      <c r="Z229" s="328"/>
      <c r="AA229" s="328"/>
      <c r="AB229" s="366">
        <v>1.88</v>
      </c>
      <c r="AC229" s="328">
        <v>83</v>
      </c>
      <c r="AD229" s="346">
        <v>1178</v>
      </c>
      <c r="AE229" s="328"/>
      <c r="AF229" s="328"/>
      <c r="AG229" s="328"/>
      <c r="AH229" s="327">
        <v>508</v>
      </c>
      <c r="AI229" s="327">
        <v>508</v>
      </c>
      <c r="AJ229" s="327">
        <v>216</v>
      </c>
      <c r="AK229" s="327">
        <v>65</v>
      </c>
      <c r="AL229" s="327">
        <v>140</v>
      </c>
      <c r="AM229" s="327">
        <v>18</v>
      </c>
      <c r="AN229" s="327">
        <v>58</v>
      </c>
      <c r="AO229" s="327" t="s">
        <v>249</v>
      </c>
      <c r="AP229" s="327">
        <v>315</v>
      </c>
      <c r="AQ229" s="327">
        <v>28</v>
      </c>
      <c r="AR229" s="327">
        <v>630</v>
      </c>
      <c r="AS229" s="327">
        <v>645</v>
      </c>
      <c r="AT229" s="327">
        <v>535</v>
      </c>
      <c r="AU229" s="327">
        <v>885</v>
      </c>
      <c r="AV229" s="327">
        <v>1305</v>
      </c>
      <c r="AW229" s="328">
        <v>1435</v>
      </c>
      <c r="AX229" s="328"/>
      <c r="AY229" s="328"/>
      <c r="AZ229" s="328"/>
      <c r="BA229" s="328"/>
      <c r="BB229" s="328"/>
      <c r="BC229" s="328"/>
      <c r="BD229" s="328"/>
      <c r="BE229" s="328"/>
      <c r="BF229" s="328"/>
      <c r="BG229" s="328"/>
      <c r="BH229" s="327">
        <v>600</v>
      </c>
      <c r="BI229" s="327">
        <v>550</v>
      </c>
      <c r="BJ229" s="327">
        <v>660</v>
      </c>
      <c r="BK229" s="327">
        <v>24</v>
      </c>
      <c r="BL229" s="327">
        <v>6</v>
      </c>
      <c r="BM229" s="325" t="s">
        <v>420</v>
      </c>
      <c r="BN229" s="325" t="s">
        <v>420</v>
      </c>
      <c r="BO229" s="326"/>
      <c r="BP229" s="326"/>
      <c r="BQ229" s="325" t="s">
        <v>388</v>
      </c>
    </row>
    <row r="230" spans="1:70" ht="12" customHeight="1">
      <c r="A230" s="320">
        <v>426</v>
      </c>
      <c r="B230" s="336" t="s">
        <v>656</v>
      </c>
      <c r="C230" s="328" t="s">
        <v>655</v>
      </c>
      <c r="D230" s="336" t="s">
        <v>718</v>
      </c>
      <c r="E230" s="328">
        <v>355</v>
      </c>
      <c r="F230" s="365">
        <v>2</v>
      </c>
      <c r="G230" s="325">
        <v>250</v>
      </c>
      <c r="H230" s="327">
        <v>300</v>
      </c>
      <c r="I230" s="327">
        <v>2985</v>
      </c>
      <c r="J230" s="344">
        <v>3582</v>
      </c>
      <c r="K230" s="328"/>
      <c r="L230" s="364">
        <v>417.4</v>
      </c>
      <c r="M230" s="331">
        <f t="shared" si="143"/>
        <v>435.54782608695655</v>
      </c>
      <c r="N230" s="347">
        <v>0.91</v>
      </c>
      <c r="O230" s="349">
        <v>95</v>
      </c>
      <c r="P230" s="348">
        <v>94.67</v>
      </c>
      <c r="Q230" s="348">
        <v>93.09</v>
      </c>
      <c r="R230" s="347">
        <v>0.91</v>
      </c>
      <c r="S230" s="349">
        <v>95</v>
      </c>
      <c r="T230" s="348">
        <v>94.67</v>
      </c>
      <c r="U230" s="348">
        <v>93.09</v>
      </c>
      <c r="V230" s="367">
        <v>7.1</v>
      </c>
      <c r="W230" s="367">
        <v>2</v>
      </c>
      <c r="X230" s="367">
        <v>2.2000000000000002</v>
      </c>
      <c r="Y230" s="328"/>
      <c r="Z230" s="328"/>
      <c r="AA230" s="328"/>
      <c r="AB230" s="366">
        <v>4.0199999999999996</v>
      </c>
      <c r="AC230" s="328">
        <v>86</v>
      </c>
      <c r="AD230" s="346">
        <v>1611</v>
      </c>
      <c r="AE230" s="328"/>
      <c r="AF230" s="328"/>
      <c r="AG230" s="328"/>
      <c r="AH230" s="327">
        <v>610</v>
      </c>
      <c r="AI230" s="327">
        <v>560</v>
      </c>
      <c r="AJ230" s="327">
        <v>254</v>
      </c>
      <c r="AK230" s="327">
        <v>75</v>
      </c>
      <c r="AL230" s="327">
        <v>140</v>
      </c>
      <c r="AM230" s="327">
        <v>20</v>
      </c>
      <c r="AN230" s="327">
        <v>67.5</v>
      </c>
      <c r="AO230" s="327" t="s">
        <v>249</v>
      </c>
      <c r="AP230" s="327">
        <v>355</v>
      </c>
      <c r="AQ230" s="327">
        <v>28</v>
      </c>
      <c r="AR230" s="327">
        <v>730</v>
      </c>
      <c r="AS230" s="327">
        <v>720</v>
      </c>
      <c r="AT230" s="327">
        <v>700</v>
      </c>
      <c r="AU230" s="327">
        <v>1065</v>
      </c>
      <c r="AV230" s="327">
        <v>1515</v>
      </c>
      <c r="AW230" s="328">
        <v>1660</v>
      </c>
      <c r="AX230" s="328"/>
      <c r="AY230" s="328"/>
      <c r="AZ230" s="328"/>
      <c r="BA230" s="328"/>
      <c r="BB230" s="328"/>
      <c r="BC230" s="328"/>
      <c r="BD230" s="328"/>
      <c r="BE230" s="328"/>
      <c r="BF230" s="328"/>
      <c r="BG230" s="328"/>
      <c r="BH230" s="327">
        <v>740</v>
      </c>
      <c r="BI230" s="327">
        <v>680</v>
      </c>
      <c r="BJ230" s="327">
        <v>800</v>
      </c>
      <c r="BK230" s="327">
        <v>24</v>
      </c>
      <c r="BL230" s="327">
        <v>6</v>
      </c>
      <c r="BM230" s="325" t="s">
        <v>389</v>
      </c>
      <c r="BN230" s="325" t="s">
        <v>389</v>
      </c>
      <c r="BO230" s="326"/>
      <c r="BP230" s="326"/>
      <c r="BQ230" s="325" t="s">
        <v>388</v>
      </c>
    </row>
    <row r="231" spans="1:70" ht="12" customHeight="1">
      <c r="A231" s="320">
        <v>427</v>
      </c>
      <c r="B231" s="336" t="s">
        <v>656</v>
      </c>
      <c r="C231" s="328" t="s">
        <v>655</v>
      </c>
      <c r="D231" s="336" t="s">
        <v>717</v>
      </c>
      <c r="E231" s="328">
        <v>355</v>
      </c>
      <c r="F231" s="365">
        <v>2</v>
      </c>
      <c r="G231" s="325">
        <v>315</v>
      </c>
      <c r="H231" s="327">
        <v>378</v>
      </c>
      <c r="I231" s="327">
        <v>2985</v>
      </c>
      <c r="J231" s="344">
        <v>3582</v>
      </c>
      <c r="K231" s="328"/>
      <c r="L231" s="364">
        <v>525.9</v>
      </c>
      <c r="M231" s="331">
        <f t="shared" si="143"/>
        <v>548.7652173913043</v>
      </c>
      <c r="N231" s="347">
        <v>0.91</v>
      </c>
      <c r="O231" s="349">
        <v>95</v>
      </c>
      <c r="P231" s="348">
        <v>94.91</v>
      </c>
      <c r="Q231" s="348">
        <v>93.44</v>
      </c>
      <c r="R231" s="347">
        <v>0.91</v>
      </c>
      <c r="S231" s="349">
        <v>95</v>
      </c>
      <c r="T231" s="348">
        <v>94.91</v>
      </c>
      <c r="U231" s="348">
        <v>93.44</v>
      </c>
      <c r="V231" s="367">
        <v>7.1</v>
      </c>
      <c r="W231" s="367">
        <v>2</v>
      </c>
      <c r="X231" s="367">
        <v>2.2000000000000002</v>
      </c>
      <c r="Y231" s="328"/>
      <c r="Z231" s="328"/>
      <c r="AA231" s="328"/>
      <c r="AB231" s="366">
        <v>4.8600000000000003</v>
      </c>
      <c r="AC231" s="328">
        <v>86</v>
      </c>
      <c r="AD231" s="346">
        <v>1801</v>
      </c>
      <c r="AE231" s="328"/>
      <c r="AF231" s="328"/>
      <c r="AG231" s="328"/>
      <c r="AH231" s="327">
        <v>610</v>
      </c>
      <c r="AI231" s="327">
        <v>630</v>
      </c>
      <c r="AJ231" s="327">
        <v>254</v>
      </c>
      <c r="AK231" s="327">
        <v>75</v>
      </c>
      <c r="AL231" s="327">
        <v>140</v>
      </c>
      <c r="AM231" s="327">
        <v>20</v>
      </c>
      <c r="AN231" s="327">
        <v>67.5</v>
      </c>
      <c r="AO231" s="327" t="s">
        <v>249</v>
      </c>
      <c r="AP231" s="327">
        <v>355</v>
      </c>
      <c r="AQ231" s="327">
        <v>28</v>
      </c>
      <c r="AR231" s="327">
        <v>730</v>
      </c>
      <c r="AS231" s="327">
        <v>720</v>
      </c>
      <c r="AT231" s="327">
        <v>700</v>
      </c>
      <c r="AU231" s="327">
        <v>1065</v>
      </c>
      <c r="AV231" s="327">
        <v>1515</v>
      </c>
      <c r="AW231" s="328">
        <v>1660</v>
      </c>
      <c r="AX231" s="328"/>
      <c r="AY231" s="328"/>
      <c r="AZ231" s="328"/>
      <c r="BA231" s="328"/>
      <c r="BB231" s="328"/>
      <c r="BC231" s="328"/>
      <c r="BD231" s="328"/>
      <c r="BE231" s="328"/>
      <c r="BF231" s="328"/>
      <c r="BG231" s="328"/>
      <c r="BH231" s="327">
        <v>740</v>
      </c>
      <c r="BI231" s="327">
        <v>680</v>
      </c>
      <c r="BJ231" s="327">
        <v>800</v>
      </c>
      <c r="BK231" s="327">
        <v>24</v>
      </c>
      <c r="BL231" s="327">
        <v>6</v>
      </c>
      <c r="BM231" s="325" t="s">
        <v>389</v>
      </c>
      <c r="BN231" s="325" t="s">
        <v>389</v>
      </c>
      <c r="BO231" s="326"/>
      <c r="BP231" s="326"/>
      <c r="BQ231" s="325" t="s">
        <v>388</v>
      </c>
    </row>
    <row r="232" spans="1:70" s="1845" customFormat="1" ht="12" customHeight="1">
      <c r="A232" s="1842">
        <f>A231</f>
        <v>427</v>
      </c>
      <c r="B232" s="1843" t="str">
        <f t="shared" ref="B232" si="212">B231</f>
        <v>3D2</v>
      </c>
      <c r="C232" s="1844" t="str">
        <f t="shared" ref="C232" si="213">C231</f>
        <v>IE2</v>
      </c>
      <c r="D232" s="1843" t="str">
        <f t="shared" ref="D232" si="214">D231</f>
        <v>3D2 355 L-2</v>
      </c>
      <c r="E232" s="1845">
        <f t="shared" ref="E232" si="215">E231</f>
        <v>355</v>
      </c>
      <c r="F232" s="1846">
        <f t="shared" ref="F232" si="216">F231</f>
        <v>2</v>
      </c>
      <c r="G232" s="1844">
        <f t="shared" ref="G232" si="217">G231</f>
        <v>315</v>
      </c>
      <c r="H232" s="1844">
        <f t="shared" ref="H232" si="218">H231</f>
        <v>378</v>
      </c>
      <c r="I232" s="1844">
        <f t="shared" ref="I232" si="219">I231</f>
        <v>2985</v>
      </c>
      <c r="J232" s="1847">
        <f t="shared" ref="J232" si="220">J231</f>
        <v>3582</v>
      </c>
      <c r="K232" s="1845">
        <f t="shared" ref="K232" si="221">K231</f>
        <v>0</v>
      </c>
      <c r="L232" s="1844">
        <f t="shared" ref="L232" si="222">L231</f>
        <v>525.9</v>
      </c>
      <c r="M232" s="1848">
        <f t="shared" ref="M232" si="223">M231</f>
        <v>548.7652173913043</v>
      </c>
      <c r="N232" s="1849">
        <f t="shared" ref="N232" si="224">N231</f>
        <v>0.91</v>
      </c>
      <c r="O232" s="1850">
        <f t="shared" ref="O232" si="225">O231</f>
        <v>95</v>
      </c>
      <c r="P232" s="1845">
        <f t="shared" ref="P232" si="226">P231</f>
        <v>94.91</v>
      </c>
      <c r="Q232" s="1845">
        <f t="shared" ref="Q232" si="227">Q231</f>
        <v>93.44</v>
      </c>
      <c r="R232" s="1849">
        <f t="shared" ref="R232" si="228">R231</f>
        <v>0.91</v>
      </c>
      <c r="S232" s="1850">
        <f t="shared" ref="S232" si="229">S231</f>
        <v>95</v>
      </c>
      <c r="T232" s="1845">
        <f t="shared" ref="T232" si="230">T231</f>
        <v>94.91</v>
      </c>
      <c r="U232" s="1845">
        <f t="shared" ref="U232" si="231">U231</f>
        <v>93.44</v>
      </c>
      <c r="V232" s="1849">
        <f t="shared" ref="V232" si="232">V231</f>
        <v>7.1</v>
      </c>
      <c r="W232" s="1849">
        <f t="shared" ref="W232" si="233">W231</f>
        <v>2</v>
      </c>
      <c r="X232" s="1850">
        <f t="shared" ref="X232" si="234">X231</f>
        <v>2.2000000000000002</v>
      </c>
      <c r="Y232" s="1845">
        <f t="shared" ref="Y232" si="235">Y231</f>
        <v>0</v>
      </c>
      <c r="Z232" s="1845">
        <f t="shared" ref="Z232" si="236">Z231</f>
        <v>0</v>
      </c>
      <c r="AA232" s="1845">
        <f t="shared" ref="AA232" si="237">AA231</f>
        <v>0</v>
      </c>
      <c r="AB232" s="1851">
        <f t="shared" ref="AB232" si="238">AB231</f>
        <v>4.8600000000000003</v>
      </c>
      <c r="AC232" s="1845">
        <f t="shared" ref="AC232" si="239">AC231</f>
        <v>86</v>
      </c>
      <c r="AD232" s="1844">
        <f t="shared" ref="AD232" si="240">AD231</f>
        <v>1801</v>
      </c>
      <c r="AE232" s="1845">
        <f t="shared" ref="AE232" si="241">AE231</f>
        <v>0</v>
      </c>
      <c r="AF232" s="1845">
        <f t="shared" ref="AF232" si="242">AF231</f>
        <v>0</v>
      </c>
      <c r="AG232" s="1845">
        <f t="shared" ref="AG232" si="243">AG231</f>
        <v>0</v>
      </c>
      <c r="AH232" s="1844">
        <f t="shared" ref="AH232" si="244">AH231</f>
        <v>610</v>
      </c>
      <c r="AI232" s="1844">
        <f t="shared" ref="AI232" si="245">AI231</f>
        <v>630</v>
      </c>
      <c r="AJ232" s="1844">
        <f t="shared" ref="AJ232" si="246">AJ231</f>
        <v>254</v>
      </c>
      <c r="AK232" s="1844">
        <f t="shared" ref="AK232" si="247">AK231</f>
        <v>75</v>
      </c>
      <c r="AL232" s="1844">
        <f t="shared" ref="AL232" si="248">AL231</f>
        <v>140</v>
      </c>
      <c r="AM232" s="1844">
        <f t="shared" ref="AM232" si="249">AM231</f>
        <v>20</v>
      </c>
      <c r="AN232" s="1844">
        <f t="shared" ref="AN232" si="250">AN231</f>
        <v>67.5</v>
      </c>
      <c r="AO232" s="1844" t="str">
        <f t="shared" ref="AO232" si="251">AO231</f>
        <v>M20</v>
      </c>
      <c r="AP232" s="1844">
        <f t="shared" ref="AP232" si="252">AP231</f>
        <v>355</v>
      </c>
      <c r="AQ232" s="1844">
        <f t="shared" ref="AQ232" si="253">AQ231</f>
        <v>28</v>
      </c>
      <c r="AR232" s="1844">
        <f t="shared" ref="AR232" si="254">AR231</f>
        <v>730</v>
      </c>
      <c r="AS232" s="1844">
        <f t="shared" ref="AS232" si="255">AS231</f>
        <v>720</v>
      </c>
      <c r="AT232" s="1844">
        <f t="shared" ref="AT232" si="256">AT231</f>
        <v>700</v>
      </c>
      <c r="AU232" s="1844">
        <f t="shared" ref="AU232" si="257">AU231</f>
        <v>1065</v>
      </c>
      <c r="AV232" s="1844">
        <f t="shared" ref="AV232" si="258">AV231</f>
        <v>1515</v>
      </c>
      <c r="AW232" s="1844">
        <f t="shared" ref="AW232" si="259">AW231</f>
        <v>1660</v>
      </c>
      <c r="AX232" s="1845">
        <f t="shared" ref="AX232" si="260">AX231</f>
        <v>0</v>
      </c>
      <c r="AY232" s="1845">
        <f t="shared" ref="AY232" si="261">AY231</f>
        <v>0</v>
      </c>
      <c r="AZ232" s="1845">
        <f t="shared" ref="AZ232" si="262">AZ231</f>
        <v>0</v>
      </c>
      <c r="BA232" s="1845">
        <f t="shared" ref="BA232" si="263">BA231</f>
        <v>0</v>
      </c>
      <c r="BB232" s="1845">
        <f t="shared" ref="BB232" si="264">BB231</f>
        <v>0</v>
      </c>
      <c r="BC232" s="1845">
        <f t="shared" ref="BC232" si="265">BC231</f>
        <v>0</v>
      </c>
      <c r="BD232" s="1845">
        <f t="shared" ref="BD232" si="266">BD231</f>
        <v>0</v>
      </c>
      <c r="BE232" s="1845">
        <f t="shared" ref="BE232" si="267">BE231</f>
        <v>0</v>
      </c>
      <c r="BF232" s="1845">
        <f t="shared" ref="BF232" si="268">BF231</f>
        <v>0</v>
      </c>
      <c r="BG232" s="1845">
        <f t="shared" ref="BG232" si="269">BG231</f>
        <v>0</v>
      </c>
      <c r="BH232" s="1844">
        <f t="shared" ref="BH232" si="270">BH231</f>
        <v>740</v>
      </c>
      <c r="BI232" s="1844">
        <f t="shared" ref="BI232" si="271">BI231</f>
        <v>680</v>
      </c>
      <c r="BJ232" s="1844">
        <f t="shared" ref="BJ232" si="272">BJ231</f>
        <v>800</v>
      </c>
      <c r="BK232" s="1844">
        <f t="shared" ref="BK232" si="273">BK231</f>
        <v>24</v>
      </c>
      <c r="BL232" s="1844">
        <f t="shared" ref="BL232" si="274">BL231</f>
        <v>6</v>
      </c>
      <c r="BM232" s="1844" t="str">
        <f t="shared" ref="BM232" si="275">BM231</f>
        <v>6319/C3</v>
      </c>
      <c r="BN232" s="1844" t="str">
        <f t="shared" ref="BN232" si="276">BN231</f>
        <v>6319/C3</v>
      </c>
      <c r="BO232" s="1852">
        <f t="shared" ref="BO232" si="277">BO231</f>
        <v>0</v>
      </c>
      <c r="BP232" s="1852">
        <f t="shared" ref="BP232" si="278">BP231</f>
        <v>0</v>
      </c>
      <c r="BQ232" s="1845" t="str">
        <f t="shared" ref="BQ232" si="279">BQ231</f>
        <v>2×63×1.5</v>
      </c>
      <c r="BR232" s="1842"/>
    </row>
    <row r="233" spans="1:70" ht="12" customHeight="1">
      <c r="A233" s="320">
        <v>501</v>
      </c>
      <c r="B233" s="371" t="s">
        <v>674</v>
      </c>
      <c r="C233" s="328" t="s">
        <v>655</v>
      </c>
      <c r="D233" s="371" t="s">
        <v>716</v>
      </c>
      <c r="E233" s="328">
        <v>80</v>
      </c>
      <c r="F233" s="365">
        <v>4</v>
      </c>
      <c r="G233" s="346">
        <v>0.55000000000000004</v>
      </c>
      <c r="H233" s="370">
        <v>0.66</v>
      </c>
      <c r="I233" s="370">
        <v>1430</v>
      </c>
      <c r="J233" s="369">
        <v>1716</v>
      </c>
      <c r="K233" s="328"/>
      <c r="L233" s="347">
        <v>1.3</v>
      </c>
      <c r="M233" s="333">
        <f t="shared" si="143"/>
        <v>1.3565217391304347</v>
      </c>
      <c r="N233" s="347">
        <v>0.75</v>
      </c>
      <c r="O233" s="367">
        <v>78.3</v>
      </c>
      <c r="P233" s="348">
        <v>78.7</v>
      </c>
      <c r="Q233" s="348">
        <v>77.8</v>
      </c>
      <c r="R233" s="347">
        <v>0.75</v>
      </c>
      <c r="S233" s="367">
        <v>78.3</v>
      </c>
      <c r="T233" s="348">
        <v>78.7</v>
      </c>
      <c r="U233" s="348">
        <v>77.8</v>
      </c>
      <c r="V233" s="363">
        <v>6.5</v>
      </c>
      <c r="W233" s="363">
        <v>2.2999999999999998</v>
      </c>
      <c r="X233" s="363">
        <v>2.2999999999999998</v>
      </c>
      <c r="Y233" s="328"/>
      <c r="Z233" s="328"/>
      <c r="AA233" s="328"/>
      <c r="AB233" s="366">
        <v>1.8E-3</v>
      </c>
      <c r="AC233" s="328">
        <v>48</v>
      </c>
      <c r="AD233" s="346">
        <v>11.5</v>
      </c>
      <c r="AE233" s="328"/>
      <c r="AF233" s="328"/>
      <c r="AG233" s="328"/>
      <c r="AH233" s="327">
        <v>125</v>
      </c>
      <c r="AI233" s="327">
        <v>100</v>
      </c>
      <c r="AJ233" s="327">
        <v>50</v>
      </c>
      <c r="AK233" s="327">
        <v>19</v>
      </c>
      <c r="AL233" s="327">
        <v>40</v>
      </c>
      <c r="AM233" s="327">
        <v>6</v>
      </c>
      <c r="AN233" s="327">
        <v>15.5</v>
      </c>
      <c r="AO233" s="327" t="s">
        <v>244</v>
      </c>
      <c r="AP233" s="327">
        <v>80</v>
      </c>
      <c r="AQ233" s="327">
        <v>10</v>
      </c>
      <c r="AR233" s="327">
        <v>153</v>
      </c>
      <c r="AS233" s="327">
        <v>167</v>
      </c>
      <c r="AT233" s="327">
        <v>138</v>
      </c>
      <c r="AU233" s="327">
        <v>217</v>
      </c>
      <c r="AV233" s="327">
        <v>295</v>
      </c>
      <c r="AW233" s="327">
        <v>295</v>
      </c>
      <c r="AX233" s="327">
        <v>100</v>
      </c>
      <c r="AY233" s="327">
        <v>80</v>
      </c>
      <c r="AZ233" s="327">
        <v>120</v>
      </c>
      <c r="BA233" s="327" t="s">
        <v>244</v>
      </c>
      <c r="BB233" s="327">
        <v>3</v>
      </c>
      <c r="BC233" s="327">
        <v>130</v>
      </c>
      <c r="BD233" s="327">
        <v>110</v>
      </c>
      <c r="BE233" s="327">
        <v>160</v>
      </c>
      <c r="BF233" s="327" t="s">
        <v>245</v>
      </c>
      <c r="BG233" s="327">
        <v>3.5</v>
      </c>
      <c r="BH233" s="327">
        <v>165</v>
      </c>
      <c r="BI233" s="327">
        <v>130</v>
      </c>
      <c r="BJ233" s="327">
        <v>200</v>
      </c>
      <c r="BK233" s="327">
        <v>12</v>
      </c>
      <c r="BL233" s="327">
        <v>3</v>
      </c>
      <c r="BM233" s="325" t="s">
        <v>568</v>
      </c>
      <c r="BN233" s="325" t="s">
        <v>568</v>
      </c>
      <c r="BO233" s="340" t="s">
        <v>714</v>
      </c>
      <c r="BP233" s="340" t="s">
        <v>714</v>
      </c>
      <c r="BQ233" s="325" t="s">
        <v>480</v>
      </c>
    </row>
    <row r="234" spans="1:70" ht="12" customHeight="1">
      <c r="A234" s="320">
        <v>502</v>
      </c>
      <c r="B234" s="371" t="s">
        <v>674</v>
      </c>
      <c r="C234" s="328" t="s">
        <v>655</v>
      </c>
      <c r="D234" s="371" t="s">
        <v>715</v>
      </c>
      <c r="E234" s="328">
        <v>80</v>
      </c>
      <c r="F234" s="365">
        <v>4</v>
      </c>
      <c r="G234" s="346">
        <v>0.75</v>
      </c>
      <c r="H234" s="370">
        <v>0.9</v>
      </c>
      <c r="I234" s="370">
        <v>1430</v>
      </c>
      <c r="J234" s="369">
        <v>1716</v>
      </c>
      <c r="K234" s="328"/>
      <c r="L234" s="347">
        <v>1.72</v>
      </c>
      <c r="M234" s="333">
        <f t="shared" si="143"/>
        <v>1.7947826086956522</v>
      </c>
      <c r="N234" s="347">
        <v>0.75</v>
      </c>
      <c r="O234" s="367">
        <v>79.599999999999994</v>
      </c>
      <c r="P234" s="348">
        <v>80.3</v>
      </c>
      <c r="Q234" s="348">
        <v>79.2</v>
      </c>
      <c r="R234" s="347">
        <v>0.75</v>
      </c>
      <c r="S234" s="367">
        <v>79.599999999999994</v>
      </c>
      <c r="T234" s="348">
        <v>80.3</v>
      </c>
      <c r="U234" s="348">
        <v>79.2</v>
      </c>
      <c r="V234" s="363">
        <v>6.5</v>
      </c>
      <c r="W234" s="363">
        <v>2.2999999999999998</v>
      </c>
      <c r="X234" s="363">
        <v>2.2999999999999998</v>
      </c>
      <c r="Y234" s="328"/>
      <c r="Z234" s="328"/>
      <c r="AA234" s="328"/>
      <c r="AB234" s="366">
        <v>2.0999999999999999E-3</v>
      </c>
      <c r="AC234" s="328">
        <v>48</v>
      </c>
      <c r="AD234" s="346">
        <v>13</v>
      </c>
      <c r="AE234" s="328"/>
      <c r="AF234" s="328"/>
      <c r="AG234" s="328"/>
      <c r="AH234" s="327">
        <v>125</v>
      </c>
      <c r="AI234" s="327">
        <v>100</v>
      </c>
      <c r="AJ234" s="327">
        <v>50</v>
      </c>
      <c r="AK234" s="327">
        <v>19</v>
      </c>
      <c r="AL234" s="327">
        <v>40</v>
      </c>
      <c r="AM234" s="327">
        <v>6</v>
      </c>
      <c r="AN234" s="327">
        <v>15.5</v>
      </c>
      <c r="AO234" s="327" t="s">
        <v>244</v>
      </c>
      <c r="AP234" s="327">
        <v>80</v>
      </c>
      <c r="AQ234" s="327">
        <v>10</v>
      </c>
      <c r="AR234" s="327">
        <v>153</v>
      </c>
      <c r="AS234" s="327">
        <v>167</v>
      </c>
      <c r="AT234" s="327">
        <v>138</v>
      </c>
      <c r="AU234" s="327">
        <v>217</v>
      </c>
      <c r="AV234" s="327">
        <v>295</v>
      </c>
      <c r="AW234" s="327">
        <v>295</v>
      </c>
      <c r="AX234" s="327">
        <v>100</v>
      </c>
      <c r="AY234" s="327">
        <v>80</v>
      </c>
      <c r="AZ234" s="327">
        <v>120</v>
      </c>
      <c r="BA234" s="327" t="s">
        <v>244</v>
      </c>
      <c r="BB234" s="327">
        <v>3</v>
      </c>
      <c r="BC234" s="327">
        <v>130</v>
      </c>
      <c r="BD234" s="327">
        <v>110</v>
      </c>
      <c r="BE234" s="327">
        <v>160</v>
      </c>
      <c r="BF234" s="327" t="s">
        <v>245</v>
      </c>
      <c r="BG234" s="327">
        <v>3.5</v>
      </c>
      <c r="BH234" s="327">
        <v>165</v>
      </c>
      <c r="BI234" s="327">
        <v>130</v>
      </c>
      <c r="BJ234" s="327">
        <v>200</v>
      </c>
      <c r="BK234" s="327">
        <v>12</v>
      </c>
      <c r="BL234" s="327">
        <v>3</v>
      </c>
      <c r="BM234" s="325" t="s">
        <v>568</v>
      </c>
      <c r="BN234" s="325" t="s">
        <v>568</v>
      </c>
      <c r="BO234" s="340" t="s">
        <v>714</v>
      </c>
      <c r="BP234" s="340" t="s">
        <v>714</v>
      </c>
      <c r="BQ234" s="325" t="s">
        <v>480</v>
      </c>
    </row>
    <row r="235" spans="1:70" ht="12" customHeight="1">
      <c r="A235" s="320">
        <v>503</v>
      </c>
      <c r="B235" s="374" t="s">
        <v>674</v>
      </c>
      <c r="C235" s="328" t="s">
        <v>655</v>
      </c>
      <c r="D235" s="374" t="s">
        <v>713</v>
      </c>
      <c r="E235" s="328">
        <v>90</v>
      </c>
      <c r="F235" s="365">
        <v>4</v>
      </c>
      <c r="G235" s="370">
        <v>1.1000000000000001</v>
      </c>
      <c r="H235" s="370">
        <v>1.32</v>
      </c>
      <c r="I235" s="370">
        <v>1430</v>
      </c>
      <c r="J235" s="370">
        <v>1716</v>
      </c>
      <c r="K235" s="328"/>
      <c r="L235" s="347">
        <v>2.5299999999999998</v>
      </c>
      <c r="M235" s="331">
        <f t="shared" si="143"/>
        <v>2.6399999999999997</v>
      </c>
      <c r="N235" s="347">
        <v>0.77</v>
      </c>
      <c r="O235" s="367">
        <v>81.400000000000006</v>
      </c>
      <c r="P235" s="348">
        <v>82.7</v>
      </c>
      <c r="Q235" s="348">
        <v>81.400000000000006</v>
      </c>
      <c r="R235" s="347">
        <v>0.77</v>
      </c>
      <c r="S235" s="367">
        <v>81.400000000000006</v>
      </c>
      <c r="T235" s="348">
        <v>82.7</v>
      </c>
      <c r="U235" s="348">
        <v>81.400000000000006</v>
      </c>
      <c r="V235" s="367">
        <v>6.8</v>
      </c>
      <c r="W235" s="367">
        <v>2.2999999999999998</v>
      </c>
      <c r="X235" s="363">
        <v>2.2999999999999998</v>
      </c>
      <c r="Y235" s="328"/>
      <c r="Z235" s="328"/>
      <c r="AA235" s="328"/>
      <c r="AB235" s="373">
        <v>2.3E-3</v>
      </c>
      <c r="AC235" s="328">
        <v>52</v>
      </c>
      <c r="AD235" s="370">
        <v>16.5</v>
      </c>
      <c r="AE235" s="328"/>
      <c r="AF235" s="328"/>
      <c r="AG235" s="328"/>
      <c r="AH235" s="327">
        <v>143</v>
      </c>
      <c r="AI235" s="327">
        <v>100</v>
      </c>
      <c r="AJ235" s="327">
        <v>56</v>
      </c>
      <c r="AK235" s="327">
        <v>24</v>
      </c>
      <c r="AL235" s="327">
        <v>50</v>
      </c>
      <c r="AM235" s="327">
        <v>8</v>
      </c>
      <c r="AN235" s="327">
        <v>20</v>
      </c>
      <c r="AO235" s="327" t="s">
        <v>245</v>
      </c>
      <c r="AP235" s="327">
        <v>90</v>
      </c>
      <c r="AQ235" s="327">
        <v>10</v>
      </c>
      <c r="AR235" s="327">
        <v>178</v>
      </c>
      <c r="AS235" s="327">
        <v>180</v>
      </c>
      <c r="AT235" s="327">
        <v>150</v>
      </c>
      <c r="AU235" s="327">
        <v>240</v>
      </c>
      <c r="AV235" s="327">
        <v>327</v>
      </c>
      <c r="AW235" s="327">
        <v>327</v>
      </c>
      <c r="AX235" s="327">
        <v>115</v>
      </c>
      <c r="AY235" s="327">
        <v>95</v>
      </c>
      <c r="AZ235" s="327">
        <v>140</v>
      </c>
      <c r="BA235" s="327" t="s">
        <v>245</v>
      </c>
      <c r="BB235" s="327">
        <v>3</v>
      </c>
      <c r="BC235" s="327">
        <v>130</v>
      </c>
      <c r="BD235" s="327">
        <v>110</v>
      </c>
      <c r="BE235" s="327">
        <v>160</v>
      </c>
      <c r="BF235" s="327" t="s">
        <v>245</v>
      </c>
      <c r="BG235" s="327">
        <v>3.5</v>
      </c>
      <c r="BH235" s="327">
        <v>165</v>
      </c>
      <c r="BI235" s="327">
        <v>130</v>
      </c>
      <c r="BJ235" s="327">
        <v>200</v>
      </c>
      <c r="BK235" s="327">
        <v>12</v>
      </c>
      <c r="BL235" s="327">
        <v>3.5</v>
      </c>
      <c r="BM235" s="325" t="s">
        <v>485</v>
      </c>
      <c r="BN235" s="325" t="s">
        <v>485</v>
      </c>
      <c r="BO235" s="340" t="s">
        <v>686</v>
      </c>
      <c r="BP235" s="340" t="s">
        <v>686</v>
      </c>
      <c r="BQ235" s="325" t="s">
        <v>480</v>
      </c>
    </row>
    <row r="236" spans="1:70" ht="12" customHeight="1">
      <c r="A236" s="320">
        <v>504</v>
      </c>
      <c r="B236" s="374" t="s">
        <v>674</v>
      </c>
      <c r="C236" s="328" t="s">
        <v>655</v>
      </c>
      <c r="D236" s="374" t="s">
        <v>712</v>
      </c>
      <c r="E236" s="328">
        <v>90</v>
      </c>
      <c r="F236" s="365">
        <v>4</v>
      </c>
      <c r="G236" s="370">
        <v>1.5</v>
      </c>
      <c r="H236" s="370">
        <v>1.8</v>
      </c>
      <c r="I236" s="370">
        <v>1430</v>
      </c>
      <c r="J236" s="370">
        <v>1716</v>
      </c>
      <c r="K236" s="328"/>
      <c r="L236" s="347">
        <v>3.37</v>
      </c>
      <c r="M236" s="331">
        <f t="shared" si="143"/>
        <v>3.5165217391304351</v>
      </c>
      <c r="N236" s="347">
        <v>0.77</v>
      </c>
      <c r="O236" s="367">
        <v>82.8</v>
      </c>
      <c r="P236" s="348">
        <v>83.5</v>
      </c>
      <c r="Q236" s="348">
        <v>82</v>
      </c>
      <c r="R236" s="347">
        <v>0.77</v>
      </c>
      <c r="S236" s="367">
        <v>82.8</v>
      </c>
      <c r="T236" s="348">
        <v>83.5</v>
      </c>
      <c r="U236" s="348">
        <v>82</v>
      </c>
      <c r="V236" s="367">
        <v>7</v>
      </c>
      <c r="W236" s="367">
        <v>2.2999999999999998</v>
      </c>
      <c r="X236" s="363">
        <v>2.2999999999999998</v>
      </c>
      <c r="Y236" s="328"/>
      <c r="Z236" s="328"/>
      <c r="AA236" s="328"/>
      <c r="AB236" s="373">
        <v>2.7000000000000001E-3</v>
      </c>
      <c r="AC236" s="328">
        <v>52</v>
      </c>
      <c r="AD236" s="370">
        <v>20.5</v>
      </c>
      <c r="AE236" s="328"/>
      <c r="AF236" s="328"/>
      <c r="AG236" s="328"/>
      <c r="AH236" s="327">
        <v>143</v>
      </c>
      <c r="AI236" s="327">
        <v>125</v>
      </c>
      <c r="AJ236" s="327">
        <v>56</v>
      </c>
      <c r="AK236" s="327">
        <v>24</v>
      </c>
      <c r="AL236" s="327">
        <v>50</v>
      </c>
      <c r="AM236" s="327">
        <v>8</v>
      </c>
      <c r="AN236" s="327">
        <v>20</v>
      </c>
      <c r="AO236" s="327" t="s">
        <v>245</v>
      </c>
      <c r="AP236" s="327">
        <v>90</v>
      </c>
      <c r="AQ236" s="327">
        <v>10</v>
      </c>
      <c r="AR236" s="327">
        <v>178</v>
      </c>
      <c r="AS236" s="327">
        <v>180</v>
      </c>
      <c r="AT236" s="327">
        <v>150</v>
      </c>
      <c r="AU236" s="327">
        <v>240</v>
      </c>
      <c r="AV236" s="327">
        <v>360</v>
      </c>
      <c r="AW236" s="327">
        <v>360</v>
      </c>
      <c r="AX236" s="327">
        <v>115</v>
      </c>
      <c r="AY236" s="327">
        <v>95</v>
      </c>
      <c r="AZ236" s="327">
        <v>140</v>
      </c>
      <c r="BA236" s="327" t="s">
        <v>245</v>
      </c>
      <c r="BB236" s="327">
        <v>3</v>
      </c>
      <c r="BC236" s="327">
        <v>130</v>
      </c>
      <c r="BD236" s="327">
        <v>110</v>
      </c>
      <c r="BE236" s="327">
        <v>160</v>
      </c>
      <c r="BF236" s="327" t="s">
        <v>245</v>
      </c>
      <c r="BG236" s="327">
        <v>3.5</v>
      </c>
      <c r="BH236" s="327">
        <v>165</v>
      </c>
      <c r="BI236" s="327">
        <v>130</v>
      </c>
      <c r="BJ236" s="327">
        <v>200</v>
      </c>
      <c r="BK236" s="327">
        <v>12</v>
      </c>
      <c r="BL236" s="327">
        <v>3.5</v>
      </c>
      <c r="BM236" s="325" t="s">
        <v>485</v>
      </c>
      <c r="BN236" s="325" t="s">
        <v>485</v>
      </c>
      <c r="BO236" s="340" t="s">
        <v>686</v>
      </c>
      <c r="BP236" s="340" t="s">
        <v>686</v>
      </c>
      <c r="BQ236" s="325" t="s">
        <v>480</v>
      </c>
    </row>
    <row r="237" spans="1:70" ht="12" customHeight="1">
      <c r="A237" s="320">
        <v>505</v>
      </c>
      <c r="B237" s="374" t="s">
        <v>674</v>
      </c>
      <c r="C237" s="328" t="s">
        <v>655</v>
      </c>
      <c r="D237" s="374" t="s">
        <v>711</v>
      </c>
      <c r="E237" s="328">
        <v>100</v>
      </c>
      <c r="F237" s="365">
        <v>4</v>
      </c>
      <c r="G237" s="370">
        <v>2.2000000000000002</v>
      </c>
      <c r="H237" s="370">
        <v>2.64</v>
      </c>
      <c r="I237" s="370">
        <v>1450</v>
      </c>
      <c r="J237" s="370">
        <v>1740</v>
      </c>
      <c r="K237" s="328"/>
      <c r="L237" s="347">
        <v>4.6500000000000004</v>
      </c>
      <c r="M237" s="331">
        <f t="shared" si="143"/>
        <v>4.8521739130434787</v>
      </c>
      <c r="N237" s="347">
        <v>0.81</v>
      </c>
      <c r="O237" s="367">
        <v>84.3</v>
      </c>
      <c r="P237" s="348">
        <v>85.3</v>
      </c>
      <c r="Q237" s="348">
        <v>84</v>
      </c>
      <c r="R237" s="347">
        <v>0.81</v>
      </c>
      <c r="S237" s="367">
        <v>84.3</v>
      </c>
      <c r="T237" s="348">
        <v>85.3</v>
      </c>
      <c r="U237" s="348">
        <v>84</v>
      </c>
      <c r="V237" s="367">
        <v>7.4</v>
      </c>
      <c r="W237" s="367">
        <v>2.2999999999999998</v>
      </c>
      <c r="X237" s="363">
        <v>2.2999999999999998</v>
      </c>
      <c r="Y237" s="328"/>
      <c r="Z237" s="328"/>
      <c r="AA237" s="328"/>
      <c r="AB237" s="373">
        <v>5.4000000000000003E-3</v>
      </c>
      <c r="AC237" s="328">
        <v>53</v>
      </c>
      <c r="AD237" s="370">
        <v>24</v>
      </c>
      <c r="AE237" s="328"/>
      <c r="AF237" s="328"/>
      <c r="AG237" s="328"/>
      <c r="AH237" s="327">
        <v>160</v>
      </c>
      <c r="AI237" s="327">
        <v>140</v>
      </c>
      <c r="AJ237" s="327">
        <v>63</v>
      </c>
      <c r="AK237" s="327">
        <v>28</v>
      </c>
      <c r="AL237" s="327">
        <v>60</v>
      </c>
      <c r="AM237" s="327">
        <v>8</v>
      </c>
      <c r="AN237" s="327">
        <v>24</v>
      </c>
      <c r="AO237" s="327" t="s">
        <v>246</v>
      </c>
      <c r="AP237" s="327">
        <v>100</v>
      </c>
      <c r="AQ237" s="327">
        <v>12</v>
      </c>
      <c r="AR237" s="327">
        <v>196</v>
      </c>
      <c r="AS237" s="327">
        <v>205</v>
      </c>
      <c r="AT237" s="327">
        <v>168</v>
      </c>
      <c r="AU237" s="327">
        <v>266</v>
      </c>
      <c r="AV237" s="327">
        <v>406</v>
      </c>
      <c r="AW237" s="327">
        <v>406</v>
      </c>
      <c r="AX237" s="327">
        <v>130</v>
      </c>
      <c r="AY237" s="327">
        <v>110</v>
      </c>
      <c r="AZ237" s="327">
        <v>160</v>
      </c>
      <c r="BA237" s="327" t="s">
        <v>245</v>
      </c>
      <c r="BB237" s="327">
        <v>3.5</v>
      </c>
      <c r="BC237" s="327">
        <v>165</v>
      </c>
      <c r="BD237" s="327">
        <v>130</v>
      </c>
      <c r="BE237" s="327">
        <v>200</v>
      </c>
      <c r="BF237" s="327" t="s">
        <v>246</v>
      </c>
      <c r="BG237" s="327">
        <v>3.5</v>
      </c>
      <c r="BH237" s="327">
        <v>215</v>
      </c>
      <c r="BI237" s="327">
        <v>180</v>
      </c>
      <c r="BJ237" s="327">
        <v>250</v>
      </c>
      <c r="BK237" s="327">
        <v>15</v>
      </c>
      <c r="BL237" s="327">
        <v>4</v>
      </c>
      <c r="BM237" s="325" t="s">
        <v>475</v>
      </c>
      <c r="BN237" s="325" t="s">
        <v>475</v>
      </c>
      <c r="BO237" s="340" t="s">
        <v>682</v>
      </c>
      <c r="BP237" s="340" t="s">
        <v>682</v>
      </c>
      <c r="BQ237" s="325" t="s">
        <v>480</v>
      </c>
    </row>
    <row r="238" spans="1:70" ht="12" customHeight="1">
      <c r="A238" s="320">
        <v>506</v>
      </c>
      <c r="B238" s="374" t="s">
        <v>674</v>
      </c>
      <c r="C238" s="328" t="s">
        <v>655</v>
      </c>
      <c r="D238" s="374" t="s">
        <v>710</v>
      </c>
      <c r="E238" s="328">
        <v>100</v>
      </c>
      <c r="F238" s="365">
        <v>4</v>
      </c>
      <c r="G238" s="370">
        <v>3</v>
      </c>
      <c r="H238" s="370">
        <v>3.6</v>
      </c>
      <c r="I238" s="370">
        <v>1450</v>
      </c>
      <c r="J238" s="370">
        <v>1740</v>
      </c>
      <c r="K238" s="328"/>
      <c r="L238" s="347">
        <v>6.2</v>
      </c>
      <c r="M238" s="331">
        <f t="shared" si="143"/>
        <v>6.4695652173913043</v>
      </c>
      <c r="N238" s="347">
        <v>0.81</v>
      </c>
      <c r="O238" s="367">
        <v>85.5</v>
      </c>
      <c r="P238" s="348">
        <v>86.6</v>
      </c>
      <c r="Q238" s="348">
        <v>85.3</v>
      </c>
      <c r="R238" s="347">
        <v>0.81</v>
      </c>
      <c r="S238" s="367">
        <v>85.5</v>
      </c>
      <c r="T238" s="348">
        <v>86.6</v>
      </c>
      <c r="U238" s="348">
        <v>85.3</v>
      </c>
      <c r="V238" s="367">
        <v>7.4</v>
      </c>
      <c r="W238" s="367">
        <v>2.2999999999999998</v>
      </c>
      <c r="X238" s="363">
        <v>2.2999999999999998</v>
      </c>
      <c r="Y238" s="328"/>
      <c r="Z238" s="328"/>
      <c r="AA238" s="328"/>
      <c r="AB238" s="373">
        <v>6.7000000000000002E-3</v>
      </c>
      <c r="AC238" s="328">
        <v>53</v>
      </c>
      <c r="AD238" s="370">
        <v>28.5</v>
      </c>
      <c r="AE238" s="328"/>
      <c r="AF238" s="328"/>
      <c r="AG238" s="328"/>
      <c r="AH238" s="327">
        <v>160</v>
      </c>
      <c r="AI238" s="327">
        <v>140</v>
      </c>
      <c r="AJ238" s="327">
        <v>63</v>
      </c>
      <c r="AK238" s="327">
        <v>28</v>
      </c>
      <c r="AL238" s="327">
        <v>60</v>
      </c>
      <c r="AM238" s="327">
        <v>8</v>
      </c>
      <c r="AN238" s="327">
        <v>24</v>
      </c>
      <c r="AO238" s="327" t="s">
        <v>246</v>
      </c>
      <c r="AP238" s="327">
        <v>100</v>
      </c>
      <c r="AQ238" s="327">
        <v>12</v>
      </c>
      <c r="AR238" s="327">
        <v>196</v>
      </c>
      <c r="AS238" s="327">
        <v>205</v>
      </c>
      <c r="AT238" s="327">
        <v>168</v>
      </c>
      <c r="AU238" s="327">
        <v>266</v>
      </c>
      <c r="AV238" s="327">
        <v>406</v>
      </c>
      <c r="AW238" s="327">
        <v>406</v>
      </c>
      <c r="AX238" s="327">
        <v>130</v>
      </c>
      <c r="AY238" s="327">
        <v>110</v>
      </c>
      <c r="AZ238" s="327">
        <v>160</v>
      </c>
      <c r="BA238" s="327" t="s">
        <v>245</v>
      </c>
      <c r="BB238" s="327">
        <v>3.5</v>
      </c>
      <c r="BC238" s="327">
        <v>165</v>
      </c>
      <c r="BD238" s="327">
        <v>130</v>
      </c>
      <c r="BE238" s="327">
        <v>200</v>
      </c>
      <c r="BF238" s="327" t="s">
        <v>246</v>
      </c>
      <c r="BG238" s="327">
        <v>3.5</v>
      </c>
      <c r="BH238" s="327">
        <v>215</v>
      </c>
      <c r="BI238" s="327">
        <v>180</v>
      </c>
      <c r="BJ238" s="327">
        <v>250</v>
      </c>
      <c r="BK238" s="327">
        <v>15</v>
      </c>
      <c r="BL238" s="327">
        <v>4</v>
      </c>
      <c r="BM238" s="325" t="s">
        <v>475</v>
      </c>
      <c r="BN238" s="325" t="s">
        <v>475</v>
      </c>
      <c r="BO238" s="340" t="s">
        <v>682</v>
      </c>
      <c r="BP238" s="340" t="s">
        <v>682</v>
      </c>
      <c r="BQ238" s="325" t="s">
        <v>480</v>
      </c>
    </row>
    <row r="239" spans="1:70" ht="12" customHeight="1">
      <c r="A239" s="320">
        <v>507</v>
      </c>
      <c r="B239" s="374" t="s">
        <v>674</v>
      </c>
      <c r="C239" s="328" t="s">
        <v>655</v>
      </c>
      <c r="D239" s="374" t="s">
        <v>709</v>
      </c>
      <c r="E239" s="328">
        <v>112</v>
      </c>
      <c r="F239" s="365">
        <v>4</v>
      </c>
      <c r="G239" s="370">
        <v>4</v>
      </c>
      <c r="H239" s="370">
        <v>4.8</v>
      </c>
      <c r="I239" s="370">
        <v>1450</v>
      </c>
      <c r="J239" s="370">
        <v>1740</v>
      </c>
      <c r="K239" s="328"/>
      <c r="L239" s="347">
        <v>8.23</v>
      </c>
      <c r="M239" s="331">
        <f t="shared" si="143"/>
        <v>8.5878260869565217</v>
      </c>
      <c r="N239" s="347">
        <v>0.82</v>
      </c>
      <c r="O239" s="367">
        <v>86.6</v>
      </c>
      <c r="P239" s="348">
        <v>87.3</v>
      </c>
      <c r="Q239" s="348">
        <v>86</v>
      </c>
      <c r="R239" s="347">
        <v>0.82</v>
      </c>
      <c r="S239" s="367">
        <v>86.6</v>
      </c>
      <c r="T239" s="348">
        <v>87.3</v>
      </c>
      <c r="U239" s="348">
        <v>86</v>
      </c>
      <c r="V239" s="367">
        <v>7.5</v>
      </c>
      <c r="W239" s="367">
        <v>2.2999999999999998</v>
      </c>
      <c r="X239" s="363">
        <v>2.2999999999999998</v>
      </c>
      <c r="Y239" s="328"/>
      <c r="Z239" s="328"/>
      <c r="AA239" s="328"/>
      <c r="AB239" s="373">
        <v>9.4999999999999998E-3</v>
      </c>
      <c r="AC239" s="328">
        <v>57</v>
      </c>
      <c r="AD239" s="370">
        <v>36.5</v>
      </c>
      <c r="AE239" s="328"/>
      <c r="AF239" s="328"/>
      <c r="AG239" s="328"/>
      <c r="AH239" s="327">
        <v>192</v>
      </c>
      <c r="AI239" s="327">
        <v>140</v>
      </c>
      <c r="AJ239" s="327">
        <v>70</v>
      </c>
      <c r="AK239" s="327">
        <v>28</v>
      </c>
      <c r="AL239" s="327">
        <v>60</v>
      </c>
      <c r="AM239" s="327">
        <v>8</v>
      </c>
      <c r="AN239" s="327">
        <v>24</v>
      </c>
      <c r="AO239" s="327" t="s">
        <v>246</v>
      </c>
      <c r="AP239" s="327">
        <v>112</v>
      </c>
      <c r="AQ239" s="327">
        <v>12</v>
      </c>
      <c r="AR239" s="327">
        <v>227</v>
      </c>
      <c r="AS239" s="327">
        <v>218</v>
      </c>
      <c r="AT239" s="327">
        <v>178</v>
      </c>
      <c r="AU239" s="327">
        <v>290</v>
      </c>
      <c r="AV239" s="327">
        <v>432</v>
      </c>
      <c r="AW239" s="328">
        <v>432</v>
      </c>
      <c r="AX239" s="327">
        <v>130</v>
      </c>
      <c r="AY239" s="327">
        <v>110</v>
      </c>
      <c r="AZ239" s="327">
        <v>160</v>
      </c>
      <c r="BA239" s="327" t="s">
        <v>245</v>
      </c>
      <c r="BB239" s="327">
        <v>3.5</v>
      </c>
      <c r="BC239" s="327">
        <v>165</v>
      </c>
      <c r="BD239" s="327">
        <v>130</v>
      </c>
      <c r="BE239" s="327">
        <v>200</v>
      </c>
      <c r="BF239" s="327" t="s">
        <v>246</v>
      </c>
      <c r="BG239" s="327">
        <v>3.5</v>
      </c>
      <c r="BH239" s="327">
        <v>215</v>
      </c>
      <c r="BI239" s="327">
        <v>180</v>
      </c>
      <c r="BJ239" s="327">
        <v>250</v>
      </c>
      <c r="BK239" s="327">
        <v>15</v>
      </c>
      <c r="BL239" s="327">
        <v>4</v>
      </c>
      <c r="BM239" s="325" t="s">
        <v>683</v>
      </c>
      <c r="BN239" s="325" t="s">
        <v>683</v>
      </c>
      <c r="BO239" s="340" t="s">
        <v>682</v>
      </c>
      <c r="BP239" s="340" t="s">
        <v>682</v>
      </c>
      <c r="BQ239" s="325" t="s">
        <v>464</v>
      </c>
    </row>
    <row r="240" spans="1:70" ht="12" customHeight="1">
      <c r="A240" s="320">
        <v>508</v>
      </c>
      <c r="B240" s="374" t="s">
        <v>674</v>
      </c>
      <c r="C240" s="328" t="s">
        <v>655</v>
      </c>
      <c r="D240" s="374" t="s">
        <v>708</v>
      </c>
      <c r="E240" s="328">
        <v>132</v>
      </c>
      <c r="F240" s="365">
        <v>4</v>
      </c>
      <c r="G240" s="370">
        <v>5.5</v>
      </c>
      <c r="H240" s="370">
        <v>6.6</v>
      </c>
      <c r="I240" s="370">
        <v>1450</v>
      </c>
      <c r="J240" s="370">
        <v>1740</v>
      </c>
      <c r="K240" s="328"/>
      <c r="L240" s="367">
        <v>10.9</v>
      </c>
      <c r="M240" s="331">
        <f t="shared" si="143"/>
        <v>11.373913043478261</v>
      </c>
      <c r="N240" s="347">
        <v>0.83</v>
      </c>
      <c r="O240" s="367">
        <v>87.7</v>
      </c>
      <c r="P240" s="348">
        <v>88.3</v>
      </c>
      <c r="Q240" s="348">
        <v>87.5</v>
      </c>
      <c r="R240" s="347">
        <v>0.83</v>
      </c>
      <c r="S240" s="367">
        <v>87.7</v>
      </c>
      <c r="T240" s="348">
        <v>88.3</v>
      </c>
      <c r="U240" s="348">
        <v>87.5</v>
      </c>
      <c r="V240" s="367">
        <v>7.5</v>
      </c>
      <c r="W240" s="367">
        <v>2</v>
      </c>
      <c r="X240" s="363">
        <v>2.2999999999999998</v>
      </c>
      <c r="Y240" s="328"/>
      <c r="Z240" s="328"/>
      <c r="AA240" s="328"/>
      <c r="AB240" s="373">
        <v>2.1399999999999999E-2</v>
      </c>
      <c r="AC240" s="328">
        <v>61</v>
      </c>
      <c r="AD240" s="370">
        <v>48</v>
      </c>
      <c r="AE240" s="328"/>
      <c r="AF240" s="328"/>
      <c r="AG240" s="328"/>
      <c r="AH240" s="327">
        <v>216</v>
      </c>
      <c r="AI240" s="327">
        <v>140</v>
      </c>
      <c r="AJ240" s="327">
        <v>89</v>
      </c>
      <c r="AK240" s="327">
        <v>38</v>
      </c>
      <c r="AL240" s="327">
        <v>80</v>
      </c>
      <c r="AM240" s="327">
        <v>10</v>
      </c>
      <c r="AN240" s="327">
        <v>33</v>
      </c>
      <c r="AO240" s="327" t="s">
        <v>247</v>
      </c>
      <c r="AP240" s="327">
        <v>132</v>
      </c>
      <c r="AQ240" s="327">
        <v>12</v>
      </c>
      <c r="AR240" s="327">
        <v>262</v>
      </c>
      <c r="AS240" s="327">
        <v>257</v>
      </c>
      <c r="AT240" s="327">
        <v>198</v>
      </c>
      <c r="AU240" s="327">
        <v>330</v>
      </c>
      <c r="AV240" s="327">
        <v>490</v>
      </c>
      <c r="AW240" s="328">
        <v>490</v>
      </c>
      <c r="AX240" s="327">
        <v>165</v>
      </c>
      <c r="AY240" s="327">
        <v>130</v>
      </c>
      <c r="AZ240" s="327">
        <v>200</v>
      </c>
      <c r="BA240" s="327" t="s">
        <v>246</v>
      </c>
      <c r="BB240" s="327">
        <v>3.5</v>
      </c>
      <c r="BC240" s="327">
        <v>215</v>
      </c>
      <c r="BD240" s="327">
        <v>180</v>
      </c>
      <c r="BE240" s="327">
        <v>250</v>
      </c>
      <c r="BF240" s="327" t="s">
        <v>247</v>
      </c>
      <c r="BG240" s="327">
        <v>4</v>
      </c>
      <c r="BH240" s="327">
        <v>265</v>
      </c>
      <c r="BI240" s="327">
        <v>230</v>
      </c>
      <c r="BJ240" s="327">
        <v>300</v>
      </c>
      <c r="BK240" s="327">
        <v>15</v>
      </c>
      <c r="BL240" s="327">
        <v>5</v>
      </c>
      <c r="BM240" s="325" t="s">
        <v>678</v>
      </c>
      <c r="BN240" s="325" t="s">
        <v>678</v>
      </c>
      <c r="BO240" s="340" t="s">
        <v>677</v>
      </c>
      <c r="BP240" s="340" t="s">
        <v>677</v>
      </c>
      <c r="BQ240" s="325" t="s">
        <v>464</v>
      </c>
    </row>
    <row r="241" spans="1:69" ht="12" customHeight="1">
      <c r="A241" s="320">
        <v>509</v>
      </c>
      <c r="B241" s="374" t="s">
        <v>674</v>
      </c>
      <c r="C241" s="328" t="s">
        <v>655</v>
      </c>
      <c r="D241" s="374" t="s">
        <v>707</v>
      </c>
      <c r="E241" s="328">
        <v>132</v>
      </c>
      <c r="F241" s="365">
        <v>4</v>
      </c>
      <c r="G241" s="370">
        <v>7.5</v>
      </c>
      <c r="H241" s="370">
        <v>9</v>
      </c>
      <c r="I241" s="370">
        <v>1450</v>
      </c>
      <c r="J241" s="370">
        <v>1740</v>
      </c>
      <c r="K241" s="328"/>
      <c r="L241" s="367">
        <v>14.6</v>
      </c>
      <c r="M241" s="331">
        <f t="shared" si="143"/>
        <v>15.234782608695653</v>
      </c>
      <c r="N241" s="347">
        <v>0.84</v>
      </c>
      <c r="O241" s="367">
        <v>88.7</v>
      </c>
      <c r="P241" s="348">
        <v>89.4</v>
      </c>
      <c r="Q241" s="348">
        <v>88.5</v>
      </c>
      <c r="R241" s="347">
        <v>0.84</v>
      </c>
      <c r="S241" s="367">
        <v>88.7</v>
      </c>
      <c r="T241" s="348">
        <v>89.4</v>
      </c>
      <c r="U241" s="348">
        <v>88.5</v>
      </c>
      <c r="V241" s="367">
        <v>7.5</v>
      </c>
      <c r="W241" s="367">
        <v>2</v>
      </c>
      <c r="X241" s="363">
        <v>2.2999999999999998</v>
      </c>
      <c r="Y241" s="328"/>
      <c r="Z241" s="328"/>
      <c r="AA241" s="328"/>
      <c r="AB241" s="373">
        <v>2.9600000000000001E-2</v>
      </c>
      <c r="AC241" s="328">
        <v>62</v>
      </c>
      <c r="AD241" s="370">
        <v>57</v>
      </c>
      <c r="AE241" s="328"/>
      <c r="AF241" s="328"/>
      <c r="AG241" s="328"/>
      <c r="AH241" s="327">
        <v>216</v>
      </c>
      <c r="AI241" s="327">
        <v>178</v>
      </c>
      <c r="AJ241" s="327">
        <v>89</v>
      </c>
      <c r="AK241" s="327">
        <v>38</v>
      </c>
      <c r="AL241" s="327">
        <v>80</v>
      </c>
      <c r="AM241" s="327">
        <v>10</v>
      </c>
      <c r="AN241" s="327">
        <v>33</v>
      </c>
      <c r="AO241" s="327" t="s">
        <v>247</v>
      </c>
      <c r="AP241" s="327">
        <v>132</v>
      </c>
      <c r="AQ241" s="327">
        <v>12</v>
      </c>
      <c r="AR241" s="327">
        <v>262</v>
      </c>
      <c r="AS241" s="327">
        <v>257</v>
      </c>
      <c r="AT241" s="327">
        <v>198</v>
      </c>
      <c r="AU241" s="327">
        <v>330</v>
      </c>
      <c r="AV241" s="327">
        <v>521</v>
      </c>
      <c r="AW241" s="328">
        <v>521</v>
      </c>
      <c r="AX241" s="327">
        <v>165</v>
      </c>
      <c r="AY241" s="327">
        <v>130</v>
      </c>
      <c r="AZ241" s="327">
        <v>200</v>
      </c>
      <c r="BA241" s="327" t="s">
        <v>246</v>
      </c>
      <c r="BB241" s="327">
        <v>3.5</v>
      </c>
      <c r="BC241" s="327">
        <v>215</v>
      </c>
      <c r="BD241" s="327">
        <v>180</v>
      </c>
      <c r="BE241" s="327">
        <v>250</v>
      </c>
      <c r="BF241" s="327" t="s">
        <v>247</v>
      </c>
      <c r="BG241" s="327">
        <v>4</v>
      </c>
      <c r="BH241" s="327">
        <v>265</v>
      </c>
      <c r="BI241" s="327">
        <v>230</v>
      </c>
      <c r="BJ241" s="327">
        <v>300</v>
      </c>
      <c r="BK241" s="327">
        <v>15</v>
      </c>
      <c r="BL241" s="327">
        <v>5</v>
      </c>
      <c r="BM241" s="325" t="s">
        <v>678</v>
      </c>
      <c r="BN241" s="325" t="s">
        <v>678</v>
      </c>
      <c r="BO241" s="340" t="s">
        <v>677</v>
      </c>
      <c r="BP241" s="340" t="s">
        <v>677</v>
      </c>
      <c r="BQ241" s="325" t="s">
        <v>464</v>
      </c>
    </row>
    <row r="242" spans="1:69" ht="12" customHeight="1">
      <c r="A242" s="320">
        <v>510</v>
      </c>
      <c r="B242" s="374" t="s">
        <v>674</v>
      </c>
      <c r="C242" s="328" t="s">
        <v>655</v>
      </c>
      <c r="D242" s="374" t="s">
        <v>706</v>
      </c>
      <c r="E242" s="328">
        <v>160</v>
      </c>
      <c r="F242" s="365">
        <v>4</v>
      </c>
      <c r="G242" s="370">
        <v>11</v>
      </c>
      <c r="H242" s="370">
        <v>13.2</v>
      </c>
      <c r="I242" s="370">
        <v>1450</v>
      </c>
      <c r="J242" s="370">
        <v>1740</v>
      </c>
      <c r="K242" s="328"/>
      <c r="L242" s="367">
        <v>21.1</v>
      </c>
      <c r="M242" s="333">
        <f t="shared" si="143"/>
        <v>22.017391304347825</v>
      </c>
      <c r="N242" s="347">
        <v>0.84</v>
      </c>
      <c r="O242" s="367">
        <v>89.8</v>
      </c>
      <c r="P242" s="348">
        <v>90.3</v>
      </c>
      <c r="Q242" s="348">
        <v>89.4</v>
      </c>
      <c r="R242" s="347">
        <v>0.84</v>
      </c>
      <c r="S242" s="367">
        <v>89.8</v>
      </c>
      <c r="T242" s="348">
        <v>90.3</v>
      </c>
      <c r="U242" s="348">
        <v>89.4</v>
      </c>
      <c r="V242" s="367">
        <v>7.4</v>
      </c>
      <c r="W242" s="367">
        <v>2.2000000000000002</v>
      </c>
      <c r="X242" s="363">
        <v>2.2999999999999998</v>
      </c>
      <c r="Y242" s="328"/>
      <c r="Z242" s="328"/>
      <c r="AA242" s="328"/>
      <c r="AB242" s="373">
        <v>7.4700000000000003E-2</v>
      </c>
      <c r="AC242" s="328">
        <v>63</v>
      </c>
      <c r="AD242" s="370">
        <v>86</v>
      </c>
      <c r="AE242" s="328"/>
      <c r="AF242" s="328"/>
      <c r="AG242" s="328"/>
      <c r="AH242" s="327">
        <v>254</v>
      </c>
      <c r="AI242" s="327">
        <v>210</v>
      </c>
      <c r="AJ242" s="327">
        <v>108</v>
      </c>
      <c r="AK242" s="327">
        <v>42</v>
      </c>
      <c r="AL242" s="327">
        <v>110</v>
      </c>
      <c r="AM242" s="327">
        <v>12</v>
      </c>
      <c r="AN242" s="327">
        <v>37</v>
      </c>
      <c r="AO242" s="327" t="s">
        <v>248</v>
      </c>
      <c r="AP242" s="327">
        <v>160</v>
      </c>
      <c r="AQ242" s="327">
        <v>15</v>
      </c>
      <c r="AR242" s="327">
        <v>312</v>
      </c>
      <c r="AS242" s="327">
        <v>310</v>
      </c>
      <c r="AT242" s="327">
        <v>255</v>
      </c>
      <c r="AU242" s="327">
        <v>415</v>
      </c>
      <c r="AV242" s="327">
        <v>615</v>
      </c>
      <c r="AW242" s="328">
        <v>615</v>
      </c>
      <c r="AX242" s="328"/>
      <c r="AY242" s="328"/>
      <c r="AZ242" s="328"/>
      <c r="BA242" s="328"/>
      <c r="BB242" s="328"/>
      <c r="BC242" s="328"/>
      <c r="BD242" s="328"/>
      <c r="BE242" s="328"/>
      <c r="BF242" s="328"/>
      <c r="BG242" s="328"/>
      <c r="BH242" s="327">
        <v>300</v>
      </c>
      <c r="BI242" s="327">
        <v>250</v>
      </c>
      <c r="BJ242" s="327">
        <v>350</v>
      </c>
      <c r="BK242" s="327">
        <v>19</v>
      </c>
      <c r="BL242" s="327">
        <v>5</v>
      </c>
      <c r="BM242" s="325" t="s">
        <v>672</v>
      </c>
      <c r="BN242" s="325" t="s">
        <v>672</v>
      </c>
      <c r="BO242" s="340" t="s">
        <v>671</v>
      </c>
      <c r="BP242" s="340" t="s">
        <v>671</v>
      </c>
      <c r="BQ242" s="325" t="s">
        <v>450</v>
      </c>
    </row>
    <row r="243" spans="1:69" ht="12" customHeight="1">
      <c r="A243" s="320">
        <v>511</v>
      </c>
      <c r="B243" s="336" t="s">
        <v>656</v>
      </c>
      <c r="C243" s="328" t="s">
        <v>655</v>
      </c>
      <c r="D243" s="336" t="s">
        <v>705</v>
      </c>
      <c r="E243" s="328">
        <v>160</v>
      </c>
      <c r="F243" s="365">
        <v>4</v>
      </c>
      <c r="G243" s="325">
        <v>11</v>
      </c>
      <c r="H243" s="327">
        <v>13.2</v>
      </c>
      <c r="I243" s="327">
        <v>1470</v>
      </c>
      <c r="J243" s="344">
        <v>1764</v>
      </c>
      <c r="K243" s="328"/>
      <c r="L243" s="349">
        <v>20.8</v>
      </c>
      <c r="M243" s="331">
        <f t="shared" si="143"/>
        <v>21.704347826086956</v>
      </c>
      <c r="N243" s="347">
        <v>0.85</v>
      </c>
      <c r="O243" s="349">
        <v>89.8</v>
      </c>
      <c r="P243" s="348">
        <v>91.06</v>
      </c>
      <c r="Q243" s="367">
        <v>90.34</v>
      </c>
      <c r="R243" s="347">
        <v>0.85</v>
      </c>
      <c r="S243" s="349">
        <v>89.8</v>
      </c>
      <c r="T243" s="348">
        <v>91.06</v>
      </c>
      <c r="U243" s="367">
        <v>90.34</v>
      </c>
      <c r="V243" s="367">
        <v>7.5</v>
      </c>
      <c r="W243" s="367">
        <v>2.2000000000000002</v>
      </c>
      <c r="X243" s="363">
        <v>2.2999999999999998</v>
      </c>
      <c r="Y243" s="328"/>
      <c r="Z243" s="328"/>
      <c r="AA243" s="328"/>
      <c r="AB243" s="373">
        <v>7.7100000000000002E-2</v>
      </c>
      <c r="AC243" s="328">
        <v>63</v>
      </c>
      <c r="AD243" s="370">
        <v>118</v>
      </c>
      <c r="AE243" s="328"/>
      <c r="AF243" s="328"/>
      <c r="AG243" s="328"/>
      <c r="AH243" s="327">
        <v>254</v>
      </c>
      <c r="AI243" s="327">
        <v>210</v>
      </c>
      <c r="AJ243" s="327">
        <v>108</v>
      </c>
      <c r="AK243" s="327">
        <v>42</v>
      </c>
      <c r="AL243" s="327">
        <v>110</v>
      </c>
      <c r="AM243" s="327">
        <v>12</v>
      </c>
      <c r="AN243" s="327">
        <v>37</v>
      </c>
      <c r="AO243" s="327" t="s">
        <v>248</v>
      </c>
      <c r="AP243" s="327">
        <v>160</v>
      </c>
      <c r="AQ243" s="327">
        <v>15</v>
      </c>
      <c r="AR243" s="327">
        <v>320</v>
      </c>
      <c r="AS243" s="327">
        <v>320</v>
      </c>
      <c r="AT243" s="327">
        <v>285</v>
      </c>
      <c r="AU243" s="327">
        <v>440</v>
      </c>
      <c r="AV243" s="327">
        <v>680</v>
      </c>
      <c r="AW243" s="328">
        <v>730</v>
      </c>
      <c r="AX243" s="328"/>
      <c r="AY243" s="328"/>
      <c r="AZ243" s="328"/>
      <c r="BA243" s="328"/>
      <c r="BB243" s="328"/>
      <c r="BC243" s="328"/>
      <c r="BD243" s="328"/>
      <c r="BE243" s="328"/>
      <c r="BF243" s="328"/>
      <c r="BG243" s="328"/>
      <c r="BH243" s="327">
        <v>300</v>
      </c>
      <c r="BI243" s="327">
        <v>250</v>
      </c>
      <c r="BJ243" s="327">
        <v>350</v>
      </c>
      <c r="BK243" s="327">
        <v>19</v>
      </c>
      <c r="BL243" s="327">
        <v>5</v>
      </c>
      <c r="BM243" s="325" t="s">
        <v>457</v>
      </c>
      <c r="BN243" s="325" t="s">
        <v>457</v>
      </c>
      <c r="BO243" s="340" t="s">
        <v>456</v>
      </c>
      <c r="BP243" s="340" t="s">
        <v>456</v>
      </c>
      <c r="BQ243" s="325" t="s">
        <v>450</v>
      </c>
    </row>
    <row r="244" spans="1:69" ht="12" customHeight="1">
      <c r="A244" s="320">
        <v>512</v>
      </c>
      <c r="B244" s="374" t="s">
        <v>674</v>
      </c>
      <c r="C244" s="328" t="s">
        <v>655</v>
      </c>
      <c r="D244" s="374" t="s">
        <v>704</v>
      </c>
      <c r="E244" s="328">
        <v>160</v>
      </c>
      <c r="F244" s="365">
        <v>4</v>
      </c>
      <c r="G244" s="370">
        <v>15</v>
      </c>
      <c r="H244" s="370">
        <v>18</v>
      </c>
      <c r="I244" s="370">
        <v>1470</v>
      </c>
      <c r="J244" s="370">
        <v>1764</v>
      </c>
      <c r="K244" s="328"/>
      <c r="L244" s="367">
        <v>28.1</v>
      </c>
      <c r="M244" s="333">
        <f t="shared" si="143"/>
        <v>29.321739130434782</v>
      </c>
      <c r="N244" s="347">
        <v>0.85</v>
      </c>
      <c r="O244" s="367">
        <v>90.6</v>
      </c>
      <c r="P244" s="348">
        <v>91.2</v>
      </c>
      <c r="Q244" s="348">
        <v>90.6</v>
      </c>
      <c r="R244" s="347">
        <v>0.85</v>
      </c>
      <c r="S244" s="367">
        <v>90.6</v>
      </c>
      <c r="T244" s="348">
        <v>91.2</v>
      </c>
      <c r="U244" s="348">
        <v>90.6</v>
      </c>
      <c r="V244" s="367">
        <v>7.5</v>
      </c>
      <c r="W244" s="367">
        <v>2.2000000000000002</v>
      </c>
      <c r="X244" s="363">
        <v>2.2999999999999998</v>
      </c>
      <c r="Y244" s="328"/>
      <c r="Z244" s="328"/>
      <c r="AA244" s="328"/>
      <c r="AB244" s="373">
        <v>9.1800000000000007E-2</v>
      </c>
      <c r="AC244" s="328">
        <v>64</v>
      </c>
      <c r="AD244" s="370">
        <v>102</v>
      </c>
      <c r="AE244" s="328"/>
      <c r="AF244" s="328"/>
      <c r="AG244" s="328"/>
      <c r="AH244" s="327">
        <v>254</v>
      </c>
      <c r="AI244" s="327">
        <v>254</v>
      </c>
      <c r="AJ244" s="327">
        <v>108</v>
      </c>
      <c r="AK244" s="327">
        <v>42</v>
      </c>
      <c r="AL244" s="327">
        <v>110</v>
      </c>
      <c r="AM244" s="327">
        <v>12</v>
      </c>
      <c r="AN244" s="327">
        <v>37</v>
      </c>
      <c r="AO244" s="327" t="s">
        <v>248</v>
      </c>
      <c r="AP244" s="327">
        <v>160</v>
      </c>
      <c r="AQ244" s="327">
        <v>15</v>
      </c>
      <c r="AR244" s="327">
        <v>312</v>
      </c>
      <c r="AS244" s="327">
        <v>310</v>
      </c>
      <c r="AT244" s="327">
        <v>255</v>
      </c>
      <c r="AU244" s="327">
        <v>415</v>
      </c>
      <c r="AV244" s="327">
        <v>670</v>
      </c>
      <c r="AW244" s="328">
        <v>730</v>
      </c>
      <c r="AX244" s="328"/>
      <c r="AY244" s="328"/>
      <c r="AZ244" s="328"/>
      <c r="BA244" s="328"/>
      <c r="BB244" s="328"/>
      <c r="BC244" s="328"/>
      <c r="BD244" s="328"/>
      <c r="BE244" s="328"/>
      <c r="BF244" s="328"/>
      <c r="BG244" s="328"/>
      <c r="BH244" s="327">
        <v>300</v>
      </c>
      <c r="BI244" s="327">
        <v>250</v>
      </c>
      <c r="BJ244" s="327">
        <v>350</v>
      </c>
      <c r="BK244" s="327">
        <v>19</v>
      </c>
      <c r="BL244" s="327">
        <v>5</v>
      </c>
      <c r="BM244" s="325" t="s">
        <v>672</v>
      </c>
      <c r="BN244" s="325" t="s">
        <v>672</v>
      </c>
      <c r="BO244" s="340" t="s">
        <v>671</v>
      </c>
      <c r="BP244" s="340" t="s">
        <v>671</v>
      </c>
      <c r="BQ244" s="325" t="s">
        <v>450</v>
      </c>
    </row>
    <row r="245" spans="1:69" ht="12" customHeight="1">
      <c r="A245" s="320">
        <v>513</v>
      </c>
      <c r="B245" s="336" t="s">
        <v>656</v>
      </c>
      <c r="C245" s="328" t="s">
        <v>655</v>
      </c>
      <c r="D245" s="336" t="s">
        <v>703</v>
      </c>
      <c r="E245" s="328">
        <v>160</v>
      </c>
      <c r="F245" s="365">
        <v>4</v>
      </c>
      <c r="G245" s="325">
        <v>15</v>
      </c>
      <c r="H245" s="327">
        <v>18</v>
      </c>
      <c r="I245" s="327">
        <v>1470</v>
      </c>
      <c r="J245" s="344">
        <v>1764</v>
      </c>
      <c r="K245" s="328"/>
      <c r="L245" s="349">
        <v>27.8</v>
      </c>
      <c r="M245" s="331">
        <f t="shared" si="143"/>
        <v>29.008695652173913</v>
      </c>
      <c r="N245" s="347">
        <v>0.86</v>
      </c>
      <c r="O245" s="349">
        <v>90.6</v>
      </c>
      <c r="P245" s="348">
        <v>91.61</v>
      </c>
      <c r="Q245" s="348">
        <v>90.99</v>
      </c>
      <c r="R245" s="347">
        <v>0.86</v>
      </c>
      <c r="S245" s="349">
        <v>90.6</v>
      </c>
      <c r="T245" s="348">
        <v>91.61</v>
      </c>
      <c r="U245" s="348">
        <v>90.99</v>
      </c>
      <c r="V245" s="367">
        <v>7.5</v>
      </c>
      <c r="W245" s="367">
        <v>2.2000000000000002</v>
      </c>
      <c r="X245" s="363">
        <v>2.2999999999999998</v>
      </c>
      <c r="Y245" s="328"/>
      <c r="Z245" s="328"/>
      <c r="AA245" s="328"/>
      <c r="AB245" s="373">
        <v>0.10100000000000001</v>
      </c>
      <c r="AC245" s="328">
        <v>64</v>
      </c>
      <c r="AD245" s="370">
        <v>139</v>
      </c>
      <c r="AE245" s="328"/>
      <c r="AF245" s="328"/>
      <c r="AG245" s="328"/>
      <c r="AH245" s="327">
        <v>254</v>
      </c>
      <c r="AI245" s="327">
        <v>254</v>
      </c>
      <c r="AJ245" s="327">
        <v>108</v>
      </c>
      <c r="AK245" s="327">
        <v>42</v>
      </c>
      <c r="AL245" s="327">
        <v>110</v>
      </c>
      <c r="AM245" s="327">
        <v>12</v>
      </c>
      <c r="AN245" s="327">
        <v>37</v>
      </c>
      <c r="AO245" s="327" t="s">
        <v>248</v>
      </c>
      <c r="AP245" s="327">
        <v>160</v>
      </c>
      <c r="AQ245" s="327">
        <v>15</v>
      </c>
      <c r="AR245" s="327">
        <v>320</v>
      </c>
      <c r="AS245" s="327">
        <v>320</v>
      </c>
      <c r="AT245" s="327">
        <v>285</v>
      </c>
      <c r="AU245" s="327">
        <v>440</v>
      </c>
      <c r="AV245" s="327">
        <v>680</v>
      </c>
      <c r="AW245" s="328">
        <v>730</v>
      </c>
      <c r="AX245" s="328"/>
      <c r="AY245" s="328"/>
      <c r="AZ245" s="328"/>
      <c r="BA245" s="328"/>
      <c r="BB245" s="328"/>
      <c r="BC245" s="328"/>
      <c r="BD245" s="328"/>
      <c r="BE245" s="328"/>
      <c r="BF245" s="328"/>
      <c r="BG245" s="328"/>
      <c r="BH245" s="327">
        <v>300</v>
      </c>
      <c r="BI245" s="327">
        <v>250</v>
      </c>
      <c r="BJ245" s="327">
        <v>350</v>
      </c>
      <c r="BK245" s="327">
        <v>19</v>
      </c>
      <c r="BL245" s="327">
        <v>5</v>
      </c>
      <c r="BM245" s="325" t="s">
        <v>457</v>
      </c>
      <c r="BN245" s="325" t="s">
        <v>457</v>
      </c>
      <c r="BO245" s="340" t="s">
        <v>456</v>
      </c>
      <c r="BP245" s="340" t="s">
        <v>456</v>
      </c>
      <c r="BQ245" s="325" t="s">
        <v>450</v>
      </c>
    </row>
    <row r="246" spans="1:69" ht="12" customHeight="1">
      <c r="A246" s="320">
        <v>514</v>
      </c>
      <c r="B246" s="336" t="s">
        <v>656</v>
      </c>
      <c r="C246" s="328" t="s">
        <v>655</v>
      </c>
      <c r="D246" s="336" t="s">
        <v>702</v>
      </c>
      <c r="E246" s="328">
        <v>180</v>
      </c>
      <c r="F246" s="365">
        <v>4</v>
      </c>
      <c r="G246" s="325">
        <v>18.5</v>
      </c>
      <c r="H246" s="327">
        <v>22.2</v>
      </c>
      <c r="I246" s="327">
        <v>1475</v>
      </c>
      <c r="J246" s="344">
        <v>1770</v>
      </c>
      <c r="K246" s="328"/>
      <c r="L246" s="349">
        <v>34</v>
      </c>
      <c r="M246" s="331">
        <f t="shared" si="143"/>
        <v>35.478260869565219</v>
      </c>
      <c r="N246" s="347">
        <v>0.86</v>
      </c>
      <c r="O246" s="349">
        <v>91.2</v>
      </c>
      <c r="P246" s="348">
        <v>92.22</v>
      </c>
      <c r="Q246" s="348">
        <v>91.53</v>
      </c>
      <c r="R246" s="347">
        <v>0.86</v>
      </c>
      <c r="S246" s="349">
        <v>91.2</v>
      </c>
      <c r="T246" s="348">
        <v>92.22</v>
      </c>
      <c r="U246" s="348">
        <v>91.53</v>
      </c>
      <c r="V246" s="367">
        <v>7.7</v>
      </c>
      <c r="W246" s="367">
        <v>2.2000000000000002</v>
      </c>
      <c r="X246" s="363">
        <v>2.2999999999999998</v>
      </c>
      <c r="Y246" s="328"/>
      <c r="Z246" s="328"/>
      <c r="AA246" s="328"/>
      <c r="AB246" s="373">
        <v>0.152</v>
      </c>
      <c r="AC246" s="328">
        <v>65</v>
      </c>
      <c r="AD246" s="370">
        <v>186</v>
      </c>
      <c r="AE246" s="328"/>
      <c r="AF246" s="328"/>
      <c r="AG246" s="328"/>
      <c r="AH246" s="327">
        <v>279</v>
      </c>
      <c r="AI246" s="327">
        <v>241</v>
      </c>
      <c r="AJ246" s="327">
        <v>121</v>
      </c>
      <c r="AK246" s="327">
        <v>48</v>
      </c>
      <c r="AL246" s="327">
        <v>110</v>
      </c>
      <c r="AM246" s="327">
        <v>14</v>
      </c>
      <c r="AN246" s="327">
        <v>42.5</v>
      </c>
      <c r="AO246" s="327" t="s">
        <v>248</v>
      </c>
      <c r="AP246" s="327">
        <v>180</v>
      </c>
      <c r="AQ246" s="327">
        <v>15</v>
      </c>
      <c r="AR246" s="327">
        <v>355</v>
      </c>
      <c r="AS246" s="327">
        <v>380</v>
      </c>
      <c r="AT246" s="327">
        <v>310</v>
      </c>
      <c r="AU246" s="327">
        <v>470</v>
      </c>
      <c r="AV246" s="327">
        <v>730</v>
      </c>
      <c r="AW246" s="328">
        <v>760</v>
      </c>
      <c r="AX246" s="328"/>
      <c r="AY246" s="328"/>
      <c r="AZ246" s="328"/>
      <c r="BA246" s="328"/>
      <c r="BB246" s="328"/>
      <c r="BC246" s="328"/>
      <c r="BD246" s="328"/>
      <c r="BE246" s="328"/>
      <c r="BF246" s="328"/>
      <c r="BG246" s="328"/>
      <c r="BH246" s="327">
        <v>300</v>
      </c>
      <c r="BI246" s="327">
        <v>250</v>
      </c>
      <c r="BJ246" s="327">
        <v>350</v>
      </c>
      <c r="BK246" s="327">
        <v>19</v>
      </c>
      <c r="BL246" s="327">
        <v>5</v>
      </c>
      <c r="BM246" s="325" t="s">
        <v>452</v>
      </c>
      <c r="BN246" s="325" t="s">
        <v>452</v>
      </c>
      <c r="BO246" s="340" t="s">
        <v>451</v>
      </c>
      <c r="BP246" s="340" t="s">
        <v>451</v>
      </c>
      <c r="BQ246" s="325" t="s">
        <v>450</v>
      </c>
    </row>
    <row r="247" spans="1:69" ht="12" customHeight="1">
      <c r="A247" s="320">
        <v>515</v>
      </c>
      <c r="B247" s="336" t="s">
        <v>656</v>
      </c>
      <c r="C247" s="328" t="s">
        <v>655</v>
      </c>
      <c r="D247" s="336" t="s">
        <v>701</v>
      </c>
      <c r="E247" s="328">
        <v>180</v>
      </c>
      <c r="F247" s="365">
        <v>4</v>
      </c>
      <c r="G247" s="325">
        <v>22</v>
      </c>
      <c r="H247" s="327">
        <v>26.4</v>
      </c>
      <c r="I247" s="327">
        <v>1475</v>
      </c>
      <c r="J247" s="344">
        <v>1770</v>
      </c>
      <c r="K247" s="328"/>
      <c r="L247" s="349">
        <v>40.299999999999997</v>
      </c>
      <c r="M247" s="331">
        <f t="shared" si="143"/>
        <v>42.052173913043475</v>
      </c>
      <c r="N247" s="347">
        <v>0.86</v>
      </c>
      <c r="O247" s="349">
        <v>91.6</v>
      </c>
      <c r="P247" s="348">
        <v>92.63</v>
      </c>
      <c r="Q247" s="348">
        <v>92.01</v>
      </c>
      <c r="R247" s="347">
        <v>0.86</v>
      </c>
      <c r="S247" s="349">
        <v>91.6</v>
      </c>
      <c r="T247" s="348">
        <v>92.63</v>
      </c>
      <c r="U247" s="348">
        <v>92.01</v>
      </c>
      <c r="V247" s="367">
        <v>7.8</v>
      </c>
      <c r="W247" s="367">
        <v>2.2000000000000002</v>
      </c>
      <c r="X247" s="363">
        <v>2.2999999999999998</v>
      </c>
      <c r="Y247" s="328"/>
      <c r="Z247" s="328"/>
      <c r="AA247" s="328"/>
      <c r="AB247" s="373">
        <v>0.187</v>
      </c>
      <c r="AC247" s="328">
        <v>66</v>
      </c>
      <c r="AD247" s="370">
        <v>197</v>
      </c>
      <c r="AE247" s="328"/>
      <c r="AF247" s="328"/>
      <c r="AG247" s="328"/>
      <c r="AH247" s="327">
        <v>279</v>
      </c>
      <c r="AI247" s="327">
        <v>279</v>
      </c>
      <c r="AJ247" s="327">
        <v>121</v>
      </c>
      <c r="AK247" s="327">
        <v>48</v>
      </c>
      <c r="AL247" s="327">
        <v>110</v>
      </c>
      <c r="AM247" s="327">
        <v>14</v>
      </c>
      <c r="AN247" s="327">
        <v>42.5</v>
      </c>
      <c r="AO247" s="327" t="s">
        <v>248</v>
      </c>
      <c r="AP247" s="327">
        <v>180</v>
      </c>
      <c r="AQ247" s="327">
        <v>15</v>
      </c>
      <c r="AR247" s="327">
        <v>355</v>
      </c>
      <c r="AS247" s="327">
        <v>380</v>
      </c>
      <c r="AT247" s="327">
        <v>310</v>
      </c>
      <c r="AU247" s="327">
        <v>470</v>
      </c>
      <c r="AV247" s="327">
        <v>730</v>
      </c>
      <c r="AW247" s="328">
        <v>800</v>
      </c>
      <c r="AX247" s="328"/>
      <c r="AY247" s="328"/>
      <c r="AZ247" s="328"/>
      <c r="BA247" s="328"/>
      <c r="BB247" s="328"/>
      <c r="BC247" s="328"/>
      <c r="BD247" s="328"/>
      <c r="BE247" s="328"/>
      <c r="BF247" s="328"/>
      <c r="BG247" s="328"/>
      <c r="BH247" s="327">
        <v>300</v>
      </c>
      <c r="BI247" s="327">
        <v>250</v>
      </c>
      <c r="BJ247" s="327">
        <v>350</v>
      </c>
      <c r="BK247" s="327">
        <v>19</v>
      </c>
      <c r="BL247" s="327">
        <v>5</v>
      </c>
      <c r="BM247" s="325" t="s">
        <v>452</v>
      </c>
      <c r="BN247" s="325" t="s">
        <v>452</v>
      </c>
      <c r="BO247" s="340" t="s">
        <v>451</v>
      </c>
      <c r="BP247" s="340" t="s">
        <v>451</v>
      </c>
      <c r="BQ247" s="325" t="s">
        <v>450</v>
      </c>
    </row>
    <row r="248" spans="1:69" ht="12" customHeight="1">
      <c r="A248" s="320">
        <v>516</v>
      </c>
      <c r="B248" s="336" t="s">
        <v>656</v>
      </c>
      <c r="C248" s="328" t="s">
        <v>655</v>
      </c>
      <c r="D248" s="336" t="s">
        <v>700</v>
      </c>
      <c r="E248" s="328">
        <v>200</v>
      </c>
      <c r="F248" s="365">
        <v>4</v>
      </c>
      <c r="G248" s="325">
        <v>30</v>
      </c>
      <c r="H248" s="327">
        <v>36</v>
      </c>
      <c r="I248" s="327">
        <v>1480</v>
      </c>
      <c r="J248" s="344">
        <v>1776</v>
      </c>
      <c r="K248" s="328"/>
      <c r="L248" s="349">
        <v>54.6</v>
      </c>
      <c r="M248" s="331">
        <f t="shared" si="143"/>
        <v>56.973913043478262</v>
      </c>
      <c r="N248" s="347">
        <v>0.86</v>
      </c>
      <c r="O248" s="349">
        <v>92.3</v>
      </c>
      <c r="P248" s="348">
        <v>93.05</v>
      </c>
      <c r="Q248" s="348">
        <v>92.29</v>
      </c>
      <c r="R248" s="347">
        <v>0.86</v>
      </c>
      <c r="S248" s="349">
        <v>92.3</v>
      </c>
      <c r="T248" s="348">
        <v>93.05</v>
      </c>
      <c r="U248" s="348">
        <v>92.29</v>
      </c>
      <c r="V248" s="367">
        <v>7.2</v>
      </c>
      <c r="W248" s="367">
        <v>2.2000000000000002</v>
      </c>
      <c r="X248" s="363">
        <v>2.2999999999999998</v>
      </c>
      <c r="Y248" s="328"/>
      <c r="Z248" s="328"/>
      <c r="AA248" s="328"/>
      <c r="AB248" s="373">
        <v>0.28499999999999998</v>
      </c>
      <c r="AC248" s="328">
        <v>67</v>
      </c>
      <c r="AD248" s="370">
        <v>261</v>
      </c>
      <c r="AE248" s="328"/>
      <c r="AF248" s="328"/>
      <c r="AG248" s="328"/>
      <c r="AH248" s="327">
        <v>318</v>
      </c>
      <c r="AI248" s="327">
        <v>305</v>
      </c>
      <c r="AJ248" s="327">
        <v>133</v>
      </c>
      <c r="AK248" s="327">
        <v>55</v>
      </c>
      <c r="AL248" s="327">
        <v>110</v>
      </c>
      <c r="AM248" s="327">
        <v>16</v>
      </c>
      <c r="AN248" s="327">
        <v>49</v>
      </c>
      <c r="AO248" s="327" t="s">
        <v>249</v>
      </c>
      <c r="AP248" s="327">
        <v>200</v>
      </c>
      <c r="AQ248" s="327">
        <v>19</v>
      </c>
      <c r="AR248" s="327">
        <v>395</v>
      </c>
      <c r="AS248" s="327">
        <v>410</v>
      </c>
      <c r="AT248" s="327">
        <v>335</v>
      </c>
      <c r="AU248" s="327">
        <v>525</v>
      </c>
      <c r="AV248" s="327">
        <v>785</v>
      </c>
      <c r="AW248" s="328">
        <v>845</v>
      </c>
      <c r="AX248" s="328"/>
      <c r="AY248" s="328"/>
      <c r="AZ248" s="328"/>
      <c r="BA248" s="328"/>
      <c r="BB248" s="328"/>
      <c r="BC248" s="328"/>
      <c r="BD248" s="328"/>
      <c r="BE248" s="328"/>
      <c r="BF248" s="328"/>
      <c r="BG248" s="328"/>
      <c r="BH248" s="327">
        <v>350</v>
      </c>
      <c r="BI248" s="327">
        <v>300</v>
      </c>
      <c r="BJ248" s="327">
        <v>400</v>
      </c>
      <c r="BK248" s="327">
        <v>19</v>
      </c>
      <c r="BL248" s="327">
        <v>5</v>
      </c>
      <c r="BM248" s="325" t="s">
        <v>442</v>
      </c>
      <c r="BN248" s="325" t="s">
        <v>442</v>
      </c>
      <c r="BO248" s="340" t="s">
        <v>441</v>
      </c>
      <c r="BP248" s="340" t="s">
        <v>441</v>
      </c>
      <c r="BQ248" s="325" t="s">
        <v>434</v>
      </c>
    </row>
    <row r="249" spans="1:69" ht="12" customHeight="1">
      <c r="A249" s="320">
        <v>517</v>
      </c>
      <c r="B249" s="336" t="s">
        <v>656</v>
      </c>
      <c r="C249" s="328" t="s">
        <v>655</v>
      </c>
      <c r="D249" s="336" t="s">
        <v>699</v>
      </c>
      <c r="E249" s="328">
        <v>225</v>
      </c>
      <c r="F249" s="365">
        <v>4</v>
      </c>
      <c r="G249" s="325">
        <v>37</v>
      </c>
      <c r="H249" s="327">
        <v>44.4</v>
      </c>
      <c r="I249" s="327">
        <v>1485</v>
      </c>
      <c r="J249" s="344">
        <v>1782</v>
      </c>
      <c r="K249" s="328"/>
      <c r="L249" s="349">
        <v>67</v>
      </c>
      <c r="M249" s="331">
        <f t="shared" si="143"/>
        <v>69.913043478260875</v>
      </c>
      <c r="N249" s="347">
        <v>0.86</v>
      </c>
      <c r="O249" s="349">
        <v>92.7</v>
      </c>
      <c r="P249" s="348">
        <v>93.26</v>
      </c>
      <c r="Q249" s="348">
        <v>92.38</v>
      </c>
      <c r="R249" s="347">
        <v>0.86</v>
      </c>
      <c r="S249" s="349">
        <v>92.7</v>
      </c>
      <c r="T249" s="348">
        <v>93.26</v>
      </c>
      <c r="U249" s="348">
        <v>92.38</v>
      </c>
      <c r="V249" s="367">
        <v>7.3</v>
      </c>
      <c r="W249" s="367">
        <v>2.2000000000000002</v>
      </c>
      <c r="X249" s="363">
        <v>2.2999999999999998</v>
      </c>
      <c r="Y249" s="328"/>
      <c r="Z249" s="328"/>
      <c r="AA249" s="328"/>
      <c r="AB249" s="373">
        <v>0.47299999999999998</v>
      </c>
      <c r="AC249" s="328">
        <v>69</v>
      </c>
      <c r="AD249" s="370">
        <v>308</v>
      </c>
      <c r="AE249" s="328"/>
      <c r="AF249" s="328"/>
      <c r="AG249" s="328"/>
      <c r="AH249" s="327">
        <v>356</v>
      </c>
      <c r="AI249" s="327">
        <v>286</v>
      </c>
      <c r="AJ249" s="327">
        <v>149</v>
      </c>
      <c r="AK249" s="327">
        <v>60</v>
      </c>
      <c r="AL249" s="327">
        <v>140</v>
      </c>
      <c r="AM249" s="327">
        <v>18</v>
      </c>
      <c r="AN249" s="327">
        <v>53</v>
      </c>
      <c r="AO249" s="327" t="s">
        <v>249</v>
      </c>
      <c r="AP249" s="327">
        <v>225</v>
      </c>
      <c r="AQ249" s="327">
        <v>19</v>
      </c>
      <c r="AR249" s="327">
        <v>435</v>
      </c>
      <c r="AS249" s="327">
        <v>470</v>
      </c>
      <c r="AT249" s="327">
        <v>370</v>
      </c>
      <c r="AU249" s="327">
        <v>580</v>
      </c>
      <c r="AV249" s="327">
        <v>830</v>
      </c>
      <c r="AW249" s="328">
        <v>915</v>
      </c>
      <c r="AX249" s="328"/>
      <c r="AY249" s="328"/>
      <c r="AZ249" s="328"/>
      <c r="BA249" s="328"/>
      <c r="BB249" s="328"/>
      <c r="BC249" s="328"/>
      <c r="BD249" s="328"/>
      <c r="BE249" s="328"/>
      <c r="BF249" s="328"/>
      <c r="BG249" s="328"/>
      <c r="BH249" s="327">
        <v>400</v>
      </c>
      <c r="BI249" s="327">
        <v>350</v>
      </c>
      <c r="BJ249" s="327">
        <v>450</v>
      </c>
      <c r="BK249" s="327">
        <v>19</v>
      </c>
      <c r="BL249" s="327">
        <v>5</v>
      </c>
      <c r="BM249" s="325" t="s">
        <v>436</v>
      </c>
      <c r="BN249" s="325" t="s">
        <v>436</v>
      </c>
      <c r="BO249" s="340" t="s">
        <v>435</v>
      </c>
      <c r="BP249" s="340" t="s">
        <v>435</v>
      </c>
      <c r="BQ249" s="325" t="s">
        <v>434</v>
      </c>
    </row>
    <row r="250" spans="1:69" ht="12" customHeight="1">
      <c r="A250" s="320">
        <v>518</v>
      </c>
      <c r="B250" s="336" t="s">
        <v>656</v>
      </c>
      <c r="C250" s="328" t="s">
        <v>655</v>
      </c>
      <c r="D250" s="336" t="s">
        <v>698</v>
      </c>
      <c r="E250" s="328">
        <v>225</v>
      </c>
      <c r="F250" s="365">
        <v>4</v>
      </c>
      <c r="G250" s="325">
        <v>45</v>
      </c>
      <c r="H250" s="327">
        <v>54</v>
      </c>
      <c r="I250" s="327">
        <v>1485</v>
      </c>
      <c r="J250" s="344">
        <v>1782</v>
      </c>
      <c r="K250" s="328"/>
      <c r="L250" s="327">
        <v>81.099999999999994</v>
      </c>
      <c r="M250" s="331">
        <f t="shared" si="143"/>
        <v>84.626086956521746</v>
      </c>
      <c r="N250" s="347">
        <v>0.86</v>
      </c>
      <c r="O250" s="349">
        <v>93.1</v>
      </c>
      <c r="P250" s="348">
        <v>93.81</v>
      </c>
      <c r="Q250" s="348">
        <v>92.93</v>
      </c>
      <c r="R250" s="347">
        <v>0.86</v>
      </c>
      <c r="S250" s="349">
        <v>93.1</v>
      </c>
      <c r="T250" s="348">
        <v>93.81</v>
      </c>
      <c r="U250" s="348">
        <v>92.93</v>
      </c>
      <c r="V250" s="367">
        <v>7.4</v>
      </c>
      <c r="W250" s="367">
        <v>2.2000000000000002</v>
      </c>
      <c r="X250" s="363">
        <v>2.2999999999999998</v>
      </c>
      <c r="Y250" s="328"/>
      <c r="Z250" s="328"/>
      <c r="AA250" s="328"/>
      <c r="AB250" s="373">
        <v>0.55400000000000005</v>
      </c>
      <c r="AC250" s="328">
        <v>69</v>
      </c>
      <c r="AD250" s="370">
        <v>337</v>
      </c>
      <c r="AE250" s="328"/>
      <c r="AF250" s="328"/>
      <c r="AG250" s="328"/>
      <c r="AH250" s="327">
        <v>356</v>
      </c>
      <c r="AI250" s="327">
        <v>311</v>
      </c>
      <c r="AJ250" s="327">
        <v>149</v>
      </c>
      <c r="AK250" s="327">
        <v>60</v>
      </c>
      <c r="AL250" s="327">
        <v>140</v>
      </c>
      <c r="AM250" s="327">
        <v>18</v>
      </c>
      <c r="AN250" s="327">
        <v>53</v>
      </c>
      <c r="AO250" s="327" t="s">
        <v>249</v>
      </c>
      <c r="AP250" s="327">
        <v>225</v>
      </c>
      <c r="AQ250" s="327">
        <v>19</v>
      </c>
      <c r="AR250" s="327">
        <v>435</v>
      </c>
      <c r="AS250" s="327">
        <v>470</v>
      </c>
      <c r="AT250" s="327">
        <v>370</v>
      </c>
      <c r="AU250" s="327">
        <v>580</v>
      </c>
      <c r="AV250" s="327">
        <v>855</v>
      </c>
      <c r="AW250" s="328">
        <v>940</v>
      </c>
      <c r="AX250" s="328"/>
      <c r="AY250" s="328"/>
      <c r="AZ250" s="328"/>
      <c r="BA250" s="328"/>
      <c r="BB250" s="328"/>
      <c r="BC250" s="328"/>
      <c r="BD250" s="328"/>
      <c r="BE250" s="328"/>
      <c r="BF250" s="328"/>
      <c r="BG250" s="328"/>
      <c r="BH250" s="327">
        <v>400</v>
      </c>
      <c r="BI250" s="327">
        <v>350</v>
      </c>
      <c r="BJ250" s="327">
        <v>450</v>
      </c>
      <c r="BK250" s="327">
        <v>19</v>
      </c>
      <c r="BL250" s="327">
        <v>5</v>
      </c>
      <c r="BM250" s="325" t="s">
        <v>436</v>
      </c>
      <c r="BN250" s="325" t="s">
        <v>436</v>
      </c>
      <c r="BO250" s="340" t="s">
        <v>435</v>
      </c>
      <c r="BP250" s="340" t="s">
        <v>435</v>
      </c>
      <c r="BQ250" s="325" t="s">
        <v>434</v>
      </c>
    </row>
    <row r="251" spans="1:69" ht="12" customHeight="1">
      <c r="A251" s="320">
        <v>519</v>
      </c>
      <c r="B251" s="336" t="s">
        <v>656</v>
      </c>
      <c r="C251" s="328" t="s">
        <v>655</v>
      </c>
      <c r="D251" s="336" t="s">
        <v>697</v>
      </c>
      <c r="E251" s="328">
        <v>250</v>
      </c>
      <c r="F251" s="365">
        <v>4</v>
      </c>
      <c r="G251" s="325">
        <v>55</v>
      </c>
      <c r="H251" s="327">
        <v>66</v>
      </c>
      <c r="I251" s="327">
        <v>1480</v>
      </c>
      <c r="J251" s="344">
        <v>1776</v>
      </c>
      <c r="K251" s="328"/>
      <c r="L251" s="327">
        <v>98.7</v>
      </c>
      <c r="M251" s="331">
        <f t="shared" si="143"/>
        <v>102.99130434782609</v>
      </c>
      <c r="N251" s="347">
        <v>0.86</v>
      </c>
      <c r="O251" s="349">
        <v>93.5</v>
      </c>
      <c r="P251" s="348">
        <v>93.83</v>
      </c>
      <c r="Q251" s="348">
        <v>92.85</v>
      </c>
      <c r="R251" s="347">
        <v>0.86</v>
      </c>
      <c r="S251" s="349">
        <v>93.5</v>
      </c>
      <c r="T251" s="348">
        <v>93.83</v>
      </c>
      <c r="U251" s="348">
        <v>92.85</v>
      </c>
      <c r="V251" s="367">
        <v>7.4</v>
      </c>
      <c r="W251" s="367">
        <v>2.2000000000000002</v>
      </c>
      <c r="X251" s="363">
        <v>2.2999999999999998</v>
      </c>
      <c r="Y251" s="328"/>
      <c r="Z251" s="328"/>
      <c r="AA251" s="328"/>
      <c r="AB251" s="373">
        <v>0.751</v>
      </c>
      <c r="AC251" s="328">
        <v>71</v>
      </c>
      <c r="AD251" s="370">
        <v>410</v>
      </c>
      <c r="AE251" s="328"/>
      <c r="AF251" s="328"/>
      <c r="AG251" s="328"/>
      <c r="AH251" s="327">
        <v>406</v>
      </c>
      <c r="AI251" s="327">
        <v>349</v>
      </c>
      <c r="AJ251" s="327">
        <v>168</v>
      </c>
      <c r="AK251" s="327">
        <v>65</v>
      </c>
      <c r="AL251" s="327">
        <v>140</v>
      </c>
      <c r="AM251" s="327">
        <v>18</v>
      </c>
      <c r="AN251" s="327">
        <v>58</v>
      </c>
      <c r="AO251" s="327" t="s">
        <v>249</v>
      </c>
      <c r="AP251" s="327">
        <v>250</v>
      </c>
      <c r="AQ251" s="327">
        <v>24</v>
      </c>
      <c r="AR251" s="327">
        <v>490</v>
      </c>
      <c r="AS251" s="327">
        <v>490</v>
      </c>
      <c r="AT251" s="327">
        <v>380</v>
      </c>
      <c r="AU251" s="327">
        <v>635</v>
      </c>
      <c r="AV251" s="327">
        <v>930</v>
      </c>
      <c r="AW251" s="328">
        <v>1035</v>
      </c>
      <c r="AX251" s="328"/>
      <c r="AY251" s="328"/>
      <c r="AZ251" s="328"/>
      <c r="BA251" s="328"/>
      <c r="BB251" s="328"/>
      <c r="BC251" s="328"/>
      <c r="BD251" s="328"/>
      <c r="BE251" s="328"/>
      <c r="BF251" s="328"/>
      <c r="BG251" s="328"/>
      <c r="BH251" s="327">
        <v>500</v>
      </c>
      <c r="BI251" s="327">
        <v>450</v>
      </c>
      <c r="BJ251" s="327">
        <v>550</v>
      </c>
      <c r="BK251" s="327">
        <v>19</v>
      </c>
      <c r="BL251" s="327">
        <v>5</v>
      </c>
      <c r="BM251" s="325" t="s">
        <v>429</v>
      </c>
      <c r="BN251" s="325" t="s">
        <v>429</v>
      </c>
      <c r="BO251" s="340" t="s">
        <v>428</v>
      </c>
      <c r="BP251" s="340" t="s">
        <v>428</v>
      </c>
      <c r="BQ251" s="325" t="s">
        <v>388</v>
      </c>
    </row>
    <row r="252" spans="1:69" ht="12" customHeight="1">
      <c r="A252" s="320">
        <v>520</v>
      </c>
      <c r="B252" s="336" t="s">
        <v>656</v>
      </c>
      <c r="C252" s="328" t="s">
        <v>655</v>
      </c>
      <c r="D252" s="336" t="s">
        <v>696</v>
      </c>
      <c r="E252" s="328">
        <v>280</v>
      </c>
      <c r="F252" s="365">
        <v>4</v>
      </c>
      <c r="G252" s="325">
        <v>75</v>
      </c>
      <c r="H252" s="327">
        <v>90</v>
      </c>
      <c r="I252" s="327">
        <v>1490</v>
      </c>
      <c r="J252" s="344">
        <v>1788</v>
      </c>
      <c r="K252" s="328"/>
      <c r="L252" s="349">
        <v>130.9</v>
      </c>
      <c r="M252" s="331">
        <f t="shared" si="143"/>
        <v>136.59130434782608</v>
      </c>
      <c r="N252" s="347">
        <v>0.88</v>
      </c>
      <c r="O252" s="349">
        <v>94</v>
      </c>
      <c r="P252" s="348">
        <v>94.24</v>
      </c>
      <c r="Q252" s="348">
        <v>93.19</v>
      </c>
      <c r="R252" s="347">
        <v>0.88</v>
      </c>
      <c r="S252" s="349">
        <v>94</v>
      </c>
      <c r="T252" s="348">
        <v>94.24</v>
      </c>
      <c r="U252" s="348">
        <v>93.19</v>
      </c>
      <c r="V252" s="367">
        <v>6.7</v>
      </c>
      <c r="W252" s="367">
        <v>2.2000000000000002</v>
      </c>
      <c r="X252" s="363">
        <v>2.2999999999999998</v>
      </c>
      <c r="Y252" s="328"/>
      <c r="Z252" s="328"/>
      <c r="AA252" s="328"/>
      <c r="AB252" s="373">
        <v>1.92</v>
      </c>
      <c r="AC252" s="328">
        <v>73</v>
      </c>
      <c r="AD252" s="370">
        <v>579</v>
      </c>
      <c r="AE252" s="328"/>
      <c r="AF252" s="328"/>
      <c r="AG252" s="328"/>
      <c r="AH252" s="327">
        <v>457</v>
      </c>
      <c r="AI252" s="327">
        <v>368</v>
      </c>
      <c r="AJ252" s="327">
        <v>190</v>
      </c>
      <c r="AK252" s="327">
        <v>75</v>
      </c>
      <c r="AL252" s="327">
        <v>140</v>
      </c>
      <c r="AM252" s="327">
        <v>20</v>
      </c>
      <c r="AN252" s="327">
        <v>67.5</v>
      </c>
      <c r="AO252" s="327" t="s">
        <v>249</v>
      </c>
      <c r="AP252" s="327">
        <v>280</v>
      </c>
      <c r="AQ252" s="327">
        <v>24</v>
      </c>
      <c r="AR252" s="327">
        <v>550</v>
      </c>
      <c r="AS252" s="327">
        <v>580</v>
      </c>
      <c r="AT252" s="327">
        <v>410</v>
      </c>
      <c r="AU252" s="327">
        <v>698</v>
      </c>
      <c r="AV252" s="327">
        <v>981</v>
      </c>
      <c r="AW252" s="328">
        <v>1115</v>
      </c>
      <c r="AX252" s="328"/>
      <c r="AY252" s="328"/>
      <c r="AZ252" s="328"/>
      <c r="BA252" s="328"/>
      <c r="BB252" s="328"/>
      <c r="BC252" s="328"/>
      <c r="BD252" s="328"/>
      <c r="BE252" s="328"/>
      <c r="BF252" s="328"/>
      <c r="BG252" s="328"/>
      <c r="BH252" s="327">
        <v>500</v>
      </c>
      <c r="BI252" s="327">
        <v>450</v>
      </c>
      <c r="BJ252" s="327">
        <v>550</v>
      </c>
      <c r="BK252" s="327">
        <v>19</v>
      </c>
      <c r="BL252" s="327">
        <v>5</v>
      </c>
      <c r="BM252" s="325" t="s">
        <v>420</v>
      </c>
      <c r="BN252" s="325" t="s">
        <v>420</v>
      </c>
      <c r="BO252" s="340" t="s">
        <v>419</v>
      </c>
      <c r="BP252" s="340" t="s">
        <v>419</v>
      </c>
      <c r="BQ252" s="325" t="s">
        <v>388</v>
      </c>
    </row>
    <row r="253" spans="1:69" ht="12" customHeight="1">
      <c r="A253" s="320">
        <v>521</v>
      </c>
      <c r="B253" s="336" t="s">
        <v>656</v>
      </c>
      <c r="C253" s="328" t="s">
        <v>655</v>
      </c>
      <c r="D253" s="336" t="s">
        <v>695</v>
      </c>
      <c r="E253" s="328">
        <v>280</v>
      </c>
      <c r="F253" s="365">
        <v>4</v>
      </c>
      <c r="G253" s="325">
        <v>90</v>
      </c>
      <c r="H253" s="327">
        <v>108</v>
      </c>
      <c r="I253" s="327">
        <v>1490</v>
      </c>
      <c r="J253" s="344">
        <v>1788</v>
      </c>
      <c r="K253" s="328"/>
      <c r="L253" s="349">
        <v>156.69999999999999</v>
      </c>
      <c r="M253" s="331">
        <f t="shared" si="143"/>
        <v>163.51304347826087</v>
      </c>
      <c r="N253" s="347">
        <v>0.88</v>
      </c>
      <c r="O253" s="349">
        <v>94.2</v>
      </c>
      <c r="P253" s="348">
        <v>94.58</v>
      </c>
      <c r="Q253" s="348">
        <v>93.64</v>
      </c>
      <c r="R253" s="347">
        <v>0.88</v>
      </c>
      <c r="S253" s="349">
        <v>94.2</v>
      </c>
      <c r="T253" s="348">
        <v>94.58</v>
      </c>
      <c r="U253" s="348">
        <v>93.64</v>
      </c>
      <c r="V253" s="367">
        <v>6.9</v>
      </c>
      <c r="W253" s="367">
        <v>2.2000000000000002</v>
      </c>
      <c r="X253" s="363">
        <v>2.2999999999999998</v>
      </c>
      <c r="Y253" s="328"/>
      <c r="Z253" s="328"/>
      <c r="AA253" s="328"/>
      <c r="AB253" s="373">
        <v>2.3199999999999998</v>
      </c>
      <c r="AC253" s="328">
        <v>73</v>
      </c>
      <c r="AD253" s="370">
        <v>641</v>
      </c>
      <c r="AE253" s="328"/>
      <c r="AF253" s="328"/>
      <c r="AG253" s="328"/>
      <c r="AH253" s="327">
        <v>457</v>
      </c>
      <c r="AI253" s="327">
        <v>419</v>
      </c>
      <c r="AJ253" s="327">
        <v>190</v>
      </c>
      <c r="AK253" s="327">
        <v>75</v>
      </c>
      <c r="AL253" s="327">
        <v>140</v>
      </c>
      <c r="AM253" s="327">
        <v>20</v>
      </c>
      <c r="AN253" s="327">
        <v>67.5</v>
      </c>
      <c r="AO253" s="327" t="s">
        <v>249</v>
      </c>
      <c r="AP253" s="327">
        <v>280</v>
      </c>
      <c r="AQ253" s="327">
        <v>24</v>
      </c>
      <c r="AR253" s="327">
        <v>550</v>
      </c>
      <c r="AS253" s="327">
        <v>580</v>
      </c>
      <c r="AT253" s="327">
        <v>410</v>
      </c>
      <c r="AU253" s="327">
        <v>698</v>
      </c>
      <c r="AV253" s="327">
        <v>1032</v>
      </c>
      <c r="AW253" s="328">
        <v>1157</v>
      </c>
      <c r="AX253" s="328"/>
      <c r="AY253" s="328"/>
      <c r="AZ253" s="328"/>
      <c r="BA253" s="328"/>
      <c r="BB253" s="328"/>
      <c r="BC253" s="328"/>
      <c r="BD253" s="328"/>
      <c r="BE253" s="328"/>
      <c r="BF253" s="328"/>
      <c r="BG253" s="328"/>
      <c r="BH253" s="327">
        <v>500</v>
      </c>
      <c r="BI253" s="327">
        <v>450</v>
      </c>
      <c r="BJ253" s="327">
        <v>550</v>
      </c>
      <c r="BK253" s="327">
        <v>19</v>
      </c>
      <c r="BL253" s="327">
        <v>5</v>
      </c>
      <c r="BM253" s="325" t="s">
        <v>420</v>
      </c>
      <c r="BN253" s="325" t="s">
        <v>420</v>
      </c>
      <c r="BO253" s="340" t="s">
        <v>419</v>
      </c>
      <c r="BP253" s="340" t="s">
        <v>419</v>
      </c>
      <c r="BQ253" s="325" t="s">
        <v>388</v>
      </c>
    </row>
    <row r="254" spans="1:69" ht="12" customHeight="1">
      <c r="A254" s="320">
        <v>522</v>
      </c>
      <c r="B254" s="336" t="s">
        <v>656</v>
      </c>
      <c r="C254" s="328" t="s">
        <v>655</v>
      </c>
      <c r="D254" s="336" t="s">
        <v>694</v>
      </c>
      <c r="E254" s="328">
        <v>315</v>
      </c>
      <c r="F254" s="365">
        <v>4</v>
      </c>
      <c r="G254" s="325">
        <v>110</v>
      </c>
      <c r="H254" s="327">
        <v>132</v>
      </c>
      <c r="I254" s="327">
        <v>1490</v>
      </c>
      <c r="J254" s="344">
        <v>1788</v>
      </c>
      <c r="K254" s="328"/>
      <c r="L254" s="327">
        <v>190.9</v>
      </c>
      <c r="M254" s="331">
        <f t="shared" si="143"/>
        <v>199.2</v>
      </c>
      <c r="N254" s="347">
        <v>0.88</v>
      </c>
      <c r="O254" s="349">
        <v>94.5</v>
      </c>
      <c r="P254" s="348">
        <v>94.57</v>
      </c>
      <c r="Q254" s="348">
        <v>93.47</v>
      </c>
      <c r="R254" s="347">
        <v>0.88</v>
      </c>
      <c r="S254" s="349">
        <v>94.5</v>
      </c>
      <c r="T254" s="348">
        <v>94.57</v>
      </c>
      <c r="U254" s="348">
        <v>93.47</v>
      </c>
      <c r="V254" s="367">
        <v>6.9</v>
      </c>
      <c r="W254" s="367">
        <v>2.2000000000000002</v>
      </c>
      <c r="X254" s="367">
        <v>2.2000000000000002</v>
      </c>
      <c r="Y254" s="328"/>
      <c r="Z254" s="328"/>
      <c r="AA254" s="328"/>
      <c r="AB254" s="373">
        <v>2.34</v>
      </c>
      <c r="AC254" s="328">
        <v>75</v>
      </c>
      <c r="AD254" s="370">
        <v>959</v>
      </c>
      <c r="AE254" s="328"/>
      <c r="AF254" s="328"/>
      <c r="AG254" s="328"/>
      <c r="AH254" s="327">
        <v>508</v>
      </c>
      <c r="AI254" s="327">
        <v>406</v>
      </c>
      <c r="AJ254" s="327">
        <v>216</v>
      </c>
      <c r="AK254" s="327">
        <v>80</v>
      </c>
      <c r="AL254" s="327">
        <v>170</v>
      </c>
      <c r="AM254" s="327">
        <v>22</v>
      </c>
      <c r="AN254" s="327">
        <v>71</v>
      </c>
      <c r="AO254" s="327" t="s">
        <v>249</v>
      </c>
      <c r="AP254" s="327">
        <v>315</v>
      </c>
      <c r="AQ254" s="327">
        <v>28</v>
      </c>
      <c r="AR254" s="327">
        <v>630</v>
      </c>
      <c r="AS254" s="327">
        <v>645</v>
      </c>
      <c r="AT254" s="327">
        <v>535</v>
      </c>
      <c r="AU254" s="327">
        <v>885</v>
      </c>
      <c r="AV254" s="327">
        <v>1225</v>
      </c>
      <c r="AW254" s="328">
        <v>1350</v>
      </c>
      <c r="AX254" s="328"/>
      <c r="AY254" s="328"/>
      <c r="AZ254" s="328"/>
      <c r="BA254" s="328"/>
      <c r="BB254" s="328"/>
      <c r="BC254" s="328"/>
      <c r="BD254" s="328"/>
      <c r="BE254" s="328"/>
      <c r="BF254" s="328"/>
      <c r="BG254" s="328"/>
      <c r="BH254" s="327">
        <v>600</v>
      </c>
      <c r="BI254" s="327">
        <v>550</v>
      </c>
      <c r="BJ254" s="327">
        <v>660</v>
      </c>
      <c r="BK254" s="327">
        <v>24</v>
      </c>
      <c r="BL254" s="327">
        <v>6</v>
      </c>
      <c r="BM254" s="325" t="s">
        <v>389</v>
      </c>
      <c r="BN254" s="325" t="s">
        <v>389</v>
      </c>
      <c r="BO254" s="326"/>
      <c r="BP254" s="326"/>
      <c r="BQ254" s="325" t="s">
        <v>388</v>
      </c>
    </row>
    <row r="255" spans="1:69" ht="12" customHeight="1">
      <c r="A255" s="320">
        <v>523</v>
      </c>
      <c r="B255" s="336" t="s">
        <v>656</v>
      </c>
      <c r="C255" s="328" t="s">
        <v>655</v>
      </c>
      <c r="D255" s="336" t="s">
        <v>693</v>
      </c>
      <c r="E255" s="328">
        <v>315</v>
      </c>
      <c r="F255" s="365">
        <v>4</v>
      </c>
      <c r="G255" s="325">
        <v>132</v>
      </c>
      <c r="H255" s="327">
        <v>158.4</v>
      </c>
      <c r="I255" s="327">
        <v>1490</v>
      </c>
      <c r="J255" s="344">
        <v>1788</v>
      </c>
      <c r="K255" s="328"/>
      <c r="L255" s="327">
        <v>228.6</v>
      </c>
      <c r="M255" s="331">
        <f t="shared" si="143"/>
        <v>238.53913043478261</v>
      </c>
      <c r="N255" s="347">
        <v>0.88</v>
      </c>
      <c r="O255" s="349">
        <v>94.7</v>
      </c>
      <c r="P255" s="348">
        <v>95.05</v>
      </c>
      <c r="Q255" s="348">
        <v>94.09</v>
      </c>
      <c r="R255" s="347">
        <v>0.88</v>
      </c>
      <c r="S255" s="349">
        <v>94.7</v>
      </c>
      <c r="T255" s="348">
        <v>95.05</v>
      </c>
      <c r="U255" s="348">
        <v>94.09</v>
      </c>
      <c r="V255" s="367">
        <v>6.9</v>
      </c>
      <c r="W255" s="367">
        <v>2.2000000000000002</v>
      </c>
      <c r="X255" s="367">
        <v>2.2000000000000002</v>
      </c>
      <c r="Y255" s="328"/>
      <c r="Z255" s="328"/>
      <c r="AA255" s="328"/>
      <c r="AB255" s="373">
        <v>2.58</v>
      </c>
      <c r="AC255" s="328">
        <v>75</v>
      </c>
      <c r="AD255" s="370">
        <v>999</v>
      </c>
      <c r="AE255" s="328"/>
      <c r="AF255" s="328"/>
      <c r="AG255" s="328"/>
      <c r="AH255" s="327">
        <v>508</v>
      </c>
      <c r="AI255" s="327">
        <v>457</v>
      </c>
      <c r="AJ255" s="327">
        <v>216</v>
      </c>
      <c r="AK255" s="327">
        <v>80</v>
      </c>
      <c r="AL255" s="327">
        <v>170</v>
      </c>
      <c r="AM255" s="327">
        <v>22</v>
      </c>
      <c r="AN255" s="327">
        <v>71</v>
      </c>
      <c r="AO255" s="327" t="s">
        <v>249</v>
      </c>
      <c r="AP255" s="327">
        <v>315</v>
      </c>
      <c r="AQ255" s="327">
        <v>28</v>
      </c>
      <c r="AR255" s="327">
        <v>630</v>
      </c>
      <c r="AS255" s="327">
        <v>645</v>
      </c>
      <c r="AT255" s="327">
        <v>535</v>
      </c>
      <c r="AU255" s="327">
        <v>885</v>
      </c>
      <c r="AV255" s="327">
        <v>1335</v>
      </c>
      <c r="AW255" s="328">
        <v>1460</v>
      </c>
      <c r="AX255" s="328"/>
      <c r="AY255" s="328"/>
      <c r="AZ255" s="328"/>
      <c r="BA255" s="328"/>
      <c r="BB255" s="328"/>
      <c r="BC255" s="328"/>
      <c r="BD255" s="328"/>
      <c r="BE255" s="328"/>
      <c r="BF255" s="328"/>
      <c r="BG255" s="328"/>
      <c r="BH255" s="327">
        <v>600</v>
      </c>
      <c r="BI255" s="327">
        <v>550</v>
      </c>
      <c r="BJ255" s="327">
        <v>660</v>
      </c>
      <c r="BK255" s="327">
        <v>24</v>
      </c>
      <c r="BL255" s="327">
        <v>6</v>
      </c>
      <c r="BM255" s="325" t="s">
        <v>389</v>
      </c>
      <c r="BN255" s="325" t="s">
        <v>389</v>
      </c>
      <c r="BO255" s="326"/>
      <c r="BP255" s="326"/>
      <c r="BQ255" s="325" t="s">
        <v>388</v>
      </c>
    </row>
    <row r="256" spans="1:69" ht="12" customHeight="1">
      <c r="A256" s="320">
        <v>524</v>
      </c>
      <c r="B256" s="336" t="s">
        <v>656</v>
      </c>
      <c r="C256" s="328" t="s">
        <v>655</v>
      </c>
      <c r="D256" s="336" t="s">
        <v>692</v>
      </c>
      <c r="E256" s="328">
        <v>315</v>
      </c>
      <c r="F256" s="365">
        <v>4</v>
      </c>
      <c r="G256" s="325">
        <v>160</v>
      </c>
      <c r="H256" s="327">
        <v>192</v>
      </c>
      <c r="I256" s="327">
        <v>1490</v>
      </c>
      <c r="J256" s="344">
        <v>1788</v>
      </c>
      <c r="K256" s="328"/>
      <c r="L256" s="327">
        <v>273.39999999999998</v>
      </c>
      <c r="M256" s="331">
        <f t="shared" si="143"/>
        <v>285.28695652173911</v>
      </c>
      <c r="N256" s="347">
        <v>0.89</v>
      </c>
      <c r="O256" s="349">
        <v>94.9</v>
      </c>
      <c r="P256" s="348">
        <v>95.31</v>
      </c>
      <c r="Q256" s="348">
        <v>94.47</v>
      </c>
      <c r="R256" s="347">
        <v>0.89</v>
      </c>
      <c r="S256" s="349">
        <v>94.9</v>
      </c>
      <c r="T256" s="348">
        <v>95.31</v>
      </c>
      <c r="U256" s="348">
        <v>94.47</v>
      </c>
      <c r="V256" s="367">
        <v>6.9</v>
      </c>
      <c r="W256" s="367">
        <v>2.2000000000000002</v>
      </c>
      <c r="X256" s="367">
        <v>2.2000000000000002</v>
      </c>
      <c r="Y256" s="328"/>
      <c r="Z256" s="328"/>
      <c r="AA256" s="328"/>
      <c r="AB256" s="373">
        <v>2.96</v>
      </c>
      <c r="AC256" s="328">
        <v>79</v>
      </c>
      <c r="AD256" s="370">
        <v>1096</v>
      </c>
      <c r="AE256" s="328"/>
      <c r="AF256" s="328"/>
      <c r="AG256" s="328"/>
      <c r="AH256" s="327">
        <v>508</v>
      </c>
      <c r="AI256" s="327">
        <v>508</v>
      </c>
      <c r="AJ256" s="327">
        <v>216</v>
      </c>
      <c r="AK256" s="327">
        <v>80</v>
      </c>
      <c r="AL256" s="327">
        <v>170</v>
      </c>
      <c r="AM256" s="327">
        <v>22</v>
      </c>
      <c r="AN256" s="327">
        <v>71</v>
      </c>
      <c r="AO256" s="327" t="s">
        <v>249</v>
      </c>
      <c r="AP256" s="327">
        <v>315</v>
      </c>
      <c r="AQ256" s="327">
        <v>28</v>
      </c>
      <c r="AR256" s="327">
        <v>630</v>
      </c>
      <c r="AS256" s="327">
        <v>645</v>
      </c>
      <c r="AT256" s="327">
        <v>535</v>
      </c>
      <c r="AU256" s="327">
        <v>885</v>
      </c>
      <c r="AV256" s="327">
        <v>1335</v>
      </c>
      <c r="AW256" s="328">
        <v>1460</v>
      </c>
      <c r="AX256" s="328"/>
      <c r="AY256" s="328"/>
      <c r="AZ256" s="328"/>
      <c r="BA256" s="328"/>
      <c r="BB256" s="328"/>
      <c r="BC256" s="328"/>
      <c r="BD256" s="328"/>
      <c r="BE256" s="328"/>
      <c r="BF256" s="328"/>
      <c r="BG256" s="328"/>
      <c r="BH256" s="327">
        <v>600</v>
      </c>
      <c r="BI256" s="327">
        <v>550</v>
      </c>
      <c r="BJ256" s="327">
        <v>660</v>
      </c>
      <c r="BK256" s="327">
        <v>24</v>
      </c>
      <c r="BL256" s="327">
        <v>6</v>
      </c>
      <c r="BM256" s="325" t="s">
        <v>389</v>
      </c>
      <c r="BN256" s="325" t="s">
        <v>389</v>
      </c>
      <c r="BO256" s="326"/>
      <c r="BP256" s="326"/>
      <c r="BQ256" s="325" t="s">
        <v>388</v>
      </c>
    </row>
    <row r="257" spans="1:70" ht="12" customHeight="1">
      <c r="A257" s="320">
        <v>525</v>
      </c>
      <c r="B257" s="336" t="s">
        <v>656</v>
      </c>
      <c r="C257" s="328" t="s">
        <v>655</v>
      </c>
      <c r="D257" s="336" t="s">
        <v>691</v>
      </c>
      <c r="E257" s="328">
        <v>315</v>
      </c>
      <c r="F257" s="365">
        <v>4</v>
      </c>
      <c r="G257" s="325">
        <v>200</v>
      </c>
      <c r="H257" s="327">
        <v>240</v>
      </c>
      <c r="I257" s="327">
        <v>1490</v>
      </c>
      <c r="J257" s="344">
        <v>1788</v>
      </c>
      <c r="K257" s="328"/>
      <c r="L257" s="327">
        <v>341.1</v>
      </c>
      <c r="M257" s="331">
        <f t="shared" si="143"/>
        <v>355.9304347826087</v>
      </c>
      <c r="N257" s="347">
        <v>0.89</v>
      </c>
      <c r="O257" s="349">
        <v>95.1</v>
      </c>
      <c r="P257" s="348">
        <v>95.26</v>
      </c>
      <c r="Q257" s="348">
        <v>94.41</v>
      </c>
      <c r="R257" s="347">
        <v>0.89</v>
      </c>
      <c r="S257" s="349">
        <v>95.1</v>
      </c>
      <c r="T257" s="348">
        <v>95.26</v>
      </c>
      <c r="U257" s="348">
        <v>94.41</v>
      </c>
      <c r="V257" s="367">
        <v>6.9</v>
      </c>
      <c r="W257" s="367">
        <v>2.2000000000000002</v>
      </c>
      <c r="X257" s="367">
        <v>2.2000000000000002</v>
      </c>
      <c r="Y257" s="328"/>
      <c r="Z257" s="328"/>
      <c r="AA257" s="328"/>
      <c r="AB257" s="373">
        <v>3.46</v>
      </c>
      <c r="AC257" s="328">
        <v>79</v>
      </c>
      <c r="AD257" s="370">
        <v>1330</v>
      </c>
      <c r="AE257" s="328"/>
      <c r="AF257" s="328"/>
      <c r="AG257" s="328"/>
      <c r="AH257" s="327">
        <v>508</v>
      </c>
      <c r="AI257" s="327">
        <v>508</v>
      </c>
      <c r="AJ257" s="327">
        <v>216</v>
      </c>
      <c r="AK257" s="327">
        <v>80</v>
      </c>
      <c r="AL257" s="327">
        <v>170</v>
      </c>
      <c r="AM257" s="327">
        <v>22</v>
      </c>
      <c r="AN257" s="327">
        <v>71</v>
      </c>
      <c r="AO257" s="327" t="s">
        <v>249</v>
      </c>
      <c r="AP257" s="327">
        <v>315</v>
      </c>
      <c r="AQ257" s="327">
        <v>28</v>
      </c>
      <c r="AR257" s="327">
        <v>630</v>
      </c>
      <c r="AS257" s="327">
        <v>645</v>
      </c>
      <c r="AT257" s="327">
        <v>535</v>
      </c>
      <c r="AU257" s="327">
        <v>885</v>
      </c>
      <c r="AV257" s="327">
        <v>1335</v>
      </c>
      <c r="AW257" s="328">
        <v>1460</v>
      </c>
      <c r="AX257" s="328"/>
      <c r="AY257" s="328"/>
      <c r="AZ257" s="328"/>
      <c r="BA257" s="328"/>
      <c r="BB257" s="328"/>
      <c r="BC257" s="328"/>
      <c r="BD257" s="328"/>
      <c r="BE257" s="328"/>
      <c r="BF257" s="328"/>
      <c r="BG257" s="328"/>
      <c r="BH257" s="327">
        <v>600</v>
      </c>
      <c r="BI257" s="327">
        <v>550</v>
      </c>
      <c r="BJ257" s="327">
        <v>660</v>
      </c>
      <c r="BK257" s="327">
        <v>24</v>
      </c>
      <c r="BL257" s="327">
        <v>6</v>
      </c>
      <c r="BM257" s="325" t="s">
        <v>389</v>
      </c>
      <c r="BN257" s="325" t="s">
        <v>389</v>
      </c>
      <c r="BO257" s="326"/>
      <c r="BP257" s="326"/>
      <c r="BQ257" s="325" t="s">
        <v>388</v>
      </c>
    </row>
    <row r="258" spans="1:70" ht="12" customHeight="1">
      <c r="A258" s="320">
        <v>526</v>
      </c>
      <c r="B258" s="336" t="s">
        <v>656</v>
      </c>
      <c r="C258" s="328" t="s">
        <v>655</v>
      </c>
      <c r="D258" s="336" t="s">
        <v>690</v>
      </c>
      <c r="E258" s="328">
        <v>355</v>
      </c>
      <c r="F258" s="365">
        <v>4</v>
      </c>
      <c r="G258" s="325">
        <v>250</v>
      </c>
      <c r="H258" s="327">
        <v>300</v>
      </c>
      <c r="I258" s="327">
        <v>1490</v>
      </c>
      <c r="J258" s="344">
        <v>1788</v>
      </c>
      <c r="K258" s="328"/>
      <c r="L258" s="327">
        <v>421.6</v>
      </c>
      <c r="M258" s="331">
        <f t="shared" si="143"/>
        <v>439.9304347826087</v>
      </c>
      <c r="N258" s="347">
        <v>0.9</v>
      </c>
      <c r="O258" s="349">
        <v>95.1</v>
      </c>
      <c r="P258" s="348">
        <v>94.83</v>
      </c>
      <c r="Q258" s="348">
        <v>93.65</v>
      </c>
      <c r="R258" s="347">
        <v>0.9</v>
      </c>
      <c r="S258" s="349">
        <v>95.1</v>
      </c>
      <c r="T258" s="348">
        <v>94.83</v>
      </c>
      <c r="U258" s="348">
        <v>93.65</v>
      </c>
      <c r="V258" s="367">
        <v>6.9</v>
      </c>
      <c r="W258" s="367">
        <v>2.2000000000000002</v>
      </c>
      <c r="X258" s="367">
        <v>2.2000000000000002</v>
      </c>
      <c r="Y258" s="328"/>
      <c r="Z258" s="328"/>
      <c r="AA258" s="328"/>
      <c r="AB258" s="373">
        <v>6.6</v>
      </c>
      <c r="AC258" s="328">
        <v>83</v>
      </c>
      <c r="AD258" s="370">
        <v>1638</v>
      </c>
      <c r="AE258" s="328"/>
      <c r="AF258" s="328"/>
      <c r="AG258" s="328"/>
      <c r="AH258" s="327">
        <v>610</v>
      </c>
      <c r="AI258" s="327">
        <v>560</v>
      </c>
      <c r="AJ258" s="327">
        <v>254</v>
      </c>
      <c r="AK258" s="327">
        <v>95</v>
      </c>
      <c r="AL258" s="327">
        <v>170</v>
      </c>
      <c r="AM258" s="327">
        <v>25</v>
      </c>
      <c r="AN258" s="327">
        <v>86</v>
      </c>
      <c r="AO258" s="327" t="s">
        <v>250</v>
      </c>
      <c r="AP258" s="327">
        <v>355</v>
      </c>
      <c r="AQ258" s="327">
        <v>28</v>
      </c>
      <c r="AR258" s="327">
        <v>730</v>
      </c>
      <c r="AS258" s="327">
        <v>720</v>
      </c>
      <c r="AT258" s="327">
        <v>700</v>
      </c>
      <c r="AU258" s="327">
        <v>1065</v>
      </c>
      <c r="AV258" s="327">
        <v>1545</v>
      </c>
      <c r="AW258" s="328">
        <v>1690</v>
      </c>
      <c r="AX258" s="328"/>
      <c r="AY258" s="328"/>
      <c r="AZ258" s="328"/>
      <c r="BA258" s="328"/>
      <c r="BB258" s="328"/>
      <c r="BC258" s="328"/>
      <c r="BD258" s="328"/>
      <c r="BE258" s="328"/>
      <c r="BF258" s="328"/>
      <c r="BG258" s="328"/>
      <c r="BH258" s="327">
        <v>740</v>
      </c>
      <c r="BI258" s="327">
        <v>680</v>
      </c>
      <c r="BJ258" s="327">
        <v>800</v>
      </c>
      <c r="BK258" s="327">
        <v>24</v>
      </c>
      <c r="BL258" s="327">
        <v>6</v>
      </c>
      <c r="BM258" s="325" t="s">
        <v>390</v>
      </c>
      <c r="BN258" s="325" t="s">
        <v>389</v>
      </c>
      <c r="BO258" s="326"/>
      <c r="BP258" s="326"/>
      <c r="BQ258" s="325" t="s">
        <v>388</v>
      </c>
    </row>
    <row r="259" spans="1:70" ht="12" customHeight="1">
      <c r="A259" s="320">
        <v>527</v>
      </c>
      <c r="B259" s="336" t="s">
        <v>656</v>
      </c>
      <c r="C259" s="328" t="s">
        <v>655</v>
      </c>
      <c r="D259" s="336" t="s">
        <v>689</v>
      </c>
      <c r="E259" s="328">
        <v>355</v>
      </c>
      <c r="F259" s="365">
        <v>4</v>
      </c>
      <c r="G259" s="325">
        <v>315</v>
      </c>
      <c r="H259" s="327">
        <v>378</v>
      </c>
      <c r="I259" s="327">
        <v>1490</v>
      </c>
      <c r="J259" s="344">
        <v>1788</v>
      </c>
      <c r="K259" s="328"/>
      <c r="L259" s="327">
        <v>531.20000000000005</v>
      </c>
      <c r="M259" s="331">
        <f t="shared" si="143"/>
        <v>554.29565217391314</v>
      </c>
      <c r="N259" s="347">
        <v>0.9</v>
      </c>
      <c r="O259" s="349">
        <v>95.1</v>
      </c>
      <c r="P259" s="348">
        <v>95.31</v>
      </c>
      <c r="Q259" s="348">
        <v>94.34</v>
      </c>
      <c r="R259" s="347">
        <v>0.9</v>
      </c>
      <c r="S259" s="349">
        <v>95.1</v>
      </c>
      <c r="T259" s="348">
        <v>95.31</v>
      </c>
      <c r="U259" s="348">
        <v>94.34</v>
      </c>
      <c r="V259" s="367">
        <v>6.9</v>
      </c>
      <c r="W259" s="367">
        <v>2.2000000000000002</v>
      </c>
      <c r="X259" s="363">
        <v>2.2000000000000002</v>
      </c>
      <c r="Y259" s="328"/>
      <c r="Z259" s="328"/>
      <c r="AA259" s="328"/>
      <c r="AB259" s="373">
        <v>7.55</v>
      </c>
      <c r="AC259" s="328">
        <v>83</v>
      </c>
      <c r="AD259" s="370">
        <v>1832</v>
      </c>
      <c r="AE259" s="328"/>
      <c r="AF259" s="328"/>
      <c r="AG259" s="328"/>
      <c r="AH259" s="327">
        <v>610</v>
      </c>
      <c r="AI259" s="327">
        <v>630</v>
      </c>
      <c r="AJ259" s="327">
        <v>254</v>
      </c>
      <c r="AK259" s="327">
        <v>95</v>
      </c>
      <c r="AL259" s="327">
        <v>170</v>
      </c>
      <c r="AM259" s="327">
        <v>25</v>
      </c>
      <c r="AN259" s="327">
        <v>86</v>
      </c>
      <c r="AO259" s="327" t="s">
        <v>250</v>
      </c>
      <c r="AP259" s="327">
        <v>355</v>
      </c>
      <c r="AQ259" s="327">
        <v>28</v>
      </c>
      <c r="AR259" s="327">
        <v>730</v>
      </c>
      <c r="AS259" s="327">
        <v>720</v>
      </c>
      <c r="AT259" s="327">
        <v>700</v>
      </c>
      <c r="AU259" s="327">
        <v>1065</v>
      </c>
      <c r="AV259" s="327">
        <v>1545</v>
      </c>
      <c r="AW259" s="328">
        <v>1690</v>
      </c>
      <c r="AX259" s="328"/>
      <c r="AY259" s="328"/>
      <c r="AZ259" s="328"/>
      <c r="BA259" s="328"/>
      <c r="BB259" s="328"/>
      <c r="BC259" s="328"/>
      <c r="BD259" s="328"/>
      <c r="BE259" s="328"/>
      <c r="BF259" s="328"/>
      <c r="BG259" s="328"/>
      <c r="BH259" s="327">
        <v>740</v>
      </c>
      <c r="BI259" s="327">
        <v>680</v>
      </c>
      <c r="BJ259" s="327">
        <v>800</v>
      </c>
      <c r="BK259" s="327">
        <v>24</v>
      </c>
      <c r="BL259" s="327">
        <v>6</v>
      </c>
      <c r="BM259" s="325" t="s">
        <v>390</v>
      </c>
      <c r="BN259" s="325" t="s">
        <v>389</v>
      </c>
      <c r="BO259" s="326"/>
      <c r="BP259" s="326"/>
      <c r="BQ259" s="325" t="s">
        <v>388</v>
      </c>
    </row>
    <row r="260" spans="1:70" s="1845" customFormat="1" ht="12" customHeight="1">
      <c r="A260" s="1842">
        <f>A259</f>
        <v>527</v>
      </c>
      <c r="B260" s="1843" t="str">
        <f t="shared" ref="B260" si="280">B259</f>
        <v>3D2</v>
      </c>
      <c r="C260" s="1844" t="str">
        <f t="shared" ref="C260" si="281">C259</f>
        <v>IE2</v>
      </c>
      <c r="D260" s="1843" t="str">
        <f t="shared" ref="D260" si="282">D259</f>
        <v>3D2 355 L-4</v>
      </c>
      <c r="E260" s="1845">
        <f t="shared" ref="E260" si="283">E259</f>
        <v>355</v>
      </c>
      <c r="F260" s="1846">
        <f t="shared" ref="F260" si="284">F259</f>
        <v>4</v>
      </c>
      <c r="G260" s="1844">
        <f t="shared" ref="G260" si="285">G259</f>
        <v>315</v>
      </c>
      <c r="H260" s="1844">
        <f t="shared" ref="H260" si="286">H259</f>
        <v>378</v>
      </c>
      <c r="I260" s="1844">
        <f t="shared" ref="I260" si="287">I259</f>
        <v>1490</v>
      </c>
      <c r="J260" s="1847">
        <f t="shared" ref="J260" si="288">J259</f>
        <v>1788</v>
      </c>
      <c r="K260" s="1845">
        <f t="shared" ref="K260" si="289">K259</f>
        <v>0</v>
      </c>
      <c r="L260" s="1844">
        <f t="shared" ref="L260" si="290">L259</f>
        <v>531.20000000000005</v>
      </c>
      <c r="M260" s="1848">
        <f t="shared" ref="M260" si="291">M259</f>
        <v>554.29565217391314</v>
      </c>
      <c r="N260" s="1849">
        <f t="shared" ref="N260" si="292">N259</f>
        <v>0.9</v>
      </c>
      <c r="O260" s="1850">
        <f t="shared" ref="O260" si="293">O259</f>
        <v>95.1</v>
      </c>
      <c r="P260" s="1845">
        <f t="shared" ref="P260" si="294">P259</f>
        <v>95.31</v>
      </c>
      <c r="Q260" s="1845">
        <f t="shared" ref="Q260" si="295">Q259</f>
        <v>94.34</v>
      </c>
      <c r="R260" s="1849">
        <f t="shared" ref="R260" si="296">R259</f>
        <v>0.9</v>
      </c>
      <c r="S260" s="1850">
        <f t="shared" ref="S260" si="297">S259</f>
        <v>95.1</v>
      </c>
      <c r="T260" s="1845">
        <f t="shared" ref="T260" si="298">T259</f>
        <v>95.31</v>
      </c>
      <c r="U260" s="1845">
        <f t="shared" ref="U260" si="299">U259</f>
        <v>94.34</v>
      </c>
      <c r="V260" s="1849">
        <f t="shared" ref="V260" si="300">V259</f>
        <v>6.9</v>
      </c>
      <c r="W260" s="1849">
        <f t="shared" ref="W260" si="301">W259</f>
        <v>2.2000000000000002</v>
      </c>
      <c r="X260" s="1850">
        <f t="shared" ref="X260" si="302">X259</f>
        <v>2.2000000000000002</v>
      </c>
      <c r="Y260" s="1845">
        <f t="shared" ref="Y260" si="303">Y259</f>
        <v>0</v>
      </c>
      <c r="Z260" s="1845">
        <f t="shared" ref="Z260" si="304">Z259</f>
        <v>0</v>
      </c>
      <c r="AA260" s="1845">
        <f t="shared" ref="AA260" si="305">AA259</f>
        <v>0</v>
      </c>
      <c r="AB260" s="1851">
        <f t="shared" ref="AB260" si="306">AB259</f>
        <v>7.55</v>
      </c>
      <c r="AC260" s="1845">
        <f t="shared" ref="AC260" si="307">AC259</f>
        <v>83</v>
      </c>
      <c r="AD260" s="1844">
        <f t="shared" ref="AD260" si="308">AD259</f>
        <v>1832</v>
      </c>
      <c r="AE260" s="1845">
        <f t="shared" ref="AE260" si="309">AE259</f>
        <v>0</v>
      </c>
      <c r="AF260" s="1845">
        <f t="shared" ref="AF260" si="310">AF259</f>
        <v>0</v>
      </c>
      <c r="AG260" s="1845">
        <f t="shared" ref="AG260" si="311">AG259</f>
        <v>0</v>
      </c>
      <c r="AH260" s="1844">
        <f t="shared" ref="AH260" si="312">AH259</f>
        <v>610</v>
      </c>
      <c r="AI260" s="1844">
        <f t="shared" ref="AI260" si="313">AI259</f>
        <v>630</v>
      </c>
      <c r="AJ260" s="1844">
        <f t="shared" ref="AJ260" si="314">AJ259</f>
        <v>254</v>
      </c>
      <c r="AK260" s="1844">
        <f t="shared" ref="AK260" si="315">AK259</f>
        <v>95</v>
      </c>
      <c r="AL260" s="1844">
        <f t="shared" ref="AL260" si="316">AL259</f>
        <v>170</v>
      </c>
      <c r="AM260" s="1844">
        <f t="shared" ref="AM260" si="317">AM259</f>
        <v>25</v>
      </c>
      <c r="AN260" s="1844">
        <f t="shared" ref="AN260" si="318">AN259</f>
        <v>86</v>
      </c>
      <c r="AO260" s="1844" t="str">
        <f t="shared" ref="AO260" si="319">AO259</f>
        <v>M24</v>
      </c>
      <c r="AP260" s="1844">
        <f t="shared" ref="AP260" si="320">AP259</f>
        <v>355</v>
      </c>
      <c r="AQ260" s="1844">
        <f t="shared" ref="AQ260" si="321">AQ259</f>
        <v>28</v>
      </c>
      <c r="AR260" s="1844">
        <f t="shared" ref="AR260" si="322">AR259</f>
        <v>730</v>
      </c>
      <c r="AS260" s="1844">
        <f t="shared" ref="AS260" si="323">AS259</f>
        <v>720</v>
      </c>
      <c r="AT260" s="1844">
        <f t="shared" ref="AT260" si="324">AT259</f>
        <v>700</v>
      </c>
      <c r="AU260" s="1844">
        <f t="shared" ref="AU260" si="325">AU259</f>
        <v>1065</v>
      </c>
      <c r="AV260" s="1844">
        <f t="shared" ref="AV260" si="326">AV259</f>
        <v>1545</v>
      </c>
      <c r="AW260" s="1844">
        <f t="shared" ref="AW260" si="327">AW259</f>
        <v>1690</v>
      </c>
      <c r="AX260" s="1845">
        <f t="shared" ref="AX260" si="328">AX259</f>
        <v>0</v>
      </c>
      <c r="AY260" s="1845">
        <f t="shared" ref="AY260" si="329">AY259</f>
        <v>0</v>
      </c>
      <c r="AZ260" s="1845">
        <f t="shared" ref="AZ260" si="330">AZ259</f>
        <v>0</v>
      </c>
      <c r="BA260" s="1845">
        <f t="shared" ref="BA260" si="331">BA259</f>
        <v>0</v>
      </c>
      <c r="BB260" s="1845">
        <f t="shared" ref="BB260" si="332">BB259</f>
        <v>0</v>
      </c>
      <c r="BC260" s="1845">
        <f t="shared" ref="BC260" si="333">BC259</f>
        <v>0</v>
      </c>
      <c r="BD260" s="1845">
        <f t="shared" ref="BD260" si="334">BD259</f>
        <v>0</v>
      </c>
      <c r="BE260" s="1845">
        <f t="shared" ref="BE260" si="335">BE259</f>
        <v>0</v>
      </c>
      <c r="BF260" s="1845">
        <f t="shared" ref="BF260" si="336">BF259</f>
        <v>0</v>
      </c>
      <c r="BG260" s="1845">
        <f t="shared" ref="BG260" si="337">BG259</f>
        <v>0</v>
      </c>
      <c r="BH260" s="1844">
        <f t="shared" ref="BH260" si="338">BH259</f>
        <v>740</v>
      </c>
      <c r="BI260" s="1844">
        <f t="shared" ref="BI260" si="339">BI259</f>
        <v>680</v>
      </c>
      <c r="BJ260" s="1844">
        <f t="shared" ref="BJ260" si="340">BJ259</f>
        <v>800</v>
      </c>
      <c r="BK260" s="1844">
        <f t="shared" ref="BK260" si="341">BK259</f>
        <v>24</v>
      </c>
      <c r="BL260" s="1844">
        <f t="shared" ref="BL260" si="342">BL259</f>
        <v>6</v>
      </c>
      <c r="BM260" s="1844" t="str">
        <f t="shared" ref="BM260" si="343">BM259</f>
        <v>6322/C3</v>
      </c>
      <c r="BN260" s="1844" t="str">
        <f t="shared" ref="BN260" si="344">BN259</f>
        <v>6319/C3</v>
      </c>
      <c r="BO260" s="1852">
        <f t="shared" ref="BO260" si="345">BO259</f>
        <v>0</v>
      </c>
      <c r="BP260" s="1852">
        <f t="shared" ref="BP260" si="346">BP259</f>
        <v>0</v>
      </c>
      <c r="BQ260" s="1845" t="str">
        <f t="shared" ref="BQ260" si="347">BQ259</f>
        <v>2×63×1.5</v>
      </c>
      <c r="BR260" s="1842"/>
    </row>
    <row r="261" spans="1:70" ht="12" customHeight="1">
      <c r="A261" s="320">
        <v>601</v>
      </c>
      <c r="B261" s="371" t="s">
        <v>674</v>
      </c>
      <c r="C261" s="328" t="s">
        <v>655</v>
      </c>
      <c r="D261" s="371" t="s">
        <v>688</v>
      </c>
      <c r="E261" s="328">
        <v>90</v>
      </c>
      <c r="F261" s="365">
        <v>6</v>
      </c>
      <c r="G261" s="346">
        <v>0.75</v>
      </c>
      <c r="H261" s="370">
        <v>0.9</v>
      </c>
      <c r="I261" s="370">
        <v>940</v>
      </c>
      <c r="J261" s="369">
        <v>1128</v>
      </c>
      <c r="K261" s="328"/>
      <c r="L261" s="347">
        <v>1.96</v>
      </c>
      <c r="M261" s="331">
        <f t="shared" si="143"/>
        <v>2.0452173913043477</v>
      </c>
      <c r="N261" s="347">
        <v>0.72</v>
      </c>
      <c r="O261" s="367">
        <v>75.900000000000006</v>
      </c>
      <c r="P261" s="348">
        <v>77.400000000000006</v>
      </c>
      <c r="Q261" s="348">
        <v>75.599999999999994</v>
      </c>
      <c r="R261" s="347">
        <v>0.72</v>
      </c>
      <c r="S261" s="367">
        <v>75.900000000000006</v>
      </c>
      <c r="T261" s="348">
        <v>77.400000000000006</v>
      </c>
      <c r="U261" s="348">
        <v>75.599999999999994</v>
      </c>
      <c r="V261" s="363">
        <v>5.8</v>
      </c>
      <c r="W261" s="363">
        <v>2.1</v>
      </c>
      <c r="X261" s="363">
        <v>2.1</v>
      </c>
      <c r="Y261" s="328"/>
      <c r="Z261" s="328"/>
      <c r="AA261" s="328"/>
      <c r="AB261" s="366">
        <v>3.5000000000000001E-3</v>
      </c>
      <c r="AC261" s="328">
        <v>47</v>
      </c>
      <c r="AD261" s="346">
        <v>16.5</v>
      </c>
      <c r="AE261" s="328"/>
      <c r="AF261" s="328"/>
      <c r="AG261" s="328"/>
      <c r="AH261" s="327">
        <v>143</v>
      </c>
      <c r="AI261" s="327">
        <v>100</v>
      </c>
      <c r="AJ261" s="327">
        <v>56</v>
      </c>
      <c r="AK261" s="327">
        <v>24</v>
      </c>
      <c r="AL261" s="327">
        <v>50</v>
      </c>
      <c r="AM261" s="327">
        <v>8</v>
      </c>
      <c r="AN261" s="327">
        <v>20</v>
      </c>
      <c r="AO261" s="327" t="s">
        <v>245</v>
      </c>
      <c r="AP261" s="327">
        <v>90</v>
      </c>
      <c r="AQ261" s="327">
        <v>10</v>
      </c>
      <c r="AR261" s="327">
        <v>178</v>
      </c>
      <c r="AS261" s="327">
        <v>180</v>
      </c>
      <c r="AT261" s="327">
        <v>150</v>
      </c>
      <c r="AU261" s="327">
        <v>240</v>
      </c>
      <c r="AV261" s="327">
        <v>327</v>
      </c>
      <c r="AW261" s="327">
        <v>327</v>
      </c>
      <c r="AX261" s="327">
        <v>115</v>
      </c>
      <c r="AY261" s="327">
        <v>95</v>
      </c>
      <c r="AZ261" s="327">
        <v>140</v>
      </c>
      <c r="BA261" s="327" t="s">
        <v>245</v>
      </c>
      <c r="BB261" s="327">
        <v>3</v>
      </c>
      <c r="BC261" s="327">
        <v>130</v>
      </c>
      <c r="BD261" s="327">
        <v>110</v>
      </c>
      <c r="BE261" s="327">
        <v>160</v>
      </c>
      <c r="BF261" s="327" t="s">
        <v>245</v>
      </c>
      <c r="BG261" s="327">
        <v>3.5</v>
      </c>
      <c r="BH261" s="327">
        <v>165</v>
      </c>
      <c r="BI261" s="327">
        <v>130</v>
      </c>
      <c r="BJ261" s="327">
        <v>200</v>
      </c>
      <c r="BK261" s="327">
        <v>12</v>
      </c>
      <c r="BL261" s="327">
        <v>3.5</v>
      </c>
      <c r="BM261" s="325" t="s">
        <v>485</v>
      </c>
      <c r="BN261" s="325" t="s">
        <v>485</v>
      </c>
      <c r="BO261" s="340" t="s">
        <v>686</v>
      </c>
      <c r="BP261" s="340" t="s">
        <v>686</v>
      </c>
      <c r="BQ261" s="325" t="s">
        <v>480</v>
      </c>
    </row>
    <row r="262" spans="1:70" ht="12" customHeight="1">
      <c r="A262" s="320">
        <v>602</v>
      </c>
      <c r="B262" s="371" t="s">
        <v>674</v>
      </c>
      <c r="C262" s="328" t="s">
        <v>655</v>
      </c>
      <c r="D262" s="371" t="s">
        <v>687</v>
      </c>
      <c r="E262" s="328">
        <v>90</v>
      </c>
      <c r="F262" s="365">
        <v>6</v>
      </c>
      <c r="G262" s="346">
        <v>1.1000000000000001</v>
      </c>
      <c r="H262" s="370">
        <v>1.32</v>
      </c>
      <c r="I262" s="370">
        <v>940</v>
      </c>
      <c r="J262" s="369">
        <v>1128</v>
      </c>
      <c r="K262" s="328"/>
      <c r="L262" s="347">
        <v>2.77</v>
      </c>
      <c r="M262" s="331">
        <f t="shared" si="143"/>
        <v>2.8904347826086956</v>
      </c>
      <c r="N262" s="347">
        <v>0.73</v>
      </c>
      <c r="O262" s="367">
        <v>78.099999999999994</v>
      </c>
      <c r="P262" s="348">
        <v>80.099999999999994</v>
      </c>
      <c r="Q262" s="348">
        <v>77.900000000000006</v>
      </c>
      <c r="R262" s="347">
        <v>0.73</v>
      </c>
      <c r="S262" s="367">
        <v>78.099999999999994</v>
      </c>
      <c r="T262" s="348">
        <v>80.099999999999994</v>
      </c>
      <c r="U262" s="348">
        <v>77.900000000000006</v>
      </c>
      <c r="V262" s="363">
        <v>5.9</v>
      </c>
      <c r="W262" s="363">
        <v>2.1</v>
      </c>
      <c r="X262" s="363">
        <v>2.1</v>
      </c>
      <c r="Y262" s="328"/>
      <c r="Z262" s="328"/>
      <c r="AA262" s="328"/>
      <c r="AB262" s="366">
        <v>3.8E-3</v>
      </c>
      <c r="AC262" s="328">
        <v>47</v>
      </c>
      <c r="AD262" s="346">
        <v>21</v>
      </c>
      <c r="AE262" s="328"/>
      <c r="AF262" s="328"/>
      <c r="AG262" s="328"/>
      <c r="AH262" s="327">
        <v>143</v>
      </c>
      <c r="AI262" s="327">
        <v>125</v>
      </c>
      <c r="AJ262" s="327">
        <v>56</v>
      </c>
      <c r="AK262" s="327">
        <v>24</v>
      </c>
      <c r="AL262" s="327">
        <v>50</v>
      </c>
      <c r="AM262" s="327">
        <v>8</v>
      </c>
      <c r="AN262" s="327">
        <v>20</v>
      </c>
      <c r="AO262" s="327" t="s">
        <v>245</v>
      </c>
      <c r="AP262" s="327">
        <v>90</v>
      </c>
      <c r="AQ262" s="327">
        <v>10</v>
      </c>
      <c r="AR262" s="327">
        <v>178</v>
      </c>
      <c r="AS262" s="327">
        <v>180</v>
      </c>
      <c r="AT262" s="327">
        <v>150</v>
      </c>
      <c r="AU262" s="327">
        <v>240</v>
      </c>
      <c r="AV262" s="327">
        <v>360</v>
      </c>
      <c r="AW262" s="327">
        <v>360</v>
      </c>
      <c r="AX262" s="327">
        <v>115</v>
      </c>
      <c r="AY262" s="327">
        <v>95</v>
      </c>
      <c r="AZ262" s="327">
        <v>140</v>
      </c>
      <c r="BA262" s="327" t="s">
        <v>245</v>
      </c>
      <c r="BB262" s="327">
        <v>3</v>
      </c>
      <c r="BC262" s="327">
        <v>130</v>
      </c>
      <c r="BD262" s="327">
        <v>110</v>
      </c>
      <c r="BE262" s="327">
        <v>160</v>
      </c>
      <c r="BF262" s="327" t="s">
        <v>245</v>
      </c>
      <c r="BG262" s="327">
        <v>3.5</v>
      </c>
      <c r="BH262" s="327">
        <v>165</v>
      </c>
      <c r="BI262" s="327">
        <v>130</v>
      </c>
      <c r="BJ262" s="327">
        <v>200</v>
      </c>
      <c r="BK262" s="327">
        <v>12</v>
      </c>
      <c r="BL262" s="327">
        <v>3.5</v>
      </c>
      <c r="BM262" s="325" t="s">
        <v>485</v>
      </c>
      <c r="BN262" s="325" t="s">
        <v>485</v>
      </c>
      <c r="BO262" s="340" t="s">
        <v>686</v>
      </c>
      <c r="BP262" s="340" t="s">
        <v>686</v>
      </c>
      <c r="BQ262" s="325" t="s">
        <v>480</v>
      </c>
    </row>
    <row r="263" spans="1:70" ht="12" customHeight="1">
      <c r="A263" s="320">
        <v>603</v>
      </c>
      <c r="B263" s="371" t="s">
        <v>674</v>
      </c>
      <c r="C263" s="328" t="s">
        <v>655</v>
      </c>
      <c r="D263" s="371" t="s">
        <v>685</v>
      </c>
      <c r="E263" s="328">
        <v>100</v>
      </c>
      <c r="F263" s="365">
        <v>6</v>
      </c>
      <c r="G263" s="346">
        <v>1.5</v>
      </c>
      <c r="H263" s="370">
        <v>1.8</v>
      </c>
      <c r="I263" s="370">
        <v>940</v>
      </c>
      <c r="J263" s="369">
        <v>1128</v>
      </c>
      <c r="K263" s="328"/>
      <c r="L263" s="347">
        <v>3.64</v>
      </c>
      <c r="M263" s="331">
        <f t="shared" si="143"/>
        <v>3.7982608695652176</v>
      </c>
      <c r="N263" s="347">
        <v>0.75</v>
      </c>
      <c r="O263" s="367">
        <v>79.8</v>
      </c>
      <c r="P263" s="348">
        <v>80.599999999999994</v>
      </c>
      <c r="Q263" s="348">
        <v>78.599999999999994</v>
      </c>
      <c r="R263" s="347">
        <v>0.75</v>
      </c>
      <c r="S263" s="367">
        <v>79.8</v>
      </c>
      <c r="T263" s="348">
        <v>80.599999999999994</v>
      </c>
      <c r="U263" s="348">
        <v>78.599999999999994</v>
      </c>
      <c r="V263" s="363">
        <v>6</v>
      </c>
      <c r="W263" s="363">
        <v>2.1</v>
      </c>
      <c r="X263" s="363">
        <v>2.1</v>
      </c>
      <c r="Y263" s="328"/>
      <c r="Z263" s="328"/>
      <c r="AA263" s="328"/>
      <c r="AB263" s="366">
        <v>6.8999999999999999E-3</v>
      </c>
      <c r="AC263" s="328">
        <v>53</v>
      </c>
      <c r="AD263" s="346">
        <v>23.5</v>
      </c>
      <c r="AE263" s="328"/>
      <c r="AF263" s="328"/>
      <c r="AG263" s="328"/>
      <c r="AH263" s="327">
        <v>160</v>
      </c>
      <c r="AI263" s="327">
        <v>140</v>
      </c>
      <c r="AJ263" s="327">
        <v>63</v>
      </c>
      <c r="AK263" s="327">
        <v>28</v>
      </c>
      <c r="AL263" s="327">
        <v>60</v>
      </c>
      <c r="AM263" s="327">
        <v>8</v>
      </c>
      <c r="AN263" s="327">
        <v>24</v>
      </c>
      <c r="AO263" s="327" t="s">
        <v>246</v>
      </c>
      <c r="AP263" s="327">
        <v>100</v>
      </c>
      <c r="AQ263" s="327">
        <v>12</v>
      </c>
      <c r="AR263" s="327">
        <v>196</v>
      </c>
      <c r="AS263" s="327">
        <v>205</v>
      </c>
      <c r="AT263" s="327">
        <v>168</v>
      </c>
      <c r="AU263" s="327">
        <v>266</v>
      </c>
      <c r="AV263" s="327">
        <v>406</v>
      </c>
      <c r="AW263" s="327">
        <v>406</v>
      </c>
      <c r="AX263" s="327">
        <v>130</v>
      </c>
      <c r="AY263" s="327">
        <v>110</v>
      </c>
      <c r="AZ263" s="327">
        <v>160</v>
      </c>
      <c r="BA263" s="327" t="s">
        <v>245</v>
      </c>
      <c r="BB263" s="327">
        <v>3.5</v>
      </c>
      <c r="BC263" s="327">
        <v>165</v>
      </c>
      <c r="BD263" s="327">
        <v>130</v>
      </c>
      <c r="BE263" s="327">
        <v>200</v>
      </c>
      <c r="BF263" s="327" t="s">
        <v>246</v>
      </c>
      <c r="BG263" s="327">
        <v>3.5</v>
      </c>
      <c r="BH263" s="327">
        <v>215</v>
      </c>
      <c r="BI263" s="327">
        <v>180</v>
      </c>
      <c r="BJ263" s="327">
        <v>250</v>
      </c>
      <c r="BK263" s="327">
        <v>15</v>
      </c>
      <c r="BL263" s="327">
        <v>4</v>
      </c>
      <c r="BM263" s="325" t="s">
        <v>475</v>
      </c>
      <c r="BN263" s="325" t="s">
        <v>475</v>
      </c>
      <c r="BO263" s="340" t="s">
        <v>682</v>
      </c>
      <c r="BP263" s="340" t="s">
        <v>682</v>
      </c>
      <c r="BQ263" s="325" t="s">
        <v>480</v>
      </c>
    </row>
    <row r="264" spans="1:70" ht="12" customHeight="1">
      <c r="A264" s="320">
        <v>604</v>
      </c>
      <c r="B264" s="371" t="s">
        <v>674</v>
      </c>
      <c r="C264" s="328" t="s">
        <v>655</v>
      </c>
      <c r="D264" s="371" t="s">
        <v>684</v>
      </c>
      <c r="E264" s="328">
        <v>112</v>
      </c>
      <c r="F264" s="365">
        <v>6</v>
      </c>
      <c r="G264" s="346">
        <v>2.2000000000000002</v>
      </c>
      <c r="H264" s="370">
        <v>2.64</v>
      </c>
      <c r="I264" s="370">
        <v>940</v>
      </c>
      <c r="J264" s="369">
        <v>1128</v>
      </c>
      <c r="K264" s="328"/>
      <c r="L264" s="347">
        <v>5.17</v>
      </c>
      <c r="M264" s="331">
        <f t="shared" ref="M264:M329" si="348">L264*480/460</f>
        <v>5.3947826086956523</v>
      </c>
      <c r="N264" s="347">
        <v>0.76</v>
      </c>
      <c r="O264" s="367">
        <v>81.8</v>
      </c>
      <c r="P264" s="348">
        <v>82.5</v>
      </c>
      <c r="Q264" s="348">
        <v>80.900000000000006</v>
      </c>
      <c r="R264" s="347">
        <v>0.76</v>
      </c>
      <c r="S264" s="367">
        <v>81.8</v>
      </c>
      <c r="T264" s="348">
        <v>82.5</v>
      </c>
      <c r="U264" s="348">
        <v>80.900000000000006</v>
      </c>
      <c r="V264" s="363">
        <v>6</v>
      </c>
      <c r="W264" s="363">
        <v>2.1</v>
      </c>
      <c r="X264" s="363">
        <v>2.1</v>
      </c>
      <c r="Y264" s="328"/>
      <c r="Z264" s="328"/>
      <c r="AA264" s="328"/>
      <c r="AB264" s="366">
        <v>1.4E-2</v>
      </c>
      <c r="AC264" s="328">
        <v>54</v>
      </c>
      <c r="AD264" s="346">
        <v>31.5</v>
      </c>
      <c r="AE264" s="328"/>
      <c r="AF264" s="328"/>
      <c r="AG264" s="328"/>
      <c r="AH264" s="327">
        <v>192</v>
      </c>
      <c r="AI264" s="327">
        <v>140</v>
      </c>
      <c r="AJ264" s="327">
        <v>70</v>
      </c>
      <c r="AK264" s="327">
        <v>28</v>
      </c>
      <c r="AL264" s="327">
        <v>60</v>
      </c>
      <c r="AM264" s="327">
        <v>8</v>
      </c>
      <c r="AN264" s="327">
        <v>24</v>
      </c>
      <c r="AO264" s="327" t="s">
        <v>246</v>
      </c>
      <c r="AP264" s="327">
        <v>112</v>
      </c>
      <c r="AQ264" s="327">
        <v>12</v>
      </c>
      <c r="AR264" s="327">
        <v>227</v>
      </c>
      <c r="AS264" s="327">
        <v>218</v>
      </c>
      <c r="AT264" s="327">
        <v>178</v>
      </c>
      <c r="AU264" s="327">
        <v>290</v>
      </c>
      <c r="AV264" s="327">
        <v>432</v>
      </c>
      <c r="AW264" s="328">
        <v>432</v>
      </c>
      <c r="AX264" s="327">
        <v>130</v>
      </c>
      <c r="AY264" s="327">
        <v>110</v>
      </c>
      <c r="AZ264" s="327">
        <v>160</v>
      </c>
      <c r="BA264" s="327" t="s">
        <v>245</v>
      </c>
      <c r="BB264" s="327">
        <v>3.5</v>
      </c>
      <c r="BC264" s="327">
        <v>165</v>
      </c>
      <c r="BD264" s="327">
        <v>130</v>
      </c>
      <c r="BE264" s="327">
        <v>200</v>
      </c>
      <c r="BF264" s="327" t="s">
        <v>246</v>
      </c>
      <c r="BG264" s="327">
        <v>3.5</v>
      </c>
      <c r="BH264" s="327">
        <v>215</v>
      </c>
      <c r="BI264" s="327">
        <v>180</v>
      </c>
      <c r="BJ264" s="327">
        <v>250</v>
      </c>
      <c r="BK264" s="327">
        <v>15</v>
      </c>
      <c r="BL264" s="327">
        <v>4</v>
      </c>
      <c r="BM264" s="325" t="s">
        <v>683</v>
      </c>
      <c r="BN264" s="325" t="s">
        <v>683</v>
      </c>
      <c r="BO264" s="340" t="s">
        <v>682</v>
      </c>
      <c r="BP264" s="340" t="s">
        <v>682</v>
      </c>
      <c r="BQ264" s="325" t="s">
        <v>464</v>
      </c>
    </row>
    <row r="265" spans="1:70" ht="12" customHeight="1">
      <c r="A265" s="320">
        <v>605</v>
      </c>
      <c r="B265" s="371" t="s">
        <v>674</v>
      </c>
      <c r="C265" s="328" t="s">
        <v>655</v>
      </c>
      <c r="D265" s="371" t="s">
        <v>681</v>
      </c>
      <c r="E265" s="328">
        <v>132</v>
      </c>
      <c r="F265" s="365">
        <v>6</v>
      </c>
      <c r="G265" s="346">
        <v>3</v>
      </c>
      <c r="H265" s="370">
        <v>3.6</v>
      </c>
      <c r="I265" s="370">
        <v>960</v>
      </c>
      <c r="J265" s="369">
        <v>1152</v>
      </c>
      <c r="K265" s="328"/>
      <c r="L265" s="347">
        <v>6.9</v>
      </c>
      <c r="M265" s="331">
        <f t="shared" si="348"/>
        <v>7.2</v>
      </c>
      <c r="N265" s="347">
        <v>0.76</v>
      </c>
      <c r="O265" s="367">
        <v>83.3</v>
      </c>
      <c r="P265" s="348">
        <v>83.9</v>
      </c>
      <c r="Q265" s="348">
        <v>82.6</v>
      </c>
      <c r="R265" s="347">
        <v>0.76</v>
      </c>
      <c r="S265" s="367">
        <v>83.3</v>
      </c>
      <c r="T265" s="348">
        <v>83.9</v>
      </c>
      <c r="U265" s="348">
        <v>82.6</v>
      </c>
      <c r="V265" s="363">
        <v>6.2</v>
      </c>
      <c r="W265" s="363">
        <v>2</v>
      </c>
      <c r="X265" s="363">
        <v>2.1</v>
      </c>
      <c r="Y265" s="328"/>
      <c r="Z265" s="328"/>
      <c r="AA265" s="328"/>
      <c r="AB265" s="366">
        <v>2.86E-2</v>
      </c>
      <c r="AC265" s="328">
        <v>58</v>
      </c>
      <c r="AD265" s="346">
        <v>40.5</v>
      </c>
      <c r="AE265" s="328"/>
      <c r="AF265" s="328"/>
      <c r="AG265" s="328"/>
      <c r="AH265" s="327">
        <v>216</v>
      </c>
      <c r="AI265" s="327">
        <v>140</v>
      </c>
      <c r="AJ265" s="327">
        <v>89</v>
      </c>
      <c r="AK265" s="327">
        <v>38</v>
      </c>
      <c r="AL265" s="327">
        <v>80</v>
      </c>
      <c r="AM265" s="327">
        <v>10</v>
      </c>
      <c r="AN265" s="327">
        <v>33</v>
      </c>
      <c r="AO265" s="327" t="s">
        <v>247</v>
      </c>
      <c r="AP265" s="327">
        <v>132</v>
      </c>
      <c r="AQ265" s="327">
        <v>12</v>
      </c>
      <c r="AR265" s="327">
        <v>262</v>
      </c>
      <c r="AS265" s="327">
        <v>257</v>
      </c>
      <c r="AT265" s="327">
        <v>198</v>
      </c>
      <c r="AU265" s="327">
        <v>330</v>
      </c>
      <c r="AV265" s="327">
        <v>490</v>
      </c>
      <c r="AW265" s="328">
        <v>490</v>
      </c>
      <c r="AX265" s="327">
        <v>165</v>
      </c>
      <c r="AY265" s="327">
        <v>130</v>
      </c>
      <c r="AZ265" s="327">
        <v>200</v>
      </c>
      <c r="BA265" s="327" t="s">
        <v>246</v>
      </c>
      <c r="BB265" s="327">
        <v>3.5</v>
      </c>
      <c r="BC265" s="327">
        <v>215</v>
      </c>
      <c r="BD265" s="327">
        <v>180</v>
      </c>
      <c r="BE265" s="327">
        <v>250</v>
      </c>
      <c r="BF265" s="327" t="s">
        <v>247</v>
      </c>
      <c r="BG265" s="327">
        <v>4</v>
      </c>
      <c r="BH265" s="327">
        <v>265</v>
      </c>
      <c r="BI265" s="327">
        <v>230</v>
      </c>
      <c r="BJ265" s="327">
        <v>300</v>
      </c>
      <c r="BK265" s="327">
        <v>15</v>
      </c>
      <c r="BL265" s="327">
        <v>5</v>
      </c>
      <c r="BM265" s="325" t="s">
        <v>678</v>
      </c>
      <c r="BN265" s="325" t="s">
        <v>678</v>
      </c>
      <c r="BO265" s="340" t="s">
        <v>677</v>
      </c>
      <c r="BP265" s="340" t="s">
        <v>677</v>
      </c>
      <c r="BQ265" s="325" t="s">
        <v>464</v>
      </c>
    </row>
    <row r="266" spans="1:70" ht="12" customHeight="1">
      <c r="A266" s="320">
        <v>606</v>
      </c>
      <c r="B266" s="371" t="s">
        <v>674</v>
      </c>
      <c r="C266" s="328" t="s">
        <v>655</v>
      </c>
      <c r="D266" s="371" t="s">
        <v>680</v>
      </c>
      <c r="E266" s="328">
        <v>132</v>
      </c>
      <c r="F266" s="365">
        <v>6</v>
      </c>
      <c r="G266" s="346">
        <v>4</v>
      </c>
      <c r="H266" s="370">
        <v>4.8</v>
      </c>
      <c r="I266" s="370">
        <v>970</v>
      </c>
      <c r="J266" s="369">
        <v>1164</v>
      </c>
      <c r="K266" s="328"/>
      <c r="L266" s="372">
        <v>9.14</v>
      </c>
      <c r="M266" s="331">
        <f t="shared" si="348"/>
        <v>9.5373913043478282</v>
      </c>
      <c r="N266" s="347">
        <v>0.76</v>
      </c>
      <c r="O266" s="367">
        <v>84.6</v>
      </c>
      <c r="P266" s="348">
        <v>85.1</v>
      </c>
      <c r="Q266" s="348">
        <v>83.5</v>
      </c>
      <c r="R266" s="347">
        <v>0.76</v>
      </c>
      <c r="S266" s="367">
        <v>84.6</v>
      </c>
      <c r="T266" s="348">
        <v>85.1</v>
      </c>
      <c r="U266" s="348">
        <v>83.5</v>
      </c>
      <c r="V266" s="363">
        <v>6.8</v>
      </c>
      <c r="W266" s="363">
        <v>2</v>
      </c>
      <c r="X266" s="363">
        <v>2.1</v>
      </c>
      <c r="Y266" s="328"/>
      <c r="Z266" s="328"/>
      <c r="AA266" s="328"/>
      <c r="AB266" s="366">
        <v>3.5700000000000003E-2</v>
      </c>
      <c r="AC266" s="328">
        <v>58</v>
      </c>
      <c r="AD266" s="346">
        <v>49</v>
      </c>
      <c r="AE266" s="328"/>
      <c r="AF266" s="328"/>
      <c r="AG266" s="328"/>
      <c r="AH266" s="327">
        <v>216</v>
      </c>
      <c r="AI266" s="327">
        <v>178</v>
      </c>
      <c r="AJ266" s="327">
        <v>89</v>
      </c>
      <c r="AK266" s="327">
        <v>38</v>
      </c>
      <c r="AL266" s="327">
        <v>80</v>
      </c>
      <c r="AM266" s="327">
        <v>10</v>
      </c>
      <c r="AN266" s="327">
        <v>33</v>
      </c>
      <c r="AO266" s="327" t="s">
        <v>247</v>
      </c>
      <c r="AP266" s="327">
        <v>132</v>
      </c>
      <c r="AQ266" s="327">
        <v>12</v>
      </c>
      <c r="AR266" s="327">
        <v>262</v>
      </c>
      <c r="AS266" s="327">
        <v>257</v>
      </c>
      <c r="AT266" s="327">
        <v>198</v>
      </c>
      <c r="AU266" s="327">
        <v>330</v>
      </c>
      <c r="AV266" s="327">
        <v>521</v>
      </c>
      <c r="AW266" s="328">
        <v>521</v>
      </c>
      <c r="AX266" s="327">
        <v>165</v>
      </c>
      <c r="AY266" s="327">
        <v>130</v>
      </c>
      <c r="AZ266" s="327">
        <v>200</v>
      </c>
      <c r="BA266" s="327" t="s">
        <v>246</v>
      </c>
      <c r="BB266" s="327">
        <v>3.5</v>
      </c>
      <c r="BC266" s="327">
        <v>215</v>
      </c>
      <c r="BD266" s="327">
        <v>180</v>
      </c>
      <c r="BE266" s="327">
        <v>250</v>
      </c>
      <c r="BF266" s="327" t="s">
        <v>247</v>
      </c>
      <c r="BG266" s="327">
        <v>4</v>
      </c>
      <c r="BH266" s="327">
        <v>265</v>
      </c>
      <c r="BI266" s="327">
        <v>230</v>
      </c>
      <c r="BJ266" s="327">
        <v>300</v>
      </c>
      <c r="BK266" s="327">
        <v>15</v>
      </c>
      <c r="BL266" s="327">
        <v>5</v>
      </c>
      <c r="BM266" s="325" t="s">
        <v>678</v>
      </c>
      <c r="BN266" s="325" t="s">
        <v>678</v>
      </c>
      <c r="BO266" s="340" t="s">
        <v>677</v>
      </c>
      <c r="BP266" s="340" t="s">
        <v>677</v>
      </c>
      <c r="BQ266" s="325" t="s">
        <v>464</v>
      </c>
    </row>
    <row r="267" spans="1:70" ht="12" customHeight="1">
      <c r="A267" s="320">
        <v>607</v>
      </c>
      <c r="B267" s="371" t="s">
        <v>674</v>
      </c>
      <c r="C267" s="328" t="s">
        <v>655</v>
      </c>
      <c r="D267" s="371" t="s">
        <v>679</v>
      </c>
      <c r="E267" s="328">
        <v>132</v>
      </c>
      <c r="F267" s="365">
        <v>6</v>
      </c>
      <c r="G267" s="346">
        <v>5.5</v>
      </c>
      <c r="H267" s="370">
        <v>6.6</v>
      </c>
      <c r="I267" s="370">
        <v>970</v>
      </c>
      <c r="J267" s="369">
        <v>1164</v>
      </c>
      <c r="K267" s="328"/>
      <c r="L267" s="368">
        <v>12.2</v>
      </c>
      <c r="M267" s="331">
        <f t="shared" si="348"/>
        <v>12.730434782608695</v>
      </c>
      <c r="N267" s="347">
        <v>0.77</v>
      </c>
      <c r="O267" s="367">
        <v>86</v>
      </c>
      <c r="P267" s="348">
        <v>86.5</v>
      </c>
      <c r="Q267" s="348">
        <v>85.1</v>
      </c>
      <c r="R267" s="347">
        <v>0.77</v>
      </c>
      <c r="S267" s="367">
        <v>86</v>
      </c>
      <c r="T267" s="348">
        <v>86.5</v>
      </c>
      <c r="U267" s="348">
        <v>85.1</v>
      </c>
      <c r="V267" s="363">
        <v>7.1</v>
      </c>
      <c r="W267" s="363">
        <v>2</v>
      </c>
      <c r="X267" s="363">
        <v>2.1</v>
      </c>
      <c r="Y267" s="328"/>
      <c r="Z267" s="328"/>
      <c r="AA267" s="328"/>
      <c r="AB267" s="366">
        <v>4.4900000000000002E-2</v>
      </c>
      <c r="AC267" s="328">
        <v>59</v>
      </c>
      <c r="AD267" s="346">
        <v>64</v>
      </c>
      <c r="AE267" s="328"/>
      <c r="AF267" s="328"/>
      <c r="AG267" s="328"/>
      <c r="AH267" s="327">
        <v>216</v>
      </c>
      <c r="AI267" s="327">
        <v>178</v>
      </c>
      <c r="AJ267" s="327">
        <v>89</v>
      </c>
      <c r="AK267" s="327">
        <v>38</v>
      </c>
      <c r="AL267" s="327">
        <v>80</v>
      </c>
      <c r="AM267" s="327">
        <v>10</v>
      </c>
      <c r="AN267" s="327">
        <v>33</v>
      </c>
      <c r="AO267" s="327" t="s">
        <v>247</v>
      </c>
      <c r="AP267" s="327">
        <v>132</v>
      </c>
      <c r="AQ267" s="327">
        <v>12</v>
      </c>
      <c r="AR267" s="327">
        <v>262</v>
      </c>
      <c r="AS267" s="327">
        <v>257</v>
      </c>
      <c r="AT267" s="327">
        <v>198</v>
      </c>
      <c r="AU267" s="327">
        <v>330</v>
      </c>
      <c r="AV267" s="327">
        <v>521</v>
      </c>
      <c r="AW267" s="328">
        <v>521</v>
      </c>
      <c r="AX267" s="327">
        <v>165</v>
      </c>
      <c r="AY267" s="327">
        <v>130</v>
      </c>
      <c r="AZ267" s="327">
        <v>200</v>
      </c>
      <c r="BA267" s="327" t="s">
        <v>246</v>
      </c>
      <c r="BB267" s="327">
        <v>3.5</v>
      </c>
      <c r="BC267" s="327">
        <v>215</v>
      </c>
      <c r="BD267" s="327">
        <v>180</v>
      </c>
      <c r="BE267" s="327">
        <v>250</v>
      </c>
      <c r="BF267" s="327" t="s">
        <v>247</v>
      </c>
      <c r="BG267" s="327">
        <v>4</v>
      </c>
      <c r="BH267" s="327">
        <v>265</v>
      </c>
      <c r="BI267" s="327">
        <v>230</v>
      </c>
      <c r="BJ267" s="327">
        <v>300</v>
      </c>
      <c r="BK267" s="327">
        <v>15</v>
      </c>
      <c r="BL267" s="327">
        <v>5</v>
      </c>
      <c r="BM267" s="325" t="s">
        <v>678</v>
      </c>
      <c r="BN267" s="325" t="s">
        <v>678</v>
      </c>
      <c r="BO267" s="340" t="s">
        <v>677</v>
      </c>
      <c r="BP267" s="340" t="s">
        <v>677</v>
      </c>
      <c r="BQ267" s="325" t="s">
        <v>464</v>
      </c>
    </row>
    <row r="268" spans="1:70" ht="12" customHeight="1">
      <c r="A268" s="320">
        <v>608</v>
      </c>
      <c r="B268" s="371" t="s">
        <v>674</v>
      </c>
      <c r="C268" s="328" t="s">
        <v>655</v>
      </c>
      <c r="D268" s="371" t="s">
        <v>676</v>
      </c>
      <c r="E268" s="328">
        <v>160</v>
      </c>
      <c r="F268" s="365">
        <v>6</v>
      </c>
      <c r="G268" s="346">
        <v>7.5</v>
      </c>
      <c r="H268" s="370">
        <v>9</v>
      </c>
      <c r="I268" s="370">
        <v>970</v>
      </c>
      <c r="J268" s="369">
        <v>1164</v>
      </c>
      <c r="K268" s="328"/>
      <c r="L268" s="368">
        <v>16.100000000000001</v>
      </c>
      <c r="M268" s="331">
        <f t="shared" si="348"/>
        <v>16.8</v>
      </c>
      <c r="N268" s="347">
        <v>0.77</v>
      </c>
      <c r="O268" s="367">
        <v>87.2</v>
      </c>
      <c r="P268" s="348">
        <v>87.6</v>
      </c>
      <c r="Q268" s="348">
        <v>86.3</v>
      </c>
      <c r="R268" s="347">
        <v>0.77</v>
      </c>
      <c r="S268" s="367">
        <v>87.2</v>
      </c>
      <c r="T268" s="348">
        <v>87.6</v>
      </c>
      <c r="U268" s="348">
        <v>86.3</v>
      </c>
      <c r="V268" s="363">
        <v>6.7</v>
      </c>
      <c r="W268" s="363">
        <v>2.1</v>
      </c>
      <c r="X268" s="363">
        <v>2.1</v>
      </c>
      <c r="Y268" s="328"/>
      <c r="Z268" s="328"/>
      <c r="AA268" s="328"/>
      <c r="AB268" s="366">
        <v>8.0999999999999996E-3</v>
      </c>
      <c r="AC268" s="328">
        <v>59</v>
      </c>
      <c r="AD268" s="346">
        <v>92</v>
      </c>
      <c r="AE268" s="328"/>
      <c r="AF268" s="328"/>
      <c r="AG268" s="328"/>
      <c r="AH268" s="327">
        <v>254</v>
      </c>
      <c r="AI268" s="327">
        <v>210</v>
      </c>
      <c r="AJ268" s="327">
        <v>108</v>
      </c>
      <c r="AK268" s="327">
        <v>42</v>
      </c>
      <c r="AL268" s="327">
        <v>110</v>
      </c>
      <c r="AM268" s="327">
        <v>12</v>
      </c>
      <c r="AN268" s="327">
        <v>37</v>
      </c>
      <c r="AO268" s="327" t="s">
        <v>248</v>
      </c>
      <c r="AP268" s="327">
        <v>160</v>
      </c>
      <c r="AQ268" s="327">
        <v>15</v>
      </c>
      <c r="AR268" s="327">
        <v>312</v>
      </c>
      <c r="AS268" s="327">
        <v>310</v>
      </c>
      <c r="AT268" s="327">
        <v>255</v>
      </c>
      <c r="AU268" s="327">
        <v>415</v>
      </c>
      <c r="AV268" s="327">
        <v>615</v>
      </c>
      <c r="AW268" s="328">
        <v>615</v>
      </c>
      <c r="AX268" s="328"/>
      <c r="AY268" s="328"/>
      <c r="AZ268" s="328"/>
      <c r="BA268" s="328"/>
      <c r="BB268" s="328"/>
      <c r="BC268" s="328"/>
      <c r="BD268" s="328"/>
      <c r="BE268" s="328"/>
      <c r="BF268" s="328"/>
      <c r="BG268" s="328"/>
      <c r="BH268" s="327">
        <v>300</v>
      </c>
      <c r="BI268" s="327">
        <v>250</v>
      </c>
      <c r="BJ268" s="327">
        <v>350</v>
      </c>
      <c r="BK268" s="327">
        <v>19</v>
      </c>
      <c r="BL268" s="327">
        <v>5</v>
      </c>
      <c r="BM268" s="325" t="s">
        <v>672</v>
      </c>
      <c r="BN268" s="325" t="s">
        <v>672</v>
      </c>
      <c r="BO268" s="340" t="s">
        <v>671</v>
      </c>
      <c r="BP268" s="340" t="s">
        <v>671</v>
      </c>
      <c r="BQ268" s="325" t="s">
        <v>450</v>
      </c>
    </row>
    <row r="269" spans="1:70" ht="12" customHeight="1">
      <c r="A269" s="320">
        <v>609</v>
      </c>
      <c r="B269" s="336" t="s">
        <v>656</v>
      </c>
      <c r="C269" s="328" t="s">
        <v>655</v>
      </c>
      <c r="D269" s="336" t="s">
        <v>675</v>
      </c>
      <c r="E269" s="328">
        <v>160</v>
      </c>
      <c r="F269" s="365">
        <v>6</v>
      </c>
      <c r="G269" s="325">
        <v>7.5</v>
      </c>
      <c r="H269" s="327">
        <v>9</v>
      </c>
      <c r="I269" s="327">
        <v>980</v>
      </c>
      <c r="J269" s="344">
        <v>1176</v>
      </c>
      <c r="K269" s="328"/>
      <c r="L269" s="364">
        <v>15.9</v>
      </c>
      <c r="M269" s="331">
        <f t="shared" si="348"/>
        <v>16.591304347826085</v>
      </c>
      <c r="N269" s="347">
        <v>0.78</v>
      </c>
      <c r="O269" s="349">
        <v>87.2</v>
      </c>
      <c r="P269" s="348">
        <v>89.46</v>
      </c>
      <c r="Q269" s="348">
        <v>88.36</v>
      </c>
      <c r="R269" s="347">
        <v>0.78</v>
      </c>
      <c r="S269" s="349">
        <v>87.2</v>
      </c>
      <c r="T269" s="348">
        <v>89.46</v>
      </c>
      <c r="U269" s="348">
        <v>88.36</v>
      </c>
      <c r="V269" s="363">
        <v>6.7</v>
      </c>
      <c r="W269" s="363">
        <v>2.1</v>
      </c>
      <c r="X269" s="363">
        <v>2.1</v>
      </c>
      <c r="Y269" s="328"/>
      <c r="Z269" s="328"/>
      <c r="AA269" s="328"/>
      <c r="AB269" s="366">
        <v>9.64E-2</v>
      </c>
      <c r="AC269" s="328">
        <v>59</v>
      </c>
      <c r="AD269" s="346">
        <v>111</v>
      </c>
      <c r="AE269" s="328"/>
      <c r="AF269" s="328"/>
      <c r="AG269" s="328"/>
      <c r="AH269" s="327">
        <v>254</v>
      </c>
      <c r="AI269" s="327">
        <v>210</v>
      </c>
      <c r="AJ269" s="327">
        <v>108</v>
      </c>
      <c r="AK269" s="327">
        <v>42</v>
      </c>
      <c r="AL269" s="327">
        <v>110</v>
      </c>
      <c r="AM269" s="327">
        <v>12</v>
      </c>
      <c r="AN269" s="327">
        <v>37</v>
      </c>
      <c r="AO269" s="327" t="s">
        <v>248</v>
      </c>
      <c r="AP269" s="327">
        <v>160</v>
      </c>
      <c r="AQ269" s="327">
        <v>15</v>
      </c>
      <c r="AR269" s="327">
        <v>320</v>
      </c>
      <c r="AS269" s="327">
        <v>320</v>
      </c>
      <c r="AT269" s="327">
        <v>285</v>
      </c>
      <c r="AU269" s="327">
        <v>440</v>
      </c>
      <c r="AV269" s="327">
        <v>680</v>
      </c>
      <c r="AW269" s="328">
        <v>730</v>
      </c>
      <c r="AX269" s="328"/>
      <c r="AY269" s="328"/>
      <c r="AZ269" s="328"/>
      <c r="BA269" s="328"/>
      <c r="BB269" s="328"/>
      <c r="BC269" s="328"/>
      <c r="BD269" s="328"/>
      <c r="BE269" s="328"/>
      <c r="BF269" s="328"/>
      <c r="BG269" s="328"/>
      <c r="BH269" s="327">
        <v>300</v>
      </c>
      <c r="BI269" s="327">
        <v>250</v>
      </c>
      <c r="BJ269" s="327">
        <v>350</v>
      </c>
      <c r="BK269" s="327">
        <v>19</v>
      </c>
      <c r="BL269" s="327">
        <v>5</v>
      </c>
      <c r="BM269" s="325" t="s">
        <v>457</v>
      </c>
      <c r="BN269" s="325" t="s">
        <v>457</v>
      </c>
      <c r="BO269" s="340" t="s">
        <v>456</v>
      </c>
      <c r="BP269" s="340" t="s">
        <v>456</v>
      </c>
      <c r="BQ269" s="325" t="s">
        <v>450</v>
      </c>
    </row>
    <row r="270" spans="1:70" ht="12" customHeight="1">
      <c r="A270" s="320">
        <v>610</v>
      </c>
      <c r="B270" s="371" t="s">
        <v>674</v>
      </c>
      <c r="C270" s="328" t="s">
        <v>655</v>
      </c>
      <c r="D270" s="371" t="s">
        <v>673</v>
      </c>
      <c r="E270" s="328">
        <v>160</v>
      </c>
      <c r="F270" s="365">
        <v>6</v>
      </c>
      <c r="G270" s="346">
        <v>11</v>
      </c>
      <c r="H270" s="370">
        <v>13.2</v>
      </c>
      <c r="I270" s="370">
        <v>970</v>
      </c>
      <c r="J270" s="369">
        <v>1164</v>
      </c>
      <c r="K270" s="328"/>
      <c r="L270" s="368">
        <v>23</v>
      </c>
      <c r="M270" s="331">
        <f t="shared" si="348"/>
        <v>24</v>
      </c>
      <c r="N270" s="347">
        <v>0.78</v>
      </c>
      <c r="O270" s="367">
        <v>88.7</v>
      </c>
      <c r="P270" s="348">
        <v>89.1</v>
      </c>
      <c r="Q270" s="348">
        <v>88.2</v>
      </c>
      <c r="R270" s="347">
        <v>0.78</v>
      </c>
      <c r="S270" s="367">
        <v>88.7</v>
      </c>
      <c r="T270" s="348">
        <v>89.1</v>
      </c>
      <c r="U270" s="348">
        <v>88.2</v>
      </c>
      <c r="V270" s="363">
        <v>6.9</v>
      </c>
      <c r="W270" s="363">
        <v>2.1</v>
      </c>
      <c r="X270" s="363">
        <v>2.1</v>
      </c>
      <c r="Y270" s="328"/>
      <c r="Z270" s="328"/>
      <c r="AA270" s="328"/>
      <c r="AB270" s="366">
        <v>0.11600000000000001</v>
      </c>
      <c r="AC270" s="328">
        <v>64</v>
      </c>
      <c r="AD270" s="346">
        <v>105</v>
      </c>
      <c r="AE270" s="328"/>
      <c r="AF270" s="328"/>
      <c r="AG270" s="328"/>
      <c r="AH270" s="327">
        <v>254</v>
      </c>
      <c r="AI270" s="327">
        <v>254</v>
      </c>
      <c r="AJ270" s="327">
        <v>108</v>
      </c>
      <c r="AK270" s="327">
        <v>42</v>
      </c>
      <c r="AL270" s="327">
        <v>110</v>
      </c>
      <c r="AM270" s="327">
        <v>12</v>
      </c>
      <c r="AN270" s="327">
        <v>37</v>
      </c>
      <c r="AO270" s="327" t="s">
        <v>248</v>
      </c>
      <c r="AP270" s="327">
        <v>160</v>
      </c>
      <c r="AQ270" s="327">
        <v>15</v>
      </c>
      <c r="AR270" s="327">
        <v>312</v>
      </c>
      <c r="AS270" s="327">
        <v>310</v>
      </c>
      <c r="AT270" s="327">
        <v>255</v>
      </c>
      <c r="AU270" s="327">
        <v>415</v>
      </c>
      <c r="AV270" s="327">
        <v>670</v>
      </c>
      <c r="AW270" s="328">
        <v>670</v>
      </c>
      <c r="AX270" s="328"/>
      <c r="AY270" s="328"/>
      <c r="AZ270" s="328"/>
      <c r="BA270" s="328"/>
      <c r="BB270" s="328"/>
      <c r="BC270" s="328"/>
      <c r="BD270" s="328"/>
      <c r="BE270" s="328"/>
      <c r="BF270" s="328"/>
      <c r="BG270" s="328"/>
      <c r="BH270" s="327">
        <v>300</v>
      </c>
      <c r="BI270" s="327">
        <v>250</v>
      </c>
      <c r="BJ270" s="327">
        <v>350</v>
      </c>
      <c r="BK270" s="327">
        <v>19</v>
      </c>
      <c r="BL270" s="327">
        <v>5</v>
      </c>
      <c r="BM270" s="325" t="s">
        <v>672</v>
      </c>
      <c r="BN270" s="325" t="s">
        <v>672</v>
      </c>
      <c r="BO270" s="340" t="s">
        <v>671</v>
      </c>
      <c r="BP270" s="340" t="s">
        <v>671</v>
      </c>
      <c r="BQ270" s="325" t="s">
        <v>450</v>
      </c>
    </row>
    <row r="271" spans="1:70" ht="12" customHeight="1">
      <c r="A271" s="320">
        <v>611</v>
      </c>
      <c r="B271" s="336" t="s">
        <v>656</v>
      </c>
      <c r="C271" s="328" t="s">
        <v>655</v>
      </c>
      <c r="D271" s="336" t="s">
        <v>670</v>
      </c>
      <c r="E271" s="328">
        <v>160</v>
      </c>
      <c r="F271" s="365">
        <v>6</v>
      </c>
      <c r="G271" s="325">
        <v>11</v>
      </c>
      <c r="H271" s="327">
        <v>13.2</v>
      </c>
      <c r="I271" s="327">
        <v>980</v>
      </c>
      <c r="J271" s="344">
        <v>1176</v>
      </c>
      <c r="K271" s="328"/>
      <c r="L271" s="364">
        <v>22.7</v>
      </c>
      <c r="M271" s="331">
        <f t="shared" si="348"/>
        <v>23.68695652173913</v>
      </c>
      <c r="N271" s="347">
        <v>0.79</v>
      </c>
      <c r="O271" s="349">
        <v>88.7</v>
      </c>
      <c r="P271" s="348">
        <v>90</v>
      </c>
      <c r="Q271" s="348">
        <v>89.17</v>
      </c>
      <c r="R271" s="347">
        <v>0.79</v>
      </c>
      <c r="S271" s="349">
        <v>88.7</v>
      </c>
      <c r="T271" s="348">
        <v>90</v>
      </c>
      <c r="U271" s="348">
        <v>89.17</v>
      </c>
      <c r="V271" s="363">
        <v>6.9</v>
      </c>
      <c r="W271" s="363">
        <v>2.1</v>
      </c>
      <c r="X271" s="363">
        <v>2.1</v>
      </c>
      <c r="Y271" s="328"/>
      <c r="Z271" s="328"/>
      <c r="AA271" s="328"/>
      <c r="AB271" s="366">
        <v>0.127</v>
      </c>
      <c r="AC271" s="328">
        <v>64</v>
      </c>
      <c r="AD271" s="346">
        <v>132</v>
      </c>
      <c r="AE271" s="328"/>
      <c r="AF271" s="328"/>
      <c r="AG271" s="328"/>
      <c r="AH271" s="327">
        <v>254</v>
      </c>
      <c r="AI271" s="327">
        <v>254</v>
      </c>
      <c r="AJ271" s="327">
        <v>108</v>
      </c>
      <c r="AK271" s="327">
        <v>42</v>
      </c>
      <c r="AL271" s="327">
        <v>110</v>
      </c>
      <c r="AM271" s="327">
        <v>12</v>
      </c>
      <c r="AN271" s="327">
        <v>37</v>
      </c>
      <c r="AO271" s="327" t="s">
        <v>248</v>
      </c>
      <c r="AP271" s="327">
        <v>160</v>
      </c>
      <c r="AQ271" s="327">
        <v>15</v>
      </c>
      <c r="AR271" s="327">
        <v>320</v>
      </c>
      <c r="AS271" s="327">
        <v>320</v>
      </c>
      <c r="AT271" s="327">
        <v>285</v>
      </c>
      <c r="AU271" s="327">
        <v>440</v>
      </c>
      <c r="AV271" s="327">
        <v>680</v>
      </c>
      <c r="AW271" s="328">
        <v>730</v>
      </c>
      <c r="AX271" s="328"/>
      <c r="AY271" s="328"/>
      <c r="AZ271" s="328"/>
      <c r="BA271" s="328"/>
      <c r="BB271" s="328"/>
      <c r="BC271" s="328"/>
      <c r="BD271" s="328"/>
      <c r="BE271" s="328"/>
      <c r="BF271" s="328"/>
      <c r="BG271" s="328"/>
      <c r="BH271" s="327">
        <v>300</v>
      </c>
      <c r="BI271" s="327">
        <v>250</v>
      </c>
      <c r="BJ271" s="327">
        <v>350</v>
      </c>
      <c r="BK271" s="327">
        <v>19</v>
      </c>
      <c r="BL271" s="327">
        <v>5</v>
      </c>
      <c r="BM271" s="325" t="s">
        <v>457</v>
      </c>
      <c r="BN271" s="325" t="s">
        <v>457</v>
      </c>
      <c r="BO271" s="340" t="s">
        <v>456</v>
      </c>
      <c r="BP271" s="340" t="s">
        <v>456</v>
      </c>
      <c r="BQ271" s="325" t="s">
        <v>450</v>
      </c>
    </row>
    <row r="272" spans="1:70" ht="12" customHeight="1">
      <c r="A272" s="320">
        <v>612</v>
      </c>
      <c r="B272" s="336" t="s">
        <v>656</v>
      </c>
      <c r="C272" s="328" t="s">
        <v>655</v>
      </c>
      <c r="D272" s="336" t="s">
        <v>669</v>
      </c>
      <c r="E272" s="328">
        <v>180</v>
      </c>
      <c r="F272" s="365">
        <v>6</v>
      </c>
      <c r="G272" s="325">
        <v>15</v>
      </c>
      <c r="H272" s="327">
        <v>18</v>
      </c>
      <c r="I272" s="327">
        <v>980</v>
      </c>
      <c r="J272" s="344">
        <v>1176</v>
      </c>
      <c r="K272" s="328"/>
      <c r="L272" s="364">
        <v>29.8</v>
      </c>
      <c r="M272" s="331">
        <f t="shared" si="348"/>
        <v>31.095652173913045</v>
      </c>
      <c r="N272" s="347">
        <v>0.81</v>
      </c>
      <c r="O272" s="349">
        <v>89.7</v>
      </c>
      <c r="P272" s="348">
        <v>91.31</v>
      </c>
      <c r="Q272" s="348">
        <v>90.68</v>
      </c>
      <c r="R272" s="347">
        <v>0.81</v>
      </c>
      <c r="S272" s="349">
        <v>89.7</v>
      </c>
      <c r="T272" s="348">
        <v>91.31</v>
      </c>
      <c r="U272" s="348">
        <v>90.68</v>
      </c>
      <c r="V272" s="363">
        <v>7.2</v>
      </c>
      <c r="W272" s="363">
        <v>2</v>
      </c>
      <c r="X272" s="363">
        <v>2.1</v>
      </c>
      <c r="Y272" s="328"/>
      <c r="Z272" s="328"/>
      <c r="AA272" s="328"/>
      <c r="AB272" s="366">
        <v>0.20100000000000001</v>
      </c>
      <c r="AC272" s="328">
        <v>64</v>
      </c>
      <c r="AD272" s="346">
        <v>176</v>
      </c>
      <c r="AE272" s="328"/>
      <c r="AF272" s="328"/>
      <c r="AG272" s="328"/>
      <c r="AH272" s="327">
        <v>279</v>
      </c>
      <c r="AI272" s="327">
        <v>279</v>
      </c>
      <c r="AJ272" s="327">
        <v>121</v>
      </c>
      <c r="AK272" s="327">
        <v>48</v>
      </c>
      <c r="AL272" s="327">
        <v>110</v>
      </c>
      <c r="AM272" s="327">
        <v>14</v>
      </c>
      <c r="AN272" s="327">
        <v>42.5</v>
      </c>
      <c r="AO272" s="327" t="s">
        <v>248</v>
      </c>
      <c r="AP272" s="327">
        <v>180</v>
      </c>
      <c r="AQ272" s="327">
        <v>15</v>
      </c>
      <c r="AR272" s="327">
        <v>355</v>
      </c>
      <c r="AS272" s="327">
        <v>380</v>
      </c>
      <c r="AT272" s="327">
        <v>310</v>
      </c>
      <c r="AU272" s="327">
        <v>470</v>
      </c>
      <c r="AV272" s="327">
        <v>730</v>
      </c>
      <c r="AW272" s="328">
        <v>800</v>
      </c>
      <c r="AX272" s="328"/>
      <c r="AY272" s="328"/>
      <c r="AZ272" s="328"/>
      <c r="BA272" s="328"/>
      <c r="BB272" s="328"/>
      <c r="BC272" s="328"/>
      <c r="BD272" s="328"/>
      <c r="BE272" s="328"/>
      <c r="BF272" s="328"/>
      <c r="BG272" s="328"/>
      <c r="BH272" s="327">
        <v>300</v>
      </c>
      <c r="BI272" s="327">
        <v>250</v>
      </c>
      <c r="BJ272" s="327">
        <v>350</v>
      </c>
      <c r="BK272" s="327">
        <v>19</v>
      </c>
      <c r="BL272" s="327">
        <v>5</v>
      </c>
      <c r="BM272" s="325" t="s">
        <v>452</v>
      </c>
      <c r="BN272" s="325" t="s">
        <v>452</v>
      </c>
      <c r="BO272" s="340" t="s">
        <v>451</v>
      </c>
      <c r="BP272" s="340" t="s">
        <v>451</v>
      </c>
      <c r="BQ272" s="325" t="s">
        <v>450</v>
      </c>
    </row>
    <row r="273" spans="1:70" ht="12" customHeight="1">
      <c r="A273" s="320">
        <v>613</v>
      </c>
      <c r="B273" s="336" t="s">
        <v>656</v>
      </c>
      <c r="C273" s="328" t="s">
        <v>655</v>
      </c>
      <c r="D273" s="336" t="s">
        <v>668</v>
      </c>
      <c r="E273" s="328">
        <v>200</v>
      </c>
      <c r="F273" s="365">
        <v>6</v>
      </c>
      <c r="G273" s="325">
        <v>18.5</v>
      </c>
      <c r="H273" s="327">
        <v>22.2</v>
      </c>
      <c r="I273" s="327">
        <v>985</v>
      </c>
      <c r="J273" s="344">
        <v>1182</v>
      </c>
      <c r="K273" s="328"/>
      <c r="L273" s="364">
        <v>36.5</v>
      </c>
      <c r="M273" s="331">
        <f t="shared" si="348"/>
        <v>38.086956521739133</v>
      </c>
      <c r="N273" s="347">
        <v>0.81</v>
      </c>
      <c r="O273" s="349">
        <v>90.4</v>
      </c>
      <c r="P273" s="348">
        <v>91.78</v>
      </c>
      <c r="Q273" s="348">
        <v>90.96</v>
      </c>
      <c r="R273" s="347">
        <v>0.81</v>
      </c>
      <c r="S273" s="349">
        <v>90.4</v>
      </c>
      <c r="T273" s="348">
        <v>91.78</v>
      </c>
      <c r="U273" s="348">
        <v>90.96</v>
      </c>
      <c r="V273" s="363">
        <v>7.2</v>
      </c>
      <c r="W273" s="363">
        <v>2.1</v>
      </c>
      <c r="X273" s="363">
        <v>2.1</v>
      </c>
      <c r="Y273" s="328"/>
      <c r="Z273" s="328"/>
      <c r="AA273" s="328"/>
      <c r="AB273" s="366">
        <v>0.32500000000000001</v>
      </c>
      <c r="AC273" s="328">
        <v>65</v>
      </c>
      <c r="AD273" s="346">
        <v>222</v>
      </c>
      <c r="AE273" s="328"/>
      <c r="AF273" s="328"/>
      <c r="AG273" s="328"/>
      <c r="AH273" s="327">
        <v>318</v>
      </c>
      <c r="AI273" s="327">
        <v>305</v>
      </c>
      <c r="AJ273" s="327">
        <v>133</v>
      </c>
      <c r="AK273" s="327">
        <v>55</v>
      </c>
      <c r="AL273" s="327">
        <v>110</v>
      </c>
      <c r="AM273" s="327">
        <v>16</v>
      </c>
      <c r="AN273" s="327">
        <v>49</v>
      </c>
      <c r="AO273" s="327" t="s">
        <v>249</v>
      </c>
      <c r="AP273" s="327">
        <v>200</v>
      </c>
      <c r="AQ273" s="327">
        <v>19</v>
      </c>
      <c r="AR273" s="327">
        <v>395</v>
      </c>
      <c r="AS273" s="327">
        <v>410</v>
      </c>
      <c r="AT273" s="327">
        <v>335</v>
      </c>
      <c r="AU273" s="327">
        <v>525</v>
      </c>
      <c r="AV273" s="327">
        <v>785</v>
      </c>
      <c r="AW273" s="328">
        <v>845</v>
      </c>
      <c r="AX273" s="328"/>
      <c r="AY273" s="328"/>
      <c r="AZ273" s="328"/>
      <c r="BA273" s="328"/>
      <c r="BB273" s="328"/>
      <c r="BC273" s="328"/>
      <c r="BD273" s="328"/>
      <c r="BE273" s="328"/>
      <c r="BF273" s="328"/>
      <c r="BG273" s="328"/>
      <c r="BH273" s="327">
        <v>350</v>
      </c>
      <c r="BI273" s="327">
        <v>300</v>
      </c>
      <c r="BJ273" s="327">
        <v>400</v>
      </c>
      <c r="BK273" s="327">
        <v>19</v>
      </c>
      <c r="BL273" s="327">
        <v>5</v>
      </c>
      <c r="BM273" s="325" t="s">
        <v>442</v>
      </c>
      <c r="BN273" s="325" t="s">
        <v>442</v>
      </c>
      <c r="BO273" s="340" t="s">
        <v>441</v>
      </c>
      <c r="BP273" s="340" t="s">
        <v>441</v>
      </c>
      <c r="BQ273" s="325" t="s">
        <v>434</v>
      </c>
    </row>
    <row r="274" spans="1:70" ht="12" customHeight="1">
      <c r="A274" s="320">
        <v>614</v>
      </c>
      <c r="B274" s="336" t="s">
        <v>656</v>
      </c>
      <c r="C274" s="328" t="s">
        <v>655</v>
      </c>
      <c r="D274" s="336" t="s">
        <v>667</v>
      </c>
      <c r="E274" s="328">
        <v>200</v>
      </c>
      <c r="F274" s="365">
        <v>6</v>
      </c>
      <c r="G274" s="325">
        <v>22</v>
      </c>
      <c r="H274" s="327">
        <v>26.4</v>
      </c>
      <c r="I274" s="327">
        <v>980</v>
      </c>
      <c r="J274" s="344">
        <v>1176</v>
      </c>
      <c r="K274" s="328"/>
      <c r="L274" s="364">
        <v>42.6</v>
      </c>
      <c r="M274" s="331">
        <f t="shared" si="348"/>
        <v>44.452173913043481</v>
      </c>
      <c r="N274" s="347">
        <v>0.82</v>
      </c>
      <c r="O274" s="349">
        <v>90.9</v>
      </c>
      <c r="P274" s="348">
        <v>92.13</v>
      </c>
      <c r="Q274" s="348">
        <v>91.45</v>
      </c>
      <c r="R274" s="347">
        <v>0.82</v>
      </c>
      <c r="S274" s="349">
        <v>90.9</v>
      </c>
      <c r="T274" s="348">
        <v>92.13</v>
      </c>
      <c r="U274" s="348">
        <v>91.45</v>
      </c>
      <c r="V274" s="363">
        <v>7.3</v>
      </c>
      <c r="W274" s="363">
        <v>2.1</v>
      </c>
      <c r="X274" s="363">
        <v>2.1</v>
      </c>
      <c r="Y274" s="328"/>
      <c r="Z274" s="328"/>
      <c r="AA274" s="328"/>
      <c r="AB274" s="366">
        <v>0.371</v>
      </c>
      <c r="AC274" s="328">
        <v>65</v>
      </c>
      <c r="AD274" s="346">
        <v>242</v>
      </c>
      <c r="AE274" s="328"/>
      <c r="AF274" s="328"/>
      <c r="AG274" s="328"/>
      <c r="AH274" s="327">
        <v>318</v>
      </c>
      <c r="AI274" s="327">
        <v>305</v>
      </c>
      <c r="AJ274" s="327">
        <v>133</v>
      </c>
      <c r="AK274" s="327">
        <v>55</v>
      </c>
      <c r="AL274" s="327">
        <v>110</v>
      </c>
      <c r="AM274" s="327">
        <v>16</v>
      </c>
      <c r="AN274" s="327">
        <v>49</v>
      </c>
      <c r="AO274" s="327" t="s">
        <v>249</v>
      </c>
      <c r="AP274" s="327">
        <v>200</v>
      </c>
      <c r="AQ274" s="327">
        <v>19</v>
      </c>
      <c r="AR274" s="327">
        <v>395</v>
      </c>
      <c r="AS274" s="327">
        <v>410</v>
      </c>
      <c r="AT274" s="327">
        <v>335</v>
      </c>
      <c r="AU274" s="327">
        <v>525</v>
      </c>
      <c r="AV274" s="327">
        <v>785</v>
      </c>
      <c r="AW274" s="328">
        <v>845</v>
      </c>
      <c r="AX274" s="328"/>
      <c r="AY274" s="328"/>
      <c r="AZ274" s="328"/>
      <c r="BA274" s="328"/>
      <c r="BB274" s="328"/>
      <c r="BC274" s="328"/>
      <c r="BD274" s="328"/>
      <c r="BE274" s="328"/>
      <c r="BF274" s="328"/>
      <c r="BG274" s="328"/>
      <c r="BH274" s="327">
        <v>350</v>
      </c>
      <c r="BI274" s="327">
        <v>300</v>
      </c>
      <c r="BJ274" s="327">
        <v>400</v>
      </c>
      <c r="BK274" s="327">
        <v>19</v>
      </c>
      <c r="BL274" s="327">
        <v>5</v>
      </c>
      <c r="BM274" s="325" t="s">
        <v>442</v>
      </c>
      <c r="BN274" s="325" t="s">
        <v>442</v>
      </c>
      <c r="BO274" s="340" t="s">
        <v>441</v>
      </c>
      <c r="BP274" s="340" t="s">
        <v>441</v>
      </c>
      <c r="BQ274" s="325" t="s">
        <v>434</v>
      </c>
    </row>
    <row r="275" spans="1:70" ht="12" customHeight="1">
      <c r="A275" s="320">
        <v>615</v>
      </c>
      <c r="B275" s="336" t="s">
        <v>656</v>
      </c>
      <c r="C275" s="328" t="s">
        <v>655</v>
      </c>
      <c r="D275" s="336" t="s">
        <v>666</v>
      </c>
      <c r="E275" s="328">
        <v>225</v>
      </c>
      <c r="F275" s="365">
        <v>6</v>
      </c>
      <c r="G275" s="325">
        <v>30</v>
      </c>
      <c r="H275" s="327">
        <v>36</v>
      </c>
      <c r="I275" s="327">
        <v>980</v>
      </c>
      <c r="J275" s="344">
        <v>1176</v>
      </c>
      <c r="K275" s="328"/>
      <c r="L275" s="364">
        <v>58.3</v>
      </c>
      <c r="M275" s="331">
        <f t="shared" si="348"/>
        <v>60.834782608695654</v>
      </c>
      <c r="N275" s="347">
        <v>0.81</v>
      </c>
      <c r="O275" s="349">
        <v>91.7</v>
      </c>
      <c r="P275" s="348">
        <v>92.74</v>
      </c>
      <c r="Q275" s="348">
        <v>92.14</v>
      </c>
      <c r="R275" s="347">
        <v>0.81</v>
      </c>
      <c r="S275" s="349">
        <v>91.7</v>
      </c>
      <c r="T275" s="348">
        <v>92.74</v>
      </c>
      <c r="U275" s="348">
        <v>92.14</v>
      </c>
      <c r="V275" s="363">
        <v>7.1</v>
      </c>
      <c r="W275" s="363">
        <v>2</v>
      </c>
      <c r="X275" s="363">
        <v>2.1</v>
      </c>
      <c r="Y275" s="328"/>
      <c r="Z275" s="328"/>
      <c r="AA275" s="328"/>
      <c r="AB275" s="366">
        <v>0.53300000000000003</v>
      </c>
      <c r="AC275" s="328">
        <v>67</v>
      </c>
      <c r="AD275" s="346">
        <v>292</v>
      </c>
      <c r="AE275" s="328"/>
      <c r="AF275" s="328"/>
      <c r="AG275" s="328"/>
      <c r="AH275" s="327">
        <v>356</v>
      </c>
      <c r="AI275" s="327">
        <v>311</v>
      </c>
      <c r="AJ275" s="327">
        <v>149</v>
      </c>
      <c r="AK275" s="327">
        <v>60</v>
      </c>
      <c r="AL275" s="327">
        <v>140</v>
      </c>
      <c r="AM275" s="327">
        <v>18</v>
      </c>
      <c r="AN275" s="327">
        <v>53</v>
      </c>
      <c r="AO275" s="327" t="s">
        <v>249</v>
      </c>
      <c r="AP275" s="327">
        <v>225</v>
      </c>
      <c r="AQ275" s="327">
        <v>19</v>
      </c>
      <c r="AR275" s="327">
        <v>435</v>
      </c>
      <c r="AS275" s="327">
        <v>470</v>
      </c>
      <c r="AT275" s="327">
        <v>370</v>
      </c>
      <c r="AU275" s="327">
        <v>580</v>
      </c>
      <c r="AV275" s="327">
        <v>855</v>
      </c>
      <c r="AW275" s="328">
        <v>940</v>
      </c>
      <c r="AX275" s="328"/>
      <c r="AY275" s="328"/>
      <c r="AZ275" s="328"/>
      <c r="BA275" s="328"/>
      <c r="BB275" s="328"/>
      <c r="BC275" s="328"/>
      <c r="BD275" s="328"/>
      <c r="BE275" s="328"/>
      <c r="BF275" s="328"/>
      <c r="BG275" s="328"/>
      <c r="BH275" s="327">
        <v>400</v>
      </c>
      <c r="BI275" s="327">
        <v>350</v>
      </c>
      <c r="BJ275" s="327">
        <v>450</v>
      </c>
      <c r="BK275" s="327">
        <v>19</v>
      </c>
      <c r="BL275" s="327">
        <v>5</v>
      </c>
      <c r="BM275" s="325" t="s">
        <v>436</v>
      </c>
      <c r="BN275" s="325" t="s">
        <v>436</v>
      </c>
      <c r="BO275" s="340" t="s">
        <v>435</v>
      </c>
      <c r="BP275" s="340" t="s">
        <v>435</v>
      </c>
      <c r="BQ275" s="325" t="s">
        <v>434</v>
      </c>
    </row>
    <row r="276" spans="1:70" ht="12" customHeight="1">
      <c r="A276" s="320">
        <v>616</v>
      </c>
      <c r="B276" s="336" t="s">
        <v>656</v>
      </c>
      <c r="C276" s="328" t="s">
        <v>655</v>
      </c>
      <c r="D276" s="336" t="s">
        <v>665</v>
      </c>
      <c r="E276" s="328">
        <v>250</v>
      </c>
      <c r="F276" s="365">
        <v>6</v>
      </c>
      <c r="G276" s="325">
        <v>37</v>
      </c>
      <c r="H276" s="327">
        <v>44.4</v>
      </c>
      <c r="I276" s="327">
        <v>990</v>
      </c>
      <c r="J276" s="344">
        <v>1188</v>
      </c>
      <c r="K276" s="328"/>
      <c r="L276" s="364">
        <v>69</v>
      </c>
      <c r="M276" s="331">
        <f t="shared" si="348"/>
        <v>72</v>
      </c>
      <c r="N276" s="347">
        <v>0.84</v>
      </c>
      <c r="O276" s="349">
        <v>92.2</v>
      </c>
      <c r="P276" s="348">
        <v>92.72</v>
      </c>
      <c r="Q276" s="348">
        <v>92.01</v>
      </c>
      <c r="R276" s="347">
        <v>0.84</v>
      </c>
      <c r="S276" s="349">
        <v>92.2</v>
      </c>
      <c r="T276" s="348">
        <v>92.72</v>
      </c>
      <c r="U276" s="348">
        <v>92.01</v>
      </c>
      <c r="V276" s="363">
        <v>7.1</v>
      </c>
      <c r="W276" s="363">
        <v>2.1</v>
      </c>
      <c r="X276" s="363">
        <v>2.1</v>
      </c>
      <c r="Y276" s="328"/>
      <c r="Z276" s="328"/>
      <c r="AA276" s="328"/>
      <c r="AB276" s="366">
        <v>0.877</v>
      </c>
      <c r="AC276" s="328">
        <v>67</v>
      </c>
      <c r="AD276" s="346">
        <v>369</v>
      </c>
      <c r="AE276" s="328"/>
      <c r="AF276" s="328"/>
      <c r="AG276" s="328"/>
      <c r="AH276" s="327">
        <v>406</v>
      </c>
      <c r="AI276" s="327">
        <v>349</v>
      </c>
      <c r="AJ276" s="327">
        <v>168</v>
      </c>
      <c r="AK276" s="327">
        <v>65</v>
      </c>
      <c r="AL276" s="327">
        <v>140</v>
      </c>
      <c r="AM276" s="327">
        <v>18</v>
      </c>
      <c r="AN276" s="327">
        <v>58</v>
      </c>
      <c r="AO276" s="327" t="s">
        <v>249</v>
      </c>
      <c r="AP276" s="327">
        <v>250</v>
      </c>
      <c r="AQ276" s="327">
        <v>24</v>
      </c>
      <c r="AR276" s="327">
        <v>490</v>
      </c>
      <c r="AS276" s="327">
        <v>490</v>
      </c>
      <c r="AT276" s="327">
        <v>380</v>
      </c>
      <c r="AU276" s="327">
        <v>635</v>
      </c>
      <c r="AV276" s="327">
        <v>930</v>
      </c>
      <c r="AW276" s="328">
        <v>1035</v>
      </c>
      <c r="AX276" s="328"/>
      <c r="AY276" s="328"/>
      <c r="AZ276" s="328"/>
      <c r="BA276" s="328"/>
      <c r="BB276" s="328"/>
      <c r="BC276" s="328"/>
      <c r="BD276" s="328"/>
      <c r="BE276" s="328"/>
      <c r="BF276" s="328"/>
      <c r="BG276" s="328"/>
      <c r="BH276" s="327">
        <v>500</v>
      </c>
      <c r="BI276" s="327">
        <v>450</v>
      </c>
      <c r="BJ276" s="327">
        <v>550</v>
      </c>
      <c r="BK276" s="327">
        <v>19</v>
      </c>
      <c r="BL276" s="327">
        <v>5</v>
      </c>
      <c r="BM276" s="325" t="s">
        <v>429</v>
      </c>
      <c r="BN276" s="325" t="s">
        <v>429</v>
      </c>
      <c r="BO276" s="340" t="s">
        <v>428</v>
      </c>
      <c r="BP276" s="340" t="s">
        <v>428</v>
      </c>
      <c r="BQ276" s="325" t="s">
        <v>388</v>
      </c>
    </row>
    <row r="277" spans="1:70" ht="12" customHeight="1">
      <c r="A277" s="320">
        <v>617</v>
      </c>
      <c r="B277" s="336" t="s">
        <v>656</v>
      </c>
      <c r="C277" s="328" t="s">
        <v>655</v>
      </c>
      <c r="D277" s="336" t="s">
        <v>664</v>
      </c>
      <c r="E277" s="328">
        <v>280</v>
      </c>
      <c r="F277" s="365">
        <v>6</v>
      </c>
      <c r="G277" s="325">
        <v>45</v>
      </c>
      <c r="H277" s="327">
        <v>54</v>
      </c>
      <c r="I277" s="327">
        <v>990</v>
      </c>
      <c r="J277" s="344">
        <v>1188</v>
      </c>
      <c r="K277" s="328"/>
      <c r="L277" s="364">
        <v>81.5</v>
      </c>
      <c r="M277" s="331">
        <f t="shared" si="348"/>
        <v>85.043478260869563</v>
      </c>
      <c r="N277" s="347">
        <v>0.86</v>
      </c>
      <c r="O277" s="349">
        <v>92.7</v>
      </c>
      <c r="P277" s="348">
        <v>93.42</v>
      </c>
      <c r="Q277" s="348">
        <v>92.51</v>
      </c>
      <c r="R277" s="347">
        <v>0.86</v>
      </c>
      <c r="S277" s="349">
        <v>92.7</v>
      </c>
      <c r="T277" s="348">
        <v>93.42</v>
      </c>
      <c r="U277" s="348">
        <v>92.51</v>
      </c>
      <c r="V277" s="363">
        <v>7.2</v>
      </c>
      <c r="W277" s="363">
        <v>2.1</v>
      </c>
      <c r="X277" s="363">
        <v>2</v>
      </c>
      <c r="Y277" s="328"/>
      <c r="Z277" s="328"/>
      <c r="AA277" s="328"/>
      <c r="AB277" s="366">
        <v>1.85</v>
      </c>
      <c r="AC277" s="328">
        <v>69</v>
      </c>
      <c r="AD277" s="346">
        <v>511</v>
      </c>
      <c r="AE277" s="328"/>
      <c r="AF277" s="328"/>
      <c r="AG277" s="328"/>
      <c r="AH277" s="327">
        <v>457</v>
      </c>
      <c r="AI277" s="327">
        <v>368</v>
      </c>
      <c r="AJ277" s="327">
        <v>190</v>
      </c>
      <c r="AK277" s="327">
        <v>75</v>
      </c>
      <c r="AL277" s="327">
        <v>140</v>
      </c>
      <c r="AM277" s="327">
        <v>20</v>
      </c>
      <c r="AN277" s="327">
        <v>67.5</v>
      </c>
      <c r="AO277" s="327" t="s">
        <v>249</v>
      </c>
      <c r="AP277" s="327">
        <v>280</v>
      </c>
      <c r="AQ277" s="327">
        <v>24</v>
      </c>
      <c r="AR277" s="327">
        <v>550</v>
      </c>
      <c r="AS277" s="327">
        <v>580</v>
      </c>
      <c r="AT277" s="327">
        <v>410</v>
      </c>
      <c r="AU277" s="327">
        <v>698</v>
      </c>
      <c r="AV277" s="327">
        <v>981</v>
      </c>
      <c r="AW277" s="328">
        <v>1115</v>
      </c>
      <c r="AX277" s="328"/>
      <c r="AY277" s="328"/>
      <c r="AZ277" s="328"/>
      <c r="BA277" s="328"/>
      <c r="BB277" s="328"/>
      <c r="BC277" s="328"/>
      <c r="BD277" s="328"/>
      <c r="BE277" s="328"/>
      <c r="BF277" s="328"/>
      <c r="BG277" s="328"/>
      <c r="BH277" s="327">
        <v>500</v>
      </c>
      <c r="BI277" s="327">
        <v>450</v>
      </c>
      <c r="BJ277" s="327">
        <v>550</v>
      </c>
      <c r="BK277" s="327">
        <v>19</v>
      </c>
      <c r="BL277" s="327">
        <v>5</v>
      </c>
      <c r="BM277" s="325" t="s">
        <v>420</v>
      </c>
      <c r="BN277" s="325" t="s">
        <v>420</v>
      </c>
      <c r="BO277" s="340" t="s">
        <v>419</v>
      </c>
      <c r="BP277" s="340" t="s">
        <v>419</v>
      </c>
      <c r="BQ277" s="325" t="s">
        <v>388</v>
      </c>
    </row>
    <row r="278" spans="1:70" ht="12" customHeight="1">
      <c r="A278" s="320">
        <v>618</v>
      </c>
      <c r="B278" s="336" t="s">
        <v>656</v>
      </c>
      <c r="C278" s="328" t="s">
        <v>655</v>
      </c>
      <c r="D278" s="336" t="s">
        <v>663</v>
      </c>
      <c r="E278" s="328">
        <v>280</v>
      </c>
      <c r="F278" s="365">
        <v>6</v>
      </c>
      <c r="G278" s="325">
        <v>55</v>
      </c>
      <c r="H278" s="327">
        <v>66</v>
      </c>
      <c r="I278" s="327">
        <v>990</v>
      </c>
      <c r="J278" s="344">
        <v>1188</v>
      </c>
      <c r="K278" s="328"/>
      <c r="L278" s="364">
        <v>99.2</v>
      </c>
      <c r="M278" s="331">
        <f t="shared" si="348"/>
        <v>103.51304347826087</v>
      </c>
      <c r="N278" s="347">
        <v>0.86</v>
      </c>
      <c r="O278" s="349">
        <v>93.1</v>
      </c>
      <c r="P278" s="348">
        <v>93.85</v>
      </c>
      <c r="Q278" s="348">
        <v>93.04</v>
      </c>
      <c r="R278" s="347">
        <v>0.86</v>
      </c>
      <c r="S278" s="349">
        <v>93.1</v>
      </c>
      <c r="T278" s="348">
        <v>93.85</v>
      </c>
      <c r="U278" s="348">
        <v>93.04</v>
      </c>
      <c r="V278" s="363">
        <v>7.2</v>
      </c>
      <c r="W278" s="363">
        <v>2.1</v>
      </c>
      <c r="X278" s="363">
        <v>2</v>
      </c>
      <c r="Y278" s="328"/>
      <c r="Z278" s="328"/>
      <c r="AA278" s="328"/>
      <c r="AB278" s="366">
        <v>2.12</v>
      </c>
      <c r="AC278" s="328">
        <v>69</v>
      </c>
      <c r="AD278" s="346">
        <v>656</v>
      </c>
      <c r="AE278" s="328"/>
      <c r="AF278" s="328"/>
      <c r="AG278" s="328"/>
      <c r="AH278" s="327">
        <v>457</v>
      </c>
      <c r="AI278" s="327">
        <v>419</v>
      </c>
      <c r="AJ278" s="327">
        <v>190</v>
      </c>
      <c r="AK278" s="327">
        <v>75</v>
      </c>
      <c r="AL278" s="327">
        <v>140</v>
      </c>
      <c r="AM278" s="327">
        <v>20</v>
      </c>
      <c r="AN278" s="327">
        <v>67.5</v>
      </c>
      <c r="AO278" s="327" t="s">
        <v>249</v>
      </c>
      <c r="AP278" s="327">
        <v>280</v>
      </c>
      <c r="AQ278" s="327">
        <v>24</v>
      </c>
      <c r="AR278" s="327">
        <v>550</v>
      </c>
      <c r="AS278" s="327">
        <v>580</v>
      </c>
      <c r="AT278" s="327">
        <v>410</v>
      </c>
      <c r="AU278" s="327">
        <v>698</v>
      </c>
      <c r="AV278" s="327">
        <v>1032</v>
      </c>
      <c r="AW278" s="328">
        <v>1157</v>
      </c>
      <c r="AX278" s="328"/>
      <c r="AY278" s="328"/>
      <c r="AZ278" s="328"/>
      <c r="BA278" s="328"/>
      <c r="BB278" s="328"/>
      <c r="BC278" s="328"/>
      <c r="BD278" s="328"/>
      <c r="BE278" s="328"/>
      <c r="BF278" s="328"/>
      <c r="BG278" s="328"/>
      <c r="BH278" s="327">
        <v>500</v>
      </c>
      <c r="BI278" s="327">
        <v>450</v>
      </c>
      <c r="BJ278" s="327">
        <v>550</v>
      </c>
      <c r="BK278" s="327">
        <v>19</v>
      </c>
      <c r="BL278" s="327">
        <v>5</v>
      </c>
      <c r="BM278" s="325" t="s">
        <v>420</v>
      </c>
      <c r="BN278" s="325" t="s">
        <v>420</v>
      </c>
      <c r="BO278" s="340" t="s">
        <v>419</v>
      </c>
      <c r="BP278" s="340" t="s">
        <v>419</v>
      </c>
      <c r="BQ278" s="325" t="s">
        <v>388</v>
      </c>
    </row>
    <row r="279" spans="1:70" ht="12" customHeight="1">
      <c r="A279" s="320">
        <v>619</v>
      </c>
      <c r="B279" s="336" t="s">
        <v>656</v>
      </c>
      <c r="C279" s="328" t="s">
        <v>655</v>
      </c>
      <c r="D279" s="336" t="s">
        <v>662</v>
      </c>
      <c r="E279" s="328">
        <v>315</v>
      </c>
      <c r="F279" s="365">
        <v>6</v>
      </c>
      <c r="G279" s="325">
        <v>75</v>
      </c>
      <c r="H279" s="327">
        <v>90</v>
      </c>
      <c r="I279" s="327">
        <v>995</v>
      </c>
      <c r="J279" s="344">
        <v>1194</v>
      </c>
      <c r="K279" s="328"/>
      <c r="L279" s="364">
        <v>135.9</v>
      </c>
      <c r="M279" s="331">
        <f t="shared" si="348"/>
        <v>141.80869565217392</v>
      </c>
      <c r="N279" s="347">
        <v>0.85</v>
      </c>
      <c r="O279" s="349">
        <v>93.7</v>
      </c>
      <c r="P279" s="348">
        <v>94.24</v>
      </c>
      <c r="Q279" s="348">
        <v>93.21</v>
      </c>
      <c r="R279" s="347">
        <v>0.85</v>
      </c>
      <c r="S279" s="349">
        <v>93.7</v>
      </c>
      <c r="T279" s="348">
        <v>94.24</v>
      </c>
      <c r="U279" s="348">
        <v>93.21</v>
      </c>
      <c r="V279" s="363">
        <v>6.7</v>
      </c>
      <c r="W279" s="363">
        <v>2</v>
      </c>
      <c r="X279" s="363">
        <v>2</v>
      </c>
      <c r="Y279" s="328"/>
      <c r="Z279" s="328"/>
      <c r="AA279" s="328"/>
      <c r="AB279" s="366">
        <v>2.61</v>
      </c>
      <c r="AC279" s="328">
        <v>71</v>
      </c>
      <c r="AD279" s="346">
        <v>851</v>
      </c>
      <c r="AE279" s="328"/>
      <c r="AF279" s="328"/>
      <c r="AG279" s="328"/>
      <c r="AH279" s="327">
        <v>508</v>
      </c>
      <c r="AI279" s="327">
        <v>406</v>
      </c>
      <c r="AJ279" s="327">
        <v>216</v>
      </c>
      <c r="AK279" s="327">
        <v>80</v>
      </c>
      <c r="AL279" s="327">
        <v>170</v>
      </c>
      <c r="AM279" s="327">
        <v>22</v>
      </c>
      <c r="AN279" s="327">
        <v>71</v>
      </c>
      <c r="AO279" s="327" t="s">
        <v>249</v>
      </c>
      <c r="AP279" s="327">
        <v>315</v>
      </c>
      <c r="AQ279" s="327">
        <v>28</v>
      </c>
      <c r="AR279" s="327">
        <v>630</v>
      </c>
      <c r="AS279" s="327">
        <v>645</v>
      </c>
      <c r="AT279" s="327">
        <v>535</v>
      </c>
      <c r="AU279" s="327">
        <v>885</v>
      </c>
      <c r="AV279" s="327">
        <v>1225</v>
      </c>
      <c r="AW279" s="328">
        <v>1350</v>
      </c>
      <c r="AX279" s="328"/>
      <c r="AY279" s="328"/>
      <c r="AZ279" s="328"/>
      <c r="BA279" s="328"/>
      <c r="BB279" s="328"/>
      <c r="BC279" s="328"/>
      <c r="BD279" s="328"/>
      <c r="BE279" s="328"/>
      <c r="BF279" s="328"/>
      <c r="BG279" s="328"/>
      <c r="BH279" s="327">
        <v>600</v>
      </c>
      <c r="BI279" s="327">
        <v>550</v>
      </c>
      <c r="BJ279" s="327">
        <v>660</v>
      </c>
      <c r="BK279" s="327">
        <v>24</v>
      </c>
      <c r="BL279" s="327">
        <v>6</v>
      </c>
      <c r="BM279" s="325" t="s">
        <v>389</v>
      </c>
      <c r="BN279" s="325" t="s">
        <v>389</v>
      </c>
      <c r="BO279" s="326"/>
      <c r="BP279" s="326"/>
      <c r="BQ279" s="325" t="s">
        <v>388</v>
      </c>
    </row>
    <row r="280" spans="1:70" ht="12" customHeight="1">
      <c r="A280" s="320">
        <v>620</v>
      </c>
      <c r="B280" s="336" t="s">
        <v>656</v>
      </c>
      <c r="C280" s="328" t="s">
        <v>655</v>
      </c>
      <c r="D280" s="336" t="s">
        <v>661</v>
      </c>
      <c r="E280" s="328">
        <v>315</v>
      </c>
      <c r="F280" s="365">
        <v>6</v>
      </c>
      <c r="G280" s="325">
        <v>90</v>
      </c>
      <c r="H280" s="327">
        <v>108</v>
      </c>
      <c r="I280" s="327">
        <v>995</v>
      </c>
      <c r="J280" s="344">
        <v>1194</v>
      </c>
      <c r="K280" s="328"/>
      <c r="L280" s="364">
        <v>164.5</v>
      </c>
      <c r="M280" s="331">
        <f t="shared" si="348"/>
        <v>171.65217391304347</v>
      </c>
      <c r="N280" s="347">
        <v>0.84</v>
      </c>
      <c r="O280" s="349">
        <v>94</v>
      </c>
      <c r="P280" s="348">
        <v>94.48</v>
      </c>
      <c r="Q280" s="348">
        <v>93.53</v>
      </c>
      <c r="R280" s="347">
        <v>0.84</v>
      </c>
      <c r="S280" s="349">
        <v>94</v>
      </c>
      <c r="T280" s="348">
        <v>94.48</v>
      </c>
      <c r="U280" s="348">
        <v>93.53</v>
      </c>
      <c r="V280" s="363">
        <v>6.7</v>
      </c>
      <c r="W280" s="363">
        <v>2</v>
      </c>
      <c r="X280" s="363">
        <v>2</v>
      </c>
      <c r="Y280" s="328"/>
      <c r="Z280" s="328"/>
      <c r="AA280" s="328"/>
      <c r="AB280" s="366">
        <v>3.04</v>
      </c>
      <c r="AC280" s="328">
        <v>71</v>
      </c>
      <c r="AD280" s="346">
        <v>973</v>
      </c>
      <c r="AE280" s="328"/>
      <c r="AF280" s="328"/>
      <c r="AG280" s="328"/>
      <c r="AH280" s="327">
        <v>508</v>
      </c>
      <c r="AI280" s="327">
        <v>457</v>
      </c>
      <c r="AJ280" s="327">
        <v>216</v>
      </c>
      <c r="AK280" s="327">
        <v>80</v>
      </c>
      <c r="AL280" s="327">
        <v>170</v>
      </c>
      <c r="AM280" s="327">
        <v>22</v>
      </c>
      <c r="AN280" s="327">
        <v>71</v>
      </c>
      <c r="AO280" s="327" t="s">
        <v>249</v>
      </c>
      <c r="AP280" s="327">
        <v>315</v>
      </c>
      <c r="AQ280" s="327">
        <v>28</v>
      </c>
      <c r="AR280" s="327">
        <v>630</v>
      </c>
      <c r="AS280" s="327">
        <v>645</v>
      </c>
      <c r="AT280" s="327">
        <v>535</v>
      </c>
      <c r="AU280" s="327">
        <v>885</v>
      </c>
      <c r="AV280" s="327">
        <v>1335</v>
      </c>
      <c r="AW280" s="328">
        <v>1460</v>
      </c>
      <c r="AX280" s="328"/>
      <c r="AY280" s="328"/>
      <c r="AZ280" s="328"/>
      <c r="BA280" s="328"/>
      <c r="BB280" s="328"/>
      <c r="BC280" s="328"/>
      <c r="BD280" s="328"/>
      <c r="BE280" s="328"/>
      <c r="BF280" s="328"/>
      <c r="BG280" s="328"/>
      <c r="BH280" s="327">
        <v>600</v>
      </c>
      <c r="BI280" s="327">
        <v>550</v>
      </c>
      <c r="BJ280" s="327">
        <v>660</v>
      </c>
      <c r="BK280" s="327">
        <v>24</v>
      </c>
      <c r="BL280" s="327">
        <v>6</v>
      </c>
      <c r="BM280" s="325" t="s">
        <v>389</v>
      </c>
      <c r="BN280" s="325" t="s">
        <v>389</v>
      </c>
      <c r="BO280" s="326"/>
      <c r="BP280" s="326"/>
      <c r="BQ280" s="325" t="s">
        <v>388</v>
      </c>
    </row>
    <row r="281" spans="1:70" ht="12" customHeight="1">
      <c r="A281" s="320">
        <v>621</v>
      </c>
      <c r="B281" s="336" t="s">
        <v>656</v>
      </c>
      <c r="C281" s="328" t="s">
        <v>655</v>
      </c>
      <c r="D281" s="336" t="s">
        <v>660</v>
      </c>
      <c r="E281" s="328">
        <v>315</v>
      </c>
      <c r="F281" s="365">
        <v>6</v>
      </c>
      <c r="G281" s="325">
        <v>110</v>
      </c>
      <c r="H281" s="327">
        <v>132</v>
      </c>
      <c r="I281" s="327">
        <v>995</v>
      </c>
      <c r="J281" s="344">
        <v>1194</v>
      </c>
      <c r="K281" s="328"/>
      <c r="L281" s="364">
        <v>198.1</v>
      </c>
      <c r="M281" s="331">
        <f t="shared" si="348"/>
        <v>206.71304347826086</v>
      </c>
      <c r="N281" s="347">
        <v>0.85</v>
      </c>
      <c r="O281" s="349">
        <v>94.3</v>
      </c>
      <c r="P281" s="348">
        <v>94.76</v>
      </c>
      <c r="Q281" s="348">
        <v>93.85</v>
      </c>
      <c r="R281" s="347">
        <v>0.85</v>
      </c>
      <c r="S281" s="349">
        <v>94.3</v>
      </c>
      <c r="T281" s="348">
        <v>94.76</v>
      </c>
      <c r="U281" s="348">
        <v>93.85</v>
      </c>
      <c r="V281" s="363">
        <v>6.7</v>
      </c>
      <c r="W281" s="363">
        <v>2</v>
      </c>
      <c r="X281" s="363">
        <v>2</v>
      </c>
      <c r="Y281" s="328"/>
      <c r="Z281" s="328"/>
      <c r="AA281" s="328"/>
      <c r="AB281" s="366">
        <v>3.71</v>
      </c>
      <c r="AC281" s="328">
        <v>71</v>
      </c>
      <c r="AD281" s="346">
        <v>1022</v>
      </c>
      <c r="AE281" s="328"/>
      <c r="AF281" s="328"/>
      <c r="AG281" s="328"/>
      <c r="AH281" s="327">
        <v>508</v>
      </c>
      <c r="AI281" s="327">
        <v>508</v>
      </c>
      <c r="AJ281" s="327">
        <v>216</v>
      </c>
      <c r="AK281" s="327">
        <v>80</v>
      </c>
      <c r="AL281" s="327">
        <v>170</v>
      </c>
      <c r="AM281" s="327">
        <v>22</v>
      </c>
      <c r="AN281" s="327">
        <v>71</v>
      </c>
      <c r="AO281" s="327" t="s">
        <v>249</v>
      </c>
      <c r="AP281" s="327">
        <v>315</v>
      </c>
      <c r="AQ281" s="327">
        <v>28</v>
      </c>
      <c r="AR281" s="327">
        <v>630</v>
      </c>
      <c r="AS281" s="327">
        <v>645</v>
      </c>
      <c r="AT281" s="327">
        <v>535</v>
      </c>
      <c r="AU281" s="327">
        <v>885</v>
      </c>
      <c r="AV281" s="327">
        <v>1335</v>
      </c>
      <c r="AW281" s="328">
        <v>1460</v>
      </c>
      <c r="AX281" s="328"/>
      <c r="AY281" s="328"/>
      <c r="AZ281" s="328"/>
      <c r="BA281" s="328"/>
      <c r="BB281" s="328"/>
      <c r="BC281" s="328"/>
      <c r="BD281" s="328"/>
      <c r="BE281" s="328"/>
      <c r="BF281" s="328"/>
      <c r="BG281" s="328"/>
      <c r="BH281" s="327">
        <v>600</v>
      </c>
      <c r="BI281" s="327">
        <v>550</v>
      </c>
      <c r="BJ281" s="327">
        <v>660</v>
      </c>
      <c r="BK281" s="327">
        <v>24</v>
      </c>
      <c r="BL281" s="327">
        <v>6</v>
      </c>
      <c r="BM281" s="325" t="s">
        <v>389</v>
      </c>
      <c r="BN281" s="325" t="s">
        <v>389</v>
      </c>
      <c r="BO281" s="326"/>
      <c r="BP281" s="326"/>
      <c r="BQ281" s="325" t="s">
        <v>388</v>
      </c>
    </row>
    <row r="282" spans="1:70" ht="12" customHeight="1">
      <c r="A282" s="320">
        <v>622</v>
      </c>
      <c r="B282" s="336" t="s">
        <v>656</v>
      </c>
      <c r="C282" s="328" t="s">
        <v>655</v>
      </c>
      <c r="D282" s="336" t="s">
        <v>659</v>
      </c>
      <c r="E282" s="328">
        <v>315</v>
      </c>
      <c r="F282" s="365">
        <v>6</v>
      </c>
      <c r="G282" s="325">
        <v>132</v>
      </c>
      <c r="H282" s="327">
        <v>158.4</v>
      </c>
      <c r="I282" s="327">
        <v>995</v>
      </c>
      <c r="J282" s="344">
        <v>1194</v>
      </c>
      <c r="K282" s="328"/>
      <c r="L282" s="364">
        <v>234.2</v>
      </c>
      <c r="M282" s="331">
        <f t="shared" si="348"/>
        <v>244.38260869565218</v>
      </c>
      <c r="N282" s="347">
        <v>0.86</v>
      </c>
      <c r="O282" s="349">
        <v>94.6</v>
      </c>
      <c r="P282" s="348">
        <v>95.16</v>
      </c>
      <c r="Q282" s="348">
        <v>94.34</v>
      </c>
      <c r="R282" s="347">
        <v>0.86</v>
      </c>
      <c r="S282" s="349">
        <v>94.6</v>
      </c>
      <c r="T282" s="348">
        <v>95.16</v>
      </c>
      <c r="U282" s="348">
        <v>94.34</v>
      </c>
      <c r="V282" s="363">
        <v>6.7</v>
      </c>
      <c r="W282" s="363">
        <v>2</v>
      </c>
      <c r="X282" s="363">
        <v>2</v>
      </c>
      <c r="Y282" s="328"/>
      <c r="Z282" s="328"/>
      <c r="AA282" s="328"/>
      <c r="AB282" s="366">
        <v>4.24</v>
      </c>
      <c r="AC282" s="328">
        <v>71</v>
      </c>
      <c r="AD282" s="346">
        <v>1112</v>
      </c>
      <c r="AE282" s="328"/>
      <c r="AF282" s="328"/>
      <c r="AG282" s="328"/>
      <c r="AH282" s="327">
        <v>508</v>
      </c>
      <c r="AI282" s="327">
        <v>508</v>
      </c>
      <c r="AJ282" s="327">
        <v>216</v>
      </c>
      <c r="AK282" s="327">
        <v>80</v>
      </c>
      <c r="AL282" s="327">
        <v>170</v>
      </c>
      <c r="AM282" s="327">
        <v>22</v>
      </c>
      <c r="AN282" s="327">
        <v>71</v>
      </c>
      <c r="AO282" s="327" t="s">
        <v>249</v>
      </c>
      <c r="AP282" s="327">
        <v>315</v>
      </c>
      <c r="AQ282" s="327">
        <v>28</v>
      </c>
      <c r="AR282" s="327">
        <v>630</v>
      </c>
      <c r="AS282" s="327">
        <v>645</v>
      </c>
      <c r="AT282" s="327">
        <v>535</v>
      </c>
      <c r="AU282" s="327">
        <v>885</v>
      </c>
      <c r="AV282" s="327">
        <v>1335</v>
      </c>
      <c r="AW282" s="328">
        <v>1460</v>
      </c>
      <c r="AX282" s="328"/>
      <c r="AY282" s="328"/>
      <c r="AZ282" s="328"/>
      <c r="BA282" s="328"/>
      <c r="BB282" s="328"/>
      <c r="BC282" s="328"/>
      <c r="BD282" s="328"/>
      <c r="BE282" s="328"/>
      <c r="BF282" s="328"/>
      <c r="BG282" s="328"/>
      <c r="BH282" s="327">
        <v>600</v>
      </c>
      <c r="BI282" s="327">
        <v>550</v>
      </c>
      <c r="BJ282" s="327">
        <v>660</v>
      </c>
      <c r="BK282" s="327">
        <v>24</v>
      </c>
      <c r="BL282" s="327">
        <v>6</v>
      </c>
      <c r="BM282" s="325" t="s">
        <v>389</v>
      </c>
      <c r="BN282" s="325" t="s">
        <v>389</v>
      </c>
      <c r="BO282" s="326"/>
      <c r="BP282" s="326"/>
      <c r="BQ282" s="325" t="s">
        <v>388</v>
      </c>
    </row>
    <row r="283" spans="1:70" ht="12" customHeight="1">
      <c r="A283" s="320">
        <v>623</v>
      </c>
      <c r="B283" s="336" t="s">
        <v>656</v>
      </c>
      <c r="C283" s="328" t="s">
        <v>655</v>
      </c>
      <c r="D283" s="336" t="s">
        <v>658</v>
      </c>
      <c r="E283" s="328">
        <v>355</v>
      </c>
      <c r="F283" s="365">
        <v>6</v>
      </c>
      <c r="G283" s="325">
        <v>160</v>
      </c>
      <c r="H283" s="327">
        <v>192</v>
      </c>
      <c r="I283" s="327">
        <v>995</v>
      </c>
      <c r="J283" s="344">
        <v>1194</v>
      </c>
      <c r="K283" s="328"/>
      <c r="L283" s="364">
        <v>280</v>
      </c>
      <c r="M283" s="331">
        <f t="shared" si="348"/>
        <v>292.17391304347825</v>
      </c>
      <c r="N283" s="347">
        <v>0.87</v>
      </c>
      <c r="O283" s="349">
        <v>94.8</v>
      </c>
      <c r="P283" s="348">
        <v>94.46</v>
      </c>
      <c r="Q283" s="348">
        <v>93.22</v>
      </c>
      <c r="R283" s="347">
        <v>0.87</v>
      </c>
      <c r="S283" s="349">
        <v>94.8</v>
      </c>
      <c r="T283" s="348">
        <v>94.46</v>
      </c>
      <c r="U283" s="348">
        <v>93.22</v>
      </c>
      <c r="V283" s="363">
        <v>6.7</v>
      </c>
      <c r="W283" s="363">
        <v>2</v>
      </c>
      <c r="X283" s="363">
        <v>2</v>
      </c>
      <c r="Y283" s="328"/>
      <c r="Z283" s="328"/>
      <c r="AA283" s="328"/>
      <c r="AB283" s="366">
        <v>7.44</v>
      </c>
      <c r="AC283" s="328">
        <v>75</v>
      </c>
      <c r="AD283" s="346">
        <v>1628</v>
      </c>
      <c r="AE283" s="328"/>
      <c r="AF283" s="328"/>
      <c r="AG283" s="328"/>
      <c r="AH283" s="327">
        <v>610</v>
      </c>
      <c r="AI283" s="327">
        <v>560</v>
      </c>
      <c r="AJ283" s="327">
        <v>254</v>
      </c>
      <c r="AK283" s="327">
        <v>95</v>
      </c>
      <c r="AL283" s="327">
        <v>170</v>
      </c>
      <c r="AM283" s="327">
        <v>25</v>
      </c>
      <c r="AN283" s="327">
        <v>86</v>
      </c>
      <c r="AO283" s="327" t="s">
        <v>250</v>
      </c>
      <c r="AP283" s="327">
        <v>355</v>
      </c>
      <c r="AQ283" s="327">
        <v>28</v>
      </c>
      <c r="AR283" s="327">
        <v>730</v>
      </c>
      <c r="AS283" s="327">
        <v>720</v>
      </c>
      <c r="AT283" s="327">
        <v>700</v>
      </c>
      <c r="AU283" s="327">
        <v>1065</v>
      </c>
      <c r="AV283" s="327">
        <v>1545</v>
      </c>
      <c r="AW283" s="328">
        <v>1690</v>
      </c>
      <c r="AX283" s="328"/>
      <c r="AY283" s="328"/>
      <c r="AZ283" s="328"/>
      <c r="BA283" s="328"/>
      <c r="BB283" s="328"/>
      <c r="BC283" s="328"/>
      <c r="BD283" s="328"/>
      <c r="BE283" s="328"/>
      <c r="BF283" s="328"/>
      <c r="BG283" s="328"/>
      <c r="BH283" s="327">
        <v>740</v>
      </c>
      <c r="BI283" s="327">
        <v>680</v>
      </c>
      <c r="BJ283" s="327">
        <v>800</v>
      </c>
      <c r="BK283" s="327">
        <v>24</v>
      </c>
      <c r="BL283" s="327">
        <v>6</v>
      </c>
      <c r="BM283" s="325" t="s">
        <v>390</v>
      </c>
      <c r="BN283" s="325" t="s">
        <v>389</v>
      </c>
      <c r="BO283" s="326"/>
      <c r="BP283" s="326"/>
      <c r="BQ283" s="325" t="s">
        <v>388</v>
      </c>
    </row>
    <row r="284" spans="1:70" ht="12" customHeight="1">
      <c r="A284" s="320">
        <v>624</v>
      </c>
      <c r="B284" s="336" t="s">
        <v>656</v>
      </c>
      <c r="C284" s="328" t="s">
        <v>655</v>
      </c>
      <c r="D284" s="336" t="s">
        <v>657</v>
      </c>
      <c r="E284" s="328">
        <v>355</v>
      </c>
      <c r="F284" s="365">
        <v>6</v>
      </c>
      <c r="G284" s="325">
        <v>200</v>
      </c>
      <c r="H284" s="327">
        <v>240</v>
      </c>
      <c r="I284" s="327">
        <v>995</v>
      </c>
      <c r="J284" s="344">
        <v>1194</v>
      </c>
      <c r="K284" s="328"/>
      <c r="L284" s="364">
        <v>366.1</v>
      </c>
      <c r="M284" s="333">
        <f t="shared" si="348"/>
        <v>382.01739130434783</v>
      </c>
      <c r="N284" s="347">
        <v>0.87</v>
      </c>
      <c r="O284" s="349">
        <v>95</v>
      </c>
      <c r="P284" s="348">
        <v>94.85</v>
      </c>
      <c r="Q284" s="348">
        <v>93.76</v>
      </c>
      <c r="R284" s="347">
        <v>0.87</v>
      </c>
      <c r="S284" s="349">
        <v>95</v>
      </c>
      <c r="T284" s="348">
        <v>94.85</v>
      </c>
      <c r="U284" s="348">
        <v>93.76</v>
      </c>
      <c r="V284" s="363">
        <v>6.7</v>
      </c>
      <c r="W284" s="363">
        <v>2</v>
      </c>
      <c r="X284" s="363">
        <v>2</v>
      </c>
      <c r="Y284" s="328"/>
      <c r="Z284" s="328"/>
      <c r="AA284" s="328"/>
      <c r="AB284" s="366">
        <v>9.1</v>
      </c>
      <c r="AC284" s="328">
        <v>75</v>
      </c>
      <c r="AD284" s="346">
        <v>1760</v>
      </c>
      <c r="AE284" s="328"/>
      <c r="AF284" s="328"/>
      <c r="AG284" s="328"/>
      <c r="AH284" s="327">
        <v>610</v>
      </c>
      <c r="AI284" s="327">
        <v>560</v>
      </c>
      <c r="AJ284" s="327">
        <v>254</v>
      </c>
      <c r="AK284" s="327">
        <v>95</v>
      </c>
      <c r="AL284" s="327">
        <v>170</v>
      </c>
      <c r="AM284" s="327">
        <v>25</v>
      </c>
      <c r="AN284" s="327">
        <v>86</v>
      </c>
      <c r="AO284" s="327" t="s">
        <v>250</v>
      </c>
      <c r="AP284" s="327">
        <v>355</v>
      </c>
      <c r="AQ284" s="327">
        <v>28</v>
      </c>
      <c r="AR284" s="327">
        <v>730</v>
      </c>
      <c r="AS284" s="327">
        <v>720</v>
      </c>
      <c r="AT284" s="327">
        <v>700</v>
      </c>
      <c r="AU284" s="327">
        <v>1065</v>
      </c>
      <c r="AV284" s="327">
        <v>1545</v>
      </c>
      <c r="AW284" s="328">
        <v>1690</v>
      </c>
      <c r="AX284" s="328"/>
      <c r="AY284" s="328"/>
      <c r="AZ284" s="328"/>
      <c r="BA284" s="328"/>
      <c r="BB284" s="328"/>
      <c r="BC284" s="328"/>
      <c r="BD284" s="328"/>
      <c r="BE284" s="328"/>
      <c r="BF284" s="328"/>
      <c r="BG284" s="328"/>
      <c r="BH284" s="327">
        <v>740</v>
      </c>
      <c r="BI284" s="327">
        <v>680</v>
      </c>
      <c r="BJ284" s="327">
        <v>800</v>
      </c>
      <c r="BK284" s="327">
        <v>24</v>
      </c>
      <c r="BL284" s="327">
        <v>6</v>
      </c>
      <c r="BM284" s="325" t="s">
        <v>390</v>
      </c>
      <c r="BN284" s="325" t="s">
        <v>389</v>
      </c>
      <c r="BO284" s="326"/>
      <c r="BP284" s="326"/>
      <c r="BQ284" s="325" t="s">
        <v>388</v>
      </c>
    </row>
    <row r="285" spans="1:70" ht="12" customHeight="1">
      <c r="A285" s="320">
        <v>625</v>
      </c>
      <c r="B285" s="336" t="s">
        <v>656</v>
      </c>
      <c r="C285" s="328" t="s">
        <v>655</v>
      </c>
      <c r="D285" s="336" t="s">
        <v>654</v>
      </c>
      <c r="E285" s="328">
        <v>355</v>
      </c>
      <c r="F285" s="365">
        <v>6</v>
      </c>
      <c r="G285" s="325">
        <v>250</v>
      </c>
      <c r="H285" s="327">
        <v>300</v>
      </c>
      <c r="I285" s="327">
        <v>995</v>
      </c>
      <c r="J285" s="344">
        <v>1194</v>
      </c>
      <c r="K285" s="328"/>
      <c r="L285" s="364">
        <v>436.6</v>
      </c>
      <c r="M285" s="331">
        <f t="shared" si="348"/>
        <v>455.5826086956522</v>
      </c>
      <c r="N285" s="347">
        <v>0.87</v>
      </c>
      <c r="O285" s="349">
        <v>95</v>
      </c>
      <c r="P285" s="348">
        <v>95.18</v>
      </c>
      <c r="Q285" s="348">
        <v>94.19</v>
      </c>
      <c r="R285" s="347">
        <v>0.87</v>
      </c>
      <c r="S285" s="349">
        <v>95</v>
      </c>
      <c r="T285" s="348">
        <v>95.18</v>
      </c>
      <c r="U285" s="348">
        <v>94.19</v>
      </c>
      <c r="V285" s="363">
        <v>6.7</v>
      </c>
      <c r="W285" s="363">
        <v>2</v>
      </c>
      <c r="X285" s="363">
        <v>2</v>
      </c>
      <c r="Y285" s="328"/>
      <c r="Z285" s="328"/>
      <c r="AA285" s="328"/>
      <c r="AB285" s="362">
        <v>10.8</v>
      </c>
      <c r="AC285" s="328">
        <v>72</v>
      </c>
      <c r="AD285" s="346">
        <v>1924</v>
      </c>
      <c r="AE285" s="328"/>
      <c r="AF285" s="328"/>
      <c r="AG285" s="328"/>
      <c r="AH285" s="327">
        <v>610</v>
      </c>
      <c r="AI285" s="327">
        <v>630</v>
      </c>
      <c r="AJ285" s="327">
        <v>254</v>
      </c>
      <c r="AK285" s="327">
        <v>95</v>
      </c>
      <c r="AL285" s="327">
        <v>170</v>
      </c>
      <c r="AM285" s="327">
        <v>25</v>
      </c>
      <c r="AN285" s="327">
        <v>86</v>
      </c>
      <c r="AO285" s="327" t="s">
        <v>250</v>
      </c>
      <c r="AP285" s="327">
        <v>355</v>
      </c>
      <c r="AQ285" s="327">
        <v>28</v>
      </c>
      <c r="AR285" s="327">
        <v>730</v>
      </c>
      <c r="AS285" s="327">
        <v>720</v>
      </c>
      <c r="AT285" s="327">
        <v>700</v>
      </c>
      <c r="AU285" s="327">
        <v>1065</v>
      </c>
      <c r="AV285" s="327">
        <v>1545</v>
      </c>
      <c r="AW285" s="328">
        <v>1690</v>
      </c>
      <c r="AX285" s="328"/>
      <c r="AY285" s="328"/>
      <c r="AZ285" s="328"/>
      <c r="BA285" s="328"/>
      <c r="BB285" s="328"/>
      <c r="BC285" s="328"/>
      <c r="BD285" s="328"/>
      <c r="BE285" s="328"/>
      <c r="BF285" s="328"/>
      <c r="BG285" s="328"/>
      <c r="BH285" s="327">
        <v>740</v>
      </c>
      <c r="BI285" s="327">
        <v>680</v>
      </c>
      <c r="BJ285" s="327">
        <v>800</v>
      </c>
      <c r="BK285" s="327">
        <v>24</v>
      </c>
      <c r="BL285" s="327">
        <v>6</v>
      </c>
      <c r="BM285" s="325" t="s">
        <v>390</v>
      </c>
      <c r="BN285" s="325" t="s">
        <v>389</v>
      </c>
      <c r="BO285" s="326"/>
      <c r="BP285" s="326"/>
      <c r="BQ285" s="325" t="s">
        <v>388</v>
      </c>
    </row>
    <row r="286" spans="1:70" s="1845" customFormat="1" ht="12" customHeight="1">
      <c r="A286" s="1842">
        <f>A285</f>
        <v>625</v>
      </c>
      <c r="B286" s="1843" t="str">
        <f t="shared" ref="B286" si="349">B285</f>
        <v>3D2</v>
      </c>
      <c r="C286" s="1844" t="str">
        <f t="shared" ref="C286" si="350">C285</f>
        <v>IE2</v>
      </c>
      <c r="D286" s="1843" t="str">
        <f t="shared" ref="D286" si="351">D285</f>
        <v>3D2 355 L-6</v>
      </c>
      <c r="E286" s="1845">
        <f t="shared" ref="E286" si="352">E285</f>
        <v>355</v>
      </c>
      <c r="F286" s="1846">
        <f t="shared" ref="F286" si="353">F285</f>
        <v>6</v>
      </c>
      <c r="G286" s="1844">
        <f t="shared" ref="G286" si="354">G285</f>
        <v>250</v>
      </c>
      <c r="H286" s="1844">
        <f t="shared" ref="H286" si="355">H285</f>
        <v>300</v>
      </c>
      <c r="I286" s="1844">
        <f t="shared" ref="I286" si="356">I285</f>
        <v>995</v>
      </c>
      <c r="J286" s="1847">
        <f t="shared" ref="J286" si="357">J285</f>
        <v>1194</v>
      </c>
      <c r="K286" s="1845">
        <f t="shared" ref="K286" si="358">K285</f>
        <v>0</v>
      </c>
      <c r="L286" s="1844">
        <f t="shared" ref="L286" si="359">L285</f>
        <v>436.6</v>
      </c>
      <c r="M286" s="1848">
        <f t="shared" ref="M286" si="360">M285</f>
        <v>455.5826086956522</v>
      </c>
      <c r="N286" s="1849">
        <f t="shared" ref="N286" si="361">N285</f>
        <v>0.87</v>
      </c>
      <c r="O286" s="1850">
        <f t="shared" ref="O286" si="362">O285</f>
        <v>95</v>
      </c>
      <c r="P286" s="1845">
        <f t="shared" ref="P286" si="363">P285</f>
        <v>95.18</v>
      </c>
      <c r="Q286" s="1845">
        <f t="shared" ref="Q286" si="364">Q285</f>
        <v>94.19</v>
      </c>
      <c r="R286" s="1849">
        <f t="shared" ref="R286" si="365">R285</f>
        <v>0.87</v>
      </c>
      <c r="S286" s="1850">
        <f t="shared" ref="S286" si="366">S285</f>
        <v>95</v>
      </c>
      <c r="T286" s="1845">
        <f t="shared" ref="T286" si="367">T285</f>
        <v>95.18</v>
      </c>
      <c r="U286" s="1845">
        <f t="shared" ref="U286" si="368">U285</f>
        <v>94.19</v>
      </c>
      <c r="V286" s="1849">
        <f t="shared" ref="V286" si="369">V285</f>
        <v>6.7</v>
      </c>
      <c r="W286" s="1849">
        <f t="shared" ref="W286" si="370">W285</f>
        <v>2</v>
      </c>
      <c r="X286" s="1850">
        <f t="shared" ref="X286" si="371">X285</f>
        <v>2</v>
      </c>
      <c r="Y286" s="1845">
        <f t="shared" ref="Y286" si="372">Y285</f>
        <v>0</v>
      </c>
      <c r="Z286" s="1845">
        <f t="shared" ref="Z286" si="373">Z285</f>
        <v>0</v>
      </c>
      <c r="AA286" s="1845">
        <f t="shared" ref="AA286" si="374">AA285</f>
        <v>0</v>
      </c>
      <c r="AB286" s="1851">
        <f t="shared" ref="AB286" si="375">AB285</f>
        <v>10.8</v>
      </c>
      <c r="AC286" s="1845">
        <f t="shared" ref="AC286" si="376">AC285</f>
        <v>72</v>
      </c>
      <c r="AD286" s="1844">
        <f t="shared" ref="AD286" si="377">AD285</f>
        <v>1924</v>
      </c>
      <c r="AE286" s="1845">
        <f t="shared" ref="AE286" si="378">AE285</f>
        <v>0</v>
      </c>
      <c r="AF286" s="1845">
        <f t="shared" ref="AF286" si="379">AF285</f>
        <v>0</v>
      </c>
      <c r="AG286" s="1845">
        <f t="shared" ref="AG286" si="380">AG285</f>
        <v>0</v>
      </c>
      <c r="AH286" s="1844">
        <f t="shared" ref="AH286" si="381">AH285</f>
        <v>610</v>
      </c>
      <c r="AI286" s="1844">
        <f t="shared" ref="AI286" si="382">AI285</f>
        <v>630</v>
      </c>
      <c r="AJ286" s="1844">
        <f t="shared" ref="AJ286" si="383">AJ285</f>
        <v>254</v>
      </c>
      <c r="AK286" s="1844">
        <f t="shared" ref="AK286" si="384">AK285</f>
        <v>95</v>
      </c>
      <c r="AL286" s="1844">
        <f t="shared" ref="AL286" si="385">AL285</f>
        <v>170</v>
      </c>
      <c r="AM286" s="1844">
        <f t="shared" ref="AM286" si="386">AM285</f>
        <v>25</v>
      </c>
      <c r="AN286" s="1844">
        <f t="shared" ref="AN286" si="387">AN285</f>
        <v>86</v>
      </c>
      <c r="AO286" s="1844" t="str">
        <f t="shared" ref="AO286" si="388">AO285</f>
        <v>M24</v>
      </c>
      <c r="AP286" s="1844">
        <f t="shared" ref="AP286" si="389">AP285</f>
        <v>355</v>
      </c>
      <c r="AQ286" s="1844">
        <f t="shared" ref="AQ286" si="390">AQ285</f>
        <v>28</v>
      </c>
      <c r="AR286" s="1844">
        <f t="shared" ref="AR286" si="391">AR285</f>
        <v>730</v>
      </c>
      <c r="AS286" s="1844">
        <f t="shared" ref="AS286" si="392">AS285</f>
        <v>720</v>
      </c>
      <c r="AT286" s="1844">
        <f t="shared" ref="AT286" si="393">AT285</f>
        <v>700</v>
      </c>
      <c r="AU286" s="1844">
        <f t="shared" ref="AU286" si="394">AU285</f>
        <v>1065</v>
      </c>
      <c r="AV286" s="1844">
        <f t="shared" ref="AV286" si="395">AV285</f>
        <v>1545</v>
      </c>
      <c r="AW286" s="1844">
        <f t="shared" ref="AW286" si="396">AW285</f>
        <v>1690</v>
      </c>
      <c r="AX286" s="1845">
        <f t="shared" ref="AX286" si="397">AX285</f>
        <v>0</v>
      </c>
      <c r="AY286" s="1845">
        <f t="shared" ref="AY286" si="398">AY285</f>
        <v>0</v>
      </c>
      <c r="AZ286" s="1845">
        <f t="shared" ref="AZ286" si="399">AZ285</f>
        <v>0</v>
      </c>
      <c r="BA286" s="1845">
        <f t="shared" ref="BA286" si="400">BA285</f>
        <v>0</v>
      </c>
      <c r="BB286" s="1845">
        <f t="shared" ref="BB286" si="401">BB285</f>
        <v>0</v>
      </c>
      <c r="BC286" s="1845">
        <f t="shared" ref="BC286" si="402">BC285</f>
        <v>0</v>
      </c>
      <c r="BD286" s="1845">
        <f t="shared" ref="BD286" si="403">BD285</f>
        <v>0</v>
      </c>
      <c r="BE286" s="1845">
        <f t="shared" ref="BE286" si="404">BE285</f>
        <v>0</v>
      </c>
      <c r="BF286" s="1845">
        <f t="shared" ref="BF286" si="405">BF285</f>
        <v>0</v>
      </c>
      <c r="BG286" s="1845">
        <f t="shared" ref="BG286" si="406">BG285</f>
        <v>0</v>
      </c>
      <c r="BH286" s="1844">
        <f t="shared" ref="BH286" si="407">BH285</f>
        <v>740</v>
      </c>
      <c r="BI286" s="1844">
        <f t="shared" ref="BI286" si="408">BI285</f>
        <v>680</v>
      </c>
      <c r="BJ286" s="1844">
        <f t="shared" ref="BJ286" si="409">BJ285</f>
        <v>800</v>
      </c>
      <c r="BK286" s="1844">
        <f t="shared" ref="BK286" si="410">BK285</f>
        <v>24</v>
      </c>
      <c r="BL286" s="1844">
        <f t="shared" ref="BL286" si="411">BL285</f>
        <v>6</v>
      </c>
      <c r="BM286" s="1844" t="str">
        <f t="shared" ref="BM286" si="412">BM285</f>
        <v>6322/C3</v>
      </c>
      <c r="BN286" s="1844" t="str">
        <f t="shared" ref="BN286" si="413">BN285</f>
        <v>6319/C3</v>
      </c>
      <c r="BO286" s="1852">
        <f t="shared" ref="BO286" si="414">BO285</f>
        <v>0</v>
      </c>
      <c r="BP286" s="1852">
        <f t="shared" ref="BP286" si="415">BP285</f>
        <v>0</v>
      </c>
      <c r="BQ286" s="1845" t="str">
        <f t="shared" ref="BQ286" si="416">BQ285</f>
        <v>2×63×1.5</v>
      </c>
      <c r="BR286" s="1842"/>
    </row>
    <row r="287" spans="1:70" ht="12" customHeight="1">
      <c r="A287" s="320">
        <v>801</v>
      </c>
      <c r="B287" s="337" t="s">
        <v>394</v>
      </c>
      <c r="C287" s="328" t="s">
        <v>393</v>
      </c>
      <c r="D287" s="358" t="s">
        <v>653</v>
      </c>
      <c r="E287" s="326">
        <v>80</v>
      </c>
      <c r="F287" s="355">
        <v>2</v>
      </c>
      <c r="G287" s="326">
        <v>0.75</v>
      </c>
      <c r="H287" s="325">
        <f t="shared" ref="H287:H319" si="417">G287*1.2</f>
        <v>0.89999999999999991</v>
      </c>
      <c r="I287" s="326">
        <v>2885</v>
      </c>
      <c r="J287" s="335">
        <f t="shared" ref="J287:J319" si="418">I287*1.2</f>
        <v>3462</v>
      </c>
      <c r="K287" s="326"/>
      <c r="L287" s="326">
        <v>1.6</v>
      </c>
      <c r="M287" s="333">
        <f t="shared" si="348"/>
        <v>1.6695652173913043</v>
      </c>
      <c r="N287" s="326">
        <v>0.82</v>
      </c>
      <c r="O287" s="352">
        <v>81.39</v>
      </c>
      <c r="P287" s="331">
        <v>81.739999999999995</v>
      </c>
      <c r="Q287" s="331">
        <v>80.02</v>
      </c>
      <c r="R287" s="326">
        <v>0.82</v>
      </c>
      <c r="S287" s="352">
        <v>81.39</v>
      </c>
      <c r="T287" s="331">
        <v>81.739999999999995</v>
      </c>
      <c r="U287" s="331">
        <v>80.02</v>
      </c>
      <c r="V287" s="331">
        <v>2.2999999999999998</v>
      </c>
      <c r="W287" s="331">
        <v>2.2999999999999998</v>
      </c>
      <c r="X287" s="331">
        <v>7</v>
      </c>
      <c r="Y287" s="328"/>
      <c r="Z287" s="328"/>
      <c r="AA287" s="328"/>
      <c r="AB287" s="328" t="s">
        <v>652</v>
      </c>
      <c r="AC287" s="328" t="s">
        <v>648</v>
      </c>
      <c r="AD287" s="328" t="s">
        <v>651</v>
      </c>
      <c r="AE287" s="328"/>
      <c r="AF287" s="328"/>
      <c r="AG287" s="328"/>
      <c r="AH287" s="327">
        <v>125</v>
      </c>
      <c r="AI287" s="327">
        <v>100</v>
      </c>
      <c r="AJ287" s="327">
        <v>50</v>
      </c>
      <c r="AK287" s="327">
        <v>19</v>
      </c>
      <c r="AL287" s="327">
        <v>40</v>
      </c>
      <c r="AM287" s="327">
        <v>6</v>
      </c>
      <c r="AN287" s="327">
        <v>15.5</v>
      </c>
      <c r="AO287" s="327" t="s">
        <v>244</v>
      </c>
      <c r="AP287" s="327">
        <v>80</v>
      </c>
      <c r="AQ287" s="327">
        <v>10</v>
      </c>
      <c r="AR287" s="327">
        <v>165</v>
      </c>
      <c r="AS287" s="327">
        <v>165</v>
      </c>
      <c r="AT287" s="327">
        <v>165</v>
      </c>
      <c r="AU287" s="327">
        <v>245</v>
      </c>
      <c r="AV287" s="327">
        <v>295</v>
      </c>
      <c r="AW287" s="327">
        <v>345</v>
      </c>
      <c r="AX287" s="327">
        <v>100</v>
      </c>
      <c r="AY287" s="327">
        <v>80</v>
      </c>
      <c r="AZ287" s="327">
        <v>120</v>
      </c>
      <c r="BA287" s="327" t="s">
        <v>244</v>
      </c>
      <c r="BB287" s="327">
        <v>3</v>
      </c>
      <c r="BC287" s="327">
        <v>130</v>
      </c>
      <c r="BD287" s="327">
        <v>110</v>
      </c>
      <c r="BE287" s="327">
        <v>160</v>
      </c>
      <c r="BF287" s="327" t="s">
        <v>245</v>
      </c>
      <c r="BG287" s="327">
        <v>3.5</v>
      </c>
      <c r="BH287" s="327">
        <v>165</v>
      </c>
      <c r="BI287" s="327">
        <v>130</v>
      </c>
      <c r="BJ287" s="327">
        <v>200</v>
      </c>
      <c r="BK287" s="327">
        <v>12</v>
      </c>
      <c r="BL287" s="327">
        <v>3.5</v>
      </c>
      <c r="BM287" s="325" t="s">
        <v>568</v>
      </c>
      <c r="BN287" s="325" t="s">
        <v>568</v>
      </c>
      <c r="BO287" s="326"/>
      <c r="BP287" s="326"/>
      <c r="BQ287" s="325" t="s">
        <v>480</v>
      </c>
    </row>
    <row r="288" spans="1:70" ht="12" customHeight="1">
      <c r="A288" s="320">
        <v>802</v>
      </c>
      <c r="B288" s="337" t="s">
        <v>394</v>
      </c>
      <c r="C288" s="328" t="s">
        <v>393</v>
      </c>
      <c r="D288" s="358" t="s">
        <v>650</v>
      </c>
      <c r="E288" s="326">
        <v>80</v>
      </c>
      <c r="F288" s="355">
        <v>2</v>
      </c>
      <c r="G288" s="326">
        <v>1.1000000000000001</v>
      </c>
      <c r="H288" s="325">
        <f t="shared" si="417"/>
        <v>1.32</v>
      </c>
      <c r="I288" s="326">
        <v>2885</v>
      </c>
      <c r="J288" s="335">
        <f t="shared" si="418"/>
        <v>3462</v>
      </c>
      <c r="K288" s="326"/>
      <c r="L288" s="326">
        <v>2.2999999999999998</v>
      </c>
      <c r="M288" s="333">
        <f t="shared" si="348"/>
        <v>2.4</v>
      </c>
      <c r="N288" s="326">
        <v>0.83</v>
      </c>
      <c r="O288" s="352">
        <v>82.95</v>
      </c>
      <c r="P288" s="331">
        <v>83.89</v>
      </c>
      <c r="Q288" s="331">
        <v>83.06</v>
      </c>
      <c r="R288" s="326">
        <v>0.83</v>
      </c>
      <c r="S288" s="352">
        <v>82.95</v>
      </c>
      <c r="T288" s="331">
        <v>83.89</v>
      </c>
      <c r="U288" s="331">
        <v>83.06</v>
      </c>
      <c r="V288" s="331">
        <v>2.2000000000000002</v>
      </c>
      <c r="W288" s="331">
        <v>2.2999999999999998</v>
      </c>
      <c r="X288" s="331">
        <v>7.3</v>
      </c>
      <c r="Y288" s="328"/>
      <c r="Z288" s="328"/>
      <c r="AA288" s="328"/>
      <c r="AB288" s="328" t="s">
        <v>649</v>
      </c>
      <c r="AC288" s="328" t="s">
        <v>648</v>
      </c>
      <c r="AD288" s="328" t="s">
        <v>647</v>
      </c>
      <c r="AE288" s="328"/>
      <c r="AF288" s="328"/>
      <c r="AG288" s="328"/>
      <c r="AH288" s="327">
        <v>125</v>
      </c>
      <c r="AI288" s="327">
        <v>100</v>
      </c>
      <c r="AJ288" s="327">
        <v>50</v>
      </c>
      <c r="AK288" s="327">
        <v>19</v>
      </c>
      <c r="AL288" s="327">
        <v>40</v>
      </c>
      <c r="AM288" s="327">
        <v>6</v>
      </c>
      <c r="AN288" s="327">
        <v>15.5</v>
      </c>
      <c r="AO288" s="327" t="s">
        <v>244</v>
      </c>
      <c r="AP288" s="327">
        <v>80</v>
      </c>
      <c r="AQ288" s="327">
        <v>10</v>
      </c>
      <c r="AR288" s="327">
        <v>165</v>
      </c>
      <c r="AS288" s="327">
        <v>165</v>
      </c>
      <c r="AT288" s="327">
        <v>165</v>
      </c>
      <c r="AU288" s="327">
        <v>245</v>
      </c>
      <c r="AV288" s="327">
        <v>295</v>
      </c>
      <c r="AW288" s="327">
        <v>345</v>
      </c>
      <c r="AX288" s="327">
        <v>100</v>
      </c>
      <c r="AY288" s="327">
        <v>80</v>
      </c>
      <c r="AZ288" s="327">
        <v>120</v>
      </c>
      <c r="BA288" s="327" t="s">
        <v>244</v>
      </c>
      <c r="BB288" s="327">
        <v>3</v>
      </c>
      <c r="BC288" s="327">
        <v>130</v>
      </c>
      <c r="BD288" s="327">
        <v>110</v>
      </c>
      <c r="BE288" s="327">
        <v>160</v>
      </c>
      <c r="BF288" s="327" t="s">
        <v>245</v>
      </c>
      <c r="BG288" s="327">
        <v>3.5</v>
      </c>
      <c r="BH288" s="327">
        <v>165</v>
      </c>
      <c r="BI288" s="327">
        <v>130</v>
      </c>
      <c r="BJ288" s="327">
        <v>200</v>
      </c>
      <c r="BK288" s="327">
        <v>12</v>
      </c>
      <c r="BL288" s="327">
        <v>3.5</v>
      </c>
      <c r="BM288" s="325" t="s">
        <v>568</v>
      </c>
      <c r="BN288" s="325" t="s">
        <v>568</v>
      </c>
      <c r="BO288" s="326"/>
      <c r="BP288" s="326"/>
      <c r="BQ288" s="325" t="s">
        <v>480</v>
      </c>
    </row>
    <row r="289" spans="1:69" ht="12" customHeight="1">
      <c r="A289" s="320">
        <v>803</v>
      </c>
      <c r="B289" s="337" t="s">
        <v>394</v>
      </c>
      <c r="C289" s="328" t="s">
        <v>393</v>
      </c>
      <c r="D289" s="358" t="s">
        <v>646</v>
      </c>
      <c r="E289" s="340">
        <v>90</v>
      </c>
      <c r="F289" s="355">
        <v>2</v>
      </c>
      <c r="G289" s="340">
        <v>1.5</v>
      </c>
      <c r="H289" s="325">
        <f t="shared" si="417"/>
        <v>1.7999999999999998</v>
      </c>
      <c r="I289" s="340">
        <v>2895</v>
      </c>
      <c r="J289" s="335">
        <f t="shared" si="418"/>
        <v>3474</v>
      </c>
      <c r="K289" s="340"/>
      <c r="L289" s="340">
        <v>3</v>
      </c>
      <c r="M289" s="333">
        <f t="shared" si="348"/>
        <v>3.1304347826086958</v>
      </c>
      <c r="N289" s="340">
        <v>0.84</v>
      </c>
      <c r="O289" s="359">
        <v>84.4</v>
      </c>
      <c r="P289" s="331">
        <v>84.95</v>
      </c>
      <c r="Q289" s="331">
        <v>83.81</v>
      </c>
      <c r="R289" s="340">
        <v>0.84</v>
      </c>
      <c r="S289" s="359">
        <v>84.4</v>
      </c>
      <c r="T289" s="331">
        <v>84.95</v>
      </c>
      <c r="U289" s="331">
        <v>83.81</v>
      </c>
      <c r="V289" s="331">
        <v>2.2000000000000002</v>
      </c>
      <c r="W289" s="331">
        <v>2.2999999999999998</v>
      </c>
      <c r="X289" s="331">
        <v>7.6</v>
      </c>
      <c r="Y289" s="328"/>
      <c r="Z289" s="328"/>
      <c r="AA289" s="328"/>
      <c r="AB289" s="328" t="s">
        <v>645</v>
      </c>
      <c r="AC289" s="328" t="s">
        <v>641</v>
      </c>
      <c r="AD289" s="328" t="s">
        <v>644</v>
      </c>
      <c r="AE289" s="328"/>
      <c r="AF289" s="328"/>
      <c r="AG289" s="328"/>
      <c r="AH289" s="327">
        <v>140</v>
      </c>
      <c r="AI289" s="327">
        <v>100</v>
      </c>
      <c r="AJ289" s="327">
        <v>56</v>
      </c>
      <c r="AK289" s="327">
        <v>24</v>
      </c>
      <c r="AL289" s="327">
        <v>50</v>
      </c>
      <c r="AM289" s="327">
        <v>8</v>
      </c>
      <c r="AN289" s="327">
        <v>20</v>
      </c>
      <c r="AO289" s="327" t="s">
        <v>245</v>
      </c>
      <c r="AP289" s="327">
        <v>90</v>
      </c>
      <c r="AQ289" s="327">
        <v>10</v>
      </c>
      <c r="AR289" s="327">
        <v>180</v>
      </c>
      <c r="AS289" s="327">
        <v>180</v>
      </c>
      <c r="AT289" s="327">
        <v>175</v>
      </c>
      <c r="AU289" s="327">
        <v>265</v>
      </c>
      <c r="AV289" s="327">
        <v>315</v>
      </c>
      <c r="AW289" s="327">
        <v>365</v>
      </c>
      <c r="AX289" s="327">
        <v>115</v>
      </c>
      <c r="AY289" s="327">
        <v>95</v>
      </c>
      <c r="AZ289" s="327">
        <v>140</v>
      </c>
      <c r="BA289" s="327" t="s">
        <v>245</v>
      </c>
      <c r="BB289" s="327">
        <v>3</v>
      </c>
      <c r="BC289" s="327">
        <v>130</v>
      </c>
      <c r="BD289" s="327">
        <v>110</v>
      </c>
      <c r="BE289" s="327">
        <v>160</v>
      </c>
      <c r="BF289" s="327" t="s">
        <v>245</v>
      </c>
      <c r="BG289" s="327">
        <v>3.5</v>
      </c>
      <c r="BH289" s="327">
        <v>165</v>
      </c>
      <c r="BI289" s="327">
        <v>130</v>
      </c>
      <c r="BJ289" s="327">
        <v>200</v>
      </c>
      <c r="BK289" s="327">
        <v>12</v>
      </c>
      <c r="BL289" s="327">
        <v>3.5</v>
      </c>
      <c r="BM289" s="325" t="s">
        <v>485</v>
      </c>
      <c r="BN289" s="325" t="s">
        <v>485</v>
      </c>
      <c r="BO289" s="326"/>
      <c r="BP289" s="326"/>
      <c r="BQ289" s="325" t="s">
        <v>480</v>
      </c>
    </row>
    <row r="290" spans="1:69" ht="12" customHeight="1">
      <c r="A290" s="320">
        <v>804</v>
      </c>
      <c r="B290" s="337" t="s">
        <v>394</v>
      </c>
      <c r="C290" s="328" t="s">
        <v>393</v>
      </c>
      <c r="D290" s="358" t="s">
        <v>643</v>
      </c>
      <c r="E290" s="340">
        <v>90</v>
      </c>
      <c r="F290" s="355">
        <v>2</v>
      </c>
      <c r="G290" s="340">
        <v>2.2000000000000002</v>
      </c>
      <c r="H290" s="325">
        <f t="shared" si="417"/>
        <v>2.64</v>
      </c>
      <c r="I290" s="361">
        <v>2900</v>
      </c>
      <c r="J290" s="335">
        <f t="shared" si="418"/>
        <v>3480</v>
      </c>
      <c r="K290" s="340"/>
      <c r="L290" s="340">
        <v>4.4000000000000004</v>
      </c>
      <c r="M290" s="333">
        <f t="shared" si="348"/>
        <v>4.5913043478260871</v>
      </c>
      <c r="N290" s="361">
        <v>0.85</v>
      </c>
      <c r="O290" s="360">
        <v>86.32</v>
      </c>
      <c r="P290" s="345">
        <v>87.09</v>
      </c>
      <c r="Q290" s="345">
        <v>86.5</v>
      </c>
      <c r="R290" s="361">
        <v>0.85</v>
      </c>
      <c r="S290" s="360">
        <v>86.32</v>
      </c>
      <c r="T290" s="345">
        <v>87.09</v>
      </c>
      <c r="U290" s="345">
        <v>86.5</v>
      </c>
      <c r="V290" s="331">
        <v>2.2000000000000002</v>
      </c>
      <c r="W290" s="331">
        <v>2.2999999999999998</v>
      </c>
      <c r="X290" s="331">
        <v>7.6</v>
      </c>
      <c r="Y290" s="328"/>
      <c r="Z290" s="328"/>
      <c r="AA290" s="328"/>
      <c r="AB290" s="328" t="s">
        <v>642</v>
      </c>
      <c r="AC290" s="328" t="s">
        <v>641</v>
      </c>
      <c r="AD290" s="328" t="s">
        <v>640</v>
      </c>
      <c r="AE290" s="328"/>
      <c r="AF290" s="328"/>
      <c r="AG290" s="328"/>
      <c r="AH290" s="327">
        <v>140</v>
      </c>
      <c r="AI290" s="327">
        <v>125</v>
      </c>
      <c r="AJ290" s="327">
        <v>56</v>
      </c>
      <c r="AK290" s="327">
        <v>24</v>
      </c>
      <c r="AL290" s="327">
        <v>50</v>
      </c>
      <c r="AM290" s="327">
        <v>8</v>
      </c>
      <c r="AN290" s="327">
        <v>20</v>
      </c>
      <c r="AO290" s="327" t="s">
        <v>245</v>
      </c>
      <c r="AP290" s="327">
        <v>90</v>
      </c>
      <c r="AQ290" s="327">
        <v>10</v>
      </c>
      <c r="AR290" s="327">
        <v>180</v>
      </c>
      <c r="AS290" s="327">
        <v>180</v>
      </c>
      <c r="AT290" s="327">
        <v>175</v>
      </c>
      <c r="AU290" s="327">
        <v>265</v>
      </c>
      <c r="AV290" s="327">
        <v>315</v>
      </c>
      <c r="AW290" s="327">
        <v>390</v>
      </c>
      <c r="AX290" s="327">
        <v>115</v>
      </c>
      <c r="AY290" s="327">
        <v>95</v>
      </c>
      <c r="AZ290" s="327">
        <v>140</v>
      </c>
      <c r="BA290" s="327" t="s">
        <v>245</v>
      </c>
      <c r="BB290" s="327">
        <v>3</v>
      </c>
      <c r="BC290" s="327">
        <v>130</v>
      </c>
      <c r="BD290" s="327">
        <v>110</v>
      </c>
      <c r="BE290" s="327">
        <v>160</v>
      </c>
      <c r="BF290" s="327" t="s">
        <v>245</v>
      </c>
      <c r="BG290" s="327">
        <v>3.5</v>
      </c>
      <c r="BH290" s="327">
        <v>165</v>
      </c>
      <c r="BI290" s="327">
        <v>130</v>
      </c>
      <c r="BJ290" s="327">
        <v>200</v>
      </c>
      <c r="BK290" s="327">
        <v>12</v>
      </c>
      <c r="BL290" s="327">
        <v>3.5</v>
      </c>
      <c r="BM290" s="325" t="s">
        <v>485</v>
      </c>
      <c r="BN290" s="325" t="s">
        <v>485</v>
      </c>
      <c r="BO290" s="326"/>
      <c r="BP290" s="326"/>
      <c r="BQ290" s="325" t="s">
        <v>480</v>
      </c>
    </row>
    <row r="291" spans="1:69" ht="12" customHeight="1">
      <c r="A291" s="320">
        <v>805</v>
      </c>
      <c r="B291" s="337" t="s">
        <v>394</v>
      </c>
      <c r="C291" s="328" t="s">
        <v>393</v>
      </c>
      <c r="D291" s="358" t="s">
        <v>639</v>
      </c>
      <c r="E291" s="340">
        <v>100</v>
      </c>
      <c r="F291" s="355">
        <v>2</v>
      </c>
      <c r="G291" s="340">
        <v>3</v>
      </c>
      <c r="H291" s="325">
        <f t="shared" si="417"/>
        <v>3.5999999999999996</v>
      </c>
      <c r="I291" s="361">
        <v>2890</v>
      </c>
      <c r="J291" s="335">
        <f t="shared" si="418"/>
        <v>3468</v>
      </c>
      <c r="K291" s="340"/>
      <c r="L291" s="340">
        <v>5.7</v>
      </c>
      <c r="M291" s="333">
        <f t="shared" si="348"/>
        <v>5.947826086956522</v>
      </c>
      <c r="N291" s="361">
        <v>0.87</v>
      </c>
      <c r="O291" s="360">
        <v>87.48</v>
      </c>
      <c r="P291" s="345">
        <v>88.39</v>
      </c>
      <c r="Q291" s="345">
        <v>88.16</v>
      </c>
      <c r="R291" s="361">
        <v>0.87</v>
      </c>
      <c r="S291" s="360">
        <v>87.48</v>
      </c>
      <c r="T291" s="345">
        <v>88.39</v>
      </c>
      <c r="U291" s="345">
        <v>88.16</v>
      </c>
      <c r="V291" s="331">
        <v>2.2000000000000002</v>
      </c>
      <c r="W291" s="331">
        <v>2.2999999999999998</v>
      </c>
      <c r="X291" s="331">
        <v>7.8</v>
      </c>
      <c r="Y291" s="328"/>
      <c r="Z291" s="328"/>
      <c r="AA291" s="328"/>
      <c r="AB291" s="328" t="s">
        <v>638</v>
      </c>
      <c r="AC291" s="328" t="s">
        <v>438</v>
      </c>
      <c r="AD291" s="328" t="s">
        <v>637</v>
      </c>
      <c r="AE291" s="328"/>
      <c r="AF291" s="328"/>
      <c r="AG291" s="328"/>
      <c r="AH291" s="327">
        <v>160</v>
      </c>
      <c r="AI291" s="327">
        <v>140</v>
      </c>
      <c r="AJ291" s="327">
        <v>63</v>
      </c>
      <c r="AK291" s="327">
        <v>28</v>
      </c>
      <c r="AL291" s="327">
        <v>60</v>
      </c>
      <c r="AM291" s="327">
        <v>8</v>
      </c>
      <c r="AN291" s="327">
        <v>24</v>
      </c>
      <c r="AO291" s="327" t="s">
        <v>246</v>
      </c>
      <c r="AP291" s="327">
        <v>100</v>
      </c>
      <c r="AQ291" s="327">
        <v>12</v>
      </c>
      <c r="AR291" s="327">
        <v>205</v>
      </c>
      <c r="AS291" s="327">
        <v>205</v>
      </c>
      <c r="AT291" s="327">
        <v>200</v>
      </c>
      <c r="AU291" s="327">
        <v>290</v>
      </c>
      <c r="AV291" s="327">
        <v>385</v>
      </c>
      <c r="AW291" s="327">
        <v>435</v>
      </c>
      <c r="AX291" s="327">
        <v>130</v>
      </c>
      <c r="AY291" s="327">
        <v>110</v>
      </c>
      <c r="AZ291" s="327">
        <v>160</v>
      </c>
      <c r="BA291" s="327" t="s">
        <v>245</v>
      </c>
      <c r="BB291" s="327">
        <v>3.5</v>
      </c>
      <c r="BC291" s="327">
        <v>165</v>
      </c>
      <c r="BD291" s="327">
        <v>130</v>
      </c>
      <c r="BE291" s="327">
        <v>200</v>
      </c>
      <c r="BF291" s="327" t="s">
        <v>246</v>
      </c>
      <c r="BG291" s="327">
        <v>3.5</v>
      </c>
      <c r="BH291" s="327">
        <v>215</v>
      </c>
      <c r="BI291" s="327">
        <v>180</v>
      </c>
      <c r="BJ291" s="327">
        <v>250</v>
      </c>
      <c r="BK291" s="327">
        <v>15</v>
      </c>
      <c r="BL291" s="327">
        <v>4</v>
      </c>
      <c r="BM291" s="325" t="s">
        <v>475</v>
      </c>
      <c r="BN291" s="325" t="s">
        <v>475</v>
      </c>
      <c r="BO291" s="326"/>
      <c r="BP291" s="326"/>
      <c r="BQ291" s="325" t="s">
        <v>480</v>
      </c>
    </row>
    <row r="292" spans="1:69" ht="12" customHeight="1">
      <c r="A292" s="320">
        <v>806</v>
      </c>
      <c r="B292" s="337" t="s">
        <v>394</v>
      </c>
      <c r="C292" s="328" t="s">
        <v>393</v>
      </c>
      <c r="D292" s="358" t="s">
        <v>636</v>
      </c>
      <c r="E292" s="340">
        <v>112</v>
      </c>
      <c r="F292" s="355">
        <v>2</v>
      </c>
      <c r="G292" s="340">
        <v>4</v>
      </c>
      <c r="H292" s="325">
        <f t="shared" si="417"/>
        <v>4.8</v>
      </c>
      <c r="I292" s="340">
        <v>2900</v>
      </c>
      <c r="J292" s="335">
        <f t="shared" si="418"/>
        <v>3480</v>
      </c>
      <c r="K292" s="326"/>
      <c r="L292" s="326">
        <v>7.4</v>
      </c>
      <c r="M292" s="333">
        <f t="shared" si="348"/>
        <v>7.7217391304347824</v>
      </c>
      <c r="N292" s="326">
        <v>0.88</v>
      </c>
      <c r="O292" s="359">
        <v>88.52</v>
      </c>
      <c r="P292" s="331">
        <v>89.22</v>
      </c>
      <c r="Q292" s="331">
        <v>88.86</v>
      </c>
      <c r="R292" s="326">
        <v>0.88</v>
      </c>
      <c r="S292" s="359">
        <v>88.52</v>
      </c>
      <c r="T292" s="331">
        <v>89.22</v>
      </c>
      <c r="U292" s="331">
        <v>88.86</v>
      </c>
      <c r="V292" s="351">
        <v>2.2000000000000002</v>
      </c>
      <c r="W292" s="331">
        <v>2.2999999999999998</v>
      </c>
      <c r="X292" s="331">
        <v>8.3000000000000007</v>
      </c>
      <c r="Y292" s="328"/>
      <c r="Z292" s="328"/>
      <c r="AA292" s="328"/>
      <c r="AB292" s="328" t="s">
        <v>635</v>
      </c>
      <c r="AC292" s="328" t="s">
        <v>634</v>
      </c>
      <c r="AD292" s="328" t="s">
        <v>633</v>
      </c>
      <c r="AE292" s="328"/>
      <c r="AF292" s="328"/>
      <c r="AG292" s="328"/>
      <c r="AH292" s="327">
        <v>190</v>
      </c>
      <c r="AI292" s="327">
        <v>140</v>
      </c>
      <c r="AJ292" s="327">
        <v>70</v>
      </c>
      <c r="AK292" s="327">
        <v>28</v>
      </c>
      <c r="AL292" s="327">
        <v>60</v>
      </c>
      <c r="AM292" s="327">
        <v>8</v>
      </c>
      <c r="AN292" s="327">
        <v>24</v>
      </c>
      <c r="AO292" s="327" t="s">
        <v>246</v>
      </c>
      <c r="AP292" s="327">
        <v>112</v>
      </c>
      <c r="AQ292" s="327">
        <v>12</v>
      </c>
      <c r="AR292" s="327">
        <v>230</v>
      </c>
      <c r="AS292" s="327">
        <v>240</v>
      </c>
      <c r="AT292" s="327">
        <v>220</v>
      </c>
      <c r="AU292" s="327">
        <v>325</v>
      </c>
      <c r="AV292" s="327">
        <v>400</v>
      </c>
      <c r="AW292" s="327">
        <v>450</v>
      </c>
      <c r="AX292" s="327">
        <v>130</v>
      </c>
      <c r="AY292" s="327">
        <v>110</v>
      </c>
      <c r="AZ292" s="327">
        <v>160</v>
      </c>
      <c r="BA292" s="327" t="s">
        <v>245</v>
      </c>
      <c r="BB292" s="327">
        <v>3.5</v>
      </c>
      <c r="BC292" s="327">
        <v>165</v>
      </c>
      <c r="BD292" s="327">
        <v>130</v>
      </c>
      <c r="BE292" s="327">
        <v>200</v>
      </c>
      <c r="BF292" s="327" t="s">
        <v>246</v>
      </c>
      <c r="BG292" s="327">
        <v>3.5</v>
      </c>
      <c r="BH292" s="327">
        <v>215</v>
      </c>
      <c r="BI292" s="327">
        <v>180</v>
      </c>
      <c r="BJ292" s="327">
        <v>250</v>
      </c>
      <c r="BK292" s="327">
        <v>15</v>
      </c>
      <c r="BL292" s="327">
        <v>4</v>
      </c>
      <c r="BM292" s="325" t="s">
        <v>475</v>
      </c>
      <c r="BN292" s="325" t="s">
        <v>475</v>
      </c>
      <c r="BO292" s="326"/>
      <c r="BP292" s="326"/>
      <c r="BQ292" s="325" t="s">
        <v>464</v>
      </c>
    </row>
    <row r="293" spans="1:69" ht="12" customHeight="1">
      <c r="A293" s="320">
        <v>807</v>
      </c>
      <c r="B293" s="337" t="s">
        <v>394</v>
      </c>
      <c r="C293" s="328" t="s">
        <v>393</v>
      </c>
      <c r="D293" s="358" t="s">
        <v>632</v>
      </c>
      <c r="E293" s="340">
        <v>132</v>
      </c>
      <c r="F293" s="355">
        <v>2</v>
      </c>
      <c r="G293" s="340">
        <v>5.5</v>
      </c>
      <c r="H293" s="325">
        <f t="shared" si="417"/>
        <v>6.6</v>
      </c>
      <c r="I293" s="340">
        <v>2925</v>
      </c>
      <c r="J293" s="335">
        <f t="shared" si="418"/>
        <v>3510</v>
      </c>
      <c r="K293" s="326"/>
      <c r="L293" s="326">
        <v>10.1</v>
      </c>
      <c r="M293" s="333">
        <f t="shared" si="348"/>
        <v>10.539130434782608</v>
      </c>
      <c r="N293" s="326">
        <v>0.88</v>
      </c>
      <c r="O293" s="359">
        <v>89.75</v>
      </c>
      <c r="P293" s="331">
        <v>89.94</v>
      </c>
      <c r="Q293" s="331">
        <v>89.07</v>
      </c>
      <c r="R293" s="326">
        <v>0.88</v>
      </c>
      <c r="S293" s="359">
        <v>89.75</v>
      </c>
      <c r="T293" s="331">
        <v>89.94</v>
      </c>
      <c r="U293" s="331">
        <v>89.07</v>
      </c>
      <c r="V293" s="351">
        <v>2</v>
      </c>
      <c r="W293" s="331">
        <v>2.2999999999999998</v>
      </c>
      <c r="X293" s="331">
        <v>8.3000000000000007</v>
      </c>
      <c r="Y293" s="328"/>
      <c r="Z293" s="328"/>
      <c r="AA293" s="328"/>
      <c r="AB293" s="328" t="s">
        <v>631</v>
      </c>
      <c r="AC293" s="328" t="s">
        <v>523</v>
      </c>
      <c r="AD293" s="328" t="s">
        <v>630</v>
      </c>
      <c r="AE293" s="328"/>
      <c r="AF293" s="328"/>
      <c r="AG293" s="328"/>
      <c r="AH293" s="327">
        <v>216</v>
      </c>
      <c r="AI293" s="327">
        <v>140</v>
      </c>
      <c r="AJ293" s="327">
        <v>89</v>
      </c>
      <c r="AK293" s="327">
        <v>38</v>
      </c>
      <c r="AL293" s="327">
        <v>80</v>
      </c>
      <c r="AM293" s="327">
        <v>10</v>
      </c>
      <c r="AN293" s="327">
        <v>33</v>
      </c>
      <c r="AO293" s="327" t="s">
        <v>247</v>
      </c>
      <c r="AP293" s="327">
        <v>132</v>
      </c>
      <c r="AQ293" s="327">
        <v>12</v>
      </c>
      <c r="AR293" s="327">
        <v>270</v>
      </c>
      <c r="AS293" s="327">
        <v>275</v>
      </c>
      <c r="AT293" s="327">
        <v>240</v>
      </c>
      <c r="AU293" s="327">
        <v>365</v>
      </c>
      <c r="AV293" s="327">
        <v>470</v>
      </c>
      <c r="AW293" s="327">
        <v>520</v>
      </c>
      <c r="AX293" s="327">
        <v>165</v>
      </c>
      <c r="AY293" s="327">
        <v>130</v>
      </c>
      <c r="AZ293" s="327">
        <v>200</v>
      </c>
      <c r="BA293" s="327" t="s">
        <v>246</v>
      </c>
      <c r="BB293" s="327">
        <v>3.5</v>
      </c>
      <c r="BC293" s="327">
        <v>215</v>
      </c>
      <c r="BD293" s="327">
        <v>180</v>
      </c>
      <c r="BE293" s="327">
        <v>250</v>
      </c>
      <c r="BF293" s="327" t="s">
        <v>247</v>
      </c>
      <c r="BG293" s="327">
        <v>4</v>
      </c>
      <c r="BH293" s="327">
        <v>265</v>
      </c>
      <c r="BI293" s="327">
        <v>230</v>
      </c>
      <c r="BJ293" s="327">
        <v>300</v>
      </c>
      <c r="BK293" s="327">
        <v>15</v>
      </c>
      <c r="BL293" s="327">
        <v>4</v>
      </c>
      <c r="BM293" s="325" t="s">
        <v>465</v>
      </c>
      <c r="BN293" s="325" t="s">
        <v>465</v>
      </c>
      <c r="BO293" s="326"/>
      <c r="BP293" s="326"/>
      <c r="BQ293" s="325" t="s">
        <v>464</v>
      </c>
    </row>
    <row r="294" spans="1:69" ht="12" customHeight="1">
      <c r="A294" s="320">
        <v>808</v>
      </c>
      <c r="B294" s="337" t="s">
        <v>394</v>
      </c>
      <c r="C294" s="328" t="s">
        <v>393</v>
      </c>
      <c r="D294" s="356" t="s">
        <v>629</v>
      </c>
      <c r="E294" s="340">
        <v>132</v>
      </c>
      <c r="F294" s="355">
        <v>2</v>
      </c>
      <c r="G294" s="340">
        <v>7.5</v>
      </c>
      <c r="H294" s="325">
        <f t="shared" si="417"/>
        <v>9</v>
      </c>
      <c r="I294" s="340">
        <v>2925</v>
      </c>
      <c r="J294" s="335">
        <f t="shared" si="418"/>
        <v>3510</v>
      </c>
      <c r="K294" s="326"/>
      <c r="L294" s="326">
        <v>13.7</v>
      </c>
      <c r="M294" s="333">
        <f t="shared" si="348"/>
        <v>14.295652173913043</v>
      </c>
      <c r="N294" s="326">
        <v>0.88</v>
      </c>
      <c r="O294" s="359">
        <v>90.44</v>
      </c>
      <c r="P294" s="331">
        <v>90.83</v>
      </c>
      <c r="Q294" s="331">
        <v>90.36</v>
      </c>
      <c r="R294" s="326">
        <v>0.88</v>
      </c>
      <c r="S294" s="359">
        <v>90.44</v>
      </c>
      <c r="T294" s="331">
        <v>90.83</v>
      </c>
      <c r="U294" s="331">
        <v>90.36</v>
      </c>
      <c r="V294" s="351">
        <v>2</v>
      </c>
      <c r="W294" s="331">
        <v>2.2999999999999998</v>
      </c>
      <c r="X294" s="331">
        <v>7.9</v>
      </c>
      <c r="Y294" s="328"/>
      <c r="Z294" s="328"/>
      <c r="AA294" s="328"/>
      <c r="AB294" s="328" t="s">
        <v>628</v>
      </c>
      <c r="AC294" s="328" t="s">
        <v>523</v>
      </c>
      <c r="AD294" s="328" t="s">
        <v>469</v>
      </c>
      <c r="AE294" s="328"/>
      <c r="AF294" s="328"/>
      <c r="AG294" s="328"/>
      <c r="AH294" s="327">
        <v>216</v>
      </c>
      <c r="AI294" s="327">
        <v>140</v>
      </c>
      <c r="AJ294" s="327">
        <v>89</v>
      </c>
      <c r="AK294" s="327">
        <v>38</v>
      </c>
      <c r="AL294" s="327">
        <v>80</v>
      </c>
      <c r="AM294" s="327">
        <v>10</v>
      </c>
      <c r="AN294" s="327">
        <v>33</v>
      </c>
      <c r="AO294" s="327" t="s">
        <v>247</v>
      </c>
      <c r="AP294" s="327">
        <v>132</v>
      </c>
      <c r="AQ294" s="327">
        <v>12</v>
      </c>
      <c r="AR294" s="327">
        <v>270</v>
      </c>
      <c r="AS294" s="327">
        <v>275</v>
      </c>
      <c r="AT294" s="327">
        <v>240</v>
      </c>
      <c r="AU294" s="327">
        <v>365</v>
      </c>
      <c r="AV294" s="327">
        <v>470</v>
      </c>
      <c r="AW294" s="327">
        <v>520</v>
      </c>
      <c r="AX294" s="327">
        <v>165</v>
      </c>
      <c r="AY294" s="327">
        <v>130</v>
      </c>
      <c r="AZ294" s="327">
        <v>200</v>
      </c>
      <c r="BA294" s="327" t="s">
        <v>246</v>
      </c>
      <c r="BB294" s="327">
        <v>3.5</v>
      </c>
      <c r="BC294" s="327">
        <v>215</v>
      </c>
      <c r="BD294" s="327">
        <v>180</v>
      </c>
      <c r="BE294" s="327">
        <v>250</v>
      </c>
      <c r="BF294" s="327" t="s">
        <v>247</v>
      </c>
      <c r="BG294" s="327">
        <v>4</v>
      </c>
      <c r="BH294" s="327">
        <v>265</v>
      </c>
      <c r="BI294" s="327">
        <v>230</v>
      </c>
      <c r="BJ294" s="327">
        <v>300</v>
      </c>
      <c r="BK294" s="327">
        <v>15</v>
      </c>
      <c r="BL294" s="327">
        <v>4</v>
      </c>
      <c r="BM294" s="325" t="s">
        <v>465</v>
      </c>
      <c r="BN294" s="325" t="s">
        <v>465</v>
      </c>
      <c r="BO294" s="326"/>
      <c r="BP294" s="326"/>
      <c r="BQ294" s="325" t="s">
        <v>464</v>
      </c>
    </row>
    <row r="295" spans="1:69" ht="12" customHeight="1">
      <c r="A295" s="320">
        <v>809</v>
      </c>
      <c r="B295" s="337" t="s">
        <v>394</v>
      </c>
      <c r="C295" s="328" t="s">
        <v>393</v>
      </c>
      <c r="D295" s="356" t="s">
        <v>627</v>
      </c>
      <c r="E295" s="340">
        <v>160</v>
      </c>
      <c r="F295" s="355">
        <v>2</v>
      </c>
      <c r="G295" s="340">
        <v>11</v>
      </c>
      <c r="H295" s="325">
        <f t="shared" si="417"/>
        <v>13.2</v>
      </c>
      <c r="I295" s="340">
        <v>2945</v>
      </c>
      <c r="J295" s="335">
        <f t="shared" si="418"/>
        <v>3534</v>
      </c>
      <c r="K295" s="326"/>
      <c r="L295" s="326">
        <v>19.600000000000001</v>
      </c>
      <c r="M295" s="333">
        <f t="shared" si="348"/>
        <v>20.452173913043477</v>
      </c>
      <c r="N295" s="326">
        <v>0.89</v>
      </c>
      <c r="O295" s="359">
        <v>91.63</v>
      </c>
      <c r="P295" s="331">
        <v>91.6</v>
      </c>
      <c r="Q295" s="331">
        <v>90.54</v>
      </c>
      <c r="R295" s="326">
        <v>0.89</v>
      </c>
      <c r="S295" s="359">
        <v>91.63</v>
      </c>
      <c r="T295" s="331">
        <v>91.6</v>
      </c>
      <c r="U295" s="331">
        <v>90.54</v>
      </c>
      <c r="V295" s="351">
        <v>2</v>
      </c>
      <c r="W295" s="331">
        <v>2.2999999999999998</v>
      </c>
      <c r="X295" s="331">
        <v>8.1</v>
      </c>
      <c r="Y295" s="328"/>
      <c r="Z295" s="328"/>
      <c r="AA295" s="328"/>
      <c r="AB295" s="328" t="s">
        <v>626</v>
      </c>
      <c r="AC295" s="328" t="s">
        <v>547</v>
      </c>
      <c r="AD295" s="328" t="s">
        <v>625</v>
      </c>
      <c r="AE295" s="328"/>
      <c r="AF295" s="328"/>
      <c r="AG295" s="328"/>
      <c r="AH295" s="327">
        <v>254</v>
      </c>
      <c r="AI295" s="327">
        <v>210</v>
      </c>
      <c r="AJ295" s="327">
        <v>108</v>
      </c>
      <c r="AK295" s="327">
        <v>42</v>
      </c>
      <c r="AL295" s="327">
        <v>110</v>
      </c>
      <c r="AM295" s="327">
        <v>12</v>
      </c>
      <c r="AN295" s="327">
        <v>37</v>
      </c>
      <c r="AO295" s="327" t="s">
        <v>248</v>
      </c>
      <c r="AP295" s="327">
        <v>160</v>
      </c>
      <c r="AQ295" s="327">
        <v>15</v>
      </c>
      <c r="AR295" s="327">
        <v>320</v>
      </c>
      <c r="AS295" s="327">
        <v>320</v>
      </c>
      <c r="AT295" s="327">
        <v>285</v>
      </c>
      <c r="AU295" s="327">
        <v>440</v>
      </c>
      <c r="AV295" s="327">
        <v>620</v>
      </c>
      <c r="AW295" s="327">
        <v>670</v>
      </c>
      <c r="AX295" s="328"/>
      <c r="AY295" s="328"/>
      <c r="AZ295" s="328"/>
      <c r="BA295" s="328"/>
      <c r="BB295" s="328"/>
      <c r="BC295" s="328"/>
      <c r="BD295" s="328"/>
      <c r="BE295" s="328"/>
      <c r="BF295" s="328"/>
      <c r="BG295" s="328"/>
      <c r="BH295" s="327">
        <v>300</v>
      </c>
      <c r="BI295" s="327">
        <v>250</v>
      </c>
      <c r="BJ295" s="327">
        <v>350</v>
      </c>
      <c r="BK295" s="327">
        <v>19</v>
      </c>
      <c r="BL295" s="327">
        <v>5</v>
      </c>
      <c r="BM295" s="325" t="s">
        <v>457</v>
      </c>
      <c r="BN295" s="325" t="s">
        <v>457</v>
      </c>
      <c r="BO295" s="341" t="s">
        <v>456</v>
      </c>
      <c r="BP295" s="341" t="s">
        <v>456</v>
      </c>
      <c r="BQ295" s="325" t="s">
        <v>450</v>
      </c>
    </row>
    <row r="296" spans="1:69" ht="12" customHeight="1">
      <c r="A296" s="320">
        <v>810</v>
      </c>
      <c r="B296" s="337" t="s">
        <v>394</v>
      </c>
      <c r="C296" s="328" t="s">
        <v>393</v>
      </c>
      <c r="D296" s="356" t="s">
        <v>624</v>
      </c>
      <c r="E296" s="326">
        <v>160</v>
      </c>
      <c r="F296" s="355">
        <v>2</v>
      </c>
      <c r="G296" s="326">
        <v>15</v>
      </c>
      <c r="H296" s="325">
        <f t="shared" si="417"/>
        <v>18</v>
      </c>
      <c r="I296" s="326">
        <v>2950</v>
      </c>
      <c r="J296" s="335">
        <f t="shared" si="418"/>
        <v>3540</v>
      </c>
      <c r="K296" s="326"/>
      <c r="L296" s="326">
        <v>26.5</v>
      </c>
      <c r="M296" s="333">
        <f t="shared" si="348"/>
        <v>27.652173913043477</v>
      </c>
      <c r="N296" s="326">
        <v>0.89</v>
      </c>
      <c r="O296" s="352">
        <v>92.44</v>
      </c>
      <c r="P296" s="331">
        <v>92.51</v>
      </c>
      <c r="Q296" s="331">
        <v>91.73</v>
      </c>
      <c r="R296" s="326">
        <v>0.89</v>
      </c>
      <c r="S296" s="352">
        <v>92.44</v>
      </c>
      <c r="T296" s="331">
        <v>92.51</v>
      </c>
      <c r="U296" s="331">
        <v>91.73</v>
      </c>
      <c r="V296" s="351">
        <v>2</v>
      </c>
      <c r="W296" s="331">
        <v>2.2999999999999998</v>
      </c>
      <c r="X296" s="331">
        <v>8.1</v>
      </c>
      <c r="Y296" s="328"/>
      <c r="Z296" s="328"/>
      <c r="AA296" s="328"/>
      <c r="AB296" s="328" t="s">
        <v>623</v>
      </c>
      <c r="AC296" s="328" t="s">
        <v>547</v>
      </c>
      <c r="AD296" s="328" t="s">
        <v>622</v>
      </c>
      <c r="AE296" s="328"/>
      <c r="AF296" s="328"/>
      <c r="AG296" s="328"/>
      <c r="AH296" s="327">
        <v>254</v>
      </c>
      <c r="AI296" s="327">
        <v>210</v>
      </c>
      <c r="AJ296" s="327">
        <v>108</v>
      </c>
      <c r="AK296" s="327">
        <v>42</v>
      </c>
      <c r="AL296" s="327">
        <v>110</v>
      </c>
      <c r="AM296" s="327">
        <v>12</v>
      </c>
      <c r="AN296" s="327">
        <v>37</v>
      </c>
      <c r="AO296" s="327" t="s">
        <v>248</v>
      </c>
      <c r="AP296" s="327">
        <v>160</v>
      </c>
      <c r="AQ296" s="327">
        <v>15</v>
      </c>
      <c r="AR296" s="327">
        <v>320</v>
      </c>
      <c r="AS296" s="327">
        <v>320</v>
      </c>
      <c r="AT296" s="327">
        <v>285</v>
      </c>
      <c r="AU296" s="327">
        <v>440</v>
      </c>
      <c r="AV296" s="327">
        <v>620</v>
      </c>
      <c r="AW296" s="327">
        <v>670</v>
      </c>
      <c r="AX296" s="328"/>
      <c r="AY296" s="328"/>
      <c r="AZ296" s="328"/>
      <c r="BA296" s="328"/>
      <c r="BB296" s="328"/>
      <c r="BC296" s="328"/>
      <c r="BD296" s="328"/>
      <c r="BE296" s="328"/>
      <c r="BF296" s="328"/>
      <c r="BG296" s="328"/>
      <c r="BH296" s="327">
        <v>300</v>
      </c>
      <c r="BI296" s="327">
        <v>250</v>
      </c>
      <c r="BJ296" s="327">
        <v>350</v>
      </c>
      <c r="BK296" s="327">
        <v>19</v>
      </c>
      <c r="BL296" s="327">
        <v>5</v>
      </c>
      <c r="BM296" s="325" t="s">
        <v>457</v>
      </c>
      <c r="BN296" s="325" t="s">
        <v>457</v>
      </c>
      <c r="BO296" s="341" t="s">
        <v>456</v>
      </c>
      <c r="BP296" s="341" t="s">
        <v>456</v>
      </c>
      <c r="BQ296" s="325" t="s">
        <v>450</v>
      </c>
    </row>
    <row r="297" spans="1:69" ht="12" customHeight="1">
      <c r="A297" s="320">
        <v>811</v>
      </c>
      <c r="B297" s="337" t="s">
        <v>394</v>
      </c>
      <c r="C297" s="328" t="s">
        <v>393</v>
      </c>
      <c r="D297" s="356" t="s">
        <v>621</v>
      </c>
      <c r="E297" s="326">
        <v>160</v>
      </c>
      <c r="F297" s="355">
        <v>2</v>
      </c>
      <c r="G297" s="326">
        <v>18.5</v>
      </c>
      <c r="H297" s="325">
        <f t="shared" si="417"/>
        <v>22.2</v>
      </c>
      <c r="I297" s="326">
        <v>2945</v>
      </c>
      <c r="J297" s="335">
        <f t="shared" si="418"/>
        <v>3534</v>
      </c>
      <c r="K297" s="326"/>
      <c r="L297" s="326">
        <v>32.5</v>
      </c>
      <c r="M297" s="333">
        <f t="shared" si="348"/>
        <v>33.913043478260867</v>
      </c>
      <c r="N297" s="326">
        <v>0.89</v>
      </c>
      <c r="O297" s="352">
        <v>92.6</v>
      </c>
      <c r="P297" s="331">
        <v>92.84</v>
      </c>
      <c r="Q297" s="331">
        <v>92.36</v>
      </c>
      <c r="R297" s="326">
        <v>0.89</v>
      </c>
      <c r="S297" s="352">
        <v>92.6</v>
      </c>
      <c r="T297" s="331">
        <v>92.84</v>
      </c>
      <c r="U297" s="331">
        <v>92.36</v>
      </c>
      <c r="V297" s="351">
        <v>2</v>
      </c>
      <c r="W297" s="331">
        <v>2.2999999999999998</v>
      </c>
      <c r="X297" s="331">
        <v>8.1999999999999993</v>
      </c>
      <c r="Y297" s="328"/>
      <c r="Z297" s="328"/>
      <c r="AA297" s="328"/>
      <c r="AB297" s="328" t="s">
        <v>620</v>
      </c>
      <c r="AC297" s="328" t="s">
        <v>547</v>
      </c>
      <c r="AD297" s="328" t="s">
        <v>619</v>
      </c>
      <c r="AE297" s="328"/>
      <c r="AF297" s="328"/>
      <c r="AG297" s="328"/>
      <c r="AH297" s="327">
        <v>254</v>
      </c>
      <c r="AI297" s="327">
        <v>254</v>
      </c>
      <c r="AJ297" s="327">
        <v>108</v>
      </c>
      <c r="AK297" s="327">
        <v>42</v>
      </c>
      <c r="AL297" s="327">
        <v>110</v>
      </c>
      <c r="AM297" s="327">
        <v>12</v>
      </c>
      <c r="AN297" s="327">
        <v>37</v>
      </c>
      <c r="AO297" s="327" t="s">
        <v>248</v>
      </c>
      <c r="AP297" s="327">
        <v>160</v>
      </c>
      <c r="AQ297" s="327">
        <v>15</v>
      </c>
      <c r="AR297" s="327">
        <v>320</v>
      </c>
      <c r="AS297" s="327">
        <v>320</v>
      </c>
      <c r="AT297" s="327">
        <v>285</v>
      </c>
      <c r="AU297" s="327">
        <v>440</v>
      </c>
      <c r="AV297" s="327">
        <v>675</v>
      </c>
      <c r="AW297" s="327">
        <v>725</v>
      </c>
      <c r="AX297" s="328"/>
      <c r="AY297" s="328"/>
      <c r="AZ297" s="328"/>
      <c r="BA297" s="328"/>
      <c r="BB297" s="328"/>
      <c r="BC297" s="328"/>
      <c r="BD297" s="328"/>
      <c r="BE297" s="328"/>
      <c r="BF297" s="328"/>
      <c r="BG297" s="328"/>
      <c r="BH297" s="327">
        <v>300</v>
      </c>
      <c r="BI297" s="327">
        <v>250</v>
      </c>
      <c r="BJ297" s="327">
        <v>350</v>
      </c>
      <c r="BK297" s="327">
        <v>19</v>
      </c>
      <c r="BL297" s="327">
        <v>5</v>
      </c>
      <c r="BM297" s="325" t="s">
        <v>457</v>
      </c>
      <c r="BN297" s="325" t="s">
        <v>457</v>
      </c>
      <c r="BO297" s="341" t="s">
        <v>456</v>
      </c>
      <c r="BP297" s="341" t="s">
        <v>456</v>
      </c>
      <c r="BQ297" s="325" t="s">
        <v>450</v>
      </c>
    </row>
    <row r="298" spans="1:69" ht="12" customHeight="1">
      <c r="A298" s="320">
        <v>812</v>
      </c>
      <c r="B298" s="337" t="s">
        <v>394</v>
      </c>
      <c r="C298" s="328" t="s">
        <v>393</v>
      </c>
      <c r="D298" s="358" t="s">
        <v>618</v>
      </c>
      <c r="E298" s="326">
        <v>180</v>
      </c>
      <c r="F298" s="355">
        <v>2</v>
      </c>
      <c r="G298" s="326">
        <v>22</v>
      </c>
      <c r="H298" s="325">
        <f t="shared" si="417"/>
        <v>26.4</v>
      </c>
      <c r="I298" s="326">
        <v>2955</v>
      </c>
      <c r="J298" s="335">
        <f t="shared" si="418"/>
        <v>3546</v>
      </c>
      <c r="K298" s="326"/>
      <c r="L298" s="326">
        <v>38.5</v>
      </c>
      <c r="M298" s="333">
        <f t="shared" si="348"/>
        <v>40.173913043478258</v>
      </c>
      <c r="N298" s="326">
        <v>0.89</v>
      </c>
      <c r="O298" s="352">
        <v>92.83</v>
      </c>
      <c r="P298" s="331">
        <v>92.6</v>
      </c>
      <c r="Q298" s="331">
        <v>91.42</v>
      </c>
      <c r="R298" s="326">
        <v>0.89</v>
      </c>
      <c r="S298" s="352">
        <v>92.83</v>
      </c>
      <c r="T298" s="331">
        <v>92.6</v>
      </c>
      <c r="U298" s="331">
        <v>91.42</v>
      </c>
      <c r="V298" s="351">
        <v>2</v>
      </c>
      <c r="W298" s="331">
        <v>2.2999999999999998</v>
      </c>
      <c r="X298" s="331">
        <v>8.1999999999999993</v>
      </c>
      <c r="Y298" s="328"/>
      <c r="Z298" s="328"/>
      <c r="AA298" s="328"/>
      <c r="AB298" s="328" t="s">
        <v>617</v>
      </c>
      <c r="AC298" s="328" t="s">
        <v>407</v>
      </c>
      <c r="AD298" s="328" t="s">
        <v>616</v>
      </c>
      <c r="AE298" s="328"/>
      <c r="AF298" s="328"/>
      <c r="AG298" s="328"/>
      <c r="AH298" s="327">
        <v>279</v>
      </c>
      <c r="AI298" s="327">
        <v>241</v>
      </c>
      <c r="AJ298" s="327">
        <v>121</v>
      </c>
      <c r="AK298" s="327">
        <v>48</v>
      </c>
      <c r="AL298" s="327">
        <v>110</v>
      </c>
      <c r="AM298" s="327">
        <v>14</v>
      </c>
      <c r="AN298" s="327">
        <v>42.5</v>
      </c>
      <c r="AO298" s="327" t="s">
        <v>248</v>
      </c>
      <c r="AP298" s="327">
        <v>180</v>
      </c>
      <c r="AQ298" s="327">
        <v>15</v>
      </c>
      <c r="AR298" s="327">
        <v>355</v>
      </c>
      <c r="AS298" s="327">
        <v>380</v>
      </c>
      <c r="AT298" s="327">
        <v>310</v>
      </c>
      <c r="AU298" s="327">
        <v>470</v>
      </c>
      <c r="AV298" s="327">
        <v>700</v>
      </c>
      <c r="AW298" s="327">
        <v>760</v>
      </c>
      <c r="AX298" s="328"/>
      <c r="AY298" s="328"/>
      <c r="AZ298" s="328"/>
      <c r="BA298" s="328"/>
      <c r="BB298" s="328"/>
      <c r="BC298" s="328"/>
      <c r="BD298" s="328"/>
      <c r="BE298" s="328"/>
      <c r="BF298" s="328"/>
      <c r="BG298" s="328"/>
      <c r="BH298" s="327">
        <v>300</v>
      </c>
      <c r="BI298" s="327">
        <v>250</v>
      </c>
      <c r="BJ298" s="327">
        <v>350</v>
      </c>
      <c r="BK298" s="327">
        <v>19</v>
      </c>
      <c r="BL298" s="327">
        <v>5</v>
      </c>
      <c r="BM298" s="325" t="s">
        <v>452</v>
      </c>
      <c r="BN298" s="325" t="s">
        <v>452</v>
      </c>
      <c r="BO298" s="341" t="s">
        <v>451</v>
      </c>
      <c r="BP298" s="341" t="s">
        <v>451</v>
      </c>
      <c r="BQ298" s="325" t="s">
        <v>450</v>
      </c>
    </row>
    <row r="299" spans="1:69" ht="12" customHeight="1">
      <c r="A299" s="320">
        <v>813</v>
      </c>
      <c r="B299" s="337" t="s">
        <v>394</v>
      </c>
      <c r="C299" s="328" t="s">
        <v>393</v>
      </c>
      <c r="D299" s="356" t="s">
        <v>615</v>
      </c>
      <c r="E299" s="326">
        <v>200</v>
      </c>
      <c r="F299" s="355">
        <v>2</v>
      </c>
      <c r="G299" s="326">
        <v>30</v>
      </c>
      <c r="H299" s="325">
        <f t="shared" si="417"/>
        <v>36</v>
      </c>
      <c r="I299" s="326">
        <v>2965</v>
      </c>
      <c r="J299" s="335">
        <f t="shared" si="418"/>
        <v>3558</v>
      </c>
      <c r="K299" s="349"/>
      <c r="L299" s="354">
        <v>52.2</v>
      </c>
      <c r="M299" s="333">
        <f t="shared" si="348"/>
        <v>54.469565217391306</v>
      </c>
      <c r="N299" s="353">
        <v>0.89</v>
      </c>
      <c r="O299" s="352">
        <v>93.43</v>
      </c>
      <c r="P299" s="331">
        <v>93.24</v>
      </c>
      <c r="Q299" s="331">
        <v>92.2</v>
      </c>
      <c r="R299" s="353">
        <v>0.89</v>
      </c>
      <c r="S299" s="352">
        <v>93.43</v>
      </c>
      <c r="T299" s="331">
        <v>93.24</v>
      </c>
      <c r="U299" s="331">
        <v>92.2</v>
      </c>
      <c r="V299" s="351">
        <v>2</v>
      </c>
      <c r="W299" s="331">
        <v>2.2999999999999998</v>
      </c>
      <c r="X299" s="331">
        <v>7.6</v>
      </c>
      <c r="Y299" s="328"/>
      <c r="Z299" s="328"/>
      <c r="AA299" s="328"/>
      <c r="AB299" s="328" t="s">
        <v>614</v>
      </c>
      <c r="AC299" s="328" t="s">
        <v>610</v>
      </c>
      <c r="AD299" s="328" t="s">
        <v>613</v>
      </c>
      <c r="AE299" s="328"/>
      <c r="AF299" s="328"/>
      <c r="AG299" s="328"/>
      <c r="AH299" s="327">
        <v>318</v>
      </c>
      <c r="AI299" s="327">
        <v>305</v>
      </c>
      <c r="AJ299" s="327">
        <v>133</v>
      </c>
      <c r="AK299" s="327">
        <v>55</v>
      </c>
      <c r="AL299" s="327">
        <v>110</v>
      </c>
      <c r="AM299" s="327">
        <v>16</v>
      </c>
      <c r="AN299" s="327">
        <v>49</v>
      </c>
      <c r="AO299" s="327" t="s">
        <v>249</v>
      </c>
      <c r="AP299" s="327">
        <v>200</v>
      </c>
      <c r="AQ299" s="327">
        <v>19</v>
      </c>
      <c r="AR299" s="327">
        <v>395</v>
      </c>
      <c r="AS299" s="327">
        <v>410</v>
      </c>
      <c r="AT299" s="327">
        <v>335</v>
      </c>
      <c r="AU299" s="327">
        <v>525</v>
      </c>
      <c r="AV299" s="327">
        <v>775</v>
      </c>
      <c r="AW299" s="327">
        <v>845</v>
      </c>
      <c r="AX299" s="328"/>
      <c r="AY299" s="328"/>
      <c r="AZ299" s="328"/>
      <c r="BA299" s="328"/>
      <c r="BB299" s="328"/>
      <c r="BC299" s="328"/>
      <c r="BD299" s="328"/>
      <c r="BE299" s="328"/>
      <c r="BF299" s="328"/>
      <c r="BG299" s="328"/>
      <c r="BH299" s="327">
        <v>350</v>
      </c>
      <c r="BI299" s="327">
        <v>300</v>
      </c>
      <c r="BJ299" s="327">
        <v>400</v>
      </c>
      <c r="BK299" s="327">
        <v>19</v>
      </c>
      <c r="BL299" s="327">
        <v>5</v>
      </c>
      <c r="BM299" s="325" t="s">
        <v>442</v>
      </c>
      <c r="BN299" s="325" t="s">
        <v>442</v>
      </c>
      <c r="BO299" s="341" t="s">
        <v>441</v>
      </c>
      <c r="BP299" s="341" t="s">
        <v>441</v>
      </c>
      <c r="BQ299" s="325" t="s">
        <v>434</v>
      </c>
    </row>
    <row r="300" spans="1:69" ht="12" customHeight="1">
      <c r="A300" s="320">
        <v>814</v>
      </c>
      <c r="B300" s="337" t="s">
        <v>394</v>
      </c>
      <c r="C300" s="328" t="s">
        <v>393</v>
      </c>
      <c r="D300" s="356" t="s">
        <v>612</v>
      </c>
      <c r="E300" s="326">
        <v>200</v>
      </c>
      <c r="F300" s="355">
        <v>2</v>
      </c>
      <c r="G300" s="326">
        <v>37</v>
      </c>
      <c r="H300" s="325">
        <f t="shared" si="417"/>
        <v>44.4</v>
      </c>
      <c r="I300" s="326">
        <v>2965</v>
      </c>
      <c r="J300" s="335">
        <f t="shared" si="418"/>
        <v>3558</v>
      </c>
      <c r="K300" s="349"/>
      <c r="L300" s="354">
        <v>64</v>
      </c>
      <c r="M300" s="333">
        <f t="shared" si="348"/>
        <v>66.782608695652172</v>
      </c>
      <c r="N300" s="353">
        <v>0.89</v>
      </c>
      <c r="O300" s="352">
        <v>93.82</v>
      </c>
      <c r="P300" s="331">
        <v>93.79</v>
      </c>
      <c r="Q300" s="331">
        <v>93.04</v>
      </c>
      <c r="R300" s="353">
        <v>0.89</v>
      </c>
      <c r="S300" s="352">
        <v>93.82</v>
      </c>
      <c r="T300" s="331">
        <v>93.79</v>
      </c>
      <c r="U300" s="331">
        <v>93.04</v>
      </c>
      <c r="V300" s="351">
        <v>2</v>
      </c>
      <c r="W300" s="331">
        <v>2.2999999999999998</v>
      </c>
      <c r="X300" s="331">
        <v>7.6</v>
      </c>
      <c r="Y300" s="328"/>
      <c r="Z300" s="328"/>
      <c r="AA300" s="328"/>
      <c r="AB300" s="328" t="s">
        <v>611</v>
      </c>
      <c r="AC300" s="328" t="s">
        <v>610</v>
      </c>
      <c r="AD300" s="328" t="s">
        <v>609</v>
      </c>
      <c r="AE300" s="328"/>
      <c r="AF300" s="328"/>
      <c r="AG300" s="328"/>
      <c r="AH300" s="327">
        <v>318</v>
      </c>
      <c r="AI300" s="327">
        <v>305</v>
      </c>
      <c r="AJ300" s="327">
        <v>133</v>
      </c>
      <c r="AK300" s="327">
        <v>55</v>
      </c>
      <c r="AL300" s="327">
        <v>110</v>
      </c>
      <c r="AM300" s="327">
        <v>16</v>
      </c>
      <c r="AN300" s="327">
        <v>49</v>
      </c>
      <c r="AO300" s="327" t="s">
        <v>249</v>
      </c>
      <c r="AP300" s="327">
        <v>200</v>
      </c>
      <c r="AQ300" s="327">
        <v>19</v>
      </c>
      <c r="AR300" s="327">
        <v>395</v>
      </c>
      <c r="AS300" s="327">
        <v>410</v>
      </c>
      <c r="AT300" s="327">
        <v>335</v>
      </c>
      <c r="AU300" s="327">
        <v>525</v>
      </c>
      <c r="AV300" s="327">
        <v>775</v>
      </c>
      <c r="AW300" s="327">
        <v>845</v>
      </c>
      <c r="AX300" s="328"/>
      <c r="AY300" s="328"/>
      <c r="AZ300" s="328"/>
      <c r="BA300" s="328"/>
      <c r="BB300" s="328"/>
      <c r="BC300" s="328"/>
      <c r="BD300" s="328"/>
      <c r="BE300" s="328"/>
      <c r="BF300" s="328"/>
      <c r="BG300" s="328"/>
      <c r="BH300" s="327">
        <v>350</v>
      </c>
      <c r="BI300" s="327">
        <v>300</v>
      </c>
      <c r="BJ300" s="327">
        <v>400</v>
      </c>
      <c r="BK300" s="327">
        <v>19</v>
      </c>
      <c r="BL300" s="327">
        <v>5</v>
      </c>
      <c r="BM300" s="325" t="s">
        <v>442</v>
      </c>
      <c r="BN300" s="325" t="s">
        <v>442</v>
      </c>
      <c r="BO300" s="341" t="s">
        <v>441</v>
      </c>
      <c r="BP300" s="341" t="s">
        <v>441</v>
      </c>
      <c r="BQ300" s="325" t="s">
        <v>434</v>
      </c>
    </row>
    <row r="301" spans="1:69" ht="12" customHeight="1">
      <c r="A301" s="320">
        <v>815</v>
      </c>
      <c r="B301" s="337" t="s">
        <v>394</v>
      </c>
      <c r="C301" s="328" t="s">
        <v>393</v>
      </c>
      <c r="D301" s="356" t="s">
        <v>608</v>
      </c>
      <c r="E301" s="326">
        <v>225</v>
      </c>
      <c r="F301" s="355">
        <v>2</v>
      </c>
      <c r="G301" s="326">
        <v>45</v>
      </c>
      <c r="H301" s="325">
        <f t="shared" si="417"/>
        <v>54</v>
      </c>
      <c r="I301" s="326">
        <v>2965</v>
      </c>
      <c r="J301" s="335">
        <f t="shared" si="418"/>
        <v>3558</v>
      </c>
      <c r="K301" s="349"/>
      <c r="L301" s="354">
        <v>76.8</v>
      </c>
      <c r="M301" s="333">
        <f t="shared" si="348"/>
        <v>80.139130434782615</v>
      </c>
      <c r="N301" s="353">
        <v>0.9</v>
      </c>
      <c r="O301" s="352">
        <v>94.26</v>
      </c>
      <c r="P301" s="331">
        <v>94.16</v>
      </c>
      <c r="Q301" s="331">
        <v>93.36</v>
      </c>
      <c r="R301" s="353">
        <v>0.9</v>
      </c>
      <c r="S301" s="352">
        <v>94.26</v>
      </c>
      <c r="T301" s="331">
        <v>94.16</v>
      </c>
      <c r="U301" s="331">
        <v>93.36</v>
      </c>
      <c r="V301" s="351">
        <v>2</v>
      </c>
      <c r="W301" s="331">
        <v>2.2999999999999998</v>
      </c>
      <c r="X301" s="331">
        <v>7.7</v>
      </c>
      <c r="Y301" s="328"/>
      <c r="Z301" s="328"/>
      <c r="AA301" s="328"/>
      <c r="AB301" s="328" t="s">
        <v>607</v>
      </c>
      <c r="AC301" s="328" t="s">
        <v>606</v>
      </c>
      <c r="AD301" s="328" t="s">
        <v>605</v>
      </c>
      <c r="AE301" s="328"/>
      <c r="AF301" s="328"/>
      <c r="AG301" s="328"/>
      <c r="AH301" s="327">
        <v>356</v>
      </c>
      <c r="AI301" s="327">
        <v>311</v>
      </c>
      <c r="AJ301" s="327">
        <v>149</v>
      </c>
      <c r="AK301" s="327">
        <v>55</v>
      </c>
      <c r="AL301" s="327">
        <v>110</v>
      </c>
      <c r="AM301" s="327">
        <v>16</v>
      </c>
      <c r="AN301" s="327">
        <v>49</v>
      </c>
      <c r="AO301" s="327" t="s">
        <v>249</v>
      </c>
      <c r="AP301" s="327">
        <v>225</v>
      </c>
      <c r="AQ301" s="327">
        <v>19</v>
      </c>
      <c r="AR301" s="327">
        <v>435</v>
      </c>
      <c r="AS301" s="327">
        <v>470</v>
      </c>
      <c r="AT301" s="327">
        <v>370</v>
      </c>
      <c r="AU301" s="327">
        <v>580</v>
      </c>
      <c r="AV301" s="327">
        <v>815</v>
      </c>
      <c r="AW301" s="327">
        <v>910</v>
      </c>
      <c r="AX301" s="328"/>
      <c r="AY301" s="328"/>
      <c r="AZ301" s="328"/>
      <c r="BA301" s="328"/>
      <c r="BB301" s="328"/>
      <c r="BC301" s="328"/>
      <c r="BD301" s="328"/>
      <c r="BE301" s="328"/>
      <c r="BF301" s="328"/>
      <c r="BG301" s="328"/>
      <c r="BH301" s="327">
        <v>400</v>
      </c>
      <c r="BI301" s="327">
        <v>350</v>
      </c>
      <c r="BJ301" s="327">
        <v>450</v>
      </c>
      <c r="BK301" s="327">
        <v>19</v>
      </c>
      <c r="BL301" s="327">
        <v>5</v>
      </c>
      <c r="BM301" s="325" t="s">
        <v>442</v>
      </c>
      <c r="BN301" s="325" t="s">
        <v>442</v>
      </c>
      <c r="BO301" s="341" t="s">
        <v>435</v>
      </c>
      <c r="BP301" s="341" t="s">
        <v>435</v>
      </c>
      <c r="BQ301" s="325" t="s">
        <v>434</v>
      </c>
    </row>
    <row r="302" spans="1:69" ht="12" customHeight="1">
      <c r="A302" s="320">
        <v>816</v>
      </c>
      <c r="B302" s="337" t="s">
        <v>394</v>
      </c>
      <c r="C302" s="328" t="s">
        <v>393</v>
      </c>
      <c r="D302" s="356" t="s">
        <v>604</v>
      </c>
      <c r="E302" s="326">
        <v>250</v>
      </c>
      <c r="F302" s="355">
        <v>2</v>
      </c>
      <c r="G302" s="326">
        <v>55</v>
      </c>
      <c r="H302" s="325">
        <f t="shared" si="417"/>
        <v>66</v>
      </c>
      <c r="I302" s="326">
        <v>2970</v>
      </c>
      <c r="J302" s="335">
        <f t="shared" si="418"/>
        <v>3564</v>
      </c>
      <c r="K302" s="349"/>
      <c r="L302" s="354">
        <v>93.6</v>
      </c>
      <c r="M302" s="333">
        <f t="shared" si="348"/>
        <v>97.669565217391309</v>
      </c>
      <c r="N302" s="353">
        <v>0.9</v>
      </c>
      <c r="O302" s="352">
        <v>94.35</v>
      </c>
      <c r="P302" s="331">
        <v>94.13</v>
      </c>
      <c r="Q302" s="331">
        <v>93.14</v>
      </c>
      <c r="R302" s="353">
        <v>0.9</v>
      </c>
      <c r="S302" s="352">
        <v>94.35</v>
      </c>
      <c r="T302" s="331">
        <v>94.13</v>
      </c>
      <c r="U302" s="331">
        <v>93.14</v>
      </c>
      <c r="V302" s="351">
        <v>2</v>
      </c>
      <c r="W302" s="331">
        <v>2.2999999999999998</v>
      </c>
      <c r="X302" s="331">
        <v>7.7</v>
      </c>
      <c r="Y302" s="328"/>
      <c r="Z302" s="328"/>
      <c r="AA302" s="328"/>
      <c r="AB302" s="328" t="s">
        <v>603</v>
      </c>
      <c r="AC302" s="328" t="s">
        <v>602</v>
      </c>
      <c r="AD302" s="328" t="s">
        <v>601</v>
      </c>
      <c r="AE302" s="328"/>
      <c r="AF302" s="328"/>
      <c r="AG302" s="328"/>
      <c r="AH302" s="327">
        <v>406</v>
      </c>
      <c r="AI302" s="327">
        <v>349</v>
      </c>
      <c r="AJ302" s="327">
        <v>168</v>
      </c>
      <c r="AK302" s="327">
        <v>60</v>
      </c>
      <c r="AL302" s="327">
        <v>140</v>
      </c>
      <c r="AM302" s="327">
        <v>18</v>
      </c>
      <c r="AN302" s="327">
        <v>53</v>
      </c>
      <c r="AO302" s="327" t="s">
        <v>249</v>
      </c>
      <c r="AP302" s="327">
        <v>250</v>
      </c>
      <c r="AQ302" s="327">
        <v>24</v>
      </c>
      <c r="AR302" s="327">
        <v>490</v>
      </c>
      <c r="AS302" s="327">
        <v>490</v>
      </c>
      <c r="AT302" s="327">
        <v>380</v>
      </c>
      <c r="AU302" s="327">
        <v>635</v>
      </c>
      <c r="AV302" s="327">
        <v>930</v>
      </c>
      <c r="AW302" s="327">
        <v>1035</v>
      </c>
      <c r="AX302" s="328"/>
      <c r="AY302" s="328"/>
      <c r="AZ302" s="328"/>
      <c r="BA302" s="328"/>
      <c r="BB302" s="328"/>
      <c r="BC302" s="328"/>
      <c r="BD302" s="328"/>
      <c r="BE302" s="328"/>
      <c r="BF302" s="328"/>
      <c r="BG302" s="328"/>
      <c r="BH302" s="327">
        <v>500</v>
      </c>
      <c r="BI302" s="327">
        <v>450</v>
      </c>
      <c r="BJ302" s="327">
        <v>550</v>
      </c>
      <c r="BK302" s="327">
        <v>19</v>
      </c>
      <c r="BL302" s="327">
        <v>5</v>
      </c>
      <c r="BM302" s="325" t="s">
        <v>429</v>
      </c>
      <c r="BN302" s="325" t="s">
        <v>429</v>
      </c>
      <c r="BO302" s="341" t="s">
        <v>428</v>
      </c>
      <c r="BP302" s="341" t="s">
        <v>428</v>
      </c>
      <c r="BQ302" s="325" t="s">
        <v>388</v>
      </c>
    </row>
    <row r="303" spans="1:69" ht="12" customHeight="1">
      <c r="A303" s="320">
        <v>817</v>
      </c>
      <c r="B303" s="337" t="s">
        <v>394</v>
      </c>
      <c r="C303" s="328" t="s">
        <v>393</v>
      </c>
      <c r="D303" s="356" t="s">
        <v>600</v>
      </c>
      <c r="E303" s="326">
        <v>280</v>
      </c>
      <c r="F303" s="355">
        <v>2</v>
      </c>
      <c r="G303" s="326">
        <v>75</v>
      </c>
      <c r="H303" s="325">
        <f t="shared" si="417"/>
        <v>90</v>
      </c>
      <c r="I303" s="326">
        <v>2975</v>
      </c>
      <c r="J303" s="335">
        <f t="shared" si="418"/>
        <v>3570</v>
      </c>
      <c r="K303" s="349"/>
      <c r="L303" s="354">
        <v>127</v>
      </c>
      <c r="M303" s="333">
        <f t="shared" si="348"/>
        <v>132.52173913043478</v>
      </c>
      <c r="N303" s="353">
        <v>0.9</v>
      </c>
      <c r="O303" s="352">
        <v>94.84</v>
      </c>
      <c r="P303" s="331">
        <v>94.5</v>
      </c>
      <c r="Q303" s="331">
        <v>93.38</v>
      </c>
      <c r="R303" s="353">
        <v>0.9</v>
      </c>
      <c r="S303" s="352">
        <v>94.84</v>
      </c>
      <c r="T303" s="331">
        <v>94.5</v>
      </c>
      <c r="U303" s="331">
        <v>93.38</v>
      </c>
      <c r="V303" s="357">
        <v>1.8</v>
      </c>
      <c r="W303" s="331">
        <v>2.2999999999999998</v>
      </c>
      <c r="X303" s="331">
        <v>7.1</v>
      </c>
      <c r="Y303" s="328"/>
      <c r="Z303" s="328"/>
      <c r="AA303" s="328"/>
      <c r="AB303" s="328" t="s">
        <v>599</v>
      </c>
      <c r="AC303" s="328" t="s">
        <v>391</v>
      </c>
      <c r="AD303" s="328" t="s">
        <v>598</v>
      </c>
      <c r="AE303" s="328"/>
      <c r="AF303" s="328"/>
      <c r="AG303" s="328"/>
      <c r="AH303" s="327">
        <v>457</v>
      </c>
      <c r="AI303" s="327">
        <v>368</v>
      </c>
      <c r="AJ303" s="327">
        <v>190</v>
      </c>
      <c r="AK303" s="327">
        <v>65</v>
      </c>
      <c r="AL303" s="327">
        <v>140</v>
      </c>
      <c r="AM303" s="327">
        <v>18</v>
      </c>
      <c r="AN303" s="327">
        <v>58</v>
      </c>
      <c r="AO303" s="327" t="s">
        <v>249</v>
      </c>
      <c r="AP303" s="327">
        <v>280</v>
      </c>
      <c r="AQ303" s="327">
        <v>24</v>
      </c>
      <c r="AR303" s="327">
        <v>550</v>
      </c>
      <c r="AS303" s="327">
        <v>580</v>
      </c>
      <c r="AT303" s="327">
        <v>410</v>
      </c>
      <c r="AU303" s="327">
        <v>698</v>
      </c>
      <c r="AV303" s="327">
        <v>981</v>
      </c>
      <c r="AW303" s="327">
        <v>1115</v>
      </c>
      <c r="AX303" s="328"/>
      <c r="AY303" s="328"/>
      <c r="AZ303" s="328"/>
      <c r="BA303" s="328"/>
      <c r="BB303" s="328"/>
      <c r="BC303" s="328"/>
      <c r="BD303" s="328"/>
      <c r="BE303" s="328"/>
      <c r="BF303" s="328"/>
      <c r="BG303" s="328"/>
      <c r="BH303" s="327">
        <v>500</v>
      </c>
      <c r="BI303" s="327">
        <v>450</v>
      </c>
      <c r="BJ303" s="327">
        <v>550</v>
      </c>
      <c r="BK303" s="327">
        <v>19</v>
      </c>
      <c r="BL303" s="327">
        <v>5</v>
      </c>
      <c r="BM303" s="325" t="s">
        <v>420</v>
      </c>
      <c r="BN303" s="325" t="s">
        <v>420</v>
      </c>
      <c r="BO303" s="341" t="s">
        <v>419</v>
      </c>
      <c r="BP303" s="340" t="s">
        <v>419</v>
      </c>
      <c r="BQ303" s="325" t="s">
        <v>388</v>
      </c>
    </row>
    <row r="304" spans="1:69" ht="12" customHeight="1">
      <c r="A304" s="320">
        <v>818</v>
      </c>
      <c r="B304" s="337" t="s">
        <v>394</v>
      </c>
      <c r="C304" s="328" t="s">
        <v>393</v>
      </c>
      <c r="D304" s="356" t="s">
        <v>597</v>
      </c>
      <c r="E304" s="326">
        <v>280</v>
      </c>
      <c r="F304" s="355">
        <v>2</v>
      </c>
      <c r="G304" s="326">
        <v>90</v>
      </c>
      <c r="H304" s="325">
        <f t="shared" si="417"/>
        <v>108</v>
      </c>
      <c r="I304" s="326">
        <v>2975</v>
      </c>
      <c r="J304" s="335">
        <f t="shared" si="418"/>
        <v>3570</v>
      </c>
      <c r="K304" s="349"/>
      <c r="L304" s="354">
        <v>151.9</v>
      </c>
      <c r="M304" s="333">
        <f t="shared" si="348"/>
        <v>158.50434782608696</v>
      </c>
      <c r="N304" s="353">
        <v>0.9</v>
      </c>
      <c r="O304" s="352">
        <v>95.2</v>
      </c>
      <c r="P304" s="331">
        <v>94.92</v>
      </c>
      <c r="Q304" s="331">
        <v>93.95</v>
      </c>
      <c r="R304" s="353">
        <v>0.9</v>
      </c>
      <c r="S304" s="352">
        <v>95.2</v>
      </c>
      <c r="T304" s="331">
        <v>94.92</v>
      </c>
      <c r="U304" s="331">
        <v>93.95</v>
      </c>
      <c r="V304" s="357">
        <v>1.8</v>
      </c>
      <c r="W304" s="331">
        <v>2.2999999999999998</v>
      </c>
      <c r="X304" s="331">
        <v>7.1</v>
      </c>
      <c r="Y304" s="328"/>
      <c r="Z304" s="328"/>
      <c r="AA304" s="328"/>
      <c r="AB304" s="328" t="s">
        <v>596</v>
      </c>
      <c r="AC304" s="328" t="s">
        <v>391</v>
      </c>
      <c r="AD304" s="328" t="s">
        <v>595</v>
      </c>
      <c r="AE304" s="328"/>
      <c r="AF304" s="328"/>
      <c r="AG304" s="328"/>
      <c r="AH304" s="327">
        <v>457</v>
      </c>
      <c r="AI304" s="327">
        <v>419</v>
      </c>
      <c r="AJ304" s="327">
        <v>190</v>
      </c>
      <c r="AK304" s="327">
        <v>65</v>
      </c>
      <c r="AL304" s="327">
        <v>140</v>
      </c>
      <c r="AM304" s="327">
        <v>18</v>
      </c>
      <c r="AN304" s="327">
        <v>58</v>
      </c>
      <c r="AO304" s="327" t="s">
        <v>249</v>
      </c>
      <c r="AP304" s="327">
        <v>280</v>
      </c>
      <c r="AQ304" s="327">
        <v>24</v>
      </c>
      <c r="AR304" s="327">
        <v>550</v>
      </c>
      <c r="AS304" s="327">
        <v>580</v>
      </c>
      <c r="AT304" s="327">
        <v>410</v>
      </c>
      <c r="AU304" s="327">
        <v>698</v>
      </c>
      <c r="AV304" s="327">
        <v>1032</v>
      </c>
      <c r="AW304" s="327">
        <v>1157</v>
      </c>
      <c r="AX304" s="328"/>
      <c r="AY304" s="328"/>
      <c r="AZ304" s="328"/>
      <c r="BA304" s="328"/>
      <c r="BB304" s="328"/>
      <c r="BC304" s="328"/>
      <c r="BD304" s="328"/>
      <c r="BE304" s="328"/>
      <c r="BF304" s="328"/>
      <c r="BG304" s="328"/>
      <c r="BH304" s="327">
        <v>500</v>
      </c>
      <c r="BI304" s="327">
        <v>450</v>
      </c>
      <c r="BJ304" s="327">
        <v>550</v>
      </c>
      <c r="BK304" s="327">
        <v>19</v>
      </c>
      <c r="BL304" s="327">
        <v>5</v>
      </c>
      <c r="BM304" s="325" t="s">
        <v>420</v>
      </c>
      <c r="BN304" s="325" t="s">
        <v>420</v>
      </c>
      <c r="BO304" s="341" t="s">
        <v>419</v>
      </c>
      <c r="BP304" s="340" t="s">
        <v>419</v>
      </c>
      <c r="BQ304" s="325" t="s">
        <v>388</v>
      </c>
    </row>
    <row r="305" spans="1:70" ht="12" customHeight="1">
      <c r="A305" s="320">
        <v>819</v>
      </c>
      <c r="B305" s="337" t="s">
        <v>394</v>
      </c>
      <c r="C305" s="328" t="s">
        <v>393</v>
      </c>
      <c r="D305" s="356" t="s">
        <v>594</v>
      </c>
      <c r="E305" s="326">
        <v>315</v>
      </c>
      <c r="F305" s="355">
        <v>2</v>
      </c>
      <c r="G305" s="326">
        <v>110</v>
      </c>
      <c r="H305" s="325">
        <f t="shared" si="417"/>
        <v>132</v>
      </c>
      <c r="I305" s="326">
        <v>2980</v>
      </c>
      <c r="J305" s="335">
        <f t="shared" si="418"/>
        <v>3576</v>
      </c>
      <c r="K305" s="349"/>
      <c r="L305" s="354">
        <v>185.3</v>
      </c>
      <c r="M305" s="333">
        <f t="shared" si="348"/>
        <v>193.35652173913044</v>
      </c>
      <c r="N305" s="353">
        <v>0.9</v>
      </c>
      <c r="O305" s="352">
        <v>95.49</v>
      </c>
      <c r="P305" s="331">
        <v>95.23</v>
      </c>
      <c r="Q305" s="331">
        <v>94.31</v>
      </c>
      <c r="R305" s="353">
        <v>0.9</v>
      </c>
      <c r="S305" s="352">
        <v>95.49</v>
      </c>
      <c r="T305" s="331">
        <v>95.23</v>
      </c>
      <c r="U305" s="331">
        <v>94.31</v>
      </c>
      <c r="V305" s="357">
        <v>1.8</v>
      </c>
      <c r="W305" s="331">
        <v>2.2999999999999998</v>
      </c>
      <c r="X305" s="331">
        <v>7.1</v>
      </c>
      <c r="Y305" s="328"/>
      <c r="Z305" s="328"/>
      <c r="AA305" s="328"/>
      <c r="AB305" s="328" t="s">
        <v>593</v>
      </c>
      <c r="AC305" s="328" t="s">
        <v>584</v>
      </c>
      <c r="AD305" s="328" t="s">
        <v>592</v>
      </c>
      <c r="AE305" s="328"/>
      <c r="AF305" s="328"/>
      <c r="AG305" s="328"/>
      <c r="AH305" s="327">
        <v>508</v>
      </c>
      <c r="AI305" s="327">
        <v>406</v>
      </c>
      <c r="AJ305" s="327">
        <v>216</v>
      </c>
      <c r="AK305" s="327">
        <v>65</v>
      </c>
      <c r="AL305" s="327">
        <v>140</v>
      </c>
      <c r="AM305" s="327">
        <v>18</v>
      </c>
      <c r="AN305" s="327">
        <v>58</v>
      </c>
      <c r="AO305" s="327" t="s">
        <v>249</v>
      </c>
      <c r="AP305" s="327">
        <v>315</v>
      </c>
      <c r="AQ305" s="327">
        <v>28</v>
      </c>
      <c r="AR305" s="327">
        <v>630</v>
      </c>
      <c r="AS305" s="327">
        <v>645</v>
      </c>
      <c r="AT305" s="327">
        <v>535</v>
      </c>
      <c r="AU305" s="327">
        <v>885</v>
      </c>
      <c r="AV305" s="327">
        <v>1185</v>
      </c>
      <c r="AW305" s="327">
        <v>1310</v>
      </c>
      <c r="AX305" s="328"/>
      <c r="AY305" s="328"/>
      <c r="AZ305" s="328"/>
      <c r="BA305" s="328"/>
      <c r="BB305" s="328"/>
      <c r="BC305" s="328"/>
      <c r="BD305" s="328"/>
      <c r="BE305" s="328"/>
      <c r="BF305" s="328"/>
      <c r="BG305" s="328"/>
      <c r="BH305" s="327">
        <v>600</v>
      </c>
      <c r="BI305" s="327">
        <v>550</v>
      </c>
      <c r="BJ305" s="327">
        <v>660</v>
      </c>
      <c r="BK305" s="327">
        <v>24</v>
      </c>
      <c r="BL305" s="327">
        <v>6</v>
      </c>
      <c r="BM305" s="325" t="s">
        <v>420</v>
      </c>
      <c r="BN305" s="325" t="s">
        <v>420</v>
      </c>
      <c r="BO305" s="326"/>
      <c r="BP305" s="326"/>
      <c r="BQ305" s="325" t="s">
        <v>388</v>
      </c>
    </row>
    <row r="306" spans="1:70" ht="12" customHeight="1">
      <c r="A306" s="320">
        <v>820</v>
      </c>
      <c r="B306" s="337" t="s">
        <v>394</v>
      </c>
      <c r="C306" s="328" t="s">
        <v>393</v>
      </c>
      <c r="D306" s="356" t="s">
        <v>591</v>
      </c>
      <c r="E306" s="326">
        <v>315</v>
      </c>
      <c r="F306" s="355">
        <v>2</v>
      </c>
      <c r="G306" s="326">
        <v>132</v>
      </c>
      <c r="H306" s="325">
        <f t="shared" si="417"/>
        <v>158.4</v>
      </c>
      <c r="I306" s="326">
        <v>2975</v>
      </c>
      <c r="J306" s="335">
        <f t="shared" si="418"/>
        <v>3570</v>
      </c>
      <c r="K306" s="349"/>
      <c r="L306" s="354">
        <v>221.9</v>
      </c>
      <c r="M306" s="333">
        <f t="shared" si="348"/>
        <v>231.54782608695652</v>
      </c>
      <c r="N306" s="353">
        <v>0.9</v>
      </c>
      <c r="O306" s="352">
        <v>95.52</v>
      </c>
      <c r="P306" s="331">
        <v>95.29</v>
      </c>
      <c r="Q306" s="331">
        <v>94.43</v>
      </c>
      <c r="R306" s="353">
        <v>0.9</v>
      </c>
      <c r="S306" s="352">
        <v>95.52</v>
      </c>
      <c r="T306" s="331">
        <v>95.29</v>
      </c>
      <c r="U306" s="331">
        <v>94.43</v>
      </c>
      <c r="V306" s="357">
        <v>1.8</v>
      </c>
      <c r="W306" s="331">
        <v>2.2999999999999998</v>
      </c>
      <c r="X306" s="331">
        <v>7.1</v>
      </c>
      <c r="Y306" s="328"/>
      <c r="Z306" s="328"/>
      <c r="AA306" s="328"/>
      <c r="AB306" s="328" t="s">
        <v>590</v>
      </c>
      <c r="AC306" s="328" t="s">
        <v>584</v>
      </c>
      <c r="AD306" s="328" t="s">
        <v>589</v>
      </c>
      <c r="AE306" s="328"/>
      <c r="AF306" s="328"/>
      <c r="AG306" s="328"/>
      <c r="AH306" s="327">
        <v>508</v>
      </c>
      <c r="AI306" s="327">
        <v>457</v>
      </c>
      <c r="AJ306" s="327">
        <v>216</v>
      </c>
      <c r="AK306" s="327">
        <v>65</v>
      </c>
      <c r="AL306" s="327">
        <v>140</v>
      </c>
      <c r="AM306" s="327">
        <v>18</v>
      </c>
      <c r="AN306" s="327">
        <v>58</v>
      </c>
      <c r="AO306" s="327" t="s">
        <v>249</v>
      </c>
      <c r="AP306" s="327">
        <v>315</v>
      </c>
      <c r="AQ306" s="327">
        <v>28</v>
      </c>
      <c r="AR306" s="327">
        <v>630</v>
      </c>
      <c r="AS306" s="327">
        <v>645</v>
      </c>
      <c r="AT306" s="327">
        <v>535</v>
      </c>
      <c r="AU306" s="327">
        <v>885</v>
      </c>
      <c r="AV306" s="327">
        <v>1295</v>
      </c>
      <c r="AW306" s="327">
        <v>1425</v>
      </c>
      <c r="AX306" s="328"/>
      <c r="AY306" s="328"/>
      <c r="AZ306" s="328"/>
      <c r="BA306" s="328"/>
      <c r="BB306" s="328"/>
      <c r="BC306" s="328"/>
      <c r="BD306" s="328"/>
      <c r="BE306" s="328"/>
      <c r="BF306" s="328"/>
      <c r="BG306" s="328"/>
      <c r="BH306" s="327">
        <v>600</v>
      </c>
      <c r="BI306" s="327">
        <v>550</v>
      </c>
      <c r="BJ306" s="327">
        <v>660</v>
      </c>
      <c r="BK306" s="327">
        <v>24</v>
      </c>
      <c r="BL306" s="327">
        <v>6</v>
      </c>
      <c r="BM306" s="325" t="s">
        <v>420</v>
      </c>
      <c r="BN306" s="325" t="s">
        <v>420</v>
      </c>
      <c r="BO306" s="326"/>
      <c r="BP306" s="326"/>
      <c r="BQ306" s="325" t="s">
        <v>388</v>
      </c>
    </row>
    <row r="307" spans="1:70" ht="12" customHeight="1">
      <c r="A307" s="320">
        <v>821</v>
      </c>
      <c r="B307" s="337" t="s">
        <v>394</v>
      </c>
      <c r="C307" s="328" t="s">
        <v>393</v>
      </c>
      <c r="D307" s="356" t="s">
        <v>588</v>
      </c>
      <c r="E307" s="326">
        <v>315</v>
      </c>
      <c r="F307" s="355">
        <v>2</v>
      </c>
      <c r="G307" s="326">
        <v>160</v>
      </c>
      <c r="H307" s="325">
        <f t="shared" si="417"/>
        <v>192</v>
      </c>
      <c r="I307" s="326">
        <v>2975</v>
      </c>
      <c r="J307" s="335">
        <f t="shared" si="418"/>
        <v>3570</v>
      </c>
      <c r="K307" s="349"/>
      <c r="L307" s="354">
        <v>265.39999999999998</v>
      </c>
      <c r="M307" s="333">
        <f t="shared" si="348"/>
        <v>276.93913043478256</v>
      </c>
      <c r="N307" s="353">
        <v>0.91</v>
      </c>
      <c r="O307" s="352">
        <v>95.93</v>
      </c>
      <c r="P307" s="331">
        <v>95.66</v>
      </c>
      <c r="Q307" s="331">
        <v>94.78</v>
      </c>
      <c r="R307" s="353">
        <v>0.91</v>
      </c>
      <c r="S307" s="352">
        <v>95.93</v>
      </c>
      <c r="T307" s="331">
        <v>95.66</v>
      </c>
      <c r="U307" s="331">
        <v>94.78</v>
      </c>
      <c r="V307" s="357">
        <v>1.8</v>
      </c>
      <c r="W307" s="331">
        <v>2.2999999999999998</v>
      </c>
      <c r="X307" s="331">
        <v>7.2</v>
      </c>
      <c r="Y307" s="328"/>
      <c r="Z307" s="328"/>
      <c r="AA307" s="328"/>
      <c r="AB307" s="328" t="s">
        <v>587</v>
      </c>
      <c r="AC307" s="328" t="s">
        <v>584</v>
      </c>
      <c r="AD307" s="328" t="s">
        <v>506</v>
      </c>
      <c r="AE307" s="328"/>
      <c r="AF307" s="328"/>
      <c r="AG307" s="328"/>
      <c r="AH307" s="327">
        <v>508</v>
      </c>
      <c r="AI307" s="327">
        <v>508</v>
      </c>
      <c r="AJ307" s="327">
        <v>216</v>
      </c>
      <c r="AK307" s="327">
        <v>65</v>
      </c>
      <c r="AL307" s="327">
        <v>140</v>
      </c>
      <c r="AM307" s="327">
        <v>18</v>
      </c>
      <c r="AN307" s="327">
        <v>58</v>
      </c>
      <c r="AO307" s="327" t="s">
        <v>249</v>
      </c>
      <c r="AP307" s="327">
        <v>315</v>
      </c>
      <c r="AQ307" s="327">
        <v>28</v>
      </c>
      <c r="AR307" s="327">
        <v>630</v>
      </c>
      <c r="AS307" s="327">
        <v>645</v>
      </c>
      <c r="AT307" s="327">
        <v>535</v>
      </c>
      <c r="AU307" s="327">
        <v>885</v>
      </c>
      <c r="AV307" s="327">
        <v>1295</v>
      </c>
      <c r="AW307" s="327">
        <v>1425</v>
      </c>
      <c r="AX307" s="328"/>
      <c r="AY307" s="328"/>
      <c r="AZ307" s="328"/>
      <c r="BA307" s="328"/>
      <c r="BB307" s="328"/>
      <c r="BC307" s="328"/>
      <c r="BD307" s="328"/>
      <c r="BE307" s="328"/>
      <c r="BF307" s="328"/>
      <c r="BG307" s="328"/>
      <c r="BH307" s="327">
        <v>600</v>
      </c>
      <c r="BI307" s="327">
        <v>550</v>
      </c>
      <c r="BJ307" s="327">
        <v>660</v>
      </c>
      <c r="BK307" s="327">
        <v>24</v>
      </c>
      <c r="BL307" s="327">
        <v>6</v>
      </c>
      <c r="BM307" s="325" t="s">
        <v>420</v>
      </c>
      <c r="BN307" s="325" t="s">
        <v>420</v>
      </c>
      <c r="BO307" s="326"/>
      <c r="BP307" s="326"/>
      <c r="BQ307" s="325" t="s">
        <v>388</v>
      </c>
    </row>
    <row r="308" spans="1:70" ht="12" customHeight="1">
      <c r="A308" s="320">
        <v>822</v>
      </c>
      <c r="B308" s="337" t="s">
        <v>394</v>
      </c>
      <c r="C308" s="328" t="s">
        <v>393</v>
      </c>
      <c r="D308" s="356" t="s">
        <v>586</v>
      </c>
      <c r="E308" s="326">
        <v>315</v>
      </c>
      <c r="F308" s="355">
        <v>2</v>
      </c>
      <c r="G308" s="326">
        <v>200</v>
      </c>
      <c r="H308" s="325">
        <f t="shared" si="417"/>
        <v>240</v>
      </c>
      <c r="I308" s="326">
        <v>2975</v>
      </c>
      <c r="J308" s="335">
        <f t="shared" si="418"/>
        <v>3570</v>
      </c>
      <c r="K308" s="349"/>
      <c r="L308" s="354">
        <v>331.2</v>
      </c>
      <c r="M308" s="333">
        <f t="shared" si="348"/>
        <v>345.6</v>
      </c>
      <c r="N308" s="353">
        <v>0.91</v>
      </c>
      <c r="O308" s="352">
        <v>95.91</v>
      </c>
      <c r="P308" s="331">
        <v>95.56</v>
      </c>
      <c r="Q308" s="331">
        <v>94.52</v>
      </c>
      <c r="R308" s="353">
        <v>0.91</v>
      </c>
      <c r="S308" s="352">
        <v>95.91</v>
      </c>
      <c r="T308" s="331">
        <v>95.56</v>
      </c>
      <c r="U308" s="331">
        <v>94.52</v>
      </c>
      <c r="V308" s="357">
        <v>1.8</v>
      </c>
      <c r="W308" s="351">
        <v>2.2000000000000002</v>
      </c>
      <c r="X308" s="331">
        <v>7.2</v>
      </c>
      <c r="Y308" s="328"/>
      <c r="Z308" s="328"/>
      <c r="AA308" s="328"/>
      <c r="AB308" s="328" t="s">
        <v>585</v>
      </c>
      <c r="AC308" s="328" t="s">
        <v>584</v>
      </c>
      <c r="AD308" s="328" t="s">
        <v>583</v>
      </c>
      <c r="AE308" s="328"/>
      <c r="AF308" s="328"/>
      <c r="AG308" s="328"/>
      <c r="AH308" s="327">
        <v>508</v>
      </c>
      <c r="AI308" s="327">
        <v>508</v>
      </c>
      <c r="AJ308" s="327">
        <v>216</v>
      </c>
      <c r="AK308" s="327">
        <v>65</v>
      </c>
      <c r="AL308" s="327">
        <v>140</v>
      </c>
      <c r="AM308" s="327">
        <v>18</v>
      </c>
      <c r="AN308" s="327">
        <v>58</v>
      </c>
      <c r="AO308" s="327" t="s">
        <v>249</v>
      </c>
      <c r="AP308" s="327">
        <v>315</v>
      </c>
      <c r="AQ308" s="327">
        <v>28</v>
      </c>
      <c r="AR308" s="327">
        <v>630</v>
      </c>
      <c r="AS308" s="327">
        <v>645</v>
      </c>
      <c r="AT308" s="327">
        <v>535</v>
      </c>
      <c r="AU308" s="327">
        <v>885</v>
      </c>
      <c r="AV308" s="327">
        <v>1295</v>
      </c>
      <c r="AW308" s="327">
        <v>1425</v>
      </c>
      <c r="AX308" s="328"/>
      <c r="AY308" s="328"/>
      <c r="AZ308" s="328"/>
      <c r="BA308" s="328"/>
      <c r="BB308" s="328"/>
      <c r="BC308" s="328"/>
      <c r="BD308" s="328"/>
      <c r="BE308" s="328"/>
      <c r="BF308" s="328"/>
      <c r="BG308" s="328"/>
      <c r="BH308" s="327">
        <v>600</v>
      </c>
      <c r="BI308" s="327">
        <v>550</v>
      </c>
      <c r="BJ308" s="327">
        <v>660</v>
      </c>
      <c r="BK308" s="327">
        <v>24</v>
      </c>
      <c r="BL308" s="327">
        <v>6</v>
      </c>
      <c r="BM308" s="325" t="s">
        <v>420</v>
      </c>
      <c r="BN308" s="325" t="s">
        <v>420</v>
      </c>
      <c r="BO308" s="326"/>
      <c r="BP308" s="326"/>
      <c r="BQ308" s="325" t="s">
        <v>388</v>
      </c>
    </row>
    <row r="309" spans="1:70" ht="12" customHeight="1">
      <c r="A309" s="320">
        <v>823</v>
      </c>
      <c r="B309" s="337" t="s">
        <v>394</v>
      </c>
      <c r="C309" s="328" t="s">
        <v>393</v>
      </c>
      <c r="D309" s="356" t="s">
        <v>582</v>
      </c>
      <c r="E309" s="326">
        <v>355</v>
      </c>
      <c r="F309" s="355">
        <v>2</v>
      </c>
      <c r="G309" s="326">
        <v>250</v>
      </c>
      <c r="H309" s="325">
        <f t="shared" si="417"/>
        <v>300</v>
      </c>
      <c r="I309" s="326">
        <v>2980</v>
      </c>
      <c r="J309" s="335">
        <f t="shared" si="418"/>
        <v>3576</v>
      </c>
      <c r="K309" s="349"/>
      <c r="L309" s="354">
        <v>413.9</v>
      </c>
      <c r="M309" s="333">
        <f t="shared" si="348"/>
        <v>431.89565217391305</v>
      </c>
      <c r="N309" s="353">
        <v>0.91</v>
      </c>
      <c r="O309" s="352">
        <v>95.91</v>
      </c>
      <c r="P309" s="331">
        <v>95.42</v>
      </c>
      <c r="Q309" s="331">
        <v>94.2</v>
      </c>
      <c r="R309" s="353">
        <v>0.91</v>
      </c>
      <c r="S309" s="352">
        <v>95.91</v>
      </c>
      <c r="T309" s="331">
        <v>95.42</v>
      </c>
      <c r="U309" s="331">
        <v>94.2</v>
      </c>
      <c r="V309" s="351">
        <v>1.6</v>
      </c>
      <c r="W309" s="351">
        <v>2.2000000000000002</v>
      </c>
      <c r="X309" s="331">
        <v>7.2</v>
      </c>
      <c r="Y309" s="328"/>
      <c r="Z309" s="328"/>
      <c r="AA309" s="328"/>
      <c r="AB309" s="328" t="s">
        <v>581</v>
      </c>
      <c r="AC309" s="328" t="s">
        <v>577</v>
      </c>
      <c r="AD309" s="328" t="s">
        <v>580</v>
      </c>
      <c r="AE309" s="328"/>
      <c r="AF309" s="328"/>
      <c r="AG309" s="328"/>
      <c r="AH309" s="327">
        <v>610</v>
      </c>
      <c r="AI309" s="327">
        <v>560</v>
      </c>
      <c r="AJ309" s="327">
        <v>254</v>
      </c>
      <c r="AK309" s="327">
        <v>75</v>
      </c>
      <c r="AL309" s="327">
        <v>140</v>
      </c>
      <c r="AM309" s="327">
        <v>20</v>
      </c>
      <c r="AN309" s="327">
        <v>67.5</v>
      </c>
      <c r="AO309" s="327" t="s">
        <v>249</v>
      </c>
      <c r="AP309" s="327">
        <v>355</v>
      </c>
      <c r="AQ309" s="327">
        <v>28</v>
      </c>
      <c r="AR309" s="327">
        <v>730</v>
      </c>
      <c r="AS309" s="327">
        <v>720</v>
      </c>
      <c r="AT309" s="327">
        <v>700</v>
      </c>
      <c r="AU309" s="327">
        <v>1065</v>
      </c>
      <c r="AV309" s="327">
        <v>1495</v>
      </c>
      <c r="AW309" s="327">
        <v>1640</v>
      </c>
      <c r="AX309" s="328"/>
      <c r="AY309" s="328"/>
      <c r="AZ309" s="328"/>
      <c r="BA309" s="328"/>
      <c r="BB309" s="328"/>
      <c r="BC309" s="328"/>
      <c r="BD309" s="328"/>
      <c r="BE309" s="328"/>
      <c r="BF309" s="328"/>
      <c r="BG309" s="328"/>
      <c r="BH309" s="327">
        <v>600</v>
      </c>
      <c r="BI309" s="327">
        <v>550</v>
      </c>
      <c r="BJ309" s="327">
        <v>660</v>
      </c>
      <c r="BK309" s="327">
        <v>24</v>
      </c>
      <c r="BL309" s="327">
        <v>6</v>
      </c>
      <c r="BM309" s="325" t="s">
        <v>389</v>
      </c>
      <c r="BN309" s="325" t="s">
        <v>389</v>
      </c>
      <c r="BO309" s="326"/>
      <c r="BP309" s="326"/>
      <c r="BQ309" s="325" t="s">
        <v>388</v>
      </c>
    </row>
    <row r="310" spans="1:70" ht="12" customHeight="1">
      <c r="A310" s="320">
        <v>824</v>
      </c>
      <c r="B310" s="337" t="s">
        <v>394</v>
      </c>
      <c r="C310" s="328" t="s">
        <v>393</v>
      </c>
      <c r="D310" s="356" t="s">
        <v>579</v>
      </c>
      <c r="E310" s="326">
        <v>355</v>
      </c>
      <c r="F310" s="355">
        <v>2</v>
      </c>
      <c r="G310" s="326">
        <v>315</v>
      </c>
      <c r="H310" s="325">
        <f t="shared" si="417"/>
        <v>378</v>
      </c>
      <c r="I310" s="326">
        <v>2980</v>
      </c>
      <c r="J310" s="335">
        <f t="shared" si="418"/>
        <v>3576</v>
      </c>
      <c r="K310" s="349"/>
      <c r="L310" s="354">
        <v>515.9</v>
      </c>
      <c r="M310" s="333">
        <f t="shared" si="348"/>
        <v>538.33043478260868</v>
      </c>
      <c r="N310" s="353">
        <v>0.91</v>
      </c>
      <c r="O310" s="352">
        <v>96.09</v>
      </c>
      <c r="P310" s="331">
        <v>95.6</v>
      </c>
      <c r="Q310" s="331">
        <v>94.39</v>
      </c>
      <c r="R310" s="353">
        <v>0.91</v>
      </c>
      <c r="S310" s="352">
        <v>96.09</v>
      </c>
      <c r="T310" s="331">
        <v>95.6</v>
      </c>
      <c r="U310" s="331">
        <v>94.39</v>
      </c>
      <c r="V310" s="351">
        <v>1.6</v>
      </c>
      <c r="W310" s="351">
        <v>2.2000000000000002</v>
      </c>
      <c r="X310" s="331">
        <v>7.2</v>
      </c>
      <c r="Y310" s="328"/>
      <c r="Z310" s="328"/>
      <c r="AA310" s="328"/>
      <c r="AB310" s="328" t="s">
        <v>578</v>
      </c>
      <c r="AC310" s="328" t="s">
        <v>577</v>
      </c>
      <c r="AD310" s="328" t="s">
        <v>576</v>
      </c>
      <c r="AE310" s="328"/>
      <c r="AF310" s="328"/>
      <c r="AG310" s="328"/>
      <c r="AH310" s="327">
        <v>610</v>
      </c>
      <c r="AI310" s="327">
        <v>630</v>
      </c>
      <c r="AJ310" s="327">
        <v>254</v>
      </c>
      <c r="AK310" s="327">
        <v>75</v>
      </c>
      <c r="AL310" s="327">
        <v>140</v>
      </c>
      <c r="AM310" s="327">
        <v>20</v>
      </c>
      <c r="AN310" s="327">
        <v>67.5</v>
      </c>
      <c r="AO310" s="327" t="s">
        <v>249</v>
      </c>
      <c r="AP310" s="327">
        <v>355</v>
      </c>
      <c r="AQ310" s="327">
        <v>28</v>
      </c>
      <c r="AR310" s="327">
        <v>730</v>
      </c>
      <c r="AS310" s="327">
        <v>720</v>
      </c>
      <c r="AT310" s="327">
        <v>700</v>
      </c>
      <c r="AU310" s="327">
        <v>1065</v>
      </c>
      <c r="AV310" s="327">
        <v>1495</v>
      </c>
      <c r="AW310" s="327">
        <v>1640</v>
      </c>
      <c r="AX310" s="328"/>
      <c r="AY310" s="328"/>
      <c r="AZ310" s="328"/>
      <c r="BA310" s="328"/>
      <c r="BB310" s="328"/>
      <c r="BC310" s="328"/>
      <c r="BD310" s="328"/>
      <c r="BE310" s="328"/>
      <c r="BF310" s="328"/>
      <c r="BG310" s="328"/>
      <c r="BH310" s="327">
        <v>740</v>
      </c>
      <c r="BI310" s="327">
        <v>680</v>
      </c>
      <c r="BJ310" s="327">
        <v>800</v>
      </c>
      <c r="BK310" s="327">
        <v>24</v>
      </c>
      <c r="BL310" s="327">
        <v>6</v>
      </c>
      <c r="BM310" s="325" t="s">
        <v>389</v>
      </c>
      <c r="BN310" s="325" t="s">
        <v>389</v>
      </c>
      <c r="BO310" s="326"/>
      <c r="BP310" s="326"/>
      <c r="BQ310" s="325" t="s">
        <v>388</v>
      </c>
    </row>
    <row r="311" spans="1:70" ht="12" customHeight="1">
      <c r="A311" s="320">
        <v>825</v>
      </c>
      <c r="B311" s="337" t="s">
        <v>394</v>
      </c>
      <c r="C311" s="328" t="s">
        <v>393</v>
      </c>
      <c r="D311" s="356" t="s">
        <v>575</v>
      </c>
      <c r="E311" s="326">
        <v>355</v>
      </c>
      <c r="F311" s="355">
        <v>2</v>
      </c>
      <c r="G311" s="326">
        <v>355</v>
      </c>
      <c r="H311" s="325">
        <f t="shared" si="417"/>
        <v>426</v>
      </c>
      <c r="I311" s="326">
        <v>2980</v>
      </c>
      <c r="J311" s="335">
        <f t="shared" si="418"/>
        <v>3576</v>
      </c>
      <c r="K311" s="349"/>
      <c r="L311" s="354">
        <v>587.79999999999995</v>
      </c>
      <c r="M311" s="333">
        <f t="shared" si="348"/>
        <v>613.35652173913047</v>
      </c>
      <c r="N311" s="353">
        <v>0.91</v>
      </c>
      <c r="O311" s="352">
        <v>95.8</v>
      </c>
      <c r="P311" s="331"/>
      <c r="Q311" s="331"/>
      <c r="R311" s="353">
        <v>0.91</v>
      </c>
      <c r="S311" s="352">
        <v>95.8</v>
      </c>
      <c r="T311" s="331"/>
      <c r="U311" s="331"/>
      <c r="V311" s="351">
        <v>1.6</v>
      </c>
      <c r="W311" s="351">
        <v>2.2000000000000002</v>
      </c>
      <c r="X311" s="331">
        <v>7.2</v>
      </c>
      <c r="Y311" s="328"/>
      <c r="Z311" s="328"/>
      <c r="AA311" s="328"/>
      <c r="AB311" s="328"/>
      <c r="AC311" s="328" t="s">
        <v>573</v>
      </c>
      <c r="AD311" s="328"/>
      <c r="AE311" s="328"/>
      <c r="AF311" s="328"/>
      <c r="AG311" s="328"/>
      <c r="AH311" s="327">
        <v>610</v>
      </c>
      <c r="AI311" s="327">
        <v>630</v>
      </c>
      <c r="AJ311" s="327">
        <v>254</v>
      </c>
      <c r="AK311" s="327">
        <v>75</v>
      </c>
      <c r="AL311" s="327">
        <v>140</v>
      </c>
      <c r="AM311" s="327">
        <v>20</v>
      </c>
      <c r="AN311" s="327">
        <v>67.5</v>
      </c>
      <c r="AO311" s="327" t="s">
        <v>249</v>
      </c>
      <c r="AP311" s="327">
        <v>355</v>
      </c>
      <c r="AQ311" s="327">
        <v>28</v>
      </c>
      <c r="AR311" s="327">
        <v>730</v>
      </c>
      <c r="AS311" s="327">
        <v>720</v>
      </c>
      <c r="AT311" s="327">
        <v>700</v>
      </c>
      <c r="AU311" s="327">
        <v>1065</v>
      </c>
      <c r="AV311" s="327">
        <v>1495</v>
      </c>
      <c r="AW311" s="327">
        <v>1640</v>
      </c>
      <c r="AX311" s="328"/>
      <c r="AY311" s="328"/>
      <c r="AZ311" s="328"/>
      <c r="BA311" s="328"/>
      <c r="BB311" s="328"/>
      <c r="BC311" s="328"/>
      <c r="BD311" s="328"/>
      <c r="BE311" s="328"/>
      <c r="BF311" s="328"/>
      <c r="BG311" s="328"/>
      <c r="BH311" s="327">
        <v>740</v>
      </c>
      <c r="BI311" s="327">
        <v>680</v>
      </c>
      <c r="BJ311" s="327">
        <v>800</v>
      </c>
      <c r="BK311" s="327">
        <v>24</v>
      </c>
      <c r="BL311" s="327">
        <v>6</v>
      </c>
      <c r="BM311" s="325" t="s">
        <v>389</v>
      </c>
      <c r="BN311" s="325" t="s">
        <v>389</v>
      </c>
      <c r="BO311" s="326"/>
      <c r="BP311" s="326"/>
      <c r="BQ311" s="325" t="s">
        <v>388</v>
      </c>
    </row>
    <row r="312" spans="1:70" ht="12" customHeight="1">
      <c r="A312" s="320">
        <v>826</v>
      </c>
      <c r="B312" s="337" t="s">
        <v>394</v>
      </c>
      <c r="C312" s="328" t="s">
        <v>393</v>
      </c>
      <c r="D312" s="356" t="s">
        <v>574</v>
      </c>
      <c r="E312" s="326">
        <v>355</v>
      </c>
      <c r="F312" s="355">
        <v>2</v>
      </c>
      <c r="G312" s="355">
        <v>375</v>
      </c>
      <c r="H312" s="325">
        <f t="shared" si="417"/>
        <v>450</v>
      </c>
      <c r="I312" s="326">
        <v>2980</v>
      </c>
      <c r="J312" s="335">
        <f t="shared" si="418"/>
        <v>3576</v>
      </c>
      <c r="K312" s="349"/>
      <c r="L312" s="354">
        <v>620.9</v>
      </c>
      <c r="M312" s="333">
        <f t="shared" si="348"/>
        <v>647.89565217391305</v>
      </c>
      <c r="N312" s="353">
        <v>0.91</v>
      </c>
      <c r="O312" s="352">
        <v>95.8</v>
      </c>
      <c r="P312" s="331"/>
      <c r="Q312" s="331"/>
      <c r="R312" s="353">
        <v>0.91</v>
      </c>
      <c r="S312" s="352">
        <v>95.8</v>
      </c>
      <c r="T312" s="331"/>
      <c r="U312" s="331"/>
      <c r="V312" s="351">
        <v>1.6</v>
      </c>
      <c r="W312" s="351">
        <v>2.2000000000000002</v>
      </c>
      <c r="X312" s="331">
        <v>7.2</v>
      </c>
      <c r="Y312" s="328"/>
      <c r="Z312" s="328"/>
      <c r="AA312" s="328"/>
      <c r="AB312" s="328"/>
      <c r="AC312" s="328" t="s">
        <v>573</v>
      </c>
      <c r="AD312" s="328"/>
      <c r="AE312" s="328"/>
      <c r="AF312" s="328"/>
      <c r="AG312" s="328"/>
      <c r="AH312" s="328"/>
      <c r="AI312" s="328"/>
      <c r="AJ312" s="328"/>
      <c r="AK312" s="328"/>
      <c r="AL312" s="328"/>
      <c r="AM312" s="328"/>
      <c r="AN312" s="328"/>
      <c r="AO312" s="328"/>
      <c r="AP312" s="328"/>
      <c r="AQ312" s="328"/>
      <c r="AR312" s="328"/>
      <c r="AS312" s="328"/>
      <c r="AT312" s="328"/>
      <c r="AU312" s="328"/>
      <c r="AV312" s="328"/>
      <c r="AW312" s="328"/>
      <c r="AX312" s="328"/>
      <c r="AY312" s="328"/>
      <c r="AZ312" s="328"/>
      <c r="BA312" s="328"/>
      <c r="BB312" s="328"/>
      <c r="BC312" s="328"/>
      <c r="BD312" s="328"/>
      <c r="BE312" s="328"/>
      <c r="BF312" s="328"/>
      <c r="BG312" s="328"/>
      <c r="BH312" s="328"/>
      <c r="BI312" s="328"/>
      <c r="BJ312" s="328"/>
      <c r="BK312" s="328"/>
      <c r="BL312" s="328"/>
      <c r="BM312" s="328"/>
      <c r="BN312" s="328"/>
      <c r="BO312" s="326"/>
      <c r="BP312" s="326"/>
      <c r="BQ312" s="328"/>
    </row>
    <row r="313" spans="1:70" s="1845" customFormat="1" ht="12" customHeight="1">
      <c r="A313" s="1842">
        <f>A312</f>
        <v>826</v>
      </c>
      <c r="B313" s="1843" t="str">
        <f t="shared" ref="B313" si="419">B312</f>
        <v>3D3</v>
      </c>
      <c r="C313" s="1844" t="str">
        <f t="shared" ref="C313" si="420">C312</f>
        <v>IE3</v>
      </c>
      <c r="D313" s="1843" t="str">
        <f t="shared" ref="D313" si="421">D312</f>
        <v>3D3 3552-2</v>
      </c>
      <c r="E313" s="1845">
        <f t="shared" ref="E313" si="422">E312</f>
        <v>355</v>
      </c>
      <c r="F313" s="1846">
        <f t="shared" ref="F313" si="423">F312</f>
        <v>2</v>
      </c>
      <c r="G313" s="1844">
        <f t="shared" ref="G313" si="424">G312</f>
        <v>375</v>
      </c>
      <c r="H313" s="1844">
        <f t="shared" ref="H313" si="425">H312</f>
        <v>450</v>
      </c>
      <c r="I313" s="1844">
        <f t="shared" ref="I313" si="426">I312</f>
        <v>2980</v>
      </c>
      <c r="J313" s="1847">
        <f t="shared" ref="J313" si="427">J312</f>
        <v>3576</v>
      </c>
      <c r="K313" s="1845">
        <f t="shared" ref="K313" si="428">K312</f>
        <v>0</v>
      </c>
      <c r="L313" s="1844">
        <f t="shared" ref="L313" si="429">L312</f>
        <v>620.9</v>
      </c>
      <c r="M313" s="1848">
        <f t="shared" ref="M313" si="430">M312</f>
        <v>647.89565217391305</v>
      </c>
      <c r="N313" s="1849">
        <f t="shared" ref="N313" si="431">N312</f>
        <v>0.91</v>
      </c>
      <c r="O313" s="1850">
        <f t="shared" ref="O313" si="432">O312</f>
        <v>95.8</v>
      </c>
      <c r="P313" s="1845">
        <f t="shared" ref="P313" si="433">P312</f>
        <v>0</v>
      </c>
      <c r="Q313" s="1845">
        <f t="shared" ref="Q313" si="434">Q312</f>
        <v>0</v>
      </c>
      <c r="R313" s="1849">
        <f t="shared" ref="R313" si="435">R312</f>
        <v>0.91</v>
      </c>
      <c r="S313" s="1850">
        <f t="shared" ref="S313" si="436">S312</f>
        <v>95.8</v>
      </c>
      <c r="T313" s="1845">
        <f t="shared" ref="T313" si="437">T312</f>
        <v>0</v>
      </c>
      <c r="U313" s="1845">
        <f t="shared" ref="U313" si="438">U312</f>
        <v>0</v>
      </c>
      <c r="V313" s="1849">
        <f t="shared" ref="V313" si="439">V312</f>
        <v>1.6</v>
      </c>
      <c r="W313" s="1849">
        <f t="shared" ref="W313" si="440">W312</f>
        <v>2.2000000000000002</v>
      </c>
      <c r="X313" s="1850">
        <f t="shared" ref="X313" si="441">X312</f>
        <v>7.2</v>
      </c>
      <c r="Y313" s="1845">
        <f t="shared" ref="Y313" si="442">Y312</f>
        <v>0</v>
      </c>
      <c r="Z313" s="1845">
        <f t="shared" ref="Z313" si="443">Z312</f>
        <v>0</v>
      </c>
      <c r="AA313" s="1845">
        <f t="shared" ref="AA313" si="444">AA312</f>
        <v>0</v>
      </c>
      <c r="AB313" s="1851">
        <f t="shared" ref="AB313" si="445">AB312</f>
        <v>0</v>
      </c>
      <c r="AC313" s="1845" t="str">
        <f t="shared" ref="AC313" si="446">AC312</f>
        <v>104</v>
      </c>
      <c r="AD313" s="1844">
        <f t="shared" ref="AD313" si="447">AD312</f>
        <v>0</v>
      </c>
      <c r="AE313" s="1845">
        <f t="shared" ref="AE313" si="448">AE312</f>
        <v>0</v>
      </c>
      <c r="AF313" s="1845">
        <f t="shared" ref="AF313" si="449">AF312</f>
        <v>0</v>
      </c>
      <c r="AG313" s="1845">
        <f t="shared" ref="AG313" si="450">AG312</f>
        <v>0</v>
      </c>
      <c r="AH313" s="1844">
        <f t="shared" ref="AH313" si="451">AH312</f>
        <v>0</v>
      </c>
      <c r="AI313" s="1844">
        <f t="shared" ref="AI313" si="452">AI312</f>
        <v>0</v>
      </c>
      <c r="AJ313" s="1844">
        <f t="shared" ref="AJ313" si="453">AJ312</f>
        <v>0</v>
      </c>
      <c r="AK313" s="1844">
        <f t="shared" ref="AK313" si="454">AK312</f>
        <v>0</v>
      </c>
      <c r="AL313" s="1844">
        <f t="shared" ref="AL313" si="455">AL312</f>
        <v>0</v>
      </c>
      <c r="AM313" s="1844">
        <f t="shared" ref="AM313" si="456">AM312</f>
        <v>0</v>
      </c>
      <c r="AN313" s="1844">
        <f t="shared" ref="AN313" si="457">AN312</f>
        <v>0</v>
      </c>
      <c r="AO313" s="1844">
        <f t="shared" ref="AO313" si="458">AO312</f>
        <v>0</v>
      </c>
      <c r="AP313" s="1844">
        <f t="shared" ref="AP313" si="459">AP312</f>
        <v>0</v>
      </c>
      <c r="AQ313" s="1844">
        <f t="shared" ref="AQ313" si="460">AQ312</f>
        <v>0</v>
      </c>
      <c r="AR313" s="1844">
        <f t="shared" ref="AR313" si="461">AR312</f>
        <v>0</v>
      </c>
      <c r="AS313" s="1844">
        <f t="shared" ref="AS313" si="462">AS312</f>
        <v>0</v>
      </c>
      <c r="AT313" s="1844">
        <f t="shared" ref="AT313" si="463">AT312</f>
        <v>0</v>
      </c>
      <c r="AU313" s="1844">
        <f t="shared" ref="AU313" si="464">AU312</f>
        <v>0</v>
      </c>
      <c r="AV313" s="1844">
        <f t="shared" ref="AV313" si="465">AV312</f>
        <v>0</v>
      </c>
      <c r="AW313" s="1844">
        <f t="shared" ref="AW313" si="466">AW312</f>
        <v>0</v>
      </c>
      <c r="AX313" s="1845">
        <f t="shared" ref="AX313" si="467">AX312</f>
        <v>0</v>
      </c>
      <c r="AY313" s="1845">
        <f t="shared" ref="AY313" si="468">AY312</f>
        <v>0</v>
      </c>
      <c r="AZ313" s="1845">
        <f t="shared" ref="AZ313" si="469">AZ312</f>
        <v>0</v>
      </c>
      <c r="BA313" s="1845">
        <f t="shared" ref="BA313" si="470">BA312</f>
        <v>0</v>
      </c>
      <c r="BB313" s="1845">
        <f t="shared" ref="BB313" si="471">BB312</f>
        <v>0</v>
      </c>
      <c r="BC313" s="1845">
        <f t="shared" ref="BC313" si="472">BC312</f>
        <v>0</v>
      </c>
      <c r="BD313" s="1845">
        <f t="shared" ref="BD313" si="473">BD312</f>
        <v>0</v>
      </c>
      <c r="BE313" s="1845">
        <f t="shared" ref="BE313" si="474">BE312</f>
        <v>0</v>
      </c>
      <c r="BF313" s="1845">
        <f t="shared" ref="BF313" si="475">BF312</f>
        <v>0</v>
      </c>
      <c r="BG313" s="1845">
        <f t="shared" ref="BG313" si="476">BG312</f>
        <v>0</v>
      </c>
      <c r="BH313" s="1844">
        <f t="shared" ref="BH313" si="477">BH312</f>
        <v>0</v>
      </c>
      <c r="BI313" s="1844">
        <f t="shared" ref="BI313" si="478">BI312</f>
        <v>0</v>
      </c>
      <c r="BJ313" s="1844">
        <f t="shared" ref="BJ313" si="479">BJ312</f>
        <v>0</v>
      </c>
      <c r="BK313" s="1844">
        <f t="shared" ref="BK313" si="480">BK312</f>
        <v>0</v>
      </c>
      <c r="BL313" s="1844">
        <f t="shared" ref="BL313" si="481">BL312</f>
        <v>0</v>
      </c>
      <c r="BM313" s="1844">
        <f t="shared" ref="BM313" si="482">BM312</f>
        <v>0</v>
      </c>
      <c r="BN313" s="1844">
        <f t="shared" ref="BN313" si="483">BN312</f>
        <v>0</v>
      </c>
      <c r="BO313" s="1852">
        <f t="shared" ref="BO313" si="484">BO312</f>
        <v>0</v>
      </c>
      <c r="BP313" s="1852">
        <f t="shared" ref="BP313" si="485">BP312</f>
        <v>0</v>
      </c>
      <c r="BQ313" s="1845">
        <f t="shared" ref="BQ313" si="486">BQ312</f>
        <v>0</v>
      </c>
      <c r="BR313" s="1842"/>
    </row>
    <row r="314" spans="1:70" ht="12" customHeight="1">
      <c r="A314" s="320">
        <v>901</v>
      </c>
      <c r="B314" s="337" t="s">
        <v>394</v>
      </c>
      <c r="C314" s="328" t="s">
        <v>393</v>
      </c>
      <c r="D314" s="350" t="s">
        <v>572</v>
      </c>
      <c r="E314" s="328">
        <v>80</v>
      </c>
      <c r="F314" s="344">
        <v>4</v>
      </c>
      <c r="G314" s="328">
        <v>0.75</v>
      </c>
      <c r="H314" s="325">
        <f t="shared" si="417"/>
        <v>0.89999999999999991</v>
      </c>
      <c r="I314" s="328">
        <v>1435</v>
      </c>
      <c r="J314" s="335">
        <f t="shared" si="418"/>
        <v>1722</v>
      </c>
      <c r="K314" s="349"/>
      <c r="L314" s="348">
        <v>1.7</v>
      </c>
      <c r="M314" s="333">
        <f t="shared" si="348"/>
        <v>1.7739130434782608</v>
      </c>
      <c r="N314" s="347">
        <v>0.75</v>
      </c>
      <c r="O314" s="331">
        <v>83.33</v>
      </c>
      <c r="P314" s="331">
        <v>83.65</v>
      </c>
      <c r="Q314" s="331">
        <v>82.13</v>
      </c>
      <c r="R314" s="347">
        <v>0.75</v>
      </c>
      <c r="S314" s="331">
        <v>83.33</v>
      </c>
      <c r="T314" s="331">
        <v>83.65</v>
      </c>
      <c r="U314" s="331">
        <v>82.13</v>
      </c>
      <c r="V314" s="346">
        <v>2.2999999999999998</v>
      </c>
      <c r="W314" s="346">
        <v>2.2999999999999998</v>
      </c>
      <c r="X314" s="328">
        <v>6.6</v>
      </c>
      <c r="Y314" s="328"/>
      <c r="Z314" s="328"/>
      <c r="AA314" s="328"/>
      <c r="AB314" s="328" t="s">
        <v>571</v>
      </c>
      <c r="AC314" s="328" t="s">
        <v>570</v>
      </c>
      <c r="AD314" s="328" t="s">
        <v>569</v>
      </c>
      <c r="AE314" s="328"/>
      <c r="AF314" s="328"/>
      <c r="AG314" s="328"/>
      <c r="AH314" s="327">
        <v>125</v>
      </c>
      <c r="AI314" s="327">
        <v>100</v>
      </c>
      <c r="AJ314" s="327">
        <v>50</v>
      </c>
      <c r="AK314" s="327">
        <v>19</v>
      </c>
      <c r="AL314" s="327">
        <v>40</v>
      </c>
      <c r="AM314" s="327">
        <v>6</v>
      </c>
      <c r="AN314" s="327">
        <v>15.5</v>
      </c>
      <c r="AO314" s="327" t="s">
        <v>244</v>
      </c>
      <c r="AP314" s="327">
        <v>80</v>
      </c>
      <c r="AQ314" s="327">
        <v>10</v>
      </c>
      <c r="AR314" s="327">
        <v>165</v>
      </c>
      <c r="AS314" s="327">
        <v>165</v>
      </c>
      <c r="AT314" s="327">
        <v>165</v>
      </c>
      <c r="AU314" s="327">
        <v>245</v>
      </c>
      <c r="AV314" s="327">
        <v>295</v>
      </c>
      <c r="AW314" s="327">
        <v>345</v>
      </c>
      <c r="AX314" s="327">
        <v>100</v>
      </c>
      <c r="AY314" s="327">
        <v>80</v>
      </c>
      <c r="AZ314" s="327">
        <v>120</v>
      </c>
      <c r="BA314" s="327" t="s">
        <v>244</v>
      </c>
      <c r="BB314" s="327">
        <v>3</v>
      </c>
      <c r="BC314" s="327">
        <v>130</v>
      </c>
      <c r="BD314" s="327">
        <v>110</v>
      </c>
      <c r="BE314" s="327">
        <v>160</v>
      </c>
      <c r="BF314" s="327" t="s">
        <v>245</v>
      </c>
      <c r="BG314" s="327">
        <v>3.5</v>
      </c>
      <c r="BH314" s="327">
        <v>165</v>
      </c>
      <c r="BI314" s="327">
        <v>130</v>
      </c>
      <c r="BJ314" s="327">
        <v>200</v>
      </c>
      <c r="BK314" s="327">
        <v>12</v>
      </c>
      <c r="BL314" s="327">
        <v>3.5</v>
      </c>
      <c r="BM314" s="325" t="s">
        <v>568</v>
      </c>
      <c r="BN314" s="325" t="s">
        <v>568</v>
      </c>
      <c r="BO314" s="326"/>
      <c r="BP314" s="326"/>
      <c r="BQ314" s="325" t="s">
        <v>480</v>
      </c>
    </row>
    <row r="315" spans="1:70" ht="12" customHeight="1">
      <c r="A315" s="320">
        <v>902</v>
      </c>
      <c r="B315" s="337" t="s">
        <v>394</v>
      </c>
      <c r="C315" s="328" t="s">
        <v>393</v>
      </c>
      <c r="D315" s="350" t="s">
        <v>567</v>
      </c>
      <c r="E315" s="328">
        <v>90</v>
      </c>
      <c r="F315" s="344">
        <v>4</v>
      </c>
      <c r="G315" s="328">
        <v>1.1000000000000001</v>
      </c>
      <c r="H315" s="325">
        <f t="shared" si="417"/>
        <v>1.32</v>
      </c>
      <c r="I315" s="328">
        <v>1435</v>
      </c>
      <c r="J315" s="335">
        <f t="shared" si="418"/>
        <v>1722</v>
      </c>
      <c r="K315" s="349"/>
      <c r="L315" s="348">
        <v>2.5</v>
      </c>
      <c r="M315" s="333">
        <f t="shared" si="348"/>
        <v>2.6086956521739131</v>
      </c>
      <c r="N315" s="347">
        <v>0.76</v>
      </c>
      <c r="O315" s="331">
        <v>84.65</v>
      </c>
      <c r="P315" s="331">
        <v>85.47</v>
      </c>
      <c r="Q315" s="331">
        <v>84.61</v>
      </c>
      <c r="R315" s="347">
        <v>0.76</v>
      </c>
      <c r="S315" s="331">
        <v>84.65</v>
      </c>
      <c r="T315" s="331">
        <v>85.47</v>
      </c>
      <c r="U315" s="331">
        <v>84.61</v>
      </c>
      <c r="V315" s="346">
        <v>2.2999999999999998</v>
      </c>
      <c r="W315" s="346">
        <v>2.2999999999999998</v>
      </c>
      <c r="X315" s="328">
        <v>6.8</v>
      </c>
      <c r="Y315" s="328"/>
      <c r="Z315" s="328"/>
      <c r="AA315" s="328"/>
      <c r="AB315" s="328" t="s">
        <v>566</v>
      </c>
      <c r="AC315" s="328" t="s">
        <v>563</v>
      </c>
      <c r="AD315" s="328" t="s">
        <v>565</v>
      </c>
      <c r="AE315" s="328"/>
      <c r="AF315" s="328"/>
      <c r="AG315" s="328"/>
      <c r="AH315" s="327">
        <v>140</v>
      </c>
      <c r="AI315" s="327">
        <v>100</v>
      </c>
      <c r="AJ315" s="327">
        <v>56</v>
      </c>
      <c r="AK315" s="327">
        <v>24</v>
      </c>
      <c r="AL315" s="327">
        <v>50</v>
      </c>
      <c r="AM315" s="327">
        <v>8</v>
      </c>
      <c r="AN315" s="327">
        <v>20</v>
      </c>
      <c r="AO315" s="327" t="s">
        <v>245</v>
      </c>
      <c r="AP315" s="327">
        <v>90</v>
      </c>
      <c r="AQ315" s="327">
        <v>10</v>
      </c>
      <c r="AR315" s="327">
        <v>180</v>
      </c>
      <c r="AS315" s="327">
        <v>180</v>
      </c>
      <c r="AT315" s="327">
        <v>175</v>
      </c>
      <c r="AU315" s="327">
        <v>265</v>
      </c>
      <c r="AV315" s="327">
        <v>315</v>
      </c>
      <c r="AW315" s="327">
        <v>365</v>
      </c>
      <c r="AX315" s="327">
        <v>115</v>
      </c>
      <c r="AY315" s="327">
        <v>95</v>
      </c>
      <c r="AZ315" s="327">
        <v>140</v>
      </c>
      <c r="BA315" s="327" t="s">
        <v>245</v>
      </c>
      <c r="BB315" s="327">
        <v>3</v>
      </c>
      <c r="BC315" s="327">
        <v>130</v>
      </c>
      <c r="BD315" s="327">
        <v>110</v>
      </c>
      <c r="BE315" s="327">
        <v>160</v>
      </c>
      <c r="BF315" s="327" t="s">
        <v>245</v>
      </c>
      <c r="BG315" s="327">
        <v>3.5</v>
      </c>
      <c r="BH315" s="327">
        <v>165</v>
      </c>
      <c r="BI315" s="327">
        <v>130</v>
      </c>
      <c r="BJ315" s="327">
        <v>200</v>
      </c>
      <c r="BK315" s="327">
        <v>12</v>
      </c>
      <c r="BL315" s="327">
        <v>3.5</v>
      </c>
      <c r="BM315" s="325" t="s">
        <v>485</v>
      </c>
      <c r="BN315" s="325" t="s">
        <v>485</v>
      </c>
      <c r="BO315" s="326"/>
      <c r="BP315" s="326"/>
      <c r="BQ315" s="325" t="s">
        <v>480</v>
      </c>
    </row>
    <row r="316" spans="1:70" ht="12" customHeight="1">
      <c r="A316" s="320">
        <v>903</v>
      </c>
      <c r="B316" s="337" t="s">
        <v>394</v>
      </c>
      <c r="C316" s="328" t="s">
        <v>393</v>
      </c>
      <c r="D316" s="336" t="s">
        <v>564</v>
      </c>
      <c r="E316" s="328">
        <v>90</v>
      </c>
      <c r="F316" s="344">
        <v>4</v>
      </c>
      <c r="G316" s="325">
        <v>1.5</v>
      </c>
      <c r="H316" s="325">
        <f t="shared" si="417"/>
        <v>1.7999999999999998</v>
      </c>
      <c r="I316" s="325">
        <v>1435</v>
      </c>
      <c r="J316" s="335">
        <f t="shared" si="418"/>
        <v>1722</v>
      </c>
      <c r="K316" s="328"/>
      <c r="L316" s="332">
        <v>3.3</v>
      </c>
      <c r="M316" s="333">
        <f t="shared" si="348"/>
        <v>3.4434782608695653</v>
      </c>
      <c r="N316" s="328">
        <v>0.77</v>
      </c>
      <c r="O316" s="330">
        <v>85.83</v>
      </c>
      <c r="P316" s="331">
        <v>86.65</v>
      </c>
      <c r="Q316" s="331">
        <v>85.98</v>
      </c>
      <c r="R316" s="328">
        <v>0.77</v>
      </c>
      <c r="S316" s="330">
        <v>85.83</v>
      </c>
      <c r="T316" s="331">
        <v>86.65</v>
      </c>
      <c r="U316" s="331">
        <v>85.98</v>
      </c>
      <c r="V316" s="346">
        <v>2.2999999999999998</v>
      </c>
      <c r="W316" s="346">
        <v>2.2999999999999998</v>
      </c>
      <c r="X316" s="339">
        <v>7</v>
      </c>
      <c r="Y316" s="328"/>
      <c r="Z316" s="328"/>
      <c r="AA316" s="328"/>
      <c r="AB316" s="328" t="s">
        <v>491</v>
      </c>
      <c r="AC316" s="328" t="s">
        <v>563</v>
      </c>
      <c r="AD316" s="325" t="s">
        <v>562</v>
      </c>
      <c r="AE316" s="328"/>
      <c r="AF316" s="328"/>
      <c r="AG316" s="328"/>
      <c r="AH316" s="327">
        <v>140</v>
      </c>
      <c r="AI316" s="327">
        <v>125</v>
      </c>
      <c r="AJ316" s="327">
        <v>56</v>
      </c>
      <c r="AK316" s="327">
        <v>24</v>
      </c>
      <c r="AL316" s="327">
        <v>50</v>
      </c>
      <c r="AM316" s="327">
        <v>8</v>
      </c>
      <c r="AN316" s="327">
        <v>20</v>
      </c>
      <c r="AO316" s="327" t="s">
        <v>245</v>
      </c>
      <c r="AP316" s="327">
        <v>90</v>
      </c>
      <c r="AQ316" s="327">
        <v>10</v>
      </c>
      <c r="AR316" s="327">
        <v>180</v>
      </c>
      <c r="AS316" s="327">
        <v>180</v>
      </c>
      <c r="AT316" s="327">
        <v>175</v>
      </c>
      <c r="AU316" s="327">
        <v>265</v>
      </c>
      <c r="AV316" s="327">
        <v>315</v>
      </c>
      <c r="AW316" s="327">
        <v>390</v>
      </c>
      <c r="AX316" s="327">
        <v>115</v>
      </c>
      <c r="AY316" s="327">
        <v>95</v>
      </c>
      <c r="AZ316" s="327">
        <v>140</v>
      </c>
      <c r="BA316" s="327" t="s">
        <v>245</v>
      </c>
      <c r="BB316" s="327">
        <v>3</v>
      </c>
      <c r="BC316" s="327">
        <v>130</v>
      </c>
      <c r="BD316" s="327">
        <v>110</v>
      </c>
      <c r="BE316" s="327">
        <v>160</v>
      </c>
      <c r="BF316" s="327" t="s">
        <v>245</v>
      </c>
      <c r="BG316" s="327">
        <v>3.5</v>
      </c>
      <c r="BH316" s="327">
        <v>165</v>
      </c>
      <c r="BI316" s="327">
        <v>130</v>
      </c>
      <c r="BJ316" s="327">
        <v>200</v>
      </c>
      <c r="BK316" s="327">
        <v>12</v>
      </c>
      <c r="BL316" s="327">
        <v>3.5</v>
      </c>
      <c r="BM316" s="325" t="s">
        <v>485</v>
      </c>
      <c r="BN316" s="325" t="s">
        <v>485</v>
      </c>
      <c r="BO316" s="326"/>
      <c r="BP316" s="326"/>
      <c r="BQ316" s="325" t="s">
        <v>480</v>
      </c>
    </row>
    <row r="317" spans="1:70" ht="12" customHeight="1">
      <c r="A317" s="320">
        <v>904</v>
      </c>
      <c r="B317" s="337" t="s">
        <v>394</v>
      </c>
      <c r="C317" s="328" t="s">
        <v>393</v>
      </c>
      <c r="D317" s="336" t="s">
        <v>561</v>
      </c>
      <c r="E317" s="328">
        <v>100</v>
      </c>
      <c r="F317" s="344">
        <v>4</v>
      </c>
      <c r="G317" s="325">
        <v>2.2000000000000002</v>
      </c>
      <c r="H317" s="325">
        <f t="shared" si="417"/>
        <v>2.64</v>
      </c>
      <c r="I317" s="325">
        <v>1450</v>
      </c>
      <c r="J317" s="335">
        <f t="shared" si="418"/>
        <v>1740</v>
      </c>
      <c r="K317" s="328"/>
      <c r="L317" s="332">
        <v>4.5999999999999996</v>
      </c>
      <c r="M317" s="333">
        <f t="shared" si="348"/>
        <v>4.8</v>
      </c>
      <c r="N317" s="328">
        <v>0.81</v>
      </c>
      <c r="O317" s="330">
        <v>87.11</v>
      </c>
      <c r="P317" s="331">
        <v>87.54</v>
      </c>
      <c r="Q317" s="331">
        <v>86.74</v>
      </c>
      <c r="R317" s="328">
        <v>0.81</v>
      </c>
      <c r="S317" s="330">
        <v>87.11</v>
      </c>
      <c r="T317" s="331">
        <v>87.54</v>
      </c>
      <c r="U317" s="331">
        <v>86.74</v>
      </c>
      <c r="V317" s="346">
        <v>2.2999999999999998</v>
      </c>
      <c r="W317" s="346">
        <v>2.2999999999999998</v>
      </c>
      <c r="X317" s="339">
        <v>7.6</v>
      </c>
      <c r="Y317" s="328"/>
      <c r="Z317" s="328"/>
      <c r="AA317" s="328"/>
      <c r="AB317" s="329" t="s">
        <v>560</v>
      </c>
      <c r="AC317" s="328" t="s">
        <v>472</v>
      </c>
      <c r="AD317" s="325" t="s">
        <v>559</v>
      </c>
      <c r="AE317" s="328"/>
      <c r="AF317" s="328"/>
      <c r="AG317" s="328"/>
      <c r="AH317" s="327">
        <v>160</v>
      </c>
      <c r="AI317" s="327">
        <v>140</v>
      </c>
      <c r="AJ317" s="327">
        <v>63</v>
      </c>
      <c r="AK317" s="327">
        <v>28</v>
      </c>
      <c r="AL317" s="327">
        <v>60</v>
      </c>
      <c r="AM317" s="327">
        <v>8</v>
      </c>
      <c r="AN317" s="327">
        <v>24</v>
      </c>
      <c r="AO317" s="327" t="s">
        <v>246</v>
      </c>
      <c r="AP317" s="327">
        <v>100</v>
      </c>
      <c r="AQ317" s="327">
        <v>12</v>
      </c>
      <c r="AR317" s="327">
        <v>205</v>
      </c>
      <c r="AS317" s="327">
        <v>205</v>
      </c>
      <c r="AT317" s="327">
        <v>200</v>
      </c>
      <c r="AU317" s="327">
        <v>290</v>
      </c>
      <c r="AV317" s="327">
        <v>385</v>
      </c>
      <c r="AW317" s="327">
        <v>435</v>
      </c>
      <c r="AX317" s="327">
        <v>130</v>
      </c>
      <c r="AY317" s="327">
        <v>110</v>
      </c>
      <c r="AZ317" s="327">
        <v>160</v>
      </c>
      <c r="BA317" s="327" t="s">
        <v>245</v>
      </c>
      <c r="BB317" s="327">
        <v>3.5</v>
      </c>
      <c r="BC317" s="327">
        <v>165</v>
      </c>
      <c r="BD317" s="327">
        <v>130</v>
      </c>
      <c r="BE317" s="327">
        <v>200</v>
      </c>
      <c r="BF317" s="327" t="s">
        <v>246</v>
      </c>
      <c r="BG317" s="327">
        <v>3.5</v>
      </c>
      <c r="BH317" s="327">
        <v>215</v>
      </c>
      <c r="BI317" s="327">
        <v>180</v>
      </c>
      <c r="BJ317" s="327">
        <v>250</v>
      </c>
      <c r="BK317" s="327">
        <v>15</v>
      </c>
      <c r="BL317" s="327">
        <v>4</v>
      </c>
      <c r="BM317" s="325" t="s">
        <v>475</v>
      </c>
      <c r="BN317" s="325" t="s">
        <v>475</v>
      </c>
      <c r="BO317" s="326"/>
      <c r="BP317" s="326"/>
      <c r="BQ317" s="325" t="s">
        <v>480</v>
      </c>
    </row>
    <row r="318" spans="1:70" ht="12" customHeight="1">
      <c r="A318" s="320">
        <v>905</v>
      </c>
      <c r="B318" s="337" t="s">
        <v>394</v>
      </c>
      <c r="C318" s="328" t="s">
        <v>393</v>
      </c>
      <c r="D318" s="336" t="s">
        <v>558</v>
      </c>
      <c r="E318" s="328">
        <v>100</v>
      </c>
      <c r="F318" s="344">
        <v>4</v>
      </c>
      <c r="G318" s="325">
        <v>3</v>
      </c>
      <c r="H318" s="325">
        <f t="shared" si="417"/>
        <v>3.5999999999999996</v>
      </c>
      <c r="I318" s="325">
        <v>1450</v>
      </c>
      <c r="J318" s="335">
        <f t="shared" si="418"/>
        <v>1740</v>
      </c>
      <c r="K318" s="328"/>
      <c r="L318" s="332">
        <v>6</v>
      </c>
      <c r="M318" s="333">
        <f t="shared" si="348"/>
        <v>6.2608695652173916</v>
      </c>
      <c r="N318" s="328">
        <v>0.82</v>
      </c>
      <c r="O318" s="330">
        <v>88.04</v>
      </c>
      <c r="P318" s="331">
        <v>88.75</v>
      </c>
      <c r="Q318" s="331">
        <v>88.32</v>
      </c>
      <c r="R318" s="328">
        <v>0.82</v>
      </c>
      <c r="S318" s="330">
        <v>88.04</v>
      </c>
      <c r="T318" s="331">
        <v>88.75</v>
      </c>
      <c r="U318" s="331">
        <v>88.32</v>
      </c>
      <c r="V318" s="346">
        <v>2.2999999999999998</v>
      </c>
      <c r="W318" s="346">
        <v>2.2999999999999998</v>
      </c>
      <c r="X318" s="339">
        <v>7.6</v>
      </c>
      <c r="Y318" s="328"/>
      <c r="Z318" s="328"/>
      <c r="AA318" s="328"/>
      <c r="AB318" s="329" t="s">
        <v>557</v>
      </c>
      <c r="AC318" s="328" t="s">
        <v>472</v>
      </c>
      <c r="AD318" s="325" t="s">
        <v>556</v>
      </c>
      <c r="AE318" s="328"/>
      <c r="AF318" s="328"/>
      <c r="AG318" s="328"/>
      <c r="AH318" s="327">
        <v>160</v>
      </c>
      <c r="AI318" s="327">
        <v>140</v>
      </c>
      <c r="AJ318" s="327">
        <v>63</v>
      </c>
      <c r="AK318" s="327">
        <v>28</v>
      </c>
      <c r="AL318" s="327">
        <v>60</v>
      </c>
      <c r="AM318" s="327">
        <v>8</v>
      </c>
      <c r="AN318" s="327">
        <v>24</v>
      </c>
      <c r="AO318" s="327" t="s">
        <v>246</v>
      </c>
      <c r="AP318" s="327">
        <v>100</v>
      </c>
      <c r="AQ318" s="327">
        <v>12</v>
      </c>
      <c r="AR318" s="327">
        <v>205</v>
      </c>
      <c r="AS318" s="327">
        <v>205</v>
      </c>
      <c r="AT318" s="327">
        <v>200</v>
      </c>
      <c r="AU318" s="327">
        <v>290</v>
      </c>
      <c r="AV318" s="327">
        <v>385</v>
      </c>
      <c r="AW318" s="327">
        <v>435</v>
      </c>
      <c r="AX318" s="327">
        <v>130</v>
      </c>
      <c r="AY318" s="327">
        <v>110</v>
      </c>
      <c r="AZ318" s="327">
        <v>160</v>
      </c>
      <c r="BA318" s="327" t="s">
        <v>245</v>
      </c>
      <c r="BB318" s="327">
        <v>3.5</v>
      </c>
      <c r="BC318" s="327">
        <v>165</v>
      </c>
      <c r="BD318" s="327">
        <v>130</v>
      </c>
      <c r="BE318" s="327">
        <v>200</v>
      </c>
      <c r="BF318" s="327" t="s">
        <v>246</v>
      </c>
      <c r="BG318" s="327">
        <v>3.5</v>
      </c>
      <c r="BH318" s="327">
        <v>215</v>
      </c>
      <c r="BI318" s="327">
        <v>180</v>
      </c>
      <c r="BJ318" s="327">
        <v>250</v>
      </c>
      <c r="BK318" s="327">
        <v>15</v>
      </c>
      <c r="BL318" s="327">
        <v>4</v>
      </c>
      <c r="BM318" s="325" t="s">
        <v>475</v>
      </c>
      <c r="BN318" s="325" t="s">
        <v>475</v>
      </c>
      <c r="BO318" s="326"/>
      <c r="BP318" s="326"/>
      <c r="BQ318" s="325" t="s">
        <v>480</v>
      </c>
    </row>
    <row r="319" spans="1:70" ht="12" customHeight="1">
      <c r="A319" s="320">
        <v>906</v>
      </c>
      <c r="B319" s="337" t="s">
        <v>394</v>
      </c>
      <c r="C319" s="328" t="s">
        <v>393</v>
      </c>
      <c r="D319" s="336" t="s">
        <v>555</v>
      </c>
      <c r="E319" s="328">
        <v>112</v>
      </c>
      <c r="F319" s="344">
        <v>4</v>
      </c>
      <c r="G319" s="325">
        <v>4</v>
      </c>
      <c r="H319" s="325">
        <f t="shared" si="417"/>
        <v>4.8</v>
      </c>
      <c r="I319" s="325">
        <v>1455</v>
      </c>
      <c r="J319" s="335">
        <f t="shared" si="418"/>
        <v>1746</v>
      </c>
      <c r="K319" s="328"/>
      <c r="L319" s="332">
        <v>8</v>
      </c>
      <c r="M319" s="333">
        <f t="shared" si="348"/>
        <v>8.3478260869565215</v>
      </c>
      <c r="N319" s="328">
        <v>0.82</v>
      </c>
      <c r="O319" s="330">
        <v>89.31</v>
      </c>
      <c r="P319" s="331">
        <v>89.6</v>
      </c>
      <c r="Q319" s="331">
        <v>88.79</v>
      </c>
      <c r="R319" s="328">
        <v>0.82</v>
      </c>
      <c r="S319" s="330">
        <v>89.31</v>
      </c>
      <c r="T319" s="331">
        <v>89.6</v>
      </c>
      <c r="U319" s="331">
        <v>88.79</v>
      </c>
      <c r="V319" s="339">
        <v>2.2000000000000002</v>
      </c>
      <c r="W319" s="346">
        <v>2.2999999999999998</v>
      </c>
      <c r="X319" s="339">
        <v>7.8</v>
      </c>
      <c r="Y319" s="328"/>
      <c r="Z319" s="328"/>
      <c r="AA319" s="328"/>
      <c r="AB319" s="329" t="s">
        <v>554</v>
      </c>
      <c r="AC319" s="328" t="s">
        <v>477</v>
      </c>
      <c r="AD319" s="325" t="s">
        <v>553</v>
      </c>
      <c r="AE319" s="328"/>
      <c r="AF319" s="328"/>
      <c r="AG319" s="328"/>
      <c r="AH319" s="327">
        <v>190</v>
      </c>
      <c r="AI319" s="327">
        <v>140</v>
      </c>
      <c r="AJ319" s="327">
        <v>70</v>
      </c>
      <c r="AK319" s="327">
        <v>28</v>
      </c>
      <c r="AL319" s="327">
        <v>60</v>
      </c>
      <c r="AM319" s="327">
        <v>8</v>
      </c>
      <c r="AN319" s="327">
        <v>24</v>
      </c>
      <c r="AO319" s="327" t="s">
        <v>246</v>
      </c>
      <c r="AP319" s="327">
        <v>112</v>
      </c>
      <c r="AQ319" s="327">
        <v>12</v>
      </c>
      <c r="AR319" s="327">
        <v>230</v>
      </c>
      <c r="AS319" s="327">
        <v>240</v>
      </c>
      <c r="AT319" s="327">
        <v>220</v>
      </c>
      <c r="AU319" s="327">
        <v>325</v>
      </c>
      <c r="AV319" s="327">
        <v>400</v>
      </c>
      <c r="AW319" s="327">
        <v>450</v>
      </c>
      <c r="AX319" s="327">
        <v>130</v>
      </c>
      <c r="AY319" s="327">
        <v>110</v>
      </c>
      <c r="AZ319" s="327">
        <v>160</v>
      </c>
      <c r="BA319" s="327" t="s">
        <v>245</v>
      </c>
      <c r="BB319" s="327">
        <v>3.5</v>
      </c>
      <c r="BC319" s="327">
        <v>165</v>
      </c>
      <c r="BD319" s="327">
        <v>130</v>
      </c>
      <c r="BE319" s="327">
        <v>200</v>
      </c>
      <c r="BF319" s="327" t="s">
        <v>246</v>
      </c>
      <c r="BG319" s="327">
        <v>3.5</v>
      </c>
      <c r="BH319" s="327">
        <v>215</v>
      </c>
      <c r="BI319" s="327">
        <v>180</v>
      </c>
      <c r="BJ319" s="327">
        <v>250</v>
      </c>
      <c r="BK319" s="327">
        <v>15</v>
      </c>
      <c r="BL319" s="327">
        <v>4</v>
      </c>
      <c r="BM319" s="325" t="s">
        <v>475</v>
      </c>
      <c r="BN319" s="325" t="s">
        <v>475</v>
      </c>
      <c r="BO319" s="326"/>
      <c r="BP319" s="326"/>
      <c r="BQ319" s="325" t="s">
        <v>464</v>
      </c>
    </row>
    <row r="320" spans="1:70" ht="12" customHeight="1">
      <c r="A320" s="320">
        <v>907</v>
      </c>
      <c r="B320" s="337" t="s">
        <v>394</v>
      </c>
      <c r="C320" s="328" t="s">
        <v>393</v>
      </c>
      <c r="D320" s="336" t="s">
        <v>552</v>
      </c>
      <c r="E320" s="328">
        <v>132</v>
      </c>
      <c r="F320" s="344">
        <v>4</v>
      </c>
      <c r="G320" s="325">
        <v>5.5</v>
      </c>
      <c r="H320" s="325">
        <f t="shared" ref="H320:H352" si="487">G320*1.2</f>
        <v>6.6</v>
      </c>
      <c r="I320" s="325">
        <v>1460</v>
      </c>
      <c r="J320" s="335">
        <f t="shared" ref="J320:J352" si="488">I320*1.2</f>
        <v>1752</v>
      </c>
      <c r="K320" s="328"/>
      <c r="L320" s="332">
        <v>10.6</v>
      </c>
      <c r="M320" s="333">
        <f t="shared" si="348"/>
        <v>11.060869565217391</v>
      </c>
      <c r="N320" s="332">
        <v>0.83</v>
      </c>
      <c r="O320" s="331">
        <v>90.37</v>
      </c>
      <c r="P320" s="331">
        <v>90.79</v>
      </c>
      <c r="Q320" s="331">
        <v>90.28</v>
      </c>
      <c r="R320" s="332">
        <v>0.83</v>
      </c>
      <c r="S320" s="331">
        <v>90.37</v>
      </c>
      <c r="T320" s="331">
        <v>90.79</v>
      </c>
      <c r="U320" s="331">
        <v>90.28</v>
      </c>
      <c r="V320" s="339">
        <v>2</v>
      </c>
      <c r="W320" s="346">
        <v>2.2999999999999998</v>
      </c>
      <c r="X320" s="339">
        <v>7.9</v>
      </c>
      <c r="Y320" s="328"/>
      <c r="Z320" s="328"/>
      <c r="AA320" s="328"/>
      <c r="AB320" s="329" t="s">
        <v>551</v>
      </c>
      <c r="AC320" s="328" t="s">
        <v>548</v>
      </c>
      <c r="AD320" s="325" t="s">
        <v>466</v>
      </c>
      <c r="AE320" s="328"/>
      <c r="AF320" s="328"/>
      <c r="AG320" s="328"/>
      <c r="AH320" s="327">
        <v>216</v>
      </c>
      <c r="AI320" s="327">
        <v>140</v>
      </c>
      <c r="AJ320" s="327">
        <v>89</v>
      </c>
      <c r="AK320" s="327">
        <v>38</v>
      </c>
      <c r="AL320" s="327">
        <v>80</v>
      </c>
      <c r="AM320" s="327">
        <v>10</v>
      </c>
      <c r="AN320" s="327">
        <v>33</v>
      </c>
      <c r="AO320" s="327" t="s">
        <v>247</v>
      </c>
      <c r="AP320" s="327">
        <v>132</v>
      </c>
      <c r="AQ320" s="327">
        <v>12</v>
      </c>
      <c r="AR320" s="327">
        <v>270</v>
      </c>
      <c r="AS320" s="327">
        <v>275</v>
      </c>
      <c r="AT320" s="327">
        <v>240</v>
      </c>
      <c r="AU320" s="327">
        <v>365</v>
      </c>
      <c r="AV320" s="327">
        <v>470</v>
      </c>
      <c r="AW320" s="327">
        <v>520</v>
      </c>
      <c r="AX320" s="327">
        <v>165</v>
      </c>
      <c r="AY320" s="327">
        <v>130</v>
      </c>
      <c r="AZ320" s="327">
        <v>200</v>
      </c>
      <c r="BA320" s="327" t="s">
        <v>246</v>
      </c>
      <c r="BB320" s="327">
        <v>3.5</v>
      </c>
      <c r="BC320" s="327">
        <v>215</v>
      </c>
      <c r="BD320" s="327">
        <v>180</v>
      </c>
      <c r="BE320" s="327">
        <v>250</v>
      </c>
      <c r="BF320" s="327" t="s">
        <v>247</v>
      </c>
      <c r="BG320" s="327">
        <v>4</v>
      </c>
      <c r="BH320" s="327">
        <v>265</v>
      </c>
      <c r="BI320" s="327">
        <v>230</v>
      </c>
      <c r="BJ320" s="327">
        <v>300</v>
      </c>
      <c r="BK320" s="327">
        <v>15</v>
      </c>
      <c r="BL320" s="327">
        <v>4</v>
      </c>
      <c r="BM320" s="325" t="s">
        <v>465</v>
      </c>
      <c r="BN320" s="325" t="s">
        <v>465</v>
      </c>
      <c r="BO320" s="326"/>
      <c r="BP320" s="326"/>
      <c r="BQ320" s="325" t="s">
        <v>464</v>
      </c>
    </row>
    <row r="321" spans="1:69" ht="12" customHeight="1">
      <c r="A321" s="320">
        <v>908</v>
      </c>
      <c r="B321" s="337" t="s">
        <v>394</v>
      </c>
      <c r="C321" s="328" t="s">
        <v>393</v>
      </c>
      <c r="D321" s="336" t="s">
        <v>550</v>
      </c>
      <c r="E321" s="328">
        <v>132</v>
      </c>
      <c r="F321" s="344">
        <v>4</v>
      </c>
      <c r="G321" s="325">
        <v>7.5</v>
      </c>
      <c r="H321" s="325">
        <f t="shared" si="487"/>
        <v>9</v>
      </c>
      <c r="I321" s="325">
        <v>1460</v>
      </c>
      <c r="J321" s="335">
        <f t="shared" si="488"/>
        <v>1752</v>
      </c>
      <c r="K321" s="328"/>
      <c r="L321" s="343">
        <v>14.3</v>
      </c>
      <c r="M321" s="333">
        <f t="shared" si="348"/>
        <v>14.921739130434782</v>
      </c>
      <c r="N321" s="328">
        <v>0.84</v>
      </c>
      <c r="O321" s="330">
        <v>90.82</v>
      </c>
      <c r="P321" s="331">
        <v>91.38</v>
      </c>
      <c r="Q321" s="331">
        <v>91.11</v>
      </c>
      <c r="R321" s="328">
        <v>0.84</v>
      </c>
      <c r="S321" s="330">
        <v>90.82</v>
      </c>
      <c r="T321" s="331">
        <v>91.38</v>
      </c>
      <c r="U321" s="331">
        <v>91.11</v>
      </c>
      <c r="V321" s="339">
        <v>2</v>
      </c>
      <c r="W321" s="346">
        <v>2.2999999999999998</v>
      </c>
      <c r="X321" s="339">
        <v>7.5</v>
      </c>
      <c r="Y321" s="328"/>
      <c r="Z321" s="328"/>
      <c r="AA321" s="328"/>
      <c r="AB321" s="329" t="s">
        <v>549</v>
      </c>
      <c r="AC321" s="328" t="s">
        <v>548</v>
      </c>
      <c r="AD321" s="325" t="s">
        <v>547</v>
      </c>
      <c r="AE321" s="328"/>
      <c r="AF321" s="328"/>
      <c r="AG321" s="328"/>
      <c r="AH321" s="327">
        <v>216</v>
      </c>
      <c r="AI321" s="327">
        <v>178</v>
      </c>
      <c r="AJ321" s="327">
        <v>89</v>
      </c>
      <c r="AK321" s="327">
        <v>38</v>
      </c>
      <c r="AL321" s="327">
        <v>80</v>
      </c>
      <c r="AM321" s="327">
        <v>10</v>
      </c>
      <c r="AN321" s="327">
        <v>33</v>
      </c>
      <c r="AO321" s="327" t="s">
        <v>247</v>
      </c>
      <c r="AP321" s="327">
        <v>132</v>
      </c>
      <c r="AQ321" s="327">
        <v>12</v>
      </c>
      <c r="AR321" s="327">
        <v>270</v>
      </c>
      <c r="AS321" s="327">
        <v>275</v>
      </c>
      <c r="AT321" s="327">
        <v>240</v>
      </c>
      <c r="AU321" s="327">
        <v>365</v>
      </c>
      <c r="AV321" s="327">
        <v>510</v>
      </c>
      <c r="AW321" s="327">
        <v>560</v>
      </c>
      <c r="AX321" s="327">
        <v>165</v>
      </c>
      <c r="AY321" s="327">
        <v>130</v>
      </c>
      <c r="AZ321" s="327">
        <v>200</v>
      </c>
      <c r="BA321" s="327" t="s">
        <v>246</v>
      </c>
      <c r="BB321" s="327">
        <v>3.5</v>
      </c>
      <c r="BC321" s="327">
        <v>215</v>
      </c>
      <c r="BD321" s="327">
        <v>180</v>
      </c>
      <c r="BE321" s="327">
        <v>250</v>
      </c>
      <c r="BF321" s="327" t="s">
        <v>247</v>
      </c>
      <c r="BG321" s="327">
        <v>4</v>
      </c>
      <c r="BH321" s="327">
        <v>265</v>
      </c>
      <c r="BI321" s="327">
        <v>230</v>
      </c>
      <c r="BJ321" s="327">
        <v>300</v>
      </c>
      <c r="BK321" s="327">
        <v>15</v>
      </c>
      <c r="BL321" s="327">
        <v>4</v>
      </c>
      <c r="BM321" s="325" t="s">
        <v>465</v>
      </c>
      <c r="BN321" s="325" t="s">
        <v>465</v>
      </c>
      <c r="BO321" s="326"/>
      <c r="BP321" s="326"/>
      <c r="BQ321" s="325" t="s">
        <v>464</v>
      </c>
    </row>
    <row r="322" spans="1:69" ht="12" customHeight="1">
      <c r="A322" s="320">
        <v>909</v>
      </c>
      <c r="B322" s="337" t="s">
        <v>394</v>
      </c>
      <c r="C322" s="328" t="s">
        <v>393</v>
      </c>
      <c r="D322" s="336" t="s">
        <v>546</v>
      </c>
      <c r="E322" s="328">
        <v>160</v>
      </c>
      <c r="F322" s="344">
        <v>4</v>
      </c>
      <c r="G322" s="325">
        <v>11</v>
      </c>
      <c r="H322" s="325">
        <f t="shared" si="487"/>
        <v>13.2</v>
      </c>
      <c r="I322" s="325">
        <v>1470</v>
      </c>
      <c r="J322" s="335">
        <f t="shared" si="488"/>
        <v>1764</v>
      </c>
      <c r="K322" s="332"/>
      <c r="L322" s="343">
        <v>20.399999999999999</v>
      </c>
      <c r="M322" s="333">
        <f t="shared" si="348"/>
        <v>21.286956521739132</v>
      </c>
      <c r="N322" s="328">
        <v>0.85</v>
      </c>
      <c r="O322" s="330">
        <v>91.9</v>
      </c>
      <c r="P322" s="331">
        <v>92.17</v>
      </c>
      <c r="Q322" s="331">
        <v>91.64</v>
      </c>
      <c r="R322" s="328">
        <v>0.85</v>
      </c>
      <c r="S322" s="330">
        <v>91.9</v>
      </c>
      <c r="T322" s="331">
        <v>92.17</v>
      </c>
      <c r="U322" s="331">
        <v>91.64</v>
      </c>
      <c r="V322" s="339">
        <v>2.2000000000000002</v>
      </c>
      <c r="W322" s="346">
        <v>2.2999999999999998</v>
      </c>
      <c r="X322" s="339">
        <v>7.7</v>
      </c>
      <c r="Y322" s="328"/>
      <c r="Z322" s="328"/>
      <c r="AA322" s="328"/>
      <c r="AB322" s="329" t="s">
        <v>545</v>
      </c>
      <c r="AC322" s="328" t="s">
        <v>444</v>
      </c>
      <c r="AD322" s="325" t="s">
        <v>544</v>
      </c>
      <c r="AE322" s="328"/>
      <c r="AF322" s="328"/>
      <c r="AG322" s="328"/>
      <c r="AH322" s="327">
        <v>254</v>
      </c>
      <c r="AI322" s="327">
        <v>210</v>
      </c>
      <c r="AJ322" s="327">
        <v>108</v>
      </c>
      <c r="AK322" s="327">
        <v>42</v>
      </c>
      <c r="AL322" s="327">
        <v>110</v>
      </c>
      <c r="AM322" s="327">
        <v>12</v>
      </c>
      <c r="AN322" s="327">
        <v>37</v>
      </c>
      <c r="AO322" s="327" t="s">
        <v>248</v>
      </c>
      <c r="AP322" s="327">
        <v>160</v>
      </c>
      <c r="AQ322" s="327">
        <v>15</v>
      </c>
      <c r="AR322" s="327">
        <v>320</v>
      </c>
      <c r="AS322" s="327">
        <v>320</v>
      </c>
      <c r="AT322" s="327">
        <v>285</v>
      </c>
      <c r="AU322" s="327">
        <v>440</v>
      </c>
      <c r="AV322" s="327">
        <v>620</v>
      </c>
      <c r="AW322" s="327">
        <v>670</v>
      </c>
      <c r="AX322" s="328"/>
      <c r="AY322" s="328"/>
      <c r="AZ322" s="328"/>
      <c r="BA322" s="328"/>
      <c r="BB322" s="328"/>
      <c r="BC322" s="328"/>
      <c r="BD322" s="328"/>
      <c r="BE322" s="328"/>
      <c r="BF322" s="328"/>
      <c r="BG322" s="328"/>
      <c r="BH322" s="327">
        <v>300</v>
      </c>
      <c r="BI322" s="327">
        <v>250</v>
      </c>
      <c r="BJ322" s="327">
        <v>350</v>
      </c>
      <c r="BK322" s="327">
        <v>19</v>
      </c>
      <c r="BL322" s="327">
        <v>5</v>
      </c>
      <c r="BM322" s="325" t="s">
        <v>457</v>
      </c>
      <c r="BN322" s="325" t="s">
        <v>457</v>
      </c>
      <c r="BO322" s="341" t="s">
        <v>456</v>
      </c>
      <c r="BP322" s="341" t="s">
        <v>456</v>
      </c>
      <c r="BQ322" s="325" t="s">
        <v>450</v>
      </c>
    </row>
    <row r="323" spans="1:69" ht="12" customHeight="1">
      <c r="A323" s="320">
        <v>910</v>
      </c>
      <c r="B323" s="337" t="s">
        <v>394</v>
      </c>
      <c r="C323" s="328" t="s">
        <v>393</v>
      </c>
      <c r="D323" s="336" t="s">
        <v>543</v>
      </c>
      <c r="E323" s="328">
        <v>160</v>
      </c>
      <c r="F323" s="344">
        <v>4</v>
      </c>
      <c r="G323" s="325">
        <v>15</v>
      </c>
      <c r="H323" s="325">
        <f t="shared" si="487"/>
        <v>18</v>
      </c>
      <c r="I323" s="325">
        <v>1470</v>
      </c>
      <c r="J323" s="335">
        <f t="shared" si="488"/>
        <v>1764</v>
      </c>
      <c r="K323" s="328"/>
      <c r="L323" s="343">
        <v>27.4</v>
      </c>
      <c r="M323" s="333">
        <f t="shared" si="348"/>
        <v>28.591304347826085</v>
      </c>
      <c r="N323" s="328">
        <v>0.86</v>
      </c>
      <c r="O323" s="330">
        <v>92.86</v>
      </c>
      <c r="P323" s="331">
        <v>93.1</v>
      </c>
      <c r="Q323" s="331">
        <v>92.62</v>
      </c>
      <c r="R323" s="328">
        <v>0.86</v>
      </c>
      <c r="S323" s="330">
        <v>92.86</v>
      </c>
      <c r="T323" s="331">
        <v>93.1</v>
      </c>
      <c r="U323" s="331">
        <v>92.62</v>
      </c>
      <c r="V323" s="339">
        <v>2.2000000000000002</v>
      </c>
      <c r="W323" s="346">
        <v>2.2999999999999998</v>
      </c>
      <c r="X323" s="339">
        <v>7.8</v>
      </c>
      <c r="Y323" s="328"/>
      <c r="Z323" s="328"/>
      <c r="AA323" s="328"/>
      <c r="AB323" s="329" t="s">
        <v>542</v>
      </c>
      <c r="AC323" s="328" t="s">
        <v>444</v>
      </c>
      <c r="AD323" s="325" t="s">
        <v>541</v>
      </c>
      <c r="AE323" s="328"/>
      <c r="AF323" s="328"/>
      <c r="AG323" s="328"/>
      <c r="AH323" s="327">
        <v>254</v>
      </c>
      <c r="AI323" s="327">
        <v>254</v>
      </c>
      <c r="AJ323" s="327">
        <v>108</v>
      </c>
      <c r="AK323" s="327">
        <v>42</v>
      </c>
      <c r="AL323" s="327">
        <v>110</v>
      </c>
      <c r="AM323" s="327">
        <v>12</v>
      </c>
      <c r="AN323" s="327">
        <v>37</v>
      </c>
      <c r="AO323" s="327" t="s">
        <v>248</v>
      </c>
      <c r="AP323" s="327">
        <v>160</v>
      </c>
      <c r="AQ323" s="327">
        <v>15</v>
      </c>
      <c r="AR323" s="327">
        <v>320</v>
      </c>
      <c r="AS323" s="327">
        <v>320</v>
      </c>
      <c r="AT323" s="327">
        <v>285</v>
      </c>
      <c r="AU323" s="327">
        <v>440</v>
      </c>
      <c r="AV323" s="327">
        <v>675</v>
      </c>
      <c r="AW323" s="327">
        <v>725</v>
      </c>
      <c r="AX323" s="328"/>
      <c r="AY323" s="328"/>
      <c r="AZ323" s="328"/>
      <c r="BA323" s="328"/>
      <c r="BB323" s="328"/>
      <c r="BC323" s="328"/>
      <c r="BD323" s="328"/>
      <c r="BE323" s="328"/>
      <c r="BF323" s="328"/>
      <c r="BG323" s="328"/>
      <c r="BH323" s="327">
        <v>300</v>
      </c>
      <c r="BI323" s="327">
        <v>250</v>
      </c>
      <c r="BJ323" s="327">
        <v>350</v>
      </c>
      <c r="BK323" s="327">
        <v>19</v>
      </c>
      <c r="BL323" s="327">
        <v>5</v>
      </c>
      <c r="BM323" s="325" t="s">
        <v>457</v>
      </c>
      <c r="BN323" s="325" t="s">
        <v>457</v>
      </c>
      <c r="BO323" s="341" t="s">
        <v>456</v>
      </c>
      <c r="BP323" s="341" t="s">
        <v>456</v>
      </c>
      <c r="BQ323" s="325" t="s">
        <v>450</v>
      </c>
    </row>
    <row r="324" spans="1:69" ht="12" customHeight="1">
      <c r="A324" s="320">
        <v>911</v>
      </c>
      <c r="B324" s="337" t="s">
        <v>394</v>
      </c>
      <c r="C324" s="328" t="s">
        <v>393</v>
      </c>
      <c r="D324" s="336" t="s">
        <v>540</v>
      </c>
      <c r="E324" s="328">
        <v>180</v>
      </c>
      <c r="F324" s="344">
        <v>4</v>
      </c>
      <c r="G324" s="325">
        <v>18.5</v>
      </c>
      <c r="H324" s="325">
        <f t="shared" si="487"/>
        <v>22.2</v>
      </c>
      <c r="I324" s="325">
        <v>1475</v>
      </c>
      <c r="J324" s="335">
        <f t="shared" si="488"/>
        <v>1770</v>
      </c>
      <c r="K324" s="339"/>
      <c r="L324" s="343">
        <v>33.5</v>
      </c>
      <c r="M324" s="333">
        <f t="shared" si="348"/>
        <v>34.956521739130437</v>
      </c>
      <c r="N324" s="328">
        <v>0.86</v>
      </c>
      <c r="O324" s="330">
        <v>92.69</v>
      </c>
      <c r="P324" s="331">
        <v>92.85</v>
      </c>
      <c r="Q324" s="331">
        <v>92.22</v>
      </c>
      <c r="R324" s="328">
        <v>0.86</v>
      </c>
      <c r="S324" s="330">
        <v>92.69</v>
      </c>
      <c r="T324" s="331">
        <v>92.85</v>
      </c>
      <c r="U324" s="331">
        <v>92.22</v>
      </c>
      <c r="V324" s="339">
        <v>2</v>
      </c>
      <c r="W324" s="346">
        <v>2.2999999999999998</v>
      </c>
      <c r="X324" s="339">
        <v>7.8</v>
      </c>
      <c r="Y324" s="328"/>
      <c r="Z324" s="328"/>
      <c r="AA324" s="328"/>
      <c r="AB324" s="329" t="s">
        <v>539</v>
      </c>
      <c r="AC324" s="328" t="s">
        <v>431</v>
      </c>
      <c r="AD324" s="325" t="s">
        <v>538</v>
      </c>
      <c r="AE324" s="328"/>
      <c r="AF324" s="328"/>
      <c r="AG324" s="328"/>
      <c r="AH324" s="327">
        <v>279</v>
      </c>
      <c r="AI324" s="327">
        <v>241</v>
      </c>
      <c r="AJ324" s="327">
        <v>121</v>
      </c>
      <c r="AK324" s="327">
        <v>48</v>
      </c>
      <c r="AL324" s="327">
        <v>110</v>
      </c>
      <c r="AM324" s="327">
        <v>14</v>
      </c>
      <c r="AN324" s="327">
        <v>42.5</v>
      </c>
      <c r="AO324" s="327" t="s">
        <v>248</v>
      </c>
      <c r="AP324" s="327">
        <v>180</v>
      </c>
      <c r="AQ324" s="327">
        <v>15</v>
      </c>
      <c r="AR324" s="327">
        <v>355</v>
      </c>
      <c r="AS324" s="327">
        <v>380</v>
      </c>
      <c r="AT324" s="327">
        <v>310</v>
      </c>
      <c r="AU324" s="327">
        <v>470</v>
      </c>
      <c r="AV324" s="327">
        <v>700</v>
      </c>
      <c r="AW324" s="327">
        <v>760</v>
      </c>
      <c r="AX324" s="328"/>
      <c r="AY324" s="328"/>
      <c r="AZ324" s="328"/>
      <c r="BA324" s="328"/>
      <c r="BB324" s="328"/>
      <c r="BC324" s="328"/>
      <c r="BD324" s="328"/>
      <c r="BE324" s="328"/>
      <c r="BF324" s="328"/>
      <c r="BG324" s="328"/>
      <c r="BH324" s="327">
        <v>300</v>
      </c>
      <c r="BI324" s="327">
        <v>250</v>
      </c>
      <c r="BJ324" s="327">
        <v>350</v>
      </c>
      <c r="BK324" s="327">
        <v>19</v>
      </c>
      <c r="BL324" s="327">
        <v>5</v>
      </c>
      <c r="BM324" s="325" t="s">
        <v>452</v>
      </c>
      <c r="BN324" s="325" t="s">
        <v>452</v>
      </c>
      <c r="BO324" s="341" t="s">
        <v>451</v>
      </c>
      <c r="BP324" s="341" t="s">
        <v>451</v>
      </c>
      <c r="BQ324" s="325" t="s">
        <v>450</v>
      </c>
    </row>
    <row r="325" spans="1:69" ht="12" customHeight="1">
      <c r="A325" s="320">
        <v>912</v>
      </c>
      <c r="B325" s="337" t="s">
        <v>394</v>
      </c>
      <c r="C325" s="328" t="s">
        <v>393</v>
      </c>
      <c r="D325" s="336" t="s">
        <v>537</v>
      </c>
      <c r="E325" s="328">
        <v>180</v>
      </c>
      <c r="F325" s="344">
        <v>4</v>
      </c>
      <c r="G325" s="325">
        <v>22</v>
      </c>
      <c r="H325" s="325">
        <f t="shared" si="487"/>
        <v>26.4</v>
      </c>
      <c r="I325" s="325">
        <v>1475</v>
      </c>
      <c r="J325" s="335">
        <f t="shared" si="488"/>
        <v>1770</v>
      </c>
      <c r="K325" s="328"/>
      <c r="L325" s="343">
        <v>39.700000000000003</v>
      </c>
      <c r="M325" s="333">
        <f t="shared" si="348"/>
        <v>41.426086956521736</v>
      </c>
      <c r="N325" s="328">
        <v>0.86</v>
      </c>
      <c r="O325" s="330">
        <v>93.2</v>
      </c>
      <c r="P325" s="331">
        <v>93.39</v>
      </c>
      <c r="Q325" s="331">
        <v>92.92</v>
      </c>
      <c r="R325" s="328">
        <v>0.86</v>
      </c>
      <c r="S325" s="330">
        <v>93.2</v>
      </c>
      <c r="T325" s="331">
        <v>93.39</v>
      </c>
      <c r="U325" s="331">
        <v>92.92</v>
      </c>
      <c r="V325" s="339">
        <v>2</v>
      </c>
      <c r="W325" s="346">
        <v>2.2999999999999998</v>
      </c>
      <c r="X325" s="339">
        <v>7.8</v>
      </c>
      <c r="Y325" s="328"/>
      <c r="Z325" s="328"/>
      <c r="AA325" s="328"/>
      <c r="AB325" s="329" t="s">
        <v>536</v>
      </c>
      <c r="AC325" s="328" t="s">
        <v>431</v>
      </c>
      <c r="AD325" s="325" t="s">
        <v>535</v>
      </c>
      <c r="AE325" s="328"/>
      <c r="AF325" s="328"/>
      <c r="AG325" s="328"/>
      <c r="AH325" s="327">
        <v>279</v>
      </c>
      <c r="AI325" s="327">
        <v>279</v>
      </c>
      <c r="AJ325" s="327">
        <v>121</v>
      </c>
      <c r="AK325" s="327">
        <v>48</v>
      </c>
      <c r="AL325" s="327">
        <v>110</v>
      </c>
      <c r="AM325" s="327">
        <v>14</v>
      </c>
      <c r="AN325" s="327">
        <v>42.5</v>
      </c>
      <c r="AO325" s="327" t="s">
        <v>248</v>
      </c>
      <c r="AP325" s="327">
        <v>180</v>
      </c>
      <c r="AQ325" s="327">
        <v>15</v>
      </c>
      <c r="AR325" s="327">
        <v>355</v>
      </c>
      <c r="AS325" s="327">
        <v>380</v>
      </c>
      <c r="AT325" s="327">
        <v>310</v>
      </c>
      <c r="AU325" s="327">
        <v>470</v>
      </c>
      <c r="AV325" s="327">
        <v>740</v>
      </c>
      <c r="AW325" s="327">
        <v>800</v>
      </c>
      <c r="AX325" s="328"/>
      <c r="AY325" s="328"/>
      <c r="AZ325" s="328"/>
      <c r="BA325" s="328"/>
      <c r="BB325" s="328"/>
      <c r="BC325" s="328"/>
      <c r="BD325" s="328"/>
      <c r="BE325" s="328"/>
      <c r="BF325" s="328"/>
      <c r="BG325" s="328"/>
      <c r="BH325" s="327">
        <v>300</v>
      </c>
      <c r="BI325" s="327">
        <v>250</v>
      </c>
      <c r="BJ325" s="327">
        <v>350</v>
      </c>
      <c r="BK325" s="327">
        <v>19</v>
      </c>
      <c r="BL325" s="327">
        <v>5</v>
      </c>
      <c r="BM325" s="325" t="s">
        <v>452</v>
      </c>
      <c r="BN325" s="325" t="s">
        <v>452</v>
      </c>
      <c r="BO325" s="341" t="s">
        <v>451</v>
      </c>
      <c r="BP325" s="341" t="s">
        <v>451</v>
      </c>
      <c r="BQ325" s="325" t="s">
        <v>450</v>
      </c>
    </row>
    <row r="326" spans="1:69" ht="12" customHeight="1">
      <c r="A326" s="320">
        <v>913</v>
      </c>
      <c r="B326" s="337" t="s">
        <v>394</v>
      </c>
      <c r="C326" s="328" t="s">
        <v>393</v>
      </c>
      <c r="D326" s="336" t="s">
        <v>534</v>
      </c>
      <c r="E326" s="328">
        <v>200</v>
      </c>
      <c r="F326" s="344">
        <v>4</v>
      </c>
      <c r="G326" s="325">
        <v>30</v>
      </c>
      <c r="H326" s="325">
        <f t="shared" si="487"/>
        <v>36</v>
      </c>
      <c r="I326" s="325">
        <v>1475</v>
      </c>
      <c r="J326" s="335">
        <f t="shared" si="488"/>
        <v>1770</v>
      </c>
      <c r="K326" s="328"/>
      <c r="L326" s="343">
        <v>53.8</v>
      </c>
      <c r="M326" s="333">
        <f t="shared" si="348"/>
        <v>56.139130434782608</v>
      </c>
      <c r="N326" s="333">
        <v>0.86</v>
      </c>
      <c r="O326" s="330">
        <v>93.73</v>
      </c>
      <c r="P326" s="331">
        <v>93.8</v>
      </c>
      <c r="Q326" s="331">
        <v>93.18</v>
      </c>
      <c r="R326" s="333">
        <v>0.86</v>
      </c>
      <c r="S326" s="330">
        <v>93.73</v>
      </c>
      <c r="T326" s="331">
        <v>93.8</v>
      </c>
      <c r="U326" s="331">
        <v>93.18</v>
      </c>
      <c r="V326" s="339">
        <v>2</v>
      </c>
      <c r="W326" s="346">
        <v>2.2999999999999998</v>
      </c>
      <c r="X326" s="339">
        <v>7.3</v>
      </c>
      <c r="Y326" s="328"/>
      <c r="Z326" s="328"/>
      <c r="AA326" s="328"/>
      <c r="AB326" s="329" t="s">
        <v>533</v>
      </c>
      <c r="AC326" s="328" t="s">
        <v>431</v>
      </c>
      <c r="AD326" s="325" t="s">
        <v>532</v>
      </c>
      <c r="AE326" s="328"/>
      <c r="AF326" s="328"/>
      <c r="AG326" s="328"/>
      <c r="AH326" s="327">
        <v>318</v>
      </c>
      <c r="AI326" s="327">
        <v>305</v>
      </c>
      <c r="AJ326" s="327">
        <v>133</v>
      </c>
      <c r="AK326" s="327">
        <v>55</v>
      </c>
      <c r="AL326" s="327">
        <v>110</v>
      </c>
      <c r="AM326" s="327">
        <v>16</v>
      </c>
      <c r="AN326" s="327">
        <v>49</v>
      </c>
      <c r="AO326" s="327" t="s">
        <v>249</v>
      </c>
      <c r="AP326" s="327">
        <v>200</v>
      </c>
      <c r="AQ326" s="327">
        <v>19</v>
      </c>
      <c r="AR326" s="327">
        <v>395</v>
      </c>
      <c r="AS326" s="327">
        <v>410</v>
      </c>
      <c r="AT326" s="327">
        <v>335</v>
      </c>
      <c r="AU326" s="327">
        <v>525</v>
      </c>
      <c r="AV326" s="327">
        <v>775</v>
      </c>
      <c r="AW326" s="327">
        <v>845</v>
      </c>
      <c r="AX326" s="328"/>
      <c r="AY326" s="328"/>
      <c r="AZ326" s="328"/>
      <c r="BA326" s="328"/>
      <c r="BB326" s="328"/>
      <c r="BC326" s="328"/>
      <c r="BD326" s="328"/>
      <c r="BE326" s="328"/>
      <c r="BF326" s="328"/>
      <c r="BG326" s="328"/>
      <c r="BH326" s="327">
        <v>350</v>
      </c>
      <c r="BI326" s="327">
        <v>300</v>
      </c>
      <c r="BJ326" s="327">
        <v>400</v>
      </c>
      <c r="BK326" s="327">
        <v>19</v>
      </c>
      <c r="BL326" s="327">
        <v>5</v>
      </c>
      <c r="BM326" s="325" t="s">
        <v>442</v>
      </c>
      <c r="BN326" s="325" t="s">
        <v>442</v>
      </c>
      <c r="BO326" s="341" t="s">
        <v>441</v>
      </c>
      <c r="BP326" s="341" t="s">
        <v>441</v>
      </c>
      <c r="BQ326" s="325" t="s">
        <v>434</v>
      </c>
    </row>
    <row r="327" spans="1:69" ht="12" customHeight="1">
      <c r="A327" s="320">
        <v>914</v>
      </c>
      <c r="B327" s="337" t="s">
        <v>394</v>
      </c>
      <c r="C327" s="328" t="s">
        <v>393</v>
      </c>
      <c r="D327" s="336" t="s">
        <v>531</v>
      </c>
      <c r="E327" s="328">
        <v>225</v>
      </c>
      <c r="F327" s="344">
        <v>4</v>
      </c>
      <c r="G327" s="325">
        <v>37</v>
      </c>
      <c r="H327" s="325">
        <f t="shared" si="487"/>
        <v>44.4</v>
      </c>
      <c r="I327" s="325">
        <v>1480</v>
      </c>
      <c r="J327" s="335">
        <f t="shared" si="488"/>
        <v>1776</v>
      </c>
      <c r="K327" s="328"/>
      <c r="L327" s="343">
        <v>66.099999999999994</v>
      </c>
      <c r="M327" s="333">
        <f t="shared" si="348"/>
        <v>68.973913043478248</v>
      </c>
      <c r="N327" s="332">
        <v>0.86</v>
      </c>
      <c r="O327" s="330">
        <v>94.01</v>
      </c>
      <c r="P327" s="331">
        <v>94.03</v>
      </c>
      <c r="Q327" s="331">
        <v>93.36</v>
      </c>
      <c r="R327" s="332">
        <v>0.86</v>
      </c>
      <c r="S327" s="330">
        <v>94.01</v>
      </c>
      <c r="T327" s="331">
        <v>94.03</v>
      </c>
      <c r="U327" s="331">
        <v>93.36</v>
      </c>
      <c r="V327" s="339">
        <v>2</v>
      </c>
      <c r="W327" s="346">
        <v>2.2999999999999998</v>
      </c>
      <c r="X327" s="339">
        <v>7.4</v>
      </c>
      <c r="Y327" s="328"/>
      <c r="Z327" s="328"/>
      <c r="AA327" s="328"/>
      <c r="AB327" s="329" t="s">
        <v>530</v>
      </c>
      <c r="AC327" s="325" t="s">
        <v>422</v>
      </c>
      <c r="AD327" s="325" t="s">
        <v>529</v>
      </c>
      <c r="AE327" s="328"/>
      <c r="AF327" s="328"/>
      <c r="AG327" s="328"/>
      <c r="AH327" s="327">
        <v>356</v>
      </c>
      <c r="AI327" s="327">
        <v>286</v>
      </c>
      <c r="AJ327" s="327">
        <v>149</v>
      </c>
      <c r="AK327" s="327">
        <v>60</v>
      </c>
      <c r="AL327" s="327">
        <v>140</v>
      </c>
      <c r="AM327" s="327">
        <v>18</v>
      </c>
      <c r="AN327" s="327">
        <v>53</v>
      </c>
      <c r="AO327" s="327" t="s">
        <v>249</v>
      </c>
      <c r="AP327" s="327">
        <v>225</v>
      </c>
      <c r="AQ327" s="327">
        <v>19</v>
      </c>
      <c r="AR327" s="327">
        <v>435</v>
      </c>
      <c r="AS327" s="327">
        <v>470</v>
      </c>
      <c r="AT327" s="327">
        <v>370</v>
      </c>
      <c r="AU327" s="327">
        <v>580</v>
      </c>
      <c r="AV327" s="327">
        <v>820</v>
      </c>
      <c r="AW327" s="327">
        <v>915</v>
      </c>
      <c r="AX327" s="328"/>
      <c r="AY327" s="328"/>
      <c r="AZ327" s="328"/>
      <c r="BA327" s="328"/>
      <c r="BB327" s="328"/>
      <c r="BC327" s="328"/>
      <c r="BD327" s="328"/>
      <c r="BE327" s="328"/>
      <c r="BF327" s="328"/>
      <c r="BG327" s="328"/>
      <c r="BH327" s="327">
        <v>400</v>
      </c>
      <c r="BI327" s="327">
        <v>350</v>
      </c>
      <c r="BJ327" s="327">
        <v>450</v>
      </c>
      <c r="BK327" s="327">
        <v>19</v>
      </c>
      <c r="BL327" s="327">
        <v>5</v>
      </c>
      <c r="BM327" s="325" t="s">
        <v>436</v>
      </c>
      <c r="BN327" s="325" t="s">
        <v>436</v>
      </c>
      <c r="BO327" s="341" t="s">
        <v>435</v>
      </c>
      <c r="BP327" s="341" t="s">
        <v>435</v>
      </c>
      <c r="BQ327" s="325" t="s">
        <v>434</v>
      </c>
    </row>
    <row r="328" spans="1:69" ht="12" customHeight="1">
      <c r="A328" s="320">
        <v>915</v>
      </c>
      <c r="B328" s="337" t="s">
        <v>394</v>
      </c>
      <c r="C328" s="328" t="s">
        <v>393</v>
      </c>
      <c r="D328" s="336" t="s">
        <v>528</v>
      </c>
      <c r="E328" s="328">
        <v>225</v>
      </c>
      <c r="F328" s="344">
        <v>4</v>
      </c>
      <c r="G328" s="325">
        <v>45</v>
      </c>
      <c r="H328" s="325">
        <f t="shared" si="487"/>
        <v>54</v>
      </c>
      <c r="I328" s="325">
        <v>1480</v>
      </c>
      <c r="J328" s="335">
        <f t="shared" si="488"/>
        <v>1776</v>
      </c>
      <c r="K328" s="328"/>
      <c r="L328" s="343">
        <v>80.2</v>
      </c>
      <c r="M328" s="333">
        <f t="shared" si="348"/>
        <v>83.686956521739134</v>
      </c>
      <c r="N328" s="332">
        <v>0.86</v>
      </c>
      <c r="O328" s="330">
        <v>94.21</v>
      </c>
      <c r="P328" s="331">
        <v>94.33</v>
      </c>
      <c r="Q328" s="331">
        <v>93.85</v>
      </c>
      <c r="R328" s="332">
        <v>0.86</v>
      </c>
      <c r="S328" s="330">
        <v>94.21</v>
      </c>
      <c r="T328" s="331">
        <v>94.33</v>
      </c>
      <c r="U328" s="331">
        <v>93.85</v>
      </c>
      <c r="V328" s="339">
        <v>2</v>
      </c>
      <c r="W328" s="346">
        <v>2.2999999999999998</v>
      </c>
      <c r="X328" s="339">
        <v>7.4</v>
      </c>
      <c r="Y328" s="328"/>
      <c r="Z328" s="328"/>
      <c r="AA328" s="328"/>
      <c r="AB328" s="329" t="s">
        <v>527</v>
      </c>
      <c r="AC328" s="328" t="s">
        <v>422</v>
      </c>
      <c r="AD328" s="325" t="s">
        <v>526</v>
      </c>
      <c r="AE328" s="328"/>
      <c r="AF328" s="328"/>
      <c r="AG328" s="328"/>
      <c r="AH328" s="327">
        <v>356</v>
      </c>
      <c r="AI328" s="327">
        <v>311</v>
      </c>
      <c r="AJ328" s="327">
        <v>149</v>
      </c>
      <c r="AK328" s="327">
        <v>60</v>
      </c>
      <c r="AL328" s="327">
        <v>140</v>
      </c>
      <c r="AM328" s="327">
        <v>18</v>
      </c>
      <c r="AN328" s="327">
        <v>53</v>
      </c>
      <c r="AO328" s="327" t="s">
        <v>249</v>
      </c>
      <c r="AP328" s="327">
        <v>225</v>
      </c>
      <c r="AQ328" s="327">
        <v>19</v>
      </c>
      <c r="AR328" s="327">
        <v>435</v>
      </c>
      <c r="AS328" s="327">
        <v>470</v>
      </c>
      <c r="AT328" s="327">
        <v>370</v>
      </c>
      <c r="AU328" s="327">
        <v>580</v>
      </c>
      <c r="AV328" s="327">
        <v>845</v>
      </c>
      <c r="AW328" s="327">
        <v>940</v>
      </c>
      <c r="AX328" s="328"/>
      <c r="AY328" s="328"/>
      <c r="AZ328" s="328"/>
      <c r="BA328" s="328"/>
      <c r="BB328" s="328"/>
      <c r="BC328" s="328"/>
      <c r="BD328" s="328"/>
      <c r="BE328" s="328"/>
      <c r="BF328" s="328"/>
      <c r="BG328" s="328"/>
      <c r="BH328" s="327">
        <v>400</v>
      </c>
      <c r="BI328" s="327">
        <v>350</v>
      </c>
      <c r="BJ328" s="327">
        <v>450</v>
      </c>
      <c r="BK328" s="327">
        <v>19</v>
      </c>
      <c r="BL328" s="327">
        <v>5</v>
      </c>
      <c r="BM328" s="325" t="s">
        <v>436</v>
      </c>
      <c r="BN328" s="325" t="s">
        <v>436</v>
      </c>
      <c r="BO328" s="341" t="s">
        <v>435</v>
      </c>
      <c r="BP328" s="341" t="s">
        <v>435</v>
      </c>
      <c r="BQ328" s="325" t="s">
        <v>434</v>
      </c>
    </row>
    <row r="329" spans="1:69" ht="12" customHeight="1">
      <c r="A329" s="320">
        <v>916</v>
      </c>
      <c r="B329" s="337" t="s">
        <v>394</v>
      </c>
      <c r="C329" s="328" t="s">
        <v>393</v>
      </c>
      <c r="D329" s="336" t="s">
        <v>525</v>
      </c>
      <c r="E329" s="328">
        <v>250</v>
      </c>
      <c r="F329" s="344">
        <v>4</v>
      </c>
      <c r="G329" s="325">
        <v>55</v>
      </c>
      <c r="H329" s="325">
        <f t="shared" si="487"/>
        <v>66</v>
      </c>
      <c r="I329" s="325">
        <v>1485</v>
      </c>
      <c r="J329" s="335">
        <f t="shared" si="488"/>
        <v>1782</v>
      </c>
      <c r="K329" s="339"/>
      <c r="L329" s="343">
        <v>97.6</v>
      </c>
      <c r="M329" s="333">
        <f t="shared" si="348"/>
        <v>101.84347826086956</v>
      </c>
      <c r="N329" s="332">
        <v>0.86</v>
      </c>
      <c r="O329" s="330">
        <v>94.56</v>
      </c>
      <c r="P329" s="331">
        <v>94.45</v>
      </c>
      <c r="Q329" s="331">
        <v>93.64</v>
      </c>
      <c r="R329" s="332">
        <v>0.86</v>
      </c>
      <c r="S329" s="330">
        <v>94.56</v>
      </c>
      <c r="T329" s="331">
        <v>94.45</v>
      </c>
      <c r="U329" s="331">
        <v>93.64</v>
      </c>
      <c r="V329" s="339">
        <v>2.2000000000000002</v>
      </c>
      <c r="W329" s="346">
        <v>2.2999999999999998</v>
      </c>
      <c r="X329" s="339">
        <v>7.4</v>
      </c>
      <c r="Y329" s="328"/>
      <c r="Z329" s="328"/>
      <c r="AA329" s="328"/>
      <c r="AB329" s="329" t="s">
        <v>524</v>
      </c>
      <c r="AC329" s="328" t="s">
        <v>523</v>
      </c>
      <c r="AD329" s="325" t="s">
        <v>522</v>
      </c>
      <c r="AE329" s="328"/>
      <c r="AF329" s="328"/>
      <c r="AG329" s="328"/>
      <c r="AH329" s="327">
        <v>406</v>
      </c>
      <c r="AI329" s="327">
        <v>349</v>
      </c>
      <c r="AJ329" s="327">
        <v>168</v>
      </c>
      <c r="AK329" s="327">
        <v>65</v>
      </c>
      <c r="AL329" s="327">
        <v>140</v>
      </c>
      <c r="AM329" s="327">
        <v>18</v>
      </c>
      <c r="AN329" s="327">
        <v>58</v>
      </c>
      <c r="AO329" s="327" t="s">
        <v>249</v>
      </c>
      <c r="AP329" s="327">
        <v>250</v>
      </c>
      <c r="AQ329" s="327">
        <v>24</v>
      </c>
      <c r="AR329" s="327">
        <v>490</v>
      </c>
      <c r="AS329" s="327">
        <v>490</v>
      </c>
      <c r="AT329" s="327">
        <v>380</v>
      </c>
      <c r="AU329" s="327">
        <v>635</v>
      </c>
      <c r="AV329" s="327">
        <v>930</v>
      </c>
      <c r="AW329" s="327">
        <v>1035</v>
      </c>
      <c r="AX329" s="328"/>
      <c r="AY329" s="328"/>
      <c r="AZ329" s="328"/>
      <c r="BA329" s="328"/>
      <c r="BB329" s="328"/>
      <c r="BC329" s="328"/>
      <c r="BD329" s="328"/>
      <c r="BE329" s="328"/>
      <c r="BF329" s="328"/>
      <c r="BG329" s="328"/>
      <c r="BH329" s="327">
        <v>500</v>
      </c>
      <c r="BI329" s="327">
        <v>450</v>
      </c>
      <c r="BJ329" s="327">
        <v>550</v>
      </c>
      <c r="BK329" s="327">
        <v>19</v>
      </c>
      <c r="BL329" s="327">
        <v>5</v>
      </c>
      <c r="BM329" s="325" t="s">
        <v>429</v>
      </c>
      <c r="BN329" s="325" t="s">
        <v>429</v>
      </c>
      <c r="BO329" s="341" t="s">
        <v>428</v>
      </c>
      <c r="BP329" s="341" t="s">
        <v>428</v>
      </c>
      <c r="BQ329" s="325" t="s">
        <v>388</v>
      </c>
    </row>
    <row r="330" spans="1:69" ht="12" customHeight="1">
      <c r="A330" s="320">
        <v>917</v>
      </c>
      <c r="B330" s="337" t="s">
        <v>394</v>
      </c>
      <c r="C330" s="328" t="s">
        <v>393</v>
      </c>
      <c r="D330" s="336" t="s">
        <v>521</v>
      </c>
      <c r="E330" s="328">
        <v>280</v>
      </c>
      <c r="F330" s="344">
        <v>4</v>
      </c>
      <c r="G330" s="325">
        <v>75</v>
      </c>
      <c r="H330" s="325">
        <f t="shared" si="487"/>
        <v>90</v>
      </c>
      <c r="I330" s="325">
        <v>1485</v>
      </c>
      <c r="J330" s="335">
        <f t="shared" si="488"/>
        <v>1782</v>
      </c>
      <c r="K330" s="339"/>
      <c r="L330" s="343">
        <v>129.5</v>
      </c>
      <c r="M330" s="333">
        <f t="shared" ref="M330:M364" si="489">L330*480/460</f>
        <v>135.13043478260869</v>
      </c>
      <c r="N330" s="332">
        <v>0.88</v>
      </c>
      <c r="O330" s="330">
        <v>94.97</v>
      </c>
      <c r="P330" s="331">
        <v>94.92</v>
      </c>
      <c r="Q330" s="331">
        <v>94.24</v>
      </c>
      <c r="R330" s="332">
        <v>0.88</v>
      </c>
      <c r="S330" s="330">
        <v>94.97</v>
      </c>
      <c r="T330" s="331">
        <v>94.92</v>
      </c>
      <c r="U330" s="331">
        <v>94.24</v>
      </c>
      <c r="V330" s="339">
        <v>2</v>
      </c>
      <c r="W330" s="346">
        <v>2.2999999999999998</v>
      </c>
      <c r="X330" s="339">
        <v>6.9</v>
      </c>
      <c r="Y330" s="328"/>
      <c r="Z330" s="328"/>
      <c r="AA330" s="328"/>
      <c r="AB330" s="329" t="s">
        <v>520</v>
      </c>
      <c r="AC330" s="328" t="s">
        <v>516</v>
      </c>
      <c r="AD330" s="325" t="s">
        <v>519</v>
      </c>
      <c r="AE330" s="328"/>
      <c r="AF330" s="328"/>
      <c r="AG330" s="328"/>
      <c r="AH330" s="327">
        <v>457</v>
      </c>
      <c r="AI330" s="327">
        <v>368</v>
      </c>
      <c r="AJ330" s="327">
        <v>190</v>
      </c>
      <c r="AK330" s="327">
        <v>75</v>
      </c>
      <c r="AL330" s="327">
        <v>140</v>
      </c>
      <c r="AM330" s="327">
        <v>20</v>
      </c>
      <c r="AN330" s="327">
        <v>67.5</v>
      </c>
      <c r="AO330" s="327" t="s">
        <v>249</v>
      </c>
      <c r="AP330" s="327">
        <v>280</v>
      </c>
      <c r="AQ330" s="327">
        <v>24</v>
      </c>
      <c r="AR330" s="327">
        <v>550</v>
      </c>
      <c r="AS330" s="327">
        <v>580</v>
      </c>
      <c r="AT330" s="327">
        <v>410</v>
      </c>
      <c r="AU330" s="327">
        <v>698</v>
      </c>
      <c r="AV330" s="327">
        <v>981</v>
      </c>
      <c r="AW330" s="327">
        <v>1115</v>
      </c>
      <c r="AX330" s="328"/>
      <c r="AY330" s="328"/>
      <c r="AZ330" s="328"/>
      <c r="BA330" s="328"/>
      <c r="BB330" s="328"/>
      <c r="BC330" s="328"/>
      <c r="BD330" s="328"/>
      <c r="BE330" s="328"/>
      <c r="BF330" s="328"/>
      <c r="BG330" s="328"/>
      <c r="BH330" s="327">
        <v>500</v>
      </c>
      <c r="BI330" s="327">
        <v>450</v>
      </c>
      <c r="BJ330" s="327">
        <v>550</v>
      </c>
      <c r="BK330" s="327">
        <v>19</v>
      </c>
      <c r="BL330" s="327">
        <v>5</v>
      </c>
      <c r="BM330" s="325" t="s">
        <v>420</v>
      </c>
      <c r="BN330" s="325" t="s">
        <v>420</v>
      </c>
      <c r="BO330" s="341" t="s">
        <v>419</v>
      </c>
      <c r="BP330" s="340" t="s">
        <v>419</v>
      </c>
      <c r="BQ330" s="325" t="s">
        <v>388</v>
      </c>
    </row>
    <row r="331" spans="1:69" ht="12" customHeight="1">
      <c r="A331" s="320">
        <v>918</v>
      </c>
      <c r="B331" s="337" t="s">
        <v>394</v>
      </c>
      <c r="C331" s="328" t="s">
        <v>393</v>
      </c>
      <c r="D331" s="336" t="s">
        <v>518</v>
      </c>
      <c r="E331" s="328">
        <v>280</v>
      </c>
      <c r="F331" s="344">
        <v>4</v>
      </c>
      <c r="G331" s="325">
        <v>90</v>
      </c>
      <c r="H331" s="325">
        <f t="shared" si="487"/>
        <v>108</v>
      </c>
      <c r="I331" s="325">
        <v>1485</v>
      </c>
      <c r="J331" s="335">
        <f t="shared" si="488"/>
        <v>1782</v>
      </c>
      <c r="K331" s="328"/>
      <c r="L331" s="343">
        <v>155</v>
      </c>
      <c r="M331" s="333">
        <f t="shared" si="489"/>
        <v>161.7391304347826</v>
      </c>
      <c r="N331" s="332">
        <v>0.88</v>
      </c>
      <c r="O331" s="330">
        <v>95.24</v>
      </c>
      <c r="P331" s="331">
        <v>95.21</v>
      </c>
      <c r="Q331" s="331">
        <v>94.62</v>
      </c>
      <c r="R331" s="332">
        <v>0.88</v>
      </c>
      <c r="S331" s="330">
        <v>95.24</v>
      </c>
      <c r="T331" s="331">
        <v>95.21</v>
      </c>
      <c r="U331" s="331">
        <v>94.62</v>
      </c>
      <c r="V331" s="339">
        <v>2</v>
      </c>
      <c r="W331" s="346">
        <v>2.2999999999999998</v>
      </c>
      <c r="X331" s="339">
        <v>6.9</v>
      </c>
      <c r="Y331" s="328"/>
      <c r="Z331" s="328"/>
      <c r="AA331" s="328"/>
      <c r="AB331" s="329" t="s">
        <v>517</v>
      </c>
      <c r="AC331" s="328" t="s">
        <v>516</v>
      </c>
      <c r="AD331" s="325" t="s">
        <v>515</v>
      </c>
      <c r="AE331" s="328"/>
      <c r="AF331" s="328"/>
      <c r="AG331" s="328"/>
      <c r="AH331" s="327">
        <v>457</v>
      </c>
      <c r="AI331" s="327">
        <v>419</v>
      </c>
      <c r="AJ331" s="327">
        <v>190</v>
      </c>
      <c r="AK331" s="327">
        <v>75</v>
      </c>
      <c r="AL331" s="327">
        <v>140</v>
      </c>
      <c r="AM331" s="327">
        <v>20</v>
      </c>
      <c r="AN331" s="327">
        <v>67.5</v>
      </c>
      <c r="AO331" s="327" t="s">
        <v>249</v>
      </c>
      <c r="AP331" s="327">
        <v>280</v>
      </c>
      <c r="AQ331" s="327">
        <v>24</v>
      </c>
      <c r="AR331" s="327">
        <v>550</v>
      </c>
      <c r="AS331" s="327">
        <v>580</v>
      </c>
      <c r="AT331" s="327">
        <v>410</v>
      </c>
      <c r="AU331" s="327">
        <v>698</v>
      </c>
      <c r="AV331" s="327">
        <v>1032</v>
      </c>
      <c r="AW331" s="327">
        <v>1157</v>
      </c>
      <c r="AX331" s="328"/>
      <c r="AY331" s="328"/>
      <c r="AZ331" s="328"/>
      <c r="BA331" s="328"/>
      <c r="BB331" s="328"/>
      <c r="BC331" s="328"/>
      <c r="BD331" s="328"/>
      <c r="BE331" s="328"/>
      <c r="BF331" s="328"/>
      <c r="BG331" s="328"/>
      <c r="BH331" s="327">
        <v>500</v>
      </c>
      <c r="BI331" s="327">
        <v>450</v>
      </c>
      <c r="BJ331" s="327">
        <v>550</v>
      </c>
      <c r="BK331" s="327">
        <v>19</v>
      </c>
      <c r="BL331" s="327">
        <v>5</v>
      </c>
      <c r="BM331" s="325" t="s">
        <v>420</v>
      </c>
      <c r="BN331" s="325" t="s">
        <v>420</v>
      </c>
      <c r="BO331" s="341" t="s">
        <v>419</v>
      </c>
      <c r="BP331" s="340" t="s">
        <v>419</v>
      </c>
      <c r="BQ331" s="325" t="s">
        <v>388</v>
      </c>
    </row>
    <row r="332" spans="1:69" ht="12" customHeight="1">
      <c r="A332" s="320">
        <v>919</v>
      </c>
      <c r="B332" s="337" t="s">
        <v>394</v>
      </c>
      <c r="C332" s="328" t="s">
        <v>393</v>
      </c>
      <c r="D332" s="336" t="s">
        <v>514</v>
      </c>
      <c r="E332" s="334">
        <v>315</v>
      </c>
      <c r="F332" s="344">
        <v>4</v>
      </c>
      <c r="G332" s="325">
        <v>110</v>
      </c>
      <c r="H332" s="325">
        <f t="shared" si="487"/>
        <v>132</v>
      </c>
      <c r="I332" s="325">
        <v>1485</v>
      </c>
      <c r="J332" s="335">
        <f t="shared" si="488"/>
        <v>1782</v>
      </c>
      <c r="K332" s="334"/>
      <c r="L332" s="343">
        <v>187</v>
      </c>
      <c r="M332" s="333">
        <f t="shared" si="489"/>
        <v>195.13043478260869</v>
      </c>
      <c r="N332" s="332">
        <v>0.89</v>
      </c>
      <c r="O332" s="330">
        <v>95.51</v>
      </c>
      <c r="P332" s="345">
        <v>95.36</v>
      </c>
      <c r="Q332" s="345">
        <v>94.6</v>
      </c>
      <c r="R332" s="332">
        <v>0.89</v>
      </c>
      <c r="S332" s="330">
        <v>95.51</v>
      </c>
      <c r="T332" s="345">
        <v>95.36</v>
      </c>
      <c r="U332" s="345">
        <v>94.6</v>
      </c>
      <c r="V332" s="339">
        <v>2</v>
      </c>
      <c r="W332" s="339">
        <v>2.2000000000000002</v>
      </c>
      <c r="X332" s="339">
        <v>7</v>
      </c>
      <c r="Y332" s="328"/>
      <c r="Z332" s="328"/>
      <c r="AA332" s="328"/>
      <c r="AB332" s="329" t="s">
        <v>513</v>
      </c>
      <c r="AC332" s="328" t="s">
        <v>503</v>
      </c>
      <c r="AD332" s="325" t="s">
        <v>512</v>
      </c>
      <c r="AE332" s="328"/>
      <c r="AF332" s="328"/>
      <c r="AG332" s="328"/>
      <c r="AH332" s="327">
        <v>508</v>
      </c>
      <c r="AI332" s="327">
        <v>406</v>
      </c>
      <c r="AJ332" s="327">
        <v>216</v>
      </c>
      <c r="AK332" s="327">
        <v>80</v>
      </c>
      <c r="AL332" s="327">
        <v>170</v>
      </c>
      <c r="AM332" s="327">
        <v>22</v>
      </c>
      <c r="AN332" s="327">
        <v>71</v>
      </c>
      <c r="AO332" s="327" t="s">
        <v>249</v>
      </c>
      <c r="AP332" s="327">
        <v>315</v>
      </c>
      <c r="AQ332" s="327">
        <v>28</v>
      </c>
      <c r="AR332" s="327">
        <v>630</v>
      </c>
      <c r="AS332" s="327">
        <v>645</v>
      </c>
      <c r="AT332" s="327">
        <v>535</v>
      </c>
      <c r="AU332" s="327">
        <v>885</v>
      </c>
      <c r="AV332" s="327">
        <v>1215</v>
      </c>
      <c r="AW332" s="327">
        <v>1340</v>
      </c>
      <c r="AX332" s="328"/>
      <c r="AY332" s="328"/>
      <c r="AZ332" s="328"/>
      <c r="BA332" s="328"/>
      <c r="BB332" s="328"/>
      <c r="BC332" s="328"/>
      <c r="BD332" s="328"/>
      <c r="BE332" s="328"/>
      <c r="BF332" s="328"/>
      <c r="BG332" s="328"/>
      <c r="BH332" s="327">
        <v>600</v>
      </c>
      <c r="BI332" s="327">
        <v>550</v>
      </c>
      <c r="BJ332" s="327">
        <v>660</v>
      </c>
      <c r="BK332" s="327">
        <v>24</v>
      </c>
      <c r="BL332" s="327">
        <v>6</v>
      </c>
      <c r="BM332" s="325" t="s">
        <v>389</v>
      </c>
      <c r="BN332" s="325" t="s">
        <v>389</v>
      </c>
      <c r="BO332" s="325"/>
      <c r="BP332" s="340"/>
      <c r="BQ332" s="325" t="s">
        <v>405</v>
      </c>
    </row>
    <row r="333" spans="1:69" ht="12" customHeight="1">
      <c r="A333" s="320">
        <v>920</v>
      </c>
      <c r="B333" s="337" t="s">
        <v>394</v>
      </c>
      <c r="C333" s="328" t="s">
        <v>393</v>
      </c>
      <c r="D333" s="336" t="s">
        <v>511</v>
      </c>
      <c r="E333" s="328">
        <v>315</v>
      </c>
      <c r="F333" s="344">
        <v>4</v>
      </c>
      <c r="G333" s="325">
        <v>132</v>
      </c>
      <c r="H333" s="325">
        <f t="shared" si="487"/>
        <v>158.4</v>
      </c>
      <c r="I333" s="325">
        <v>1485</v>
      </c>
      <c r="J333" s="335">
        <f t="shared" si="488"/>
        <v>1782</v>
      </c>
      <c r="K333" s="328"/>
      <c r="L333" s="343">
        <v>223.9</v>
      </c>
      <c r="M333" s="333">
        <f t="shared" si="489"/>
        <v>233.63478260869564</v>
      </c>
      <c r="N333" s="332">
        <v>0.89</v>
      </c>
      <c r="O333" s="330">
        <v>95.69</v>
      </c>
      <c r="P333" s="331">
        <v>95.62</v>
      </c>
      <c r="Q333" s="331">
        <v>94.99</v>
      </c>
      <c r="R333" s="332">
        <v>0.89</v>
      </c>
      <c r="S333" s="330">
        <v>95.69</v>
      </c>
      <c r="T333" s="331">
        <v>95.62</v>
      </c>
      <c r="U333" s="331">
        <v>94.99</v>
      </c>
      <c r="V333" s="339">
        <v>2</v>
      </c>
      <c r="W333" s="339">
        <v>2.2000000000000002</v>
      </c>
      <c r="X333" s="339">
        <v>7</v>
      </c>
      <c r="Y333" s="328"/>
      <c r="Z333" s="328"/>
      <c r="AA333" s="328"/>
      <c r="AB333" s="329" t="s">
        <v>510</v>
      </c>
      <c r="AC333" s="328" t="s">
        <v>503</v>
      </c>
      <c r="AD333" s="325" t="s">
        <v>509</v>
      </c>
      <c r="AE333" s="328"/>
      <c r="AF333" s="328"/>
      <c r="AG333" s="328"/>
      <c r="AH333" s="327">
        <v>508</v>
      </c>
      <c r="AI333" s="327">
        <v>457</v>
      </c>
      <c r="AJ333" s="327">
        <v>216</v>
      </c>
      <c r="AK333" s="327">
        <v>80</v>
      </c>
      <c r="AL333" s="327">
        <v>170</v>
      </c>
      <c r="AM333" s="327">
        <v>22</v>
      </c>
      <c r="AN333" s="327">
        <v>71</v>
      </c>
      <c r="AO333" s="327" t="s">
        <v>249</v>
      </c>
      <c r="AP333" s="327">
        <v>315</v>
      </c>
      <c r="AQ333" s="327">
        <v>28</v>
      </c>
      <c r="AR333" s="327">
        <v>630</v>
      </c>
      <c r="AS333" s="327">
        <v>645</v>
      </c>
      <c r="AT333" s="327">
        <v>535</v>
      </c>
      <c r="AU333" s="327">
        <v>885</v>
      </c>
      <c r="AV333" s="327">
        <v>1325</v>
      </c>
      <c r="AW333" s="327">
        <v>1450</v>
      </c>
      <c r="AX333" s="328"/>
      <c r="AY333" s="328"/>
      <c r="AZ333" s="328"/>
      <c r="BA333" s="328"/>
      <c r="BB333" s="328"/>
      <c r="BC333" s="328"/>
      <c r="BD333" s="328"/>
      <c r="BE333" s="328"/>
      <c r="BF333" s="328"/>
      <c r="BG333" s="328"/>
      <c r="BH333" s="327">
        <v>600</v>
      </c>
      <c r="BI333" s="327">
        <v>550</v>
      </c>
      <c r="BJ333" s="327">
        <v>660</v>
      </c>
      <c r="BK333" s="327">
        <v>24</v>
      </c>
      <c r="BL333" s="327">
        <v>6</v>
      </c>
      <c r="BM333" s="325" t="s">
        <v>389</v>
      </c>
      <c r="BN333" s="325" t="s">
        <v>389</v>
      </c>
      <c r="BO333" s="325"/>
      <c r="BP333" s="328"/>
      <c r="BQ333" s="325" t="s">
        <v>405</v>
      </c>
    </row>
    <row r="334" spans="1:69" ht="12" customHeight="1">
      <c r="A334" s="320">
        <v>921</v>
      </c>
      <c r="B334" s="337" t="s">
        <v>394</v>
      </c>
      <c r="C334" s="328" t="s">
        <v>393</v>
      </c>
      <c r="D334" s="336" t="s">
        <v>508</v>
      </c>
      <c r="E334" s="328">
        <v>315</v>
      </c>
      <c r="F334" s="344">
        <v>4</v>
      </c>
      <c r="G334" s="325">
        <v>160</v>
      </c>
      <c r="H334" s="325">
        <f t="shared" si="487"/>
        <v>192</v>
      </c>
      <c r="I334" s="325">
        <v>1485</v>
      </c>
      <c r="J334" s="335">
        <f t="shared" si="488"/>
        <v>1782</v>
      </c>
      <c r="K334" s="328"/>
      <c r="L334" s="343">
        <v>270.8</v>
      </c>
      <c r="M334" s="333">
        <f t="shared" si="489"/>
        <v>282.57391304347829</v>
      </c>
      <c r="N334" s="332">
        <v>0.89</v>
      </c>
      <c r="O334" s="330">
        <v>95.84</v>
      </c>
      <c r="P334" s="331">
        <v>95.83</v>
      </c>
      <c r="Q334" s="331">
        <v>95.34</v>
      </c>
      <c r="R334" s="332">
        <v>0.89</v>
      </c>
      <c r="S334" s="330">
        <v>95.84</v>
      </c>
      <c r="T334" s="331">
        <v>95.83</v>
      </c>
      <c r="U334" s="331">
        <v>95.34</v>
      </c>
      <c r="V334" s="339">
        <v>2</v>
      </c>
      <c r="W334" s="339">
        <v>2.2000000000000002</v>
      </c>
      <c r="X334" s="339">
        <v>7.1</v>
      </c>
      <c r="Y334" s="328"/>
      <c r="Z334" s="328"/>
      <c r="AA334" s="328"/>
      <c r="AB334" s="329" t="s">
        <v>507</v>
      </c>
      <c r="AC334" s="328" t="s">
        <v>503</v>
      </c>
      <c r="AD334" s="325" t="s">
        <v>506</v>
      </c>
      <c r="AE334" s="328"/>
      <c r="AF334" s="328"/>
      <c r="AG334" s="328"/>
      <c r="AH334" s="327">
        <v>508</v>
      </c>
      <c r="AI334" s="327">
        <v>508</v>
      </c>
      <c r="AJ334" s="327">
        <v>216</v>
      </c>
      <c r="AK334" s="327">
        <v>80</v>
      </c>
      <c r="AL334" s="327">
        <v>170</v>
      </c>
      <c r="AM334" s="327">
        <v>22</v>
      </c>
      <c r="AN334" s="327">
        <v>71</v>
      </c>
      <c r="AO334" s="327" t="s">
        <v>249</v>
      </c>
      <c r="AP334" s="327">
        <v>315</v>
      </c>
      <c r="AQ334" s="327">
        <v>28</v>
      </c>
      <c r="AR334" s="327">
        <v>630</v>
      </c>
      <c r="AS334" s="327">
        <v>645</v>
      </c>
      <c r="AT334" s="327">
        <v>535</v>
      </c>
      <c r="AU334" s="327">
        <v>885</v>
      </c>
      <c r="AV334" s="327">
        <v>1325</v>
      </c>
      <c r="AW334" s="327">
        <v>1450</v>
      </c>
      <c r="AX334" s="328"/>
      <c r="AY334" s="328"/>
      <c r="AZ334" s="328"/>
      <c r="BA334" s="328"/>
      <c r="BB334" s="328"/>
      <c r="BC334" s="328"/>
      <c r="BD334" s="328"/>
      <c r="BE334" s="328"/>
      <c r="BF334" s="328"/>
      <c r="BG334" s="328"/>
      <c r="BH334" s="327">
        <v>600</v>
      </c>
      <c r="BI334" s="327">
        <v>550</v>
      </c>
      <c r="BJ334" s="327">
        <v>660</v>
      </c>
      <c r="BK334" s="327">
        <v>24</v>
      </c>
      <c r="BL334" s="327">
        <v>6</v>
      </c>
      <c r="BM334" s="325" t="s">
        <v>389</v>
      </c>
      <c r="BN334" s="325" t="s">
        <v>389</v>
      </c>
      <c r="BO334" s="325"/>
      <c r="BP334" s="328"/>
      <c r="BQ334" s="325" t="s">
        <v>405</v>
      </c>
    </row>
    <row r="335" spans="1:69" ht="12" customHeight="1">
      <c r="A335" s="320">
        <v>922</v>
      </c>
      <c r="B335" s="337" t="s">
        <v>394</v>
      </c>
      <c r="C335" s="328" t="s">
        <v>393</v>
      </c>
      <c r="D335" s="336" t="s">
        <v>505</v>
      </c>
      <c r="E335" s="328">
        <v>315</v>
      </c>
      <c r="F335" s="344">
        <v>4</v>
      </c>
      <c r="G335" s="325">
        <v>200</v>
      </c>
      <c r="H335" s="325">
        <f t="shared" si="487"/>
        <v>240</v>
      </c>
      <c r="I335" s="325">
        <v>1485</v>
      </c>
      <c r="J335" s="335">
        <f t="shared" si="488"/>
        <v>1782</v>
      </c>
      <c r="K335" s="328"/>
      <c r="L335" s="343">
        <v>334.1</v>
      </c>
      <c r="M335" s="333">
        <f t="shared" si="489"/>
        <v>348.62608695652176</v>
      </c>
      <c r="N335" s="332">
        <v>0.9</v>
      </c>
      <c r="O335" s="330">
        <v>95.92</v>
      </c>
      <c r="P335" s="331">
        <v>95.87</v>
      </c>
      <c r="Q335" s="331">
        <v>95.32</v>
      </c>
      <c r="R335" s="332">
        <v>0.9</v>
      </c>
      <c r="S335" s="330">
        <v>95.92</v>
      </c>
      <c r="T335" s="331">
        <v>95.87</v>
      </c>
      <c r="U335" s="331">
        <v>95.32</v>
      </c>
      <c r="V335" s="339">
        <v>2</v>
      </c>
      <c r="W335" s="339">
        <v>2.2000000000000002</v>
      </c>
      <c r="X335" s="339">
        <v>7.1</v>
      </c>
      <c r="Y335" s="328"/>
      <c r="Z335" s="328"/>
      <c r="AA335" s="328"/>
      <c r="AB335" s="329" t="s">
        <v>504</v>
      </c>
      <c r="AC335" s="328" t="s">
        <v>503</v>
      </c>
      <c r="AD335" s="325" t="s">
        <v>502</v>
      </c>
      <c r="AE335" s="328"/>
      <c r="AF335" s="328"/>
      <c r="AG335" s="328"/>
      <c r="AH335" s="327">
        <v>508</v>
      </c>
      <c r="AI335" s="327">
        <v>508</v>
      </c>
      <c r="AJ335" s="327">
        <v>216</v>
      </c>
      <c r="AK335" s="327">
        <v>80</v>
      </c>
      <c r="AL335" s="327">
        <v>170</v>
      </c>
      <c r="AM335" s="327">
        <v>22</v>
      </c>
      <c r="AN335" s="327">
        <v>71</v>
      </c>
      <c r="AO335" s="327" t="s">
        <v>249</v>
      </c>
      <c r="AP335" s="327">
        <v>315</v>
      </c>
      <c r="AQ335" s="327">
        <v>28</v>
      </c>
      <c r="AR335" s="327">
        <v>630</v>
      </c>
      <c r="AS335" s="327">
        <v>645</v>
      </c>
      <c r="AT335" s="327">
        <v>535</v>
      </c>
      <c r="AU335" s="327">
        <v>885</v>
      </c>
      <c r="AV335" s="327">
        <v>1325</v>
      </c>
      <c r="AW335" s="327">
        <v>1450</v>
      </c>
      <c r="AX335" s="328"/>
      <c r="AY335" s="328"/>
      <c r="AZ335" s="328"/>
      <c r="BA335" s="328"/>
      <c r="BB335" s="328"/>
      <c r="BC335" s="328"/>
      <c r="BD335" s="328"/>
      <c r="BE335" s="328"/>
      <c r="BF335" s="328"/>
      <c r="BG335" s="328"/>
      <c r="BH335" s="327">
        <v>600</v>
      </c>
      <c r="BI335" s="327">
        <v>550</v>
      </c>
      <c r="BJ335" s="327">
        <v>660</v>
      </c>
      <c r="BK335" s="327">
        <v>24</v>
      </c>
      <c r="BL335" s="327">
        <v>6</v>
      </c>
      <c r="BM335" s="325" t="s">
        <v>389</v>
      </c>
      <c r="BN335" s="325" t="s">
        <v>389</v>
      </c>
      <c r="BO335" s="325"/>
      <c r="BP335" s="328"/>
      <c r="BQ335" s="325" t="s">
        <v>405</v>
      </c>
    </row>
    <row r="336" spans="1:69" ht="12" customHeight="1">
      <c r="A336" s="320">
        <v>923</v>
      </c>
      <c r="B336" s="337" t="s">
        <v>394</v>
      </c>
      <c r="C336" s="328" t="s">
        <v>393</v>
      </c>
      <c r="D336" s="336" t="s">
        <v>501</v>
      </c>
      <c r="E336" s="328">
        <v>355</v>
      </c>
      <c r="F336" s="344">
        <v>4</v>
      </c>
      <c r="G336" s="325">
        <v>250</v>
      </c>
      <c r="H336" s="325">
        <f t="shared" si="487"/>
        <v>300</v>
      </c>
      <c r="I336" s="325">
        <v>1490</v>
      </c>
      <c r="J336" s="335">
        <f t="shared" si="488"/>
        <v>1788</v>
      </c>
      <c r="K336" s="339"/>
      <c r="L336" s="343">
        <v>417.6</v>
      </c>
      <c r="M336" s="333">
        <f t="shared" si="489"/>
        <v>435.75652173913045</v>
      </c>
      <c r="N336" s="332">
        <v>0.9</v>
      </c>
      <c r="O336" s="330">
        <v>95.87</v>
      </c>
      <c r="P336" s="331">
        <v>95.64</v>
      </c>
      <c r="Q336" s="331">
        <v>94.8</v>
      </c>
      <c r="R336" s="332">
        <v>0.9</v>
      </c>
      <c r="S336" s="330">
        <v>95.87</v>
      </c>
      <c r="T336" s="331">
        <v>95.64</v>
      </c>
      <c r="U336" s="331">
        <v>94.8</v>
      </c>
      <c r="V336" s="339">
        <v>2</v>
      </c>
      <c r="W336" s="339">
        <v>2.2000000000000002</v>
      </c>
      <c r="X336" s="339">
        <v>7.1</v>
      </c>
      <c r="Y336" s="328"/>
      <c r="Z336" s="328"/>
      <c r="AA336" s="328"/>
      <c r="AB336" s="329" t="s">
        <v>500</v>
      </c>
      <c r="AC336" s="328" t="s">
        <v>497</v>
      </c>
      <c r="AD336" s="325" t="s">
        <v>496</v>
      </c>
      <c r="AE336" s="328"/>
      <c r="AF336" s="328"/>
      <c r="AG336" s="328"/>
      <c r="AH336" s="327">
        <v>610</v>
      </c>
      <c r="AI336" s="327">
        <v>560</v>
      </c>
      <c r="AJ336" s="327">
        <v>254</v>
      </c>
      <c r="AK336" s="327">
        <v>95</v>
      </c>
      <c r="AL336" s="327">
        <v>170</v>
      </c>
      <c r="AM336" s="327">
        <v>25</v>
      </c>
      <c r="AN336" s="327">
        <v>86</v>
      </c>
      <c r="AO336" s="327" t="s">
        <v>250</v>
      </c>
      <c r="AP336" s="327">
        <v>355</v>
      </c>
      <c r="AQ336" s="327">
        <v>28</v>
      </c>
      <c r="AR336" s="327">
        <v>730</v>
      </c>
      <c r="AS336" s="327">
        <v>720</v>
      </c>
      <c r="AT336" s="327">
        <v>700</v>
      </c>
      <c r="AU336" s="327">
        <v>1065</v>
      </c>
      <c r="AV336" s="327">
        <v>1525</v>
      </c>
      <c r="AW336" s="327">
        <v>1670</v>
      </c>
      <c r="AX336" s="328"/>
      <c r="AY336" s="328"/>
      <c r="AZ336" s="328"/>
      <c r="BA336" s="328"/>
      <c r="BB336" s="328"/>
      <c r="BC336" s="328"/>
      <c r="BD336" s="328"/>
      <c r="BE336" s="328"/>
      <c r="BF336" s="328"/>
      <c r="BG336" s="328"/>
      <c r="BH336" s="327">
        <v>740</v>
      </c>
      <c r="BI336" s="327">
        <v>680</v>
      </c>
      <c r="BJ336" s="327">
        <v>800</v>
      </c>
      <c r="BK336" s="327">
        <v>24</v>
      </c>
      <c r="BL336" s="327">
        <v>6</v>
      </c>
      <c r="BM336" s="325" t="s">
        <v>390</v>
      </c>
      <c r="BN336" s="325" t="s">
        <v>389</v>
      </c>
      <c r="BO336" s="326"/>
      <c r="BP336" s="326"/>
      <c r="BQ336" s="325" t="s">
        <v>388</v>
      </c>
    </row>
    <row r="337" spans="1:70" ht="12" customHeight="1">
      <c r="A337" s="320">
        <v>924</v>
      </c>
      <c r="B337" s="337" t="s">
        <v>394</v>
      </c>
      <c r="C337" s="328" t="s">
        <v>393</v>
      </c>
      <c r="D337" s="336" t="s">
        <v>499</v>
      </c>
      <c r="E337" s="328">
        <v>355</v>
      </c>
      <c r="F337" s="344">
        <v>4</v>
      </c>
      <c r="G337" s="325">
        <v>315</v>
      </c>
      <c r="H337" s="325">
        <f t="shared" si="487"/>
        <v>378</v>
      </c>
      <c r="I337" s="325">
        <v>1490</v>
      </c>
      <c r="J337" s="335">
        <f t="shared" si="488"/>
        <v>1788</v>
      </c>
      <c r="K337" s="339"/>
      <c r="L337" s="343">
        <v>526.20000000000005</v>
      </c>
      <c r="M337" s="333">
        <f t="shared" si="489"/>
        <v>549.07826086956527</v>
      </c>
      <c r="N337" s="332">
        <v>0.9</v>
      </c>
      <c r="O337" s="330">
        <v>96.03</v>
      </c>
      <c r="P337" s="331">
        <v>95.94</v>
      </c>
      <c r="Q337" s="331">
        <v>95.31</v>
      </c>
      <c r="R337" s="332">
        <v>0.9</v>
      </c>
      <c r="S337" s="330">
        <v>96.03</v>
      </c>
      <c r="T337" s="331">
        <v>95.94</v>
      </c>
      <c r="U337" s="331">
        <v>95.31</v>
      </c>
      <c r="V337" s="339">
        <v>2</v>
      </c>
      <c r="W337" s="339">
        <v>2.2000000000000002</v>
      </c>
      <c r="X337" s="339">
        <v>7.1</v>
      </c>
      <c r="Y337" s="328"/>
      <c r="Z337" s="328"/>
      <c r="AA337" s="328"/>
      <c r="AB337" s="329" t="s">
        <v>498</v>
      </c>
      <c r="AC337" s="328" t="s">
        <v>497</v>
      </c>
      <c r="AD337" s="325" t="s">
        <v>496</v>
      </c>
      <c r="AE337" s="328"/>
      <c r="AF337" s="328"/>
      <c r="AG337" s="328"/>
      <c r="AH337" s="327">
        <v>610</v>
      </c>
      <c r="AI337" s="327">
        <v>630</v>
      </c>
      <c r="AJ337" s="327">
        <v>254</v>
      </c>
      <c r="AK337" s="327">
        <v>95</v>
      </c>
      <c r="AL337" s="327">
        <v>170</v>
      </c>
      <c r="AM337" s="327">
        <v>25</v>
      </c>
      <c r="AN337" s="327">
        <v>86</v>
      </c>
      <c r="AO337" s="327" t="s">
        <v>250</v>
      </c>
      <c r="AP337" s="327">
        <v>355</v>
      </c>
      <c r="AQ337" s="327">
        <v>28</v>
      </c>
      <c r="AR337" s="327">
        <v>730</v>
      </c>
      <c r="AS337" s="327">
        <v>720</v>
      </c>
      <c r="AT337" s="327">
        <v>700</v>
      </c>
      <c r="AU337" s="327">
        <v>1065</v>
      </c>
      <c r="AV337" s="327">
        <v>1525</v>
      </c>
      <c r="AW337" s="327">
        <v>1670</v>
      </c>
      <c r="AX337" s="328"/>
      <c r="AY337" s="328"/>
      <c r="AZ337" s="328"/>
      <c r="BA337" s="328"/>
      <c r="BB337" s="328"/>
      <c r="BC337" s="328"/>
      <c r="BD337" s="328"/>
      <c r="BE337" s="328"/>
      <c r="BF337" s="328"/>
      <c r="BG337" s="328"/>
      <c r="BH337" s="327">
        <v>740</v>
      </c>
      <c r="BI337" s="327">
        <v>680</v>
      </c>
      <c r="BJ337" s="327">
        <v>800</v>
      </c>
      <c r="BK337" s="327">
        <v>24</v>
      </c>
      <c r="BL337" s="327">
        <v>6</v>
      </c>
      <c r="BM337" s="325" t="s">
        <v>390</v>
      </c>
      <c r="BN337" s="325" t="s">
        <v>389</v>
      </c>
      <c r="BO337" s="326"/>
      <c r="BP337" s="326"/>
      <c r="BQ337" s="325" t="s">
        <v>388</v>
      </c>
    </row>
    <row r="338" spans="1:70" ht="12" customHeight="1">
      <c r="A338" s="320">
        <v>925</v>
      </c>
      <c r="B338" s="337" t="s">
        <v>394</v>
      </c>
      <c r="C338" s="328" t="s">
        <v>393</v>
      </c>
      <c r="D338" s="336" t="s">
        <v>495</v>
      </c>
      <c r="E338" s="328">
        <v>355</v>
      </c>
      <c r="F338" s="344">
        <v>4</v>
      </c>
      <c r="G338" s="325">
        <v>355</v>
      </c>
      <c r="H338" s="325">
        <f t="shared" si="487"/>
        <v>426</v>
      </c>
      <c r="I338" s="325">
        <v>1490</v>
      </c>
      <c r="J338" s="335">
        <f t="shared" si="488"/>
        <v>1788</v>
      </c>
      <c r="K338" s="328"/>
      <c r="L338" s="343">
        <v>606.5</v>
      </c>
      <c r="M338" s="333">
        <f t="shared" si="489"/>
        <v>632.86956521739125</v>
      </c>
      <c r="N338" s="332">
        <v>0.88</v>
      </c>
      <c r="O338" s="330">
        <v>96.03</v>
      </c>
      <c r="P338" s="331">
        <v>95.94</v>
      </c>
      <c r="Q338" s="331">
        <v>95.31</v>
      </c>
      <c r="R338" s="332">
        <v>0.88</v>
      </c>
      <c r="S338" s="330">
        <v>96.03</v>
      </c>
      <c r="T338" s="331">
        <v>95.94</v>
      </c>
      <c r="U338" s="331">
        <v>95.31</v>
      </c>
      <c r="V338" s="339">
        <v>1.7</v>
      </c>
      <c r="W338" s="339">
        <v>2.2000000000000002</v>
      </c>
      <c r="X338" s="339">
        <v>7</v>
      </c>
      <c r="Y338" s="328"/>
      <c r="Z338" s="328"/>
      <c r="AA338" s="328"/>
      <c r="AB338" s="329"/>
      <c r="AC338" s="328" t="s">
        <v>494</v>
      </c>
      <c r="AD338" s="325"/>
      <c r="AE338" s="328"/>
      <c r="AF338" s="328"/>
      <c r="AG338" s="328"/>
      <c r="AH338" s="327">
        <v>610</v>
      </c>
      <c r="AI338" s="327">
        <v>630</v>
      </c>
      <c r="AJ338" s="327">
        <v>254</v>
      </c>
      <c r="AK338" s="327">
        <v>95</v>
      </c>
      <c r="AL338" s="327">
        <v>170</v>
      </c>
      <c r="AM338" s="327">
        <v>25</v>
      </c>
      <c r="AN338" s="327">
        <v>86</v>
      </c>
      <c r="AO338" s="327" t="s">
        <v>250</v>
      </c>
      <c r="AP338" s="327">
        <v>355</v>
      </c>
      <c r="AQ338" s="327">
        <v>28</v>
      </c>
      <c r="AR338" s="327">
        <v>730</v>
      </c>
      <c r="AS338" s="327">
        <v>720</v>
      </c>
      <c r="AT338" s="327">
        <v>700</v>
      </c>
      <c r="AU338" s="327">
        <v>1065</v>
      </c>
      <c r="AV338" s="327">
        <v>1525</v>
      </c>
      <c r="AW338" s="327">
        <v>1670</v>
      </c>
      <c r="AX338" s="328"/>
      <c r="AY338" s="328"/>
      <c r="AZ338" s="328"/>
      <c r="BA338" s="328"/>
      <c r="BB338" s="328"/>
      <c r="BC338" s="328"/>
      <c r="BD338" s="328"/>
      <c r="BE338" s="328"/>
      <c r="BF338" s="328"/>
      <c r="BG338" s="328"/>
      <c r="BH338" s="327">
        <v>740</v>
      </c>
      <c r="BI338" s="327">
        <v>680</v>
      </c>
      <c r="BJ338" s="327">
        <v>800</v>
      </c>
      <c r="BK338" s="327">
        <v>24</v>
      </c>
      <c r="BL338" s="327">
        <v>6</v>
      </c>
      <c r="BM338" s="325" t="s">
        <v>390</v>
      </c>
      <c r="BN338" s="325" t="s">
        <v>389</v>
      </c>
      <c r="BO338" s="326"/>
      <c r="BP338" s="326"/>
      <c r="BQ338" s="325" t="s">
        <v>388</v>
      </c>
    </row>
    <row r="339" spans="1:70" ht="12" customHeight="1">
      <c r="A339" s="320">
        <v>926</v>
      </c>
      <c r="B339" s="337" t="s">
        <v>394</v>
      </c>
      <c r="C339" s="328" t="s">
        <v>393</v>
      </c>
      <c r="D339" s="336" t="s">
        <v>493</v>
      </c>
      <c r="E339" s="320">
        <v>355</v>
      </c>
      <c r="F339" s="322">
        <v>4</v>
      </c>
      <c r="G339" s="320">
        <v>375</v>
      </c>
      <c r="H339" s="320">
        <f t="shared" si="487"/>
        <v>450</v>
      </c>
      <c r="I339" s="325">
        <v>1490</v>
      </c>
      <c r="J339" s="335">
        <f t="shared" si="488"/>
        <v>1788</v>
      </c>
      <c r="L339" s="320">
        <v>640.70000000000005</v>
      </c>
      <c r="M339" s="342">
        <f t="shared" si="489"/>
        <v>668.5565217391304</v>
      </c>
      <c r="N339" s="320">
        <v>0.88</v>
      </c>
      <c r="O339" s="330">
        <v>96.03</v>
      </c>
      <c r="P339" s="331">
        <v>95.94</v>
      </c>
      <c r="Q339" s="331">
        <v>95.31</v>
      </c>
      <c r="R339" s="320">
        <v>0.88</v>
      </c>
      <c r="S339" s="330">
        <v>96.03</v>
      </c>
      <c r="T339" s="331">
        <v>95.94</v>
      </c>
      <c r="U339" s="331">
        <v>95.31</v>
      </c>
      <c r="V339" s="339">
        <v>1.7</v>
      </c>
      <c r="W339" s="339">
        <v>2.2000000000000002</v>
      </c>
      <c r="X339" s="339">
        <v>7</v>
      </c>
      <c r="AC339" s="320">
        <v>102</v>
      </c>
      <c r="AH339" s="327">
        <v>610</v>
      </c>
      <c r="AI339" s="327">
        <v>630</v>
      </c>
      <c r="AJ339" s="327">
        <v>254</v>
      </c>
      <c r="AK339" s="327">
        <v>95</v>
      </c>
      <c r="AL339" s="327">
        <v>170</v>
      </c>
      <c r="AM339" s="327">
        <v>25</v>
      </c>
      <c r="AN339" s="327">
        <v>86</v>
      </c>
      <c r="AO339" s="327" t="s">
        <v>250</v>
      </c>
      <c r="AP339" s="327">
        <v>355</v>
      </c>
      <c r="AQ339" s="327">
        <v>28</v>
      </c>
      <c r="AR339" s="327">
        <v>730</v>
      </c>
      <c r="AS339" s="327">
        <v>720</v>
      </c>
      <c r="AT339" s="327">
        <v>700</v>
      </c>
      <c r="AU339" s="327">
        <v>1065</v>
      </c>
      <c r="AV339" s="327">
        <v>1525</v>
      </c>
      <c r="AW339" s="327">
        <v>1670</v>
      </c>
      <c r="BH339" s="327">
        <v>740</v>
      </c>
      <c r="BI339" s="327">
        <v>680</v>
      </c>
      <c r="BJ339" s="327">
        <v>800</v>
      </c>
      <c r="BK339" s="327">
        <v>24</v>
      </c>
      <c r="BL339" s="327">
        <v>6</v>
      </c>
      <c r="BM339" s="325" t="s">
        <v>390</v>
      </c>
      <c r="BN339" s="325" t="s">
        <v>389</v>
      </c>
    </row>
    <row r="340" spans="1:70" s="1845" customFormat="1" ht="12" customHeight="1">
      <c r="A340" s="1842">
        <f>A339</f>
        <v>926</v>
      </c>
      <c r="B340" s="1843" t="str">
        <f t="shared" ref="B340" si="490">B339</f>
        <v>3D3</v>
      </c>
      <c r="C340" s="1844" t="str">
        <f t="shared" ref="C340" si="491">C339</f>
        <v>IE3</v>
      </c>
      <c r="D340" s="1843" t="str">
        <f t="shared" ref="D340" si="492">D339</f>
        <v>3D3 3552-4</v>
      </c>
      <c r="E340" s="1845">
        <f t="shared" ref="E340" si="493">E339</f>
        <v>355</v>
      </c>
      <c r="F340" s="1846">
        <f t="shared" ref="F340" si="494">F339</f>
        <v>4</v>
      </c>
      <c r="G340" s="1844">
        <f t="shared" ref="G340" si="495">G339</f>
        <v>375</v>
      </c>
      <c r="H340" s="1844">
        <f t="shared" ref="H340" si="496">H339</f>
        <v>450</v>
      </c>
      <c r="I340" s="1844">
        <f t="shared" ref="I340" si="497">I339</f>
        <v>1490</v>
      </c>
      <c r="J340" s="1847">
        <f t="shared" ref="J340" si="498">J339</f>
        <v>1788</v>
      </c>
      <c r="K340" s="1845">
        <f t="shared" ref="K340" si="499">K339</f>
        <v>0</v>
      </c>
      <c r="L340" s="1844">
        <f t="shared" ref="L340" si="500">L339</f>
        <v>640.70000000000005</v>
      </c>
      <c r="M340" s="1848">
        <f t="shared" ref="M340" si="501">M339</f>
        <v>668.5565217391304</v>
      </c>
      <c r="N340" s="1849">
        <f t="shared" ref="N340" si="502">N339</f>
        <v>0.88</v>
      </c>
      <c r="O340" s="1850">
        <f t="shared" ref="O340" si="503">O339</f>
        <v>96.03</v>
      </c>
      <c r="P340" s="1845">
        <f t="shared" ref="P340" si="504">P339</f>
        <v>95.94</v>
      </c>
      <c r="Q340" s="1845">
        <f t="shared" ref="Q340" si="505">Q339</f>
        <v>95.31</v>
      </c>
      <c r="R340" s="1849">
        <f t="shared" ref="R340" si="506">R339</f>
        <v>0.88</v>
      </c>
      <c r="S340" s="1850">
        <f t="shared" ref="S340" si="507">S339</f>
        <v>96.03</v>
      </c>
      <c r="T340" s="1845">
        <f t="shared" ref="T340" si="508">T339</f>
        <v>95.94</v>
      </c>
      <c r="U340" s="1845">
        <f t="shared" ref="U340" si="509">U339</f>
        <v>95.31</v>
      </c>
      <c r="V340" s="1849">
        <f t="shared" ref="V340" si="510">V339</f>
        <v>1.7</v>
      </c>
      <c r="W340" s="1849">
        <f t="shared" ref="W340" si="511">W339</f>
        <v>2.2000000000000002</v>
      </c>
      <c r="X340" s="1850">
        <f t="shared" ref="X340" si="512">X339</f>
        <v>7</v>
      </c>
      <c r="Y340" s="1845">
        <f t="shared" ref="Y340" si="513">Y339</f>
        <v>0</v>
      </c>
      <c r="Z340" s="1845">
        <f t="shared" ref="Z340" si="514">Z339</f>
        <v>0</v>
      </c>
      <c r="AA340" s="1845">
        <f t="shared" ref="AA340" si="515">AA339</f>
        <v>0</v>
      </c>
      <c r="AB340" s="1851">
        <f t="shared" ref="AB340" si="516">AB339</f>
        <v>0</v>
      </c>
      <c r="AC340" s="1845">
        <f t="shared" ref="AC340" si="517">AC339</f>
        <v>102</v>
      </c>
      <c r="AD340" s="1844">
        <f t="shared" ref="AD340" si="518">AD339</f>
        <v>0</v>
      </c>
      <c r="AE340" s="1845">
        <f t="shared" ref="AE340" si="519">AE339</f>
        <v>0</v>
      </c>
      <c r="AF340" s="1845">
        <f t="shared" ref="AF340" si="520">AF339</f>
        <v>0</v>
      </c>
      <c r="AG340" s="1845">
        <f t="shared" ref="AG340" si="521">AG339</f>
        <v>0</v>
      </c>
      <c r="AH340" s="1844">
        <f t="shared" ref="AH340" si="522">AH339</f>
        <v>610</v>
      </c>
      <c r="AI340" s="1844">
        <f t="shared" ref="AI340" si="523">AI339</f>
        <v>630</v>
      </c>
      <c r="AJ340" s="1844">
        <f t="shared" ref="AJ340" si="524">AJ339</f>
        <v>254</v>
      </c>
      <c r="AK340" s="1844">
        <f t="shared" ref="AK340" si="525">AK339</f>
        <v>95</v>
      </c>
      <c r="AL340" s="1844">
        <f t="shared" ref="AL340" si="526">AL339</f>
        <v>170</v>
      </c>
      <c r="AM340" s="1844">
        <f t="shared" ref="AM340" si="527">AM339</f>
        <v>25</v>
      </c>
      <c r="AN340" s="1844">
        <f t="shared" ref="AN340" si="528">AN339</f>
        <v>86</v>
      </c>
      <c r="AO340" s="1844" t="str">
        <f t="shared" ref="AO340" si="529">AO339</f>
        <v>M24</v>
      </c>
      <c r="AP340" s="1844">
        <f t="shared" ref="AP340" si="530">AP339</f>
        <v>355</v>
      </c>
      <c r="AQ340" s="1844">
        <f t="shared" ref="AQ340" si="531">AQ339</f>
        <v>28</v>
      </c>
      <c r="AR340" s="1844">
        <f t="shared" ref="AR340" si="532">AR339</f>
        <v>730</v>
      </c>
      <c r="AS340" s="1844">
        <f t="shared" ref="AS340" si="533">AS339</f>
        <v>720</v>
      </c>
      <c r="AT340" s="1844">
        <f t="shared" ref="AT340" si="534">AT339</f>
        <v>700</v>
      </c>
      <c r="AU340" s="1844">
        <f t="shared" ref="AU340" si="535">AU339</f>
        <v>1065</v>
      </c>
      <c r="AV340" s="1844">
        <f t="shared" ref="AV340" si="536">AV339</f>
        <v>1525</v>
      </c>
      <c r="AW340" s="1844">
        <f t="shared" ref="AW340" si="537">AW339</f>
        <v>1670</v>
      </c>
      <c r="AX340" s="1845">
        <f t="shared" ref="AX340" si="538">AX339</f>
        <v>0</v>
      </c>
      <c r="AY340" s="1845">
        <f t="shared" ref="AY340" si="539">AY339</f>
        <v>0</v>
      </c>
      <c r="AZ340" s="1845">
        <f t="shared" ref="AZ340" si="540">AZ339</f>
        <v>0</v>
      </c>
      <c r="BA340" s="1845">
        <f t="shared" ref="BA340" si="541">BA339</f>
        <v>0</v>
      </c>
      <c r="BB340" s="1845">
        <f t="shared" ref="BB340" si="542">BB339</f>
        <v>0</v>
      </c>
      <c r="BC340" s="1845">
        <f t="shared" ref="BC340" si="543">BC339</f>
        <v>0</v>
      </c>
      <c r="BD340" s="1845">
        <f t="shared" ref="BD340" si="544">BD339</f>
        <v>0</v>
      </c>
      <c r="BE340" s="1845">
        <f t="shared" ref="BE340" si="545">BE339</f>
        <v>0</v>
      </c>
      <c r="BF340" s="1845">
        <f t="shared" ref="BF340" si="546">BF339</f>
        <v>0</v>
      </c>
      <c r="BG340" s="1845">
        <f t="shared" ref="BG340" si="547">BG339</f>
        <v>0</v>
      </c>
      <c r="BH340" s="1844">
        <f t="shared" ref="BH340" si="548">BH339</f>
        <v>740</v>
      </c>
      <c r="BI340" s="1844">
        <f t="shared" ref="BI340" si="549">BI339</f>
        <v>680</v>
      </c>
      <c r="BJ340" s="1844">
        <f t="shared" ref="BJ340" si="550">BJ339</f>
        <v>800</v>
      </c>
      <c r="BK340" s="1844">
        <f t="shared" ref="BK340" si="551">BK339</f>
        <v>24</v>
      </c>
      <c r="BL340" s="1844">
        <f t="shared" ref="BL340" si="552">BL339</f>
        <v>6</v>
      </c>
      <c r="BM340" s="1844" t="str">
        <f t="shared" ref="BM340" si="553">BM339</f>
        <v>6322/C3</v>
      </c>
      <c r="BN340" s="1844" t="str">
        <f t="shared" ref="BN340" si="554">BN339</f>
        <v>6319/C3</v>
      </c>
      <c r="BO340" s="1852">
        <f t="shared" ref="BO340" si="555">BO339</f>
        <v>0</v>
      </c>
      <c r="BP340" s="1852">
        <f t="shared" ref="BP340" si="556">BP339</f>
        <v>0</v>
      </c>
      <c r="BQ340" s="1845">
        <f t="shared" ref="BQ340" si="557">BQ339</f>
        <v>0</v>
      </c>
      <c r="BR340" s="1842"/>
    </row>
    <row r="341" spans="1:70" ht="12" customHeight="1">
      <c r="A341" s="320">
        <v>1001</v>
      </c>
      <c r="B341" s="337" t="s">
        <v>394</v>
      </c>
      <c r="C341" s="328" t="s">
        <v>393</v>
      </c>
      <c r="D341" s="323" t="s">
        <v>492</v>
      </c>
      <c r="E341" s="320">
        <v>90</v>
      </c>
      <c r="F341" s="322">
        <v>6</v>
      </c>
      <c r="G341" s="320">
        <v>0.75</v>
      </c>
      <c r="H341" s="325">
        <f t="shared" si="487"/>
        <v>0.89999999999999991</v>
      </c>
      <c r="I341" s="320">
        <v>955</v>
      </c>
      <c r="J341" s="335">
        <f t="shared" si="488"/>
        <v>1146</v>
      </c>
      <c r="L341" s="320">
        <v>1.9</v>
      </c>
      <c r="M341" s="333">
        <f t="shared" si="489"/>
        <v>1.982608695652174</v>
      </c>
      <c r="N341" s="320">
        <v>0.71</v>
      </c>
      <c r="O341" s="330">
        <v>80.52</v>
      </c>
      <c r="P341" s="331">
        <v>81.08</v>
      </c>
      <c r="Q341" s="331">
        <v>79.33</v>
      </c>
      <c r="R341" s="320">
        <v>0.71</v>
      </c>
      <c r="S341" s="330">
        <v>80.52</v>
      </c>
      <c r="T341" s="331">
        <v>81.08</v>
      </c>
      <c r="U341" s="331">
        <v>79.33</v>
      </c>
      <c r="V341" s="338">
        <v>2</v>
      </c>
      <c r="W341" s="338">
        <v>2.1</v>
      </c>
      <c r="X341" s="338">
        <v>6</v>
      </c>
      <c r="AB341" s="320" t="s">
        <v>491</v>
      </c>
      <c r="AC341" s="320" t="s">
        <v>487</v>
      </c>
      <c r="AD341" s="320" t="s">
        <v>490</v>
      </c>
      <c r="AH341" s="327">
        <v>140</v>
      </c>
      <c r="AI341" s="327">
        <v>100</v>
      </c>
      <c r="AJ341" s="327">
        <v>56</v>
      </c>
      <c r="AK341" s="327">
        <v>24</v>
      </c>
      <c r="AL341" s="327">
        <v>50</v>
      </c>
      <c r="AM341" s="327">
        <v>8</v>
      </c>
      <c r="AN341" s="327">
        <v>20</v>
      </c>
      <c r="AO341" s="327" t="s">
        <v>245</v>
      </c>
      <c r="AP341" s="327">
        <v>90</v>
      </c>
      <c r="AQ341" s="327">
        <v>10</v>
      </c>
      <c r="AR341" s="327">
        <v>180</v>
      </c>
      <c r="AS341" s="327">
        <v>180</v>
      </c>
      <c r="AT341" s="327">
        <v>175</v>
      </c>
      <c r="AU341" s="327">
        <v>265</v>
      </c>
      <c r="AV341" s="327">
        <v>315</v>
      </c>
      <c r="AW341" s="327">
        <v>365</v>
      </c>
      <c r="AX341" s="327">
        <v>115</v>
      </c>
      <c r="AY341" s="327">
        <v>95</v>
      </c>
      <c r="AZ341" s="327">
        <v>140</v>
      </c>
      <c r="BA341" s="327" t="s">
        <v>245</v>
      </c>
      <c r="BB341" s="327">
        <v>3</v>
      </c>
      <c r="BC341" s="327">
        <v>130</v>
      </c>
      <c r="BD341" s="327">
        <v>110</v>
      </c>
      <c r="BE341" s="327">
        <v>160</v>
      </c>
      <c r="BF341" s="327" t="s">
        <v>245</v>
      </c>
      <c r="BG341" s="327">
        <v>3.5</v>
      </c>
      <c r="BH341" s="327">
        <v>165</v>
      </c>
      <c r="BI341" s="327">
        <v>130</v>
      </c>
      <c r="BJ341" s="327">
        <v>200</v>
      </c>
      <c r="BK341" s="327">
        <v>12</v>
      </c>
      <c r="BL341" s="327">
        <v>3.5</v>
      </c>
      <c r="BM341" s="325" t="s">
        <v>485</v>
      </c>
      <c r="BN341" s="325" t="s">
        <v>485</v>
      </c>
      <c r="BO341" s="326"/>
      <c r="BP341" s="326"/>
      <c r="BQ341" s="325" t="s">
        <v>480</v>
      </c>
    </row>
    <row r="342" spans="1:70" ht="12" customHeight="1">
      <c r="A342" s="320">
        <v>1002</v>
      </c>
      <c r="B342" s="337" t="s">
        <v>394</v>
      </c>
      <c r="C342" s="328" t="s">
        <v>393</v>
      </c>
      <c r="D342" s="336" t="s">
        <v>489</v>
      </c>
      <c r="E342" s="334">
        <v>90</v>
      </c>
      <c r="F342" s="322">
        <v>6</v>
      </c>
      <c r="G342" s="325">
        <v>1.1000000000000001</v>
      </c>
      <c r="H342" s="325">
        <f t="shared" si="487"/>
        <v>1.32</v>
      </c>
      <c r="I342" s="325">
        <v>955</v>
      </c>
      <c r="J342" s="335">
        <f t="shared" si="488"/>
        <v>1146</v>
      </c>
      <c r="K342" s="334"/>
      <c r="L342" s="332">
        <v>2.7</v>
      </c>
      <c r="M342" s="333">
        <f t="shared" si="489"/>
        <v>2.8173913043478263</v>
      </c>
      <c r="N342" s="332">
        <v>0.73</v>
      </c>
      <c r="O342" s="330">
        <v>82.33</v>
      </c>
      <c r="P342" s="331">
        <v>83.17</v>
      </c>
      <c r="Q342" s="331">
        <v>82.02</v>
      </c>
      <c r="R342" s="332">
        <v>0.73</v>
      </c>
      <c r="S342" s="330">
        <v>82.33</v>
      </c>
      <c r="T342" s="331">
        <v>83.17</v>
      </c>
      <c r="U342" s="331">
        <v>82.02</v>
      </c>
      <c r="V342" s="338">
        <v>2</v>
      </c>
      <c r="W342" s="338">
        <v>2.1</v>
      </c>
      <c r="X342" s="330">
        <v>6</v>
      </c>
      <c r="Y342" s="328"/>
      <c r="Z342" s="328"/>
      <c r="AA342" s="328"/>
      <c r="AB342" s="329" t="s">
        <v>488</v>
      </c>
      <c r="AC342" s="328" t="s">
        <v>487</v>
      </c>
      <c r="AD342" s="325" t="s">
        <v>486</v>
      </c>
      <c r="AE342" s="328"/>
      <c r="AF342" s="328"/>
      <c r="AG342" s="328"/>
      <c r="AH342" s="327">
        <v>140</v>
      </c>
      <c r="AI342" s="327">
        <v>125</v>
      </c>
      <c r="AJ342" s="327">
        <v>56</v>
      </c>
      <c r="AK342" s="327">
        <v>24</v>
      </c>
      <c r="AL342" s="327">
        <v>50</v>
      </c>
      <c r="AM342" s="327">
        <v>8</v>
      </c>
      <c r="AN342" s="327">
        <v>20</v>
      </c>
      <c r="AO342" s="327" t="s">
        <v>245</v>
      </c>
      <c r="AP342" s="327">
        <v>90</v>
      </c>
      <c r="AQ342" s="327">
        <v>10</v>
      </c>
      <c r="AR342" s="327">
        <v>180</v>
      </c>
      <c r="AS342" s="327">
        <v>180</v>
      </c>
      <c r="AT342" s="327">
        <v>175</v>
      </c>
      <c r="AU342" s="327">
        <v>265</v>
      </c>
      <c r="AV342" s="327">
        <v>315</v>
      </c>
      <c r="AW342" s="327">
        <v>390</v>
      </c>
      <c r="AX342" s="327">
        <v>115</v>
      </c>
      <c r="AY342" s="327">
        <v>95</v>
      </c>
      <c r="AZ342" s="327">
        <v>140</v>
      </c>
      <c r="BA342" s="327" t="s">
        <v>245</v>
      </c>
      <c r="BB342" s="327">
        <v>3</v>
      </c>
      <c r="BC342" s="327">
        <v>130</v>
      </c>
      <c r="BD342" s="327">
        <v>110</v>
      </c>
      <c r="BE342" s="327">
        <v>160</v>
      </c>
      <c r="BF342" s="327" t="s">
        <v>245</v>
      </c>
      <c r="BG342" s="327">
        <v>3.5</v>
      </c>
      <c r="BH342" s="327">
        <v>165</v>
      </c>
      <c r="BI342" s="327">
        <v>130</v>
      </c>
      <c r="BJ342" s="327">
        <v>200</v>
      </c>
      <c r="BK342" s="327">
        <v>12</v>
      </c>
      <c r="BL342" s="327">
        <v>3.5</v>
      </c>
      <c r="BM342" s="325" t="s">
        <v>485</v>
      </c>
      <c r="BN342" s="325" t="s">
        <v>485</v>
      </c>
      <c r="BO342" s="326"/>
      <c r="BP342" s="326"/>
      <c r="BQ342" s="325" t="s">
        <v>480</v>
      </c>
    </row>
    <row r="343" spans="1:70" ht="12" customHeight="1">
      <c r="A343" s="320">
        <v>1003</v>
      </c>
      <c r="B343" s="337" t="s">
        <v>394</v>
      </c>
      <c r="C343" s="328" t="s">
        <v>393</v>
      </c>
      <c r="D343" s="336" t="s">
        <v>484</v>
      </c>
      <c r="E343" s="334">
        <v>100</v>
      </c>
      <c r="F343" s="322">
        <v>6</v>
      </c>
      <c r="G343" s="325">
        <v>1.5</v>
      </c>
      <c r="H343" s="325">
        <f t="shared" si="487"/>
        <v>1.7999999999999998</v>
      </c>
      <c r="I343" s="325">
        <v>955</v>
      </c>
      <c r="J343" s="335">
        <f t="shared" si="488"/>
        <v>1146</v>
      </c>
      <c r="K343" s="334"/>
      <c r="L343" s="332">
        <v>3.6</v>
      </c>
      <c r="M343" s="333">
        <f t="shared" si="489"/>
        <v>3.7565217391304349</v>
      </c>
      <c r="N343" s="332">
        <v>0.73</v>
      </c>
      <c r="O343" s="330">
        <v>84.17</v>
      </c>
      <c r="P343" s="331">
        <v>84.81</v>
      </c>
      <c r="Q343" s="331">
        <v>83.63</v>
      </c>
      <c r="R343" s="332">
        <v>0.73</v>
      </c>
      <c r="S343" s="330">
        <v>84.17</v>
      </c>
      <c r="T343" s="331">
        <v>84.81</v>
      </c>
      <c r="U343" s="331">
        <v>83.63</v>
      </c>
      <c r="V343" s="338">
        <v>2</v>
      </c>
      <c r="W343" s="338">
        <v>2.1</v>
      </c>
      <c r="X343" s="330">
        <v>6.5</v>
      </c>
      <c r="Y343" s="328"/>
      <c r="Z343" s="328"/>
      <c r="AA343" s="328"/>
      <c r="AB343" s="329" t="s">
        <v>483</v>
      </c>
      <c r="AC343" s="328" t="s">
        <v>482</v>
      </c>
      <c r="AD343" s="325" t="s">
        <v>481</v>
      </c>
      <c r="AE343" s="328"/>
      <c r="AF343" s="328"/>
      <c r="AG343" s="328"/>
      <c r="AH343" s="327">
        <v>160</v>
      </c>
      <c r="AI343" s="327">
        <v>140</v>
      </c>
      <c r="AJ343" s="327">
        <v>63</v>
      </c>
      <c r="AK343" s="327">
        <v>28</v>
      </c>
      <c r="AL343" s="327">
        <v>60</v>
      </c>
      <c r="AM343" s="327">
        <v>8</v>
      </c>
      <c r="AN343" s="327">
        <v>24</v>
      </c>
      <c r="AO343" s="327" t="s">
        <v>246</v>
      </c>
      <c r="AP343" s="327">
        <v>100</v>
      </c>
      <c r="AQ343" s="327">
        <v>12</v>
      </c>
      <c r="AR343" s="327">
        <v>205</v>
      </c>
      <c r="AS343" s="327">
        <v>205</v>
      </c>
      <c r="AT343" s="327">
        <v>200</v>
      </c>
      <c r="AU343" s="327">
        <v>290</v>
      </c>
      <c r="AV343" s="327">
        <v>385</v>
      </c>
      <c r="AW343" s="327">
        <v>435</v>
      </c>
      <c r="AX343" s="327">
        <v>130</v>
      </c>
      <c r="AY343" s="327">
        <v>110</v>
      </c>
      <c r="AZ343" s="327">
        <v>160</v>
      </c>
      <c r="BA343" s="327" t="s">
        <v>245</v>
      </c>
      <c r="BB343" s="327">
        <v>3.5</v>
      </c>
      <c r="BC343" s="327">
        <v>165</v>
      </c>
      <c r="BD343" s="327">
        <v>130</v>
      </c>
      <c r="BE343" s="327">
        <v>200</v>
      </c>
      <c r="BF343" s="327" t="s">
        <v>246</v>
      </c>
      <c r="BG343" s="327">
        <v>3.5</v>
      </c>
      <c r="BH343" s="327">
        <v>215</v>
      </c>
      <c r="BI343" s="327">
        <v>180</v>
      </c>
      <c r="BJ343" s="327">
        <v>250</v>
      </c>
      <c r="BK343" s="327">
        <v>15</v>
      </c>
      <c r="BL343" s="327">
        <v>4</v>
      </c>
      <c r="BM343" s="325" t="s">
        <v>475</v>
      </c>
      <c r="BN343" s="325" t="s">
        <v>475</v>
      </c>
      <c r="BO343" s="326"/>
      <c r="BP343" s="326"/>
      <c r="BQ343" s="325" t="s">
        <v>480</v>
      </c>
    </row>
    <row r="344" spans="1:70" ht="12" customHeight="1">
      <c r="A344" s="320">
        <v>1004</v>
      </c>
      <c r="B344" s="337" t="s">
        <v>394</v>
      </c>
      <c r="C344" s="328" t="s">
        <v>393</v>
      </c>
      <c r="D344" s="336" t="s">
        <v>479</v>
      </c>
      <c r="E344" s="334">
        <v>112</v>
      </c>
      <c r="F344" s="322">
        <v>6</v>
      </c>
      <c r="G344" s="325">
        <v>2.2000000000000002</v>
      </c>
      <c r="H344" s="325">
        <f t="shared" si="487"/>
        <v>2.64</v>
      </c>
      <c r="I344" s="325">
        <v>950</v>
      </c>
      <c r="J344" s="335">
        <f t="shared" si="488"/>
        <v>1140</v>
      </c>
      <c r="K344" s="334"/>
      <c r="L344" s="332">
        <v>5.0999999999999996</v>
      </c>
      <c r="M344" s="333">
        <f t="shared" si="489"/>
        <v>5.321739130434783</v>
      </c>
      <c r="N344" s="332">
        <v>0.74</v>
      </c>
      <c r="O344" s="330">
        <v>84.46</v>
      </c>
      <c r="P344" s="331">
        <v>85.1</v>
      </c>
      <c r="Q344" s="331">
        <v>83.82</v>
      </c>
      <c r="R344" s="332">
        <v>0.74</v>
      </c>
      <c r="S344" s="330">
        <v>84.46</v>
      </c>
      <c r="T344" s="331">
        <v>85.1</v>
      </c>
      <c r="U344" s="331">
        <v>83.82</v>
      </c>
      <c r="V344" s="338">
        <v>2</v>
      </c>
      <c r="W344" s="338">
        <v>2.1</v>
      </c>
      <c r="X344" s="330">
        <v>6.6</v>
      </c>
      <c r="Y344" s="328"/>
      <c r="Z344" s="328"/>
      <c r="AA344" s="328"/>
      <c r="AB344" s="329" t="s">
        <v>478</v>
      </c>
      <c r="AC344" s="328" t="s">
        <v>477</v>
      </c>
      <c r="AD344" s="325" t="s">
        <v>476</v>
      </c>
      <c r="AE344" s="328"/>
      <c r="AF344" s="328"/>
      <c r="AG344" s="328"/>
      <c r="AH344" s="327">
        <v>190</v>
      </c>
      <c r="AI344" s="327">
        <v>140</v>
      </c>
      <c r="AJ344" s="327">
        <v>70</v>
      </c>
      <c r="AK344" s="327">
        <v>28</v>
      </c>
      <c r="AL344" s="327">
        <v>60</v>
      </c>
      <c r="AM344" s="327">
        <v>8</v>
      </c>
      <c r="AN344" s="327">
        <v>24</v>
      </c>
      <c r="AO344" s="327" t="s">
        <v>246</v>
      </c>
      <c r="AP344" s="327">
        <v>112</v>
      </c>
      <c r="AQ344" s="327">
        <v>12</v>
      </c>
      <c r="AR344" s="327">
        <v>230</v>
      </c>
      <c r="AS344" s="327">
        <v>240</v>
      </c>
      <c r="AT344" s="327">
        <v>220</v>
      </c>
      <c r="AU344" s="327">
        <v>325</v>
      </c>
      <c r="AV344" s="327">
        <v>400</v>
      </c>
      <c r="AW344" s="327">
        <v>450</v>
      </c>
      <c r="AX344" s="327">
        <v>130</v>
      </c>
      <c r="AY344" s="327">
        <v>110</v>
      </c>
      <c r="AZ344" s="327">
        <v>160</v>
      </c>
      <c r="BA344" s="327" t="s">
        <v>245</v>
      </c>
      <c r="BB344" s="327">
        <v>3.5</v>
      </c>
      <c r="BC344" s="327">
        <v>165</v>
      </c>
      <c r="BD344" s="327">
        <v>130</v>
      </c>
      <c r="BE344" s="327">
        <v>200</v>
      </c>
      <c r="BF344" s="327" t="s">
        <v>246</v>
      </c>
      <c r="BG344" s="327">
        <v>3.5</v>
      </c>
      <c r="BH344" s="327">
        <v>215</v>
      </c>
      <c r="BI344" s="327">
        <v>180</v>
      </c>
      <c r="BJ344" s="327">
        <v>250</v>
      </c>
      <c r="BK344" s="327">
        <v>15</v>
      </c>
      <c r="BL344" s="327">
        <v>4</v>
      </c>
      <c r="BM344" s="325" t="s">
        <v>475</v>
      </c>
      <c r="BN344" s="325" t="s">
        <v>475</v>
      </c>
      <c r="BO344" s="326"/>
      <c r="BP344" s="326"/>
      <c r="BQ344" s="325" t="s">
        <v>464</v>
      </c>
    </row>
    <row r="345" spans="1:70" ht="12" customHeight="1">
      <c r="A345" s="320">
        <v>1005</v>
      </c>
      <c r="B345" s="337" t="s">
        <v>394</v>
      </c>
      <c r="C345" s="328" t="s">
        <v>393</v>
      </c>
      <c r="D345" s="336" t="s">
        <v>474</v>
      </c>
      <c r="E345" s="334">
        <v>132</v>
      </c>
      <c r="F345" s="322">
        <v>6</v>
      </c>
      <c r="G345" s="325">
        <v>3</v>
      </c>
      <c r="H345" s="325">
        <f t="shared" si="487"/>
        <v>3.5999999999999996</v>
      </c>
      <c r="I345" s="325">
        <v>970</v>
      </c>
      <c r="J345" s="335">
        <f t="shared" si="488"/>
        <v>1164</v>
      </c>
      <c r="K345" s="334"/>
      <c r="L345" s="332">
        <v>6.8</v>
      </c>
      <c r="M345" s="333">
        <f t="shared" si="489"/>
        <v>7.0956521739130434</v>
      </c>
      <c r="N345" s="332">
        <v>0.74</v>
      </c>
      <c r="O345" s="330">
        <v>86.58</v>
      </c>
      <c r="P345" s="331">
        <v>86.99</v>
      </c>
      <c r="Q345" s="331">
        <v>85.94</v>
      </c>
      <c r="R345" s="332">
        <v>0.74</v>
      </c>
      <c r="S345" s="330">
        <v>86.58</v>
      </c>
      <c r="T345" s="331">
        <v>86.99</v>
      </c>
      <c r="U345" s="331">
        <v>85.94</v>
      </c>
      <c r="V345" s="338">
        <v>2</v>
      </c>
      <c r="W345" s="338">
        <v>2.1</v>
      </c>
      <c r="X345" s="330">
        <v>6.8</v>
      </c>
      <c r="Y345" s="328"/>
      <c r="Z345" s="328"/>
      <c r="AA345" s="328"/>
      <c r="AB345" s="329" t="s">
        <v>473</v>
      </c>
      <c r="AC345" s="328" t="s">
        <v>466</v>
      </c>
      <c r="AD345" s="325" t="s">
        <v>472</v>
      </c>
      <c r="AE345" s="328"/>
      <c r="AF345" s="328"/>
      <c r="AG345" s="328"/>
      <c r="AH345" s="327">
        <v>216</v>
      </c>
      <c r="AI345" s="327">
        <v>140</v>
      </c>
      <c r="AJ345" s="327">
        <v>89</v>
      </c>
      <c r="AK345" s="327">
        <v>38</v>
      </c>
      <c r="AL345" s="327">
        <v>80</v>
      </c>
      <c r="AM345" s="327">
        <v>10</v>
      </c>
      <c r="AN345" s="327">
        <v>33</v>
      </c>
      <c r="AO345" s="327" t="s">
        <v>247</v>
      </c>
      <c r="AP345" s="327">
        <v>132</v>
      </c>
      <c r="AQ345" s="327">
        <v>12</v>
      </c>
      <c r="AR345" s="327">
        <v>270</v>
      </c>
      <c r="AS345" s="327">
        <v>275</v>
      </c>
      <c r="AT345" s="327">
        <v>240</v>
      </c>
      <c r="AU345" s="327">
        <v>365</v>
      </c>
      <c r="AV345" s="327">
        <v>470</v>
      </c>
      <c r="AW345" s="327">
        <v>520</v>
      </c>
      <c r="AX345" s="327">
        <v>165</v>
      </c>
      <c r="AY345" s="327">
        <v>130</v>
      </c>
      <c r="AZ345" s="327">
        <v>200</v>
      </c>
      <c r="BA345" s="327" t="s">
        <v>246</v>
      </c>
      <c r="BB345" s="327">
        <v>3.5</v>
      </c>
      <c r="BC345" s="327">
        <v>215</v>
      </c>
      <c r="BD345" s="327">
        <v>180</v>
      </c>
      <c r="BE345" s="327">
        <v>250</v>
      </c>
      <c r="BF345" s="327" t="s">
        <v>247</v>
      </c>
      <c r="BG345" s="327">
        <v>4</v>
      </c>
      <c r="BH345" s="327">
        <v>265</v>
      </c>
      <c r="BI345" s="327">
        <v>230</v>
      </c>
      <c r="BJ345" s="327">
        <v>300</v>
      </c>
      <c r="BK345" s="327">
        <v>15</v>
      </c>
      <c r="BL345" s="327">
        <v>4</v>
      </c>
      <c r="BM345" s="325" t="s">
        <v>465</v>
      </c>
      <c r="BN345" s="325" t="s">
        <v>465</v>
      </c>
      <c r="BO345" s="326"/>
      <c r="BP345" s="326"/>
      <c r="BQ345" s="325" t="s">
        <v>464</v>
      </c>
    </row>
    <row r="346" spans="1:70" ht="12" customHeight="1">
      <c r="A346" s="320">
        <v>1006</v>
      </c>
      <c r="B346" s="337" t="s">
        <v>394</v>
      </c>
      <c r="C346" s="328" t="s">
        <v>393</v>
      </c>
      <c r="D346" s="336" t="s">
        <v>471</v>
      </c>
      <c r="E346" s="334">
        <v>132</v>
      </c>
      <c r="F346" s="322">
        <v>6</v>
      </c>
      <c r="G346" s="325">
        <v>4</v>
      </c>
      <c r="H346" s="325">
        <f t="shared" si="487"/>
        <v>4.8</v>
      </c>
      <c r="I346" s="325">
        <v>970</v>
      </c>
      <c r="J346" s="335">
        <f t="shared" si="488"/>
        <v>1164</v>
      </c>
      <c r="K346" s="334"/>
      <c r="L346" s="332">
        <v>9</v>
      </c>
      <c r="M346" s="333">
        <f t="shared" si="489"/>
        <v>9.3913043478260878</v>
      </c>
      <c r="N346" s="332">
        <v>0.74</v>
      </c>
      <c r="O346" s="330">
        <v>87.64</v>
      </c>
      <c r="P346" s="331">
        <v>88.01</v>
      </c>
      <c r="Q346" s="331">
        <v>87.08</v>
      </c>
      <c r="R346" s="332">
        <v>0.74</v>
      </c>
      <c r="S346" s="330">
        <v>87.64</v>
      </c>
      <c r="T346" s="331">
        <v>88.01</v>
      </c>
      <c r="U346" s="331">
        <v>87.08</v>
      </c>
      <c r="V346" s="338">
        <v>2</v>
      </c>
      <c r="W346" s="338">
        <v>2.1</v>
      </c>
      <c r="X346" s="330">
        <v>6.8</v>
      </c>
      <c r="Y346" s="328"/>
      <c r="Z346" s="328"/>
      <c r="AA346" s="328"/>
      <c r="AB346" s="329" t="s">
        <v>470</v>
      </c>
      <c r="AC346" s="328" t="s">
        <v>466</v>
      </c>
      <c r="AD346" s="325" t="s">
        <v>469</v>
      </c>
      <c r="AE346" s="328"/>
      <c r="AF346" s="328"/>
      <c r="AG346" s="328"/>
      <c r="AH346" s="327">
        <v>216</v>
      </c>
      <c r="AI346" s="327">
        <v>178</v>
      </c>
      <c r="AJ346" s="327">
        <v>89</v>
      </c>
      <c r="AK346" s="327">
        <v>38</v>
      </c>
      <c r="AL346" s="327">
        <v>80</v>
      </c>
      <c r="AM346" s="327">
        <v>10</v>
      </c>
      <c r="AN346" s="327">
        <v>33</v>
      </c>
      <c r="AO346" s="327" t="s">
        <v>247</v>
      </c>
      <c r="AP346" s="327">
        <v>132</v>
      </c>
      <c r="AQ346" s="327">
        <v>12</v>
      </c>
      <c r="AR346" s="327">
        <v>270</v>
      </c>
      <c r="AS346" s="327">
        <v>275</v>
      </c>
      <c r="AT346" s="327">
        <v>240</v>
      </c>
      <c r="AU346" s="327">
        <v>365</v>
      </c>
      <c r="AV346" s="327">
        <v>510</v>
      </c>
      <c r="AW346" s="327">
        <v>560</v>
      </c>
      <c r="AX346" s="327">
        <v>165</v>
      </c>
      <c r="AY346" s="327">
        <v>130</v>
      </c>
      <c r="AZ346" s="327">
        <v>200</v>
      </c>
      <c r="BA346" s="327" t="s">
        <v>246</v>
      </c>
      <c r="BB346" s="327">
        <v>3.5</v>
      </c>
      <c r="BC346" s="327">
        <v>215</v>
      </c>
      <c r="BD346" s="327">
        <v>180</v>
      </c>
      <c r="BE346" s="327">
        <v>250</v>
      </c>
      <c r="BF346" s="327" t="s">
        <v>247</v>
      </c>
      <c r="BG346" s="327">
        <v>4</v>
      </c>
      <c r="BH346" s="327">
        <v>265</v>
      </c>
      <c r="BI346" s="327">
        <v>230</v>
      </c>
      <c r="BJ346" s="327">
        <v>300</v>
      </c>
      <c r="BK346" s="327">
        <v>15</v>
      </c>
      <c r="BL346" s="327">
        <v>4</v>
      </c>
      <c r="BM346" s="325" t="s">
        <v>465</v>
      </c>
      <c r="BN346" s="325" t="s">
        <v>465</v>
      </c>
      <c r="BO346" s="326"/>
      <c r="BP346" s="326"/>
      <c r="BQ346" s="325" t="s">
        <v>464</v>
      </c>
    </row>
    <row r="347" spans="1:70" ht="12" customHeight="1">
      <c r="A347" s="320">
        <v>1007</v>
      </c>
      <c r="B347" s="337" t="s">
        <v>394</v>
      </c>
      <c r="C347" s="328" t="s">
        <v>393</v>
      </c>
      <c r="D347" s="336" t="s">
        <v>468</v>
      </c>
      <c r="E347" s="334">
        <v>132</v>
      </c>
      <c r="F347" s="322">
        <v>6</v>
      </c>
      <c r="G347" s="325">
        <v>5.5</v>
      </c>
      <c r="H347" s="325">
        <f t="shared" si="487"/>
        <v>6.6</v>
      </c>
      <c r="I347" s="325">
        <v>970</v>
      </c>
      <c r="J347" s="335">
        <f t="shared" si="488"/>
        <v>1164</v>
      </c>
      <c r="K347" s="334"/>
      <c r="L347" s="332">
        <v>12.1</v>
      </c>
      <c r="M347" s="333">
        <f t="shared" si="489"/>
        <v>12.626086956521739</v>
      </c>
      <c r="N347" s="332">
        <v>0.75</v>
      </c>
      <c r="O347" s="330">
        <v>88.49</v>
      </c>
      <c r="P347" s="331">
        <v>88.9</v>
      </c>
      <c r="Q347" s="331">
        <v>88.18</v>
      </c>
      <c r="R347" s="332">
        <v>0.75</v>
      </c>
      <c r="S347" s="330">
        <v>88.49</v>
      </c>
      <c r="T347" s="331">
        <v>88.9</v>
      </c>
      <c r="U347" s="331">
        <v>88.18</v>
      </c>
      <c r="V347" s="338">
        <v>2</v>
      </c>
      <c r="W347" s="338">
        <v>2.1</v>
      </c>
      <c r="X347" s="330">
        <v>7</v>
      </c>
      <c r="Y347" s="328"/>
      <c r="Z347" s="328"/>
      <c r="AA347" s="328"/>
      <c r="AB347" s="329" t="s">
        <v>467</v>
      </c>
      <c r="AC347" s="328" t="s">
        <v>466</v>
      </c>
      <c r="AD347" s="325" t="s">
        <v>396</v>
      </c>
      <c r="AE347" s="328"/>
      <c r="AF347" s="328"/>
      <c r="AG347" s="328"/>
      <c r="AH347" s="327">
        <v>216</v>
      </c>
      <c r="AI347" s="327">
        <v>178</v>
      </c>
      <c r="AJ347" s="327">
        <v>89</v>
      </c>
      <c r="AK347" s="327">
        <v>38</v>
      </c>
      <c r="AL347" s="327">
        <v>80</v>
      </c>
      <c r="AM347" s="327">
        <v>10</v>
      </c>
      <c r="AN347" s="327">
        <v>33</v>
      </c>
      <c r="AO347" s="327" t="s">
        <v>247</v>
      </c>
      <c r="AP347" s="327">
        <v>132</v>
      </c>
      <c r="AQ347" s="327">
        <v>12</v>
      </c>
      <c r="AR347" s="327">
        <v>270</v>
      </c>
      <c r="AS347" s="327">
        <v>275</v>
      </c>
      <c r="AT347" s="327">
        <v>240</v>
      </c>
      <c r="AU347" s="327">
        <v>365</v>
      </c>
      <c r="AV347" s="327">
        <v>510</v>
      </c>
      <c r="AW347" s="327">
        <v>560</v>
      </c>
      <c r="AX347" s="327">
        <v>165</v>
      </c>
      <c r="AY347" s="327">
        <v>130</v>
      </c>
      <c r="AZ347" s="327">
        <v>200</v>
      </c>
      <c r="BA347" s="327" t="s">
        <v>246</v>
      </c>
      <c r="BB347" s="327">
        <v>3.5</v>
      </c>
      <c r="BC347" s="327">
        <v>215</v>
      </c>
      <c r="BD347" s="327">
        <v>180</v>
      </c>
      <c r="BE347" s="327">
        <v>250</v>
      </c>
      <c r="BF347" s="327" t="s">
        <v>247</v>
      </c>
      <c r="BG347" s="327">
        <v>4</v>
      </c>
      <c r="BH347" s="327">
        <v>265</v>
      </c>
      <c r="BI347" s="327">
        <v>230</v>
      </c>
      <c r="BJ347" s="327">
        <v>300</v>
      </c>
      <c r="BK347" s="327">
        <v>15</v>
      </c>
      <c r="BL347" s="327">
        <v>4</v>
      </c>
      <c r="BM347" s="325" t="s">
        <v>465</v>
      </c>
      <c r="BN347" s="325" t="s">
        <v>465</v>
      </c>
      <c r="BO347" s="326"/>
      <c r="BP347" s="326"/>
      <c r="BQ347" s="325" t="s">
        <v>464</v>
      </c>
    </row>
    <row r="348" spans="1:70" ht="12" customHeight="1">
      <c r="A348" s="320">
        <v>1008</v>
      </c>
      <c r="B348" s="337" t="s">
        <v>394</v>
      </c>
      <c r="C348" s="328" t="s">
        <v>393</v>
      </c>
      <c r="D348" s="336" t="s">
        <v>463</v>
      </c>
      <c r="E348" s="334">
        <v>160</v>
      </c>
      <c r="F348" s="322">
        <v>6</v>
      </c>
      <c r="G348" s="325">
        <v>7.5</v>
      </c>
      <c r="H348" s="325">
        <f t="shared" si="487"/>
        <v>9</v>
      </c>
      <c r="I348" s="325">
        <v>975</v>
      </c>
      <c r="J348" s="335">
        <f t="shared" si="488"/>
        <v>1170</v>
      </c>
      <c r="K348" s="334"/>
      <c r="L348" s="339">
        <v>15.4</v>
      </c>
      <c r="M348" s="333">
        <f t="shared" si="489"/>
        <v>16.069565217391304</v>
      </c>
      <c r="N348" s="332">
        <v>0.79</v>
      </c>
      <c r="O348" s="330">
        <v>90.1</v>
      </c>
      <c r="P348" s="331">
        <v>90.34</v>
      </c>
      <c r="Q348" s="331">
        <v>89.55</v>
      </c>
      <c r="R348" s="332">
        <v>0.79</v>
      </c>
      <c r="S348" s="330">
        <v>90.1</v>
      </c>
      <c r="T348" s="331">
        <v>90.34</v>
      </c>
      <c r="U348" s="331">
        <v>89.55</v>
      </c>
      <c r="V348" s="338">
        <v>2</v>
      </c>
      <c r="W348" s="338">
        <v>2.1</v>
      </c>
      <c r="X348" s="330">
        <v>7</v>
      </c>
      <c r="Y348" s="328"/>
      <c r="Z348" s="328"/>
      <c r="AA348" s="328"/>
      <c r="AB348" s="329" t="s">
        <v>462</v>
      </c>
      <c r="AC348" s="328" t="s">
        <v>444</v>
      </c>
      <c r="AD348" s="325" t="s">
        <v>461</v>
      </c>
      <c r="AE348" s="328"/>
      <c r="AF348" s="328"/>
      <c r="AG348" s="328"/>
      <c r="AH348" s="327">
        <v>254</v>
      </c>
      <c r="AI348" s="327">
        <v>210</v>
      </c>
      <c r="AJ348" s="327">
        <v>108</v>
      </c>
      <c r="AK348" s="327">
        <v>42</v>
      </c>
      <c r="AL348" s="327">
        <v>110</v>
      </c>
      <c r="AM348" s="327">
        <v>12</v>
      </c>
      <c r="AN348" s="327">
        <v>37</v>
      </c>
      <c r="AO348" s="327" t="s">
        <v>248</v>
      </c>
      <c r="AP348" s="327">
        <v>160</v>
      </c>
      <c r="AQ348" s="327">
        <v>15</v>
      </c>
      <c r="AR348" s="327">
        <v>320</v>
      </c>
      <c r="AS348" s="327">
        <v>320</v>
      </c>
      <c r="AT348" s="327">
        <v>285</v>
      </c>
      <c r="AU348" s="327">
        <v>440</v>
      </c>
      <c r="AV348" s="327">
        <v>620</v>
      </c>
      <c r="AW348" s="327">
        <v>670</v>
      </c>
      <c r="AX348" s="328"/>
      <c r="AY348" s="328"/>
      <c r="AZ348" s="328"/>
      <c r="BA348" s="328"/>
      <c r="BB348" s="328"/>
      <c r="BC348" s="328"/>
      <c r="BD348" s="328"/>
      <c r="BE348" s="328"/>
      <c r="BF348" s="328"/>
      <c r="BG348" s="328"/>
      <c r="BH348" s="327">
        <v>300</v>
      </c>
      <c r="BI348" s="327">
        <v>250</v>
      </c>
      <c r="BJ348" s="327">
        <v>350</v>
      </c>
      <c r="BK348" s="327">
        <v>19</v>
      </c>
      <c r="BL348" s="327">
        <v>5</v>
      </c>
      <c r="BM348" s="325" t="s">
        <v>457</v>
      </c>
      <c r="BN348" s="325" t="s">
        <v>457</v>
      </c>
      <c r="BO348" s="341" t="s">
        <v>456</v>
      </c>
      <c r="BP348" s="341" t="s">
        <v>456</v>
      </c>
      <c r="BQ348" s="325" t="s">
        <v>450</v>
      </c>
    </row>
    <row r="349" spans="1:70" ht="12" customHeight="1">
      <c r="A349" s="320">
        <v>1009</v>
      </c>
      <c r="B349" s="337" t="s">
        <v>394</v>
      </c>
      <c r="C349" s="328" t="s">
        <v>393</v>
      </c>
      <c r="D349" s="336" t="s">
        <v>460</v>
      </c>
      <c r="E349" s="334">
        <v>160</v>
      </c>
      <c r="F349" s="322">
        <v>6</v>
      </c>
      <c r="G349" s="325">
        <v>11</v>
      </c>
      <c r="H349" s="325">
        <f t="shared" si="487"/>
        <v>13.2</v>
      </c>
      <c r="I349" s="325">
        <v>975</v>
      </c>
      <c r="J349" s="335">
        <f t="shared" si="488"/>
        <v>1170</v>
      </c>
      <c r="K349" s="334"/>
      <c r="L349" s="339">
        <v>21.9</v>
      </c>
      <c r="M349" s="333">
        <f t="shared" si="489"/>
        <v>22.85217391304348</v>
      </c>
      <c r="N349" s="332">
        <v>0.8</v>
      </c>
      <c r="O349" s="330">
        <v>90.84</v>
      </c>
      <c r="P349" s="331">
        <v>91.4</v>
      </c>
      <c r="Q349" s="331">
        <v>91.07</v>
      </c>
      <c r="R349" s="332">
        <v>0.8</v>
      </c>
      <c r="S349" s="330">
        <v>90.84</v>
      </c>
      <c r="T349" s="331">
        <v>91.4</v>
      </c>
      <c r="U349" s="331">
        <v>91.07</v>
      </c>
      <c r="V349" s="338">
        <v>2</v>
      </c>
      <c r="W349" s="338">
        <v>2.1</v>
      </c>
      <c r="X349" s="330">
        <v>7.2</v>
      </c>
      <c r="Y349" s="328"/>
      <c r="Z349" s="328"/>
      <c r="AA349" s="328"/>
      <c r="AB349" s="329" t="s">
        <v>459</v>
      </c>
      <c r="AC349" s="328" t="s">
        <v>444</v>
      </c>
      <c r="AD349" s="325" t="s">
        <v>458</v>
      </c>
      <c r="AE349" s="328"/>
      <c r="AF349" s="328"/>
      <c r="AG349" s="328"/>
      <c r="AH349" s="327">
        <v>254</v>
      </c>
      <c r="AI349" s="327">
        <v>254</v>
      </c>
      <c r="AJ349" s="327">
        <v>108</v>
      </c>
      <c r="AK349" s="327">
        <v>42</v>
      </c>
      <c r="AL349" s="327">
        <v>110</v>
      </c>
      <c r="AM349" s="327">
        <v>12</v>
      </c>
      <c r="AN349" s="327">
        <v>37</v>
      </c>
      <c r="AO349" s="327" t="s">
        <v>248</v>
      </c>
      <c r="AP349" s="327">
        <v>160</v>
      </c>
      <c r="AQ349" s="327">
        <v>15</v>
      </c>
      <c r="AR349" s="327">
        <v>320</v>
      </c>
      <c r="AS349" s="327">
        <v>320</v>
      </c>
      <c r="AT349" s="327">
        <v>285</v>
      </c>
      <c r="AU349" s="327">
        <v>440</v>
      </c>
      <c r="AV349" s="327">
        <v>675</v>
      </c>
      <c r="AW349" s="327">
        <v>725</v>
      </c>
      <c r="AX349" s="328"/>
      <c r="AY349" s="328"/>
      <c r="AZ349" s="328"/>
      <c r="BA349" s="328"/>
      <c r="BB349" s="328"/>
      <c r="BC349" s="328"/>
      <c r="BD349" s="328"/>
      <c r="BE349" s="328"/>
      <c r="BF349" s="328"/>
      <c r="BG349" s="328"/>
      <c r="BH349" s="327">
        <v>300</v>
      </c>
      <c r="BI349" s="327">
        <v>250</v>
      </c>
      <c r="BJ349" s="327">
        <v>350</v>
      </c>
      <c r="BK349" s="327">
        <v>19</v>
      </c>
      <c r="BL349" s="327">
        <v>5</v>
      </c>
      <c r="BM349" s="325" t="s">
        <v>457</v>
      </c>
      <c r="BN349" s="325" t="s">
        <v>457</v>
      </c>
      <c r="BO349" s="341" t="s">
        <v>456</v>
      </c>
      <c r="BP349" s="341" t="s">
        <v>456</v>
      </c>
      <c r="BQ349" s="325" t="s">
        <v>450</v>
      </c>
    </row>
    <row r="350" spans="1:70" ht="12" customHeight="1">
      <c r="A350" s="320">
        <v>1010</v>
      </c>
      <c r="B350" s="337" t="s">
        <v>394</v>
      </c>
      <c r="C350" s="328" t="s">
        <v>393</v>
      </c>
      <c r="D350" s="336" t="s">
        <v>455</v>
      </c>
      <c r="E350" s="334">
        <v>180</v>
      </c>
      <c r="F350" s="322">
        <v>6</v>
      </c>
      <c r="G350" s="325">
        <v>15</v>
      </c>
      <c r="H350" s="325">
        <f t="shared" si="487"/>
        <v>18</v>
      </c>
      <c r="I350" s="325">
        <v>980</v>
      </c>
      <c r="J350" s="335">
        <f t="shared" si="488"/>
        <v>1176</v>
      </c>
      <c r="K350" s="334"/>
      <c r="L350" s="339">
        <v>29.4</v>
      </c>
      <c r="M350" s="333">
        <f t="shared" si="489"/>
        <v>30.678260869565218</v>
      </c>
      <c r="N350" s="332">
        <v>0.81</v>
      </c>
      <c r="O350" s="330">
        <v>91.87</v>
      </c>
      <c r="P350" s="331">
        <v>92.42</v>
      </c>
      <c r="Q350" s="331">
        <v>92.21</v>
      </c>
      <c r="R350" s="332">
        <v>0.81</v>
      </c>
      <c r="S350" s="330">
        <v>91.87</v>
      </c>
      <c r="T350" s="331">
        <v>92.42</v>
      </c>
      <c r="U350" s="331">
        <v>92.21</v>
      </c>
      <c r="V350" s="338">
        <v>2</v>
      </c>
      <c r="W350" s="338">
        <v>2.1</v>
      </c>
      <c r="X350" s="330">
        <v>7.3</v>
      </c>
      <c r="Y350" s="328"/>
      <c r="Z350" s="328"/>
      <c r="AA350" s="328"/>
      <c r="AB350" s="329" t="s">
        <v>454</v>
      </c>
      <c r="AC350" s="328" t="s">
        <v>444</v>
      </c>
      <c r="AD350" s="325" t="s">
        <v>453</v>
      </c>
      <c r="AE350" s="328"/>
      <c r="AF350" s="328"/>
      <c r="AG350" s="328"/>
      <c r="AH350" s="327">
        <v>279</v>
      </c>
      <c r="AI350" s="327">
        <v>279</v>
      </c>
      <c r="AJ350" s="327">
        <v>121</v>
      </c>
      <c r="AK350" s="327">
        <v>48</v>
      </c>
      <c r="AL350" s="327">
        <v>110</v>
      </c>
      <c r="AM350" s="327">
        <v>14</v>
      </c>
      <c r="AN350" s="327">
        <v>42.5</v>
      </c>
      <c r="AO350" s="327" t="s">
        <v>248</v>
      </c>
      <c r="AP350" s="327">
        <v>180</v>
      </c>
      <c r="AQ350" s="327">
        <v>15</v>
      </c>
      <c r="AR350" s="327">
        <v>355</v>
      </c>
      <c r="AS350" s="327">
        <v>380</v>
      </c>
      <c r="AT350" s="327">
        <v>310</v>
      </c>
      <c r="AU350" s="327">
        <v>470</v>
      </c>
      <c r="AV350" s="327">
        <v>740</v>
      </c>
      <c r="AW350" s="327">
        <v>800</v>
      </c>
      <c r="AX350" s="328"/>
      <c r="AY350" s="328"/>
      <c r="AZ350" s="328"/>
      <c r="BA350" s="328"/>
      <c r="BB350" s="328"/>
      <c r="BC350" s="328"/>
      <c r="BD350" s="328"/>
      <c r="BE350" s="328"/>
      <c r="BF350" s="328"/>
      <c r="BG350" s="328"/>
      <c r="BH350" s="327">
        <v>300</v>
      </c>
      <c r="BI350" s="327">
        <v>250</v>
      </c>
      <c r="BJ350" s="327">
        <v>350</v>
      </c>
      <c r="BK350" s="327">
        <v>19</v>
      </c>
      <c r="BL350" s="327">
        <v>5</v>
      </c>
      <c r="BM350" s="325" t="s">
        <v>452</v>
      </c>
      <c r="BN350" s="325" t="s">
        <v>452</v>
      </c>
      <c r="BO350" s="341" t="s">
        <v>451</v>
      </c>
      <c r="BP350" s="341" t="s">
        <v>451</v>
      </c>
      <c r="BQ350" s="325" t="s">
        <v>450</v>
      </c>
    </row>
    <row r="351" spans="1:70" ht="12" customHeight="1">
      <c r="A351" s="320">
        <v>1011</v>
      </c>
      <c r="B351" s="337" t="s">
        <v>394</v>
      </c>
      <c r="C351" s="328" t="s">
        <v>393</v>
      </c>
      <c r="D351" s="336" t="s">
        <v>449</v>
      </c>
      <c r="E351" s="334">
        <v>200</v>
      </c>
      <c r="F351" s="322">
        <v>6</v>
      </c>
      <c r="G351" s="325">
        <v>18.5</v>
      </c>
      <c r="H351" s="325">
        <f t="shared" si="487"/>
        <v>22.2</v>
      </c>
      <c r="I351" s="325">
        <v>980</v>
      </c>
      <c r="J351" s="335">
        <f t="shared" si="488"/>
        <v>1176</v>
      </c>
      <c r="K351" s="334"/>
      <c r="L351" s="339">
        <v>35.9</v>
      </c>
      <c r="M351" s="333">
        <f t="shared" si="489"/>
        <v>37.460869565217394</v>
      </c>
      <c r="N351" s="332">
        <v>0.81</v>
      </c>
      <c r="O351" s="330">
        <v>92.27</v>
      </c>
      <c r="P351" s="331">
        <v>92.62</v>
      </c>
      <c r="Q351" s="331">
        <v>92.25</v>
      </c>
      <c r="R351" s="332">
        <v>0.81</v>
      </c>
      <c r="S351" s="330">
        <v>92.27</v>
      </c>
      <c r="T351" s="331">
        <v>92.62</v>
      </c>
      <c r="U351" s="331">
        <v>92.25</v>
      </c>
      <c r="V351" s="338">
        <v>2</v>
      </c>
      <c r="W351" s="338">
        <v>2.1</v>
      </c>
      <c r="X351" s="330">
        <v>7.3</v>
      </c>
      <c r="Y351" s="328"/>
      <c r="Z351" s="328"/>
      <c r="AA351" s="328"/>
      <c r="AB351" s="329" t="s">
        <v>448</v>
      </c>
      <c r="AC351" s="328" t="s">
        <v>444</v>
      </c>
      <c r="AD351" s="325" t="s">
        <v>447</v>
      </c>
      <c r="AE351" s="328"/>
      <c r="AF351" s="328"/>
      <c r="AG351" s="328"/>
      <c r="AH351" s="327">
        <v>318</v>
      </c>
      <c r="AI351" s="327">
        <v>305</v>
      </c>
      <c r="AJ351" s="327">
        <v>133</v>
      </c>
      <c r="AK351" s="327">
        <v>55</v>
      </c>
      <c r="AL351" s="327">
        <v>110</v>
      </c>
      <c r="AM351" s="327">
        <v>16</v>
      </c>
      <c r="AN351" s="327">
        <v>49</v>
      </c>
      <c r="AO351" s="327" t="s">
        <v>249</v>
      </c>
      <c r="AP351" s="327">
        <v>200</v>
      </c>
      <c r="AQ351" s="327">
        <v>19</v>
      </c>
      <c r="AR351" s="327">
        <v>395</v>
      </c>
      <c r="AS351" s="327">
        <v>410</v>
      </c>
      <c r="AT351" s="327">
        <v>335</v>
      </c>
      <c r="AU351" s="327">
        <v>525</v>
      </c>
      <c r="AV351" s="327">
        <v>775</v>
      </c>
      <c r="AW351" s="327">
        <v>845</v>
      </c>
      <c r="AX351" s="328"/>
      <c r="AY351" s="328"/>
      <c r="AZ351" s="328"/>
      <c r="BA351" s="328"/>
      <c r="BB351" s="328"/>
      <c r="BC351" s="328"/>
      <c r="BD351" s="328"/>
      <c r="BE351" s="328"/>
      <c r="BF351" s="328"/>
      <c r="BG351" s="328"/>
      <c r="BH351" s="327">
        <v>350</v>
      </c>
      <c r="BI351" s="327">
        <v>300</v>
      </c>
      <c r="BJ351" s="327">
        <v>400</v>
      </c>
      <c r="BK351" s="327">
        <v>19</v>
      </c>
      <c r="BL351" s="327">
        <v>5</v>
      </c>
      <c r="BM351" s="325" t="s">
        <v>442</v>
      </c>
      <c r="BN351" s="325" t="s">
        <v>442</v>
      </c>
      <c r="BO351" s="341" t="s">
        <v>441</v>
      </c>
      <c r="BP351" s="341" t="s">
        <v>441</v>
      </c>
      <c r="BQ351" s="325" t="s">
        <v>434</v>
      </c>
    </row>
    <row r="352" spans="1:70" ht="12" customHeight="1">
      <c r="A352" s="320">
        <v>1012</v>
      </c>
      <c r="B352" s="337" t="s">
        <v>394</v>
      </c>
      <c r="C352" s="328" t="s">
        <v>393</v>
      </c>
      <c r="D352" s="336" t="s">
        <v>446</v>
      </c>
      <c r="E352" s="334">
        <v>200</v>
      </c>
      <c r="F352" s="322">
        <v>6</v>
      </c>
      <c r="G352" s="325">
        <v>22</v>
      </c>
      <c r="H352" s="325">
        <f t="shared" si="487"/>
        <v>26.4</v>
      </c>
      <c r="I352" s="325">
        <v>980</v>
      </c>
      <c r="J352" s="335">
        <f t="shared" si="488"/>
        <v>1176</v>
      </c>
      <c r="K352" s="334"/>
      <c r="L352" s="339">
        <v>42.6</v>
      </c>
      <c r="M352" s="333">
        <f t="shared" si="489"/>
        <v>44.452173913043481</v>
      </c>
      <c r="N352" s="332">
        <v>0.81</v>
      </c>
      <c r="O352" s="330">
        <v>92.49</v>
      </c>
      <c r="P352" s="331">
        <v>92.86</v>
      </c>
      <c r="Q352" s="331">
        <v>92.54</v>
      </c>
      <c r="R352" s="332">
        <v>0.81</v>
      </c>
      <c r="S352" s="330">
        <v>92.49</v>
      </c>
      <c r="T352" s="331">
        <v>92.86</v>
      </c>
      <c r="U352" s="331">
        <v>92.54</v>
      </c>
      <c r="V352" s="338">
        <v>2</v>
      </c>
      <c r="W352" s="338">
        <v>2.1</v>
      </c>
      <c r="X352" s="330">
        <v>7.4</v>
      </c>
      <c r="Y352" s="328"/>
      <c r="Z352" s="328"/>
      <c r="AA352" s="328"/>
      <c r="AB352" s="329" t="s">
        <v>445</v>
      </c>
      <c r="AC352" s="328" t="s">
        <v>444</v>
      </c>
      <c r="AD352" s="325" t="s">
        <v>443</v>
      </c>
      <c r="AE352" s="328"/>
      <c r="AF352" s="328"/>
      <c r="AG352" s="328"/>
      <c r="AH352" s="327">
        <v>318</v>
      </c>
      <c r="AI352" s="327">
        <v>305</v>
      </c>
      <c r="AJ352" s="327">
        <v>133</v>
      </c>
      <c r="AK352" s="327">
        <v>55</v>
      </c>
      <c r="AL352" s="327">
        <v>110</v>
      </c>
      <c r="AM352" s="327">
        <v>16</v>
      </c>
      <c r="AN352" s="327">
        <v>49</v>
      </c>
      <c r="AO352" s="327" t="s">
        <v>249</v>
      </c>
      <c r="AP352" s="327">
        <v>200</v>
      </c>
      <c r="AQ352" s="327">
        <v>19</v>
      </c>
      <c r="AR352" s="327">
        <v>395</v>
      </c>
      <c r="AS352" s="327">
        <v>410</v>
      </c>
      <c r="AT352" s="327">
        <v>335</v>
      </c>
      <c r="AU352" s="327">
        <v>525</v>
      </c>
      <c r="AV352" s="327">
        <v>775</v>
      </c>
      <c r="AW352" s="327">
        <v>845</v>
      </c>
      <c r="AX352" s="328"/>
      <c r="AY352" s="328"/>
      <c r="AZ352" s="328"/>
      <c r="BA352" s="328"/>
      <c r="BB352" s="328"/>
      <c r="BC352" s="328"/>
      <c r="BD352" s="328"/>
      <c r="BE352" s="328"/>
      <c r="BF352" s="328"/>
      <c r="BG352" s="328"/>
      <c r="BH352" s="327">
        <v>350</v>
      </c>
      <c r="BI352" s="327">
        <v>300</v>
      </c>
      <c r="BJ352" s="327">
        <v>400</v>
      </c>
      <c r="BK352" s="327">
        <v>19</v>
      </c>
      <c r="BL352" s="327">
        <v>5</v>
      </c>
      <c r="BM352" s="325" t="s">
        <v>442</v>
      </c>
      <c r="BN352" s="325" t="s">
        <v>442</v>
      </c>
      <c r="BO352" s="341" t="s">
        <v>441</v>
      </c>
      <c r="BP352" s="341" t="s">
        <v>441</v>
      </c>
      <c r="BQ352" s="325" t="s">
        <v>434</v>
      </c>
    </row>
    <row r="353" spans="1:70" ht="12" customHeight="1">
      <c r="A353" s="320">
        <v>1013</v>
      </c>
      <c r="B353" s="337" t="s">
        <v>394</v>
      </c>
      <c r="C353" s="328" t="s">
        <v>393</v>
      </c>
      <c r="D353" s="336" t="s">
        <v>440</v>
      </c>
      <c r="E353" s="334">
        <v>225</v>
      </c>
      <c r="F353" s="322">
        <v>6</v>
      </c>
      <c r="G353" s="325">
        <v>30</v>
      </c>
      <c r="H353" s="325">
        <f t="shared" ref="H353:H364" si="558">G353*1.2</f>
        <v>36</v>
      </c>
      <c r="I353" s="325">
        <v>985</v>
      </c>
      <c r="J353" s="335">
        <f t="shared" ref="J353:J364" si="559">I353*1.2</f>
        <v>1182</v>
      </c>
      <c r="K353" s="334"/>
      <c r="L353" s="339">
        <v>56.1</v>
      </c>
      <c r="M353" s="333">
        <f t="shared" si="489"/>
        <v>58.539130434782606</v>
      </c>
      <c r="N353" s="332">
        <v>0.83</v>
      </c>
      <c r="O353" s="330">
        <v>93.2</v>
      </c>
      <c r="P353" s="331">
        <v>93.53</v>
      </c>
      <c r="Q353" s="331">
        <v>93.2</v>
      </c>
      <c r="R353" s="332">
        <v>0.83</v>
      </c>
      <c r="S353" s="330">
        <v>93.2</v>
      </c>
      <c r="T353" s="331">
        <v>93.53</v>
      </c>
      <c r="U353" s="331">
        <v>93.2</v>
      </c>
      <c r="V353" s="338">
        <v>2</v>
      </c>
      <c r="W353" s="338">
        <v>2.1</v>
      </c>
      <c r="X353" s="330">
        <v>6.9</v>
      </c>
      <c r="Y353" s="328"/>
      <c r="Z353" s="328"/>
      <c r="AA353" s="328"/>
      <c r="AB353" s="329" t="s">
        <v>439</v>
      </c>
      <c r="AC353" s="328" t="s">
        <v>438</v>
      </c>
      <c r="AD353" s="325" t="s">
        <v>437</v>
      </c>
      <c r="AE353" s="328"/>
      <c r="AF353" s="328"/>
      <c r="AG353" s="328"/>
      <c r="AH353" s="327">
        <v>356</v>
      </c>
      <c r="AI353" s="327">
        <v>311</v>
      </c>
      <c r="AJ353" s="327">
        <v>149</v>
      </c>
      <c r="AK353" s="327">
        <v>60</v>
      </c>
      <c r="AL353" s="327">
        <v>140</v>
      </c>
      <c r="AM353" s="327">
        <v>18</v>
      </c>
      <c r="AN353" s="327">
        <v>53</v>
      </c>
      <c r="AO353" s="327" t="s">
        <v>249</v>
      </c>
      <c r="AP353" s="327">
        <v>225</v>
      </c>
      <c r="AQ353" s="327">
        <v>19</v>
      </c>
      <c r="AR353" s="327">
        <v>435</v>
      </c>
      <c r="AS353" s="327">
        <v>470</v>
      </c>
      <c r="AT353" s="327">
        <v>370</v>
      </c>
      <c r="AU353" s="327">
        <v>580</v>
      </c>
      <c r="AV353" s="327">
        <v>845</v>
      </c>
      <c r="AW353" s="327">
        <v>940</v>
      </c>
      <c r="AX353" s="328"/>
      <c r="AY353" s="328"/>
      <c r="AZ353" s="328"/>
      <c r="BA353" s="328"/>
      <c r="BB353" s="328"/>
      <c r="BC353" s="328"/>
      <c r="BD353" s="328"/>
      <c r="BE353" s="328"/>
      <c r="BF353" s="328"/>
      <c r="BG353" s="328"/>
      <c r="BH353" s="327">
        <v>400</v>
      </c>
      <c r="BI353" s="327">
        <v>350</v>
      </c>
      <c r="BJ353" s="327">
        <v>450</v>
      </c>
      <c r="BK353" s="327">
        <v>19</v>
      </c>
      <c r="BL353" s="327">
        <v>5</v>
      </c>
      <c r="BM353" s="325" t="s">
        <v>436</v>
      </c>
      <c r="BN353" s="325" t="s">
        <v>436</v>
      </c>
      <c r="BO353" s="341" t="s">
        <v>435</v>
      </c>
      <c r="BP353" s="341" t="s">
        <v>435</v>
      </c>
      <c r="BQ353" s="325" t="s">
        <v>434</v>
      </c>
    </row>
    <row r="354" spans="1:70" ht="12" customHeight="1">
      <c r="A354" s="320">
        <v>1014</v>
      </c>
      <c r="B354" s="337" t="s">
        <v>394</v>
      </c>
      <c r="C354" s="328" t="s">
        <v>393</v>
      </c>
      <c r="D354" s="336" t="s">
        <v>433</v>
      </c>
      <c r="E354" s="334">
        <v>250</v>
      </c>
      <c r="F354" s="322">
        <v>6</v>
      </c>
      <c r="G354" s="325">
        <v>37</v>
      </c>
      <c r="H354" s="325">
        <f t="shared" si="558"/>
        <v>44.4</v>
      </c>
      <c r="I354" s="325">
        <v>985</v>
      </c>
      <c r="J354" s="335">
        <f t="shared" si="559"/>
        <v>1182</v>
      </c>
      <c r="K354" s="334"/>
      <c r="L354" s="339">
        <v>68.099999999999994</v>
      </c>
      <c r="M354" s="333">
        <f t="shared" si="489"/>
        <v>71.060869565217388</v>
      </c>
      <c r="N354" s="332">
        <v>0.84</v>
      </c>
      <c r="O354" s="330">
        <v>93.5</v>
      </c>
      <c r="P354" s="331">
        <v>93.72</v>
      </c>
      <c r="Q354" s="331">
        <v>93.28</v>
      </c>
      <c r="R354" s="332">
        <v>0.84</v>
      </c>
      <c r="S354" s="330">
        <v>93.5</v>
      </c>
      <c r="T354" s="331">
        <v>93.72</v>
      </c>
      <c r="U354" s="331">
        <v>93.28</v>
      </c>
      <c r="V354" s="338">
        <v>2</v>
      </c>
      <c r="W354" s="338">
        <v>2.1</v>
      </c>
      <c r="X354" s="330">
        <v>7.1</v>
      </c>
      <c r="Y354" s="328"/>
      <c r="Z354" s="328"/>
      <c r="AA354" s="328"/>
      <c r="AB354" s="329" t="s">
        <v>432</v>
      </c>
      <c r="AC354" s="328" t="s">
        <v>431</v>
      </c>
      <c r="AD354" s="325" t="s">
        <v>430</v>
      </c>
      <c r="AE354" s="328"/>
      <c r="AF354" s="328"/>
      <c r="AG354" s="328"/>
      <c r="AH354" s="327">
        <v>406</v>
      </c>
      <c r="AI354" s="327">
        <v>349</v>
      </c>
      <c r="AJ354" s="327">
        <v>168</v>
      </c>
      <c r="AK354" s="327">
        <v>65</v>
      </c>
      <c r="AL354" s="327">
        <v>140</v>
      </c>
      <c r="AM354" s="327">
        <v>18</v>
      </c>
      <c r="AN354" s="327">
        <v>58</v>
      </c>
      <c r="AO354" s="327" t="s">
        <v>249</v>
      </c>
      <c r="AP354" s="327">
        <v>250</v>
      </c>
      <c r="AQ354" s="327">
        <v>24</v>
      </c>
      <c r="AR354" s="327">
        <v>490</v>
      </c>
      <c r="AS354" s="327">
        <v>490</v>
      </c>
      <c r="AT354" s="327">
        <v>380</v>
      </c>
      <c r="AU354" s="327">
        <v>635</v>
      </c>
      <c r="AV354" s="327">
        <v>930</v>
      </c>
      <c r="AW354" s="327">
        <v>1035</v>
      </c>
      <c r="AX354" s="328"/>
      <c r="AY354" s="328"/>
      <c r="AZ354" s="328"/>
      <c r="BA354" s="328"/>
      <c r="BB354" s="328"/>
      <c r="BC354" s="328"/>
      <c r="BD354" s="328"/>
      <c r="BE354" s="328"/>
      <c r="BF354" s="328"/>
      <c r="BG354" s="328"/>
      <c r="BH354" s="327">
        <v>500</v>
      </c>
      <c r="BI354" s="327">
        <v>450</v>
      </c>
      <c r="BJ354" s="327">
        <v>550</v>
      </c>
      <c r="BK354" s="327">
        <v>19</v>
      </c>
      <c r="BL354" s="327">
        <v>5</v>
      </c>
      <c r="BM354" s="325" t="s">
        <v>429</v>
      </c>
      <c r="BN354" s="325" t="s">
        <v>429</v>
      </c>
      <c r="BO354" s="341" t="s">
        <v>428</v>
      </c>
      <c r="BP354" s="341" t="s">
        <v>428</v>
      </c>
      <c r="BQ354" s="325" t="s">
        <v>388</v>
      </c>
    </row>
    <row r="355" spans="1:70" ht="12" customHeight="1">
      <c r="A355" s="320">
        <v>1015</v>
      </c>
      <c r="B355" s="337" t="s">
        <v>394</v>
      </c>
      <c r="C355" s="328" t="s">
        <v>393</v>
      </c>
      <c r="D355" s="336" t="s">
        <v>427</v>
      </c>
      <c r="E355" s="334">
        <v>280</v>
      </c>
      <c r="F355" s="322">
        <v>6</v>
      </c>
      <c r="G355" s="325">
        <v>45</v>
      </c>
      <c r="H355" s="325">
        <f t="shared" si="558"/>
        <v>54</v>
      </c>
      <c r="I355" s="325">
        <v>985</v>
      </c>
      <c r="J355" s="335">
        <f t="shared" si="559"/>
        <v>1182</v>
      </c>
      <c r="K355" s="334"/>
      <c r="L355" s="325">
        <v>81.5</v>
      </c>
      <c r="M355" s="333">
        <f t="shared" si="489"/>
        <v>85.043478260869563</v>
      </c>
      <c r="N355" s="332">
        <v>0.85</v>
      </c>
      <c r="O355" s="330">
        <v>93.98</v>
      </c>
      <c r="P355" s="331">
        <v>94.16</v>
      </c>
      <c r="Q355" s="331">
        <v>93.7</v>
      </c>
      <c r="R355" s="332">
        <v>0.85</v>
      </c>
      <c r="S355" s="330">
        <v>93.98</v>
      </c>
      <c r="T355" s="331">
        <v>94.16</v>
      </c>
      <c r="U355" s="331">
        <v>93.7</v>
      </c>
      <c r="V355" s="338">
        <v>2</v>
      </c>
      <c r="W355" s="330">
        <v>2</v>
      </c>
      <c r="X355" s="330">
        <v>7.3</v>
      </c>
      <c r="Y355" s="328"/>
      <c r="Z355" s="328"/>
      <c r="AA355" s="328"/>
      <c r="AB355" s="329" t="s">
        <v>426</v>
      </c>
      <c r="AC355" s="328" t="s">
        <v>422</v>
      </c>
      <c r="AD355" s="325" t="s">
        <v>425</v>
      </c>
      <c r="AE355" s="328"/>
      <c r="AF355" s="328"/>
      <c r="AG355" s="328"/>
      <c r="AH355" s="327">
        <v>457</v>
      </c>
      <c r="AI355" s="327">
        <v>368</v>
      </c>
      <c r="AJ355" s="327">
        <v>190</v>
      </c>
      <c r="AK355" s="327">
        <v>75</v>
      </c>
      <c r="AL355" s="327">
        <v>140</v>
      </c>
      <c r="AM355" s="327">
        <v>20</v>
      </c>
      <c r="AN355" s="327">
        <v>67.5</v>
      </c>
      <c r="AO355" s="327" t="s">
        <v>249</v>
      </c>
      <c r="AP355" s="327">
        <v>280</v>
      </c>
      <c r="AQ355" s="327">
        <v>24</v>
      </c>
      <c r="AR355" s="327">
        <v>550</v>
      </c>
      <c r="AS355" s="327">
        <v>580</v>
      </c>
      <c r="AT355" s="327">
        <v>410</v>
      </c>
      <c r="AU355" s="327">
        <v>698</v>
      </c>
      <c r="AV355" s="327">
        <v>981</v>
      </c>
      <c r="AW355" s="327">
        <v>1115</v>
      </c>
      <c r="AX355" s="328"/>
      <c r="AY355" s="328"/>
      <c r="AZ355" s="328"/>
      <c r="BA355" s="328"/>
      <c r="BB355" s="328"/>
      <c r="BC355" s="328"/>
      <c r="BD355" s="328"/>
      <c r="BE355" s="328"/>
      <c r="BF355" s="328"/>
      <c r="BG355" s="328"/>
      <c r="BH355" s="327">
        <v>500</v>
      </c>
      <c r="BI355" s="327">
        <v>450</v>
      </c>
      <c r="BJ355" s="327">
        <v>550</v>
      </c>
      <c r="BK355" s="327">
        <v>19</v>
      </c>
      <c r="BL355" s="327">
        <v>5</v>
      </c>
      <c r="BM355" s="325" t="s">
        <v>420</v>
      </c>
      <c r="BN355" s="325" t="s">
        <v>420</v>
      </c>
      <c r="BO355" s="341" t="s">
        <v>419</v>
      </c>
      <c r="BP355" s="340" t="s">
        <v>419</v>
      </c>
      <c r="BQ355" s="325" t="s">
        <v>388</v>
      </c>
    </row>
    <row r="356" spans="1:70" ht="12" customHeight="1">
      <c r="A356" s="320">
        <v>1016</v>
      </c>
      <c r="B356" s="337" t="s">
        <v>394</v>
      </c>
      <c r="C356" s="328" t="s">
        <v>393</v>
      </c>
      <c r="D356" s="336" t="s">
        <v>424</v>
      </c>
      <c r="E356" s="334">
        <v>280</v>
      </c>
      <c r="F356" s="322">
        <v>6</v>
      </c>
      <c r="G356" s="325">
        <v>55</v>
      </c>
      <c r="H356" s="325">
        <f t="shared" si="558"/>
        <v>66</v>
      </c>
      <c r="I356" s="325">
        <v>985</v>
      </c>
      <c r="J356" s="335">
        <f t="shared" si="559"/>
        <v>1182</v>
      </c>
      <c r="K356" s="334"/>
      <c r="L356" s="325">
        <v>98.1</v>
      </c>
      <c r="M356" s="333">
        <f t="shared" si="489"/>
        <v>102.36521739130434</v>
      </c>
      <c r="N356" s="332">
        <v>0.86</v>
      </c>
      <c r="O356" s="330">
        <v>94.32</v>
      </c>
      <c r="P356" s="331">
        <v>94.53</v>
      </c>
      <c r="Q356" s="331">
        <v>94.18</v>
      </c>
      <c r="R356" s="332">
        <v>0.86</v>
      </c>
      <c r="S356" s="330">
        <v>94.32</v>
      </c>
      <c r="T356" s="331">
        <v>94.53</v>
      </c>
      <c r="U356" s="331">
        <v>94.18</v>
      </c>
      <c r="V356" s="338">
        <v>2</v>
      </c>
      <c r="W356" s="330">
        <v>2</v>
      </c>
      <c r="X356" s="330">
        <v>7.3</v>
      </c>
      <c r="Y356" s="328"/>
      <c r="Z356" s="328"/>
      <c r="AA356" s="328"/>
      <c r="AB356" s="329" t="s">
        <v>423</v>
      </c>
      <c r="AC356" s="328" t="s">
        <v>422</v>
      </c>
      <c r="AD356" s="325" t="s">
        <v>421</v>
      </c>
      <c r="AE356" s="328"/>
      <c r="AF356" s="328"/>
      <c r="AG356" s="328"/>
      <c r="AH356" s="327">
        <v>457</v>
      </c>
      <c r="AI356" s="327">
        <v>419</v>
      </c>
      <c r="AJ356" s="327">
        <v>190</v>
      </c>
      <c r="AK356" s="327">
        <v>75</v>
      </c>
      <c r="AL356" s="327">
        <v>140</v>
      </c>
      <c r="AM356" s="327">
        <v>20</v>
      </c>
      <c r="AN356" s="327">
        <v>67.5</v>
      </c>
      <c r="AO356" s="327" t="s">
        <v>249</v>
      </c>
      <c r="AP356" s="327">
        <v>280</v>
      </c>
      <c r="AQ356" s="327">
        <v>24</v>
      </c>
      <c r="AR356" s="327">
        <v>550</v>
      </c>
      <c r="AS356" s="327">
        <v>580</v>
      </c>
      <c r="AT356" s="327">
        <v>410</v>
      </c>
      <c r="AU356" s="327">
        <v>698</v>
      </c>
      <c r="AV356" s="327">
        <v>1032</v>
      </c>
      <c r="AW356" s="327">
        <v>1157</v>
      </c>
      <c r="AX356" s="328"/>
      <c r="AY356" s="328"/>
      <c r="AZ356" s="328"/>
      <c r="BA356" s="328"/>
      <c r="BB356" s="328"/>
      <c r="BC356" s="328"/>
      <c r="BD356" s="328"/>
      <c r="BE356" s="328"/>
      <c r="BF356" s="328"/>
      <c r="BG356" s="328"/>
      <c r="BH356" s="327">
        <v>500</v>
      </c>
      <c r="BI356" s="327">
        <v>450</v>
      </c>
      <c r="BJ356" s="327">
        <v>550</v>
      </c>
      <c r="BK356" s="327">
        <v>19</v>
      </c>
      <c r="BL356" s="327">
        <v>5</v>
      </c>
      <c r="BM356" s="325" t="s">
        <v>420</v>
      </c>
      <c r="BN356" s="325" t="s">
        <v>420</v>
      </c>
      <c r="BO356" s="341" t="s">
        <v>419</v>
      </c>
      <c r="BP356" s="340" t="s">
        <v>419</v>
      </c>
      <c r="BQ356" s="325" t="s">
        <v>388</v>
      </c>
    </row>
    <row r="357" spans="1:70" ht="12" customHeight="1">
      <c r="A357" s="320">
        <v>1017</v>
      </c>
      <c r="B357" s="337" t="s">
        <v>394</v>
      </c>
      <c r="C357" s="328" t="s">
        <v>393</v>
      </c>
      <c r="D357" s="336" t="s">
        <v>418</v>
      </c>
      <c r="E357" s="334">
        <v>315</v>
      </c>
      <c r="F357" s="322">
        <v>6</v>
      </c>
      <c r="G357" s="325">
        <v>75</v>
      </c>
      <c r="H357" s="325">
        <f t="shared" si="558"/>
        <v>90</v>
      </c>
      <c r="I357" s="325">
        <v>990</v>
      </c>
      <c r="J357" s="335">
        <f t="shared" si="559"/>
        <v>1188</v>
      </c>
      <c r="K357" s="334"/>
      <c r="L357" s="325">
        <v>136.19999999999999</v>
      </c>
      <c r="M357" s="333">
        <f t="shared" si="489"/>
        <v>142.12173913043478</v>
      </c>
      <c r="N357" s="332">
        <v>0.84</v>
      </c>
      <c r="O357" s="330">
        <v>95.08</v>
      </c>
      <c r="P357" s="331">
        <v>94.99</v>
      </c>
      <c r="Q357" s="331">
        <v>94.24</v>
      </c>
      <c r="R357" s="332">
        <v>0.84</v>
      </c>
      <c r="S357" s="330">
        <v>95.08</v>
      </c>
      <c r="T357" s="331">
        <v>94.99</v>
      </c>
      <c r="U357" s="331">
        <v>94.24</v>
      </c>
      <c r="V357" s="338">
        <v>2</v>
      </c>
      <c r="W357" s="330">
        <v>2</v>
      </c>
      <c r="X357" s="330">
        <v>6.6</v>
      </c>
      <c r="Y357" s="328"/>
      <c r="Z357" s="328"/>
      <c r="AA357" s="328"/>
      <c r="AB357" s="329" t="s">
        <v>417</v>
      </c>
      <c r="AC357" s="328" t="s">
        <v>407</v>
      </c>
      <c r="AD357" s="325" t="s">
        <v>416</v>
      </c>
      <c r="AE357" s="328"/>
      <c r="AF357" s="328"/>
      <c r="AG357" s="328"/>
      <c r="AH357" s="327">
        <v>508</v>
      </c>
      <c r="AI357" s="327">
        <v>406</v>
      </c>
      <c r="AJ357" s="327">
        <v>216</v>
      </c>
      <c r="AK357" s="327">
        <v>80</v>
      </c>
      <c r="AL357" s="327">
        <v>170</v>
      </c>
      <c r="AM357" s="327">
        <v>22</v>
      </c>
      <c r="AN357" s="327">
        <v>71</v>
      </c>
      <c r="AO357" s="327" t="s">
        <v>249</v>
      </c>
      <c r="AP357" s="327">
        <v>315</v>
      </c>
      <c r="AQ357" s="327">
        <v>28</v>
      </c>
      <c r="AR357" s="327">
        <v>630</v>
      </c>
      <c r="AS357" s="327">
        <v>645</v>
      </c>
      <c r="AT357" s="327">
        <v>535</v>
      </c>
      <c r="AU357" s="327">
        <v>885</v>
      </c>
      <c r="AV357" s="327">
        <v>1215</v>
      </c>
      <c r="AW357" s="327">
        <v>1340</v>
      </c>
      <c r="AX357" s="328"/>
      <c r="AY357" s="328"/>
      <c r="AZ357" s="328"/>
      <c r="BA357" s="328"/>
      <c r="BB357" s="328"/>
      <c r="BC357" s="328"/>
      <c r="BD357" s="328"/>
      <c r="BE357" s="328"/>
      <c r="BF357" s="328"/>
      <c r="BG357" s="328"/>
      <c r="BH357" s="327">
        <v>600</v>
      </c>
      <c r="BI357" s="327">
        <v>550</v>
      </c>
      <c r="BJ357" s="327">
        <v>660</v>
      </c>
      <c r="BK357" s="327">
        <v>24</v>
      </c>
      <c r="BL357" s="327">
        <v>6</v>
      </c>
      <c r="BM357" s="325" t="s">
        <v>389</v>
      </c>
      <c r="BN357" s="325" t="s">
        <v>389</v>
      </c>
      <c r="BO357" s="325"/>
      <c r="BP357" s="328"/>
      <c r="BQ357" s="325" t="s">
        <v>405</v>
      </c>
    </row>
    <row r="358" spans="1:70" ht="12" customHeight="1">
      <c r="A358" s="320">
        <v>1018</v>
      </c>
      <c r="B358" s="337" t="s">
        <v>394</v>
      </c>
      <c r="C358" s="328" t="s">
        <v>393</v>
      </c>
      <c r="D358" s="336" t="s">
        <v>415</v>
      </c>
      <c r="E358" s="334">
        <v>315</v>
      </c>
      <c r="F358" s="322">
        <v>6</v>
      </c>
      <c r="G358" s="325">
        <v>90</v>
      </c>
      <c r="H358" s="325">
        <f t="shared" si="558"/>
        <v>108</v>
      </c>
      <c r="I358" s="325">
        <v>990</v>
      </c>
      <c r="J358" s="335">
        <f t="shared" si="559"/>
        <v>1188</v>
      </c>
      <c r="K358" s="334"/>
      <c r="L358" s="339">
        <v>161</v>
      </c>
      <c r="M358" s="333">
        <f t="shared" si="489"/>
        <v>168</v>
      </c>
      <c r="N358" s="332">
        <v>0.85</v>
      </c>
      <c r="O358" s="330">
        <v>95.2</v>
      </c>
      <c r="P358" s="331">
        <v>95.17</v>
      </c>
      <c r="Q358" s="331">
        <v>94.53</v>
      </c>
      <c r="R358" s="332">
        <v>0.85</v>
      </c>
      <c r="S358" s="330">
        <v>95.2</v>
      </c>
      <c r="T358" s="331">
        <v>95.17</v>
      </c>
      <c r="U358" s="331">
        <v>94.53</v>
      </c>
      <c r="V358" s="338">
        <v>2</v>
      </c>
      <c r="W358" s="330">
        <v>2</v>
      </c>
      <c r="X358" s="330">
        <v>6.7</v>
      </c>
      <c r="Y358" s="328"/>
      <c r="Z358" s="328"/>
      <c r="AA358" s="328"/>
      <c r="AB358" s="329" t="s">
        <v>414</v>
      </c>
      <c r="AC358" s="328" t="s">
        <v>407</v>
      </c>
      <c r="AD358" s="325" t="s">
        <v>413</v>
      </c>
      <c r="AE358" s="328"/>
      <c r="AF358" s="328"/>
      <c r="AG358" s="328"/>
      <c r="AH358" s="327">
        <v>508</v>
      </c>
      <c r="AI358" s="327">
        <v>457</v>
      </c>
      <c r="AJ358" s="327">
        <v>216</v>
      </c>
      <c r="AK358" s="327">
        <v>80</v>
      </c>
      <c r="AL358" s="327">
        <v>170</v>
      </c>
      <c r="AM358" s="327">
        <v>22</v>
      </c>
      <c r="AN358" s="327">
        <v>71</v>
      </c>
      <c r="AO358" s="327" t="s">
        <v>249</v>
      </c>
      <c r="AP358" s="327">
        <v>315</v>
      </c>
      <c r="AQ358" s="327">
        <v>28</v>
      </c>
      <c r="AR358" s="327">
        <v>630</v>
      </c>
      <c r="AS358" s="327">
        <v>645</v>
      </c>
      <c r="AT358" s="327">
        <v>535</v>
      </c>
      <c r="AU358" s="327">
        <v>885</v>
      </c>
      <c r="AV358" s="327">
        <v>1325</v>
      </c>
      <c r="AW358" s="327">
        <v>1450</v>
      </c>
      <c r="AX358" s="328"/>
      <c r="AY358" s="328"/>
      <c r="AZ358" s="328"/>
      <c r="BA358" s="328"/>
      <c r="BB358" s="328"/>
      <c r="BC358" s="328"/>
      <c r="BD358" s="328"/>
      <c r="BE358" s="328"/>
      <c r="BF358" s="328"/>
      <c r="BG358" s="328"/>
      <c r="BH358" s="327">
        <v>600</v>
      </c>
      <c r="BI358" s="327">
        <v>550</v>
      </c>
      <c r="BJ358" s="327">
        <v>660</v>
      </c>
      <c r="BK358" s="327">
        <v>24</v>
      </c>
      <c r="BL358" s="327">
        <v>6</v>
      </c>
      <c r="BM358" s="325" t="s">
        <v>389</v>
      </c>
      <c r="BN358" s="325" t="s">
        <v>389</v>
      </c>
      <c r="BO358" s="325"/>
      <c r="BP358" s="328"/>
      <c r="BQ358" s="325" t="s">
        <v>405</v>
      </c>
    </row>
    <row r="359" spans="1:70" ht="12" customHeight="1">
      <c r="A359" s="320">
        <v>1019</v>
      </c>
      <c r="B359" s="337" t="s">
        <v>394</v>
      </c>
      <c r="C359" s="328" t="s">
        <v>393</v>
      </c>
      <c r="D359" s="336" t="s">
        <v>412</v>
      </c>
      <c r="E359" s="334">
        <v>315</v>
      </c>
      <c r="F359" s="322">
        <v>6</v>
      </c>
      <c r="G359" s="325">
        <v>110</v>
      </c>
      <c r="H359" s="325">
        <f t="shared" si="558"/>
        <v>132</v>
      </c>
      <c r="I359" s="325">
        <v>990</v>
      </c>
      <c r="J359" s="335">
        <f t="shared" si="559"/>
        <v>1188</v>
      </c>
      <c r="K359" s="334"/>
      <c r="L359" s="339">
        <v>196.5</v>
      </c>
      <c r="M359" s="333">
        <f t="shared" si="489"/>
        <v>205.04347826086956</v>
      </c>
      <c r="N359" s="332">
        <v>0.85</v>
      </c>
      <c r="O359" s="330">
        <v>95.38</v>
      </c>
      <c r="P359" s="331">
        <v>95.34</v>
      </c>
      <c r="Q359" s="331">
        <v>94.72</v>
      </c>
      <c r="R359" s="332">
        <v>0.85</v>
      </c>
      <c r="S359" s="330">
        <v>95.38</v>
      </c>
      <c r="T359" s="331">
        <v>95.34</v>
      </c>
      <c r="U359" s="331">
        <v>94.72</v>
      </c>
      <c r="V359" s="338">
        <v>2</v>
      </c>
      <c r="W359" s="330">
        <v>2</v>
      </c>
      <c r="X359" s="330">
        <v>6.7</v>
      </c>
      <c r="Y359" s="328"/>
      <c r="Z359" s="328"/>
      <c r="AA359" s="328"/>
      <c r="AB359" s="329" t="s">
        <v>411</v>
      </c>
      <c r="AC359" s="328" t="s">
        <v>407</v>
      </c>
      <c r="AD359" s="325" t="s">
        <v>410</v>
      </c>
      <c r="AE359" s="328"/>
      <c r="AF359" s="328"/>
      <c r="AG359" s="328"/>
      <c r="AH359" s="327">
        <v>508</v>
      </c>
      <c r="AI359" s="327">
        <v>508</v>
      </c>
      <c r="AJ359" s="327">
        <v>216</v>
      </c>
      <c r="AK359" s="327">
        <v>80</v>
      </c>
      <c r="AL359" s="327">
        <v>170</v>
      </c>
      <c r="AM359" s="327">
        <v>22</v>
      </c>
      <c r="AN359" s="327">
        <v>71</v>
      </c>
      <c r="AO359" s="327" t="s">
        <v>249</v>
      </c>
      <c r="AP359" s="327">
        <v>315</v>
      </c>
      <c r="AQ359" s="327">
        <v>28</v>
      </c>
      <c r="AR359" s="327">
        <v>630</v>
      </c>
      <c r="AS359" s="327">
        <v>645</v>
      </c>
      <c r="AT359" s="327">
        <v>535</v>
      </c>
      <c r="AU359" s="327">
        <v>885</v>
      </c>
      <c r="AV359" s="327">
        <v>1325</v>
      </c>
      <c r="AW359" s="327">
        <v>1450</v>
      </c>
      <c r="AX359" s="328"/>
      <c r="AY359" s="328"/>
      <c r="AZ359" s="328"/>
      <c r="BA359" s="328"/>
      <c r="BB359" s="328"/>
      <c r="BC359" s="328"/>
      <c r="BD359" s="328"/>
      <c r="BE359" s="328"/>
      <c r="BF359" s="328"/>
      <c r="BG359" s="328"/>
      <c r="BH359" s="327">
        <v>600</v>
      </c>
      <c r="BI359" s="327">
        <v>550</v>
      </c>
      <c r="BJ359" s="327">
        <v>660</v>
      </c>
      <c r="BK359" s="327">
        <v>24</v>
      </c>
      <c r="BL359" s="327">
        <v>6</v>
      </c>
      <c r="BM359" s="325" t="s">
        <v>389</v>
      </c>
      <c r="BN359" s="325" t="s">
        <v>389</v>
      </c>
      <c r="BO359" s="325"/>
      <c r="BP359" s="328"/>
      <c r="BQ359" s="325" t="s">
        <v>405</v>
      </c>
    </row>
    <row r="360" spans="1:70" ht="12" customHeight="1">
      <c r="A360" s="320">
        <v>1020</v>
      </c>
      <c r="B360" s="337" t="s">
        <v>394</v>
      </c>
      <c r="C360" s="328" t="s">
        <v>393</v>
      </c>
      <c r="D360" s="336" t="s">
        <v>409</v>
      </c>
      <c r="E360" s="334">
        <v>315</v>
      </c>
      <c r="F360" s="322">
        <v>6</v>
      </c>
      <c r="G360" s="325">
        <v>132</v>
      </c>
      <c r="H360" s="325">
        <f t="shared" si="558"/>
        <v>158.4</v>
      </c>
      <c r="I360" s="325">
        <v>990</v>
      </c>
      <c r="J360" s="335">
        <f t="shared" si="559"/>
        <v>1188</v>
      </c>
      <c r="K360" s="328"/>
      <c r="L360" s="325">
        <v>232.2</v>
      </c>
      <c r="M360" s="333">
        <f t="shared" si="489"/>
        <v>242.29565217391306</v>
      </c>
      <c r="N360" s="332">
        <v>0.86</v>
      </c>
      <c r="O360" s="330">
        <v>95.66</v>
      </c>
      <c r="P360" s="331">
        <v>95.69</v>
      </c>
      <c r="Q360" s="331">
        <v>95.22</v>
      </c>
      <c r="R360" s="332">
        <v>0.86</v>
      </c>
      <c r="S360" s="330">
        <v>95.66</v>
      </c>
      <c r="T360" s="331">
        <v>95.69</v>
      </c>
      <c r="U360" s="331">
        <v>95.22</v>
      </c>
      <c r="V360" s="338">
        <v>2</v>
      </c>
      <c r="W360" s="330">
        <v>2</v>
      </c>
      <c r="X360" s="330">
        <v>6.8</v>
      </c>
      <c r="Y360" s="328"/>
      <c r="Z360" s="328"/>
      <c r="AA360" s="328"/>
      <c r="AB360" s="329" t="s">
        <v>408</v>
      </c>
      <c r="AC360" s="328" t="s">
        <v>407</v>
      </c>
      <c r="AD360" s="325" t="s">
        <v>406</v>
      </c>
      <c r="AE360" s="328"/>
      <c r="AF360" s="328"/>
      <c r="AG360" s="328"/>
      <c r="AH360" s="327">
        <v>508</v>
      </c>
      <c r="AI360" s="327">
        <v>508</v>
      </c>
      <c r="AJ360" s="327">
        <v>216</v>
      </c>
      <c r="AK360" s="327">
        <v>80</v>
      </c>
      <c r="AL360" s="327">
        <v>170</v>
      </c>
      <c r="AM360" s="327">
        <v>22</v>
      </c>
      <c r="AN360" s="327">
        <v>71</v>
      </c>
      <c r="AO360" s="327" t="s">
        <v>249</v>
      </c>
      <c r="AP360" s="327">
        <v>315</v>
      </c>
      <c r="AQ360" s="327">
        <v>28</v>
      </c>
      <c r="AR360" s="327">
        <v>630</v>
      </c>
      <c r="AS360" s="327">
        <v>645</v>
      </c>
      <c r="AT360" s="327">
        <v>535</v>
      </c>
      <c r="AU360" s="327">
        <v>885</v>
      </c>
      <c r="AV360" s="327">
        <v>1325</v>
      </c>
      <c r="AW360" s="327">
        <v>1450</v>
      </c>
      <c r="AX360" s="328"/>
      <c r="AY360" s="328"/>
      <c r="AZ360" s="328"/>
      <c r="BA360" s="328"/>
      <c r="BB360" s="328"/>
      <c r="BC360" s="328"/>
      <c r="BD360" s="328"/>
      <c r="BE360" s="328"/>
      <c r="BF360" s="328"/>
      <c r="BG360" s="328"/>
      <c r="BH360" s="327">
        <v>600</v>
      </c>
      <c r="BI360" s="327">
        <v>550</v>
      </c>
      <c r="BJ360" s="327">
        <v>660</v>
      </c>
      <c r="BK360" s="327">
        <v>24</v>
      </c>
      <c r="BL360" s="327">
        <v>6</v>
      </c>
      <c r="BM360" s="325" t="s">
        <v>389</v>
      </c>
      <c r="BN360" s="325" t="s">
        <v>389</v>
      </c>
      <c r="BO360" s="325"/>
      <c r="BP360" s="328"/>
      <c r="BQ360" s="325" t="s">
        <v>405</v>
      </c>
    </row>
    <row r="361" spans="1:70" ht="12" customHeight="1">
      <c r="A361" s="320">
        <v>1021</v>
      </c>
      <c r="B361" s="337" t="s">
        <v>394</v>
      </c>
      <c r="C361" s="328" t="s">
        <v>393</v>
      </c>
      <c r="D361" s="336" t="s">
        <v>404</v>
      </c>
      <c r="E361" s="328">
        <v>355</v>
      </c>
      <c r="F361" s="322">
        <v>6</v>
      </c>
      <c r="G361" s="325">
        <v>160</v>
      </c>
      <c r="H361" s="325">
        <f t="shared" si="558"/>
        <v>192</v>
      </c>
      <c r="I361" s="325">
        <v>990</v>
      </c>
      <c r="J361" s="335">
        <f t="shared" si="559"/>
        <v>1188</v>
      </c>
      <c r="K361" s="328"/>
      <c r="L361" s="325">
        <v>280.89999999999998</v>
      </c>
      <c r="M361" s="333">
        <f t="shared" si="489"/>
        <v>293.11304347826086</v>
      </c>
      <c r="N361" s="332">
        <v>0.86</v>
      </c>
      <c r="O361" s="330">
        <v>95.63</v>
      </c>
      <c r="P361" s="331">
        <v>95.39</v>
      </c>
      <c r="Q361" s="331">
        <v>94.5</v>
      </c>
      <c r="R361" s="332">
        <v>0.86</v>
      </c>
      <c r="S361" s="330">
        <v>95.63</v>
      </c>
      <c r="T361" s="331">
        <v>95.39</v>
      </c>
      <c r="U361" s="331">
        <v>94.5</v>
      </c>
      <c r="V361" s="330">
        <v>1.8</v>
      </c>
      <c r="W361" s="330">
        <v>2</v>
      </c>
      <c r="X361" s="330">
        <v>6.8</v>
      </c>
      <c r="Y361" s="328"/>
      <c r="Z361" s="328"/>
      <c r="AA361" s="328"/>
      <c r="AB361" s="329" t="s">
        <v>403</v>
      </c>
      <c r="AC361" s="328" t="s">
        <v>396</v>
      </c>
      <c r="AD361" s="325" t="s">
        <v>402</v>
      </c>
      <c r="AE361" s="328"/>
      <c r="AF361" s="328"/>
      <c r="AG361" s="328"/>
      <c r="AH361" s="327">
        <v>610</v>
      </c>
      <c r="AI361" s="327">
        <v>560</v>
      </c>
      <c r="AJ361" s="327">
        <v>254</v>
      </c>
      <c r="AK361" s="327">
        <v>95</v>
      </c>
      <c r="AL361" s="327">
        <v>170</v>
      </c>
      <c r="AM361" s="327">
        <v>25</v>
      </c>
      <c r="AN361" s="327">
        <v>86</v>
      </c>
      <c r="AO361" s="327" t="s">
        <v>250</v>
      </c>
      <c r="AP361" s="327">
        <v>355</v>
      </c>
      <c r="AQ361" s="327">
        <v>28</v>
      </c>
      <c r="AR361" s="327">
        <v>730</v>
      </c>
      <c r="AS361" s="327">
        <v>720</v>
      </c>
      <c r="AT361" s="327">
        <v>700</v>
      </c>
      <c r="AU361" s="327">
        <v>1065</v>
      </c>
      <c r="AV361" s="327">
        <v>1525</v>
      </c>
      <c r="AW361" s="327">
        <v>1670</v>
      </c>
      <c r="AX361" s="328"/>
      <c r="AY361" s="328"/>
      <c r="AZ361" s="328"/>
      <c r="BA361" s="328"/>
      <c r="BB361" s="328"/>
      <c r="BC361" s="328"/>
      <c r="BD361" s="328"/>
      <c r="BE361" s="328"/>
      <c r="BF361" s="328"/>
      <c r="BG361" s="328"/>
      <c r="BH361" s="327">
        <v>740</v>
      </c>
      <c r="BI361" s="327">
        <v>680</v>
      </c>
      <c r="BJ361" s="327">
        <v>800</v>
      </c>
      <c r="BK361" s="327">
        <v>24</v>
      </c>
      <c r="BL361" s="327">
        <v>6</v>
      </c>
      <c r="BM361" s="325" t="s">
        <v>390</v>
      </c>
      <c r="BN361" s="325" t="s">
        <v>389</v>
      </c>
      <c r="BO361" s="326"/>
      <c r="BP361" s="326"/>
      <c r="BQ361" s="325" t="s">
        <v>388</v>
      </c>
    </row>
    <row r="362" spans="1:70" ht="12" customHeight="1">
      <c r="A362" s="320">
        <v>1022</v>
      </c>
      <c r="B362" s="337" t="s">
        <v>394</v>
      </c>
      <c r="C362" s="328" t="s">
        <v>393</v>
      </c>
      <c r="D362" s="336" t="s">
        <v>401</v>
      </c>
      <c r="E362" s="328">
        <v>355</v>
      </c>
      <c r="F362" s="322">
        <v>6</v>
      </c>
      <c r="G362" s="325">
        <v>200</v>
      </c>
      <c r="H362" s="325">
        <f t="shared" si="558"/>
        <v>240</v>
      </c>
      <c r="I362" s="325">
        <v>990</v>
      </c>
      <c r="J362" s="335">
        <f t="shared" si="559"/>
        <v>1188</v>
      </c>
      <c r="K362" s="328"/>
      <c r="L362" s="325">
        <v>346.4</v>
      </c>
      <c r="M362" s="333">
        <f t="shared" si="489"/>
        <v>361.46086956521737</v>
      </c>
      <c r="N362" s="332">
        <v>0.87</v>
      </c>
      <c r="O362" s="330">
        <v>95.83</v>
      </c>
      <c r="P362" s="331">
        <v>95.69</v>
      </c>
      <c r="Q362" s="331">
        <v>94.95</v>
      </c>
      <c r="R362" s="332">
        <v>0.87</v>
      </c>
      <c r="S362" s="330">
        <v>95.83</v>
      </c>
      <c r="T362" s="331">
        <v>95.69</v>
      </c>
      <c r="U362" s="331">
        <v>94.95</v>
      </c>
      <c r="V362" s="330">
        <v>1.8</v>
      </c>
      <c r="W362" s="330">
        <v>2</v>
      </c>
      <c r="X362" s="330">
        <v>6.8</v>
      </c>
      <c r="Y362" s="328"/>
      <c r="Z362" s="328"/>
      <c r="AA362" s="328"/>
      <c r="AB362" s="329" t="s">
        <v>400</v>
      </c>
      <c r="AC362" s="328" t="s">
        <v>396</v>
      </c>
      <c r="AD362" s="325" t="s">
        <v>399</v>
      </c>
      <c r="AE362" s="328"/>
      <c r="AF362" s="328"/>
      <c r="AG362" s="328"/>
      <c r="AH362" s="327">
        <v>610</v>
      </c>
      <c r="AI362" s="327">
        <v>560</v>
      </c>
      <c r="AJ362" s="327">
        <v>254</v>
      </c>
      <c r="AK362" s="327">
        <v>95</v>
      </c>
      <c r="AL362" s="327">
        <v>170</v>
      </c>
      <c r="AM362" s="327">
        <v>25</v>
      </c>
      <c r="AN362" s="327">
        <v>86</v>
      </c>
      <c r="AO362" s="327" t="s">
        <v>250</v>
      </c>
      <c r="AP362" s="327">
        <v>355</v>
      </c>
      <c r="AQ362" s="327">
        <v>28</v>
      </c>
      <c r="AR362" s="327">
        <v>730</v>
      </c>
      <c r="AS362" s="327">
        <v>720</v>
      </c>
      <c r="AT362" s="327">
        <v>700</v>
      </c>
      <c r="AU362" s="327">
        <v>1065</v>
      </c>
      <c r="AV362" s="327">
        <v>1525</v>
      </c>
      <c r="AW362" s="327">
        <v>1670</v>
      </c>
      <c r="AX362" s="328"/>
      <c r="AY362" s="328"/>
      <c r="AZ362" s="328"/>
      <c r="BA362" s="328"/>
      <c r="BB362" s="328"/>
      <c r="BC362" s="328"/>
      <c r="BD362" s="328"/>
      <c r="BE362" s="328"/>
      <c r="BF362" s="328"/>
      <c r="BG362" s="328"/>
      <c r="BH362" s="327">
        <v>740</v>
      </c>
      <c r="BI362" s="327">
        <v>680</v>
      </c>
      <c r="BJ362" s="327">
        <v>800</v>
      </c>
      <c r="BK362" s="327">
        <v>24</v>
      </c>
      <c r="BL362" s="327">
        <v>6</v>
      </c>
      <c r="BM362" s="325" t="s">
        <v>390</v>
      </c>
      <c r="BN362" s="325" t="s">
        <v>389</v>
      </c>
      <c r="BO362" s="326"/>
      <c r="BP362" s="326"/>
      <c r="BQ362" s="325" t="s">
        <v>388</v>
      </c>
    </row>
    <row r="363" spans="1:70" ht="12" customHeight="1">
      <c r="A363" s="320">
        <v>1023</v>
      </c>
      <c r="B363" s="337" t="s">
        <v>394</v>
      </c>
      <c r="C363" s="328" t="s">
        <v>393</v>
      </c>
      <c r="D363" s="336" t="s">
        <v>398</v>
      </c>
      <c r="E363" s="328">
        <v>355</v>
      </c>
      <c r="F363" s="322">
        <v>6</v>
      </c>
      <c r="G363" s="325">
        <v>250</v>
      </c>
      <c r="H363" s="325">
        <f t="shared" si="558"/>
        <v>300</v>
      </c>
      <c r="I363" s="325">
        <v>990</v>
      </c>
      <c r="J363" s="335">
        <f t="shared" si="559"/>
        <v>1188</v>
      </c>
      <c r="K363" s="328"/>
      <c r="L363" s="325">
        <v>432.9</v>
      </c>
      <c r="M363" s="333">
        <f t="shared" si="489"/>
        <v>451.7217391304348</v>
      </c>
      <c r="N363" s="332">
        <v>0.87</v>
      </c>
      <c r="O363" s="330">
        <v>96.08</v>
      </c>
      <c r="P363" s="331">
        <v>95.96</v>
      </c>
      <c r="Q363" s="331">
        <v>95.3</v>
      </c>
      <c r="R363" s="332">
        <v>0.87</v>
      </c>
      <c r="S363" s="330">
        <v>96.08</v>
      </c>
      <c r="T363" s="331">
        <v>95.96</v>
      </c>
      <c r="U363" s="331">
        <v>95.3</v>
      </c>
      <c r="V363" s="330">
        <v>1.8</v>
      </c>
      <c r="W363" s="330">
        <v>2</v>
      </c>
      <c r="X363" s="330">
        <v>6.8</v>
      </c>
      <c r="Y363" s="328"/>
      <c r="Z363" s="328"/>
      <c r="AA363" s="328"/>
      <c r="AB363" s="329" t="s">
        <v>397</v>
      </c>
      <c r="AC363" s="328" t="s">
        <v>396</v>
      </c>
      <c r="AD363" s="325" t="s">
        <v>395</v>
      </c>
      <c r="AE363" s="328"/>
      <c r="AF363" s="328"/>
      <c r="AG363" s="328"/>
      <c r="AH363" s="327">
        <v>610</v>
      </c>
      <c r="AI363" s="327">
        <v>630</v>
      </c>
      <c r="AJ363" s="327">
        <v>254</v>
      </c>
      <c r="AK363" s="327">
        <v>95</v>
      </c>
      <c r="AL363" s="327">
        <v>170</v>
      </c>
      <c r="AM363" s="327">
        <v>25</v>
      </c>
      <c r="AN363" s="327">
        <v>86</v>
      </c>
      <c r="AO363" s="327" t="s">
        <v>250</v>
      </c>
      <c r="AP363" s="327">
        <v>355</v>
      </c>
      <c r="AQ363" s="327">
        <v>28</v>
      </c>
      <c r="AR363" s="327">
        <v>730</v>
      </c>
      <c r="AS363" s="327">
        <v>720</v>
      </c>
      <c r="AT363" s="327">
        <v>700</v>
      </c>
      <c r="AU363" s="327">
        <v>1065</v>
      </c>
      <c r="AV363" s="327">
        <v>1525</v>
      </c>
      <c r="AW363" s="327">
        <v>1670</v>
      </c>
      <c r="AX363" s="328"/>
      <c r="AY363" s="328"/>
      <c r="AZ363" s="328"/>
      <c r="BA363" s="328"/>
      <c r="BB363" s="328"/>
      <c r="BC363" s="328"/>
      <c r="BD363" s="328"/>
      <c r="BE363" s="328"/>
      <c r="BF363" s="328"/>
      <c r="BG363" s="328"/>
      <c r="BH363" s="327">
        <v>740</v>
      </c>
      <c r="BI363" s="327">
        <v>680</v>
      </c>
      <c r="BJ363" s="327">
        <v>800</v>
      </c>
      <c r="BK363" s="327">
        <v>24</v>
      </c>
      <c r="BL363" s="327">
        <v>6</v>
      </c>
      <c r="BM363" s="325" t="s">
        <v>390</v>
      </c>
      <c r="BN363" s="325" t="s">
        <v>389</v>
      </c>
      <c r="BO363" s="326"/>
      <c r="BP363" s="326"/>
      <c r="BQ363" s="325" t="s">
        <v>388</v>
      </c>
    </row>
    <row r="364" spans="1:70" ht="12" customHeight="1">
      <c r="A364" s="320">
        <v>1024</v>
      </c>
      <c r="B364" s="337" t="s">
        <v>394</v>
      </c>
      <c r="C364" s="328" t="s">
        <v>393</v>
      </c>
      <c r="D364" s="336" t="s">
        <v>392</v>
      </c>
      <c r="E364" s="328">
        <v>355</v>
      </c>
      <c r="F364" s="322">
        <v>6</v>
      </c>
      <c r="G364" s="325">
        <v>315</v>
      </c>
      <c r="H364" s="325">
        <f t="shared" si="558"/>
        <v>378</v>
      </c>
      <c r="I364" s="325">
        <v>990</v>
      </c>
      <c r="J364" s="335">
        <f t="shared" si="559"/>
        <v>1188</v>
      </c>
      <c r="K364" s="334"/>
      <c r="L364" s="325">
        <v>551.9</v>
      </c>
      <c r="M364" s="333">
        <f t="shared" si="489"/>
        <v>575.89565217391305</v>
      </c>
      <c r="N364" s="332">
        <v>0.86</v>
      </c>
      <c r="O364" s="330">
        <v>96.08</v>
      </c>
      <c r="P364" s="331">
        <v>95.96</v>
      </c>
      <c r="Q364" s="331">
        <v>95.3</v>
      </c>
      <c r="R364" s="332">
        <v>0.86</v>
      </c>
      <c r="S364" s="330">
        <v>96.08</v>
      </c>
      <c r="T364" s="331">
        <v>95.96</v>
      </c>
      <c r="U364" s="331">
        <v>95.3</v>
      </c>
      <c r="V364" s="330">
        <v>1.8</v>
      </c>
      <c r="W364" s="330">
        <v>2</v>
      </c>
      <c r="X364" s="330">
        <v>6.8</v>
      </c>
      <c r="Y364" s="328"/>
      <c r="Z364" s="328"/>
      <c r="AA364" s="328"/>
      <c r="AB364" s="329"/>
      <c r="AC364" s="328" t="s">
        <v>391</v>
      </c>
      <c r="AD364" s="325"/>
      <c r="AE364" s="328"/>
      <c r="AF364" s="328"/>
      <c r="AG364" s="328"/>
      <c r="AH364" s="327">
        <v>610</v>
      </c>
      <c r="AI364" s="327">
        <v>630</v>
      </c>
      <c r="AJ364" s="327">
        <v>254</v>
      </c>
      <c r="AK364" s="327">
        <v>95</v>
      </c>
      <c r="AL364" s="327">
        <v>170</v>
      </c>
      <c r="AM364" s="327">
        <v>25</v>
      </c>
      <c r="AN364" s="327">
        <v>86</v>
      </c>
      <c r="AO364" s="327" t="s">
        <v>250</v>
      </c>
      <c r="AP364" s="327">
        <v>355</v>
      </c>
      <c r="AQ364" s="327">
        <v>28</v>
      </c>
      <c r="AR364" s="327">
        <v>730</v>
      </c>
      <c r="AS364" s="327">
        <v>720</v>
      </c>
      <c r="AT364" s="327">
        <v>700</v>
      </c>
      <c r="AU364" s="327">
        <v>1065</v>
      </c>
      <c r="AV364" s="327">
        <v>1525</v>
      </c>
      <c r="AW364" s="327">
        <v>1670</v>
      </c>
      <c r="BH364" s="327">
        <v>740</v>
      </c>
      <c r="BI364" s="327">
        <v>680</v>
      </c>
      <c r="BJ364" s="327">
        <v>800</v>
      </c>
      <c r="BK364" s="327">
        <v>24</v>
      </c>
      <c r="BL364" s="327">
        <v>6</v>
      </c>
      <c r="BM364" s="325" t="s">
        <v>390</v>
      </c>
      <c r="BN364" s="325" t="s">
        <v>389</v>
      </c>
      <c r="BO364" s="326"/>
      <c r="BP364" s="326"/>
      <c r="BQ364" s="325" t="s">
        <v>388</v>
      </c>
    </row>
    <row r="365" spans="1:70" s="1845" customFormat="1" ht="12" customHeight="1">
      <c r="A365" s="1842">
        <f>A364</f>
        <v>1024</v>
      </c>
      <c r="B365" s="1843" t="str">
        <f t="shared" ref="B365" si="560">B364</f>
        <v>3D3</v>
      </c>
      <c r="C365" s="1844" t="str">
        <f t="shared" ref="C365" si="561">C364</f>
        <v>IE3</v>
      </c>
      <c r="D365" s="1843" t="str">
        <f t="shared" ref="D365" si="562">D364</f>
        <v>3D3 3552-6</v>
      </c>
      <c r="E365" s="1845">
        <f t="shared" ref="E365" si="563">E364</f>
        <v>355</v>
      </c>
      <c r="F365" s="1846">
        <f t="shared" ref="F365" si="564">F364</f>
        <v>6</v>
      </c>
      <c r="G365" s="1844">
        <f t="shared" ref="G365" si="565">G364</f>
        <v>315</v>
      </c>
      <c r="H365" s="1844">
        <f t="shared" ref="H365" si="566">H364</f>
        <v>378</v>
      </c>
      <c r="I365" s="1844">
        <f t="shared" ref="I365" si="567">I364</f>
        <v>990</v>
      </c>
      <c r="J365" s="1847">
        <f t="shared" ref="J365" si="568">J364</f>
        <v>1188</v>
      </c>
      <c r="K365" s="1845">
        <f t="shared" ref="K365" si="569">K364</f>
        <v>0</v>
      </c>
      <c r="L365" s="1844">
        <f t="shared" ref="L365" si="570">L364</f>
        <v>551.9</v>
      </c>
      <c r="M365" s="1848">
        <f t="shared" ref="M365" si="571">M364</f>
        <v>575.89565217391305</v>
      </c>
      <c r="N365" s="1849">
        <f t="shared" ref="N365" si="572">N364</f>
        <v>0.86</v>
      </c>
      <c r="O365" s="1850">
        <f t="shared" ref="O365" si="573">O364</f>
        <v>96.08</v>
      </c>
      <c r="P365" s="1845">
        <f t="shared" ref="P365" si="574">P364</f>
        <v>95.96</v>
      </c>
      <c r="Q365" s="1845">
        <f t="shared" ref="Q365" si="575">Q364</f>
        <v>95.3</v>
      </c>
      <c r="R365" s="1849">
        <f t="shared" ref="R365" si="576">R364</f>
        <v>0.86</v>
      </c>
      <c r="S365" s="1850">
        <f t="shared" ref="S365" si="577">S364</f>
        <v>96.08</v>
      </c>
      <c r="T365" s="1845">
        <f t="shared" ref="T365" si="578">T364</f>
        <v>95.96</v>
      </c>
      <c r="U365" s="1845">
        <f t="shared" ref="U365" si="579">U364</f>
        <v>95.3</v>
      </c>
      <c r="V365" s="1849">
        <f t="shared" ref="V365" si="580">V364</f>
        <v>1.8</v>
      </c>
      <c r="W365" s="1849">
        <f t="shared" ref="W365" si="581">W364</f>
        <v>2</v>
      </c>
      <c r="X365" s="1850">
        <f t="shared" ref="X365" si="582">X364</f>
        <v>6.8</v>
      </c>
      <c r="Y365" s="1845">
        <f t="shared" ref="Y365" si="583">Y364</f>
        <v>0</v>
      </c>
      <c r="Z365" s="1845">
        <f t="shared" ref="Z365" si="584">Z364</f>
        <v>0</v>
      </c>
      <c r="AA365" s="1845">
        <f t="shared" ref="AA365" si="585">AA364</f>
        <v>0</v>
      </c>
      <c r="AB365" s="1851">
        <f t="shared" ref="AB365" si="586">AB364</f>
        <v>0</v>
      </c>
      <c r="AC365" s="1845" t="str">
        <f t="shared" ref="AC365" si="587">AC364</f>
        <v>91</v>
      </c>
      <c r="AD365" s="1844">
        <f t="shared" ref="AD365" si="588">AD364</f>
        <v>0</v>
      </c>
      <c r="AE365" s="1845">
        <f t="shared" ref="AE365" si="589">AE364</f>
        <v>0</v>
      </c>
      <c r="AF365" s="1845">
        <f t="shared" ref="AF365" si="590">AF364</f>
        <v>0</v>
      </c>
      <c r="AG365" s="1845">
        <f t="shared" ref="AG365" si="591">AG364</f>
        <v>0</v>
      </c>
      <c r="AH365" s="1844">
        <f t="shared" ref="AH365" si="592">AH364</f>
        <v>610</v>
      </c>
      <c r="AI365" s="1844">
        <f t="shared" ref="AI365" si="593">AI364</f>
        <v>630</v>
      </c>
      <c r="AJ365" s="1844">
        <f t="shared" ref="AJ365" si="594">AJ364</f>
        <v>254</v>
      </c>
      <c r="AK365" s="1844">
        <f t="shared" ref="AK365" si="595">AK364</f>
        <v>95</v>
      </c>
      <c r="AL365" s="1844">
        <f t="shared" ref="AL365" si="596">AL364</f>
        <v>170</v>
      </c>
      <c r="AM365" s="1844">
        <f t="shared" ref="AM365" si="597">AM364</f>
        <v>25</v>
      </c>
      <c r="AN365" s="1844">
        <f t="shared" ref="AN365" si="598">AN364</f>
        <v>86</v>
      </c>
      <c r="AO365" s="1844" t="str">
        <f t="shared" ref="AO365" si="599">AO364</f>
        <v>M24</v>
      </c>
      <c r="AP365" s="1844">
        <f t="shared" ref="AP365" si="600">AP364</f>
        <v>355</v>
      </c>
      <c r="AQ365" s="1844">
        <f t="shared" ref="AQ365" si="601">AQ364</f>
        <v>28</v>
      </c>
      <c r="AR365" s="1844">
        <f t="shared" ref="AR365" si="602">AR364</f>
        <v>730</v>
      </c>
      <c r="AS365" s="1844">
        <f t="shared" ref="AS365" si="603">AS364</f>
        <v>720</v>
      </c>
      <c r="AT365" s="1844">
        <f t="shared" ref="AT365" si="604">AT364</f>
        <v>700</v>
      </c>
      <c r="AU365" s="1844">
        <f t="shared" ref="AU365" si="605">AU364</f>
        <v>1065</v>
      </c>
      <c r="AV365" s="1844">
        <f t="shared" ref="AV365" si="606">AV364</f>
        <v>1525</v>
      </c>
      <c r="AW365" s="1844">
        <f t="shared" ref="AW365" si="607">AW364</f>
        <v>1670</v>
      </c>
      <c r="AX365" s="1845">
        <f t="shared" ref="AX365" si="608">AX364</f>
        <v>0</v>
      </c>
      <c r="AY365" s="1845">
        <f t="shared" ref="AY365" si="609">AY364</f>
        <v>0</v>
      </c>
      <c r="AZ365" s="1845">
        <f t="shared" ref="AZ365" si="610">AZ364</f>
        <v>0</v>
      </c>
      <c r="BA365" s="1845">
        <f t="shared" ref="BA365" si="611">BA364</f>
        <v>0</v>
      </c>
      <c r="BB365" s="1845">
        <f t="shared" ref="BB365" si="612">BB364</f>
        <v>0</v>
      </c>
      <c r="BC365" s="1845">
        <f t="shared" ref="BC365" si="613">BC364</f>
        <v>0</v>
      </c>
      <c r="BD365" s="1845">
        <f t="shared" ref="BD365" si="614">BD364</f>
        <v>0</v>
      </c>
      <c r="BE365" s="1845">
        <f t="shared" ref="BE365" si="615">BE364</f>
        <v>0</v>
      </c>
      <c r="BF365" s="1845">
        <f t="shared" ref="BF365" si="616">BF364</f>
        <v>0</v>
      </c>
      <c r="BG365" s="1845">
        <f t="shared" ref="BG365" si="617">BG364</f>
        <v>0</v>
      </c>
      <c r="BH365" s="1844">
        <f t="shared" ref="BH365" si="618">BH364</f>
        <v>740</v>
      </c>
      <c r="BI365" s="1844">
        <f t="shared" ref="BI365" si="619">BI364</f>
        <v>680</v>
      </c>
      <c r="BJ365" s="1844">
        <f t="shared" ref="BJ365" si="620">BJ364</f>
        <v>800</v>
      </c>
      <c r="BK365" s="1844">
        <f t="shared" ref="BK365" si="621">BK364</f>
        <v>24</v>
      </c>
      <c r="BL365" s="1844">
        <f t="shared" ref="BL365" si="622">BL364</f>
        <v>6</v>
      </c>
      <c r="BM365" s="1844" t="str">
        <f t="shared" ref="BM365" si="623">BM364</f>
        <v>6322/C3</v>
      </c>
      <c r="BN365" s="1844" t="str">
        <f t="shared" ref="BN365" si="624">BN364</f>
        <v>6319/C3</v>
      </c>
      <c r="BO365" s="1852">
        <f t="shared" ref="BO365" si="625">BO364</f>
        <v>0</v>
      </c>
      <c r="BP365" s="1852">
        <f t="shared" ref="BP365" si="626">BP364</f>
        <v>0</v>
      </c>
      <c r="BQ365" s="1845" t="str">
        <f t="shared" ref="BQ365" si="627">BQ364</f>
        <v>2×63×1.5</v>
      </c>
      <c r="BR365" s="1842"/>
    </row>
    <row r="369" spans="1:17" ht="12" customHeight="1">
      <c r="A369" s="323">
        <v>9</v>
      </c>
      <c r="B369" s="323">
        <v>11</v>
      </c>
      <c r="C369" s="323">
        <v>14</v>
      </c>
      <c r="D369" s="323">
        <v>19</v>
      </c>
      <c r="E369" s="323">
        <v>24</v>
      </c>
      <c r="F369" s="1203">
        <v>28</v>
      </c>
      <c r="G369" s="323">
        <v>38</v>
      </c>
      <c r="H369" s="323">
        <v>42</v>
      </c>
      <c r="I369" s="323">
        <v>48</v>
      </c>
      <c r="J369" s="323">
        <v>55</v>
      </c>
      <c r="K369" s="323">
        <v>60</v>
      </c>
      <c r="L369" s="323">
        <v>65</v>
      </c>
      <c r="M369" s="323">
        <v>75</v>
      </c>
      <c r="N369" s="323">
        <v>85</v>
      </c>
      <c r="O369" s="323">
        <v>80</v>
      </c>
      <c r="P369" s="323">
        <v>95</v>
      </c>
      <c r="Q369" s="323">
        <v>120</v>
      </c>
    </row>
    <row r="388" spans="1:1" ht="12" customHeight="1">
      <c r="A388"/>
    </row>
    <row r="389" spans="1:1" ht="12" customHeight="1">
      <c r="A389"/>
    </row>
    <row r="390" spans="1:1" ht="12" customHeight="1">
      <c r="A390"/>
    </row>
    <row r="391" spans="1:1" ht="12" customHeight="1">
      <c r="A391"/>
    </row>
    <row r="392" spans="1:1" ht="12" customHeight="1">
      <c r="A392"/>
    </row>
    <row r="393" spans="1:1" ht="12" customHeight="1">
      <c r="A393"/>
    </row>
    <row r="394" spans="1:1" ht="12" customHeight="1">
      <c r="A394"/>
    </row>
    <row r="395" spans="1:1" ht="12" customHeight="1">
      <c r="A395"/>
    </row>
    <row r="396" spans="1:1" ht="12" customHeight="1">
      <c r="A396"/>
    </row>
    <row r="397" spans="1:1" ht="12" customHeight="1">
      <c r="A397"/>
    </row>
    <row r="398" spans="1:1" ht="12" customHeight="1">
      <c r="A398"/>
    </row>
    <row r="399" spans="1:1" ht="12" customHeight="1">
      <c r="A399"/>
    </row>
    <row r="400" spans="1:1" ht="12" customHeight="1">
      <c r="A400"/>
    </row>
    <row r="401" spans="1:1" ht="12" customHeight="1">
      <c r="A401"/>
    </row>
    <row r="402" spans="1:1" ht="12" customHeight="1">
      <c r="A402"/>
    </row>
    <row r="403" spans="1:1" ht="12" customHeight="1">
      <c r="A403"/>
    </row>
    <row r="404" spans="1:1" ht="12" customHeight="1">
      <c r="A404"/>
    </row>
    <row r="405" spans="1:1" ht="12" customHeight="1">
      <c r="A405"/>
    </row>
    <row r="406" spans="1:1" ht="12" customHeight="1">
      <c r="A406"/>
    </row>
    <row r="407" spans="1:1" ht="12" customHeight="1">
      <c r="A407"/>
    </row>
    <row r="408" spans="1:1" ht="12" customHeight="1">
      <c r="A408"/>
    </row>
    <row r="409" spans="1:1" ht="12" customHeight="1">
      <c r="A409"/>
    </row>
    <row r="410" spans="1:1" ht="12" customHeight="1">
      <c r="A410"/>
    </row>
    <row r="411" spans="1:1" ht="12" customHeight="1">
      <c r="A411"/>
    </row>
    <row r="412" spans="1:1" ht="12" customHeight="1">
      <c r="A412"/>
    </row>
    <row r="413" spans="1:1" ht="12" customHeight="1">
      <c r="A413"/>
    </row>
    <row r="414" spans="1:1" ht="12" customHeight="1">
      <c r="A414"/>
    </row>
    <row r="415" spans="1:1" ht="12" customHeight="1">
      <c r="A415"/>
    </row>
    <row r="416" spans="1:1" ht="12" customHeight="1">
      <c r="A416"/>
    </row>
    <row r="417" spans="1:1" ht="12" customHeight="1">
      <c r="A417"/>
    </row>
    <row r="418" spans="1:1" ht="12" customHeight="1">
      <c r="A418"/>
    </row>
    <row r="419" spans="1:1" ht="12" customHeight="1">
      <c r="A419"/>
    </row>
    <row r="420" spans="1:1" ht="12" customHeight="1">
      <c r="A420"/>
    </row>
    <row r="421" spans="1:1" ht="12" customHeight="1">
      <c r="A421"/>
    </row>
    <row r="422" spans="1:1" ht="12" customHeight="1">
      <c r="A422"/>
    </row>
    <row r="423" spans="1:1" ht="12" customHeight="1">
      <c r="A423"/>
    </row>
    <row r="424" spans="1:1" ht="12" customHeight="1">
      <c r="A424"/>
    </row>
    <row r="425" spans="1:1" ht="12" customHeight="1">
      <c r="A425"/>
    </row>
    <row r="426" spans="1:1" ht="12" customHeight="1">
      <c r="A426"/>
    </row>
    <row r="427" spans="1:1" ht="12" customHeight="1">
      <c r="A427"/>
    </row>
    <row r="428" spans="1:1" ht="12" customHeight="1">
      <c r="A428"/>
    </row>
    <row r="429" spans="1:1" ht="12" customHeight="1">
      <c r="A429"/>
    </row>
    <row r="430" spans="1:1" ht="12" customHeight="1">
      <c r="A430"/>
    </row>
    <row r="431" spans="1:1" ht="12" customHeight="1">
      <c r="A431"/>
    </row>
    <row r="432" spans="1:1" ht="12" customHeight="1">
      <c r="A432"/>
    </row>
    <row r="433" spans="1:1" ht="12" customHeight="1">
      <c r="A433"/>
    </row>
    <row r="434" spans="1:1" ht="12" customHeight="1">
      <c r="A434"/>
    </row>
    <row r="435" spans="1:1" ht="12" customHeight="1">
      <c r="A435"/>
    </row>
    <row r="436" spans="1:1" ht="12" customHeight="1">
      <c r="A436"/>
    </row>
    <row r="437" spans="1:1" ht="12" customHeight="1">
      <c r="A437"/>
    </row>
    <row r="438" spans="1:1" ht="12" customHeight="1">
      <c r="A438"/>
    </row>
    <row r="439" spans="1:1" ht="12" customHeight="1">
      <c r="A439"/>
    </row>
    <row r="440" spans="1:1" ht="12" customHeight="1">
      <c r="A440"/>
    </row>
    <row r="441" spans="1:1" ht="12" customHeight="1">
      <c r="A441"/>
    </row>
    <row r="442" spans="1:1" ht="12" customHeight="1">
      <c r="A442"/>
    </row>
    <row r="443" spans="1:1" ht="12" customHeight="1">
      <c r="A443"/>
    </row>
    <row r="444" spans="1:1" ht="12" customHeight="1">
      <c r="A444"/>
    </row>
    <row r="445" spans="1:1" ht="12" customHeight="1">
      <c r="A445"/>
    </row>
    <row r="446" spans="1:1" ht="12" customHeight="1">
      <c r="A446"/>
    </row>
    <row r="447" spans="1:1" ht="12" customHeight="1">
      <c r="A447"/>
    </row>
    <row r="448" spans="1:1" ht="12" customHeight="1">
      <c r="A448"/>
    </row>
    <row r="449" spans="1:1" ht="12" customHeight="1">
      <c r="A449"/>
    </row>
    <row r="450" spans="1:1" ht="12" customHeight="1">
      <c r="A450"/>
    </row>
    <row r="451" spans="1:1" ht="12" customHeight="1">
      <c r="A451"/>
    </row>
    <row r="452" spans="1:1" ht="12" customHeight="1">
      <c r="A452"/>
    </row>
    <row r="453" spans="1:1" ht="12" customHeight="1">
      <c r="A453"/>
    </row>
    <row r="454" spans="1:1" ht="12" customHeight="1">
      <c r="A454"/>
    </row>
    <row r="455" spans="1:1" ht="12" customHeight="1">
      <c r="A455"/>
    </row>
    <row r="456" spans="1:1" ht="12" customHeight="1">
      <c r="A456"/>
    </row>
    <row r="457" spans="1:1" ht="12" customHeight="1">
      <c r="A457"/>
    </row>
    <row r="458" spans="1:1" ht="12" customHeight="1">
      <c r="A458"/>
    </row>
    <row r="459" spans="1:1" ht="12" customHeight="1">
      <c r="A459"/>
    </row>
    <row r="460" spans="1:1" ht="12" customHeight="1">
      <c r="A460"/>
    </row>
    <row r="461" spans="1:1" ht="12" customHeight="1">
      <c r="A461"/>
    </row>
    <row r="462" spans="1:1" ht="12" customHeight="1">
      <c r="A462"/>
    </row>
    <row r="463" spans="1:1" ht="12" customHeight="1">
      <c r="A463"/>
    </row>
    <row r="464" spans="1:1" ht="12" customHeight="1">
      <c r="A464"/>
    </row>
    <row r="465" spans="1:1" ht="12" customHeight="1">
      <c r="A465"/>
    </row>
    <row r="466" spans="1:1" ht="12" customHeight="1">
      <c r="A466"/>
    </row>
    <row r="467" spans="1:1" ht="12" customHeight="1">
      <c r="A467"/>
    </row>
    <row r="468" spans="1:1" ht="12" customHeight="1">
      <c r="A468"/>
    </row>
    <row r="469" spans="1:1" ht="12" customHeight="1">
      <c r="A469"/>
    </row>
    <row r="470" spans="1:1" ht="12" customHeight="1">
      <c r="A470"/>
    </row>
    <row r="471" spans="1:1" ht="12" customHeight="1">
      <c r="A471"/>
    </row>
    <row r="472" spans="1:1" ht="12" customHeight="1">
      <c r="A472"/>
    </row>
    <row r="473" spans="1:1" ht="12" customHeight="1">
      <c r="A473"/>
    </row>
    <row r="474" spans="1:1" ht="12" customHeight="1">
      <c r="A474"/>
    </row>
    <row r="475" spans="1:1" ht="12" customHeight="1">
      <c r="A475"/>
    </row>
    <row r="476" spans="1:1" ht="12" customHeight="1">
      <c r="A476"/>
    </row>
    <row r="477" spans="1:1" ht="12" customHeight="1">
      <c r="A477"/>
    </row>
    <row r="478" spans="1:1" ht="12" customHeight="1">
      <c r="A478"/>
    </row>
    <row r="479" spans="1:1" ht="12" customHeight="1">
      <c r="A479"/>
    </row>
    <row r="480" spans="1:1" ht="12" customHeight="1">
      <c r="A480"/>
    </row>
    <row r="481" spans="1:1" ht="12" customHeight="1">
      <c r="A481"/>
    </row>
    <row r="482" spans="1:1" ht="12" customHeight="1">
      <c r="A482"/>
    </row>
    <row r="483" spans="1:1" ht="12" customHeight="1">
      <c r="A483"/>
    </row>
    <row r="484" spans="1:1" ht="12" customHeight="1">
      <c r="A484"/>
    </row>
    <row r="485" spans="1:1" ht="12" customHeight="1">
      <c r="A485"/>
    </row>
    <row r="486" spans="1:1" ht="12" customHeight="1">
      <c r="A486"/>
    </row>
    <row r="487" spans="1:1" ht="12" customHeight="1">
      <c r="A487"/>
    </row>
    <row r="488" spans="1:1" ht="12" customHeight="1">
      <c r="A488"/>
    </row>
    <row r="489" spans="1:1" ht="12" customHeight="1">
      <c r="A489"/>
    </row>
    <row r="490" spans="1:1" ht="12" customHeight="1">
      <c r="A490"/>
    </row>
    <row r="491" spans="1:1" ht="12" customHeight="1">
      <c r="A491"/>
    </row>
    <row r="492" spans="1:1" ht="12" customHeight="1">
      <c r="A492"/>
    </row>
    <row r="493" spans="1:1" ht="12" customHeight="1">
      <c r="A493"/>
    </row>
    <row r="494" spans="1:1" ht="12" customHeight="1">
      <c r="A494"/>
    </row>
    <row r="495" spans="1:1" ht="12" customHeight="1">
      <c r="A495"/>
    </row>
    <row r="496" spans="1:1" ht="12" customHeight="1">
      <c r="A496"/>
    </row>
    <row r="497" spans="1:1" ht="12" customHeight="1">
      <c r="A497"/>
    </row>
    <row r="498" spans="1:1" ht="12" customHeight="1">
      <c r="A498"/>
    </row>
    <row r="499" spans="1:1" ht="12" customHeight="1">
      <c r="A499"/>
    </row>
    <row r="500" spans="1:1" ht="12" customHeight="1">
      <c r="A500"/>
    </row>
    <row r="501" spans="1:1" ht="12" customHeight="1">
      <c r="A501"/>
    </row>
    <row r="502" spans="1:1" ht="12" customHeight="1">
      <c r="A502"/>
    </row>
    <row r="503" spans="1:1" ht="12" customHeight="1">
      <c r="A503"/>
    </row>
    <row r="504" spans="1:1" ht="12" customHeight="1">
      <c r="A504"/>
    </row>
    <row r="505" spans="1:1" ht="12" customHeight="1">
      <c r="A505"/>
    </row>
    <row r="506" spans="1:1" ht="12" customHeight="1">
      <c r="A506"/>
    </row>
    <row r="507" spans="1:1" ht="12" customHeight="1">
      <c r="A507"/>
    </row>
    <row r="508" spans="1:1" ht="12" customHeight="1">
      <c r="A508"/>
    </row>
    <row r="509" spans="1:1" ht="12" customHeight="1">
      <c r="A509"/>
    </row>
    <row r="510" spans="1:1" ht="12" customHeight="1">
      <c r="A510"/>
    </row>
    <row r="511" spans="1:1" ht="12" customHeight="1">
      <c r="A511"/>
    </row>
    <row r="512" spans="1:1" ht="12" customHeight="1">
      <c r="A512"/>
    </row>
    <row r="513" spans="1:1" ht="12" customHeight="1">
      <c r="A513"/>
    </row>
    <row r="514" spans="1:1" ht="12" customHeight="1">
      <c r="A514"/>
    </row>
    <row r="515" spans="1:1" ht="12" customHeight="1">
      <c r="A515"/>
    </row>
    <row r="516" spans="1:1" ht="12" customHeight="1">
      <c r="A516"/>
    </row>
    <row r="517" spans="1:1" ht="12" customHeight="1">
      <c r="A517"/>
    </row>
    <row r="518" spans="1:1" ht="12" customHeight="1">
      <c r="A518"/>
    </row>
    <row r="519" spans="1:1" ht="12" customHeight="1">
      <c r="A519"/>
    </row>
    <row r="520" spans="1:1" ht="12" customHeight="1">
      <c r="A520"/>
    </row>
    <row r="521" spans="1:1" ht="12" customHeight="1">
      <c r="A521"/>
    </row>
    <row r="522" spans="1:1" ht="12" customHeight="1">
      <c r="A522"/>
    </row>
    <row r="523" spans="1:1" ht="12" customHeight="1">
      <c r="A523"/>
    </row>
    <row r="524" spans="1:1" ht="12" customHeight="1">
      <c r="A524"/>
    </row>
    <row r="525" spans="1:1" ht="12" customHeight="1">
      <c r="A525"/>
    </row>
    <row r="526" spans="1:1" ht="12" customHeight="1">
      <c r="A526"/>
    </row>
    <row r="527" spans="1:1" ht="12" customHeight="1">
      <c r="A527"/>
    </row>
    <row r="528" spans="1:1" ht="12" customHeight="1">
      <c r="A528"/>
    </row>
    <row r="529" spans="1:1" ht="12" customHeight="1">
      <c r="A529"/>
    </row>
    <row r="530" spans="1:1" ht="12" customHeight="1">
      <c r="A530"/>
    </row>
    <row r="531" spans="1:1" ht="12" customHeight="1">
      <c r="A531"/>
    </row>
    <row r="532" spans="1:1" ht="12" customHeight="1">
      <c r="A532"/>
    </row>
    <row r="533" spans="1:1" ht="12" customHeight="1">
      <c r="A533"/>
    </row>
    <row r="534" spans="1:1" ht="12" customHeight="1">
      <c r="A534"/>
    </row>
    <row r="535" spans="1:1" ht="12" customHeight="1">
      <c r="A535"/>
    </row>
    <row r="536" spans="1:1" ht="12" customHeight="1">
      <c r="A536"/>
    </row>
    <row r="537" spans="1:1" ht="12" customHeight="1">
      <c r="A537"/>
    </row>
    <row r="538" spans="1:1" ht="12" customHeight="1">
      <c r="A538"/>
    </row>
    <row r="539" spans="1:1" ht="12" customHeight="1">
      <c r="A539"/>
    </row>
    <row r="540" spans="1:1" ht="12" customHeight="1">
      <c r="A540"/>
    </row>
    <row r="541" spans="1:1" ht="12" customHeight="1">
      <c r="A541"/>
    </row>
    <row r="542" spans="1:1" ht="12" customHeight="1">
      <c r="A542"/>
    </row>
    <row r="543" spans="1:1" ht="12" customHeight="1">
      <c r="A543"/>
    </row>
    <row r="544" spans="1:1" ht="12" customHeight="1">
      <c r="A544"/>
    </row>
    <row r="545" spans="1:1" ht="12" customHeight="1">
      <c r="A545"/>
    </row>
    <row r="546" spans="1:1" ht="12" customHeight="1">
      <c r="A546"/>
    </row>
    <row r="547" spans="1:1" ht="12" customHeight="1">
      <c r="A547"/>
    </row>
    <row r="548" spans="1:1" ht="12" customHeight="1">
      <c r="A548"/>
    </row>
    <row r="549" spans="1:1" ht="12" customHeight="1">
      <c r="A549"/>
    </row>
    <row r="550" spans="1:1" ht="12" customHeight="1">
      <c r="A550"/>
    </row>
    <row r="551" spans="1:1" ht="12" customHeight="1">
      <c r="A551"/>
    </row>
    <row r="552" spans="1:1" ht="12" customHeight="1">
      <c r="A552"/>
    </row>
    <row r="553" spans="1:1" ht="12" customHeight="1">
      <c r="A553"/>
    </row>
    <row r="554" spans="1:1" ht="12" customHeight="1">
      <c r="A554"/>
    </row>
    <row r="555" spans="1:1" ht="12" customHeight="1">
      <c r="A555"/>
    </row>
    <row r="556" spans="1:1" ht="12" customHeight="1">
      <c r="A556"/>
    </row>
    <row r="557" spans="1:1" ht="12" customHeight="1">
      <c r="A557"/>
    </row>
    <row r="558" spans="1:1" ht="12" customHeight="1">
      <c r="A558"/>
    </row>
    <row r="559" spans="1:1" ht="12" customHeight="1">
      <c r="A559"/>
    </row>
    <row r="560" spans="1:1" ht="12" customHeight="1">
      <c r="A560"/>
    </row>
    <row r="561" spans="1:1" ht="12" customHeight="1">
      <c r="A561"/>
    </row>
    <row r="562" spans="1:1" ht="12" customHeight="1">
      <c r="A562"/>
    </row>
    <row r="563" spans="1:1" ht="12" customHeight="1">
      <c r="A563"/>
    </row>
    <row r="564" spans="1:1" ht="12" customHeight="1">
      <c r="A564"/>
    </row>
    <row r="565" spans="1:1" ht="12" customHeight="1">
      <c r="A565"/>
    </row>
    <row r="566" spans="1:1" ht="12" customHeight="1">
      <c r="A566"/>
    </row>
    <row r="567" spans="1:1" ht="12" customHeight="1">
      <c r="A567"/>
    </row>
    <row r="568" spans="1:1" ht="12" customHeight="1">
      <c r="A568"/>
    </row>
    <row r="569" spans="1:1" ht="12" customHeight="1">
      <c r="A569"/>
    </row>
    <row r="570" spans="1:1" ht="12" customHeight="1">
      <c r="A570"/>
    </row>
    <row r="571" spans="1:1" ht="12" customHeight="1">
      <c r="A571"/>
    </row>
    <row r="572" spans="1:1" ht="12" customHeight="1">
      <c r="A572"/>
    </row>
    <row r="573" spans="1:1" ht="12" customHeight="1">
      <c r="A573"/>
    </row>
    <row r="574" spans="1:1" ht="12" customHeight="1">
      <c r="A574"/>
    </row>
    <row r="575" spans="1:1" ht="12" customHeight="1">
      <c r="A575"/>
    </row>
    <row r="576" spans="1:1" ht="12" customHeight="1">
      <c r="A576"/>
    </row>
    <row r="577" spans="1:1" ht="12" customHeight="1">
      <c r="A577"/>
    </row>
    <row r="578" spans="1:1" ht="12" customHeight="1">
      <c r="A578"/>
    </row>
    <row r="579" spans="1:1" ht="12" customHeight="1">
      <c r="A579"/>
    </row>
    <row r="580" spans="1:1" ht="12" customHeight="1">
      <c r="A580"/>
    </row>
    <row r="581" spans="1:1" ht="12" customHeight="1">
      <c r="A581"/>
    </row>
    <row r="582" spans="1:1" ht="12" customHeight="1">
      <c r="A582"/>
    </row>
    <row r="583" spans="1:1" ht="12" customHeight="1">
      <c r="A583"/>
    </row>
    <row r="584" spans="1:1" ht="12" customHeight="1">
      <c r="A584"/>
    </row>
    <row r="585" spans="1:1" ht="12" customHeight="1">
      <c r="A585"/>
    </row>
    <row r="586" spans="1:1" ht="12" customHeight="1">
      <c r="A586"/>
    </row>
    <row r="587" spans="1:1" ht="12" customHeight="1">
      <c r="A587"/>
    </row>
    <row r="588" spans="1:1" ht="12" customHeight="1">
      <c r="A588"/>
    </row>
    <row r="589" spans="1:1" ht="12" customHeight="1">
      <c r="A589"/>
    </row>
    <row r="590" spans="1:1" ht="12" customHeight="1">
      <c r="A590"/>
    </row>
    <row r="591" spans="1:1" ht="12" customHeight="1">
      <c r="A591"/>
    </row>
    <row r="592" spans="1:1" ht="12" customHeight="1">
      <c r="A592"/>
    </row>
    <row r="593" spans="1:1" ht="12" customHeight="1">
      <c r="A593"/>
    </row>
    <row r="594" spans="1:1" ht="12" customHeight="1">
      <c r="A594"/>
    </row>
    <row r="595" spans="1:1" ht="12" customHeight="1">
      <c r="A595"/>
    </row>
    <row r="596" spans="1:1" ht="12" customHeight="1">
      <c r="A596"/>
    </row>
    <row r="597" spans="1:1" ht="12" customHeight="1">
      <c r="A597"/>
    </row>
    <row r="598" spans="1:1" ht="12" customHeight="1">
      <c r="A598"/>
    </row>
    <row r="599" spans="1:1" ht="12" customHeight="1">
      <c r="A599"/>
    </row>
    <row r="600" spans="1:1" ht="12" customHeight="1">
      <c r="A600"/>
    </row>
    <row r="601" spans="1:1" ht="12" customHeight="1">
      <c r="A601"/>
    </row>
    <row r="602" spans="1:1" ht="12" customHeight="1">
      <c r="A602"/>
    </row>
    <row r="603" spans="1:1" ht="12" customHeight="1">
      <c r="A603"/>
    </row>
    <row r="604" spans="1:1" ht="12" customHeight="1">
      <c r="A604"/>
    </row>
    <row r="605" spans="1:1" ht="12" customHeight="1">
      <c r="A605"/>
    </row>
    <row r="606" spans="1:1" ht="12" customHeight="1">
      <c r="A606"/>
    </row>
    <row r="607" spans="1:1" ht="12" customHeight="1">
      <c r="A607"/>
    </row>
    <row r="608" spans="1:1" ht="12" customHeight="1">
      <c r="A608"/>
    </row>
    <row r="609" spans="1:1" ht="12" customHeight="1">
      <c r="A609"/>
    </row>
    <row r="610" spans="1:1" ht="12" customHeight="1">
      <c r="A610"/>
    </row>
    <row r="611" spans="1:1" ht="12" customHeight="1">
      <c r="A611"/>
    </row>
    <row r="612" spans="1:1" ht="12" customHeight="1">
      <c r="A612"/>
    </row>
    <row r="613" spans="1:1" ht="12" customHeight="1">
      <c r="A613"/>
    </row>
    <row r="614" spans="1:1" ht="12" customHeight="1">
      <c r="A614"/>
    </row>
    <row r="615" spans="1:1" ht="12" customHeight="1">
      <c r="A615"/>
    </row>
    <row r="616" spans="1:1" ht="12" customHeight="1">
      <c r="A616"/>
    </row>
    <row r="617" spans="1:1" ht="12" customHeight="1">
      <c r="A617"/>
    </row>
    <row r="618" spans="1:1" ht="12" customHeight="1">
      <c r="A618"/>
    </row>
    <row r="619" spans="1:1" ht="12" customHeight="1">
      <c r="A619"/>
    </row>
    <row r="620" spans="1:1" ht="12" customHeight="1">
      <c r="A620"/>
    </row>
    <row r="621" spans="1:1" ht="12" customHeight="1">
      <c r="A621"/>
    </row>
    <row r="622" spans="1:1" ht="12" customHeight="1">
      <c r="A622"/>
    </row>
    <row r="623" spans="1:1" ht="12" customHeight="1">
      <c r="A623"/>
    </row>
    <row r="624" spans="1:1" ht="12" customHeight="1">
      <c r="A624"/>
    </row>
    <row r="625" spans="1:1" ht="12" customHeight="1">
      <c r="A625"/>
    </row>
    <row r="626" spans="1:1" ht="12" customHeight="1">
      <c r="A626"/>
    </row>
    <row r="627" spans="1:1" ht="12" customHeight="1">
      <c r="A627"/>
    </row>
    <row r="628" spans="1:1" ht="12" customHeight="1">
      <c r="A628"/>
    </row>
    <row r="629" spans="1:1" ht="12" customHeight="1">
      <c r="A629"/>
    </row>
    <row r="630" spans="1:1" ht="12" customHeight="1">
      <c r="A630"/>
    </row>
    <row r="631" spans="1:1" ht="12" customHeight="1">
      <c r="A631"/>
    </row>
    <row r="632" spans="1:1" ht="12" customHeight="1">
      <c r="A632"/>
    </row>
    <row r="633" spans="1:1" ht="12" customHeight="1">
      <c r="A633"/>
    </row>
    <row r="634" spans="1:1" ht="12" customHeight="1">
      <c r="A634"/>
    </row>
    <row r="635" spans="1:1" ht="12" customHeight="1">
      <c r="A635"/>
    </row>
    <row r="636" spans="1:1" ht="12" customHeight="1">
      <c r="A636"/>
    </row>
    <row r="637" spans="1:1" ht="12" customHeight="1">
      <c r="A637"/>
    </row>
    <row r="638" spans="1:1" ht="12" customHeight="1">
      <c r="A638"/>
    </row>
    <row r="639" spans="1:1" ht="12" customHeight="1">
      <c r="A639"/>
    </row>
    <row r="640" spans="1:1" ht="12" customHeight="1">
      <c r="A640"/>
    </row>
    <row r="641" spans="1:1" ht="12" customHeight="1">
      <c r="A641"/>
    </row>
    <row r="642" spans="1:1" ht="12" customHeight="1">
      <c r="A642"/>
    </row>
    <row r="643" spans="1:1" ht="12" customHeight="1">
      <c r="A643"/>
    </row>
    <row r="644" spans="1:1" ht="12" customHeight="1">
      <c r="A644"/>
    </row>
    <row r="645" spans="1:1" ht="12" customHeight="1">
      <c r="A645"/>
    </row>
    <row r="646" spans="1:1" ht="12" customHeight="1">
      <c r="A646"/>
    </row>
    <row r="647" spans="1:1" ht="12" customHeight="1">
      <c r="A647"/>
    </row>
    <row r="648" spans="1:1" ht="12" customHeight="1">
      <c r="A648"/>
    </row>
    <row r="649" spans="1:1" ht="12" customHeight="1">
      <c r="A649"/>
    </row>
    <row r="650" spans="1:1" ht="12" customHeight="1">
      <c r="A650"/>
    </row>
    <row r="651" spans="1:1" ht="12" customHeight="1">
      <c r="A651"/>
    </row>
    <row r="652" spans="1:1" ht="12" customHeight="1">
      <c r="A652"/>
    </row>
    <row r="653" spans="1:1" ht="12" customHeight="1">
      <c r="A653"/>
    </row>
    <row r="654" spans="1:1" ht="12" customHeight="1">
      <c r="A654"/>
    </row>
    <row r="655" spans="1:1" ht="12" customHeight="1">
      <c r="A655"/>
    </row>
    <row r="656" spans="1:1" ht="12" customHeight="1">
      <c r="A656"/>
    </row>
    <row r="657" spans="1:1" ht="12" customHeight="1">
      <c r="A657"/>
    </row>
    <row r="658" spans="1:1" ht="12" customHeight="1">
      <c r="A658"/>
    </row>
    <row r="659" spans="1:1" ht="12" customHeight="1">
      <c r="A659"/>
    </row>
    <row r="660" spans="1:1" ht="12" customHeight="1">
      <c r="A660"/>
    </row>
    <row r="661" spans="1:1" ht="12" customHeight="1">
      <c r="A661"/>
    </row>
    <row r="662" spans="1:1" ht="12" customHeight="1">
      <c r="A662"/>
    </row>
    <row r="663" spans="1:1" ht="12" customHeight="1">
      <c r="A663"/>
    </row>
    <row r="664" spans="1:1" ht="12" customHeight="1">
      <c r="A664"/>
    </row>
    <row r="665" spans="1:1" ht="12" customHeight="1">
      <c r="A665"/>
    </row>
    <row r="666" spans="1:1" ht="12" customHeight="1">
      <c r="A666"/>
    </row>
    <row r="667" spans="1:1" ht="12" customHeight="1">
      <c r="A667"/>
    </row>
    <row r="668" spans="1:1" ht="12" customHeight="1">
      <c r="A668"/>
    </row>
    <row r="669" spans="1:1" ht="12" customHeight="1">
      <c r="A669"/>
    </row>
    <row r="670" spans="1:1" ht="12" customHeight="1">
      <c r="A670"/>
    </row>
    <row r="671" spans="1:1" ht="12" customHeight="1">
      <c r="A671"/>
    </row>
    <row r="672" spans="1:1" ht="12" customHeight="1">
      <c r="A672"/>
    </row>
    <row r="673" spans="1:1" ht="12" customHeight="1">
      <c r="A673"/>
    </row>
  </sheetData>
  <autoFilter ref="A1:BR364"/>
  <phoneticPr fontId="170" type="noConversion"/>
  <pageMargins left="0.70866141732283472" right="0.70866141732283472" top="0.74803149606299213" bottom="0.74803149606299213" header="0.31496062992125984" footer="0.31496062992125984"/>
  <pageSetup paperSize="9" scale="11" orientation="landscape" r:id="rId1"/>
  <headerFooter>
    <oddHeader>&amp;L&amp;F / &amp;A&amp;R&amp;D</oddHeader>
    <oddFooter>&amp;L&amp;12CONFIDENTIAL&amp;C&amp;12BARKER JET&amp;Rpage &amp;P / &amp;N</oddFooter>
  </headerFooter>
  <legacy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B27"/>
  <sheetViews>
    <sheetView workbookViewId="0">
      <selection activeCell="E125" sqref="E125"/>
    </sheetView>
  </sheetViews>
  <sheetFormatPr defaultColWidth="8.85546875" defaultRowHeight="13.5"/>
  <cols>
    <col min="1" max="16384" width="8.85546875" style="1427"/>
  </cols>
  <sheetData>
    <row r="1" spans="1:2">
      <c r="A1" s="1427" t="s">
        <v>2772</v>
      </c>
      <c r="B1" s="1427" t="s">
        <v>2773</v>
      </c>
    </row>
    <row r="2" spans="1:2">
      <c r="A2" s="1427">
        <v>2</v>
      </c>
      <c r="B2" s="1427">
        <v>2</v>
      </c>
    </row>
    <row r="3" spans="1:2">
      <c r="A3" s="1427">
        <v>3</v>
      </c>
      <c r="B3" s="1427">
        <v>3</v>
      </c>
    </row>
    <row r="4" spans="1:2">
      <c r="A4" s="1427">
        <v>4</v>
      </c>
      <c r="B4" s="1427">
        <v>4</v>
      </c>
    </row>
    <row r="5" spans="1:2">
      <c r="A5" s="1427">
        <v>5</v>
      </c>
      <c r="B5" s="1427">
        <v>5</v>
      </c>
    </row>
    <row r="6" spans="1:2">
      <c r="A6" s="1427">
        <v>6</v>
      </c>
      <c r="B6" s="1427">
        <v>6</v>
      </c>
    </row>
    <row r="7" spans="1:2">
      <c r="A7" s="1427">
        <v>8</v>
      </c>
      <c r="B7" s="1427">
        <v>7</v>
      </c>
    </row>
    <row r="8" spans="1:2">
      <c r="A8" s="1427">
        <v>10</v>
      </c>
      <c r="B8" s="1427">
        <v>8</v>
      </c>
    </row>
    <row r="9" spans="1:2">
      <c r="A9" s="1427">
        <v>12</v>
      </c>
      <c r="B9" s="1427">
        <v>8</v>
      </c>
    </row>
    <row r="10" spans="1:2">
      <c r="A10" s="1427">
        <v>14</v>
      </c>
      <c r="B10" s="1427">
        <v>9</v>
      </c>
    </row>
    <row r="11" spans="1:2">
      <c r="A11" s="1427">
        <v>16</v>
      </c>
      <c r="B11" s="1427">
        <v>10</v>
      </c>
    </row>
    <row r="12" spans="1:2">
      <c r="A12" s="1427">
        <v>18</v>
      </c>
      <c r="B12" s="1427">
        <v>11</v>
      </c>
    </row>
    <row r="13" spans="1:2">
      <c r="A13" s="1427">
        <v>20</v>
      </c>
      <c r="B13" s="1427">
        <v>12</v>
      </c>
    </row>
    <row r="14" spans="1:2">
      <c r="A14" s="1427">
        <v>22</v>
      </c>
      <c r="B14" s="1427">
        <v>14</v>
      </c>
    </row>
    <row r="15" spans="1:2">
      <c r="A15" s="1427">
        <v>25</v>
      </c>
      <c r="B15" s="1427">
        <v>14</v>
      </c>
    </row>
    <row r="16" spans="1:2">
      <c r="A16" s="1427">
        <v>28</v>
      </c>
      <c r="B16" s="1427">
        <v>16</v>
      </c>
    </row>
    <row r="17" spans="1:2">
      <c r="A17" s="1427">
        <v>32</v>
      </c>
      <c r="B17" s="1427">
        <v>18</v>
      </c>
    </row>
    <row r="18" spans="1:2">
      <c r="A18" s="1427">
        <v>36</v>
      </c>
      <c r="B18" s="1427">
        <v>20</v>
      </c>
    </row>
    <row r="19" spans="1:2">
      <c r="A19" s="1427">
        <v>40</v>
      </c>
      <c r="B19" s="1427">
        <v>22</v>
      </c>
    </row>
    <row r="20" spans="1:2">
      <c r="A20" s="1427">
        <v>45</v>
      </c>
      <c r="B20" s="1427">
        <v>25</v>
      </c>
    </row>
    <row r="21" spans="1:2">
      <c r="A21" s="1427">
        <v>50</v>
      </c>
      <c r="B21" s="1427">
        <v>28</v>
      </c>
    </row>
    <row r="22" spans="1:2">
      <c r="A22" s="1427">
        <v>56</v>
      </c>
      <c r="B22" s="1427">
        <v>32</v>
      </c>
    </row>
    <row r="23" spans="1:2">
      <c r="A23" s="1427">
        <v>63</v>
      </c>
      <c r="B23" s="1427">
        <v>32</v>
      </c>
    </row>
    <row r="24" spans="1:2">
      <c r="A24" s="1427">
        <v>70</v>
      </c>
      <c r="B24" s="1427">
        <v>36</v>
      </c>
    </row>
    <row r="25" spans="1:2">
      <c r="A25" s="1427">
        <v>80</v>
      </c>
      <c r="B25" s="1427">
        <v>40</v>
      </c>
    </row>
    <row r="26" spans="1:2">
      <c r="A26" s="1427">
        <v>90</v>
      </c>
      <c r="B26" s="1427">
        <v>45</v>
      </c>
    </row>
    <row r="27" spans="1:2">
      <c r="A27" s="1427">
        <v>100</v>
      </c>
      <c r="B27" s="1427">
        <v>50</v>
      </c>
    </row>
  </sheetData>
  <phoneticPr fontId="170" type="noConversion"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J31"/>
  <sheetViews>
    <sheetView zoomScale="85" zoomScaleNormal="85" workbookViewId="0">
      <selection activeCell="E125" sqref="E125"/>
    </sheetView>
  </sheetViews>
  <sheetFormatPr defaultColWidth="8.85546875" defaultRowHeight="13.5"/>
  <cols>
    <col min="1" max="16384" width="8.85546875" style="1427"/>
  </cols>
  <sheetData>
    <row r="1" spans="1:10" ht="14.25" thickBot="1">
      <c r="A1" s="1425" t="s">
        <v>2760</v>
      </c>
      <c r="B1" s="1426"/>
      <c r="C1" s="4011" t="s">
        <v>2761</v>
      </c>
      <c r="D1" s="4012"/>
      <c r="E1" s="4012"/>
      <c r="F1" s="4012"/>
      <c r="G1" s="4013"/>
      <c r="H1" s="4014" t="s">
        <v>2762</v>
      </c>
      <c r="I1" s="4015"/>
      <c r="J1" s="4015"/>
    </row>
    <row r="2" spans="1:10" ht="14.25" thickBot="1">
      <c r="A2" s="4016" t="s">
        <v>2763</v>
      </c>
      <c r="B2" s="4019" t="s">
        <v>2764</v>
      </c>
      <c r="C2" s="4011" t="s">
        <v>2765</v>
      </c>
      <c r="D2" s="4012"/>
      <c r="E2" s="4012"/>
      <c r="F2" s="4012"/>
      <c r="G2" s="4013"/>
      <c r="H2" s="4022" t="s">
        <v>2766</v>
      </c>
      <c r="I2" s="4024" t="s">
        <v>2767</v>
      </c>
      <c r="J2" s="4025"/>
    </row>
    <row r="3" spans="1:10" ht="14.25" thickBot="1">
      <c r="A3" s="4017"/>
      <c r="B3" s="4020"/>
      <c r="C3" s="4028" t="s">
        <v>304</v>
      </c>
      <c r="D3" s="4028" t="s">
        <v>346</v>
      </c>
      <c r="E3" s="4031" t="s">
        <v>2768</v>
      </c>
      <c r="F3" s="4031" t="s">
        <v>2769</v>
      </c>
      <c r="G3" s="4031" t="s">
        <v>2770</v>
      </c>
      <c r="H3" s="4023"/>
      <c r="I3" s="4026"/>
      <c r="J3" s="4027"/>
    </row>
    <row r="4" spans="1:10">
      <c r="A4" s="4017"/>
      <c r="B4" s="4020"/>
      <c r="C4" s="4029"/>
      <c r="D4" s="4029"/>
      <c r="E4" s="4032"/>
      <c r="F4" s="4032"/>
      <c r="G4" s="4032"/>
      <c r="H4" s="4022" t="s">
        <v>304</v>
      </c>
      <c r="I4" s="4028" t="s">
        <v>348</v>
      </c>
      <c r="J4" s="4022" t="s">
        <v>2771</v>
      </c>
    </row>
    <row r="5" spans="1:10" ht="14.25" thickBot="1">
      <c r="A5" s="4018"/>
      <c r="B5" s="4021"/>
      <c r="C5" s="4030"/>
      <c r="D5" s="4030"/>
      <c r="E5" s="4033"/>
      <c r="F5" s="4033"/>
      <c r="G5" s="4033"/>
      <c r="H5" s="4034"/>
      <c r="I5" s="4030"/>
      <c r="J5" s="4034"/>
    </row>
    <row r="6" spans="1:10" ht="14.25" thickBot="1">
      <c r="A6" s="1428">
        <v>6</v>
      </c>
      <c r="B6" s="1428">
        <v>8</v>
      </c>
      <c r="C6" s="1429">
        <v>2</v>
      </c>
      <c r="D6" s="1429">
        <v>2</v>
      </c>
      <c r="E6" s="1429">
        <v>6</v>
      </c>
      <c r="F6" s="1429">
        <v>20</v>
      </c>
      <c r="G6" s="1429">
        <v>0.25</v>
      </c>
      <c r="H6" s="1430">
        <v>2</v>
      </c>
      <c r="I6" s="1430">
        <v>1.2</v>
      </c>
      <c r="J6" s="1430">
        <v>1</v>
      </c>
    </row>
    <row r="7" spans="1:10" ht="14.25" thickBot="1">
      <c r="A7" s="1428">
        <v>8</v>
      </c>
      <c r="B7" s="1428">
        <v>10</v>
      </c>
      <c r="C7" s="1429">
        <v>3</v>
      </c>
      <c r="D7" s="1429">
        <v>3</v>
      </c>
      <c r="E7" s="1429">
        <v>6</v>
      </c>
      <c r="F7" s="1429">
        <v>36</v>
      </c>
      <c r="G7" s="1429">
        <v>0.25</v>
      </c>
      <c r="H7" s="1430">
        <v>3</v>
      </c>
      <c r="I7" s="1430">
        <v>1.8</v>
      </c>
      <c r="J7" s="1430">
        <v>1.4</v>
      </c>
    </row>
    <row r="8" spans="1:10" ht="14.25" thickBot="1">
      <c r="A8" s="1428">
        <v>10</v>
      </c>
      <c r="B8" s="1428">
        <v>12</v>
      </c>
      <c r="C8" s="1429">
        <v>4</v>
      </c>
      <c r="D8" s="1429">
        <v>4</v>
      </c>
      <c r="E8" s="1429">
        <v>8</v>
      </c>
      <c r="F8" s="1429">
        <v>45</v>
      </c>
      <c r="G8" s="1429">
        <v>0.25</v>
      </c>
      <c r="H8" s="1430">
        <v>4</v>
      </c>
      <c r="I8" s="1430">
        <v>2.5</v>
      </c>
      <c r="J8" s="1430">
        <v>1.8</v>
      </c>
    </row>
    <row r="9" spans="1:10" ht="14.25" thickBot="1">
      <c r="A9" s="1428">
        <v>12</v>
      </c>
      <c r="B9" s="1428">
        <v>17</v>
      </c>
      <c r="C9" s="1429">
        <v>5</v>
      </c>
      <c r="D9" s="1429">
        <v>5</v>
      </c>
      <c r="E9" s="1429">
        <v>10</v>
      </c>
      <c r="F9" s="1429">
        <v>56</v>
      </c>
      <c r="G9" s="1429">
        <v>0.4</v>
      </c>
      <c r="H9" s="1430">
        <v>5</v>
      </c>
      <c r="I9" s="1430">
        <v>3</v>
      </c>
      <c r="J9" s="1430">
        <v>2.2999999999999998</v>
      </c>
    </row>
    <row r="10" spans="1:10" ht="14.25" thickBot="1">
      <c r="A10" s="1428">
        <v>17</v>
      </c>
      <c r="B10" s="1428">
        <v>22</v>
      </c>
      <c r="C10" s="1429">
        <v>6</v>
      </c>
      <c r="D10" s="1429">
        <v>6</v>
      </c>
      <c r="E10" s="1429">
        <v>14</v>
      </c>
      <c r="F10" s="1429">
        <v>70</v>
      </c>
      <c r="G10" s="1429">
        <v>0.4</v>
      </c>
      <c r="H10" s="1430">
        <v>6</v>
      </c>
      <c r="I10" s="1430">
        <v>3.5</v>
      </c>
      <c r="J10" s="1430">
        <v>2.8</v>
      </c>
    </row>
    <row r="11" spans="1:10" ht="14.25" thickBot="1">
      <c r="A11" s="1428">
        <v>22</v>
      </c>
      <c r="B11" s="1428">
        <v>30</v>
      </c>
      <c r="C11" s="1429">
        <v>8</v>
      </c>
      <c r="D11" s="1429">
        <v>7</v>
      </c>
      <c r="E11" s="1429">
        <v>18</v>
      </c>
      <c r="F11" s="1429">
        <v>90</v>
      </c>
      <c r="G11" s="1429">
        <v>0.4</v>
      </c>
      <c r="H11" s="1430">
        <v>8</v>
      </c>
      <c r="I11" s="1430">
        <v>4</v>
      </c>
      <c r="J11" s="1430">
        <v>3.3</v>
      </c>
    </row>
    <row r="12" spans="1:10" ht="14.25" thickBot="1">
      <c r="A12" s="1428">
        <v>30</v>
      </c>
      <c r="B12" s="1428">
        <v>38</v>
      </c>
      <c r="C12" s="1429">
        <v>10</v>
      </c>
      <c r="D12" s="1429">
        <v>8</v>
      </c>
      <c r="E12" s="1429">
        <v>22</v>
      </c>
      <c r="F12" s="1429">
        <v>110</v>
      </c>
      <c r="G12" s="1429">
        <v>0.6</v>
      </c>
      <c r="H12" s="1430">
        <v>10</v>
      </c>
      <c r="I12" s="1430">
        <v>5</v>
      </c>
      <c r="J12" s="1430">
        <v>3.3</v>
      </c>
    </row>
    <row r="13" spans="1:10" ht="14.25" thickBot="1">
      <c r="A13" s="1428">
        <v>38</v>
      </c>
      <c r="B13" s="1428">
        <v>44</v>
      </c>
      <c r="C13" s="1429">
        <v>12</v>
      </c>
      <c r="D13" s="1429">
        <v>8</v>
      </c>
      <c r="E13" s="1429">
        <v>28</v>
      </c>
      <c r="F13" s="1429">
        <v>140</v>
      </c>
      <c r="G13" s="1429">
        <v>0.6</v>
      </c>
      <c r="H13" s="1430">
        <v>12</v>
      </c>
      <c r="I13" s="1430">
        <v>5</v>
      </c>
      <c r="J13" s="1430">
        <v>3.3</v>
      </c>
    </row>
    <row r="14" spans="1:10" ht="14.25" thickBot="1">
      <c r="A14" s="1428">
        <v>44</v>
      </c>
      <c r="B14" s="1428">
        <v>50</v>
      </c>
      <c r="C14" s="1429">
        <v>14</v>
      </c>
      <c r="D14" s="1429">
        <v>9</v>
      </c>
      <c r="E14" s="1429">
        <v>36</v>
      </c>
      <c r="F14" s="1429">
        <v>160</v>
      </c>
      <c r="G14" s="1429">
        <v>0.6</v>
      </c>
      <c r="H14" s="1430">
        <v>14</v>
      </c>
      <c r="I14" s="1430">
        <v>5.5</v>
      </c>
      <c r="J14" s="1430">
        <v>3.8</v>
      </c>
    </row>
    <row r="15" spans="1:10" ht="14.25" thickBot="1">
      <c r="A15" s="1428">
        <v>50</v>
      </c>
      <c r="B15" s="1428">
        <v>58</v>
      </c>
      <c r="C15" s="1429">
        <v>16</v>
      </c>
      <c r="D15" s="1429">
        <v>10</v>
      </c>
      <c r="E15" s="1429">
        <v>45</v>
      </c>
      <c r="F15" s="1429">
        <v>180</v>
      </c>
      <c r="G15" s="1429">
        <v>0.6</v>
      </c>
      <c r="H15" s="1430">
        <v>16</v>
      </c>
      <c r="I15" s="1430">
        <v>6</v>
      </c>
      <c r="J15" s="1430">
        <v>4.3</v>
      </c>
    </row>
    <row r="16" spans="1:10" ht="14.25" thickBot="1">
      <c r="A16" s="1428">
        <v>58</v>
      </c>
      <c r="B16" s="1428">
        <v>65</v>
      </c>
      <c r="C16" s="1429">
        <v>18</v>
      </c>
      <c r="D16" s="1429">
        <v>11</v>
      </c>
      <c r="E16" s="1429">
        <v>50</v>
      </c>
      <c r="F16" s="1429">
        <v>200</v>
      </c>
      <c r="G16" s="1429">
        <v>0.6</v>
      </c>
      <c r="H16" s="1430">
        <v>18</v>
      </c>
      <c r="I16" s="1430">
        <v>7</v>
      </c>
      <c r="J16" s="1430">
        <v>4.4000000000000004</v>
      </c>
    </row>
    <row r="17" spans="1:10" ht="14.25" thickBot="1">
      <c r="A17" s="1428">
        <v>65</v>
      </c>
      <c r="B17" s="1428">
        <v>75</v>
      </c>
      <c r="C17" s="1429">
        <v>20</v>
      </c>
      <c r="D17" s="1429">
        <v>12</v>
      </c>
      <c r="E17" s="1429">
        <v>56</v>
      </c>
      <c r="F17" s="1429">
        <v>220</v>
      </c>
      <c r="G17" s="1429">
        <v>0.8</v>
      </c>
      <c r="H17" s="1430">
        <v>20</v>
      </c>
      <c r="I17" s="1430">
        <v>7.5</v>
      </c>
      <c r="J17" s="1430">
        <v>4.9000000000000004</v>
      </c>
    </row>
    <row r="18" spans="1:10" ht="14.25" thickBot="1">
      <c r="A18" s="1428">
        <v>75</v>
      </c>
      <c r="B18" s="1428">
        <v>85</v>
      </c>
      <c r="C18" s="1429">
        <v>22</v>
      </c>
      <c r="D18" s="1429">
        <v>14</v>
      </c>
      <c r="E18" s="1429">
        <v>63</v>
      </c>
      <c r="F18" s="1429">
        <v>250</v>
      </c>
      <c r="G18" s="1429">
        <v>0.8</v>
      </c>
      <c r="H18" s="1430">
        <v>22</v>
      </c>
      <c r="I18" s="1430">
        <v>9</v>
      </c>
      <c r="J18" s="1430">
        <v>5.4</v>
      </c>
    </row>
    <row r="19" spans="1:10" ht="14.25" thickBot="1">
      <c r="A19" s="1428">
        <v>85</v>
      </c>
      <c r="B19" s="1428">
        <v>95</v>
      </c>
      <c r="C19" s="1429">
        <v>25</v>
      </c>
      <c r="D19" s="1429">
        <v>14</v>
      </c>
      <c r="E19" s="1429">
        <v>70</v>
      </c>
      <c r="F19" s="1429">
        <v>280</v>
      </c>
      <c r="G19" s="1429">
        <v>0.8</v>
      </c>
      <c r="H19" s="1430">
        <v>25</v>
      </c>
      <c r="I19" s="1430">
        <v>9</v>
      </c>
      <c r="J19" s="1430">
        <v>5.4</v>
      </c>
    </row>
    <row r="20" spans="1:10" ht="14.25" thickBot="1">
      <c r="A20" s="1428">
        <v>95</v>
      </c>
      <c r="B20" s="1428">
        <v>110</v>
      </c>
      <c r="C20" s="1429">
        <v>28</v>
      </c>
      <c r="D20" s="1429">
        <v>16</v>
      </c>
      <c r="E20" s="1429">
        <v>80</v>
      </c>
      <c r="F20" s="1429">
        <v>320</v>
      </c>
      <c r="G20" s="1429">
        <v>0.8</v>
      </c>
      <c r="H20" s="1430">
        <v>28</v>
      </c>
      <c r="I20" s="1430">
        <v>10</v>
      </c>
      <c r="J20" s="1430">
        <v>6.4</v>
      </c>
    </row>
    <row r="21" spans="1:10" ht="14.25" thickBot="1">
      <c r="A21" s="1428">
        <v>110</v>
      </c>
      <c r="B21" s="1428">
        <v>130</v>
      </c>
      <c r="C21" s="1429">
        <v>32</v>
      </c>
      <c r="D21" s="1429">
        <v>18</v>
      </c>
      <c r="E21" s="1429">
        <v>90</v>
      </c>
      <c r="F21" s="1429">
        <v>360</v>
      </c>
      <c r="G21" s="1429">
        <v>0.8</v>
      </c>
      <c r="H21" s="1430">
        <v>32</v>
      </c>
      <c r="I21" s="1430">
        <v>11</v>
      </c>
      <c r="J21" s="1430">
        <v>7.4</v>
      </c>
    </row>
    <row r="22" spans="1:10" ht="14.25" thickBot="1">
      <c r="A22" s="1428">
        <v>130</v>
      </c>
      <c r="B22" s="1428">
        <v>150</v>
      </c>
      <c r="C22" s="1429">
        <v>36</v>
      </c>
      <c r="D22" s="1429">
        <v>20</v>
      </c>
      <c r="E22" s="1429">
        <v>100</v>
      </c>
      <c r="F22" s="1429">
        <v>400</v>
      </c>
      <c r="G22" s="1429">
        <v>1.2</v>
      </c>
      <c r="H22" s="1430">
        <v>36</v>
      </c>
      <c r="I22" s="1430">
        <v>12</v>
      </c>
      <c r="J22" s="1430">
        <v>8.4</v>
      </c>
    </row>
    <row r="23" spans="1:10" ht="14.25" thickBot="1">
      <c r="A23" s="1428">
        <v>150</v>
      </c>
      <c r="B23" s="1428">
        <v>170</v>
      </c>
      <c r="C23" s="1429">
        <v>40</v>
      </c>
      <c r="D23" s="1429">
        <v>22</v>
      </c>
      <c r="E23" s="1429">
        <v>100</v>
      </c>
      <c r="F23" s="1429">
        <v>401</v>
      </c>
      <c r="G23" s="1429">
        <v>1.2</v>
      </c>
      <c r="H23" s="1430">
        <v>40</v>
      </c>
      <c r="I23" s="1430">
        <v>13</v>
      </c>
      <c r="J23" s="1430">
        <v>9.4</v>
      </c>
    </row>
    <row r="24" spans="1:10" ht="14.25" thickBot="1">
      <c r="A24" s="1428">
        <v>170</v>
      </c>
      <c r="B24" s="1428">
        <v>200</v>
      </c>
      <c r="C24" s="1429">
        <v>45</v>
      </c>
      <c r="D24" s="1429">
        <v>25</v>
      </c>
      <c r="E24" s="1429">
        <v>110</v>
      </c>
      <c r="F24" s="1429">
        <v>450</v>
      </c>
      <c r="G24" s="1429">
        <v>1.2</v>
      </c>
      <c r="H24" s="1430">
        <v>45</v>
      </c>
      <c r="I24" s="1430">
        <v>15</v>
      </c>
      <c r="J24" s="1430">
        <v>10.4</v>
      </c>
    </row>
    <row r="25" spans="1:10" ht="14.25" thickBot="1">
      <c r="A25" s="1428">
        <v>200</v>
      </c>
      <c r="B25" s="1428">
        <v>230</v>
      </c>
      <c r="C25" s="1429">
        <v>50</v>
      </c>
      <c r="D25" s="1429">
        <v>28</v>
      </c>
      <c r="E25" s="1429">
        <v>125</v>
      </c>
      <c r="F25" s="1429">
        <v>500</v>
      </c>
      <c r="G25" s="1429">
        <v>1.2</v>
      </c>
      <c r="H25" s="1430">
        <v>50</v>
      </c>
      <c r="I25" s="1430">
        <v>17</v>
      </c>
      <c r="J25" s="1430">
        <v>11.4</v>
      </c>
    </row>
    <row r="26" spans="1:10" ht="14.25" thickBot="1">
      <c r="A26" s="1428">
        <v>230</v>
      </c>
      <c r="B26" s="1428">
        <v>260</v>
      </c>
      <c r="C26" s="1429">
        <v>56</v>
      </c>
      <c r="D26" s="1429">
        <v>32</v>
      </c>
      <c r="E26" s="1429">
        <v>140</v>
      </c>
      <c r="F26" s="1429">
        <v>500</v>
      </c>
      <c r="G26" s="1429">
        <v>2</v>
      </c>
      <c r="H26" s="1430">
        <v>56</v>
      </c>
      <c r="I26" s="1430">
        <v>20</v>
      </c>
      <c r="J26" s="1430">
        <v>12.4</v>
      </c>
    </row>
    <row r="27" spans="1:10" ht="14.25" thickBot="1">
      <c r="A27" s="1428">
        <v>260</v>
      </c>
      <c r="B27" s="1428">
        <v>290</v>
      </c>
      <c r="C27" s="1429">
        <v>63</v>
      </c>
      <c r="D27" s="1429">
        <v>32</v>
      </c>
      <c r="E27" s="1429">
        <v>160</v>
      </c>
      <c r="F27" s="1429">
        <v>500</v>
      </c>
      <c r="G27" s="1429">
        <v>2</v>
      </c>
      <c r="H27" s="1430">
        <v>63</v>
      </c>
      <c r="I27" s="1430">
        <v>20</v>
      </c>
      <c r="J27" s="1430">
        <v>12.4</v>
      </c>
    </row>
    <row r="28" spans="1:10" ht="14.25" thickBot="1">
      <c r="A28" s="1428">
        <v>290</v>
      </c>
      <c r="B28" s="1428">
        <v>330</v>
      </c>
      <c r="C28" s="1429">
        <v>70</v>
      </c>
      <c r="D28" s="1429">
        <v>36</v>
      </c>
      <c r="E28" s="1429">
        <v>180</v>
      </c>
      <c r="F28" s="1429">
        <v>500</v>
      </c>
      <c r="G28" s="1429">
        <v>2</v>
      </c>
      <c r="H28" s="1430">
        <v>70</v>
      </c>
      <c r="I28" s="1430">
        <v>22</v>
      </c>
      <c r="J28" s="1430">
        <v>14.4</v>
      </c>
    </row>
    <row r="29" spans="1:10" ht="14.25" thickBot="1">
      <c r="A29" s="1428">
        <v>330</v>
      </c>
      <c r="B29" s="1428">
        <v>380</v>
      </c>
      <c r="C29" s="1429">
        <v>80</v>
      </c>
      <c r="D29" s="1429">
        <v>40</v>
      </c>
      <c r="E29" s="1429">
        <v>200</v>
      </c>
      <c r="F29" s="1429">
        <v>500</v>
      </c>
      <c r="G29" s="1429">
        <v>3</v>
      </c>
      <c r="H29" s="1430">
        <v>80</v>
      </c>
      <c r="I29" s="1430">
        <v>25</v>
      </c>
      <c r="J29" s="1430">
        <v>15.4</v>
      </c>
    </row>
    <row r="30" spans="1:10" ht="14.25" thickBot="1">
      <c r="A30" s="1428">
        <v>380</v>
      </c>
      <c r="B30" s="1428">
        <v>440</v>
      </c>
      <c r="C30" s="1429">
        <v>90</v>
      </c>
      <c r="D30" s="1429">
        <v>45</v>
      </c>
      <c r="E30" s="1429">
        <v>220</v>
      </c>
      <c r="F30" s="1429">
        <v>500</v>
      </c>
      <c r="G30" s="1429">
        <v>3</v>
      </c>
      <c r="H30" s="1430">
        <v>90</v>
      </c>
      <c r="I30" s="1430">
        <v>28</v>
      </c>
      <c r="J30" s="1430">
        <v>17.399999999999999</v>
      </c>
    </row>
    <row r="31" spans="1:10" ht="14.25" thickBot="1">
      <c r="A31" s="1428">
        <v>440</v>
      </c>
      <c r="B31" s="1428">
        <v>500</v>
      </c>
      <c r="C31" s="1429">
        <v>100</v>
      </c>
      <c r="D31" s="1429">
        <v>50</v>
      </c>
      <c r="E31" s="1429">
        <v>250</v>
      </c>
      <c r="F31" s="1429">
        <v>500</v>
      </c>
      <c r="G31" s="1429">
        <v>3</v>
      </c>
      <c r="H31" s="1430">
        <v>100</v>
      </c>
      <c r="I31" s="1430">
        <v>31</v>
      </c>
      <c r="J31" s="1430">
        <v>19.399999999999999</v>
      </c>
    </row>
  </sheetData>
  <mergeCells count="15">
    <mergeCell ref="C1:G1"/>
    <mergeCell ref="H1:J1"/>
    <mergeCell ref="A2:A5"/>
    <mergeCell ref="B2:B5"/>
    <mergeCell ref="C2:G2"/>
    <mergeCell ref="H2:H3"/>
    <mergeCell ref="I2:J3"/>
    <mergeCell ref="C3:C5"/>
    <mergeCell ref="D3:D5"/>
    <mergeCell ref="E3:E5"/>
    <mergeCell ref="F3:F5"/>
    <mergeCell ref="G3:G5"/>
    <mergeCell ref="H4:H5"/>
    <mergeCell ref="I4:I5"/>
    <mergeCell ref="J4:J5"/>
  </mergeCells>
  <phoneticPr fontId="170" type="noConversion"/>
  <pageMargins left="0.7" right="0.7" top="0.75" bottom="0.75" header="0.3" footer="0.3"/>
  <drawing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CF240"/>
  <sheetViews>
    <sheetView zoomScale="60" zoomScaleNormal="60" workbookViewId="0">
      <pane xSplit="8" ySplit="17" topLeftCell="I18" activePane="bottomRight" state="frozen"/>
      <selection pane="topRight" activeCell="I1" sqref="I1"/>
      <selection pane="bottomLeft" activeCell="A18" sqref="A18"/>
      <selection pane="bottomRight" activeCell="AE29" sqref="AE29"/>
    </sheetView>
  </sheetViews>
  <sheetFormatPr defaultColWidth="8.85546875" defaultRowHeight="12.75"/>
  <cols>
    <col min="1" max="1" width="17.140625" style="1890" customWidth="1"/>
    <col min="2" max="2" width="11.7109375" style="1891" customWidth="1"/>
    <col min="3" max="3" width="17.140625" style="1892" customWidth="1"/>
    <col min="4" max="4" width="11.7109375" style="1890" customWidth="1"/>
    <col min="5" max="5" width="17.140625" style="1890" customWidth="1"/>
    <col min="6" max="6" width="11.7109375" style="1890" customWidth="1"/>
    <col min="7" max="18" width="8.85546875" style="1853" customWidth="1"/>
    <col min="19" max="19" width="8.85546875" style="1893" customWidth="1"/>
    <col min="20" max="25" width="8.85546875" style="1853" customWidth="1"/>
    <col min="26" max="16384" width="8.85546875" style="1853"/>
  </cols>
  <sheetData>
    <row r="1" spans="1:82" ht="14.45" customHeight="1" thickTop="1">
      <c r="A1" s="2261" t="s">
        <v>1065</v>
      </c>
      <c r="B1" s="2274">
        <v>7850</v>
      </c>
      <c r="C1" s="2262" t="s">
        <v>1800</v>
      </c>
      <c r="D1" s="2269"/>
      <c r="E1" s="2270"/>
      <c r="F1" s="2270"/>
      <c r="G1" s="2281"/>
      <c r="H1" s="2282"/>
      <c r="I1" s="1855"/>
      <c r="J1" s="1855"/>
      <c r="K1" s="1855"/>
      <c r="L1" s="1855"/>
      <c r="M1" s="1855"/>
      <c r="N1" s="1856"/>
      <c r="O1" s="1856"/>
      <c r="P1" s="1856"/>
      <c r="Q1" s="1856"/>
      <c r="R1" s="1857"/>
      <c r="S1" s="1858"/>
      <c r="T1" s="1855"/>
      <c r="U1" s="1855"/>
      <c r="V1" s="1855"/>
      <c r="W1" s="1855"/>
      <c r="X1" s="1855"/>
      <c r="Y1" s="1859"/>
      <c r="Z1" s="1860"/>
      <c r="AA1" s="1861"/>
      <c r="AB1" s="4035" t="s">
        <v>3533</v>
      </c>
      <c r="AC1" s="1856"/>
      <c r="AD1" s="1856"/>
      <c r="AE1" s="1856"/>
      <c r="AF1" s="1856"/>
      <c r="AG1" s="1856"/>
      <c r="AH1" s="1856"/>
      <c r="AI1" s="1856"/>
      <c r="AJ1" s="1856"/>
      <c r="AK1" s="1856"/>
      <c r="AL1" s="1856"/>
      <c r="AM1" s="1856"/>
      <c r="AN1" s="1856"/>
      <c r="AO1" s="1856"/>
      <c r="AP1" s="1856"/>
      <c r="AQ1" s="1856"/>
      <c r="AR1" s="1856"/>
      <c r="AS1" s="1856"/>
      <c r="AT1" s="1856"/>
      <c r="AU1" s="1856"/>
      <c r="AV1" s="1856"/>
      <c r="AW1" s="1856"/>
      <c r="AX1" s="1856"/>
      <c r="AY1" s="1856"/>
      <c r="AZ1" s="1856"/>
      <c r="BA1" s="1856"/>
      <c r="BB1" s="1856"/>
      <c r="BC1" s="1856"/>
      <c r="BD1" s="1856"/>
      <c r="BE1" s="1856"/>
      <c r="BF1" s="1856"/>
      <c r="BG1" s="1856"/>
      <c r="BH1" s="1856"/>
      <c r="BI1" s="1856"/>
      <c r="BJ1" s="1856"/>
      <c r="BK1" s="1856"/>
      <c r="BL1" s="1856"/>
      <c r="BM1" s="1856"/>
      <c r="BN1" s="1856"/>
      <c r="BO1" s="1856"/>
      <c r="BP1" s="1856"/>
      <c r="BQ1" s="1856"/>
      <c r="BR1" s="1856"/>
      <c r="BS1" s="1856"/>
      <c r="BT1" s="1856"/>
      <c r="BU1" s="1856"/>
      <c r="BV1" s="1856"/>
      <c r="BW1" s="1856"/>
      <c r="BX1" s="1856"/>
      <c r="BY1" s="1856"/>
      <c r="BZ1" s="1856"/>
      <c r="CA1" s="1856"/>
      <c r="CB1" s="1856"/>
      <c r="CC1" s="1856"/>
      <c r="CD1" s="1861"/>
    </row>
    <row r="2" spans="1:82" ht="14.45" customHeight="1">
      <c r="A2" s="983" t="s">
        <v>2156</v>
      </c>
      <c r="B2" s="876">
        <v>15</v>
      </c>
      <c r="C2" s="984" t="s">
        <v>1489</v>
      </c>
      <c r="D2" s="985"/>
      <c r="E2" s="986"/>
      <c r="F2" s="986"/>
      <c r="G2" s="986"/>
      <c r="H2" s="2283"/>
      <c r="I2" s="1855"/>
      <c r="J2" s="1855"/>
      <c r="K2" s="1855"/>
      <c r="L2" s="1855"/>
      <c r="M2" s="1855"/>
      <c r="N2" s="1855"/>
      <c r="O2" s="1855"/>
      <c r="P2" s="1855"/>
      <c r="Q2" s="1855"/>
      <c r="R2" s="1855"/>
      <c r="S2" s="1866"/>
      <c r="T2" s="1855"/>
      <c r="U2" s="1855"/>
      <c r="V2" s="1855"/>
      <c r="W2" s="1855"/>
      <c r="X2" s="1855"/>
      <c r="Y2" s="1859"/>
      <c r="Z2" s="1854"/>
      <c r="AA2" s="1859"/>
      <c r="AB2" s="4035"/>
      <c r="AC2" s="1855"/>
      <c r="AD2" s="1855"/>
      <c r="AE2" s="1855"/>
      <c r="AF2" s="1855"/>
      <c r="AG2" s="1855"/>
      <c r="AH2" s="1855"/>
      <c r="AI2" s="1855"/>
      <c r="AJ2" s="1855"/>
      <c r="AK2" s="1855"/>
      <c r="AL2" s="1855"/>
      <c r="AM2" s="1855"/>
      <c r="AN2" s="1855"/>
      <c r="AO2" s="1855"/>
      <c r="AP2" s="1855"/>
      <c r="AQ2" s="1855"/>
      <c r="AR2" s="1855"/>
      <c r="AS2" s="1855"/>
      <c r="AT2" s="1855"/>
      <c r="AU2" s="1855"/>
      <c r="AV2" s="1855"/>
      <c r="AW2" s="1855"/>
      <c r="AX2" s="1855"/>
      <c r="AY2" s="1855"/>
      <c r="AZ2" s="1855"/>
      <c r="BA2" s="1855"/>
      <c r="BB2" s="1855"/>
      <c r="BC2" s="1855"/>
      <c r="BD2" s="1855"/>
      <c r="BE2" s="1855"/>
      <c r="BF2" s="1855"/>
      <c r="BG2" s="1855"/>
      <c r="BH2" s="1855"/>
      <c r="BI2" s="1855"/>
      <c r="BJ2" s="1855"/>
      <c r="BK2" s="1855"/>
      <c r="BL2" s="1855"/>
      <c r="BM2" s="1855"/>
      <c r="BN2" s="1855"/>
      <c r="BO2" s="1855"/>
      <c r="BP2" s="1855"/>
      <c r="BQ2" s="1855"/>
      <c r="BR2" s="1855"/>
      <c r="BS2" s="1855"/>
      <c r="BT2" s="1855"/>
      <c r="BU2" s="1855"/>
      <c r="BV2" s="1855"/>
      <c r="BW2" s="1855"/>
      <c r="BX2" s="1855"/>
      <c r="BY2" s="1855"/>
      <c r="BZ2" s="1855"/>
      <c r="CA2" s="1855"/>
      <c r="CB2" s="1855"/>
      <c r="CC2" s="1855"/>
      <c r="CD2" s="1859"/>
    </row>
    <row r="3" spans="1:82" ht="14.45" customHeight="1" thickBot="1">
      <c r="A3" s="988" t="s">
        <v>2157</v>
      </c>
      <c r="B3" s="2275">
        <v>9.8070000000000004</v>
      </c>
      <c r="C3" s="984" t="s">
        <v>2158</v>
      </c>
      <c r="D3" s="985"/>
      <c r="E3" s="986"/>
      <c r="F3" s="986"/>
      <c r="G3" s="986"/>
      <c r="H3" s="2283"/>
      <c r="I3" s="1855"/>
      <c r="J3" s="1855"/>
      <c r="K3" s="1855"/>
      <c r="L3" s="1855"/>
      <c r="M3" s="1855"/>
      <c r="N3" s="1855"/>
      <c r="O3" s="1855"/>
      <c r="P3" s="1855"/>
      <c r="Q3" s="1855"/>
      <c r="R3" s="1855"/>
      <c r="S3" s="1866"/>
      <c r="T3" s="1855"/>
      <c r="U3" s="1855"/>
      <c r="V3" s="1855"/>
      <c r="W3" s="1855"/>
      <c r="X3" s="1855"/>
      <c r="Y3" s="1859"/>
      <c r="Z3" s="1854"/>
      <c r="AA3" s="1859"/>
      <c r="AB3" s="4035"/>
      <c r="AC3" s="1855"/>
      <c r="AD3" s="1855"/>
      <c r="AE3" s="1855"/>
      <c r="AF3" s="1855"/>
      <c r="AG3" s="1855"/>
      <c r="AH3" s="1855"/>
      <c r="AI3" s="1855"/>
      <c r="AJ3" s="1855"/>
      <c r="AK3" s="1855"/>
      <c r="AL3" s="1855"/>
      <c r="AM3" s="1855"/>
      <c r="AN3" s="1855"/>
      <c r="AO3" s="1855"/>
      <c r="AP3" s="1855"/>
      <c r="AQ3" s="1855"/>
      <c r="AR3" s="1855"/>
      <c r="AS3" s="1855"/>
      <c r="AT3" s="1855"/>
      <c r="AU3" s="1855"/>
      <c r="AV3" s="1855"/>
      <c r="AW3" s="1855"/>
      <c r="AX3" s="1855"/>
      <c r="AY3" s="1855"/>
      <c r="AZ3" s="1855"/>
      <c r="BA3" s="1855"/>
      <c r="BB3" s="1855"/>
      <c r="BC3" s="1855"/>
      <c r="BD3" s="1855"/>
      <c r="BE3" s="1855"/>
      <c r="BF3" s="1855"/>
      <c r="BG3" s="1855"/>
      <c r="BH3" s="1855"/>
      <c r="BI3" s="1855"/>
      <c r="BJ3" s="1855"/>
      <c r="BK3" s="1855"/>
      <c r="BL3" s="1855"/>
      <c r="BM3" s="1855"/>
      <c r="BN3" s="1855"/>
      <c r="BO3" s="1855"/>
      <c r="BP3" s="1855"/>
      <c r="BQ3" s="1855"/>
      <c r="BR3" s="1855"/>
      <c r="BS3" s="1855"/>
      <c r="BT3" s="1855"/>
      <c r="BU3" s="1855"/>
      <c r="BV3" s="1855"/>
      <c r="BW3" s="1855"/>
      <c r="BX3" s="1855"/>
      <c r="BY3" s="1855"/>
      <c r="BZ3" s="1855"/>
      <c r="CA3" s="1855"/>
      <c r="CB3" s="1855"/>
      <c r="CC3" s="1855"/>
      <c r="CD3" s="1859"/>
    </row>
    <row r="4" spans="1:82" ht="14.45" customHeight="1" thickBot="1">
      <c r="A4" s="2273" t="s">
        <v>3883</v>
      </c>
      <c r="B4" s="2271" t="s">
        <v>2873</v>
      </c>
      <c r="C4" s="2272" t="s">
        <v>2874</v>
      </c>
      <c r="D4" s="2272" t="s">
        <v>2875</v>
      </c>
      <c r="E4" s="2272" t="s">
        <v>3884</v>
      </c>
      <c r="F4" s="2272" t="s">
        <v>2877</v>
      </c>
      <c r="G4" s="2272" t="s">
        <v>1063</v>
      </c>
      <c r="H4" s="2284" t="s">
        <v>1064</v>
      </c>
      <c r="I4" s="1855"/>
      <c r="J4" s="1855"/>
      <c r="K4" s="1855"/>
      <c r="L4" s="1855"/>
      <c r="M4" s="1855"/>
      <c r="N4" s="1855"/>
      <c r="O4" s="1855"/>
      <c r="P4" s="1855"/>
      <c r="Q4" s="1855"/>
      <c r="R4" s="1855"/>
      <c r="S4" s="1866"/>
      <c r="T4" s="1855"/>
      <c r="U4" s="1855"/>
      <c r="V4" s="1855"/>
      <c r="W4" s="1855"/>
      <c r="X4" s="1855"/>
      <c r="Y4" s="1859"/>
      <c r="Z4" s="1854"/>
      <c r="AA4" s="1859"/>
      <c r="AB4" s="4035"/>
      <c r="AC4" s="1855"/>
      <c r="AD4" s="1855"/>
      <c r="AE4" s="1855"/>
      <c r="AF4" s="1855"/>
      <c r="AG4" s="1855"/>
      <c r="AH4" s="1855"/>
      <c r="AI4" s="1855"/>
      <c r="AJ4" s="1855"/>
      <c r="AK4" s="1855"/>
      <c r="AL4" s="1855"/>
      <c r="AM4" s="1855"/>
      <c r="AN4" s="1855"/>
      <c r="AO4" s="1855"/>
      <c r="AP4" s="1855"/>
      <c r="AQ4" s="1855"/>
      <c r="AR4" s="1855"/>
      <c r="AS4" s="1855"/>
      <c r="AT4" s="1855"/>
      <c r="AU4" s="1855"/>
      <c r="AV4" s="1855"/>
      <c r="AW4" s="1855"/>
      <c r="AX4" s="1855"/>
      <c r="AY4" s="1855"/>
      <c r="AZ4" s="1855"/>
      <c r="BA4" s="1855"/>
      <c r="BB4" s="1855"/>
      <c r="BC4" s="1855"/>
      <c r="BD4" s="1855"/>
      <c r="BE4" s="1855"/>
      <c r="BF4" s="1855"/>
      <c r="BG4" s="1855"/>
      <c r="BH4" s="1855"/>
      <c r="BI4" s="1855"/>
      <c r="BJ4" s="1855"/>
      <c r="BK4" s="1855"/>
      <c r="BL4" s="1855"/>
      <c r="BM4" s="1855"/>
      <c r="BN4" s="1855"/>
      <c r="BO4" s="1855"/>
      <c r="BP4" s="1855"/>
      <c r="BQ4" s="1855"/>
      <c r="BR4" s="1855"/>
      <c r="BS4" s="1855"/>
      <c r="BT4" s="1855"/>
      <c r="BU4" s="1855"/>
      <c r="BV4" s="1855"/>
      <c r="BW4" s="1855"/>
      <c r="BX4" s="1855"/>
      <c r="BY4" s="1855"/>
      <c r="BZ4" s="1855"/>
      <c r="CA4" s="1855"/>
      <c r="CB4" s="1855"/>
      <c r="CC4" s="1855"/>
      <c r="CD4" s="1859"/>
    </row>
    <row r="5" spans="1:82" ht="3" customHeight="1">
      <c r="A5" s="1867"/>
      <c r="B5" s="1862"/>
      <c r="C5" s="1863"/>
      <c r="D5" s="1864"/>
      <c r="E5" s="1499"/>
      <c r="F5" s="1499"/>
      <c r="G5" s="2288"/>
      <c r="H5" s="2286"/>
      <c r="I5" s="1855"/>
      <c r="J5" s="1855"/>
      <c r="K5" s="1855"/>
      <c r="L5" s="1855"/>
      <c r="M5" s="1855"/>
      <c r="N5" s="1855"/>
      <c r="O5" s="1855"/>
      <c r="P5" s="1855"/>
      <c r="Q5" s="1855"/>
      <c r="R5" s="1855"/>
      <c r="S5" s="1866"/>
      <c r="T5" s="1855"/>
      <c r="U5" s="1855"/>
      <c r="V5" s="1855"/>
      <c r="W5" s="1855"/>
      <c r="X5" s="1855"/>
      <c r="Y5" s="1859"/>
      <c r="Z5" s="1854"/>
      <c r="AA5" s="1859"/>
      <c r="AB5" s="4035"/>
      <c r="AC5" s="1855"/>
      <c r="AD5" s="1855"/>
      <c r="AE5" s="1855"/>
      <c r="AF5" s="1855"/>
      <c r="AG5" s="1855"/>
      <c r="AH5" s="1855"/>
      <c r="AI5" s="1855"/>
      <c r="AJ5" s="1855"/>
      <c r="AK5" s="1855"/>
      <c r="AL5" s="1855"/>
      <c r="AM5" s="1855"/>
      <c r="AN5" s="1855"/>
      <c r="AO5" s="1855"/>
      <c r="AP5" s="1855"/>
      <c r="AQ5" s="1855"/>
      <c r="AR5" s="1855"/>
      <c r="AS5" s="1855"/>
      <c r="AT5" s="1855"/>
      <c r="AU5" s="1855"/>
      <c r="AV5" s="1855"/>
      <c r="AW5" s="1855"/>
      <c r="AX5" s="1855"/>
      <c r="AY5" s="1855"/>
      <c r="AZ5" s="1855"/>
      <c r="BA5" s="1855"/>
      <c r="BB5" s="1855"/>
      <c r="BC5" s="1855"/>
      <c r="BD5" s="1855"/>
      <c r="BE5" s="1855"/>
      <c r="BF5" s="1855"/>
      <c r="BG5" s="1855"/>
      <c r="BH5" s="1855"/>
      <c r="BI5" s="1855"/>
      <c r="BJ5" s="1855"/>
      <c r="BK5" s="1855"/>
      <c r="BL5" s="1855"/>
      <c r="BM5" s="1855"/>
      <c r="BN5" s="1855"/>
      <c r="BO5" s="1855"/>
      <c r="BP5" s="1855"/>
      <c r="BQ5" s="1855"/>
      <c r="BR5" s="1855"/>
      <c r="BS5" s="1855"/>
      <c r="BT5" s="1855"/>
      <c r="BU5" s="1855"/>
      <c r="BV5" s="1855"/>
      <c r="BW5" s="1855"/>
      <c r="BX5" s="1855"/>
      <c r="BY5" s="1855"/>
      <c r="BZ5" s="1855"/>
      <c r="CA5" s="1855"/>
      <c r="CB5" s="1855"/>
      <c r="CC5" s="1855"/>
      <c r="CD5" s="1859"/>
    </row>
    <row r="6" spans="1:82" ht="3" customHeight="1">
      <c r="A6" s="1868"/>
      <c r="B6" s="1869"/>
      <c r="C6" s="1863"/>
      <c r="D6" s="1870"/>
      <c r="E6" s="1499"/>
      <c r="F6" s="1499"/>
      <c r="G6" s="1855"/>
      <c r="H6" s="2286"/>
      <c r="I6" s="1855"/>
      <c r="J6" s="1855"/>
      <c r="K6" s="1855"/>
      <c r="L6" s="1855"/>
      <c r="M6" s="1855"/>
      <c r="N6" s="1855"/>
      <c r="O6" s="1855"/>
      <c r="P6" s="1855"/>
      <c r="Q6" s="1855"/>
      <c r="R6" s="1855"/>
      <c r="S6" s="1866"/>
      <c r="T6" s="1855"/>
      <c r="U6" s="1855"/>
      <c r="V6" s="1855"/>
      <c r="W6" s="1855"/>
      <c r="X6" s="1855"/>
      <c r="Y6" s="1859"/>
      <c r="Z6" s="1854"/>
      <c r="AA6" s="1859"/>
      <c r="AB6" s="4035"/>
      <c r="AC6" s="2289">
        <v>9.0000000000000011E-2</v>
      </c>
      <c r="AD6" s="2289">
        <v>0.12600000000000003</v>
      </c>
      <c r="AE6" s="2289">
        <v>0.189</v>
      </c>
      <c r="AF6" s="2289">
        <v>0.27</v>
      </c>
      <c r="AG6" s="2289">
        <v>0.39600000000000002</v>
      </c>
      <c r="AH6" s="2289">
        <v>0.59400000000000008</v>
      </c>
      <c r="AI6" s="2289">
        <v>0.80999999999999994</v>
      </c>
      <c r="AJ6" s="2289">
        <v>1.1880000000000002</v>
      </c>
      <c r="AK6" s="2289">
        <v>1.6199999999999999</v>
      </c>
      <c r="AL6" s="2289">
        <v>2.3760000000000003</v>
      </c>
      <c r="AM6" s="2289">
        <v>3.2399999999999998</v>
      </c>
      <c r="AN6" s="2289">
        <v>4.32</v>
      </c>
      <c r="AO6" s="2289">
        <v>5.9399999999999995</v>
      </c>
      <c r="AP6" s="2289">
        <v>8.1</v>
      </c>
      <c r="AQ6" s="2289">
        <v>11.879999999999999</v>
      </c>
      <c r="AR6" s="2289">
        <v>16.2</v>
      </c>
      <c r="AS6" s="2289">
        <v>19.98</v>
      </c>
      <c r="AT6" s="2289">
        <v>23.759999999999998</v>
      </c>
      <c r="AU6" s="2289">
        <v>32.4</v>
      </c>
      <c r="AV6" s="2289">
        <v>39.96</v>
      </c>
      <c r="AW6" s="2289">
        <v>48.6</v>
      </c>
      <c r="AX6" s="2289">
        <v>59.4</v>
      </c>
      <c r="AY6" s="2289">
        <v>81</v>
      </c>
      <c r="AZ6" s="2289">
        <v>97.2</v>
      </c>
      <c r="BA6" s="2289">
        <v>118.8</v>
      </c>
      <c r="BB6" s="2289">
        <v>142.56</v>
      </c>
      <c r="BC6" s="2289">
        <v>172.8</v>
      </c>
      <c r="BD6" s="2289">
        <v>216</v>
      </c>
      <c r="BE6" s="2289">
        <v>270</v>
      </c>
      <c r="BF6" s="2289">
        <v>340.2</v>
      </c>
      <c r="BG6" s="2289">
        <v>383.40000000000003</v>
      </c>
      <c r="BH6" s="2289">
        <v>432</v>
      </c>
      <c r="BI6" s="2289">
        <v>486</v>
      </c>
      <c r="BJ6" s="2289">
        <v>540</v>
      </c>
      <c r="BK6" s="2289">
        <v>604.80000000000007</v>
      </c>
      <c r="BL6" s="2289">
        <v>680.4</v>
      </c>
      <c r="BM6" s="2289">
        <v>0</v>
      </c>
      <c r="BN6" s="2289">
        <v>0</v>
      </c>
      <c r="BO6" s="2289">
        <v>0</v>
      </c>
      <c r="BP6" s="2289">
        <v>0</v>
      </c>
      <c r="BQ6" s="2289">
        <v>0</v>
      </c>
      <c r="BR6" s="2289">
        <v>0</v>
      </c>
      <c r="BS6" s="2289">
        <v>0</v>
      </c>
      <c r="BT6" s="2289">
        <v>0</v>
      </c>
      <c r="BU6" s="2289">
        <v>0</v>
      </c>
      <c r="BV6" s="2289">
        <v>0</v>
      </c>
      <c r="BW6" s="2289">
        <v>0</v>
      </c>
      <c r="BX6" s="2289">
        <v>0</v>
      </c>
      <c r="BY6" s="2289">
        <v>0</v>
      </c>
      <c r="BZ6" s="2289">
        <v>0</v>
      </c>
      <c r="CA6" s="2289">
        <v>0</v>
      </c>
      <c r="CB6" s="2289">
        <v>0</v>
      </c>
      <c r="CC6" s="2289">
        <v>0</v>
      </c>
      <c r="CD6" s="2289">
        <v>0</v>
      </c>
    </row>
    <row r="7" spans="1:82" ht="3" customHeight="1">
      <c r="A7" s="1867"/>
      <c r="B7" s="1862"/>
      <c r="C7" s="1863"/>
      <c r="D7" s="1864"/>
      <c r="E7" s="1499"/>
      <c r="F7" s="1499"/>
      <c r="G7" s="1855"/>
      <c r="H7" s="2286"/>
      <c r="I7" s="1855"/>
      <c r="J7" s="1855"/>
      <c r="K7" s="1855"/>
      <c r="L7" s="1855"/>
      <c r="M7" s="1855"/>
      <c r="N7" s="1855"/>
      <c r="O7" s="1855"/>
      <c r="P7" s="1855"/>
      <c r="Q7" s="1855"/>
      <c r="R7" s="1855"/>
      <c r="S7" s="1866"/>
      <c r="T7" s="1855"/>
      <c r="U7" s="1855"/>
      <c r="V7" s="1855"/>
      <c r="W7" s="1855"/>
      <c r="X7" s="1855"/>
      <c r="Y7" s="1859"/>
      <c r="Z7" s="1854"/>
      <c r="AA7" s="1859"/>
      <c r="AB7" s="4035"/>
      <c r="AC7" s="1855"/>
      <c r="AD7" s="1855"/>
      <c r="AE7" s="1855"/>
      <c r="AF7" s="1855"/>
      <c r="AG7" s="1855"/>
      <c r="AH7" s="1855"/>
      <c r="AI7" s="1855"/>
      <c r="AJ7" s="1855"/>
      <c r="AK7" s="1855"/>
      <c r="AL7" s="1855"/>
      <c r="AM7" s="1855"/>
      <c r="AN7" s="1855"/>
      <c r="AO7" s="1855"/>
      <c r="AP7" s="1855"/>
      <c r="AQ7" s="1855"/>
      <c r="AR7" s="1855"/>
      <c r="AS7" s="1855"/>
      <c r="AT7" s="1855"/>
      <c r="AU7" s="1855"/>
      <c r="AV7" s="1855"/>
      <c r="AW7" s="1855"/>
      <c r="AX7" s="1855"/>
      <c r="AY7" s="1855"/>
      <c r="AZ7" s="1855"/>
      <c r="BA7" s="1855"/>
      <c r="BB7" s="1855"/>
      <c r="BC7" s="1855"/>
      <c r="BD7" s="1855"/>
      <c r="BE7" s="1855"/>
      <c r="BF7" s="1855"/>
      <c r="BG7" s="1855"/>
      <c r="BH7" s="1855"/>
      <c r="BI7" s="1855"/>
      <c r="BJ7" s="1855"/>
      <c r="BK7" s="1855"/>
      <c r="BL7" s="1855"/>
      <c r="BM7" s="1855"/>
      <c r="BN7" s="1855"/>
      <c r="BO7" s="1855"/>
      <c r="BP7" s="1855"/>
      <c r="BQ7" s="1855"/>
      <c r="BR7" s="1855"/>
      <c r="BS7" s="1855"/>
      <c r="BT7" s="1855"/>
      <c r="BU7" s="1855"/>
      <c r="BV7" s="1855"/>
      <c r="BW7" s="1855"/>
      <c r="BX7" s="1855"/>
      <c r="BY7" s="1855"/>
      <c r="BZ7" s="1855"/>
      <c r="CA7" s="1855"/>
      <c r="CB7" s="1855"/>
      <c r="CC7" s="1855"/>
      <c r="CD7" s="1859"/>
    </row>
    <row r="8" spans="1:82" ht="3" customHeight="1">
      <c r="A8" s="1867"/>
      <c r="B8" s="1862"/>
      <c r="C8" s="1863"/>
      <c r="D8" s="1864"/>
      <c r="E8" s="1499"/>
      <c r="F8" s="1499"/>
      <c r="G8" s="1855"/>
      <c r="H8" s="2286"/>
      <c r="I8" s="1855"/>
      <c r="J8" s="1855"/>
      <c r="K8" s="1855"/>
      <c r="L8" s="1855"/>
      <c r="M8" s="1855"/>
      <c r="N8" s="1855"/>
      <c r="O8" s="1855"/>
      <c r="P8" s="1855"/>
      <c r="Q8" s="1855"/>
      <c r="R8" s="1855"/>
      <c r="S8" s="1866"/>
      <c r="T8" s="1855"/>
      <c r="U8" s="1855"/>
      <c r="V8" s="1855"/>
      <c r="W8" s="1855"/>
      <c r="X8" s="1855"/>
      <c r="Y8" s="1859"/>
      <c r="Z8" s="1854"/>
      <c r="AA8" s="1859"/>
      <c r="AB8" s="4035"/>
      <c r="AC8" s="1855">
        <v>0.9</v>
      </c>
      <c r="AD8" s="1855"/>
      <c r="AE8" s="1855"/>
      <c r="AF8" s="1855"/>
      <c r="AG8" s="1855"/>
      <c r="AH8" s="1855"/>
      <c r="AI8" s="1855"/>
      <c r="AJ8" s="1855"/>
      <c r="AK8" s="1855"/>
      <c r="AL8" s="1855"/>
      <c r="AM8" s="1855"/>
      <c r="AN8" s="1855"/>
      <c r="AO8" s="1855"/>
      <c r="AP8" s="1855"/>
      <c r="AQ8" s="1855"/>
      <c r="AR8" s="1855"/>
      <c r="AS8" s="1855"/>
      <c r="AT8" s="1855"/>
      <c r="AU8" s="1855"/>
      <c r="AV8" s="1855"/>
      <c r="AW8" s="1855"/>
      <c r="AX8" s="1855"/>
      <c r="AY8" s="1855"/>
      <c r="AZ8" s="1855"/>
      <c r="BA8" s="1855"/>
      <c r="BB8" s="1855"/>
      <c r="BC8" s="1855"/>
      <c r="BD8" s="1855"/>
      <c r="BE8" s="1855"/>
      <c r="BF8" s="1855"/>
      <c r="BG8" s="1855"/>
      <c r="BH8" s="1855"/>
      <c r="BI8" s="1855"/>
      <c r="BJ8" s="1855"/>
      <c r="BK8" s="1855"/>
      <c r="BL8" s="1855"/>
      <c r="BM8" s="1855"/>
      <c r="BN8" s="1855"/>
      <c r="BO8" s="1855"/>
      <c r="BP8" s="1855"/>
      <c r="BQ8" s="1855"/>
      <c r="BR8" s="1855"/>
      <c r="BS8" s="1855"/>
      <c r="BT8" s="1855"/>
      <c r="BU8" s="1855"/>
      <c r="BV8" s="1855"/>
      <c r="BW8" s="1855"/>
      <c r="BX8" s="1855"/>
      <c r="BY8" s="1855"/>
      <c r="BZ8" s="1855"/>
      <c r="CA8" s="1855"/>
      <c r="CB8" s="1855"/>
      <c r="CC8" s="1855"/>
      <c r="CD8" s="1859"/>
    </row>
    <row r="9" spans="1:82" ht="3" customHeight="1">
      <c r="A9" s="1867"/>
      <c r="B9" s="1862"/>
      <c r="C9" s="1863"/>
      <c r="D9" s="1864"/>
      <c r="E9" s="1499"/>
      <c r="F9" s="1499"/>
      <c r="G9" s="1855"/>
      <c r="H9" s="2286"/>
      <c r="I9" s="1855"/>
      <c r="J9" s="1855"/>
      <c r="K9" s="1855"/>
      <c r="L9" s="1855"/>
      <c r="M9" s="1855"/>
      <c r="N9" s="1855"/>
      <c r="O9" s="1855"/>
      <c r="P9" s="1855"/>
      <c r="Q9" s="1855"/>
      <c r="R9" s="1855"/>
      <c r="S9" s="1866"/>
      <c r="T9" s="1855"/>
      <c r="U9" s="1855"/>
      <c r="V9" s="1855"/>
      <c r="W9" s="1855"/>
      <c r="X9" s="1855"/>
      <c r="Y9" s="1859"/>
      <c r="Z9" s="1854"/>
      <c r="AA9" s="1859"/>
      <c r="AB9" s="4035"/>
      <c r="AC9" s="1855"/>
      <c r="AD9" s="1855"/>
      <c r="AE9" s="1855"/>
      <c r="AF9" s="1855"/>
      <c r="AG9" s="1855"/>
      <c r="AH9" s="1855"/>
      <c r="AI9" s="1855"/>
      <c r="AJ9" s="1855"/>
      <c r="AK9" s="1855"/>
      <c r="AL9" s="1855"/>
      <c r="AM9" s="1855"/>
      <c r="AN9" s="1855"/>
      <c r="AO9" s="1855"/>
      <c r="AP9" s="1855"/>
      <c r="AQ9" s="1855"/>
      <c r="AR9" s="1855"/>
      <c r="AS9" s="1855"/>
      <c r="AT9" s="1855"/>
      <c r="AU9" s="1855"/>
      <c r="AV9" s="1855"/>
      <c r="AW9" s="1855"/>
      <c r="AX9" s="1855"/>
      <c r="AY9" s="1855"/>
      <c r="AZ9" s="1855"/>
      <c r="BA9" s="1855"/>
      <c r="BB9" s="1855"/>
      <c r="BC9" s="1855"/>
      <c r="BD9" s="1855"/>
      <c r="BE9" s="1855"/>
      <c r="BF9" s="1855"/>
      <c r="BG9" s="1855"/>
      <c r="BH9" s="1855"/>
      <c r="BI9" s="1855"/>
      <c r="BJ9" s="1855"/>
      <c r="BK9" s="1855"/>
      <c r="BL9" s="1855"/>
      <c r="BM9" s="1855"/>
      <c r="BN9" s="1855"/>
      <c r="BO9" s="1855"/>
      <c r="BP9" s="1855"/>
      <c r="BQ9" s="1855"/>
      <c r="BR9" s="1855"/>
      <c r="BS9" s="1855"/>
      <c r="BT9" s="1855"/>
      <c r="BU9" s="1855"/>
      <c r="BV9" s="1855"/>
      <c r="BW9" s="1855"/>
      <c r="BX9" s="1855"/>
      <c r="BY9" s="1855"/>
      <c r="BZ9" s="1855"/>
      <c r="CA9" s="1855"/>
      <c r="CB9" s="1855"/>
      <c r="CC9" s="1855"/>
      <c r="CD9" s="1859"/>
    </row>
    <row r="10" spans="1:82" ht="3" customHeight="1">
      <c r="A10" s="1871"/>
      <c r="B10" s="1862"/>
      <c r="C10" s="1863"/>
      <c r="D10" s="1862"/>
      <c r="E10" s="1499"/>
      <c r="F10" s="1499"/>
      <c r="G10" s="1855"/>
      <c r="H10" s="2286"/>
      <c r="I10" s="1855"/>
      <c r="J10" s="1855"/>
      <c r="K10" s="1855"/>
      <c r="L10" s="1855"/>
      <c r="M10" s="1855"/>
      <c r="N10" s="1855"/>
      <c r="O10" s="1855"/>
      <c r="P10" s="1855"/>
      <c r="Q10" s="1855"/>
      <c r="R10" s="1855"/>
      <c r="S10" s="1866"/>
      <c r="T10" s="1855"/>
      <c r="U10" s="1855"/>
      <c r="V10" s="1855"/>
      <c r="W10" s="1855"/>
      <c r="X10" s="1855"/>
      <c r="Y10" s="1859"/>
      <c r="Z10" s="1854"/>
      <c r="AA10" s="1859"/>
      <c r="AB10" s="4035"/>
      <c r="AC10" s="1855"/>
      <c r="AD10" s="1855"/>
      <c r="AE10" s="1855"/>
      <c r="AF10" s="1855"/>
      <c r="AG10" s="1855"/>
      <c r="AH10" s="1855"/>
      <c r="AI10" s="1855"/>
      <c r="AJ10" s="1855"/>
      <c r="AK10" s="1855"/>
      <c r="AL10" s="1855"/>
      <c r="AM10" s="1855"/>
      <c r="AN10" s="1855"/>
      <c r="AO10" s="1855"/>
      <c r="AP10" s="1855"/>
      <c r="AQ10" s="1855"/>
      <c r="AR10" s="1855"/>
      <c r="AS10" s="1855"/>
      <c r="AT10" s="1855"/>
      <c r="AU10" s="1855"/>
      <c r="AV10" s="1855"/>
      <c r="AW10" s="1855"/>
      <c r="AX10" s="1855"/>
      <c r="AY10" s="1855"/>
      <c r="AZ10" s="1855"/>
      <c r="BA10" s="1855"/>
      <c r="BB10" s="1855"/>
      <c r="BC10" s="1855"/>
      <c r="BD10" s="1855"/>
      <c r="BE10" s="1855"/>
      <c r="BF10" s="1855"/>
      <c r="BG10" s="1855"/>
      <c r="BH10" s="1855"/>
      <c r="BI10" s="1855"/>
      <c r="BJ10" s="1855"/>
      <c r="BK10" s="1855"/>
      <c r="BL10" s="1855"/>
      <c r="BM10" s="1855"/>
      <c r="BN10" s="1855"/>
      <c r="BO10" s="1855"/>
      <c r="BP10" s="1855"/>
      <c r="BQ10" s="1855"/>
      <c r="BR10" s="1855"/>
      <c r="BS10" s="1855"/>
      <c r="BT10" s="1855"/>
      <c r="BU10" s="1855"/>
      <c r="BV10" s="1855"/>
      <c r="BW10" s="1855"/>
      <c r="BX10" s="1855"/>
      <c r="BY10" s="1855"/>
      <c r="BZ10" s="1855"/>
      <c r="CA10" s="1855"/>
      <c r="CB10" s="1855"/>
      <c r="CC10" s="1855"/>
      <c r="CD10" s="1859"/>
    </row>
    <row r="11" spans="1:82" ht="3" customHeight="1">
      <c r="A11" s="1867"/>
      <c r="B11" s="1862"/>
      <c r="C11" s="1863"/>
      <c r="D11" s="1864"/>
      <c r="E11" s="1499"/>
      <c r="F11" s="1499"/>
      <c r="G11" s="1855"/>
      <c r="H11" s="2286"/>
      <c r="I11" s="1855"/>
      <c r="J11" s="1855"/>
      <c r="K11" s="1855"/>
      <c r="L11" s="1855"/>
      <c r="M11" s="1855"/>
      <c r="N11" s="1855"/>
      <c r="O11" s="1855"/>
      <c r="P11" s="1855"/>
      <c r="Q11" s="1855"/>
      <c r="R11" s="1855"/>
      <c r="S11" s="1866"/>
      <c r="T11" s="1855"/>
      <c r="U11" s="1855"/>
      <c r="V11" s="1855"/>
      <c r="W11" s="1855"/>
      <c r="X11" s="1855"/>
      <c r="Y11" s="1859"/>
      <c r="Z11" s="1854"/>
      <c r="AA11" s="1859"/>
      <c r="AB11" s="4035"/>
      <c r="AC11" s="1855"/>
      <c r="AD11" s="1855"/>
      <c r="AE11" s="1855"/>
      <c r="AF11" s="1855"/>
      <c r="AG11" s="1855"/>
      <c r="AH11" s="1855"/>
      <c r="AI11" s="1855"/>
      <c r="AJ11" s="1855"/>
      <c r="AK11" s="1855"/>
      <c r="AL11" s="1855"/>
      <c r="AM11" s="1855"/>
      <c r="AN11" s="1855"/>
      <c r="AO11" s="1855"/>
      <c r="AP11" s="1855"/>
      <c r="AQ11" s="1855"/>
      <c r="AR11" s="1855"/>
      <c r="AS11" s="1855"/>
      <c r="AT11" s="1855"/>
      <c r="AU11" s="1855"/>
      <c r="AV11" s="1855"/>
      <c r="AW11" s="1855"/>
      <c r="AX11" s="1855"/>
      <c r="AY11" s="1855"/>
      <c r="AZ11" s="1855"/>
      <c r="BA11" s="1855"/>
      <c r="BB11" s="1855"/>
      <c r="BC11" s="1855"/>
      <c r="BD11" s="1855"/>
      <c r="BE11" s="1855"/>
      <c r="BF11" s="1855"/>
      <c r="BG11" s="1855"/>
      <c r="BH11" s="1855"/>
      <c r="BI11" s="1855"/>
      <c r="BJ11" s="1855"/>
      <c r="BK11" s="1855"/>
      <c r="BL11" s="1855"/>
      <c r="BM11" s="1855"/>
      <c r="BN11" s="1855"/>
      <c r="BO11" s="1855"/>
      <c r="BP11" s="1855"/>
      <c r="BQ11" s="1855"/>
      <c r="BR11" s="1855"/>
      <c r="BS11" s="1855"/>
      <c r="BT11" s="1855"/>
      <c r="BU11" s="1855"/>
      <c r="BV11" s="1855"/>
      <c r="BW11" s="1855"/>
      <c r="BX11" s="1855"/>
      <c r="BY11" s="1855"/>
      <c r="BZ11" s="1855"/>
      <c r="CA11" s="1855"/>
      <c r="CB11" s="1855"/>
      <c r="CC11" s="1855"/>
      <c r="CD11" s="1859"/>
    </row>
    <row r="12" spans="1:82" ht="13.5" thickBot="1">
      <c r="A12" s="1872"/>
      <c r="B12" s="2285" t="str">
        <f>'Select Drive &amp; Motor'!$S$3</f>
        <v>180202</v>
      </c>
      <c r="C12" s="1873"/>
      <c r="D12" s="1873"/>
      <c r="E12" s="1874"/>
      <c r="F12" s="1874"/>
      <c r="G12" s="1875"/>
      <c r="H12" s="2287"/>
      <c r="I12" s="1875"/>
      <c r="J12" s="1875"/>
      <c r="K12" s="1875"/>
      <c r="L12" s="1875"/>
      <c r="M12" s="1875"/>
      <c r="N12" s="1875"/>
      <c r="O12" s="1875"/>
      <c r="P12" s="1875"/>
      <c r="Q12" s="1875"/>
      <c r="R12" s="1875"/>
      <c r="S12" s="1877"/>
      <c r="T12" s="1875"/>
      <c r="U12" s="1875"/>
      <c r="V12" s="1875"/>
      <c r="W12" s="1875"/>
      <c r="X12" s="1875"/>
      <c r="Y12" s="1878"/>
      <c r="Z12" s="1876"/>
      <c r="AA12" s="1878"/>
      <c r="AB12" s="1876"/>
      <c r="AC12" s="1875"/>
      <c r="AD12" s="1875"/>
      <c r="AE12" s="1875"/>
      <c r="AF12" s="1875"/>
      <c r="AG12" s="1875"/>
      <c r="AH12" s="1875"/>
      <c r="AI12" s="1875"/>
      <c r="AJ12" s="1875"/>
      <c r="AK12" s="1875"/>
      <c r="AL12" s="1875"/>
      <c r="AM12" s="1875"/>
      <c r="AN12" s="1875"/>
      <c r="AO12" s="1875"/>
      <c r="AP12" s="1875"/>
      <c r="AQ12" s="1875"/>
      <c r="AR12" s="1875"/>
      <c r="AS12" s="1875"/>
      <c r="AT12" s="1875"/>
      <c r="AU12" s="1875"/>
      <c r="AV12" s="1875"/>
      <c r="AW12" s="1875"/>
      <c r="AX12" s="1875"/>
      <c r="AY12" s="1875"/>
      <c r="AZ12" s="1875"/>
      <c r="BA12" s="1875"/>
      <c r="BB12" s="1875"/>
      <c r="BC12" s="1875"/>
      <c r="BD12" s="1875"/>
      <c r="BE12" s="1875"/>
      <c r="BF12" s="1875"/>
      <c r="BG12" s="1875"/>
      <c r="BH12" s="1875"/>
      <c r="BI12" s="1875"/>
      <c r="BJ12" s="1875"/>
      <c r="BK12" s="1875"/>
      <c r="BL12" s="1875"/>
      <c r="BM12" s="1875"/>
      <c r="BN12" s="1875"/>
      <c r="BO12" s="1875"/>
      <c r="BP12" s="1875"/>
      <c r="BQ12" s="1875"/>
      <c r="BR12" s="1875"/>
      <c r="BS12" s="1875"/>
      <c r="BT12" s="1875"/>
      <c r="BU12" s="1875"/>
      <c r="BV12" s="1875"/>
      <c r="BW12" s="1875"/>
      <c r="BX12" s="1875"/>
      <c r="BY12" s="1875"/>
      <c r="BZ12" s="1875"/>
      <c r="CA12" s="1875"/>
      <c r="CB12" s="1875"/>
      <c r="CC12" s="1875"/>
      <c r="CD12" s="1878"/>
    </row>
    <row r="13" spans="1:82" ht="13.5" thickTop="1">
      <c r="A13" s="2277" t="s">
        <v>2823</v>
      </c>
      <c r="B13" s="2278">
        <f>MATCH(A13,B17:B239,0)+16</f>
        <v>84</v>
      </c>
      <c r="C13" s="2279" t="s">
        <v>2283</v>
      </c>
      <c r="D13" s="1499">
        <f>MATCH(C13,D17:D239,0)+16</f>
        <v>19</v>
      </c>
      <c r="E13" s="2280" t="s">
        <v>2824</v>
      </c>
      <c r="F13" s="1865">
        <f>MATCH(E13,F17:F239,0)+16</f>
        <v>28</v>
      </c>
      <c r="G13" s="1855"/>
      <c r="H13" s="1854"/>
      <c r="I13" s="1857"/>
      <c r="J13" s="1857"/>
      <c r="K13" s="1857"/>
      <c r="L13" s="1857"/>
      <c r="M13" s="1857"/>
      <c r="N13" s="1857"/>
      <c r="O13" s="1857"/>
      <c r="P13" s="1857"/>
      <c r="Q13" s="1857"/>
      <c r="R13" s="1857"/>
      <c r="S13" s="1858"/>
      <c r="T13" s="1857"/>
      <c r="U13" s="1857"/>
      <c r="V13" s="1857"/>
      <c r="W13" s="1857"/>
      <c r="X13" s="1857"/>
      <c r="Y13" s="1880"/>
      <c r="Z13" s="1879"/>
      <c r="AA13" s="1880"/>
      <c r="AB13" s="1879"/>
      <c r="AC13" s="1855">
        <v>1</v>
      </c>
      <c r="AD13" s="1855">
        <f t="shared" ref="AD13" si="0">AC13+1</f>
        <v>2</v>
      </c>
      <c r="AE13" s="1855">
        <f t="shared" ref="AE13" si="1">AD13+1</f>
        <v>3</v>
      </c>
      <c r="AF13" s="1855">
        <f t="shared" ref="AF13" si="2">AE13+1</f>
        <v>4</v>
      </c>
      <c r="AG13" s="1855">
        <f t="shared" ref="AG13" si="3">AF13+1</f>
        <v>5</v>
      </c>
      <c r="AH13" s="1855">
        <f t="shared" ref="AH13" si="4">AG13+1</f>
        <v>6</v>
      </c>
      <c r="AI13" s="1855">
        <f t="shared" ref="AI13" si="5">AH13+1</f>
        <v>7</v>
      </c>
      <c r="AJ13" s="1855">
        <f t="shared" ref="AJ13" si="6">AI13+1</f>
        <v>8</v>
      </c>
      <c r="AK13" s="1855">
        <f t="shared" ref="AK13" si="7">AJ13+1</f>
        <v>9</v>
      </c>
      <c r="AL13" s="1855">
        <f t="shared" ref="AL13" si="8">AK13+1</f>
        <v>10</v>
      </c>
      <c r="AM13" s="1855">
        <f t="shared" ref="AM13" si="9">AL13+1</f>
        <v>11</v>
      </c>
      <c r="AN13" s="1855">
        <f t="shared" ref="AN13" si="10">AM13+1</f>
        <v>12</v>
      </c>
      <c r="AO13" s="1855">
        <f t="shared" ref="AO13" si="11">AN13+1</f>
        <v>13</v>
      </c>
      <c r="AP13" s="1855">
        <f t="shared" ref="AP13" si="12">AO13+1</f>
        <v>14</v>
      </c>
      <c r="AQ13" s="1855">
        <f t="shared" ref="AQ13" si="13">AP13+1</f>
        <v>15</v>
      </c>
      <c r="AR13" s="1855">
        <f t="shared" ref="AR13" si="14">AQ13+1</f>
        <v>16</v>
      </c>
      <c r="AS13" s="1855">
        <f t="shared" ref="AS13" si="15">AR13+1</f>
        <v>17</v>
      </c>
      <c r="AT13" s="1855">
        <f t="shared" ref="AT13" si="16">AS13+1</f>
        <v>18</v>
      </c>
      <c r="AU13" s="1855">
        <f t="shared" ref="AU13" si="17">AT13+1</f>
        <v>19</v>
      </c>
      <c r="AV13" s="1855">
        <f t="shared" ref="AV13" si="18">AU13+1</f>
        <v>20</v>
      </c>
      <c r="AW13" s="1855">
        <f t="shared" ref="AW13" si="19">AV13+1</f>
        <v>21</v>
      </c>
      <c r="AX13" s="1855">
        <f t="shared" ref="AX13" si="20">AW13+1</f>
        <v>22</v>
      </c>
      <c r="AY13" s="1855">
        <f t="shared" ref="AY13" si="21">AX13+1</f>
        <v>23</v>
      </c>
      <c r="AZ13" s="1855">
        <f t="shared" ref="AZ13" si="22">AY13+1</f>
        <v>24</v>
      </c>
      <c r="BA13" s="1855">
        <f t="shared" ref="BA13" si="23">AZ13+1</f>
        <v>25</v>
      </c>
      <c r="BB13" s="1855">
        <f t="shared" ref="BB13" si="24">BA13+1</f>
        <v>26</v>
      </c>
      <c r="BC13" s="1855">
        <f t="shared" ref="BC13" si="25">BB13+1</f>
        <v>27</v>
      </c>
      <c r="BD13" s="1855">
        <f t="shared" ref="BD13" si="26">BC13+1</f>
        <v>28</v>
      </c>
      <c r="BE13" s="1855">
        <f t="shared" ref="BE13" si="27">BD13+1</f>
        <v>29</v>
      </c>
      <c r="BF13" s="1855">
        <f t="shared" ref="BF13" si="28">BE13+1</f>
        <v>30</v>
      </c>
      <c r="BG13" s="1855">
        <f t="shared" ref="BG13" si="29">BF13+1</f>
        <v>31</v>
      </c>
      <c r="BH13" s="1855">
        <f t="shared" ref="BH13" si="30">BG13+1</f>
        <v>32</v>
      </c>
      <c r="BI13" s="1855">
        <f t="shared" ref="BI13" si="31">BH13+1</f>
        <v>33</v>
      </c>
      <c r="BJ13" s="1855">
        <f t="shared" ref="BJ13" si="32">BI13+1</f>
        <v>34</v>
      </c>
      <c r="BK13" s="1855">
        <f t="shared" ref="BK13" si="33">BJ13+1</f>
        <v>35</v>
      </c>
      <c r="BL13" s="1855">
        <f t="shared" ref="BL13" si="34">BK13+1</f>
        <v>36</v>
      </c>
      <c r="BM13" s="1855">
        <f t="shared" ref="BM13" si="35">BL13+1</f>
        <v>37</v>
      </c>
      <c r="BN13" s="1855">
        <f t="shared" ref="BN13" si="36">BM13+1</f>
        <v>38</v>
      </c>
      <c r="BO13" s="1855">
        <f t="shared" ref="BO13" si="37">BN13+1</f>
        <v>39</v>
      </c>
      <c r="BP13" s="1855">
        <f t="shared" ref="BP13" si="38">BO13+1</f>
        <v>40</v>
      </c>
      <c r="BQ13" s="1855">
        <f t="shared" ref="BQ13" si="39">BP13+1</f>
        <v>41</v>
      </c>
      <c r="BR13" s="1855">
        <f t="shared" ref="BR13" si="40">BQ13+1</f>
        <v>42</v>
      </c>
      <c r="BS13" s="1855">
        <f t="shared" ref="BS13" si="41">BR13+1</f>
        <v>43</v>
      </c>
      <c r="BT13" s="1855">
        <f t="shared" ref="BT13" si="42">BS13+1</f>
        <v>44</v>
      </c>
      <c r="BU13" s="1855">
        <f t="shared" ref="BU13" si="43">BT13+1</f>
        <v>45</v>
      </c>
      <c r="BV13" s="1855">
        <f t="shared" ref="BV13" si="44">BU13+1</f>
        <v>46</v>
      </c>
      <c r="BW13" s="1855">
        <f t="shared" ref="BW13" si="45">BV13+1</f>
        <v>47</v>
      </c>
      <c r="BX13" s="1855">
        <f t="shared" ref="BX13" si="46">BW13+1</f>
        <v>48</v>
      </c>
      <c r="BY13" s="1855">
        <f t="shared" ref="BY13" si="47">BX13+1</f>
        <v>49</v>
      </c>
      <c r="BZ13" s="1855">
        <f t="shared" ref="BZ13" si="48">BY13+1</f>
        <v>50</v>
      </c>
      <c r="CA13" s="1855">
        <f t="shared" ref="CA13" si="49">BZ13+1</f>
        <v>51</v>
      </c>
      <c r="CB13" s="1855">
        <f t="shared" ref="CB13" si="50">CA13+1</f>
        <v>52</v>
      </c>
      <c r="CC13" s="1855">
        <f t="shared" ref="CC13" si="51">CB13+1</f>
        <v>53</v>
      </c>
      <c r="CD13" s="1859">
        <f t="shared" ref="CD13" si="52">CC13+1</f>
        <v>54</v>
      </c>
    </row>
    <row r="14" spans="1:82" ht="13.5" thickBot="1">
      <c r="A14" s="1552">
        <f>MAX(B14:CD14)</f>
        <v>81</v>
      </c>
      <c r="B14" s="1881">
        <v>1</v>
      </c>
      <c r="C14" s="1882">
        <f t="shared" ref="C14:BN14" si="53">B14+1</f>
        <v>2</v>
      </c>
      <c r="D14" s="1881">
        <f t="shared" si="53"/>
        <v>3</v>
      </c>
      <c r="E14" s="1883">
        <f t="shared" si="53"/>
        <v>4</v>
      </c>
      <c r="F14" s="1884">
        <f t="shared" si="53"/>
        <v>5</v>
      </c>
      <c r="G14" s="1553">
        <f t="shared" si="53"/>
        <v>6</v>
      </c>
      <c r="H14" s="1554">
        <f t="shared" si="53"/>
        <v>7</v>
      </c>
      <c r="I14" s="1553">
        <f t="shared" si="53"/>
        <v>8</v>
      </c>
      <c r="J14" s="1553">
        <f t="shared" si="53"/>
        <v>9</v>
      </c>
      <c r="K14" s="1553">
        <f t="shared" si="53"/>
        <v>10</v>
      </c>
      <c r="L14" s="1553">
        <f t="shared" si="53"/>
        <v>11</v>
      </c>
      <c r="M14" s="1553">
        <f t="shared" si="53"/>
        <v>12</v>
      </c>
      <c r="N14" s="1553">
        <f t="shared" si="53"/>
        <v>13</v>
      </c>
      <c r="O14" s="1553">
        <f t="shared" si="53"/>
        <v>14</v>
      </c>
      <c r="P14" s="1553">
        <f t="shared" si="53"/>
        <v>15</v>
      </c>
      <c r="Q14" s="1553">
        <f t="shared" si="53"/>
        <v>16</v>
      </c>
      <c r="R14" s="1553">
        <f t="shared" si="53"/>
        <v>17</v>
      </c>
      <c r="S14" s="1553">
        <f t="shared" si="53"/>
        <v>18</v>
      </c>
      <c r="T14" s="1553">
        <f t="shared" si="53"/>
        <v>19</v>
      </c>
      <c r="U14" s="1553">
        <f t="shared" si="53"/>
        <v>20</v>
      </c>
      <c r="V14" s="1553">
        <f t="shared" si="53"/>
        <v>21</v>
      </c>
      <c r="W14" s="1553">
        <f t="shared" si="53"/>
        <v>22</v>
      </c>
      <c r="X14" s="1553">
        <f t="shared" si="53"/>
        <v>23</v>
      </c>
      <c r="Y14" s="1555">
        <f t="shared" si="53"/>
        <v>24</v>
      </c>
      <c r="Z14" s="2291">
        <f t="shared" si="53"/>
        <v>25</v>
      </c>
      <c r="AA14" s="2292">
        <f t="shared" si="53"/>
        <v>26</v>
      </c>
      <c r="AB14" s="2290">
        <f t="shared" si="53"/>
        <v>27</v>
      </c>
      <c r="AC14" s="1498">
        <f t="shared" si="53"/>
        <v>28</v>
      </c>
      <c r="AD14" s="1498">
        <f t="shared" si="53"/>
        <v>29</v>
      </c>
      <c r="AE14" s="1498">
        <f t="shared" si="53"/>
        <v>30</v>
      </c>
      <c r="AF14" s="1498">
        <f t="shared" si="53"/>
        <v>31</v>
      </c>
      <c r="AG14" s="1498">
        <f t="shared" si="53"/>
        <v>32</v>
      </c>
      <c r="AH14" s="1498">
        <f t="shared" si="53"/>
        <v>33</v>
      </c>
      <c r="AI14" s="1498">
        <f t="shared" si="53"/>
        <v>34</v>
      </c>
      <c r="AJ14" s="1498">
        <f t="shared" si="53"/>
        <v>35</v>
      </c>
      <c r="AK14" s="1498">
        <f t="shared" si="53"/>
        <v>36</v>
      </c>
      <c r="AL14" s="1498">
        <f t="shared" si="53"/>
        <v>37</v>
      </c>
      <c r="AM14" s="1498">
        <f t="shared" si="53"/>
        <v>38</v>
      </c>
      <c r="AN14" s="1498">
        <f t="shared" si="53"/>
        <v>39</v>
      </c>
      <c r="AO14" s="1498">
        <f t="shared" si="53"/>
        <v>40</v>
      </c>
      <c r="AP14" s="1498">
        <f t="shared" si="53"/>
        <v>41</v>
      </c>
      <c r="AQ14" s="1498">
        <f t="shared" si="53"/>
        <v>42</v>
      </c>
      <c r="AR14" s="1498">
        <f t="shared" si="53"/>
        <v>43</v>
      </c>
      <c r="AS14" s="1498">
        <f t="shared" si="53"/>
        <v>44</v>
      </c>
      <c r="AT14" s="1498">
        <f t="shared" si="53"/>
        <v>45</v>
      </c>
      <c r="AU14" s="1498">
        <f t="shared" si="53"/>
        <v>46</v>
      </c>
      <c r="AV14" s="1498">
        <f t="shared" si="53"/>
        <v>47</v>
      </c>
      <c r="AW14" s="1498">
        <f t="shared" si="53"/>
        <v>48</v>
      </c>
      <c r="AX14" s="1498">
        <f t="shared" si="53"/>
        <v>49</v>
      </c>
      <c r="AY14" s="1498">
        <f t="shared" si="53"/>
        <v>50</v>
      </c>
      <c r="AZ14" s="1498">
        <f t="shared" si="53"/>
        <v>51</v>
      </c>
      <c r="BA14" s="1498">
        <f t="shared" si="53"/>
        <v>52</v>
      </c>
      <c r="BB14" s="1498">
        <f t="shared" si="53"/>
        <v>53</v>
      </c>
      <c r="BC14" s="1498">
        <f t="shared" si="53"/>
        <v>54</v>
      </c>
      <c r="BD14" s="1498">
        <f t="shared" si="53"/>
        <v>55</v>
      </c>
      <c r="BE14" s="1498">
        <f t="shared" si="53"/>
        <v>56</v>
      </c>
      <c r="BF14" s="1498">
        <f t="shared" si="53"/>
        <v>57</v>
      </c>
      <c r="BG14" s="1498">
        <f t="shared" si="53"/>
        <v>58</v>
      </c>
      <c r="BH14" s="1498">
        <f t="shared" si="53"/>
        <v>59</v>
      </c>
      <c r="BI14" s="1499">
        <f t="shared" si="53"/>
        <v>60</v>
      </c>
      <c r="BJ14" s="1499">
        <f t="shared" si="53"/>
        <v>61</v>
      </c>
      <c r="BK14" s="1499">
        <f t="shared" si="53"/>
        <v>62</v>
      </c>
      <c r="BL14" s="1499">
        <f t="shared" si="53"/>
        <v>63</v>
      </c>
      <c r="BM14" s="1499">
        <f t="shared" si="53"/>
        <v>64</v>
      </c>
      <c r="BN14" s="1499">
        <f t="shared" si="53"/>
        <v>65</v>
      </c>
      <c r="BO14" s="1499">
        <f t="shared" ref="BO14:CD14" si="54">BN14+1</f>
        <v>66</v>
      </c>
      <c r="BP14" s="1499">
        <f t="shared" si="54"/>
        <v>67</v>
      </c>
      <c r="BQ14" s="1499">
        <f t="shared" si="54"/>
        <v>68</v>
      </c>
      <c r="BR14" s="1499">
        <f t="shared" si="54"/>
        <v>69</v>
      </c>
      <c r="BS14" s="1499">
        <f t="shared" si="54"/>
        <v>70</v>
      </c>
      <c r="BT14" s="1499">
        <f t="shared" si="54"/>
        <v>71</v>
      </c>
      <c r="BU14" s="1499">
        <f t="shared" si="54"/>
        <v>72</v>
      </c>
      <c r="BV14" s="1499">
        <f t="shared" si="54"/>
        <v>73</v>
      </c>
      <c r="BW14" s="1499">
        <f t="shared" si="54"/>
        <v>74</v>
      </c>
      <c r="BX14" s="1499">
        <f t="shared" si="54"/>
        <v>75</v>
      </c>
      <c r="BY14" s="1499">
        <f t="shared" si="54"/>
        <v>76</v>
      </c>
      <c r="BZ14" s="1499">
        <f t="shared" si="54"/>
        <v>77</v>
      </c>
      <c r="CA14" s="1499">
        <f t="shared" si="54"/>
        <v>78</v>
      </c>
      <c r="CB14" s="1499">
        <f t="shared" si="54"/>
        <v>79</v>
      </c>
      <c r="CC14" s="1499">
        <f t="shared" si="54"/>
        <v>80</v>
      </c>
      <c r="CD14" s="1500">
        <f t="shared" si="54"/>
        <v>81</v>
      </c>
    </row>
    <row r="15" spans="1:82" ht="15" thickBot="1">
      <c r="A15" s="2293"/>
      <c r="B15" s="2294"/>
      <c r="C15" s="1216"/>
      <c r="D15" s="2294"/>
      <c r="E15" s="2295"/>
      <c r="F15" s="2296"/>
      <c r="G15" s="2295"/>
      <c r="H15" s="4036" t="s">
        <v>3891</v>
      </c>
      <c r="I15" s="4037"/>
      <c r="J15" s="4037"/>
      <c r="K15" s="4037"/>
      <c r="L15" s="4037"/>
      <c r="M15" s="4038"/>
      <c r="N15" s="4036" t="s">
        <v>3892</v>
      </c>
      <c r="O15" s="4037"/>
      <c r="P15" s="4037"/>
      <c r="Q15" s="4037"/>
      <c r="R15" s="4037"/>
      <c r="S15" s="4037"/>
      <c r="T15" s="4036" t="s">
        <v>3893</v>
      </c>
      <c r="U15" s="4037"/>
      <c r="V15" s="4037"/>
      <c r="W15" s="4037"/>
      <c r="X15" s="4037"/>
      <c r="Y15" s="4038"/>
      <c r="Z15" s="2301"/>
      <c r="AA15" s="2302"/>
      <c r="AB15" s="2303"/>
      <c r="AC15" s="2303"/>
      <c r="AD15" s="2303"/>
      <c r="AE15" s="2303"/>
      <c r="AF15" s="2303"/>
      <c r="AG15" s="2303"/>
      <c r="AH15" s="2303"/>
      <c r="AI15" s="2303"/>
      <c r="AJ15" s="2303"/>
      <c r="AK15" s="2303"/>
      <c r="AL15" s="2303"/>
      <c r="AM15" s="2303"/>
      <c r="AN15" s="2303"/>
      <c r="AO15" s="2303"/>
      <c r="AP15" s="2303"/>
      <c r="AQ15" s="2303"/>
      <c r="AR15" s="2303"/>
      <c r="AS15" s="2303"/>
      <c r="AT15" s="2303"/>
      <c r="AU15" s="2303"/>
      <c r="AV15" s="2303"/>
      <c r="AW15" s="2303"/>
      <c r="AX15" s="2303"/>
      <c r="AY15" s="2303"/>
      <c r="AZ15" s="2303"/>
      <c r="BA15" s="2303"/>
      <c r="BB15" s="2303"/>
      <c r="BC15" s="2303"/>
      <c r="BD15" s="2303"/>
      <c r="BE15" s="2303"/>
      <c r="BF15" s="2303"/>
      <c r="BG15" s="2303"/>
      <c r="BH15" s="2303"/>
      <c r="BI15" s="2304"/>
      <c r="BJ15" s="2304"/>
      <c r="BK15" s="2304"/>
      <c r="BL15" s="2304"/>
      <c r="BM15" s="2304"/>
      <c r="BN15" s="2304"/>
      <c r="BO15" s="2304"/>
      <c r="BP15" s="2304"/>
      <c r="BQ15" s="2304"/>
      <c r="BR15" s="2304"/>
      <c r="BS15" s="2304"/>
      <c r="BT15" s="2304"/>
      <c r="BU15" s="2304"/>
      <c r="BV15" s="2304"/>
      <c r="BW15" s="2304"/>
      <c r="BX15" s="2304"/>
      <c r="BY15" s="2304"/>
      <c r="BZ15" s="2304"/>
      <c r="CA15" s="2304"/>
      <c r="CB15" s="2304"/>
      <c r="CC15" s="2304"/>
      <c r="CD15" s="2305"/>
    </row>
    <row r="16" spans="1:82" ht="60" customHeight="1" thickBot="1">
      <c r="A16" s="2322" t="s">
        <v>3922</v>
      </c>
      <c r="B16" s="2328" t="str">
        <f>'Select Drive &amp; Motor'!$S$3</f>
        <v>180202</v>
      </c>
      <c r="C16" s="880" t="s">
        <v>2895</v>
      </c>
      <c r="D16" s="1625">
        <v>0</v>
      </c>
      <c r="E16" s="880" t="s">
        <v>2896</v>
      </c>
      <c r="F16" s="1626">
        <v>0</v>
      </c>
      <c r="G16" s="1625">
        <v>0</v>
      </c>
      <c r="H16" s="2323" t="s">
        <v>3327</v>
      </c>
      <c r="I16" s="1665" t="s">
        <v>2797</v>
      </c>
      <c r="J16" s="1665" t="s">
        <v>2798</v>
      </c>
      <c r="K16" s="1665" t="s">
        <v>2799</v>
      </c>
      <c r="L16" s="1666" t="s">
        <v>2800</v>
      </c>
      <c r="M16" s="2324" t="s">
        <v>2801</v>
      </c>
      <c r="N16" s="2160" t="s">
        <v>3328</v>
      </c>
      <c r="O16" s="2159" t="s">
        <v>2797</v>
      </c>
      <c r="P16" s="2159" t="s">
        <v>2798</v>
      </c>
      <c r="Q16" s="2159" t="s">
        <v>2799</v>
      </c>
      <c r="R16" s="2159" t="s">
        <v>2800</v>
      </c>
      <c r="S16" s="2155" t="s">
        <v>3229</v>
      </c>
      <c r="T16" s="1667" t="s">
        <v>3329</v>
      </c>
      <c r="U16" s="1665" t="s">
        <v>2797</v>
      </c>
      <c r="V16" s="1665" t="s">
        <v>2798</v>
      </c>
      <c r="W16" s="1665" t="s">
        <v>2799</v>
      </c>
      <c r="X16" s="1666" t="s">
        <v>2800</v>
      </c>
      <c r="Y16" s="1668" t="s">
        <v>2801</v>
      </c>
      <c r="Z16" s="1854" t="s">
        <v>2802</v>
      </c>
      <c r="AA16" s="1859" t="s">
        <v>88</v>
      </c>
      <c r="AB16" s="1885" t="s">
        <v>2852</v>
      </c>
      <c r="AC16" s="2297">
        <v>9.0000000000000011E-2</v>
      </c>
      <c r="AD16" s="2298">
        <v>0.12600000000000003</v>
      </c>
      <c r="AE16" s="2298">
        <v>0.189</v>
      </c>
      <c r="AF16" s="2298">
        <v>0.27</v>
      </c>
      <c r="AG16" s="2298">
        <v>0.39600000000000002</v>
      </c>
      <c r="AH16" s="2298">
        <v>0.59400000000000008</v>
      </c>
      <c r="AI16" s="2298">
        <v>0.80999999999999994</v>
      </c>
      <c r="AJ16" s="2298">
        <v>1.1880000000000002</v>
      </c>
      <c r="AK16" s="2298">
        <v>1.6199999999999999</v>
      </c>
      <c r="AL16" s="2299">
        <v>2.3760000000000003</v>
      </c>
      <c r="AM16" s="2298">
        <v>3.2399999999999998</v>
      </c>
      <c r="AN16" s="2298">
        <v>4.32</v>
      </c>
      <c r="AO16" s="2298">
        <v>5.9399999999999995</v>
      </c>
      <c r="AP16" s="2298">
        <v>8.1</v>
      </c>
      <c r="AQ16" s="2298">
        <v>11.879999999999999</v>
      </c>
      <c r="AR16" s="2298">
        <v>16.2</v>
      </c>
      <c r="AS16" s="2298">
        <v>19.98</v>
      </c>
      <c r="AT16" s="2298">
        <v>23.759999999999998</v>
      </c>
      <c r="AU16" s="2298">
        <v>32.4</v>
      </c>
      <c r="AV16" s="2298">
        <v>39.96</v>
      </c>
      <c r="AW16" s="2298">
        <v>48.6</v>
      </c>
      <c r="AX16" s="2298">
        <v>59.4</v>
      </c>
      <c r="AY16" s="2298">
        <v>81</v>
      </c>
      <c r="AZ16" s="2298">
        <v>97.2</v>
      </c>
      <c r="BA16" s="2298">
        <v>118.8</v>
      </c>
      <c r="BB16" s="2298">
        <v>142.56</v>
      </c>
      <c r="BC16" s="2298">
        <v>172.8</v>
      </c>
      <c r="BD16" s="2298">
        <v>216</v>
      </c>
      <c r="BE16" s="2298">
        <v>270</v>
      </c>
      <c r="BF16" s="2298">
        <v>340.2</v>
      </c>
      <c r="BG16" s="2298">
        <v>383.40000000000003</v>
      </c>
      <c r="BH16" s="2298">
        <v>432</v>
      </c>
      <c r="BI16" s="2298">
        <v>486</v>
      </c>
      <c r="BJ16" s="2298">
        <v>540</v>
      </c>
      <c r="BK16" s="2298">
        <v>604.80000000000007</v>
      </c>
      <c r="BL16" s="2298">
        <v>680.4</v>
      </c>
      <c r="BM16" s="2298">
        <v>0</v>
      </c>
      <c r="BN16" s="2298">
        <v>0</v>
      </c>
      <c r="BO16" s="2298">
        <v>0</v>
      </c>
      <c r="BP16" s="2298">
        <v>0</v>
      </c>
      <c r="BQ16" s="2298">
        <v>0</v>
      </c>
      <c r="BR16" s="2298">
        <v>0</v>
      </c>
      <c r="BS16" s="2298">
        <v>0</v>
      </c>
      <c r="BT16" s="2298">
        <v>0</v>
      </c>
      <c r="BU16" s="2298">
        <v>0</v>
      </c>
      <c r="BV16" s="2298">
        <v>0</v>
      </c>
      <c r="BW16" s="2298">
        <v>0</v>
      </c>
      <c r="BX16" s="2298">
        <v>0</v>
      </c>
      <c r="BY16" s="2298">
        <v>0</v>
      </c>
      <c r="BZ16" s="2298">
        <v>0</v>
      </c>
      <c r="CA16" s="2298">
        <v>0</v>
      </c>
      <c r="CB16" s="2298">
        <v>0</v>
      </c>
      <c r="CC16" s="2298">
        <v>0</v>
      </c>
      <c r="CD16" s="2300">
        <v>0</v>
      </c>
    </row>
    <row r="17" spans="1:84" ht="14.25">
      <c r="A17" s="2325" t="s">
        <v>2196</v>
      </c>
      <c r="B17" s="957">
        <v>0</v>
      </c>
      <c r="C17" s="1471">
        <v>0</v>
      </c>
      <c r="D17" s="974">
        <v>0</v>
      </c>
      <c r="E17" s="1492">
        <v>0</v>
      </c>
      <c r="F17" s="1627">
        <v>0</v>
      </c>
      <c r="G17" s="1637">
        <v>0</v>
      </c>
      <c r="H17" s="1841" t="s">
        <v>3532</v>
      </c>
      <c r="I17" s="1839"/>
      <c r="J17" s="1839"/>
      <c r="K17" s="1839"/>
      <c r="L17" s="1839"/>
      <c r="M17" s="2156"/>
      <c r="N17" s="1839"/>
      <c r="O17" s="1839"/>
      <c r="P17" s="1839"/>
      <c r="Q17" s="1839"/>
      <c r="R17" s="1839"/>
      <c r="S17" s="2156"/>
      <c r="T17" s="1839"/>
      <c r="U17" s="1839"/>
      <c r="V17" s="1839"/>
      <c r="W17" s="1839"/>
      <c r="X17" s="1839"/>
      <c r="Y17" s="1840"/>
      <c r="Z17" s="1854"/>
      <c r="AA17" s="1859"/>
      <c r="AB17" s="1854"/>
      <c r="AC17" s="1855"/>
      <c r="AD17" s="1855"/>
      <c r="AE17" s="1855"/>
      <c r="AF17" s="1855"/>
      <c r="AG17" s="1855"/>
      <c r="AH17" s="1855"/>
      <c r="AI17" s="1855"/>
      <c r="AJ17" s="1855"/>
      <c r="AK17" s="1855"/>
      <c r="AL17" s="1855"/>
      <c r="AM17" s="1855"/>
      <c r="AN17" s="1855"/>
      <c r="AO17" s="1855"/>
      <c r="AP17" s="1855"/>
      <c r="AQ17" s="1855"/>
      <c r="AR17" s="1855"/>
      <c r="AS17" s="1855"/>
      <c r="AT17" s="1855"/>
      <c r="AU17" s="1855"/>
      <c r="AV17" s="1855"/>
      <c r="AW17" s="1855"/>
      <c r="AX17" s="1855"/>
      <c r="AY17" s="1855"/>
      <c r="AZ17" s="1855"/>
      <c r="BA17" s="1855"/>
      <c r="BB17" s="1855"/>
      <c r="BC17" s="1855"/>
      <c r="BD17" s="1855"/>
      <c r="BE17" s="1855"/>
      <c r="BF17" s="1855"/>
      <c r="BG17" s="1855"/>
      <c r="BH17" s="1855"/>
      <c r="BI17" s="1855"/>
      <c r="BJ17" s="1855"/>
      <c r="BK17" s="1855"/>
      <c r="BL17" s="1855"/>
      <c r="BM17" s="1855"/>
      <c r="BN17" s="1855"/>
      <c r="BO17" s="1855"/>
      <c r="BP17" s="1855"/>
      <c r="BQ17" s="1855"/>
      <c r="BR17" s="1855"/>
      <c r="BS17" s="1855"/>
      <c r="BT17" s="1855"/>
      <c r="BU17" s="1855"/>
      <c r="BV17" s="1855"/>
      <c r="BW17" s="1855"/>
      <c r="BX17" s="1855"/>
      <c r="BY17" s="1855"/>
      <c r="BZ17" s="1855"/>
      <c r="CA17" s="1855"/>
      <c r="CB17" s="1855"/>
      <c r="CC17" s="1855"/>
      <c r="CD17" s="1859"/>
      <c r="CF17" s="1855">
        <v>9.0000000000000011E-2</v>
      </c>
    </row>
    <row r="18" spans="1:84" ht="14.25">
      <c r="A18" s="1628" t="s">
        <v>1513</v>
      </c>
      <c r="B18" s="906" t="s">
        <v>2897</v>
      </c>
      <c r="C18" s="1472" t="s">
        <v>1883</v>
      </c>
      <c r="D18" s="906" t="s">
        <v>2282</v>
      </c>
      <c r="E18" s="1493" t="s">
        <v>1513</v>
      </c>
      <c r="F18" s="1629" t="s">
        <v>2897</v>
      </c>
      <c r="G18" s="405" t="b">
        <v>1</v>
      </c>
      <c r="H18" s="1638"/>
      <c r="I18" s="1639">
        <v>2400</v>
      </c>
      <c r="J18" s="1639">
        <v>264.60000000000002</v>
      </c>
      <c r="K18" s="1639">
        <v>7622.6111011909798</v>
      </c>
      <c r="L18" s="1640">
        <v>0.82007292680588495</v>
      </c>
      <c r="M18" s="2157">
        <v>6.6999999999999975</v>
      </c>
      <c r="N18" s="1639"/>
      <c r="O18" s="1639">
        <v>3600</v>
      </c>
      <c r="P18" s="1639">
        <v>595.35</v>
      </c>
      <c r="Q18" s="1639">
        <v>11433.916651786469</v>
      </c>
      <c r="R18" s="1640">
        <v>0.82007292680588495</v>
      </c>
      <c r="S18" s="2157">
        <v>22.612499999999983</v>
      </c>
      <c r="T18" s="1639"/>
      <c r="U18" s="1639">
        <v>1403.5285143421759</v>
      </c>
      <c r="V18" s="1639">
        <v>90.49192709813083</v>
      </c>
      <c r="W18" s="1639">
        <v>4457.7300142761469</v>
      </c>
      <c r="X18" s="1640">
        <v>0.82007292680588495</v>
      </c>
      <c r="Y18" s="1641">
        <v>1.3399999999999999</v>
      </c>
      <c r="Z18" s="1854">
        <f>IF($G18,MATCH('Fan Name List'!Y18,'Fan Name List'!$AC$16:$BM$16,1),0)</f>
        <v>8</v>
      </c>
      <c r="AA18" s="1859">
        <f>IF($G18,IF(S18&gt;567,37,MATCH('Fan Name List'!S18,'Fan Name List'!$AC$16:$BM$16,1)+1),0)</f>
        <v>18</v>
      </c>
      <c r="AB18" s="1854"/>
      <c r="AC18" s="1855"/>
      <c r="AD18" s="1855"/>
      <c r="AE18" s="1855"/>
      <c r="AF18" s="1855"/>
      <c r="AG18" s="1855"/>
      <c r="AH18" s="1855"/>
      <c r="AI18" s="1855"/>
      <c r="AJ18" s="1855"/>
      <c r="AK18" s="1855"/>
      <c r="AL18" s="1855"/>
      <c r="AM18" s="1855"/>
      <c r="AN18" s="1855"/>
      <c r="AO18" s="1855"/>
      <c r="AP18" s="1855"/>
      <c r="AQ18" s="1855"/>
      <c r="AR18" s="1855"/>
      <c r="AS18" s="1855"/>
      <c r="AT18" s="1855"/>
      <c r="AU18" s="1855"/>
      <c r="AV18" s="1855"/>
      <c r="AW18" s="1855"/>
      <c r="AX18" s="1855"/>
      <c r="AY18" s="1855"/>
      <c r="AZ18" s="1855"/>
      <c r="BA18" s="1855"/>
      <c r="BB18" s="1855"/>
      <c r="BC18" s="1855"/>
      <c r="BD18" s="1855"/>
      <c r="BE18" s="1855"/>
      <c r="BF18" s="1855"/>
      <c r="BG18" s="1855"/>
      <c r="BH18" s="1855"/>
      <c r="BI18" s="1855"/>
      <c r="BJ18" s="1855"/>
      <c r="BK18" s="1855"/>
      <c r="BL18" s="1855"/>
      <c r="BM18" s="1855"/>
      <c r="BN18" s="1855"/>
      <c r="BO18" s="1855"/>
      <c r="BP18" s="1855"/>
      <c r="BQ18" s="1855"/>
      <c r="BR18" s="1855"/>
      <c r="BS18" s="1855"/>
      <c r="BT18" s="1855"/>
      <c r="BU18" s="1855"/>
      <c r="BV18" s="1855"/>
      <c r="BW18" s="1855"/>
      <c r="BX18" s="1855"/>
      <c r="BY18" s="1855"/>
      <c r="BZ18" s="1855"/>
      <c r="CA18" s="1855"/>
      <c r="CB18" s="1855"/>
      <c r="CC18" s="1855"/>
      <c r="CD18" s="1859"/>
      <c r="CF18" s="1855">
        <v>0.12600000000000003</v>
      </c>
    </row>
    <row r="19" spans="1:84" ht="14.25">
      <c r="A19" s="1628" t="s">
        <v>1514</v>
      </c>
      <c r="B19" s="906" t="s">
        <v>2898</v>
      </c>
      <c r="C19" s="1472" t="s">
        <v>1885</v>
      </c>
      <c r="D19" s="968" t="s">
        <v>2283</v>
      </c>
      <c r="E19" s="1493" t="s">
        <v>1514</v>
      </c>
      <c r="F19" s="1629" t="s">
        <v>2898</v>
      </c>
      <c r="G19" s="405" t="b">
        <v>1</v>
      </c>
      <c r="H19" s="1638"/>
      <c r="I19" s="1639">
        <v>2500</v>
      </c>
      <c r="J19" s="1639">
        <v>500</v>
      </c>
      <c r="K19" s="1639">
        <v>10875</v>
      </c>
      <c r="L19" s="1640">
        <v>0.75962339743589702</v>
      </c>
      <c r="M19" s="2157">
        <v>19.500000000000011</v>
      </c>
      <c r="N19" s="1639"/>
      <c r="O19" s="1639">
        <v>3600</v>
      </c>
      <c r="P19" s="1639">
        <v>1036.8</v>
      </c>
      <c r="Q19" s="1639">
        <v>15660</v>
      </c>
      <c r="R19" s="1640">
        <v>0.75962339743589702</v>
      </c>
      <c r="S19" s="2157">
        <v>58.226688000000038</v>
      </c>
      <c r="T19" s="1639"/>
      <c r="U19" s="1639">
        <v>1462.0088691064332</v>
      </c>
      <c r="V19" s="1639">
        <v>170.99759466766972</v>
      </c>
      <c r="W19" s="1639">
        <v>6359.7385806129842</v>
      </c>
      <c r="X19" s="1640">
        <v>0.75962339743589702</v>
      </c>
      <c r="Y19" s="1641">
        <v>3.900000000000003</v>
      </c>
      <c r="Z19" s="1854">
        <f>IF($G19,MATCH('Fan Name List'!Y19,'Fan Name List'!$AC$16:$BM$16,1),0)</f>
        <v>11</v>
      </c>
      <c r="AA19" s="1859">
        <f>IF($G19,IF(S19&gt;567,37,MATCH('Fan Name List'!S19,'Fan Name List'!$AC$16:$BM$16,1)+1),0)</f>
        <v>22</v>
      </c>
      <c r="AB19" s="1854"/>
      <c r="AC19" s="1855"/>
      <c r="AD19" s="1855"/>
      <c r="AE19" s="1855"/>
      <c r="AF19" s="1855"/>
      <c r="AG19" s="1855"/>
      <c r="AH19" s="1855"/>
      <c r="AI19" s="1855"/>
      <c r="AJ19" s="1855"/>
      <c r="AK19" s="1855"/>
      <c r="AL19" s="1855"/>
      <c r="AM19" s="1855"/>
      <c r="AN19" s="1855"/>
      <c r="AO19" s="1855"/>
      <c r="AP19" s="1855"/>
      <c r="AQ19" s="1855"/>
      <c r="AR19" s="1855"/>
      <c r="AS19" s="1855"/>
      <c r="AT19" s="1855"/>
      <c r="AU19" s="1855"/>
      <c r="AV19" s="1855"/>
      <c r="AW19" s="1855"/>
      <c r="AX19" s="1855"/>
      <c r="AY19" s="1855"/>
      <c r="AZ19" s="1855"/>
      <c r="BA19" s="1855"/>
      <c r="BB19" s="1855"/>
      <c r="BC19" s="1855"/>
      <c r="BD19" s="1855"/>
      <c r="BE19" s="1855"/>
      <c r="BF19" s="1855"/>
      <c r="BG19" s="1855"/>
      <c r="BH19" s="1855"/>
      <c r="BI19" s="1855"/>
      <c r="BJ19" s="1855"/>
      <c r="BK19" s="1855"/>
      <c r="BL19" s="1855"/>
      <c r="BM19" s="1855"/>
      <c r="BN19" s="1855"/>
      <c r="BO19" s="1855"/>
      <c r="BP19" s="1855"/>
      <c r="BQ19" s="1855"/>
      <c r="BR19" s="1855"/>
      <c r="BS19" s="1855"/>
      <c r="BT19" s="1855"/>
      <c r="BU19" s="1855"/>
      <c r="BV19" s="1855"/>
      <c r="BW19" s="1855"/>
      <c r="BX19" s="1855"/>
      <c r="BY19" s="1855"/>
      <c r="BZ19" s="1855"/>
      <c r="CA19" s="1855"/>
      <c r="CB19" s="1855"/>
      <c r="CC19" s="1855"/>
      <c r="CD19" s="1859"/>
      <c r="CF19" s="1855">
        <v>0.189</v>
      </c>
    </row>
    <row r="20" spans="1:84" ht="14.25">
      <c r="A20" s="1628" t="s">
        <v>1515</v>
      </c>
      <c r="B20" s="906" t="s">
        <v>2899</v>
      </c>
      <c r="C20" s="1472" t="s">
        <v>1887</v>
      </c>
      <c r="D20" s="968" t="s">
        <v>2900</v>
      </c>
      <c r="E20" s="1493" t="s">
        <v>1515</v>
      </c>
      <c r="F20" s="1629" t="s">
        <v>2899</v>
      </c>
      <c r="G20" s="405" t="b">
        <v>1</v>
      </c>
      <c r="H20" s="1638"/>
      <c r="I20" s="1639">
        <v>2500</v>
      </c>
      <c r="J20" s="1639">
        <v>495</v>
      </c>
      <c r="K20" s="1639">
        <v>13450</v>
      </c>
      <c r="L20" s="1640">
        <v>0.851493926056338</v>
      </c>
      <c r="M20" s="2157">
        <v>21.3</v>
      </c>
      <c r="N20" s="1639"/>
      <c r="O20" s="1639">
        <v>3600</v>
      </c>
      <c r="P20" s="1639">
        <v>1026.432</v>
      </c>
      <c r="Q20" s="1639">
        <v>19368</v>
      </c>
      <c r="R20" s="1640">
        <v>0.851493926056338</v>
      </c>
      <c r="S20" s="2157">
        <v>63.601459200000008</v>
      </c>
      <c r="T20" s="1639"/>
      <c r="U20" s="1639">
        <v>1462.0088691064332</v>
      </c>
      <c r="V20" s="1639">
        <v>169.28761872099304</v>
      </c>
      <c r="W20" s="1639">
        <v>7865.6077157926102</v>
      </c>
      <c r="X20" s="1640">
        <v>0.851493926056338</v>
      </c>
      <c r="Y20" s="1641">
        <v>4.2600000000000016</v>
      </c>
      <c r="Z20" s="1854">
        <f>IF($G20,MATCH('Fan Name List'!Y20,'Fan Name List'!$AC$16:$BM$16,1),0)</f>
        <v>11</v>
      </c>
      <c r="AA20" s="1859">
        <f>IF($G20,IF(S20&gt;567,37,MATCH('Fan Name List'!S20,'Fan Name List'!$AC$16:$BM$16,1)+1),0)</f>
        <v>23</v>
      </c>
      <c r="AB20" s="1854"/>
      <c r="AC20" s="1855"/>
      <c r="AD20" s="1855"/>
      <c r="AE20" s="1855"/>
      <c r="AF20" s="1855"/>
      <c r="AG20" s="1855"/>
      <c r="AH20" s="1855"/>
      <c r="AI20" s="1855"/>
      <c r="AJ20" s="1855"/>
      <c r="AK20" s="1855"/>
      <c r="AL20" s="1855"/>
      <c r="AM20" s="1855"/>
      <c r="AN20" s="1855"/>
      <c r="AO20" s="1855"/>
      <c r="AP20" s="1855"/>
      <c r="AQ20" s="1855"/>
      <c r="AR20" s="1855"/>
      <c r="AS20" s="1855"/>
      <c r="AT20" s="1855"/>
      <c r="AU20" s="1855"/>
      <c r="AV20" s="1855"/>
      <c r="AW20" s="1855"/>
      <c r="AX20" s="1855"/>
      <c r="AY20" s="1855"/>
      <c r="AZ20" s="1855"/>
      <c r="BA20" s="1855"/>
      <c r="BB20" s="1855"/>
      <c r="BC20" s="1855"/>
      <c r="BD20" s="1855"/>
      <c r="BE20" s="1855"/>
      <c r="BF20" s="1855"/>
      <c r="BG20" s="1855"/>
      <c r="BH20" s="1855"/>
      <c r="BI20" s="1855"/>
      <c r="BJ20" s="1855"/>
      <c r="BK20" s="1855"/>
      <c r="BL20" s="1855"/>
      <c r="BM20" s="1855"/>
      <c r="BN20" s="1855"/>
      <c r="BO20" s="1855"/>
      <c r="BP20" s="1855"/>
      <c r="BQ20" s="1855"/>
      <c r="BR20" s="1855"/>
      <c r="BS20" s="1855"/>
      <c r="BT20" s="1855"/>
      <c r="BU20" s="1855"/>
      <c r="BV20" s="1855"/>
      <c r="BW20" s="1855"/>
      <c r="BX20" s="1855"/>
      <c r="BY20" s="1855"/>
      <c r="BZ20" s="1855"/>
      <c r="CA20" s="1855"/>
      <c r="CB20" s="1855"/>
      <c r="CC20" s="1855"/>
      <c r="CD20" s="1859"/>
      <c r="CF20" s="1855">
        <v>0.27</v>
      </c>
    </row>
    <row r="21" spans="1:84" ht="14.25">
      <c r="A21" s="1628" t="s">
        <v>1516</v>
      </c>
      <c r="B21" s="906" t="s">
        <v>2901</v>
      </c>
      <c r="C21" s="1472" t="s">
        <v>1889</v>
      </c>
      <c r="D21" s="968" t="s">
        <v>2902</v>
      </c>
      <c r="E21" s="1493" t="s">
        <v>1516</v>
      </c>
      <c r="F21" s="1629" t="s">
        <v>2901</v>
      </c>
      <c r="G21" s="405" t="b">
        <v>1</v>
      </c>
      <c r="H21" s="1638"/>
      <c r="I21" s="1639">
        <v>2400</v>
      </c>
      <c r="J21" s="1639">
        <v>343</v>
      </c>
      <c r="K21" s="1639">
        <v>21036.426740299801</v>
      </c>
      <c r="L21" s="1640">
        <v>0.79579794540538895</v>
      </c>
      <c r="M21" s="2157">
        <v>24.70000000000001</v>
      </c>
      <c r="N21" s="1639"/>
      <c r="O21" s="1639">
        <v>3600</v>
      </c>
      <c r="P21" s="1639">
        <v>771.75</v>
      </c>
      <c r="Q21" s="1639">
        <v>31554.640110449702</v>
      </c>
      <c r="R21" s="1640">
        <v>0.79579794540538895</v>
      </c>
      <c r="S21" s="2157">
        <v>83.362500000000026</v>
      </c>
      <c r="T21" s="1639"/>
      <c r="U21" s="1639">
        <v>1403.5285143421759</v>
      </c>
      <c r="V21" s="1639">
        <v>117.30434994202143</v>
      </c>
      <c r="W21" s="1639">
        <v>12302.176987450417</v>
      </c>
      <c r="X21" s="1640">
        <v>0.79579794540538895</v>
      </c>
      <c r="Y21" s="1641">
        <v>4.9400000000000031</v>
      </c>
      <c r="Z21" s="1854">
        <f>IF($G21,MATCH('Fan Name List'!Y21,'Fan Name List'!$AC$16:$BM$16,1),0)</f>
        <v>12</v>
      </c>
      <c r="AA21" s="1859">
        <f>IF($G21,IF(S21&gt;567,37,MATCH('Fan Name List'!S21,'Fan Name List'!$AC$16:$BM$16,1)+1),0)</f>
        <v>24</v>
      </c>
      <c r="AB21" s="1854"/>
      <c r="AC21" s="1855"/>
      <c r="AD21" s="1855"/>
      <c r="AE21" s="1855"/>
      <c r="AF21" s="1855"/>
      <c r="AG21" s="1855"/>
      <c r="AH21" s="1855"/>
      <c r="AI21" s="1855"/>
      <c r="AJ21" s="1855"/>
      <c r="AK21" s="1855"/>
      <c r="AL21" s="1855"/>
      <c r="AM21" s="1855"/>
      <c r="AN21" s="1855"/>
      <c r="AO21" s="1855"/>
      <c r="AP21" s="1855"/>
      <c r="AQ21" s="1855"/>
      <c r="AR21" s="1855"/>
      <c r="AS21" s="1855"/>
      <c r="AT21" s="1855"/>
      <c r="AU21" s="1855"/>
      <c r="AV21" s="1855"/>
      <c r="AW21" s="1855"/>
      <c r="AX21" s="1855"/>
      <c r="AY21" s="1855"/>
      <c r="AZ21" s="1855"/>
      <c r="BA21" s="1855"/>
      <c r="BB21" s="1855"/>
      <c r="BC21" s="1855"/>
      <c r="BD21" s="1855"/>
      <c r="BE21" s="1855"/>
      <c r="BF21" s="1855"/>
      <c r="BG21" s="1855"/>
      <c r="BH21" s="1855"/>
      <c r="BI21" s="1855"/>
      <c r="BJ21" s="1855"/>
      <c r="BK21" s="1855"/>
      <c r="BL21" s="1855"/>
      <c r="BM21" s="1855"/>
      <c r="BN21" s="1855"/>
      <c r="BO21" s="1855"/>
      <c r="BP21" s="1855"/>
      <c r="BQ21" s="1855"/>
      <c r="BR21" s="1855"/>
      <c r="BS21" s="1855"/>
      <c r="BT21" s="1855"/>
      <c r="BU21" s="1855"/>
      <c r="BV21" s="1855"/>
      <c r="BW21" s="1855"/>
      <c r="BX21" s="1855"/>
      <c r="BY21" s="1855"/>
      <c r="BZ21" s="1855"/>
      <c r="CA21" s="1855"/>
      <c r="CB21" s="1855"/>
      <c r="CC21" s="1855"/>
      <c r="CD21" s="1859"/>
      <c r="CF21" s="1855">
        <v>0.39600000000000002</v>
      </c>
    </row>
    <row r="22" spans="1:84" ht="14.45" customHeight="1">
      <c r="A22" s="1628" t="s">
        <v>1680</v>
      </c>
      <c r="B22" s="906" t="s">
        <v>2903</v>
      </c>
      <c r="C22" s="1472" t="s">
        <v>1891</v>
      </c>
      <c r="D22" s="968" t="s">
        <v>2904</v>
      </c>
      <c r="E22" s="1493" t="s">
        <v>1680</v>
      </c>
      <c r="F22" s="1629" t="s">
        <v>2903</v>
      </c>
      <c r="G22" s="405" t="b">
        <v>1</v>
      </c>
      <c r="H22" s="1638"/>
      <c r="I22" s="1639">
        <v>2400</v>
      </c>
      <c r="J22" s="1639">
        <v>343</v>
      </c>
      <c r="K22" s="1639">
        <v>21036.426740299801</v>
      </c>
      <c r="L22" s="1640">
        <v>0.79579794540538895</v>
      </c>
      <c r="M22" s="2157">
        <v>24.70000000000001</v>
      </c>
      <c r="N22" s="1639"/>
      <c r="O22" s="1639">
        <v>3600</v>
      </c>
      <c r="P22" s="1639">
        <v>771.75</v>
      </c>
      <c r="Q22" s="1639">
        <v>31554.640110449702</v>
      </c>
      <c r="R22" s="1640">
        <v>0.79579794540538895</v>
      </c>
      <c r="S22" s="2157">
        <v>83.362500000000026</v>
      </c>
      <c r="T22" s="1639"/>
      <c r="U22" s="1639">
        <v>1403.5285143421759</v>
      </c>
      <c r="V22" s="1639">
        <v>117.30434994202143</v>
      </c>
      <c r="W22" s="1639">
        <v>12302.176987450417</v>
      </c>
      <c r="X22" s="1640">
        <v>0.79579794540538895</v>
      </c>
      <c r="Y22" s="1641">
        <v>4.9400000000000031</v>
      </c>
      <c r="Z22" s="1854">
        <f>IF($G22,MATCH('Fan Name List'!Y22,'Fan Name List'!$AC$16:$BM$16,1),0)</f>
        <v>12</v>
      </c>
      <c r="AA22" s="1859">
        <f>IF($G22,IF(S22&gt;567,37,MATCH('Fan Name List'!S22,'Fan Name List'!$AC$16:$BM$16,1)+1),0)</f>
        <v>24</v>
      </c>
      <c r="AB22" s="1854"/>
      <c r="AC22" s="1855"/>
      <c r="AD22" s="1855"/>
      <c r="AE22" s="1855"/>
      <c r="AF22" s="1855"/>
      <c r="AG22" s="1855"/>
      <c r="AH22" s="1855"/>
      <c r="AI22" s="1855"/>
      <c r="AJ22" s="1855"/>
      <c r="AK22" s="1855"/>
      <c r="AL22" s="1855"/>
      <c r="AM22" s="1855"/>
      <c r="AN22" s="1855"/>
      <c r="AO22" s="1855"/>
      <c r="AP22" s="1855"/>
      <c r="AQ22" s="1855"/>
      <c r="AR22" s="1855"/>
      <c r="AS22" s="1855"/>
      <c r="AT22" s="1855"/>
      <c r="AU22" s="1855"/>
      <c r="AV22" s="1855"/>
      <c r="AW22" s="1855"/>
      <c r="AX22" s="1855"/>
      <c r="AY22" s="1855"/>
      <c r="AZ22" s="1855"/>
      <c r="BA22" s="1855"/>
      <c r="BB22" s="1855"/>
      <c r="BC22" s="1855"/>
      <c r="BD22" s="1855"/>
      <c r="BE22" s="1855"/>
      <c r="BF22" s="1855"/>
      <c r="BG22" s="1855"/>
      <c r="BH22" s="1855"/>
      <c r="BI22" s="1855"/>
      <c r="BJ22" s="1855"/>
      <c r="BK22" s="1855"/>
      <c r="BL22" s="1855"/>
      <c r="BM22" s="1855"/>
      <c r="BN22" s="1855"/>
      <c r="BO22" s="1855"/>
      <c r="BP22" s="1855"/>
      <c r="BQ22" s="1855"/>
      <c r="BR22" s="1855"/>
      <c r="BS22" s="1855"/>
      <c r="BT22" s="1855"/>
      <c r="BU22" s="1855"/>
      <c r="BV22" s="1855"/>
      <c r="BW22" s="1855"/>
      <c r="BX22" s="1855"/>
      <c r="BY22" s="1855"/>
      <c r="BZ22" s="1855"/>
      <c r="CA22" s="1855"/>
      <c r="CB22" s="1855"/>
      <c r="CC22" s="1855"/>
      <c r="CD22" s="1859"/>
      <c r="CF22" s="1855">
        <v>0.59400000000000008</v>
      </c>
    </row>
    <row r="23" spans="1:84" ht="14.25">
      <c r="A23" s="1628" t="s">
        <v>1517</v>
      </c>
      <c r="B23" s="906" t="s">
        <v>2905</v>
      </c>
      <c r="C23" s="1472" t="s">
        <v>1893</v>
      </c>
      <c r="D23" s="968" t="s">
        <v>2906</v>
      </c>
      <c r="E23" s="1493" t="s">
        <v>1517</v>
      </c>
      <c r="F23" s="1629" t="s">
        <v>2905</v>
      </c>
      <c r="G23" s="405" t="b">
        <v>0</v>
      </c>
      <c r="H23" s="1638"/>
      <c r="I23" s="1639">
        <v>0</v>
      </c>
      <c r="J23" s="1639">
        <v>0</v>
      </c>
      <c r="K23" s="1639">
        <v>0</v>
      </c>
      <c r="L23" s="1640">
        <v>0</v>
      </c>
      <c r="M23" s="2157">
        <v>0</v>
      </c>
      <c r="N23" s="1639"/>
      <c r="O23" s="1639">
        <v>0</v>
      </c>
      <c r="P23" s="1639">
        <v>0</v>
      </c>
      <c r="Q23" s="1639">
        <v>0</v>
      </c>
      <c r="R23" s="1640">
        <v>0</v>
      </c>
      <c r="S23" s="2157">
        <v>0</v>
      </c>
      <c r="T23" s="1639"/>
      <c r="U23" s="1639">
        <v>0</v>
      </c>
      <c r="V23" s="1639">
        <v>0</v>
      </c>
      <c r="W23" s="1639">
        <v>0</v>
      </c>
      <c r="X23" s="1640">
        <v>0</v>
      </c>
      <c r="Y23" s="1641">
        <v>0</v>
      </c>
      <c r="Z23" s="1854">
        <f>IF($G23,MATCH('Fan Name List'!Y23,'Fan Name List'!$AC$16:$BM$16,1),0)</f>
        <v>0</v>
      </c>
      <c r="AA23" s="1859">
        <f>IF($G23,IF(S23&gt;567,37,MATCH('Fan Name List'!S23,'Fan Name List'!$AC$16:$BM$16,1)+1),0)</f>
        <v>0</v>
      </c>
      <c r="AB23" s="1854"/>
      <c r="AC23" s="1855"/>
      <c r="AD23" s="1855"/>
      <c r="AE23" s="1855"/>
      <c r="AF23" s="1855"/>
      <c r="AG23" s="1855"/>
      <c r="AH23" s="1855"/>
      <c r="AI23" s="1855"/>
      <c r="AJ23" s="1855"/>
      <c r="AK23" s="1855"/>
      <c r="AL23" s="1855"/>
      <c r="AM23" s="1855"/>
      <c r="AN23" s="1855"/>
      <c r="AO23" s="1855"/>
      <c r="AP23" s="1855"/>
      <c r="AQ23" s="1855"/>
      <c r="AR23" s="1855"/>
      <c r="AS23" s="1855"/>
      <c r="AT23" s="1855"/>
      <c r="AU23" s="1855"/>
      <c r="AV23" s="1855"/>
      <c r="AW23" s="1855"/>
      <c r="AX23" s="1855"/>
      <c r="AY23" s="1855"/>
      <c r="AZ23" s="1855"/>
      <c r="BA23" s="1855"/>
      <c r="BB23" s="1855"/>
      <c r="BC23" s="1855"/>
      <c r="BD23" s="1855"/>
      <c r="BE23" s="1855"/>
      <c r="BF23" s="1855"/>
      <c r="BG23" s="1855"/>
      <c r="BH23" s="1855"/>
      <c r="BI23" s="1855"/>
      <c r="BJ23" s="1855"/>
      <c r="BK23" s="1855"/>
      <c r="BL23" s="1855"/>
      <c r="BM23" s="1855"/>
      <c r="BN23" s="1855"/>
      <c r="BO23" s="1855"/>
      <c r="BP23" s="1855"/>
      <c r="BQ23" s="1855"/>
      <c r="BR23" s="1855"/>
      <c r="BS23" s="1855"/>
      <c r="BT23" s="1855"/>
      <c r="BU23" s="1855"/>
      <c r="BV23" s="1855"/>
      <c r="BW23" s="1855"/>
      <c r="BX23" s="1855"/>
      <c r="BY23" s="1855"/>
      <c r="BZ23" s="1855"/>
      <c r="CA23" s="1855"/>
      <c r="CB23" s="1855"/>
      <c r="CC23" s="1855"/>
      <c r="CD23" s="1859"/>
      <c r="CF23" s="1855">
        <v>0.80999999999999994</v>
      </c>
    </row>
    <row r="24" spans="1:84" ht="14.25">
      <c r="A24" s="1628" t="s">
        <v>1518</v>
      </c>
      <c r="B24" s="906" t="s">
        <v>2907</v>
      </c>
      <c r="C24" s="1472" t="s">
        <v>1895</v>
      </c>
      <c r="D24" s="968" t="s">
        <v>2908</v>
      </c>
      <c r="E24" s="1493" t="s">
        <v>1518</v>
      </c>
      <c r="F24" s="1629" t="s">
        <v>2907</v>
      </c>
      <c r="G24" s="405" t="b">
        <v>1</v>
      </c>
      <c r="H24" s="1638"/>
      <c r="I24" s="1639">
        <v>2400</v>
      </c>
      <c r="J24" s="1639">
        <v>640</v>
      </c>
      <c r="K24" s="1639">
        <v>16150</v>
      </c>
      <c r="L24" s="1640">
        <v>0.76099963963964001</v>
      </c>
      <c r="M24" s="2157">
        <v>36.999999999999986</v>
      </c>
      <c r="N24" s="1639"/>
      <c r="O24" s="1639">
        <v>3600</v>
      </c>
      <c r="P24" s="1639">
        <v>1440</v>
      </c>
      <c r="Q24" s="1639">
        <v>24225</v>
      </c>
      <c r="R24" s="1640">
        <v>0.76099963963964001</v>
      </c>
      <c r="S24" s="2157">
        <v>124.87499999999996</v>
      </c>
      <c r="T24" s="1639"/>
      <c r="U24" s="1639">
        <v>1403.5285143421759</v>
      </c>
      <c r="V24" s="1639">
        <v>218.87692117461725</v>
      </c>
      <c r="W24" s="1639">
        <v>9444.5772944275577</v>
      </c>
      <c r="X24" s="1640">
        <v>0.76099963963964001</v>
      </c>
      <c r="Y24" s="1641">
        <v>7.3999999999999986</v>
      </c>
      <c r="Z24" s="1854">
        <f>IF($G24,MATCH('Fan Name List'!Y24,'Fan Name List'!$AC$16:$BM$16,1),0)</f>
        <v>13</v>
      </c>
      <c r="AA24" s="1859">
        <f>IF($G24,IF(S24&gt;567,37,MATCH('Fan Name List'!S24,'Fan Name List'!$AC$16:$BM$16,1)+1),0)</f>
        <v>26</v>
      </c>
      <c r="AB24" s="1854"/>
      <c r="AC24" s="1855"/>
      <c r="AD24" s="1855"/>
      <c r="AE24" s="1855"/>
      <c r="AF24" s="1855"/>
      <c r="AG24" s="1855"/>
      <c r="AH24" s="1855"/>
      <c r="AI24" s="1855"/>
      <c r="AJ24" s="1855"/>
      <c r="AK24" s="1855"/>
      <c r="AL24" s="1855"/>
      <c r="AM24" s="1855"/>
      <c r="AN24" s="1855"/>
      <c r="AO24" s="1855"/>
      <c r="AP24" s="1855"/>
      <c r="AQ24" s="1855"/>
      <c r="AR24" s="1855"/>
      <c r="AS24" s="1855"/>
      <c r="AT24" s="1855"/>
      <c r="AU24" s="1855"/>
      <c r="AV24" s="1855"/>
      <c r="AW24" s="1855"/>
      <c r="AX24" s="1855"/>
      <c r="AY24" s="1855"/>
      <c r="AZ24" s="1855"/>
      <c r="BA24" s="1855"/>
      <c r="BB24" s="1855"/>
      <c r="BC24" s="1855"/>
      <c r="BD24" s="1855"/>
      <c r="BE24" s="1855"/>
      <c r="BF24" s="1855"/>
      <c r="BG24" s="1855"/>
      <c r="BH24" s="1855"/>
      <c r="BI24" s="1855"/>
      <c r="BJ24" s="1855"/>
      <c r="BK24" s="1855"/>
      <c r="BL24" s="1855"/>
      <c r="BM24" s="1855"/>
      <c r="BN24" s="1855"/>
      <c r="BO24" s="1855"/>
      <c r="BP24" s="1855"/>
      <c r="BQ24" s="1855"/>
      <c r="BR24" s="1855"/>
      <c r="BS24" s="1855"/>
      <c r="BT24" s="1855"/>
      <c r="BU24" s="1855"/>
      <c r="BV24" s="1855"/>
      <c r="BW24" s="1855"/>
      <c r="BX24" s="1855"/>
      <c r="BY24" s="1855"/>
      <c r="BZ24" s="1855"/>
      <c r="CA24" s="1855"/>
      <c r="CB24" s="1855"/>
      <c r="CC24" s="1855"/>
      <c r="CD24" s="1859"/>
      <c r="CF24" s="1855">
        <v>1.1880000000000002</v>
      </c>
    </row>
    <row r="25" spans="1:84" ht="14.25">
      <c r="A25" s="1628" t="s">
        <v>1662</v>
      </c>
      <c r="B25" s="906" t="s">
        <v>2909</v>
      </c>
      <c r="C25" s="1472" t="s">
        <v>1897</v>
      </c>
      <c r="D25" s="968" t="s">
        <v>2286</v>
      </c>
      <c r="E25" s="1493" t="s">
        <v>1662</v>
      </c>
      <c r="F25" s="1629" t="s">
        <v>2909</v>
      </c>
      <c r="G25" s="405" t="b">
        <v>1</v>
      </c>
      <c r="H25" s="1638"/>
      <c r="I25" s="1639">
        <v>2200</v>
      </c>
      <c r="J25" s="1639">
        <v>530.25</v>
      </c>
      <c r="K25" s="1639">
        <v>17738.030471278398</v>
      </c>
      <c r="L25" s="1640">
        <v>0.753599898505525</v>
      </c>
      <c r="M25" s="2157">
        <v>34.00000000000005</v>
      </c>
      <c r="N25" s="1639"/>
      <c r="O25" s="1639">
        <v>3600</v>
      </c>
      <c r="P25" s="1639">
        <v>1419.8429752066118</v>
      </c>
      <c r="Q25" s="1639">
        <v>29025.868043910108</v>
      </c>
      <c r="R25" s="1640">
        <v>0.753599898505525</v>
      </c>
      <c r="S25" s="2157">
        <v>148.9767092411723</v>
      </c>
      <c r="T25" s="1639"/>
      <c r="U25" s="1639">
        <v>1286.5678048136613</v>
      </c>
      <c r="V25" s="1639">
        <v>181.34294914506376</v>
      </c>
      <c r="W25" s="1639">
        <v>10373.263147795673</v>
      </c>
      <c r="X25" s="1640">
        <v>0.753599898505525</v>
      </c>
      <c r="Y25" s="1641">
        <v>6.800000000000014</v>
      </c>
      <c r="Z25" s="1854">
        <f>IF($G25,MATCH('Fan Name List'!Y25,'Fan Name List'!$AC$16:$BM$16,1),0)</f>
        <v>13</v>
      </c>
      <c r="AA25" s="1859">
        <f>IF($G25,IF(S25&gt;567,37,MATCH('Fan Name List'!S25,'Fan Name List'!$AC$16:$BM$16,1)+1),0)</f>
        <v>27</v>
      </c>
      <c r="AB25" s="1854"/>
      <c r="AC25" s="1855"/>
      <c r="AD25" s="1855"/>
      <c r="AE25" s="1855"/>
      <c r="AF25" s="1855"/>
      <c r="AG25" s="1855"/>
      <c r="AH25" s="1855"/>
      <c r="AI25" s="1855"/>
      <c r="AJ25" s="1855"/>
      <c r="AK25" s="1855"/>
      <c r="AL25" s="1855"/>
      <c r="AM25" s="1855"/>
      <c r="AN25" s="1855"/>
      <c r="AO25" s="1855"/>
      <c r="AP25" s="1855"/>
      <c r="AQ25" s="1855"/>
      <c r="AR25" s="1855"/>
      <c r="AS25" s="1855"/>
      <c r="AT25" s="1855"/>
      <c r="AU25" s="1855"/>
      <c r="AV25" s="1855"/>
      <c r="AW25" s="1855"/>
      <c r="AX25" s="1855"/>
      <c r="AY25" s="1855"/>
      <c r="AZ25" s="1855"/>
      <c r="BA25" s="1855"/>
      <c r="BB25" s="1855"/>
      <c r="BC25" s="1855"/>
      <c r="BD25" s="1855"/>
      <c r="BE25" s="1855"/>
      <c r="BF25" s="1855"/>
      <c r="BG25" s="1855"/>
      <c r="BH25" s="1855"/>
      <c r="BI25" s="1855"/>
      <c r="BJ25" s="1855"/>
      <c r="BK25" s="1855"/>
      <c r="BL25" s="1855"/>
      <c r="BM25" s="1855"/>
      <c r="BN25" s="1855"/>
      <c r="BO25" s="1855"/>
      <c r="BP25" s="1855"/>
      <c r="BQ25" s="1855"/>
      <c r="BR25" s="1855"/>
      <c r="BS25" s="1855"/>
      <c r="BT25" s="1855"/>
      <c r="BU25" s="1855"/>
      <c r="BV25" s="1855"/>
      <c r="BW25" s="1855"/>
      <c r="BX25" s="1855"/>
      <c r="BY25" s="1855"/>
      <c r="BZ25" s="1855"/>
      <c r="CA25" s="1855"/>
      <c r="CB25" s="1855"/>
      <c r="CC25" s="1855"/>
      <c r="CD25" s="1859"/>
      <c r="CF25" s="1855">
        <v>1.6199999999999999</v>
      </c>
    </row>
    <row r="26" spans="1:84" ht="14.25">
      <c r="A26" s="1628" t="s">
        <v>1519</v>
      </c>
      <c r="B26" s="906" t="s">
        <v>2910</v>
      </c>
      <c r="C26" s="1472" t="s">
        <v>1899</v>
      </c>
      <c r="D26" s="968" t="s">
        <v>2287</v>
      </c>
      <c r="E26" s="1493" t="s">
        <v>1519</v>
      </c>
      <c r="F26" s="1629" t="s">
        <v>2910</v>
      </c>
      <c r="G26" s="405" t="b">
        <v>1</v>
      </c>
      <c r="H26" s="1638"/>
      <c r="I26" s="1639">
        <v>2975</v>
      </c>
      <c r="J26" s="1639">
        <v>779.02571864518256</v>
      </c>
      <c r="K26" s="1639">
        <v>29355.568699297706</v>
      </c>
      <c r="L26" s="1640">
        <v>0.82260378947077117</v>
      </c>
      <c r="M26" s="2157">
        <v>75.733017757264264</v>
      </c>
      <c r="N26" s="1639"/>
      <c r="O26" s="1639">
        <v>3600</v>
      </c>
      <c r="P26" s="1639">
        <v>1140.7299838871904</v>
      </c>
      <c r="Q26" s="1639">
        <v>35522.704980662769</v>
      </c>
      <c r="R26" s="1640">
        <v>0.82260378947077117</v>
      </c>
      <c r="S26" s="2157">
        <v>134.19361573294088</v>
      </c>
      <c r="T26" s="1639"/>
      <c r="U26" s="1639">
        <v>1739.7905542366555</v>
      </c>
      <c r="V26" s="1639">
        <v>266.42304814515808</v>
      </c>
      <c r="W26" s="1639">
        <v>17167.240718414578</v>
      </c>
      <c r="X26" s="1640">
        <v>0.82260378947077117</v>
      </c>
      <c r="Y26" s="1641">
        <v>15.146603551452854</v>
      </c>
      <c r="Z26" s="1854">
        <f>IF($G26,MATCH('Fan Name List'!Y26,'Fan Name List'!$AC$16:$BM$16,1),0)</f>
        <v>15</v>
      </c>
      <c r="AA26" s="1859">
        <f>IF($G26,IF(S26&gt;567,37,MATCH('Fan Name List'!S26,'Fan Name List'!$AC$16:$BM$16,1)+1),0)</f>
        <v>26</v>
      </c>
      <c r="AB26" s="1854"/>
      <c r="AC26" s="1855"/>
      <c r="AD26" s="1855"/>
      <c r="AE26" s="1855"/>
      <c r="AF26" s="1855"/>
      <c r="AG26" s="1855"/>
      <c r="AH26" s="1855"/>
      <c r="AI26" s="1855"/>
      <c r="AJ26" s="1855"/>
      <c r="AK26" s="1855"/>
      <c r="AL26" s="1855"/>
      <c r="AM26" s="1855"/>
      <c r="AN26" s="1855"/>
      <c r="AO26" s="1855"/>
      <c r="AP26" s="1855"/>
      <c r="AQ26" s="1855"/>
      <c r="AR26" s="1855"/>
      <c r="AS26" s="1855"/>
      <c r="AT26" s="1855"/>
      <c r="AU26" s="1855"/>
      <c r="AV26" s="1855"/>
      <c r="AW26" s="1855"/>
      <c r="AX26" s="1855"/>
      <c r="AY26" s="1855"/>
      <c r="AZ26" s="1855"/>
      <c r="BA26" s="1855"/>
      <c r="BB26" s="1855"/>
      <c r="BC26" s="1855"/>
      <c r="BD26" s="1855"/>
      <c r="BE26" s="1855"/>
      <c r="BF26" s="1855"/>
      <c r="BG26" s="1855"/>
      <c r="BH26" s="1855"/>
      <c r="BI26" s="1855"/>
      <c r="BJ26" s="1855"/>
      <c r="BK26" s="1855"/>
      <c r="BL26" s="1855"/>
      <c r="BM26" s="1855"/>
      <c r="BN26" s="1855"/>
      <c r="BO26" s="1855"/>
      <c r="BP26" s="1855"/>
      <c r="BQ26" s="1855"/>
      <c r="BR26" s="1855"/>
      <c r="BS26" s="1855"/>
      <c r="BT26" s="1855"/>
      <c r="BU26" s="1855"/>
      <c r="BV26" s="1855"/>
      <c r="BW26" s="1855"/>
      <c r="BX26" s="1855"/>
      <c r="BY26" s="1855"/>
      <c r="BZ26" s="1855"/>
      <c r="CA26" s="1855"/>
      <c r="CB26" s="1855"/>
      <c r="CC26" s="1855"/>
      <c r="CD26" s="1859"/>
      <c r="CF26" s="1855">
        <v>2.3760000000000003</v>
      </c>
    </row>
    <row r="27" spans="1:84" ht="14.25">
      <c r="A27" s="1628" t="s">
        <v>1520</v>
      </c>
      <c r="B27" s="906" t="s">
        <v>2911</v>
      </c>
      <c r="C27" s="1472" t="s">
        <v>1901</v>
      </c>
      <c r="D27" s="968" t="s">
        <v>2912</v>
      </c>
      <c r="E27" s="1493" t="s">
        <v>1520</v>
      </c>
      <c r="F27" s="1629" t="s">
        <v>2911</v>
      </c>
      <c r="G27" s="405" t="b">
        <v>1</v>
      </c>
      <c r="H27" s="1638"/>
      <c r="I27" s="1639">
        <v>2965</v>
      </c>
      <c r="J27" s="1639">
        <v>687.09925655827817</v>
      </c>
      <c r="K27" s="1639">
        <v>34416.779750979622</v>
      </c>
      <c r="L27" s="1640">
        <v>0.86483822300084945</v>
      </c>
      <c r="M27" s="2157">
        <v>74.48837670922795</v>
      </c>
      <c r="N27" s="1639"/>
      <c r="O27" s="1639">
        <v>3600</v>
      </c>
      <c r="P27" s="1639">
        <v>1012.9198564472284</v>
      </c>
      <c r="Q27" s="1639">
        <v>41787.658382302405</v>
      </c>
      <c r="R27" s="1640">
        <v>0.86483822300084945</v>
      </c>
      <c r="S27" s="2157">
        <v>133.32817029796604</v>
      </c>
      <c r="T27" s="1639"/>
      <c r="U27" s="1639">
        <v>1733.9425187602296</v>
      </c>
      <c r="V27" s="1639">
        <v>234.98464033881933</v>
      </c>
      <c r="W27" s="1639">
        <v>20127.054896805963</v>
      </c>
      <c r="X27" s="1640">
        <v>0.86483822300084945</v>
      </c>
      <c r="Y27" s="1641">
        <v>14.897675341845591</v>
      </c>
      <c r="Z27" s="1854">
        <f>IF($G27,MATCH('Fan Name List'!Y27,'Fan Name List'!$AC$16:$BM$16,1),0)</f>
        <v>15</v>
      </c>
      <c r="AA27" s="1859">
        <f>IF($G27,IF(S27&gt;567,37,MATCH('Fan Name List'!S27,'Fan Name List'!$AC$16:$BM$16,1)+1),0)</f>
        <v>26</v>
      </c>
      <c r="AB27" s="1854"/>
      <c r="AC27" s="1855"/>
      <c r="AD27" s="1855"/>
      <c r="AE27" s="1855"/>
      <c r="AF27" s="1855"/>
      <c r="AG27" s="1855"/>
      <c r="AH27" s="1855"/>
      <c r="AI27" s="1855"/>
      <c r="AJ27" s="1855"/>
      <c r="AK27" s="1855"/>
      <c r="AL27" s="1855"/>
      <c r="AM27" s="1855"/>
      <c r="AN27" s="1855"/>
      <c r="AO27" s="1855"/>
      <c r="AP27" s="1855"/>
      <c r="AQ27" s="1855"/>
      <c r="AR27" s="1855"/>
      <c r="AS27" s="1855"/>
      <c r="AT27" s="1855"/>
      <c r="AU27" s="1855"/>
      <c r="AV27" s="1855"/>
      <c r="AW27" s="1855"/>
      <c r="AX27" s="1855"/>
      <c r="AY27" s="1855"/>
      <c r="AZ27" s="1855"/>
      <c r="BA27" s="1855"/>
      <c r="BB27" s="1855"/>
      <c r="BC27" s="1855"/>
      <c r="BD27" s="1855"/>
      <c r="BE27" s="1855"/>
      <c r="BF27" s="1855"/>
      <c r="BG27" s="1855"/>
      <c r="BH27" s="1855"/>
      <c r="BI27" s="1855"/>
      <c r="BJ27" s="1855"/>
      <c r="BK27" s="1855"/>
      <c r="BL27" s="1855"/>
      <c r="BM27" s="1855"/>
      <c r="BN27" s="1855"/>
      <c r="BO27" s="1855"/>
      <c r="BP27" s="1855"/>
      <c r="BQ27" s="1855"/>
      <c r="BR27" s="1855"/>
      <c r="BS27" s="1855"/>
      <c r="BT27" s="1855"/>
      <c r="BU27" s="1855"/>
      <c r="BV27" s="1855"/>
      <c r="BW27" s="1855"/>
      <c r="BX27" s="1855"/>
      <c r="BY27" s="1855"/>
      <c r="BZ27" s="1855"/>
      <c r="CA27" s="1855"/>
      <c r="CB27" s="1855"/>
      <c r="CC27" s="1855"/>
      <c r="CD27" s="1859"/>
      <c r="CF27" s="1855">
        <v>3.2399999999999998</v>
      </c>
    </row>
    <row r="28" spans="1:84" ht="14.25">
      <c r="A28" s="1628" t="s">
        <v>1521</v>
      </c>
      <c r="B28" s="906" t="s">
        <v>2824</v>
      </c>
      <c r="C28" s="1472" t="s">
        <v>1903</v>
      </c>
      <c r="D28" s="968" t="s">
        <v>2913</v>
      </c>
      <c r="E28" s="1493" t="s">
        <v>1521</v>
      </c>
      <c r="F28" s="1629" t="s">
        <v>2824</v>
      </c>
      <c r="G28" s="405" t="b">
        <v>1</v>
      </c>
      <c r="H28" s="1638"/>
      <c r="I28" s="1639">
        <v>2400</v>
      </c>
      <c r="J28" s="1639">
        <v>805</v>
      </c>
      <c r="K28" s="1639">
        <v>28500</v>
      </c>
      <c r="L28" s="1640">
        <v>0.80127171474359005</v>
      </c>
      <c r="M28" s="2157">
        <v>77.999999999999986</v>
      </c>
      <c r="N28" s="1639"/>
      <c r="O28" s="1639">
        <v>3600</v>
      </c>
      <c r="P28" s="1639">
        <v>1811.25</v>
      </c>
      <c r="Q28" s="1639">
        <v>42750</v>
      </c>
      <c r="R28" s="1640">
        <v>0.80127171474359005</v>
      </c>
      <c r="S28" s="2157">
        <v>263.24999999999994</v>
      </c>
      <c r="T28" s="1639"/>
      <c r="U28" s="1639">
        <v>1403.5285143421759</v>
      </c>
      <c r="V28" s="1639">
        <v>275.30612741494826</v>
      </c>
      <c r="W28" s="1639">
        <v>16666.901107813337</v>
      </c>
      <c r="X28" s="1640">
        <v>0.80127171474359005</v>
      </c>
      <c r="Y28" s="1641">
        <v>15.599999999999998</v>
      </c>
      <c r="Z28" s="1854">
        <f>IF($G28,MATCH('Fan Name List'!Y28,'Fan Name List'!$AC$16:$BM$16,1),0)</f>
        <v>15</v>
      </c>
      <c r="AA28" s="1859">
        <f>IF($G28,IF(S28&gt;567,37,MATCH('Fan Name List'!S28,'Fan Name List'!$AC$16:$BM$16,1)+1),0)</f>
        <v>29</v>
      </c>
      <c r="AB28" s="1854"/>
      <c r="AC28" s="1855"/>
      <c r="AD28" s="1855"/>
      <c r="AE28" s="1855"/>
      <c r="AF28" s="1855"/>
      <c r="AG28" s="1855"/>
      <c r="AH28" s="1855"/>
      <c r="AI28" s="1855"/>
      <c r="AJ28" s="1855"/>
      <c r="AK28" s="1855"/>
      <c r="AL28" s="1855"/>
      <c r="AM28" s="1855"/>
      <c r="AN28" s="1855"/>
      <c r="AO28" s="1855"/>
      <c r="AP28" s="1855"/>
      <c r="AQ28" s="1855"/>
      <c r="AR28" s="1855"/>
      <c r="AS28" s="1855"/>
      <c r="AT28" s="1855"/>
      <c r="AU28" s="1855"/>
      <c r="AV28" s="1855"/>
      <c r="AW28" s="1855"/>
      <c r="AX28" s="1855"/>
      <c r="AY28" s="1855"/>
      <c r="AZ28" s="1855"/>
      <c r="BA28" s="1855"/>
      <c r="BB28" s="1855"/>
      <c r="BC28" s="1855"/>
      <c r="BD28" s="1855"/>
      <c r="BE28" s="1855"/>
      <c r="BF28" s="1855"/>
      <c r="BG28" s="1855"/>
      <c r="BH28" s="1855"/>
      <c r="BI28" s="1855"/>
      <c r="BJ28" s="1855"/>
      <c r="BK28" s="1855"/>
      <c r="BL28" s="1855"/>
      <c r="BM28" s="1855"/>
      <c r="BN28" s="1855"/>
      <c r="BO28" s="1855"/>
      <c r="BP28" s="1855"/>
      <c r="BQ28" s="1855"/>
      <c r="BR28" s="1855"/>
      <c r="BS28" s="1855"/>
      <c r="BT28" s="1855"/>
      <c r="BU28" s="1855"/>
      <c r="BV28" s="1855"/>
      <c r="BW28" s="1855"/>
      <c r="BX28" s="1855"/>
      <c r="BY28" s="1855"/>
      <c r="BZ28" s="1855"/>
      <c r="CA28" s="1855"/>
      <c r="CB28" s="1855"/>
      <c r="CC28" s="1855"/>
      <c r="CD28" s="1859"/>
      <c r="CF28" s="1855">
        <v>4.32</v>
      </c>
    </row>
    <row r="29" spans="1:84" ht="14.25">
      <c r="A29" s="1628" t="s">
        <v>1522</v>
      </c>
      <c r="B29" s="906" t="s">
        <v>2914</v>
      </c>
      <c r="C29" s="1472" t="s">
        <v>1905</v>
      </c>
      <c r="D29" s="968" t="s">
        <v>2915</v>
      </c>
      <c r="E29" s="1493" t="s">
        <v>1522</v>
      </c>
      <c r="F29" s="1629" t="s">
        <v>2914</v>
      </c>
      <c r="G29" s="405" t="b">
        <v>1</v>
      </c>
      <c r="H29" s="1638"/>
      <c r="I29" s="1639">
        <v>2400</v>
      </c>
      <c r="J29" s="1639">
        <v>725</v>
      </c>
      <c r="K29" s="1639">
        <v>37420</v>
      </c>
      <c r="L29" s="1640">
        <v>0.85936371608527096</v>
      </c>
      <c r="M29" s="2157">
        <v>86.000000000000028</v>
      </c>
      <c r="N29" s="1639"/>
      <c r="O29" s="1639">
        <v>3600</v>
      </c>
      <c r="P29" s="1639">
        <v>1631.25</v>
      </c>
      <c r="Q29" s="1639">
        <v>56130</v>
      </c>
      <c r="R29" s="1640">
        <v>0.85936371608527096</v>
      </c>
      <c r="S29" s="2157">
        <v>290.25000000000011</v>
      </c>
      <c r="T29" s="1639"/>
      <c r="U29" s="1639">
        <v>1403.5285143421759</v>
      </c>
      <c r="V29" s="1639">
        <v>247.9465122681211</v>
      </c>
      <c r="W29" s="1639">
        <v>21883.348752785092</v>
      </c>
      <c r="X29" s="1640">
        <v>0.85936371608527096</v>
      </c>
      <c r="Y29" s="1641">
        <v>17.20000000000001</v>
      </c>
      <c r="Z29" s="1854">
        <f>IF($G29,MATCH('Fan Name List'!Y29,'Fan Name List'!$AC$16:$BM$16,1),0)</f>
        <v>16</v>
      </c>
      <c r="AA29" s="1859">
        <f>IF($G29,IF(S29&gt;567,37,MATCH('Fan Name List'!S29,'Fan Name List'!$AC$16:$BM$16,1)+1),0)</f>
        <v>30</v>
      </c>
      <c r="AB29" s="1854"/>
      <c r="AC29" s="1855"/>
      <c r="AD29" s="1855"/>
      <c r="AE29" s="1855"/>
      <c r="AF29" s="1855"/>
      <c r="AG29" s="1855"/>
      <c r="AH29" s="1855"/>
      <c r="AI29" s="1855"/>
      <c r="AJ29" s="1855"/>
      <c r="AK29" s="1855"/>
      <c r="AL29" s="1855"/>
      <c r="AM29" s="1855"/>
      <c r="AN29" s="1855"/>
      <c r="AO29" s="1855"/>
      <c r="AP29" s="1855"/>
      <c r="AQ29" s="1855"/>
      <c r="AR29" s="1855"/>
      <c r="AS29" s="1855"/>
      <c r="AT29" s="1855"/>
      <c r="AU29" s="1855"/>
      <c r="AV29" s="1855"/>
      <c r="AW29" s="1855"/>
      <c r="AX29" s="1855"/>
      <c r="AY29" s="1855"/>
      <c r="AZ29" s="1855"/>
      <c r="BA29" s="1855"/>
      <c r="BB29" s="1855"/>
      <c r="BC29" s="1855"/>
      <c r="BD29" s="1855"/>
      <c r="BE29" s="1855"/>
      <c r="BF29" s="1855"/>
      <c r="BG29" s="1855"/>
      <c r="BH29" s="1855"/>
      <c r="BI29" s="1855"/>
      <c r="BJ29" s="1855"/>
      <c r="BK29" s="1855"/>
      <c r="BL29" s="1855"/>
      <c r="BM29" s="1855"/>
      <c r="BN29" s="1855"/>
      <c r="BO29" s="1855"/>
      <c r="BP29" s="1855"/>
      <c r="BQ29" s="1855"/>
      <c r="BR29" s="1855"/>
      <c r="BS29" s="1855"/>
      <c r="BT29" s="1855"/>
      <c r="BU29" s="1855"/>
      <c r="BV29" s="1855"/>
      <c r="BW29" s="1855"/>
      <c r="BX29" s="1855"/>
      <c r="BY29" s="1855"/>
      <c r="BZ29" s="1855"/>
      <c r="CA29" s="1855"/>
      <c r="CB29" s="1855"/>
      <c r="CC29" s="1855"/>
      <c r="CD29" s="1859"/>
      <c r="CF29" s="1855">
        <v>5.9399999999999995</v>
      </c>
    </row>
    <row r="30" spans="1:84" ht="14.25">
      <c r="A30" s="1628" t="s">
        <v>1523</v>
      </c>
      <c r="B30" s="906" t="s">
        <v>2916</v>
      </c>
      <c r="C30" s="1472" t="s">
        <v>1907</v>
      </c>
      <c r="D30" s="968" t="s">
        <v>2291</v>
      </c>
      <c r="E30" s="1493" t="s">
        <v>1523</v>
      </c>
      <c r="F30" s="1629" t="s">
        <v>2916</v>
      </c>
      <c r="G30" s="405" t="b">
        <v>1</v>
      </c>
      <c r="H30" s="1638"/>
      <c r="I30" s="1639">
        <v>1700</v>
      </c>
      <c r="J30" s="1639">
        <v>333.2</v>
      </c>
      <c r="K30" s="1639">
        <v>31297.253242097799</v>
      </c>
      <c r="L30" s="1640">
        <v>0.81166505206411299</v>
      </c>
      <c r="M30" s="2157">
        <v>35.000000000000028</v>
      </c>
      <c r="N30" s="1639"/>
      <c r="O30" s="1639">
        <v>3600</v>
      </c>
      <c r="P30" s="1639">
        <v>1494.2117647058824</v>
      </c>
      <c r="Q30" s="1639">
        <v>66276.53627738358</v>
      </c>
      <c r="R30" s="1640">
        <v>0.81166505206411299</v>
      </c>
      <c r="S30" s="2157">
        <v>332.37533075513977</v>
      </c>
      <c r="T30" s="1639"/>
      <c r="U30" s="1639">
        <v>994.16603099237454</v>
      </c>
      <c r="V30" s="1639">
        <v>113.9527970865351</v>
      </c>
      <c r="W30" s="1639">
        <v>18302.744727446821</v>
      </c>
      <c r="X30" s="1640">
        <v>0.81166505206411299</v>
      </c>
      <c r="Y30" s="1641">
        <v>7.0000000000000089</v>
      </c>
      <c r="Z30" s="1854">
        <f>IF($G30,MATCH('Fan Name List'!Y30,'Fan Name List'!$AC$16:$BM$16,1),0)</f>
        <v>13</v>
      </c>
      <c r="AA30" s="1859">
        <f>IF($G30,IF(S30&gt;567,37,MATCH('Fan Name List'!S30,'Fan Name List'!$AC$16:$BM$16,1)+1),0)</f>
        <v>30</v>
      </c>
      <c r="AB30" s="1854"/>
      <c r="AC30" s="1855"/>
      <c r="AD30" s="1855"/>
      <c r="AE30" s="1855"/>
      <c r="AF30" s="1855"/>
      <c r="AG30" s="1855"/>
      <c r="AH30" s="1855"/>
      <c r="AI30" s="1855"/>
      <c r="AJ30" s="1855"/>
      <c r="AK30" s="1855"/>
      <c r="AL30" s="1855"/>
      <c r="AM30" s="1855"/>
      <c r="AN30" s="1855"/>
      <c r="AO30" s="1855"/>
      <c r="AP30" s="1855"/>
      <c r="AQ30" s="1855"/>
      <c r="AR30" s="1855"/>
      <c r="AS30" s="1855"/>
      <c r="AT30" s="1855"/>
      <c r="AU30" s="1855"/>
      <c r="AV30" s="1855"/>
      <c r="AW30" s="1855"/>
      <c r="AX30" s="1855"/>
      <c r="AY30" s="1855"/>
      <c r="AZ30" s="1855"/>
      <c r="BA30" s="1855"/>
      <c r="BB30" s="1855"/>
      <c r="BC30" s="1855"/>
      <c r="BD30" s="1855"/>
      <c r="BE30" s="1855"/>
      <c r="BF30" s="1855"/>
      <c r="BG30" s="1855"/>
      <c r="BH30" s="1855"/>
      <c r="BI30" s="1855"/>
      <c r="BJ30" s="1855"/>
      <c r="BK30" s="1855"/>
      <c r="BL30" s="1855"/>
      <c r="BM30" s="1855"/>
      <c r="BN30" s="1855"/>
      <c r="BO30" s="1855"/>
      <c r="BP30" s="1855"/>
      <c r="BQ30" s="1855"/>
      <c r="BR30" s="1855"/>
      <c r="BS30" s="1855"/>
      <c r="BT30" s="1855"/>
      <c r="BU30" s="1855"/>
      <c r="BV30" s="1855"/>
      <c r="BW30" s="1855"/>
      <c r="BX30" s="1855"/>
      <c r="BY30" s="1855"/>
      <c r="BZ30" s="1855"/>
      <c r="CA30" s="1855"/>
      <c r="CB30" s="1855"/>
      <c r="CC30" s="1855"/>
      <c r="CD30" s="1859"/>
      <c r="CF30" s="1855">
        <v>8.1</v>
      </c>
    </row>
    <row r="31" spans="1:84" ht="14.25">
      <c r="A31" s="1628" t="s">
        <v>1681</v>
      </c>
      <c r="B31" s="906" t="s">
        <v>2917</v>
      </c>
      <c r="C31" s="1472" t="s">
        <v>1909</v>
      </c>
      <c r="D31" s="968" t="s">
        <v>2918</v>
      </c>
      <c r="E31" s="1493" t="s">
        <v>1681</v>
      </c>
      <c r="F31" s="1629" t="s">
        <v>2917</v>
      </c>
      <c r="G31" s="405" t="b">
        <v>1</v>
      </c>
      <c r="H31" s="1638"/>
      <c r="I31" s="1639">
        <v>1800</v>
      </c>
      <c r="J31" s="1639">
        <v>328.68</v>
      </c>
      <c r="K31" s="1639">
        <v>33516.151818936502</v>
      </c>
      <c r="L31" s="1640">
        <v>0.81107194192169496</v>
      </c>
      <c r="M31" s="2157">
        <v>37.000000000000021</v>
      </c>
      <c r="N31" s="1639"/>
      <c r="O31" s="1639">
        <v>3600</v>
      </c>
      <c r="P31" s="1639">
        <v>1314.72</v>
      </c>
      <c r="Q31" s="1639">
        <v>67032.303637873003</v>
      </c>
      <c r="R31" s="1640">
        <v>0.81107194192169496</v>
      </c>
      <c r="S31" s="2157">
        <v>296.00000000000017</v>
      </c>
      <c r="T31" s="1639"/>
      <c r="U31" s="1639">
        <v>1052.6463857566318</v>
      </c>
      <c r="V31" s="1639">
        <v>112.40697883073938</v>
      </c>
      <c r="W31" s="1639">
        <v>19600.364487041152</v>
      </c>
      <c r="X31" s="1640">
        <v>0.81107194192169496</v>
      </c>
      <c r="Y31" s="1641">
        <v>7.4000000000000057</v>
      </c>
      <c r="Z31" s="1854">
        <f>IF($G31,MATCH('Fan Name List'!Y31,'Fan Name List'!$AC$16:$BM$16,1),0)</f>
        <v>13</v>
      </c>
      <c r="AA31" s="1859">
        <f>IF($G31,IF(S31&gt;567,37,MATCH('Fan Name List'!S31,'Fan Name List'!$AC$16:$BM$16,1)+1),0)</f>
        <v>30</v>
      </c>
      <c r="AB31" s="1854"/>
      <c r="AC31" s="1855"/>
      <c r="AD31" s="1855"/>
      <c r="AE31" s="1855"/>
      <c r="AF31" s="1855"/>
      <c r="AG31" s="1855"/>
      <c r="AH31" s="1855"/>
      <c r="AI31" s="1855"/>
      <c r="AJ31" s="1855"/>
      <c r="AK31" s="1855"/>
      <c r="AL31" s="1855"/>
      <c r="AM31" s="1855"/>
      <c r="AN31" s="1855"/>
      <c r="AO31" s="1855"/>
      <c r="AP31" s="1855"/>
      <c r="AQ31" s="1855"/>
      <c r="AR31" s="1855"/>
      <c r="AS31" s="1855"/>
      <c r="AT31" s="1855"/>
      <c r="AU31" s="1855"/>
      <c r="AV31" s="1855"/>
      <c r="AW31" s="1855"/>
      <c r="AX31" s="1855"/>
      <c r="AY31" s="1855"/>
      <c r="AZ31" s="1855"/>
      <c r="BA31" s="1855"/>
      <c r="BB31" s="1855"/>
      <c r="BC31" s="1855"/>
      <c r="BD31" s="1855"/>
      <c r="BE31" s="1855"/>
      <c r="BF31" s="1855"/>
      <c r="BG31" s="1855"/>
      <c r="BH31" s="1855"/>
      <c r="BI31" s="1855"/>
      <c r="BJ31" s="1855"/>
      <c r="BK31" s="1855"/>
      <c r="BL31" s="1855"/>
      <c r="BM31" s="1855"/>
      <c r="BN31" s="1855"/>
      <c r="BO31" s="1855"/>
      <c r="BP31" s="1855"/>
      <c r="BQ31" s="1855"/>
      <c r="BR31" s="1855"/>
      <c r="BS31" s="1855"/>
      <c r="BT31" s="1855"/>
      <c r="BU31" s="1855"/>
      <c r="BV31" s="1855"/>
      <c r="BW31" s="1855"/>
      <c r="BX31" s="1855"/>
      <c r="BY31" s="1855"/>
      <c r="BZ31" s="1855"/>
      <c r="CA31" s="1855"/>
      <c r="CB31" s="1855"/>
      <c r="CC31" s="1855"/>
      <c r="CD31" s="1859"/>
      <c r="CF31" s="1855">
        <v>11.879999999999999</v>
      </c>
    </row>
    <row r="32" spans="1:84" ht="14.25">
      <c r="A32" s="1628" t="s">
        <v>1524</v>
      </c>
      <c r="B32" s="906" t="s">
        <v>2919</v>
      </c>
      <c r="C32" s="1472" t="s">
        <v>1911</v>
      </c>
      <c r="D32" s="968" t="s">
        <v>2920</v>
      </c>
      <c r="E32" s="1493" t="s">
        <v>1524</v>
      </c>
      <c r="F32" s="1629" t="s">
        <v>2919</v>
      </c>
      <c r="G32" s="405" t="b">
        <v>1</v>
      </c>
      <c r="H32" s="1638"/>
      <c r="I32" s="1639">
        <v>2800</v>
      </c>
      <c r="J32" s="1639">
        <v>1340</v>
      </c>
      <c r="K32" s="1639">
        <v>16950</v>
      </c>
      <c r="L32" s="1640">
        <v>0.80355840909090903</v>
      </c>
      <c r="M32" s="2157">
        <v>77.000000000000014</v>
      </c>
      <c r="N32" s="1639"/>
      <c r="O32" s="1639">
        <v>3600</v>
      </c>
      <c r="P32" s="1639">
        <v>2215.1020408163267</v>
      </c>
      <c r="Q32" s="1639">
        <v>21792.857142857145</v>
      </c>
      <c r="R32" s="1640">
        <v>0.80355840909090903</v>
      </c>
      <c r="S32" s="2157">
        <v>163.65306122448985</v>
      </c>
      <c r="T32" s="1639"/>
      <c r="U32" s="1639">
        <v>1637.4499333992051</v>
      </c>
      <c r="V32" s="1639">
        <v>458.27355370935487</v>
      </c>
      <c r="W32" s="1639">
        <v>9912.4201325416161</v>
      </c>
      <c r="X32" s="1640">
        <v>0.80355840909090903</v>
      </c>
      <c r="Y32" s="1641">
        <v>15.400000000000006</v>
      </c>
      <c r="Z32" s="1854">
        <f>IF($G32,MATCH('Fan Name List'!Y32,'Fan Name List'!$AC$16:$BM$16,1),0)</f>
        <v>15</v>
      </c>
      <c r="AA32" s="1859">
        <f>IF($G32,IF(S32&gt;567,37,MATCH('Fan Name List'!S32,'Fan Name List'!$AC$16:$BM$16,1)+1),0)</f>
        <v>27</v>
      </c>
      <c r="AB32" s="1854"/>
      <c r="AC32" s="1855"/>
      <c r="AD32" s="1855"/>
      <c r="AE32" s="1855"/>
      <c r="AF32" s="1855"/>
      <c r="AG32" s="1855"/>
      <c r="AH32" s="1855"/>
      <c r="AI32" s="1855"/>
      <c r="AJ32" s="1855"/>
      <c r="AK32" s="1855"/>
      <c r="AL32" s="1855"/>
      <c r="AM32" s="1855"/>
      <c r="AN32" s="1855"/>
      <c r="AO32" s="1855"/>
      <c r="AP32" s="1855"/>
      <c r="AQ32" s="1855"/>
      <c r="AR32" s="1855"/>
      <c r="AS32" s="1855"/>
      <c r="AT32" s="1855"/>
      <c r="AU32" s="1855"/>
      <c r="AV32" s="1855"/>
      <c r="AW32" s="1855"/>
      <c r="AX32" s="1855"/>
      <c r="AY32" s="1855"/>
      <c r="AZ32" s="1855"/>
      <c r="BA32" s="1855"/>
      <c r="BB32" s="1855"/>
      <c r="BC32" s="1855"/>
      <c r="BD32" s="1855"/>
      <c r="BE32" s="1855"/>
      <c r="BF32" s="1855"/>
      <c r="BG32" s="1855"/>
      <c r="BH32" s="1855"/>
      <c r="BI32" s="1855"/>
      <c r="BJ32" s="1855"/>
      <c r="BK32" s="1855"/>
      <c r="BL32" s="1855"/>
      <c r="BM32" s="1855"/>
      <c r="BN32" s="1855"/>
      <c r="BO32" s="1855"/>
      <c r="BP32" s="1855"/>
      <c r="BQ32" s="1855"/>
      <c r="BR32" s="1855"/>
      <c r="BS32" s="1855"/>
      <c r="BT32" s="1855"/>
      <c r="BU32" s="1855"/>
      <c r="BV32" s="1855"/>
      <c r="BW32" s="1855"/>
      <c r="BX32" s="1855"/>
      <c r="BY32" s="1855"/>
      <c r="BZ32" s="1855"/>
      <c r="CA32" s="1855"/>
      <c r="CB32" s="1855"/>
      <c r="CC32" s="1855"/>
      <c r="CD32" s="1859"/>
      <c r="CF32" s="1855">
        <v>16.2</v>
      </c>
    </row>
    <row r="33" spans="1:84" ht="14.25">
      <c r="A33" s="1628" t="s">
        <v>1682</v>
      </c>
      <c r="B33" s="906" t="s">
        <v>2921</v>
      </c>
      <c r="C33" s="1472" t="s">
        <v>1913</v>
      </c>
      <c r="D33" s="968" t="s">
        <v>2922</v>
      </c>
      <c r="E33" s="1493" t="s">
        <v>1682</v>
      </c>
      <c r="F33" s="1629" t="s">
        <v>2921</v>
      </c>
      <c r="G33" s="405" t="b">
        <v>1</v>
      </c>
      <c r="H33" s="1638"/>
      <c r="I33" s="1639">
        <v>2200</v>
      </c>
      <c r="J33" s="1639">
        <v>860</v>
      </c>
      <c r="K33" s="1639">
        <v>17160</v>
      </c>
      <c r="L33" s="1640">
        <v>0.75853135849056597</v>
      </c>
      <c r="M33" s="2157">
        <v>53.000000000000007</v>
      </c>
      <c r="N33" s="1639"/>
      <c r="O33" s="1639">
        <v>3600</v>
      </c>
      <c r="P33" s="1639">
        <v>2302.8099173553724</v>
      </c>
      <c r="Q33" s="1639">
        <v>28080</v>
      </c>
      <c r="R33" s="1640">
        <v>0.75853135849056597</v>
      </c>
      <c r="S33" s="2157">
        <v>232.22839969947418</v>
      </c>
      <c r="T33" s="1639"/>
      <c r="U33" s="1639">
        <v>1286.5678048136613</v>
      </c>
      <c r="V33" s="1639">
        <v>294.11586282839193</v>
      </c>
      <c r="W33" s="1639">
        <v>10035.228877546557</v>
      </c>
      <c r="X33" s="1640">
        <v>0.75853135849056597</v>
      </c>
      <c r="Y33" s="1641">
        <v>10.600000000000003</v>
      </c>
      <c r="Z33" s="1854">
        <f>IF($G33,MATCH('Fan Name List'!Y33,'Fan Name List'!$AC$16:$BM$16,1),0)</f>
        <v>14</v>
      </c>
      <c r="AA33" s="1859">
        <f>IF($G33,IF(S33&gt;567,37,MATCH('Fan Name List'!S33,'Fan Name List'!$AC$16:$BM$16,1)+1),0)</f>
        <v>29</v>
      </c>
      <c r="AB33" s="1854"/>
      <c r="AC33" s="1855"/>
      <c r="AD33" s="1855"/>
      <c r="AE33" s="1855"/>
      <c r="AF33" s="1855"/>
      <c r="AG33" s="1855"/>
      <c r="AH33" s="1855"/>
      <c r="AI33" s="1855"/>
      <c r="AJ33" s="1855"/>
      <c r="AK33" s="1855"/>
      <c r="AL33" s="1855"/>
      <c r="AM33" s="1855"/>
      <c r="AN33" s="1855"/>
      <c r="AO33" s="1855"/>
      <c r="AP33" s="1855"/>
      <c r="AQ33" s="1855"/>
      <c r="AR33" s="1855"/>
      <c r="AS33" s="1855"/>
      <c r="AT33" s="1855"/>
      <c r="AU33" s="1855"/>
      <c r="AV33" s="1855"/>
      <c r="AW33" s="1855"/>
      <c r="AX33" s="1855"/>
      <c r="AY33" s="1855"/>
      <c r="AZ33" s="1855"/>
      <c r="BA33" s="1855"/>
      <c r="BB33" s="1855"/>
      <c r="BC33" s="1855"/>
      <c r="BD33" s="1855"/>
      <c r="BE33" s="1855"/>
      <c r="BF33" s="1855"/>
      <c r="BG33" s="1855"/>
      <c r="BH33" s="1855"/>
      <c r="BI33" s="1855"/>
      <c r="BJ33" s="1855"/>
      <c r="BK33" s="1855"/>
      <c r="BL33" s="1855"/>
      <c r="BM33" s="1855"/>
      <c r="BN33" s="1855"/>
      <c r="BO33" s="1855"/>
      <c r="BP33" s="1855"/>
      <c r="BQ33" s="1855"/>
      <c r="BR33" s="1855"/>
      <c r="BS33" s="1855"/>
      <c r="BT33" s="1855"/>
      <c r="BU33" s="1855"/>
      <c r="BV33" s="1855"/>
      <c r="BW33" s="1855"/>
      <c r="BX33" s="1855"/>
      <c r="BY33" s="1855"/>
      <c r="BZ33" s="1855"/>
      <c r="CA33" s="1855"/>
      <c r="CB33" s="1855"/>
      <c r="CC33" s="1855"/>
      <c r="CD33" s="1859"/>
      <c r="CF33" s="1855">
        <v>19.98</v>
      </c>
    </row>
    <row r="34" spans="1:84" ht="14.25">
      <c r="A34" s="1628" t="s">
        <v>1525</v>
      </c>
      <c r="B34" s="906" t="s">
        <v>2923</v>
      </c>
      <c r="C34" s="1472" t="s">
        <v>1915</v>
      </c>
      <c r="D34" s="968" t="s">
        <v>2924</v>
      </c>
      <c r="E34" s="1493" t="s">
        <v>1525</v>
      </c>
      <c r="F34" s="1629" t="s">
        <v>2923</v>
      </c>
      <c r="G34" s="405" t="b">
        <v>0</v>
      </c>
      <c r="H34" s="1638"/>
      <c r="I34" s="1639">
        <v>0</v>
      </c>
      <c r="J34" s="1639">
        <v>0</v>
      </c>
      <c r="K34" s="1639">
        <v>0</v>
      </c>
      <c r="L34" s="1640">
        <v>0</v>
      </c>
      <c r="M34" s="2157">
        <v>0</v>
      </c>
      <c r="N34" s="1639"/>
      <c r="O34" s="1639">
        <v>0</v>
      </c>
      <c r="P34" s="1639">
        <v>0</v>
      </c>
      <c r="Q34" s="1639">
        <v>0</v>
      </c>
      <c r="R34" s="1640">
        <v>0</v>
      </c>
      <c r="S34" s="2157">
        <v>0</v>
      </c>
      <c r="T34" s="1639"/>
      <c r="U34" s="1639">
        <v>0</v>
      </c>
      <c r="V34" s="1639">
        <v>0</v>
      </c>
      <c r="W34" s="1639">
        <v>0</v>
      </c>
      <c r="X34" s="1640">
        <v>0</v>
      </c>
      <c r="Y34" s="1641">
        <v>0</v>
      </c>
      <c r="Z34" s="1854">
        <f>IF($G34,MATCH('Fan Name List'!Y34,'Fan Name List'!$AC$16:$BM$16,1),0)</f>
        <v>0</v>
      </c>
      <c r="AA34" s="1859">
        <f>IF($G34,IF(S34&gt;567,37,MATCH('Fan Name List'!S34,'Fan Name List'!$AC$16:$BM$16,1)+1),0)</f>
        <v>0</v>
      </c>
      <c r="AB34" s="1854"/>
      <c r="AC34" s="1855"/>
      <c r="AD34" s="1855"/>
      <c r="AE34" s="1855"/>
      <c r="AF34" s="1855"/>
      <c r="AG34" s="1855"/>
      <c r="AH34" s="1855"/>
      <c r="AI34" s="1855"/>
      <c r="AJ34" s="1855"/>
      <c r="AK34" s="1855"/>
      <c r="AL34" s="1855"/>
      <c r="AM34" s="1855"/>
      <c r="AN34" s="1855"/>
      <c r="AO34" s="1855"/>
      <c r="AP34" s="1855"/>
      <c r="AQ34" s="1855"/>
      <c r="AR34" s="1855"/>
      <c r="AS34" s="1855"/>
      <c r="AT34" s="1855"/>
      <c r="AU34" s="1855"/>
      <c r="AV34" s="1855"/>
      <c r="AW34" s="1855"/>
      <c r="AX34" s="1855"/>
      <c r="AY34" s="1855"/>
      <c r="AZ34" s="1855"/>
      <c r="BA34" s="1855"/>
      <c r="BB34" s="1855"/>
      <c r="BC34" s="1855"/>
      <c r="BD34" s="1855"/>
      <c r="BE34" s="1855"/>
      <c r="BF34" s="1855"/>
      <c r="BG34" s="1855"/>
      <c r="BH34" s="1855"/>
      <c r="BI34" s="1855"/>
      <c r="BJ34" s="1855"/>
      <c r="BK34" s="1855"/>
      <c r="BL34" s="1855"/>
      <c r="BM34" s="1855"/>
      <c r="BN34" s="1855"/>
      <c r="BO34" s="1855"/>
      <c r="BP34" s="1855"/>
      <c r="BQ34" s="1855"/>
      <c r="BR34" s="1855"/>
      <c r="BS34" s="1855"/>
      <c r="BT34" s="1855"/>
      <c r="BU34" s="1855"/>
      <c r="BV34" s="1855"/>
      <c r="BW34" s="1855"/>
      <c r="BX34" s="1855"/>
      <c r="BY34" s="1855"/>
      <c r="BZ34" s="1855"/>
      <c r="CA34" s="1855"/>
      <c r="CB34" s="1855"/>
      <c r="CC34" s="1855"/>
      <c r="CD34" s="1859"/>
      <c r="CF34" s="1855">
        <v>23.759999999999998</v>
      </c>
    </row>
    <row r="35" spans="1:84" ht="14.25">
      <c r="A35" s="1630" t="s">
        <v>1683</v>
      </c>
      <c r="B35" s="906" t="s">
        <v>2925</v>
      </c>
      <c r="C35" s="1472">
        <v>0</v>
      </c>
      <c r="D35" s="968">
        <v>0</v>
      </c>
      <c r="E35" s="1493" t="s">
        <v>1683</v>
      </c>
      <c r="F35" s="1629" t="s">
        <v>2925</v>
      </c>
      <c r="G35" s="405" t="b">
        <v>1</v>
      </c>
      <c r="H35" s="1638"/>
      <c r="I35" s="1639">
        <v>2100</v>
      </c>
      <c r="J35" s="1639">
        <v>750</v>
      </c>
      <c r="K35" s="1639">
        <v>20000</v>
      </c>
      <c r="L35" s="1640">
        <v>0.72968750000000004</v>
      </c>
      <c r="M35" s="2157">
        <v>56</v>
      </c>
      <c r="N35" s="1639"/>
      <c r="O35" s="1639">
        <v>3600</v>
      </c>
      <c r="P35" s="1639">
        <v>2204.0816326530612</v>
      </c>
      <c r="Q35" s="1639">
        <v>34285.714285714283</v>
      </c>
      <c r="R35" s="1640">
        <v>0.72968750000000004</v>
      </c>
      <c r="S35" s="2157">
        <v>282.12244897959181</v>
      </c>
      <c r="T35" s="1639"/>
      <c r="U35" s="1639">
        <v>1228.087450049404</v>
      </c>
      <c r="V35" s="1639">
        <v>256.49639200150466</v>
      </c>
      <c r="W35" s="1639">
        <v>11696.070952851467</v>
      </c>
      <c r="X35" s="1640">
        <v>0.72968750000000004</v>
      </c>
      <c r="Y35" s="1641">
        <v>11.200000000000005</v>
      </c>
      <c r="Z35" s="1854">
        <f>IF($G35,MATCH('Fan Name List'!Y35,'Fan Name List'!$AC$16:$BM$16,1),0)</f>
        <v>14</v>
      </c>
      <c r="AA35" s="1859">
        <f>IF($G35,IF(S35&gt;567,37,MATCH('Fan Name List'!S35,'Fan Name List'!$AC$16:$BM$16,1)+1),0)</f>
        <v>30</v>
      </c>
      <c r="AB35" s="1854"/>
      <c r="AC35" s="1855"/>
      <c r="AD35" s="1855"/>
      <c r="AE35" s="1855"/>
      <c r="AF35" s="1855"/>
      <c r="AG35" s="1855"/>
      <c r="AH35" s="1855"/>
      <c r="AI35" s="1855"/>
      <c r="AJ35" s="1855"/>
      <c r="AK35" s="1855"/>
      <c r="AL35" s="1855"/>
      <c r="AM35" s="1855"/>
      <c r="AN35" s="1855"/>
      <c r="AO35" s="1855"/>
      <c r="AP35" s="1855"/>
      <c r="AQ35" s="1855"/>
      <c r="AR35" s="1855"/>
      <c r="AS35" s="1855"/>
      <c r="AT35" s="1855"/>
      <c r="AU35" s="1855"/>
      <c r="AV35" s="1855"/>
      <c r="AW35" s="1855"/>
      <c r="AX35" s="1855"/>
      <c r="AY35" s="1855"/>
      <c r="AZ35" s="1855"/>
      <c r="BA35" s="1855"/>
      <c r="BB35" s="1855"/>
      <c r="BC35" s="1855"/>
      <c r="BD35" s="1855"/>
      <c r="BE35" s="1855"/>
      <c r="BF35" s="1855"/>
      <c r="BG35" s="1855"/>
      <c r="BH35" s="1855"/>
      <c r="BI35" s="1855"/>
      <c r="BJ35" s="1855"/>
      <c r="BK35" s="1855"/>
      <c r="BL35" s="1855"/>
      <c r="BM35" s="1855"/>
      <c r="BN35" s="1855"/>
      <c r="BO35" s="1855"/>
      <c r="BP35" s="1855"/>
      <c r="BQ35" s="1855"/>
      <c r="BR35" s="1855"/>
      <c r="BS35" s="1855"/>
      <c r="BT35" s="1855"/>
      <c r="BU35" s="1855"/>
      <c r="BV35" s="1855"/>
      <c r="BW35" s="1855"/>
      <c r="BX35" s="1855"/>
      <c r="BY35" s="1855"/>
      <c r="BZ35" s="1855"/>
      <c r="CA35" s="1855"/>
      <c r="CB35" s="1855"/>
      <c r="CC35" s="1855"/>
      <c r="CD35" s="1859"/>
      <c r="CF35" s="1855">
        <v>32.4</v>
      </c>
    </row>
    <row r="36" spans="1:84" ht="14.25">
      <c r="A36" s="1628" t="s">
        <v>1526</v>
      </c>
      <c r="B36" s="906" t="s">
        <v>2926</v>
      </c>
      <c r="C36" s="1472" t="s">
        <v>1917</v>
      </c>
      <c r="D36" s="968" t="s">
        <v>2927</v>
      </c>
      <c r="E36" s="1493" t="s">
        <v>1526</v>
      </c>
      <c r="F36" s="1629" t="s">
        <v>2926</v>
      </c>
      <c r="G36" s="405" t="b">
        <v>1</v>
      </c>
      <c r="H36" s="1638"/>
      <c r="I36" s="1639">
        <v>2200</v>
      </c>
      <c r="J36" s="1639">
        <v>875</v>
      </c>
      <c r="K36" s="1639">
        <v>28590</v>
      </c>
      <c r="L36" s="1640">
        <v>0.85185542968750005</v>
      </c>
      <c r="M36" s="2157">
        <v>80</v>
      </c>
      <c r="N36" s="1639"/>
      <c r="O36" s="1639">
        <v>3600</v>
      </c>
      <c r="P36" s="1639">
        <v>2342.9752066115707</v>
      </c>
      <c r="Q36" s="1639">
        <v>46783.636363636368</v>
      </c>
      <c r="R36" s="1640">
        <v>0.85185542968750005</v>
      </c>
      <c r="S36" s="2157">
        <v>350.5334335086402</v>
      </c>
      <c r="T36" s="1639"/>
      <c r="U36" s="1639">
        <v>1286.5678048136613</v>
      </c>
      <c r="V36" s="1639">
        <v>299.24579066842205</v>
      </c>
      <c r="W36" s="1639">
        <v>16719.533427101171</v>
      </c>
      <c r="X36" s="1640">
        <v>0.85185542968750005</v>
      </c>
      <c r="Y36" s="1641">
        <v>16.000000000000007</v>
      </c>
      <c r="Z36" s="1854">
        <f>IF($G36,MATCH('Fan Name List'!Y36,'Fan Name List'!$AC$16:$BM$16,1),0)</f>
        <v>15</v>
      </c>
      <c r="AA36" s="1859">
        <f>IF($G36,IF(S36&gt;567,37,MATCH('Fan Name List'!S36,'Fan Name List'!$AC$16:$BM$16,1)+1),0)</f>
        <v>31</v>
      </c>
      <c r="AB36" s="1854"/>
      <c r="AC36" s="1855"/>
      <c r="AD36" s="1855"/>
      <c r="AE36" s="1855"/>
      <c r="AF36" s="1855"/>
      <c r="AG36" s="1855"/>
      <c r="AH36" s="1855"/>
      <c r="AI36" s="1855"/>
      <c r="AJ36" s="1855"/>
      <c r="AK36" s="1855"/>
      <c r="AL36" s="1855"/>
      <c r="AM36" s="1855"/>
      <c r="AN36" s="1855"/>
      <c r="AO36" s="1855"/>
      <c r="AP36" s="1855"/>
      <c r="AQ36" s="1855"/>
      <c r="AR36" s="1855"/>
      <c r="AS36" s="1855"/>
      <c r="AT36" s="1855"/>
      <c r="AU36" s="1855"/>
      <c r="AV36" s="1855"/>
      <c r="AW36" s="1855"/>
      <c r="AX36" s="1855"/>
      <c r="AY36" s="1855"/>
      <c r="AZ36" s="1855"/>
      <c r="BA36" s="1855"/>
      <c r="BB36" s="1855"/>
      <c r="BC36" s="1855"/>
      <c r="BD36" s="1855"/>
      <c r="BE36" s="1855"/>
      <c r="BF36" s="1855"/>
      <c r="BG36" s="1855"/>
      <c r="BH36" s="1855"/>
      <c r="BI36" s="1855"/>
      <c r="BJ36" s="1855"/>
      <c r="BK36" s="1855"/>
      <c r="BL36" s="1855"/>
      <c r="BM36" s="1855"/>
      <c r="BN36" s="1855"/>
      <c r="BO36" s="1855"/>
      <c r="BP36" s="1855"/>
      <c r="BQ36" s="1855"/>
      <c r="BR36" s="1855"/>
      <c r="BS36" s="1855"/>
      <c r="BT36" s="1855"/>
      <c r="BU36" s="1855"/>
      <c r="BV36" s="1855"/>
      <c r="BW36" s="1855"/>
      <c r="BX36" s="1855"/>
      <c r="BY36" s="1855"/>
      <c r="BZ36" s="1855"/>
      <c r="CA36" s="1855"/>
      <c r="CB36" s="1855"/>
      <c r="CC36" s="1855"/>
      <c r="CD36" s="1859"/>
      <c r="CF36" s="1855">
        <v>39.96</v>
      </c>
    </row>
    <row r="37" spans="1:84" ht="14.25">
      <c r="A37" s="1628" t="s">
        <v>1527</v>
      </c>
      <c r="B37" s="906" t="s">
        <v>2928</v>
      </c>
      <c r="C37" s="1472" t="s">
        <v>1919</v>
      </c>
      <c r="D37" s="968" t="s">
        <v>2929</v>
      </c>
      <c r="E37" s="1493" t="s">
        <v>1527</v>
      </c>
      <c r="F37" s="1629" t="s">
        <v>2928</v>
      </c>
      <c r="G37" s="405" t="b">
        <v>1</v>
      </c>
      <c r="H37" s="1638"/>
      <c r="I37" s="1639">
        <v>2100</v>
      </c>
      <c r="J37" s="1639">
        <v>680</v>
      </c>
      <c r="K37" s="1639">
        <v>33015</v>
      </c>
      <c r="L37" s="1640">
        <v>0.79426086363636395</v>
      </c>
      <c r="M37" s="2157">
        <v>76.999999999999972</v>
      </c>
      <c r="N37" s="1639"/>
      <c r="O37" s="1639">
        <v>3600</v>
      </c>
      <c r="P37" s="1639">
        <v>1998.3673469387754</v>
      </c>
      <c r="Q37" s="1639">
        <v>56597.142857142855</v>
      </c>
      <c r="R37" s="1640">
        <v>0.79426086363636395</v>
      </c>
      <c r="S37" s="2157">
        <v>387.91836734693862</v>
      </c>
      <c r="T37" s="1639"/>
      <c r="U37" s="1639">
        <v>1228.087450049404</v>
      </c>
      <c r="V37" s="1639">
        <v>232.55672874803091</v>
      </c>
      <c r="W37" s="1639">
        <v>19307.28912541956</v>
      </c>
      <c r="X37" s="1640">
        <v>0.79426086363636395</v>
      </c>
      <c r="Y37" s="1641">
        <v>15.400000000000009</v>
      </c>
      <c r="Z37" s="1854">
        <f>IF($G37,MATCH('Fan Name List'!Y37,'Fan Name List'!$AC$16:$BM$16,1),0)</f>
        <v>15</v>
      </c>
      <c r="AA37" s="1859">
        <f>IF($G37,IF(S37&gt;567,37,MATCH('Fan Name List'!S37,'Fan Name List'!$AC$16:$BM$16,1)+1),0)</f>
        <v>32</v>
      </c>
      <c r="AB37" s="1854"/>
      <c r="AC37" s="1855"/>
      <c r="AD37" s="1855"/>
      <c r="AE37" s="1855"/>
      <c r="AF37" s="1855"/>
      <c r="AG37" s="1855"/>
      <c r="AH37" s="1855"/>
      <c r="AI37" s="1855"/>
      <c r="AJ37" s="1855"/>
      <c r="AK37" s="1855"/>
      <c r="AL37" s="1855"/>
      <c r="AM37" s="1855"/>
      <c r="AN37" s="1855"/>
      <c r="AO37" s="1855"/>
      <c r="AP37" s="1855"/>
      <c r="AQ37" s="1855"/>
      <c r="AR37" s="1855"/>
      <c r="AS37" s="1855"/>
      <c r="AT37" s="1855"/>
      <c r="AU37" s="1855"/>
      <c r="AV37" s="1855"/>
      <c r="AW37" s="1855"/>
      <c r="AX37" s="1855"/>
      <c r="AY37" s="1855"/>
      <c r="AZ37" s="1855"/>
      <c r="BA37" s="1855"/>
      <c r="BB37" s="1855"/>
      <c r="BC37" s="1855"/>
      <c r="BD37" s="1855"/>
      <c r="BE37" s="1855"/>
      <c r="BF37" s="1855"/>
      <c r="BG37" s="1855"/>
      <c r="BH37" s="1855"/>
      <c r="BI37" s="1855"/>
      <c r="BJ37" s="1855"/>
      <c r="BK37" s="1855"/>
      <c r="BL37" s="1855"/>
      <c r="BM37" s="1855"/>
      <c r="BN37" s="1855"/>
      <c r="BO37" s="1855"/>
      <c r="BP37" s="1855"/>
      <c r="BQ37" s="1855"/>
      <c r="BR37" s="1855"/>
      <c r="BS37" s="1855"/>
      <c r="BT37" s="1855"/>
      <c r="BU37" s="1855"/>
      <c r="BV37" s="1855"/>
      <c r="BW37" s="1855"/>
      <c r="BX37" s="1855"/>
      <c r="BY37" s="1855"/>
      <c r="BZ37" s="1855"/>
      <c r="CA37" s="1855"/>
      <c r="CB37" s="1855"/>
      <c r="CC37" s="1855"/>
      <c r="CD37" s="1859"/>
      <c r="CF37" s="1855">
        <v>48.6</v>
      </c>
    </row>
    <row r="38" spans="1:84" ht="14.25">
      <c r="A38" s="1628" t="s">
        <v>1528</v>
      </c>
      <c r="B38" s="906" t="s">
        <v>2930</v>
      </c>
      <c r="C38" s="1472" t="s">
        <v>1921</v>
      </c>
      <c r="D38" s="968" t="s">
        <v>2931</v>
      </c>
      <c r="E38" s="1493" t="s">
        <v>1528</v>
      </c>
      <c r="F38" s="1629" t="s">
        <v>2930</v>
      </c>
      <c r="G38" s="405" t="b">
        <v>1</v>
      </c>
      <c r="H38" s="1638"/>
      <c r="I38" s="1639">
        <v>1600</v>
      </c>
      <c r="J38" s="1639">
        <v>367.5</v>
      </c>
      <c r="K38" s="1639">
        <v>33410.795411064399</v>
      </c>
      <c r="L38" s="1640">
        <v>0.82589114502155903</v>
      </c>
      <c r="M38" s="2157">
        <v>40.500000000000036</v>
      </c>
      <c r="N38" s="1639"/>
      <c r="O38" s="1639">
        <v>3600</v>
      </c>
      <c r="P38" s="1639">
        <v>1860.46875</v>
      </c>
      <c r="Q38" s="1639">
        <v>75174.289674894899</v>
      </c>
      <c r="R38" s="1640">
        <v>0.82589114502155903</v>
      </c>
      <c r="S38" s="2157">
        <v>461.32031250000034</v>
      </c>
      <c r="T38" s="1639"/>
      <c r="U38" s="1639">
        <v>935.68567622811725</v>
      </c>
      <c r="V38" s="1639">
        <v>125.68323208073726</v>
      </c>
      <c r="W38" s="1639">
        <v>19538.751685950669</v>
      </c>
      <c r="X38" s="1640">
        <v>0.82589114502155903</v>
      </c>
      <c r="Y38" s="1641">
        <v>8.1000000000000085</v>
      </c>
      <c r="Z38" s="1854">
        <f>IF($G38,MATCH('Fan Name List'!Y38,'Fan Name List'!$AC$16:$BM$16,1),0)</f>
        <v>14</v>
      </c>
      <c r="AA38" s="1859">
        <f>IF($G38,IF(S38&gt;567,37,MATCH('Fan Name List'!S38,'Fan Name List'!$AC$16:$BM$16,1)+1),0)</f>
        <v>33</v>
      </c>
      <c r="AB38" s="1854"/>
      <c r="AC38" s="1855"/>
      <c r="AD38" s="1855"/>
      <c r="AE38" s="1855"/>
      <c r="AF38" s="1855"/>
      <c r="AG38" s="1855"/>
      <c r="AH38" s="1855"/>
      <c r="AI38" s="1855"/>
      <c r="AJ38" s="1855"/>
      <c r="AK38" s="1855"/>
      <c r="AL38" s="1855"/>
      <c r="AM38" s="1855"/>
      <c r="AN38" s="1855"/>
      <c r="AO38" s="1855"/>
      <c r="AP38" s="1855"/>
      <c r="AQ38" s="1855"/>
      <c r="AR38" s="1855"/>
      <c r="AS38" s="1855"/>
      <c r="AT38" s="1855"/>
      <c r="AU38" s="1855"/>
      <c r="AV38" s="1855"/>
      <c r="AW38" s="1855"/>
      <c r="AX38" s="1855"/>
      <c r="AY38" s="1855"/>
      <c r="AZ38" s="1855"/>
      <c r="BA38" s="1855"/>
      <c r="BB38" s="1855"/>
      <c r="BC38" s="1855"/>
      <c r="BD38" s="1855"/>
      <c r="BE38" s="1855"/>
      <c r="BF38" s="1855"/>
      <c r="BG38" s="1855"/>
      <c r="BH38" s="1855"/>
      <c r="BI38" s="1855"/>
      <c r="BJ38" s="1855"/>
      <c r="BK38" s="1855"/>
      <c r="BL38" s="1855"/>
      <c r="BM38" s="1855"/>
      <c r="BN38" s="1855"/>
      <c r="BO38" s="1855"/>
      <c r="BP38" s="1855"/>
      <c r="BQ38" s="1855"/>
      <c r="BR38" s="1855"/>
      <c r="BS38" s="1855"/>
      <c r="BT38" s="1855"/>
      <c r="BU38" s="1855"/>
      <c r="BV38" s="1855"/>
      <c r="BW38" s="1855"/>
      <c r="BX38" s="1855"/>
      <c r="BY38" s="1855"/>
      <c r="BZ38" s="1855"/>
      <c r="CA38" s="1855"/>
      <c r="CB38" s="1855"/>
      <c r="CC38" s="1855"/>
      <c r="CD38" s="1859"/>
      <c r="CF38" s="1855">
        <v>59.4</v>
      </c>
    </row>
    <row r="39" spans="1:84" ht="14.25">
      <c r="A39" s="1628" t="s">
        <v>1529</v>
      </c>
      <c r="B39" s="906" t="s">
        <v>2932</v>
      </c>
      <c r="C39" s="1472" t="s">
        <v>1923</v>
      </c>
      <c r="D39" s="968" t="s">
        <v>2933</v>
      </c>
      <c r="E39" s="1493" t="s">
        <v>1529</v>
      </c>
      <c r="F39" s="1629" t="s">
        <v>2932</v>
      </c>
      <c r="G39" s="405" t="b">
        <v>1</v>
      </c>
      <c r="H39" s="1638"/>
      <c r="I39" s="1639">
        <v>1500</v>
      </c>
      <c r="J39" s="1639">
        <v>355</v>
      </c>
      <c r="K39" s="1639">
        <v>33590</v>
      </c>
      <c r="L39" s="1640">
        <v>0.85484708442982504</v>
      </c>
      <c r="M39" s="2157">
        <v>37.999999999999979</v>
      </c>
      <c r="N39" s="1639"/>
      <c r="O39" s="1639">
        <v>3200</v>
      </c>
      <c r="P39" s="1639">
        <v>1615.6444444444444</v>
      </c>
      <c r="Q39" s="1639">
        <v>71658.666666666672</v>
      </c>
      <c r="R39" s="1640">
        <v>0.85484708442982504</v>
      </c>
      <c r="S39" s="2157">
        <v>368.94340740740722</v>
      </c>
      <c r="T39" s="1639"/>
      <c r="U39" s="1639">
        <v>877.20532146385995</v>
      </c>
      <c r="V39" s="1639">
        <v>121.4082922140455</v>
      </c>
      <c r="W39" s="1639">
        <v>19643.551165314035</v>
      </c>
      <c r="X39" s="1640">
        <v>0.85484708442982504</v>
      </c>
      <c r="Y39" s="1641">
        <v>7.5999999999999979</v>
      </c>
      <c r="Z39" s="1854">
        <f>IF($G39,MATCH('Fan Name List'!Y39,'Fan Name List'!$AC$16:$BM$16,1),0)</f>
        <v>13</v>
      </c>
      <c r="AA39" s="1859">
        <f>IF($G39,IF(S39&gt;567,37,MATCH('Fan Name List'!S39,'Fan Name List'!$AC$16:$BM$16,1)+1),0)</f>
        <v>31</v>
      </c>
      <c r="AB39" s="1854"/>
      <c r="AC39" s="1855"/>
      <c r="AD39" s="1855"/>
      <c r="AE39" s="1855"/>
      <c r="AF39" s="1855"/>
      <c r="AG39" s="1855"/>
      <c r="AH39" s="1855"/>
      <c r="AI39" s="1855"/>
      <c r="AJ39" s="1855"/>
      <c r="AK39" s="1855"/>
      <c r="AL39" s="1855"/>
      <c r="AM39" s="1855"/>
      <c r="AN39" s="1855"/>
      <c r="AO39" s="1855"/>
      <c r="AP39" s="1855"/>
      <c r="AQ39" s="1855"/>
      <c r="AR39" s="1855"/>
      <c r="AS39" s="1855"/>
      <c r="AT39" s="1855"/>
      <c r="AU39" s="1855"/>
      <c r="AV39" s="1855"/>
      <c r="AW39" s="1855"/>
      <c r="AX39" s="1855"/>
      <c r="AY39" s="1855"/>
      <c r="AZ39" s="1855"/>
      <c r="BA39" s="1855"/>
      <c r="BB39" s="1855"/>
      <c r="BC39" s="1855"/>
      <c r="BD39" s="1855"/>
      <c r="BE39" s="1855"/>
      <c r="BF39" s="1855"/>
      <c r="BG39" s="1855"/>
      <c r="BH39" s="1855"/>
      <c r="BI39" s="1855"/>
      <c r="BJ39" s="1855"/>
      <c r="BK39" s="1855"/>
      <c r="BL39" s="1855"/>
      <c r="BM39" s="1855"/>
      <c r="BN39" s="1855"/>
      <c r="BO39" s="1855"/>
      <c r="BP39" s="1855"/>
      <c r="BQ39" s="1855"/>
      <c r="BR39" s="1855"/>
      <c r="BS39" s="1855"/>
      <c r="BT39" s="1855"/>
      <c r="BU39" s="1855"/>
      <c r="BV39" s="1855"/>
      <c r="BW39" s="1855"/>
      <c r="BX39" s="1855"/>
      <c r="BY39" s="1855"/>
      <c r="BZ39" s="1855"/>
      <c r="CA39" s="1855"/>
      <c r="CB39" s="1855"/>
      <c r="CC39" s="1855"/>
      <c r="CD39" s="1859"/>
      <c r="CF39" s="1855">
        <v>81</v>
      </c>
    </row>
    <row r="40" spans="1:84" ht="14.25">
      <c r="A40" s="1628" t="s">
        <v>1530</v>
      </c>
      <c r="B40" s="906" t="s">
        <v>2934</v>
      </c>
      <c r="C40" s="1472" t="s">
        <v>1925</v>
      </c>
      <c r="D40" s="968" t="s">
        <v>2935</v>
      </c>
      <c r="E40" s="1493" t="s">
        <v>1530</v>
      </c>
      <c r="F40" s="1629" t="s">
        <v>2934</v>
      </c>
      <c r="G40" s="405" t="b">
        <v>1</v>
      </c>
      <c r="H40" s="1638"/>
      <c r="I40" s="1639">
        <v>1600</v>
      </c>
      <c r="J40" s="1639">
        <v>333.2</v>
      </c>
      <c r="K40" s="1639">
        <v>38979.261312908398</v>
      </c>
      <c r="L40" s="1640">
        <v>0.88452941631809001</v>
      </c>
      <c r="M40" s="2157">
        <v>39.99999999999995</v>
      </c>
      <c r="N40" s="1639"/>
      <c r="O40" s="1639">
        <v>3600</v>
      </c>
      <c r="P40" s="1639">
        <v>1686.825</v>
      </c>
      <c r="Q40" s="1639">
        <v>87703.337954043891</v>
      </c>
      <c r="R40" s="1640">
        <v>0.88452941631809001</v>
      </c>
      <c r="S40" s="2157">
        <v>455.62499999999943</v>
      </c>
      <c r="T40" s="1639"/>
      <c r="U40" s="1639">
        <v>935.68567622811725</v>
      </c>
      <c r="V40" s="1639">
        <v>113.9527970865351</v>
      </c>
      <c r="W40" s="1639">
        <v>22795.210300275739</v>
      </c>
      <c r="X40" s="1640">
        <v>0.88452941631809001</v>
      </c>
      <c r="Y40" s="1641">
        <v>7.999999999999992</v>
      </c>
      <c r="Z40" s="1854">
        <f>IF($G40,MATCH('Fan Name List'!Y40,'Fan Name List'!$AC$16:$BM$16,1),0)</f>
        <v>13</v>
      </c>
      <c r="AA40" s="1859">
        <f>IF($G40,IF(S40&gt;567,37,MATCH('Fan Name List'!S40,'Fan Name List'!$AC$16:$BM$16,1)+1),0)</f>
        <v>33</v>
      </c>
      <c r="AB40" s="1854"/>
      <c r="AC40" s="1855"/>
      <c r="AD40" s="1855"/>
      <c r="AE40" s="1855"/>
      <c r="AF40" s="1855"/>
      <c r="AG40" s="1855"/>
      <c r="AH40" s="1855"/>
      <c r="AI40" s="1855"/>
      <c r="AJ40" s="1855"/>
      <c r="AK40" s="1855"/>
      <c r="AL40" s="1855"/>
      <c r="AM40" s="1855"/>
      <c r="AN40" s="1855"/>
      <c r="AO40" s="1855"/>
      <c r="AP40" s="1855"/>
      <c r="AQ40" s="1855"/>
      <c r="AR40" s="1855"/>
      <c r="AS40" s="1855"/>
      <c r="AT40" s="1855"/>
      <c r="AU40" s="1855"/>
      <c r="AV40" s="1855"/>
      <c r="AW40" s="1855"/>
      <c r="AX40" s="1855"/>
      <c r="AY40" s="1855"/>
      <c r="AZ40" s="1855"/>
      <c r="BA40" s="1855"/>
      <c r="BB40" s="1855"/>
      <c r="BC40" s="1855"/>
      <c r="BD40" s="1855"/>
      <c r="BE40" s="1855"/>
      <c r="BF40" s="1855"/>
      <c r="BG40" s="1855"/>
      <c r="BH40" s="1855"/>
      <c r="BI40" s="1855"/>
      <c r="BJ40" s="1855"/>
      <c r="BK40" s="1855"/>
      <c r="BL40" s="1855"/>
      <c r="BM40" s="1855"/>
      <c r="BN40" s="1855"/>
      <c r="BO40" s="1855"/>
      <c r="BP40" s="1855"/>
      <c r="BQ40" s="1855"/>
      <c r="BR40" s="1855"/>
      <c r="BS40" s="1855"/>
      <c r="BT40" s="1855"/>
      <c r="BU40" s="1855"/>
      <c r="BV40" s="1855"/>
      <c r="BW40" s="1855"/>
      <c r="BX40" s="1855"/>
      <c r="BY40" s="1855"/>
      <c r="BZ40" s="1855"/>
      <c r="CA40" s="1855"/>
      <c r="CB40" s="1855"/>
      <c r="CC40" s="1855"/>
      <c r="CD40" s="1859"/>
      <c r="CF40" s="1855">
        <v>97.2</v>
      </c>
    </row>
    <row r="41" spans="1:84" ht="14.25">
      <c r="A41" s="1628" t="s">
        <v>1531</v>
      </c>
      <c r="B41" s="906" t="s">
        <v>2936</v>
      </c>
      <c r="C41" s="1472" t="s">
        <v>1927</v>
      </c>
      <c r="D41" s="968" t="s">
        <v>2937</v>
      </c>
      <c r="E41" s="1493" t="s">
        <v>1531</v>
      </c>
      <c r="F41" s="1629" t="s">
        <v>2936</v>
      </c>
      <c r="G41" s="405" t="b">
        <v>1</v>
      </c>
      <c r="H41" s="1638"/>
      <c r="I41" s="1639">
        <v>2000</v>
      </c>
      <c r="J41" s="1639">
        <v>910</v>
      </c>
      <c r="K41" s="1639">
        <v>18250</v>
      </c>
      <c r="L41" s="1640">
        <v>0.74166553961748605</v>
      </c>
      <c r="M41" s="2157">
        <v>61.000000000000021</v>
      </c>
      <c r="N41" s="1639"/>
      <c r="O41" s="1639">
        <v>3600</v>
      </c>
      <c r="P41" s="1639">
        <v>2948.4</v>
      </c>
      <c r="Q41" s="1639">
        <v>32850</v>
      </c>
      <c r="R41" s="1640">
        <v>0.74166553961748605</v>
      </c>
      <c r="S41" s="2157">
        <v>355.75200000000012</v>
      </c>
      <c r="T41" s="1639"/>
      <c r="U41" s="1639">
        <v>1169.6070952851464</v>
      </c>
      <c r="V41" s="1639">
        <v>311.21562229515882</v>
      </c>
      <c r="W41" s="1639">
        <v>10672.664744476961</v>
      </c>
      <c r="X41" s="1640">
        <v>0.74166553961748605</v>
      </c>
      <c r="Y41" s="1641">
        <v>12.200000000000003</v>
      </c>
      <c r="Z41" s="1854">
        <f>IF($G41,MATCH('Fan Name List'!Y41,'Fan Name List'!$AC$16:$BM$16,1),0)</f>
        <v>15</v>
      </c>
      <c r="AA41" s="1859">
        <f>IF($G41,IF(S41&gt;567,37,MATCH('Fan Name List'!S41,'Fan Name List'!$AC$16:$BM$16,1)+1),0)</f>
        <v>31</v>
      </c>
      <c r="AB41" s="1854"/>
      <c r="AC41" s="1855"/>
      <c r="AD41" s="1855"/>
      <c r="AE41" s="1855"/>
      <c r="AF41" s="1855"/>
      <c r="AG41" s="1855"/>
      <c r="AH41" s="1855"/>
      <c r="AI41" s="1855"/>
      <c r="AJ41" s="1855"/>
      <c r="AK41" s="1855"/>
      <c r="AL41" s="1855"/>
      <c r="AM41" s="1855"/>
      <c r="AN41" s="1855"/>
      <c r="AO41" s="1855"/>
      <c r="AP41" s="1855"/>
      <c r="AQ41" s="1855"/>
      <c r="AR41" s="1855"/>
      <c r="AS41" s="1855"/>
      <c r="AT41" s="1855"/>
      <c r="AU41" s="1855"/>
      <c r="AV41" s="1855"/>
      <c r="AW41" s="1855"/>
      <c r="AX41" s="1855"/>
      <c r="AY41" s="1855"/>
      <c r="AZ41" s="1855"/>
      <c r="BA41" s="1855"/>
      <c r="BB41" s="1855"/>
      <c r="BC41" s="1855"/>
      <c r="BD41" s="1855"/>
      <c r="BE41" s="1855"/>
      <c r="BF41" s="1855"/>
      <c r="BG41" s="1855"/>
      <c r="BH41" s="1855"/>
      <c r="BI41" s="1855"/>
      <c r="BJ41" s="1855"/>
      <c r="BK41" s="1855"/>
      <c r="BL41" s="1855"/>
      <c r="BM41" s="1855"/>
      <c r="BN41" s="1855"/>
      <c r="BO41" s="1855"/>
      <c r="BP41" s="1855"/>
      <c r="BQ41" s="1855"/>
      <c r="BR41" s="1855"/>
      <c r="BS41" s="1855"/>
      <c r="BT41" s="1855"/>
      <c r="BU41" s="1855"/>
      <c r="BV41" s="1855"/>
      <c r="BW41" s="1855"/>
      <c r="BX41" s="1855"/>
      <c r="BY41" s="1855"/>
      <c r="BZ41" s="1855"/>
      <c r="CA41" s="1855"/>
      <c r="CB41" s="1855"/>
      <c r="CC41" s="1855"/>
      <c r="CD41" s="1859"/>
      <c r="CF41" s="1855">
        <v>118.8</v>
      </c>
    </row>
    <row r="42" spans="1:84" ht="14.25">
      <c r="A42" s="1628" t="s">
        <v>1532</v>
      </c>
      <c r="B42" s="906" t="s">
        <v>2938</v>
      </c>
      <c r="C42" s="1472" t="s">
        <v>1929</v>
      </c>
      <c r="D42" s="968" t="s">
        <v>2939</v>
      </c>
      <c r="E42" s="1493" t="s">
        <v>1532</v>
      </c>
      <c r="F42" s="1629" t="s">
        <v>2938</v>
      </c>
      <c r="G42" s="405" t="b">
        <v>1</v>
      </c>
      <c r="H42" s="1638"/>
      <c r="I42" s="1639">
        <v>2000</v>
      </c>
      <c r="J42" s="1639">
        <v>975</v>
      </c>
      <c r="K42" s="1639">
        <v>28000</v>
      </c>
      <c r="L42" s="1640">
        <v>0.79967473118279597</v>
      </c>
      <c r="M42" s="2157">
        <v>92.999999999999972</v>
      </c>
      <c r="N42" s="1639"/>
      <c r="O42" s="1639">
        <v>3600</v>
      </c>
      <c r="P42" s="1639">
        <v>3159</v>
      </c>
      <c r="Q42" s="1639">
        <v>50400</v>
      </c>
      <c r="R42" s="1640">
        <v>0.79967473118279597</v>
      </c>
      <c r="S42" s="2157">
        <v>542.37599999999986</v>
      </c>
      <c r="T42" s="1639"/>
      <c r="U42" s="1639">
        <v>1169.6070952851464</v>
      </c>
      <c r="V42" s="1639">
        <v>333.44530960195584</v>
      </c>
      <c r="W42" s="1639">
        <v>16374.499333992049</v>
      </c>
      <c r="X42" s="1640">
        <v>0.79967473118279597</v>
      </c>
      <c r="Y42" s="1641">
        <v>18.599999999999994</v>
      </c>
      <c r="Z42" s="1854">
        <f>IF($G42,MATCH('Fan Name List'!Y42,'Fan Name List'!$AC$16:$BM$16,1),0)</f>
        <v>16</v>
      </c>
      <c r="AA42" s="1859">
        <f>IF($G42,IF(S42&gt;567,37,MATCH('Fan Name List'!S42,'Fan Name List'!$AC$16:$BM$16,1)+1),0)</f>
        <v>35</v>
      </c>
      <c r="AB42" s="1854"/>
      <c r="AC42" s="1855"/>
      <c r="AD42" s="1855"/>
      <c r="AE42" s="1855"/>
      <c r="AF42" s="1855"/>
      <c r="AG42" s="1855"/>
      <c r="AH42" s="1855"/>
      <c r="AI42" s="1855"/>
      <c r="AJ42" s="1855"/>
      <c r="AK42" s="1855"/>
      <c r="AL42" s="1855"/>
      <c r="AM42" s="1855"/>
      <c r="AN42" s="1855"/>
      <c r="AO42" s="1855"/>
      <c r="AP42" s="1855"/>
      <c r="AQ42" s="1855"/>
      <c r="AR42" s="1855"/>
      <c r="AS42" s="1855"/>
      <c r="AT42" s="1855"/>
      <c r="AU42" s="1855"/>
      <c r="AV42" s="1855"/>
      <c r="AW42" s="1855"/>
      <c r="AX42" s="1855"/>
      <c r="AY42" s="1855"/>
      <c r="AZ42" s="1855"/>
      <c r="BA42" s="1855"/>
      <c r="BB42" s="1855"/>
      <c r="BC42" s="1855"/>
      <c r="BD42" s="1855"/>
      <c r="BE42" s="1855"/>
      <c r="BF42" s="1855"/>
      <c r="BG42" s="1855"/>
      <c r="BH42" s="1855"/>
      <c r="BI42" s="1855"/>
      <c r="BJ42" s="1855"/>
      <c r="BK42" s="1855"/>
      <c r="BL42" s="1855"/>
      <c r="BM42" s="1855"/>
      <c r="BN42" s="1855"/>
      <c r="BO42" s="1855"/>
      <c r="BP42" s="1855"/>
      <c r="BQ42" s="1855"/>
      <c r="BR42" s="1855"/>
      <c r="BS42" s="1855"/>
      <c r="BT42" s="1855"/>
      <c r="BU42" s="1855"/>
      <c r="BV42" s="1855"/>
      <c r="BW42" s="1855"/>
      <c r="BX42" s="1855"/>
      <c r="BY42" s="1855"/>
      <c r="BZ42" s="1855"/>
      <c r="CA42" s="1855"/>
      <c r="CB42" s="1855"/>
      <c r="CC42" s="1855"/>
      <c r="CD42" s="1859"/>
      <c r="CF42" s="1855">
        <v>142.56</v>
      </c>
    </row>
    <row r="43" spans="1:84" ht="14.25">
      <c r="A43" s="1628" t="s">
        <v>1533</v>
      </c>
      <c r="B43" s="906" t="s">
        <v>2940</v>
      </c>
      <c r="C43" s="1472" t="s">
        <v>1931</v>
      </c>
      <c r="D43" s="968" t="s">
        <v>2941</v>
      </c>
      <c r="E43" s="1493" t="s">
        <v>1533</v>
      </c>
      <c r="F43" s="1629" t="s">
        <v>2940</v>
      </c>
      <c r="G43" s="405" t="b">
        <v>1</v>
      </c>
      <c r="H43" s="1638"/>
      <c r="I43" s="1639">
        <v>2000</v>
      </c>
      <c r="J43" s="1639">
        <v>935</v>
      </c>
      <c r="K43" s="1639">
        <v>35000</v>
      </c>
      <c r="L43" s="1640">
        <v>0.79596744791666696</v>
      </c>
      <c r="M43" s="2157">
        <v>111.99999999999997</v>
      </c>
      <c r="N43" s="1639"/>
      <c r="O43" s="1639">
        <v>3430.1001780401912</v>
      </c>
      <c r="P43" s="1639">
        <v>2750.2060153377283</v>
      </c>
      <c r="Q43" s="1639">
        <v>60026.753115703345</v>
      </c>
      <c r="R43" s="1640">
        <v>0.79596744791666696</v>
      </c>
      <c r="S43" s="2157">
        <v>565</v>
      </c>
      <c r="T43" s="1639"/>
      <c r="U43" s="1639">
        <v>1169.6070952851464</v>
      </c>
      <c r="V43" s="1639">
        <v>319.7655020285423</v>
      </c>
      <c r="W43" s="1639">
        <v>20468.124167490063</v>
      </c>
      <c r="X43" s="1640">
        <v>0.79596744791666696</v>
      </c>
      <c r="Y43" s="1641">
        <v>22.399999999999988</v>
      </c>
      <c r="Z43" s="1854">
        <f>IF($G43,MATCH('Fan Name List'!Y43,'Fan Name List'!$AC$16:$BM$16,1),0)</f>
        <v>17</v>
      </c>
      <c r="AA43" s="1859">
        <f>IF($G43,IF(S43&gt;567,37,MATCH('Fan Name List'!S43,'Fan Name List'!$AC$16:$BM$16,1)+1),0)</f>
        <v>35</v>
      </c>
      <c r="AB43" s="1854"/>
      <c r="AC43" s="1855"/>
      <c r="AD43" s="1855"/>
      <c r="AE43" s="1855"/>
      <c r="AF43" s="1855"/>
      <c r="AG43" s="1855"/>
      <c r="AH43" s="1855"/>
      <c r="AI43" s="1855"/>
      <c r="AJ43" s="1855"/>
      <c r="AK43" s="1855"/>
      <c r="AL43" s="1855"/>
      <c r="AM43" s="1855"/>
      <c r="AN43" s="1855"/>
      <c r="AO43" s="1855"/>
      <c r="AP43" s="1855"/>
      <c r="AQ43" s="1855"/>
      <c r="AR43" s="1855"/>
      <c r="AS43" s="1855"/>
      <c r="AT43" s="1855"/>
      <c r="AU43" s="1855"/>
      <c r="AV43" s="1855"/>
      <c r="AW43" s="1855"/>
      <c r="AX43" s="1855"/>
      <c r="AY43" s="1855"/>
      <c r="AZ43" s="1855"/>
      <c r="BA43" s="1855"/>
      <c r="BB43" s="1855"/>
      <c r="BC43" s="1855"/>
      <c r="BD43" s="1855"/>
      <c r="BE43" s="1855"/>
      <c r="BF43" s="1855"/>
      <c r="BG43" s="1855"/>
      <c r="BH43" s="1855"/>
      <c r="BI43" s="1855"/>
      <c r="BJ43" s="1855"/>
      <c r="BK43" s="1855"/>
      <c r="BL43" s="1855"/>
      <c r="BM43" s="1855"/>
      <c r="BN43" s="1855"/>
      <c r="BO43" s="1855"/>
      <c r="BP43" s="1855"/>
      <c r="BQ43" s="1855"/>
      <c r="BR43" s="1855"/>
      <c r="BS43" s="1855"/>
      <c r="BT43" s="1855"/>
      <c r="BU43" s="1855"/>
      <c r="BV43" s="1855"/>
      <c r="BW43" s="1855"/>
      <c r="BX43" s="1855"/>
      <c r="BY43" s="1855"/>
      <c r="BZ43" s="1855"/>
      <c r="CA43" s="1855"/>
      <c r="CB43" s="1855"/>
      <c r="CC43" s="1855"/>
      <c r="CD43" s="1859"/>
      <c r="CF43" s="1855">
        <v>172.8</v>
      </c>
    </row>
    <row r="44" spans="1:84" ht="14.25">
      <c r="A44" s="1628" t="s">
        <v>1534</v>
      </c>
      <c r="B44" s="906" t="s">
        <v>2942</v>
      </c>
      <c r="C44" s="1472" t="s">
        <v>1933</v>
      </c>
      <c r="D44" s="968" t="s">
        <v>2943</v>
      </c>
      <c r="E44" s="1493" t="s">
        <v>1534</v>
      </c>
      <c r="F44" s="1629" t="s">
        <v>2942</v>
      </c>
      <c r="G44" s="405" t="b">
        <v>1</v>
      </c>
      <c r="H44" s="1638"/>
      <c r="I44" s="1639">
        <v>2200</v>
      </c>
      <c r="J44" s="1639">
        <v>1048.5999999999999</v>
      </c>
      <c r="K44" s="1639">
        <v>47200.791857764401</v>
      </c>
      <c r="L44" s="1640">
        <v>0.83229598183213604</v>
      </c>
      <c r="M44" s="2157">
        <v>161.99999999999994</v>
      </c>
      <c r="N44" s="1639"/>
      <c r="O44" s="1639">
        <v>3336.3158491025047</v>
      </c>
      <c r="P44" s="1639">
        <v>2411.5640934707089</v>
      </c>
      <c r="Q44" s="1639">
        <v>71580.340893294459</v>
      </c>
      <c r="R44" s="1640">
        <v>0.83229598183213604</v>
      </c>
      <c r="S44" s="2157">
        <v>564.99999999999977</v>
      </c>
      <c r="T44" s="1639"/>
      <c r="U44" s="1639">
        <v>1286.5678048136613</v>
      </c>
      <c r="V44" s="1639">
        <v>358.61615553703695</v>
      </c>
      <c r="W44" s="1639">
        <v>27603.190529959309</v>
      </c>
      <c r="X44" s="1640">
        <v>0.83229598183213604</v>
      </c>
      <c r="Y44" s="1641">
        <v>32.4</v>
      </c>
      <c r="Z44" s="1854">
        <f>IF($G44,MATCH('Fan Name List'!Y44,'Fan Name List'!$AC$16:$BM$16,1),0)</f>
        <v>19</v>
      </c>
      <c r="AA44" s="1859">
        <f>IF($G44,IF(S44&gt;567,37,MATCH('Fan Name List'!S44,'Fan Name List'!$AC$16:$BM$16,1)+1),0)</f>
        <v>35</v>
      </c>
      <c r="AB44" s="1854"/>
      <c r="AC44" s="1855"/>
      <c r="AD44" s="1855"/>
      <c r="AE44" s="1855"/>
      <c r="AF44" s="1855"/>
      <c r="AG44" s="1855"/>
      <c r="AH44" s="1855"/>
      <c r="AI44" s="1855"/>
      <c r="AJ44" s="1855"/>
      <c r="AK44" s="1855"/>
      <c r="AL44" s="1855"/>
      <c r="AM44" s="1855"/>
      <c r="AN44" s="1855"/>
      <c r="AO44" s="1855"/>
      <c r="AP44" s="1855"/>
      <c r="AQ44" s="1855"/>
      <c r="AR44" s="1855"/>
      <c r="AS44" s="1855"/>
      <c r="AT44" s="1855"/>
      <c r="AU44" s="1855"/>
      <c r="AV44" s="1855"/>
      <c r="AW44" s="1855"/>
      <c r="AX44" s="1855"/>
      <c r="AY44" s="1855"/>
      <c r="AZ44" s="1855"/>
      <c r="BA44" s="1855"/>
      <c r="BB44" s="1855"/>
      <c r="BC44" s="1855"/>
      <c r="BD44" s="1855"/>
      <c r="BE44" s="1855"/>
      <c r="BF44" s="1855"/>
      <c r="BG44" s="1855"/>
      <c r="BH44" s="1855"/>
      <c r="BI44" s="1855"/>
      <c r="BJ44" s="1855"/>
      <c r="BK44" s="1855"/>
      <c r="BL44" s="1855"/>
      <c r="BM44" s="1855"/>
      <c r="BN44" s="1855"/>
      <c r="BO44" s="1855"/>
      <c r="BP44" s="1855"/>
      <c r="BQ44" s="1855"/>
      <c r="BR44" s="1855"/>
      <c r="BS44" s="1855"/>
      <c r="BT44" s="1855"/>
      <c r="BU44" s="1855"/>
      <c r="BV44" s="1855"/>
      <c r="BW44" s="1855"/>
      <c r="BX44" s="1855"/>
      <c r="BY44" s="1855"/>
      <c r="BZ44" s="1855"/>
      <c r="CA44" s="1855"/>
      <c r="CB44" s="1855"/>
      <c r="CC44" s="1855"/>
      <c r="CD44" s="1859"/>
      <c r="CF44" s="1855">
        <v>216</v>
      </c>
    </row>
    <row r="45" spans="1:84" ht="14.25">
      <c r="A45" s="1628" t="s">
        <v>1535</v>
      </c>
      <c r="B45" s="906" t="s">
        <v>2944</v>
      </c>
      <c r="C45" s="1472" t="s">
        <v>1935</v>
      </c>
      <c r="D45" s="968" t="s">
        <v>2945</v>
      </c>
      <c r="E45" s="1493" t="s">
        <v>1535</v>
      </c>
      <c r="F45" s="1629" t="s">
        <v>2944</v>
      </c>
      <c r="G45" s="405" t="b">
        <v>1</v>
      </c>
      <c r="H45" s="1638"/>
      <c r="I45" s="1639">
        <v>1800</v>
      </c>
      <c r="J45" s="1639">
        <v>582</v>
      </c>
      <c r="K45" s="1639">
        <v>52799.726675428901</v>
      </c>
      <c r="L45" s="1640">
        <v>0.82070704562214603</v>
      </c>
      <c r="M45" s="2157">
        <v>101.99999999999999</v>
      </c>
      <c r="N45" s="1639"/>
      <c r="O45" s="1639">
        <v>3184.8471719684858</v>
      </c>
      <c r="P45" s="1639">
        <v>1822.028511765147</v>
      </c>
      <c r="Q45" s="1639">
        <v>93421.700101638198</v>
      </c>
      <c r="R45" s="1640">
        <v>0.82070704562214603</v>
      </c>
      <c r="S45" s="2157">
        <v>564.99999999999989</v>
      </c>
      <c r="T45" s="1639"/>
      <c r="U45" s="1639">
        <v>1052.6463857566318</v>
      </c>
      <c r="V45" s="1639">
        <v>199.04120019316755</v>
      </c>
      <c r="W45" s="1639">
        <v>30877.467474349032</v>
      </c>
      <c r="X45" s="1640">
        <v>0.82070704562214603</v>
      </c>
      <c r="Y45" s="1641">
        <v>20.399999999999999</v>
      </c>
      <c r="Z45" s="1854">
        <f>IF($G45,MATCH('Fan Name List'!Y45,'Fan Name List'!$AC$16:$BM$16,1),0)</f>
        <v>17</v>
      </c>
      <c r="AA45" s="1859">
        <f>IF($G45,IF(S45&gt;567,37,MATCH('Fan Name List'!S45,'Fan Name List'!$AC$16:$BM$16,1)+1),0)</f>
        <v>35</v>
      </c>
      <c r="AB45" s="1854"/>
      <c r="AC45" s="1855"/>
      <c r="AD45" s="1855"/>
      <c r="AE45" s="1855"/>
      <c r="AF45" s="1855"/>
      <c r="AG45" s="1855"/>
      <c r="AH45" s="1855"/>
      <c r="AI45" s="1855"/>
      <c r="AJ45" s="1855"/>
      <c r="AK45" s="1855"/>
      <c r="AL45" s="1855"/>
      <c r="AM45" s="1855"/>
      <c r="AN45" s="1855"/>
      <c r="AO45" s="1855"/>
      <c r="AP45" s="1855"/>
      <c r="AQ45" s="1855"/>
      <c r="AR45" s="1855"/>
      <c r="AS45" s="1855"/>
      <c r="AT45" s="1855"/>
      <c r="AU45" s="1855"/>
      <c r="AV45" s="1855"/>
      <c r="AW45" s="1855"/>
      <c r="AX45" s="1855"/>
      <c r="AY45" s="1855"/>
      <c r="AZ45" s="1855"/>
      <c r="BA45" s="1855"/>
      <c r="BB45" s="1855"/>
      <c r="BC45" s="1855"/>
      <c r="BD45" s="1855"/>
      <c r="BE45" s="1855"/>
      <c r="BF45" s="1855"/>
      <c r="BG45" s="1855"/>
      <c r="BH45" s="1855"/>
      <c r="BI45" s="1855"/>
      <c r="BJ45" s="1855"/>
      <c r="BK45" s="1855"/>
      <c r="BL45" s="1855"/>
      <c r="BM45" s="1855"/>
      <c r="BN45" s="1855"/>
      <c r="BO45" s="1855"/>
      <c r="BP45" s="1855"/>
      <c r="BQ45" s="1855"/>
      <c r="BR45" s="1855"/>
      <c r="BS45" s="1855"/>
      <c r="BT45" s="1855"/>
      <c r="BU45" s="1855"/>
      <c r="BV45" s="1855"/>
      <c r="BW45" s="1855"/>
      <c r="BX45" s="1855"/>
      <c r="BY45" s="1855"/>
      <c r="BZ45" s="1855"/>
      <c r="CA45" s="1855"/>
      <c r="CB45" s="1855"/>
      <c r="CC45" s="1855"/>
      <c r="CD45" s="1859"/>
      <c r="CF45" s="1855">
        <v>270</v>
      </c>
    </row>
    <row r="46" spans="1:84" ht="14.25">
      <c r="A46" s="1628" t="s">
        <v>1684</v>
      </c>
      <c r="B46" s="906" t="s">
        <v>2946</v>
      </c>
      <c r="C46" s="1472" t="s">
        <v>1937</v>
      </c>
      <c r="D46" s="968" t="s">
        <v>2305</v>
      </c>
      <c r="E46" s="1493" t="s">
        <v>1684</v>
      </c>
      <c r="F46" s="1629" t="s">
        <v>2946</v>
      </c>
      <c r="G46" s="405" t="b">
        <v>1</v>
      </c>
      <c r="H46" s="1638"/>
      <c r="I46" s="1639">
        <v>1500</v>
      </c>
      <c r="J46" s="1639">
        <v>420</v>
      </c>
      <c r="K46" s="1639">
        <v>50000</v>
      </c>
      <c r="L46" s="1640">
        <v>0.85384328358209005</v>
      </c>
      <c r="M46" s="2157">
        <v>66.999999999999972</v>
      </c>
      <c r="N46" s="1639"/>
      <c r="O46" s="1639">
        <v>3053.1570247349127</v>
      </c>
      <c r="P46" s="1639">
        <v>1740.0633259684539</v>
      </c>
      <c r="Q46" s="1639">
        <v>101771.90082449709</v>
      </c>
      <c r="R46" s="1640">
        <v>0.85384328358209005</v>
      </c>
      <c r="S46" s="2157">
        <v>564.99999999999989</v>
      </c>
      <c r="T46" s="1639"/>
      <c r="U46" s="1639">
        <v>877.20532146385995</v>
      </c>
      <c r="V46" s="1639">
        <v>143.63797952084258</v>
      </c>
      <c r="W46" s="1639">
        <v>29240.177382128662</v>
      </c>
      <c r="X46" s="1640">
        <v>0.85384328358209005</v>
      </c>
      <c r="Y46" s="1641">
        <v>13.399999999999997</v>
      </c>
      <c r="Z46" s="1854">
        <f>IF($G46,MATCH('Fan Name List'!Y46,'Fan Name List'!$AC$16:$BM$16,1),0)</f>
        <v>15</v>
      </c>
      <c r="AA46" s="1859">
        <f>IF($G46,IF(S46&gt;567,37,MATCH('Fan Name List'!S46,'Fan Name List'!$AC$16:$BM$16,1)+1),0)</f>
        <v>35</v>
      </c>
      <c r="AB46" s="1854"/>
      <c r="AC46" s="1855"/>
      <c r="AD46" s="1855"/>
      <c r="AE46" s="1855"/>
      <c r="AF46" s="1855"/>
      <c r="AG46" s="1855"/>
      <c r="AH46" s="1855"/>
      <c r="AI46" s="1855"/>
      <c r="AJ46" s="1855"/>
      <c r="AK46" s="1855"/>
      <c r="AL46" s="1855"/>
      <c r="AM46" s="1855"/>
      <c r="AN46" s="1855"/>
      <c r="AO46" s="1855"/>
      <c r="AP46" s="1855"/>
      <c r="AQ46" s="1855"/>
      <c r="AR46" s="1855"/>
      <c r="AS46" s="1855"/>
      <c r="AT46" s="1855"/>
      <c r="AU46" s="1855"/>
      <c r="AV46" s="1855"/>
      <c r="AW46" s="1855"/>
      <c r="AX46" s="1855"/>
      <c r="AY46" s="1855"/>
      <c r="AZ46" s="1855"/>
      <c r="BA46" s="1855"/>
      <c r="BB46" s="1855"/>
      <c r="BC46" s="1855"/>
      <c r="BD46" s="1855"/>
      <c r="BE46" s="1855"/>
      <c r="BF46" s="1855"/>
      <c r="BG46" s="1855"/>
      <c r="BH46" s="1855"/>
      <c r="BI46" s="1855"/>
      <c r="BJ46" s="1855"/>
      <c r="BK46" s="1855"/>
      <c r="BL46" s="1855"/>
      <c r="BM46" s="1855"/>
      <c r="BN46" s="1855"/>
      <c r="BO46" s="1855"/>
      <c r="BP46" s="1855"/>
      <c r="BQ46" s="1855"/>
      <c r="BR46" s="1855"/>
      <c r="BS46" s="1855"/>
      <c r="BT46" s="1855"/>
      <c r="BU46" s="1855"/>
      <c r="BV46" s="1855"/>
      <c r="BW46" s="1855"/>
      <c r="BX46" s="1855"/>
      <c r="BY46" s="1855"/>
      <c r="BZ46" s="1855"/>
      <c r="CA46" s="1855"/>
      <c r="CB46" s="1855"/>
      <c r="CC46" s="1855"/>
      <c r="CD46" s="1859"/>
      <c r="CF46" s="1855">
        <v>340.2</v>
      </c>
    </row>
    <row r="47" spans="1:84" ht="14.25">
      <c r="A47" s="1628" t="s">
        <v>1536</v>
      </c>
      <c r="B47" s="906" t="s">
        <v>2947</v>
      </c>
      <c r="C47" s="1472" t="s">
        <v>1939</v>
      </c>
      <c r="D47" s="968" t="s">
        <v>2948</v>
      </c>
      <c r="E47" s="1493" t="s">
        <v>1536</v>
      </c>
      <c r="F47" s="1629" t="s">
        <v>2947</v>
      </c>
      <c r="G47" s="405" t="b">
        <v>1</v>
      </c>
      <c r="H47" s="1638"/>
      <c r="I47" s="1639">
        <v>1500</v>
      </c>
      <c r="J47" s="1639">
        <v>380</v>
      </c>
      <c r="K47" s="1639">
        <v>52190</v>
      </c>
      <c r="L47" s="1640">
        <v>0.87139061559139797</v>
      </c>
      <c r="M47" s="2157">
        <v>61.999999999999993</v>
      </c>
      <c r="N47" s="1639"/>
      <c r="O47" s="1639">
        <v>3133.1186745601135</v>
      </c>
      <c r="P47" s="1639">
        <v>1657.8863995437257</v>
      </c>
      <c r="Q47" s="1639">
        <v>109011.64241686155</v>
      </c>
      <c r="R47" s="1640">
        <v>0.87139061559139797</v>
      </c>
      <c r="S47" s="2157">
        <v>564.99999999999977</v>
      </c>
      <c r="T47" s="1639"/>
      <c r="U47" s="1639">
        <v>877.20532146385995</v>
      </c>
      <c r="V47" s="1639">
        <v>129.95817194742898</v>
      </c>
      <c r="W47" s="1639">
        <v>30520.897151465899</v>
      </c>
      <c r="X47" s="1640">
        <v>0.87139061559139797</v>
      </c>
      <c r="Y47" s="1641">
        <v>12.400000000000002</v>
      </c>
      <c r="Z47" s="1854">
        <f>IF($G47,MATCH('Fan Name List'!Y47,'Fan Name List'!$AC$16:$BM$16,1),0)</f>
        <v>15</v>
      </c>
      <c r="AA47" s="1859">
        <f>IF($G47,IF(S47&gt;567,37,MATCH('Fan Name List'!S47,'Fan Name List'!$AC$16:$BM$16,1)+1),0)</f>
        <v>35</v>
      </c>
      <c r="AB47" s="1854"/>
      <c r="AC47" s="1855"/>
      <c r="AD47" s="1855"/>
      <c r="AE47" s="1855"/>
      <c r="AF47" s="1855"/>
      <c r="AG47" s="1855"/>
      <c r="AH47" s="1855"/>
      <c r="AI47" s="1855"/>
      <c r="AJ47" s="1855"/>
      <c r="AK47" s="1855"/>
      <c r="AL47" s="1855"/>
      <c r="AM47" s="1855"/>
      <c r="AN47" s="1855"/>
      <c r="AO47" s="1855"/>
      <c r="AP47" s="1855"/>
      <c r="AQ47" s="1855"/>
      <c r="AR47" s="1855"/>
      <c r="AS47" s="1855"/>
      <c r="AT47" s="1855"/>
      <c r="AU47" s="1855"/>
      <c r="AV47" s="1855"/>
      <c r="AW47" s="1855"/>
      <c r="AX47" s="1855"/>
      <c r="AY47" s="1855"/>
      <c r="AZ47" s="1855"/>
      <c r="BA47" s="1855"/>
      <c r="BB47" s="1855"/>
      <c r="BC47" s="1855"/>
      <c r="BD47" s="1855"/>
      <c r="BE47" s="1855"/>
      <c r="BF47" s="1855"/>
      <c r="BG47" s="1855"/>
      <c r="BH47" s="1855"/>
      <c r="BI47" s="1855"/>
      <c r="BJ47" s="1855"/>
      <c r="BK47" s="1855"/>
      <c r="BL47" s="1855"/>
      <c r="BM47" s="1855"/>
      <c r="BN47" s="1855"/>
      <c r="BO47" s="1855"/>
      <c r="BP47" s="1855"/>
      <c r="BQ47" s="1855"/>
      <c r="BR47" s="1855"/>
      <c r="BS47" s="1855"/>
      <c r="BT47" s="1855"/>
      <c r="BU47" s="1855"/>
      <c r="BV47" s="1855"/>
      <c r="BW47" s="1855"/>
      <c r="BX47" s="1855"/>
      <c r="BY47" s="1855"/>
      <c r="BZ47" s="1855"/>
      <c r="CA47" s="1855"/>
      <c r="CB47" s="1855"/>
      <c r="CC47" s="1855"/>
      <c r="CD47" s="1859"/>
      <c r="CF47" s="1855">
        <v>383.40000000000003</v>
      </c>
    </row>
    <row r="48" spans="1:84" ht="14.25">
      <c r="A48" s="1628" t="s">
        <v>1537</v>
      </c>
      <c r="B48" s="906" t="s">
        <v>2949</v>
      </c>
      <c r="C48" s="1472" t="s">
        <v>1941</v>
      </c>
      <c r="D48" s="968" t="s">
        <v>2950</v>
      </c>
      <c r="E48" s="1493" t="s">
        <v>1537</v>
      </c>
      <c r="F48" s="1629" t="s">
        <v>2949</v>
      </c>
      <c r="G48" s="405" t="b">
        <v>1</v>
      </c>
      <c r="H48" s="1638"/>
      <c r="I48" s="1639">
        <v>1500</v>
      </c>
      <c r="J48" s="1639">
        <v>656.6</v>
      </c>
      <c r="K48" s="1639">
        <v>28941.173447184199</v>
      </c>
      <c r="L48" s="1640">
        <v>0.65527499781478604</v>
      </c>
      <c r="M48" s="2157">
        <v>79.000000000000014</v>
      </c>
      <c r="N48" s="1639"/>
      <c r="O48" s="1639">
        <v>2890.0035610899513</v>
      </c>
      <c r="P48" s="1639">
        <v>2437.3343888318818</v>
      </c>
      <c r="Q48" s="1639">
        <v>55760.062882989521</v>
      </c>
      <c r="R48" s="1640">
        <v>0.65527499781478604</v>
      </c>
      <c r="S48" s="2157">
        <v>565.00000000000011</v>
      </c>
      <c r="T48" s="1639"/>
      <c r="U48" s="1639">
        <v>877.20532146385995</v>
      </c>
      <c r="V48" s="1639">
        <v>224.55404131758388</v>
      </c>
      <c r="W48" s="1639">
        <v>16924.900904852362</v>
      </c>
      <c r="X48" s="1640">
        <v>0.65527499781478604</v>
      </c>
      <c r="Y48" s="1641">
        <v>15.800000000000006</v>
      </c>
      <c r="Z48" s="1854">
        <f>IF($G48,MATCH('Fan Name List'!Y48,'Fan Name List'!$AC$16:$BM$16,1),0)</f>
        <v>15</v>
      </c>
      <c r="AA48" s="1859">
        <f>IF($G48,IF(S48&gt;567,37,MATCH('Fan Name List'!S48,'Fan Name List'!$AC$16:$BM$16,1)+1),0)</f>
        <v>35</v>
      </c>
      <c r="AB48" s="1854"/>
      <c r="AC48" s="1855"/>
      <c r="AD48" s="1855"/>
      <c r="AE48" s="1855"/>
      <c r="AF48" s="1855"/>
      <c r="AG48" s="1855"/>
      <c r="AH48" s="1855"/>
      <c r="AI48" s="1855"/>
      <c r="AJ48" s="1855"/>
      <c r="AK48" s="1855"/>
      <c r="AL48" s="1855"/>
      <c r="AM48" s="1855"/>
      <c r="AN48" s="1855"/>
      <c r="AO48" s="1855"/>
      <c r="AP48" s="1855"/>
      <c r="AQ48" s="1855"/>
      <c r="AR48" s="1855"/>
      <c r="AS48" s="1855"/>
      <c r="AT48" s="1855"/>
      <c r="AU48" s="1855"/>
      <c r="AV48" s="1855"/>
      <c r="AW48" s="1855"/>
      <c r="AX48" s="1855"/>
      <c r="AY48" s="1855"/>
      <c r="AZ48" s="1855"/>
      <c r="BA48" s="1855"/>
      <c r="BB48" s="1855"/>
      <c r="BC48" s="1855"/>
      <c r="BD48" s="1855"/>
      <c r="BE48" s="1855"/>
      <c r="BF48" s="1855"/>
      <c r="BG48" s="1855"/>
      <c r="BH48" s="1855"/>
      <c r="BI48" s="1855"/>
      <c r="BJ48" s="1855"/>
      <c r="BK48" s="1855"/>
      <c r="BL48" s="1855"/>
      <c r="BM48" s="1855"/>
      <c r="BN48" s="1855"/>
      <c r="BO48" s="1855"/>
      <c r="BP48" s="1855"/>
      <c r="BQ48" s="1855"/>
      <c r="BR48" s="1855"/>
      <c r="BS48" s="1855"/>
      <c r="BT48" s="1855"/>
      <c r="BU48" s="1855"/>
      <c r="BV48" s="1855"/>
      <c r="BW48" s="1855"/>
      <c r="BX48" s="1855"/>
      <c r="BY48" s="1855"/>
      <c r="BZ48" s="1855"/>
      <c r="CA48" s="1855"/>
      <c r="CB48" s="1855"/>
      <c r="CC48" s="1855"/>
      <c r="CD48" s="1859"/>
      <c r="CF48" s="1855">
        <v>432</v>
      </c>
    </row>
    <row r="49" spans="1:84" ht="14.25">
      <c r="A49" s="1628" t="s">
        <v>1685</v>
      </c>
      <c r="B49" s="906" t="s">
        <v>2951</v>
      </c>
      <c r="C49" s="1472" t="s">
        <v>1943</v>
      </c>
      <c r="D49" s="968" t="s">
        <v>2952</v>
      </c>
      <c r="E49" s="1493" t="s">
        <v>1685</v>
      </c>
      <c r="F49" s="1629" t="s">
        <v>2951</v>
      </c>
      <c r="G49" s="405" t="b">
        <v>1</v>
      </c>
      <c r="H49" s="1638"/>
      <c r="I49" s="1639">
        <v>1700</v>
      </c>
      <c r="J49" s="1639">
        <v>823.2</v>
      </c>
      <c r="K49" s="1639">
        <v>34648.2322781408</v>
      </c>
      <c r="L49" s="1640">
        <v>0.82659403110242802</v>
      </c>
      <c r="M49" s="2157">
        <v>93.999999999999972</v>
      </c>
      <c r="N49" s="1639"/>
      <c r="O49" s="1639">
        <v>3090.9296420297019</v>
      </c>
      <c r="P49" s="1639">
        <v>2721.358501726012</v>
      </c>
      <c r="Q49" s="1639">
        <v>62997.204819079823</v>
      </c>
      <c r="R49" s="1640">
        <v>0.82659403110242802</v>
      </c>
      <c r="S49" s="2157">
        <v>564.99999999999977</v>
      </c>
      <c r="T49" s="1639"/>
      <c r="U49" s="1639">
        <v>994.16603099237454</v>
      </c>
      <c r="V49" s="1639">
        <v>281.53043986085146</v>
      </c>
      <c r="W49" s="1639">
        <v>20262.409155800658</v>
      </c>
      <c r="X49" s="1640">
        <v>0.82659403110242802</v>
      </c>
      <c r="Y49" s="1641">
        <v>18.8</v>
      </c>
      <c r="Z49" s="1854">
        <f>IF($G49,MATCH('Fan Name List'!Y49,'Fan Name List'!$AC$16:$BM$16,1),0)</f>
        <v>16</v>
      </c>
      <c r="AA49" s="1859">
        <f>IF($G49,IF(S49&gt;567,37,MATCH('Fan Name List'!S49,'Fan Name List'!$AC$16:$BM$16,1)+1),0)</f>
        <v>35</v>
      </c>
      <c r="AB49" s="1854"/>
      <c r="AC49" s="1855"/>
      <c r="AD49" s="1855"/>
      <c r="AE49" s="1855"/>
      <c r="AF49" s="1855"/>
      <c r="AG49" s="1855"/>
      <c r="AH49" s="1855"/>
      <c r="AI49" s="1855"/>
      <c r="AJ49" s="1855"/>
      <c r="AK49" s="1855"/>
      <c r="AL49" s="1855"/>
      <c r="AM49" s="1855"/>
      <c r="AN49" s="1855"/>
      <c r="AO49" s="1855"/>
      <c r="AP49" s="1855"/>
      <c r="AQ49" s="1855"/>
      <c r="AR49" s="1855"/>
      <c r="AS49" s="1855"/>
      <c r="AT49" s="1855"/>
      <c r="AU49" s="1855"/>
      <c r="AV49" s="1855"/>
      <c r="AW49" s="1855"/>
      <c r="AX49" s="1855"/>
      <c r="AY49" s="1855"/>
      <c r="AZ49" s="1855"/>
      <c r="BA49" s="1855"/>
      <c r="BB49" s="1855"/>
      <c r="BC49" s="1855"/>
      <c r="BD49" s="1855"/>
      <c r="BE49" s="1855"/>
      <c r="BF49" s="1855"/>
      <c r="BG49" s="1855"/>
      <c r="BH49" s="1855"/>
      <c r="BI49" s="1855"/>
      <c r="BJ49" s="1855"/>
      <c r="BK49" s="1855"/>
      <c r="BL49" s="1855"/>
      <c r="BM49" s="1855"/>
      <c r="BN49" s="1855"/>
      <c r="BO49" s="1855"/>
      <c r="BP49" s="1855"/>
      <c r="BQ49" s="1855"/>
      <c r="BR49" s="1855"/>
      <c r="BS49" s="1855"/>
      <c r="BT49" s="1855"/>
      <c r="BU49" s="1855"/>
      <c r="BV49" s="1855"/>
      <c r="BW49" s="1855"/>
      <c r="BX49" s="1855"/>
      <c r="BY49" s="1855"/>
      <c r="BZ49" s="1855"/>
      <c r="CA49" s="1855"/>
      <c r="CB49" s="1855"/>
      <c r="CC49" s="1855"/>
      <c r="CD49" s="1859"/>
      <c r="CF49" s="1855">
        <v>486</v>
      </c>
    </row>
    <row r="50" spans="1:84" ht="14.25">
      <c r="A50" s="1628" t="s">
        <v>1538</v>
      </c>
      <c r="B50" s="906" t="s">
        <v>2953</v>
      </c>
      <c r="C50" s="1472" t="s">
        <v>1945</v>
      </c>
      <c r="D50" s="968" t="s">
        <v>2954</v>
      </c>
      <c r="E50" s="1493" t="s">
        <v>1538</v>
      </c>
      <c r="F50" s="1629" t="s">
        <v>2953</v>
      </c>
      <c r="G50" s="405" t="b">
        <v>1</v>
      </c>
      <c r="H50" s="1638"/>
      <c r="I50" s="1639">
        <v>1700</v>
      </c>
      <c r="J50" s="1639">
        <v>865</v>
      </c>
      <c r="K50" s="1639">
        <v>44380</v>
      </c>
      <c r="L50" s="1640">
        <v>0.75235407853716996</v>
      </c>
      <c r="M50" s="2157">
        <v>139.00000000000006</v>
      </c>
      <c r="N50" s="1639"/>
      <c r="O50" s="1639">
        <v>2713.064615541562</v>
      </c>
      <c r="P50" s="1639">
        <v>2203.1219588268809</v>
      </c>
      <c r="Q50" s="1639">
        <v>70826.945669255598</v>
      </c>
      <c r="R50" s="1640">
        <v>0.75235407853716996</v>
      </c>
      <c r="S50" s="2157">
        <v>564.99999999999989</v>
      </c>
      <c r="T50" s="1639"/>
      <c r="U50" s="1639">
        <v>994.16603099237454</v>
      </c>
      <c r="V50" s="1639">
        <v>295.82583877506863</v>
      </c>
      <c r="W50" s="1639">
        <v>25953.5814443774</v>
      </c>
      <c r="X50" s="1640">
        <v>0.75235407853716996</v>
      </c>
      <c r="Y50" s="1641">
        <v>27.800000000000018</v>
      </c>
      <c r="Z50" s="1854">
        <f>IF($G50,MATCH('Fan Name List'!Y50,'Fan Name List'!$AC$16:$BM$16,1),0)</f>
        <v>18</v>
      </c>
      <c r="AA50" s="1859">
        <f>IF($G50,IF(S50&gt;567,37,MATCH('Fan Name List'!S50,'Fan Name List'!$AC$16:$BM$16,1)+1),0)</f>
        <v>35</v>
      </c>
      <c r="AB50" s="1854"/>
      <c r="AC50" s="1855"/>
      <c r="AD50" s="1855"/>
      <c r="AE50" s="1855"/>
      <c r="AF50" s="1855"/>
      <c r="AG50" s="1855"/>
      <c r="AH50" s="1855"/>
      <c r="AI50" s="1855"/>
      <c r="AJ50" s="1855"/>
      <c r="AK50" s="1855"/>
      <c r="AL50" s="1855"/>
      <c r="AM50" s="1855"/>
      <c r="AN50" s="1855"/>
      <c r="AO50" s="1855"/>
      <c r="AP50" s="1855"/>
      <c r="AQ50" s="1855"/>
      <c r="AR50" s="1855"/>
      <c r="AS50" s="1855"/>
      <c r="AT50" s="1855"/>
      <c r="AU50" s="1855"/>
      <c r="AV50" s="1855"/>
      <c r="AW50" s="1855"/>
      <c r="AX50" s="1855"/>
      <c r="AY50" s="1855"/>
      <c r="AZ50" s="1855"/>
      <c r="BA50" s="1855"/>
      <c r="BB50" s="1855"/>
      <c r="BC50" s="1855"/>
      <c r="BD50" s="1855"/>
      <c r="BE50" s="1855"/>
      <c r="BF50" s="1855"/>
      <c r="BG50" s="1855"/>
      <c r="BH50" s="1855"/>
      <c r="BI50" s="1855"/>
      <c r="BJ50" s="1855"/>
      <c r="BK50" s="1855"/>
      <c r="BL50" s="1855"/>
      <c r="BM50" s="1855"/>
      <c r="BN50" s="1855"/>
      <c r="BO50" s="1855"/>
      <c r="BP50" s="1855"/>
      <c r="BQ50" s="1855"/>
      <c r="BR50" s="1855"/>
      <c r="BS50" s="1855"/>
      <c r="BT50" s="1855"/>
      <c r="BU50" s="1855"/>
      <c r="BV50" s="1855"/>
      <c r="BW50" s="1855"/>
      <c r="BX50" s="1855"/>
      <c r="BY50" s="1855"/>
      <c r="BZ50" s="1855"/>
      <c r="CA50" s="1855"/>
      <c r="CB50" s="1855"/>
      <c r="CC50" s="1855"/>
      <c r="CD50" s="1859"/>
      <c r="CF50" s="1855">
        <v>540</v>
      </c>
    </row>
    <row r="51" spans="1:84" ht="14.25">
      <c r="A51" s="1628" t="s">
        <v>1539</v>
      </c>
      <c r="B51" s="906" t="s">
        <v>2955</v>
      </c>
      <c r="C51" s="1472" t="s">
        <v>1947</v>
      </c>
      <c r="D51" s="968" t="s">
        <v>2956</v>
      </c>
      <c r="E51" s="1493" t="s">
        <v>1539</v>
      </c>
      <c r="F51" s="1629" t="s">
        <v>2955</v>
      </c>
      <c r="G51" s="405" t="b">
        <v>1</v>
      </c>
      <c r="H51" s="1638"/>
      <c r="I51" s="1639">
        <v>1600</v>
      </c>
      <c r="J51" s="1639">
        <v>660</v>
      </c>
      <c r="K51" s="1639">
        <v>49355</v>
      </c>
      <c r="L51" s="1640">
        <v>0.82164650231481495</v>
      </c>
      <c r="M51" s="2157">
        <v>107.99999999999999</v>
      </c>
      <c r="N51" s="1639"/>
      <c r="O51" s="1639">
        <v>2777.5478328174904</v>
      </c>
      <c r="P51" s="1639">
        <v>1988.9646468628248</v>
      </c>
      <c r="Q51" s="1639">
        <v>85678.670805442031</v>
      </c>
      <c r="R51" s="1640">
        <v>0.82164650231481495</v>
      </c>
      <c r="S51" s="2157">
        <v>564.99999999999989</v>
      </c>
      <c r="T51" s="1639"/>
      <c r="U51" s="1639">
        <v>935.68567622811725</v>
      </c>
      <c r="V51" s="1639">
        <v>225.71682496132405</v>
      </c>
      <c r="W51" s="1639">
        <v>28862.979093899205</v>
      </c>
      <c r="X51" s="1640">
        <v>0.82164650231481495</v>
      </c>
      <c r="Y51" s="1641">
        <v>21.600000000000005</v>
      </c>
      <c r="Z51" s="1854">
        <f>IF($G51,MATCH('Fan Name List'!Y51,'Fan Name List'!$AC$16:$BM$16,1),0)</f>
        <v>17</v>
      </c>
      <c r="AA51" s="1859">
        <f>IF($G51,IF(S51&gt;567,37,MATCH('Fan Name List'!S51,'Fan Name List'!$AC$16:$BM$16,1)+1),0)</f>
        <v>35</v>
      </c>
      <c r="AB51" s="1854"/>
      <c r="AC51" s="1855"/>
      <c r="AD51" s="1855"/>
      <c r="AE51" s="1855"/>
      <c r="AF51" s="1855"/>
      <c r="AG51" s="1855"/>
      <c r="AH51" s="1855"/>
      <c r="AI51" s="1855"/>
      <c r="AJ51" s="1855"/>
      <c r="AK51" s="1855"/>
      <c r="AL51" s="1855"/>
      <c r="AM51" s="1855"/>
      <c r="AN51" s="1855"/>
      <c r="AO51" s="1855"/>
      <c r="AP51" s="1855"/>
      <c r="AQ51" s="1855"/>
      <c r="AR51" s="1855"/>
      <c r="AS51" s="1855"/>
      <c r="AT51" s="1855"/>
      <c r="AU51" s="1855"/>
      <c r="AV51" s="1855"/>
      <c r="AW51" s="1855"/>
      <c r="AX51" s="1855"/>
      <c r="AY51" s="1855"/>
      <c r="AZ51" s="1855"/>
      <c r="BA51" s="1855"/>
      <c r="BB51" s="1855"/>
      <c r="BC51" s="1855"/>
      <c r="BD51" s="1855"/>
      <c r="BE51" s="1855"/>
      <c r="BF51" s="1855"/>
      <c r="BG51" s="1855"/>
      <c r="BH51" s="1855"/>
      <c r="BI51" s="1855"/>
      <c r="BJ51" s="1855"/>
      <c r="BK51" s="1855"/>
      <c r="BL51" s="1855"/>
      <c r="BM51" s="1855"/>
      <c r="BN51" s="1855"/>
      <c r="BO51" s="1855"/>
      <c r="BP51" s="1855"/>
      <c r="BQ51" s="1855"/>
      <c r="BR51" s="1855"/>
      <c r="BS51" s="1855"/>
      <c r="BT51" s="1855"/>
      <c r="BU51" s="1855"/>
      <c r="BV51" s="1855"/>
      <c r="BW51" s="1855"/>
      <c r="BX51" s="1855"/>
      <c r="BY51" s="1855"/>
      <c r="BZ51" s="1855"/>
      <c r="CA51" s="1855"/>
      <c r="CB51" s="1855"/>
      <c r="CC51" s="1855"/>
      <c r="CD51" s="1859"/>
      <c r="CF51" s="1855">
        <v>604.80000000000007</v>
      </c>
    </row>
    <row r="52" spans="1:84" ht="14.25">
      <c r="A52" s="1628" t="s">
        <v>1540</v>
      </c>
      <c r="B52" s="906" t="s">
        <v>2957</v>
      </c>
      <c r="C52" s="1472" t="s">
        <v>1949</v>
      </c>
      <c r="D52" s="968" t="s">
        <v>2958</v>
      </c>
      <c r="E52" s="1493" t="s">
        <v>1540</v>
      </c>
      <c r="F52" s="1629" t="s">
        <v>2957</v>
      </c>
      <c r="G52" s="405" t="b">
        <v>1</v>
      </c>
      <c r="H52" s="1638"/>
      <c r="I52" s="1639">
        <v>1500</v>
      </c>
      <c r="J52" s="1639">
        <v>554.4</v>
      </c>
      <c r="K52" s="1639">
        <v>59699.246226397197</v>
      </c>
      <c r="L52" s="1640">
        <v>0.88394566855206602</v>
      </c>
      <c r="M52" s="2157">
        <v>101.99999999999997</v>
      </c>
      <c r="N52" s="1639"/>
      <c r="O52" s="1639">
        <v>2654.0393099737385</v>
      </c>
      <c r="P52" s="1639">
        <v>1735.6230359494803</v>
      </c>
      <c r="Q52" s="1639">
        <v>105629.43084043969</v>
      </c>
      <c r="R52" s="1640">
        <v>0.88394566855206602</v>
      </c>
      <c r="S52" s="2157">
        <v>564.99999999999989</v>
      </c>
      <c r="T52" s="1639"/>
      <c r="U52" s="1639">
        <v>877.20532146385995</v>
      </c>
      <c r="V52" s="1639">
        <v>189.60213296751218</v>
      </c>
      <c r="W52" s="1639">
        <v>34912.330984784589</v>
      </c>
      <c r="X52" s="1640">
        <v>0.88394566855206602</v>
      </c>
      <c r="Y52" s="1641">
        <v>20.399999999999999</v>
      </c>
      <c r="Z52" s="1854">
        <f>IF($G52,MATCH('Fan Name List'!Y52,'Fan Name List'!$AC$16:$BM$16,1),0)</f>
        <v>17</v>
      </c>
      <c r="AA52" s="1859">
        <f>IF($G52,IF(S52&gt;567,37,MATCH('Fan Name List'!S52,'Fan Name List'!$AC$16:$BM$16,1)+1),0)</f>
        <v>35</v>
      </c>
      <c r="AB52" s="1854"/>
      <c r="AC52" s="1855"/>
      <c r="AD52" s="1855"/>
      <c r="AE52" s="1855"/>
      <c r="AF52" s="1855"/>
      <c r="AG52" s="1855"/>
      <c r="AH52" s="1855"/>
      <c r="AI52" s="1855"/>
      <c r="AJ52" s="1855"/>
      <c r="AK52" s="1855"/>
      <c r="AL52" s="1855"/>
      <c r="AM52" s="1855"/>
      <c r="AN52" s="1855"/>
      <c r="AO52" s="1855"/>
      <c r="AP52" s="1855"/>
      <c r="AQ52" s="1855"/>
      <c r="AR52" s="1855"/>
      <c r="AS52" s="1855"/>
      <c r="AT52" s="1855"/>
      <c r="AU52" s="1855"/>
      <c r="AV52" s="1855"/>
      <c r="AW52" s="1855"/>
      <c r="AX52" s="1855"/>
      <c r="AY52" s="1855"/>
      <c r="AZ52" s="1855"/>
      <c r="BA52" s="1855"/>
      <c r="BB52" s="1855"/>
      <c r="BC52" s="1855"/>
      <c r="BD52" s="1855"/>
      <c r="BE52" s="1855"/>
      <c r="BF52" s="1855"/>
      <c r="BG52" s="1855"/>
      <c r="BH52" s="1855"/>
      <c r="BI52" s="1855"/>
      <c r="BJ52" s="1855"/>
      <c r="BK52" s="1855"/>
      <c r="BL52" s="1855"/>
      <c r="BM52" s="1855"/>
      <c r="BN52" s="1855"/>
      <c r="BO52" s="1855"/>
      <c r="BP52" s="1855"/>
      <c r="BQ52" s="1855"/>
      <c r="BR52" s="1855"/>
      <c r="BS52" s="1855"/>
      <c r="BT52" s="1855"/>
      <c r="BU52" s="1855"/>
      <c r="BV52" s="1855"/>
      <c r="BW52" s="1855"/>
      <c r="BX52" s="1855"/>
      <c r="BY52" s="1855"/>
      <c r="BZ52" s="1855"/>
      <c r="CA52" s="1855"/>
      <c r="CB52" s="1855"/>
      <c r="CC52" s="1855"/>
      <c r="CD52" s="1859"/>
      <c r="CF52" s="1855">
        <v>680.4</v>
      </c>
    </row>
    <row r="53" spans="1:84" ht="14.25">
      <c r="A53" s="1628" t="s">
        <v>1686</v>
      </c>
      <c r="B53" s="906" t="s">
        <v>2959</v>
      </c>
      <c r="C53" s="1472" t="s">
        <v>1951</v>
      </c>
      <c r="D53" s="968" t="s">
        <v>2960</v>
      </c>
      <c r="E53" s="1493" t="s">
        <v>1686</v>
      </c>
      <c r="F53" s="1629" t="s">
        <v>2959</v>
      </c>
      <c r="G53" s="405" t="b">
        <v>1</v>
      </c>
      <c r="H53" s="1638"/>
      <c r="I53" s="1639">
        <v>1300</v>
      </c>
      <c r="J53" s="1639">
        <v>425.7</v>
      </c>
      <c r="K53" s="1639">
        <v>59699.246226397197</v>
      </c>
      <c r="L53" s="1640">
        <v>0.87635300684207995</v>
      </c>
      <c r="M53" s="2157">
        <v>78.999999999999972</v>
      </c>
      <c r="N53" s="1639"/>
      <c r="O53" s="1639">
        <v>2504.6697529446251</v>
      </c>
      <c r="P53" s="1639">
        <v>1580.2212143249046</v>
      </c>
      <c r="Q53" s="1639">
        <v>115020.68945911585</v>
      </c>
      <c r="R53" s="1640">
        <v>0.87635300684207995</v>
      </c>
      <c r="S53" s="2157">
        <v>565</v>
      </c>
      <c r="T53" s="1639"/>
      <c r="U53" s="1639">
        <v>760.24461193534523</v>
      </c>
      <c r="V53" s="1639">
        <v>145.58735210005401</v>
      </c>
      <c r="W53" s="1639">
        <v>34912.330984784589</v>
      </c>
      <c r="X53" s="1640">
        <v>0.87635300684207995</v>
      </c>
      <c r="Y53" s="1641">
        <v>15.799999999999999</v>
      </c>
      <c r="Z53" s="1854">
        <f>IF($G53,MATCH('Fan Name List'!Y53,'Fan Name List'!$AC$16:$BM$16,1),0)</f>
        <v>15</v>
      </c>
      <c r="AA53" s="1859">
        <f>IF($G53,IF(S53&gt;567,37,MATCH('Fan Name List'!S53,'Fan Name List'!$AC$16:$BM$16,1)+1),0)</f>
        <v>35</v>
      </c>
      <c r="AB53" s="1854"/>
      <c r="AC53" s="1855"/>
      <c r="AD53" s="1855"/>
      <c r="AE53" s="1855"/>
      <c r="AF53" s="1855"/>
      <c r="AG53" s="1855"/>
      <c r="AH53" s="1855"/>
      <c r="AI53" s="1855"/>
      <c r="AJ53" s="1855"/>
      <c r="AK53" s="1855"/>
      <c r="AL53" s="1855"/>
      <c r="AM53" s="1855"/>
      <c r="AN53" s="1855"/>
      <c r="AO53" s="1855"/>
      <c r="AP53" s="1855"/>
      <c r="AQ53" s="1855"/>
      <c r="AR53" s="1855"/>
      <c r="AS53" s="1855"/>
      <c r="AT53" s="1855"/>
      <c r="AU53" s="1855"/>
      <c r="AV53" s="1855"/>
      <c r="AW53" s="1855"/>
      <c r="AX53" s="1855"/>
      <c r="AY53" s="1855"/>
      <c r="AZ53" s="1855"/>
      <c r="BA53" s="1855"/>
      <c r="BB53" s="1855"/>
      <c r="BC53" s="1855"/>
      <c r="BD53" s="1855"/>
      <c r="BE53" s="1855"/>
      <c r="BF53" s="1855"/>
      <c r="BG53" s="1855"/>
      <c r="BH53" s="1855"/>
      <c r="BI53" s="1855"/>
      <c r="BJ53" s="1855"/>
      <c r="BK53" s="1855"/>
      <c r="BL53" s="1855"/>
      <c r="BM53" s="1855"/>
      <c r="BN53" s="1855"/>
      <c r="BO53" s="1855"/>
      <c r="BP53" s="1855"/>
      <c r="BQ53" s="1855"/>
      <c r="BR53" s="1855"/>
      <c r="BS53" s="1855"/>
      <c r="BT53" s="1855"/>
      <c r="BU53" s="1855"/>
      <c r="BV53" s="1855"/>
      <c r="BW53" s="1855"/>
      <c r="BX53" s="1855"/>
      <c r="BY53" s="1855"/>
      <c r="BZ53" s="1855"/>
      <c r="CA53" s="1855"/>
      <c r="CB53" s="1855"/>
      <c r="CC53" s="1855"/>
      <c r="CD53" s="1859"/>
      <c r="CF53"/>
    </row>
    <row r="54" spans="1:84" ht="14.25">
      <c r="A54" s="1628" t="s">
        <v>1541</v>
      </c>
      <c r="B54" s="906" t="s">
        <v>2961</v>
      </c>
      <c r="C54" s="1472" t="s">
        <v>1953</v>
      </c>
      <c r="D54" s="968" t="s">
        <v>2962</v>
      </c>
      <c r="E54" s="1493" t="s">
        <v>1541</v>
      </c>
      <c r="F54" s="1629" t="s">
        <v>2961</v>
      </c>
      <c r="G54" s="405" t="b">
        <v>1</v>
      </c>
      <c r="H54" s="1638"/>
      <c r="I54" s="1639">
        <v>1300</v>
      </c>
      <c r="J54" s="1639">
        <v>357.7</v>
      </c>
      <c r="K54" s="1639">
        <v>56922.095885517003</v>
      </c>
      <c r="L54" s="1640">
        <v>0.88042617935948997</v>
      </c>
      <c r="M54" s="2157">
        <v>62.999999999999943</v>
      </c>
      <c r="N54" s="1639"/>
      <c r="O54" s="1639">
        <v>2700.9257898974092</v>
      </c>
      <c r="P54" s="1639">
        <v>1544.0364164674756</v>
      </c>
      <c r="Q54" s="1639">
        <v>118263.35137862006</v>
      </c>
      <c r="R54" s="1640">
        <v>0.88042617935948997</v>
      </c>
      <c r="S54" s="2157">
        <v>565.00000000000011</v>
      </c>
      <c r="T54" s="1639"/>
      <c r="U54" s="1639">
        <v>760.24461193534523</v>
      </c>
      <c r="V54" s="1639">
        <v>122.33167922525092</v>
      </c>
      <c r="W54" s="1639">
        <v>33288.243613101069</v>
      </c>
      <c r="X54" s="1640">
        <v>0.88042617935948997</v>
      </c>
      <c r="Y54" s="1641">
        <v>12.599999999999996</v>
      </c>
      <c r="Z54" s="1854">
        <f>IF($G54,MATCH('Fan Name List'!Y54,'Fan Name List'!$AC$16:$BM$16,1),0)</f>
        <v>15</v>
      </c>
      <c r="AA54" s="1859">
        <f>IF($G54,IF(S54&gt;567,37,MATCH('Fan Name List'!S54,'Fan Name List'!$AC$16:$BM$16,1)+1),0)</f>
        <v>35</v>
      </c>
      <c r="AB54" s="1854"/>
      <c r="AC54" s="1855"/>
      <c r="AD54" s="1855"/>
      <c r="AE54" s="1855"/>
      <c r="AF54" s="1855"/>
      <c r="AG54" s="1855"/>
      <c r="AH54" s="1855"/>
      <c r="AI54" s="1855"/>
      <c r="AJ54" s="1855"/>
      <c r="AK54" s="1855"/>
      <c r="AL54" s="1855"/>
      <c r="AM54" s="1855"/>
      <c r="AN54" s="1855"/>
      <c r="AO54" s="1855"/>
      <c r="AP54" s="1855"/>
      <c r="AQ54" s="1855"/>
      <c r="AR54" s="1855"/>
      <c r="AS54" s="1855"/>
      <c r="AT54" s="1855"/>
      <c r="AU54" s="1855"/>
      <c r="AV54" s="1855"/>
      <c r="AW54" s="1855"/>
      <c r="AX54" s="1855"/>
      <c r="AY54" s="1855"/>
      <c r="AZ54" s="1855"/>
      <c r="BA54" s="1855"/>
      <c r="BB54" s="1855"/>
      <c r="BC54" s="1855"/>
      <c r="BD54" s="1855"/>
      <c r="BE54" s="1855"/>
      <c r="BF54" s="1855"/>
      <c r="BG54" s="1855"/>
      <c r="BH54" s="1855"/>
      <c r="BI54" s="1855"/>
      <c r="BJ54" s="1855"/>
      <c r="BK54" s="1855"/>
      <c r="BL54" s="1855"/>
      <c r="BM54" s="1855"/>
      <c r="BN54" s="1855"/>
      <c r="BO54" s="1855"/>
      <c r="BP54" s="1855"/>
      <c r="BQ54" s="1855"/>
      <c r="BR54" s="1855"/>
      <c r="BS54" s="1855"/>
      <c r="BT54" s="1855"/>
      <c r="BU54" s="1855"/>
      <c r="BV54" s="1855"/>
      <c r="BW54" s="1855"/>
      <c r="BX54" s="1855"/>
      <c r="BY54" s="1855"/>
      <c r="BZ54" s="1855"/>
      <c r="CA54" s="1855"/>
      <c r="CB54" s="1855"/>
      <c r="CC54" s="1855"/>
      <c r="CD54" s="1859"/>
      <c r="CF54"/>
    </row>
    <row r="55" spans="1:84" ht="14.25">
      <c r="A55" s="1628" t="s">
        <v>1542</v>
      </c>
      <c r="B55" s="906" t="s">
        <v>2963</v>
      </c>
      <c r="C55" s="1472" t="s">
        <v>1955</v>
      </c>
      <c r="D55" s="968" t="s">
        <v>2964</v>
      </c>
      <c r="E55" s="1493" t="s">
        <v>1542</v>
      </c>
      <c r="F55" s="1629" t="s">
        <v>2963</v>
      </c>
      <c r="G55" s="405" t="b">
        <v>1</v>
      </c>
      <c r="H55" s="1638"/>
      <c r="I55" s="1639">
        <v>1600</v>
      </c>
      <c r="J55" s="1639">
        <v>910.8</v>
      </c>
      <c r="K55" s="1639">
        <v>33829.5728616251</v>
      </c>
      <c r="L55" s="1640">
        <v>0.81492189443350604</v>
      </c>
      <c r="M55" s="2157">
        <v>103.0000000000001</v>
      </c>
      <c r="N55" s="1639"/>
      <c r="O55" s="1639">
        <v>2821.7837211422493</v>
      </c>
      <c r="P55" s="1639">
        <v>2832.8951704676624</v>
      </c>
      <c r="Q55" s="1639">
        <v>59662.336246330822</v>
      </c>
      <c r="R55" s="1640">
        <v>0.81492189443350604</v>
      </c>
      <c r="S55" s="2157">
        <v>564.99999999999989</v>
      </c>
      <c r="T55" s="1639"/>
      <c r="U55" s="1639">
        <v>935.68567622811725</v>
      </c>
      <c r="V55" s="1639">
        <v>311.48921844662715</v>
      </c>
      <c r="W55" s="1639">
        <v>19783.654224711277</v>
      </c>
      <c r="X55" s="1640">
        <v>0.81492189443350604</v>
      </c>
      <c r="Y55" s="1641">
        <v>20.60000000000003</v>
      </c>
      <c r="Z55" s="1854">
        <f>IF($G55,MATCH('Fan Name List'!Y55,'Fan Name List'!$AC$16:$BM$16,1),0)</f>
        <v>17</v>
      </c>
      <c r="AA55" s="1859">
        <f>IF($G55,IF(S55&gt;567,37,MATCH('Fan Name List'!S55,'Fan Name List'!$AC$16:$BM$16,1)+1),0)</f>
        <v>35</v>
      </c>
      <c r="AB55" s="1854"/>
      <c r="AC55" s="1855"/>
      <c r="AD55" s="1855"/>
      <c r="AE55" s="1855"/>
      <c r="AF55" s="1855"/>
      <c r="AG55" s="1855"/>
      <c r="AH55" s="1855"/>
      <c r="AI55" s="1855"/>
      <c r="AJ55" s="1855"/>
      <c r="AK55" s="1855"/>
      <c r="AL55" s="1855"/>
      <c r="AM55" s="1855"/>
      <c r="AN55" s="1855"/>
      <c r="AO55" s="1855"/>
      <c r="AP55" s="1855"/>
      <c r="AQ55" s="1855"/>
      <c r="AR55" s="1855"/>
      <c r="AS55" s="1855"/>
      <c r="AT55" s="1855"/>
      <c r="AU55" s="1855"/>
      <c r="AV55" s="1855"/>
      <c r="AW55" s="1855"/>
      <c r="AX55" s="1855"/>
      <c r="AY55" s="1855"/>
      <c r="AZ55" s="1855"/>
      <c r="BA55" s="1855"/>
      <c r="BB55" s="1855"/>
      <c r="BC55" s="1855"/>
      <c r="BD55" s="1855"/>
      <c r="BE55" s="1855"/>
      <c r="BF55" s="1855"/>
      <c r="BG55" s="1855"/>
      <c r="BH55" s="1855"/>
      <c r="BI55" s="1855"/>
      <c r="BJ55" s="1855"/>
      <c r="BK55" s="1855"/>
      <c r="BL55" s="1855"/>
      <c r="BM55" s="1855"/>
      <c r="BN55" s="1855"/>
      <c r="BO55" s="1855"/>
      <c r="BP55" s="1855"/>
      <c r="BQ55" s="1855"/>
      <c r="BR55" s="1855"/>
      <c r="BS55" s="1855"/>
      <c r="BT55" s="1855"/>
      <c r="BU55" s="1855"/>
      <c r="BV55" s="1855"/>
      <c r="BW55" s="1855"/>
      <c r="BX55" s="1855"/>
      <c r="BY55" s="1855"/>
      <c r="BZ55" s="1855"/>
      <c r="CA55" s="1855"/>
      <c r="CB55" s="1855"/>
      <c r="CC55" s="1855"/>
      <c r="CD55" s="1859"/>
      <c r="CF55"/>
    </row>
    <row r="56" spans="1:84" ht="14.25">
      <c r="A56" s="1628" t="s">
        <v>1543</v>
      </c>
      <c r="B56" s="906" t="s">
        <v>2965</v>
      </c>
      <c r="C56" s="1472" t="s">
        <v>1957</v>
      </c>
      <c r="D56" s="968" t="s">
        <v>2966</v>
      </c>
      <c r="E56" s="1493" t="s">
        <v>1543</v>
      </c>
      <c r="F56" s="1629" t="s">
        <v>2965</v>
      </c>
      <c r="G56" s="405" t="b">
        <v>1</v>
      </c>
      <c r="H56" s="1638"/>
      <c r="I56" s="1639">
        <v>1500</v>
      </c>
      <c r="J56" s="1639">
        <v>776</v>
      </c>
      <c r="K56" s="1639">
        <v>54168.7179098786</v>
      </c>
      <c r="L56" s="1640">
        <v>0.83584045100715998</v>
      </c>
      <c r="M56" s="2157">
        <v>136.99999999999997</v>
      </c>
      <c r="N56" s="1639"/>
      <c r="O56" s="1639">
        <v>2405.4733657864867</v>
      </c>
      <c r="P56" s="1639">
        <v>1995.6313067032622</v>
      </c>
      <c r="Q56" s="1639">
        <v>86867.605460676292</v>
      </c>
      <c r="R56" s="1640">
        <v>0.83584045100715998</v>
      </c>
      <c r="S56" s="2157">
        <v>565.00000000000011</v>
      </c>
      <c r="T56" s="1639"/>
      <c r="U56" s="1639">
        <v>877.20532146385995</v>
      </c>
      <c r="V56" s="1639">
        <v>265.38826692422339</v>
      </c>
      <c r="W56" s="1639">
        <v>31678.058404946802</v>
      </c>
      <c r="X56" s="1640">
        <v>0.83584045100715998</v>
      </c>
      <c r="Y56" s="1641">
        <v>27.400000000000002</v>
      </c>
      <c r="Z56" s="1854">
        <f>IF($G56,MATCH('Fan Name List'!Y56,'Fan Name List'!$AC$16:$BM$16,1),0)</f>
        <v>18</v>
      </c>
      <c r="AA56" s="1859">
        <f>IF($G56,IF(S56&gt;567,37,MATCH('Fan Name List'!S56,'Fan Name List'!$AC$16:$BM$16,1)+1),0)</f>
        <v>35</v>
      </c>
      <c r="AB56" s="1854"/>
      <c r="AC56" s="1855"/>
      <c r="AD56" s="1855"/>
      <c r="AE56" s="1855"/>
      <c r="AF56" s="1855"/>
      <c r="AG56" s="1855"/>
      <c r="AH56" s="1855"/>
      <c r="AI56" s="1855"/>
      <c r="AJ56" s="1855"/>
      <c r="AK56" s="1855"/>
      <c r="AL56" s="1855"/>
      <c r="AM56" s="1855"/>
      <c r="AN56" s="1855"/>
      <c r="AO56" s="1855"/>
      <c r="AP56" s="1855"/>
      <c r="AQ56" s="1855"/>
      <c r="AR56" s="1855"/>
      <c r="AS56" s="1855"/>
      <c r="AT56" s="1855"/>
      <c r="AU56" s="1855"/>
      <c r="AV56" s="1855"/>
      <c r="AW56" s="1855"/>
      <c r="AX56" s="1855"/>
      <c r="AY56" s="1855"/>
      <c r="AZ56" s="1855"/>
      <c r="BA56" s="1855"/>
      <c r="BB56" s="1855"/>
      <c r="BC56" s="1855"/>
      <c r="BD56" s="1855"/>
      <c r="BE56" s="1855"/>
      <c r="BF56" s="1855"/>
      <c r="BG56" s="1855"/>
      <c r="BH56" s="1855"/>
      <c r="BI56" s="1855"/>
      <c r="BJ56" s="1855"/>
      <c r="BK56" s="1855"/>
      <c r="BL56" s="1855"/>
      <c r="BM56" s="1855"/>
      <c r="BN56" s="1855"/>
      <c r="BO56" s="1855"/>
      <c r="BP56" s="1855"/>
      <c r="BQ56" s="1855"/>
      <c r="BR56" s="1855"/>
      <c r="BS56" s="1855"/>
      <c r="BT56" s="1855"/>
      <c r="BU56" s="1855"/>
      <c r="BV56" s="1855"/>
      <c r="BW56" s="1855"/>
      <c r="BX56" s="1855"/>
      <c r="BY56" s="1855"/>
      <c r="BZ56" s="1855"/>
      <c r="CA56" s="1855"/>
      <c r="CB56" s="1855"/>
      <c r="CC56" s="1855"/>
      <c r="CD56" s="1859"/>
      <c r="CF56"/>
    </row>
    <row r="57" spans="1:84" ht="14.25">
      <c r="A57" s="1628" t="s">
        <v>1544</v>
      </c>
      <c r="B57" s="906" t="s">
        <v>2967</v>
      </c>
      <c r="C57" s="1472" t="s">
        <v>1959</v>
      </c>
      <c r="D57" s="968" t="s">
        <v>2314</v>
      </c>
      <c r="E57" s="1493" t="s">
        <v>1544</v>
      </c>
      <c r="F57" s="1629" t="s">
        <v>2967</v>
      </c>
      <c r="G57" s="405" t="b">
        <v>1</v>
      </c>
      <c r="H57" s="1638"/>
      <c r="I57" s="1639">
        <v>2239</v>
      </c>
      <c r="J57" s="1639">
        <v>1523.9733100777232</v>
      </c>
      <c r="K57" s="1639">
        <v>113943.71247996054</v>
      </c>
      <c r="L57" s="1640">
        <v>0.83465584478353427</v>
      </c>
      <c r="M57" s="2157">
        <v>566.75317545950952</v>
      </c>
      <c r="N57" s="1639"/>
      <c r="O57" s="1639">
        <v>2236.6889326076189</v>
      </c>
      <c r="P57" s="1639">
        <v>1520.8288819050299</v>
      </c>
      <c r="Q57" s="1639">
        <v>113826.10122561516</v>
      </c>
      <c r="R57" s="1640">
        <v>0.83465584478353427</v>
      </c>
      <c r="S57" s="2157">
        <v>564.99999999999989</v>
      </c>
      <c r="T57" s="1639"/>
      <c r="U57" s="1639">
        <v>1309.3751431717214</v>
      </c>
      <c r="V57" s="1639">
        <v>521.1915407220348</v>
      </c>
      <c r="W57" s="1639">
        <v>66634.687289846261</v>
      </c>
      <c r="X57" s="1640">
        <v>0.83465584478353427</v>
      </c>
      <c r="Y57" s="1641">
        <v>113.35063509190188</v>
      </c>
      <c r="Z57" s="1854">
        <f>IF($G57,MATCH('Fan Name List'!Y57,'Fan Name List'!$AC$16:$BM$16,1),0)</f>
        <v>24</v>
      </c>
      <c r="AA57" s="1859">
        <f>IF($G57,IF(S57&gt;567,37,MATCH('Fan Name List'!S57,'Fan Name List'!$AC$16:$BM$16,1)+1),0)</f>
        <v>35</v>
      </c>
      <c r="AB57" s="1854"/>
      <c r="AC57" s="1855"/>
      <c r="AD57" s="1855"/>
      <c r="AE57" s="1855"/>
      <c r="AF57" s="1855"/>
      <c r="AG57" s="1855"/>
      <c r="AH57" s="1855"/>
      <c r="AI57" s="1855"/>
      <c r="AJ57" s="1855"/>
      <c r="AK57" s="1855"/>
      <c r="AL57" s="1855"/>
      <c r="AM57" s="1855"/>
      <c r="AN57" s="1855"/>
      <c r="AO57" s="1855"/>
      <c r="AP57" s="1855"/>
      <c r="AQ57" s="1855"/>
      <c r="AR57" s="1855"/>
      <c r="AS57" s="1855"/>
      <c r="AT57" s="1855"/>
      <c r="AU57" s="1855"/>
      <c r="AV57" s="1855"/>
      <c r="AW57" s="1855"/>
      <c r="AX57" s="1855"/>
      <c r="AY57" s="1855"/>
      <c r="AZ57" s="1855"/>
      <c r="BA57" s="1855"/>
      <c r="BB57" s="1855"/>
      <c r="BC57" s="1855"/>
      <c r="BD57" s="1855"/>
      <c r="BE57" s="1855"/>
      <c r="BF57" s="1855"/>
      <c r="BG57" s="1855"/>
      <c r="BH57" s="1855"/>
      <c r="BI57" s="1855"/>
      <c r="BJ57" s="1855"/>
      <c r="BK57" s="1855"/>
      <c r="BL57" s="1855"/>
      <c r="BM57" s="1855"/>
      <c r="BN57" s="1855"/>
      <c r="BO57" s="1855"/>
      <c r="BP57" s="1855"/>
      <c r="BQ57" s="1855"/>
      <c r="BR57" s="1855"/>
      <c r="BS57" s="1855"/>
      <c r="BT57" s="1855"/>
      <c r="BU57" s="1855"/>
      <c r="BV57" s="1855"/>
      <c r="BW57" s="1855"/>
      <c r="BX57" s="1855"/>
      <c r="BY57" s="1855"/>
      <c r="BZ57" s="1855"/>
      <c r="CA57" s="1855"/>
      <c r="CB57" s="1855"/>
      <c r="CC57" s="1855"/>
      <c r="CD57" s="1859"/>
      <c r="CF57"/>
    </row>
    <row r="58" spans="1:84" ht="14.25">
      <c r="A58" s="1628" t="s">
        <v>1545</v>
      </c>
      <c r="B58" s="906" t="s">
        <v>2968</v>
      </c>
      <c r="C58" s="1472" t="s">
        <v>1961</v>
      </c>
      <c r="D58" s="968" t="s">
        <v>2316</v>
      </c>
      <c r="E58" s="1493" t="s">
        <v>1545</v>
      </c>
      <c r="F58" s="1629" t="s">
        <v>2968</v>
      </c>
      <c r="G58" s="405" t="b">
        <v>1</v>
      </c>
      <c r="H58" s="1638"/>
      <c r="I58" s="1639">
        <v>1100</v>
      </c>
      <c r="J58" s="1639">
        <v>366.3</v>
      </c>
      <c r="K58" s="1639">
        <v>72136.589190229904</v>
      </c>
      <c r="L58" s="1640">
        <v>0.83700440926382003</v>
      </c>
      <c r="M58" s="2157">
        <v>85.999999999999972</v>
      </c>
      <c r="N58" s="1639"/>
      <c r="O58" s="1639">
        <v>2060.1998474789634</v>
      </c>
      <c r="P58" s="1639">
        <v>1284.9027236790278</v>
      </c>
      <c r="Q58" s="1639">
        <v>135105.26367942209</v>
      </c>
      <c r="R58" s="1640">
        <v>0.83700440926382003</v>
      </c>
      <c r="S58" s="2157">
        <v>564.99999999999989</v>
      </c>
      <c r="T58" s="1639"/>
      <c r="U58" s="1639">
        <v>643.28390240683063</v>
      </c>
      <c r="V58" s="1639">
        <v>125.27283785353485</v>
      </c>
      <c r="W58" s="1639">
        <v>42185.733273281352</v>
      </c>
      <c r="X58" s="1640">
        <v>0.83700440926382003</v>
      </c>
      <c r="Y58" s="1641">
        <v>17.2</v>
      </c>
      <c r="Z58" s="1854">
        <f>IF($G58,MATCH('Fan Name List'!Y58,'Fan Name List'!$AC$16:$BM$16,1),0)</f>
        <v>16</v>
      </c>
      <c r="AA58" s="1859">
        <f>IF($G58,IF(S58&gt;567,37,MATCH('Fan Name List'!S58,'Fan Name List'!$AC$16:$BM$16,1)+1),0)</f>
        <v>35</v>
      </c>
      <c r="AB58" s="1854"/>
      <c r="AC58" s="1855"/>
      <c r="AD58" s="1855"/>
      <c r="AE58" s="1855"/>
      <c r="AF58" s="1855"/>
      <c r="AG58" s="1855"/>
      <c r="AH58" s="1855"/>
      <c r="AI58" s="1855"/>
      <c r="AJ58" s="1855"/>
      <c r="AK58" s="1855"/>
      <c r="AL58" s="1855"/>
      <c r="AM58" s="1855"/>
      <c r="AN58" s="1855"/>
      <c r="AO58" s="1855"/>
      <c r="AP58" s="1855"/>
      <c r="AQ58" s="1855"/>
      <c r="AR58" s="1855"/>
      <c r="AS58" s="1855"/>
      <c r="AT58" s="1855"/>
      <c r="AU58" s="1855"/>
      <c r="AV58" s="1855"/>
      <c r="AW58" s="1855"/>
      <c r="AX58" s="1855"/>
      <c r="AY58" s="1855"/>
      <c r="AZ58" s="1855"/>
      <c r="BA58" s="1855"/>
      <c r="BB58" s="1855"/>
      <c r="BC58" s="1855"/>
      <c r="BD58" s="1855"/>
      <c r="BE58" s="1855"/>
      <c r="BF58" s="1855"/>
      <c r="BG58" s="1855"/>
      <c r="BH58" s="1855"/>
      <c r="BI58" s="1855"/>
      <c r="BJ58" s="1855"/>
      <c r="BK58" s="1855"/>
      <c r="BL58" s="1855"/>
      <c r="BM58" s="1855"/>
      <c r="BN58" s="1855"/>
      <c r="BO58" s="1855"/>
      <c r="BP58" s="1855"/>
      <c r="BQ58" s="1855"/>
      <c r="BR58" s="1855"/>
      <c r="BS58" s="1855"/>
      <c r="BT58" s="1855"/>
      <c r="BU58" s="1855"/>
      <c r="BV58" s="1855"/>
      <c r="BW58" s="1855"/>
      <c r="BX58" s="1855"/>
      <c r="BY58" s="1855"/>
      <c r="BZ58" s="1855"/>
      <c r="CA58" s="1855"/>
      <c r="CB58" s="1855"/>
      <c r="CC58" s="1855"/>
      <c r="CD58" s="1859"/>
      <c r="CF58"/>
    </row>
    <row r="59" spans="1:84" ht="14.25">
      <c r="A59" s="1628" t="s">
        <v>1546</v>
      </c>
      <c r="B59" s="906" t="s">
        <v>2969</v>
      </c>
      <c r="C59" s="1472" t="s">
        <v>1963</v>
      </c>
      <c r="D59" s="968" t="s">
        <v>2970</v>
      </c>
      <c r="E59" s="1493" t="s">
        <v>1546</v>
      </c>
      <c r="F59" s="1629" t="s">
        <v>2969</v>
      </c>
      <c r="G59" s="405" t="b">
        <v>1</v>
      </c>
      <c r="H59" s="1638"/>
      <c r="I59" s="1639">
        <v>1100</v>
      </c>
      <c r="J59" s="1639">
        <v>305.55</v>
      </c>
      <c r="K59" s="1639">
        <v>83715.291315266906</v>
      </c>
      <c r="L59" s="1640">
        <v>0.84978077781961903</v>
      </c>
      <c r="M59" s="2157">
        <v>82.000000000000071</v>
      </c>
      <c r="N59" s="1639"/>
      <c r="O59" s="1639">
        <v>2093.1686278749953</v>
      </c>
      <c r="P59" s="1639">
        <v>1106.3826373034908</v>
      </c>
      <c r="Q59" s="1639">
        <v>159300.20132230251</v>
      </c>
      <c r="R59" s="1640">
        <v>0.84978077781961903</v>
      </c>
      <c r="S59" s="2157">
        <v>565</v>
      </c>
      <c r="T59" s="1639"/>
      <c r="U59" s="1639">
        <v>643.28390240683063</v>
      </c>
      <c r="V59" s="1639">
        <v>104.49663010141298</v>
      </c>
      <c r="W59" s="1639">
        <v>48956.999353099593</v>
      </c>
      <c r="X59" s="1640">
        <v>0.84978077781961903</v>
      </c>
      <c r="Y59" s="1641">
        <v>16.400000000000023</v>
      </c>
      <c r="Z59" s="1854">
        <f>IF($G59,MATCH('Fan Name List'!Y59,'Fan Name List'!$AC$16:$BM$16,1),0)</f>
        <v>16</v>
      </c>
      <c r="AA59" s="1859">
        <f>IF($G59,IF(S59&gt;567,37,MATCH('Fan Name List'!S59,'Fan Name List'!$AC$16:$BM$16,1)+1),0)</f>
        <v>35</v>
      </c>
      <c r="AB59" s="1854"/>
      <c r="AC59" s="1855"/>
      <c r="AD59" s="1855"/>
      <c r="AE59" s="1855"/>
      <c r="AF59" s="1855"/>
      <c r="AG59" s="1855"/>
      <c r="AH59" s="1855"/>
      <c r="AI59" s="1855"/>
      <c r="AJ59" s="1855"/>
      <c r="AK59" s="1855"/>
      <c r="AL59" s="1855"/>
      <c r="AM59" s="1855"/>
      <c r="AN59" s="1855"/>
      <c r="AO59" s="1855"/>
      <c r="AP59" s="1855"/>
      <c r="AQ59" s="1855"/>
      <c r="AR59" s="1855"/>
      <c r="AS59" s="1855"/>
      <c r="AT59" s="1855"/>
      <c r="AU59" s="1855"/>
      <c r="AV59" s="1855"/>
      <c r="AW59" s="1855"/>
      <c r="AX59" s="1855"/>
      <c r="AY59" s="1855"/>
      <c r="AZ59" s="1855"/>
      <c r="BA59" s="1855"/>
      <c r="BB59" s="1855"/>
      <c r="BC59" s="1855"/>
      <c r="BD59" s="1855"/>
      <c r="BE59" s="1855"/>
      <c r="BF59" s="1855"/>
      <c r="BG59" s="1855"/>
      <c r="BH59" s="1855"/>
      <c r="BI59" s="1855"/>
      <c r="BJ59" s="1855"/>
      <c r="BK59" s="1855"/>
      <c r="BL59" s="1855"/>
      <c r="BM59" s="1855"/>
      <c r="BN59" s="1855"/>
      <c r="BO59" s="1855"/>
      <c r="BP59" s="1855"/>
      <c r="BQ59" s="1855"/>
      <c r="BR59" s="1855"/>
      <c r="BS59" s="1855"/>
      <c r="BT59" s="1855"/>
      <c r="BU59" s="1855"/>
      <c r="BV59" s="1855"/>
      <c r="BW59" s="1855"/>
      <c r="BX59" s="1855"/>
      <c r="BY59" s="1855"/>
      <c r="BZ59" s="1855"/>
      <c r="CA59" s="1855"/>
      <c r="CB59" s="1855"/>
      <c r="CC59" s="1855"/>
      <c r="CD59" s="1859"/>
      <c r="CF59"/>
    </row>
    <row r="60" spans="1:84" ht="14.25">
      <c r="A60" s="1628" t="s">
        <v>1547</v>
      </c>
      <c r="B60" s="906" t="s">
        <v>2971</v>
      </c>
      <c r="C60" s="1472" t="s">
        <v>1965</v>
      </c>
      <c r="D60" s="968" t="s">
        <v>2972</v>
      </c>
      <c r="E60" s="1493" t="s">
        <v>1547</v>
      </c>
      <c r="F60" s="1629" t="s">
        <v>2971</v>
      </c>
      <c r="G60" s="405" t="b">
        <v>1</v>
      </c>
      <c r="H60" s="1638"/>
      <c r="I60" s="1639">
        <v>1600</v>
      </c>
      <c r="J60" s="1639">
        <v>1110</v>
      </c>
      <c r="K60" s="1639">
        <v>46000</v>
      </c>
      <c r="L60" s="1640">
        <v>0.72445807291666697</v>
      </c>
      <c r="M60" s="2157">
        <v>191.99999999999994</v>
      </c>
      <c r="N60" s="1639"/>
      <c r="O60" s="1639">
        <v>2292.8152185720728</v>
      </c>
      <c r="P60" s="1639">
        <v>2279.4030489970423</v>
      </c>
      <c r="Q60" s="1639">
        <v>65918.437533947086</v>
      </c>
      <c r="R60" s="1640">
        <v>0.72445807291666697</v>
      </c>
      <c r="S60" s="2157">
        <v>565</v>
      </c>
      <c r="T60" s="1639"/>
      <c r="U60" s="1639">
        <v>935.68567622811725</v>
      </c>
      <c r="V60" s="1639">
        <v>379.61466016222681</v>
      </c>
      <c r="W60" s="1639">
        <v>26900.96319155837</v>
      </c>
      <c r="X60" s="1640">
        <v>0.72445807291666697</v>
      </c>
      <c r="Y60" s="1641">
        <v>38.4</v>
      </c>
      <c r="Z60" s="1854">
        <f>IF($G60,MATCH('Fan Name List'!Y60,'Fan Name List'!$AC$16:$BM$16,1),0)</f>
        <v>19</v>
      </c>
      <c r="AA60" s="1859">
        <f>IF($G60,IF(S60&gt;567,37,MATCH('Fan Name List'!S60,'Fan Name List'!$AC$16:$BM$16,1)+1),0)</f>
        <v>35</v>
      </c>
      <c r="AB60" s="1854"/>
      <c r="AC60" s="1855"/>
      <c r="AD60" s="1855"/>
      <c r="AE60" s="1855"/>
      <c r="AF60" s="1855"/>
      <c r="AG60" s="1855"/>
      <c r="AH60" s="1855"/>
      <c r="AI60" s="1855"/>
      <c r="AJ60" s="1855"/>
      <c r="AK60" s="1855"/>
      <c r="AL60" s="1855"/>
      <c r="AM60" s="1855"/>
      <c r="AN60" s="1855"/>
      <c r="AO60" s="1855"/>
      <c r="AP60" s="1855"/>
      <c r="AQ60" s="1855"/>
      <c r="AR60" s="1855"/>
      <c r="AS60" s="1855"/>
      <c r="AT60" s="1855"/>
      <c r="AU60" s="1855"/>
      <c r="AV60" s="1855"/>
      <c r="AW60" s="1855"/>
      <c r="AX60" s="1855"/>
      <c r="AY60" s="1855"/>
      <c r="AZ60" s="1855"/>
      <c r="BA60" s="1855"/>
      <c r="BB60" s="1855"/>
      <c r="BC60" s="1855"/>
      <c r="BD60" s="1855"/>
      <c r="BE60" s="1855"/>
      <c r="BF60" s="1855"/>
      <c r="BG60" s="1855"/>
      <c r="BH60" s="1855"/>
      <c r="BI60" s="1855"/>
      <c r="BJ60" s="1855"/>
      <c r="BK60" s="1855"/>
      <c r="BL60" s="1855"/>
      <c r="BM60" s="1855"/>
      <c r="BN60" s="1855"/>
      <c r="BO60" s="1855"/>
      <c r="BP60" s="1855"/>
      <c r="BQ60" s="1855"/>
      <c r="BR60" s="1855"/>
      <c r="BS60" s="1855"/>
      <c r="BT60" s="1855"/>
      <c r="BU60" s="1855"/>
      <c r="BV60" s="1855"/>
      <c r="BW60" s="1855"/>
      <c r="BX60" s="1855"/>
      <c r="BY60" s="1855"/>
      <c r="BZ60" s="1855"/>
      <c r="CA60" s="1855"/>
      <c r="CB60" s="1855"/>
      <c r="CC60" s="1855"/>
      <c r="CD60" s="1859"/>
      <c r="CF60"/>
    </row>
    <row r="61" spans="1:84" ht="14.25">
      <c r="A61" s="1628" t="s">
        <v>1548</v>
      </c>
      <c r="B61" s="906" t="s">
        <v>2973</v>
      </c>
      <c r="C61" s="1472" t="s">
        <v>1967</v>
      </c>
      <c r="D61" s="968" t="s">
        <v>2974</v>
      </c>
      <c r="E61" s="1493" t="s">
        <v>1548</v>
      </c>
      <c r="F61" s="1629" t="s">
        <v>2973</v>
      </c>
      <c r="G61" s="405" t="b">
        <v>1</v>
      </c>
      <c r="H61" s="1638"/>
      <c r="I61" s="1639">
        <v>1400</v>
      </c>
      <c r="J61" s="1639">
        <v>900</v>
      </c>
      <c r="K61" s="1639">
        <v>60000</v>
      </c>
      <c r="L61" s="1640">
        <v>0.81273480662983399</v>
      </c>
      <c r="M61" s="2157">
        <v>181.00000000000006</v>
      </c>
      <c r="N61" s="1639"/>
      <c r="O61" s="1639">
        <v>2046.0582485094935</v>
      </c>
      <c r="P61" s="1639">
        <v>1922.305571767532</v>
      </c>
      <c r="Q61" s="1639">
        <v>87688.210650406865</v>
      </c>
      <c r="R61" s="1640">
        <v>0.81273480662983399</v>
      </c>
      <c r="S61" s="2157">
        <v>565</v>
      </c>
      <c r="T61" s="1639"/>
      <c r="U61" s="1639">
        <v>818.72496669960253</v>
      </c>
      <c r="V61" s="1639">
        <v>307.79567040180552</v>
      </c>
      <c r="W61" s="1639">
        <v>35088.212858554398</v>
      </c>
      <c r="X61" s="1640">
        <v>0.81273480662983399</v>
      </c>
      <c r="Y61" s="1641">
        <v>36.200000000000024</v>
      </c>
      <c r="Z61" s="1854">
        <f>IF($G61,MATCH('Fan Name List'!Y61,'Fan Name List'!$AC$16:$BM$16,1),0)</f>
        <v>19</v>
      </c>
      <c r="AA61" s="1859">
        <f>IF($G61,IF(S61&gt;567,37,MATCH('Fan Name List'!S61,'Fan Name List'!$AC$16:$BM$16,1)+1),0)</f>
        <v>35</v>
      </c>
      <c r="AB61" s="1854"/>
      <c r="AC61" s="1855"/>
      <c r="AD61" s="1855"/>
      <c r="AE61" s="1855"/>
      <c r="AF61" s="1855"/>
      <c r="AG61" s="1855"/>
      <c r="AH61" s="1855"/>
      <c r="AI61" s="1855"/>
      <c r="AJ61" s="1855"/>
      <c r="AK61" s="1855"/>
      <c r="AL61" s="1855"/>
      <c r="AM61" s="1855"/>
      <c r="AN61" s="1855"/>
      <c r="AO61" s="1855"/>
      <c r="AP61" s="1855"/>
      <c r="AQ61" s="1855"/>
      <c r="AR61" s="1855"/>
      <c r="AS61" s="1855"/>
      <c r="AT61" s="1855"/>
      <c r="AU61" s="1855"/>
      <c r="AV61" s="1855"/>
      <c r="AW61" s="1855"/>
      <c r="AX61" s="1855"/>
      <c r="AY61" s="1855"/>
      <c r="AZ61" s="1855"/>
      <c r="BA61" s="1855"/>
      <c r="BB61" s="1855"/>
      <c r="BC61" s="1855"/>
      <c r="BD61" s="1855"/>
      <c r="BE61" s="1855"/>
      <c r="BF61" s="1855"/>
      <c r="BG61" s="1855"/>
      <c r="BH61" s="1855"/>
      <c r="BI61" s="1855"/>
      <c r="BJ61" s="1855"/>
      <c r="BK61" s="1855"/>
      <c r="BL61" s="1855"/>
      <c r="BM61" s="1855"/>
      <c r="BN61" s="1855"/>
      <c r="BO61" s="1855"/>
      <c r="BP61" s="1855"/>
      <c r="BQ61" s="1855"/>
      <c r="BR61" s="1855"/>
      <c r="BS61" s="1855"/>
      <c r="BT61" s="1855"/>
      <c r="BU61" s="1855"/>
      <c r="BV61" s="1855"/>
      <c r="BW61" s="1855"/>
      <c r="BX61" s="1855"/>
      <c r="BY61" s="1855"/>
      <c r="BZ61" s="1855"/>
      <c r="CA61" s="1855"/>
      <c r="CB61" s="1855"/>
      <c r="CC61" s="1855"/>
      <c r="CD61" s="1859"/>
      <c r="CF61"/>
    </row>
    <row r="62" spans="1:84" ht="14.25">
      <c r="A62" s="1628" t="s">
        <v>1549</v>
      </c>
      <c r="B62" s="906" t="s">
        <v>2975</v>
      </c>
      <c r="C62" s="1472" t="s">
        <v>1969</v>
      </c>
      <c r="D62" s="968" t="s">
        <v>2976</v>
      </c>
      <c r="E62" s="1493" t="s">
        <v>1549</v>
      </c>
      <c r="F62" s="1629" t="s">
        <v>2975</v>
      </c>
      <c r="G62" s="405" t="b">
        <v>1</v>
      </c>
      <c r="H62" s="1638"/>
      <c r="I62" s="1639">
        <v>1200</v>
      </c>
      <c r="J62" s="1639">
        <v>602.70000000000005</v>
      </c>
      <c r="K62" s="1639">
        <v>84145.706961199205</v>
      </c>
      <c r="L62" s="1640">
        <v>0.76752817077336899</v>
      </c>
      <c r="M62" s="2157">
        <v>180.00000000000006</v>
      </c>
      <c r="N62" s="1639"/>
      <c r="O62" s="1639">
        <v>1757.0059287272647</v>
      </c>
      <c r="P62" s="1639">
        <v>1292.0673532641169</v>
      </c>
      <c r="Q62" s="1639">
        <v>123203.7550064784</v>
      </c>
      <c r="R62" s="1640">
        <v>0.76752817077336899</v>
      </c>
      <c r="S62" s="2157">
        <v>564.99999999999989</v>
      </c>
      <c r="T62" s="1639"/>
      <c r="U62" s="1639">
        <v>701.76425717108793</v>
      </c>
      <c r="V62" s="1639">
        <v>206.1205006124091</v>
      </c>
      <c r="W62" s="1639">
        <v>49208.707949801668</v>
      </c>
      <c r="X62" s="1640">
        <v>0.76752817077336899</v>
      </c>
      <c r="Y62" s="1641">
        <v>36.000000000000021</v>
      </c>
      <c r="Z62" s="1854">
        <f>IF($G62,MATCH('Fan Name List'!Y62,'Fan Name List'!$AC$16:$BM$16,1),0)</f>
        <v>19</v>
      </c>
      <c r="AA62" s="1859">
        <f>IF($G62,IF(S62&gt;567,37,MATCH('Fan Name List'!S62,'Fan Name List'!$AC$16:$BM$16,1)+1),0)</f>
        <v>35</v>
      </c>
      <c r="AB62" s="1854"/>
      <c r="AC62" s="1855"/>
      <c r="AD62" s="1855"/>
      <c r="AE62" s="1855"/>
      <c r="AF62" s="1855"/>
      <c r="AG62" s="1855"/>
      <c r="AH62" s="1855"/>
      <c r="AI62" s="1855"/>
      <c r="AJ62" s="1855"/>
      <c r="AK62" s="1855"/>
      <c r="AL62" s="1855"/>
      <c r="AM62" s="1855"/>
      <c r="AN62" s="1855"/>
      <c r="AO62" s="1855"/>
      <c r="AP62" s="1855"/>
      <c r="AQ62" s="1855"/>
      <c r="AR62" s="1855"/>
      <c r="AS62" s="1855"/>
      <c r="AT62" s="1855"/>
      <c r="AU62" s="1855"/>
      <c r="AV62" s="1855"/>
      <c r="AW62" s="1855"/>
      <c r="AX62" s="1855"/>
      <c r="AY62" s="1855"/>
      <c r="AZ62" s="1855"/>
      <c r="BA62" s="1855"/>
      <c r="BB62" s="1855"/>
      <c r="BC62" s="1855"/>
      <c r="BD62" s="1855"/>
      <c r="BE62" s="1855"/>
      <c r="BF62" s="1855"/>
      <c r="BG62" s="1855"/>
      <c r="BH62" s="1855"/>
      <c r="BI62" s="1855"/>
      <c r="BJ62" s="1855"/>
      <c r="BK62" s="1855"/>
      <c r="BL62" s="1855"/>
      <c r="BM62" s="1855"/>
      <c r="BN62" s="1855"/>
      <c r="BO62" s="1855"/>
      <c r="BP62" s="1855"/>
      <c r="BQ62" s="1855"/>
      <c r="BR62" s="1855"/>
      <c r="BS62" s="1855"/>
      <c r="BT62" s="1855"/>
      <c r="BU62" s="1855"/>
      <c r="BV62" s="1855"/>
      <c r="BW62" s="1855"/>
      <c r="BX62" s="1855"/>
      <c r="BY62" s="1855"/>
      <c r="BZ62" s="1855"/>
      <c r="CA62" s="1855"/>
      <c r="CB62" s="1855"/>
      <c r="CC62" s="1855"/>
      <c r="CD62" s="1859"/>
      <c r="CF62"/>
    </row>
    <row r="63" spans="1:84" ht="14.25">
      <c r="A63" s="1628" t="s">
        <v>1550</v>
      </c>
      <c r="B63" s="906" t="s">
        <v>2977</v>
      </c>
      <c r="C63" s="1472" t="s">
        <v>1971</v>
      </c>
      <c r="D63" s="968" t="s">
        <v>2978</v>
      </c>
      <c r="E63" s="1493" t="s">
        <v>1550</v>
      </c>
      <c r="F63" s="1629" t="s">
        <v>2977</v>
      </c>
      <c r="G63" s="405" t="b">
        <v>1</v>
      </c>
      <c r="H63" s="1638"/>
      <c r="I63" s="1639">
        <v>1100</v>
      </c>
      <c r="J63" s="1639">
        <v>494.7</v>
      </c>
      <c r="K63" s="1639">
        <v>93564.149117063003</v>
      </c>
      <c r="L63" s="1640">
        <v>0.86363891183494301</v>
      </c>
      <c r="M63" s="2157">
        <v>145.99999999999997</v>
      </c>
      <c r="N63" s="1639"/>
      <c r="O63" s="1639">
        <v>1726.9955393705354</v>
      </c>
      <c r="P63" s="1639">
        <v>1219.3797309586221</v>
      </c>
      <c r="Q63" s="1639">
        <v>146895.33470015219</v>
      </c>
      <c r="R63" s="1640">
        <v>0.86363891183494301</v>
      </c>
      <c r="S63" s="2157">
        <v>564.99999999999989</v>
      </c>
      <c r="T63" s="1639"/>
      <c r="U63" s="1639">
        <v>643.28390240683063</v>
      </c>
      <c r="V63" s="1639">
        <v>169.18502016419242</v>
      </c>
      <c r="W63" s="1639">
        <v>54716.646335817182</v>
      </c>
      <c r="X63" s="1640">
        <v>0.86363891183494301</v>
      </c>
      <c r="Y63" s="1641">
        <v>29.199999999999996</v>
      </c>
      <c r="Z63" s="1854">
        <f>IF($G63,MATCH('Fan Name List'!Y63,'Fan Name List'!$AC$16:$BM$16,1),0)</f>
        <v>18</v>
      </c>
      <c r="AA63" s="1859">
        <f>IF($G63,IF(S63&gt;567,37,MATCH('Fan Name List'!S63,'Fan Name List'!$AC$16:$BM$16,1)+1),0)</f>
        <v>35</v>
      </c>
      <c r="AB63" s="1854"/>
      <c r="AC63" s="1855"/>
      <c r="AD63" s="1855"/>
      <c r="AE63" s="1855"/>
      <c r="AF63" s="1855"/>
      <c r="AG63" s="1855"/>
      <c r="AH63" s="1855"/>
      <c r="AI63" s="1855"/>
      <c r="AJ63" s="1855"/>
      <c r="AK63" s="1855"/>
      <c r="AL63" s="1855"/>
      <c r="AM63" s="1855"/>
      <c r="AN63" s="1855"/>
      <c r="AO63" s="1855"/>
      <c r="AP63" s="1855"/>
      <c r="AQ63" s="1855"/>
      <c r="AR63" s="1855"/>
      <c r="AS63" s="1855"/>
      <c r="AT63" s="1855"/>
      <c r="AU63" s="1855"/>
      <c r="AV63" s="1855"/>
      <c r="AW63" s="1855"/>
      <c r="AX63" s="1855"/>
      <c r="AY63" s="1855"/>
      <c r="AZ63" s="1855"/>
      <c r="BA63" s="1855"/>
      <c r="BB63" s="1855"/>
      <c r="BC63" s="1855"/>
      <c r="BD63" s="1855"/>
      <c r="BE63" s="1855"/>
      <c r="BF63" s="1855"/>
      <c r="BG63" s="1855"/>
      <c r="BH63" s="1855"/>
      <c r="BI63" s="1855"/>
      <c r="BJ63" s="1855"/>
      <c r="BK63" s="1855"/>
      <c r="BL63" s="1855"/>
      <c r="BM63" s="1855"/>
      <c r="BN63" s="1855"/>
      <c r="BO63" s="1855"/>
      <c r="BP63" s="1855"/>
      <c r="BQ63" s="1855"/>
      <c r="BR63" s="1855"/>
      <c r="BS63" s="1855"/>
      <c r="BT63" s="1855"/>
      <c r="BU63" s="1855"/>
      <c r="BV63" s="1855"/>
      <c r="BW63" s="1855"/>
      <c r="BX63" s="1855"/>
      <c r="BY63" s="1855"/>
      <c r="BZ63" s="1855"/>
      <c r="CA63" s="1855"/>
      <c r="CB63" s="1855"/>
      <c r="CC63" s="1855"/>
      <c r="CD63" s="1859"/>
      <c r="CF63"/>
    </row>
    <row r="64" spans="1:84" ht="14.25">
      <c r="A64" s="1628" t="s">
        <v>1551</v>
      </c>
      <c r="B64" s="906" t="s">
        <v>2979</v>
      </c>
      <c r="C64" s="1472" t="s">
        <v>1973</v>
      </c>
      <c r="D64" s="968" t="s">
        <v>2980</v>
      </c>
      <c r="E64" s="1493" t="s">
        <v>1551</v>
      </c>
      <c r="F64" s="1629" t="s">
        <v>2979</v>
      </c>
      <c r="G64" s="405" t="b">
        <v>1</v>
      </c>
      <c r="H64" s="1638"/>
      <c r="I64" s="1639">
        <v>1200</v>
      </c>
      <c r="J64" s="1639">
        <v>523.79999999999995</v>
      </c>
      <c r="K64" s="1639">
        <v>128035.151423349</v>
      </c>
      <c r="L64" s="1640">
        <v>0.82667749419130498</v>
      </c>
      <c r="M64" s="2157">
        <v>220.99999999999955</v>
      </c>
      <c r="N64" s="1639"/>
      <c r="O64" s="1639">
        <v>1640.8415218895545</v>
      </c>
      <c r="P64" s="1639">
        <v>979.34627735929666</v>
      </c>
      <c r="Q64" s="1639">
        <v>175071.16059737295</v>
      </c>
      <c r="R64" s="1640">
        <v>0.82667749419130498</v>
      </c>
      <c r="S64" s="2157">
        <v>564.99999999999989</v>
      </c>
      <c r="T64" s="1639"/>
      <c r="U64" s="1639">
        <v>701.76425717108793</v>
      </c>
      <c r="V64" s="1639">
        <v>179.13708017385079</v>
      </c>
      <c r="W64" s="1639">
        <v>74875.410775328564</v>
      </c>
      <c r="X64" s="1640">
        <v>0.82667749419130498</v>
      </c>
      <c r="Y64" s="1641">
        <v>44.199999999999918</v>
      </c>
      <c r="Z64" s="1854">
        <f>IF($G64,MATCH('Fan Name List'!Y64,'Fan Name List'!$AC$16:$BM$16,1),0)</f>
        <v>20</v>
      </c>
      <c r="AA64" s="1859">
        <f>IF($G64,IF(S64&gt;567,37,MATCH('Fan Name List'!S64,'Fan Name List'!$AC$16:$BM$16,1)+1),0)</f>
        <v>35</v>
      </c>
      <c r="AB64" s="1854"/>
      <c r="AC64" s="1855"/>
      <c r="AD64" s="1855"/>
      <c r="AE64" s="1855"/>
      <c r="AF64" s="1855"/>
      <c r="AG64" s="1855"/>
      <c r="AH64" s="1855"/>
      <c r="AI64" s="1855"/>
      <c r="AJ64" s="1855"/>
      <c r="AK64" s="1855"/>
      <c r="AL64" s="1855"/>
      <c r="AM64" s="1855"/>
      <c r="AN64" s="1855"/>
      <c r="AO64" s="1855"/>
      <c r="AP64" s="1855"/>
      <c r="AQ64" s="1855"/>
      <c r="AR64" s="1855"/>
      <c r="AS64" s="1855"/>
      <c r="AT64" s="1855"/>
      <c r="AU64" s="1855"/>
      <c r="AV64" s="1855"/>
      <c r="AW64" s="1855"/>
      <c r="AX64" s="1855"/>
      <c r="AY64" s="1855"/>
      <c r="AZ64" s="1855"/>
      <c r="BA64" s="1855"/>
      <c r="BB64" s="1855"/>
      <c r="BC64" s="1855"/>
      <c r="BD64" s="1855"/>
      <c r="BE64" s="1855"/>
      <c r="BF64" s="1855"/>
      <c r="BG64" s="1855"/>
      <c r="BH64" s="1855"/>
      <c r="BI64" s="1855"/>
      <c r="BJ64" s="1855"/>
      <c r="BK64" s="1855"/>
      <c r="BL64" s="1855"/>
      <c r="BM64" s="1855"/>
      <c r="BN64" s="1855"/>
      <c r="BO64" s="1855"/>
      <c r="BP64" s="1855"/>
      <c r="BQ64" s="1855"/>
      <c r="BR64" s="1855"/>
      <c r="BS64" s="1855"/>
      <c r="BT64" s="1855"/>
      <c r="BU64" s="1855"/>
      <c r="BV64" s="1855"/>
      <c r="BW64" s="1855"/>
      <c r="BX64" s="1855"/>
      <c r="BY64" s="1855"/>
      <c r="BZ64" s="1855"/>
      <c r="CA64" s="1855"/>
      <c r="CB64" s="1855"/>
      <c r="CC64" s="1855"/>
      <c r="CD64" s="1859"/>
      <c r="CF64"/>
    </row>
    <row r="65" spans="1:84" ht="14.25">
      <c r="A65" s="1628" t="s">
        <v>1552</v>
      </c>
      <c r="B65" s="906" t="s">
        <v>2981</v>
      </c>
      <c r="C65" s="1472" t="s">
        <v>1975</v>
      </c>
      <c r="D65" s="968" t="s">
        <v>2982</v>
      </c>
      <c r="E65" s="1493" t="s">
        <v>1552</v>
      </c>
      <c r="F65" s="1629" t="s">
        <v>2981</v>
      </c>
      <c r="G65" s="405" t="b">
        <v>1</v>
      </c>
      <c r="H65" s="1638"/>
      <c r="I65" s="1639">
        <v>976</v>
      </c>
      <c r="J65" s="1639">
        <v>302.36666613206404</v>
      </c>
      <c r="K65" s="1639">
        <v>147351.72320619153</v>
      </c>
      <c r="L65" s="1640">
        <v>0.78698705542940295</v>
      </c>
      <c r="M65" s="2157">
        <v>154.22515522910902</v>
      </c>
      <c r="N65" s="1639"/>
      <c r="O65" s="1639">
        <v>1250</v>
      </c>
      <c r="P65" s="1639">
        <v>495.9687372255338</v>
      </c>
      <c r="Q65" s="1639">
        <v>188718.90779481496</v>
      </c>
      <c r="R65" s="1640">
        <v>0.78698705542940295</v>
      </c>
      <c r="S65" s="2157">
        <v>323.99313045093726</v>
      </c>
      <c r="T65" s="1639"/>
      <c r="U65" s="1639">
        <v>570.76826249915155</v>
      </c>
      <c r="V65" s="1639">
        <v>103.40794523253065</v>
      </c>
      <c r="W65" s="1639">
        <v>86171.810482227302</v>
      </c>
      <c r="X65" s="1640">
        <v>0.78698705542940295</v>
      </c>
      <c r="Y65" s="1641">
        <v>30.84503104582183</v>
      </c>
      <c r="Z65" s="1854">
        <f>IF($G65,MATCH('Fan Name List'!Y65,'Fan Name List'!$AC$16:$BM$16,1),0)</f>
        <v>18</v>
      </c>
      <c r="AA65" s="1859">
        <f>IF($G65,IF(S65&gt;567,37,MATCH('Fan Name List'!S65,'Fan Name List'!$AC$16:$BM$16,1)+1),0)</f>
        <v>30</v>
      </c>
      <c r="AB65" s="1854"/>
      <c r="AC65" s="1855"/>
      <c r="AD65" s="1855"/>
      <c r="AE65" s="1855"/>
      <c r="AF65" s="1855"/>
      <c r="AG65" s="1855"/>
      <c r="AH65" s="1855"/>
      <c r="AI65" s="1855"/>
      <c r="AJ65" s="1855"/>
      <c r="AK65" s="1855"/>
      <c r="AL65" s="1855"/>
      <c r="AM65" s="1855"/>
      <c r="AN65" s="1855"/>
      <c r="AO65" s="1855"/>
      <c r="AP65" s="1855"/>
      <c r="AQ65" s="1855"/>
      <c r="AR65" s="1855"/>
      <c r="AS65" s="1855"/>
      <c r="AT65" s="1855"/>
      <c r="AU65" s="1855"/>
      <c r="AV65" s="1855"/>
      <c r="AW65" s="1855"/>
      <c r="AX65" s="1855"/>
      <c r="AY65" s="1855"/>
      <c r="AZ65" s="1855"/>
      <c r="BA65" s="1855"/>
      <c r="BB65" s="1855"/>
      <c r="BC65" s="1855"/>
      <c r="BD65" s="1855"/>
      <c r="BE65" s="1855"/>
      <c r="BF65" s="1855"/>
      <c r="BG65" s="1855"/>
      <c r="BH65" s="1855"/>
      <c r="BI65" s="1855"/>
      <c r="BJ65" s="1855"/>
      <c r="BK65" s="1855"/>
      <c r="BL65" s="1855"/>
      <c r="BM65" s="1855"/>
      <c r="BN65" s="1855"/>
      <c r="BO65" s="1855"/>
      <c r="BP65" s="1855"/>
      <c r="BQ65" s="1855"/>
      <c r="BR65" s="1855"/>
      <c r="BS65" s="1855"/>
      <c r="BT65" s="1855"/>
      <c r="BU65" s="1855"/>
      <c r="BV65" s="1855"/>
      <c r="BW65" s="1855"/>
      <c r="BX65" s="1855"/>
      <c r="BY65" s="1855"/>
      <c r="BZ65" s="1855"/>
      <c r="CA65" s="1855"/>
      <c r="CB65" s="1855"/>
      <c r="CC65" s="1855"/>
      <c r="CD65" s="1859"/>
      <c r="CF65"/>
    </row>
    <row r="66" spans="1:84" ht="14.25">
      <c r="A66" s="1628" t="s">
        <v>1553</v>
      </c>
      <c r="B66" s="906" t="s">
        <v>2983</v>
      </c>
      <c r="C66" s="1472" t="s">
        <v>1977</v>
      </c>
      <c r="D66" s="968" t="s">
        <v>2984</v>
      </c>
      <c r="E66" s="1493" t="s">
        <v>1553</v>
      </c>
      <c r="F66" s="1629" t="s">
        <v>2983</v>
      </c>
      <c r="G66" s="405" t="b">
        <v>1</v>
      </c>
      <c r="H66" s="1638"/>
      <c r="I66" s="1639">
        <v>1200</v>
      </c>
      <c r="J66" s="1639">
        <v>840</v>
      </c>
      <c r="K66" s="1639">
        <v>66000</v>
      </c>
      <c r="L66" s="1640">
        <v>0.77849381443299004</v>
      </c>
      <c r="M66" s="2157">
        <v>193.99999999999994</v>
      </c>
      <c r="N66" s="1639"/>
      <c r="O66" s="1639">
        <v>1713.6816723112704</v>
      </c>
      <c r="P66" s="1639">
        <v>1713.077843175739</v>
      </c>
      <c r="Q66" s="1639">
        <v>94252.491977119877</v>
      </c>
      <c r="R66" s="1640">
        <v>0.77849381443299004</v>
      </c>
      <c r="S66" s="2157">
        <v>565</v>
      </c>
      <c r="T66" s="1639"/>
      <c r="U66" s="1639">
        <v>701.76425717108793</v>
      </c>
      <c r="V66" s="1639">
        <v>287.27595904168516</v>
      </c>
      <c r="W66" s="1639">
        <v>38597.034144409838</v>
      </c>
      <c r="X66" s="1640">
        <v>0.77849381443299004</v>
      </c>
      <c r="Y66" s="1641">
        <v>38.799999999999997</v>
      </c>
      <c r="Z66" s="1854">
        <f>IF($G66,MATCH('Fan Name List'!Y66,'Fan Name List'!$AC$16:$BM$16,1),0)</f>
        <v>19</v>
      </c>
      <c r="AA66" s="1859">
        <f>IF($G66,IF(S66&gt;567,37,MATCH('Fan Name List'!S66,'Fan Name List'!$AC$16:$BM$16,1)+1),0)</f>
        <v>35</v>
      </c>
      <c r="AB66" s="1854"/>
      <c r="AC66" s="1855"/>
      <c r="AD66" s="1855"/>
      <c r="AE66" s="1855"/>
      <c r="AF66" s="1855"/>
      <c r="AG66" s="1855"/>
      <c r="AH66" s="1855"/>
      <c r="AI66" s="1855"/>
      <c r="AJ66" s="1855"/>
      <c r="AK66" s="1855"/>
      <c r="AL66" s="1855"/>
      <c r="AM66" s="1855"/>
      <c r="AN66" s="1855"/>
      <c r="AO66" s="1855"/>
      <c r="AP66" s="1855"/>
      <c r="AQ66" s="1855"/>
      <c r="AR66" s="1855"/>
      <c r="AS66" s="1855"/>
      <c r="AT66" s="1855"/>
      <c r="AU66" s="1855"/>
      <c r="AV66" s="1855"/>
      <c r="AW66" s="1855"/>
      <c r="AX66" s="1855"/>
      <c r="AY66" s="1855"/>
      <c r="AZ66" s="1855"/>
      <c r="BA66" s="1855"/>
      <c r="BB66" s="1855"/>
      <c r="BC66" s="1855"/>
      <c r="BD66" s="1855"/>
      <c r="BE66" s="1855"/>
      <c r="BF66" s="1855"/>
      <c r="BG66" s="1855"/>
      <c r="BH66" s="1855"/>
      <c r="BI66" s="1855"/>
      <c r="BJ66" s="1855"/>
      <c r="BK66" s="1855"/>
      <c r="BL66" s="1855"/>
      <c r="BM66" s="1855"/>
      <c r="BN66" s="1855"/>
      <c r="BO66" s="1855"/>
      <c r="BP66" s="1855"/>
      <c r="BQ66" s="1855"/>
      <c r="BR66" s="1855"/>
      <c r="BS66" s="1855"/>
      <c r="BT66" s="1855"/>
      <c r="BU66" s="1855"/>
      <c r="BV66" s="1855"/>
      <c r="BW66" s="1855"/>
      <c r="BX66" s="1855"/>
      <c r="BY66" s="1855"/>
      <c r="BZ66" s="1855"/>
      <c r="CA66" s="1855"/>
      <c r="CB66" s="1855"/>
      <c r="CC66" s="1855"/>
      <c r="CD66" s="1859"/>
      <c r="CF66"/>
    </row>
    <row r="67" spans="1:84" ht="14.25">
      <c r="A67" s="1628" t="s">
        <v>1554</v>
      </c>
      <c r="B67" s="906" t="s">
        <v>2985</v>
      </c>
      <c r="C67" s="1472" t="s">
        <v>1979</v>
      </c>
      <c r="D67" s="968" t="s">
        <v>2986</v>
      </c>
      <c r="E67" s="1493" t="s">
        <v>1554</v>
      </c>
      <c r="F67" s="1629" t="s">
        <v>2985</v>
      </c>
      <c r="G67" s="405" t="b">
        <v>1</v>
      </c>
      <c r="H67" s="1638"/>
      <c r="I67" s="1639">
        <v>1200</v>
      </c>
      <c r="J67" s="1639">
        <v>825</v>
      </c>
      <c r="K67" s="1639">
        <v>77500</v>
      </c>
      <c r="L67" s="1640">
        <v>0.74434361645299196</v>
      </c>
      <c r="M67" s="2157">
        <v>233.99999999999983</v>
      </c>
      <c r="N67" s="1639"/>
      <c r="O67" s="1639">
        <v>1609.8748269269158</v>
      </c>
      <c r="P67" s="1639">
        <v>1484.8263824011792</v>
      </c>
      <c r="Q67" s="1639">
        <v>103971.08257236332</v>
      </c>
      <c r="R67" s="1640">
        <v>0.74434361645299196</v>
      </c>
      <c r="S67" s="2157">
        <v>564.99999999999989</v>
      </c>
      <c r="T67" s="1639"/>
      <c r="U67" s="1639">
        <v>701.76425717108793</v>
      </c>
      <c r="V67" s="1639">
        <v>282.14603120165503</v>
      </c>
      <c r="W67" s="1639">
        <v>45322.274942299431</v>
      </c>
      <c r="X67" s="1640">
        <v>0.74434361645299196</v>
      </c>
      <c r="Y67" s="1641">
        <v>46.799999999999983</v>
      </c>
      <c r="Z67" s="1854">
        <f>IF($G67,MATCH('Fan Name List'!Y67,'Fan Name List'!$AC$16:$BM$16,1),0)</f>
        <v>20</v>
      </c>
      <c r="AA67" s="1859">
        <f>IF($G67,IF(S67&gt;567,37,MATCH('Fan Name List'!S67,'Fan Name List'!$AC$16:$BM$16,1)+1),0)</f>
        <v>35</v>
      </c>
      <c r="AB67" s="1854"/>
      <c r="AC67" s="1855"/>
      <c r="AD67" s="1855"/>
      <c r="AE67" s="1855"/>
      <c r="AF67" s="1855"/>
      <c r="AG67" s="1855"/>
      <c r="AH67" s="1855"/>
      <c r="AI67" s="1855"/>
      <c r="AJ67" s="1855"/>
      <c r="AK67" s="1855"/>
      <c r="AL67" s="1855"/>
      <c r="AM67" s="1855"/>
      <c r="AN67" s="1855"/>
      <c r="AO67" s="1855"/>
      <c r="AP67" s="1855"/>
      <c r="AQ67" s="1855"/>
      <c r="AR67" s="1855"/>
      <c r="AS67" s="1855"/>
      <c r="AT67" s="1855"/>
      <c r="AU67" s="1855"/>
      <c r="AV67" s="1855"/>
      <c r="AW67" s="1855"/>
      <c r="AX67" s="1855"/>
      <c r="AY67" s="1855"/>
      <c r="AZ67" s="1855"/>
      <c r="BA67" s="1855"/>
      <c r="BB67" s="1855"/>
      <c r="BC67" s="1855"/>
      <c r="BD67" s="1855"/>
      <c r="BE67" s="1855"/>
      <c r="BF67" s="1855"/>
      <c r="BG67" s="1855"/>
      <c r="BH67" s="1855"/>
      <c r="BI67" s="1855"/>
      <c r="BJ67" s="1855"/>
      <c r="BK67" s="1855"/>
      <c r="BL67" s="1855"/>
      <c r="BM67" s="1855"/>
      <c r="BN67" s="1855"/>
      <c r="BO67" s="1855"/>
      <c r="BP67" s="1855"/>
      <c r="BQ67" s="1855"/>
      <c r="BR67" s="1855"/>
      <c r="BS67" s="1855"/>
      <c r="BT67" s="1855"/>
      <c r="BU67" s="1855"/>
      <c r="BV67" s="1855"/>
      <c r="BW67" s="1855"/>
      <c r="BX67" s="1855"/>
      <c r="BY67" s="1855"/>
      <c r="BZ67" s="1855"/>
      <c r="CA67" s="1855"/>
      <c r="CB67" s="1855"/>
      <c r="CC67" s="1855"/>
      <c r="CD67" s="1859"/>
      <c r="CF67"/>
    </row>
    <row r="68" spans="1:84" ht="14.25">
      <c r="A68" s="1628" t="s">
        <v>1555</v>
      </c>
      <c r="B68" s="906" t="s">
        <v>2987</v>
      </c>
      <c r="C68" s="1472" t="s">
        <v>1981</v>
      </c>
      <c r="D68" s="968" t="s">
        <v>2324</v>
      </c>
      <c r="E68" s="1493" t="s">
        <v>1555</v>
      </c>
      <c r="F68" s="1629" t="s">
        <v>2987</v>
      </c>
      <c r="G68" s="405" t="b">
        <v>1</v>
      </c>
      <c r="H68" s="1638"/>
      <c r="I68" s="1639">
        <v>1200</v>
      </c>
      <c r="J68" s="1639">
        <v>744.8</v>
      </c>
      <c r="K68" s="1639">
        <v>118793.93923934</v>
      </c>
      <c r="L68" s="1640">
        <v>0.80881903276205303</v>
      </c>
      <c r="M68" s="2157">
        <v>297.99999999999994</v>
      </c>
      <c r="N68" s="1639"/>
      <c r="O68" s="1639">
        <v>1485.2240530387389</v>
      </c>
      <c r="P68" s="1639">
        <v>1140.9355800398923</v>
      </c>
      <c r="Q68" s="1639">
        <v>147029.67992790855</v>
      </c>
      <c r="R68" s="1640">
        <v>0.80881903276205303</v>
      </c>
      <c r="S68" s="2157">
        <v>565.00000000000023</v>
      </c>
      <c r="T68" s="1639"/>
      <c r="U68" s="1639">
        <v>701.76425717108793</v>
      </c>
      <c r="V68" s="1639">
        <v>254.7180170169608</v>
      </c>
      <c r="W68" s="1639">
        <v>69471.11710560233</v>
      </c>
      <c r="X68" s="1640">
        <v>0.80881903276205303</v>
      </c>
      <c r="Y68" s="1641">
        <v>59.600000000000023</v>
      </c>
      <c r="Z68" s="1854">
        <f>IF($G68,MATCH('Fan Name List'!Y68,'Fan Name List'!$AC$16:$BM$16,1),0)</f>
        <v>22</v>
      </c>
      <c r="AA68" s="1859">
        <f>IF($G68,IF(S68&gt;567,37,MATCH('Fan Name List'!S68,'Fan Name List'!$AC$16:$BM$16,1)+1),0)</f>
        <v>35</v>
      </c>
      <c r="AB68" s="1854"/>
      <c r="AC68" s="1855"/>
      <c r="AD68" s="1855"/>
      <c r="AE68" s="1855"/>
      <c r="AF68" s="1855"/>
      <c r="AG68" s="1855"/>
      <c r="AH68" s="1855"/>
      <c r="AI68" s="1855"/>
      <c r="AJ68" s="1855"/>
      <c r="AK68" s="1855"/>
      <c r="AL68" s="1855"/>
      <c r="AM68" s="1855"/>
      <c r="AN68" s="1855"/>
      <c r="AO68" s="1855"/>
      <c r="AP68" s="1855"/>
      <c r="AQ68" s="1855"/>
      <c r="AR68" s="1855"/>
      <c r="AS68" s="1855"/>
      <c r="AT68" s="1855"/>
      <c r="AU68" s="1855"/>
      <c r="AV68" s="1855"/>
      <c r="AW68" s="1855"/>
      <c r="AX68" s="1855"/>
      <c r="AY68" s="1855"/>
      <c r="AZ68" s="1855"/>
      <c r="BA68" s="1855"/>
      <c r="BB68" s="1855"/>
      <c r="BC68" s="1855"/>
      <c r="BD68" s="1855"/>
      <c r="BE68" s="1855"/>
      <c r="BF68" s="1855"/>
      <c r="BG68" s="1855"/>
      <c r="BH68" s="1855"/>
      <c r="BI68" s="1855"/>
      <c r="BJ68" s="1855"/>
      <c r="BK68" s="1855"/>
      <c r="BL68" s="1855"/>
      <c r="BM68" s="1855"/>
      <c r="BN68" s="1855"/>
      <c r="BO68" s="1855"/>
      <c r="BP68" s="1855"/>
      <c r="BQ68" s="1855"/>
      <c r="BR68" s="1855"/>
      <c r="BS68" s="1855"/>
      <c r="BT68" s="1855"/>
      <c r="BU68" s="1855"/>
      <c r="BV68" s="1855"/>
      <c r="BW68" s="1855"/>
      <c r="BX68" s="1855"/>
      <c r="BY68" s="1855"/>
      <c r="BZ68" s="1855"/>
      <c r="CA68" s="1855"/>
      <c r="CB68" s="1855"/>
      <c r="CC68" s="1855"/>
      <c r="CD68" s="1859"/>
      <c r="CF68"/>
    </row>
    <row r="69" spans="1:84" ht="14.25">
      <c r="A69" s="1628" t="s">
        <v>1556</v>
      </c>
      <c r="B69" s="906" t="s">
        <v>2988</v>
      </c>
      <c r="C69" s="1472" t="s">
        <v>1983</v>
      </c>
      <c r="D69" s="968" t="s">
        <v>2989</v>
      </c>
      <c r="E69" s="1493" t="s">
        <v>1556</v>
      </c>
      <c r="F69" s="1629" t="s">
        <v>2988</v>
      </c>
      <c r="G69" s="405" t="b">
        <v>1</v>
      </c>
      <c r="H69" s="1638"/>
      <c r="I69" s="1639">
        <v>1100</v>
      </c>
      <c r="J69" s="1639">
        <v>661.5</v>
      </c>
      <c r="K69" s="1639">
        <v>123743.686707646</v>
      </c>
      <c r="L69" s="1640">
        <v>0.87447297708165095</v>
      </c>
      <c r="M69" s="2157">
        <v>255.00000000000031</v>
      </c>
      <c r="N69" s="1639"/>
      <c r="O69" s="1639">
        <v>1434.0427810973799</v>
      </c>
      <c r="P69" s="1639">
        <v>1124.2650072219681</v>
      </c>
      <c r="Q69" s="1639">
        <v>161321.58239043233</v>
      </c>
      <c r="R69" s="1640">
        <v>0.87447297708165095</v>
      </c>
      <c r="S69" s="2157">
        <v>565</v>
      </c>
      <c r="T69" s="1639"/>
      <c r="U69" s="1639">
        <v>643.28390240683063</v>
      </c>
      <c r="V69" s="1639">
        <v>226.22981774532704</v>
      </c>
      <c r="W69" s="1639">
        <v>72365.746985002523</v>
      </c>
      <c r="X69" s="1640">
        <v>0.87447297708165095</v>
      </c>
      <c r="Y69" s="1641">
        <v>51.000000000000071</v>
      </c>
      <c r="Z69" s="1854">
        <f>IF($G69,MATCH('Fan Name List'!Y69,'Fan Name List'!$AC$16:$BM$16,1),0)</f>
        <v>21</v>
      </c>
      <c r="AA69" s="1859">
        <f>IF($G69,IF(S69&gt;567,37,MATCH('Fan Name List'!S69,'Fan Name List'!$AC$16:$BM$16,1)+1),0)</f>
        <v>35</v>
      </c>
      <c r="AB69" s="1854"/>
      <c r="AC69" s="1855"/>
      <c r="AD69" s="1855"/>
      <c r="AE69" s="1855"/>
      <c r="AF69" s="1855"/>
      <c r="AG69" s="1855"/>
      <c r="AH69" s="1855"/>
      <c r="AI69" s="1855"/>
      <c r="AJ69" s="1855"/>
      <c r="AK69" s="1855"/>
      <c r="AL69" s="1855"/>
      <c r="AM69" s="1855"/>
      <c r="AN69" s="1855"/>
      <c r="AO69" s="1855"/>
      <c r="AP69" s="1855"/>
      <c r="AQ69" s="1855"/>
      <c r="AR69" s="1855"/>
      <c r="AS69" s="1855"/>
      <c r="AT69" s="1855"/>
      <c r="AU69" s="1855"/>
      <c r="AV69" s="1855"/>
      <c r="AW69" s="1855"/>
      <c r="AX69" s="1855"/>
      <c r="AY69" s="1855"/>
      <c r="AZ69" s="1855"/>
      <c r="BA69" s="1855"/>
      <c r="BB69" s="1855"/>
      <c r="BC69" s="1855"/>
      <c r="BD69" s="1855"/>
      <c r="BE69" s="1855"/>
      <c r="BF69" s="1855"/>
      <c r="BG69" s="1855"/>
      <c r="BH69" s="1855"/>
      <c r="BI69" s="1855"/>
      <c r="BJ69" s="1855"/>
      <c r="BK69" s="1855"/>
      <c r="BL69" s="1855"/>
      <c r="BM69" s="1855"/>
      <c r="BN69" s="1855"/>
      <c r="BO69" s="1855"/>
      <c r="BP69" s="1855"/>
      <c r="BQ69" s="1855"/>
      <c r="BR69" s="1855"/>
      <c r="BS69" s="1855"/>
      <c r="BT69" s="1855"/>
      <c r="BU69" s="1855"/>
      <c r="BV69" s="1855"/>
      <c r="BW69" s="1855"/>
      <c r="BX69" s="1855"/>
      <c r="BY69" s="1855"/>
      <c r="BZ69" s="1855"/>
      <c r="CA69" s="1855"/>
      <c r="CB69" s="1855"/>
      <c r="CC69" s="1855"/>
      <c r="CD69" s="1859"/>
      <c r="CF69"/>
    </row>
    <row r="70" spans="1:84" ht="14.25">
      <c r="A70" s="1628" t="s">
        <v>1557</v>
      </c>
      <c r="B70" s="906" t="s">
        <v>2990</v>
      </c>
      <c r="C70" s="1472" t="s">
        <v>1985</v>
      </c>
      <c r="D70" s="968" t="s">
        <v>2326</v>
      </c>
      <c r="E70" s="1493" t="s">
        <v>1557</v>
      </c>
      <c r="F70" s="1629" t="s">
        <v>2990</v>
      </c>
      <c r="G70" s="405" t="b">
        <v>1</v>
      </c>
      <c r="H70" s="1638"/>
      <c r="I70" s="1639">
        <v>900</v>
      </c>
      <c r="J70" s="1639">
        <v>395</v>
      </c>
      <c r="K70" s="1639">
        <v>130000</v>
      </c>
      <c r="L70" s="1640">
        <v>0.84779368686868695</v>
      </c>
      <c r="M70" s="2157">
        <v>165</v>
      </c>
      <c r="N70" s="1639"/>
      <c r="O70" s="1639">
        <v>1356.5339811674398</v>
      </c>
      <c r="P70" s="1639">
        <v>897.37389458578252</v>
      </c>
      <c r="Q70" s="1639">
        <v>195943.79727974132</v>
      </c>
      <c r="R70" s="1640">
        <v>0.84779368686868695</v>
      </c>
      <c r="S70" s="2157">
        <v>565.00000000000011</v>
      </c>
      <c r="T70" s="1639"/>
      <c r="U70" s="1639">
        <v>526.32319287831592</v>
      </c>
      <c r="V70" s="1639">
        <v>135.08809978745907</v>
      </c>
      <c r="W70" s="1639">
        <v>76024.461193534531</v>
      </c>
      <c r="X70" s="1640">
        <v>0.84779368686868695</v>
      </c>
      <c r="Y70" s="1641">
        <v>33.000000000000007</v>
      </c>
      <c r="Z70" s="1854">
        <f>IF($G70,MATCH('Fan Name List'!Y70,'Fan Name List'!$AC$16:$BM$16,1),0)</f>
        <v>19</v>
      </c>
      <c r="AA70" s="1859">
        <f>IF($G70,IF(S70&gt;567,37,MATCH('Fan Name List'!S70,'Fan Name List'!$AC$16:$BM$16,1)+1),0)</f>
        <v>35</v>
      </c>
      <c r="AB70" s="1854"/>
      <c r="AC70" s="1855"/>
      <c r="AD70" s="1855"/>
      <c r="AE70" s="1855"/>
      <c r="AF70" s="1855"/>
      <c r="AG70" s="1855"/>
      <c r="AH70" s="1855"/>
      <c r="AI70" s="1855"/>
      <c r="AJ70" s="1855"/>
      <c r="AK70" s="1855"/>
      <c r="AL70" s="1855"/>
      <c r="AM70" s="1855"/>
      <c r="AN70" s="1855"/>
      <c r="AO70" s="1855"/>
      <c r="AP70" s="1855"/>
      <c r="AQ70" s="1855"/>
      <c r="AR70" s="1855"/>
      <c r="AS70" s="1855"/>
      <c r="AT70" s="1855"/>
      <c r="AU70" s="1855"/>
      <c r="AV70" s="1855"/>
      <c r="AW70" s="1855"/>
      <c r="AX70" s="1855"/>
      <c r="AY70" s="1855"/>
      <c r="AZ70" s="1855"/>
      <c r="BA70" s="1855"/>
      <c r="BB70" s="1855"/>
      <c r="BC70" s="1855"/>
      <c r="BD70" s="1855"/>
      <c r="BE70" s="1855"/>
      <c r="BF70" s="1855"/>
      <c r="BG70" s="1855"/>
      <c r="BH70" s="1855"/>
      <c r="BI70" s="1855"/>
      <c r="BJ70" s="1855"/>
      <c r="BK70" s="1855"/>
      <c r="BL70" s="1855"/>
      <c r="BM70" s="1855"/>
      <c r="BN70" s="1855"/>
      <c r="BO70" s="1855"/>
      <c r="BP70" s="1855"/>
      <c r="BQ70" s="1855"/>
      <c r="BR70" s="1855"/>
      <c r="BS70" s="1855"/>
      <c r="BT70" s="1855"/>
      <c r="BU70" s="1855"/>
      <c r="BV70" s="1855"/>
      <c r="BW70" s="1855"/>
      <c r="BX70" s="1855"/>
      <c r="BY70" s="1855"/>
      <c r="BZ70" s="1855"/>
      <c r="CA70" s="1855"/>
      <c r="CB70" s="1855"/>
      <c r="CC70" s="1855"/>
      <c r="CD70" s="1859"/>
      <c r="CF70"/>
    </row>
    <row r="71" spans="1:84" ht="14.25">
      <c r="A71" s="1628" t="s">
        <v>1558</v>
      </c>
      <c r="B71" s="906" t="s">
        <v>2991</v>
      </c>
      <c r="C71" s="1472" t="s">
        <v>1987</v>
      </c>
      <c r="D71" s="968" t="s">
        <v>2992</v>
      </c>
      <c r="E71" s="1493" t="s">
        <v>1558</v>
      </c>
      <c r="F71" s="1629" t="s">
        <v>2991</v>
      </c>
      <c r="G71" s="405" t="b">
        <v>1</v>
      </c>
      <c r="H71" s="1638"/>
      <c r="I71" s="1639">
        <v>900</v>
      </c>
      <c r="J71" s="1639">
        <v>338.1</v>
      </c>
      <c r="K71" s="1639">
        <v>128693.434175952</v>
      </c>
      <c r="L71" s="1640">
        <v>0.84665640809638698</v>
      </c>
      <c r="M71" s="2157">
        <v>140.00000000000034</v>
      </c>
      <c r="N71" s="1639"/>
      <c r="O71" s="1639">
        <v>1432.9003216108085</v>
      </c>
      <c r="P71" s="1639">
        <v>857.02227955361047</v>
      </c>
      <c r="Q71" s="1639">
        <v>204894.29246657895</v>
      </c>
      <c r="R71" s="1640">
        <v>0.84665640809638698</v>
      </c>
      <c r="S71" s="2157">
        <v>564.99999999999989</v>
      </c>
      <c r="T71" s="1639"/>
      <c r="U71" s="1639">
        <v>526.32319287831592</v>
      </c>
      <c r="V71" s="1639">
        <v>115.62857351427827</v>
      </c>
      <c r="W71" s="1639">
        <v>75260.376864402715</v>
      </c>
      <c r="X71" s="1640">
        <v>0.84665640809638698</v>
      </c>
      <c r="Y71" s="1641">
        <v>28.000000000000082</v>
      </c>
      <c r="Z71" s="1854">
        <f>IF($G71,MATCH('Fan Name List'!Y71,'Fan Name List'!$AC$16:$BM$16,1),0)</f>
        <v>18</v>
      </c>
      <c r="AA71" s="1859">
        <f>IF($G71,IF(S71&gt;567,37,MATCH('Fan Name List'!S71,'Fan Name List'!$AC$16:$BM$16,1)+1),0)</f>
        <v>35</v>
      </c>
      <c r="AB71" s="1854"/>
      <c r="AC71" s="1855"/>
      <c r="AD71" s="1855"/>
      <c r="AE71" s="1855"/>
      <c r="AF71" s="1855"/>
      <c r="AG71" s="1855"/>
      <c r="AH71" s="1855"/>
      <c r="AI71" s="1855"/>
      <c r="AJ71" s="1855"/>
      <c r="AK71" s="1855"/>
      <c r="AL71" s="1855"/>
      <c r="AM71" s="1855"/>
      <c r="AN71" s="1855"/>
      <c r="AO71" s="1855"/>
      <c r="AP71" s="1855"/>
      <c r="AQ71" s="1855"/>
      <c r="AR71" s="1855"/>
      <c r="AS71" s="1855"/>
      <c r="AT71" s="1855"/>
      <c r="AU71" s="1855"/>
      <c r="AV71" s="1855"/>
      <c r="AW71" s="1855"/>
      <c r="AX71" s="1855"/>
      <c r="AY71" s="1855"/>
      <c r="AZ71" s="1855"/>
      <c r="BA71" s="1855"/>
      <c r="BB71" s="1855"/>
      <c r="BC71" s="1855"/>
      <c r="BD71" s="1855"/>
      <c r="BE71" s="1855"/>
      <c r="BF71" s="1855"/>
      <c r="BG71" s="1855"/>
      <c r="BH71" s="1855"/>
      <c r="BI71" s="1855"/>
      <c r="BJ71" s="1855"/>
      <c r="BK71" s="1855"/>
      <c r="BL71" s="1855"/>
      <c r="BM71" s="1855"/>
      <c r="BN71" s="1855"/>
      <c r="BO71" s="1855"/>
      <c r="BP71" s="1855"/>
      <c r="BQ71" s="1855"/>
      <c r="BR71" s="1855"/>
      <c r="BS71" s="1855"/>
      <c r="BT71" s="1855"/>
      <c r="BU71" s="1855"/>
      <c r="BV71" s="1855"/>
      <c r="BW71" s="1855"/>
      <c r="BX71" s="1855"/>
      <c r="BY71" s="1855"/>
      <c r="BZ71" s="1855"/>
      <c r="CA71" s="1855"/>
      <c r="CB71" s="1855"/>
      <c r="CC71" s="1855"/>
      <c r="CD71" s="1859"/>
    </row>
    <row r="72" spans="1:84" ht="14.25">
      <c r="A72" s="1628" t="s">
        <v>1559</v>
      </c>
      <c r="B72" s="906" t="s">
        <v>2993</v>
      </c>
      <c r="C72" s="1472" t="s">
        <v>1989</v>
      </c>
      <c r="D72" s="968" t="s">
        <v>2994</v>
      </c>
      <c r="E72" s="1493" t="s">
        <v>1559</v>
      </c>
      <c r="F72" s="1629" t="s">
        <v>2993</v>
      </c>
      <c r="G72" s="405" t="b">
        <v>1</v>
      </c>
      <c r="H72" s="1638"/>
      <c r="I72" s="1639">
        <v>1200</v>
      </c>
      <c r="J72" s="1639">
        <v>1045</v>
      </c>
      <c r="K72" s="1639">
        <v>62000</v>
      </c>
      <c r="L72" s="1640">
        <v>0.79147425261584503</v>
      </c>
      <c r="M72" s="2157">
        <v>222.99999999999986</v>
      </c>
      <c r="N72" s="1639"/>
      <c r="O72" s="1639">
        <v>1635.9214278206496</v>
      </c>
      <c r="P72" s="1639">
        <v>1942.131714800609</v>
      </c>
      <c r="Q72" s="1639">
        <v>84522.607104066905</v>
      </c>
      <c r="R72" s="1640">
        <v>0.79147425261584503</v>
      </c>
      <c r="S72" s="2157">
        <v>565.00000000000011</v>
      </c>
      <c r="T72" s="1639"/>
      <c r="U72" s="1639">
        <v>701.76425717108793</v>
      </c>
      <c r="V72" s="1639">
        <v>357.38497285542974</v>
      </c>
      <c r="W72" s="1639">
        <v>36257.819953839542</v>
      </c>
      <c r="X72" s="1640">
        <v>0.79147425261584503</v>
      </c>
      <c r="Y72" s="1641">
        <v>44.6</v>
      </c>
      <c r="Z72" s="1854">
        <f>IF($G72,MATCH('Fan Name List'!Y72,'Fan Name List'!$AC$16:$BM$16,1),0)</f>
        <v>20</v>
      </c>
      <c r="AA72" s="1859">
        <f>IF($G72,IF(S72&gt;567,37,MATCH('Fan Name List'!S72,'Fan Name List'!$AC$16:$BM$16,1)+1),0)</f>
        <v>35</v>
      </c>
      <c r="AB72" s="1854"/>
      <c r="AC72" s="1855"/>
      <c r="AD72" s="1855"/>
      <c r="AE72" s="1855"/>
      <c r="AF72" s="1855"/>
      <c r="AG72" s="1855"/>
      <c r="AH72" s="1855"/>
      <c r="AI72" s="1855"/>
      <c r="AJ72" s="1855"/>
      <c r="AK72" s="1855"/>
      <c r="AL72" s="1855"/>
      <c r="AM72" s="1855"/>
      <c r="AN72" s="1855"/>
      <c r="AO72" s="1855"/>
      <c r="AP72" s="1855"/>
      <c r="AQ72" s="1855"/>
      <c r="AR72" s="1855"/>
      <c r="AS72" s="1855"/>
      <c r="AT72" s="1855"/>
      <c r="AU72" s="1855"/>
      <c r="AV72" s="1855"/>
      <c r="AW72" s="1855"/>
      <c r="AX72" s="1855"/>
      <c r="AY72" s="1855"/>
      <c r="AZ72" s="1855"/>
      <c r="BA72" s="1855"/>
      <c r="BB72" s="1855"/>
      <c r="BC72" s="1855"/>
      <c r="BD72" s="1855"/>
      <c r="BE72" s="1855"/>
      <c r="BF72" s="1855"/>
      <c r="BG72" s="1855"/>
      <c r="BH72" s="1855"/>
      <c r="BI72" s="1855"/>
      <c r="BJ72" s="1855"/>
      <c r="BK72" s="1855"/>
      <c r="BL72" s="1855"/>
      <c r="BM72" s="1855"/>
      <c r="BN72" s="1855"/>
      <c r="BO72" s="1855"/>
      <c r="BP72" s="1855"/>
      <c r="BQ72" s="1855"/>
      <c r="BR72" s="1855"/>
      <c r="BS72" s="1855"/>
      <c r="BT72" s="1855"/>
      <c r="BU72" s="1855"/>
      <c r="BV72" s="1855"/>
      <c r="BW72" s="1855"/>
      <c r="BX72" s="1855"/>
      <c r="BY72" s="1855"/>
      <c r="BZ72" s="1855"/>
      <c r="CA72" s="1855"/>
      <c r="CB72" s="1855"/>
      <c r="CC72" s="1855"/>
      <c r="CD72" s="1859"/>
    </row>
    <row r="73" spans="1:84" ht="14.25">
      <c r="A73" s="1628" t="s">
        <v>1560</v>
      </c>
      <c r="B73" s="906" t="s">
        <v>2995</v>
      </c>
      <c r="C73" s="1472" t="s">
        <v>1991</v>
      </c>
      <c r="D73" s="968" t="s">
        <v>2996</v>
      </c>
      <c r="E73" s="1493" t="s">
        <v>1560</v>
      </c>
      <c r="F73" s="1629" t="s">
        <v>2995</v>
      </c>
      <c r="G73" s="405" t="b">
        <v>1</v>
      </c>
      <c r="H73" s="1638"/>
      <c r="I73" s="1639">
        <v>1100</v>
      </c>
      <c r="J73" s="1639">
        <v>811.8</v>
      </c>
      <c r="K73" s="1639">
        <v>92036.337932362396</v>
      </c>
      <c r="L73" s="1640">
        <v>0.76517437051185599</v>
      </c>
      <c r="M73" s="2157">
        <v>266.00000000000023</v>
      </c>
      <c r="N73" s="1639"/>
      <c r="O73" s="1639">
        <v>1413.9963515804952</v>
      </c>
      <c r="P73" s="1639">
        <v>1341.4060304771076</v>
      </c>
      <c r="Q73" s="1639">
        <v>118308.2236810818</v>
      </c>
      <c r="R73" s="1640">
        <v>0.76517437051185599</v>
      </c>
      <c r="S73" s="2157">
        <v>565</v>
      </c>
      <c r="T73" s="1639"/>
      <c r="U73" s="1639">
        <v>643.28390240683063</v>
      </c>
      <c r="V73" s="1639">
        <v>277.63169470242855</v>
      </c>
      <c r="W73" s="1639">
        <v>53823.176934876268</v>
      </c>
      <c r="X73" s="1640">
        <v>0.76517437051185599</v>
      </c>
      <c r="Y73" s="1641">
        <v>53.2</v>
      </c>
      <c r="Z73" s="1854">
        <f>IF($G73,MATCH('Fan Name List'!Y73,'Fan Name List'!$AC$16:$BM$16,1),0)</f>
        <v>21</v>
      </c>
      <c r="AA73" s="1859">
        <f>IF($G73,IF(S73&gt;567,37,MATCH('Fan Name List'!S73,'Fan Name List'!$AC$16:$BM$16,1)+1),0)</f>
        <v>35</v>
      </c>
      <c r="AB73" s="1854"/>
      <c r="AC73" s="1855"/>
      <c r="AD73" s="1855"/>
      <c r="AE73" s="1855"/>
      <c r="AF73" s="1855"/>
      <c r="AG73" s="1855"/>
      <c r="AH73" s="1855"/>
      <c r="AI73" s="1855"/>
      <c r="AJ73" s="1855"/>
      <c r="AK73" s="1855"/>
      <c r="AL73" s="1855"/>
      <c r="AM73" s="1855"/>
      <c r="AN73" s="1855"/>
      <c r="AO73" s="1855"/>
      <c r="AP73" s="1855"/>
      <c r="AQ73" s="1855"/>
      <c r="AR73" s="1855"/>
      <c r="AS73" s="1855"/>
      <c r="AT73" s="1855"/>
      <c r="AU73" s="1855"/>
      <c r="AV73" s="1855"/>
      <c r="AW73" s="1855"/>
      <c r="AX73" s="1855"/>
      <c r="AY73" s="1855"/>
      <c r="AZ73" s="1855"/>
      <c r="BA73" s="1855"/>
      <c r="BB73" s="1855"/>
      <c r="BC73" s="1855"/>
      <c r="BD73" s="1855"/>
      <c r="BE73" s="1855"/>
      <c r="BF73" s="1855"/>
      <c r="BG73" s="1855"/>
      <c r="BH73" s="1855"/>
      <c r="BI73" s="1855"/>
      <c r="BJ73" s="1855"/>
      <c r="BK73" s="1855"/>
      <c r="BL73" s="1855"/>
      <c r="BM73" s="1855"/>
      <c r="BN73" s="1855"/>
      <c r="BO73" s="1855"/>
      <c r="BP73" s="1855"/>
      <c r="BQ73" s="1855"/>
      <c r="BR73" s="1855"/>
      <c r="BS73" s="1855"/>
      <c r="BT73" s="1855"/>
      <c r="BU73" s="1855"/>
      <c r="BV73" s="1855"/>
      <c r="BW73" s="1855"/>
      <c r="BX73" s="1855"/>
      <c r="BY73" s="1855"/>
      <c r="BZ73" s="1855"/>
      <c r="CA73" s="1855"/>
      <c r="CB73" s="1855"/>
      <c r="CC73" s="1855"/>
      <c r="CD73" s="1859"/>
    </row>
    <row r="74" spans="1:84" ht="14.25">
      <c r="A74" s="1628" t="s">
        <v>1561</v>
      </c>
      <c r="B74" s="906" t="s">
        <v>2997</v>
      </c>
      <c r="C74" s="1472" t="s">
        <v>1993</v>
      </c>
      <c r="D74" s="968" t="s">
        <v>2998</v>
      </c>
      <c r="E74" s="1493" t="s">
        <v>1561</v>
      </c>
      <c r="F74" s="1629" t="s">
        <v>2997</v>
      </c>
      <c r="G74" s="405" t="b">
        <v>1</v>
      </c>
      <c r="H74" s="1638"/>
      <c r="I74" s="1639">
        <v>1100</v>
      </c>
      <c r="J74" s="1639">
        <v>880</v>
      </c>
      <c r="K74" s="1639">
        <v>165000</v>
      </c>
      <c r="L74" s="1640">
        <v>0.841593617021277</v>
      </c>
      <c r="M74" s="2157">
        <v>469.99999999999983</v>
      </c>
      <c r="N74" s="1639"/>
      <c r="O74" s="1639">
        <v>1169.6148718763613</v>
      </c>
      <c r="P74" s="1639">
        <v>994.90832619226001</v>
      </c>
      <c r="Q74" s="1639">
        <v>175442.23078145421</v>
      </c>
      <c r="R74" s="1640">
        <v>0.841593617021277</v>
      </c>
      <c r="S74" s="2157">
        <v>564.99999999999989</v>
      </c>
      <c r="T74" s="1639"/>
      <c r="U74" s="1639">
        <v>643.28390240683063</v>
      </c>
      <c r="V74" s="1639">
        <v>300.9557666150987</v>
      </c>
      <c r="W74" s="1639">
        <v>96492.585361024583</v>
      </c>
      <c r="X74" s="1640">
        <v>0.841593617021277</v>
      </c>
      <c r="Y74" s="1641">
        <v>94</v>
      </c>
      <c r="Z74" s="1854">
        <f>IF($G74,MATCH('Fan Name List'!Y74,'Fan Name List'!$AC$16:$BM$16,1),0)</f>
        <v>23</v>
      </c>
      <c r="AA74" s="1859">
        <f>IF($G74,IF(S74&gt;567,37,MATCH('Fan Name List'!S74,'Fan Name List'!$AC$16:$BM$16,1)+1),0)</f>
        <v>35</v>
      </c>
      <c r="AB74" s="1854"/>
      <c r="AC74" s="1855"/>
      <c r="AD74" s="1855"/>
      <c r="AE74" s="1855"/>
      <c r="AF74" s="1855"/>
      <c r="AG74" s="1855"/>
      <c r="AH74" s="1855"/>
      <c r="AI74" s="1855"/>
      <c r="AJ74" s="1855"/>
      <c r="AK74" s="1855"/>
      <c r="AL74" s="1855"/>
      <c r="AM74" s="1855"/>
      <c r="AN74" s="1855"/>
      <c r="AO74" s="1855"/>
      <c r="AP74" s="1855"/>
      <c r="AQ74" s="1855"/>
      <c r="AR74" s="1855"/>
      <c r="AS74" s="1855"/>
      <c r="AT74" s="1855"/>
      <c r="AU74" s="1855"/>
      <c r="AV74" s="1855"/>
      <c r="AW74" s="1855"/>
      <c r="AX74" s="1855"/>
      <c r="AY74" s="1855"/>
      <c r="AZ74" s="1855"/>
      <c r="BA74" s="1855"/>
      <c r="BB74" s="1855"/>
      <c r="BC74" s="1855"/>
      <c r="BD74" s="1855"/>
      <c r="BE74" s="1855"/>
      <c r="BF74" s="1855"/>
      <c r="BG74" s="1855"/>
      <c r="BH74" s="1855"/>
      <c r="BI74" s="1855"/>
      <c r="BJ74" s="1855"/>
      <c r="BK74" s="1855"/>
      <c r="BL74" s="1855"/>
      <c r="BM74" s="1855"/>
      <c r="BN74" s="1855"/>
      <c r="BO74" s="1855"/>
      <c r="BP74" s="1855"/>
      <c r="BQ74" s="1855"/>
      <c r="BR74" s="1855"/>
      <c r="BS74" s="1855"/>
      <c r="BT74" s="1855"/>
      <c r="BU74" s="1855"/>
      <c r="BV74" s="1855"/>
      <c r="BW74" s="1855"/>
      <c r="BX74" s="1855"/>
      <c r="BY74" s="1855"/>
      <c r="BZ74" s="1855"/>
      <c r="CA74" s="1855"/>
      <c r="CB74" s="1855"/>
      <c r="CC74" s="1855"/>
      <c r="CD74" s="1859"/>
    </row>
    <row r="75" spans="1:84" ht="14.25">
      <c r="A75" s="1628" t="s">
        <v>1562</v>
      </c>
      <c r="B75" s="906" t="s">
        <v>2999</v>
      </c>
      <c r="C75" s="1472" t="s">
        <v>1995</v>
      </c>
      <c r="D75" s="968" t="s">
        <v>3000</v>
      </c>
      <c r="E75" s="1493" t="s">
        <v>1562</v>
      </c>
      <c r="F75" s="1629" t="s">
        <v>2999</v>
      </c>
      <c r="G75" s="405" t="b">
        <v>1</v>
      </c>
      <c r="H75" s="1638"/>
      <c r="I75" s="1639">
        <v>1000</v>
      </c>
      <c r="J75" s="1639">
        <v>648</v>
      </c>
      <c r="K75" s="1639">
        <v>156767.34353812301</v>
      </c>
      <c r="L75" s="1640">
        <v>0.86210318023086496</v>
      </c>
      <c r="M75" s="2157">
        <v>320.99999999999926</v>
      </c>
      <c r="N75" s="1639"/>
      <c r="O75" s="1639">
        <v>1207.3906410264442</v>
      </c>
      <c r="P75" s="1639">
        <v>944.64931970478438</v>
      </c>
      <c r="Q75" s="1639">
        <v>189279.42340650712</v>
      </c>
      <c r="R75" s="1640">
        <v>0.86210318023086496</v>
      </c>
      <c r="S75" s="2157">
        <v>564.99999999999989</v>
      </c>
      <c r="T75" s="1639"/>
      <c r="U75" s="1639">
        <v>584.80354764257322</v>
      </c>
      <c r="V75" s="1639">
        <v>221.61288268929991</v>
      </c>
      <c r="W75" s="1639">
        <v>91678.098655596361</v>
      </c>
      <c r="X75" s="1640">
        <v>0.86210318023086496</v>
      </c>
      <c r="Y75" s="1641">
        <v>64.2</v>
      </c>
      <c r="Z75" s="1854">
        <f>IF($G75,MATCH('Fan Name List'!Y75,'Fan Name List'!$AC$16:$BM$16,1),0)</f>
        <v>22</v>
      </c>
      <c r="AA75" s="1859">
        <f>IF($G75,IF(S75&gt;567,37,MATCH('Fan Name List'!S75,'Fan Name List'!$AC$16:$BM$16,1)+1),0)</f>
        <v>35</v>
      </c>
      <c r="AB75" s="1854"/>
      <c r="AC75" s="1855"/>
      <c r="AD75" s="1855"/>
      <c r="AE75" s="1855"/>
      <c r="AF75" s="1855"/>
      <c r="AG75" s="1855"/>
      <c r="AH75" s="1855"/>
      <c r="AI75" s="1855"/>
      <c r="AJ75" s="1855"/>
      <c r="AK75" s="1855"/>
      <c r="AL75" s="1855"/>
      <c r="AM75" s="1855"/>
      <c r="AN75" s="1855"/>
      <c r="AO75" s="1855"/>
      <c r="AP75" s="1855"/>
      <c r="AQ75" s="1855"/>
      <c r="AR75" s="1855"/>
      <c r="AS75" s="1855"/>
      <c r="AT75" s="1855"/>
      <c r="AU75" s="1855"/>
      <c r="AV75" s="1855"/>
      <c r="AW75" s="1855"/>
      <c r="AX75" s="1855"/>
      <c r="AY75" s="1855"/>
      <c r="AZ75" s="1855"/>
      <c r="BA75" s="1855"/>
      <c r="BB75" s="1855"/>
      <c r="BC75" s="1855"/>
      <c r="BD75" s="1855"/>
      <c r="BE75" s="1855"/>
      <c r="BF75" s="1855"/>
      <c r="BG75" s="1855"/>
      <c r="BH75" s="1855"/>
      <c r="BI75" s="1855"/>
      <c r="BJ75" s="1855"/>
      <c r="BK75" s="1855"/>
      <c r="BL75" s="1855"/>
      <c r="BM75" s="1855"/>
      <c r="BN75" s="1855"/>
      <c r="BO75" s="1855"/>
      <c r="BP75" s="1855"/>
      <c r="BQ75" s="1855"/>
      <c r="BR75" s="1855"/>
      <c r="BS75" s="1855"/>
      <c r="BT75" s="1855"/>
      <c r="BU75" s="1855"/>
      <c r="BV75" s="1855"/>
      <c r="BW75" s="1855"/>
      <c r="BX75" s="1855"/>
      <c r="BY75" s="1855"/>
      <c r="BZ75" s="1855"/>
      <c r="CA75" s="1855"/>
      <c r="CB75" s="1855"/>
      <c r="CC75" s="1855"/>
      <c r="CD75" s="1859"/>
    </row>
    <row r="76" spans="1:84" ht="14.25">
      <c r="A76" s="1628" t="s">
        <v>1687</v>
      </c>
      <c r="B76" s="906" t="s">
        <v>3001</v>
      </c>
      <c r="C76" s="1472" t="s">
        <v>1997</v>
      </c>
      <c r="D76" s="968" t="s">
        <v>3002</v>
      </c>
      <c r="E76" s="1493" t="s">
        <v>1687</v>
      </c>
      <c r="F76" s="1629" t="s">
        <v>3001</v>
      </c>
      <c r="G76" s="405" t="b">
        <v>1</v>
      </c>
      <c r="H76" s="1638"/>
      <c r="I76" s="1639">
        <v>850</v>
      </c>
      <c r="J76" s="1639">
        <v>440.55</v>
      </c>
      <c r="K76" s="1639">
        <v>149248.11556599301</v>
      </c>
      <c r="L76" s="1640">
        <v>0.84889755195451699</v>
      </c>
      <c r="M76" s="2157">
        <v>210.99999999999991</v>
      </c>
      <c r="N76" s="1639"/>
      <c r="O76" s="1639">
        <v>1180.3412635443901</v>
      </c>
      <c r="P76" s="1639">
        <v>849.51789942060032</v>
      </c>
      <c r="Q76" s="1639">
        <v>207251.42271621569</v>
      </c>
      <c r="R76" s="1640">
        <v>0.84889755195451699</v>
      </c>
      <c r="S76" s="2157">
        <v>564.99999999999989</v>
      </c>
      <c r="T76" s="1639"/>
      <c r="U76" s="1639">
        <v>497.08301549618727</v>
      </c>
      <c r="V76" s="1639">
        <v>150.66598066168379</v>
      </c>
      <c r="W76" s="1639">
        <v>87280.827461961468</v>
      </c>
      <c r="X76" s="1640">
        <v>0.84889755195451699</v>
      </c>
      <c r="Y76" s="1641">
        <v>42.2</v>
      </c>
      <c r="Z76" s="1854">
        <f>IF($G76,MATCH('Fan Name List'!Y76,'Fan Name List'!$AC$16:$BM$16,1),0)</f>
        <v>20</v>
      </c>
      <c r="AA76" s="1859">
        <f>IF($G76,IF(S76&gt;567,37,MATCH('Fan Name List'!S76,'Fan Name List'!$AC$16:$BM$16,1)+1),0)</f>
        <v>35</v>
      </c>
      <c r="AB76" s="1854"/>
      <c r="AC76" s="1855"/>
      <c r="AD76" s="1855"/>
      <c r="AE76" s="1855"/>
      <c r="AF76" s="1855"/>
      <c r="AG76" s="1855"/>
      <c r="AH76" s="1855"/>
      <c r="AI76" s="1855"/>
      <c r="AJ76" s="1855"/>
      <c r="AK76" s="1855"/>
      <c r="AL76" s="1855"/>
      <c r="AM76" s="1855"/>
      <c r="AN76" s="1855"/>
      <c r="AO76" s="1855"/>
      <c r="AP76" s="1855"/>
      <c r="AQ76" s="1855"/>
      <c r="AR76" s="1855"/>
      <c r="AS76" s="1855"/>
      <c r="AT76" s="1855"/>
      <c r="AU76" s="1855"/>
      <c r="AV76" s="1855"/>
      <c r="AW76" s="1855"/>
      <c r="AX76" s="1855"/>
      <c r="AY76" s="1855"/>
      <c r="AZ76" s="1855"/>
      <c r="BA76" s="1855"/>
      <c r="BB76" s="1855"/>
      <c r="BC76" s="1855"/>
      <c r="BD76" s="1855"/>
      <c r="BE76" s="1855"/>
      <c r="BF76" s="1855"/>
      <c r="BG76" s="1855"/>
      <c r="BH76" s="1855"/>
      <c r="BI76" s="1855"/>
      <c r="BJ76" s="1855"/>
      <c r="BK76" s="1855"/>
      <c r="BL76" s="1855"/>
      <c r="BM76" s="1855"/>
      <c r="BN76" s="1855"/>
      <c r="BO76" s="1855"/>
      <c r="BP76" s="1855"/>
      <c r="BQ76" s="1855"/>
      <c r="BR76" s="1855"/>
      <c r="BS76" s="1855"/>
      <c r="BT76" s="1855"/>
      <c r="BU76" s="1855"/>
      <c r="BV76" s="1855"/>
      <c r="BW76" s="1855"/>
      <c r="BX76" s="1855"/>
      <c r="BY76" s="1855"/>
      <c r="BZ76" s="1855"/>
      <c r="CA76" s="1855"/>
      <c r="CB76" s="1855"/>
      <c r="CC76" s="1855"/>
      <c r="CD76" s="1859"/>
    </row>
    <row r="77" spans="1:84" ht="14.25">
      <c r="A77" s="1630" t="s">
        <v>1563</v>
      </c>
      <c r="B77" s="906" t="s">
        <v>3003</v>
      </c>
      <c r="C77" s="1473" t="s">
        <v>2000</v>
      </c>
      <c r="D77" s="968" t="s">
        <v>3004</v>
      </c>
      <c r="E77" s="1493" t="s">
        <v>1563</v>
      </c>
      <c r="F77" s="1629" t="s">
        <v>3003</v>
      </c>
      <c r="G77" s="405" t="b">
        <v>1</v>
      </c>
      <c r="H77" s="1638"/>
      <c r="I77" s="1639">
        <v>2900</v>
      </c>
      <c r="J77" s="1639">
        <v>219.3902558572689</v>
      </c>
      <c r="K77" s="1639">
        <v>3635.2456762917009</v>
      </c>
      <c r="L77" s="1640">
        <v>0.79897488226175506</v>
      </c>
      <c r="M77" s="2157">
        <v>2.7192657291412896</v>
      </c>
      <c r="N77" s="1639"/>
      <c r="O77" s="1639">
        <v>3600</v>
      </c>
      <c r="P77" s="1639">
        <v>338.08534077410286</v>
      </c>
      <c r="Q77" s="1639">
        <v>4512.7187705690085</v>
      </c>
      <c r="R77" s="1640">
        <v>0.79897488226175506</v>
      </c>
      <c r="S77" s="2157">
        <v>5.2019378350410435</v>
      </c>
      <c r="T77" s="1639"/>
      <c r="U77" s="1639">
        <v>1695.9302881634624</v>
      </c>
      <c r="V77" s="1639">
        <v>75.030412090235245</v>
      </c>
      <c r="W77" s="1639">
        <v>2125.904568047712</v>
      </c>
      <c r="X77" s="1640">
        <v>0.79897488226175506</v>
      </c>
      <c r="Y77" s="1641">
        <v>0.5</v>
      </c>
      <c r="Z77" s="1854">
        <f>IF($G77,MATCH('Fan Name List'!Y77,'Fan Name List'!$AC$16:$BM$16,1),0)</f>
        <v>5</v>
      </c>
      <c r="AA77" s="1859">
        <f>IF($G77,IF(S77&gt;567,37,MATCH('Fan Name List'!S77,'Fan Name List'!$AC$16:$BM$16,1)+1),0)</f>
        <v>13</v>
      </c>
      <c r="AB77" s="1854"/>
      <c r="AC77" s="1855"/>
      <c r="AD77" s="1855"/>
      <c r="AE77" s="1855"/>
      <c r="AF77" s="1855"/>
      <c r="AG77" s="1855"/>
      <c r="AH77" s="1855"/>
      <c r="AI77" s="1855"/>
      <c r="AJ77" s="1855"/>
      <c r="AK77" s="1855"/>
      <c r="AL77" s="1855"/>
      <c r="AM77" s="1855"/>
      <c r="AN77" s="1855"/>
      <c r="AO77" s="1855"/>
      <c r="AP77" s="1855"/>
      <c r="AQ77" s="1855"/>
      <c r="AR77" s="1855"/>
      <c r="AS77" s="1855"/>
      <c r="AT77" s="1855"/>
      <c r="AU77" s="1855"/>
      <c r="AV77" s="1855"/>
      <c r="AW77" s="1855"/>
      <c r="AX77" s="1855"/>
      <c r="AY77" s="1855"/>
      <c r="AZ77" s="1855"/>
      <c r="BA77" s="1855"/>
      <c r="BB77" s="1855"/>
      <c r="BC77" s="1855"/>
      <c r="BD77" s="1855"/>
      <c r="BE77" s="1855"/>
      <c r="BF77" s="1855"/>
      <c r="BG77" s="1855"/>
      <c r="BH77" s="1855"/>
      <c r="BI77" s="1855"/>
      <c r="BJ77" s="1855"/>
      <c r="BK77" s="1855"/>
      <c r="BL77" s="1855"/>
      <c r="BM77" s="1855"/>
      <c r="BN77" s="1855"/>
      <c r="BO77" s="1855"/>
      <c r="BP77" s="1855"/>
      <c r="BQ77" s="1855"/>
      <c r="BR77" s="1855"/>
      <c r="BS77" s="1855"/>
      <c r="BT77" s="1855"/>
      <c r="BU77" s="1855"/>
      <c r="BV77" s="1855"/>
      <c r="BW77" s="1855"/>
      <c r="BX77" s="1855"/>
      <c r="BY77" s="1855"/>
      <c r="BZ77" s="1855"/>
      <c r="CA77" s="1855"/>
      <c r="CB77" s="1855"/>
      <c r="CC77" s="1855"/>
      <c r="CD77" s="1859"/>
    </row>
    <row r="78" spans="1:84" ht="14.25">
      <c r="A78" s="1630" t="s">
        <v>2333</v>
      </c>
      <c r="B78" s="906" t="s">
        <v>3005</v>
      </c>
      <c r="C78" s="1473" t="s">
        <v>2003</v>
      </c>
      <c r="D78" s="968" t="s">
        <v>3006</v>
      </c>
      <c r="E78" s="1493" t="s">
        <v>2825</v>
      </c>
      <c r="F78" s="1629" t="s">
        <v>3007</v>
      </c>
      <c r="G78" s="405" t="b">
        <v>1</v>
      </c>
      <c r="H78" s="1638"/>
      <c r="I78" s="1639">
        <v>3456</v>
      </c>
      <c r="J78" s="1639">
        <v>461.96784782425721</v>
      </c>
      <c r="K78" s="1639">
        <v>3394.9016994044891</v>
      </c>
      <c r="L78" s="1640">
        <v>0.78613785325399332</v>
      </c>
      <c r="M78" s="2157">
        <v>5.4346792834940389</v>
      </c>
      <c r="N78" s="1639"/>
      <c r="O78" s="1639">
        <v>3600</v>
      </c>
      <c r="P78" s="1639">
        <v>501.2671959898625</v>
      </c>
      <c r="Q78" s="1639">
        <v>3536.3559368796764</v>
      </c>
      <c r="R78" s="1640">
        <v>0.78613785325399332</v>
      </c>
      <c r="S78" s="2157">
        <v>6.1427129488277181</v>
      </c>
      <c r="T78" s="1639"/>
      <c r="U78" s="1639">
        <v>2021.0810606527332</v>
      </c>
      <c r="V78" s="1639">
        <v>157.99078158349613</v>
      </c>
      <c r="W78" s="1639">
        <v>1985.3505577095461</v>
      </c>
      <c r="X78" s="1640">
        <v>0.78613785325399332</v>
      </c>
      <c r="Y78" s="1641">
        <v>1.1000000000000001</v>
      </c>
      <c r="Z78" s="1854">
        <f>IF($G78,MATCH('Fan Name List'!Y78,'Fan Name List'!$AC$16:$BM$16,1),0)</f>
        <v>7</v>
      </c>
      <c r="AA78" s="1859">
        <f>IF($G78,IF(S78&gt;567,37,MATCH('Fan Name List'!S78,'Fan Name List'!$AC$16:$BM$16,1)+1),0)</f>
        <v>14</v>
      </c>
      <c r="AB78" s="1854"/>
      <c r="AC78" s="1855"/>
      <c r="AD78" s="1855"/>
      <c r="AE78" s="1855"/>
      <c r="AF78" s="1855"/>
      <c r="AG78" s="1855"/>
      <c r="AH78" s="1855"/>
      <c r="AI78" s="1855"/>
      <c r="AJ78" s="1855"/>
      <c r="AK78" s="1855"/>
      <c r="AL78" s="1855"/>
      <c r="AM78" s="1855"/>
      <c r="AN78" s="1855"/>
      <c r="AO78" s="1855"/>
      <c r="AP78" s="1855"/>
      <c r="AQ78" s="1855"/>
      <c r="AR78" s="1855"/>
      <c r="AS78" s="1855"/>
      <c r="AT78" s="1855"/>
      <c r="AU78" s="1855"/>
      <c r="AV78" s="1855"/>
      <c r="AW78" s="1855"/>
      <c r="AX78" s="1855"/>
      <c r="AY78" s="1855"/>
      <c r="AZ78" s="1855"/>
      <c r="BA78" s="1855"/>
      <c r="BB78" s="1855"/>
      <c r="BC78" s="1855"/>
      <c r="BD78" s="1855"/>
      <c r="BE78" s="1855"/>
      <c r="BF78" s="1855"/>
      <c r="BG78" s="1855"/>
      <c r="BH78" s="1855"/>
      <c r="BI78" s="1855"/>
      <c r="BJ78" s="1855"/>
      <c r="BK78" s="1855"/>
      <c r="BL78" s="1855"/>
      <c r="BM78" s="1855"/>
      <c r="BN78" s="1855"/>
      <c r="BO78" s="1855"/>
      <c r="BP78" s="1855"/>
      <c r="BQ78" s="1855"/>
      <c r="BR78" s="1855"/>
      <c r="BS78" s="1855"/>
      <c r="BT78" s="1855"/>
      <c r="BU78" s="1855"/>
      <c r="BV78" s="1855"/>
      <c r="BW78" s="1855"/>
      <c r="BX78" s="1855"/>
      <c r="BY78" s="1855"/>
      <c r="BZ78" s="1855"/>
      <c r="CA78" s="1855"/>
      <c r="CB78" s="1855"/>
      <c r="CC78" s="1855"/>
      <c r="CD78" s="1859"/>
    </row>
    <row r="79" spans="1:84" ht="14.25">
      <c r="A79" s="1630" t="s">
        <v>1564</v>
      </c>
      <c r="B79" s="906" t="s">
        <v>3008</v>
      </c>
      <c r="C79" s="1473" t="s">
        <v>2006</v>
      </c>
      <c r="D79" s="968" t="s">
        <v>3009</v>
      </c>
      <c r="E79" s="1493" t="s">
        <v>1564</v>
      </c>
      <c r="F79" s="1629" t="s">
        <v>3008</v>
      </c>
      <c r="G79" s="405" t="b">
        <v>1</v>
      </c>
      <c r="H79" s="1638"/>
      <c r="I79" s="1639">
        <v>1100</v>
      </c>
      <c r="J79" s="1639">
        <v>528.93748805371752</v>
      </c>
      <c r="K79" s="1639">
        <v>407838.81773166085</v>
      </c>
      <c r="L79" s="1640">
        <v>0.79610252470512777</v>
      </c>
      <c r="M79" s="2157">
        <v>738.17202240779977</v>
      </c>
      <c r="N79" s="1639"/>
      <c r="O79" s="1639">
        <v>1006.2123438696948</v>
      </c>
      <c r="P79" s="1639">
        <v>442.58659882260912</v>
      </c>
      <c r="Q79" s="1639">
        <v>373065.86610074522</v>
      </c>
      <c r="R79" s="1640">
        <v>0.79610252470512777</v>
      </c>
      <c r="S79" s="2157">
        <v>564.99999999999989</v>
      </c>
      <c r="T79" s="1639"/>
      <c r="U79" s="1639">
        <v>643.28390240683063</v>
      </c>
      <c r="V79" s="1639">
        <v>180.89407637348998</v>
      </c>
      <c r="W79" s="1639">
        <v>238505.58747582807</v>
      </c>
      <c r="X79" s="1640">
        <v>0.79610252470512777</v>
      </c>
      <c r="Y79" s="1641">
        <v>147.6</v>
      </c>
      <c r="Z79" s="1854">
        <f>IF($G79,MATCH('Fan Name List'!Y79,'Fan Name List'!$AC$16:$BM$16,1),0)</f>
        <v>26</v>
      </c>
      <c r="AA79" s="1859">
        <f>IF($G79,IF(S79&gt;567,37,MATCH('Fan Name List'!S79,'Fan Name List'!$AC$16:$BM$16,1)+1),0)</f>
        <v>35</v>
      </c>
      <c r="AB79" s="1854"/>
      <c r="AC79" s="1855"/>
      <c r="AD79" s="1855"/>
      <c r="AE79" s="1855"/>
      <c r="AF79" s="1855"/>
      <c r="AG79" s="1855"/>
      <c r="AH79" s="1855"/>
      <c r="AI79" s="1855"/>
      <c r="AJ79" s="1855"/>
      <c r="AK79" s="1855"/>
      <c r="AL79" s="1855"/>
      <c r="AM79" s="1855"/>
      <c r="AN79" s="1855"/>
      <c r="AO79" s="1855"/>
      <c r="AP79" s="1855"/>
      <c r="AQ79" s="1855"/>
      <c r="AR79" s="1855"/>
      <c r="AS79" s="1855"/>
      <c r="AT79" s="1855"/>
      <c r="AU79" s="1855"/>
      <c r="AV79" s="1855"/>
      <c r="AW79" s="1855"/>
      <c r="AX79" s="1855"/>
      <c r="AY79" s="1855"/>
      <c r="AZ79" s="1855"/>
      <c r="BA79" s="1855"/>
      <c r="BB79" s="1855"/>
      <c r="BC79" s="1855"/>
      <c r="BD79" s="1855"/>
      <c r="BE79" s="1855"/>
      <c r="BF79" s="1855"/>
      <c r="BG79" s="1855"/>
      <c r="BH79" s="1855"/>
      <c r="BI79" s="1855"/>
      <c r="BJ79" s="1855"/>
      <c r="BK79" s="1855"/>
      <c r="BL79" s="1855"/>
      <c r="BM79" s="1855"/>
      <c r="BN79" s="1855"/>
      <c r="BO79" s="1855"/>
      <c r="BP79" s="1855"/>
      <c r="BQ79" s="1855"/>
      <c r="BR79" s="1855"/>
      <c r="BS79" s="1855"/>
      <c r="BT79" s="1855"/>
      <c r="BU79" s="1855"/>
      <c r="BV79" s="1855"/>
      <c r="BW79" s="1855"/>
      <c r="BX79" s="1855"/>
      <c r="BY79" s="1855"/>
      <c r="BZ79" s="1855"/>
      <c r="CA79" s="1855"/>
      <c r="CB79" s="1855"/>
      <c r="CC79" s="1855"/>
      <c r="CD79" s="1859"/>
    </row>
    <row r="80" spans="1:84" ht="14.25">
      <c r="A80" s="1630" t="s">
        <v>1565</v>
      </c>
      <c r="B80" s="906" t="s">
        <v>3010</v>
      </c>
      <c r="C80" s="1473" t="s">
        <v>2009</v>
      </c>
      <c r="D80" s="968" t="s">
        <v>3011</v>
      </c>
      <c r="E80" s="1493" t="s">
        <v>1565</v>
      </c>
      <c r="F80" s="1629" t="s">
        <v>3010</v>
      </c>
      <c r="G80" s="405" t="b">
        <v>1</v>
      </c>
      <c r="H80" s="1638"/>
      <c r="I80" s="1639">
        <v>1770</v>
      </c>
      <c r="J80" s="1639">
        <v>700.78734938999332</v>
      </c>
      <c r="K80" s="1639">
        <v>20608.670668254359</v>
      </c>
      <c r="L80" s="1640">
        <v>0.71353207412300024</v>
      </c>
      <c r="M80" s="2157">
        <v>55.138685339131591</v>
      </c>
      <c r="N80" s="1639"/>
      <c r="O80" s="1639">
        <v>3600</v>
      </c>
      <c r="P80" s="1639">
        <v>2898.9766823372315</v>
      </c>
      <c r="Q80" s="1639">
        <v>41915.940342212256</v>
      </c>
      <c r="R80" s="1640">
        <v>0.71353207412300024</v>
      </c>
      <c r="S80" s="2157">
        <v>463.92108378178574</v>
      </c>
      <c r="T80" s="1639"/>
      <c r="U80" s="1639">
        <v>1035.1022793273546</v>
      </c>
      <c r="V80" s="1639">
        <v>239.66590223844136</v>
      </c>
      <c r="W80" s="1639">
        <v>12052.023718992588</v>
      </c>
      <c r="X80" s="1640">
        <v>0.71353207412300024</v>
      </c>
      <c r="Y80" s="1641">
        <v>11</v>
      </c>
      <c r="Z80" s="1854">
        <f>IF($G80,MATCH('Fan Name List'!Y80,'Fan Name List'!$AC$16:$BM$16,1),0)</f>
        <v>14</v>
      </c>
      <c r="AA80" s="1859">
        <f>IF($G80,IF(S80&gt;567,37,MATCH('Fan Name List'!S80,'Fan Name List'!$AC$16:$BM$16,1)+1),0)</f>
        <v>33</v>
      </c>
      <c r="AB80" s="1854"/>
      <c r="AC80" s="1855"/>
      <c r="AD80" s="1855"/>
      <c r="AE80" s="1855"/>
      <c r="AF80" s="1855"/>
      <c r="AG80" s="1855"/>
      <c r="AH80" s="1855"/>
      <c r="AI80" s="1855"/>
      <c r="AJ80" s="1855"/>
      <c r="AK80" s="1855"/>
      <c r="AL80" s="1855"/>
      <c r="AM80" s="1855"/>
      <c r="AN80" s="1855"/>
      <c r="AO80" s="1855"/>
      <c r="AP80" s="1855"/>
      <c r="AQ80" s="1855"/>
      <c r="AR80" s="1855"/>
      <c r="AS80" s="1855"/>
      <c r="AT80" s="1855"/>
      <c r="AU80" s="1855"/>
      <c r="AV80" s="1855"/>
      <c r="AW80" s="1855"/>
      <c r="AX80" s="1855"/>
      <c r="AY80" s="1855"/>
      <c r="AZ80" s="1855"/>
      <c r="BA80" s="1855"/>
      <c r="BB80" s="1855"/>
      <c r="BC80" s="1855"/>
      <c r="BD80" s="1855"/>
      <c r="BE80" s="1855"/>
      <c r="BF80" s="1855"/>
      <c r="BG80" s="1855"/>
      <c r="BH80" s="1855"/>
      <c r="BI80" s="1855"/>
      <c r="BJ80" s="1855"/>
      <c r="BK80" s="1855"/>
      <c r="BL80" s="1855"/>
      <c r="BM80" s="1855"/>
      <c r="BN80" s="1855"/>
      <c r="BO80" s="1855"/>
      <c r="BP80" s="1855"/>
      <c r="BQ80" s="1855"/>
      <c r="BR80" s="1855"/>
      <c r="BS80" s="1855"/>
      <c r="BT80" s="1855"/>
      <c r="BU80" s="1855"/>
      <c r="BV80" s="1855"/>
      <c r="BW80" s="1855"/>
      <c r="BX80" s="1855"/>
      <c r="BY80" s="1855"/>
      <c r="BZ80" s="1855"/>
      <c r="CA80" s="1855"/>
      <c r="CB80" s="1855"/>
      <c r="CC80" s="1855"/>
      <c r="CD80" s="1859"/>
    </row>
    <row r="81" spans="1:82" ht="14.25">
      <c r="A81" s="1630" t="s">
        <v>2337</v>
      </c>
      <c r="B81" s="906" t="s">
        <v>3012</v>
      </c>
      <c r="C81" s="1473" t="s">
        <v>2012</v>
      </c>
      <c r="D81" s="968" t="s">
        <v>3013</v>
      </c>
      <c r="E81" s="1493" t="s">
        <v>2826</v>
      </c>
      <c r="F81" s="1629" t="s">
        <v>3014</v>
      </c>
      <c r="G81" s="405" t="b">
        <v>1</v>
      </c>
      <c r="H81" s="1638"/>
      <c r="I81" s="1639">
        <v>3564</v>
      </c>
      <c r="J81" s="1639">
        <v>2133.1796119435817</v>
      </c>
      <c r="K81" s="1639">
        <v>17119.317436599118</v>
      </c>
      <c r="L81" s="1640">
        <v>0.71870001794958471</v>
      </c>
      <c r="M81" s="2157">
        <v>138.42033246145598</v>
      </c>
      <c r="N81" s="1639"/>
      <c r="O81" s="1639">
        <v>3600</v>
      </c>
      <c r="P81" s="1639">
        <v>2176.4917987384779</v>
      </c>
      <c r="Q81" s="1639">
        <v>17292.239834948607</v>
      </c>
      <c r="R81" s="1640">
        <v>0.71870001794958471</v>
      </c>
      <c r="S81" s="2157">
        <v>142.65739989575999</v>
      </c>
      <c r="T81" s="1639"/>
      <c r="U81" s="1639">
        <v>2084.239843798131</v>
      </c>
      <c r="V81" s="1639">
        <v>729.53716527293113</v>
      </c>
      <c r="W81" s="1639">
        <v>10011.437570142527</v>
      </c>
      <c r="X81" s="1640">
        <v>0.71870001794958471</v>
      </c>
      <c r="Y81" s="1641">
        <v>27.7</v>
      </c>
      <c r="Z81" s="1854">
        <f>IF($G81,MATCH('Fan Name List'!Y81,'Fan Name List'!$AC$16:$BM$16,1),0)</f>
        <v>18</v>
      </c>
      <c r="AA81" s="1859">
        <f>IF($G81,IF(S81&gt;567,37,MATCH('Fan Name List'!S81,'Fan Name List'!$AC$16:$BM$16,1)+1),0)</f>
        <v>27</v>
      </c>
      <c r="AB81" s="1854"/>
      <c r="AC81" s="1855"/>
      <c r="AD81" s="1855"/>
      <c r="AE81" s="1855"/>
      <c r="AF81" s="1855"/>
      <c r="AG81" s="1855"/>
      <c r="AH81" s="1855"/>
      <c r="AI81" s="1855"/>
      <c r="AJ81" s="1855"/>
      <c r="AK81" s="1855"/>
      <c r="AL81" s="1855"/>
      <c r="AM81" s="1855"/>
      <c r="AN81" s="1855"/>
      <c r="AO81" s="1855"/>
      <c r="AP81" s="1855"/>
      <c r="AQ81" s="1855"/>
      <c r="AR81" s="1855"/>
      <c r="AS81" s="1855"/>
      <c r="AT81" s="1855"/>
      <c r="AU81" s="1855"/>
      <c r="AV81" s="1855"/>
      <c r="AW81" s="1855"/>
      <c r="AX81" s="1855"/>
      <c r="AY81" s="1855"/>
      <c r="AZ81" s="1855"/>
      <c r="BA81" s="1855"/>
      <c r="BB81" s="1855"/>
      <c r="BC81" s="1855"/>
      <c r="BD81" s="1855"/>
      <c r="BE81" s="1855"/>
      <c r="BF81" s="1855"/>
      <c r="BG81" s="1855"/>
      <c r="BH81" s="1855"/>
      <c r="BI81" s="1855"/>
      <c r="BJ81" s="1855"/>
      <c r="BK81" s="1855"/>
      <c r="BL81" s="1855"/>
      <c r="BM81" s="1855"/>
      <c r="BN81" s="1855"/>
      <c r="BO81" s="1855"/>
      <c r="BP81" s="1855"/>
      <c r="BQ81" s="1855"/>
      <c r="BR81" s="1855"/>
      <c r="BS81" s="1855"/>
      <c r="BT81" s="1855"/>
      <c r="BU81" s="1855"/>
      <c r="BV81" s="1855"/>
      <c r="BW81" s="1855"/>
      <c r="BX81" s="1855"/>
      <c r="BY81" s="1855"/>
      <c r="BZ81" s="1855"/>
      <c r="CA81" s="1855"/>
      <c r="CB81" s="1855"/>
      <c r="CC81" s="1855"/>
      <c r="CD81" s="1859"/>
    </row>
    <row r="82" spans="1:82" ht="14.25">
      <c r="A82" s="1630" t="s">
        <v>2339</v>
      </c>
      <c r="B82" s="906" t="s">
        <v>3015</v>
      </c>
      <c r="C82" s="1473" t="s">
        <v>2531</v>
      </c>
      <c r="D82" s="968" t="s">
        <v>2522</v>
      </c>
      <c r="E82" s="1493" t="s">
        <v>1566</v>
      </c>
      <c r="F82" s="1629" t="s">
        <v>3016</v>
      </c>
      <c r="G82" s="405" t="b">
        <v>1</v>
      </c>
      <c r="H82" s="1638"/>
      <c r="I82" s="1639">
        <v>3500</v>
      </c>
      <c r="J82" s="1639">
        <v>2101.0893056485493</v>
      </c>
      <c r="K82" s="1639">
        <v>8311.9489189972464</v>
      </c>
      <c r="L82" s="1640">
        <v>0.53920771710208626</v>
      </c>
      <c r="M82" s="2157">
        <v>88.231762201039786</v>
      </c>
      <c r="N82" s="1639"/>
      <c r="O82" s="1639">
        <v>3600</v>
      </c>
      <c r="P82" s="1639">
        <v>2222.8667266289954</v>
      </c>
      <c r="Q82" s="1639">
        <v>8549.4331738257388</v>
      </c>
      <c r="R82" s="1640">
        <v>0.53920771710208626</v>
      </c>
      <c r="S82" s="2157">
        <v>96.012620344063237</v>
      </c>
      <c r="T82" s="1639"/>
      <c r="U82" s="1639">
        <v>2046.8124167490064</v>
      </c>
      <c r="V82" s="1639">
        <v>718.56243489573251</v>
      </c>
      <c r="W82" s="1639">
        <v>4860.8572156534419</v>
      </c>
      <c r="X82" s="1640">
        <v>0.53920771710208626</v>
      </c>
      <c r="Y82" s="1641">
        <v>17.600000000000001</v>
      </c>
      <c r="Z82" s="1854">
        <f>IF($G82,MATCH('Fan Name List'!Y82,'Fan Name List'!$AC$16:$BM$16,1),0)</f>
        <v>16</v>
      </c>
      <c r="AA82" s="1859">
        <f>IF($G82,IF(S82&gt;567,37,MATCH('Fan Name List'!S82,'Fan Name List'!$AC$16:$BM$16,1)+1),0)</f>
        <v>24</v>
      </c>
      <c r="AB82" s="1854"/>
      <c r="AC82" s="1855"/>
      <c r="AD82" s="1855"/>
      <c r="AE82" s="1855"/>
      <c r="AF82" s="1855"/>
      <c r="AG82" s="1855"/>
      <c r="AH82" s="1855"/>
      <c r="AI82" s="1855"/>
      <c r="AJ82" s="1855"/>
      <c r="AK82" s="1855"/>
      <c r="AL82" s="1855"/>
      <c r="AM82" s="1855"/>
      <c r="AN82" s="1855"/>
      <c r="AO82" s="1855"/>
      <c r="AP82" s="1855"/>
      <c r="AQ82" s="1855"/>
      <c r="AR82" s="1855"/>
      <c r="AS82" s="1855"/>
      <c r="AT82" s="1855"/>
      <c r="AU82" s="1855"/>
      <c r="AV82" s="1855"/>
      <c r="AW82" s="1855"/>
      <c r="AX82" s="1855"/>
      <c r="AY82" s="1855"/>
      <c r="AZ82" s="1855"/>
      <c r="BA82" s="1855"/>
      <c r="BB82" s="1855"/>
      <c r="BC82" s="1855"/>
      <c r="BD82" s="1855"/>
      <c r="BE82" s="1855"/>
      <c r="BF82" s="1855"/>
      <c r="BG82" s="1855"/>
      <c r="BH82" s="1855"/>
      <c r="BI82" s="1855"/>
      <c r="BJ82" s="1855"/>
      <c r="BK82" s="1855"/>
      <c r="BL82" s="1855"/>
      <c r="BM82" s="1855"/>
      <c r="BN82" s="1855"/>
      <c r="BO82" s="1855"/>
      <c r="BP82" s="1855"/>
      <c r="BQ82" s="1855"/>
      <c r="BR82" s="1855"/>
      <c r="BS82" s="1855"/>
      <c r="BT82" s="1855"/>
      <c r="BU82" s="1855"/>
      <c r="BV82" s="1855"/>
      <c r="BW82" s="1855"/>
      <c r="BX82" s="1855"/>
      <c r="BY82" s="1855"/>
      <c r="BZ82" s="1855"/>
      <c r="CA82" s="1855"/>
      <c r="CB82" s="1855"/>
      <c r="CC82" s="1855"/>
      <c r="CD82" s="1859"/>
    </row>
    <row r="83" spans="1:82" ht="14.25">
      <c r="A83" s="1630" t="s">
        <v>1566</v>
      </c>
      <c r="B83" s="906" t="s">
        <v>3016</v>
      </c>
      <c r="C83" s="1473" t="s">
        <v>2015</v>
      </c>
      <c r="D83" s="968" t="s">
        <v>3017</v>
      </c>
      <c r="E83" s="1493">
        <v>0</v>
      </c>
      <c r="F83" s="1629">
        <v>0</v>
      </c>
      <c r="G83" s="405" t="b">
        <v>1</v>
      </c>
      <c r="H83" s="1638"/>
      <c r="I83" s="1639">
        <v>3576</v>
      </c>
      <c r="J83" s="1639">
        <v>2285.5167186880808</v>
      </c>
      <c r="K83" s="1639">
        <v>35273.453040601154</v>
      </c>
      <c r="L83" s="1640">
        <v>0.66020076743673306</v>
      </c>
      <c r="M83" s="2157">
        <v>332.65191549554504</v>
      </c>
      <c r="N83" s="1639"/>
      <c r="O83" s="1639">
        <v>3600</v>
      </c>
      <c r="P83" s="1639">
        <v>2316.297742015307</v>
      </c>
      <c r="Q83" s="1639">
        <v>35510.187624766266</v>
      </c>
      <c r="R83" s="1640">
        <v>0.66020076743673306</v>
      </c>
      <c r="S83" s="2157">
        <v>339.39465656739713</v>
      </c>
      <c r="T83" s="1639"/>
      <c r="U83" s="1639">
        <v>2091.2574863698419</v>
      </c>
      <c r="V83" s="1639">
        <v>781.63572293681398</v>
      </c>
      <c r="W83" s="1639">
        <v>20628.040475747268</v>
      </c>
      <c r="X83" s="1640">
        <v>0.66020076743673306</v>
      </c>
      <c r="Y83" s="1641">
        <v>66.5</v>
      </c>
      <c r="Z83" s="1854">
        <f>IF($G83,MATCH('Fan Name List'!Y83,'Fan Name List'!$AC$16:$BM$16,1),0)</f>
        <v>22</v>
      </c>
      <c r="AA83" s="1859">
        <f>IF($G83,IF(S83&gt;567,37,MATCH('Fan Name List'!S83,'Fan Name List'!$AC$16:$BM$16,1)+1),0)</f>
        <v>30</v>
      </c>
      <c r="AB83" s="1854"/>
      <c r="AC83" s="1855"/>
      <c r="AD83" s="1855"/>
      <c r="AE83" s="1855"/>
      <c r="AF83" s="1855"/>
      <c r="AG83" s="1855"/>
      <c r="AH83" s="1855"/>
      <c r="AI83" s="1855"/>
      <c r="AJ83" s="1855"/>
      <c r="AK83" s="1855"/>
      <c r="AL83" s="1855"/>
      <c r="AM83" s="1855"/>
      <c r="AN83" s="1855"/>
      <c r="AO83" s="1855"/>
      <c r="AP83" s="1855"/>
      <c r="AQ83" s="1855"/>
      <c r="AR83" s="1855"/>
      <c r="AS83" s="1855"/>
      <c r="AT83" s="1855"/>
      <c r="AU83" s="1855"/>
      <c r="AV83" s="1855"/>
      <c r="AW83" s="1855"/>
      <c r="AX83" s="1855"/>
      <c r="AY83" s="1855"/>
      <c r="AZ83" s="1855"/>
      <c r="BA83" s="1855"/>
      <c r="BB83" s="1855"/>
      <c r="BC83" s="1855"/>
      <c r="BD83" s="1855"/>
      <c r="BE83" s="1855"/>
      <c r="BF83" s="1855"/>
      <c r="BG83" s="1855"/>
      <c r="BH83" s="1855"/>
      <c r="BI83" s="1855"/>
      <c r="BJ83" s="1855"/>
      <c r="BK83" s="1855"/>
      <c r="BL83" s="1855"/>
      <c r="BM83" s="1855"/>
      <c r="BN83" s="1855"/>
      <c r="BO83" s="1855"/>
      <c r="BP83" s="1855"/>
      <c r="BQ83" s="1855"/>
      <c r="BR83" s="1855"/>
      <c r="BS83" s="1855"/>
      <c r="BT83" s="1855"/>
      <c r="BU83" s="1855"/>
      <c r="BV83" s="1855"/>
      <c r="BW83" s="1855"/>
      <c r="BX83" s="1855"/>
      <c r="BY83" s="1855"/>
      <c r="BZ83" s="1855"/>
      <c r="CA83" s="1855"/>
      <c r="CB83" s="1855"/>
      <c r="CC83" s="1855"/>
      <c r="CD83" s="1859"/>
    </row>
    <row r="84" spans="1:82" ht="14.25">
      <c r="A84" s="1630" t="s">
        <v>2341</v>
      </c>
      <c r="B84" s="906" t="s">
        <v>2823</v>
      </c>
      <c r="C84" s="1473" t="s">
        <v>2018</v>
      </c>
      <c r="D84" s="968" t="s">
        <v>3018</v>
      </c>
      <c r="E84" s="1493" t="s">
        <v>2827</v>
      </c>
      <c r="F84" s="1629" t="s">
        <v>3019</v>
      </c>
      <c r="G84" s="405" t="b">
        <v>1</v>
      </c>
      <c r="H84" s="1638"/>
      <c r="I84" s="1639">
        <v>3528</v>
      </c>
      <c r="J84" s="1639">
        <v>816.33313672311931</v>
      </c>
      <c r="K84" s="1639">
        <v>7303.6246130026393</v>
      </c>
      <c r="L84" s="1640">
        <v>0.85923178701244685</v>
      </c>
      <c r="M84" s="2157">
        <v>18.902933591762128</v>
      </c>
      <c r="N84" s="1639"/>
      <c r="O84" s="1639">
        <v>3600</v>
      </c>
      <c r="P84" s="1639">
        <v>849.9928537308615</v>
      </c>
      <c r="Q84" s="1639">
        <v>7452.6781765333053</v>
      </c>
      <c r="R84" s="1640">
        <v>0.85923178701244685</v>
      </c>
      <c r="S84" s="2157">
        <v>20.084035554660609</v>
      </c>
      <c r="T84" s="1639"/>
      <c r="U84" s="1639">
        <v>2063.1869160829983</v>
      </c>
      <c r="V84" s="1639">
        <v>279.18200565433466</v>
      </c>
      <c r="W84" s="1639">
        <v>4271.1855843335588</v>
      </c>
      <c r="X84" s="1640">
        <v>0.85923178701244685</v>
      </c>
      <c r="Y84" s="1641">
        <v>3.8</v>
      </c>
      <c r="Z84" s="1854">
        <f>IF($G84,MATCH('Fan Name List'!Y84,'Fan Name List'!$AC$16:$BM$16,1),0)</f>
        <v>11</v>
      </c>
      <c r="AA84" s="1859">
        <f>IF($G84,IF(S84&gt;567,37,MATCH('Fan Name List'!S84,'Fan Name List'!$AC$16:$BM$16,1)+1),0)</f>
        <v>18</v>
      </c>
      <c r="AB84" s="1854"/>
      <c r="AC84" s="1855"/>
      <c r="AD84" s="1855"/>
      <c r="AE84" s="1855"/>
      <c r="AF84" s="1855"/>
      <c r="AG84" s="1855"/>
      <c r="AH84" s="1855"/>
      <c r="AI84" s="1855"/>
      <c r="AJ84" s="1855"/>
      <c r="AK84" s="1855"/>
      <c r="AL84" s="1855"/>
      <c r="AM84" s="1855"/>
      <c r="AN84" s="1855"/>
      <c r="AO84" s="1855"/>
      <c r="AP84" s="1855"/>
      <c r="AQ84" s="1855"/>
      <c r="AR84" s="1855"/>
      <c r="AS84" s="1855"/>
      <c r="AT84" s="1855"/>
      <c r="AU84" s="1855"/>
      <c r="AV84" s="1855"/>
      <c r="AW84" s="1855"/>
      <c r="AX84" s="1855"/>
      <c r="AY84" s="1855"/>
      <c r="AZ84" s="1855"/>
      <c r="BA84" s="1855"/>
      <c r="BB84" s="1855"/>
      <c r="BC84" s="1855"/>
      <c r="BD84" s="1855"/>
      <c r="BE84" s="1855"/>
      <c r="BF84" s="1855"/>
      <c r="BG84" s="1855"/>
      <c r="BH84" s="1855"/>
      <c r="BI84" s="1855"/>
      <c r="BJ84" s="1855"/>
      <c r="BK84" s="1855"/>
      <c r="BL84" s="1855"/>
      <c r="BM84" s="1855"/>
      <c r="BN84" s="1855"/>
      <c r="BO84" s="1855"/>
      <c r="BP84" s="1855"/>
      <c r="BQ84" s="1855"/>
      <c r="BR84" s="1855"/>
      <c r="BS84" s="1855"/>
      <c r="BT84" s="1855"/>
      <c r="BU84" s="1855"/>
      <c r="BV84" s="1855"/>
      <c r="BW84" s="1855"/>
      <c r="BX84" s="1855"/>
      <c r="BY84" s="1855"/>
      <c r="BZ84" s="1855"/>
      <c r="CA84" s="1855"/>
      <c r="CB84" s="1855"/>
      <c r="CC84" s="1855"/>
      <c r="CD84" s="1859"/>
    </row>
    <row r="85" spans="1:82" ht="14.25">
      <c r="A85" s="1630" t="s">
        <v>1567</v>
      </c>
      <c r="B85" s="1494" t="s">
        <v>3020</v>
      </c>
      <c r="C85" s="1473" t="s">
        <v>2021</v>
      </c>
      <c r="D85" s="1495" t="s">
        <v>2343</v>
      </c>
      <c r="E85" s="1493" t="s">
        <v>1567</v>
      </c>
      <c r="F85" s="1629" t="s">
        <v>3020</v>
      </c>
      <c r="G85" s="405" t="b">
        <v>0</v>
      </c>
      <c r="H85" s="1638"/>
      <c r="I85" s="1639">
        <v>0</v>
      </c>
      <c r="J85" s="1639">
        <v>0</v>
      </c>
      <c r="K85" s="1639">
        <v>0</v>
      </c>
      <c r="L85" s="1640">
        <v>0</v>
      </c>
      <c r="M85" s="2157">
        <v>0</v>
      </c>
      <c r="N85" s="1639"/>
      <c r="O85" s="1639">
        <v>0</v>
      </c>
      <c r="P85" s="1639">
        <v>0</v>
      </c>
      <c r="Q85" s="1639">
        <v>0</v>
      </c>
      <c r="R85" s="1640">
        <v>0</v>
      </c>
      <c r="S85" s="2157">
        <v>0</v>
      </c>
      <c r="T85" s="1639"/>
      <c r="U85" s="1639">
        <v>0</v>
      </c>
      <c r="V85" s="1639">
        <v>0</v>
      </c>
      <c r="W85" s="1639">
        <v>0</v>
      </c>
      <c r="X85" s="1640">
        <v>0</v>
      </c>
      <c r="Y85" s="1641">
        <v>0</v>
      </c>
      <c r="Z85" s="1854">
        <f>IF($G85,MATCH('Fan Name List'!Y85,'Fan Name List'!$AC$16:$BM$16,1),0)</f>
        <v>0</v>
      </c>
      <c r="AA85" s="1859">
        <f>IF($G85,IF(S85&gt;567,37,MATCH('Fan Name List'!S85,'Fan Name List'!$AC$16:$BM$16,1)+1),0)</f>
        <v>0</v>
      </c>
      <c r="AB85" s="1854"/>
      <c r="AC85" s="1855"/>
      <c r="AD85" s="1855"/>
      <c r="AE85" s="1855"/>
      <c r="AF85" s="1855"/>
      <c r="AG85" s="1855"/>
      <c r="AH85" s="1855"/>
      <c r="AI85" s="1855"/>
      <c r="AJ85" s="1855"/>
      <c r="AK85" s="1855"/>
      <c r="AL85" s="1855"/>
      <c r="AM85" s="1855"/>
      <c r="AN85" s="1855"/>
      <c r="AO85" s="1855"/>
      <c r="AP85" s="1855"/>
      <c r="AQ85" s="1855"/>
      <c r="AR85" s="1855"/>
      <c r="AS85" s="1855"/>
      <c r="AT85" s="1855"/>
      <c r="AU85" s="1855"/>
      <c r="AV85" s="1855"/>
      <c r="AW85" s="1855"/>
      <c r="AX85" s="1855"/>
      <c r="AY85" s="1855"/>
      <c r="AZ85" s="1855"/>
      <c r="BA85" s="1855"/>
      <c r="BB85" s="1855"/>
      <c r="BC85" s="1855"/>
      <c r="BD85" s="1855"/>
      <c r="BE85" s="1855"/>
      <c r="BF85" s="1855"/>
      <c r="BG85" s="1855"/>
      <c r="BH85" s="1855"/>
      <c r="BI85" s="1855"/>
      <c r="BJ85" s="1855"/>
      <c r="BK85" s="1855"/>
      <c r="BL85" s="1855"/>
      <c r="BM85" s="1855"/>
      <c r="BN85" s="1855"/>
      <c r="BO85" s="1855"/>
      <c r="BP85" s="1855"/>
      <c r="BQ85" s="1855"/>
      <c r="BR85" s="1855"/>
      <c r="BS85" s="1855"/>
      <c r="BT85" s="1855"/>
      <c r="BU85" s="1855"/>
      <c r="BV85" s="1855"/>
      <c r="BW85" s="1855"/>
      <c r="BX85" s="1855"/>
      <c r="BY85" s="1855"/>
      <c r="BZ85" s="1855"/>
      <c r="CA85" s="1855"/>
      <c r="CB85" s="1855"/>
      <c r="CC85" s="1855"/>
      <c r="CD85" s="1859"/>
    </row>
    <row r="86" spans="1:82" ht="14.25">
      <c r="A86" s="1630" t="s">
        <v>1568</v>
      </c>
      <c r="B86" s="1494" t="s">
        <v>3021</v>
      </c>
      <c r="C86" s="1473" t="s">
        <v>2024</v>
      </c>
      <c r="D86" s="1495" t="s">
        <v>2344</v>
      </c>
      <c r="E86" s="1493" t="s">
        <v>1568</v>
      </c>
      <c r="F86" s="1629" t="s">
        <v>3021</v>
      </c>
      <c r="G86" s="405" t="b">
        <v>0</v>
      </c>
      <c r="H86" s="1638"/>
      <c r="I86" s="1639">
        <v>0</v>
      </c>
      <c r="J86" s="1639">
        <v>0</v>
      </c>
      <c r="K86" s="1639">
        <v>0</v>
      </c>
      <c r="L86" s="1640">
        <v>0</v>
      </c>
      <c r="M86" s="2157">
        <v>0</v>
      </c>
      <c r="N86" s="1639"/>
      <c r="O86" s="1639">
        <v>0</v>
      </c>
      <c r="P86" s="1639">
        <v>0</v>
      </c>
      <c r="Q86" s="1639">
        <v>0</v>
      </c>
      <c r="R86" s="1640">
        <v>0</v>
      </c>
      <c r="S86" s="2157">
        <v>0</v>
      </c>
      <c r="T86" s="1639"/>
      <c r="U86" s="1639">
        <v>0</v>
      </c>
      <c r="V86" s="1639">
        <v>0</v>
      </c>
      <c r="W86" s="1639">
        <v>0</v>
      </c>
      <c r="X86" s="1640">
        <v>0</v>
      </c>
      <c r="Y86" s="1641">
        <v>0</v>
      </c>
      <c r="Z86" s="1854">
        <f>IF($G86,MATCH('Fan Name List'!Y86,'Fan Name List'!$AC$16:$BM$16,1),0)</f>
        <v>0</v>
      </c>
      <c r="AA86" s="1859">
        <f>IF($G86,IF(S86&gt;567,37,MATCH('Fan Name List'!S86,'Fan Name List'!$AC$16:$BM$16,1)+1),0)</f>
        <v>0</v>
      </c>
      <c r="AB86" s="1854"/>
      <c r="AC86" s="1855"/>
      <c r="AD86" s="1855"/>
      <c r="AE86" s="1855"/>
      <c r="AF86" s="1855"/>
      <c r="AG86" s="1855"/>
      <c r="AH86" s="1855"/>
      <c r="AI86" s="1855"/>
      <c r="AJ86" s="1855"/>
      <c r="AK86" s="1855"/>
      <c r="AL86" s="1855"/>
      <c r="AM86" s="1855"/>
      <c r="AN86" s="1855"/>
      <c r="AO86" s="1855"/>
      <c r="AP86" s="1855"/>
      <c r="AQ86" s="1855"/>
      <c r="AR86" s="1855"/>
      <c r="AS86" s="1855"/>
      <c r="AT86" s="1855"/>
      <c r="AU86" s="1855"/>
      <c r="AV86" s="1855"/>
      <c r="AW86" s="1855"/>
      <c r="AX86" s="1855"/>
      <c r="AY86" s="1855"/>
      <c r="AZ86" s="1855"/>
      <c r="BA86" s="1855"/>
      <c r="BB86" s="1855"/>
      <c r="BC86" s="1855"/>
      <c r="BD86" s="1855"/>
      <c r="BE86" s="1855"/>
      <c r="BF86" s="1855"/>
      <c r="BG86" s="1855"/>
      <c r="BH86" s="1855"/>
      <c r="BI86" s="1855"/>
      <c r="BJ86" s="1855"/>
      <c r="BK86" s="1855"/>
      <c r="BL86" s="1855"/>
      <c r="BM86" s="1855"/>
      <c r="BN86" s="1855"/>
      <c r="BO86" s="1855"/>
      <c r="BP86" s="1855"/>
      <c r="BQ86" s="1855"/>
      <c r="BR86" s="1855"/>
      <c r="BS86" s="1855"/>
      <c r="BT86" s="1855"/>
      <c r="BU86" s="1855"/>
      <c r="BV86" s="1855"/>
      <c r="BW86" s="1855"/>
      <c r="BX86" s="1855"/>
      <c r="BY86" s="1855"/>
      <c r="BZ86" s="1855"/>
      <c r="CA86" s="1855"/>
      <c r="CB86" s="1855"/>
      <c r="CC86" s="1855"/>
      <c r="CD86" s="1859"/>
    </row>
    <row r="87" spans="1:82" ht="14.25">
      <c r="A87" s="1630" t="s">
        <v>1569</v>
      </c>
      <c r="B87" s="1494" t="s">
        <v>3022</v>
      </c>
      <c r="C87" s="1473" t="s">
        <v>2027</v>
      </c>
      <c r="D87" s="1495" t="s">
        <v>2345</v>
      </c>
      <c r="E87" s="1493" t="s">
        <v>1569</v>
      </c>
      <c r="F87" s="1629" t="s">
        <v>3022</v>
      </c>
      <c r="G87" s="405" t="b">
        <v>0</v>
      </c>
      <c r="H87" s="1638"/>
      <c r="I87" s="1639">
        <v>0</v>
      </c>
      <c r="J87" s="1639">
        <v>0</v>
      </c>
      <c r="K87" s="1639">
        <v>0</v>
      </c>
      <c r="L87" s="1640">
        <v>0</v>
      </c>
      <c r="M87" s="2157">
        <v>0</v>
      </c>
      <c r="N87" s="1639"/>
      <c r="O87" s="1639">
        <v>0</v>
      </c>
      <c r="P87" s="1639">
        <v>0</v>
      </c>
      <c r="Q87" s="1639">
        <v>0</v>
      </c>
      <c r="R87" s="1640">
        <v>0</v>
      </c>
      <c r="S87" s="2157">
        <v>0</v>
      </c>
      <c r="T87" s="1639"/>
      <c r="U87" s="1639">
        <v>0</v>
      </c>
      <c r="V87" s="1639">
        <v>0</v>
      </c>
      <c r="W87" s="1639">
        <v>0</v>
      </c>
      <c r="X87" s="1640">
        <v>0</v>
      </c>
      <c r="Y87" s="1641">
        <v>0</v>
      </c>
      <c r="Z87" s="1854">
        <f>IF($G87,MATCH('Fan Name List'!Y87,'Fan Name List'!$AC$16:$BM$16,1),0)</f>
        <v>0</v>
      </c>
      <c r="AA87" s="1859">
        <f>IF($G87,IF(S87&gt;567,37,MATCH('Fan Name List'!S87,'Fan Name List'!$AC$16:$BM$16,1)+1),0)</f>
        <v>0</v>
      </c>
      <c r="AB87" s="1854"/>
      <c r="AC87" s="1855"/>
      <c r="AD87" s="1855"/>
      <c r="AE87" s="1855"/>
      <c r="AF87" s="1855"/>
      <c r="AG87" s="1855"/>
      <c r="AH87" s="1855"/>
      <c r="AI87" s="1855"/>
      <c r="AJ87" s="1855"/>
      <c r="AK87" s="1855"/>
      <c r="AL87" s="1855"/>
      <c r="AM87" s="1855"/>
      <c r="AN87" s="1855"/>
      <c r="AO87" s="1855"/>
      <c r="AP87" s="1855"/>
      <c r="AQ87" s="1855"/>
      <c r="AR87" s="1855"/>
      <c r="AS87" s="1855"/>
      <c r="AT87" s="1855"/>
      <c r="AU87" s="1855"/>
      <c r="AV87" s="1855"/>
      <c r="AW87" s="1855"/>
      <c r="AX87" s="1855"/>
      <c r="AY87" s="1855"/>
      <c r="AZ87" s="1855"/>
      <c r="BA87" s="1855"/>
      <c r="BB87" s="1855"/>
      <c r="BC87" s="1855"/>
      <c r="BD87" s="1855"/>
      <c r="BE87" s="1855"/>
      <c r="BF87" s="1855"/>
      <c r="BG87" s="1855"/>
      <c r="BH87" s="1855"/>
      <c r="BI87" s="1855"/>
      <c r="BJ87" s="1855"/>
      <c r="BK87" s="1855"/>
      <c r="BL87" s="1855"/>
      <c r="BM87" s="1855"/>
      <c r="BN87" s="1855"/>
      <c r="BO87" s="1855"/>
      <c r="BP87" s="1855"/>
      <c r="BQ87" s="1855"/>
      <c r="BR87" s="1855"/>
      <c r="BS87" s="1855"/>
      <c r="BT87" s="1855"/>
      <c r="BU87" s="1855"/>
      <c r="BV87" s="1855"/>
      <c r="BW87" s="1855"/>
      <c r="BX87" s="1855"/>
      <c r="BY87" s="1855"/>
      <c r="BZ87" s="1855"/>
      <c r="CA87" s="1855"/>
      <c r="CB87" s="1855"/>
      <c r="CC87" s="1855"/>
      <c r="CD87" s="1859"/>
    </row>
    <row r="88" spans="1:82" ht="14.25">
      <c r="A88" s="1630" t="s">
        <v>2346</v>
      </c>
      <c r="B88" s="906" t="s">
        <v>3023</v>
      </c>
      <c r="C88" s="1473" t="s">
        <v>2030</v>
      </c>
      <c r="D88" s="968" t="s">
        <v>3024</v>
      </c>
      <c r="E88" s="1493" t="s">
        <v>2828</v>
      </c>
      <c r="F88" s="1629" t="s">
        <v>3025</v>
      </c>
      <c r="G88" s="405" t="b">
        <v>1</v>
      </c>
      <c r="H88" s="1638"/>
      <c r="I88" s="1639">
        <v>2940</v>
      </c>
      <c r="J88" s="1639">
        <v>1325.0938015820229</v>
      </c>
      <c r="K88" s="1639">
        <v>14158.783683771628</v>
      </c>
      <c r="L88" s="1640">
        <v>0.78018976406556118</v>
      </c>
      <c r="M88" s="2157">
        <v>65.50975806844535</v>
      </c>
      <c r="N88" s="1639"/>
      <c r="O88" s="1639">
        <v>3600</v>
      </c>
      <c r="P88" s="1639">
        <v>1986.8128636798344</v>
      </c>
      <c r="Q88" s="1639">
        <v>17337.286143393831</v>
      </c>
      <c r="R88" s="1640">
        <v>0.78018976406556118</v>
      </c>
      <c r="S88" s="2157">
        <v>120.27393129379929</v>
      </c>
      <c r="T88" s="1639"/>
      <c r="U88" s="1639">
        <v>1719.3224300691654</v>
      </c>
      <c r="V88" s="1639">
        <v>453.17570555912869</v>
      </c>
      <c r="W88" s="1639">
        <v>8280.1069285734302</v>
      </c>
      <c r="X88" s="1640">
        <v>0.78018976406556118</v>
      </c>
      <c r="Y88" s="1641">
        <v>13.1</v>
      </c>
      <c r="Z88" s="1854">
        <f>IF($G88,MATCH('Fan Name List'!Y88,'Fan Name List'!$AC$16:$BM$16,1),0)</f>
        <v>15</v>
      </c>
      <c r="AA88" s="1859">
        <f>IF($G88,IF(S88&gt;567,37,MATCH('Fan Name List'!S88,'Fan Name List'!$AC$16:$BM$16,1)+1),0)</f>
        <v>26</v>
      </c>
      <c r="AB88" s="1854"/>
      <c r="AC88" s="1855"/>
      <c r="AD88" s="1855"/>
      <c r="AE88" s="1855"/>
      <c r="AF88" s="1855"/>
      <c r="AG88" s="1855"/>
      <c r="AH88" s="1855"/>
      <c r="AI88" s="1855"/>
      <c r="AJ88" s="1855"/>
      <c r="AK88" s="1855"/>
      <c r="AL88" s="1855"/>
      <c r="AM88" s="1855"/>
      <c r="AN88" s="1855"/>
      <c r="AO88" s="1855"/>
      <c r="AP88" s="1855"/>
      <c r="AQ88" s="1855"/>
      <c r="AR88" s="1855"/>
      <c r="AS88" s="1855"/>
      <c r="AT88" s="1855"/>
      <c r="AU88" s="1855"/>
      <c r="AV88" s="1855"/>
      <c r="AW88" s="1855"/>
      <c r="AX88" s="1855"/>
      <c r="AY88" s="1855"/>
      <c r="AZ88" s="1855"/>
      <c r="BA88" s="1855"/>
      <c r="BB88" s="1855"/>
      <c r="BC88" s="1855"/>
      <c r="BD88" s="1855"/>
      <c r="BE88" s="1855"/>
      <c r="BF88" s="1855"/>
      <c r="BG88" s="1855"/>
      <c r="BH88" s="1855"/>
      <c r="BI88" s="1855"/>
      <c r="BJ88" s="1855"/>
      <c r="BK88" s="1855"/>
      <c r="BL88" s="1855"/>
      <c r="BM88" s="1855"/>
      <c r="BN88" s="1855"/>
      <c r="BO88" s="1855"/>
      <c r="BP88" s="1855"/>
      <c r="BQ88" s="1855"/>
      <c r="BR88" s="1855"/>
      <c r="BS88" s="1855"/>
      <c r="BT88" s="1855"/>
      <c r="BU88" s="1855"/>
      <c r="BV88" s="1855"/>
      <c r="BW88" s="1855"/>
      <c r="BX88" s="1855"/>
      <c r="BY88" s="1855"/>
      <c r="BZ88" s="1855"/>
      <c r="CA88" s="1855"/>
      <c r="CB88" s="1855"/>
      <c r="CC88" s="1855"/>
      <c r="CD88" s="1859"/>
    </row>
    <row r="89" spans="1:82" ht="14.25">
      <c r="A89" s="1630" t="s">
        <v>2348</v>
      </c>
      <c r="B89" s="906" t="s">
        <v>3026</v>
      </c>
      <c r="C89" s="1473" t="s">
        <v>2032</v>
      </c>
      <c r="D89" s="968" t="s">
        <v>2521</v>
      </c>
      <c r="E89" s="1493" t="s">
        <v>2829</v>
      </c>
      <c r="F89" s="1629" t="s">
        <v>3027</v>
      </c>
      <c r="G89" s="405" t="b">
        <v>1</v>
      </c>
      <c r="H89" s="1638"/>
      <c r="I89" s="1639">
        <v>3500</v>
      </c>
      <c r="J89" s="1639">
        <v>1917.5878848949365</v>
      </c>
      <c r="K89" s="1639">
        <v>13687.426081748496</v>
      </c>
      <c r="L89" s="1640">
        <v>0.67028355731813827</v>
      </c>
      <c r="M89" s="2157">
        <v>106.6724261273453</v>
      </c>
      <c r="N89" s="1639"/>
      <c r="O89" s="1639">
        <v>3600</v>
      </c>
      <c r="P89" s="1639">
        <v>2028.7297133255813</v>
      </c>
      <c r="Q89" s="1639">
        <v>14078.49539836988</v>
      </c>
      <c r="R89" s="1640">
        <v>0.67028355731813827</v>
      </c>
      <c r="S89" s="2157">
        <v>116.07950351947338</v>
      </c>
      <c r="T89" s="1639"/>
      <c r="U89" s="1639">
        <v>2046.8124167490064</v>
      </c>
      <c r="V89" s="1639">
        <v>655.80583176179687</v>
      </c>
      <c r="W89" s="1639">
        <v>8004.455330702006</v>
      </c>
      <c r="X89" s="1640">
        <v>0.67028355731813827</v>
      </c>
      <c r="Y89" s="1641">
        <v>21.3</v>
      </c>
      <c r="Z89" s="1854">
        <f>IF($G89,MATCH('Fan Name List'!Y89,'Fan Name List'!$AC$16:$BM$16,1),0)</f>
        <v>17</v>
      </c>
      <c r="AA89" s="1859">
        <f>IF($G89,IF(S89&gt;567,37,MATCH('Fan Name List'!S89,'Fan Name List'!$AC$16:$BM$16,1)+1),0)</f>
        <v>25</v>
      </c>
      <c r="AB89" s="1854"/>
      <c r="AC89" s="1855"/>
      <c r="AD89" s="1855"/>
      <c r="AE89" s="1855"/>
      <c r="AF89" s="1855"/>
      <c r="AG89" s="1855"/>
      <c r="AH89" s="1855"/>
      <c r="AI89" s="1855"/>
      <c r="AJ89" s="1855"/>
      <c r="AK89" s="1855"/>
      <c r="AL89" s="1855"/>
      <c r="AM89" s="1855"/>
      <c r="AN89" s="1855"/>
      <c r="AO89" s="1855"/>
      <c r="AP89" s="1855"/>
      <c r="AQ89" s="1855"/>
      <c r="AR89" s="1855"/>
      <c r="AS89" s="1855"/>
      <c r="AT89" s="1855"/>
      <c r="AU89" s="1855"/>
      <c r="AV89" s="1855"/>
      <c r="AW89" s="1855"/>
      <c r="AX89" s="1855"/>
      <c r="AY89" s="1855"/>
      <c r="AZ89" s="1855"/>
      <c r="BA89" s="1855"/>
      <c r="BB89" s="1855"/>
      <c r="BC89" s="1855"/>
      <c r="BD89" s="1855"/>
      <c r="BE89" s="1855"/>
      <c r="BF89" s="1855"/>
      <c r="BG89" s="1855"/>
      <c r="BH89" s="1855"/>
      <c r="BI89" s="1855"/>
      <c r="BJ89" s="1855"/>
      <c r="BK89" s="1855"/>
      <c r="BL89" s="1855"/>
      <c r="BM89" s="1855"/>
      <c r="BN89" s="1855"/>
      <c r="BO89" s="1855"/>
      <c r="BP89" s="1855"/>
      <c r="BQ89" s="1855"/>
      <c r="BR89" s="1855"/>
      <c r="BS89" s="1855"/>
      <c r="BT89" s="1855"/>
      <c r="BU89" s="1855"/>
      <c r="BV89" s="1855"/>
      <c r="BW89" s="1855"/>
      <c r="BX89" s="1855"/>
      <c r="BY89" s="1855"/>
      <c r="BZ89" s="1855"/>
      <c r="CA89" s="1855"/>
      <c r="CB89" s="1855"/>
      <c r="CC89" s="1855"/>
      <c r="CD89" s="1859"/>
    </row>
    <row r="90" spans="1:82" ht="14.25">
      <c r="A90" s="1630" t="s">
        <v>2349</v>
      </c>
      <c r="B90" s="906" t="s">
        <v>3028</v>
      </c>
      <c r="C90" s="1473" t="s">
        <v>2035</v>
      </c>
      <c r="D90" s="968" t="s">
        <v>3029</v>
      </c>
      <c r="E90" s="1493" t="s">
        <v>2830</v>
      </c>
      <c r="F90" s="1629" t="s">
        <v>3030</v>
      </c>
      <c r="G90" s="405" t="b">
        <v>1</v>
      </c>
      <c r="H90" s="1638"/>
      <c r="I90" s="1639">
        <v>2880</v>
      </c>
      <c r="J90" s="1639">
        <v>294.17804629809291</v>
      </c>
      <c r="K90" s="1639">
        <v>5374.8719967735969</v>
      </c>
      <c r="L90" s="1640">
        <v>0.85582204282909291</v>
      </c>
      <c r="M90" s="2157">
        <v>5.0330192531911111</v>
      </c>
      <c r="N90" s="1639"/>
      <c r="O90" s="1639">
        <v>3600</v>
      </c>
      <c r="P90" s="1639">
        <v>459.65319734077019</v>
      </c>
      <c r="Q90" s="1639">
        <v>6718.589995966996</v>
      </c>
      <c r="R90" s="1640">
        <v>0.85582204282909291</v>
      </c>
      <c r="S90" s="2157">
        <v>9.8301157288888881</v>
      </c>
      <c r="T90" s="1639"/>
      <c r="U90" s="1639">
        <v>1684.234217210611</v>
      </c>
      <c r="V90" s="1639">
        <v>100.60747664201654</v>
      </c>
      <c r="W90" s="1639">
        <v>3143.2442118379213</v>
      </c>
      <c r="X90" s="1640">
        <v>0.85582204282909291</v>
      </c>
      <c r="Y90" s="1641">
        <v>1</v>
      </c>
      <c r="Z90" s="1854">
        <f>IF($G90,MATCH('Fan Name List'!Y90,'Fan Name List'!$AC$16:$BM$16,1),0)</f>
        <v>7</v>
      </c>
      <c r="AA90" s="1859">
        <f>IF($G90,IF(S90&gt;567,37,MATCH('Fan Name List'!S90,'Fan Name List'!$AC$16:$BM$16,1)+1),0)</f>
        <v>15</v>
      </c>
      <c r="AB90" s="1854"/>
      <c r="AC90" s="1855"/>
      <c r="AD90" s="1855"/>
      <c r="AE90" s="1855"/>
      <c r="AF90" s="1855"/>
      <c r="AG90" s="1855"/>
      <c r="AH90" s="1855"/>
      <c r="AI90" s="1855"/>
      <c r="AJ90" s="1855"/>
      <c r="AK90" s="1855"/>
      <c r="AL90" s="1855"/>
      <c r="AM90" s="1855"/>
      <c r="AN90" s="1855"/>
      <c r="AO90" s="1855"/>
      <c r="AP90" s="1855"/>
      <c r="AQ90" s="1855"/>
      <c r="AR90" s="1855"/>
      <c r="AS90" s="1855"/>
      <c r="AT90" s="1855"/>
      <c r="AU90" s="1855"/>
      <c r="AV90" s="1855"/>
      <c r="AW90" s="1855"/>
      <c r="AX90" s="1855"/>
      <c r="AY90" s="1855"/>
      <c r="AZ90" s="1855"/>
      <c r="BA90" s="1855"/>
      <c r="BB90" s="1855"/>
      <c r="BC90" s="1855"/>
      <c r="BD90" s="1855"/>
      <c r="BE90" s="1855"/>
      <c r="BF90" s="1855"/>
      <c r="BG90" s="1855"/>
      <c r="BH90" s="1855"/>
      <c r="BI90" s="1855"/>
      <c r="BJ90" s="1855"/>
      <c r="BK90" s="1855"/>
      <c r="BL90" s="1855"/>
      <c r="BM90" s="1855"/>
      <c r="BN90" s="1855"/>
      <c r="BO90" s="1855"/>
      <c r="BP90" s="1855"/>
      <c r="BQ90" s="1855"/>
      <c r="BR90" s="1855"/>
      <c r="BS90" s="1855"/>
      <c r="BT90" s="1855"/>
      <c r="BU90" s="1855"/>
      <c r="BV90" s="1855"/>
      <c r="BW90" s="1855"/>
      <c r="BX90" s="1855"/>
      <c r="BY90" s="1855"/>
      <c r="BZ90" s="1855"/>
      <c r="CA90" s="1855"/>
      <c r="CB90" s="1855"/>
      <c r="CC90" s="1855"/>
      <c r="CD90" s="1859"/>
    </row>
    <row r="91" spans="1:82" ht="14.25">
      <c r="A91" s="1630" t="s">
        <v>2351</v>
      </c>
      <c r="B91" s="906" t="s">
        <v>3031</v>
      </c>
      <c r="C91" s="1473" t="s">
        <v>2038</v>
      </c>
      <c r="D91" s="968" t="s">
        <v>3032</v>
      </c>
      <c r="E91" s="1493" t="s">
        <v>2831</v>
      </c>
      <c r="F91" s="1629" t="s">
        <v>3033</v>
      </c>
      <c r="G91" s="405" t="b">
        <v>1</v>
      </c>
      <c r="H91" s="1638"/>
      <c r="I91" s="1639">
        <v>2960</v>
      </c>
      <c r="J91" s="1639">
        <v>578.65319383313863</v>
      </c>
      <c r="K91" s="1639">
        <v>12915.276229926216</v>
      </c>
      <c r="L91" s="1640">
        <v>0.88153148401388925</v>
      </c>
      <c r="M91" s="2157">
        <v>23.094996485251404</v>
      </c>
      <c r="N91" s="1639"/>
      <c r="O91" s="1639">
        <v>3600</v>
      </c>
      <c r="P91" s="1639">
        <v>855.93332177655634</v>
      </c>
      <c r="Q91" s="1639">
        <v>15707.768387748101</v>
      </c>
      <c r="R91" s="1640">
        <v>0.88153148401388925</v>
      </c>
      <c r="S91" s="2157">
        <v>41.548014031124197</v>
      </c>
      <c r="T91" s="1639"/>
      <c r="U91" s="1639">
        <v>1731.0185010220168</v>
      </c>
      <c r="V91" s="1639">
        <v>197.89660858446314</v>
      </c>
      <c r="W91" s="1639">
        <v>7552.8993580446495</v>
      </c>
      <c r="X91" s="1640">
        <v>0.88153148401388925</v>
      </c>
      <c r="Y91" s="1641">
        <v>4.5999999999999996</v>
      </c>
      <c r="Z91" s="1854">
        <f>IF($G91,MATCH('Fan Name List'!Y91,'Fan Name List'!$AC$16:$BM$16,1),0)</f>
        <v>12</v>
      </c>
      <c r="AA91" s="1859">
        <f>IF($G91,IF(S91&gt;567,37,MATCH('Fan Name List'!S91,'Fan Name List'!$AC$16:$BM$16,1)+1),0)</f>
        <v>21</v>
      </c>
      <c r="AB91" s="1854"/>
      <c r="AC91" s="1855"/>
      <c r="AD91" s="1855"/>
      <c r="AE91" s="1855"/>
      <c r="AF91" s="1855"/>
      <c r="AG91" s="1855"/>
      <c r="AH91" s="1855"/>
      <c r="AI91" s="1855"/>
      <c r="AJ91" s="1855"/>
      <c r="AK91" s="1855"/>
      <c r="AL91" s="1855"/>
      <c r="AM91" s="1855"/>
      <c r="AN91" s="1855"/>
      <c r="AO91" s="1855"/>
      <c r="AP91" s="1855"/>
      <c r="AQ91" s="1855"/>
      <c r="AR91" s="1855"/>
      <c r="AS91" s="1855"/>
      <c r="AT91" s="1855"/>
      <c r="AU91" s="1855"/>
      <c r="AV91" s="1855"/>
      <c r="AW91" s="1855"/>
      <c r="AX91" s="1855"/>
      <c r="AY91" s="1855"/>
      <c r="AZ91" s="1855"/>
      <c r="BA91" s="1855"/>
      <c r="BB91" s="1855"/>
      <c r="BC91" s="1855"/>
      <c r="BD91" s="1855"/>
      <c r="BE91" s="1855"/>
      <c r="BF91" s="1855"/>
      <c r="BG91" s="1855"/>
      <c r="BH91" s="1855"/>
      <c r="BI91" s="1855"/>
      <c r="BJ91" s="1855"/>
      <c r="BK91" s="1855"/>
      <c r="BL91" s="1855"/>
      <c r="BM91" s="1855"/>
      <c r="BN91" s="1855"/>
      <c r="BO91" s="1855"/>
      <c r="BP91" s="1855"/>
      <c r="BQ91" s="1855"/>
      <c r="BR91" s="1855"/>
      <c r="BS91" s="1855"/>
      <c r="BT91" s="1855"/>
      <c r="BU91" s="1855"/>
      <c r="BV91" s="1855"/>
      <c r="BW91" s="1855"/>
      <c r="BX91" s="1855"/>
      <c r="BY91" s="1855"/>
      <c r="BZ91" s="1855"/>
      <c r="CA91" s="1855"/>
      <c r="CB91" s="1855"/>
      <c r="CC91" s="1855"/>
      <c r="CD91" s="1859"/>
    </row>
    <row r="92" spans="1:82" ht="14.25">
      <c r="A92" s="1630" t="s">
        <v>2353</v>
      </c>
      <c r="B92" s="906" t="s">
        <v>3034</v>
      </c>
      <c r="C92" s="1473" t="s">
        <v>2041</v>
      </c>
      <c r="D92" s="968" t="s">
        <v>2523</v>
      </c>
      <c r="E92" s="1493" t="s">
        <v>2832</v>
      </c>
      <c r="F92" s="1629" t="s">
        <v>3035</v>
      </c>
      <c r="G92" s="405" t="b">
        <v>1</v>
      </c>
      <c r="H92" s="1638"/>
      <c r="I92" s="1639">
        <v>3000</v>
      </c>
      <c r="J92" s="1639">
        <v>1003.8472893304934</v>
      </c>
      <c r="K92" s="1639">
        <v>9277.1892456515034</v>
      </c>
      <c r="L92" s="1640">
        <v>0.7232937236055057</v>
      </c>
      <c r="M92" s="2157">
        <v>35.075433281189142</v>
      </c>
      <c r="N92" s="1639"/>
      <c r="O92" s="1639">
        <v>3600</v>
      </c>
      <c r="P92" s="1639">
        <v>1445.5400966359105</v>
      </c>
      <c r="Q92" s="1639">
        <v>11132.627094781803</v>
      </c>
      <c r="R92" s="1640">
        <v>0.7232937236055057</v>
      </c>
      <c r="S92" s="2157">
        <v>60.610348709894829</v>
      </c>
      <c r="T92" s="1639"/>
      <c r="U92" s="1639">
        <v>1754.4106429277199</v>
      </c>
      <c r="V92" s="1639">
        <v>343.31094377834938</v>
      </c>
      <c r="W92" s="1639">
        <v>5425.3331830085272</v>
      </c>
      <c r="X92" s="1640">
        <v>0.7232937236055057</v>
      </c>
      <c r="Y92" s="1641">
        <v>7</v>
      </c>
      <c r="Z92" s="1854">
        <f>IF($G92,MATCH('Fan Name List'!Y92,'Fan Name List'!$AC$16:$BM$16,1),0)</f>
        <v>13</v>
      </c>
      <c r="AA92" s="1859">
        <f>IF($G92,IF(S92&gt;567,37,MATCH('Fan Name List'!S92,'Fan Name List'!$AC$16:$BM$16,1)+1),0)</f>
        <v>23</v>
      </c>
      <c r="AB92" s="1854"/>
      <c r="AC92" s="1855"/>
      <c r="AD92" s="1855"/>
      <c r="AE92" s="1855"/>
      <c r="AF92" s="1855"/>
      <c r="AG92" s="1855"/>
      <c r="AH92" s="1855"/>
      <c r="AI92" s="1855"/>
      <c r="AJ92" s="1855"/>
      <c r="AK92" s="1855"/>
      <c r="AL92" s="1855"/>
      <c r="AM92" s="1855"/>
      <c r="AN92" s="1855"/>
      <c r="AO92" s="1855"/>
      <c r="AP92" s="1855"/>
      <c r="AQ92" s="1855"/>
      <c r="AR92" s="1855"/>
      <c r="AS92" s="1855"/>
      <c r="AT92" s="1855"/>
      <c r="AU92" s="1855"/>
      <c r="AV92" s="1855"/>
      <c r="AW92" s="1855"/>
      <c r="AX92" s="1855"/>
      <c r="AY92" s="1855"/>
      <c r="AZ92" s="1855"/>
      <c r="BA92" s="1855"/>
      <c r="BB92" s="1855"/>
      <c r="BC92" s="1855"/>
      <c r="BD92" s="1855"/>
      <c r="BE92" s="1855"/>
      <c r="BF92" s="1855"/>
      <c r="BG92" s="1855"/>
      <c r="BH92" s="1855"/>
      <c r="BI92" s="1855"/>
      <c r="BJ92" s="1855"/>
      <c r="BK92" s="1855"/>
      <c r="BL92" s="1855"/>
      <c r="BM92" s="1855"/>
      <c r="BN92" s="1855"/>
      <c r="BO92" s="1855"/>
      <c r="BP92" s="1855"/>
      <c r="BQ92" s="1855"/>
      <c r="BR92" s="1855"/>
      <c r="BS92" s="1855"/>
      <c r="BT92" s="1855"/>
      <c r="BU92" s="1855"/>
      <c r="BV92" s="1855"/>
      <c r="BW92" s="1855"/>
      <c r="BX92" s="1855"/>
      <c r="BY92" s="1855"/>
      <c r="BZ92" s="1855"/>
      <c r="CA92" s="1855"/>
      <c r="CB92" s="1855"/>
      <c r="CC92" s="1855"/>
      <c r="CD92" s="1859"/>
    </row>
    <row r="93" spans="1:82" ht="14.25">
      <c r="A93" s="1630" t="s">
        <v>2354</v>
      </c>
      <c r="B93" s="906" t="s">
        <v>3036</v>
      </c>
      <c r="C93" s="1473" t="s">
        <v>2043</v>
      </c>
      <c r="D93" s="968" t="s">
        <v>3037</v>
      </c>
      <c r="E93" s="1493" t="s">
        <v>2833</v>
      </c>
      <c r="F93" s="1629" t="s">
        <v>3038</v>
      </c>
      <c r="G93" s="405" t="b">
        <v>1</v>
      </c>
      <c r="H93" s="1638"/>
      <c r="I93" s="1639">
        <v>2980</v>
      </c>
      <c r="J93" s="1639">
        <v>2030.9720903260422</v>
      </c>
      <c r="K93" s="1639">
        <v>21093.587228512348</v>
      </c>
      <c r="L93" s="1640">
        <v>0.85123181945182624</v>
      </c>
      <c r="M93" s="2157">
        <v>137.10087411573187</v>
      </c>
      <c r="N93" s="1639"/>
      <c r="O93" s="1639">
        <v>3600</v>
      </c>
      <c r="P93" s="1639">
        <v>2963.9879161552981</v>
      </c>
      <c r="Q93" s="1639">
        <v>25482.185913639078</v>
      </c>
      <c r="R93" s="1640">
        <v>0.85123181945182624</v>
      </c>
      <c r="S93" s="2157">
        <v>241.71240180636045</v>
      </c>
      <c r="T93" s="1639"/>
      <c r="U93" s="1639">
        <v>1742.7145719748682</v>
      </c>
      <c r="V93" s="1639">
        <v>694.58268456584494</v>
      </c>
      <c r="W93" s="1639">
        <v>12335.604643742096</v>
      </c>
      <c r="X93" s="1640">
        <v>0.85123181945182624</v>
      </c>
      <c r="Y93" s="1641">
        <v>27.4</v>
      </c>
      <c r="Z93" s="1854">
        <f>IF($G93,MATCH('Fan Name List'!Y93,'Fan Name List'!$AC$16:$BM$16,1),0)</f>
        <v>18</v>
      </c>
      <c r="AA93" s="1859">
        <f>IF($G93,IF(S93&gt;567,37,MATCH('Fan Name List'!S93,'Fan Name List'!$AC$16:$BM$16,1)+1),0)</f>
        <v>29</v>
      </c>
      <c r="AB93" s="1854"/>
      <c r="AC93" s="1855"/>
      <c r="AD93" s="1855"/>
      <c r="AE93" s="1855"/>
      <c r="AF93" s="1855"/>
      <c r="AG93" s="1855"/>
      <c r="AH93" s="1855"/>
      <c r="AI93" s="1855"/>
      <c r="AJ93" s="1855"/>
      <c r="AK93" s="1855"/>
      <c r="AL93" s="1855"/>
      <c r="AM93" s="1855"/>
      <c r="AN93" s="1855"/>
      <c r="AO93" s="1855"/>
      <c r="AP93" s="1855"/>
      <c r="AQ93" s="1855"/>
      <c r="AR93" s="1855"/>
      <c r="AS93" s="1855"/>
      <c r="AT93" s="1855"/>
      <c r="AU93" s="1855"/>
      <c r="AV93" s="1855"/>
      <c r="AW93" s="1855"/>
      <c r="AX93" s="1855"/>
      <c r="AY93" s="1855"/>
      <c r="AZ93" s="1855"/>
      <c r="BA93" s="1855"/>
      <c r="BB93" s="1855"/>
      <c r="BC93" s="1855"/>
      <c r="BD93" s="1855"/>
      <c r="BE93" s="1855"/>
      <c r="BF93" s="1855"/>
      <c r="BG93" s="1855"/>
      <c r="BH93" s="1855"/>
      <c r="BI93" s="1855"/>
      <c r="BJ93" s="1855"/>
      <c r="BK93" s="1855"/>
      <c r="BL93" s="1855"/>
      <c r="BM93" s="1855"/>
      <c r="BN93" s="1855"/>
      <c r="BO93" s="1855"/>
      <c r="BP93" s="1855"/>
      <c r="BQ93" s="1855"/>
      <c r="BR93" s="1855"/>
      <c r="BS93" s="1855"/>
      <c r="BT93" s="1855"/>
      <c r="BU93" s="1855"/>
      <c r="BV93" s="1855"/>
      <c r="BW93" s="1855"/>
      <c r="BX93" s="1855"/>
      <c r="BY93" s="1855"/>
      <c r="BZ93" s="1855"/>
      <c r="CA93" s="1855"/>
      <c r="CB93" s="1855"/>
      <c r="CC93" s="1855"/>
      <c r="CD93" s="1859"/>
    </row>
    <row r="94" spans="1:82" ht="14.25">
      <c r="A94" s="1630" t="s">
        <v>2356</v>
      </c>
      <c r="B94" s="906" t="s">
        <v>3039</v>
      </c>
      <c r="C94" s="1473" t="s">
        <v>2534</v>
      </c>
      <c r="D94" s="968" t="s">
        <v>3040</v>
      </c>
      <c r="E94" s="1493">
        <v>0</v>
      </c>
      <c r="F94" s="1629">
        <v>0</v>
      </c>
      <c r="G94" s="405" t="b">
        <v>1</v>
      </c>
      <c r="H94" s="1638"/>
      <c r="I94" s="1639">
        <v>2930</v>
      </c>
      <c r="J94" s="1639">
        <v>272.54607776021118</v>
      </c>
      <c r="K94" s="1639">
        <v>8535.6702628414187</v>
      </c>
      <c r="L94" s="1640">
        <v>0.85180941310023417</v>
      </c>
      <c r="M94" s="2157">
        <v>7.4399292503977819</v>
      </c>
      <c r="N94" s="1639"/>
      <c r="O94" s="1639">
        <v>3600</v>
      </c>
      <c r="P94" s="1639">
        <v>411.4430182963502</v>
      </c>
      <c r="Q94" s="1639">
        <v>10487.512950931436</v>
      </c>
      <c r="R94" s="1640">
        <v>0.85180941310023417</v>
      </c>
      <c r="S94" s="2157">
        <v>13.799820802377909</v>
      </c>
      <c r="T94" s="1639"/>
      <c r="U94" s="1639">
        <v>1713.4743945927396</v>
      </c>
      <c r="V94" s="1639">
        <v>93.209447466207564</v>
      </c>
      <c r="W94" s="1639">
        <v>4991.6902512168772</v>
      </c>
      <c r="X94" s="1640">
        <v>0.85180941310023417</v>
      </c>
      <c r="Y94" s="1641">
        <v>1.5</v>
      </c>
      <c r="Z94" s="1854">
        <f>IF($G94,MATCH('Fan Name List'!Y94,'Fan Name List'!$AC$16:$BM$16,1),0)</f>
        <v>8</v>
      </c>
      <c r="AA94" s="1859">
        <f>IF($G94,IF(S94&gt;567,37,MATCH('Fan Name List'!S94,'Fan Name List'!$AC$16:$BM$16,1)+1),0)</f>
        <v>16</v>
      </c>
      <c r="AB94" s="1854"/>
      <c r="AC94" s="1855"/>
      <c r="AD94" s="1855"/>
      <c r="AE94" s="1855"/>
      <c r="AF94" s="1855"/>
      <c r="AG94" s="1855"/>
      <c r="AH94" s="1855"/>
      <c r="AI94" s="1855"/>
      <c r="AJ94" s="1855"/>
      <c r="AK94" s="1855"/>
      <c r="AL94" s="1855"/>
      <c r="AM94" s="1855"/>
      <c r="AN94" s="1855"/>
      <c r="AO94" s="1855"/>
      <c r="AP94" s="1855"/>
      <c r="AQ94" s="1855"/>
      <c r="AR94" s="1855"/>
      <c r="AS94" s="1855"/>
      <c r="AT94" s="1855"/>
      <c r="AU94" s="1855"/>
      <c r="AV94" s="1855"/>
      <c r="AW94" s="1855"/>
      <c r="AX94" s="1855"/>
      <c r="AY94" s="1855"/>
      <c r="AZ94" s="1855"/>
      <c r="BA94" s="1855"/>
      <c r="BB94" s="1855"/>
      <c r="BC94" s="1855"/>
      <c r="BD94" s="1855"/>
      <c r="BE94" s="1855"/>
      <c r="BF94" s="1855"/>
      <c r="BG94" s="1855"/>
      <c r="BH94" s="1855"/>
      <c r="BI94" s="1855"/>
      <c r="BJ94" s="1855"/>
      <c r="BK94" s="1855"/>
      <c r="BL94" s="1855"/>
      <c r="BM94" s="1855"/>
      <c r="BN94" s="1855"/>
      <c r="BO94" s="1855"/>
      <c r="BP94" s="1855"/>
      <c r="BQ94" s="1855"/>
      <c r="BR94" s="1855"/>
      <c r="BS94" s="1855"/>
      <c r="BT94" s="1855"/>
      <c r="BU94" s="1855"/>
      <c r="BV94" s="1855"/>
      <c r="BW94" s="1855"/>
      <c r="BX94" s="1855"/>
      <c r="BY94" s="1855"/>
      <c r="BZ94" s="1855"/>
      <c r="CA94" s="1855"/>
      <c r="CB94" s="1855"/>
      <c r="CC94" s="1855"/>
      <c r="CD94" s="1859"/>
    </row>
    <row r="95" spans="1:82" ht="14.25">
      <c r="A95" s="1630" t="s">
        <v>2358</v>
      </c>
      <c r="B95" s="906" t="s">
        <v>3041</v>
      </c>
      <c r="C95" s="1473" t="s">
        <v>2535</v>
      </c>
      <c r="D95" s="968" t="s">
        <v>2281</v>
      </c>
      <c r="E95" s="1493">
        <v>0</v>
      </c>
      <c r="F95" s="1629">
        <v>0</v>
      </c>
      <c r="G95" s="405" t="b">
        <v>1</v>
      </c>
      <c r="H95" s="1638"/>
      <c r="I95" s="1639">
        <v>3550</v>
      </c>
      <c r="J95" s="1639">
        <v>1830.5726634031976</v>
      </c>
      <c r="K95" s="1639">
        <v>2609.9659378966444</v>
      </c>
      <c r="L95" s="1640">
        <v>0.3247833593100366</v>
      </c>
      <c r="M95" s="2157">
        <v>40.073909873365736</v>
      </c>
      <c r="N95" s="1639"/>
      <c r="O95" s="1639">
        <v>3600</v>
      </c>
      <c r="P95" s="1639">
        <v>1882.5012273521475</v>
      </c>
      <c r="Q95" s="1639">
        <v>2646.7260215289916</v>
      </c>
      <c r="R95" s="1640">
        <v>0.3247833593100366</v>
      </c>
      <c r="S95" s="2157">
        <v>41.791134422842589</v>
      </c>
      <c r="T95" s="1639"/>
      <c r="U95" s="1639">
        <v>2076.0525941311353</v>
      </c>
      <c r="V95" s="1639">
        <v>626.0470446126734</v>
      </c>
      <c r="W95" s="1639">
        <v>1526.3173397082339</v>
      </c>
      <c r="X95" s="1640">
        <v>0.3247833593100366</v>
      </c>
      <c r="Y95" s="1641">
        <v>8</v>
      </c>
      <c r="Z95" s="1854">
        <f>IF($G95,MATCH('Fan Name List'!Y95,'Fan Name List'!$AC$16:$BM$16,1),0)</f>
        <v>13</v>
      </c>
      <c r="AA95" s="1859">
        <f>IF($G95,IF(S95&gt;567,37,MATCH('Fan Name List'!S95,'Fan Name List'!$AC$16:$BM$16,1)+1),0)</f>
        <v>21</v>
      </c>
      <c r="AB95" s="1854"/>
      <c r="AC95" s="1855"/>
      <c r="AD95" s="1855"/>
      <c r="AE95" s="1855"/>
      <c r="AF95" s="1855"/>
      <c r="AG95" s="1855"/>
      <c r="AH95" s="1855"/>
      <c r="AI95" s="1855"/>
      <c r="AJ95" s="1855"/>
      <c r="AK95" s="1855"/>
      <c r="AL95" s="1855"/>
      <c r="AM95" s="1855"/>
      <c r="AN95" s="1855"/>
      <c r="AO95" s="1855"/>
      <c r="AP95" s="1855"/>
      <c r="AQ95" s="1855"/>
      <c r="AR95" s="1855"/>
      <c r="AS95" s="1855"/>
      <c r="AT95" s="1855"/>
      <c r="AU95" s="1855"/>
      <c r="AV95" s="1855"/>
      <c r="AW95" s="1855"/>
      <c r="AX95" s="1855"/>
      <c r="AY95" s="1855"/>
      <c r="AZ95" s="1855"/>
      <c r="BA95" s="1855"/>
      <c r="BB95" s="1855"/>
      <c r="BC95" s="1855"/>
      <c r="BD95" s="1855"/>
      <c r="BE95" s="1855"/>
      <c r="BF95" s="1855"/>
      <c r="BG95" s="1855"/>
      <c r="BH95" s="1855"/>
      <c r="BI95" s="1855"/>
      <c r="BJ95" s="1855"/>
      <c r="BK95" s="1855"/>
      <c r="BL95" s="1855"/>
      <c r="BM95" s="1855"/>
      <c r="BN95" s="1855"/>
      <c r="BO95" s="1855"/>
      <c r="BP95" s="1855"/>
      <c r="BQ95" s="1855"/>
      <c r="BR95" s="1855"/>
      <c r="BS95" s="1855"/>
      <c r="BT95" s="1855"/>
      <c r="BU95" s="1855"/>
      <c r="BV95" s="1855"/>
      <c r="BW95" s="1855"/>
      <c r="BX95" s="1855"/>
      <c r="BY95" s="1855"/>
      <c r="BZ95" s="1855"/>
      <c r="CA95" s="1855"/>
      <c r="CB95" s="1855"/>
      <c r="CC95" s="1855"/>
      <c r="CD95" s="1859"/>
    </row>
    <row r="96" spans="1:82" ht="14.25">
      <c r="A96" s="1630" t="s">
        <v>2359</v>
      </c>
      <c r="B96" s="906" t="s">
        <v>3042</v>
      </c>
      <c r="C96" s="1473" t="s">
        <v>2536</v>
      </c>
      <c r="D96" s="968" t="s">
        <v>3043</v>
      </c>
      <c r="E96" s="1493">
        <v>0</v>
      </c>
      <c r="F96" s="1629">
        <v>0</v>
      </c>
      <c r="G96" s="405" t="b">
        <v>1</v>
      </c>
      <c r="H96" s="1638"/>
      <c r="I96" s="1639">
        <v>3600</v>
      </c>
      <c r="J96" s="1639">
        <v>1773.1037319505754</v>
      </c>
      <c r="K96" s="1639">
        <v>12415.241523657898</v>
      </c>
      <c r="L96" s="1640">
        <v>0.74420226962169511</v>
      </c>
      <c r="M96" s="2157">
        <v>80.580879076440141</v>
      </c>
      <c r="N96" s="1639"/>
      <c r="O96" s="1639">
        <v>3600</v>
      </c>
      <c r="P96" s="1639">
        <v>1773.1037319505754</v>
      </c>
      <c r="Q96" s="1639">
        <v>12415.241523657898</v>
      </c>
      <c r="R96" s="1640">
        <v>0.74420226962169511</v>
      </c>
      <c r="S96" s="2157">
        <v>80.580879076440141</v>
      </c>
      <c r="T96" s="1639"/>
      <c r="U96" s="1639">
        <v>2105.2927715132637</v>
      </c>
      <c r="V96" s="1639">
        <v>606.39294651963405</v>
      </c>
      <c r="W96" s="1639">
        <v>7260.4772878745252</v>
      </c>
      <c r="X96" s="1640">
        <v>0.74420226962169511</v>
      </c>
      <c r="Y96" s="1641">
        <v>16.100000000000001</v>
      </c>
      <c r="Z96" s="1854">
        <f>IF($G96,MATCH('Fan Name List'!Y96,'Fan Name List'!$AC$16:$BM$16,1),0)</f>
        <v>15</v>
      </c>
      <c r="AA96" s="1859">
        <f>IF($G96,IF(S96&gt;567,37,MATCH('Fan Name List'!S96,'Fan Name List'!$AC$16:$BM$16,1)+1),0)</f>
        <v>23</v>
      </c>
      <c r="AB96" s="1854"/>
      <c r="AC96" s="1855"/>
      <c r="AD96" s="1855"/>
      <c r="AE96" s="1855"/>
      <c r="AF96" s="1855"/>
      <c r="AG96" s="1855"/>
      <c r="AH96" s="1855"/>
      <c r="AI96" s="1855"/>
      <c r="AJ96" s="1855"/>
      <c r="AK96" s="1855"/>
      <c r="AL96" s="1855"/>
      <c r="AM96" s="1855"/>
      <c r="AN96" s="1855"/>
      <c r="AO96" s="1855"/>
      <c r="AP96" s="1855"/>
      <c r="AQ96" s="1855"/>
      <c r="AR96" s="1855"/>
      <c r="AS96" s="1855"/>
      <c r="AT96" s="1855"/>
      <c r="AU96" s="1855"/>
      <c r="AV96" s="1855"/>
      <c r="AW96" s="1855"/>
      <c r="AX96" s="1855"/>
      <c r="AY96" s="1855"/>
      <c r="AZ96" s="1855"/>
      <c r="BA96" s="1855"/>
      <c r="BB96" s="1855"/>
      <c r="BC96" s="1855"/>
      <c r="BD96" s="1855"/>
      <c r="BE96" s="1855"/>
      <c r="BF96" s="1855"/>
      <c r="BG96" s="1855"/>
      <c r="BH96" s="1855"/>
      <c r="BI96" s="1855"/>
      <c r="BJ96" s="1855"/>
      <c r="BK96" s="1855"/>
      <c r="BL96" s="1855"/>
      <c r="BM96" s="1855"/>
      <c r="BN96" s="1855"/>
      <c r="BO96" s="1855"/>
      <c r="BP96" s="1855"/>
      <c r="BQ96" s="1855"/>
      <c r="BR96" s="1855"/>
      <c r="BS96" s="1855"/>
      <c r="BT96" s="1855"/>
      <c r="BU96" s="1855"/>
      <c r="BV96" s="1855"/>
      <c r="BW96" s="1855"/>
      <c r="BX96" s="1855"/>
      <c r="BY96" s="1855"/>
      <c r="BZ96" s="1855"/>
      <c r="CA96" s="1855"/>
      <c r="CB96" s="1855"/>
      <c r="CC96" s="1855"/>
      <c r="CD96" s="1859"/>
    </row>
    <row r="97" spans="1:82" ht="14.25">
      <c r="A97" s="1630" t="s">
        <v>2524</v>
      </c>
      <c r="B97" s="906" t="s">
        <v>3044</v>
      </c>
      <c r="C97" s="1473" t="s">
        <v>2543</v>
      </c>
      <c r="D97" s="968" t="s">
        <v>2525</v>
      </c>
      <c r="E97" s="1493">
        <v>0</v>
      </c>
      <c r="F97" s="1629">
        <v>0</v>
      </c>
      <c r="G97" s="405" t="b">
        <v>1</v>
      </c>
      <c r="H97" s="1638"/>
      <c r="I97" s="1639">
        <v>3500</v>
      </c>
      <c r="J97" s="1639">
        <v>2304.65536890882</v>
      </c>
      <c r="K97" s="1639">
        <v>8425.6957957225168</v>
      </c>
      <c r="L97" s="1640">
        <v>0.75083325231230091</v>
      </c>
      <c r="M97" s="2157">
        <v>70.453397831474277</v>
      </c>
      <c r="N97" s="1639"/>
      <c r="O97" s="1639">
        <v>3600</v>
      </c>
      <c r="P97" s="1639">
        <v>2438.2313127394532</v>
      </c>
      <c r="Q97" s="1639">
        <v>8666.4299613145886</v>
      </c>
      <c r="R97" s="1640">
        <v>0.75083325231230091</v>
      </c>
      <c r="S97" s="2157">
        <v>76.666442664146075</v>
      </c>
      <c r="T97" s="1639"/>
      <c r="U97" s="1639">
        <v>2046.8124167490064</v>
      </c>
      <c r="V97" s="1639">
        <v>788.18104924267845</v>
      </c>
      <c r="W97" s="1639">
        <v>4927.3767926956425</v>
      </c>
      <c r="X97" s="1640">
        <v>0.75083325231230091</v>
      </c>
      <c r="Y97" s="1641">
        <v>14.1</v>
      </c>
      <c r="Z97" s="1854">
        <f>IF($G97,MATCH('Fan Name List'!Y97,'Fan Name List'!$AC$16:$BM$16,1),0)</f>
        <v>15</v>
      </c>
      <c r="AA97" s="1859">
        <f>IF($G97,IF(S97&gt;567,37,MATCH('Fan Name List'!S97,'Fan Name List'!$AC$16:$BM$16,1)+1),0)</f>
        <v>23</v>
      </c>
      <c r="AB97" s="1854"/>
      <c r="AC97" s="1855"/>
      <c r="AD97" s="1855"/>
      <c r="AE97" s="1855"/>
      <c r="AF97" s="1855"/>
      <c r="AG97" s="1855"/>
      <c r="AH97" s="1855"/>
      <c r="AI97" s="1855"/>
      <c r="AJ97" s="1855"/>
      <c r="AK97" s="1855"/>
      <c r="AL97" s="1855"/>
      <c r="AM97" s="1855"/>
      <c r="AN97" s="1855"/>
      <c r="AO97" s="1855"/>
      <c r="AP97" s="1855"/>
      <c r="AQ97" s="1855"/>
      <c r="AR97" s="1855"/>
      <c r="AS97" s="1855"/>
      <c r="AT97" s="1855"/>
      <c r="AU97" s="1855"/>
      <c r="AV97" s="1855"/>
      <c r="AW97" s="1855"/>
      <c r="AX97" s="1855"/>
      <c r="AY97" s="1855"/>
      <c r="AZ97" s="1855"/>
      <c r="BA97" s="1855"/>
      <c r="BB97" s="1855"/>
      <c r="BC97" s="1855"/>
      <c r="BD97" s="1855"/>
      <c r="BE97" s="1855"/>
      <c r="BF97" s="1855"/>
      <c r="BG97" s="1855"/>
      <c r="BH97" s="1855"/>
      <c r="BI97" s="1855"/>
      <c r="BJ97" s="1855"/>
      <c r="BK97" s="1855"/>
      <c r="BL97" s="1855"/>
      <c r="BM97" s="1855"/>
      <c r="BN97" s="1855"/>
      <c r="BO97" s="1855"/>
      <c r="BP97" s="1855"/>
      <c r="BQ97" s="1855"/>
      <c r="BR97" s="1855"/>
      <c r="BS97" s="1855"/>
      <c r="BT97" s="1855"/>
      <c r="BU97" s="1855"/>
      <c r="BV97" s="1855"/>
      <c r="BW97" s="1855"/>
      <c r="BX97" s="1855"/>
      <c r="BY97" s="1855"/>
      <c r="BZ97" s="1855"/>
      <c r="CA97" s="1855"/>
      <c r="CB97" s="1855"/>
      <c r="CC97" s="1855"/>
      <c r="CD97" s="1859"/>
    </row>
    <row r="98" spans="1:82" ht="14.25">
      <c r="A98" s="1630" t="s">
        <v>2361</v>
      </c>
      <c r="B98" s="906" t="s">
        <v>3045</v>
      </c>
      <c r="C98" s="1473">
        <v>0</v>
      </c>
      <c r="D98" s="968">
        <v>0</v>
      </c>
      <c r="E98" s="1493">
        <v>0</v>
      </c>
      <c r="F98" s="1629">
        <v>0</v>
      </c>
      <c r="G98" s="405" t="b">
        <v>0</v>
      </c>
      <c r="H98" s="1638"/>
      <c r="I98" s="1639">
        <v>0</v>
      </c>
      <c r="J98" s="1639">
        <v>0</v>
      </c>
      <c r="K98" s="1639">
        <v>0</v>
      </c>
      <c r="L98" s="1640">
        <v>0</v>
      </c>
      <c r="M98" s="2157">
        <v>0</v>
      </c>
      <c r="N98" s="1639"/>
      <c r="O98" s="1639">
        <v>0</v>
      </c>
      <c r="P98" s="1639">
        <v>0</v>
      </c>
      <c r="Q98" s="1639">
        <v>0</v>
      </c>
      <c r="R98" s="1640">
        <v>0</v>
      </c>
      <c r="S98" s="2157">
        <v>0</v>
      </c>
      <c r="T98" s="1639"/>
      <c r="U98" s="1639">
        <v>0</v>
      </c>
      <c r="V98" s="1639">
        <v>0</v>
      </c>
      <c r="W98" s="1639">
        <v>0</v>
      </c>
      <c r="X98" s="1640">
        <v>0</v>
      </c>
      <c r="Y98" s="1641">
        <v>0</v>
      </c>
      <c r="Z98" s="1854">
        <f>IF($G98,MATCH('Fan Name List'!Y98,'Fan Name List'!$AC$16:$BM$16,1),0)</f>
        <v>0</v>
      </c>
      <c r="AA98" s="1859">
        <f>IF($G98,IF(S98&gt;567,37,MATCH('Fan Name List'!S98,'Fan Name List'!$AC$16:$BM$16,1)+1),0)</f>
        <v>0</v>
      </c>
      <c r="AB98" s="1854"/>
      <c r="AC98" s="1855"/>
      <c r="AD98" s="1855"/>
      <c r="AE98" s="1855"/>
      <c r="AF98" s="1855"/>
      <c r="AG98" s="1855"/>
      <c r="AH98" s="1855"/>
      <c r="AI98" s="1855"/>
      <c r="AJ98" s="1855"/>
      <c r="AK98" s="1855"/>
      <c r="AL98" s="1855"/>
      <c r="AM98" s="1855"/>
      <c r="AN98" s="1855"/>
      <c r="AO98" s="1855"/>
      <c r="AP98" s="1855"/>
      <c r="AQ98" s="1855"/>
      <c r="AR98" s="1855"/>
      <c r="AS98" s="1855"/>
      <c r="AT98" s="1855"/>
      <c r="AU98" s="1855"/>
      <c r="AV98" s="1855"/>
      <c r="AW98" s="1855"/>
      <c r="AX98" s="1855"/>
      <c r="AY98" s="1855"/>
      <c r="AZ98" s="1855"/>
      <c r="BA98" s="1855"/>
      <c r="BB98" s="1855"/>
      <c r="BC98" s="1855"/>
      <c r="BD98" s="1855"/>
      <c r="BE98" s="1855"/>
      <c r="BF98" s="1855"/>
      <c r="BG98" s="1855"/>
      <c r="BH98" s="1855"/>
      <c r="BI98" s="1855"/>
      <c r="BJ98" s="1855"/>
      <c r="BK98" s="1855"/>
      <c r="BL98" s="1855"/>
      <c r="BM98" s="1855"/>
      <c r="BN98" s="1855"/>
      <c r="BO98" s="1855"/>
      <c r="BP98" s="1855"/>
      <c r="BQ98" s="1855"/>
      <c r="BR98" s="1855"/>
      <c r="BS98" s="1855"/>
      <c r="BT98" s="1855"/>
      <c r="BU98" s="1855"/>
      <c r="BV98" s="1855"/>
      <c r="BW98" s="1855"/>
      <c r="BX98" s="1855"/>
      <c r="BY98" s="1855"/>
      <c r="BZ98" s="1855"/>
      <c r="CA98" s="1855"/>
      <c r="CB98" s="1855"/>
      <c r="CC98" s="1855"/>
      <c r="CD98" s="1859"/>
    </row>
    <row r="99" spans="1:82" ht="14.25">
      <c r="A99" s="1630" t="s">
        <v>2362</v>
      </c>
      <c r="B99" s="906" t="s">
        <v>3046</v>
      </c>
      <c r="C99" s="1473" t="s">
        <v>2538</v>
      </c>
      <c r="D99" s="968" t="s">
        <v>3047</v>
      </c>
      <c r="E99" s="1493">
        <v>0</v>
      </c>
      <c r="F99" s="1629">
        <v>0</v>
      </c>
      <c r="G99" s="405" t="b">
        <v>1</v>
      </c>
      <c r="H99" s="1638"/>
      <c r="I99" s="1639">
        <v>1788</v>
      </c>
      <c r="J99" s="1639">
        <v>620.14343891537931</v>
      </c>
      <c r="K99" s="1639">
        <v>127161.64131463828</v>
      </c>
      <c r="L99" s="1640">
        <v>0.92688070237706166</v>
      </c>
      <c r="M99" s="2157">
        <v>231.77047582543494</v>
      </c>
      <c r="N99" s="1639"/>
      <c r="O99" s="1639">
        <v>2406.3804628874009</v>
      </c>
      <c r="P99" s="1639">
        <v>1123.2740094687633</v>
      </c>
      <c r="Q99" s="1639">
        <v>171140.54210751731</v>
      </c>
      <c r="R99" s="1640">
        <v>0.92688070237706166</v>
      </c>
      <c r="S99" s="2157">
        <v>565</v>
      </c>
      <c r="T99" s="1639"/>
      <c r="U99" s="1639">
        <v>1045.6287431849209</v>
      </c>
      <c r="V99" s="1639">
        <v>212.08607280693366</v>
      </c>
      <c r="W99" s="1639">
        <v>74364.578964852888</v>
      </c>
      <c r="X99" s="1640">
        <v>0.92688070237706166</v>
      </c>
      <c r="Y99" s="1641">
        <v>46.4</v>
      </c>
      <c r="Z99" s="1854">
        <f>IF($G99,MATCH('Fan Name List'!Y99,'Fan Name List'!$AC$16:$BM$16,1),0)</f>
        <v>20</v>
      </c>
      <c r="AA99" s="1859">
        <f>IF($G99,IF(S99&gt;567,37,MATCH('Fan Name List'!S99,'Fan Name List'!$AC$16:$BM$16,1)+1),0)</f>
        <v>35</v>
      </c>
      <c r="AB99" s="1854"/>
      <c r="AC99" s="1855"/>
      <c r="AD99" s="1855"/>
      <c r="AE99" s="1855"/>
      <c r="AF99" s="1855"/>
      <c r="AG99" s="1855"/>
      <c r="AH99" s="1855"/>
      <c r="AI99" s="1855"/>
      <c r="AJ99" s="1855"/>
      <c r="AK99" s="1855"/>
      <c r="AL99" s="1855"/>
      <c r="AM99" s="1855"/>
      <c r="AN99" s="1855"/>
      <c r="AO99" s="1855"/>
      <c r="AP99" s="1855"/>
      <c r="AQ99" s="1855"/>
      <c r="AR99" s="1855"/>
      <c r="AS99" s="1855"/>
      <c r="AT99" s="1855"/>
      <c r="AU99" s="1855"/>
      <c r="AV99" s="1855"/>
      <c r="AW99" s="1855"/>
      <c r="AX99" s="1855"/>
      <c r="AY99" s="1855"/>
      <c r="AZ99" s="1855"/>
      <c r="BA99" s="1855"/>
      <c r="BB99" s="1855"/>
      <c r="BC99" s="1855"/>
      <c r="BD99" s="1855"/>
      <c r="BE99" s="1855"/>
      <c r="BF99" s="1855"/>
      <c r="BG99" s="1855"/>
      <c r="BH99" s="1855"/>
      <c r="BI99" s="1855"/>
      <c r="BJ99" s="1855"/>
      <c r="BK99" s="1855"/>
      <c r="BL99" s="1855"/>
      <c r="BM99" s="1855"/>
      <c r="BN99" s="1855"/>
      <c r="BO99" s="1855"/>
      <c r="BP99" s="1855"/>
      <c r="BQ99" s="1855"/>
      <c r="BR99" s="1855"/>
      <c r="BS99" s="1855"/>
      <c r="BT99" s="1855"/>
      <c r="BU99" s="1855"/>
      <c r="BV99" s="1855"/>
      <c r="BW99" s="1855"/>
      <c r="BX99" s="1855"/>
      <c r="BY99" s="1855"/>
      <c r="BZ99" s="1855"/>
      <c r="CA99" s="1855"/>
      <c r="CB99" s="1855"/>
      <c r="CC99" s="1855"/>
      <c r="CD99" s="1859"/>
    </row>
    <row r="100" spans="1:82" ht="14.25">
      <c r="A100" s="1630" t="s">
        <v>2364</v>
      </c>
      <c r="B100" s="906" t="s">
        <v>3048</v>
      </c>
      <c r="C100" s="1473" t="s">
        <v>2539</v>
      </c>
      <c r="D100" s="968" t="s">
        <v>3049</v>
      </c>
      <c r="E100" s="1493">
        <v>0</v>
      </c>
      <c r="F100" s="1629">
        <v>0</v>
      </c>
      <c r="G100" s="405" t="b">
        <v>1</v>
      </c>
      <c r="H100" s="1638"/>
      <c r="I100" s="1639">
        <v>1492</v>
      </c>
      <c r="J100" s="1639">
        <v>442.53646360694154</v>
      </c>
      <c r="K100" s="1639">
        <v>223535.96819433427</v>
      </c>
      <c r="L100" s="1640">
        <v>0.76674939390602292</v>
      </c>
      <c r="M100" s="2157">
        <v>351.4606498385844</v>
      </c>
      <c r="N100" s="1639"/>
      <c r="O100" s="1639">
        <v>1747.8040305033451</v>
      </c>
      <c r="P100" s="1639">
        <v>607.29105983411091</v>
      </c>
      <c r="Q100" s="1639">
        <v>261861.30440517762</v>
      </c>
      <c r="R100" s="1640">
        <v>0.76674939390602292</v>
      </c>
      <c r="S100" s="2157">
        <v>564.99999999999989</v>
      </c>
      <c r="T100" s="1639"/>
      <c r="U100" s="1639">
        <v>872.52689308271931</v>
      </c>
      <c r="V100" s="1639">
        <v>151.34534165904753</v>
      </c>
      <c r="W100" s="1639">
        <v>130724.62722576411</v>
      </c>
      <c r="X100" s="1640">
        <v>0.76674939390602292</v>
      </c>
      <c r="Y100" s="1641">
        <v>70.3</v>
      </c>
      <c r="Z100" s="1854">
        <f>IF($G100,MATCH('Fan Name List'!Y100,'Fan Name List'!$AC$16:$BM$16,1),0)</f>
        <v>22</v>
      </c>
      <c r="AA100" s="1859">
        <f>IF($G100,IF(S100&gt;567,37,MATCH('Fan Name List'!S100,'Fan Name List'!$AC$16:$BM$16,1)+1),0)</f>
        <v>35</v>
      </c>
      <c r="AB100" s="1854"/>
      <c r="AC100" s="1855"/>
      <c r="AD100" s="1855"/>
      <c r="AE100" s="1855"/>
      <c r="AF100" s="1855"/>
      <c r="AG100" s="1855"/>
      <c r="AH100" s="1855"/>
      <c r="AI100" s="1855"/>
      <c r="AJ100" s="1855"/>
      <c r="AK100" s="1855"/>
      <c r="AL100" s="1855"/>
      <c r="AM100" s="1855"/>
      <c r="AN100" s="1855"/>
      <c r="AO100" s="1855"/>
      <c r="AP100" s="1855"/>
      <c r="AQ100" s="1855"/>
      <c r="AR100" s="1855"/>
      <c r="AS100" s="1855"/>
      <c r="AT100" s="1855"/>
      <c r="AU100" s="1855"/>
      <c r="AV100" s="1855"/>
      <c r="AW100" s="1855"/>
      <c r="AX100" s="1855"/>
      <c r="AY100" s="1855"/>
      <c r="AZ100" s="1855"/>
      <c r="BA100" s="1855"/>
      <c r="BB100" s="1855"/>
      <c r="BC100" s="1855"/>
      <c r="BD100" s="1855"/>
      <c r="BE100" s="1855"/>
      <c r="BF100" s="1855"/>
      <c r="BG100" s="1855"/>
      <c r="BH100" s="1855"/>
      <c r="BI100" s="1855"/>
      <c r="BJ100" s="1855"/>
      <c r="BK100" s="1855"/>
      <c r="BL100" s="1855"/>
      <c r="BM100" s="1855"/>
      <c r="BN100" s="1855"/>
      <c r="BO100" s="1855"/>
      <c r="BP100" s="1855"/>
      <c r="BQ100" s="1855"/>
      <c r="BR100" s="1855"/>
      <c r="BS100" s="1855"/>
      <c r="BT100" s="1855"/>
      <c r="BU100" s="1855"/>
      <c r="BV100" s="1855"/>
      <c r="BW100" s="1855"/>
      <c r="BX100" s="1855"/>
      <c r="BY100" s="1855"/>
      <c r="BZ100" s="1855"/>
      <c r="CA100" s="1855"/>
      <c r="CB100" s="1855"/>
      <c r="CC100" s="1855"/>
      <c r="CD100" s="1859"/>
    </row>
    <row r="101" spans="1:82" ht="14.25">
      <c r="A101" s="1630" t="s">
        <v>2412</v>
      </c>
      <c r="B101" s="906" t="s">
        <v>3050</v>
      </c>
      <c r="C101" s="1473" t="s">
        <v>2540</v>
      </c>
      <c r="D101" s="968" t="s">
        <v>3051</v>
      </c>
      <c r="E101" s="1493">
        <v>0</v>
      </c>
      <c r="F101" s="1629">
        <v>0</v>
      </c>
      <c r="G101" s="405" t="b">
        <v>1</v>
      </c>
      <c r="H101" s="1638"/>
      <c r="I101" s="1639">
        <v>1490</v>
      </c>
      <c r="J101" s="1639">
        <v>493.17546280711042</v>
      </c>
      <c r="K101" s="1639">
        <v>166500.61475551961</v>
      </c>
      <c r="L101" s="1640">
        <v>0.75765796907997862</v>
      </c>
      <c r="M101" s="2157">
        <v>295.2417569952496</v>
      </c>
      <c r="N101" s="1639"/>
      <c r="O101" s="1639">
        <v>1849.8782973066063</v>
      </c>
      <c r="P101" s="1639">
        <v>760.17789823346288</v>
      </c>
      <c r="Q101" s="1639">
        <v>206715.35149291533</v>
      </c>
      <c r="R101" s="1640">
        <v>0.75765796907997862</v>
      </c>
      <c r="S101" s="2157">
        <v>565.00000000000023</v>
      </c>
      <c r="T101" s="1639"/>
      <c r="U101" s="1639">
        <v>871.35728598743412</v>
      </c>
      <c r="V101" s="1639">
        <v>168.66363577826138</v>
      </c>
      <c r="W101" s="1639">
        <v>97370.150193697249</v>
      </c>
      <c r="X101" s="1640">
        <v>0.75765796907997862</v>
      </c>
      <c r="Y101" s="1641">
        <v>59</v>
      </c>
      <c r="Z101" s="1854">
        <f>IF($G101,MATCH('Fan Name List'!Y101,'Fan Name List'!$AC$16:$BM$16,1),0)</f>
        <v>21</v>
      </c>
      <c r="AA101" s="1859">
        <f>IF($G101,IF(S101&gt;567,37,MATCH('Fan Name List'!S101,'Fan Name List'!$AC$16:$BM$16,1)+1),0)</f>
        <v>35</v>
      </c>
      <c r="AB101" s="1854"/>
      <c r="AC101" s="1855"/>
      <c r="AD101" s="1855"/>
      <c r="AE101" s="1855"/>
      <c r="AF101" s="1855"/>
      <c r="AG101" s="1855"/>
      <c r="AH101" s="1855"/>
      <c r="AI101" s="1855"/>
      <c r="AJ101" s="1855"/>
      <c r="AK101" s="1855"/>
      <c r="AL101" s="1855"/>
      <c r="AM101" s="1855"/>
      <c r="AN101" s="1855"/>
      <c r="AO101" s="1855"/>
      <c r="AP101" s="1855"/>
      <c r="AQ101" s="1855"/>
      <c r="AR101" s="1855"/>
      <c r="AS101" s="1855"/>
      <c r="AT101" s="1855"/>
      <c r="AU101" s="1855"/>
      <c r="AV101" s="1855"/>
      <c r="AW101" s="1855"/>
      <c r="AX101" s="1855"/>
      <c r="AY101" s="1855"/>
      <c r="AZ101" s="1855"/>
      <c r="BA101" s="1855"/>
      <c r="BB101" s="1855"/>
      <c r="BC101" s="1855"/>
      <c r="BD101" s="1855"/>
      <c r="BE101" s="1855"/>
      <c r="BF101" s="1855"/>
      <c r="BG101" s="1855"/>
      <c r="BH101" s="1855"/>
      <c r="BI101" s="1855"/>
      <c r="BJ101" s="1855"/>
      <c r="BK101" s="1855"/>
      <c r="BL101" s="1855"/>
      <c r="BM101" s="1855"/>
      <c r="BN101" s="1855"/>
      <c r="BO101" s="1855"/>
      <c r="BP101" s="1855"/>
      <c r="BQ101" s="1855"/>
      <c r="BR101" s="1855"/>
      <c r="BS101" s="1855"/>
      <c r="BT101" s="1855"/>
      <c r="BU101" s="1855"/>
      <c r="BV101" s="1855"/>
      <c r="BW101" s="1855"/>
      <c r="BX101" s="1855"/>
      <c r="BY101" s="1855"/>
      <c r="BZ101" s="1855"/>
      <c r="CA101" s="1855"/>
      <c r="CB101" s="1855"/>
      <c r="CC101" s="1855"/>
      <c r="CD101" s="1859"/>
    </row>
    <row r="102" spans="1:82" ht="14.25">
      <c r="A102" s="1630" t="s">
        <v>2527</v>
      </c>
      <c r="B102" s="906" t="s">
        <v>3052</v>
      </c>
      <c r="C102" s="1473" t="s">
        <v>2544</v>
      </c>
      <c r="D102" s="968" t="s">
        <v>2528</v>
      </c>
      <c r="E102" s="1493">
        <v>0</v>
      </c>
      <c r="F102" s="1629">
        <v>0</v>
      </c>
      <c r="G102" s="405" t="b">
        <v>1</v>
      </c>
      <c r="H102" s="1638"/>
      <c r="I102" s="1639">
        <v>2000</v>
      </c>
      <c r="J102" s="1639">
        <v>343.83798743284666</v>
      </c>
      <c r="K102" s="1639">
        <v>2118.2036780686772</v>
      </c>
      <c r="L102" s="1640">
        <v>0.55775579040544776</v>
      </c>
      <c r="M102" s="2157">
        <v>3.55722356628277</v>
      </c>
      <c r="N102" s="1639"/>
      <c r="O102" s="1639">
        <v>3600</v>
      </c>
      <c r="P102" s="1639">
        <v>1114.0350792824233</v>
      </c>
      <c r="Q102" s="1639">
        <v>3812.7666205236192</v>
      </c>
      <c r="R102" s="1640">
        <v>0.55775579040544776</v>
      </c>
      <c r="S102" s="2157">
        <v>20.745727838561123</v>
      </c>
      <c r="T102" s="1639"/>
      <c r="U102" s="1639">
        <v>1169.6070952851464</v>
      </c>
      <c r="V102" s="1639">
        <v>117.59093761277842</v>
      </c>
      <c r="W102" s="1639">
        <v>1238.7330255641093</v>
      </c>
      <c r="X102" s="1640">
        <v>0.55775579040544776</v>
      </c>
      <c r="Y102" s="1641">
        <v>0.7</v>
      </c>
      <c r="Z102" s="1854">
        <f>IF($G102,MATCH('Fan Name List'!Y102,'Fan Name List'!$AC$16:$BM$16,1),0)</f>
        <v>6</v>
      </c>
      <c r="AA102" s="1859">
        <f>IF($G102,IF(S102&gt;567,37,MATCH('Fan Name List'!S102,'Fan Name List'!$AC$16:$BM$16,1)+1),0)</f>
        <v>18</v>
      </c>
      <c r="AB102" s="1854"/>
      <c r="AC102" s="1855"/>
      <c r="AD102" s="1855"/>
      <c r="AE102" s="1855"/>
      <c r="AF102" s="1855"/>
      <c r="AG102" s="1855"/>
      <c r="AH102" s="1855"/>
      <c r="AI102" s="1855"/>
      <c r="AJ102" s="1855"/>
      <c r="AK102" s="1855"/>
      <c r="AL102" s="1855"/>
      <c r="AM102" s="1855"/>
      <c r="AN102" s="1855"/>
      <c r="AO102" s="1855"/>
      <c r="AP102" s="1855"/>
      <c r="AQ102" s="1855"/>
      <c r="AR102" s="1855"/>
      <c r="AS102" s="1855"/>
      <c r="AT102" s="1855"/>
      <c r="AU102" s="1855"/>
      <c r="AV102" s="1855"/>
      <c r="AW102" s="1855"/>
      <c r="AX102" s="1855"/>
      <c r="AY102" s="1855"/>
      <c r="AZ102" s="1855"/>
      <c r="BA102" s="1855"/>
      <c r="BB102" s="1855"/>
      <c r="BC102" s="1855"/>
      <c r="BD102" s="1855"/>
      <c r="BE102" s="1855"/>
      <c r="BF102" s="1855"/>
      <c r="BG102" s="1855"/>
      <c r="BH102" s="1855"/>
      <c r="BI102" s="1855"/>
      <c r="BJ102" s="1855"/>
      <c r="BK102" s="1855"/>
      <c r="BL102" s="1855"/>
      <c r="BM102" s="1855"/>
      <c r="BN102" s="1855"/>
      <c r="BO102" s="1855"/>
      <c r="BP102" s="1855"/>
      <c r="BQ102" s="1855"/>
      <c r="BR102" s="1855"/>
      <c r="BS102" s="1855"/>
      <c r="BT102" s="1855"/>
      <c r="BU102" s="1855"/>
      <c r="BV102" s="1855"/>
      <c r="BW102" s="1855"/>
      <c r="BX102" s="1855"/>
      <c r="BY102" s="1855"/>
      <c r="BZ102" s="1855"/>
      <c r="CA102" s="1855"/>
      <c r="CB102" s="1855"/>
      <c r="CC102" s="1855"/>
      <c r="CD102" s="1859"/>
    </row>
    <row r="103" spans="1:82" ht="14.25">
      <c r="A103" s="1630" t="s">
        <v>2574</v>
      </c>
      <c r="B103" s="906" t="s">
        <v>3053</v>
      </c>
      <c r="C103" s="1473" t="s">
        <v>3054</v>
      </c>
      <c r="D103" s="968" t="s">
        <v>1136</v>
      </c>
      <c r="E103" s="1493">
        <v>0</v>
      </c>
      <c r="F103" s="1629">
        <v>0</v>
      </c>
      <c r="G103" s="405" t="b">
        <v>1</v>
      </c>
      <c r="H103" s="1638"/>
      <c r="I103" s="1639">
        <v>2960</v>
      </c>
      <c r="J103" s="1639">
        <v>1205.5928907689158</v>
      </c>
      <c r="K103" s="1639">
        <v>5572.5590599342131</v>
      </c>
      <c r="L103" s="1640">
        <v>0.56201056003080641</v>
      </c>
      <c r="M103" s="2157">
        <v>32.564510691137343</v>
      </c>
      <c r="N103" s="1639"/>
      <c r="O103" s="1639">
        <v>3600</v>
      </c>
      <c r="P103" s="1639">
        <v>1783.2911642126037</v>
      </c>
      <c r="Q103" s="1639">
        <v>6777.4366945145839</v>
      </c>
      <c r="R103" s="1640">
        <v>0.56201056003080641</v>
      </c>
      <c r="S103" s="2157">
        <v>58.583717385542613</v>
      </c>
      <c r="T103" s="1639"/>
      <c r="U103" s="1639">
        <v>1731.0185010220168</v>
      </c>
      <c r="V103" s="1639">
        <v>412.30696893985458</v>
      </c>
      <c r="W103" s="1639">
        <v>3258.8523076972911</v>
      </c>
      <c r="X103" s="1640">
        <v>0.56201056003080641</v>
      </c>
      <c r="Y103" s="1641">
        <v>6.5</v>
      </c>
      <c r="Z103" s="1854">
        <f>IF($G103,MATCH('Fan Name List'!Y103,'Fan Name List'!$AC$16:$BM$16,1),0)</f>
        <v>13</v>
      </c>
      <c r="AA103" s="1859">
        <f>IF($G103,IF(S103&gt;567,37,MATCH('Fan Name List'!S103,'Fan Name List'!$AC$16:$BM$16,1)+1),0)</f>
        <v>22</v>
      </c>
      <c r="AB103" s="1854"/>
      <c r="AC103" s="1855"/>
      <c r="AD103" s="1855"/>
      <c r="AE103" s="1855"/>
      <c r="AF103" s="1855"/>
      <c r="AG103" s="1855"/>
      <c r="AH103" s="1855"/>
      <c r="AI103" s="1855"/>
      <c r="AJ103" s="1855"/>
      <c r="AK103" s="1855"/>
      <c r="AL103" s="1855"/>
      <c r="AM103" s="1855"/>
      <c r="AN103" s="1855"/>
      <c r="AO103" s="1855"/>
      <c r="AP103" s="1855"/>
      <c r="AQ103" s="1855"/>
      <c r="AR103" s="1855"/>
      <c r="AS103" s="1855"/>
      <c r="AT103" s="1855"/>
      <c r="AU103" s="1855"/>
      <c r="AV103" s="1855"/>
      <c r="AW103" s="1855"/>
      <c r="AX103" s="1855"/>
      <c r="AY103" s="1855"/>
      <c r="AZ103" s="1855"/>
      <c r="BA103" s="1855"/>
      <c r="BB103" s="1855"/>
      <c r="BC103" s="1855"/>
      <c r="BD103" s="1855"/>
      <c r="BE103" s="1855"/>
      <c r="BF103" s="1855"/>
      <c r="BG103" s="1855"/>
      <c r="BH103" s="1855"/>
      <c r="BI103" s="1855"/>
      <c r="BJ103" s="1855"/>
      <c r="BK103" s="1855"/>
      <c r="BL103" s="1855"/>
      <c r="BM103" s="1855"/>
      <c r="BN103" s="1855"/>
      <c r="BO103" s="1855"/>
      <c r="BP103" s="1855"/>
      <c r="BQ103" s="1855"/>
      <c r="BR103" s="1855"/>
      <c r="BS103" s="1855"/>
      <c r="BT103" s="1855"/>
      <c r="BU103" s="1855"/>
      <c r="BV103" s="1855"/>
      <c r="BW103" s="1855"/>
      <c r="BX103" s="1855"/>
      <c r="BY103" s="1855"/>
      <c r="BZ103" s="1855"/>
      <c r="CA103" s="1855"/>
      <c r="CB103" s="1855"/>
      <c r="CC103" s="1855"/>
      <c r="CD103" s="1859"/>
    </row>
    <row r="104" spans="1:82" ht="14.25">
      <c r="A104" s="1630" t="s">
        <v>2629</v>
      </c>
      <c r="B104" s="906" t="s">
        <v>3055</v>
      </c>
      <c r="C104" s="1473" t="s">
        <v>3054</v>
      </c>
      <c r="D104" s="968" t="s">
        <v>1136</v>
      </c>
      <c r="E104" s="1493">
        <v>0</v>
      </c>
      <c r="F104" s="1629">
        <v>0</v>
      </c>
      <c r="G104" s="405" t="b">
        <v>1</v>
      </c>
      <c r="H104" s="1638"/>
      <c r="I104" s="1639">
        <v>3600</v>
      </c>
      <c r="J104" s="1639">
        <v>1497.4126247657427</v>
      </c>
      <c r="K104" s="1639">
        <v>60699.702631136621</v>
      </c>
      <c r="L104" s="1640">
        <v>0.88524707482465714</v>
      </c>
      <c r="M104" s="2157">
        <v>279.70306666137981</v>
      </c>
      <c r="N104" s="1639"/>
      <c r="O104" s="1639">
        <v>3600</v>
      </c>
      <c r="P104" s="1639">
        <v>1497.4126247657427</v>
      </c>
      <c r="Q104" s="1639">
        <v>60699.702631136621</v>
      </c>
      <c r="R104" s="1640">
        <v>0.88524707482465714</v>
      </c>
      <c r="S104" s="2157">
        <v>279.70306666137981</v>
      </c>
      <c r="T104" s="1639"/>
      <c r="U104" s="1639">
        <v>2105.2927715132637</v>
      </c>
      <c r="V104" s="1639">
        <v>512.10791411988782</v>
      </c>
      <c r="W104" s="1639">
        <v>35497.401439537934</v>
      </c>
      <c r="X104" s="1640">
        <v>0.88524707482465714</v>
      </c>
      <c r="Y104" s="1641">
        <v>55.9</v>
      </c>
      <c r="Z104" s="1854">
        <f>IF($G104,MATCH('Fan Name List'!Y104,'Fan Name List'!$AC$16:$BM$16,1),0)</f>
        <v>21</v>
      </c>
      <c r="AA104" s="1859">
        <f>IF($G104,IF(S104&gt;567,37,MATCH('Fan Name List'!S104,'Fan Name List'!$AC$16:$BM$16,1)+1),0)</f>
        <v>30</v>
      </c>
      <c r="AB104" s="1854"/>
      <c r="AC104" s="1855"/>
      <c r="AD104" s="1855"/>
      <c r="AE104" s="1855"/>
      <c r="AF104" s="1855"/>
      <c r="AG104" s="1855"/>
      <c r="AH104" s="1855"/>
      <c r="AI104" s="1855"/>
      <c r="AJ104" s="1855"/>
      <c r="AK104" s="1855"/>
      <c r="AL104" s="1855"/>
      <c r="AM104" s="1855"/>
      <c r="AN104" s="1855"/>
      <c r="AO104" s="1855"/>
      <c r="AP104" s="1855"/>
      <c r="AQ104" s="1855"/>
      <c r="AR104" s="1855"/>
      <c r="AS104" s="1855"/>
      <c r="AT104" s="1855"/>
      <c r="AU104" s="1855"/>
      <c r="AV104" s="1855"/>
      <c r="AW104" s="1855"/>
      <c r="AX104" s="1855"/>
      <c r="AY104" s="1855"/>
      <c r="AZ104" s="1855"/>
      <c r="BA104" s="1855"/>
      <c r="BB104" s="1855"/>
      <c r="BC104" s="1855"/>
      <c r="BD104" s="1855"/>
      <c r="BE104" s="1855"/>
      <c r="BF104" s="1855"/>
      <c r="BG104" s="1855"/>
      <c r="BH104" s="1855"/>
      <c r="BI104" s="1855"/>
      <c r="BJ104" s="1855"/>
      <c r="BK104" s="1855"/>
      <c r="BL104" s="1855"/>
      <c r="BM104" s="1855"/>
      <c r="BN104" s="1855"/>
      <c r="BO104" s="1855"/>
      <c r="BP104" s="1855"/>
      <c r="BQ104" s="1855"/>
      <c r="BR104" s="1855"/>
      <c r="BS104" s="1855"/>
      <c r="BT104" s="1855"/>
      <c r="BU104" s="1855"/>
      <c r="BV104" s="1855"/>
      <c r="BW104" s="1855"/>
      <c r="BX104" s="1855"/>
      <c r="BY104" s="1855"/>
      <c r="BZ104" s="1855"/>
      <c r="CA104" s="1855"/>
      <c r="CB104" s="1855"/>
      <c r="CC104" s="1855"/>
      <c r="CD104" s="1859"/>
    </row>
    <row r="105" spans="1:82" ht="14.25">
      <c r="A105" s="1631" t="s">
        <v>2689</v>
      </c>
      <c r="B105" s="906" t="s">
        <v>3056</v>
      </c>
      <c r="C105" s="1473" t="s">
        <v>3054</v>
      </c>
      <c r="D105" s="968" t="s">
        <v>1136</v>
      </c>
      <c r="E105" s="1493">
        <v>0</v>
      </c>
      <c r="F105" s="1629">
        <v>0</v>
      </c>
      <c r="G105" s="405" t="b">
        <v>1</v>
      </c>
      <c r="H105" s="1638"/>
      <c r="I105" s="1639">
        <v>2950</v>
      </c>
      <c r="J105" s="1639">
        <v>445.21196872027565</v>
      </c>
      <c r="K105" s="1639">
        <v>13739.028400565046</v>
      </c>
      <c r="L105" s="1640">
        <v>0.841362912126419</v>
      </c>
      <c r="M105" s="2157">
        <v>19.804923206304498</v>
      </c>
      <c r="N105" s="1639"/>
      <c r="O105" s="1639">
        <v>3600</v>
      </c>
      <c r="P105" s="1639">
        <v>663.02178852223767</v>
      </c>
      <c r="Q105" s="1639">
        <v>16766.27194645226</v>
      </c>
      <c r="R105" s="1640">
        <v>0.841362912126419</v>
      </c>
      <c r="S105" s="2157">
        <v>35.992715793273618</v>
      </c>
      <c r="T105" s="1639"/>
      <c r="U105" s="1639">
        <v>1725.1704655455912</v>
      </c>
      <c r="V105" s="1639">
        <v>152.2603515368499</v>
      </c>
      <c r="W105" s="1639">
        <v>8034.6325498125079</v>
      </c>
      <c r="X105" s="1640">
        <v>0.841362912126419</v>
      </c>
      <c r="Y105" s="1641">
        <v>4</v>
      </c>
      <c r="Z105" s="1854">
        <f>IF($G105,MATCH('Fan Name List'!Y105,'Fan Name List'!$AC$16:$BM$16,1),0)</f>
        <v>11</v>
      </c>
      <c r="AA105" s="1859">
        <f>IF($G105,IF(S105&gt;567,37,MATCH('Fan Name List'!S105,'Fan Name List'!$AC$16:$BM$16,1)+1),0)</f>
        <v>20</v>
      </c>
      <c r="AB105" s="1854"/>
      <c r="AC105" s="1855"/>
      <c r="AD105" s="1855"/>
      <c r="AE105" s="1855"/>
      <c r="AF105" s="1855"/>
      <c r="AG105" s="1855"/>
      <c r="AH105" s="1855"/>
      <c r="AI105" s="1855"/>
      <c r="AJ105" s="1855"/>
      <c r="AK105" s="1855"/>
      <c r="AL105" s="1855"/>
      <c r="AM105" s="1855"/>
      <c r="AN105" s="1855"/>
      <c r="AO105" s="1855"/>
      <c r="AP105" s="1855"/>
      <c r="AQ105" s="1855"/>
      <c r="AR105" s="1855"/>
      <c r="AS105" s="1855"/>
      <c r="AT105" s="1855"/>
      <c r="AU105" s="1855"/>
      <c r="AV105" s="1855"/>
      <c r="AW105" s="1855"/>
      <c r="AX105" s="1855"/>
      <c r="AY105" s="1855"/>
      <c r="AZ105" s="1855"/>
      <c r="BA105" s="1855"/>
      <c r="BB105" s="1855"/>
      <c r="BC105" s="1855"/>
      <c r="BD105" s="1855"/>
      <c r="BE105" s="1855"/>
      <c r="BF105" s="1855"/>
      <c r="BG105" s="1855"/>
      <c r="BH105" s="1855"/>
      <c r="BI105" s="1855"/>
      <c r="BJ105" s="1855"/>
      <c r="BK105" s="1855"/>
      <c r="BL105" s="1855"/>
      <c r="BM105" s="1855"/>
      <c r="BN105" s="1855"/>
      <c r="BO105" s="1855"/>
      <c r="BP105" s="1855"/>
      <c r="BQ105" s="1855"/>
      <c r="BR105" s="1855"/>
      <c r="BS105" s="1855"/>
      <c r="BT105" s="1855"/>
      <c r="BU105" s="1855"/>
      <c r="BV105" s="1855"/>
      <c r="BW105" s="1855"/>
      <c r="BX105" s="1855"/>
      <c r="BY105" s="1855"/>
      <c r="BZ105" s="1855"/>
      <c r="CA105" s="1855"/>
      <c r="CB105" s="1855"/>
      <c r="CC105" s="1855"/>
      <c r="CD105" s="1859"/>
    </row>
    <row r="106" spans="1:82" ht="14.25">
      <c r="A106" s="1628" t="s">
        <v>1570</v>
      </c>
      <c r="B106" s="906" t="s">
        <v>3057</v>
      </c>
      <c r="C106" s="1472" t="s">
        <v>1998</v>
      </c>
      <c r="D106" s="968" t="s">
        <v>3058</v>
      </c>
      <c r="E106" s="1493" t="s">
        <v>1570</v>
      </c>
      <c r="F106" s="1629" t="s">
        <v>3057</v>
      </c>
      <c r="G106" s="405" t="b">
        <v>1</v>
      </c>
      <c r="H106" s="1638"/>
      <c r="I106" s="1639">
        <v>3000</v>
      </c>
      <c r="J106" s="1639">
        <v>142</v>
      </c>
      <c r="K106" s="1639">
        <v>300</v>
      </c>
      <c r="L106" s="1640">
        <v>0.33642135922330102</v>
      </c>
      <c r="M106" s="2157">
        <v>0.34495283018867917</v>
      </c>
      <c r="N106" s="1639"/>
      <c r="O106" s="1639">
        <v>3600</v>
      </c>
      <c r="P106" s="1639">
        <v>204.48</v>
      </c>
      <c r="Q106" s="1639">
        <v>360</v>
      </c>
      <c r="R106" s="1640">
        <v>0.33642135922330102</v>
      </c>
      <c r="S106" s="2157">
        <v>0.59607849056603779</v>
      </c>
      <c r="T106" s="1639"/>
      <c r="U106" s="1639">
        <v>1754.4106429277199</v>
      </c>
      <c r="V106" s="1639">
        <v>48.5633168856182</v>
      </c>
      <c r="W106" s="1639">
        <v>175.44106429277198</v>
      </c>
      <c r="X106" s="1640">
        <v>0.33642135922330102</v>
      </c>
      <c r="Y106" s="1641">
        <v>0.1</v>
      </c>
      <c r="Z106" s="1854">
        <f>IF($G106,MATCH('Fan Name List'!Y106,'Fan Name List'!$AC$16:$BM$16,1),0)</f>
        <v>1</v>
      </c>
      <c r="AA106" s="1859">
        <f>IF($G106,IF(S106&gt;567,37,MATCH('Fan Name List'!S106,'Fan Name List'!$AC$16:$BM$16,1)+1),0)</f>
        <v>7</v>
      </c>
      <c r="AB106" s="1854"/>
      <c r="AC106" s="1855"/>
      <c r="AD106" s="1855"/>
      <c r="AE106" s="1855"/>
      <c r="AF106" s="1855"/>
      <c r="AG106" s="1855"/>
      <c r="AH106" s="1855"/>
      <c r="AI106" s="1855"/>
      <c r="AJ106" s="1855"/>
      <c r="AK106" s="1855"/>
      <c r="AL106" s="1855"/>
      <c r="AM106" s="1855"/>
      <c r="AN106" s="1855"/>
      <c r="AO106" s="1855"/>
      <c r="AP106" s="1855"/>
      <c r="AQ106" s="1855"/>
      <c r="AR106" s="1855"/>
      <c r="AS106" s="1855"/>
      <c r="AT106" s="1855"/>
      <c r="AU106" s="1855"/>
      <c r="AV106" s="1855"/>
      <c r="AW106" s="1855"/>
      <c r="AX106" s="1855"/>
      <c r="AY106" s="1855"/>
      <c r="AZ106" s="1855"/>
      <c r="BA106" s="1855"/>
      <c r="BB106" s="1855"/>
      <c r="BC106" s="1855"/>
      <c r="BD106" s="1855"/>
      <c r="BE106" s="1855"/>
      <c r="BF106" s="1855"/>
      <c r="BG106" s="1855"/>
      <c r="BH106" s="1855"/>
      <c r="BI106" s="1855"/>
      <c r="BJ106" s="1855"/>
      <c r="BK106" s="1855"/>
      <c r="BL106" s="1855"/>
      <c r="BM106" s="1855"/>
      <c r="BN106" s="1855"/>
      <c r="BO106" s="1855"/>
      <c r="BP106" s="1855"/>
      <c r="BQ106" s="1855"/>
      <c r="BR106" s="1855"/>
      <c r="BS106" s="1855"/>
      <c r="BT106" s="1855"/>
      <c r="BU106" s="1855"/>
      <c r="BV106" s="1855"/>
      <c r="BW106" s="1855"/>
      <c r="BX106" s="1855"/>
      <c r="BY106" s="1855"/>
      <c r="BZ106" s="1855"/>
      <c r="CA106" s="1855"/>
      <c r="CB106" s="1855"/>
      <c r="CC106" s="1855"/>
      <c r="CD106" s="1859"/>
    </row>
    <row r="107" spans="1:82" ht="14.25">
      <c r="A107" s="1628" t="s">
        <v>1571</v>
      </c>
      <c r="B107" s="906" t="s">
        <v>3059</v>
      </c>
      <c r="C107" s="1472" t="s">
        <v>2001</v>
      </c>
      <c r="D107" s="968" t="s">
        <v>640</v>
      </c>
      <c r="E107" s="1493" t="s">
        <v>1571</v>
      </c>
      <c r="F107" s="1629" t="s">
        <v>3059</v>
      </c>
      <c r="G107" s="405" t="b">
        <v>1</v>
      </c>
      <c r="H107" s="1638"/>
      <c r="I107" s="1639">
        <v>3000</v>
      </c>
      <c r="J107" s="1639">
        <v>215</v>
      </c>
      <c r="K107" s="1639">
        <v>500</v>
      </c>
      <c r="L107" s="1640">
        <v>0.33642135922330102</v>
      </c>
      <c r="M107" s="2157">
        <v>0.8704795597484275</v>
      </c>
      <c r="N107" s="1639"/>
      <c r="O107" s="1639">
        <v>3600</v>
      </c>
      <c r="P107" s="1639">
        <v>309.59999999999997</v>
      </c>
      <c r="Q107" s="1639">
        <v>600</v>
      </c>
      <c r="R107" s="1640">
        <v>0.33642135922330102</v>
      </c>
      <c r="S107" s="2157">
        <v>1.5041886792452825</v>
      </c>
      <c r="T107" s="1639"/>
      <c r="U107" s="1639">
        <v>1754.4106429277199</v>
      </c>
      <c r="V107" s="1639">
        <v>73.528965707097981</v>
      </c>
      <c r="W107" s="1639">
        <v>292.40177382128661</v>
      </c>
      <c r="X107" s="1640">
        <v>0.33642135922330102</v>
      </c>
      <c r="Y107" s="1641">
        <v>0.2</v>
      </c>
      <c r="Z107" s="1854">
        <f>IF($G107,MATCH('Fan Name List'!Y107,'Fan Name List'!$AC$16:$BM$16,1),0)</f>
        <v>3</v>
      </c>
      <c r="AA107" s="1859">
        <f>IF($G107,IF(S107&gt;567,37,MATCH('Fan Name List'!S107,'Fan Name List'!$AC$16:$BM$16,1)+1),0)</f>
        <v>9</v>
      </c>
      <c r="AB107" s="1854"/>
      <c r="AC107" s="1855"/>
      <c r="AD107" s="1855"/>
      <c r="AE107" s="1855"/>
      <c r="AF107" s="1855"/>
      <c r="AG107" s="1855"/>
      <c r="AH107" s="1855"/>
      <c r="AI107" s="1855"/>
      <c r="AJ107" s="1855"/>
      <c r="AK107" s="1855"/>
      <c r="AL107" s="1855"/>
      <c r="AM107" s="1855"/>
      <c r="AN107" s="1855"/>
      <c r="AO107" s="1855"/>
      <c r="AP107" s="1855"/>
      <c r="AQ107" s="1855"/>
      <c r="AR107" s="1855"/>
      <c r="AS107" s="1855"/>
      <c r="AT107" s="1855"/>
      <c r="AU107" s="1855"/>
      <c r="AV107" s="1855"/>
      <c r="AW107" s="1855"/>
      <c r="AX107" s="1855"/>
      <c r="AY107" s="1855"/>
      <c r="AZ107" s="1855"/>
      <c r="BA107" s="1855"/>
      <c r="BB107" s="1855"/>
      <c r="BC107" s="1855"/>
      <c r="BD107" s="1855"/>
      <c r="BE107" s="1855"/>
      <c r="BF107" s="1855"/>
      <c r="BG107" s="1855"/>
      <c r="BH107" s="1855"/>
      <c r="BI107" s="1855"/>
      <c r="BJ107" s="1855"/>
      <c r="BK107" s="1855"/>
      <c r="BL107" s="1855"/>
      <c r="BM107" s="1855"/>
      <c r="BN107" s="1855"/>
      <c r="BO107" s="1855"/>
      <c r="BP107" s="1855"/>
      <c r="BQ107" s="1855"/>
      <c r="BR107" s="1855"/>
      <c r="BS107" s="1855"/>
      <c r="BT107" s="1855"/>
      <c r="BU107" s="1855"/>
      <c r="BV107" s="1855"/>
      <c r="BW107" s="1855"/>
      <c r="BX107" s="1855"/>
      <c r="BY107" s="1855"/>
      <c r="BZ107" s="1855"/>
      <c r="CA107" s="1855"/>
      <c r="CB107" s="1855"/>
      <c r="CC107" s="1855"/>
      <c r="CD107" s="1859"/>
    </row>
    <row r="108" spans="1:82" ht="14.25">
      <c r="A108" s="1628" t="s">
        <v>1572</v>
      </c>
      <c r="B108" s="906" t="s">
        <v>3060</v>
      </c>
      <c r="C108" s="1472" t="s">
        <v>2004</v>
      </c>
      <c r="D108" s="968" t="s">
        <v>3061</v>
      </c>
      <c r="E108" s="1493" t="s">
        <v>1572</v>
      </c>
      <c r="F108" s="1629" t="s">
        <v>3060</v>
      </c>
      <c r="G108" s="405" t="b">
        <v>1</v>
      </c>
      <c r="H108" s="1638"/>
      <c r="I108" s="1639">
        <v>3000</v>
      </c>
      <c r="J108" s="1639">
        <v>212</v>
      </c>
      <c r="K108" s="1639">
        <v>600</v>
      </c>
      <c r="L108" s="1640">
        <v>0.33642135922330102</v>
      </c>
      <c r="M108" s="2157">
        <v>1.03</v>
      </c>
      <c r="N108" s="1639"/>
      <c r="O108" s="1639">
        <v>3600</v>
      </c>
      <c r="P108" s="1639">
        <v>305.27999999999997</v>
      </c>
      <c r="Q108" s="1639">
        <v>720</v>
      </c>
      <c r="R108" s="1640">
        <v>0.33642135922330102</v>
      </c>
      <c r="S108" s="2157">
        <v>1.7798399999999996</v>
      </c>
      <c r="T108" s="1639"/>
      <c r="U108" s="1639">
        <v>1754.4106429277199</v>
      </c>
      <c r="V108" s="1639">
        <v>72.50298013909196</v>
      </c>
      <c r="W108" s="1639">
        <v>350.88212858554397</v>
      </c>
      <c r="X108" s="1640">
        <v>0.33642135922330102</v>
      </c>
      <c r="Y108" s="1641">
        <v>0.2</v>
      </c>
      <c r="Z108" s="1854">
        <f>IF($G108,MATCH('Fan Name List'!Y108,'Fan Name List'!$AC$16:$BM$16,1),0)</f>
        <v>3</v>
      </c>
      <c r="AA108" s="1859">
        <f>IF($G108,IF(S108&gt;567,37,MATCH('Fan Name List'!S108,'Fan Name List'!$AC$16:$BM$16,1)+1),0)</f>
        <v>10</v>
      </c>
      <c r="AB108" s="1854"/>
      <c r="AC108" s="1855"/>
      <c r="AD108" s="1855"/>
      <c r="AE108" s="1855"/>
      <c r="AF108" s="1855"/>
      <c r="AG108" s="1855"/>
      <c r="AH108" s="1855"/>
      <c r="AI108" s="1855"/>
      <c r="AJ108" s="1855"/>
      <c r="AK108" s="1855"/>
      <c r="AL108" s="1855"/>
      <c r="AM108" s="1855"/>
      <c r="AN108" s="1855"/>
      <c r="AO108" s="1855"/>
      <c r="AP108" s="1855"/>
      <c r="AQ108" s="1855"/>
      <c r="AR108" s="1855"/>
      <c r="AS108" s="1855"/>
      <c r="AT108" s="1855"/>
      <c r="AU108" s="1855"/>
      <c r="AV108" s="1855"/>
      <c r="AW108" s="1855"/>
      <c r="AX108" s="1855"/>
      <c r="AY108" s="1855"/>
      <c r="AZ108" s="1855"/>
      <c r="BA108" s="1855"/>
      <c r="BB108" s="1855"/>
      <c r="BC108" s="1855"/>
      <c r="BD108" s="1855"/>
      <c r="BE108" s="1855"/>
      <c r="BF108" s="1855"/>
      <c r="BG108" s="1855"/>
      <c r="BH108" s="1855"/>
      <c r="BI108" s="1855"/>
      <c r="BJ108" s="1855"/>
      <c r="BK108" s="1855"/>
      <c r="BL108" s="1855"/>
      <c r="BM108" s="1855"/>
      <c r="BN108" s="1855"/>
      <c r="BO108" s="1855"/>
      <c r="BP108" s="1855"/>
      <c r="BQ108" s="1855"/>
      <c r="BR108" s="1855"/>
      <c r="BS108" s="1855"/>
      <c r="BT108" s="1855"/>
      <c r="BU108" s="1855"/>
      <c r="BV108" s="1855"/>
      <c r="BW108" s="1855"/>
      <c r="BX108" s="1855"/>
      <c r="BY108" s="1855"/>
      <c r="BZ108" s="1855"/>
      <c r="CA108" s="1855"/>
      <c r="CB108" s="1855"/>
      <c r="CC108" s="1855"/>
      <c r="CD108" s="1859"/>
    </row>
    <row r="109" spans="1:82" ht="14.25">
      <c r="A109" s="1628" t="s">
        <v>1573</v>
      </c>
      <c r="B109" s="906" t="s">
        <v>3062</v>
      </c>
      <c r="C109" s="1472" t="s">
        <v>2007</v>
      </c>
      <c r="D109" s="968" t="s">
        <v>3063</v>
      </c>
      <c r="E109" s="1493" t="s">
        <v>1573</v>
      </c>
      <c r="F109" s="1629" t="s">
        <v>3062</v>
      </c>
      <c r="G109" s="405" t="b">
        <v>1</v>
      </c>
      <c r="H109" s="1638"/>
      <c r="I109" s="1639">
        <v>3000</v>
      </c>
      <c r="J109" s="1639">
        <v>175</v>
      </c>
      <c r="K109" s="1639">
        <v>975</v>
      </c>
      <c r="L109" s="1640">
        <v>0.41500976562500003</v>
      </c>
      <c r="M109" s="2157">
        <v>1.1200000000000001</v>
      </c>
      <c r="N109" s="1639"/>
      <c r="O109" s="1639">
        <v>3600</v>
      </c>
      <c r="P109" s="1639">
        <v>252</v>
      </c>
      <c r="Q109" s="1639">
        <v>1170</v>
      </c>
      <c r="R109" s="1640">
        <v>0.41500976562500003</v>
      </c>
      <c r="S109" s="2157">
        <v>1.9353599999999997</v>
      </c>
      <c r="T109" s="1639"/>
      <c r="U109" s="1639">
        <v>1754.4106429277199</v>
      </c>
      <c r="V109" s="1639">
        <v>59.849158133684405</v>
      </c>
      <c r="W109" s="1639">
        <v>570.1834589515089</v>
      </c>
      <c r="X109" s="1640">
        <v>0.41500976562500003</v>
      </c>
      <c r="Y109" s="1641">
        <v>0.2</v>
      </c>
      <c r="Z109" s="1854">
        <f>IF($G109,MATCH('Fan Name List'!Y109,'Fan Name List'!$AC$16:$BM$16,1),0)</f>
        <v>3</v>
      </c>
      <c r="AA109" s="1859">
        <f>IF($G109,IF(S109&gt;567,37,MATCH('Fan Name List'!S109,'Fan Name List'!$AC$16:$BM$16,1)+1),0)</f>
        <v>10</v>
      </c>
      <c r="AB109" s="1854"/>
      <c r="AC109" s="1855"/>
      <c r="AD109" s="1855"/>
      <c r="AE109" s="1855"/>
      <c r="AF109" s="1855"/>
      <c r="AG109" s="1855"/>
      <c r="AH109" s="1855"/>
      <c r="AI109" s="1855"/>
      <c r="AJ109" s="1855"/>
      <c r="AK109" s="1855"/>
      <c r="AL109" s="1855"/>
      <c r="AM109" s="1855"/>
      <c r="AN109" s="1855"/>
      <c r="AO109" s="1855"/>
      <c r="AP109" s="1855"/>
      <c r="AQ109" s="1855"/>
      <c r="AR109" s="1855"/>
      <c r="AS109" s="1855"/>
      <c r="AT109" s="1855"/>
      <c r="AU109" s="1855"/>
      <c r="AV109" s="1855"/>
      <c r="AW109" s="1855"/>
      <c r="AX109" s="1855"/>
      <c r="AY109" s="1855"/>
      <c r="AZ109" s="1855"/>
      <c r="BA109" s="1855"/>
      <c r="BB109" s="1855"/>
      <c r="BC109" s="1855"/>
      <c r="BD109" s="1855"/>
      <c r="BE109" s="1855"/>
      <c r="BF109" s="1855"/>
      <c r="BG109" s="1855"/>
      <c r="BH109" s="1855"/>
      <c r="BI109" s="1855"/>
      <c r="BJ109" s="1855"/>
      <c r="BK109" s="1855"/>
      <c r="BL109" s="1855"/>
      <c r="BM109" s="1855"/>
      <c r="BN109" s="1855"/>
      <c r="BO109" s="1855"/>
      <c r="BP109" s="1855"/>
      <c r="BQ109" s="1855"/>
      <c r="BR109" s="1855"/>
      <c r="BS109" s="1855"/>
      <c r="BT109" s="1855"/>
      <c r="BU109" s="1855"/>
      <c r="BV109" s="1855"/>
      <c r="BW109" s="1855"/>
      <c r="BX109" s="1855"/>
      <c r="BY109" s="1855"/>
      <c r="BZ109" s="1855"/>
      <c r="CA109" s="1855"/>
      <c r="CB109" s="1855"/>
      <c r="CC109" s="1855"/>
      <c r="CD109" s="1859"/>
    </row>
    <row r="110" spans="1:82" ht="14.25">
      <c r="A110" s="1628" t="s">
        <v>1574</v>
      </c>
      <c r="B110" s="906" t="s">
        <v>3064</v>
      </c>
      <c r="C110" s="1472" t="s">
        <v>2010</v>
      </c>
      <c r="D110" s="968" t="s">
        <v>562</v>
      </c>
      <c r="E110" s="1493" t="s">
        <v>1574</v>
      </c>
      <c r="F110" s="1629" t="s">
        <v>3064</v>
      </c>
      <c r="G110" s="405" t="b">
        <v>1</v>
      </c>
      <c r="H110" s="1638"/>
      <c r="I110" s="1639">
        <v>3000</v>
      </c>
      <c r="J110" s="1639">
        <v>280</v>
      </c>
      <c r="K110" s="1639">
        <v>600</v>
      </c>
      <c r="L110" s="1640">
        <v>0.41500976562500003</v>
      </c>
      <c r="M110" s="2157">
        <v>1.1027692307692307</v>
      </c>
      <c r="N110" s="1639"/>
      <c r="O110" s="1639">
        <v>3600</v>
      </c>
      <c r="P110" s="1639">
        <v>403.2</v>
      </c>
      <c r="Q110" s="1639">
        <v>720</v>
      </c>
      <c r="R110" s="1640">
        <v>0.41500976562500003</v>
      </c>
      <c r="S110" s="2157">
        <v>1.9055852307692305</v>
      </c>
      <c r="T110" s="1639"/>
      <c r="U110" s="1639">
        <v>1754.4106429277199</v>
      </c>
      <c r="V110" s="1639">
        <v>95.758653013895042</v>
      </c>
      <c r="W110" s="1639">
        <v>350.88212858554397</v>
      </c>
      <c r="X110" s="1640">
        <v>0.41500976562500003</v>
      </c>
      <c r="Y110" s="1641">
        <v>0.2</v>
      </c>
      <c r="Z110" s="1854">
        <f>IF($G110,MATCH('Fan Name List'!Y110,'Fan Name List'!$AC$16:$BM$16,1),0)</f>
        <v>3</v>
      </c>
      <c r="AA110" s="1859">
        <f>IF($G110,IF(S110&gt;567,37,MATCH('Fan Name List'!S110,'Fan Name List'!$AC$16:$BM$16,1)+1),0)</f>
        <v>10</v>
      </c>
      <c r="AB110" s="1854"/>
      <c r="AC110" s="1855"/>
      <c r="AD110" s="1855"/>
      <c r="AE110" s="1855"/>
      <c r="AF110" s="1855"/>
      <c r="AG110" s="1855"/>
      <c r="AH110" s="1855"/>
      <c r="AI110" s="1855"/>
      <c r="AJ110" s="1855"/>
      <c r="AK110" s="1855"/>
      <c r="AL110" s="1855"/>
      <c r="AM110" s="1855"/>
      <c r="AN110" s="1855"/>
      <c r="AO110" s="1855"/>
      <c r="AP110" s="1855"/>
      <c r="AQ110" s="1855"/>
      <c r="AR110" s="1855"/>
      <c r="AS110" s="1855"/>
      <c r="AT110" s="1855"/>
      <c r="AU110" s="1855"/>
      <c r="AV110" s="1855"/>
      <c r="AW110" s="1855"/>
      <c r="AX110" s="1855"/>
      <c r="AY110" s="1855"/>
      <c r="AZ110" s="1855"/>
      <c r="BA110" s="1855"/>
      <c r="BB110" s="1855"/>
      <c r="BC110" s="1855"/>
      <c r="BD110" s="1855"/>
      <c r="BE110" s="1855"/>
      <c r="BF110" s="1855"/>
      <c r="BG110" s="1855"/>
      <c r="BH110" s="1855"/>
      <c r="BI110" s="1855"/>
      <c r="BJ110" s="1855"/>
      <c r="BK110" s="1855"/>
      <c r="BL110" s="1855"/>
      <c r="BM110" s="1855"/>
      <c r="BN110" s="1855"/>
      <c r="BO110" s="1855"/>
      <c r="BP110" s="1855"/>
      <c r="BQ110" s="1855"/>
      <c r="BR110" s="1855"/>
      <c r="BS110" s="1855"/>
      <c r="BT110" s="1855"/>
      <c r="BU110" s="1855"/>
      <c r="BV110" s="1855"/>
      <c r="BW110" s="1855"/>
      <c r="BX110" s="1855"/>
      <c r="BY110" s="1855"/>
      <c r="BZ110" s="1855"/>
      <c r="CA110" s="1855"/>
      <c r="CB110" s="1855"/>
      <c r="CC110" s="1855"/>
      <c r="CD110" s="1859"/>
    </row>
    <row r="111" spans="1:82" ht="14.25">
      <c r="A111" s="1628" t="s">
        <v>1575</v>
      </c>
      <c r="B111" s="906" t="s">
        <v>3065</v>
      </c>
      <c r="C111" s="1472" t="s">
        <v>2013</v>
      </c>
      <c r="D111" s="968" t="s">
        <v>3066</v>
      </c>
      <c r="E111" s="1493" t="s">
        <v>1575</v>
      </c>
      <c r="F111" s="1629" t="s">
        <v>3065</v>
      </c>
      <c r="G111" s="405" t="b">
        <v>1</v>
      </c>
      <c r="H111" s="1638"/>
      <c r="I111" s="1639">
        <v>3000</v>
      </c>
      <c r="J111" s="1639">
        <v>260</v>
      </c>
      <c r="K111" s="1639">
        <v>1820</v>
      </c>
      <c r="L111" s="1640">
        <v>0.47743543209876499</v>
      </c>
      <c r="M111" s="2157">
        <v>2.7000000000000028</v>
      </c>
      <c r="N111" s="1639"/>
      <c r="O111" s="1639">
        <v>3600</v>
      </c>
      <c r="P111" s="1639">
        <v>374.4</v>
      </c>
      <c r="Q111" s="1639">
        <v>2184</v>
      </c>
      <c r="R111" s="1640">
        <v>0.47743543209876499</v>
      </c>
      <c r="S111" s="2157">
        <v>4.665600000000004</v>
      </c>
      <c r="T111" s="1639"/>
      <c r="U111" s="1639">
        <v>1754.4106429277199</v>
      </c>
      <c r="V111" s="1639">
        <v>88.918749227188258</v>
      </c>
      <c r="W111" s="1639">
        <v>1064.3424567094833</v>
      </c>
      <c r="X111" s="1640">
        <v>0.47743543209876499</v>
      </c>
      <c r="Y111" s="1641">
        <v>0.5</v>
      </c>
      <c r="Z111" s="1854">
        <f>IF($G111,MATCH('Fan Name List'!Y111,'Fan Name List'!$AC$16:$BM$16,1),0)</f>
        <v>5</v>
      </c>
      <c r="AA111" s="1859">
        <f>IF($G111,IF(S111&gt;567,37,MATCH('Fan Name List'!S111,'Fan Name List'!$AC$16:$BM$16,1)+1),0)</f>
        <v>13</v>
      </c>
      <c r="AB111" s="1854"/>
      <c r="AC111" s="1855"/>
      <c r="AD111" s="1855"/>
      <c r="AE111" s="1855"/>
      <c r="AF111" s="1855"/>
      <c r="AG111" s="1855"/>
      <c r="AH111" s="1855"/>
      <c r="AI111" s="1855"/>
      <c r="AJ111" s="1855"/>
      <c r="AK111" s="1855"/>
      <c r="AL111" s="1855"/>
      <c r="AM111" s="1855"/>
      <c r="AN111" s="1855"/>
      <c r="AO111" s="1855"/>
      <c r="AP111" s="1855"/>
      <c r="AQ111" s="1855"/>
      <c r="AR111" s="1855"/>
      <c r="AS111" s="1855"/>
      <c r="AT111" s="1855"/>
      <c r="AU111" s="1855"/>
      <c r="AV111" s="1855"/>
      <c r="AW111" s="1855"/>
      <c r="AX111" s="1855"/>
      <c r="AY111" s="1855"/>
      <c r="AZ111" s="1855"/>
      <c r="BA111" s="1855"/>
      <c r="BB111" s="1855"/>
      <c r="BC111" s="1855"/>
      <c r="BD111" s="1855"/>
      <c r="BE111" s="1855"/>
      <c r="BF111" s="1855"/>
      <c r="BG111" s="1855"/>
      <c r="BH111" s="1855"/>
      <c r="BI111" s="1855"/>
      <c r="BJ111" s="1855"/>
      <c r="BK111" s="1855"/>
      <c r="BL111" s="1855"/>
      <c r="BM111" s="1855"/>
      <c r="BN111" s="1855"/>
      <c r="BO111" s="1855"/>
      <c r="BP111" s="1855"/>
      <c r="BQ111" s="1855"/>
      <c r="BR111" s="1855"/>
      <c r="BS111" s="1855"/>
      <c r="BT111" s="1855"/>
      <c r="BU111" s="1855"/>
      <c r="BV111" s="1855"/>
      <c r="BW111" s="1855"/>
      <c r="BX111" s="1855"/>
      <c r="BY111" s="1855"/>
      <c r="BZ111" s="1855"/>
      <c r="CA111" s="1855"/>
      <c r="CB111" s="1855"/>
      <c r="CC111" s="1855"/>
      <c r="CD111" s="1859"/>
    </row>
    <row r="112" spans="1:82" ht="14.25">
      <c r="A112" s="1628" t="s">
        <v>1576</v>
      </c>
      <c r="B112" s="906" t="s">
        <v>3067</v>
      </c>
      <c r="C112" s="1472" t="s">
        <v>2016</v>
      </c>
      <c r="D112" s="968" t="s">
        <v>3068</v>
      </c>
      <c r="E112" s="1493" t="s">
        <v>1576</v>
      </c>
      <c r="F112" s="1629" t="s">
        <v>3067</v>
      </c>
      <c r="G112" s="405" t="b">
        <v>1</v>
      </c>
      <c r="H112" s="1638"/>
      <c r="I112" s="1639">
        <v>3000</v>
      </c>
      <c r="J112" s="1639">
        <v>220</v>
      </c>
      <c r="K112" s="1639">
        <v>3250</v>
      </c>
      <c r="L112" s="1640">
        <v>0.55650833333333305</v>
      </c>
      <c r="M112" s="2157">
        <v>3.5000000000000022</v>
      </c>
      <c r="N112" s="1639"/>
      <c r="O112" s="1639">
        <v>3600</v>
      </c>
      <c r="P112" s="1639">
        <v>316.8</v>
      </c>
      <c r="Q112" s="1639">
        <v>3900</v>
      </c>
      <c r="R112" s="1640">
        <v>0.55650833333333305</v>
      </c>
      <c r="S112" s="2157">
        <v>6.0480000000000027</v>
      </c>
      <c r="T112" s="1639"/>
      <c r="U112" s="1639">
        <v>1754.4106429277199</v>
      </c>
      <c r="V112" s="1639">
        <v>75.238941653774674</v>
      </c>
      <c r="W112" s="1639">
        <v>1900.6115298383631</v>
      </c>
      <c r="X112" s="1640">
        <v>0.55650833333333305</v>
      </c>
      <c r="Y112" s="1641">
        <v>0.7</v>
      </c>
      <c r="Z112" s="1854">
        <f>IF($G112,MATCH('Fan Name List'!Y112,'Fan Name List'!$AC$16:$BM$16,1),0)</f>
        <v>6</v>
      </c>
      <c r="AA112" s="1859">
        <f>IF($G112,IF(S112&gt;567,37,MATCH('Fan Name List'!S112,'Fan Name List'!$AC$16:$BM$16,1)+1),0)</f>
        <v>14</v>
      </c>
      <c r="AB112" s="1854"/>
      <c r="AC112" s="1855"/>
      <c r="AD112" s="1855"/>
      <c r="AE112" s="1855"/>
      <c r="AF112" s="1855"/>
      <c r="AG112" s="1855"/>
      <c r="AH112" s="1855"/>
      <c r="AI112" s="1855"/>
      <c r="AJ112" s="1855"/>
      <c r="AK112" s="1855"/>
      <c r="AL112" s="1855"/>
      <c r="AM112" s="1855"/>
      <c r="AN112" s="1855"/>
      <c r="AO112" s="1855"/>
      <c r="AP112" s="1855"/>
      <c r="AQ112" s="1855"/>
      <c r="AR112" s="1855"/>
      <c r="AS112" s="1855"/>
      <c r="AT112" s="1855"/>
      <c r="AU112" s="1855"/>
      <c r="AV112" s="1855"/>
      <c r="AW112" s="1855"/>
      <c r="AX112" s="1855"/>
      <c r="AY112" s="1855"/>
      <c r="AZ112" s="1855"/>
      <c r="BA112" s="1855"/>
      <c r="BB112" s="1855"/>
      <c r="BC112" s="1855"/>
      <c r="BD112" s="1855"/>
      <c r="BE112" s="1855"/>
      <c r="BF112" s="1855"/>
      <c r="BG112" s="1855"/>
      <c r="BH112" s="1855"/>
      <c r="BI112" s="1855"/>
      <c r="BJ112" s="1855"/>
      <c r="BK112" s="1855"/>
      <c r="BL112" s="1855"/>
      <c r="BM112" s="1855"/>
      <c r="BN112" s="1855"/>
      <c r="BO112" s="1855"/>
      <c r="BP112" s="1855"/>
      <c r="BQ112" s="1855"/>
      <c r="BR112" s="1855"/>
      <c r="BS112" s="1855"/>
      <c r="BT112" s="1855"/>
      <c r="BU112" s="1855"/>
      <c r="BV112" s="1855"/>
      <c r="BW112" s="1855"/>
      <c r="BX112" s="1855"/>
      <c r="BY112" s="1855"/>
      <c r="BZ112" s="1855"/>
      <c r="CA112" s="1855"/>
      <c r="CB112" s="1855"/>
      <c r="CC112" s="1855"/>
      <c r="CD112" s="1859"/>
    </row>
    <row r="113" spans="1:82" ht="14.25">
      <c r="A113" s="1628" t="s">
        <v>1577</v>
      </c>
      <c r="B113" s="906" t="s">
        <v>3069</v>
      </c>
      <c r="C113" s="1472" t="s">
        <v>2019</v>
      </c>
      <c r="D113" s="968" t="s">
        <v>3070</v>
      </c>
      <c r="E113" s="1493" t="s">
        <v>1577</v>
      </c>
      <c r="F113" s="1629" t="s">
        <v>3069</v>
      </c>
      <c r="G113" s="405" t="b">
        <v>1</v>
      </c>
      <c r="H113" s="1638"/>
      <c r="I113" s="1639">
        <v>3000</v>
      </c>
      <c r="J113" s="1639">
        <v>240</v>
      </c>
      <c r="K113" s="1639">
        <v>4167</v>
      </c>
      <c r="L113" s="1640">
        <v>0.50639118959107798</v>
      </c>
      <c r="M113" s="2157">
        <v>5.3800000000000008</v>
      </c>
      <c r="N113" s="1639"/>
      <c r="O113" s="1639">
        <v>3600</v>
      </c>
      <c r="P113" s="1639">
        <v>345.59999999999997</v>
      </c>
      <c r="Q113" s="1639">
        <v>5000.3999999999996</v>
      </c>
      <c r="R113" s="1640">
        <v>0.50639118959107798</v>
      </c>
      <c r="S113" s="2157">
        <v>9.29664</v>
      </c>
      <c r="T113" s="1639"/>
      <c r="U113" s="1639">
        <v>1754.4106429277199</v>
      </c>
      <c r="V113" s="1639">
        <v>82.078845440481473</v>
      </c>
      <c r="W113" s="1639">
        <v>2436.876383026603</v>
      </c>
      <c r="X113" s="1640">
        <v>0.50639118959107798</v>
      </c>
      <c r="Y113" s="1641">
        <v>1.1000000000000001</v>
      </c>
      <c r="Z113" s="1854">
        <f>IF($G113,MATCH('Fan Name List'!Y113,'Fan Name List'!$AC$16:$BM$16,1),0)</f>
        <v>7</v>
      </c>
      <c r="AA113" s="1859">
        <f>IF($G113,IF(S113&gt;567,37,MATCH('Fan Name List'!S113,'Fan Name List'!$AC$16:$BM$16,1)+1),0)</f>
        <v>15</v>
      </c>
      <c r="AB113" s="1854"/>
      <c r="AC113" s="1855"/>
      <c r="AD113" s="1855"/>
      <c r="AE113" s="1855"/>
      <c r="AF113" s="1855"/>
      <c r="AG113" s="1855"/>
      <c r="AH113" s="1855"/>
      <c r="AI113" s="1855"/>
      <c r="AJ113" s="1855"/>
      <c r="AK113" s="1855"/>
      <c r="AL113" s="1855"/>
      <c r="AM113" s="1855"/>
      <c r="AN113" s="1855"/>
      <c r="AO113" s="1855"/>
      <c r="AP113" s="1855"/>
      <c r="AQ113" s="1855"/>
      <c r="AR113" s="1855"/>
      <c r="AS113" s="1855"/>
      <c r="AT113" s="1855"/>
      <c r="AU113" s="1855"/>
      <c r="AV113" s="1855"/>
      <c r="AW113" s="1855"/>
      <c r="AX113" s="1855"/>
      <c r="AY113" s="1855"/>
      <c r="AZ113" s="1855"/>
      <c r="BA113" s="1855"/>
      <c r="BB113" s="1855"/>
      <c r="BC113" s="1855"/>
      <c r="BD113" s="1855"/>
      <c r="BE113" s="1855"/>
      <c r="BF113" s="1855"/>
      <c r="BG113" s="1855"/>
      <c r="BH113" s="1855"/>
      <c r="BI113" s="1855"/>
      <c r="BJ113" s="1855"/>
      <c r="BK113" s="1855"/>
      <c r="BL113" s="1855"/>
      <c r="BM113" s="1855"/>
      <c r="BN113" s="1855"/>
      <c r="BO113" s="1855"/>
      <c r="BP113" s="1855"/>
      <c r="BQ113" s="1855"/>
      <c r="BR113" s="1855"/>
      <c r="BS113" s="1855"/>
      <c r="BT113" s="1855"/>
      <c r="BU113" s="1855"/>
      <c r="BV113" s="1855"/>
      <c r="BW113" s="1855"/>
      <c r="BX113" s="1855"/>
      <c r="BY113" s="1855"/>
      <c r="BZ113" s="1855"/>
      <c r="CA113" s="1855"/>
      <c r="CB113" s="1855"/>
      <c r="CC113" s="1855"/>
      <c r="CD113" s="1859"/>
    </row>
    <row r="114" spans="1:82" ht="14.25">
      <c r="A114" s="1628" t="s">
        <v>1578</v>
      </c>
      <c r="B114" s="906" t="s">
        <v>3071</v>
      </c>
      <c r="C114" s="1472" t="s">
        <v>2022</v>
      </c>
      <c r="D114" s="968" t="s">
        <v>3072</v>
      </c>
      <c r="E114" s="1493" t="s">
        <v>1578</v>
      </c>
      <c r="F114" s="1629" t="s">
        <v>3071</v>
      </c>
      <c r="G114" s="405" t="b">
        <v>1</v>
      </c>
      <c r="H114" s="1638"/>
      <c r="I114" s="1639">
        <v>3000</v>
      </c>
      <c r="J114" s="1639">
        <v>383.625</v>
      </c>
      <c r="K114" s="1639">
        <v>4218.7467333320701</v>
      </c>
      <c r="L114" s="1640">
        <v>0.55110460866803002</v>
      </c>
      <c r="M114" s="2157">
        <v>8.0000000000000053</v>
      </c>
      <c r="N114" s="1639"/>
      <c r="O114" s="1639">
        <v>3600</v>
      </c>
      <c r="P114" s="1639">
        <v>552.41999999999996</v>
      </c>
      <c r="Q114" s="1639">
        <v>5062.4960799984838</v>
      </c>
      <c r="R114" s="1640">
        <v>0.55110460866803002</v>
      </c>
      <c r="S114" s="2157">
        <v>13.824000000000005</v>
      </c>
      <c r="T114" s="1639"/>
      <c r="U114" s="1639">
        <v>1754.4106429277199</v>
      </c>
      <c r="V114" s="1639">
        <v>131.1979045087696</v>
      </c>
      <c r="W114" s="1639">
        <v>2467.1380562581116</v>
      </c>
      <c r="X114" s="1640">
        <v>0.55110460866803002</v>
      </c>
      <c r="Y114" s="1641">
        <v>1.6</v>
      </c>
      <c r="Z114" s="1854">
        <f>IF($G114,MATCH('Fan Name List'!Y114,'Fan Name List'!$AC$16:$BM$16,1),0)</f>
        <v>8</v>
      </c>
      <c r="AA114" s="1859">
        <f>IF($G114,IF(S114&gt;567,37,MATCH('Fan Name List'!S114,'Fan Name List'!$AC$16:$BM$16,1)+1),0)</f>
        <v>16</v>
      </c>
      <c r="AB114" s="1854"/>
      <c r="AC114" s="1855"/>
      <c r="AD114" s="1855"/>
      <c r="AE114" s="1855"/>
      <c r="AF114" s="1855"/>
      <c r="AG114" s="1855"/>
      <c r="AH114" s="1855"/>
      <c r="AI114" s="1855"/>
      <c r="AJ114" s="1855"/>
      <c r="AK114" s="1855"/>
      <c r="AL114" s="1855"/>
      <c r="AM114" s="1855"/>
      <c r="AN114" s="1855"/>
      <c r="AO114" s="1855"/>
      <c r="AP114" s="1855"/>
      <c r="AQ114" s="1855"/>
      <c r="AR114" s="1855"/>
      <c r="AS114" s="1855"/>
      <c r="AT114" s="1855"/>
      <c r="AU114" s="1855"/>
      <c r="AV114" s="1855"/>
      <c r="AW114" s="1855"/>
      <c r="AX114" s="1855"/>
      <c r="AY114" s="1855"/>
      <c r="AZ114" s="1855"/>
      <c r="BA114" s="1855"/>
      <c r="BB114" s="1855"/>
      <c r="BC114" s="1855"/>
      <c r="BD114" s="1855"/>
      <c r="BE114" s="1855"/>
      <c r="BF114" s="1855"/>
      <c r="BG114" s="1855"/>
      <c r="BH114" s="1855"/>
      <c r="BI114" s="1855"/>
      <c r="BJ114" s="1855"/>
      <c r="BK114" s="1855"/>
      <c r="BL114" s="1855"/>
      <c r="BM114" s="1855"/>
      <c r="BN114" s="1855"/>
      <c r="BO114" s="1855"/>
      <c r="BP114" s="1855"/>
      <c r="BQ114" s="1855"/>
      <c r="BR114" s="1855"/>
      <c r="BS114" s="1855"/>
      <c r="BT114" s="1855"/>
      <c r="BU114" s="1855"/>
      <c r="BV114" s="1855"/>
      <c r="BW114" s="1855"/>
      <c r="BX114" s="1855"/>
      <c r="BY114" s="1855"/>
      <c r="BZ114" s="1855"/>
      <c r="CA114" s="1855"/>
      <c r="CB114" s="1855"/>
      <c r="CC114" s="1855"/>
      <c r="CD114" s="1859"/>
    </row>
    <row r="115" spans="1:82" ht="14.25">
      <c r="A115" s="1628" t="s">
        <v>1579</v>
      </c>
      <c r="B115" s="906" t="s">
        <v>3073</v>
      </c>
      <c r="C115" s="1472" t="s">
        <v>2025</v>
      </c>
      <c r="D115" s="968" t="s">
        <v>3074</v>
      </c>
      <c r="E115" s="1493" t="s">
        <v>1579</v>
      </c>
      <c r="F115" s="1629" t="s">
        <v>3073</v>
      </c>
      <c r="G115" s="405" t="b">
        <v>1</v>
      </c>
      <c r="H115" s="1638"/>
      <c r="I115" s="1639">
        <v>3000</v>
      </c>
      <c r="J115" s="1639">
        <v>442</v>
      </c>
      <c r="K115" s="1639">
        <v>5400</v>
      </c>
      <c r="L115" s="1640">
        <v>0.63745499999999999</v>
      </c>
      <c r="M115" s="2157">
        <v>10.199999999999999</v>
      </c>
      <c r="N115" s="1639"/>
      <c r="O115" s="1639">
        <v>3600</v>
      </c>
      <c r="P115" s="1639">
        <v>636.48</v>
      </c>
      <c r="Q115" s="1639">
        <v>6480</v>
      </c>
      <c r="R115" s="1640">
        <v>0.63745499999999999</v>
      </c>
      <c r="S115" s="2157">
        <v>17.625600000000002</v>
      </c>
      <c r="T115" s="1639"/>
      <c r="U115" s="1639">
        <v>1754.4106429277199</v>
      </c>
      <c r="V115" s="1639">
        <v>151.16187368622005</v>
      </c>
      <c r="W115" s="1639">
        <v>3157.9391572698955</v>
      </c>
      <c r="X115" s="1640">
        <v>0.63745499999999999</v>
      </c>
      <c r="Y115" s="1641">
        <v>2</v>
      </c>
      <c r="Z115" s="1854">
        <f>IF($G115,MATCH('Fan Name List'!Y115,'Fan Name List'!$AC$16:$BM$16,1),0)</f>
        <v>9</v>
      </c>
      <c r="AA115" s="1859">
        <f>IF($G115,IF(S115&gt;567,37,MATCH('Fan Name List'!S115,'Fan Name List'!$AC$16:$BM$16,1)+1),0)</f>
        <v>17</v>
      </c>
      <c r="AB115" s="1854"/>
      <c r="AC115" s="1855"/>
      <c r="AD115" s="1855"/>
      <c r="AE115" s="1855"/>
      <c r="AF115" s="1855"/>
      <c r="AG115" s="1855"/>
      <c r="AH115" s="1855"/>
      <c r="AI115" s="1855"/>
      <c r="AJ115" s="1855"/>
      <c r="AK115" s="1855"/>
      <c r="AL115" s="1855"/>
      <c r="AM115" s="1855"/>
      <c r="AN115" s="1855"/>
      <c r="AO115" s="1855"/>
      <c r="AP115" s="1855"/>
      <c r="AQ115" s="1855"/>
      <c r="AR115" s="1855"/>
      <c r="AS115" s="1855"/>
      <c r="AT115" s="1855"/>
      <c r="AU115" s="1855"/>
      <c r="AV115" s="1855"/>
      <c r="AW115" s="1855"/>
      <c r="AX115" s="1855"/>
      <c r="AY115" s="1855"/>
      <c r="AZ115" s="1855"/>
      <c r="BA115" s="1855"/>
      <c r="BB115" s="1855"/>
      <c r="BC115" s="1855"/>
      <c r="BD115" s="1855"/>
      <c r="BE115" s="1855"/>
      <c r="BF115" s="1855"/>
      <c r="BG115" s="1855"/>
      <c r="BH115" s="1855"/>
      <c r="BI115" s="1855"/>
      <c r="BJ115" s="1855"/>
      <c r="BK115" s="1855"/>
      <c r="BL115" s="1855"/>
      <c r="BM115" s="1855"/>
      <c r="BN115" s="1855"/>
      <c r="BO115" s="1855"/>
      <c r="BP115" s="1855"/>
      <c r="BQ115" s="1855"/>
      <c r="BR115" s="1855"/>
      <c r="BS115" s="1855"/>
      <c r="BT115" s="1855"/>
      <c r="BU115" s="1855"/>
      <c r="BV115" s="1855"/>
      <c r="BW115" s="1855"/>
      <c r="BX115" s="1855"/>
      <c r="BY115" s="1855"/>
      <c r="BZ115" s="1855"/>
      <c r="CA115" s="1855"/>
      <c r="CB115" s="1855"/>
      <c r="CC115" s="1855"/>
      <c r="CD115" s="1859"/>
    </row>
    <row r="116" spans="1:82" ht="14.25">
      <c r="A116" s="1628" t="s">
        <v>1580</v>
      </c>
      <c r="B116" s="906" t="s">
        <v>3075</v>
      </c>
      <c r="C116" s="1472" t="s">
        <v>2028</v>
      </c>
      <c r="D116" s="968" t="s">
        <v>3076</v>
      </c>
      <c r="E116" s="1493" t="s">
        <v>1580</v>
      </c>
      <c r="F116" s="1629" t="s">
        <v>3075</v>
      </c>
      <c r="G116" s="405" t="b">
        <v>1</v>
      </c>
      <c r="H116" s="1638"/>
      <c r="I116" s="1639">
        <v>3000</v>
      </c>
      <c r="J116" s="1639">
        <v>357</v>
      </c>
      <c r="K116" s="1639">
        <v>6800</v>
      </c>
      <c r="L116" s="1640">
        <v>0.61805485981308395</v>
      </c>
      <c r="M116" s="2157">
        <v>10.700000000000003</v>
      </c>
      <c r="N116" s="1639"/>
      <c r="O116" s="1639">
        <v>3600</v>
      </c>
      <c r="P116" s="1639">
        <v>514.07999999999993</v>
      </c>
      <c r="Q116" s="1639">
        <v>8160</v>
      </c>
      <c r="R116" s="1640">
        <v>0.61805485981308395</v>
      </c>
      <c r="S116" s="2157">
        <v>18.489600000000006</v>
      </c>
      <c r="T116" s="1639"/>
      <c r="U116" s="1639">
        <v>1754.4106429277199</v>
      </c>
      <c r="V116" s="1639">
        <v>122.09228259271619</v>
      </c>
      <c r="W116" s="1639">
        <v>3976.6641239694982</v>
      </c>
      <c r="X116" s="1640">
        <v>0.61805485981308395</v>
      </c>
      <c r="Y116" s="1641">
        <v>2.1</v>
      </c>
      <c r="Z116" s="1854">
        <f>IF($G116,MATCH('Fan Name List'!Y116,'Fan Name List'!$AC$16:$BM$16,1),0)</f>
        <v>9</v>
      </c>
      <c r="AA116" s="1859">
        <f>IF($G116,IF(S116&gt;567,37,MATCH('Fan Name List'!S116,'Fan Name List'!$AC$16:$BM$16,1)+1),0)</f>
        <v>17</v>
      </c>
      <c r="AB116" s="1854"/>
      <c r="AC116" s="1855"/>
      <c r="AD116" s="1855"/>
      <c r="AE116" s="1855"/>
      <c r="AF116" s="1855"/>
      <c r="AG116" s="1855"/>
      <c r="AH116" s="1855"/>
      <c r="AI116" s="1855"/>
      <c r="AJ116" s="1855"/>
      <c r="AK116" s="1855"/>
      <c r="AL116" s="1855"/>
      <c r="AM116" s="1855"/>
      <c r="AN116" s="1855"/>
      <c r="AO116" s="1855"/>
      <c r="AP116" s="1855"/>
      <c r="AQ116" s="1855"/>
      <c r="AR116" s="1855"/>
      <c r="AS116" s="1855"/>
      <c r="AT116" s="1855"/>
      <c r="AU116" s="1855"/>
      <c r="AV116" s="1855"/>
      <c r="AW116" s="1855"/>
      <c r="AX116" s="1855"/>
      <c r="AY116" s="1855"/>
      <c r="AZ116" s="1855"/>
      <c r="BA116" s="1855"/>
      <c r="BB116" s="1855"/>
      <c r="BC116" s="1855"/>
      <c r="BD116" s="1855"/>
      <c r="BE116" s="1855"/>
      <c r="BF116" s="1855"/>
      <c r="BG116" s="1855"/>
      <c r="BH116" s="1855"/>
      <c r="BI116" s="1855"/>
      <c r="BJ116" s="1855"/>
      <c r="BK116" s="1855"/>
      <c r="BL116" s="1855"/>
      <c r="BM116" s="1855"/>
      <c r="BN116" s="1855"/>
      <c r="BO116" s="1855"/>
      <c r="BP116" s="1855"/>
      <c r="BQ116" s="1855"/>
      <c r="BR116" s="1855"/>
      <c r="BS116" s="1855"/>
      <c r="BT116" s="1855"/>
      <c r="BU116" s="1855"/>
      <c r="BV116" s="1855"/>
      <c r="BW116" s="1855"/>
      <c r="BX116" s="1855"/>
      <c r="BY116" s="1855"/>
      <c r="BZ116" s="1855"/>
      <c r="CA116" s="1855"/>
      <c r="CB116" s="1855"/>
      <c r="CC116" s="1855"/>
      <c r="CD116" s="1859"/>
    </row>
    <row r="117" spans="1:82" ht="14.25">
      <c r="A117" s="1628" t="s">
        <v>1581</v>
      </c>
      <c r="B117" s="906" t="s">
        <v>3077</v>
      </c>
      <c r="C117" s="1472" t="s">
        <v>2031</v>
      </c>
      <c r="D117" s="968" t="s">
        <v>3078</v>
      </c>
      <c r="E117" s="1493" t="s">
        <v>1581</v>
      </c>
      <c r="F117" s="1629" t="s">
        <v>3077</v>
      </c>
      <c r="G117" s="405" t="b">
        <v>1</v>
      </c>
      <c r="H117" s="1638"/>
      <c r="I117" s="1639">
        <v>3000</v>
      </c>
      <c r="J117" s="1639">
        <v>575</v>
      </c>
      <c r="K117" s="1639">
        <v>4100</v>
      </c>
      <c r="L117" s="1640">
        <v>0.56833831120944001</v>
      </c>
      <c r="M117" s="2157">
        <v>11.299999999999988</v>
      </c>
      <c r="N117" s="1639"/>
      <c r="O117" s="1639">
        <v>3600</v>
      </c>
      <c r="P117" s="1639">
        <v>828</v>
      </c>
      <c r="Q117" s="1639">
        <v>4920</v>
      </c>
      <c r="R117" s="1640">
        <v>0.56833831120944001</v>
      </c>
      <c r="S117" s="2157">
        <v>19.526399999999985</v>
      </c>
      <c r="T117" s="1639"/>
      <c r="U117" s="1639">
        <v>1754.4106429277199</v>
      </c>
      <c r="V117" s="1639">
        <v>196.64723386782018</v>
      </c>
      <c r="W117" s="1639">
        <v>2397.6945453345502</v>
      </c>
      <c r="X117" s="1640">
        <v>0.56833831120944001</v>
      </c>
      <c r="Y117" s="1641">
        <v>2.2999999999999998</v>
      </c>
      <c r="Z117" s="1854">
        <f>IF($G117,MATCH('Fan Name List'!Y117,'Fan Name List'!$AC$16:$BM$16,1),0)</f>
        <v>9</v>
      </c>
      <c r="AA117" s="1859">
        <f>IF($G117,IF(S117&gt;567,37,MATCH('Fan Name List'!S117,'Fan Name List'!$AC$16:$BM$16,1)+1),0)</f>
        <v>17</v>
      </c>
      <c r="AB117" s="1854"/>
      <c r="AC117" s="1855"/>
      <c r="AD117" s="1855"/>
      <c r="AE117" s="1855"/>
      <c r="AF117" s="1855"/>
      <c r="AG117" s="1855"/>
      <c r="AH117" s="1855"/>
      <c r="AI117" s="1855"/>
      <c r="AJ117" s="1855"/>
      <c r="AK117" s="1855"/>
      <c r="AL117" s="1855"/>
      <c r="AM117" s="1855"/>
      <c r="AN117" s="1855"/>
      <c r="AO117" s="1855"/>
      <c r="AP117" s="1855"/>
      <c r="AQ117" s="1855"/>
      <c r="AR117" s="1855"/>
      <c r="AS117" s="1855"/>
      <c r="AT117" s="1855"/>
      <c r="AU117" s="1855"/>
      <c r="AV117" s="1855"/>
      <c r="AW117" s="1855"/>
      <c r="AX117" s="1855"/>
      <c r="AY117" s="1855"/>
      <c r="AZ117" s="1855"/>
      <c r="BA117" s="1855"/>
      <c r="BB117" s="1855"/>
      <c r="BC117" s="1855"/>
      <c r="BD117" s="1855"/>
      <c r="BE117" s="1855"/>
      <c r="BF117" s="1855"/>
      <c r="BG117" s="1855"/>
      <c r="BH117" s="1855"/>
      <c r="BI117" s="1855"/>
      <c r="BJ117" s="1855"/>
      <c r="BK117" s="1855"/>
      <c r="BL117" s="1855"/>
      <c r="BM117" s="1855"/>
      <c r="BN117" s="1855"/>
      <c r="BO117" s="1855"/>
      <c r="BP117" s="1855"/>
      <c r="BQ117" s="1855"/>
      <c r="BR117" s="1855"/>
      <c r="BS117" s="1855"/>
      <c r="BT117" s="1855"/>
      <c r="BU117" s="1855"/>
      <c r="BV117" s="1855"/>
      <c r="BW117" s="1855"/>
      <c r="BX117" s="1855"/>
      <c r="BY117" s="1855"/>
      <c r="BZ117" s="1855"/>
      <c r="CA117" s="1855"/>
      <c r="CB117" s="1855"/>
      <c r="CC117" s="1855"/>
      <c r="CD117" s="1859"/>
    </row>
    <row r="118" spans="1:82" ht="14.25">
      <c r="A118" s="1628" t="s">
        <v>1582</v>
      </c>
      <c r="B118" s="906" t="s">
        <v>3079</v>
      </c>
      <c r="C118" s="1472" t="s">
        <v>2033</v>
      </c>
      <c r="D118" s="968" t="s">
        <v>2368</v>
      </c>
      <c r="E118" s="1493" t="s">
        <v>1582</v>
      </c>
      <c r="F118" s="1629" t="s">
        <v>3079</v>
      </c>
      <c r="G118" s="405" t="b">
        <v>1</v>
      </c>
      <c r="H118" s="1638"/>
      <c r="I118" s="1639">
        <v>3000</v>
      </c>
      <c r="J118" s="1639">
        <v>666</v>
      </c>
      <c r="K118" s="1639">
        <v>6333</v>
      </c>
      <c r="L118" s="1640">
        <v>0.63832945750000003</v>
      </c>
      <c r="M118" s="2157">
        <v>18</v>
      </c>
      <c r="N118" s="1639"/>
      <c r="O118" s="1639">
        <v>3600</v>
      </c>
      <c r="P118" s="1639">
        <v>959.04</v>
      </c>
      <c r="Q118" s="1639">
        <v>7599.5999999999995</v>
      </c>
      <c r="R118" s="1640">
        <v>0.63832945750000003</v>
      </c>
      <c r="S118" s="2157">
        <v>31.103999999999999</v>
      </c>
      <c r="T118" s="1639"/>
      <c r="U118" s="1639">
        <v>1754.4106429277199</v>
      </c>
      <c r="V118" s="1639">
        <v>227.76879609733606</v>
      </c>
      <c r="W118" s="1639">
        <v>3703.5608672204166</v>
      </c>
      <c r="X118" s="1640">
        <v>0.63832945750000003</v>
      </c>
      <c r="Y118" s="1641">
        <v>3.6</v>
      </c>
      <c r="Z118" s="1854">
        <f>IF($G118,MATCH('Fan Name List'!Y118,'Fan Name List'!$AC$16:$BM$16,1),0)</f>
        <v>11</v>
      </c>
      <c r="AA118" s="1859">
        <f>IF($G118,IF(S118&gt;567,37,MATCH('Fan Name List'!S118,'Fan Name List'!$AC$16:$BM$16,1)+1),0)</f>
        <v>19</v>
      </c>
      <c r="AB118" s="1854"/>
      <c r="AC118" s="1855"/>
      <c r="AD118" s="1855"/>
      <c r="AE118" s="1855"/>
      <c r="AF118" s="1855"/>
      <c r="AG118" s="1855"/>
      <c r="AH118" s="1855"/>
      <c r="AI118" s="1855"/>
      <c r="AJ118" s="1855"/>
      <c r="AK118" s="1855"/>
      <c r="AL118" s="1855"/>
      <c r="AM118" s="1855"/>
      <c r="AN118" s="1855"/>
      <c r="AO118" s="1855"/>
      <c r="AP118" s="1855"/>
      <c r="AQ118" s="1855"/>
      <c r="AR118" s="1855"/>
      <c r="AS118" s="1855"/>
      <c r="AT118" s="1855"/>
      <c r="AU118" s="1855"/>
      <c r="AV118" s="1855"/>
      <c r="AW118" s="1855"/>
      <c r="AX118" s="1855"/>
      <c r="AY118" s="1855"/>
      <c r="AZ118" s="1855"/>
      <c r="BA118" s="1855"/>
      <c r="BB118" s="1855"/>
      <c r="BC118" s="1855"/>
      <c r="BD118" s="1855"/>
      <c r="BE118" s="1855"/>
      <c r="BF118" s="1855"/>
      <c r="BG118" s="1855"/>
      <c r="BH118" s="1855"/>
      <c r="BI118" s="1855"/>
      <c r="BJ118" s="1855"/>
      <c r="BK118" s="1855"/>
      <c r="BL118" s="1855"/>
      <c r="BM118" s="1855"/>
      <c r="BN118" s="1855"/>
      <c r="BO118" s="1855"/>
      <c r="BP118" s="1855"/>
      <c r="BQ118" s="1855"/>
      <c r="BR118" s="1855"/>
      <c r="BS118" s="1855"/>
      <c r="BT118" s="1855"/>
      <c r="BU118" s="1855"/>
      <c r="BV118" s="1855"/>
      <c r="BW118" s="1855"/>
      <c r="BX118" s="1855"/>
      <c r="BY118" s="1855"/>
      <c r="BZ118" s="1855"/>
      <c r="CA118" s="1855"/>
      <c r="CB118" s="1855"/>
      <c r="CC118" s="1855"/>
      <c r="CD118" s="1859"/>
    </row>
    <row r="119" spans="1:82" ht="14.25">
      <c r="A119" s="1628" t="s">
        <v>1688</v>
      </c>
      <c r="B119" s="906" t="s">
        <v>3080</v>
      </c>
      <c r="C119" s="1472" t="s">
        <v>2036</v>
      </c>
      <c r="D119" s="968" t="s">
        <v>3081</v>
      </c>
      <c r="E119" s="1493" t="s">
        <v>1688</v>
      </c>
      <c r="F119" s="1629" t="s">
        <v>3080</v>
      </c>
      <c r="G119" s="405" t="b">
        <v>1</v>
      </c>
      <c r="H119" s="1638"/>
      <c r="I119" s="1639">
        <v>3000</v>
      </c>
      <c r="J119" s="1639">
        <v>666</v>
      </c>
      <c r="K119" s="1639">
        <v>6333</v>
      </c>
      <c r="L119" s="1640">
        <v>0.63832945750000003</v>
      </c>
      <c r="M119" s="2157">
        <v>18</v>
      </c>
      <c r="N119" s="1639"/>
      <c r="O119" s="1639">
        <v>3600</v>
      </c>
      <c r="P119" s="1639">
        <v>959.04</v>
      </c>
      <c r="Q119" s="1639">
        <v>7599.5999999999995</v>
      </c>
      <c r="R119" s="1640">
        <v>0.63832945750000003</v>
      </c>
      <c r="S119" s="2157">
        <v>31.103999999999999</v>
      </c>
      <c r="T119" s="1639"/>
      <c r="U119" s="1639">
        <v>1754.4106429277199</v>
      </c>
      <c r="V119" s="1639">
        <v>227.76879609733606</v>
      </c>
      <c r="W119" s="1639">
        <v>3703.5608672204166</v>
      </c>
      <c r="X119" s="1640">
        <v>0.63832945750000003</v>
      </c>
      <c r="Y119" s="1641">
        <v>3.6</v>
      </c>
      <c r="Z119" s="1854">
        <f>IF($G119,MATCH('Fan Name List'!Y119,'Fan Name List'!$AC$16:$BM$16,1),0)</f>
        <v>11</v>
      </c>
      <c r="AA119" s="1859">
        <f>IF($G119,IF(S119&gt;567,37,MATCH('Fan Name List'!S119,'Fan Name List'!$AC$16:$BM$16,1)+1),0)</f>
        <v>19</v>
      </c>
      <c r="AB119" s="1854"/>
      <c r="AC119" s="1855"/>
      <c r="AD119" s="1855"/>
      <c r="AE119" s="1855"/>
      <c r="AF119" s="1855"/>
      <c r="AG119" s="1855"/>
      <c r="AH119" s="1855"/>
      <c r="AI119" s="1855"/>
      <c r="AJ119" s="1855"/>
      <c r="AK119" s="1855"/>
      <c r="AL119" s="1855"/>
      <c r="AM119" s="1855"/>
      <c r="AN119" s="1855"/>
      <c r="AO119" s="1855"/>
      <c r="AP119" s="1855"/>
      <c r="AQ119" s="1855"/>
      <c r="AR119" s="1855"/>
      <c r="AS119" s="1855"/>
      <c r="AT119" s="1855"/>
      <c r="AU119" s="1855"/>
      <c r="AV119" s="1855"/>
      <c r="AW119" s="1855"/>
      <c r="AX119" s="1855"/>
      <c r="AY119" s="1855"/>
      <c r="AZ119" s="1855"/>
      <c r="BA119" s="1855"/>
      <c r="BB119" s="1855"/>
      <c r="BC119" s="1855"/>
      <c r="BD119" s="1855"/>
      <c r="BE119" s="1855"/>
      <c r="BF119" s="1855"/>
      <c r="BG119" s="1855"/>
      <c r="BH119" s="1855"/>
      <c r="BI119" s="1855"/>
      <c r="BJ119" s="1855"/>
      <c r="BK119" s="1855"/>
      <c r="BL119" s="1855"/>
      <c r="BM119" s="1855"/>
      <c r="BN119" s="1855"/>
      <c r="BO119" s="1855"/>
      <c r="BP119" s="1855"/>
      <c r="BQ119" s="1855"/>
      <c r="BR119" s="1855"/>
      <c r="BS119" s="1855"/>
      <c r="BT119" s="1855"/>
      <c r="BU119" s="1855"/>
      <c r="BV119" s="1855"/>
      <c r="BW119" s="1855"/>
      <c r="BX119" s="1855"/>
      <c r="BY119" s="1855"/>
      <c r="BZ119" s="1855"/>
      <c r="CA119" s="1855"/>
      <c r="CB119" s="1855"/>
      <c r="CC119" s="1855"/>
      <c r="CD119" s="1859"/>
    </row>
    <row r="120" spans="1:82" ht="14.25">
      <c r="A120" s="1628" t="s">
        <v>1689</v>
      </c>
      <c r="B120" s="906" t="s">
        <v>3082</v>
      </c>
      <c r="C120" s="1472" t="s">
        <v>2039</v>
      </c>
      <c r="D120" s="968" t="s">
        <v>3083</v>
      </c>
      <c r="E120" s="1493" t="s">
        <v>1689</v>
      </c>
      <c r="F120" s="1629" t="s">
        <v>3082</v>
      </c>
      <c r="G120" s="405" t="b">
        <v>1</v>
      </c>
      <c r="H120" s="1638"/>
      <c r="I120" s="1639">
        <v>3000</v>
      </c>
      <c r="J120" s="1639">
        <v>666</v>
      </c>
      <c r="K120" s="1639">
        <v>6333</v>
      </c>
      <c r="L120" s="1640">
        <v>0.63832945750000003</v>
      </c>
      <c r="M120" s="2157">
        <v>18</v>
      </c>
      <c r="N120" s="1639"/>
      <c r="O120" s="1639">
        <v>3600</v>
      </c>
      <c r="P120" s="1639">
        <v>959.04</v>
      </c>
      <c r="Q120" s="1639">
        <v>7599.5999999999995</v>
      </c>
      <c r="R120" s="1640">
        <v>0.63832945750000003</v>
      </c>
      <c r="S120" s="2157">
        <v>31.103999999999999</v>
      </c>
      <c r="T120" s="1639"/>
      <c r="U120" s="1639">
        <v>1754.4106429277199</v>
      </c>
      <c r="V120" s="1639">
        <v>227.76879609733606</v>
      </c>
      <c r="W120" s="1639">
        <v>3703.5608672204166</v>
      </c>
      <c r="X120" s="1640">
        <v>0.63832945750000003</v>
      </c>
      <c r="Y120" s="1641">
        <v>3.6</v>
      </c>
      <c r="Z120" s="1854">
        <f>IF($G120,MATCH('Fan Name List'!Y120,'Fan Name List'!$AC$16:$BM$16,1),0)</f>
        <v>11</v>
      </c>
      <c r="AA120" s="1859">
        <f>IF($G120,IF(S120&gt;567,37,MATCH('Fan Name List'!S120,'Fan Name List'!$AC$16:$BM$16,1)+1),0)</f>
        <v>19</v>
      </c>
      <c r="AB120" s="1854"/>
      <c r="AC120" s="1855"/>
      <c r="AD120" s="1855"/>
      <c r="AE120" s="1855"/>
      <c r="AF120" s="1855"/>
      <c r="AG120" s="1855"/>
      <c r="AH120" s="1855"/>
      <c r="AI120" s="1855"/>
      <c r="AJ120" s="1855"/>
      <c r="AK120" s="1855"/>
      <c r="AL120" s="1855"/>
      <c r="AM120" s="1855"/>
      <c r="AN120" s="1855"/>
      <c r="AO120" s="1855"/>
      <c r="AP120" s="1855"/>
      <c r="AQ120" s="1855"/>
      <c r="AR120" s="1855"/>
      <c r="AS120" s="1855"/>
      <c r="AT120" s="1855"/>
      <c r="AU120" s="1855"/>
      <c r="AV120" s="1855"/>
      <c r="AW120" s="1855"/>
      <c r="AX120" s="1855"/>
      <c r="AY120" s="1855"/>
      <c r="AZ120" s="1855"/>
      <c r="BA120" s="1855"/>
      <c r="BB120" s="1855"/>
      <c r="BC120" s="1855"/>
      <c r="BD120" s="1855"/>
      <c r="BE120" s="1855"/>
      <c r="BF120" s="1855"/>
      <c r="BG120" s="1855"/>
      <c r="BH120" s="1855"/>
      <c r="BI120" s="1855"/>
      <c r="BJ120" s="1855"/>
      <c r="BK120" s="1855"/>
      <c r="BL120" s="1855"/>
      <c r="BM120" s="1855"/>
      <c r="BN120" s="1855"/>
      <c r="BO120" s="1855"/>
      <c r="BP120" s="1855"/>
      <c r="BQ120" s="1855"/>
      <c r="BR120" s="1855"/>
      <c r="BS120" s="1855"/>
      <c r="BT120" s="1855"/>
      <c r="BU120" s="1855"/>
      <c r="BV120" s="1855"/>
      <c r="BW120" s="1855"/>
      <c r="BX120" s="1855"/>
      <c r="BY120" s="1855"/>
      <c r="BZ120" s="1855"/>
      <c r="CA120" s="1855"/>
      <c r="CB120" s="1855"/>
      <c r="CC120" s="1855"/>
      <c r="CD120" s="1859"/>
    </row>
    <row r="121" spans="1:82" ht="14.25">
      <c r="A121" s="1628" t="s">
        <v>1583</v>
      </c>
      <c r="B121" s="906" t="s">
        <v>3084</v>
      </c>
      <c r="C121" s="1472" t="s">
        <v>2042</v>
      </c>
      <c r="D121" s="968" t="s">
        <v>2369</v>
      </c>
      <c r="E121" s="1493" t="s">
        <v>1583</v>
      </c>
      <c r="F121" s="1629" t="s">
        <v>3084</v>
      </c>
      <c r="G121" s="405" t="b">
        <v>1</v>
      </c>
      <c r="H121" s="1638"/>
      <c r="I121" s="1639">
        <v>3000</v>
      </c>
      <c r="J121" s="1639">
        <v>559.35</v>
      </c>
      <c r="K121" s="1639">
        <v>10497.1174614748</v>
      </c>
      <c r="L121" s="1640">
        <v>0.61757201768456504</v>
      </c>
      <c r="M121" s="2157">
        <v>25.89999999999991</v>
      </c>
      <c r="N121" s="1639"/>
      <c r="O121" s="1639">
        <v>3600</v>
      </c>
      <c r="P121" s="1639">
        <v>805.46400000000006</v>
      </c>
      <c r="Q121" s="1639">
        <v>12596.54095376976</v>
      </c>
      <c r="R121" s="1640">
        <v>0.61757201768456504</v>
      </c>
      <c r="S121" s="2157">
        <v>44.755199999999846</v>
      </c>
      <c r="T121" s="1639"/>
      <c r="U121" s="1639">
        <v>1754.4106429277199</v>
      </c>
      <c r="V121" s="1639">
        <v>191.29500915472212</v>
      </c>
      <c r="W121" s="1639">
        <v>6138.7515314912662</v>
      </c>
      <c r="X121" s="1640">
        <v>0.61757201768456504</v>
      </c>
      <c r="Y121" s="1641">
        <v>5.2</v>
      </c>
      <c r="Z121" s="1854">
        <f>IF($G121,MATCH('Fan Name List'!Y121,'Fan Name List'!$AC$16:$BM$16,1),0)</f>
        <v>12</v>
      </c>
      <c r="AA121" s="1859">
        <f>IF($G121,IF(S121&gt;567,37,MATCH('Fan Name List'!S121,'Fan Name List'!$AC$16:$BM$16,1)+1),0)</f>
        <v>21</v>
      </c>
      <c r="AB121" s="1854"/>
      <c r="AC121" s="1855"/>
      <c r="AD121" s="1855"/>
      <c r="AE121" s="1855"/>
      <c r="AF121" s="1855"/>
      <c r="AG121" s="1855"/>
      <c r="AH121" s="1855"/>
      <c r="AI121" s="1855"/>
      <c r="AJ121" s="1855"/>
      <c r="AK121" s="1855"/>
      <c r="AL121" s="1855"/>
      <c r="AM121" s="1855"/>
      <c r="AN121" s="1855"/>
      <c r="AO121" s="1855"/>
      <c r="AP121" s="1855"/>
      <c r="AQ121" s="1855"/>
      <c r="AR121" s="1855"/>
      <c r="AS121" s="1855"/>
      <c r="AT121" s="1855"/>
      <c r="AU121" s="1855"/>
      <c r="AV121" s="1855"/>
      <c r="AW121" s="1855"/>
      <c r="AX121" s="1855"/>
      <c r="AY121" s="1855"/>
      <c r="AZ121" s="1855"/>
      <c r="BA121" s="1855"/>
      <c r="BB121" s="1855"/>
      <c r="BC121" s="1855"/>
      <c r="BD121" s="1855"/>
      <c r="BE121" s="1855"/>
      <c r="BF121" s="1855"/>
      <c r="BG121" s="1855"/>
      <c r="BH121" s="1855"/>
      <c r="BI121" s="1855"/>
      <c r="BJ121" s="1855"/>
      <c r="BK121" s="1855"/>
      <c r="BL121" s="1855"/>
      <c r="BM121" s="1855"/>
      <c r="BN121" s="1855"/>
      <c r="BO121" s="1855"/>
      <c r="BP121" s="1855"/>
      <c r="BQ121" s="1855"/>
      <c r="BR121" s="1855"/>
      <c r="BS121" s="1855"/>
      <c r="BT121" s="1855"/>
      <c r="BU121" s="1855"/>
      <c r="BV121" s="1855"/>
      <c r="BW121" s="1855"/>
      <c r="BX121" s="1855"/>
      <c r="BY121" s="1855"/>
      <c r="BZ121" s="1855"/>
      <c r="CA121" s="1855"/>
      <c r="CB121" s="1855"/>
      <c r="CC121" s="1855"/>
      <c r="CD121" s="1859"/>
    </row>
    <row r="122" spans="1:82" ht="14.25">
      <c r="A122" s="1628" t="s">
        <v>1690</v>
      </c>
      <c r="B122" s="906" t="s">
        <v>3085</v>
      </c>
      <c r="C122" s="1472" t="s">
        <v>2044</v>
      </c>
      <c r="D122" s="968" t="s">
        <v>3086</v>
      </c>
      <c r="E122" s="1493" t="s">
        <v>1690</v>
      </c>
      <c r="F122" s="1629" t="s">
        <v>3085</v>
      </c>
      <c r="G122" s="405" t="b">
        <v>1</v>
      </c>
      <c r="H122" s="1638"/>
      <c r="I122" s="1639">
        <v>3000</v>
      </c>
      <c r="J122" s="1639">
        <v>559.35</v>
      </c>
      <c r="K122" s="1639">
        <v>10497.1174614748</v>
      </c>
      <c r="L122" s="1640">
        <v>0.61757201768456504</v>
      </c>
      <c r="M122" s="2157">
        <v>25.89999999999991</v>
      </c>
      <c r="N122" s="1639"/>
      <c r="O122" s="1639">
        <v>3600</v>
      </c>
      <c r="P122" s="1639">
        <v>805.46400000000006</v>
      </c>
      <c r="Q122" s="1639">
        <v>12596.54095376976</v>
      </c>
      <c r="R122" s="1640">
        <v>0.61757201768456504</v>
      </c>
      <c r="S122" s="2157">
        <v>44.755199999999846</v>
      </c>
      <c r="T122" s="1639"/>
      <c r="U122" s="1639">
        <v>1754.4106429277199</v>
      </c>
      <c r="V122" s="1639">
        <v>191.29500915472212</v>
      </c>
      <c r="W122" s="1639">
        <v>6138.7515314912662</v>
      </c>
      <c r="X122" s="1640">
        <v>0.61757201768456504</v>
      </c>
      <c r="Y122" s="1641">
        <v>5.2</v>
      </c>
      <c r="Z122" s="1854">
        <f>IF($G122,MATCH('Fan Name List'!Y122,'Fan Name List'!$AC$16:$BM$16,1),0)</f>
        <v>12</v>
      </c>
      <c r="AA122" s="1859">
        <f>IF($G122,IF(S122&gt;567,37,MATCH('Fan Name List'!S122,'Fan Name List'!$AC$16:$BM$16,1)+1),0)</f>
        <v>21</v>
      </c>
      <c r="AB122" s="1854"/>
      <c r="AC122" s="1855"/>
      <c r="AD122" s="1855"/>
      <c r="AE122" s="1855"/>
      <c r="AF122" s="1855"/>
      <c r="AG122" s="1855"/>
      <c r="AH122" s="1855"/>
      <c r="AI122" s="1855"/>
      <c r="AJ122" s="1855"/>
      <c r="AK122" s="1855"/>
      <c r="AL122" s="1855"/>
      <c r="AM122" s="1855"/>
      <c r="AN122" s="1855"/>
      <c r="AO122" s="1855"/>
      <c r="AP122" s="1855"/>
      <c r="AQ122" s="1855"/>
      <c r="AR122" s="1855"/>
      <c r="AS122" s="1855"/>
      <c r="AT122" s="1855"/>
      <c r="AU122" s="1855"/>
      <c r="AV122" s="1855"/>
      <c r="AW122" s="1855"/>
      <c r="AX122" s="1855"/>
      <c r="AY122" s="1855"/>
      <c r="AZ122" s="1855"/>
      <c r="BA122" s="1855"/>
      <c r="BB122" s="1855"/>
      <c r="BC122" s="1855"/>
      <c r="BD122" s="1855"/>
      <c r="BE122" s="1855"/>
      <c r="BF122" s="1855"/>
      <c r="BG122" s="1855"/>
      <c r="BH122" s="1855"/>
      <c r="BI122" s="1855"/>
      <c r="BJ122" s="1855"/>
      <c r="BK122" s="1855"/>
      <c r="BL122" s="1855"/>
      <c r="BM122" s="1855"/>
      <c r="BN122" s="1855"/>
      <c r="BO122" s="1855"/>
      <c r="BP122" s="1855"/>
      <c r="BQ122" s="1855"/>
      <c r="BR122" s="1855"/>
      <c r="BS122" s="1855"/>
      <c r="BT122" s="1855"/>
      <c r="BU122" s="1855"/>
      <c r="BV122" s="1855"/>
      <c r="BW122" s="1855"/>
      <c r="BX122" s="1855"/>
      <c r="BY122" s="1855"/>
      <c r="BZ122" s="1855"/>
      <c r="CA122" s="1855"/>
      <c r="CB122" s="1855"/>
      <c r="CC122" s="1855"/>
      <c r="CD122" s="1859"/>
    </row>
    <row r="123" spans="1:82" ht="14.25">
      <c r="A123" s="1630" t="s">
        <v>1691</v>
      </c>
      <c r="B123" s="906" t="s">
        <v>3087</v>
      </c>
      <c r="C123" s="1472" t="s">
        <v>2046</v>
      </c>
      <c r="D123" s="968" t="s">
        <v>3088</v>
      </c>
      <c r="E123" s="1493" t="s">
        <v>1691</v>
      </c>
      <c r="F123" s="1629" t="s">
        <v>3087</v>
      </c>
      <c r="G123" s="405" t="b">
        <v>1</v>
      </c>
      <c r="H123" s="1638"/>
      <c r="I123" s="1639">
        <v>3000</v>
      </c>
      <c r="J123" s="1639">
        <v>559.35</v>
      </c>
      <c r="K123" s="1639">
        <v>10497.1174614748</v>
      </c>
      <c r="L123" s="1640">
        <v>0.61757201768456504</v>
      </c>
      <c r="M123" s="2157">
        <v>25.89999999999991</v>
      </c>
      <c r="N123" s="1639"/>
      <c r="O123" s="1639">
        <v>3600</v>
      </c>
      <c r="P123" s="1639">
        <v>805.46400000000006</v>
      </c>
      <c r="Q123" s="1639">
        <v>12596.54095376976</v>
      </c>
      <c r="R123" s="1640">
        <v>0.61757201768456504</v>
      </c>
      <c r="S123" s="2157">
        <v>44.755199999999846</v>
      </c>
      <c r="T123" s="1639"/>
      <c r="U123" s="1639">
        <v>1754.4106429277199</v>
      </c>
      <c r="V123" s="1639">
        <v>191.29500915472212</v>
      </c>
      <c r="W123" s="1639">
        <v>6138.7515314912662</v>
      </c>
      <c r="X123" s="1640">
        <v>0.61757201768456504</v>
      </c>
      <c r="Y123" s="1641">
        <v>5.2</v>
      </c>
      <c r="Z123" s="1854">
        <f>IF($G123,MATCH('Fan Name List'!Y123,'Fan Name List'!$AC$16:$BM$16,1),0)</f>
        <v>12</v>
      </c>
      <c r="AA123" s="1859">
        <f>IF($G123,IF(S123&gt;567,37,MATCH('Fan Name List'!S123,'Fan Name List'!$AC$16:$BM$16,1)+1),0)</f>
        <v>21</v>
      </c>
      <c r="AB123" s="1854"/>
      <c r="AC123" s="1855"/>
      <c r="AD123" s="1855"/>
      <c r="AE123" s="1855"/>
      <c r="AF123" s="1855"/>
      <c r="AG123" s="1855"/>
      <c r="AH123" s="1855"/>
      <c r="AI123" s="1855"/>
      <c r="AJ123" s="1855"/>
      <c r="AK123" s="1855"/>
      <c r="AL123" s="1855"/>
      <c r="AM123" s="1855"/>
      <c r="AN123" s="1855"/>
      <c r="AO123" s="1855"/>
      <c r="AP123" s="1855"/>
      <c r="AQ123" s="1855"/>
      <c r="AR123" s="1855"/>
      <c r="AS123" s="1855"/>
      <c r="AT123" s="1855"/>
      <c r="AU123" s="1855"/>
      <c r="AV123" s="1855"/>
      <c r="AW123" s="1855"/>
      <c r="AX123" s="1855"/>
      <c r="AY123" s="1855"/>
      <c r="AZ123" s="1855"/>
      <c r="BA123" s="1855"/>
      <c r="BB123" s="1855"/>
      <c r="BC123" s="1855"/>
      <c r="BD123" s="1855"/>
      <c r="BE123" s="1855"/>
      <c r="BF123" s="1855"/>
      <c r="BG123" s="1855"/>
      <c r="BH123" s="1855"/>
      <c r="BI123" s="1855"/>
      <c r="BJ123" s="1855"/>
      <c r="BK123" s="1855"/>
      <c r="BL123" s="1855"/>
      <c r="BM123" s="1855"/>
      <c r="BN123" s="1855"/>
      <c r="BO123" s="1855"/>
      <c r="BP123" s="1855"/>
      <c r="BQ123" s="1855"/>
      <c r="BR123" s="1855"/>
      <c r="BS123" s="1855"/>
      <c r="BT123" s="1855"/>
      <c r="BU123" s="1855"/>
      <c r="BV123" s="1855"/>
      <c r="BW123" s="1855"/>
      <c r="BX123" s="1855"/>
      <c r="BY123" s="1855"/>
      <c r="BZ123" s="1855"/>
      <c r="CA123" s="1855"/>
      <c r="CB123" s="1855"/>
      <c r="CC123" s="1855"/>
      <c r="CD123" s="1859"/>
    </row>
    <row r="124" spans="1:82" ht="14.25">
      <c r="A124" s="1628" t="s">
        <v>1584</v>
      </c>
      <c r="B124" s="906" t="s">
        <v>3089</v>
      </c>
      <c r="C124" s="1472" t="s">
        <v>2047</v>
      </c>
      <c r="D124" s="968" t="s">
        <v>2370</v>
      </c>
      <c r="E124" s="1493" t="s">
        <v>1584</v>
      </c>
      <c r="F124" s="1629" t="s">
        <v>3089</v>
      </c>
      <c r="G124" s="405" t="b">
        <v>1</v>
      </c>
      <c r="H124" s="1638"/>
      <c r="I124" s="1639">
        <v>3000</v>
      </c>
      <c r="J124" s="1639">
        <v>560</v>
      </c>
      <c r="K124" s="1639">
        <v>12700</v>
      </c>
      <c r="L124" s="1640">
        <v>0.66350251141552496</v>
      </c>
      <c r="M124" s="2157">
        <v>29.200000000000006</v>
      </c>
      <c r="N124" s="1639"/>
      <c r="O124" s="1639">
        <v>3600</v>
      </c>
      <c r="P124" s="1639">
        <v>806.4</v>
      </c>
      <c r="Q124" s="1639">
        <v>15240</v>
      </c>
      <c r="R124" s="1640">
        <v>0.66350251141552496</v>
      </c>
      <c r="S124" s="2157">
        <v>50.457600000000014</v>
      </c>
      <c r="T124" s="1639"/>
      <c r="U124" s="1639">
        <v>1754.4106429277199</v>
      </c>
      <c r="V124" s="1639">
        <v>191.51730602779008</v>
      </c>
      <c r="W124" s="1639">
        <v>7427.0050550606802</v>
      </c>
      <c r="X124" s="1640">
        <v>0.66350251141552496</v>
      </c>
      <c r="Y124" s="1641">
        <v>5.8</v>
      </c>
      <c r="Z124" s="1854">
        <f>IF($G124,MATCH('Fan Name List'!Y124,'Fan Name List'!$AC$16:$BM$16,1),0)</f>
        <v>12</v>
      </c>
      <c r="AA124" s="1859">
        <f>IF($G124,IF(S124&gt;567,37,MATCH('Fan Name List'!S124,'Fan Name List'!$AC$16:$BM$16,1)+1),0)</f>
        <v>22</v>
      </c>
      <c r="AB124" s="1854"/>
      <c r="AC124" s="1855"/>
      <c r="AD124" s="1855"/>
      <c r="AE124" s="1855"/>
      <c r="AF124" s="1855"/>
      <c r="AG124" s="1855"/>
      <c r="AH124" s="1855"/>
      <c r="AI124" s="1855"/>
      <c r="AJ124" s="1855"/>
      <c r="AK124" s="1855"/>
      <c r="AL124" s="1855"/>
      <c r="AM124" s="1855"/>
      <c r="AN124" s="1855"/>
      <c r="AO124" s="1855"/>
      <c r="AP124" s="1855"/>
      <c r="AQ124" s="1855"/>
      <c r="AR124" s="1855"/>
      <c r="AS124" s="1855"/>
      <c r="AT124" s="1855"/>
      <c r="AU124" s="1855"/>
      <c r="AV124" s="1855"/>
      <c r="AW124" s="1855"/>
      <c r="AX124" s="1855"/>
      <c r="AY124" s="1855"/>
      <c r="AZ124" s="1855"/>
      <c r="BA124" s="1855"/>
      <c r="BB124" s="1855"/>
      <c r="BC124" s="1855"/>
      <c r="BD124" s="1855"/>
      <c r="BE124" s="1855"/>
      <c r="BF124" s="1855"/>
      <c r="BG124" s="1855"/>
      <c r="BH124" s="1855"/>
      <c r="BI124" s="1855"/>
      <c r="BJ124" s="1855"/>
      <c r="BK124" s="1855"/>
      <c r="BL124" s="1855"/>
      <c r="BM124" s="1855"/>
      <c r="BN124" s="1855"/>
      <c r="BO124" s="1855"/>
      <c r="BP124" s="1855"/>
      <c r="BQ124" s="1855"/>
      <c r="BR124" s="1855"/>
      <c r="BS124" s="1855"/>
      <c r="BT124" s="1855"/>
      <c r="BU124" s="1855"/>
      <c r="BV124" s="1855"/>
      <c r="BW124" s="1855"/>
      <c r="BX124" s="1855"/>
      <c r="BY124" s="1855"/>
      <c r="BZ124" s="1855"/>
      <c r="CA124" s="1855"/>
      <c r="CB124" s="1855"/>
      <c r="CC124" s="1855"/>
      <c r="CD124" s="1859"/>
    </row>
    <row r="125" spans="1:82" ht="14.25">
      <c r="A125" s="1628" t="s">
        <v>1692</v>
      </c>
      <c r="B125" s="906" t="s">
        <v>3090</v>
      </c>
      <c r="C125" s="1472" t="s">
        <v>2048</v>
      </c>
      <c r="D125" s="968" t="s">
        <v>3091</v>
      </c>
      <c r="E125" s="1493" t="s">
        <v>1692</v>
      </c>
      <c r="F125" s="1629" t="s">
        <v>3090</v>
      </c>
      <c r="G125" s="405" t="b">
        <v>1</v>
      </c>
      <c r="H125" s="1638"/>
      <c r="I125" s="1639">
        <v>3000</v>
      </c>
      <c r="J125" s="1639">
        <v>560</v>
      </c>
      <c r="K125" s="1639">
        <v>12700</v>
      </c>
      <c r="L125" s="1640">
        <v>0.66350251141552496</v>
      </c>
      <c r="M125" s="2157">
        <v>29.200000000000006</v>
      </c>
      <c r="N125" s="1639"/>
      <c r="O125" s="1639">
        <v>3600</v>
      </c>
      <c r="P125" s="1639">
        <v>806.4</v>
      </c>
      <c r="Q125" s="1639">
        <v>15240</v>
      </c>
      <c r="R125" s="1640">
        <v>0.66350251141552496</v>
      </c>
      <c r="S125" s="2157">
        <v>50.457600000000014</v>
      </c>
      <c r="T125" s="1639"/>
      <c r="U125" s="1639">
        <v>1754.4106429277199</v>
      </c>
      <c r="V125" s="1639">
        <v>191.51730602779008</v>
      </c>
      <c r="W125" s="1639">
        <v>7427.0050550606802</v>
      </c>
      <c r="X125" s="1640">
        <v>0.66350251141552496</v>
      </c>
      <c r="Y125" s="1641">
        <v>5.8</v>
      </c>
      <c r="Z125" s="1854">
        <f>IF($G125,MATCH('Fan Name List'!Y125,'Fan Name List'!$AC$16:$BM$16,1),0)</f>
        <v>12</v>
      </c>
      <c r="AA125" s="1859">
        <f>IF($G125,IF(S125&gt;567,37,MATCH('Fan Name List'!S125,'Fan Name List'!$AC$16:$BM$16,1)+1),0)</f>
        <v>22</v>
      </c>
      <c r="AB125" s="1854"/>
      <c r="AC125" s="1855"/>
      <c r="AD125" s="1855"/>
      <c r="AE125" s="1855"/>
      <c r="AF125" s="1855"/>
      <c r="AG125" s="1855"/>
      <c r="AH125" s="1855"/>
      <c r="AI125" s="1855"/>
      <c r="AJ125" s="1855"/>
      <c r="AK125" s="1855"/>
      <c r="AL125" s="1855"/>
      <c r="AM125" s="1855"/>
      <c r="AN125" s="1855"/>
      <c r="AO125" s="1855"/>
      <c r="AP125" s="1855"/>
      <c r="AQ125" s="1855"/>
      <c r="AR125" s="1855"/>
      <c r="AS125" s="1855"/>
      <c r="AT125" s="1855"/>
      <c r="AU125" s="1855"/>
      <c r="AV125" s="1855"/>
      <c r="AW125" s="1855"/>
      <c r="AX125" s="1855"/>
      <c r="AY125" s="1855"/>
      <c r="AZ125" s="1855"/>
      <c r="BA125" s="1855"/>
      <c r="BB125" s="1855"/>
      <c r="BC125" s="1855"/>
      <c r="BD125" s="1855"/>
      <c r="BE125" s="1855"/>
      <c r="BF125" s="1855"/>
      <c r="BG125" s="1855"/>
      <c r="BH125" s="1855"/>
      <c r="BI125" s="1855"/>
      <c r="BJ125" s="1855"/>
      <c r="BK125" s="1855"/>
      <c r="BL125" s="1855"/>
      <c r="BM125" s="1855"/>
      <c r="BN125" s="1855"/>
      <c r="BO125" s="1855"/>
      <c r="BP125" s="1855"/>
      <c r="BQ125" s="1855"/>
      <c r="BR125" s="1855"/>
      <c r="BS125" s="1855"/>
      <c r="BT125" s="1855"/>
      <c r="BU125" s="1855"/>
      <c r="BV125" s="1855"/>
      <c r="BW125" s="1855"/>
      <c r="BX125" s="1855"/>
      <c r="BY125" s="1855"/>
      <c r="BZ125" s="1855"/>
      <c r="CA125" s="1855"/>
      <c r="CB125" s="1855"/>
      <c r="CC125" s="1855"/>
      <c r="CD125" s="1859"/>
    </row>
    <row r="126" spans="1:82" ht="14.25">
      <c r="A126" s="1628" t="s">
        <v>1693</v>
      </c>
      <c r="B126" s="906" t="s">
        <v>3092</v>
      </c>
      <c r="C126" s="1472" t="s">
        <v>2049</v>
      </c>
      <c r="D126" s="968" t="s">
        <v>3093</v>
      </c>
      <c r="E126" s="1493" t="s">
        <v>1693</v>
      </c>
      <c r="F126" s="1629" t="s">
        <v>3092</v>
      </c>
      <c r="G126" s="405" t="b">
        <v>1</v>
      </c>
      <c r="H126" s="1638"/>
      <c r="I126" s="1639">
        <v>3000</v>
      </c>
      <c r="J126" s="1639">
        <v>560</v>
      </c>
      <c r="K126" s="1639">
        <v>12700</v>
      </c>
      <c r="L126" s="1640">
        <v>0.66350251141552496</v>
      </c>
      <c r="M126" s="2157">
        <v>29.200000000000006</v>
      </c>
      <c r="N126" s="1639"/>
      <c r="O126" s="1639">
        <v>3600</v>
      </c>
      <c r="P126" s="1639">
        <v>806.4</v>
      </c>
      <c r="Q126" s="1639">
        <v>15240</v>
      </c>
      <c r="R126" s="1640">
        <v>0.66350251141552496</v>
      </c>
      <c r="S126" s="2157">
        <v>50.457600000000014</v>
      </c>
      <c r="T126" s="1639"/>
      <c r="U126" s="1639">
        <v>1754.4106429277199</v>
      </c>
      <c r="V126" s="1639">
        <v>191.51730602779008</v>
      </c>
      <c r="W126" s="1639">
        <v>7427.0050550606802</v>
      </c>
      <c r="X126" s="1640">
        <v>0.66350251141552496</v>
      </c>
      <c r="Y126" s="1641">
        <v>5.8</v>
      </c>
      <c r="Z126" s="1854">
        <f>IF($G126,MATCH('Fan Name List'!Y126,'Fan Name List'!$AC$16:$BM$16,1),0)</f>
        <v>12</v>
      </c>
      <c r="AA126" s="1859">
        <f>IF($G126,IF(S126&gt;567,37,MATCH('Fan Name List'!S126,'Fan Name List'!$AC$16:$BM$16,1)+1),0)</f>
        <v>22</v>
      </c>
      <c r="AB126" s="1854"/>
      <c r="AC126" s="1855"/>
      <c r="AD126" s="1855"/>
      <c r="AE126" s="1855"/>
      <c r="AF126" s="1855"/>
      <c r="AG126" s="1855"/>
      <c r="AH126" s="1855"/>
      <c r="AI126" s="1855"/>
      <c r="AJ126" s="1855"/>
      <c r="AK126" s="1855"/>
      <c r="AL126" s="1855"/>
      <c r="AM126" s="1855"/>
      <c r="AN126" s="1855"/>
      <c r="AO126" s="1855"/>
      <c r="AP126" s="1855"/>
      <c r="AQ126" s="1855"/>
      <c r="AR126" s="1855"/>
      <c r="AS126" s="1855"/>
      <c r="AT126" s="1855"/>
      <c r="AU126" s="1855"/>
      <c r="AV126" s="1855"/>
      <c r="AW126" s="1855"/>
      <c r="AX126" s="1855"/>
      <c r="AY126" s="1855"/>
      <c r="AZ126" s="1855"/>
      <c r="BA126" s="1855"/>
      <c r="BB126" s="1855"/>
      <c r="BC126" s="1855"/>
      <c r="BD126" s="1855"/>
      <c r="BE126" s="1855"/>
      <c r="BF126" s="1855"/>
      <c r="BG126" s="1855"/>
      <c r="BH126" s="1855"/>
      <c r="BI126" s="1855"/>
      <c r="BJ126" s="1855"/>
      <c r="BK126" s="1855"/>
      <c r="BL126" s="1855"/>
      <c r="BM126" s="1855"/>
      <c r="BN126" s="1855"/>
      <c r="BO126" s="1855"/>
      <c r="BP126" s="1855"/>
      <c r="BQ126" s="1855"/>
      <c r="BR126" s="1855"/>
      <c r="BS126" s="1855"/>
      <c r="BT126" s="1855"/>
      <c r="BU126" s="1855"/>
      <c r="BV126" s="1855"/>
      <c r="BW126" s="1855"/>
      <c r="BX126" s="1855"/>
      <c r="BY126" s="1855"/>
      <c r="BZ126" s="1855"/>
      <c r="CA126" s="1855"/>
      <c r="CB126" s="1855"/>
      <c r="CC126" s="1855"/>
      <c r="CD126" s="1859"/>
    </row>
    <row r="127" spans="1:82" ht="14.25">
      <c r="A127" s="1628" t="s">
        <v>1585</v>
      </c>
      <c r="B127" s="906" t="s">
        <v>3094</v>
      </c>
      <c r="C127" s="1472" t="s">
        <v>2050</v>
      </c>
      <c r="D127" s="968" t="s">
        <v>3095</v>
      </c>
      <c r="E127" s="1493" t="s">
        <v>1585</v>
      </c>
      <c r="F127" s="1629" t="s">
        <v>3094</v>
      </c>
      <c r="G127" s="405" t="b">
        <v>1</v>
      </c>
      <c r="H127" s="1638"/>
      <c r="I127" s="1639">
        <v>3000</v>
      </c>
      <c r="J127" s="1639">
        <v>680</v>
      </c>
      <c r="K127" s="1639">
        <v>5000</v>
      </c>
      <c r="L127" s="1640">
        <v>0.56476626016260201</v>
      </c>
      <c r="M127" s="2157">
        <v>16.399999999999988</v>
      </c>
      <c r="N127" s="1639"/>
      <c r="O127" s="1639">
        <v>3600</v>
      </c>
      <c r="P127" s="1639">
        <v>979.19999999999993</v>
      </c>
      <c r="Q127" s="1639">
        <v>6000</v>
      </c>
      <c r="R127" s="1640">
        <v>0.56476626016260201</v>
      </c>
      <c r="S127" s="2157">
        <v>28.339199999999984</v>
      </c>
      <c r="T127" s="1639"/>
      <c r="U127" s="1639">
        <v>1754.4106429277199</v>
      </c>
      <c r="V127" s="1639">
        <v>232.55672874803082</v>
      </c>
      <c r="W127" s="1639">
        <v>2924.0177382128663</v>
      </c>
      <c r="X127" s="1640">
        <v>0.56476626016260201</v>
      </c>
      <c r="Y127" s="1641">
        <v>3.3</v>
      </c>
      <c r="Z127" s="1854">
        <f>IF($G127,MATCH('Fan Name List'!Y127,'Fan Name List'!$AC$16:$BM$16,1),0)</f>
        <v>11</v>
      </c>
      <c r="AA127" s="1859">
        <f>IF($G127,IF(S127&gt;567,37,MATCH('Fan Name List'!S127,'Fan Name List'!$AC$16:$BM$16,1)+1),0)</f>
        <v>19</v>
      </c>
      <c r="AB127" s="1854"/>
      <c r="AC127" s="1855"/>
      <c r="AD127" s="1855"/>
      <c r="AE127" s="1855"/>
      <c r="AF127" s="1855"/>
      <c r="AG127" s="1855"/>
      <c r="AH127" s="1855"/>
      <c r="AI127" s="1855"/>
      <c r="AJ127" s="1855"/>
      <c r="AK127" s="1855"/>
      <c r="AL127" s="1855"/>
      <c r="AM127" s="1855"/>
      <c r="AN127" s="1855"/>
      <c r="AO127" s="1855"/>
      <c r="AP127" s="1855"/>
      <c r="AQ127" s="1855"/>
      <c r="AR127" s="1855"/>
      <c r="AS127" s="1855"/>
      <c r="AT127" s="1855"/>
      <c r="AU127" s="1855"/>
      <c r="AV127" s="1855"/>
      <c r="AW127" s="1855"/>
      <c r="AX127" s="1855"/>
      <c r="AY127" s="1855"/>
      <c r="AZ127" s="1855"/>
      <c r="BA127" s="1855"/>
      <c r="BB127" s="1855"/>
      <c r="BC127" s="1855"/>
      <c r="BD127" s="1855"/>
      <c r="BE127" s="1855"/>
      <c r="BF127" s="1855"/>
      <c r="BG127" s="1855"/>
      <c r="BH127" s="1855"/>
      <c r="BI127" s="1855"/>
      <c r="BJ127" s="1855"/>
      <c r="BK127" s="1855"/>
      <c r="BL127" s="1855"/>
      <c r="BM127" s="1855"/>
      <c r="BN127" s="1855"/>
      <c r="BO127" s="1855"/>
      <c r="BP127" s="1855"/>
      <c r="BQ127" s="1855"/>
      <c r="BR127" s="1855"/>
      <c r="BS127" s="1855"/>
      <c r="BT127" s="1855"/>
      <c r="BU127" s="1855"/>
      <c r="BV127" s="1855"/>
      <c r="BW127" s="1855"/>
      <c r="BX127" s="1855"/>
      <c r="BY127" s="1855"/>
      <c r="BZ127" s="1855"/>
      <c r="CA127" s="1855"/>
      <c r="CB127" s="1855"/>
      <c r="CC127" s="1855"/>
      <c r="CD127" s="1859"/>
    </row>
    <row r="128" spans="1:82" ht="14.25">
      <c r="A128" s="1628" t="s">
        <v>1586</v>
      </c>
      <c r="B128" s="906" t="s">
        <v>3096</v>
      </c>
      <c r="C128" s="1472" t="s">
        <v>2051</v>
      </c>
      <c r="D128" s="968" t="s">
        <v>3097</v>
      </c>
      <c r="E128" s="1493" t="s">
        <v>1586</v>
      </c>
      <c r="F128" s="1629" t="s">
        <v>3096</v>
      </c>
      <c r="G128" s="405" t="b">
        <v>1</v>
      </c>
      <c r="H128" s="1638"/>
      <c r="I128" s="1639">
        <v>3000</v>
      </c>
      <c r="J128" s="1639">
        <v>790</v>
      </c>
      <c r="K128" s="1639">
        <v>8125</v>
      </c>
      <c r="L128" s="1640">
        <v>0.70792489035087702</v>
      </c>
      <c r="M128" s="2157">
        <v>24.700000000000003</v>
      </c>
      <c r="N128" s="1639"/>
      <c r="O128" s="1639">
        <v>3600</v>
      </c>
      <c r="P128" s="1639">
        <v>1137.5999999999999</v>
      </c>
      <c r="Q128" s="1639">
        <v>9750</v>
      </c>
      <c r="R128" s="1640">
        <v>0.70792489035087702</v>
      </c>
      <c r="S128" s="2157">
        <v>42.68160000000001</v>
      </c>
      <c r="T128" s="1639"/>
      <c r="U128" s="1639">
        <v>1754.4106429277199</v>
      </c>
      <c r="V128" s="1639">
        <v>270.17619957491814</v>
      </c>
      <c r="W128" s="1639">
        <v>4751.5288245959082</v>
      </c>
      <c r="X128" s="1640">
        <v>0.70792489035087702</v>
      </c>
      <c r="Y128" s="1641">
        <v>4.9000000000000004</v>
      </c>
      <c r="Z128" s="1854">
        <f>IF($G128,MATCH('Fan Name List'!Y128,'Fan Name List'!$AC$16:$BM$16,1),0)</f>
        <v>12</v>
      </c>
      <c r="AA128" s="1859">
        <f>IF($G128,IF(S128&gt;567,37,MATCH('Fan Name List'!S128,'Fan Name List'!$AC$16:$BM$16,1)+1),0)</f>
        <v>21</v>
      </c>
      <c r="AB128" s="1854"/>
      <c r="AC128" s="1855"/>
      <c r="AD128" s="1855"/>
      <c r="AE128" s="1855"/>
      <c r="AF128" s="1855"/>
      <c r="AG128" s="1855"/>
      <c r="AH128" s="1855"/>
      <c r="AI128" s="1855"/>
      <c r="AJ128" s="1855"/>
      <c r="AK128" s="1855"/>
      <c r="AL128" s="1855"/>
      <c r="AM128" s="1855"/>
      <c r="AN128" s="1855"/>
      <c r="AO128" s="1855"/>
      <c r="AP128" s="1855"/>
      <c r="AQ128" s="1855"/>
      <c r="AR128" s="1855"/>
      <c r="AS128" s="1855"/>
      <c r="AT128" s="1855"/>
      <c r="AU128" s="1855"/>
      <c r="AV128" s="1855"/>
      <c r="AW128" s="1855"/>
      <c r="AX128" s="1855"/>
      <c r="AY128" s="1855"/>
      <c r="AZ128" s="1855"/>
      <c r="BA128" s="1855"/>
      <c r="BB128" s="1855"/>
      <c r="BC128" s="1855"/>
      <c r="BD128" s="1855"/>
      <c r="BE128" s="1855"/>
      <c r="BF128" s="1855"/>
      <c r="BG128" s="1855"/>
      <c r="BH128" s="1855"/>
      <c r="BI128" s="1855"/>
      <c r="BJ128" s="1855"/>
      <c r="BK128" s="1855"/>
      <c r="BL128" s="1855"/>
      <c r="BM128" s="1855"/>
      <c r="BN128" s="1855"/>
      <c r="BO128" s="1855"/>
      <c r="BP128" s="1855"/>
      <c r="BQ128" s="1855"/>
      <c r="BR128" s="1855"/>
      <c r="BS128" s="1855"/>
      <c r="BT128" s="1855"/>
      <c r="BU128" s="1855"/>
      <c r="BV128" s="1855"/>
      <c r="BW128" s="1855"/>
      <c r="BX128" s="1855"/>
      <c r="BY128" s="1855"/>
      <c r="BZ128" s="1855"/>
      <c r="CA128" s="1855"/>
      <c r="CB128" s="1855"/>
      <c r="CC128" s="1855"/>
      <c r="CD128" s="1859"/>
    </row>
    <row r="129" spans="1:82" ht="14.25">
      <c r="A129" s="1628" t="s">
        <v>1587</v>
      </c>
      <c r="B129" s="906" t="s">
        <v>3098</v>
      </c>
      <c r="C129" s="1472" t="s">
        <v>2052</v>
      </c>
      <c r="D129" s="968" t="s">
        <v>3099</v>
      </c>
      <c r="E129" s="1493" t="s">
        <v>1587</v>
      </c>
      <c r="F129" s="1629" t="s">
        <v>3098</v>
      </c>
      <c r="G129" s="405" t="b">
        <v>1</v>
      </c>
      <c r="H129" s="1638"/>
      <c r="I129" s="1639">
        <v>3000</v>
      </c>
      <c r="J129" s="1639">
        <v>691</v>
      </c>
      <c r="K129" s="1639">
        <v>12750</v>
      </c>
      <c r="L129" s="1640">
        <v>0.64001571666666701</v>
      </c>
      <c r="M129" s="2157">
        <v>37.499999999999986</v>
      </c>
      <c r="N129" s="1639"/>
      <c r="O129" s="1639">
        <v>3600</v>
      </c>
      <c r="P129" s="1639">
        <v>995.04</v>
      </c>
      <c r="Q129" s="1639">
        <v>15300</v>
      </c>
      <c r="R129" s="1640">
        <v>0.64001571666666701</v>
      </c>
      <c r="S129" s="2157">
        <v>64.799999999999969</v>
      </c>
      <c r="T129" s="1639"/>
      <c r="U129" s="1639">
        <v>1754.4106429277199</v>
      </c>
      <c r="V129" s="1639">
        <v>236.31867583071957</v>
      </c>
      <c r="W129" s="1639">
        <v>7456.2452324428095</v>
      </c>
      <c r="X129" s="1640">
        <v>0.64001571666666701</v>
      </c>
      <c r="Y129" s="1641">
        <v>7.5</v>
      </c>
      <c r="Z129" s="1854">
        <f>IF($G129,MATCH('Fan Name List'!Y129,'Fan Name List'!$AC$16:$BM$16,1),0)</f>
        <v>13</v>
      </c>
      <c r="AA129" s="1859">
        <f>IF($G129,IF(S129&gt;567,37,MATCH('Fan Name List'!S129,'Fan Name List'!$AC$16:$BM$16,1)+1),0)</f>
        <v>23</v>
      </c>
      <c r="AB129" s="1854"/>
      <c r="AC129" s="1855"/>
      <c r="AD129" s="1855"/>
      <c r="AE129" s="1855"/>
      <c r="AF129" s="1855"/>
      <c r="AG129" s="1855"/>
      <c r="AH129" s="1855"/>
      <c r="AI129" s="1855"/>
      <c r="AJ129" s="1855"/>
      <c r="AK129" s="1855"/>
      <c r="AL129" s="1855"/>
      <c r="AM129" s="1855"/>
      <c r="AN129" s="1855"/>
      <c r="AO129" s="1855"/>
      <c r="AP129" s="1855"/>
      <c r="AQ129" s="1855"/>
      <c r="AR129" s="1855"/>
      <c r="AS129" s="1855"/>
      <c r="AT129" s="1855"/>
      <c r="AU129" s="1855"/>
      <c r="AV129" s="1855"/>
      <c r="AW129" s="1855"/>
      <c r="AX129" s="1855"/>
      <c r="AY129" s="1855"/>
      <c r="AZ129" s="1855"/>
      <c r="BA129" s="1855"/>
      <c r="BB129" s="1855"/>
      <c r="BC129" s="1855"/>
      <c r="BD129" s="1855"/>
      <c r="BE129" s="1855"/>
      <c r="BF129" s="1855"/>
      <c r="BG129" s="1855"/>
      <c r="BH129" s="1855"/>
      <c r="BI129" s="1855"/>
      <c r="BJ129" s="1855"/>
      <c r="BK129" s="1855"/>
      <c r="BL129" s="1855"/>
      <c r="BM129" s="1855"/>
      <c r="BN129" s="1855"/>
      <c r="BO129" s="1855"/>
      <c r="BP129" s="1855"/>
      <c r="BQ129" s="1855"/>
      <c r="BR129" s="1855"/>
      <c r="BS129" s="1855"/>
      <c r="BT129" s="1855"/>
      <c r="BU129" s="1855"/>
      <c r="BV129" s="1855"/>
      <c r="BW129" s="1855"/>
      <c r="BX129" s="1855"/>
      <c r="BY129" s="1855"/>
      <c r="BZ129" s="1855"/>
      <c r="CA129" s="1855"/>
      <c r="CB129" s="1855"/>
      <c r="CC129" s="1855"/>
      <c r="CD129" s="1859"/>
    </row>
    <row r="130" spans="1:82" ht="14.25">
      <c r="A130" s="1628" t="s">
        <v>1588</v>
      </c>
      <c r="B130" s="906" t="s">
        <v>3100</v>
      </c>
      <c r="C130" s="1472" t="s">
        <v>2053</v>
      </c>
      <c r="D130" s="968" t="s">
        <v>3101</v>
      </c>
      <c r="E130" s="1493" t="s">
        <v>1588</v>
      </c>
      <c r="F130" s="1629" t="s">
        <v>3100</v>
      </c>
      <c r="G130" s="405" t="b">
        <v>1</v>
      </c>
      <c r="H130" s="1638"/>
      <c r="I130" s="1639">
        <v>3000</v>
      </c>
      <c r="J130" s="1639">
        <v>735</v>
      </c>
      <c r="K130" s="1639">
        <v>14600</v>
      </c>
      <c r="L130" s="1640">
        <v>0.642484230769231</v>
      </c>
      <c r="M130" s="2157">
        <v>45.499999999999986</v>
      </c>
      <c r="N130" s="1639"/>
      <c r="O130" s="1639">
        <v>3600</v>
      </c>
      <c r="P130" s="1639">
        <v>1058.3999999999999</v>
      </c>
      <c r="Q130" s="1639">
        <v>17520</v>
      </c>
      <c r="R130" s="1640">
        <v>0.642484230769231</v>
      </c>
      <c r="S130" s="2157">
        <v>78.623999999999967</v>
      </c>
      <c r="T130" s="1639"/>
      <c r="U130" s="1639">
        <v>1754.4106429277199</v>
      </c>
      <c r="V130" s="1639">
        <v>251.36646416147451</v>
      </c>
      <c r="W130" s="1639">
        <v>8538.1317955815703</v>
      </c>
      <c r="X130" s="1640">
        <v>0.642484230769231</v>
      </c>
      <c r="Y130" s="1641">
        <v>9.1</v>
      </c>
      <c r="Z130" s="1854">
        <f>IF($G130,MATCH('Fan Name List'!Y130,'Fan Name List'!$AC$16:$BM$16,1),0)</f>
        <v>14</v>
      </c>
      <c r="AA130" s="1859">
        <f>IF($G130,IF(S130&gt;567,37,MATCH('Fan Name List'!S130,'Fan Name List'!$AC$16:$BM$16,1)+1),0)</f>
        <v>23</v>
      </c>
      <c r="AB130" s="1854"/>
      <c r="AC130" s="1855"/>
      <c r="AD130" s="1855"/>
      <c r="AE130" s="1855"/>
      <c r="AF130" s="1855"/>
      <c r="AG130" s="1855"/>
      <c r="AH130" s="1855"/>
      <c r="AI130" s="1855"/>
      <c r="AJ130" s="1855"/>
      <c r="AK130" s="1855"/>
      <c r="AL130" s="1855"/>
      <c r="AM130" s="1855"/>
      <c r="AN130" s="1855"/>
      <c r="AO130" s="1855"/>
      <c r="AP130" s="1855"/>
      <c r="AQ130" s="1855"/>
      <c r="AR130" s="1855"/>
      <c r="AS130" s="1855"/>
      <c r="AT130" s="1855"/>
      <c r="AU130" s="1855"/>
      <c r="AV130" s="1855"/>
      <c r="AW130" s="1855"/>
      <c r="AX130" s="1855"/>
      <c r="AY130" s="1855"/>
      <c r="AZ130" s="1855"/>
      <c r="BA130" s="1855"/>
      <c r="BB130" s="1855"/>
      <c r="BC130" s="1855"/>
      <c r="BD130" s="1855"/>
      <c r="BE130" s="1855"/>
      <c r="BF130" s="1855"/>
      <c r="BG130" s="1855"/>
      <c r="BH130" s="1855"/>
      <c r="BI130" s="1855"/>
      <c r="BJ130" s="1855"/>
      <c r="BK130" s="1855"/>
      <c r="BL130" s="1855"/>
      <c r="BM130" s="1855"/>
      <c r="BN130" s="1855"/>
      <c r="BO130" s="1855"/>
      <c r="BP130" s="1855"/>
      <c r="BQ130" s="1855"/>
      <c r="BR130" s="1855"/>
      <c r="BS130" s="1855"/>
      <c r="BT130" s="1855"/>
      <c r="BU130" s="1855"/>
      <c r="BV130" s="1855"/>
      <c r="BW130" s="1855"/>
      <c r="BX130" s="1855"/>
      <c r="BY130" s="1855"/>
      <c r="BZ130" s="1855"/>
      <c r="CA130" s="1855"/>
      <c r="CB130" s="1855"/>
      <c r="CC130" s="1855"/>
      <c r="CD130" s="1859"/>
    </row>
    <row r="131" spans="1:82" ht="14.25">
      <c r="A131" s="1628" t="s">
        <v>1589</v>
      </c>
      <c r="B131" s="906" t="s">
        <v>3102</v>
      </c>
      <c r="C131" s="1472" t="s">
        <v>2054</v>
      </c>
      <c r="D131" s="968" t="s">
        <v>3103</v>
      </c>
      <c r="E131" s="1493" t="s">
        <v>1589</v>
      </c>
      <c r="F131" s="1629" t="s">
        <v>3102</v>
      </c>
      <c r="G131" s="405" t="b">
        <v>1</v>
      </c>
      <c r="H131" s="1638"/>
      <c r="I131" s="1639">
        <v>3000</v>
      </c>
      <c r="J131" s="1639">
        <v>670</v>
      </c>
      <c r="K131" s="1639">
        <v>16000</v>
      </c>
      <c r="L131" s="1640">
        <v>0.68713098039215703</v>
      </c>
      <c r="M131" s="2157">
        <v>42.499999999999993</v>
      </c>
      <c r="N131" s="1639"/>
      <c r="O131" s="1639">
        <v>3600</v>
      </c>
      <c r="P131" s="1639">
        <v>964.8</v>
      </c>
      <c r="Q131" s="1639">
        <v>19200</v>
      </c>
      <c r="R131" s="1640">
        <v>0.68713098039215703</v>
      </c>
      <c r="S131" s="2157">
        <v>73.439999999999984</v>
      </c>
      <c r="T131" s="1639"/>
      <c r="U131" s="1639">
        <v>1754.4106429277199</v>
      </c>
      <c r="V131" s="1639">
        <v>229.13677685467744</v>
      </c>
      <c r="W131" s="1639">
        <v>9356.8567622811715</v>
      </c>
      <c r="X131" s="1640">
        <v>0.68713098039215703</v>
      </c>
      <c r="Y131" s="1641">
        <v>8.5</v>
      </c>
      <c r="Z131" s="1854">
        <f>IF($G131,MATCH('Fan Name List'!Y131,'Fan Name List'!$AC$16:$BM$16,1),0)</f>
        <v>14</v>
      </c>
      <c r="AA131" s="1859">
        <f>IF($G131,IF(S131&gt;567,37,MATCH('Fan Name List'!S131,'Fan Name List'!$AC$16:$BM$16,1)+1),0)</f>
        <v>23</v>
      </c>
      <c r="AB131" s="1854"/>
      <c r="AC131" s="1855"/>
      <c r="AD131" s="1855"/>
      <c r="AE131" s="1855"/>
      <c r="AF131" s="1855"/>
      <c r="AG131" s="1855"/>
      <c r="AH131" s="1855"/>
      <c r="AI131" s="1855"/>
      <c r="AJ131" s="1855"/>
      <c r="AK131" s="1855"/>
      <c r="AL131" s="1855"/>
      <c r="AM131" s="1855"/>
      <c r="AN131" s="1855"/>
      <c r="AO131" s="1855"/>
      <c r="AP131" s="1855"/>
      <c r="AQ131" s="1855"/>
      <c r="AR131" s="1855"/>
      <c r="AS131" s="1855"/>
      <c r="AT131" s="1855"/>
      <c r="AU131" s="1855"/>
      <c r="AV131" s="1855"/>
      <c r="AW131" s="1855"/>
      <c r="AX131" s="1855"/>
      <c r="AY131" s="1855"/>
      <c r="AZ131" s="1855"/>
      <c r="BA131" s="1855"/>
      <c r="BB131" s="1855"/>
      <c r="BC131" s="1855"/>
      <c r="BD131" s="1855"/>
      <c r="BE131" s="1855"/>
      <c r="BF131" s="1855"/>
      <c r="BG131" s="1855"/>
      <c r="BH131" s="1855"/>
      <c r="BI131" s="1855"/>
      <c r="BJ131" s="1855"/>
      <c r="BK131" s="1855"/>
      <c r="BL131" s="1855"/>
      <c r="BM131" s="1855"/>
      <c r="BN131" s="1855"/>
      <c r="BO131" s="1855"/>
      <c r="BP131" s="1855"/>
      <c r="BQ131" s="1855"/>
      <c r="BR131" s="1855"/>
      <c r="BS131" s="1855"/>
      <c r="BT131" s="1855"/>
      <c r="BU131" s="1855"/>
      <c r="BV131" s="1855"/>
      <c r="BW131" s="1855"/>
      <c r="BX131" s="1855"/>
      <c r="BY131" s="1855"/>
      <c r="BZ131" s="1855"/>
      <c r="CA131" s="1855"/>
      <c r="CB131" s="1855"/>
      <c r="CC131" s="1855"/>
      <c r="CD131" s="1859"/>
    </row>
    <row r="132" spans="1:82" ht="14.25">
      <c r="A132" s="1628" t="s">
        <v>1590</v>
      </c>
      <c r="B132" s="906" t="s">
        <v>3104</v>
      </c>
      <c r="C132" s="1472" t="s">
        <v>2055</v>
      </c>
      <c r="D132" s="968" t="s">
        <v>3105</v>
      </c>
      <c r="E132" s="1493" t="s">
        <v>1590</v>
      </c>
      <c r="F132" s="1629" t="s">
        <v>3104</v>
      </c>
      <c r="G132" s="405" t="b">
        <v>1</v>
      </c>
      <c r="H132" s="1638"/>
      <c r="I132" s="1639">
        <v>3000</v>
      </c>
      <c r="J132" s="1639">
        <v>675</v>
      </c>
      <c r="K132" s="1639">
        <v>25000</v>
      </c>
      <c r="L132" s="1640">
        <v>0.70506614263803702</v>
      </c>
      <c r="M132" s="2157">
        <v>65.199999999999989</v>
      </c>
      <c r="N132" s="1639"/>
      <c r="O132" s="1639">
        <v>3600</v>
      </c>
      <c r="P132" s="1639">
        <v>972</v>
      </c>
      <c r="Q132" s="1639">
        <v>30000</v>
      </c>
      <c r="R132" s="1640">
        <v>0.70506614263803702</v>
      </c>
      <c r="S132" s="2157">
        <v>112.66559999999996</v>
      </c>
      <c r="T132" s="1639"/>
      <c r="U132" s="1639">
        <v>1754.4106429277199</v>
      </c>
      <c r="V132" s="1639">
        <v>230.84675280135414</v>
      </c>
      <c r="W132" s="1639">
        <v>14620.088691064331</v>
      </c>
      <c r="X132" s="1640">
        <v>0.70506614263803702</v>
      </c>
      <c r="Y132" s="1641">
        <v>13</v>
      </c>
      <c r="Z132" s="1854">
        <f>IF($G132,MATCH('Fan Name List'!Y132,'Fan Name List'!$AC$16:$BM$16,1),0)</f>
        <v>15</v>
      </c>
      <c r="AA132" s="1859">
        <f>IF($G132,IF(S132&gt;567,37,MATCH('Fan Name List'!S132,'Fan Name List'!$AC$16:$BM$16,1)+1),0)</f>
        <v>25</v>
      </c>
      <c r="AB132" s="1854"/>
      <c r="AC132" s="1855"/>
      <c r="AD132" s="1855"/>
      <c r="AE132" s="1855"/>
      <c r="AF132" s="1855"/>
      <c r="AG132" s="1855"/>
      <c r="AH132" s="1855"/>
      <c r="AI132" s="1855"/>
      <c r="AJ132" s="1855"/>
      <c r="AK132" s="1855"/>
      <c r="AL132" s="1855"/>
      <c r="AM132" s="1855"/>
      <c r="AN132" s="1855"/>
      <c r="AO132" s="1855"/>
      <c r="AP132" s="1855"/>
      <c r="AQ132" s="1855"/>
      <c r="AR132" s="1855"/>
      <c r="AS132" s="1855"/>
      <c r="AT132" s="1855"/>
      <c r="AU132" s="1855"/>
      <c r="AV132" s="1855"/>
      <c r="AW132" s="1855"/>
      <c r="AX132" s="1855"/>
      <c r="AY132" s="1855"/>
      <c r="AZ132" s="1855"/>
      <c r="BA132" s="1855"/>
      <c r="BB132" s="1855"/>
      <c r="BC132" s="1855"/>
      <c r="BD132" s="1855"/>
      <c r="BE132" s="1855"/>
      <c r="BF132" s="1855"/>
      <c r="BG132" s="1855"/>
      <c r="BH132" s="1855"/>
      <c r="BI132" s="1855"/>
      <c r="BJ132" s="1855"/>
      <c r="BK132" s="1855"/>
      <c r="BL132" s="1855"/>
      <c r="BM132" s="1855"/>
      <c r="BN132" s="1855"/>
      <c r="BO132" s="1855"/>
      <c r="BP132" s="1855"/>
      <c r="BQ132" s="1855"/>
      <c r="BR132" s="1855"/>
      <c r="BS132" s="1855"/>
      <c r="BT132" s="1855"/>
      <c r="BU132" s="1855"/>
      <c r="BV132" s="1855"/>
      <c r="BW132" s="1855"/>
      <c r="BX132" s="1855"/>
      <c r="BY132" s="1855"/>
      <c r="BZ132" s="1855"/>
      <c r="CA132" s="1855"/>
      <c r="CB132" s="1855"/>
      <c r="CC132" s="1855"/>
      <c r="CD132" s="1859"/>
    </row>
    <row r="133" spans="1:82" ht="14.25">
      <c r="A133" s="1628" t="s">
        <v>1591</v>
      </c>
      <c r="B133" s="906" t="s">
        <v>3106</v>
      </c>
      <c r="C133" s="1472" t="s">
        <v>2056</v>
      </c>
      <c r="D133" s="968" t="s">
        <v>3107</v>
      </c>
      <c r="E133" s="1493" t="s">
        <v>1591</v>
      </c>
      <c r="F133" s="1629" t="s">
        <v>3106</v>
      </c>
      <c r="G133" s="405" t="b">
        <v>1</v>
      </c>
      <c r="H133" s="1638"/>
      <c r="I133" s="1639">
        <v>3000</v>
      </c>
      <c r="J133" s="1639">
        <v>1030</v>
      </c>
      <c r="K133" s="1639">
        <v>4400</v>
      </c>
      <c r="L133" s="1640">
        <v>0.41709200450450501</v>
      </c>
      <c r="M133" s="2157">
        <v>29.599999999999966</v>
      </c>
      <c r="N133" s="1639"/>
      <c r="O133" s="1639">
        <v>3600</v>
      </c>
      <c r="P133" s="1639">
        <v>1483.2</v>
      </c>
      <c r="Q133" s="1639">
        <v>5280</v>
      </c>
      <c r="R133" s="1640">
        <v>0.41709200450450501</v>
      </c>
      <c r="S133" s="2157">
        <v>51.14879999999993</v>
      </c>
      <c r="T133" s="1639"/>
      <c r="U133" s="1639">
        <v>1754.4106429277199</v>
      </c>
      <c r="V133" s="1639">
        <v>352.25504501539962</v>
      </c>
      <c r="W133" s="1639">
        <v>2573.1356096273225</v>
      </c>
      <c r="X133" s="1640">
        <v>0.41709200450450501</v>
      </c>
      <c r="Y133" s="1641">
        <v>5.9</v>
      </c>
      <c r="Z133" s="1854">
        <f>IF($G133,MATCH('Fan Name List'!Y133,'Fan Name List'!$AC$16:$BM$16,1),0)</f>
        <v>12</v>
      </c>
      <c r="AA133" s="1859">
        <f>IF($G133,IF(S133&gt;567,37,MATCH('Fan Name List'!S133,'Fan Name List'!$AC$16:$BM$16,1)+1),0)</f>
        <v>22</v>
      </c>
      <c r="AB133" s="1854"/>
      <c r="AC133" s="1855"/>
      <c r="AD133" s="1855"/>
      <c r="AE133" s="1855"/>
      <c r="AF133" s="1855"/>
      <c r="AG133" s="1855"/>
      <c r="AH133" s="1855"/>
      <c r="AI133" s="1855"/>
      <c r="AJ133" s="1855"/>
      <c r="AK133" s="1855"/>
      <c r="AL133" s="1855"/>
      <c r="AM133" s="1855"/>
      <c r="AN133" s="1855"/>
      <c r="AO133" s="1855"/>
      <c r="AP133" s="1855"/>
      <c r="AQ133" s="1855"/>
      <c r="AR133" s="1855"/>
      <c r="AS133" s="1855"/>
      <c r="AT133" s="1855"/>
      <c r="AU133" s="1855"/>
      <c r="AV133" s="1855"/>
      <c r="AW133" s="1855"/>
      <c r="AX133" s="1855"/>
      <c r="AY133" s="1855"/>
      <c r="AZ133" s="1855"/>
      <c r="BA133" s="1855"/>
      <c r="BB133" s="1855"/>
      <c r="BC133" s="1855"/>
      <c r="BD133" s="1855"/>
      <c r="BE133" s="1855"/>
      <c r="BF133" s="1855"/>
      <c r="BG133" s="1855"/>
      <c r="BH133" s="1855"/>
      <c r="BI133" s="1855"/>
      <c r="BJ133" s="1855"/>
      <c r="BK133" s="1855"/>
      <c r="BL133" s="1855"/>
      <c r="BM133" s="1855"/>
      <c r="BN133" s="1855"/>
      <c r="BO133" s="1855"/>
      <c r="BP133" s="1855"/>
      <c r="BQ133" s="1855"/>
      <c r="BR133" s="1855"/>
      <c r="BS133" s="1855"/>
      <c r="BT133" s="1855"/>
      <c r="BU133" s="1855"/>
      <c r="BV133" s="1855"/>
      <c r="BW133" s="1855"/>
      <c r="BX133" s="1855"/>
      <c r="BY133" s="1855"/>
      <c r="BZ133" s="1855"/>
      <c r="CA133" s="1855"/>
      <c r="CB133" s="1855"/>
      <c r="CC133" s="1855"/>
      <c r="CD133" s="1859"/>
    </row>
    <row r="134" spans="1:82" ht="14.25">
      <c r="A134" s="1628" t="s">
        <v>1592</v>
      </c>
      <c r="B134" s="906" t="s">
        <v>3108</v>
      </c>
      <c r="C134" s="1472" t="s">
        <v>2057</v>
      </c>
      <c r="D134" s="968" t="s">
        <v>3109</v>
      </c>
      <c r="E134" s="1493" t="s">
        <v>1592</v>
      </c>
      <c r="F134" s="1629" t="s">
        <v>3108</v>
      </c>
      <c r="G134" s="405" t="b">
        <v>1</v>
      </c>
      <c r="H134" s="1638"/>
      <c r="I134" s="1639">
        <v>3000</v>
      </c>
      <c r="J134" s="1639">
        <v>1040</v>
      </c>
      <c r="K134" s="1639">
        <v>8250</v>
      </c>
      <c r="L134" s="1640">
        <v>0.62663136729222502</v>
      </c>
      <c r="M134" s="2157">
        <v>37.300000000000004</v>
      </c>
      <c r="N134" s="1639"/>
      <c r="O134" s="1639">
        <v>3600</v>
      </c>
      <c r="P134" s="1639">
        <v>1497.6</v>
      </c>
      <c r="Q134" s="1639">
        <v>9900</v>
      </c>
      <c r="R134" s="1640">
        <v>0.62663136729222502</v>
      </c>
      <c r="S134" s="2157">
        <v>64.454400000000021</v>
      </c>
      <c r="T134" s="1639"/>
      <c r="U134" s="1639">
        <v>1754.4106429277199</v>
      </c>
      <c r="V134" s="1639">
        <v>355.67499690875303</v>
      </c>
      <c r="W134" s="1639">
        <v>4824.6292680512297</v>
      </c>
      <c r="X134" s="1640">
        <v>0.62663136729222502</v>
      </c>
      <c r="Y134" s="1641">
        <v>7.5</v>
      </c>
      <c r="Z134" s="1854">
        <f>IF($G134,MATCH('Fan Name List'!Y134,'Fan Name List'!$AC$16:$BM$16,1),0)</f>
        <v>13</v>
      </c>
      <c r="AA134" s="1859">
        <f>IF($G134,IF(S134&gt;567,37,MATCH('Fan Name List'!S134,'Fan Name List'!$AC$16:$BM$16,1)+1),0)</f>
        <v>23</v>
      </c>
      <c r="AB134" s="1854"/>
      <c r="AC134" s="1855"/>
      <c r="AD134" s="1855"/>
      <c r="AE134" s="1855"/>
      <c r="AF134" s="1855"/>
      <c r="AG134" s="1855"/>
      <c r="AH134" s="1855"/>
      <c r="AI134" s="1855"/>
      <c r="AJ134" s="1855"/>
      <c r="AK134" s="1855"/>
      <c r="AL134" s="1855"/>
      <c r="AM134" s="1855"/>
      <c r="AN134" s="1855"/>
      <c r="AO134" s="1855"/>
      <c r="AP134" s="1855"/>
      <c r="AQ134" s="1855"/>
      <c r="AR134" s="1855"/>
      <c r="AS134" s="1855"/>
      <c r="AT134" s="1855"/>
      <c r="AU134" s="1855"/>
      <c r="AV134" s="1855"/>
      <c r="AW134" s="1855"/>
      <c r="AX134" s="1855"/>
      <c r="AY134" s="1855"/>
      <c r="AZ134" s="1855"/>
      <c r="BA134" s="1855"/>
      <c r="BB134" s="1855"/>
      <c r="BC134" s="1855"/>
      <c r="BD134" s="1855"/>
      <c r="BE134" s="1855"/>
      <c r="BF134" s="1855"/>
      <c r="BG134" s="1855"/>
      <c r="BH134" s="1855"/>
      <c r="BI134" s="1855"/>
      <c r="BJ134" s="1855"/>
      <c r="BK134" s="1855"/>
      <c r="BL134" s="1855"/>
      <c r="BM134" s="1855"/>
      <c r="BN134" s="1855"/>
      <c r="BO134" s="1855"/>
      <c r="BP134" s="1855"/>
      <c r="BQ134" s="1855"/>
      <c r="BR134" s="1855"/>
      <c r="BS134" s="1855"/>
      <c r="BT134" s="1855"/>
      <c r="BU134" s="1855"/>
      <c r="BV134" s="1855"/>
      <c r="BW134" s="1855"/>
      <c r="BX134" s="1855"/>
      <c r="BY134" s="1855"/>
      <c r="BZ134" s="1855"/>
      <c r="CA134" s="1855"/>
      <c r="CB134" s="1855"/>
      <c r="CC134" s="1855"/>
      <c r="CD134" s="1859"/>
    </row>
    <row r="135" spans="1:82" ht="14.25">
      <c r="A135" s="1628" t="s">
        <v>1593</v>
      </c>
      <c r="B135" s="906" t="s">
        <v>3110</v>
      </c>
      <c r="C135" s="1472" t="s">
        <v>2058</v>
      </c>
      <c r="D135" s="968" t="s">
        <v>3111</v>
      </c>
      <c r="E135" s="1493" t="s">
        <v>1593</v>
      </c>
      <c r="F135" s="1629" t="s">
        <v>3110</v>
      </c>
      <c r="G135" s="405" t="b">
        <v>1</v>
      </c>
      <c r="H135" s="1638"/>
      <c r="I135" s="1639">
        <v>3000</v>
      </c>
      <c r="J135" s="1639">
        <v>980</v>
      </c>
      <c r="K135" s="1639">
        <v>16000</v>
      </c>
      <c r="L135" s="1640">
        <v>0.58513607305936099</v>
      </c>
      <c r="M135" s="2157">
        <v>72.999999999999972</v>
      </c>
      <c r="N135" s="1639"/>
      <c r="O135" s="1639">
        <v>3600</v>
      </c>
      <c r="P135" s="1639">
        <v>1411.2</v>
      </c>
      <c r="Q135" s="1639">
        <v>19200</v>
      </c>
      <c r="R135" s="1640">
        <v>0.58513607305936099</v>
      </c>
      <c r="S135" s="2157">
        <v>126.14399999999992</v>
      </c>
      <c r="T135" s="1639"/>
      <c r="U135" s="1639">
        <v>1754.4106429277199</v>
      </c>
      <c r="V135" s="1639">
        <v>335.15528554863266</v>
      </c>
      <c r="W135" s="1639">
        <v>9356.8567622811715</v>
      </c>
      <c r="X135" s="1640">
        <v>0.58513607305936099</v>
      </c>
      <c r="Y135" s="1641">
        <v>14.6</v>
      </c>
      <c r="Z135" s="1854">
        <f>IF($G135,MATCH('Fan Name List'!Y135,'Fan Name List'!$AC$16:$BM$16,1),0)</f>
        <v>15</v>
      </c>
      <c r="AA135" s="1859">
        <f>IF($G135,IF(S135&gt;567,37,MATCH('Fan Name List'!S135,'Fan Name List'!$AC$16:$BM$16,1)+1),0)</f>
        <v>26</v>
      </c>
      <c r="AB135" s="1854"/>
      <c r="AC135" s="1855"/>
      <c r="AD135" s="1855"/>
      <c r="AE135" s="1855"/>
      <c r="AF135" s="1855"/>
      <c r="AG135" s="1855"/>
      <c r="AH135" s="1855"/>
      <c r="AI135" s="1855"/>
      <c r="AJ135" s="1855"/>
      <c r="AK135" s="1855"/>
      <c r="AL135" s="1855"/>
      <c r="AM135" s="1855"/>
      <c r="AN135" s="1855"/>
      <c r="AO135" s="1855"/>
      <c r="AP135" s="1855"/>
      <c r="AQ135" s="1855"/>
      <c r="AR135" s="1855"/>
      <c r="AS135" s="1855"/>
      <c r="AT135" s="1855"/>
      <c r="AU135" s="1855"/>
      <c r="AV135" s="1855"/>
      <c r="AW135" s="1855"/>
      <c r="AX135" s="1855"/>
      <c r="AY135" s="1855"/>
      <c r="AZ135" s="1855"/>
      <c r="BA135" s="1855"/>
      <c r="BB135" s="1855"/>
      <c r="BC135" s="1855"/>
      <c r="BD135" s="1855"/>
      <c r="BE135" s="1855"/>
      <c r="BF135" s="1855"/>
      <c r="BG135" s="1855"/>
      <c r="BH135" s="1855"/>
      <c r="BI135" s="1855"/>
      <c r="BJ135" s="1855"/>
      <c r="BK135" s="1855"/>
      <c r="BL135" s="1855"/>
      <c r="BM135" s="1855"/>
      <c r="BN135" s="1855"/>
      <c r="BO135" s="1855"/>
      <c r="BP135" s="1855"/>
      <c r="BQ135" s="1855"/>
      <c r="BR135" s="1855"/>
      <c r="BS135" s="1855"/>
      <c r="BT135" s="1855"/>
      <c r="BU135" s="1855"/>
      <c r="BV135" s="1855"/>
      <c r="BW135" s="1855"/>
      <c r="BX135" s="1855"/>
      <c r="BY135" s="1855"/>
      <c r="BZ135" s="1855"/>
      <c r="CA135" s="1855"/>
      <c r="CB135" s="1855"/>
      <c r="CC135" s="1855"/>
      <c r="CD135" s="1859"/>
    </row>
    <row r="136" spans="1:82" ht="14.25">
      <c r="A136" s="1628" t="s">
        <v>1594</v>
      </c>
      <c r="B136" s="906" t="s">
        <v>3112</v>
      </c>
      <c r="C136" s="1472" t="s">
        <v>2059</v>
      </c>
      <c r="D136" s="968" t="s">
        <v>2906</v>
      </c>
      <c r="E136" s="1493" t="s">
        <v>1594</v>
      </c>
      <c r="F136" s="1629" t="s">
        <v>3112</v>
      </c>
      <c r="G136" s="405" t="b">
        <v>1</v>
      </c>
      <c r="H136" s="1638"/>
      <c r="I136" s="1639">
        <v>3000</v>
      </c>
      <c r="J136" s="1639">
        <v>1050</v>
      </c>
      <c r="K136" s="1639">
        <v>21000</v>
      </c>
      <c r="L136" s="1640">
        <v>0.63229342105263198</v>
      </c>
      <c r="M136" s="2157">
        <v>94.999999999999929</v>
      </c>
      <c r="N136" s="1639"/>
      <c r="O136" s="1639">
        <v>3600</v>
      </c>
      <c r="P136" s="1639">
        <v>1512</v>
      </c>
      <c r="Q136" s="1639">
        <v>25200</v>
      </c>
      <c r="R136" s="1640">
        <v>0.63229342105263198</v>
      </c>
      <c r="S136" s="2157">
        <v>164.15999999999991</v>
      </c>
      <c r="T136" s="1639"/>
      <c r="U136" s="1639">
        <v>1754.4106429277199</v>
      </c>
      <c r="V136" s="1639">
        <v>359.09494880210644</v>
      </c>
      <c r="W136" s="1639">
        <v>12280.874500494039</v>
      </c>
      <c r="X136" s="1640">
        <v>0.63229342105263198</v>
      </c>
      <c r="Y136" s="1641">
        <v>19</v>
      </c>
      <c r="Z136" s="1854">
        <f>IF($G136,MATCH('Fan Name List'!Y136,'Fan Name List'!$AC$16:$BM$16,1),0)</f>
        <v>16</v>
      </c>
      <c r="AA136" s="1859">
        <f>IF($G136,IF(S136&gt;567,37,MATCH('Fan Name List'!S136,'Fan Name List'!$AC$16:$BM$16,1)+1),0)</f>
        <v>27</v>
      </c>
      <c r="AB136" s="1854"/>
      <c r="AC136" s="1855"/>
      <c r="AD136" s="1855"/>
      <c r="AE136" s="1855"/>
      <c r="AF136" s="1855"/>
      <c r="AG136" s="1855"/>
      <c r="AH136" s="1855"/>
      <c r="AI136" s="1855"/>
      <c r="AJ136" s="1855"/>
      <c r="AK136" s="1855"/>
      <c r="AL136" s="1855"/>
      <c r="AM136" s="1855"/>
      <c r="AN136" s="1855"/>
      <c r="AO136" s="1855"/>
      <c r="AP136" s="1855"/>
      <c r="AQ136" s="1855"/>
      <c r="AR136" s="1855"/>
      <c r="AS136" s="1855"/>
      <c r="AT136" s="1855"/>
      <c r="AU136" s="1855"/>
      <c r="AV136" s="1855"/>
      <c r="AW136" s="1855"/>
      <c r="AX136" s="1855"/>
      <c r="AY136" s="1855"/>
      <c r="AZ136" s="1855"/>
      <c r="BA136" s="1855"/>
      <c r="BB136" s="1855"/>
      <c r="BC136" s="1855"/>
      <c r="BD136" s="1855"/>
      <c r="BE136" s="1855"/>
      <c r="BF136" s="1855"/>
      <c r="BG136" s="1855"/>
      <c r="BH136" s="1855"/>
      <c r="BI136" s="1855"/>
      <c r="BJ136" s="1855"/>
      <c r="BK136" s="1855"/>
      <c r="BL136" s="1855"/>
      <c r="BM136" s="1855"/>
      <c r="BN136" s="1855"/>
      <c r="BO136" s="1855"/>
      <c r="BP136" s="1855"/>
      <c r="BQ136" s="1855"/>
      <c r="BR136" s="1855"/>
      <c r="BS136" s="1855"/>
      <c r="BT136" s="1855"/>
      <c r="BU136" s="1855"/>
      <c r="BV136" s="1855"/>
      <c r="BW136" s="1855"/>
      <c r="BX136" s="1855"/>
      <c r="BY136" s="1855"/>
      <c r="BZ136" s="1855"/>
      <c r="CA136" s="1855"/>
      <c r="CB136" s="1855"/>
      <c r="CC136" s="1855"/>
      <c r="CD136" s="1859"/>
    </row>
    <row r="137" spans="1:82" ht="14.25">
      <c r="A137" s="1628" t="s">
        <v>1595</v>
      </c>
      <c r="B137" s="906" t="s">
        <v>3113</v>
      </c>
      <c r="C137" s="1472" t="s">
        <v>2060</v>
      </c>
      <c r="D137" s="968" t="s">
        <v>2908</v>
      </c>
      <c r="E137" s="1493" t="s">
        <v>1595</v>
      </c>
      <c r="F137" s="1629" t="s">
        <v>3113</v>
      </c>
      <c r="G137" s="405" t="b">
        <v>1</v>
      </c>
      <c r="H137" s="1638"/>
      <c r="I137" s="1639">
        <v>1500</v>
      </c>
      <c r="J137" s="1639">
        <v>255</v>
      </c>
      <c r="K137" s="1639">
        <v>11300</v>
      </c>
      <c r="L137" s="1640">
        <v>0.69466249999999996</v>
      </c>
      <c r="M137" s="2157">
        <v>11.3</v>
      </c>
      <c r="N137" s="1639"/>
      <c r="O137" s="1639">
        <v>3600</v>
      </c>
      <c r="P137" s="1639">
        <v>1468.8</v>
      </c>
      <c r="Q137" s="1639">
        <v>27120</v>
      </c>
      <c r="R137" s="1640">
        <v>0.69466249999999996</v>
      </c>
      <c r="S137" s="2157">
        <v>156.21120000000002</v>
      </c>
      <c r="T137" s="1639"/>
      <c r="U137" s="1639">
        <v>877.20532146385995</v>
      </c>
      <c r="V137" s="1639">
        <v>87.208773280511565</v>
      </c>
      <c r="W137" s="1639">
        <v>6608.280088361078</v>
      </c>
      <c r="X137" s="1640">
        <v>0.69466249999999996</v>
      </c>
      <c r="Y137" s="1641">
        <v>2.2999999999999998</v>
      </c>
      <c r="Z137" s="1854">
        <f>IF($G137,MATCH('Fan Name List'!Y137,'Fan Name List'!$AC$16:$BM$16,1),0)</f>
        <v>9</v>
      </c>
      <c r="AA137" s="1859">
        <f>IF($G137,IF(S137&gt;567,37,MATCH('Fan Name List'!S137,'Fan Name List'!$AC$16:$BM$16,1)+1),0)</f>
        <v>27</v>
      </c>
      <c r="AB137" s="1854"/>
      <c r="AC137" s="1855"/>
      <c r="AD137" s="1855"/>
      <c r="AE137" s="1855"/>
      <c r="AF137" s="1855"/>
      <c r="AG137" s="1855"/>
      <c r="AH137" s="1855"/>
      <c r="AI137" s="1855"/>
      <c r="AJ137" s="1855"/>
      <c r="AK137" s="1855"/>
      <c r="AL137" s="1855"/>
      <c r="AM137" s="1855"/>
      <c r="AN137" s="1855"/>
      <c r="AO137" s="1855"/>
      <c r="AP137" s="1855"/>
      <c r="AQ137" s="1855"/>
      <c r="AR137" s="1855"/>
      <c r="AS137" s="1855"/>
      <c r="AT137" s="1855"/>
      <c r="AU137" s="1855"/>
      <c r="AV137" s="1855"/>
      <c r="AW137" s="1855"/>
      <c r="AX137" s="1855"/>
      <c r="AY137" s="1855"/>
      <c r="AZ137" s="1855"/>
      <c r="BA137" s="1855"/>
      <c r="BB137" s="1855"/>
      <c r="BC137" s="1855"/>
      <c r="BD137" s="1855"/>
      <c r="BE137" s="1855"/>
      <c r="BF137" s="1855"/>
      <c r="BG137" s="1855"/>
      <c r="BH137" s="1855"/>
      <c r="BI137" s="1855"/>
      <c r="BJ137" s="1855"/>
      <c r="BK137" s="1855"/>
      <c r="BL137" s="1855"/>
      <c r="BM137" s="1855"/>
      <c r="BN137" s="1855"/>
      <c r="BO137" s="1855"/>
      <c r="BP137" s="1855"/>
      <c r="BQ137" s="1855"/>
      <c r="BR137" s="1855"/>
      <c r="BS137" s="1855"/>
      <c r="BT137" s="1855"/>
      <c r="BU137" s="1855"/>
      <c r="BV137" s="1855"/>
      <c r="BW137" s="1855"/>
      <c r="BX137" s="1855"/>
      <c r="BY137" s="1855"/>
      <c r="BZ137" s="1855"/>
      <c r="CA137" s="1855"/>
      <c r="CB137" s="1855"/>
      <c r="CC137" s="1855"/>
      <c r="CD137" s="1859"/>
    </row>
    <row r="138" spans="1:82" ht="14.25">
      <c r="A138" s="1628" t="s">
        <v>1596</v>
      </c>
      <c r="B138" s="906" t="s">
        <v>3114</v>
      </c>
      <c r="C138" s="1472" t="s">
        <v>2061</v>
      </c>
      <c r="D138" s="968" t="s">
        <v>2287</v>
      </c>
      <c r="E138" s="1493" t="s">
        <v>1596</v>
      </c>
      <c r="F138" s="1629" t="s">
        <v>3114</v>
      </c>
      <c r="G138" s="405" t="b">
        <v>1</v>
      </c>
      <c r="H138" s="1638"/>
      <c r="I138" s="1639">
        <v>1500</v>
      </c>
      <c r="J138" s="1639">
        <v>210</v>
      </c>
      <c r="K138" s="1639">
        <v>17000</v>
      </c>
      <c r="L138" s="1640">
        <v>0.68973581560283703</v>
      </c>
      <c r="M138" s="2157">
        <v>14.099999999999998</v>
      </c>
      <c r="N138" s="1639"/>
      <c r="O138" s="1639">
        <v>3600</v>
      </c>
      <c r="P138" s="1639">
        <v>1209.5999999999999</v>
      </c>
      <c r="Q138" s="1639">
        <v>40800</v>
      </c>
      <c r="R138" s="1640">
        <v>0.68973581560283703</v>
      </c>
      <c r="S138" s="2157">
        <v>194.91839999999993</v>
      </c>
      <c r="T138" s="1639"/>
      <c r="U138" s="1639">
        <v>877.20532146385995</v>
      </c>
      <c r="V138" s="1639">
        <v>71.818989760421289</v>
      </c>
      <c r="W138" s="1639">
        <v>9941.6603099237454</v>
      </c>
      <c r="X138" s="1640">
        <v>0.68973581560283703</v>
      </c>
      <c r="Y138" s="1641">
        <v>2.8</v>
      </c>
      <c r="Z138" s="1854">
        <f>IF($G138,MATCH('Fan Name List'!Y138,'Fan Name List'!$AC$16:$BM$16,1),0)</f>
        <v>10</v>
      </c>
      <c r="AA138" s="1859">
        <f>IF($G138,IF(S138&gt;567,37,MATCH('Fan Name List'!S138,'Fan Name List'!$AC$16:$BM$16,1)+1),0)</f>
        <v>28</v>
      </c>
      <c r="AB138" s="1854"/>
      <c r="AC138" s="1855"/>
      <c r="AD138" s="1855"/>
      <c r="AE138" s="1855"/>
      <c r="AF138" s="1855"/>
      <c r="AG138" s="1855"/>
      <c r="AH138" s="1855"/>
      <c r="AI138" s="1855"/>
      <c r="AJ138" s="1855"/>
      <c r="AK138" s="1855"/>
      <c r="AL138" s="1855"/>
      <c r="AM138" s="1855"/>
      <c r="AN138" s="1855"/>
      <c r="AO138" s="1855"/>
      <c r="AP138" s="1855"/>
      <c r="AQ138" s="1855"/>
      <c r="AR138" s="1855"/>
      <c r="AS138" s="1855"/>
      <c r="AT138" s="1855"/>
      <c r="AU138" s="1855"/>
      <c r="AV138" s="1855"/>
      <c r="AW138" s="1855"/>
      <c r="AX138" s="1855"/>
      <c r="AY138" s="1855"/>
      <c r="AZ138" s="1855"/>
      <c r="BA138" s="1855"/>
      <c r="BB138" s="1855"/>
      <c r="BC138" s="1855"/>
      <c r="BD138" s="1855"/>
      <c r="BE138" s="1855"/>
      <c r="BF138" s="1855"/>
      <c r="BG138" s="1855"/>
      <c r="BH138" s="1855"/>
      <c r="BI138" s="1855"/>
      <c r="BJ138" s="1855"/>
      <c r="BK138" s="1855"/>
      <c r="BL138" s="1855"/>
      <c r="BM138" s="1855"/>
      <c r="BN138" s="1855"/>
      <c r="BO138" s="1855"/>
      <c r="BP138" s="1855"/>
      <c r="BQ138" s="1855"/>
      <c r="BR138" s="1855"/>
      <c r="BS138" s="1855"/>
      <c r="BT138" s="1855"/>
      <c r="BU138" s="1855"/>
      <c r="BV138" s="1855"/>
      <c r="BW138" s="1855"/>
      <c r="BX138" s="1855"/>
      <c r="BY138" s="1855"/>
      <c r="BZ138" s="1855"/>
      <c r="CA138" s="1855"/>
      <c r="CB138" s="1855"/>
      <c r="CC138" s="1855"/>
      <c r="CD138" s="1859"/>
    </row>
    <row r="139" spans="1:82" ht="14.25">
      <c r="A139" s="1631" t="s">
        <v>1597</v>
      </c>
      <c r="B139" s="906" t="s">
        <v>3115</v>
      </c>
      <c r="C139" s="1472" t="s">
        <v>2062</v>
      </c>
      <c r="D139" s="968" t="s">
        <v>2290</v>
      </c>
      <c r="E139" s="1493" t="s">
        <v>1597</v>
      </c>
      <c r="F139" s="1629" t="s">
        <v>3115</v>
      </c>
      <c r="G139" s="405" t="b">
        <v>1</v>
      </c>
      <c r="H139" s="1638"/>
      <c r="I139" s="1639">
        <v>1500</v>
      </c>
      <c r="J139" s="1639">
        <v>300</v>
      </c>
      <c r="K139" s="1639">
        <v>24500</v>
      </c>
      <c r="L139" s="1640">
        <v>0.66742083333333302</v>
      </c>
      <c r="M139" s="2157">
        <v>30.000000000000018</v>
      </c>
      <c r="N139" s="1639"/>
      <c r="O139" s="1639">
        <v>3600</v>
      </c>
      <c r="P139" s="1639">
        <v>1728</v>
      </c>
      <c r="Q139" s="1639">
        <v>58800</v>
      </c>
      <c r="R139" s="1640">
        <v>0.66742083333333302</v>
      </c>
      <c r="S139" s="2157">
        <v>414.7200000000002</v>
      </c>
      <c r="T139" s="1639"/>
      <c r="U139" s="1639">
        <v>877.20532146385995</v>
      </c>
      <c r="V139" s="1639">
        <v>102.59855680060184</v>
      </c>
      <c r="W139" s="1639">
        <v>14327.686917243045</v>
      </c>
      <c r="X139" s="1640">
        <v>0.66742083333333302</v>
      </c>
      <c r="Y139" s="1641">
        <v>6</v>
      </c>
      <c r="Z139" s="1854">
        <f>IF($G139,MATCH('Fan Name List'!Y139,'Fan Name List'!$AC$16:$BM$16,1),0)</f>
        <v>13</v>
      </c>
      <c r="AA139" s="1859">
        <f>IF($G139,IF(S139&gt;567,37,MATCH('Fan Name List'!S139,'Fan Name List'!$AC$16:$BM$16,1)+1),0)</f>
        <v>32</v>
      </c>
      <c r="AB139" s="1854"/>
      <c r="AC139" s="1855"/>
      <c r="AD139" s="1855"/>
      <c r="AE139" s="1855"/>
      <c r="AF139" s="1855"/>
      <c r="AG139" s="1855"/>
      <c r="AH139" s="1855"/>
      <c r="AI139" s="1855"/>
      <c r="AJ139" s="1855"/>
      <c r="AK139" s="1855"/>
      <c r="AL139" s="1855"/>
      <c r="AM139" s="1855"/>
      <c r="AN139" s="1855"/>
      <c r="AO139" s="1855"/>
      <c r="AP139" s="1855"/>
      <c r="AQ139" s="1855"/>
      <c r="AR139" s="1855"/>
      <c r="AS139" s="1855"/>
      <c r="AT139" s="1855"/>
      <c r="AU139" s="1855"/>
      <c r="AV139" s="1855"/>
      <c r="AW139" s="1855"/>
      <c r="AX139" s="1855"/>
      <c r="AY139" s="1855"/>
      <c r="AZ139" s="1855"/>
      <c r="BA139" s="1855"/>
      <c r="BB139" s="1855"/>
      <c r="BC139" s="1855"/>
      <c r="BD139" s="1855"/>
      <c r="BE139" s="1855"/>
      <c r="BF139" s="1855"/>
      <c r="BG139" s="1855"/>
      <c r="BH139" s="1855"/>
      <c r="BI139" s="1855"/>
      <c r="BJ139" s="1855"/>
      <c r="BK139" s="1855"/>
      <c r="BL139" s="1855"/>
      <c r="BM139" s="1855"/>
      <c r="BN139" s="1855"/>
      <c r="BO139" s="1855"/>
      <c r="BP139" s="1855"/>
      <c r="BQ139" s="1855"/>
      <c r="BR139" s="1855"/>
      <c r="BS139" s="1855"/>
      <c r="BT139" s="1855"/>
      <c r="BU139" s="1855"/>
      <c r="BV139" s="1855"/>
      <c r="BW139" s="1855"/>
      <c r="BX139" s="1855"/>
      <c r="BY139" s="1855"/>
      <c r="BZ139" s="1855"/>
      <c r="CA139" s="1855"/>
      <c r="CB139" s="1855"/>
      <c r="CC139" s="1855"/>
      <c r="CD139" s="1859"/>
    </row>
    <row r="140" spans="1:82" ht="14.25">
      <c r="A140" s="1630" t="s">
        <v>1598</v>
      </c>
      <c r="B140" s="906" t="s">
        <v>3116</v>
      </c>
      <c r="C140" s="1472" t="s">
        <v>2063</v>
      </c>
      <c r="D140" s="968" t="s">
        <v>2371</v>
      </c>
      <c r="E140" s="1493" t="s">
        <v>1598</v>
      </c>
      <c r="F140" s="1629" t="s">
        <v>3116</v>
      </c>
      <c r="G140" s="405" t="b">
        <v>1</v>
      </c>
      <c r="H140" s="1638"/>
      <c r="I140" s="1639">
        <v>1500</v>
      </c>
      <c r="J140" s="1639">
        <v>310</v>
      </c>
      <c r="K140" s="1639">
        <v>28400</v>
      </c>
      <c r="L140" s="1640">
        <v>0.70333030303030297</v>
      </c>
      <c r="M140" s="2157">
        <v>34.100000000000009</v>
      </c>
      <c r="N140" s="1639"/>
      <c r="O140" s="1639">
        <v>3550</v>
      </c>
      <c r="P140" s="1639">
        <v>1736.3444444444444</v>
      </c>
      <c r="Q140" s="1639">
        <v>67213.333333333328</v>
      </c>
      <c r="R140" s="1640">
        <v>0.70333030303030297</v>
      </c>
      <c r="S140" s="2157">
        <v>452.02833703703703</v>
      </c>
      <c r="T140" s="1639"/>
      <c r="U140" s="1639">
        <v>877.20532146385995</v>
      </c>
      <c r="V140" s="1639">
        <v>106.01850869395523</v>
      </c>
      <c r="W140" s="1639">
        <v>16608.420753049082</v>
      </c>
      <c r="X140" s="1640">
        <v>0.70333030303030297</v>
      </c>
      <c r="Y140" s="1641">
        <v>6.8</v>
      </c>
      <c r="Z140" s="1854">
        <f>IF($G140,MATCH('Fan Name List'!Y140,'Fan Name List'!$AC$16:$BM$16,1),0)</f>
        <v>13</v>
      </c>
      <c r="AA140" s="1859">
        <f>IF($G140,IF(S140&gt;567,37,MATCH('Fan Name List'!S140,'Fan Name List'!$AC$16:$BM$16,1)+1),0)</f>
        <v>33</v>
      </c>
      <c r="AB140" s="1854"/>
      <c r="AC140" s="1855"/>
      <c r="AD140" s="1855"/>
      <c r="AE140" s="1855"/>
      <c r="AF140" s="1855"/>
      <c r="AG140" s="1855"/>
      <c r="AH140" s="1855"/>
      <c r="AI140" s="1855"/>
      <c r="AJ140" s="1855"/>
      <c r="AK140" s="1855"/>
      <c r="AL140" s="1855"/>
      <c r="AM140" s="1855"/>
      <c r="AN140" s="1855"/>
      <c r="AO140" s="1855"/>
      <c r="AP140" s="1855"/>
      <c r="AQ140" s="1855"/>
      <c r="AR140" s="1855"/>
      <c r="AS140" s="1855"/>
      <c r="AT140" s="1855"/>
      <c r="AU140" s="1855"/>
      <c r="AV140" s="1855"/>
      <c r="AW140" s="1855"/>
      <c r="AX140" s="1855"/>
      <c r="AY140" s="1855"/>
      <c r="AZ140" s="1855"/>
      <c r="BA140" s="1855"/>
      <c r="BB140" s="1855"/>
      <c r="BC140" s="1855"/>
      <c r="BD140" s="1855"/>
      <c r="BE140" s="1855"/>
      <c r="BF140" s="1855"/>
      <c r="BG140" s="1855"/>
      <c r="BH140" s="1855"/>
      <c r="BI140" s="1855"/>
      <c r="BJ140" s="1855"/>
      <c r="BK140" s="1855"/>
      <c r="BL140" s="1855"/>
      <c r="BM140" s="1855"/>
      <c r="BN140" s="1855"/>
      <c r="BO140" s="1855"/>
      <c r="BP140" s="1855"/>
      <c r="BQ140" s="1855"/>
      <c r="BR140" s="1855"/>
      <c r="BS140" s="1855"/>
      <c r="BT140" s="1855"/>
      <c r="BU140" s="1855"/>
      <c r="BV140" s="1855"/>
      <c r="BW140" s="1855"/>
      <c r="BX140" s="1855"/>
      <c r="BY140" s="1855"/>
      <c r="BZ140" s="1855"/>
      <c r="CA140" s="1855"/>
      <c r="CB140" s="1855"/>
      <c r="CC140" s="1855"/>
      <c r="CD140" s="1859"/>
    </row>
    <row r="141" spans="1:82" ht="14.25">
      <c r="A141" s="1630" t="s">
        <v>1599</v>
      </c>
      <c r="B141" s="906" t="s">
        <v>3117</v>
      </c>
      <c r="C141" s="1472" t="s">
        <v>2064</v>
      </c>
      <c r="D141" s="968" t="s">
        <v>2372</v>
      </c>
      <c r="E141" s="1493" t="s">
        <v>1599</v>
      </c>
      <c r="F141" s="1629" t="s">
        <v>3117</v>
      </c>
      <c r="G141" s="405" t="b">
        <v>1</v>
      </c>
      <c r="H141" s="1638"/>
      <c r="I141" s="1639">
        <v>1800</v>
      </c>
      <c r="J141" s="1639">
        <v>590</v>
      </c>
      <c r="K141" s="1639">
        <v>55000</v>
      </c>
      <c r="L141" s="1640">
        <v>0.72458367486338804</v>
      </c>
      <c r="M141" s="2157">
        <v>122</v>
      </c>
      <c r="N141" s="1639"/>
      <c r="O141" s="1639">
        <v>2850</v>
      </c>
      <c r="P141" s="1639">
        <v>1479.0972222222222</v>
      </c>
      <c r="Q141" s="1639">
        <v>87083.333333333328</v>
      </c>
      <c r="R141" s="1640">
        <v>0.72458367486338804</v>
      </c>
      <c r="S141" s="2157">
        <v>484.25810185185179</v>
      </c>
      <c r="T141" s="1639"/>
      <c r="U141" s="1639">
        <v>1052.6463857566318</v>
      </c>
      <c r="V141" s="1639">
        <v>201.77716170785027</v>
      </c>
      <c r="W141" s="1639">
        <v>32164.19512034153</v>
      </c>
      <c r="X141" s="1640">
        <v>0.72458367486338804</v>
      </c>
      <c r="Y141" s="1641">
        <v>24.4</v>
      </c>
      <c r="Z141" s="1854">
        <f>IF($G141,MATCH('Fan Name List'!Y141,'Fan Name List'!$AC$16:$BM$16,1),0)</f>
        <v>18</v>
      </c>
      <c r="AA141" s="1859">
        <f>IF($G141,IF(S141&gt;567,37,MATCH('Fan Name List'!S141,'Fan Name List'!$AC$16:$BM$16,1)+1),0)</f>
        <v>33</v>
      </c>
      <c r="AB141" s="1854"/>
      <c r="AC141" s="1855"/>
      <c r="AD141" s="1855"/>
      <c r="AE141" s="1855"/>
      <c r="AF141" s="1855"/>
      <c r="AG141" s="1855"/>
      <c r="AH141" s="1855"/>
      <c r="AI141" s="1855"/>
      <c r="AJ141" s="1855"/>
      <c r="AK141" s="1855"/>
      <c r="AL141" s="1855"/>
      <c r="AM141" s="1855"/>
      <c r="AN141" s="1855"/>
      <c r="AO141" s="1855"/>
      <c r="AP141" s="1855"/>
      <c r="AQ141" s="1855"/>
      <c r="AR141" s="1855"/>
      <c r="AS141" s="1855"/>
      <c r="AT141" s="1855"/>
      <c r="AU141" s="1855"/>
      <c r="AV141" s="1855"/>
      <c r="AW141" s="1855"/>
      <c r="AX141" s="1855"/>
      <c r="AY141" s="1855"/>
      <c r="AZ141" s="1855"/>
      <c r="BA141" s="1855"/>
      <c r="BB141" s="1855"/>
      <c r="BC141" s="1855"/>
      <c r="BD141" s="1855"/>
      <c r="BE141" s="1855"/>
      <c r="BF141" s="1855"/>
      <c r="BG141" s="1855"/>
      <c r="BH141" s="1855"/>
      <c r="BI141" s="1855"/>
      <c r="BJ141" s="1855"/>
      <c r="BK141" s="1855"/>
      <c r="BL141" s="1855"/>
      <c r="BM141" s="1855"/>
      <c r="BN141" s="1855"/>
      <c r="BO141" s="1855"/>
      <c r="BP141" s="1855"/>
      <c r="BQ141" s="1855"/>
      <c r="BR141" s="1855"/>
      <c r="BS141" s="1855"/>
      <c r="BT141" s="1855"/>
      <c r="BU141" s="1855"/>
      <c r="BV141" s="1855"/>
      <c r="BW141" s="1855"/>
      <c r="BX141" s="1855"/>
      <c r="BY141" s="1855"/>
      <c r="BZ141" s="1855"/>
      <c r="CA141" s="1855"/>
      <c r="CB141" s="1855"/>
      <c r="CC141" s="1855"/>
      <c r="CD141" s="1859"/>
    </row>
    <row r="142" spans="1:82" ht="14.25">
      <c r="A142" s="1630" t="s">
        <v>1600</v>
      </c>
      <c r="B142" s="906" t="s">
        <v>3118</v>
      </c>
      <c r="C142" s="1472" t="s">
        <v>2065</v>
      </c>
      <c r="D142" s="968" t="s">
        <v>2958</v>
      </c>
      <c r="E142" s="1493" t="s">
        <v>1600</v>
      </c>
      <c r="F142" s="1629" t="s">
        <v>3118</v>
      </c>
      <c r="G142" s="405" t="b">
        <v>1</v>
      </c>
      <c r="H142" s="1638"/>
      <c r="I142" s="1639">
        <v>1600</v>
      </c>
      <c r="J142" s="1639">
        <v>577</v>
      </c>
      <c r="K142" s="1639">
        <v>70000</v>
      </c>
      <c r="L142" s="1640">
        <v>0.73352727777777804</v>
      </c>
      <c r="M142" s="2157">
        <v>149.99999999999994</v>
      </c>
      <c r="N142" s="1639"/>
      <c r="O142" s="1639">
        <v>2489.4632083555739</v>
      </c>
      <c r="P142" s="1639">
        <v>1396.8419597426671</v>
      </c>
      <c r="Q142" s="1639">
        <v>108914.01536555635</v>
      </c>
      <c r="R142" s="1640">
        <v>0.73352727777777804</v>
      </c>
      <c r="S142" s="2157">
        <v>564.99999999999989</v>
      </c>
      <c r="T142" s="1639"/>
      <c r="U142" s="1639">
        <v>935.68567622811725</v>
      </c>
      <c r="V142" s="1639">
        <v>197.33122424649088</v>
      </c>
      <c r="W142" s="1639">
        <v>40936.248334980126</v>
      </c>
      <c r="X142" s="1640">
        <v>0.73352727777777804</v>
      </c>
      <c r="Y142" s="1641">
        <v>30</v>
      </c>
      <c r="Z142" s="1854">
        <f>IF($G142,MATCH('Fan Name List'!Y142,'Fan Name List'!$AC$16:$BM$16,1),0)</f>
        <v>18</v>
      </c>
      <c r="AA142" s="1859">
        <f>IF($G142,IF(S142&gt;567,37,MATCH('Fan Name List'!S142,'Fan Name List'!$AC$16:$BM$16,1)+1),0)</f>
        <v>35</v>
      </c>
      <c r="AB142" s="1854"/>
      <c r="AC142" s="1855"/>
      <c r="AD142" s="1855"/>
      <c r="AE142" s="1855"/>
      <c r="AF142" s="1855"/>
      <c r="AG142" s="1855"/>
      <c r="AH142" s="1855"/>
      <c r="AI142" s="1855"/>
      <c r="AJ142" s="1855"/>
      <c r="AK142" s="1855"/>
      <c r="AL142" s="1855"/>
      <c r="AM142" s="1855"/>
      <c r="AN142" s="1855"/>
      <c r="AO142" s="1855"/>
      <c r="AP142" s="1855"/>
      <c r="AQ142" s="1855"/>
      <c r="AR142" s="1855"/>
      <c r="AS142" s="1855"/>
      <c r="AT142" s="1855"/>
      <c r="AU142" s="1855"/>
      <c r="AV142" s="1855"/>
      <c r="AW142" s="1855"/>
      <c r="AX142" s="1855"/>
      <c r="AY142" s="1855"/>
      <c r="AZ142" s="1855"/>
      <c r="BA142" s="1855"/>
      <c r="BB142" s="1855"/>
      <c r="BC142" s="1855"/>
      <c r="BD142" s="1855"/>
      <c r="BE142" s="1855"/>
      <c r="BF142" s="1855"/>
      <c r="BG142" s="1855"/>
      <c r="BH142" s="1855"/>
      <c r="BI142" s="1855"/>
      <c r="BJ142" s="1855"/>
      <c r="BK142" s="1855"/>
      <c r="BL142" s="1855"/>
      <c r="BM142" s="1855"/>
      <c r="BN142" s="1855"/>
      <c r="BO142" s="1855"/>
      <c r="BP142" s="1855"/>
      <c r="BQ142" s="1855"/>
      <c r="BR142" s="1855"/>
      <c r="BS142" s="1855"/>
      <c r="BT142" s="1855"/>
      <c r="BU142" s="1855"/>
      <c r="BV142" s="1855"/>
      <c r="BW142" s="1855"/>
      <c r="BX142" s="1855"/>
      <c r="BY142" s="1855"/>
      <c r="BZ142" s="1855"/>
      <c r="CA142" s="1855"/>
      <c r="CB142" s="1855"/>
      <c r="CC142" s="1855"/>
      <c r="CD142" s="1859"/>
    </row>
    <row r="143" spans="1:82" ht="14.25">
      <c r="A143" s="1632" t="s">
        <v>1601</v>
      </c>
      <c r="B143" s="906" t="s">
        <v>3119</v>
      </c>
      <c r="C143" s="1472" t="s">
        <v>2066</v>
      </c>
      <c r="D143" s="968" t="s">
        <v>565</v>
      </c>
      <c r="E143" s="1493" t="s">
        <v>1601</v>
      </c>
      <c r="F143" s="1629" t="s">
        <v>3119</v>
      </c>
      <c r="G143" s="405" t="b">
        <v>0</v>
      </c>
      <c r="H143" s="1638"/>
      <c r="I143" s="1639">
        <v>0</v>
      </c>
      <c r="J143" s="1639">
        <v>0</v>
      </c>
      <c r="K143" s="1639">
        <v>0</v>
      </c>
      <c r="L143" s="1640">
        <v>0</v>
      </c>
      <c r="M143" s="2157">
        <v>0</v>
      </c>
      <c r="N143" s="1639"/>
      <c r="O143" s="1639">
        <v>0</v>
      </c>
      <c r="P143" s="1639">
        <v>0</v>
      </c>
      <c r="Q143" s="1639">
        <v>0</v>
      </c>
      <c r="R143" s="1640">
        <v>0</v>
      </c>
      <c r="S143" s="2157">
        <v>0</v>
      </c>
      <c r="T143" s="1639"/>
      <c r="U143" s="1639">
        <v>0</v>
      </c>
      <c r="V143" s="1639">
        <v>0</v>
      </c>
      <c r="W143" s="1639">
        <v>0</v>
      </c>
      <c r="X143" s="1640">
        <v>0</v>
      </c>
      <c r="Y143" s="1641">
        <v>0</v>
      </c>
      <c r="Z143" s="1854">
        <f>IF($G143,MATCH('Fan Name List'!Y143,'Fan Name List'!$AC$16:$BM$16,1),0)</f>
        <v>0</v>
      </c>
      <c r="AA143" s="1859">
        <f>IF($G143,IF(S143&gt;567,37,MATCH('Fan Name List'!S143,'Fan Name List'!$AC$16:$BM$16,1)+1),0)</f>
        <v>0</v>
      </c>
      <c r="AB143" s="1854"/>
      <c r="AC143" s="1855"/>
      <c r="AD143" s="1855"/>
      <c r="AE143" s="1855"/>
      <c r="AF143" s="1855"/>
      <c r="AG143" s="1855"/>
      <c r="AH143" s="1855"/>
      <c r="AI143" s="1855"/>
      <c r="AJ143" s="1855"/>
      <c r="AK143" s="1855"/>
      <c r="AL143" s="1855"/>
      <c r="AM143" s="1855"/>
      <c r="AN143" s="1855"/>
      <c r="AO143" s="1855"/>
      <c r="AP143" s="1855"/>
      <c r="AQ143" s="1855"/>
      <c r="AR143" s="1855"/>
      <c r="AS143" s="1855"/>
      <c r="AT143" s="1855"/>
      <c r="AU143" s="1855"/>
      <c r="AV143" s="1855"/>
      <c r="AW143" s="1855"/>
      <c r="AX143" s="1855"/>
      <c r="AY143" s="1855"/>
      <c r="AZ143" s="1855"/>
      <c r="BA143" s="1855"/>
      <c r="BB143" s="1855"/>
      <c r="BC143" s="1855"/>
      <c r="BD143" s="1855"/>
      <c r="BE143" s="1855"/>
      <c r="BF143" s="1855"/>
      <c r="BG143" s="1855"/>
      <c r="BH143" s="1855"/>
      <c r="BI143" s="1855"/>
      <c r="BJ143" s="1855"/>
      <c r="BK143" s="1855"/>
      <c r="BL143" s="1855"/>
      <c r="BM143" s="1855"/>
      <c r="BN143" s="1855"/>
      <c r="BO143" s="1855"/>
      <c r="BP143" s="1855"/>
      <c r="BQ143" s="1855"/>
      <c r="BR143" s="1855"/>
      <c r="BS143" s="1855"/>
      <c r="BT143" s="1855"/>
      <c r="BU143" s="1855"/>
      <c r="BV143" s="1855"/>
      <c r="BW143" s="1855"/>
      <c r="BX143" s="1855"/>
      <c r="BY143" s="1855"/>
      <c r="BZ143" s="1855"/>
      <c r="CA143" s="1855"/>
      <c r="CB143" s="1855"/>
      <c r="CC143" s="1855"/>
      <c r="CD143" s="1859"/>
    </row>
    <row r="144" spans="1:82" ht="14.25">
      <c r="A144" s="1632" t="s">
        <v>1694</v>
      </c>
      <c r="B144" s="906" t="s">
        <v>3120</v>
      </c>
      <c r="C144" s="1472" t="s">
        <v>2067</v>
      </c>
      <c r="D144" s="968" t="s">
        <v>3121</v>
      </c>
      <c r="E144" s="1493" t="s">
        <v>1694</v>
      </c>
      <c r="F144" s="1629" t="s">
        <v>3120</v>
      </c>
      <c r="G144" s="405" t="b">
        <v>0</v>
      </c>
      <c r="H144" s="1638"/>
      <c r="I144" s="1639">
        <v>0</v>
      </c>
      <c r="J144" s="1639">
        <v>0</v>
      </c>
      <c r="K144" s="1639">
        <v>0</v>
      </c>
      <c r="L144" s="1640">
        <v>0</v>
      </c>
      <c r="M144" s="2157">
        <v>0</v>
      </c>
      <c r="N144" s="1639"/>
      <c r="O144" s="1639">
        <v>0</v>
      </c>
      <c r="P144" s="1639">
        <v>0</v>
      </c>
      <c r="Q144" s="1639">
        <v>0</v>
      </c>
      <c r="R144" s="1640">
        <v>0</v>
      </c>
      <c r="S144" s="2157">
        <v>0</v>
      </c>
      <c r="T144" s="1639"/>
      <c r="U144" s="1639">
        <v>0</v>
      </c>
      <c r="V144" s="1639">
        <v>0</v>
      </c>
      <c r="W144" s="1639">
        <v>0</v>
      </c>
      <c r="X144" s="1640">
        <v>0</v>
      </c>
      <c r="Y144" s="1641">
        <v>0</v>
      </c>
      <c r="Z144" s="1854">
        <f>IF($G144,MATCH('Fan Name List'!Y144,'Fan Name List'!$AC$16:$BM$16,1),0)</f>
        <v>0</v>
      </c>
      <c r="AA144" s="1859">
        <f>IF($G144,IF(S144&gt;567,37,MATCH('Fan Name List'!S144,'Fan Name List'!$AC$16:$BM$16,1)+1),0)</f>
        <v>0</v>
      </c>
      <c r="AB144" s="1854"/>
      <c r="AC144" s="1855"/>
      <c r="AD144" s="1855"/>
      <c r="AE144" s="1855"/>
      <c r="AF144" s="1855"/>
      <c r="AG144" s="1855"/>
      <c r="AH144" s="1855"/>
      <c r="AI144" s="1855"/>
      <c r="AJ144" s="1855"/>
      <c r="AK144" s="1855"/>
      <c r="AL144" s="1855"/>
      <c r="AM144" s="1855"/>
      <c r="AN144" s="1855"/>
      <c r="AO144" s="1855"/>
      <c r="AP144" s="1855"/>
      <c r="AQ144" s="1855"/>
      <c r="AR144" s="1855"/>
      <c r="AS144" s="1855"/>
      <c r="AT144" s="1855"/>
      <c r="AU144" s="1855"/>
      <c r="AV144" s="1855"/>
      <c r="AW144" s="1855"/>
      <c r="AX144" s="1855"/>
      <c r="AY144" s="1855"/>
      <c r="AZ144" s="1855"/>
      <c r="BA144" s="1855"/>
      <c r="BB144" s="1855"/>
      <c r="BC144" s="1855"/>
      <c r="BD144" s="1855"/>
      <c r="BE144" s="1855"/>
      <c r="BF144" s="1855"/>
      <c r="BG144" s="1855"/>
      <c r="BH144" s="1855"/>
      <c r="BI144" s="1855"/>
      <c r="BJ144" s="1855"/>
      <c r="BK144" s="1855"/>
      <c r="BL144" s="1855"/>
      <c r="BM144" s="1855"/>
      <c r="BN144" s="1855"/>
      <c r="BO144" s="1855"/>
      <c r="BP144" s="1855"/>
      <c r="BQ144" s="1855"/>
      <c r="BR144" s="1855"/>
      <c r="BS144" s="1855"/>
      <c r="BT144" s="1855"/>
      <c r="BU144" s="1855"/>
      <c r="BV144" s="1855"/>
      <c r="BW144" s="1855"/>
      <c r="BX144" s="1855"/>
      <c r="BY144" s="1855"/>
      <c r="BZ144" s="1855"/>
      <c r="CA144" s="1855"/>
      <c r="CB144" s="1855"/>
      <c r="CC144" s="1855"/>
      <c r="CD144" s="1859"/>
    </row>
    <row r="145" spans="1:82" ht="14.25">
      <c r="A145" s="1628" t="s">
        <v>1695</v>
      </c>
      <c r="B145" s="906" t="s">
        <v>3122</v>
      </c>
      <c r="C145" s="1472" t="s">
        <v>2068</v>
      </c>
      <c r="D145" s="968" t="s">
        <v>3066</v>
      </c>
      <c r="E145" s="1493" t="s">
        <v>1695</v>
      </c>
      <c r="F145" s="1629" t="s">
        <v>3122</v>
      </c>
      <c r="G145" s="405" t="b">
        <v>0</v>
      </c>
      <c r="H145" s="1638"/>
      <c r="I145" s="1639">
        <v>0</v>
      </c>
      <c r="J145" s="1639">
        <v>0</v>
      </c>
      <c r="K145" s="1639">
        <v>0</v>
      </c>
      <c r="L145" s="1640">
        <v>0</v>
      </c>
      <c r="M145" s="2157">
        <v>0</v>
      </c>
      <c r="N145" s="1639"/>
      <c r="O145" s="1639">
        <v>0</v>
      </c>
      <c r="P145" s="1639">
        <v>0</v>
      </c>
      <c r="Q145" s="1639">
        <v>0</v>
      </c>
      <c r="R145" s="1640">
        <v>0</v>
      </c>
      <c r="S145" s="2157">
        <v>0</v>
      </c>
      <c r="T145" s="1639"/>
      <c r="U145" s="1639">
        <v>0</v>
      </c>
      <c r="V145" s="1639">
        <v>0</v>
      </c>
      <c r="W145" s="1639">
        <v>0</v>
      </c>
      <c r="X145" s="1640">
        <v>0</v>
      </c>
      <c r="Y145" s="1641">
        <v>0</v>
      </c>
      <c r="Z145" s="1854">
        <f>IF($G145,MATCH('Fan Name List'!Y145,'Fan Name List'!$AC$16:$BM$16,1),0)</f>
        <v>0</v>
      </c>
      <c r="AA145" s="1859">
        <f>IF($G145,IF(S145&gt;567,37,MATCH('Fan Name List'!S145,'Fan Name List'!$AC$16:$BM$16,1)+1),0)</f>
        <v>0</v>
      </c>
      <c r="AB145" s="1854"/>
      <c r="AC145" s="1855"/>
      <c r="AD145" s="1855"/>
      <c r="AE145" s="1855"/>
      <c r="AF145" s="1855"/>
      <c r="AG145" s="1855"/>
      <c r="AH145" s="1855"/>
      <c r="AI145" s="1855"/>
      <c r="AJ145" s="1855"/>
      <c r="AK145" s="1855"/>
      <c r="AL145" s="1855"/>
      <c r="AM145" s="1855"/>
      <c r="AN145" s="1855"/>
      <c r="AO145" s="1855"/>
      <c r="AP145" s="1855"/>
      <c r="AQ145" s="1855"/>
      <c r="AR145" s="1855"/>
      <c r="AS145" s="1855"/>
      <c r="AT145" s="1855"/>
      <c r="AU145" s="1855"/>
      <c r="AV145" s="1855"/>
      <c r="AW145" s="1855"/>
      <c r="AX145" s="1855"/>
      <c r="AY145" s="1855"/>
      <c r="AZ145" s="1855"/>
      <c r="BA145" s="1855"/>
      <c r="BB145" s="1855"/>
      <c r="BC145" s="1855"/>
      <c r="BD145" s="1855"/>
      <c r="BE145" s="1855"/>
      <c r="BF145" s="1855"/>
      <c r="BG145" s="1855"/>
      <c r="BH145" s="1855"/>
      <c r="BI145" s="1855"/>
      <c r="BJ145" s="1855"/>
      <c r="BK145" s="1855"/>
      <c r="BL145" s="1855"/>
      <c r="BM145" s="1855"/>
      <c r="BN145" s="1855"/>
      <c r="BO145" s="1855"/>
      <c r="BP145" s="1855"/>
      <c r="BQ145" s="1855"/>
      <c r="BR145" s="1855"/>
      <c r="BS145" s="1855"/>
      <c r="BT145" s="1855"/>
      <c r="BU145" s="1855"/>
      <c r="BV145" s="1855"/>
      <c r="BW145" s="1855"/>
      <c r="BX145" s="1855"/>
      <c r="BY145" s="1855"/>
      <c r="BZ145" s="1855"/>
      <c r="CA145" s="1855"/>
      <c r="CB145" s="1855"/>
      <c r="CC145" s="1855"/>
      <c r="CD145" s="1859"/>
    </row>
    <row r="146" spans="1:82" ht="14.25">
      <c r="A146" s="1628" t="s">
        <v>1602</v>
      </c>
      <c r="B146" s="906" t="s">
        <v>3123</v>
      </c>
      <c r="C146" s="1472" t="s">
        <v>2069</v>
      </c>
      <c r="D146" s="968" t="s">
        <v>3068</v>
      </c>
      <c r="E146" s="1493" t="s">
        <v>1602</v>
      </c>
      <c r="F146" s="1629" t="s">
        <v>3123</v>
      </c>
      <c r="G146" s="405" t="b">
        <v>0</v>
      </c>
      <c r="H146" s="1638"/>
      <c r="I146" s="1639">
        <v>0</v>
      </c>
      <c r="J146" s="1639">
        <v>0</v>
      </c>
      <c r="K146" s="1639">
        <v>0</v>
      </c>
      <c r="L146" s="1640">
        <v>0</v>
      </c>
      <c r="M146" s="2157">
        <v>0</v>
      </c>
      <c r="N146" s="1639"/>
      <c r="O146" s="1639">
        <v>0</v>
      </c>
      <c r="P146" s="1639">
        <v>0</v>
      </c>
      <c r="Q146" s="1639">
        <v>0</v>
      </c>
      <c r="R146" s="1640">
        <v>0</v>
      </c>
      <c r="S146" s="2157">
        <v>0</v>
      </c>
      <c r="T146" s="1639"/>
      <c r="U146" s="1639">
        <v>0</v>
      </c>
      <c r="V146" s="1639">
        <v>0</v>
      </c>
      <c r="W146" s="1639">
        <v>0</v>
      </c>
      <c r="X146" s="1640">
        <v>0</v>
      </c>
      <c r="Y146" s="1641">
        <v>0</v>
      </c>
      <c r="Z146" s="1854">
        <f>IF($G146,MATCH('Fan Name List'!Y146,'Fan Name List'!$AC$16:$BM$16,1),0)</f>
        <v>0</v>
      </c>
      <c r="AA146" s="1859">
        <f>IF($G146,IF(S146&gt;567,37,MATCH('Fan Name List'!S146,'Fan Name List'!$AC$16:$BM$16,1)+1),0)</f>
        <v>0</v>
      </c>
      <c r="AB146" s="1854"/>
      <c r="AC146" s="1855"/>
      <c r="AD146" s="1855"/>
      <c r="AE146" s="1855"/>
      <c r="AF146" s="1855"/>
      <c r="AG146" s="1855"/>
      <c r="AH146" s="1855"/>
      <c r="AI146" s="1855"/>
      <c r="AJ146" s="1855"/>
      <c r="AK146" s="1855"/>
      <c r="AL146" s="1855"/>
      <c r="AM146" s="1855"/>
      <c r="AN146" s="1855"/>
      <c r="AO146" s="1855"/>
      <c r="AP146" s="1855"/>
      <c r="AQ146" s="1855"/>
      <c r="AR146" s="1855"/>
      <c r="AS146" s="1855"/>
      <c r="AT146" s="1855"/>
      <c r="AU146" s="1855"/>
      <c r="AV146" s="1855"/>
      <c r="AW146" s="1855"/>
      <c r="AX146" s="1855"/>
      <c r="AY146" s="1855"/>
      <c r="AZ146" s="1855"/>
      <c r="BA146" s="1855"/>
      <c r="BB146" s="1855"/>
      <c r="BC146" s="1855"/>
      <c r="BD146" s="1855"/>
      <c r="BE146" s="1855"/>
      <c r="BF146" s="1855"/>
      <c r="BG146" s="1855"/>
      <c r="BH146" s="1855"/>
      <c r="BI146" s="1855"/>
      <c r="BJ146" s="1855"/>
      <c r="BK146" s="1855"/>
      <c r="BL146" s="1855"/>
      <c r="BM146" s="1855"/>
      <c r="BN146" s="1855"/>
      <c r="BO146" s="1855"/>
      <c r="BP146" s="1855"/>
      <c r="BQ146" s="1855"/>
      <c r="BR146" s="1855"/>
      <c r="BS146" s="1855"/>
      <c r="BT146" s="1855"/>
      <c r="BU146" s="1855"/>
      <c r="BV146" s="1855"/>
      <c r="BW146" s="1855"/>
      <c r="BX146" s="1855"/>
      <c r="BY146" s="1855"/>
      <c r="BZ146" s="1855"/>
      <c r="CA146" s="1855"/>
      <c r="CB146" s="1855"/>
      <c r="CC146" s="1855"/>
      <c r="CD146" s="1859"/>
    </row>
    <row r="147" spans="1:82" ht="14.25">
      <c r="A147" s="1628" t="s">
        <v>1603</v>
      </c>
      <c r="B147" s="906" t="s">
        <v>3124</v>
      </c>
      <c r="C147" s="1472" t="s">
        <v>2070</v>
      </c>
      <c r="D147" s="968" t="s">
        <v>3070</v>
      </c>
      <c r="E147" s="1493" t="s">
        <v>1603</v>
      </c>
      <c r="F147" s="1629" t="s">
        <v>3124</v>
      </c>
      <c r="G147" s="405" t="b">
        <v>0</v>
      </c>
      <c r="H147" s="1638"/>
      <c r="I147" s="1639">
        <v>0</v>
      </c>
      <c r="J147" s="1639">
        <v>0</v>
      </c>
      <c r="K147" s="1639">
        <v>0</v>
      </c>
      <c r="L147" s="1640">
        <v>0</v>
      </c>
      <c r="M147" s="2157">
        <v>0</v>
      </c>
      <c r="N147" s="1639"/>
      <c r="O147" s="1639">
        <v>0</v>
      </c>
      <c r="P147" s="1639">
        <v>0</v>
      </c>
      <c r="Q147" s="1639">
        <v>0</v>
      </c>
      <c r="R147" s="1640">
        <v>0</v>
      </c>
      <c r="S147" s="2157">
        <v>0</v>
      </c>
      <c r="T147" s="1639"/>
      <c r="U147" s="1639">
        <v>0</v>
      </c>
      <c r="V147" s="1639">
        <v>0</v>
      </c>
      <c r="W147" s="1639">
        <v>0</v>
      </c>
      <c r="X147" s="1640">
        <v>0</v>
      </c>
      <c r="Y147" s="1641">
        <v>0</v>
      </c>
      <c r="Z147" s="1854">
        <f>IF($G147,MATCH('Fan Name List'!Y147,'Fan Name List'!$AC$16:$BM$16,1),0)</f>
        <v>0</v>
      </c>
      <c r="AA147" s="1859">
        <f>IF($G147,IF(S147&gt;567,37,MATCH('Fan Name List'!S147,'Fan Name List'!$AC$16:$BM$16,1)+1),0)</f>
        <v>0</v>
      </c>
      <c r="AB147" s="1854"/>
      <c r="AC147" s="1855"/>
      <c r="AD147" s="1855"/>
      <c r="AE147" s="1855"/>
      <c r="AF147" s="1855"/>
      <c r="AG147" s="1855"/>
      <c r="AH147" s="1855"/>
      <c r="AI147" s="1855"/>
      <c r="AJ147" s="1855"/>
      <c r="AK147" s="1855"/>
      <c r="AL147" s="1855"/>
      <c r="AM147" s="1855"/>
      <c r="AN147" s="1855"/>
      <c r="AO147" s="1855"/>
      <c r="AP147" s="1855"/>
      <c r="AQ147" s="1855"/>
      <c r="AR147" s="1855"/>
      <c r="AS147" s="1855"/>
      <c r="AT147" s="1855"/>
      <c r="AU147" s="1855"/>
      <c r="AV147" s="1855"/>
      <c r="AW147" s="1855"/>
      <c r="AX147" s="1855"/>
      <c r="AY147" s="1855"/>
      <c r="AZ147" s="1855"/>
      <c r="BA147" s="1855"/>
      <c r="BB147" s="1855"/>
      <c r="BC147" s="1855"/>
      <c r="BD147" s="1855"/>
      <c r="BE147" s="1855"/>
      <c r="BF147" s="1855"/>
      <c r="BG147" s="1855"/>
      <c r="BH147" s="1855"/>
      <c r="BI147" s="1855"/>
      <c r="BJ147" s="1855"/>
      <c r="BK147" s="1855"/>
      <c r="BL147" s="1855"/>
      <c r="BM147" s="1855"/>
      <c r="BN147" s="1855"/>
      <c r="BO147" s="1855"/>
      <c r="BP147" s="1855"/>
      <c r="BQ147" s="1855"/>
      <c r="BR147" s="1855"/>
      <c r="BS147" s="1855"/>
      <c r="BT147" s="1855"/>
      <c r="BU147" s="1855"/>
      <c r="BV147" s="1855"/>
      <c r="BW147" s="1855"/>
      <c r="BX147" s="1855"/>
      <c r="BY147" s="1855"/>
      <c r="BZ147" s="1855"/>
      <c r="CA147" s="1855"/>
      <c r="CB147" s="1855"/>
      <c r="CC147" s="1855"/>
      <c r="CD147" s="1859"/>
    </row>
    <row r="148" spans="1:82" ht="14.25">
      <c r="A148" s="1628" t="s">
        <v>1604</v>
      </c>
      <c r="B148" s="906" t="s">
        <v>3073</v>
      </c>
      <c r="C148" s="1472" t="s">
        <v>2071</v>
      </c>
      <c r="D148" s="968" t="s">
        <v>3074</v>
      </c>
      <c r="E148" s="1493" t="s">
        <v>1604</v>
      </c>
      <c r="F148" s="1629" t="s">
        <v>3073</v>
      </c>
      <c r="G148" s="405" t="b">
        <v>0</v>
      </c>
      <c r="H148" s="1638"/>
      <c r="I148" s="1639">
        <v>0</v>
      </c>
      <c r="J148" s="1639">
        <v>0</v>
      </c>
      <c r="K148" s="1639">
        <v>0</v>
      </c>
      <c r="L148" s="1640">
        <v>0</v>
      </c>
      <c r="M148" s="2157">
        <v>0</v>
      </c>
      <c r="N148" s="1639"/>
      <c r="O148" s="1639">
        <v>0</v>
      </c>
      <c r="P148" s="1639">
        <v>0</v>
      </c>
      <c r="Q148" s="1639">
        <v>0</v>
      </c>
      <c r="R148" s="1640">
        <v>0</v>
      </c>
      <c r="S148" s="2157">
        <v>0</v>
      </c>
      <c r="T148" s="1639"/>
      <c r="U148" s="1639">
        <v>0</v>
      </c>
      <c r="V148" s="1639">
        <v>0</v>
      </c>
      <c r="W148" s="1639">
        <v>0</v>
      </c>
      <c r="X148" s="1640">
        <v>0</v>
      </c>
      <c r="Y148" s="1641">
        <v>0</v>
      </c>
      <c r="Z148" s="1854">
        <f>IF($G148,MATCH('Fan Name List'!Y148,'Fan Name List'!$AC$16:$BM$16,1),0)</f>
        <v>0</v>
      </c>
      <c r="AA148" s="1859">
        <f>IF($G148,IF(S148&gt;567,37,MATCH('Fan Name List'!S148,'Fan Name List'!$AC$16:$BM$16,1)+1),0)</f>
        <v>0</v>
      </c>
      <c r="AB148" s="1854"/>
      <c r="AC148" s="1855"/>
      <c r="AD148" s="1855"/>
      <c r="AE148" s="1855"/>
      <c r="AF148" s="1855"/>
      <c r="AG148" s="1855"/>
      <c r="AH148" s="1855"/>
      <c r="AI148" s="1855"/>
      <c r="AJ148" s="1855"/>
      <c r="AK148" s="1855"/>
      <c r="AL148" s="1855"/>
      <c r="AM148" s="1855"/>
      <c r="AN148" s="1855"/>
      <c r="AO148" s="1855"/>
      <c r="AP148" s="1855"/>
      <c r="AQ148" s="1855"/>
      <c r="AR148" s="1855"/>
      <c r="AS148" s="1855"/>
      <c r="AT148" s="1855"/>
      <c r="AU148" s="1855"/>
      <c r="AV148" s="1855"/>
      <c r="AW148" s="1855"/>
      <c r="AX148" s="1855"/>
      <c r="AY148" s="1855"/>
      <c r="AZ148" s="1855"/>
      <c r="BA148" s="1855"/>
      <c r="BB148" s="1855"/>
      <c r="BC148" s="1855"/>
      <c r="BD148" s="1855"/>
      <c r="BE148" s="1855"/>
      <c r="BF148" s="1855"/>
      <c r="BG148" s="1855"/>
      <c r="BH148" s="1855"/>
      <c r="BI148" s="1855"/>
      <c r="BJ148" s="1855"/>
      <c r="BK148" s="1855"/>
      <c r="BL148" s="1855"/>
      <c r="BM148" s="1855"/>
      <c r="BN148" s="1855"/>
      <c r="BO148" s="1855"/>
      <c r="BP148" s="1855"/>
      <c r="BQ148" s="1855"/>
      <c r="BR148" s="1855"/>
      <c r="BS148" s="1855"/>
      <c r="BT148" s="1855"/>
      <c r="BU148" s="1855"/>
      <c r="BV148" s="1855"/>
      <c r="BW148" s="1855"/>
      <c r="BX148" s="1855"/>
      <c r="BY148" s="1855"/>
      <c r="BZ148" s="1855"/>
      <c r="CA148" s="1855"/>
      <c r="CB148" s="1855"/>
      <c r="CC148" s="1855"/>
      <c r="CD148" s="1859"/>
    </row>
    <row r="149" spans="1:82" ht="14.25">
      <c r="A149" s="1628" t="s">
        <v>1605</v>
      </c>
      <c r="B149" s="906" t="s">
        <v>3075</v>
      </c>
      <c r="C149" s="1472" t="s">
        <v>2072</v>
      </c>
      <c r="D149" s="968" t="s">
        <v>3076</v>
      </c>
      <c r="E149" s="1493" t="s">
        <v>1605</v>
      </c>
      <c r="F149" s="1629" t="s">
        <v>3075</v>
      </c>
      <c r="G149" s="405" t="b">
        <v>0</v>
      </c>
      <c r="H149" s="1638"/>
      <c r="I149" s="1639">
        <v>0</v>
      </c>
      <c r="J149" s="1639">
        <v>0</v>
      </c>
      <c r="K149" s="1639">
        <v>0</v>
      </c>
      <c r="L149" s="1640">
        <v>0</v>
      </c>
      <c r="M149" s="2157">
        <v>0</v>
      </c>
      <c r="N149" s="1639"/>
      <c r="O149" s="1639">
        <v>0</v>
      </c>
      <c r="P149" s="1639">
        <v>0</v>
      </c>
      <c r="Q149" s="1639">
        <v>0</v>
      </c>
      <c r="R149" s="1640">
        <v>0</v>
      </c>
      <c r="S149" s="2157">
        <v>0</v>
      </c>
      <c r="T149" s="1639"/>
      <c r="U149" s="1639">
        <v>0</v>
      </c>
      <c r="V149" s="1639">
        <v>0</v>
      </c>
      <c r="W149" s="1639">
        <v>0</v>
      </c>
      <c r="X149" s="1640">
        <v>0</v>
      </c>
      <c r="Y149" s="1641">
        <v>0</v>
      </c>
      <c r="Z149" s="1854">
        <f>IF($G149,MATCH('Fan Name List'!Y149,'Fan Name List'!$AC$16:$BM$16,1),0)</f>
        <v>0</v>
      </c>
      <c r="AA149" s="1859">
        <f>IF($G149,IF(S149&gt;567,37,MATCH('Fan Name List'!S149,'Fan Name List'!$AC$16:$BM$16,1)+1),0)</f>
        <v>0</v>
      </c>
      <c r="AB149" s="1854"/>
      <c r="AC149" s="1855"/>
      <c r="AD149" s="1855"/>
      <c r="AE149" s="1855"/>
      <c r="AF149" s="1855"/>
      <c r="AG149" s="1855"/>
      <c r="AH149" s="1855"/>
      <c r="AI149" s="1855"/>
      <c r="AJ149" s="1855"/>
      <c r="AK149" s="1855"/>
      <c r="AL149" s="1855"/>
      <c r="AM149" s="1855"/>
      <c r="AN149" s="1855"/>
      <c r="AO149" s="1855"/>
      <c r="AP149" s="1855"/>
      <c r="AQ149" s="1855"/>
      <c r="AR149" s="1855"/>
      <c r="AS149" s="1855"/>
      <c r="AT149" s="1855"/>
      <c r="AU149" s="1855"/>
      <c r="AV149" s="1855"/>
      <c r="AW149" s="1855"/>
      <c r="AX149" s="1855"/>
      <c r="AY149" s="1855"/>
      <c r="AZ149" s="1855"/>
      <c r="BA149" s="1855"/>
      <c r="BB149" s="1855"/>
      <c r="BC149" s="1855"/>
      <c r="BD149" s="1855"/>
      <c r="BE149" s="1855"/>
      <c r="BF149" s="1855"/>
      <c r="BG149" s="1855"/>
      <c r="BH149" s="1855"/>
      <c r="BI149" s="1855"/>
      <c r="BJ149" s="1855"/>
      <c r="BK149" s="1855"/>
      <c r="BL149" s="1855"/>
      <c r="BM149" s="1855"/>
      <c r="BN149" s="1855"/>
      <c r="BO149" s="1855"/>
      <c r="BP149" s="1855"/>
      <c r="BQ149" s="1855"/>
      <c r="BR149" s="1855"/>
      <c r="BS149" s="1855"/>
      <c r="BT149" s="1855"/>
      <c r="BU149" s="1855"/>
      <c r="BV149" s="1855"/>
      <c r="BW149" s="1855"/>
      <c r="BX149" s="1855"/>
      <c r="BY149" s="1855"/>
      <c r="BZ149" s="1855"/>
      <c r="CA149" s="1855"/>
      <c r="CB149" s="1855"/>
      <c r="CC149" s="1855"/>
      <c r="CD149" s="1859"/>
    </row>
    <row r="150" spans="1:82" ht="14.25">
      <c r="A150" s="1628" t="s">
        <v>1606</v>
      </c>
      <c r="B150" s="906" t="s">
        <v>3079</v>
      </c>
      <c r="C150" s="1472" t="s">
        <v>2073</v>
      </c>
      <c r="D150" s="968" t="s">
        <v>2368</v>
      </c>
      <c r="E150" s="1493" t="s">
        <v>1606</v>
      </c>
      <c r="F150" s="1629" t="s">
        <v>3079</v>
      </c>
      <c r="G150" s="405" t="b">
        <v>0</v>
      </c>
      <c r="H150" s="1638"/>
      <c r="I150" s="1639">
        <v>0</v>
      </c>
      <c r="J150" s="1639">
        <v>0</v>
      </c>
      <c r="K150" s="1639">
        <v>0</v>
      </c>
      <c r="L150" s="1640">
        <v>0</v>
      </c>
      <c r="M150" s="2157">
        <v>0</v>
      </c>
      <c r="N150" s="1639"/>
      <c r="O150" s="1639">
        <v>0</v>
      </c>
      <c r="P150" s="1639">
        <v>0</v>
      </c>
      <c r="Q150" s="1639">
        <v>0</v>
      </c>
      <c r="R150" s="1640">
        <v>0</v>
      </c>
      <c r="S150" s="2157">
        <v>0</v>
      </c>
      <c r="T150" s="1639"/>
      <c r="U150" s="1639">
        <v>0</v>
      </c>
      <c r="V150" s="1639">
        <v>0</v>
      </c>
      <c r="W150" s="1639">
        <v>0</v>
      </c>
      <c r="X150" s="1640">
        <v>0</v>
      </c>
      <c r="Y150" s="1641">
        <v>0</v>
      </c>
      <c r="Z150" s="1854">
        <f>IF($G150,MATCH('Fan Name List'!Y150,'Fan Name List'!$AC$16:$BM$16,1),0)</f>
        <v>0</v>
      </c>
      <c r="AA150" s="1859">
        <f>IF($G150,IF(S150&gt;567,37,MATCH('Fan Name List'!S150,'Fan Name List'!$AC$16:$BM$16,1)+1),0)</f>
        <v>0</v>
      </c>
      <c r="AB150" s="1854"/>
      <c r="AC150" s="1855"/>
      <c r="AD150" s="1855"/>
      <c r="AE150" s="1855"/>
      <c r="AF150" s="1855"/>
      <c r="AG150" s="1855"/>
      <c r="AH150" s="1855"/>
      <c r="AI150" s="1855"/>
      <c r="AJ150" s="1855"/>
      <c r="AK150" s="1855"/>
      <c r="AL150" s="1855"/>
      <c r="AM150" s="1855"/>
      <c r="AN150" s="1855"/>
      <c r="AO150" s="1855"/>
      <c r="AP150" s="1855"/>
      <c r="AQ150" s="1855"/>
      <c r="AR150" s="1855"/>
      <c r="AS150" s="1855"/>
      <c r="AT150" s="1855"/>
      <c r="AU150" s="1855"/>
      <c r="AV150" s="1855"/>
      <c r="AW150" s="1855"/>
      <c r="AX150" s="1855"/>
      <c r="AY150" s="1855"/>
      <c r="AZ150" s="1855"/>
      <c r="BA150" s="1855"/>
      <c r="BB150" s="1855"/>
      <c r="BC150" s="1855"/>
      <c r="BD150" s="1855"/>
      <c r="BE150" s="1855"/>
      <c r="BF150" s="1855"/>
      <c r="BG150" s="1855"/>
      <c r="BH150" s="1855"/>
      <c r="BI150" s="1855"/>
      <c r="BJ150" s="1855"/>
      <c r="BK150" s="1855"/>
      <c r="BL150" s="1855"/>
      <c r="BM150" s="1855"/>
      <c r="BN150" s="1855"/>
      <c r="BO150" s="1855"/>
      <c r="BP150" s="1855"/>
      <c r="BQ150" s="1855"/>
      <c r="BR150" s="1855"/>
      <c r="BS150" s="1855"/>
      <c r="BT150" s="1855"/>
      <c r="BU150" s="1855"/>
      <c r="BV150" s="1855"/>
      <c r="BW150" s="1855"/>
      <c r="BX150" s="1855"/>
      <c r="BY150" s="1855"/>
      <c r="BZ150" s="1855"/>
      <c r="CA150" s="1855"/>
      <c r="CB150" s="1855"/>
      <c r="CC150" s="1855"/>
      <c r="CD150" s="1859"/>
    </row>
    <row r="151" spans="1:82" ht="14.25">
      <c r="A151" s="1628" t="s">
        <v>1607</v>
      </c>
      <c r="B151" s="906" t="s">
        <v>3089</v>
      </c>
      <c r="C151" s="1472" t="s">
        <v>2074</v>
      </c>
      <c r="D151" s="968" t="s">
        <v>2370</v>
      </c>
      <c r="E151" s="1493" t="s">
        <v>1607</v>
      </c>
      <c r="F151" s="1629" t="s">
        <v>3089</v>
      </c>
      <c r="G151" s="405" t="b">
        <v>0</v>
      </c>
      <c r="H151" s="1638"/>
      <c r="I151" s="1639">
        <v>0</v>
      </c>
      <c r="J151" s="1639">
        <v>0</v>
      </c>
      <c r="K151" s="1639">
        <v>0</v>
      </c>
      <c r="L151" s="1640">
        <v>0</v>
      </c>
      <c r="M151" s="2157">
        <v>0</v>
      </c>
      <c r="N151" s="1639"/>
      <c r="O151" s="1639">
        <v>0</v>
      </c>
      <c r="P151" s="1639">
        <v>0</v>
      </c>
      <c r="Q151" s="1639">
        <v>0</v>
      </c>
      <c r="R151" s="1640">
        <v>0</v>
      </c>
      <c r="S151" s="2157">
        <v>0</v>
      </c>
      <c r="T151" s="1639"/>
      <c r="U151" s="1639">
        <v>0</v>
      </c>
      <c r="V151" s="1639">
        <v>0</v>
      </c>
      <c r="W151" s="1639">
        <v>0</v>
      </c>
      <c r="X151" s="1640">
        <v>0</v>
      </c>
      <c r="Y151" s="1641">
        <v>0</v>
      </c>
      <c r="Z151" s="1854">
        <f>IF($G151,MATCH('Fan Name List'!Y151,'Fan Name List'!$AC$16:$BM$16,1),0)</f>
        <v>0</v>
      </c>
      <c r="AA151" s="1859">
        <f>IF($G151,IF(S151&gt;567,37,MATCH('Fan Name List'!S151,'Fan Name List'!$AC$16:$BM$16,1)+1),0)</f>
        <v>0</v>
      </c>
      <c r="AB151" s="1854"/>
      <c r="AC151" s="1855"/>
      <c r="AD151" s="1855"/>
      <c r="AE151" s="1855"/>
      <c r="AF151" s="1855"/>
      <c r="AG151" s="1855"/>
      <c r="AH151" s="1855"/>
      <c r="AI151" s="1855"/>
      <c r="AJ151" s="1855"/>
      <c r="AK151" s="1855"/>
      <c r="AL151" s="1855"/>
      <c r="AM151" s="1855"/>
      <c r="AN151" s="1855"/>
      <c r="AO151" s="1855"/>
      <c r="AP151" s="1855"/>
      <c r="AQ151" s="1855"/>
      <c r="AR151" s="1855"/>
      <c r="AS151" s="1855"/>
      <c r="AT151" s="1855"/>
      <c r="AU151" s="1855"/>
      <c r="AV151" s="1855"/>
      <c r="AW151" s="1855"/>
      <c r="AX151" s="1855"/>
      <c r="AY151" s="1855"/>
      <c r="AZ151" s="1855"/>
      <c r="BA151" s="1855"/>
      <c r="BB151" s="1855"/>
      <c r="BC151" s="1855"/>
      <c r="BD151" s="1855"/>
      <c r="BE151" s="1855"/>
      <c r="BF151" s="1855"/>
      <c r="BG151" s="1855"/>
      <c r="BH151" s="1855"/>
      <c r="BI151" s="1855"/>
      <c r="BJ151" s="1855"/>
      <c r="BK151" s="1855"/>
      <c r="BL151" s="1855"/>
      <c r="BM151" s="1855"/>
      <c r="BN151" s="1855"/>
      <c r="BO151" s="1855"/>
      <c r="BP151" s="1855"/>
      <c r="BQ151" s="1855"/>
      <c r="BR151" s="1855"/>
      <c r="BS151" s="1855"/>
      <c r="BT151" s="1855"/>
      <c r="BU151" s="1855"/>
      <c r="BV151" s="1855"/>
      <c r="BW151" s="1855"/>
      <c r="BX151" s="1855"/>
      <c r="BY151" s="1855"/>
      <c r="BZ151" s="1855"/>
      <c r="CA151" s="1855"/>
      <c r="CB151" s="1855"/>
      <c r="CC151" s="1855"/>
      <c r="CD151" s="1859"/>
    </row>
    <row r="152" spans="1:82" ht="14.25">
      <c r="A152" s="1628" t="s">
        <v>1608</v>
      </c>
      <c r="B152" s="906" t="s">
        <v>3100</v>
      </c>
      <c r="C152" s="1472" t="s">
        <v>2075</v>
      </c>
      <c r="D152" s="968" t="s">
        <v>3101</v>
      </c>
      <c r="E152" s="1493" t="s">
        <v>1608</v>
      </c>
      <c r="F152" s="1629" t="s">
        <v>3100</v>
      </c>
      <c r="G152" s="405" t="b">
        <v>0</v>
      </c>
      <c r="H152" s="1638"/>
      <c r="I152" s="1639">
        <v>0</v>
      </c>
      <c r="J152" s="1639">
        <v>0</v>
      </c>
      <c r="K152" s="1639">
        <v>0</v>
      </c>
      <c r="L152" s="1640">
        <v>0</v>
      </c>
      <c r="M152" s="2157">
        <v>0</v>
      </c>
      <c r="N152" s="1639"/>
      <c r="O152" s="1639">
        <v>0</v>
      </c>
      <c r="P152" s="1639">
        <v>0</v>
      </c>
      <c r="Q152" s="1639">
        <v>0</v>
      </c>
      <c r="R152" s="1640">
        <v>0</v>
      </c>
      <c r="S152" s="2157">
        <v>0</v>
      </c>
      <c r="T152" s="1639"/>
      <c r="U152" s="1639">
        <v>0</v>
      </c>
      <c r="V152" s="1639">
        <v>0</v>
      </c>
      <c r="W152" s="1639">
        <v>0</v>
      </c>
      <c r="X152" s="1640">
        <v>0</v>
      </c>
      <c r="Y152" s="1641">
        <v>0</v>
      </c>
      <c r="Z152" s="1854">
        <f>IF($G152,MATCH('Fan Name List'!Y152,'Fan Name List'!$AC$16:$BM$16,1),0)</f>
        <v>0</v>
      </c>
      <c r="AA152" s="1859">
        <f>IF($G152,IF(S152&gt;567,37,MATCH('Fan Name List'!S152,'Fan Name List'!$AC$16:$BM$16,1)+1),0)</f>
        <v>0</v>
      </c>
      <c r="AB152" s="1854"/>
      <c r="AC152" s="1855"/>
      <c r="AD152" s="1855"/>
      <c r="AE152" s="1855"/>
      <c r="AF152" s="1855"/>
      <c r="AG152" s="1855"/>
      <c r="AH152" s="1855"/>
      <c r="AI152" s="1855"/>
      <c r="AJ152" s="1855"/>
      <c r="AK152" s="1855"/>
      <c r="AL152" s="1855"/>
      <c r="AM152" s="1855"/>
      <c r="AN152" s="1855"/>
      <c r="AO152" s="1855"/>
      <c r="AP152" s="1855"/>
      <c r="AQ152" s="1855"/>
      <c r="AR152" s="1855"/>
      <c r="AS152" s="1855"/>
      <c r="AT152" s="1855"/>
      <c r="AU152" s="1855"/>
      <c r="AV152" s="1855"/>
      <c r="AW152" s="1855"/>
      <c r="AX152" s="1855"/>
      <c r="AY152" s="1855"/>
      <c r="AZ152" s="1855"/>
      <c r="BA152" s="1855"/>
      <c r="BB152" s="1855"/>
      <c r="BC152" s="1855"/>
      <c r="BD152" s="1855"/>
      <c r="BE152" s="1855"/>
      <c r="BF152" s="1855"/>
      <c r="BG152" s="1855"/>
      <c r="BH152" s="1855"/>
      <c r="BI152" s="1855"/>
      <c r="BJ152" s="1855"/>
      <c r="BK152" s="1855"/>
      <c r="BL152" s="1855"/>
      <c r="BM152" s="1855"/>
      <c r="BN152" s="1855"/>
      <c r="BO152" s="1855"/>
      <c r="BP152" s="1855"/>
      <c r="BQ152" s="1855"/>
      <c r="BR152" s="1855"/>
      <c r="BS152" s="1855"/>
      <c r="BT152" s="1855"/>
      <c r="BU152" s="1855"/>
      <c r="BV152" s="1855"/>
      <c r="BW152" s="1855"/>
      <c r="BX152" s="1855"/>
      <c r="BY152" s="1855"/>
      <c r="BZ152" s="1855"/>
      <c r="CA152" s="1855"/>
      <c r="CB152" s="1855"/>
      <c r="CC152" s="1855"/>
      <c r="CD152" s="1859"/>
    </row>
    <row r="153" spans="1:82" ht="14.25">
      <c r="A153" s="1628" t="s">
        <v>1609</v>
      </c>
      <c r="B153" s="906" t="s">
        <v>3102</v>
      </c>
      <c r="C153" s="1472" t="s">
        <v>2076</v>
      </c>
      <c r="D153" s="968" t="s">
        <v>3103</v>
      </c>
      <c r="E153" s="1493" t="s">
        <v>1609</v>
      </c>
      <c r="F153" s="1629" t="s">
        <v>3102</v>
      </c>
      <c r="G153" s="405" t="b">
        <v>0</v>
      </c>
      <c r="H153" s="1638"/>
      <c r="I153" s="1639">
        <v>0</v>
      </c>
      <c r="J153" s="1639">
        <v>0</v>
      </c>
      <c r="K153" s="1639">
        <v>0</v>
      </c>
      <c r="L153" s="1640">
        <v>0</v>
      </c>
      <c r="M153" s="2157">
        <v>0</v>
      </c>
      <c r="N153" s="1639"/>
      <c r="O153" s="1639">
        <v>0</v>
      </c>
      <c r="P153" s="1639">
        <v>0</v>
      </c>
      <c r="Q153" s="1639">
        <v>0</v>
      </c>
      <c r="R153" s="1640">
        <v>0</v>
      </c>
      <c r="S153" s="2157">
        <v>0</v>
      </c>
      <c r="T153" s="1639"/>
      <c r="U153" s="1639">
        <v>0</v>
      </c>
      <c r="V153" s="1639">
        <v>0</v>
      </c>
      <c r="W153" s="1639">
        <v>0</v>
      </c>
      <c r="X153" s="1640">
        <v>0</v>
      </c>
      <c r="Y153" s="1641">
        <v>0</v>
      </c>
      <c r="Z153" s="1854">
        <f>IF($G153,MATCH('Fan Name List'!Y153,'Fan Name List'!$AC$16:$BM$16,1),0)</f>
        <v>0</v>
      </c>
      <c r="AA153" s="1859">
        <f>IF($G153,IF(S153&gt;567,37,MATCH('Fan Name List'!S153,'Fan Name List'!$AC$16:$BM$16,1)+1),0)</f>
        <v>0</v>
      </c>
      <c r="AB153" s="1854"/>
      <c r="AC153" s="1855"/>
      <c r="AD153" s="1855"/>
      <c r="AE153" s="1855"/>
      <c r="AF153" s="1855"/>
      <c r="AG153" s="1855"/>
      <c r="AH153" s="1855"/>
      <c r="AI153" s="1855"/>
      <c r="AJ153" s="1855"/>
      <c r="AK153" s="1855"/>
      <c r="AL153" s="1855"/>
      <c r="AM153" s="1855"/>
      <c r="AN153" s="1855"/>
      <c r="AO153" s="1855"/>
      <c r="AP153" s="1855"/>
      <c r="AQ153" s="1855"/>
      <c r="AR153" s="1855"/>
      <c r="AS153" s="1855"/>
      <c r="AT153" s="1855"/>
      <c r="AU153" s="1855"/>
      <c r="AV153" s="1855"/>
      <c r="AW153" s="1855"/>
      <c r="AX153" s="1855"/>
      <c r="AY153" s="1855"/>
      <c r="AZ153" s="1855"/>
      <c r="BA153" s="1855"/>
      <c r="BB153" s="1855"/>
      <c r="BC153" s="1855"/>
      <c r="BD153" s="1855"/>
      <c r="BE153" s="1855"/>
      <c r="BF153" s="1855"/>
      <c r="BG153" s="1855"/>
      <c r="BH153" s="1855"/>
      <c r="BI153" s="1855"/>
      <c r="BJ153" s="1855"/>
      <c r="BK153" s="1855"/>
      <c r="BL153" s="1855"/>
      <c r="BM153" s="1855"/>
      <c r="BN153" s="1855"/>
      <c r="BO153" s="1855"/>
      <c r="BP153" s="1855"/>
      <c r="BQ153" s="1855"/>
      <c r="BR153" s="1855"/>
      <c r="BS153" s="1855"/>
      <c r="BT153" s="1855"/>
      <c r="BU153" s="1855"/>
      <c r="BV153" s="1855"/>
      <c r="BW153" s="1855"/>
      <c r="BX153" s="1855"/>
      <c r="BY153" s="1855"/>
      <c r="BZ153" s="1855"/>
      <c r="CA153" s="1855"/>
      <c r="CB153" s="1855"/>
      <c r="CC153" s="1855"/>
      <c r="CD153" s="1859"/>
    </row>
    <row r="154" spans="1:82" ht="14.25">
      <c r="A154" s="1628" t="s">
        <v>1610</v>
      </c>
      <c r="B154" s="906" t="s">
        <v>3125</v>
      </c>
      <c r="C154" s="1472" t="s">
        <v>2077</v>
      </c>
      <c r="D154" s="968" t="s">
        <v>3105</v>
      </c>
      <c r="E154" s="1493" t="s">
        <v>1610</v>
      </c>
      <c r="F154" s="1629" t="s">
        <v>3125</v>
      </c>
      <c r="G154" s="405" t="b">
        <v>0</v>
      </c>
      <c r="H154" s="1638"/>
      <c r="I154" s="1639">
        <v>0</v>
      </c>
      <c r="J154" s="1639">
        <v>0</v>
      </c>
      <c r="K154" s="1639">
        <v>0</v>
      </c>
      <c r="L154" s="1640">
        <v>0</v>
      </c>
      <c r="M154" s="2157">
        <v>0</v>
      </c>
      <c r="N154" s="1639"/>
      <c r="O154" s="1639">
        <v>0</v>
      </c>
      <c r="P154" s="1639">
        <v>0</v>
      </c>
      <c r="Q154" s="1639">
        <v>0</v>
      </c>
      <c r="R154" s="1640">
        <v>0</v>
      </c>
      <c r="S154" s="2157">
        <v>0</v>
      </c>
      <c r="T154" s="1639"/>
      <c r="U154" s="1639">
        <v>0</v>
      </c>
      <c r="V154" s="1639">
        <v>0</v>
      </c>
      <c r="W154" s="1639">
        <v>0</v>
      </c>
      <c r="X154" s="1640">
        <v>0</v>
      </c>
      <c r="Y154" s="1641">
        <v>0</v>
      </c>
      <c r="Z154" s="1854">
        <f>IF($G154,MATCH('Fan Name List'!Y154,'Fan Name List'!$AC$16:$BM$16,1),0)</f>
        <v>0</v>
      </c>
      <c r="AA154" s="1859">
        <f>IF($G154,IF(S154&gt;567,37,MATCH('Fan Name List'!S154,'Fan Name List'!$AC$16:$BM$16,1)+1),0)</f>
        <v>0</v>
      </c>
      <c r="AB154" s="1854"/>
      <c r="AC154" s="1855"/>
      <c r="AD154" s="1855"/>
      <c r="AE154" s="1855"/>
      <c r="AF154" s="1855"/>
      <c r="AG154" s="1855"/>
      <c r="AH154" s="1855"/>
      <c r="AI154" s="1855"/>
      <c r="AJ154" s="1855"/>
      <c r="AK154" s="1855"/>
      <c r="AL154" s="1855"/>
      <c r="AM154" s="1855"/>
      <c r="AN154" s="1855"/>
      <c r="AO154" s="1855"/>
      <c r="AP154" s="1855"/>
      <c r="AQ154" s="1855"/>
      <c r="AR154" s="1855"/>
      <c r="AS154" s="1855"/>
      <c r="AT154" s="1855"/>
      <c r="AU154" s="1855"/>
      <c r="AV154" s="1855"/>
      <c r="AW154" s="1855"/>
      <c r="AX154" s="1855"/>
      <c r="AY154" s="1855"/>
      <c r="AZ154" s="1855"/>
      <c r="BA154" s="1855"/>
      <c r="BB154" s="1855"/>
      <c r="BC154" s="1855"/>
      <c r="BD154" s="1855"/>
      <c r="BE154" s="1855"/>
      <c r="BF154" s="1855"/>
      <c r="BG154" s="1855"/>
      <c r="BH154" s="1855"/>
      <c r="BI154" s="1855"/>
      <c r="BJ154" s="1855"/>
      <c r="BK154" s="1855"/>
      <c r="BL154" s="1855"/>
      <c r="BM154" s="1855"/>
      <c r="BN154" s="1855"/>
      <c r="BO154" s="1855"/>
      <c r="BP154" s="1855"/>
      <c r="BQ154" s="1855"/>
      <c r="BR154" s="1855"/>
      <c r="BS154" s="1855"/>
      <c r="BT154" s="1855"/>
      <c r="BU154" s="1855"/>
      <c r="BV154" s="1855"/>
      <c r="BW154" s="1855"/>
      <c r="BX154" s="1855"/>
      <c r="BY154" s="1855"/>
      <c r="BZ154" s="1855"/>
      <c r="CA154" s="1855"/>
      <c r="CB154" s="1855"/>
      <c r="CC154" s="1855"/>
      <c r="CD154" s="1859"/>
    </row>
    <row r="155" spans="1:82" ht="14.25">
      <c r="A155" s="1628" t="s">
        <v>1611</v>
      </c>
      <c r="B155" s="906" t="s">
        <v>3113</v>
      </c>
      <c r="C155" s="1472" t="s">
        <v>2078</v>
      </c>
      <c r="D155" s="968" t="s">
        <v>2908</v>
      </c>
      <c r="E155" s="1493" t="s">
        <v>1611</v>
      </c>
      <c r="F155" s="1629" t="s">
        <v>3113</v>
      </c>
      <c r="G155" s="405" t="b">
        <v>0</v>
      </c>
      <c r="H155" s="1638"/>
      <c r="I155" s="1639">
        <v>0</v>
      </c>
      <c r="J155" s="1639">
        <v>0</v>
      </c>
      <c r="K155" s="1639">
        <v>0</v>
      </c>
      <c r="L155" s="1640">
        <v>0</v>
      </c>
      <c r="M155" s="2157">
        <v>0</v>
      </c>
      <c r="N155" s="1639"/>
      <c r="O155" s="1639">
        <v>0</v>
      </c>
      <c r="P155" s="1639">
        <v>0</v>
      </c>
      <c r="Q155" s="1639">
        <v>0</v>
      </c>
      <c r="R155" s="1640">
        <v>0</v>
      </c>
      <c r="S155" s="2157">
        <v>0</v>
      </c>
      <c r="T155" s="1639"/>
      <c r="U155" s="1639">
        <v>0</v>
      </c>
      <c r="V155" s="1639">
        <v>0</v>
      </c>
      <c r="W155" s="1639">
        <v>0</v>
      </c>
      <c r="X155" s="1640">
        <v>0</v>
      </c>
      <c r="Y155" s="1641">
        <v>0</v>
      </c>
      <c r="Z155" s="1854">
        <f>IF($G155,MATCH('Fan Name List'!Y155,'Fan Name List'!$AC$16:$BM$16,1),0)</f>
        <v>0</v>
      </c>
      <c r="AA155" s="1859">
        <f>IF($G155,IF(S155&gt;567,37,MATCH('Fan Name List'!S155,'Fan Name List'!$AC$16:$BM$16,1)+1),0)</f>
        <v>0</v>
      </c>
      <c r="AB155" s="1854"/>
      <c r="AC155" s="1855"/>
      <c r="AD155" s="1855"/>
      <c r="AE155" s="1855"/>
      <c r="AF155" s="1855"/>
      <c r="AG155" s="1855"/>
      <c r="AH155" s="1855"/>
      <c r="AI155" s="1855"/>
      <c r="AJ155" s="1855"/>
      <c r="AK155" s="1855"/>
      <c r="AL155" s="1855"/>
      <c r="AM155" s="1855"/>
      <c r="AN155" s="1855"/>
      <c r="AO155" s="1855"/>
      <c r="AP155" s="1855"/>
      <c r="AQ155" s="1855"/>
      <c r="AR155" s="1855"/>
      <c r="AS155" s="1855"/>
      <c r="AT155" s="1855"/>
      <c r="AU155" s="1855"/>
      <c r="AV155" s="1855"/>
      <c r="AW155" s="1855"/>
      <c r="AX155" s="1855"/>
      <c r="AY155" s="1855"/>
      <c r="AZ155" s="1855"/>
      <c r="BA155" s="1855"/>
      <c r="BB155" s="1855"/>
      <c r="BC155" s="1855"/>
      <c r="BD155" s="1855"/>
      <c r="BE155" s="1855"/>
      <c r="BF155" s="1855"/>
      <c r="BG155" s="1855"/>
      <c r="BH155" s="1855"/>
      <c r="BI155" s="1855"/>
      <c r="BJ155" s="1855"/>
      <c r="BK155" s="1855"/>
      <c r="BL155" s="1855"/>
      <c r="BM155" s="1855"/>
      <c r="BN155" s="1855"/>
      <c r="BO155" s="1855"/>
      <c r="BP155" s="1855"/>
      <c r="BQ155" s="1855"/>
      <c r="BR155" s="1855"/>
      <c r="BS155" s="1855"/>
      <c r="BT155" s="1855"/>
      <c r="BU155" s="1855"/>
      <c r="BV155" s="1855"/>
      <c r="BW155" s="1855"/>
      <c r="BX155" s="1855"/>
      <c r="BY155" s="1855"/>
      <c r="BZ155" s="1855"/>
      <c r="CA155" s="1855"/>
      <c r="CB155" s="1855"/>
      <c r="CC155" s="1855"/>
      <c r="CD155" s="1859"/>
    </row>
    <row r="156" spans="1:82" ht="14.25">
      <c r="A156" s="1628" t="s">
        <v>1612</v>
      </c>
      <c r="B156" s="906" t="s">
        <v>3114</v>
      </c>
      <c r="C156" s="1472" t="s">
        <v>2079</v>
      </c>
      <c r="D156" s="968" t="s">
        <v>2287</v>
      </c>
      <c r="E156" s="1493" t="s">
        <v>1612</v>
      </c>
      <c r="F156" s="1629" t="s">
        <v>3114</v>
      </c>
      <c r="G156" s="405" t="b">
        <v>0</v>
      </c>
      <c r="H156" s="1638"/>
      <c r="I156" s="1639">
        <v>0</v>
      </c>
      <c r="J156" s="1639">
        <v>0</v>
      </c>
      <c r="K156" s="1639">
        <v>0</v>
      </c>
      <c r="L156" s="1640">
        <v>0</v>
      </c>
      <c r="M156" s="2157">
        <v>0</v>
      </c>
      <c r="N156" s="1639"/>
      <c r="O156" s="1639">
        <v>0</v>
      </c>
      <c r="P156" s="1639">
        <v>0</v>
      </c>
      <c r="Q156" s="1639">
        <v>0</v>
      </c>
      <c r="R156" s="1640">
        <v>0</v>
      </c>
      <c r="S156" s="2157">
        <v>0</v>
      </c>
      <c r="T156" s="1639"/>
      <c r="U156" s="1639">
        <v>0</v>
      </c>
      <c r="V156" s="1639">
        <v>0</v>
      </c>
      <c r="W156" s="1639">
        <v>0</v>
      </c>
      <c r="X156" s="1640">
        <v>0</v>
      </c>
      <c r="Y156" s="1641">
        <v>0</v>
      </c>
      <c r="Z156" s="1854">
        <f>IF($G156,MATCH('Fan Name List'!Y156,'Fan Name List'!$AC$16:$BM$16,1),0)</f>
        <v>0</v>
      </c>
      <c r="AA156" s="1859">
        <f>IF($G156,IF(S156&gt;567,37,MATCH('Fan Name List'!S156,'Fan Name List'!$AC$16:$BM$16,1)+1),0)</f>
        <v>0</v>
      </c>
      <c r="AB156" s="1854"/>
      <c r="AC156" s="1855"/>
      <c r="AD156" s="1855"/>
      <c r="AE156" s="1855"/>
      <c r="AF156" s="1855"/>
      <c r="AG156" s="1855"/>
      <c r="AH156" s="1855"/>
      <c r="AI156" s="1855"/>
      <c r="AJ156" s="1855"/>
      <c r="AK156" s="1855"/>
      <c r="AL156" s="1855"/>
      <c r="AM156" s="1855"/>
      <c r="AN156" s="1855"/>
      <c r="AO156" s="1855"/>
      <c r="AP156" s="1855"/>
      <c r="AQ156" s="1855"/>
      <c r="AR156" s="1855"/>
      <c r="AS156" s="1855"/>
      <c r="AT156" s="1855"/>
      <c r="AU156" s="1855"/>
      <c r="AV156" s="1855"/>
      <c r="AW156" s="1855"/>
      <c r="AX156" s="1855"/>
      <c r="AY156" s="1855"/>
      <c r="AZ156" s="1855"/>
      <c r="BA156" s="1855"/>
      <c r="BB156" s="1855"/>
      <c r="BC156" s="1855"/>
      <c r="BD156" s="1855"/>
      <c r="BE156" s="1855"/>
      <c r="BF156" s="1855"/>
      <c r="BG156" s="1855"/>
      <c r="BH156" s="1855"/>
      <c r="BI156" s="1855"/>
      <c r="BJ156" s="1855"/>
      <c r="BK156" s="1855"/>
      <c r="BL156" s="1855"/>
      <c r="BM156" s="1855"/>
      <c r="BN156" s="1855"/>
      <c r="BO156" s="1855"/>
      <c r="BP156" s="1855"/>
      <c r="BQ156" s="1855"/>
      <c r="BR156" s="1855"/>
      <c r="BS156" s="1855"/>
      <c r="BT156" s="1855"/>
      <c r="BU156" s="1855"/>
      <c r="BV156" s="1855"/>
      <c r="BW156" s="1855"/>
      <c r="BX156" s="1855"/>
      <c r="BY156" s="1855"/>
      <c r="BZ156" s="1855"/>
      <c r="CA156" s="1855"/>
      <c r="CB156" s="1855"/>
      <c r="CC156" s="1855"/>
      <c r="CD156" s="1859"/>
    </row>
    <row r="157" spans="1:82" ht="14.25">
      <c r="A157" s="1628" t="s">
        <v>1613</v>
      </c>
      <c r="B157" s="906" t="s">
        <v>3115</v>
      </c>
      <c r="C157" s="1472" t="s">
        <v>2080</v>
      </c>
      <c r="D157" s="972" t="s">
        <v>2290</v>
      </c>
      <c r="E157" s="1493" t="s">
        <v>1613</v>
      </c>
      <c r="F157" s="1629" t="s">
        <v>3115</v>
      </c>
      <c r="G157" s="405" t="b">
        <v>0</v>
      </c>
      <c r="H157" s="1638"/>
      <c r="I157" s="1639">
        <v>0</v>
      </c>
      <c r="J157" s="1639">
        <v>0</v>
      </c>
      <c r="K157" s="1639">
        <v>0</v>
      </c>
      <c r="L157" s="1640">
        <v>0</v>
      </c>
      <c r="M157" s="2157">
        <v>0</v>
      </c>
      <c r="N157" s="1639"/>
      <c r="O157" s="1639">
        <v>0</v>
      </c>
      <c r="P157" s="1639">
        <v>0</v>
      </c>
      <c r="Q157" s="1639">
        <v>0</v>
      </c>
      <c r="R157" s="1640">
        <v>0</v>
      </c>
      <c r="S157" s="2157">
        <v>0</v>
      </c>
      <c r="T157" s="1639"/>
      <c r="U157" s="1639">
        <v>0</v>
      </c>
      <c r="V157" s="1639">
        <v>0</v>
      </c>
      <c r="W157" s="1639">
        <v>0</v>
      </c>
      <c r="X157" s="1640">
        <v>0</v>
      </c>
      <c r="Y157" s="1641">
        <v>0</v>
      </c>
      <c r="Z157" s="1854">
        <f>IF($G157,MATCH('Fan Name List'!Y157,'Fan Name List'!$AC$16:$BM$16,1),0)</f>
        <v>0</v>
      </c>
      <c r="AA157" s="1859">
        <f>IF($G157,IF(S157&gt;567,37,MATCH('Fan Name List'!S157,'Fan Name List'!$AC$16:$BM$16,1)+1),0)</f>
        <v>0</v>
      </c>
      <c r="AB157" s="1854"/>
      <c r="AC157" s="1855"/>
      <c r="AD157" s="1855"/>
      <c r="AE157" s="1855"/>
      <c r="AF157" s="1855"/>
      <c r="AG157" s="1855"/>
      <c r="AH157" s="1855"/>
      <c r="AI157" s="1855"/>
      <c r="AJ157" s="1855"/>
      <c r="AK157" s="1855"/>
      <c r="AL157" s="1855"/>
      <c r="AM157" s="1855"/>
      <c r="AN157" s="1855"/>
      <c r="AO157" s="1855"/>
      <c r="AP157" s="1855"/>
      <c r="AQ157" s="1855"/>
      <c r="AR157" s="1855"/>
      <c r="AS157" s="1855"/>
      <c r="AT157" s="1855"/>
      <c r="AU157" s="1855"/>
      <c r="AV157" s="1855"/>
      <c r="AW157" s="1855"/>
      <c r="AX157" s="1855"/>
      <c r="AY157" s="1855"/>
      <c r="AZ157" s="1855"/>
      <c r="BA157" s="1855"/>
      <c r="BB157" s="1855"/>
      <c r="BC157" s="1855"/>
      <c r="BD157" s="1855"/>
      <c r="BE157" s="1855"/>
      <c r="BF157" s="1855"/>
      <c r="BG157" s="1855"/>
      <c r="BH157" s="1855"/>
      <c r="BI157" s="1855"/>
      <c r="BJ157" s="1855"/>
      <c r="BK157" s="1855"/>
      <c r="BL157" s="1855"/>
      <c r="BM157" s="1855"/>
      <c r="BN157" s="1855"/>
      <c r="BO157" s="1855"/>
      <c r="BP157" s="1855"/>
      <c r="BQ157" s="1855"/>
      <c r="BR157" s="1855"/>
      <c r="BS157" s="1855"/>
      <c r="BT157" s="1855"/>
      <c r="BU157" s="1855"/>
      <c r="BV157" s="1855"/>
      <c r="BW157" s="1855"/>
      <c r="BX157" s="1855"/>
      <c r="BY157" s="1855"/>
      <c r="BZ157" s="1855"/>
      <c r="CA157" s="1855"/>
      <c r="CB157" s="1855"/>
      <c r="CC157" s="1855"/>
      <c r="CD157" s="1859"/>
    </row>
    <row r="158" spans="1:82" ht="14.25">
      <c r="A158" s="1628" t="s">
        <v>1614</v>
      </c>
      <c r="B158" s="906" t="s">
        <v>3116</v>
      </c>
      <c r="C158" s="1472" t="s">
        <v>2081</v>
      </c>
      <c r="D158" s="972" t="s">
        <v>2371</v>
      </c>
      <c r="E158" s="1493" t="s">
        <v>1614</v>
      </c>
      <c r="F158" s="1629" t="s">
        <v>3116</v>
      </c>
      <c r="G158" s="405" t="b">
        <v>0</v>
      </c>
      <c r="H158" s="1638"/>
      <c r="I158" s="1639">
        <v>0</v>
      </c>
      <c r="J158" s="1639">
        <v>0</v>
      </c>
      <c r="K158" s="1639">
        <v>0</v>
      </c>
      <c r="L158" s="1640">
        <v>0</v>
      </c>
      <c r="M158" s="2157">
        <v>0</v>
      </c>
      <c r="N158" s="1639"/>
      <c r="O158" s="1639">
        <v>0</v>
      </c>
      <c r="P158" s="1639">
        <v>0</v>
      </c>
      <c r="Q158" s="1639">
        <v>0</v>
      </c>
      <c r="R158" s="1640">
        <v>0</v>
      </c>
      <c r="S158" s="2157">
        <v>0</v>
      </c>
      <c r="T158" s="1639"/>
      <c r="U158" s="1639">
        <v>0</v>
      </c>
      <c r="V158" s="1639">
        <v>0</v>
      </c>
      <c r="W158" s="1639">
        <v>0</v>
      </c>
      <c r="X158" s="1640">
        <v>0</v>
      </c>
      <c r="Y158" s="1641">
        <v>0</v>
      </c>
      <c r="Z158" s="1854">
        <f>IF($G158,MATCH('Fan Name List'!Y158,'Fan Name List'!$AC$16:$BM$16,1),0)</f>
        <v>0</v>
      </c>
      <c r="AA158" s="1859">
        <f>IF($G158,IF(S158&gt;567,37,MATCH('Fan Name List'!S158,'Fan Name List'!$AC$16:$BM$16,1)+1),0)</f>
        <v>0</v>
      </c>
      <c r="AB158" s="1854"/>
      <c r="AC158" s="1855"/>
      <c r="AD158" s="1855"/>
      <c r="AE158" s="1855"/>
      <c r="AF158" s="1855"/>
      <c r="AG158" s="1855"/>
      <c r="AH158" s="1855"/>
      <c r="AI158" s="1855"/>
      <c r="AJ158" s="1855"/>
      <c r="AK158" s="1855"/>
      <c r="AL158" s="1855"/>
      <c r="AM158" s="1855"/>
      <c r="AN158" s="1855"/>
      <c r="AO158" s="1855"/>
      <c r="AP158" s="1855"/>
      <c r="AQ158" s="1855"/>
      <c r="AR158" s="1855"/>
      <c r="AS158" s="1855"/>
      <c r="AT158" s="1855"/>
      <c r="AU158" s="1855"/>
      <c r="AV158" s="1855"/>
      <c r="AW158" s="1855"/>
      <c r="AX158" s="1855"/>
      <c r="AY158" s="1855"/>
      <c r="AZ158" s="1855"/>
      <c r="BA158" s="1855"/>
      <c r="BB158" s="1855"/>
      <c r="BC158" s="1855"/>
      <c r="BD158" s="1855"/>
      <c r="BE158" s="1855"/>
      <c r="BF158" s="1855"/>
      <c r="BG158" s="1855"/>
      <c r="BH158" s="1855"/>
      <c r="BI158" s="1855"/>
      <c r="BJ158" s="1855"/>
      <c r="BK158" s="1855"/>
      <c r="BL158" s="1855"/>
      <c r="BM158" s="1855"/>
      <c r="BN158" s="1855"/>
      <c r="BO158" s="1855"/>
      <c r="BP158" s="1855"/>
      <c r="BQ158" s="1855"/>
      <c r="BR158" s="1855"/>
      <c r="BS158" s="1855"/>
      <c r="BT158" s="1855"/>
      <c r="BU158" s="1855"/>
      <c r="BV158" s="1855"/>
      <c r="BW158" s="1855"/>
      <c r="BX158" s="1855"/>
      <c r="BY158" s="1855"/>
      <c r="BZ158" s="1855"/>
      <c r="CA158" s="1855"/>
      <c r="CB158" s="1855"/>
      <c r="CC158" s="1855"/>
      <c r="CD158" s="1859"/>
    </row>
    <row r="159" spans="1:82" ht="14.25">
      <c r="A159" s="1628" t="s">
        <v>1615</v>
      </c>
      <c r="B159" s="906" t="s">
        <v>3117</v>
      </c>
      <c r="C159" s="1472" t="s">
        <v>2082</v>
      </c>
      <c r="D159" s="968" t="s">
        <v>2372</v>
      </c>
      <c r="E159" s="1493" t="s">
        <v>1615</v>
      </c>
      <c r="F159" s="1629" t="s">
        <v>3117</v>
      </c>
      <c r="G159" s="405" t="b">
        <v>0</v>
      </c>
      <c r="H159" s="1638"/>
      <c r="I159" s="1639">
        <v>0</v>
      </c>
      <c r="J159" s="1639">
        <v>0</v>
      </c>
      <c r="K159" s="1639">
        <v>0</v>
      </c>
      <c r="L159" s="1640">
        <v>0</v>
      </c>
      <c r="M159" s="2157">
        <v>0</v>
      </c>
      <c r="N159" s="1639"/>
      <c r="O159" s="1639">
        <v>0</v>
      </c>
      <c r="P159" s="1639">
        <v>0</v>
      </c>
      <c r="Q159" s="1639">
        <v>0</v>
      </c>
      <c r="R159" s="1640">
        <v>0</v>
      </c>
      <c r="S159" s="2157">
        <v>0</v>
      </c>
      <c r="T159" s="1639"/>
      <c r="U159" s="1639">
        <v>0</v>
      </c>
      <c r="V159" s="1639">
        <v>0</v>
      </c>
      <c r="W159" s="1639">
        <v>0</v>
      </c>
      <c r="X159" s="1640">
        <v>0</v>
      </c>
      <c r="Y159" s="1641">
        <v>0</v>
      </c>
      <c r="Z159" s="1854">
        <f>IF($G159,MATCH('Fan Name List'!Y159,'Fan Name List'!$AC$16:$BM$16,1),0)</f>
        <v>0</v>
      </c>
      <c r="AA159" s="1859">
        <f>IF($G159,IF(S159&gt;567,37,MATCH('Fan Name List'!S159,'Fan Name List'!$AC$16:$BM$16,1)+1),0)</f>
        <v>0</v>
      </c>
      <c r="AB159" s="1854"/>
      <c r="AC159" s="1855"/>
      <c r="AD159" s="1855"/>
      <c r="AE159" s="1855"/>
      <c r="AF159" s="1855"/>
      <c r="AG159" s="1855"/>
      <c r="AH159" s="1855"/>
      <c r="AI159" s="1855"/>
      <c r="AJ159" s="1855"/>
      <c r="AK159" s="1855"/>
      <c r="AL159" s="1855"/>
      <c r="AM159" s="1855"/>
      <c r="AN159" s="1855"/>
      <c r="AO159" s="1855"/>
      <c r="AP159" s="1855"/>
      <c r="AQ159" s="1855"/>
      <c r="AR159" s="1855"/>
      <c r="AS159" s="1855"/>
      <c r="AT159" s="1855"/>
      <c r="AU159" s="1855"/>
      <c r="AV159" s="1855"/>
      <c r="AW159" s="1855"/>
      <c r="AX159" s="1855"/>
      <c r="AY159" s="1855"/>
      <c r="AZ159" s="1855"/>
      <c r="BA159" s="1855"/>
      <c r="BB159" s="1855"/>
      <c r="BC159" s="1855"/>
      <c r="BD159" s="1855"/>
      <c r="BE159" s="1855"/>
      <c r="BF159" s="1855"/>
      <c r="BG159" s="1855"/>
      <c r="BH159" s="1855"/>
      <c r="BI159" s="1855"/>
      <c r="BJ159" s="1855"/>
      <c r="BK159" s="1855"/>
      <c r="BL159" s="1855"/>
      <c r="BM159" s="1855"/>
      <c r="BN159" s="1855"/>
      <c r="BO159" s="1855"/>
      <c r="BP159" s="1855"/>
      <c r="BQ159" s="1855"/>
      <c r="BR159" s="1855"/>
      <c r="BS159" s="1855"/>
      <c r="BT159" s="1855"/>
      <c r="BU159" s="1855"/>
      <c r="BV159" s="1855"/>
      <c r="BW159" s="1855"/>
      <c r="BX159" s="1855"/>
      <c r="BY159" s="1855"/>
      <c r="BZ159" s="1855"/>
      <c r="CA159" s="1855"/>
      <c r="CB159" s="1855"/>
      <c r="CC159" s="1855"/>
      <c r="CD159" s="1859"/>
    </row>
    <row r="160" spans="1:82" ht="14.25">
      <c r="A160" s="1632" t="s">
        <v>1616</v>
      </c>
      <c r="B160" s="906" t="s">
        <v>3118</v>
      </c>
      <c r="C160" s="1472" t="s">
        <v>2084</v>
      </c>
      <c r="D160" s="968" t="s">
        <v>2958</v>
      </c>
      <c r="E160" s="1493" t="s">
        <v>1616</v>
      </c>
      <c r="F160" s="1629" t="s">
        <v>3118</v>
      </c>
      <c r="G160" s="405" t="b">
        <v>0</v>
      </c>
      <c r="H160" s="1638"/>
      <c r="I160" s="1639">
        <v>0</v>
      </c>
      <c r="J160" s="1639">
        <v>0</v>
      </c>
      <c r="K160" s="1639">
        <v>0</v>
      </c>
      <c r="L160" s="1640">
        <v>0</v>
      </c>
      <c r="M160" s="2157">
        <v>0</v>
      </c>
      <c r="N160" s="1639"/>
      <c r="O160" s="1639">
        <v>0</v>
      </c>
      <c r="P160" s="1639">
        <v>0</v>
      </c>
      <c r="Q160" s="1639">
        <v>0</v>
      </c>
      <c r="R160" s="1640">
        <v>0</v>
      </c>
      <c r="S160" s="2157">
        <v>0</v>
      </c>
      <c r="T160" s="1639"/>
      <c r="U160" s="1639">
        <v>0</v>
      </c>
      <c r="V160" s="1639">
        <v>0</v>
      </c>
      <c r="W160" s="1639">
        <v>0</v>
      </c>
      <c r="X160" s="1640">
        <v>0</v>
      </c>
      <c r="Y160" s="1641">
        <v>0</v>
      </c>
      <c r="Z160" s="1854">
        <f>IF($G160,MATCH('Fan Name List'!Y160,'Fan Name List'!$AC$16:$BM$16,1),0)</f>
        <v>0</v>
      </c>
      <c r="AA160" s="1859">
        <f>IF($G160,IF(S160&gt;567,37,MATCH('Fan Name List'!S160,'Fan Name List'!$AC$16:$BM$16,1)+1),0)</f>
        <v>0</v>
      </c>
      <c r="AB160" s="1854"/>
      <c r="AC160" s="1855"/>
      <c r="AD160" s="1855"/>
      <c r="AE160" s="1855"/>
      <c r="AF160" s="1855"/>
      <c r="AG160" s="1855"/>
      <c r="AH160" s="1855"/>
      <c r="AI160" s="1855"/>
      <c r="AJ160" s="1855"/>
      <c r="AK160" s="1855"/>
      <c r="AL160" s="1855"/>
      <c r="AM160" s="1855"/>
      <c r="AN160" s="1855"/>
      <c r="AO160" s="1855"/>
      <c r="AP160" s="1855"/>
      <c r="AQ160" s="1855"/>
      <c r="AR160" s="1855"/>
      <c r="AS160" s="1855"/>
      <c r="AT160" s="1855"/>
      <c r="AU160" s="1855"/>
      <c r="AV160" s="1855"/>
      <c r="AW160" s="1855"/>
      <c r="AX160" s="1855"/>
      <c r="AY160" s="1855"/>
      <c r="AZ160" s="1855"/>
      <c r="BA160" s="1855"/>
      <c r="BB160" s="1855"/>
      <c r="BC160" s="1855"/>
      <c r="BD160" s="1855"/>
      <c r="BE160" s="1855"/>
      <c r="BF160" s="1855"/>
      <c r="BG160" s="1855"/>
      <c r="BH160" s="1855"/>
      <c r="BI160" s="1855"/>
      <c r="BJ160" s="1855"/>
      <c r="BK160" s="1855"/>
      <c r="BL160" s="1855"/>
      <c r="BM160" s="1855"/>
      <c r="BN160" s="1855"/>
      <c r="BO160" s="1855"/>
      <c r="BP160" s="1855"/>
      <c r="BQ160" s="1855"/>
      <c r="BR160" s="1855"/>
      <c r="BS160" s="1855"/>
      <c r="BT160" s="1855"/>
      <c r="BU160" s="1855"/>
      <c r="BV160" s="1855"/>
      <c r="BW160" s="1855"/>
      <c r="BX160" s="1855"/>
      <c r="BY160" s="1855"/>
      <c r="BZ160" s="1855"/>
      <c r="CA160" s="1855"/>
      <c r="CB160" s="1855"/>
      <c r="CC160" s="1855"/>
      <c r="CD160" s="1859"/>
    </row>
    <row r="161" spans="1:82" ht="14.25">
      <c r="A161" s="1628" t="s">
        <v>1617</v>
      </c>
      <c r="B161" s="906" t="s">
        <v>3126</v>
      </c>
      <c r="C161" s="1472" t="s">
        <v>2085</v>
      </c>
      <c r="D161" s="968" t="s">
        <v>3127</v>
      </c>
      <c r="E161" s="1493" t="s">
        <v>1617</v>
      </c>
      <c r="F161" s="1629" t="s">
        <v>3126</v>
      </c>
      <c r="G161" s="405" t="b">
        <v>1</v>
      </c>
      <c r="H161" s="1638"/>
      <c r="I161" s="1639">
        <v>3000</v>
      </c>
      <c r="J161" s="1639">
        <v>330</v>
      </c>
      <c r="K161" s="1639">
        <v>695</v>
      </c>
      <c r="L161" s="1640">
        <v>0.29751791666666699</v>
      </c>
      <c r="M161" s="2157">
        <v>2.0999999999999979</v>
      </c>
      <c r="N161" s="1639"/>
      <c r="O161" s="1639">
        <v>3600</v>
      </c>
      <c r="P161" s="1639">
        <v>475.2</v>
      </c>
      <c r="Q161" s="1639">
        <v>834</v>
      </c>
      <c r="R161" s="1640">
        <v>0.29751791666666699</v>
      </c>
      <c r="S161" s="2157">
        <v>3.6287999999999956</v>
      </c>
      <c r="T161" s="1639"/>
      <c r="U161" s="1639">
        <v>1754.4106429277199</v>
      </c>
      <c r="V161" s="1639">
        <v>112.85841248066203</v>
      </c>
      <c r="W161" s="1639">
        <v>406.43846561158841</v>
      </c>
      <c r="X161" s="1640">
        <v>0.29751791666666699</v>
      </c>
      <c r="Y161" s="1641">
        <v>0.4</v>
      </c>
      <c r="Z161" s="1854">
        <f>IF($G161,MATCH('Fan Name List'!Y161,'Fan Name List'!$AC$16:$BM$16,1),0)</f>
        <v>5</v>
      </c>
      <c r="AA161" s="1859">
        <f>IF($G161,IF(S161&gt;567,37,MATCH('Fan Name List'!S161,'Fan Name List'!$AC$16:$BM$16,1)+1),0)</f>
        <v>12</v>
      </c>
      <c r="AB161" s="1854"/>
      <c r="AC161" s="1855"/>
      <c r="AD161" s="1855"/>
      <c r="AE161" s="1855"/>
      <c r="AF161" s="1855"/>
      <c r="AG161" s="1855"/>
      <c r="AH161" s="1855"/>
      <c r="AI161" s="1855"/>
      <c r="AJ161" s="1855"/>
      <c r="AK161" s="1855"/>
      <c r="AL161" s="1855"/>
      <c r="AM161" s="1855"/>
      <c r="AN161" s="1855"/>
      <c r="AO161" s="1855"/>
      <c r="AP161" s="1855"/>
      <c r="AQ161" s="1855"/>
      <c r="AR161" s="1855"/>
      <c r="AS161" s="1855"/>
      <c r="AT161" s="1855"/>
      <c r="AU161" s="1855"/>
      <c r="AV161" s="1855"/>
      <c r="AW161" s="1855"/>
      <c r="AX161" s="1855"/>
      <c r="AY161" s="1855"/>
      <c r="AZ161" s="1855"/>
      <c r="BA161" s="1855"/>
      <c r="BB161" s="1855"/>
      <c r="BC161" s="1855"/>
      <c r="BD161" s="1855"/>
      <c r="BE161" s="1855"/>
      <c r="BF161" s="1855"/>
      <c r="BG161" s="1855"/>
      <c r="BH161" s="1855"/>
      <c r="BI161" s="1855"/>
      <c r="BJ161" s="1855"/>
      <c r="BK161" s="1855"/>
      <c r="BL161" s="1855"/>
      <c r="BM161" s="1855"/>
      <c r="BN161" s="1855"/>
      <c r="BO161" s="1855"/>
      <c r="BP161" s="1855"/>
      <c r="BQ161" s="1855"/>
      <c r="BR161" s="1855"/>
      <c r="BS161" s="1855"/>
      <c r="BT161" s="1855"/>
      <c r="BU161" s="1855"/>
      <c r="BV161" s="1855"/>
      <c r="BW161" s="1855"/>
      <c r="BX161" s="1855"/>
      <c r="BY161" s="1855"/>
      <c r="BZ161" s="1855"/>
      <c r="CA161" s="1855"/>
      <c r="CB161" s="1855"/>
      <c r="CC161" s="1855"/>
      <c r="CD161" s="1859"/>
    </row>
    <row r="162" spans="1:82" ht="14.25">
      <c r="A162" s="1628" t="s">
        <v>1618</v>
      </c>
      <c r="B162" s="906" t="s">
        <v>3128</v>
      </c>
      <c r="C162" s="1472" t="s">
        <v>2085</v>
      </c>
      <c r="D162" s="968" t="s">
        <v>3127</v>
      </c>
      <c r="E162" s="1493" t="s">
        <v>1618</v>
      </c>
      <c r="F162" s="1629" t="s">
        <v>3128</v>
      </c>
      <c r="G162" s="405" t="b">
        <v>0</v>
      </c>
      <c r="H162" s="1638"/>
      <c r="I162" s="1639">
        <v>0</v>
      </c>
      <c r="J162" s="1639">
        <v>0</v>
      </c>
      <c r="K162" s="1639">
        <v>0</v>
      </c>
      <c r="L162" s="1640">
        <v>0</v>
      </c>
      <c r="M162" s="2157">
        <v>0</v>
      </c>
      <c r="N162" s="1639"/>
      <c r="O162" s="1639">
        <v>0</v>
      </c>
      <c r="P162" s="1639">
        <v>0</v>
      </c>
      <c r="Q162" s="1639">
        <v>0</v>
      </c>
      <c r="R162" s="1640">
        <v>0</v>
      </c>
      <c r="S162" s="2157">
        <v>0</v>
      </c>
      <c r="T162" s="1639"/>
      <c r="U162" s="1639">
        <v>0</v>
      </c>
      <c r="V162" s="1639">
        <v>0</v>
      </c>
      <c r="W162" s="1639">
        <v>0</v>
      </c>
      <c r="X162" s="1640">
        <v>0</v>
      </c>
      <c r="Y162" s="1641">
        <v>0</v>
      </c>
      <c r="Z162" s="1854">
        <f>IF($G162,MATCH('Fan Name List'!Y162,'Fan Name List'!$AC$16:$BM$16,1),0)</f>
        <v>0</v>
      </c>
      <c r="AA162" s="1859">
        <f>IF($G162,IF(S162&gt;567,37,MATCH('Fan Name List'!S162,'Fan Name List'!$AC$16:$BM$16,1)+1),0)</f>
        <v>0</v>
      </c>
      <c r="AB162" s="1854"/>
      <c r="AC162" s="1855"/>
      <c r="AD162" s="1855"/>
      <c r="AE162" s="1855"/>
      <c r="AF162" s="1855"/>
      <c r="AG162" s="1855"/>
      <c r="AH162" s="1855"/>
      <c r="AI162" s="1855"/>
      <c r="AJ162" s="1855"/>
      <c r="AK162" s="1855"/>
      <c r="AL162" s="1855"/>
      <c r="AM162" s="1855"/>
      <c r="AN162" s="1855"/>
      <c r="AO162" s="1855"/>
      <c r="AP162" s="1855"/>
      <c r="AQ162" s="1855"/>
      <c r="AR162" s="1855"/>
      <c r="AS162" s="1855"/>
      <c r="AT162" s="1855"/>
      <c r="AU162" s="1855"/>
      <c r="AV162" s="1855"/>
      <c r="AW162" s="1855"/>
      <c r="AX162" s="1855"/>
      <c r="AY162" s="1855"/>
      <c r="AZ162" s="1855"/>
      <c r="BA162" s="1855"/>
      <c r="BB162" s="1855"/>
      <c r="BC162" s="1855"/>
      <c r="BD162" s="1855"/>
      <c r="BE162" s="1855"/>
      <c r="BF162" s="1855"/>
      <c r="BG162" s="1855"/>
      <c r="BH162" s="1855"/>
      <c r="BI162" s="1855"/>
      <c r="BJ162" s="1855"/>
      <c r="BK162" s="1855"/>
      <c r="BL162" s="1855"/>
      <c r="BM162" s="1855"/>
      <c r="BN162" s="1855"/>
      <c r="BO162" s="1855"/>
      <c r="BP162" s="1855"/>
      <c r="BQ162" s="1855"/>
      <c r="BR162" s="1855"/>
      <c r="BS162" s="1855"/>
      <c r="BT162" s="1855"/>
      <c r="BU162" s="1855"/>
      <c r="BV162" s="1855"/>
      <c r="BW162" s="1855"/>
      <c r="BX162" s="1855"/>
      <c r="BY162" s="1855"/>
      <c r="BZ162" s="1855"/>
      <c r="CA162" s="1855"/>
      <c r="CB162" s="1855"/>
      <c r="CC162" s="1855"/>
      <c r="CD162" s="1859"/>
    </row>
    <row r="163" spans="1:82" ht="14.25">
      <c r="A163" s="1628" t="s">
        <v>1696</v>
      </c>
      <c r="B163" s="906" t="s">
        <v>3129</v>
      </c>
      <c r="C163" s="1472" t="s">
        <v>2086</v>
      </c>
      <c r="D163" s="968" t="s">
        <v>3130</v>
      </c>
      <c r="E163" s="1493" t="s">
        <v>1696</v>
      </c>
      <c r="F163" s="1629" t="s">
        <v>3129</v>
      </c>
      <c r="G163" s="405" t="b">
        <v>1</v>
      </c>
      <c r="H163" s="1638"/>
      <c r="I163" s="1639">
        <v>3000</v>
      </c>
      <c r="J163" s="1639">
        <v>362</v>
      </c>
      <c r="K163" s="1639">
        <v>917</v>
      </c>
      <c r="L163" s="1640">
        <v>0.64592715833333303</v>
      </c>
      <c r="M163" s="2157">
        <v>1.4000000000000006</v>
      </c>
      <c r="N163" s="1639"/>
      <c r="O163" s="1639">
        <v>3600</v>
      </c>
      <c r="P163" s="1639">
        <v>521.28</v>
      </c>
      <c r="Q163" s="1639">
        <v>1100.3999999999999</v>
      </c>
      <c r="R163" s="1640">
        <v>0.64592715833333303</v>
      </c>
      <c r="S163" s="2157">
        <v>2.4192000000000013</v>
      </c>
      <c r="T163" s="1639"/>
      <c r="U163" s="1639">
        <v>1754.4106429277199</v>
      </c>
      <c r="V163" s="1639">
        <v>123.80225853939288</v>
      </c>
      <c r="W163" s="1639">
        <v>536.26485318823973</v>
      </c>
      <c r="X163" s="1640">
        <v>0.64592715833333303</v>
      </c>
      <c r="Y163" s="1641">
        <v>0.3</v>
      </c>
      <c r="Z163" s="1854">
        <f>IF($G163,MATCH('Fan Name List'!Y163,'Fan Name List'!$AC$16:$BM$16,1),0)</f>
        <v>4</v>
      </c>
      <c r="AA163" s="1859">
        <f>IF($G163,IF(S163&gt;567,37,MATCH('Fan Name List'!S163,'Fan Name List'!$AC$16:$BM$16,1)+1),0)</f>
        <v>11</v>
      </c>
      <c r="AB163" s="1854"/>
      <c r="AC163" s="1855"/>
      <c r="AD163" s="1855"/>
      <c r="AE163" s="1855"/>
      <c r="AF163" s="1855"/>
      <c r="AG163" s="1855"/>
      <c r="AH163" s="1855"/>
      <c r="AI163" s="1855"/>
      <c r="AJ163" s="1855"/>
      <c r="AK163" s="1855"/>
      <c r="AL163" s="1855"/>
      <c r="AM163" s="1855"/>
      <c r="AN163" s="1855"/>
      <c r="AO163" s="1855"/>
      <c r="AP163" s="1855"/>
      <c r="AQ163" s="1855"/>
      <c r="AR163" s="1855"/>
      <c r="AS163" s="1855"/>
      <c r="AT163" s="1855"/>
      <c r="AU163" s="1855"/>
      <c r="AV163" s="1855"/>
      <c r="AW163" s="1855"/>
      <c r="AX163" s="1855"/>
      <c r="AY163" s="1855"/>
      <c r="AZ163" s="1855"/>
      <c r="BA163" s="1855"/>
      <c r="BB163" s="1855"/>
      <c r="BC163" s="1855"/>
      <c r="BD163" s="1855"/>
      <c r="BE163" s="1855"/>
      <c r="BF163" s="1855"/>
      <c r="BG163" s="1855"/>
      <c r="BH163" s="1855"/>
      <c r="BI163" s="1855"/>
      <c r="BJ163" s="1855"/>
      <c r="BK163" s="1855"/>
      <c r="BL163" s="1855"/>
      <c r="BM163" s="1855"/>
      <c r="BN163" s="1855"/>
      <c r="BO163" s="1855"/>
      <c r="BP163" s="1855"/>
      <c r="BQ163" s="1855"/>
      <c r="BR163" s="1855"/>
      <c r="BS163" s="1855"/>
      <c r="BT163" s="1855"/>
      <c r="BU163" s="1855"/>
      <c r="BV163" s="1855"/>
      <c r="BW163" s="1855"/>
      <c r="BX163" s="1855"/>
      <c r="BY163" s="1855"/>
      <c r="BZ163" s="1855"/>
      <c r="CA163" s="1855"/>
      <c r="CB163" s="1855"/>
      <c r="CC163" s="1855"/>
      <c r="CD163" s="1859"/>
    </row>
    <row r="164" spans="1:82" ht="14.25">
      <c r="A164" s="1628" t="s">
        <v>1697</v>
      </c>
      <c r="B164" s="906" t="s">
        <v>3131</v>
      </c>
      <c r="C164" s="1472" t="s">
        <v>2086</v>
      </c>
      <c r="D164" s="968" t="s">
        <v>3130</v>
      </c>
      <c r="E164" s="1493" t="s">
        <v>1697</v>
      </c>
      <c r="F164" s="1629" t="s">
        <v>3131</v>
      </c>
      <c r="G164" s="405" t="b">
        <v>0</v>
      </c>
      <c r="H164" s="1638"/>
      <c r="I164" s="1639">
        <v>0</v>
      </c>
      <c r="J164" s="1639">
        <v>0</v>
      </c>
      <c r="K164" s="1639">
        <v>0</v>
      </c>
      <c r="L164" s="1640">
        <v>0</v>
      </c>
      <c r="M164" s="2157">
        <v>0</v>
      </c>
      <c r="N164" s="1639"/>
      <c r="O164" s="1639">
        <v>0</v>
      </c>
      <c r="P164" s="1639">
        <v>0</v>
      </c>
      <c r="Q164" s="1639">
        <v>0</v>
      </c>
      <c r="R164" s="1640">
        <v>0</v>
      </c>
      <c r="S164" s="2157">
        <v>0</v>
      </c>
      <c r="T164" s="1639"/>
      <c r="U164" s="1639">
        <v>0</v>
      </c>
      <c r="V164" s="1639">
        <v>0</v>
      </c>
      <c r="W164" s="1639">
        <v>0</v>
      </c>
      <c r="X164" s="1640">
        <v>0</v>
      </c>
      <c r="Y164" s="1641">
        <v>0</v>
      </c>
      <c r="Z164" s="1854">
        <f>IF($G164,MATCH('Fan Name List'!Y164,'Fan Name List'!$AC$16:$BM$16,1),0)</f>
        <v>0</v>
      </c>
      <c r="AA164" s="1859">
        <f>IF($G164,IF(S164&gt;567,37,MATCH('Fan Name List'!S164,'Fan Name List'!$AC$16:$BM$16,1)+1),0)</f>
        <v>0</v>
      </c>
      <c r="AB164" s="1854"/>
      <c r="AC164" s="1855"/>
      <c r="AD164" s="1855"/>
      <c r="AE164" s="1855"/>
      <c r="AF164" s="1855"/>
      <c r="AG164" s="1855"/>
      <c r="AH164" s="1855"/>
      <c r="AI164" s="1855"/>
      <c r="AJ164" s="1855"/>
      <c r="AK164" s="1855"/>
      <c r="AL164" s="1855"/>
      <c r="AM164" s="1855"/>
      <c r="AN164" s="1855"/>
      <c r="AO164" s="1855"/>
      <c r="AP164" s="1855"/>
      <c r="AQ164" s="1855"/>
      <c r="AR164" s="1855"/>
      <c r="AS164" s="1855"/>
      <c r="AT164" s="1855"/>
      <c r="AU164" s="1855"/>
      <c r="AV164" s="1855"/>
      <c r="AW164" s="1855"/>
      <c r="AX164" s="1855"/>
      <c r="AY164" s="1855"/>
      <c r="AZ164" s="1855"/>
      <c r="BA164" s="1855"/>
      <c r="BB164" s="1855"/>
      <c r="BC164" s="1855"/>
      <c r="BD164" s="1855"/>
      <c r="BE164" s="1855"/>
      <c r="BF164" s="1855"/>
      <c r="BG164" s="1855"/>
      <c r="BH164" s="1855"/>
      <c r="BI164" s="1855"/>
      <c r="BJ164" s="1855"/>
      <c r="BK164" s="1855"/>
      <c r="BL164" s="1855"/>
      <c r="BM164" s="1855"/>
      <c r="BN164" s="1855"/>
      <c r="BO164" s="1855"/>
      <c r="BP164" s="1855"/>
      <c r="BQ164" s="1855"/>
      <c r="BR164" s="1855"/>
      <c r="BS164" s="1855"/>
      <c r="BT164" s="1855"/>
      <c r="BU164" s="1855"/>
      <c r="BV164" s="1855"/>
      <c r="BW164" s="1855"/>
      <c r="BX164" s="1855"/>
      <c r="BY164" s="1855"/>
      <c r="BZ164" s="1855"/>
      <c r="CA164" s="1855"/>
      <c r="CB164" s="1855"/>
      <c r="CC164" s="1855"/>
      <c r="CD164" s="1859"/>
    </row>
    <row r="165" spans="1:82" ht="14.25">
      <c r="A165" s="1628" t="s">
        <v>1619</v>
      </c>
      <c r="B165" s="906" t="s">
        <v>3132</v>
      </c>
      <c r="C165" s="1472" t="s">
        <v>2087</v>
      </c>
      <c r="D165" s="968" t="s">
        <v>3133</v>
      </c>
      <c r="E165" s="1493" t="s">
        <v>1619</v>
      </c>
      <c r="F165" s="1629" t="s">
        <v>3132</v>
      </c>
      <c r="G165" s="405" t="b">
        <v>0</v>
      </c>
      <c r="H165" s="1638"/>
      <c r="I165" s="1639">
        <v>0</v>
      </c>
      <c r="J165" s="1639">
        <v>0</v>
      </c>
      <c r="K165" s="1639">
        <v>0</v>
      </c>
      <c r="L165" s="1640">
        <v>0</v>
      </c>
      <c r="M165" s="2157">
        <v>0</v>
      </c>
      <c r="N165" s="1639"/>
      <c r="O165" s="1639">
        <v>0</v>
      </c>
      <c r="P165" s="1639">
        <v>0</v>
      </c>
      <c r="Q165" s="1639">
        <v>0</v>
      </c>
      <c r="R165" s="1640">
        <v>0</v>
      </c>
      <c r="S165" s="2157">
        <v>0</v>
      </c>
      <c r="T165" s="1639"/>
      <c r="U165" s="1639">
        <v>0</v>
      </c>
      <c r="V165" s="1639">
        <v>0</v>
      </c>
      <c r="W165" s="1639">
        <v>0</v>
      </c>
      <c r="X165" s="1640">
        <v>0</v>
      </c>
      <c r="Y165" s="1641">
        <v>0</v>
      </c>
      <c r="Z165" s="1854">
        <f>IF($G165,MATCH('Fan Name List'!Y165,'Fan Name List'!$AC$16:$BM$16,1),0)</f>
        <v>0</v>
      </c>
      <c r="AA165" s="1859">
        <f>IF($G165,IF(S165&gt;567,37,MATCH('Fan Name List'!S165,'Fan Name List'!$AC$16:$BM$16,1)+1),0)</f>
        <v>0</v>
      </c>
      <c r="AB165" s="1854"/>
      <c r="AC165" s="1855"/>
      <c r="AD165" s="1855"/>
      <c r="AE165" s="1855"/>
      <c r="AF165" s="1855"/>
      <c r="AG165" s="1855"/>
      <c r="AH165" s="1855"/>
      <c r="AI165" s="1855"/>
      <c r="AJ165" s="1855"/>
      <c r="AK165" s="1855"/>
      <c r="AL165" s="1855"/>
      <c r="AM165" s="1855"/>
      <c r="AN165" s="1855"/>
      <c r="AO165" s="1855"/>
      <c r="AP165" s="1855"/>
      <c r="AQ165" s="1855"/>
      <c r="AR165" s="1855"/>
      <c r="AS165" s="1855"/>
      <c r="AT165" s="1855"/>
      <c r="AU165" s="1855"/>
      <c r="AV165" s="1855"/>
      <c r="AW165" s="1855"/>
      <c r="AX165" s="1855"/>
      <c r="AY165" s="1855"/>
      <c r="AZ165" s="1855"/>
      <c r="BA165" s="1855"/>
      <c r="BB165" s="1855"/>
      <c r="BC165" s="1855"/>
      <c r="BD165" s="1855"/>
      <c r="BE165" s="1855"/>
      <c r="BF165" s="1855"/>
      <c r="BG165" s="1855"/>
      <c r="BH165" s="1855"/>
      <c r="BI165" s="1855"/>
      <c r="BJ165" s="1855"/>
      <c r="BK165" s="1855"/>
      <c r="BL165" s="1855"/>
      <c r="BM165" s="1855"/>
      <c r="BN165" s="1855"/>
      <c r="BO165" s="1855"/>
      <c r="BP165" s="1855"/>
      <c r="BQ165" s="1855"/>
      <c r="BR165" s="1855"/>
      <c r="BS165" s="1855"/>
      <c r="BT165" s="1855"/>
      <c r="BU165" s="1855"/>
      <c r="BV165" s="1855"/>
      <c r="BW165" s="1855"/>
      <c r="BX165" s="1855"/>
      <c r="BY165" s="1855"/>
      <c r="BZ165" s="1855"/>
      <c r="CA165" s="1855"/>
      <c r="CB165" s="1855"/>
      <c r="CC165" s="1855"/>
      <c r="CD165" s="1859"/>
    </row>
    <row r="166" spans="1:82" ht="14.25">
      <c r="A166" s="1628" t="s">
        <v>1698</v>
      </c>
      <c r="B166" s="906" t="s">
        <v>3134</v>
      </c>
      <c r="C166" s="1472" t="s">
        <v>2087</v>
      </c>
      <c r="D166" s="968" t="s">
        <v>3133</v>
      </c>
      <c r="E166" s="1493" t="s">
        <v>1698</v>
      </c>
      <c r="F166" s="1629" t="s">
        <v>3134</v>
      </c>
      <c r="G166" s="405" t="b">
        <v>1</v>
      </c>
      <c r="H166" s="1638"/>
      <c r="I166" s="1639">
        <v>3000</v>
      </c>
      <c r="J166" s="1639">
        <v>379</v>
      </c>
      <c r="K166" s="1639">
        <v>1245</v>
      </c>
      <c r="L166" s="1640">
        <v>0.59786588953488395</v>
      </c>
      <c r="M166" s="2157">
        <v>2.1499999999999995</v>
      </c>
      <c r="N166" s="1639"/>
      <c r="O166" s="1639">
        <v>3600</v>
      </c>
      <c r="P166" s="1639">
        <v>545.76</v>
      </c>
      <c r="Q166" s="1639">
        <v>1494</v>
      </c>
      <c r="R166" s="1640">
        <v>0.59786588953488395</v>
      </c>
      <c r="S166" s="2157">
        <v>3.7151999999999985</v>
      </c>
      <c r="T166" s="1639"/>
      <c r="U166" s="1639">
        <v>1754.4106429277199</v>
      </c>
      <c r="V166" s="1639">
        <v>129.61617675809364</v>
      </c>
      <c r="W166" s="1639">
        <v>728.08041681500367</v>
      </c>
      <c r="X166" s="1640">
        <v>0.59786588953488395</v>
      </c>
      <c r="Y166" s="1641">
        <v>0.4</v>
      </c>
      <c r="Z166" s="1854">
        <f>IF($G166,MATCH('Fan Name List'!Y166,'Fan Name List'!$AC$16:$BM$16,1),0)</f>
        <v>5</v>
      </c>
      <c r="AA166" s="1859">
        <f>IF($G166,IF(S166&gt;567,37,MATCH('Fan Name List'!S166,'Fan Name List'!$AC$16:$BM$16,1)+1),0)</f>
        <v>12</v>
      </c>
      <c r="AB166" s="1854"/>
      <c r="AC166" s="1855"/>
      <c r="AD166" s="1855"/>
      <c r="AE166" s="1855"/>
      <c r="AF166" s="1855"/>
      <c r="AG166" s="1855"/>
      <c r="AH166" s="1855"/>
      <c r="AI166" s="1855"/>
      <c r="AJ166" s="1855"/>
      <c r="AK166" s="1855"/>
      <c r="AL166" s="1855"/>
      <c r="AM166" s="1855"/>
      <c r="AN166" s="1855"/>
      <c r="AO166" s="1855"/>
      <c r="AP166" s="1855"/>
      <c r="AQ166" s="1855"/>
      <c r="AR166" s="1855"/>
      <c r="AS166" s="1855"/>
      <c r="AT166" s="1855"/>
      <c r="AU166" s="1855"/>
      <c r="AV166" s="1855"/>
      <c r="AW166" s="1855"/>
      <c r="AX166" s="1855"/>
      <c r="AY166" s="1855"/>
      <c r="AZ166" s="1855"/>
      <c r="BA166" s="1855"/>
      <c r="BB166" s="1855"/>
      <c r="BC166" s="1855"/>
      <c r="BD166" s="1855"/>
      <c r="BE166" s="1855"/>
      <c r="BF166" s="1855"/>
      <c r="BG166" s="1855"/>
      <c r="BH166" s="1855"/>
      <c r="BI166" s="1855"/>
      <c r="BJ166" s="1855"/>
      <c r="BK166" s="1855"/>
      <c r="BL166" s="1855"/>
      <c r="BM166" s="1855"/>
      <c r="BN166" s="1855"/>
      <c r="BO166" s="1855"/>
      <c r="BP166" s="1855"/>
      <c r="BQ166" s="1855"/>
      <c r="BR166" s="1855"/>
      <c r="BS166" s="1855"/>
      <c r="BT166" s="1855"/>
      <c r="BU166" s="1855"/>
      <c r="BV166" s="1855"/>
      <c r="BW166" s="1855"/>
      <c r="BX166" s="1855"/>
      <c r="BY166" s="1855"/>
      <c r="BZ166" s="1855"/>
      <c r="CA166" s="1855"/>
      <c r="CB166" s="1855"/>
      <c r="CC166" s="1855"/>
      <c r="CD166" s="1859"/>
    </row>
    <row r="167" spans="1:82" ht="14.25">
      <c r="A167" s="1628" t="s">
        <v>1620</v>
      </c>
      <c r="B167" s="906" t="s">
        <v>3135</v>
      </c>
      <c r="C167" s="1472" t="s">
        <v>2088</v>
      </c>
      <c r="D167" s="968" t="s">
        <v>3136</v>
      </c>
      <c r="E167" s="1493" t="s">
        <v>1620</v>
      </c>
      <c r="F167" s="1629" t="s">
        <v>3135</v>
      </c>
      <c r="G167" s="405" t="b">
        <v>1</v>
      </c>
      <c r="H167" s="1638"/>
      <c r="I167" s="1639">
        <v>3000</v>
      </c>
      <c r="J167" s="1639">
        <v>340</v>
      </c>
      <c r="K167" s="1639">
        <v>2365</v>
      </c>
      <c r="L167" s="1640">
        <v>0.576448004385965</v>
      </c>
      <c r="M167" s="2157">
        <v>3.7999999999999994</v>
      </c>
      <c r="N167" s="1639"/>
      <c r="O167" s="1639">
        <v>3600</v>
      </c>
      <c r="P167" s="1639">
        <v>489.59999999999997</v>
      </c>
      <c r="Q167" s="1639">
        <v>2838</v>
      </c>
      <c r="R167" s="1640">
        <v>0.576448004385965</v>
      </c>
      <c r="S167" s="2157">
        <v>6.566399999999998</v>
      </c>
      <c r="T167" s="1639"/>
      <c r="U167" s="1639">
        <v>1754.4106429277199</v>
      </c>
      <c r="V167" s="1639">
        <v>116.27836437401541</v>
      </c>
      <c r="W167" s="1639">
        <v>1383.0603901746858</v>
      </c>
      <c r="X167" s="1640">
        <v>0.576448004385965</v>
      </c>
      <c r="Y167" s="1641">
        <v>0.8</v>
      </c>
      <c r="Z167" s="1854">
        <f>IF($G167,MATCH('Fan Name List'!Y167,'Fan Name List'!$AC$16:$BM$16,1),0)</f>
        <v>6</v>
      </c>
      <c r="AA167" s="1859">
        <f>IF($G167,IF(S167&gt;567,37,MATCH('Fan Name List'!S167,'Fan Name List'!$AC$16:$BM$16,1)+1),0)</f>
        <v>14</v>
      </c>
      <c r="AB167" s="1854"/>
      <c r="AC167" s="1855"/>
      <c r="AD167" s="1855"/>
      <c r="AE167" s="1855"/>
      <c r="AF167" s="1855"/>
      <c r="AG167" s="1855"/>
      <c r="AH167" s="1855"/>
      <c r="AI167" s="1855"/>
      <c r="AJ167" s="1855"/>
      <c r="AK167" s="1855"/>
      <c r="AL167" s="1855"/>
      <c r="AM167" s="1855"/>
      <c r="AN167" s="1855"/>
      <c r="AO167" s="1855"/>
      <c r="AP167" s="1855"/>
      <c r="AQ167" s="1855"/>
      <c r="AR167" s="1855"/>
      <c r="AS167" s="1855"/>
      <c r="AT167" s="1855"/>
      <c r="AU167" s="1855"/>
      <c r="AV167" s="1855"/>
      <c r="AW167" s="1855"/>
      <c r="AX167" s="1855"/>
      <c r="AY167" s="1855"/>
      <c r="AZ167" s="1855"/>
      <c r="BA167" s="1855"/>
      <c r="BB167" s="1855"/>
      <c r="BC167" s="1855"/>
      <c r="BD167" s="1855"/>
      <c r="BE167" s="1855"/>
      <c r="BF167" s="1855"/>
      <c r="BG167" s="1855"/>
      <c r="BH167" s="1855"/>
      <c r="BI167" s="1855"/>
      <c r="BJ167" s="1855"/>
      <c r="BK167" s="1855"/>
      <c r="BL167" s="1855"/>
      <c r="BM167" s="1855"/>
      <c r="BN167" s="1855"/>
      <c r="BO167" s="1855"/>
      <c r="BP167" s="1855"/>
      <c r="BQ167" s="1855"/>
      <c r="BR167" s="1855"/>
      <c r="BS167" s="1855"/>
      <c r="BT167" s="1855"/>
      <c r="BU167" s="1855"/>
      <c r="BV167" s="1855"/>
      <c r="BW167" s="1855"/>
      <c r="BX167" s="1855"/>
      <c r="BY167" s="1855"/>
      <c r="BZ167" s="1855"/>
      <c r="CA167" s="1855"/>
      <c r="CB167" s="1855"/>
      <c r="CC167" s="1855"/>
      <c r="CD167" s="1859"/>
    </row>
    <row r="168" spans="1:82" ht="14.25">
      <c r="A168" s="1628" t="s">
        <v>1621</v>
      </c>
      <c r="B168" s="906" t="s">
        <v>3137</v>
      </c>
      <c r="C168" s="1472" t="s">
        <v>2089</v>
      </c>
      <c r="D168" s="968" t="s">
        <v>3138</v>
      </c>
      <c r="E168" s="1493" t="s">
        <v>1621</v>
      </c>
      <c r="F168" s="1629" t="s">
        <v>3137</v>
      </c>
      <c r="G168" s="405" t="b">
        <v>1</v>
      </c>
      <c r="H168" s="1638"/>
      <c r="I168" s="1639">
        <v>3000</v>
      </c>
      <c r="J168" s="1639">
        <v>385</v>
      </c>
      <c r="K168" s="1639">
        <v>2900</v>
      </c>
      <c r="L168" s="1640">
        <v>0.64713448581560296</v>
      </c>
      <c r="M168" s="2157">
        <v>4.6999999999999993</v>
      </c>
      <c r="N168" s="1639"/>
      <c r="O168" s="1639">
        <v>3600</v>
      </c>
      <c r="P168" s="1639">
        <v>554.4</v>
      </c>
      <c r="Q168" s="1639">
        <v>3480</v>
      </c>
      <c r="R168" s="1640">
        <v>0.64713448581560296</v>
      </c>
      <c r="S168" s="2157">
        <v>8.1215999999999973</v>
      </c>
      <c r="T168" s="1639"/>
      <c r="U168" s="1639">
        <v>1754.4106429277199</v>
      </c>
      <c r="V168" s="1639">
        <v>131.66814789410569</v>
      </c>
      <c r="W168" s="1639">
        <v>1695.9302881634624</v>
      </c>
      <c r="X168" s="1640">
        <v>0.64713448581560296</v>
      </c>
      <c r="Y168" s="1641">
        <v>0.9</v>
      </c>
      <c r="Z168" s="1854">
        <f>IF($G168,MATCH('Fan Name List'!Y168,'Fan Name List'!$AC$16:$BM$16,1),0)</f>
        <v>7</v>
      </c>
      <c r="AA168" s="1859">
        <f>IF($G168,IF(S168&gt;567,37,MATCH('Fan Name List'!S168,'Fan Name List'!$AC$16:$BM$16,1)+1),0)</f>
        <v>15</v>
      </c>
      <c r="AB168" s="1854"/>
      <c r="AC168" s="1855"/>
      <c r="AD168" s="1855"/>
      <c r="AE168" s="1855"/>
      <c r="AF168" s="1855"/>
      <c r="AG168" s="1855"/>
      <c r="AH168" s="1855"/>
      <c r="AI168" s="1855"/>
      <c r="AJ168" s="1855"/>
      <c r="AK168" s="1855"/>
      <c r="AL168" s="1855"/>
      <c r="AM168" s="1855"/>
      <c r="AN168" s="1855"/>
      <c r="AO168" s="1855"/>
      <c r="AP168" s="1855"/>
      <c r="AQ168" s="1855"/>
      <c r="AR168" s="1855"/>
      <c r="AS168" s="1855"/>
      <c r="AT168" s="1855"/>
      <c r="AU168" s="1855"/>
      <c r="AV168" s="1855"/>
      <c r="AW168" s="1855"/>
      <c r="AX168" s="1855"/>
      <c r="AY168" s="1855"/>
      <c r="AZ168" s="1855"/>
      <c r="BA168" s="1855"/>
      <c r="BB168" s="1855"/>
      <c r="BC168" s="1855"/>
      <c r="BD168" s="1855"/>
      <c r="BE168" s="1855"/>
      <c r="BF168" s="1855"/>
      <c r="BG168" s="1855"/>
      <c r="BH168" s="1855"/>
      <c r="BI168" s="1855"/>
      <c r="BJ168" s="1855"/>
      <c r="BK168" s="1855"/>
      <c r="BL168" s="1855"/>
      <c r="BM168" s="1855"/>
      <c r="BN168" s="1855"/>
      <c r="BO168" s="1855"/>
      <c r="BP168" s="1855"/>
      <c r="BQ168" s="1855"/>
      <c r="BR168" s="1855"/>
      <c r="BS168" s="1855"/>
      <c r="BT168" s="1855"/>
      <c r="BU168" s="1855"/>
      <c r="BV168" s="1855"/>
      <c r="BW168" s="1855"/>
      <c r="BX168" s="1855"/>
      <c r="BY168" s="1855"/>
      <c r="BZ168" s="1855"/>
      <c r="CA168" s="1855"/>
      <c r="CB168" s="1855"/>
      <c r="CC168" s="1855"/>
      <c r="CD168" s="1859"/>
    </row>
    <row r="169" spans="1:82" ht="14.25">
      <c r="A169" s="1628" t="s">
        <v>1699</v>
      </c>
      <c r="B169" s="906" t="s">
        <v>3139</v>
      </c>
      <c r="C169" s="1472" t="s">
        <v>2090</v>
      </c>
      <c r="D169" s="968" t="s">
        <v>3140</v>
      </c>
      <c r="E169" s="1493" t="s">
        <v>1699</v>
      </c>
      <c r="F169" s="1629" t="s">
        <v>3139</v>
      </c>
      <c r="G169" s="405" t="b">
        <v>1</v>
      </c>
      <c r="H169" s="1638"/>
      <c r="I169" s="1639">
        <v>3000</v>
      </c>
      <c r="J169" s="1639">
        <v>385</v>
      </c>
      <c r="K169" s="1639">
        <v>2900</v>
      </c>
      <c r="L169" s="1640">
        <v>0.64713448581560296</v>
      </c>
      <c r="M169" s="2157">
        <v>4.6999999999999993</v>
      </c>
      <c r="N169" s="1639"/>
      <c r="O169" s="1639">
        <v>3600</v>
      </c>
      <c r="P169" s="1639">
        <v>554.4</v>
      </c>
      <c r="Q169" s="1639">
        <v>3480</v>
      </c>
      <c r="R169" s="1640">
        <v>0.64713448581560296</v>
      </c>
      <c r="S169" s="2157">
        <v>8.1215999999999973</v>
      </c>
      <c r="T169" s="1639"/>
      <c r="U169" s="1639">
        <v>1754.4106429277199</v>
      </c>
      <c r="V169" s="1639">
        <v>131.66814789410569</v>
      </c>
      <c r="W169" s="1639">
        <v>1695.9302881634624</v>
      </c>
      <c r="X169" s="1640">
        <v>0.64713448581560296</v>
      </c>
      <c r="Y169" s="1641">
        <v>0.9</v>
      </c>
      <c r="Z169" s="1854">
        <f>IF($G169,MATCH('Fan Name List'!Y169,'Fan Name List'!$AC$16:$BM$16,1),0)</f>
        <v>7</v>
      </c>
      <c r="AA169" s="1859">
        <f>IF($G169,IF(S169&gt;567,37,MATCH('Fan Name List'!S169,'Fan Name List'!$AC$16:$BM$16,1)+1),0)</f>
        <v>15</v>
      </c>
      <c r="AB169" s="1854"/>
      <c r="AC169" s="1855"/>
      <c r="AD169" s="1855"/>
      <c r="AE169" s="1855"/>
      <c r="AF169" s="1855"/>
      <c r="AG169" s="1855"/>
      <c r="AH169" s="1855"/>
      <c r="AI169" s="1855"/>
      <c r="AJ169" s="1855"/>
      <c r="AK169" s="1855"/>
      <c r="AL169" s="1855"/>
      <c r="AM169" s="1855"/>
      <c r="AN169" s="1855"/>
      <c r="AO169" s="1855"/>
      <c r="AP169" s="1855"/>
      <c r="AQ169" s="1855"/>
      <c r="AR169" s="1855"/>
      <c r="AS169" s="1855"/>
      <c r="AT169" s="1855"/>
      <c r="AU169" s="1855"/>
      <c r="AV169" s="1855"/>
      <c r="AW169" s="1855"/>
      <c r="AX169" s="1855"/>
      <c r="AY169" s="1855"/>
      <c r="AZ169" s="1855"/>
      <c r="BA169" s="1855"/>
      <c r="BB169" s="1855"/>
      <c r="BC169" s="1855"/>
      <c r="BD169" s="1855"/>
      <c r="BE169" s="1855"/>
      <c r="BF169" s="1855"/>
      <c r="BG169" s="1855"/>
      <c r="BH169" s="1855"/>
      <c r="BI169" s="1855"/>
      <c r="BJ169" s="1855"/>
      <c r="BK169" s="1855"/>
      <c r="BL169" s="1855"/>
      <c r="BM169" s="1855"/>
      <c r="BN169" s="1855"/>
      <c r="BO169" s="1855"/>
      <c r="BP169" s="1855"/>
      <c r="BQ169" s="1855"/>
      <c r="BR169" s="1855"/>
      <c r="BS169" s="1855"/>
      <c r="BT169" s="1855"/>
      <c r="BU169" s="1855"/>
      <c r="BV169" s="1855"/>
      <c r="BW169" s="1855"/>
      <c r="BX169" s="1855"/>
      <c r="BY169" s="1855"/>
      <c r="BZ169" s="1855"/>
      <c r="CA169" s="1855"/>
      <c r="CB169" s="1855"/>
      <c r="CC169" s="1855"/>
      <c r="CD169" s="1859"/>
    </row>
    <row r="170" spans="1:82" ht="14.25">
      <c r="A170" s="1628" t="s">
        <v>1700</v>
      </c>
      <c r="B170" s="906" t="s">
        <v>3141</v>
      </c>
      <c r="C170" s="1472" t="s">
        <v>2091</v>
      </c>
      <c r="D170" s="968" t="s">
        <v>3142</v>
      </c>
      <c r="E170" s="1493" t="s">
        <v>1700</v>
      </c>
      <c r="F170" s="1629" t="s">
        <v>3141</v>
      </c>
      <c r="G170" s="405" t="b">
        <v>1</v>
      </c>
      <c r="H170" s="1638"/>
      <c r="I170" s="1639">
        <v>3000</v>
      </c>
      <c r="J170" s="1639">
        <v>385</v>
      </c>
      <c r="K170" s="1639">
        <v>2900</v>
      </c>
      <c r="L170" s="1640">
        <v>0.64713448581560296</v>
      </c>
      <c r="M170" s="2157">
        <v>4.6999999999999993</v>
      </c>
      <c r="N170" s="1639"/>
      <c r="O170" s="1639">
        <v>3600</v>
      </c>
      <c r="P170" s="1639">
        <v>554.4</v>
      </c>
      <c r="Q170" s="1639">
        <v>3480</v>
      </c>
      <c r="R170" s="1640">
        <v>0.64713448581560296</v>
      </c>
      <c r="S170" s="2157">
        <v>8.1215999999999973</v>
      </c>
      <c r="T170" s="1639"/>
      <c r="U170" s="1639">
        <v>1754.4106429277199</v>
      </c>
      <c r="V170" s="1639">
        <v>131.66814789410569</v>
      </c>
      <c r="W170" s="1639">
        <v>1695.9302881634624</v>
      </c>
      <c r="X170" s="1640">
        <v>0.64713448581560296</v>
      </c>
      <c r="Y170" s="1641">
        <v>0.9</v>
      </c>
      <c r="Z170" s="1854">
        <f>IF($G170,MATCH('Fan Name List'!Y170,'Fan Name List'!$AC$16:$BM$16,1),0)</f>
        <v>7</v>
      </c>
      <c r="AA170" s="1859">
        <f>IF($G170,IF(S170&gt;567,37,MATCH('Fan Name List'!S170,'Fan Name List'!$AC$16:$BM$16,1)+1),0)</f>
        <v>15</v>
      </c>
      <c r="AB170" s="1854"/>
      <c r="AC170" s="1855"/>
      <c r="AD170" s="1855"/>
      <c r="AE170" s="1855"/>
      <c r="AF170" s="1855"/>
      <c r="AG170" s="1855"/>
      <c r="AH170" s="1855"/>
      <c r="AI170" s="1855"/>
      <c r="AJ170" s="1855"/>
      <c r="AK170" s="1855"/>
      <c r="AL170" s="1855"/>
      <c r="AM170" s="1855"/>
      <c r="AN170" s="1855"/>
      <c r="AO170" s="1855"/>
      <c r="AP170" s="1855"/>
      <c r="AQ170" s="1855"/>
      <c r="AR170" s="1855"/>
      <c r="AS170" s="1855"/>
      <c r="AT170" s="1855"/>
      <c r="AU170" s="1855"/>
      <c r="AV170" s="1855"/>
      <c r="AW170" s="1855"/>
      <c r="AX170" s="1855"/>
      <c r="AY170" s="1855"/>
      <c r="AZ170" s="1855"/>
      <c r="BA170" s="1855"/>
      <c r="BB170" s="1855"/>
      <c r="BC170" s="1855"/>
      <c r="BD170" s="1855"/>
      <c r="BE170" s="1855"/>
      <c r="BF170" s="1855"/>
      <c r="BG170" s="1855"/>
      <c r="BH170" s="1855"/>
      <c r="BI170" s="1855"/>
      <c r="BJ170" s="1855"/>
      <c r="BK170" s="1855"/>
      <c r="BL170" s="1855"/>
      <c r="BM170" s="1855"/>
      <c r="BN170" s="1855"/>
      <c r="BO170" s="1855"/>
      <c r="BP170" s="1855"/>
      <c r="BQ170" s="1855"/>
      <c r="BR170" s="1855"/>
      <c r="BS170" s="1855"/>
      <c r="BT170" s="1855"/>
      <c r="BU170" s="1855"/>
      <c r="BV170" s="1855"/>
      <c r="BW170" s="1855"/>
      <c r="BX170" s="1855"/>
      <c r="BY170" s="1855"/>
      <c r="BZ170" s="1855"/>
      <c r="CA170" s="1855"/>
      <c r="CB170" s="1855"/>
      <c r="CC170" s="1855"/>
      <c r="CD170" s="1859"/>
    </row>
    <row r="171" spans="1:82" ht="14.25">
      <c r="A171" s="1628" t="s">
        <v>1622</v>
      </c>
      <c r="B171" s="906" t="s">
        <v>3143</v>
      </c>
      <c r="C171" s="1472" t="s">
        <v>2092</v>
      </c>
      <c r="D171" s="968" t="s">
        <v>3144</v>
      </c>
      <c r="E171" s="1493" t="s">
        <v>1622</v>
      </c>
      <c r="F171" s="1629" t="s">
        <v>3143</v>
      </c>
      <c r="G171" s="405" t="b">
        <v>1</v>
      </c>
      <c r="H171" s="1638"/>
      <c r="I171" s="1639">
        <v>3000</v>
      </c>
      <c r="J171" s="1639">
        <v>450</v>
      </c>
      <c r="K171" s="1639">
        <v>750</v>
      </c>
      <c r="L171" s="1640">
        <v>0.39123670212765999</v>
      </c>
      <c r="M171" s="2157">
        <v>2.3499999999999979</v>
      </c>
      <c r="N171" s="1639"/>
      <c r="O171" s="1639">
        <v>3600</v>
      </c>
      <c r="P171" s="1639">
        <v>648</v>
      </c>
      <c r="Q171" s="1639">
        <v>900</v>
      </c>
      <c r="R171" s="1640">
        <v>0.39123670212765999</v>
      </c>
      <c r="S171" s="2157">
        <v>4.060799999999996</v>
      </c>
      <c r="T171" s="1639"/>
      <c r="U171" s="1639">
        <v>1754.4106429277199</v>
      </c>
      <c r="V171" s="1639">
        <v>153.89783520090276</v>
      </c>
      <c r="W171" s="1639">
        <v>438.60266073192997</v>
      </c>
      <c r="X171" s="1640">
        <v>0.39123670212765999</v>
      </c>
      <c r="Y171" s="1641">
        <v>0.5</v>
      </c>
      <c r="Z171" s="1854">
        <f>IF($G171,MATCH('Fan Name List'!Y171,'Fan Name List'!$AC$16:$BM$16,1),0)</f>
        <v>5</v>
      </c>
      <c r="AA171" s="1859">
        <f>IF($G171,IF(S171&gt;567,37,MATCH('Fan Name List'!S171,'Fan Name List'!$AC$16:$BM$16,1)+1),0)</f>
        <v>12</v>
      </c>
      <c r="AB171" s="1854"/>
      <c r="AC171" s="1855"/>
      <c r="AD171" s="1855"/>
      <c r="AE171" s="1855"/>
      <c r="AF171" s="1855"/>
      <c r="AG171" s="1855"/>
      <c r="AH171" s="1855"/>
      <c r="AI171" s="1855"/>
      <c r="AJ171" s="1855"/>
      <c r="AK171" s="1855"/>
      <c r="AL171" s="1855"/>
      <c r="AM171" s="1855"/>
      <c r="AN171" s="1855"/>
      <c r="AO171" s="1855"/>
      <c r="AP171" s="1855"/>
      <c r="AQ171" s="1855"/>
      <c r="AR171" s="1855"/>
      <c r="AS171" s="1855"/>
      <c r="AT171" s="1855"/>
      <c r="AU171" s="1855"/>
      <c r="AV171" s="1855"/>
      <c r="AW171" s="1855"/>
      <c r="AX171" s="1855"/>
      <c r="AY171" s="1855"/>
      <c r="AZ171" s="1855"/>
      <c r="BA171" s="1855"/>
      <c r="BB171" s="1855"/>
      <c r="BC171" s="1855"/>
      <c r="BD171" s="1855"/>
      <c r="BE171" s="1855"/>
      <c r="BF171" s="1855"/>
      <c r="BG171" s="1855"/>
      <c r="BH171" s="1855"/>
      <c r="BI171" s="1855"/>
      <c r="BJ171" s="1855"/>
      <c r="BK171" s="1855"/>
      <c r="BL171" s="1855"/>
      <c r="BM171" s="1855"/>
      <c r="BN171" s="1855"/>
      <c r="BO171" s="1855"/>
      <c r="BP171" s="1855"/>
      <c r="BQ171" s="1855"/>
      <c r="BR171" s="1855"/>
      <c r="BS171" s="1855"/>
      <c r="BT171" s="1855"/>
      <c r="BU171" s="1855"/>
      <c r="BV171" s="1855"/>
      <c r="BW171" s="1855"/>
      <c r="BX171" s="1855"/>
      <c r="BY171" s="1855"/>
      <c r="BZ171" s="1855"/>
      <c r="CA171" s="1855"/>
      <c r="CB171" s="1855"/>
      <c r="CC171" s="1855"/>
      <c r="CD171" s="1859"/>
    </row>
    <row r="172" spans="1:82" ht="14.25">
      <c r="A172" s="1628" t="s">
        <v>1623</v>
      </c>
      <c r="B172" s="906" t="s">
        <v>3145</v>
      </c>
      <c r="C172" s="1472" t="s">
        <v>2092</v>
      </c>
      <c r="D172" s="968" t="s">
        <v>3144</v>
      </c>
      <c r="E172" s="1493" t="s">
        <v>1623</v>
      </c>
      <c r="F172" s="1629" t="s">
        <v>3145</v>
      </c>
      <c r="G172" s="405" t="b">
        <v>0</v>
      </c>
      <c r="H172" s="1638"/>
      <c r="I172" s="1639">
        <v>0</v>
      </c>
      <c r="J172" s="1639">
        <v>0</v>
      </c>
      <c r="K172" s="1639">
        <v>0</v>
      </c>
      <c r="L172" s="1640">
        <v>0</v>
      </c>
      <c r="M172" s="2157">
        <v>0</v>
      </c>
      <c r="N172" s="1639"/>
      <c r="O172" s="1639">
        <v>0</v>
      </c>
      <c r="P172" s="1639">
        <v>0</v>
      </c>
      <c r="Q172" s="1639">
        <v>0</v>
      </c>
      <c r="R172" s="1640">
        <v>0</v>
      </c>
      <c r="S172" s="2157">
        <v>0</v>
      </c>
      <c r="T172" s="1639"/>
      <c r="U172" s="1639">
        <v>0</v>
      </c>
      <c r="V172" s="1639">
        <v>0</v>
      </c>
      <c r="W172" s="1639">
        <v>0</v>
      </c>
      <c r="X172" s="1640">
        <v>0</v>
      </c>
      <c r="Y172" s="1641">
        <v>0</v>
      </c>
      <c r="Z172" s="1854">
        <f>IF($G172,MATCH('Fan Name List'!Y172,'Fan Name List'!$AC$16:$BM$16,1),0)</f>
        <v>0</v>
      </c>
      <c r="AA172" s="1859">
        <f>IF($G172,IF(S172&gt;567,37,MATCH('Fan Name List'!S172,'Fan Name List'!$AC$16:$BM$16,1)+1),0)</f>
        <v>0</v>
      </c>
      <c r="AB172" s="1854"/>
      <c r="AC172" s="1855"/>
      <c r="AD172" s="1855"/>
      <c r="AE172" s="1855"/>
      <c r="AF172" s="1855"/>
      <c r="AG172" s="1855"/>
      <c r="AH172" s="1855"/>
      <c r="AI172" s="1855"/>
      <c r="AJ172" s="1855"/>
      <c r="AK172" s="1855"/>
      <c r="AL172" s="1855"/>
      <c r="AM172" s="1855"/>
      <c r="AN172" s="1855"/>
      <c r="AO172" s="1855"/>
      <c r="AP172" s="1855"/>
      <c r="AQ172" s="1855"/>
      <c r="AR172" s="1855"/>
      <c r="AS172" s="1855"/>
      <c r="AT172" s="1855"/>
      <c r="AU172" s="1855"/>
      <c r="AV172" s="1855"/>
      <c r="AW172" s="1855"/>
      <c r="AX172" s="1855"/>
      <c r="AY172" s="1855"/>
      <c r="AZ172" s="1855"/>
      <c r="BA172" s="1855"/>
      <c r="BB172" s="1855"/>
      <c r="BC172" s="1855"/>
      <c r="BD172" s="1855"/>
      <c r="BE172" s="1855"/>
      <c r="BF172" s="1855"/>
      <c r="BG172" s="1855"/>
      <c r="BH172" s="1855"/>
      <c r="BI172" s="1855"/>
      <c r="BJ172" s="1855"/>
      <c r="BK172" s="1855"/>
      <c r="BL172" s="1855"/>
      <c r="BM172" s="1855"/>
      <c r="BN172" s="1855"/>
      <c r="BO172" s="1855"/>
      <c r="BP172" s="1855"/>
      <c r="BQ172" s="1855"/>
      <c r="BR172" s="1855"/>
      <c r="BS172" s="1855"/>
      <c r="BT172" s="1855"/>
      <c r="BU172" s="1855"/>
      <c r="BV172" s="1855"/>
      <c r="BW172" s="1855"/>
      <c r="BX172" s="1855"/>
      <c r="BY172" s="1855"/>
      <c r="BZ172" s="1855"/>
      <c r="CA172" s="1855"/>
      <c r="CB172" s="1855"/>
      <c r="CC172" s="1855"/>
      <c r="CD172" s="1859"/>
    </row>
    <row r="173" spans="1:82" ht="14.25">
      <c r="A173" s="1628" t="s">
        <v>1701</v>
      </c>
      <c r="B173" s="906" t="s">
        <v>3146</v>
      </c>
      <c r="C173" s="1472" t="s">
        <v>2093</v>
      </c>
      <c r="D173" s="968" t="s">
        <v>3147</v>
      </c>
      <c r="E173" s="1493" t="s">
        <v>1701</v>
      </c>
      <c r="F173" s="1629" t="s">
        <v>3146</v>
      </c>
      <c r="G173" s="405" t="b">
        <v>1</v>
      </c>
      <c r="H173" s="1638"/>
      <c r="I173" s="1639">
        <v>3000</v>
      </c>
      <c r="J173" s="1639">
        <v>475</v>
      </c>
      <c r="K173" s="1639">
        <v>1100</v>
      </c>
      <c r="L173" s="1640">
        <v>0.43132638888888902</v>
      </c>
      <c r="M173" s="2157">
        <v>3.2999999999999989</v>
      </c>
      <c r="N173" s="1639"/>
      <c r="O173" s="1639">
        <v>3600</v>
      </c>
      <c r="P173" s="1639">
        <v>684</v>
      </c>
      <c r="Q173" s="1639">
        <v>1320</v>
      </c>
      <c r="R173" s="1640">
        <v>0.43132638888888902</v>
      </c>
      <c r="S173" s="2157">
        <v>5.7023999999999981</v>
      </c>
      <c r="T173" s="1639"/>
      <c r="U173" s="1639">
        <v>1754.4106429277199</v>
      </c>
      <c r="V173" s="1639">
        <v>162.44771493428624</v>
      </c>
      <c r="W173" s="1639">
        <v>643.28390240683063</v>
      </c>
      <c r="X173" s="1640">
        <v>0.43132638888888902</v>
      </c>
      <c r="Y173" s="1641">
        <v>0.7</v>
      </c>
      <c r="Z173" s="1854">
        <f>IF($G173,MATCH('Fan Name List'!Y173,'Fan Name List'!$AC$16:$BM$16,1),0)</f>
        <v>6</v>
      </c>
      <c r="AA173" s="1859">
        <f>IF($G173,IF(S173&gt;567,37,MATCH('Fan Name List'!S173,'Fan Name List'!$AC$16:$BM$16,1)+1),0)</f>
        <v>13</v>
      </c>
      <c r="AB173" s="1854"/>
      <c r="AC173" s="1855"/>
      <c r="AD173" s="1855"/>
      <c r="AE173" s="1855"/>
      <c r="AF173" s="1855"/>
      <c r="AG173" s="1855"/>
      <c r="AH173" s="1855"/>
      <c r="AI173" s="1855"/>
      <c r="AJ173" s="1855"/>
      <c r="AK173" s="1855"/>
      <c r="AL173" s="1855"/>
      <c r="AM173" s="1855"/>
      <c r="AN173" s="1855"/>
      <c r="AO173" s="1855"/>
      <c r="AP173" s="1855"/>
      <c r="AQ173" s="1855"/>
      <c r="AR173" s="1855"/>
      <c r="AS173" s="1855"/>
      <c r="AT173" s="1855"/>
      <c r="AU173" s="1855"/>
      <c r="AV173" s="1855"/>
      <c r="AW173" s="1855"/>
      <c r="AX173" s="1855"/>
      <c r="AY173" s="1855"/>
      <c r="AZ173" s="1855"/>
      <c r="BA173" s="1855"/>
      <c r="BB173" s="1855"/>
      <c r="BC173" s="1855"/>
      <c r="BD173" s="1855"/>
      <c r="BE173" s="1855"/>
      <c r="BF173" s="1855"/>
      <c r="BG173" s="1855"/>
      <c r="BH173" s="1855"/>
      <c r="BI173" s="1855"/>
      <c r="BJ173" s="1855"/>
      <c r="BK173" s="1855"/>
      <c r="BL173" s="1855"/>
      <c r="BM173" s="1855"/>
      <c r="BN173" s="1855"/>
      <c r="BO173" s="1855"/>
      <c r="BP173" s="1855"/>
      <c r="BQ173" s="1855"/>
      <c r="BR173" s="1855"/>
      <c r="BS173" s="1855"/>
      <c r="BT173" s="1855"/>
      <c r="BU173" s="1855"/>
      <c r="BV173" s="1855"/>
      <c r="BW173" s="1855"/>
      <c r="BX173" s="1855"/>
      <c r="BY173" s="1855"/>
      <c r="BZ173" s="1855"/>
      <c r="CA173" s="1855"/>
      <c r="CB173" s="1855"/>
      <c r="CC173" s="1855"/>
      <c r="CD173" s="1859"/>
    </row>
    <row r="174" spans="1:82" ht="14.25">
      <c r="A174" s="1628" t="s">
        <v>1702</v>
      </c>
      <c r="B174" s="906" t="s">
        <v>3148</v>
      </c>
      <c r="C174" s="1472" t="s">
        <v>2093</v>
      </c>
      <c r="D174" s="968" t="s">
        <v>3147</v>
      </c>
      <c r="E174" s="1493" t="s">
        <v>1702</v>
      </c>
      <c r="F174" s="1629" t="s">
        <v>3148</v>
      </c>
      <c r="G174" s="405" t="b">
        <v>0</v>
      </c>
      <c r="H174" s="1638"/>
      <c r="I174" s="1639">
        <v>0</v>
      </c>
      <c r="J174" s="1639">
        <v>0</v>
      </c>
      <c r="K174" s="1639">
        <v>0</v>
      </c>
      <c r="L174" s="1640">
        <v>0</v>
      </c>
      <c r="M174" s="2157">
        <v>0</v>
      </c>
      <c r="N174" s="1639"/>
      <c r="O174" s="1639">
        <v>0</v>
      </c>
      <c r="P174" s="1639">
        <v>0</v>
      </c>
      <c r="Q174" s="1639">
        <v>0</v>
      </c>
      <c r="R174" s="1640">
        <v>0</v>
      </c>
      <c r="S174" s="2157">
        <v>0</v>
      </c>
      <c r="T174" s="1639"/>
      <c r="U174" s="1639">
        <v>0</v>
      </c>
      <c r="V174" s="1639">
        <v>0</v>
      </c>
      <c r="W174" s="1639">
        <v>0</v>
      </c>
      <c r="X174" s="1640">
        <v>0</v>
      </c>
      <c r="Y174" s="1641">
        <v>0</v>
      </c>
      <c r="Z174" s="1854">
        <f>IF($G174,MATCH('Fan Name List'!Y174,'Fan Name List'!$AC$16:$BM$16,1),0)</f>
        <v>0</v>
      </c>
      <c r="AA174" s="1859">
        <f>IF($G174,IF(S174&gt;567,37,MATCH('Fan Name List'!S174,'Fan Name List'!$AC$16:$BM$16,1)+1),0)</f>
        <v>0</v>
      </c>
      <c r="AB174" s="1854"/>
      <c r="AC174" s="1855"/>
      <c r="AD174" s="1855"/>
      <c r="AE174" s="1855"/>
      <c r="AF174" s="1855"/>
      <c r="AG174" s="1855"/>
      <c r="AH174" s="1855"/>
      <c r="AI174" s="1855"/>
      <c r="AJ174" s="1855"/>
      <c r="AK174" s="1855"/>
      <c r="AL174" s="1855"/>
      <c r="AM174" s="1855"/>
      <c r="AN174" s="1855"/>
      <c r="AO174" s="1855"/>
      <c r="AP174" s="1855"/>
      <c r="AQ174" s="1855"/>
      <c r="AR174" s="1855"/>
      <c r="AS174" s="1855"/>
      <c r="AT174" s="1855"/>
      <c r="AU174" s="1855"/>
      <c r="AV174" s="1855"/>
      <c r="AW174" s="1855"/>
      <c r="AX174" s="1855"/>
      <c r="AY174" s="1855"/>
      <c r="AZ174" s="1855"/>
      <c r="BA174" s="1855"/>
      <c r="BB174" s="1855"/>
      <c r="BC174" s="1855"/>
      <c r="BD174" s="1855"/>
      <c r="BE174" s="1855"/>
      <c r="BF174" s="1855"/>
      <c r="BG174" s="1855"/>
      <c r="BH174" s="1855"/>
      <c r="BI174" s="1855"/>
      <c r="BJ174" s="1855"/>
      <c r="BK174" s="1855"/>
      <c r="BL174" s="1855"/>
      <c r="BM174" s="1855"/>
      <c r="BN174" s="1855"/>
      <c r="BO174" s="1855"/>
      <c r="BP174" s="1855"/>
      <c r="BQ174" s="1855"/>
      <c r="BR174" s="1855"/>
      <c r="BS174" s="1855"/>
      <c r="BT174" s="1855"/>
      <c r="BU174" s="1855"/>
      <c r="BV174" s="1855"/>
      <c r="BW174" s="1855"/>
      <c r="BX174" s="1855"/>
      <c r="BY174" s="1855"/>
      <c r="BZ174" s="1855"/>
      <c r="CA174" s="1855"/>
      <c r="CB174" s="1855"/>
      <c r="CC174" s="1855"/>
      <c r="CD174" s="1859"/>
    </row>
    <row r="175" spans="1:82" ht="14.25">
      <c r="A175" s="1628" t="s">
        <v>1624</v>
      </c>
      <c r="B175" s="906" t="s">
        <v>3149</v>
      </c>
      <c r="C175" s="1472" t="s">
        <v>2094</v>
      </c>
      <c r="D175" s="968" t="s">
        <v>3150</v>
      </c>
      <c r="E175" s="1493" t="s">
        <v>1624</v>
      </c>
      <c r="F175" s="1629" t="s">
        <v>3149</v>
      </c>
      <c r="G175" s="405" t="b">
        <v>0</v>
      </c>
      <c r="H175" s="1638"/>
      <c r="I175" s="1639">
        <v>0</v>
      </c>
      <c r="J175" s="1639">
        <v>0</v>
      </c>
      <c r="K175" s="1639">
        <v>0</v>
      </c>
      <c r="L175" s="1640">
        <v>0</v>
      </c>
      <c r="M175" s="2157">
        <v>0</v>
      </c>
      <c r="N175" s="1639"/>
      <c r="O175" s="1639">
        <v>0</v>
      </c>
      <c r="P175" s="1639">
        <v>0</v>
      </c>
      <c r="Q175" s="1639">
        <v>0</v>
      </c>
      <c r="R175" s="1640">
        <v>0</v>
      </c>
      <c r="S175" s="2157">
        <v>0</v>
      </c>
      <c r="T175" s="1639"/>
      <c r="U175" s="1639">
        <v>0</v>
      </c>
      <c r="V175" s="1639">
        <v>0</v>
      </c>
      <c r="W175" s="1639">
        <v>0</v>
      </c>
      <c r="X175" s="1640">
        <v>0</v>
      </c>
      <c r="Y175" s="1641">
        <v>0</v>
      </c>
      <c r="Z175" s="1854">
        <f>IF($G175,MATCH('Fan Name List'!Y175,'Fan Name List'!$AC$16:$BM$16,1),0)</f>
        <v>0</v>
      </c>
      <c r="AA175" s="1859">
        <f>IF($G175,IF(S175&gt;567,37,MATCH('Fan Name List'!S175,'Fan Name List'!$AC$16:$BM$16,1)+1),0)</f>
        <v>0</v>
      </c>
      <c r="AB175" s="1854"/>
      <c r="AC175" s="1855"/>
      <c r="AD175" s="1855"/>
      <c r="AE175" s="1855"/>
      <c r="AF175" s="1855"/>
      <c r="AG175" s="1855"/>
      <c r="AH175" s="1855"/>
      <c r="AI175" s="1855"/>
      <c r="AJ175" s="1855"/>
      <c r="AK175" s="1855"/>
      <c r="AL175" s="1855"/>
      <c r="AM175" s="1855"/>
      <c r="AN175" s="1855"/>
      <c r="AO175" s="1855"/>
      <c r="AP175" s="1855"/>
      <c r="AQ175" s="1855"/>
      <c r="AR175" s="1855"/>
      <c r="AS175" s="1855"/>
      <c r="AT175" s="1855"/>
      <c r="AU175" s="1855"/>
      <c r="AV175" s="1855"/>
      <c r="AW175" s="1855"/>
      <c r="AX175" s="1855"/>
      <c r="AY175" s="1855"/>
      <c r="AZ175" s="1855"/>
      <c r="BA175" s="1855"/>
      <c r="BB175" s="1855"/>
      <c r="BC175" s="1855"/>
      <c r="BD175" s="1855"/>
      <c r="BE175" s="1855"/>
      <c r="BF175" s="1855"/>
      <c r="BG175" s="1855"/>
      <c r="BH175" s="1855"/>
      <c r="BI175" s="1855"/>
      <c r="BJ175" s="1855"/>
      <c r="BK175" s="1855"/>
      <c r="BL175" s="1855"/>
      <c r="BM175" s="1855"/>
      <c r="BN175" s="1855"/>
      <c r="BO175" s="1855"/>
      <c r="BP175" s="1855"/>
      <c r="BQ175" s="1855"/>
      <c r="BR175" s="1855"/>
      <c r="BS175" s="1855"/>
      <c r="BT175" s="1855"/>
      <c r="BU175" s="1855"/>
      <c r="BV175" s="1855"/>
      <c r="BW175" s="1855"/>
      <c r="BX175" s="1855"/>
      <c r="BY175" s="1855"/>
      <c r="BZ175" s="1855"/>
      <c r="CA175" s="1855"/>
      <c r="CB175" s="1855"/>
      <c r="CC175" s="1855"/>
      <c r="CD175" s="1859"/>
    </row>
    <row r="176" spans="1:82" ht="14.25">
      <c r="A176" s="1628" t="s">
        <v>1703</v>
      </c>
      <c r="B176" s="906" t="s">
        <v>3151</v>
      </c>
      <c r="C176" s="1472" t="s">
        <v>2094</v>
      </c>
      <c r="D176" s="968" t="s">
        <v>3150</v>
      </c>
      <c r="E176" s="1493" t="s">
        <v>1703</v>
      </c>
      <c r="F176" s="1629" t="s">
        <v>3151</v>
      </c>
      <c r="G176" s="405" t="b">
        <v>1</v>
      </c>
      <c r="H176" s="1638"/>
      <c r="I176" s="1639">
        <v>3000</v>
      </c>
      <c r="J176" s="1639">
        <v>540</v>
      </c>
      <c r="K176" s="1639">
        <v>2325</v>
      </c>
      <c r="L176" s="1640">
        <v>0.67062573529411795</v>
      </c>
      <c r="M176" s="2157">
        <v>5.0999999999999979</v>
      </c>
      <c r="N176" s="1639"/>
      <c r="O176" s="1639">
        <v>3600</v>
      </c>
      <c r="P176" s="1639">
        <v>777.6</v>
      </c>
      <c r="Q176" s="1639">
        <v>2790</v>
      </c>
      <c r="R176" s="1640">
        <v>0.67062573529411795</v>
      </c>
      <c r="S176" s="2157">
        <v>8.8127999999999975</v>
      </c>
      <c r="T176" s="1639"/>
      <c r="U176" s="1639">
        <v>1754.4106429277199</v>
      </c>
      <c r="V176" s="1639">
        <v>184.67740224108331</v>
      </c>
      <c r="W176" s="1639">
        <v>1359.6682482689828</v>
      </c>
      <c r="X176" s="1640">
        <v>0.67062573529411795</v>
      </c>
      <c r="Y176" s="1641">
        <v>1</v>
      </c>
      <c r="Z176" s="1854">
        <f>IF($G176,MATCH('Fan Name List'!Y176,'Fan Name List'!$AC$16:$BM$16,1),0)</f>
        <v>7</v>
      </c>
      <c r="AA176" s="1859">
        <f>IF($G176,IF(S176&gt;567,37,MATCH('Fan Name List'!S176,'Fan Name List'!$AC$16:$BM$16,1)+1),0)</f>
        <v>15</v>
      </c>
      <c r="AB176" s="1854"/>
      <c r="AC176" s="1855"/>
      <c r="AD176" s="1855"/>
      <c r="AE176" s="1855"/>
      <c r="AF176" s="1855"/>
      <c r="AG176" s="1855"/>
      <c r="AH176" s="1855"/>
      <c r="AI176" s="1855"/>
      <c r="AJ176" s="1855"/>
      <c r="AK176" s="1855"/>
      <c r="AL176" s="1855"/>
      <c r="AM176" s="1855"/>
      <c r="AN176" s="1855"/>
      <c r="AO176" s="1855"/>
      <c r="AP176" s="1855"/>
      <c r="AQ176" s="1855"/>
      <c r="AR176" s="1855"/>
      <c r="AS176" s="1855"/>
      <c r="AT176" s="1855"/>
      <c r="AU176" s="1855"/>
      <c r="AV176" s="1855"/>
      <c r="AW176" s="1855"/>
      <c r="AX176" s="1855"/>
      <c r="AY176" s="1855"/>
      <c r="AZ176" s="1855"/>
      <c r="BA176" s="1855"/>
      <c r="BB176" s="1855"/>
      <c r="BC176" s="1855"/>
      <c r="BD176" s="1855"/>
      <c r="BE176" s="1855"/>
      <c r="BF176" s="1855"/>
      <c r="BG176" s="1855"/>
      <c r="BH176" s="1855"/>
      <c r="BI176" s="1855"/>
      <c r="BJ176" s="1855"/>
      <c r="BK176" s="1855"/>
      <c r="BL176" s="1855"/>
      <c r="BM176" s="1855"/>
      <c r="BN176" s="1855"/>
      <c r="BO176" s="1855"/>
      <c r="BP176" s="1855"/>
      <c r="BQ176" s="1855"/>
      <c r="BR176" s="1855"/>
      <c r="BS176" s="1855"/>
      <c r="BT176" s="1855"/>
      <c r="BU176" s="1855"/>
      <c r="BV176" s="1855"/>
      <c r="BW176" s="1855"/>
      <c r="BX176" s="1855"/>
      <c r="BY176" s="1855"/>
      <c r="BZ176" s="1855"/>
      <c r="CA176" s="1855"/>
      <c r="CB176" s="1855"/>
      <c r="CC176" s="1855"/>
      <c r="CD176" s="1859"/>
    </row>
    <row r="177" spans="1:82" ht="14.25">
      <c r="A177" s="1628" t="s">
        <v>1625</v>
      </c>
      <c r="B177" s="906" t="s">
        <v>3152</v>
      </c>
      <c r="C177" s="1472" t="s">
        <v>2095</v>
      </c>
      <c r="D177" s="968" t="s">
        <v>3153</v>
      </c>
      <c r="E177" s="1493" t="s">
        <v>1625</v>
      </c>
      <c r="F177" s="1629" t="s">
        <v>3152</v>
      </c>
      <c r="G177" s="405" t="b">
        <v>1</v>
      </c>
      <c r="H177" s="1638"/>
      <c r="I177" s="1639">
        <v>3000</v>
      </c>
      <c r="J177" s="1639">
        <v>487</v>
      </c>
      <c r="K177" s="1639">
        <v>2300</v>
      </c>
      <c r="L177" s="1640">
        <v>0.52609294540229901</v>
      </c>
      <c r="M177" s="2157">
        <v>5.799999999999998</v>
      </c>
      <c r="N177" s="1639"/>
      <c r="O177" s="1639">
        <v>3600</v>
      </c>
      <c r="P177" s="1639">
        <v>701.28</v>
      </c>
      <c r="Q177" s="1639">
        <v>2760</v>
      </c>
      <c r="R177" s="1640">
        <v>0.52609294540229901</v>
      </c>
      <c r="S177" s="2157">
        <v>10.022399999999996</v>
      </c>
      <c r="T177" s="1639"/>
      <c r="U177" s="1639">
        <v>1754.4106429277199</v>
      </c>
      <c r="V177" s="1639">
        <v>166.55165720631032</v>
      </c>
      <c r="W177" s="1639">
        <v>1345.0481595779186</v>
      </c>
      <c r="X177" s="1640">
        <v>0.52609294540229901</v>
      </c>
      <c r="Y177" s="1641">
        <v>1.2</v>
      </c>
      <c r="Z177" s="1854">
        <f>IF($G177,MATCH('Fan Name List'!Y177,'Fan Name List'!$AC$16:$BM$16,1),0)</f>
        <v>8</v>
      </c>
      <c r="AA177" s="1859">
        <f>IF($G177,IF(S177&gt;567,37,MATCH('Fan Name List'!S177,'Fan Name List'!$AC$16:$BM$16,1)+1),0)</f>
        <v>15</v>
      </c>
      <c r="AB177" s="1854"/>
      <c r="AC177" s="1855"/>
      <c r="AD177" s="1855"/>
      <c r="AE177" s="1855"/>
      <c r="AF177" s="1855"/>
      <c r="AG177" s="1855"/>
      <c r="AH177" s="1855"/>
      <c r="AI177" s="1855"/>
      <c r="AJ177" s="1855"/>
      <c r="AK177" s="1855"/>
      <c r="AL177" s="1855"/>
      <c r="AM177" s="1855"/>
      <c r="AN177" s="1855"/>
      <c r="AO177" s="1855"/>
      <c r="AP177" s="1855"/>
      <c r="AQ177" s="1855"/>
      <c r="AR177" s="1855"/>
      <c r="AS177" s="1855"/>
      <c r="AT177" s="1855"/>
      <c r="AU177" s="1855"/>
      <c r="AV177" s="1855"/>
      <c r="AW177" s="1855"/>
      <c r="AX177" s="1855"/>
      <c r="AY177" s="1855"/>
      <c r="AZ177" s="1855"/>
      <c r="BA177" s="1855"/>
      <c r="BB177" s="1855"/>
      <c r="BC177" s="1855"/>
      <c r="BD177" s="1855"/>
      <c r="BE177" s="1855"/>
      <c r="BF177" s="1855"/>
      <c r="BG177" s="1855"/>
      <c r="BH177" s="1855"/>
      <c r="BI177" s="1855"/>
      <c r="BJ177" s="1855"/>
      <c r="BK177" s="1855"/>
      <c r="BL177" s="1855"/>
      <c r="BM177" s="1855"/>
      <c r="BN177" s="1855"/>
      <c r="BO177" s="1855"/>
      <c r="BP177" s="1855"/>
      <c r="BQ177" s="1855"/>
      <c r="BR177" s="1855"/>
      <c r="BS177" s="1855"/>
      <c r="BT177" s="1855"/>
      <c r="BU177" s="1855"/>
      <c r="BV177" s="1855"/>
      <c r="BW177" s="1855"/>
      <c r="BX177" s="1855"/>
      <c r="BY177" s="1855"/>
      <c r="BZ177" s="1855"/>
      <c r="CA177" s="1855"/>
      <c r="CB177" s="1855"/>
      <c r="CC177" s="1855"/>
      <c r="CD177" s="1859"/>
    </row>
    <row r="178" spans="1:82" ht="14.25">
      <c r="A178" s="1628" t="s">
        <v>1626</v>
      </c>
      <c r="B178" s="906" t="s">
        <v>3154</v>
      </c>
      <c r="C178" s="1472" t="s">
        <v>2097</v>
      </c>
      <c r="D178" s="968" t="s">
        <v>3155</v>
      </c>
      <c r="E178" s="1493" t="s">
        <v>1626</v>
      </c>
      <c r="F178" s="1629" t="s">
        <v>3154</v>
      </c>
      <c r="G178" s="405" t="b">
        <v>1</v>
      </c>
      <c r="H178" s="1638"/>
      <c r="I178" s="1639">
        <v>3000</v>
      </c>
      <c r="J178" s="1639">
        <v>470</v>
      </c>
      <c r="K178" s="1639">
        <v>4135</v>
      </c>
      <c r="L178" s="1640">
        <v>0.60162292140151497</v>
      </c>
      <c r="M178" s="2157">
        <v>8.8000000000000025</v>
      </c>
      <c r="N178" s="1639"/>
      <c r="O178" s="1639">
        <v>3600</v>
      </c>
      <c r="P178" s="1639">
        <v>676.8</v>
      </c>
      <c r="Q178" s="1639">
        <v>4962</v>
      </c>
      <c r="R178" s="1640">
        <v>0.60162292140151497</v>
      </c>
      <c r="S178" s="2157">
        <v>15.206400000000004</v>
      </c>
      <c r="T178" s="1639"/>
      <c r="U178" s="1639">
        <v>1754.4106429277199</v>
      </c>
      <c r="V178" s="1639">
        <v>160.73773898760953</v>
      </c>
      <c r="W178" s="1639">
        <v>2418.1626695020404</v>
      </c>
      <c r="X178" s="1640">
        <v>0.60162292140151497</v>
      </c>
      <c r="Y178" s="1641">
        <v>1.8</v>
      </c>
      <c r="Z178" s="1854">
        <f>IF($G178,MATCH('Fan Name List'!Y178,'Fan Name List'!$AC$16:$BM$16,1),0)</f>
        <v>9</v>
      </c>
      <c r="AA178" s="1859">
        <f>IF($G178,IF(S178&gt;567,37,MATCH('Fan Name List'!S178,'Fan Name List'!$AC$16:$BM$16,1)+1),0)</f>
        <v>16</v>
      </c>
      <c r="AB178" s="1854"/>
      <c r="AC178" s="1855"/>
      <c r="AD178" s="1855"/>
      <c r="AE178" s="1855"/>
      <c r="AF178" s="1855"/>
      <c r="AG178" s="1855"/>
      <c r="AH178" s="1855"/>
      <c r="AI178" s="1855"/>
      <c r="AJ178" s="1855"/>
      <c r="AK178" s="1855"/>
      <c r="AL178" s="1855"/>
      <c r="AM178" s="1855"/>
      <c r="AN178" s="1855"/>
      <c r="AO178" s="1855"/>
      <c r="AP178" s="1855"/>
      <c r="AQ178" s="1855"/>
      <c r="AR178" s="1855"/>
      <c r="AS178" s="1855"/>
      <c r="AT178" s="1855"/>
      <c r="AU178" s="1855"/>
      <c r="AV178" s="1855"/>
      <c r="AW178" s="1855"/>
      <c r="AX178" s="1855"/>
      <c r="AY178" s="1855"/>
      <c r="AZ178" s="1855"/>
      <c r="BA178" s="1855"/>
      <c r="BB178" s="1855"/>
      <c r="BC178" s="1855"/>
      <c r="BD178" s="1855"/>
      <c r="BE178" s="1855"/>
      <c r="BF178" s="1855"/>
      <c r="BG178" s="1855"/>
      <c r="BH178" s="1855"/>
      <c r="BI178" s="1855"/>
      <c r="BJ178" s="1855"/>
      <c r="BK178" s="1855"/>
      <c r="BL178" s="1855"/>
      <c r="BM178" s="1855"/>
      <c r="BN178" s="1855"/>
      <c r="BO178" s="1855"/>
      <c r="BP178" s="1855"/>
      <c r="BQ178" s="1855"/>
      <c r="BR178" s="1855"/>
      <c r="BS178" s="1855"/>
      <c r="BT178" s="1855"/>
      <c r="BU178" s="1855"/>
      <c r="BV178" s="1855"/>
      <c r="BW178" s="1855"/>
      <c r="BX178" s="1855"/>
      <c r="BY178" s="1855"/>
      <c r="BZ178" s="1855"/>
      <c r="CA178" s="1855"/>
      <c r="CB178" s="1855"/>
      <c r="CC178" s="1855"/>
      <c r="CD178" s="1859"/>
    </row>
    <row r="179" spans="1:82" ht="14.25">
      <c r="A179" s="1628" t="s">
        <v>1627</v>
      </c>
      <c r="B179" s="906" t="s">
        <v>3156</v>
      </c>
      <c r="C179" s="1472" t="s">
        <v>2098</v>
      </c>
      <c r="D179" s="968" t="s">
        <v>3157</v>
      </c>
      <c r="E179" s="1493" t="s">
        <v>1627</v>
      </c>
      <c r="F179" s="1629" t="s">
        <v>3156</v>
      </c>
      <c r="G179" s="405" t="b">
        <v>1</v>
      </c>
      <c r="H179" s="1638"/>
      <c r="I179" s="1639">
        <v>3000</v>
      </c>
      <c r="J179" s="1639">
        <v>620</v>
      </c>
      <c r="K179" s="1639">
        <v>1300</v>
      </c>
      <c r="L179" s="1640">
        <v>0.54891958333333302</v>
      </c>
      <c r="M179" s="2157">
        <v>4.0000000000000027</v>
      </c>
      <c r="N179" s="1639"/>
      <c r="O179" s="1639">
        <v>3600</v>
      </c>
      <c r="P179" s="1639">
        <v>892.8</v>
      </c>
      <c r="Q179" s="1639">
        <v>1560</v>
      </c>
      <c r="R179" s="1640">
        <v>0.54891958333333302</v>
      </c>
      <c r="S179" s="2157">
        <v>6.9120000000000053</v>
      </c>
      <c r="T179" s="1639"/>
      <c r="U179" s="1639">
        <v>1754.4106429277199</v>
      </c>
      <c r="V179" s="1639">
        <v>212.03701738791045</v>
      </c>
      <c r="W179" s="1639">
        <v>760.24461193534523</v>
      </c>
      <c r="X179" s="1640">
        <v>0.54891958333333302</v>
      </c>
      <c r="Y179" s="1641">
        <v>0.8</v>
      </c>
      <c r="Z179" s="1854">
        <f>IF($G179,MATCH('Fan Name List'!Y179,'Fan Name List'!$AC$16:$BM$16,1),0)</f>
        <v>6</v>
      </c>
      <c r="AA179" s="1859">
        <f>IF($G179,IF(S179&gt;567,37,MATCH('Fan Name List'!S179,'Fan Name List'!$AC$16:$BM$16,1)+1),0)</f>
        <v>14</v>
      </c>
      <c r="AB179" s="1854"/>
      <c r="AC179" s="1855"/>
      <c r="AD179" s="1855"/>
      <c r="AE179" s="1855"/>
      <c r="AF179" s="1855"/>
      <c r="AG179" s="1855"/>
      <c r="AH179" s="1855"/>
      <c r="AI179" s="1855"/>
      <c r="AJ179" s="1855"/>
      <c r="AK179" s="1855"/>
      <c r="AL179" s="1855"/>
      <c r="AM179" s="1855"/>
      <c r="AN179" s="1855"/>
      <c r="AO179" s="1855"/>
      <c r="AP179" s="1855"/>
      <c r="AQ179" s="1855"/>
      <c r="AR179" s="1855"/>
      <c r="AS179" s="1855"/>
      <c r="AT179" s="1855"/>
      <c r="AU179" s="1855"/>
      <c r="AV179" s="1855"/>
      <c r="AW179" s="1855"/>
      <c r="AX179" s="1855"/>
      <c r="AY179" s="1855"/>
      <c r="AZ179" s="1855"/>
      <c r="BA179" s="1855"/>
      <c r="BB179" s="1855"/>
      <c r="BC179" s="1855"/>
      <c r="BD179" s="1855"/>
      <c r="BE179" s="1855"/>
      <c r="BF179" s="1855"/>
      <c r="BG179" s="1855"/>
      <c r="BH179" s="1855"/>
      <c r="BI179" s="1855"/>
      <c r="BJ179" s="1855"/>
      <c r="BK179" s="1855"/>
      <c r="BL179" s="1855"/>
      <c r="BM179" s="1855"/>
      <c r="BN179" s="1855"/>
      <c r="BO179" s="1855"/>
      <c r="BP179" s="1855"/>
      <c r="BQ179" s="1855"/>
      <c r="BR179" s="1855"/>
      <c r="BS179" s="1855"/>
      <c r="BT179" s="1855"/>
      <c r="BU179" s="1855"/>
      <c r="BV179" s="1855"/>
      <c r="BW179" s="1855"/>
      <c r="BX179" s="1855"/>
      <c r="BY179" s="1855"/>
      <c r="BZ179" s="1855"/>
      <c r="CA179" s="1855"/>
      <c r="CB179" s="1855"/>
      <c r="CC179" s="1855"/>
      <c r="CD179" s="1859"/>
    </row>
    <row r="180" spans="1:82" ht="14.25">
      <c r="A180" s="1628" t="s">
        <v>1628</v>
      </c>
      <c r="B180" s="906" t="s">
        <v>3158</v>
      </c>
      <c r="C180" s="1472" t="s">
        <v>2098</v>
      </c>
      <c r="D180" s="968" t="s">
        <v>3157</v>
      </c>
      <c r="E180" s="1493" t="s">
        <v>1628</v>
      </c>
      <c r="F180" s="1629" t="s">
        <v>3158</v>
      </c>
      <c r="G180" s="405" t="b">
        <v>0</v>
      </c>
      <c r="H180" s="1638"/>
      <c r="I180" s="1639">
        <v>0</v>
      </c>
      <c r="J180" s="1639">
        <v>0</v>
      </c>
      <c r="K180" s="1639">
        <v>0</v>
      </c>
      <c r="L180" s="1640">
        <v>0</v>
      </c>
      <c r="M180" s="2157">
        <v>0</v>
      </c>
      <c r="N180" s="1639"/>
      <c r="O180" s="1639">
        <v>0</v>
      </c>
      <c r="P180" s="1639">
        <v>0</v>
      </c>
      <c r="Q180" s="1639">
        <v>0</v>
      </c>
      <c r="R180" s="1640">
        <v>0</v>
      </c>
      <c r="S180" s="2157">
        <v>0</v>
      </c>
      <c r="T180" s="1639"/>
      <c r="U180" s="1639">
        <v>0</v>
      </c>
      <c r="V180" s="1639">
        <v>0</v>
      </c>
      <c r="W180" s="1639">
        <v>0</v>
      </c>
      <c r="X180" s="1640">
        <v>0</v>
      </c>
      <c r="Y180" s="1641">
        <v>0</v>
      </c>
      <c r="Z180" s="1854">
        <f>IF($G180,MATCH('Fan Name List'!Y180,'Fan Name List'!$AC$16:$BM$16,1),0)</f>
        <v>0</v>
      </c>
      <c r="AA180" s="1859">
        <f>IF($G180,IF(S180&gt;567,37,MATCH('Fan Name List'!S180,'Fan Name List'!$AC$16:$BM$16,1)+1),0)</f>
        <v>0</v>
      </c>
      <c r="AB180" s="1854"/>
      <c r="AC180" s="1855"/>
      <c r="AD180" s="1855"/>
      <c r="AE180" s="1855"/>
      <c r="AF180" s="1855"/>
      <c r="AG180" s="1855"/>
      <c r="AH180" s="1855"/>
      <c r="AI180" s="1855"/>
      <c r="AJ180" s="1855"/>
      <c r="AK180" s="1855"/>
      <c r="AL180" s="1855"/>
      <c r="AM180" s="1855"/>
      <c r="AN180" s="1855"/>
      <c r="AO180" s="1855"/>
      <c r="AP180" s="1855"/>
      <c r="AQ180" s="1855"/>
      <c r="AR180" s="1855"/>
      <c r="AS180" s="1855"/>
      <c r="AT180" s="1855"/>
      <c r="AU180" s="1855"/>
      <c r="AV180" s="1855"/>
      <c r="AW180" s="1855"/>
      <c r="AX180" s="1855"/>
      <c r="AY180" s="1855"/>
      <c r="AZ180" s="1855"/>
      <c r="BA180" s="1855"/>
      <c r="BB180" s="1855"/>
      <c r="BC180" s="1855"/>
      <c r="BD180" s="1855"/>
      <c r="BE180" s="1855"/>
      <c r="BF180" s="1855"/>
      <c r="BG180" s="1855"/>
      <c r="BH180" s="1855"/>
      <c r="BI180" s="1855"/>
      <c r="BJ180" s="1855"/>
      <c r="BK180" s="1855"/>
      <c r="BL180" s="1855"/>
      <c r="BM180" s="1855"/>
      <c r="BN180" s="1855"/>
      <c r="BO180" s="1855"/>
      <c r="BP180" s="1855"/>
      <c r="BQ180" s="1855"/>
      <c r="BR180" s="1855"/>
      <c r="BS180" s="1855"/>
      <c r="BT180" s="1855"/>
      <c r="BU180" s="1855"/>
      <c r="BV180" s="1855"/>
      <c r="BW180" s="1855"/>
      <c r="BX180" s="1855"/>
      <c r="BY180" s="1855"/>
      <c r="BZ180" s="1855"/>
      <c r="CA180" s="1855"/>
      <c r="CB180" s="1855"/>
      <c r="CC180" s="1855"/>
      <c r="CD180" s="1859"/>
    </row>
    <row r="181" spans="1:82" ht="14.25">
      <c r="A181" s="1628" t="s">
        <v>1704</v>
      </c>
      <c r="B181" s="906" t="s">
        <v>3159</v>
      </c>
      <c r="C181" s="1472" t="s">
        <v>2099</v>
      </c>
      <c r="D181" s="968" t="s">
        <v>3160</v>
      </c>
      <c r="E181" s="1493" t="s">
        <v>1704</v>
      </c>
      <c r="F181" s="1629" t="s">
        <v>3159</v>
      </c>
      <c r="G181" s="405" t="b">
        <v>0</v>
      </c>
      <c r="H181" s="1638"/>
      <c r="I181" s="1639">
        <v>0</v>
      </c>
      <c r="J181" s="1639">
        <v>0</v>
      </c>
      <c r="K181" s="1639">
        <v>0</v>
      </c>
      <c r="L181" s="1640">
        <v>0</v>
      </c>
      <c r="M181" s="2157">
        <v>0</v>
      </c>
      <c r="N181" s="1639"/>
      <c r="O181" s="1639">
        <v>0</v>
      </c>
      <c r="P181" s="1639">
        <v>0</v>
      </c>
      <c r="Q181" s="1639">
        <v>0</v>
      </c>
      <c r="R181" s="1640">
        <v>0</v>
      </c>
      <c r="S181" s="2157">
        <v>0</v>
      </c>
      <c r="T181" s="1639"/>
      <c r="U181" s="1639">
        <v>0</v>
      </c>
      <c r="V181" s="1639">
        <v>0</v>
      </c>
      <c r="W181" s="1639">
        <v>0</v>
      </c>
      <c r="X181" s="1640">
        <v>0</v>
      </c>
      <c r="Y181" s="1641">
        <v>0</v>
      </c>
      <c r="Z181" s="1854">
        <f>IF($G181,MATCH('Fan Name List'!Y181,'Fan Name List'!$AC$16:$BM$16,1),0)</f>
        <v>0</v>
      </c>
      <c r="AA181" s="1859">
        <f>IF($G181,IF(S181&gt;567,37,MATCH('Fan Name List'!S181,'Fan Name List'!$AC$16:$BM$16,1)+1),0)</f>
        <v>0</v>
      </c>
      <c r="AB181" s="1854"/>
      <c r="AC181" s="1855"/>
      <c r="AD181" s="1855"/>
      <c r="AE181" s="1855"/>
      <c r="AF181" s="1855"/>
      <c r="AG181" s="1855"/>
      <c r="AH181" s="1855"/>
      <c r="AI181" s="1855"/>
      <c r="AJ181" s="1855"/>
      <c r="AK181" s="1855"/>
      <c r="AL181" s="1855"/>
      <c r="AM181" s="1855"/>
      <c r="AN181" s="1855"/>
      <c r="AO181" s="1855"/>
      <c r="AP181" s="1855"/>
      <c r="AQ181" s="1855"/>
      <c r="AR181" s="1855"/>
      <c r="AS181" s="1855"/>
      <c r="AT181" s="1855"/>
      <c r="AU181" s="1855"/>
      <c r="AV181" s="1855"/>
      <c r="AW181" s="1855"/>
      <c r="AX181" s="1855"/>
      <c r="AY181" s="1855"/>
      <c r="AZ181" s="1855"/>
      <c r="BA181" s="1855"/>
      <c r="BB181" s="1855"/>
      <c r="BC181" s="1855"/>
      <c r="BD181" s="1855"/>
      <c r="BE181" s="1855"/>
      <c r="BF181" s="1855"/>
      <c r="BG181" s="1855"/>
      <c r="BH181" s="1855"/>
      <c r="BI181" s="1855"/>
      <c r="BJ181" s="1855"/>
      <c r="BK181" s="1855"/>
      <c r="BL181" s="1855"/>
      <c r="BM181" s="1855"/>
      <c r="BN181" s="1855"/>
      <c r="BO181" s="1855"/>
      <c r="BP181" s="1855"/>
      <c r="BQ181" s="1855"/>
      <c r="BR181" s="1855"/>
      <c r="BS181" s="1855"/>
      <c r="BT181" s="1855"/>
      <c r="BU181" s="1855"/>
      <c r="BV181" s="1855"/>
      <c r="BW181" s="1855"/>
      <c r="BX181" s="1855"/>
      <c r="BY181" s="1855"/>
      <c r="BZ181" s="1855"/>
      <c r="CA181" s="1855"/>
      <c r="CB181" s="1855"/>
      <c r="CC181" s="1855"/>
      <c r="CD181" s="1859"/>
    </row>
    <row r="182" spans="1:82" ht="14.25">
      <c r="A182" s="1628" t="s">
        <v>1705</v>
      </c>
      <c r="B182" s="906" t="s">
        <v>3161</v>
      </c>
      <c r="C182" s="1472" t="s">
        <v>2099</v>
      </c>
      <c r="D182" s="968" t="s">
        <v>3160</v>
      </c>
      <c r="E182" s="1493" t="s">
        <v>1705</v>
      </c>
      <c r="F182" s="1629" t="s">
        <v>3161</v>
      </c>
      <c r="G182" s="405" t="b">
        <v>1</v>
      </c>
      <c r="H182" s="1638"/>
      <c r="I182" s="1639">
        <v>3000</v>
      </c>
      <c r="J182" s="1639">
        <v>540</v>
      </c>
      <c r="K182" s="1639">
        <v>1976</v>
      </c>
      <c r="L182" s="1640">
        <v>0.62511716129032302</v>
      </c>
      <c r="M182" s="2157">
        <v>4.6499999999999977</v>
      </c>
      <c r="N182" s="1639"/>
      <c r="O182" s="1639">
        <v>3600</v>
      </c>
      <c r="P182" s="1639">
        <v>777.6</v>
      </c>
      <c r="Q182" s="1639">
        <v>2371.1999999999998</v>
      </c>
      <c r="R182" s="1640">
        <v>0.62511716129032302</v>
      </c>
      <c r="S182" s="2157">
        <v>8.0351999999999961</v>
      </c>
      <c r="T182" s="1639"/>
      <c r="U182" s="1639">
        <v>1754.4106429277199</v>
      </c>
      <c r="V182" s="1639">
        <v>184.67740224108331</v>
      </c>
      <c r="W182" s="1639">
        <v>1155.5718101417249</v>
      </c>
      <c r="X182" s="1640">
        <v>0.62511716129032302</v>
      </c>
      <c r="Y182" s="1641">
        <v>0.9</v>
      </c>
      <c r="Z182" s="1854">
        <f>IF($G182,MATCH('Fan Name List'!Y182,'Fan Name List'!$AC$16:$BM$16,1),0)</f>
        <v>7</v>
      </c>
      <c r="AA182" s="1859">
        <f>IF($G182,IF(S182&gt;567,37,MATCH('Fan Name List'!S182,'Fan Name List'!$AC$16:$BM$16,1)+1),0)</f>
        <v>14</v>
      </c>
      <c r="AB182" s="1854"/>
      <c r="AC182" s="1855"/>
      <c r="AD182" s="1855"/>
      <c r="AE182" s="1855"/>
      <c r="AF182" s="1855"/>
      <c r="AG182" s="1855"/>
      <c r="AH182" s="1855"/>
      <c r="AI182" s="1855"/>
      <c r="AJ182" s="1855"/>
      <c r="AK182" s="1855"/>
      <c r="AL182" s="1855"/>
      <c r="AM182" s="1855"/>
      <c r="AN182" s="1855"/>
      <c r="AO182" s="1855"/>
      <c r="AP182" s="1855"/>
      <c r="AQ182" s="1855"/>
      <c r="AR182" s="1855"/>
      <c r="AS182" s="1855"/>
      <c r="AT182" s="1855"/>
      <c r="AU182" s="1855"/>
      <c r="AV182" s="1855"/>
      <c r="AW182" s="1855"/>
      <c r="AX182" s="1855"/>
      <c r="AY182" s="1855"/>
      <c r="AZ182" s="1855"/>
      <c r="BA182" s="1855"/>
      <c r="BB182" s="1855"/>
      <c r="BC182" s="1855"/>
      <c r="BD182" s="1855"/>
      <c r="BE182" s="1855"/>
      <c r="BF182" s="1855"/>
      <c r="BG182" s="1855"/>
      <c r="BH182" s="1855"/>
      <c r="BI182" s="1855"/>
      <c r="BJ182" s="1855"/>
      <c r="BK182" s="1855"/>
      <c r="BL182" s="1855"/>
      <c r="BM182" s="1855"/>
      <c r="BN182" s="1855"/>
      <c r="BO182" s="1855"/>
      <c r="BP182" s="1855"/>
      <c r="BQ182" s="1855"/>
      <c r="BR182" s="1855"/>
      <c r="BS182" s="1855"/>
      <c r="BT182" s="1855"/>
      <c r="BU182" s="1855"/>
      <c r="BV182" s="1855"/>
      <c r="BW182" s="1855"/>
      <c r="BX182" s="1855"/>
      <c r="BY182" s="1855"/>
      <c r="BZ182" s="1855"/>
      <c r="CA182" s="1855"/>
      <c r="CB182" s="1855"/>
      <c r="CC182" s="1855"/>
      <c r="CD182" s="1859"/>
    </row>
    <row r="183" spans="1:82" ht="14.25">
      <c r="A183" s="1628" t="s">
        <v>1706</v>
      </c>
      <c r="B183" s="906" t="s">
        <v>3162</v>
      </c>
      <c r="C183" s="1472" t="s">
        <v>2100</v>
      </c>
      <c r="D183" s="968" t="s">
        <v>3163</v>
      </c>
      <c r="E183" s="1493" t="s">
        <v>1706</v>
      </c>
      <c r="F183" s="1629" t="s">
        <v>3162</v>
      </c>
      <c r="G183" s="405" t="b">
        <v>1</v>
      </c>
      <c r="H183" s="1638"/>
      <c r="I183" s="1639">
        <v>3000</v>
      </c>
      <c r="J183" s="1639">
        <v>550</v>
      </c>
      <c r="K183" s="1639">
        <v>2165</v>
      </c>
      <c r="L183" s="1640">
        <v>0.70517423007246405</v>
      </c>
      <c r="M183" s="2157">
        <v>4.5999999999999979</v>
      </c>
      <c r="N183" s="1639"/>
      <c r="O183" s="1639">
        <v>3600</v>
      </c>
      <c r="P183" s="1639">
        <v>792</v>
      </c>
      <c r="Q183" s="1639">
        <v>2598</v>
      </c>
      <c r="R183" s="1640">
        <v>0.70517423007246405</v>
      </c>
      <c r="S183" s="2157">
        <v>7.9487999999999968</v>
      </c>
      <c r="T183" s="1639"/>
      <c r="U183" s="1639">
        <v>1754.4106429277199</v>
      </c>
      <c r="V183" s="1639">
        <v>188.0973541344367</v>
      </c>
      <c r="W183" s="1639">
        <v>1266.099680646171</v>
      </c>
      <c r="X183" s="1640">
        <v>0.70517423007246405</v>
      </c>
      <c r="Y183" s="1641">
        <v>0.9</v>
      </c>
      <c r="Z183" s="1854">
        <f>IF($G183,MATCH('Fan Name List'!Y183,'Fan Name List'!$AC$16:$BM$16,1),0)</f>
        <v>7</v>
      </c>
      <c r="AA183" s="1859">
        <f>IF($G183,IF(S183&gt;567,37,MATCH('Fan Name List'!S183,'Fan Name List'!$AC$16:$BM$16,1)+1),0)</f>
        <v>14</v>
      </c>
      <c r="AB183" s="1854"/>
      <c r="AC183" s="1855"/>
      <c r="AD183" s="1855"/>
      <c r="AE183" s="1855"/>
      <c r="AF183" s="1855"/>
      <c r="AG183" s="1855"/>
      <c r="AH183" s="1855"/>
      <c r="AI183" s="1855"/>
      <c r="AJ183" s="1855"/>
      <c r="AK183" s="1855"/>
      <c r="AL183" s="1855"/>
      <c r="AM183" s="1855"/>
      <c r="AN183" s="1855"/>
      <c r="AO183" s="1855"/>
      <c r="AP183" s="1855"/>
      <c r="AQ183" s="1855"/>
      <c r="AR183" s="1855"/>
      <c r="AS183" s="1855"/>
      <c r="AT183" s="1855"/>
      <c r="AU183" s="1855"/>
      <c r="AV183" s="1855"/>
      <c r="AW183" s="1855"/>
      <c r="AX183" s="1855"/>
      <c r="AY183" s="1855"/>
      <c r="AZ183" s="1855"/>
      <c r="BA183" s="1855"/>
      <c r="BB183" s="1855"/>
      <c r="BC183" s="1855"/>
      <c r="BD183" s="1855"/>
      <c r="BE183" s="1855"/>
      <c r="BF183" s="1855"/>
      <c r="BG183" s="1855"/>
      <c r="BH183" s="1855"/>
      <c r="BI183" s="1855"/>
      <c r="BJ183" s="1855"/>
      <c r="BK183" s="1855"/>
      <c r="BL183" s="1855"/>
      <c r="BM183" s="1855"/>
      <c r="BN183" s="1855"/>
      <c r="BO183" s="1855"/>
      <c r="BP183" s="1855"/>
      <c r="BQ183" s="1855"/>
      <c r="BR183" s="1855"/>
      <c r="BS183" s="1855"/>
      <c r="BT183" s="1855"/>
      <c r="BU183" s="1855"/>
      <c r="BV183" s="1855"/>
      <c r="BW183" s="1855"/>
      <c r="BX183" s="1855"/>
      <c r="BY183" s="1855"/>
      <c r="BZ183" s="1855"/>
      <c r="CA183" s="1855"/>
      <c r="CB183" s="1855"/>
      <c r="CC183" s="1855"/>
      <c r="CD183" s="1859"/>
    </row>
    <row r="184" spans="1:82" ht="14.25">
      <c r="A184" s="1628" t="s">
        <v>1629</v>
      </c>
      <c r="B184" s="906" t="s">
        <v>3164</v>
      </c>
      <c r="C184" s="1472" t="s">
        <v>2101</v>
      </c>
      <c r="D184" s="968" t="s">
        <v>3165</v>
      </c>
      <c r="E184" s="1493" t="s">
        <v>1629</v>
      </c>
      <c r="F184" s="1629" t="s">
        <v>3164</v>
      </c>
      <c r="G184" s="405" t="b">
        <v>1</v>
      </c>
      <c r="H184" s="1638"/>
      <c r="I184" s="1639">
        <v>3000</v>
      </c>
      <c r="J184" s="1639">
        <v>580</v>
      </c>
      <c r="K184" s="1639">
        <v>2550</v>
      </c>
      <c r="L184" s="1640">
        <v>0.63953055555555605</v>
      </c>
      <c r="M184" s="2157">
        <v>6.2999999999999954</v>
      </c>
      <c r="N184" s="1639"/>
      <c r="O184" s="1639">
        <v>3600</v>
      </c>
      <c r="P184" s="1639">
        <v>835.19999999999993</v>
      </c>
      <c r="Q184" s="1639">
        <v>3060</v>
      </c>
      <c r="R184" s="1640">
        <v>0.63953055555555605</v>
      </c>
      <c r="S184" s="2157">
        <v>10.886399999999993</v>
      </c>
      <c r="T184" s="1639"/>
      <c r="U184" s="1639">
        <v>1754.4106429277199</v>
      </c>
      <c r="V184" s="1639">
        <v>198.35720981449688</v>
      </c>
      <c r="W184" s="1639">
        <v>1491.2490464885618</v>
      </c>
      <c r="X184" s="1640">
        <v>0.63953055555555605</v>
      </c>
      <c r="Y184" s="1641">
        <v>1.3</v>
      </c>
      <c r="Z184" s="1854">
        <f>IF($G184,MATCH('Fan Name List'!Y184,'Fan Name List'!$AC$16:$BM$16,1),0)</f>
        <v>8</v>
      </c>
      <c r="AA184" s="1859">
        <f>IF($G184,IF(S184&gt;567,37,MATCH('Fan Name List'!S184,'Fan Name List'!$AC$16:$BM$16,1)+1),0)</f>
        <v>15</v>
      </c>
      <c r="AB184" s="1854"/>
      <c r="AC184" s="1855"/>
      <c r="AD184" s="1855"/>
      <c r="AE184" s="1855"/>
      <c r="AF184" s="1855"/>
      <c r="AG184" s="1855"/>
      <c r="AH184" s="1855"/>
      <c r="AI184" s="1855"/>
      <c r="AJ184" s="1855"/>
      <c r="AK184" s="1855"/>
      <c r="AL184" s="1855"/>
      <c r="AM184" s="1855"/>
      <c r="AN184" s="1855"/>
      <c r="AO184" s="1855"/>
      <c r="AP184" s="1855"/>
      <c r="AQ184" s="1855"/>
      <c r="AR184" s="1855"/>
      <c r="AS184" s="1855"/>
      <c r="AT184" s="1855"/>
      <c r="AU184" s="1855"/>
      <c r="AV184" s="1855"/>
      <c r="AW184" s="1855"/>
      <c r="AX184" s="1855"/>
      <c r="AY184" s="1855"/>
      <c r="AZ184" s="1855"/>
      <c r="BA184" s="1855"/>
      <c r="BB184" s="1855"/>
      <c r="BC184" s="1855"/>
      <c r="BD184" s="1855"/>
      <c r="BE184" s="1855"/>
      <c r="BF184" s="1855"/>
      <c r="BG184" s="1855"/>
      <c r="BH184" s="1855"/>
      <c r="BI184" s="1855"/>
      <c r="BJ184" s="1855"/>
      <c r="BK184" s="1855"/>
      <c r="BL184" s="1855"/>
      <c r="BM184" s="1855"/>
      <c r="BN184" s="1855"/>
      <c r="BO184" s="1855"/>
      <c r="BP184" s="1855"/>
      <c r="BQ184" s="1855"/>
      <c r="BR184" s="1855"/>
      <c r="BS184" s="1855"/>
      <c r="BT184" s="1855"/>
      <c r="BU184" s="1855"/>
      <c r="BV184" s="1855"/>
      <c r="BW184" s="1855"/>
      <c r="BX184" s="1855"/>
      <c r="BY184" s="1855"/>
      <c r="BZ184" s="1855"/>
      <c r="CA184" s="1855"/>
      <c r="CB184" s="1855"/>
      <c r="CC184" s="1855"/>
      <c r="CD184" s="1859"/>
    </row>
    <row r="185" spans="1:82" ht="14.25">
      <c r="A185" s="1628" t="s">
        <v>1630</v>
      </c>
      <c r="B185" s="906" t="s">
        <v>3166</v>
      </c>
      <c r="C185" s="1472" t="s">
        <v>2102</v>
      </c>
      <c r="D185" s="968" t="s">
        <v>3167</v>
      </c>
      <c r="E185" s="1493" t="s">
        <v>1630</v>
      </c>
      <c r="F185" s="1629" t="s">
        <v>3166</v>
      </c>
      <c r="G185" s="405" t="b">
        <v>1</v>
      </c>
      <c r="H185" s="1638"/>
      <c r="I185" s="1639">
        <v>3000</v>
      </c>
      <c r="J185" s="1639">
        <v>550</v>
      </c>
      <c r="K185" s="1639">
        <v>3250</v>
      </c>
      <c r="L185" s="1640">
        <v>0.64071683114035105</v>
      </c>
      <c r="M185" s="2157">
        <v>7.5999999999999979</v>
      </c>
      <c r="N185" s="1639"/>
      <c r="O185" s="1639">
        <v>3600</v>
      </c>
      <c r="P185" s="1639">
        <v>792</v>
      </c>
      <c r="Q185" s="1639">
        <v>3900</v>
      </c>
      <c r="R185" s="1640">
        <v>0.64071683114035105</v>
      </c>
      <c r="S185" s="2157">
        <v>13.132799999999996</v>
      </c>
      <c r="T185" s="1639"/>
      <c r="U185" s="1639">
        <v>1754.4106429277199</v>
      </c>
      <c r="V185" s="1639">
        <v>188.0973541344367</v>
      </c>
      <c r="W185" s="1639">
        <v>1900.6115298383631</v>
      </c>
      <c r="X185" s="1640">
        <v>0.64071683114035105</v>
      </c>
      <c r="Y185" s="1641">
        <v>1.5</v>
      </c>
      <c r="Z185" s="1854">
        <f>IF($G185,MATCH('Fan Name List'!Y185,'Fan Name List'!$AC$16:$BM$16,1),0)</f>
        <v>8</v>
      </c>
      <c r="AA185" s="1859">
        <f>IF($G185,IF(S185&gt;567,37,MATCH('Fan Name List'!S185,'Fan Name List'!$AC$16:$BM$16,1)+1),0)</f>
        <v>16</v>
      </c>
      <c r="AB185" s="1854"/>
      <c r="AC185" s="1855"/>
      <c r="AD185" s="1855"/>
      <c r="AE185" s="1855"/>
      <c r="AF185" s="1855"/>
      <c r="AG185" s="1855"/>
      <c r="AH185" s="1855"/>
      <c r="AI185" s="1855"/>
      <c r="AJ185" s="1855"/>
      <c r="AK185" s="1855"/>
      <c r="AL185" s="1855"/>
      <c r="AM185" s="1855"/>
      <c r="AN185" s="1855"/>
      <c r="AO185" s="1855"/>
      <c r="AP185" s="1855"/>
      <c r="AQ185" s="1855"/>
      <c r="AR185" s="1855"/>
      <c r="AS185" s="1855"/>
      <c r="AT185" s="1855"/>
      <c r="AU185" s="1855"/>
      <c r="AV185" s="1855"/>
      <c r="AW185" s="1855"/>
      <c r="AX185" s="1855"/>
      <c r="AY185" s="1855"/>
      <c r="AZ185" s="1855"/>
      <c r="BA185" s="1855"/>
      <c r="BB185" s="1855"/>
      <c r="BC185" s="1855"/>
      <c r="BD185" s="1855"/>
      <c r="BE185" s="1855"/>
      <c r="BF185" s="1855"/>
      <c r="BG185" s="1855"/>
      <c r="BH185" s="1855"/>
      <c r="BI185" s="1855"/>
      <c r="BJ185" s="1855"/>
      <c r="BK185" s="1855"/>
      <c r="BL185" s="1855"/>
      <c r="BM185" s="1855"/>
      <c r="BN185" s="1855"/>
      <c r="BO185" s="1855"/>
      <c r="BP185" s="1855"/>
      <c r="BQ185" s="1855"/>
      <c r="BR185" s="1855"/>
      <c r="BS185" s="1855"/>
      <c r="BT185" s="1855"/>
      <c r="BU185" s="1855"/>
      <c r="BV185" s="1855"/>
      <c r="BW185" s="1855"/>
      <c r="BX185" s="1855"/>
      <c r="BY185" s="1855"/>
      <c r="BZ185" s="1855"/>
      <c r="CA185" s="1855"/>
      <c r="CB185" s="1855"/>
      <c r="CC185" s="1855"/>
      <c r="CD185" s="1859"/>
    </row>
    <row r="186" spans="1:82" ht="14.25">
      <c r="A186" s="1628" t="s">
        <v>1631</v>
      </c>
      <c r="B186" s="906" t="s">
        <v>3168</v>
      </c>
      <c r="C186" s="1472" t="s">
        <v>2103</v>
      </c>
      <c r="D186" s="968" t="s">
        <v>3169</v>
      </c>
      <c r="E186" s="1493" t="s">
        <v>1631</v>
      </c>
      <c r="F186" s="1629" t="s">
        <v>3168</v>
      </c>
      <c r="G186" s="405" t="b">
        <v>0</v>
      </c>
      <c r="H186" s="1638"/>
      <c r="I186" s="1639">
        <v>0</v>
      </c>
      <c r="J186" s="1639">
        <v>0</v>
      </c>
      <c r="K186" s="1639">
        <v>0</v>
      </c>
      <c r="L186" s="1640">
        <v>0</v>
      </c>
      <c r="M186" s="2157">
        <v>0</v>
      </c>
      <c r="N186" s="1639"/>
      <c r="O186" s="1639">
        <v>0</v>
      </c>
      <c r="P186" s="1639">
        <v>0</v>
      </c>
      <c r="Q186" s="1639">
        <v>0</v>
      </c>
      <c r="R186" s="1640">
        <v>0</v>
      </c>
      <c r="S186" s="2157">
        <v>0</v>
      </c>
      <c r="T186" s="1639"/>
      <c r="U186" s="1639">
        <v>0</v>
      </c>
      <c r="V186" s="1639">
        <v>0</v>
      </c>
      <c r="W186" s="1639">
        <v>0</v>
      </c>
      <c r="X186" s="1640">
        <v>0</v>
      </c>
      <c r="Y186" s="1641">
        <v>0</v>
      </c>
      <c r="Z186" s="1854">
        <f>IF($G186,MATCH('Fan Name List'!Y186,'Fan Name List'!$AC$16:$BM$16,1),0)</f>
        <v>0</v>
      </c>
      <c r="AA186" s="1859">
        <f>IF($G186,IF(S186&gt;567,37,MATCH('Fan Name List'!S186,'Fan Name List'!$AC$16:$BM$16,1)+1),0)</f>
        <v>0</v>
      </c>
      <c r="AB186" s="1854"/>
      <c r="AC186" s="1855"/>
      <c r="AD186" s="1855"/>
      <c r="AE186" s="1855"/>
      <c r="AF186" s="1855"/>
      <c r="AG186" s="1855"/>
      <c r="AH186" s="1855"/>
      <c r="AI186" s="1855"/>
      <c r="AJ186" s="1855"/>
      <c r="AK186" s="1855"/>
      <c r="AL186" s="1855"/>
      <c r="AM186" s="1855"/>
      <c r="AN186" s="1855"/>
      <c r="AO186" s="1855"/>
      <c r="AP186" s="1855"/>
      <c r="AQ186" s="1855"/>
      <c r="AR186" s="1855"/>
      <c r="AS186" s="1855"/>
      <c r="AT186" s="1855"/>
      <c r="AU186" s="1855"/>
      <c r="AV186" s="1855"/>
      <c r="AW186" s="1855"/>
      <c r="AX186" s="1855"/>
      <c r="AY186" s="1855"/>
      <c r="AZ186" s="1855"/>
      <c r="BA186" s="1855"/>
      <c r="BB186" s="1855"/>
      <c r="BC186" s="1855"/>
      <c r="BD186" s="1855"/>
      <c r="BE186" s="1855"/>
      <c r="BF186" s="1855"/>
      <c r="BG186" s="1855"/>
      <c r="BH186" s="1855"/>
      <c r="BI186" s="1855"/>
      <c r="BJ186" s="1855"/>
      <c r="BK186" s="1855"/>
      <c r="BL186" s="1855"/>
      <c r="BM186" s="1855"/>
      <c r="BN186" s="1855"/>
      <c r="BO186" s="1855"/>
      <c r="BP186" s="1855"/>
      <c r="BQ186" s="1855"/>
      <c r="BR186" s="1855"/>
      <c r="BS186" s="1855"/>
      <c r="BT186" s="1855"/>
      <c r="BU186" s="1855"/>
      <c r="BV186" s="1855"/>
      <c r="BW186" s="1855"/>
      <c r="BX186" s="1855"/>
      <c r="BY186" s="1855"/>
      <c r="BZ186" s="1855"/>
      <c r="CA186" s="1855"/>
      <c r="CB186" s="1855"/>
      <c r="CC186" s="1855"/>
      <c r="CD186" s="1859"/>
    </row>
    <row r="187" spans="1:82" ht="14.25">
      <c r="A187" s="1628" t="s">
        <v>1632</v>
      </c>
      <c r="B187" s="906" t="s">
        <v>3170</v>
      </c>
      <c r="C187" s="1472" t="s">
        <v>2103</v>
      </c>
      <c r="D187" s="968" t="s">
        <v>3169</v>
      </c>
      <c r="E187" s="1493" t="s">
        <v>1632</v>
      </c>
      <c r="F187" s="1629" t="s">
        <v>3170</v>
      </c>
      <c r="G187" s="405" t="b">
        <v>1</v>
      </c>
      <c r="H187" s="1638"/>
      <c r="I187" s="1639">
        <v>3000</v>
      </c>
      <c r="J187" s="1639">
        <v>815</v>
      </c>
      <c r="K187" s="1639">
        <v>1300</v>
      </c>
      <c r="L187" s="1640">
        <v>0.47315648907103802</v>
      </c>
      <c r="M187" s="2157">
        <v>6.1000000000000023</v>
      </c>
      <c r="N187" s="1639"/>
      <c r="O187" s="1639">
        <v>3600</v>
      </c>
      <c r="P187" s="1639">
        <v>1173.5999999999999</v>
      </c>
      <c r="Q187" s="1639">
        <v>1560</v>
      </c>
      <c r="R187" s="1640">
        <v>0.47315648907103802</v>
      </c>
      <c r="S187" s="2157">
        <v>10.540800000000004</v>
      </c>
      <c r="T187" s="1639"/>
      <c r="U187" s="1639">
        <v>1754.4106429277199</v>
      </c>
      <c r="V187" s="1639">
        <v>278.72607930830168</v>
      </c>
      <c r="W187" s="1639">
        <v>760.24461193534523</v>
      </c>
      <c r="X187" s="1640">
        <v>0.47315648907103802</v>
      </c>
      <c r="Y187" s="1641">
        <v>1.2</v>
      </c>
      <c r="Z187" s="1854">
        <f>IF($G187,MATCH('Fan Name List'!Y187,'Fan Name List'!$AC$16:$BM$16,1),0)</f>
        <v>8</v>
      </c>
      <c r="AA187" s="1859">
        <f>IF($G187,IF(S187&gt;567,37,MATCH('Fan Name List'!S187,'Fan Name List'!$AC$16:$BM$16,1)+1),0)</f>
        <v>15</v>
      </c>
      <c r="AB187" s="1854"/>
      <c r="AC187" s="1855"/>
      <c r="AD187" s="1855"/>
      <c r="AE187" s="1855"/>
      <c r="AF187" s="1855"/>
      <c r="AG187" s="1855"/>
      <c r="AH187" s="1855"/>
      <c r="AI187" s="1855"/>
      <c r="AJ187" s="1855"/>
      <c r="AK187" s="1855"/>
      <c r="AL187" s="1855"/>
      <c r="AM187" s="1855"/>
      <c r="AN187" s="1855"/>
      <c r="AO187" s="1855"/>
      <c r="AP187" s="1855"/>
      <c r="AQ187" s="1855"/>
      <c r="AR187" s="1855"/>
      <c r="AS187" s="1855"/>
      <c r="AT187" s="1855"/>
      <c r="AU187" s="1855"/>
      <c r="AV187" s="1855"/>
      <c r="AW187" s="1855"/>
      <c r="AX187" s="1855"/>
      <c r="AY187" s="1855"/>
      <c r="AZ187" s="1855"/>
      <c r="BA187" s="1855"/>
      <c r="BB187" s="1855"/>
      <c r="BC187" s="1855"/>
      <c r="BD187" s="1855"/>
      <c r="BE187" s="1855"/>
      <c r="BF187" s="1855"/>
      <c r="BG187" s="1855"/>
      <c r="BH187" s="1855"/>
      <c r="BI187" s="1855"/>
      <c r="BJ187" s="1855"/>
      <c r="BK187" s="1855"/>
      <c r="BL187" s="1855"/>
      <c r="BM187" s="1855"/>
      <c r="BN187" s="1855"/>
      <c r="BO187" s="1855"/>
      <c r="BP187" s="1855"/>
      <c r="BQ187" s="1855"/>
      <c r="BR187" s="1855"/>
      <c r="BS187" s="1855"/>
      <c r="BT187" s="1855"/>
      <c r="BU187" s="1855"/>
      <c r="BV187" s="1855"/>
      <c r="BW187" s="1855"/>
      <c r="BX187" s="1855"/>
      <c r="BY187" s="1855"/>
      <c r="BZ187" s="1855"/>
      <c r="CA187" s="1855"/>
      <c r="CB187" s="1855"/>
      <c r="CC187" s="1855"/>
      <c r="CD187" s="1859"/>
    </row>
    <row r="188" spans="1:82" ht="14.25">
      <c r="A188" s="1628" t="s">
        <v>1707</v>
      </c>
      <c r="B188" s="906" t="s">
        <v>3171</v>
      </c>
      <c r="C188" s="1472" t="s">
        <v>2104</v>
      </c>
      <c r="D188" s="968" t="s">
        <v>3172</v>
      </c>
      <c r="E188" s="1493" t="s">
        <v>1707</v>
      </c>
      <c r="F188" s="1629" t="s">
        <v>3171</v>
      </c>
      <c r="G188" s="405" t="b">
        <v>0</v>
      </c>
      <c r="H188" s="1638"/>
      <c r="I188" s="1639">
        <v>0</v>
      </c>
      <c r="J188" s="1639">
        <v>0</v>
      </c>
      <c r="K188" s="1639">
        <v>0</v>
      </c>
      <c r="L188" s="1640">
        <v>0</v>
      </c>
      <c r="M188" s="2157">
        <v>0</v>
      </c>
      <c r="N188" s="1639"/>
      <c r="O188" s="1639">
        <v>0</v>
      </c>
      <c r="P188" s="1639">
        <v>0</v>
      </c>
      <c r="Q188" s="1639">
        <v>0</v>
      </c>
      <c r="R188" s="1640">
        <v>0</v>
      </c>
      <c r="S188" s="2157">
        <v>0</v>
      </c>
      <c r="T188" s="1639"/>
      <c r="U188" s="1639">
        <v>0</v>
      </c>
      <c r="V188" s="1639">
        <v>0</v>
      </c>
      <c r="W188" s="1639">
        <v>0</v>
      </c>
      <c r="X188" s="1640">
        <v>0</v>
      </c>
      <c r="Y188" s="1641">
        <v>0</v>
      </c>
      <c r="Z188" s="1854">
        <f>IF($G188,MATCH('Fan Name List'!Y188,'Fan Name List'!$AC$16:$BM$16,1),0)</f>
        <v>0</v>
      </c>
      <c r="AA188" s="1859">
        <f>IF($G188,IF(S188&gt;567,37,MATCH('Fan Name List'!S188,'Fan Name List'!$AC$16:$BM$16,1)+1),0)</f>
        <v>0</v>
      </c>
      <c r="AB188" s="1854"/>
      <c r="AC188" s="1855"/>
      <c r="AD188" s="1855"/>
      <c r="AE188" s="1855"/>
      <c r="AF188" s="1855"/>
      <c r="AG188" s="1855"/>
      <c r="AH188" s="1855"/>
      <c r="AI188" s="1855"/>
      <c r="AJ188" s="1855"/>
      <c r="AK188" s="1855"/>
      <c r="AL188" s="1855"/>
      <c r="AM188" s="1855"/>
      <c r="AN188" s="1855"/>
      <c r="AO188" s="1855"/>
      <c r="AP188" s="1855"/>
      <c r="AQ188" s="1855"/>
      <c r="AR188" s="1855"/>
      <c r="AS188" s="1855"/>
      <c r="AT188" s="1855"/>
      <c r="AU188" s="1855"/>
      <c r="AV188" s="1855"/>
      <c r="AW188" s="1855"/>
      <c r="AX188" s="1855"/>
      <c r="AY188" s="1855"/>
      <c r="AZ188" s="1855"/>
      <c r="BA188" s="1855"/>
      <c r="BB188" s="1855"/>
      <c r="BC188" s="1855"/>
      <c r="BD188" s="1855"/>
      <c r="BE188" s="1855"/>
      <c r="BF188" s="1855"/>
      <c r="BG188" s="1855"/>
      <c r="BH188" s="1855"/>
      <c r="BI188" s="1855"/>
      <c r="BJ188" s="1855"/>
      <c r="BK188" s="1855"/>
      <c r="BL188" s="1855"/>
      <c r="BM188" s="1855"/>
      <c r="BN188" s="1855"/>
      <c r="BO188" s="1855"/>
      <c r="BP188" s="1855"/>
      <c r="BQ188" s="1855"/>
      <c r="BR188" s="1855"/>
      <c r="BS188" s="1855"/>
      <c r="BT188" s="1855"/>
      <c r="BU188" s="1855"/>
      <c r="BV188" s="1855"/>
      <c r="BW188" s="1855"/>
      <c r="BX188" s="1855"/>
      <c r="BY188" s="1855"/>
      <c r="BZ188" s="1855"/>
      <c r="CA188" s="1855"/>
      <c r="CB188" s="1855"/>
      <c r="CC188" s="1855"/>
      <c r="CD188" s="1859"/>
    </row>
    <row r="189" spans="1:82" ht="14.25">
      <c r="A189" s="1628" t="s">
        <v>1708</v>
      </c>
      <c r="B189" s="906" t="s">
        <v>3173</v>
      </c>
      <c r="C189" s="1472" t="s">
        <v>2104</v>
      </c>
      <c r="D189" s="968" t="s">
        <v>3172</v>
      </c>
      <c r="E189" s="1493" t="s">
        <v>1708</v>
      </c>
      <c r="F189" s="1629" t="s">
        <v>3173</v>
      </c>
      <c r="G189" s="405" t="b">
        <v>0</v>
      </c>
      <c r="H189" s="1638"/>
      <c r="I189" s="1639">
        <v>0</v>
      </c>
      <c r="J189" s="1639">
        <v>0</v>
      </c>
      <c r="K189" s="1639">
        <v>0</v>
      </c>
      <c r="L189" s="1640">
        <v>0</v>
      </c>
      <c r="M189" s="2157">
        <v>0</v>
      </c>
      <c r="N189" s="1639"/>
      <c r="O189" s="1639">
        <v>0</v>
      </c>
      <c r="P189" s="1639">
        <v>0</v>
      </c>
      <c r="Q189" s="1639">
        <v>0</v>
      </c>
      <c r="R189" s="1640">
        <v>0</v>
      </c>
      <c r="S189" s="2157">
        <v>0</v>
      </c>
      <c r="T189" s="1639"/>
      <c r="U189" s="1639">
        <v>0</v>
      </c>
      <c r="V189" s="1639">
        <v>0</v>
      </c>
      <c r="W189" s="1639">
        <v>0</v>
      </c>
      <c r="X189" s="1640">
        <v>0</v>
      </c>
      <c r="Y189" s="1641">
        <v>0</v>
      </c>
      <c r="Z189" s="1854">
        <f>IF($G189,MATCH('Fan Name List'!Y189,'Fan Name List'!$AC$16:$BM$16,1),0)</f>
        <v>0</v>
      </c>
      <c r="AA189" s="1859">
        <f>IF($G189,IF(S189&gt;567,37,MATCH('Fan Name List'!S189,'Fan Name List'!$AC$16:$BM$16,1)+1),0)</f>
        <v>0</v>
      </c>
      <c r="AB189" s="1854"/>
      <c r="AC189" s="1855"/>
      <c r="AD189" s="1855"/>
      <c r="AE189" s="1855"/>
      <c r="AF189" s="1855"/>
      <c r="AG189" s="1855"/>
      <c r="AH189" s="1855"/>
      <c r="AI189" s="1855"/>
      <c r="AJ189" s="1855"/>
      <c r="AK189" s="1855"/>
      <c r="AL189" s="1855"/>
      <c r="AM189" s="1855"/>
      <c r="AN189" s="1855"/>
      <c r="AO189" s="1855"/>
      <c r="AP189" s="1855"/>
      <c r="AQ189" s="1855"/>
      <c r="AR189" s="1855"/>
      <c r="AS189" s="1855"/>
      <c r="AT189" s="1855"/>
      <c r="AU189" s="1855"/>
      <c r="AV189" s="1855"/>
      <c r="AW189" s="1855"/>
      <c r="AX189" s="1855"/>
      <c r="AY189" s="1855"/>
      <c r="AZ189" s="1855"/>
      <c r="BA189" s="1855"/>
      <c r="BB189" s="1855"/>
      <c r="BC189" s="1855"/>
      <c r="BD189" s="1855"/>
      <c r="BE189" s="1855"/>
      <c r="BF189" s="1855"/>
      <c r="BG189" s="1855"/>
      <c r="BH189" s="1855"/>
      <c r="BI189" s="1855"/>
      <c r="BJ189" s="1855"/>
      <c r="BK189" s="1855"/>
      <c r="BL189" s="1855"/>
      <c r="BM189" s="1855"/>
      <c r="BN189" s="1855"/>
      <c r="BO189" s="1855"/>
      <c r="BP189" s="1855"/>
      <c r="BQ189" s="1855"/>
      <c r="BR189" s="1855"/>
      <c r="BS189" s="1855"/>
      <c r="BT189" s="1855"/>
      <c r="BU189" s="1855"/>
      <c r="BV189" s="1855"/>
      <c r="BW189" s="1855"/>
      <c r="BX189" s="1855"/>
      <c r="BY189" s="1855"/>
      <c r="BZ189" s="1855"/>
      <c r="CA189" s="1855"/>
      <c r="CB189" s="1855"/>
      <c r="CC189" s="1855"/>
      <c r="CD189" s="1859"/>
    </row>
    <row r="190" spans="1:82" ht="14.25">
      <c r="A190" s="1628" t="s">
        <v>1633</v>
      </c>
      <c r="B190" s="906" t="s">
        <v>3174</v>
      </c>
      <c r="C190" s="1472" t="s">
        <v>2105</v>
      </c>
      <c r="D190" s="968" t="s">
        <v>3175</v>
      </c>
      <c r="E190" s="1493" t="s">
        <v>1633</v>
      </c>
      <c r="F190" s="1629" t="s">
        <v>3174</v>
      </c>
      <c r="G190" s="405" t="b">
        <v>0</v>
      </c>
      <c r="H190" s="1638"/>
      <c r="I190" s="1639">
        <v>0</v>
      </c>
      <c r="J190" s="1639">
        <v>0</v>
      </c>
      <c r="K190" s="1639">
        <v>0</v>
      </c>
      <c r="L190" s="1640">
        <v>0</v>
      </c>
      <c r="M190" s="2157">
        <v>0</v>
      </c>
      <c r="N190" s="1639"/>
      <c r="O190" s="1639">
        <v>0</v>
      </c>
      <c r="P190" s="1639">
        <v>0</v>
      </c>
      <c r="Q190" s="1639">
        <v>0</v>
      </c>
      <c r="R190" s="1640">
        <v>0</v>
      </c>
      <c r="S190" s="2157">
        <v>0</v>
      </c>
      <c r="T190" s="1639"/>
      <c r="U190" s="1639">
        <v>0</v>
      </c>
      <c r="V190" s="1639">
        <v>0</v>
      </c>
      <c r="W190" s="1639">
        <v>0</v>
      </c>
      <c r="X190" s="1640">
        <v>0</v>
      </c>
      <c r="Y190" s="1641">
        <v>0</v>
      </c>
      <c r="Z190" s="1854">
        <f>IF($G190,MATCH('Fan Name List'!Y190,'Fan Name List'!$AC$16:$BM$16,1),0)</f>
        <v>0</v>
      </c>
      <c r="AA190" s="1859">
        <f>IF($G190,IF(S190&gt;567,37,MATCH('Fan Name List'!S190,'Fan Name List'!$AC$16:$BM$16,1)+1),0)</f>
        <v>0</v>
      </c>
      <c r="AB190" s="1854"/>
      <c r="AC190" s="1855"/>
      <c r="AD190" s="1855"/>
      <c r="AE190" s="1855"/>
      <c r="AF190" s="1855"/>
      <c r="AG190" s="1855"/>
      <c r="AH190" s="1855"/>
      <c r="AI190" s="1855"/>
      <c r="AJ190" s="1855"/>
      <c r="AK190" s="1855"/>
      <c r="AL190" s="1855"/>
      <c r="AM190" s="1855"/>
      <c r="AN190" s="1855"/>
      <c r="AO190" s="1855"/>
      <c r="AP190" s="1855"/>
      <c r="AQ190" s="1855"/>
      <c r="AR190" s="1855"/>
      <c r="AS190" s="1855"/>
      <c r="AT190" s="1855"/>
      <c r="AU190" s="1855"/>
      <c r="AV190" s="1855"/>
      <c r="AW190" s="1855"/>
      <c r="AX190" s="1855"/>
      <c r="AY190" s="1855"/>
      <c r="AZ190" s="1855"/>
      <c r="BA190" s="1855"/>
      <c r="BB190" s="1855"/>
      <c r="BC190" s="1855"/>
      <c r="BD190" s="1855"/>
      <c r="BE190" s="1855"/>
      <c r="BF190" s="1855"/>
      <c r="BG190" s="1855"/>
      <c r="BH190" s="1855"/>
      <c r="BI190" s="1855"/>
      <c r="BJ190" s="1855"/>
      <c r="BK190" s="1855"/>
      <c r="BL190" s="1855"/>
      <c r="BM190" s="1855"/>
      <c r="BN190" s="1855"/>
      <c r="BO190" s="1855"/>
      <c r="BP190" s="1855"/>
      <c r="BQ190" s="1855"/>
      <c r="BR190" s="1855"/>
      <c r="BS190" s="1855"/>
      <c r="BT190" s="1855"/>
      <c r="BU190" s="1855"/>
      <c r="BV190" s="1855"/>
      <c r="BW190" s="1855"/>
      <c r="BX190" s="1855"/>
      <c r="BY190" s="1855"/>
      <c r="BZ190" s="1855"/>
      <c r="CA190" s="1855"/>
      <c r="CB190" s="1855"/>
      <c r="CC190" s="1855"/>
      <c r="CD190" s="1859"/>
    </row>
    <row r="191" spans="1:82" ht="14.25">
      <c r="A191" s="1628" t="s">
        <v>1709</v>
      </c>
      <c r="B191" s="906" t="s">
        <v>3176</v>
      </c>
      <c r="C191" s="1472" t="s">
        <v>2105</v>
      </c>
      <c r="D191" s="972" t="s">
        <v>3175</v>
      </c>
      <c r="E191" s="1493" t="s">
        <v>1709</v>
      </c>
      <c r="F191" s="1629" t="s">
        <v>3176</v>
      </c>
      <c r="G191" s="405" t="b">
        <v>0</v>
      </c>
      <c r="H191" s="1638"/>
      <c r="I191" s="1639">
        <v>0</v>
      </c>
      <c r="J191" s="1639">
        <v>0</v>
      </c>
      <c r="K191" s="1639">
        <v>0</v>
      </c>
      <c r="L191" s="1640">
        <v>0</v>
      </c>
      <c r="M191" s="2157">
        <v>0</v>
      </c>
      <c r="N191" s="1639"/>
      <c r="O191" s="1639">
        <v>0</v>
      </c>
      <c r="P191" s="1639">
        <v>0</v>
      </c>
      <c r="Q191" s="1639">
        <v>0</v>
      </c>
      <c r="R191" s="1640">
        <v>0</v>
      </c>
      <c r="S191" s="2157">
        <v>0</v>
      </c>
      <c r="T191" s="1639"/>
      <c r="U191" s="1639">
        <v>0</v>
      </c>
      <c r="V191" s="1639">
        <v>0</v>
      </c>
      <c r="W191" s="1639">
        <v>0</v>
      </c>
      <c r="X191" s="1640">
        <v>0</v>
      </c>
      <c r="Y191" s="1641">
        <v>0</v>
      </c>
      <c r="Z191" s="1854">
        <f>IF($G191,MATCH('Fan Name List'!Y191,'Fan Name List'!$AC$16:$BM$16,1),0)</f>
        <v>0</v>
      </c>
      <c r="AA191" s="1859">
        <f>IF($G191,IF(S191&gt;567,37,MATCH('Fan Name List'!S191,'Fan Name List'!$AC$16:$BM$16,1)+1),0)</f>
        <v>0</v>
      </c>
      <c r="AB191" s="1854"/>
      <c r="AC191" s="1855"/>
      <c r="AD191" s="1855"/>
      <c r="AE191" s="1855"/>
      <c r="AF191" s="1855"/>
      <c r="AG191" s="1855"/>
      <c r="AH191" s="1855"/>
      <c r="AI191" s="1855"/>
      <c r="AJ191" s="1855"/>
      <c r="AK191" s="1855"/>
      <c r="AL191" s="1855"/>
      <c r="AM191" s="1855"/>
      <c r="AN191" s="1855"/>
      <c r="AO191" s="1855"/>
      <c r="AP191" s="1855"/>
      <c r="AQ191" s="1855"/>
      <c r="AR191" s="1855"/>
      <c r="AS191" s="1855"/>
      <c r="AT191" s="1855"/>
      <c r="AU191" s="1855"/>
      <c r="AV191" s="1855"/>
      <c r="AW191" s="1855"/>
      <c r="AX191" s="1855"/>
      <c r="AY191" s="1855"/>
      <c r="AZ191" s="1855"/>
      <c r="BA191" s="1855"/>
      <c r="BB191" s="1855"/>
      <c r="BC191" s="1855"/>
      <c r="BD191" s="1855"/>
      <c r="BE191" s="1855"/>
      <c r="BF191" s="1855"/>
      <c r="BG191" s="1855"/>
      <c r="BH191" s="1855"/>
      <c r="BI191" s="1855"/>
      <c r="BJ191" s="1855"/>
      <c r="BK191" s="1855"/>
      <c r="BL191" s="1855"/>
      <c r="BM191" s="1855"/>
      <c r="BN191" s="1855"/>
      <c r="BO191" s="1855"/>
      <c r="BP191" s="1855"/>
      <c r="BQ191" s="1855"/>
      <c r="BR191" s="1855"/>
      <c r="BS191" s="1855"/>
      <c r="BT191" s="1855"/>
      <c r="BU191" s="1855"/>
      <c r="BV191" s="1855"/>
      <c r="BW191" s="1855"/>
      <c r="BX191" s="1855"/>
      <c r="BY191" s="1855"/>
      <c r="BZ191" s="1855"/>
      <c r="CA191" s="1855"/>
      <c r="CB191" s="1855"/>
      <c r="CC191" s="1855"/>
      <c r="CD191" s="1859"/>
    </row>
    <row r="192" spans="1:82" ht="14.25">
      <c r="A192" s="1628" t="s">
        <v>1634</v>
      </c>
      <c r="B192" s="906" t="s">
        <v>3177</v>
      </c>
      <c r="C192" s="1472" t="s">
        <v>2106</v>
      </c>
      <c r="D192" s="972" t="s">
        <v>3178</v>
      </c>
      <c r="E192" s="1493" t="s">
        <v>1634</v>
      </c>
      <c r="F192" s="1629" t="s">
        <v>3177</v>
      </c>
      <c r="G192" s="405" t="b">
        <v>0</v>
      </c>
      <c r="H192" s="1638"/>
      <c r="I192" s="1639">
        <v>0</v>
      </c>
      <c r="J192" s="1639">
        <v>0</v>
      </c>
      <c r="K192" s="1639">
        <v>0</v>
      </c>
      <c r="L192" s="1640">
        <v>0</v>
      </c>
      <c r="M192" s="2157">
        <v>0</v>
      </c>
      <c r="N192" s="1639"/>
      <c r="O192" s="1639">
        <v>0</v>
      </c>
      <c r="P192" s="1639">
        <v>0</v>
      </c>
      <c r="Q192" s="1639">
        <v>0</v>
      </c>
      <c r="R192" s="1640">
        <v>0</v>
      </c>
      <c r="S192" s="2157">
        <v>0</v>
      </c>
      <c r="T192" s="1639"/>
      <c r="U192" s="1639">
        <v>0</v>
      </c>
      <c r="V192" s="1639">
        <v>0</v>
      </c>
      <c r="W192" s="1639">
        <v>0</v>
      </c>
      <c r="X192" s="1640">
        <v>0</v>
      </c>
      <c r="Y192" s="1641">
        <v>0</v>
      </c>
      <c r="Z192" s="1854">
        <f>IF($G192,MATCH('Fan Name List'!Y192,'Fan Name List'!$AC$16:$BM$16,1),0)</f>
        <v>0</v>
      </c>
      <c r="AA192" s="1859">
        <f>IF($G192,IF(S192&gt;567,37,MATCH('Fan Name List'!S192,'Fan Name List'!$AC$16:$BM$16,1)+1),0)</f>
        <v>0</v>
      </c>
      <c r="AB192" s="1854"/>
      <c r="AC192" s="1855"/>
      <c r="AD192" s="1855"/>
      <c r="AE192" s="1855"/>
      <c r="AF192" s="1855"/>
      <c r="AG192" s="1855"/>
      <c r="AH192" s="1855"/>
      <c r="AI192" s="1855"/>
      <c r="AJ192" s="1855"/>
      <c r="AK192" s="1855"/>
      <c r="AL192" s="1855"/>
      <c r="AM192" s="1855"/>
      <c r="AN192" s="1855"/>
      <c r="AO192" s="1855"/>
      <c r="AP192" s="1855"/>
      <c r="AQ192" s="1855"/>
      <c r="AR192" s="1855"/>
      <c r="AS192" s="1855"/>
      <c r="AT192" s="1855"/>
      <c r="AU192" s="1855"/>
      <c r="AV192" s="1855"/>
      <c r="AW192" s="1855"/>
      <c r="AX192" s="1855"/>
      <c r="AY192" s="1855"/>
      <c r="AZ192" s="1855"/>
      <c r="BA192" s="1855"/>
      <c r="BB192" s="1855"/>
      <c r="BC192" s="1855"/>
      <c r="BD192" s="1855"/>
      <c r="BE192" s="1855"/>
      <c r="BF192" s="1855"/>
      <c r="BG192" s="1855"/>
      <c r="BH192" s="1855"/>
      <c r="BI192" s="1855"/>
      <c r="BJ192" s="1855"/>
      <c r="BK192" s="1855"/>
      <c r="BL192" s="1855"/>
      <c r="BM192" s="1855"/>
      <c r="BN192" s="1855"/>
      <c r="BO192" s="1855"/>
      <c r="BP192" s="1855"/>
      <c r="BQ192" s="1855"/>
      <c r="BR192" s="1855"/>
      <c r="BS192" s="1855"/>
      <c r="BT192" s="1855"/>
      <c r="BU192" s="1855"/>
      <c r="BV192" s="1855"/>
      <c r="BW192" s="1855"/>
      <c r="BX192" s="1855"/>
      <c r="BY192" s="1855"/>
      <c r="BZ192" s="1855"/>
      <c r="CA192" s="1855"/>
      <c r="CB192" s="1855"/>
      <c r="CC192" s="1855"/>
      <c r="CD192" s="1859"/>
    </row>
    <row r="193" spans="1:82" ht="14.25">
      <c r="A193" s="1628" t="s">
        <v>1635</v>
      </c>
      <c r="B193" s="906" t="s">
        <v>3179</v>
      </c>
      <c r="C193" s="1472" t="s">
        <v>2107</v>
      </c>
      <c r="D193" s="968" t="s">
        <v>3180</v>
      </c>
      <c r="E193" s="1493" t="s">
        <v>1635</v>
      </c>
      <c r="F193" s="1629" t="s">
        <v>3179</v>
      </c>
      <c r="G193" s="405" t="b">
        <v>1</v>
      </c>
      <c r="H193" s="1638"/>
      <c r="I193" s="1639">
        <v>3000</v>
      </c>
      <c r="J193" s="1639">
        <v>877.8</v>
      </c>
      <c r="K193" s="1639">
        <v>1430.76</v>
      </c>
      <c r="L193" s="1640">
        <v>0.54306959886666695</v>
      </c>
      <c r="M193" s="2157">
        <v>6.2999999999999972</v>
      </c>
      <c r="N193" s="1639"/>
      <c r="O193" s="1639">
        <v>3600</v>
      </c>
      <c r="P193" s="1639">
        <v>1264.0319999999999</v>
      </c>
      <c r="Q193" s="1639">
        <v>1716.912</v>
      </c>
      <c r="R193" s="1640">
        <v>0.54306959886666695</v>
      </c>
      <c r="S193" s="2157">
        <v>10.886399999999995</v>
      </c>
      <c r="T193" s="1639"/>
      <c r="U193" s="1639">
        <v>1754.4106429277199</v>
      </c>
      <c r="V193" s="1639">
        <v>300.20337719856093</v>
      </c>
      <c r="W193" s="1639">
        <v>836.71352382508815</v>
      </c>
      <c r="X193" s="1640">
        <v>0.54306959886666695</v>
      </c>
      <c r="Y193" s="1641">
        <v>1.3</v>
      </c>
      <c r="Z193" s="1854">
        <f>IF($G193,MATCH('Fan Name List'!Y193,'Fan Name List'!$AC$16:$BM$16,1),0)</f>
        <v>8</v>
      </c>
      <c r="AA193" s="1859">
        <f>IF($G193,IF(S193&gt;567,37,MATCH('Fan Name List'!S193,'Fan Name List'!$AC$16:$BM$16,1)+1),0)</f>
        <v>15</v>
      </c>
      <c r="AB193" s="1854"/>
      <c r="AC193" s="1855"/>
      <c r="AD193" s="1855"/>
      <c r="AE193" s="1855"/>
      <c r="AF193" s="1855"/>
      <c r="AG193" s="1855"/>
      <c r="AH193" s="1855"/>
      <c r="AI193" s="1855"/>
      <c r="AJ193" s="1855"/>
      <c r="AK193" s="1855"/>
      <c r="AL193" s="1855"/>
      <c r="AM193" s="1855"/>
      <c r="AN193" s="1855"/>
      <c r="AO193" s="1855"/>
      <c r="AP193" s="1855"/>
      <c r="AQ193" s="1855"/>
      <c r="AR193" s="1855"/>
      <c r="AS193" s="1855"/>
      <c r="AT193" s="1855"/>
      <c r="AU193" s="1855"/>
      <c r="AV193" s="1855"/>
      <c r="AW193" s="1855"/>
      <c r="AX193" s="1855"/>
      <c r="AY193" s="1855"/>
      <c r="AZ193" s="1855"/>
      <c r="BA193" s="1855"/>
      <c r="BB193" s="1855"/>
      <c r="BC193" s="1855"/>
      <c r="BD193" s="1855"/>
      <c r="BE193" s="1855"/>
      <c r="BF193" s="1855"/>
      <c r="BG193" s="1855"/>
      <c r="BH193" s="1855"/>
      <c r="BI193" s="1855"/>
      <c r="BJ193" s="1855"/>
      <c r="BK193" s="1855"/>
      <c r="BL193" s="1855"/>
      <c r="BM193" s="1855"/>
      <c r="BN193" s="1855"/>
      <c r="BO193" s="1855"/>
      <c r="BP193" s="1855"/>
      <c r="BQ193" s="1855"/>
      <c r="BR193" s="1855"/>
      <c r="BS193" s="1855"/>
      <c r="BT193" s="1855"/>
      <c r="BU193" s="1855"/>
      <c r="BV193" s="1855"/>
      <c r="BW193" s="1855"/>
      <c r="BX193" s="1855"/>
      <c r="BY193" s="1855"/>
      <c r="BZ193" s="1855"/>
      <c r="CA193" s="1855"/>
      <c r="CB193" s="1855"/>
      <c r="CC193" s="1855"/>
      <c r="CD193" s="1859"/>
    </row>
    <row r="194" spans="1:82" ht="14.25">
      <c r="A194" s="1628" t="s">
        <v>1710</v>
      </c>
      <c r="B194" s="906" t="s">
        <v>3181</v>
      </c>
      <c r="C194" s="1472" t="s">
        <v>2108</v>
      </c>
      <c r="D194" s="968" t="s">
        <v>3182</v>
      </c>
      <c r="E194" s="1493" t="s">
        <v>1710</v>
      </c>
      <c r="F194" s="1629" t="s">
        <v>3181</v>
      </c>
      <c r="G194" s="405" t="b">
        <v>1</v>
      </c>
      <c r="H194" s="1638"/>
      <c r="I194" s="1639">
        <v>3000</v>
      </c>
      <c r="J194" s="1639">
        <v>780</v>
      </c>
      <c r="K194" s="1639">
        <v>2100</v>
      </c>
      <c r="L194" s="1640">
        <v>0.59495799999999999</v>
      </c>
      <c r="M194" s="2157">
        <v>7.5</v>
      </c>
      <c r="N194" s="1639"/>
      <c r="O194" s="1639">
        <v>3600</v>
      </c>
      <c r="P194" s="1639">
        <v>1123.2</v>
      </c>
      <c r="Q194" s="1639">
        <v>2520</v>
      </c>
      <c r="R194" s="1640">
        <v>0.59495799999999999</v>
      </c>
      <c r="S194" s="2157">
        <v>12.960000000000003</v>
      </c>
      <c r="T194" s="1639"/>
      <c r="U194" s="1639">
        <v>1754.4106429277199</v>
      </c>
      <c r="V194" s="1639">
        <v>266.75624768156479</v>
      </c>
      <c r="W194" s="1639">
        <v>1228.087450049404</v>
      </c>
      <c r="X194" s="1640">
        <v>0.59495799999999999</v>
      </c>
      <c r="Y194" s="1641">
        <v>1.5</v>
      </c>
      <c r="Z194" s="1854">
        <f>IF($G194,MATCH('Fan Name List'!Y194,'Fan Name List'!$AC$16:$BM$16,1),0)</f>
        <v>8</v>
      </c>
      <c r="AA194" s="1859">
        <f>IF($G194,IF(S194&gt;567,37,MATCH('Fan Name List'!S194,'Fan Name List'!$AC$16:$BM$16,1)+1),0)</f>
        <v>16</v>
      </c>
      <c r="AB194" s="1854"/>
      <c r="AC194" s="1855"/>
      <c r="AD194" s="1855"/>
      <c r="AE194" s="1855"/>
      <c r="AF194" s="1855"/>
      <c r="AG194" s="1855"/>
      <c r="AH194" s="1855"/>
      <c r="AI194" s="1855"/>
      <c r="AJ194" s="1855"/>
      <c r="AK194" s="1855"/>
      <c r="AL194" s="1855"/>
      <c r="AM194" s="1855"/>
      <c r="AN194" s="1855"/>
      <c r="AO194" s="1855"/>
      <c r="AP194" s="1855"/>
      <c r="AQ194" s="1855"/>
      <c r="AR194" s="1855"/>
      <c r="AS194" s="1855"/>
      <c r="AT194" s="1855"/>
      <c r="AU194" s="1855"/>
      <c r="AV194" s="1855"/>
      <c r="AW194" s="1855"/>
      <c r="AX194" s="1855"/>
      <c r="AY194" s="1855"/>
      <c r="AZ194" s="1855"/>
      <c r="BA194" s="1855"/>
      <c r="BB194" s="1855"/>
      <c r="BC194" s="1855"/>
      <c r="BD194" s="1855"/>
      <c r="BE194" s="1855"/>
      <c r="BF194" s="1855"/>
      <c r="BG194" s="1855"/>
      <c r="BH194" s="1855"/>
      <c r="BI194" s="1855"/>
      <c r="BJ194" s="1855"/>
      <c r="BK194" s="1855"/>
      <c r="BL194" s="1855"/>
      <c r="BM194" s="1855"/>
      <c r="BN194" s="1855"/>
      <c r="BO194" s="1855"/>
      <c r="BP194" s="1855"/>
      <c r="BQ194" s="1855"/>
      <c r="BR194" s="1855"/>
      <c r="BS194" s="1855"/>
      <c r="BT194" s="1855"/>
      <c r="BU194" s="1855"/>
      <c r="BV194" s="1855"/>
      <c r="BW194" s="1855"/>
      <c r="BX194" s="1855"/>
      <c r="BY194" s="1855"/>
      <c r="BZ194" s="1855"/>
      <c r="CA194" s="1855"/>
      <c r="CB194" s="1855"/>
      <c r="CC194" s="1855"/>
      <c r="CD194" s="1859"/>
    </row>
    <row r="195" spans="1:82" ht="14.25">
      <c r="A195" s="1628" t="s">
        <v>1711</v>
      </c>
      <c r="B195" s="906" t="s">
        <v>3183</v>
      </c>
      <c r="C195" s="1472" t="s">
        <v>2109</v>
      </c>
      <c r="D195" s="968" t="s">
        <v>3184</v>
      </c>
      <c r="E195" s="1493" t="s">
        <v>1711</v>
      </c>
      <c r="F195" s="1629" t="s">
        <v>3183</v>
      </c>
      <c r="G195" s="405" t="b">
        <v>1</v>
      </c>
      <c r="H195" s="1638"/>
      <c r="I195" s="1639">
        <v>3000</v>
      </c>
      <c r="J195" s="1639">
        <v>785</v>
      </c>
      <c r="K195" s="1639">
        <v>1750</v>
      </c>
      <c r="L195" s="1640">
        <v>0.65654806286549705</v>
      </c>
      <c r="M195" s="2157">
        <v>5.7</v>
      </c>
      <c r="N195" s="1639"/>
      <c r="O195" s="1639">
        <v>3600</v>
      </c>
      <c r="P195" s="1639">
        <v>1130.3999999999999</v>
      </c>
      <c r="Q195" s="1639">
        <v>2100</v>
      </c>
      <c r="R195" s="1640">
        <v>0.65654806286549705</v>
      </c>
      <c r="S195" s="2157">
        <v>9.8496000000000006</v>
      </c>
      <c r="T195" s="1639"/>
      <c r="U195" s="1639">
        <v>1754.4106429277199</v>
      </c>
      <c r="V195" s="1639">
        <v>268.46622362824149</v>
      </c>
      <c r="W195" s="1639">
        <v>1023.4062083745032</v>
      </c>
      <c r="X195" s="1640">
        <v>0.65654806286549705</v>
      </c>
      <c r="Y195" s="1641">
        <v>1.1000000000000001</v>
      </c>
      <c r="Z195" s="1854">
        <f>IF($G195,MATCH('Fan Name List'!Y195,'Fan Name List'!$AC$16:$BM$16,1),0)</f>
        <v>7</v>
      </c>
      <c r="AA195" s="1859">
        <f>IF($G195,IF(S195&gt;567,37,MATCH('Fan Name List'!S195,'Fan Name List'!$AC$16:$BM$16,1)+1),0)</f>
        <v>15</v>
      </c>
      <c r="AB195" s="1854"/>
      <c r="AC195" s="1855"/>
      <c r="AD195" s="1855"/>
      <c r="AE195" s="1855"/>
      <c r="AF195" s="1855"/>
      <c r="AG195" s="1855"/>
      <c r="AH195" s="1855"/>
      <c r="AI195" s="1855"/>
      <c r="AJ195" s="1855"/>
      <c r="AK195" s="1855"/>
      <c r="AL195" s="1855"/>
      <c r="AM195" s="1855"/>
      <c r="AN195" s="1855"/>
      <c r="AO195" s="1855"/>
      <c r="AP195" s="1855"/>
      <c r="AQ195" s="1855"/>
      <c r="AR195" s="1855"/>
      <c r="AS195" s="1855"/>
      <c r="AT195" s="1855"/>
      <c r="AU195" s="1855"/>
      <c r="AV195" s="1855"/>
      <c r="AW195" s="1855"/>
      <c r="AX195" s="1855"/>
      <c r="AY195" s="1855"/>
      <c r="AZ195" s="1855"/>
      <c r="BA195" s="1855"/>
      <c r="BB195" s="1855"/>
      <c r="BC195" s="1855"/>
      <c r="BD195" s="1855"/>
      <c r="BE195" s="1855"/>
      <c r="BF195" s="1855"/>
      <c r="BG195" s="1855"/>
      <c r="BH195" s="1855"/>
      <c r="BI195" s="1855"/>
      <c r="BJ195" s="1855"/>
      <c r="BK195" s="1855"/>
      <c r="BL195" s="1855"/>
      <c r="BM195" s="1855"/>
      <c r="BN195" s="1855"/>
      <c r="BO195" s="1855"/>
      <c r="BP195" s="1855"/>
      <c r="BQ195" s="1855"/>
      <c r="BR195" s="1855"/>
      <c r="BS195" s="1855"/>
      <c r="BT195" s="1855"/>
      <c r="BU195" s="1855"/>
      <c r="BV195" s="1855"/>
      <c r="BW195" s="1855"/>
      <c r="BX195" s="1855"/>
      <c r="BY195" s="1855"/>
      <c r="BZ195" s="1855"/>
      <c r="CA195" s="1855"/>
      <c r="CB195" s="1855"/>
      <c r="CC195" s="1855"/>
      <c r="CD195" s="1859"/>
    </row>
    <row r="196" spans="1:82" ht="14.25">
      <c r="A196" s="1628" t="s">
        <v>1636</v>
      </c>
      <c r="B196" s="906" t="s">
        <v>3185</v>
      </c>
      <c r="C196" s="1472" t="s">
        <v>2110</v>
      </c>
      <c r="D196" s="968" t="s">
        <v>3186</v>
      </c>
      <c r="E196" s="1493" t="s">
        <v>1636</v>
      </c>
      <c r="F196" s="1629" t="s">
        <v>3185</v>
      </c>
      <c r="G196" s="405" t="b">
        <v>1</v>
      </c>
      <c r="H196" s="1638"/>
      <c r="I196" s="1639">
        <v>3000</v>
      </c>
      <c r="J196" s="1639">
        <v>820</v>
      </c>
      <c r="K196" s="1639">
        <v>3650</v>
      </c>
      <c r="L196" s="1640">
        <v>0.617684154040404</v>
      </c>
      <c r="M196" s="2157">
        <v>13.200000000000001</v>
      </c>
      <c r="N196" s="1639"/>
      <c r="O196" s="1639">
        <v>3600</v>
      </c>
      <c r="P196" s="1639">
        <v>1180.8</v>
      </c>
      <c r="Q196" s="1639">
        <v>4380</v>
      </c>
      <c r="R196" s="1640">
        <v>0.617684154040404</v>
      </c>
      <c r="S196" s="2157">
        <v>22.8096</v>
      </c>
      <c r="T196" s="1639"/>
      <c r="U196" s="1639">
        <v>1754.4106429277199</v>
      </c>
      <c r="V196" s="1639">
        <v>280.43605525497833</v>
      </c>
      <c r="W196" s="1639">
        <v>2134.5329488953926</v>
      </c>
      <c r="X196" s="1640">
        <v>0.617684154040404</v>
      </c>
      <c r="Y196" s="1641">
        <v>2.6</v>
      </c>
      <c r="Z196" s="1854">
        <f>IF($G196,MATCH('Fan Name List'!Y196,'Fan Name List'!$AC$16:$BM$16,1),0)</f>
        <v>10</v>
      </c>
      <c r="AA196" s="1859">
        <f>IF($G196,IF(S196&gt;567,37,MATCH('Fan Name List'!S196,'Fan Name List'!$AC$16:$BM$16,1)+1),0)</f>
        <v>18</v>
      </c>
      <c r="AB196" s="1854"/>
      <c r="AC196" s="1855"/>
      <c r="AD196" s="1855"/>
      <c r="AE196" s="1855"/>
      <c r="AF196" s="1855"/>
      <c r="AG196" s="1855"/>
      <c r="AH196" s="1855"/>
      <c r="AI196" s="1855"/>
      <c r="AJ196" s="1855"/>
      <c r="AK196" s="1855"/>
      <c r="AL196" s="1855"/>
      <c r="AM196" s="1855"/>
      <c r="AN196" s="1855"/>
      <c r="AO196" s="1855"/>
      <c r="AP196" s="1855"/>
      <c r="AQ196" s="1855"/>
      <c r="AR196" s="1855"/>
      <c r="AS196" s="1855"/>
      <c r="AT196" s="1855"/>
      <c r="AU196" s="1855"/>
      <c r="AV196" s="1855"/>
      <c r="AW196" s="1855"/>
      <c r="AX196" s="1855"/>
      <c r="AY196" s="1855"/>
      <c r="AZ196" s="1855"/>
      <c r="BA196" s="1855"/>
      <c r="BB196" s="1855"/>
      <c r="BC196" s="1855"/>
      <c r="BD196" s="1855"/>
      <c r="BE196" s="1855"/>
      <c r="BF196" s="1855"/>
      <c r="BG196" s="1855"/>
      <c r="BH196" s="1855"/>
      <c r="BI196" s="1855"/>
      <c r="BJ196" s="1855"/>
      <c r="BK196" s="1855"/>
      <c r="BL196" s="1855"/>
      <c r="BM196" s="1855"/>
      <c r="BN196" s="1855"/>
      <c r="BO196" s="1855"/>
      <c r="BP196" s="1855"/>
      <c r="BQ196" s="1855"/>
      <c r="BR196" s="1855"/>
      <c r="BS196" s="1855"/>
      <c r="BT196" s="1855"/>
      <c r="BU196" s="1855"/>
      <c r="BV196" s="1855"/>
      <c r="BW196" s="1855"/>
      <c r="BX196" s="1855"/>
      <c r="BY196" s="1855"/>
      <c r="BZ196" s="1855"/>
      <c r="CA196" s="1855"/>
      <c r="CB196" s="1855"/>
      <c r="CC196" s="1855"/>
      <c r="CD196" s="1859"/>
    </row>
    <row r="197" spans="1:82" ht="14.25">
      <c r="A197" s="1628" t="s">
        <v>1712</v>
      </c>
      <c r="B197" s="906" t="s">
        <v>3187</v>
      </c>
      <c r="C197" s="1472" t="s">
        <v>2111</v>
      </c>
      <c r="D197" s="968" t="s">
        <v>3188</v>
      </c>
      <c r="E197" s="1493" t="s">
        <v>1712</v>
      </c>
      <c r="F197" s="1629" t="s">
        <v>3187</v>
      </c>
      <c r="G197" s="405" t="b">
        <v>0</v>
      </c>
      <c r="H197" s="1638"/>
      <c r="I197" s="1639">
        <v>0</v>
      </c>
      <c r="J197" s="1639">
        <v>0</v>
      </c>
      <c r="K197" s="1639">
        <v>0</v>
      </c>
      <c r="L197" s="1640">
        <v>0</v>
      </c>
      <c r="M197" s="2157">
        <v>0</v>
      </c>
      <c r="N197" s="1639"/>
      <c r="O197" s="1639">
        <v>0</v>
      </c>
      <c r="P197" s="1639">
        <v>0</v>
      </c>
      <c r="Q197" s="1639">
        <v>0</v>
      </c>
      <c r="R197" s="1640">
        <v>0</v>
      </c>
      <c r="S197" s="2157">
        <v>0</v>
      </c>
      <c r="T197" s="1639"/>
      <c r="U197" s="1639">
        <v>0</v>
      </c>
      <c r="V197" s="1639">
        <v>0</v>
      </c>
      <c r="W197" s="1639">
        <v>0</v>
      </c>
      <c r="X197" s="1640">
        <v>0</v>
      </c>
      <c r="Y197" s="1641">
        <v>0</v>
      </c>
      <c r="Z197" s="1854">
        <f>IF($G197,MATCH('Fan Name List'!Y197,'Fan Name List'!$AC$16:$BM$16,1),0)</f>
        <v>0</v>
      </c>
      <c r="AA197" s="1859">
        <f>IF($G197,IF(S197&gt;567,37,MATCH('Fan Name List'!S197,'Fan Name List'!$AC$16:$BM$16,1)+1),0)</f>
        <v>0</v>
      </c>
      <c r="AB197" s="1854"/>
      <c r="AC197" s="1855"/>
      <c r="AD197" s="1855"/>
      <c r="AE197" s="1855"/>
      <c r="AF197" s="1855"/>
      <c r="AG197" s="1855"/>
      <c r="AH197" s="1855"/>
      <c r="AI197" s="1855"/>
      <c r="AJ197" s="1855"/>
      <c r="AK197" s="1855"/>
      <c r="AL197" s="1855"/>
      <c r="AM197" s="1855"/>
      <c r="AN197" s="1855"/>
      <c r="AO197" s="1855"/>
      <c r="AP197" s="1855"/>
      <c r="AQ197" s="1855"/>
      <c r="AR197" s="1855"/>
      <c r="AS197" s="1855"/>
      <c r="AT197" s="1855"/>
      <c r="AU197" s="1855"/>
      <c r="AV197" s="1855"/>
      <c r="AW197" s="1855"/>
      <c r="AX197" s="1855"/>
      <c r="AY197" s="1855"/>
      <c r="AZ197" s="1855"/>
      <c r="BA197" s="1855"/>
      <c r="BB197" s="1855"/>
      <c r="BC197" s="1855"/>
      <c r="BD197" s="1855"/>
      <c r="BE197" s="1855"/>
      <c r="BF197" s="1855"/>
      <c r="BG197" s="1855"/>
      <c r="BH197" s="1855"/>
      <c r="BI197" s="1855"/>
      <c r="BJ197" s="1855"/>
      <c r="BK197" s="1855"/>
      <c r="BL197" s="1855"/>
      <c r="BM197" s="1855"/>
      <c r="BN197" s="1855"/>
      <c r="BO197" s="1855"/>
      <c r="BP197" s="1855"/>
      <c r="BQ197" s="1855"/>
      <c r="BR197" s="1855"/>
      <c r="BS197" s="1855"/>
      <c r="BT197" s="1855"/>
      <c r="BU197" s="1855"/>
      <c r="BV197" s="1855"/>
      <c r="BW197" s="1855"/>
      <c r="BX197" s="1855"/>
      <c r="BY197" s="1855"/>
      <c r="BZ197" s="1855"/>
      <c r="CA197" s="1855"/>
      <c r="CB197" s="1855"/>
      <c r="CC197" s="1855"/>
      <c r="CD197" s="1859"/>
    </row>
    <row r="198" spans="1:82" ht="14.25">
      <c r="A198" s="1628" t="s">
        <v>1713</v>
      </c>
      <c r="B198" s="906" t="s">
        <v>3189</v>
      </c>
      <c r="C198" s="1472" t="s">
        <v>2112</v>
      </c>
      <c r="D198" s="968" t="s">
        <v>3190</v>
      </c>
      <c r="E198" s="1493" t="s">
        <v>1713</v>
      </c>
      <c r="F198" s="1629" t="s">
        <v>3189</v>
      </c>
      <c r="G198" s="405" t="b">
        <v>1</v>
      </c>
      <c r="H198" s="1638"/>
      <c r="I198" s="1639">
        <v>3000</v>
      </c>
      <c r="J198" s="1639">
        <v>845</v>
      </c>
      <c r="K198" s="1639">
        <v>4250</v>
      </c>
      <c r="L198" s="1640">
        <v>0.60389898405349796</v>
      </c>
      <c r="M198" s="2157">
        <v>16.2</v>
      </c>
      <c r="N198" s="1639"/>
      <c r="O198" s="1639">
        <v>3600</v>
      </c>
      <c r="P198" s="1639">
        <v>1216.8</v>
      </c>
      <c r="Q198" s="1639">
        <v>5100</v>
      </c>
      <c r="R198" s="1640">
        <v>0.60389898405349796</v>
      </c>
      <c r="S198" s="2157">
        <v>27.993599999999997</v>
      </c>
      <c r="T198" s="1639"/>
      <c r="U198" s="1639">
        <v>1754.4106429277199</v>
      </c>
      <c r="V198" s="1639">
        <v>288.98593498836186</v>
      </c>
      <c r="W198" s="1639">
        <v>2485.4150774809364</v>
      </c>
      <c r="X198" s="1640">
        <v>0.60389898405349796</v>
      </c>
      <c r="Y198" s="1641">
        <v>3.2</v>
      </c>
      <c r="Z198" s="1854">
        <f>IF($G198,MATCH('Fan Name List'!Y198,'Fan Name List'!$AC$16:$BM$16,1),0)</f>
        <v>10</v>
      </c>
      <c r="AA198" s="1859">
        <f>IF($G198,IF(S198&gt;567,37,MATCH('Fan Name List'!S198,'Fan Name List'!$AC$16:$BM$16,1)+1),0)</f>
        <v>19</v>
      </c>
      <c r="AB198" s="1854"/>
      <c r="AC198" s="1855"/>
      <c r="AD198" s="1855"/>
      <c r="AE198" s="1855"/>
      <c r="AF198" s="1855"/>
      <c r="AG198" s="1855"/>
      <c r="AH198" s="1855"/>
      <c r="AI198" s="1855"/>
      <c r="AJ198" s="1855"/>
      <c r="AK198" s="1855"/>
      <c r="AL198" s="1855"/>
      <c r="AM198" s="1855"/>
      <c r="AN198" s="1855"/>
      <c r="AO198" s="1855"/>
      <c r="AP198" s="1855"/>
      <c r="AQ198" s="1855"/>
      <c r="AR198" s="1855"/>
      <c r="AS198" s="1855"/>
      <c r="AT198" s="1855"/>
      <c r="AU198" s="1855"/>
      <c r="AV198" s="1855"/>
      <c r="AW198" s="1855"/>
      <c r="AX198" s="1855"/>
      <c r="AY198" s="1855"/>
      <c r="AZ198" s="1855"/>
      <c r="BA198" s="1855"/>
      <c r="BB198" s="1855"/>
      <c r="BC198" s="1855"/>
      <c r="BD198" s="1855"/>
      <c r="BE198" s="1855"/>
      <c r="BF198" s="1855"/>
      <c r="BG198" s="1855"/>
      <c r="BH198" s="1855"/>
      <c r="BI198" s="1855"/>
      <c r="BJ198" s="1855"/>
      <c r="BK198" s="1855"/>
      <c r="BL198" s="1855"/>
      <c r="BM198" s="1855"/>
      <c r="BN198" s="1855"/>
      <c r="BO198" s="1855"/>
      <c r="BP198" s="1855"/>
      <c r="BQ198" s="1855"/>
      <c r="BR198" s="1855"/>
      <c r="BS198" s="1855"/>
      <c r="BT198" s="1855"/>
      <c r="BU198" s="1855"/>
      <c r="BV198" s="1855"/>
      <c r="BW198" s="1855"/>
      <c r="BX198" s="1855"/>
      <c r="BY198" s="1855"/>
      <c r="BZ198" s="1855"/>
      <c r="CA198" s="1855"/>
      <c r="CB198" s="1855"/>
      <c r="CC198" s="1855"/>
      <c r="CD198" s="1859"/>
    </row>
    <row r="199" spans="1:82" ht="14.25">
      <c r="A199" s="1628" t="s">
        <v>1637</v>
      </c>
      <c r="B199" s="906" t="s">
        <v>3191</v>
      </c>
      <c r="C199" s="1472" t="s">
        <v>2113</v>
      </c>
      <c r="D199" s="968" t="s">
        <v>3192</v>
      </c>
      <c r="E199" s="1493" t="s">
        <v>1637</v>
      </c>
      <c r="F199" s="1629" t="s">
        <v>3191</v>
      </c>
      <c r="G199" s="405" t="b">
        <v>0</v>
      </c>
      <c r="H199" s="1638"/>
      <c r="I199" s="1639">
        <v>0</v>
      </c>
      <c r="J199" s="1639">
        <v>0</v>
      </c>
      <c r="K199" s="1639">
        <v>0</v>
      </c>
      <c r="L199" s="1640">
        <v>0</v>
      </c>
      <c r="M199" s="2157">
        <v>0</v>
      </c>
      <c r="N199" s="1639"/>
      <c r="O199" s="1639">
        <v>0</v>
      </c>
      <c r="P199" s="1639">
        <v>0</v>
      </c>
      <c r="Q199" s="1639">
        <v>0</v>
      </c>
      <c r="R199" s="1640">
        <v>0</v>
      </c>
      <c r="S199" s="2157">
        <v>0</v>
      </c>
      <c r="T199" s="1639"/>
      <c r="U199" s="1639">
        <v>0</v>
      </c>
      <c r="V199" s="1639">
        <v>0</v>
      </c>
      <c r="W199" s="1639">
        <v>0</v>
      </c>
      <c r="X199" s="1640">
        <v>0</v>
      </c>
      <c r="Y199" s="1641">
        <v>0</v>
      </c>
      <c r="Z199" s="1854">
        <f>IF($G199,MATCH('Fan Name List'!Y199,'Fan Name List'!$AC$16:$BM$16,1),0)</f>
        <v>0</v>
      </c>
      <c r="AA199" s="1859">
        <f>IF($G199,IF(S199&gt;567,37,MATCH('Fan Name List'!S199,'Fan Name List'!$AC$16:$BM$16,1)+1),0)</f>
        <v>0</v>
      </c>
      <c r="AB199" s="1854"/>
      <c r="AC199" s="1855"/>
      <c r="AD199" s="1855"/>
      <c r="AE199" s="1855"/>
      <c r="AF199" s="1855"/>
      <c r="AG199" s="1855"/>
      <c r="AH199" s="1855"/>
      <c r="AI199" s="1855"/>
      <c r="AJ199" s="1855"/>
      <c r="AK199" s="1855"/>
      <c r="AL199" s="1855"/>
      <c r="AM199" s="1855"/>
      <c r="AN199" s="1855"/>
      <c r="AO199" s="1855"/>
      <c r="AP199" s="1855"/>
      <c r="AQ199" s="1855"/>
      <c r="AR199" s="1855"/>
      <c r="AS199" s="1855"/>
      <c r="AT199" s="1855"/>
      <c r="AU199" s="1855"/>
      <c r="AV199" s="1855"/>
      <c r="AW199" s="1855"/>
      <c r="AX199" s="1855"/>
      <c r="AY199" s="1855"/>
      <c r="AZ199" s="1855"/>
      <c r="BA199" s="1855"/>
      <c r="BB199" s="1855"/>
      <c r="BC199" s="1855"/>
      <c r="BD199" s="1855"/>
      <c r="BE199" s="1855"/>
      <c r="BF199" s="1855"/>
      <c r="BG199" s="1855"/>
      <c r="BH199" s="1855"/>
      <c r="BI199" s="1855"/>
      <c r="BJ199" s="1855"/>
      <c r="BK199" s="1855"/>
      <c r="BL199" s="1855"/>
      <c r="BM199" s="1855"/>
      <c r="BN199" s="1855"/>
      <c r="BO199" s="1855"/>
      <c r="BP199" s="1855"/>
      <c r="BQ199" s="1855"/>
      <c r="BR199" s="1855"/>
      <c r="BS199" s="1855"/>
      <c r="BT199" s="1855"/>
      <c r="BU199" s="1855"/>
      <c r="BV199" s="1855"/>
      <c r="BW199" s="1855"/>
      <c r="BX199" s="1855"/>
      <c r="BY199" s="1855"/>
      <c r="BZ199" s="1855"/>
      <c r="CA199" s="1855"/>
      <c r="CB199" s="1855"/>
      <c r="CC199" s="1855"/>
      <c r="CD199" s="1859"/>
    </row>
    <row r="200" spans="1:82" ht="14.25">
      <c r="A200" s="1628" t="s">
        <v>1714</v>
      </c>
      <c r="B200" s="906" t="s">
        <v>3193</v>
      </c>
      <c r="C200" s="1472" t="s">
        <v>2114</v>
      </c>
      <c r="D200" s="968" t="s">
        <v>3194</v>
      </c>
      <c r="E200" s="1493" t="s">
        <v>1714</v>
      </c>
      <c r="F200" s="1629" t="s">
        <v>3193</v>
      </c>
      <c r="G200" s="405" t="b">
        <v>0</v>
      </c>
      <c r="H200" s="1638"/>
      <c r="I200" s="1639">
        <v>0</v>
      </c>
      <c r="J200" s="1639">
        <v>0</v>
      </c>
      <c r="K200" s="1639">
        <v>0</v>
      </c>
      <c r="L200" s="1640">
        <v>0</v>
      </c>
      <c r="M200" s="2157">
        <v>0</v>
      </c>
      <c r="N200" s="1639"/>
      <c r="O200" s="1639">
        <v>0</v>
      </c>
      <c r="P200" s="1639">
        <v>0</v>
      </c>
      <c r="Q200" s="1639">
        <v>0</v>
      </c>
      <c r="R200" s="1640">
        <v>0</v>
      </c>
      <c r="S200" s="2157">
        <v>0</v>
      </c>
      <c r="T200" s="1639"/>
      <c r="U200" s="1639">
        <v>0</v>
      </c>
      <c r="V200" s="1639">
        <v>0</v>
      </c>
      <c r="W200" s="1639">
        <v>0</v>
      </c>
      <c r="X200" s="1640">
        <v>0</v>
      </c>
      <c r="Y200" s="1641">
        <v>0</v>
      </c>
      <c r="Z200" s="1854">
        <f>IF($G200,MATCH('Fan Name List'!Y200,'Fan Name List'!$AC$16:$BM$16,1),0)</f>
        <v>0</v>
      </c>
      <c r="AA200" s="1859">
        <f>IF($G200,IF(S200&gt;567,37,MATCH('Fan Name List'!S200,'Fan Name List'!$AC$16:$BM$16,1)+1),0)</f>
        <v>0</v>
      </c>
      <c r="AB200" s="1854"/>
      <c r="AC200" s="1855"/>
      <c r="AD200" s="1855"/>
      <c r="AE200" s="1855"/>
      <c r="AF200" s="1855"/>
      <c r="AG200" s="1855"/>
      <c r="AH200" s="1855"/>
      <c r="AI200" s="1855"/>
      <c r="AJ200" s="1855"/>
      <c r="AK200" s="1855"/>
      <c r="AL200" s="1855"/>
      <c r="AM200" s="1855"/>
      <c r="AN200" s="1855"/>
      <c r="AO200" s="1855"/>
      <c r="AP200" s="1855"/>
      <c r="AQ200" s="1855"/>
      <c r="AR200" s="1855"/>
      <c r="AS200" s="1855"/>
      <c r="AT200" s="1855"/>
      <c r="AU200" s="1855"/>
      <c r="AV200" s="1855"/>
      <c r="AW200" s="1855"/>
      <c r="AX200" s="1855"/>
      <c r="AY200" s="1855"/>
      <c r="AZ200" s="1855"/>
      <c r="BA200" s="1855"/>
      <c r="BB200" s="1855"/>
      <c r="BC200" s="1855"/>
      <c r="BD200" s="1855"/>
      <c r="BE200" s="1855"/>
      <c r="BF200" s="1855"/>
      <c r="BG200" s="1855"/>
      <c r="BH200" s="1855"/>
      <c r="BI200" s="1855"/>
      <c r="BJ200" s="1855"/>
      <c r="BK200" s="1855"/>
      <c r="BL200" s="1855"/>
      <c r="BM200" s="1855"/>
      <c r="BN200" s="1855"/>
      <c r="BO200" s="1855"/>
      <c r="BP200" s="1855"/>
      <c r="BQ200" s="1855"/>
      <c r="BR200" s="1855"/>
      <c r="BS200" s="1855"/>
      <c r="BT200" s="1855"/>
      <c r="BU200" s="1855"/>
      <c r="BV200" s="1855"/>
      <c r="BW200" s="1855"/>
      <c r="BX200" s="1855"/>
      <c r="BY200" s="1855"/>
      <c r="BZ200" s="1855"/>
      <c r="CA200" s="1855"/>
      <c r="CB200" s="1855"/>
      <c r="CC200" s="1855"/>
      <c r="CD200" s="1859"/>
    </row>
    <row r="201" spans="1:82" ht="14.25">
      <c r="A201" s="1628" t="s">
        <v>1638</v>
      </c>
      <c r="B201" s="906" t="s">
        <v>3195</v>
      </c>
      <c r="C201" s="1472" t="s">
        <v>2115</v>
      </c>
      <c r="D201" s="968" t="s">
        <v>609</v>
      </c>
      <c r="E201" s="1493" t="s">
        <v>1638</v>
      </c>
      <c r="F201" s="1629" t="s">
        <v>3195</v>
      </c>
      <c r="G201" s="405" t="b">
        <v>0</v>
      </c>
      <c r="H201" s="1638"/>
      <c r="I201" s="1639">
        <v>0</v>
      </c>
      <c r="J201" s="1639">
        <v>0</v>
      </c>
      <c r="K201" s="1639">
        <v>0</v>
      </c>
      <c r="L201" s="1640">
        <v>0</v>
      </c>
      <c r="M201" s="2157">
        <v>0</v>
      </c>
      <c r="N201" s="1639"/>
      <c r="O201" s="1639">
        <v>0</v>
      </c>
      <c r="P201" s="1639">
        <v>0</v>
      </c>
      <c r="Q201" s="1639">
        <v>0</v>
      </c>
      <c r="R201" s="1640">
        <v>0</v>
      </c>
      <c r="S201" s="2157">
        <v>0</v>
      </c>
      <c r="T201" s="1639"/>
      <c r="U201" s="1639">
        <v>0</v>
      </c>
      <c r="V201" s="1639">
        <v>0</v>
      </c>
      <c r="W201" s="1639">
        <v>0</v>
      </c>
      <c r="X201" s="1640">
        <v>0</v>
      </c>
      <c r="Y201" s="1641">
        <v>0</v>
      </c>
      <c r="Z201" s="1854">
        <f>IF($G201,MATCH('Fan Name List'!Y201,'Fan Name List'!$AC$16:$BM$16,1),0)</f>
        <v>0</v>
      </c>
      <c r="AA201" s="1859">
        <f>IF($G201,IF(S201&gt;567,37,MATCH('Fan Name List'!S201,'Fan Name List'!$AC$16:$BM$16,1)+1),0)</f>
        <v>0</v>
      </c>
      <c r="AB201" s="1854"/>
      <c r="AC201" s="1855"/>
      <c r="AD201" s="1855"/>
      <c r="AE201" s="1855"/>
      <c r="AF201" s="1855"/>
      <c r="AG201" s="1855"/>
      <c r="AH201" s="1855"/>
      <c r="AI201" s="1855"/>
      <c r="AJ201" s="1855"/>
      <c r="AK201" s="1855"/>
      <c r="AL201" s="1855"/>
      <c r="AM201" s="1855"/>
      <c r="AN201" s="1855"/>
      <c r="AO201" s="1855"/>
      <c r="AP201" s="1855"/>
      <c r="AQ201" s="1855"/>
      <c r="AR201" s="1855"/>
      <c r="AS201" s="1855"/>
      <c r="AT201" s="1855"/>
      <c r="AU201" s="1855"/>
      <c r="AV201" s="1855"/>
      <c r="AW201" s="1855"/>
      <c r="AX201" s="1855"/>
      <c r="AY201" s="1855"/>
      <c r="AZ201" s="1855"/>
      <c r="BA201" s="1855"/>
      <c r="BB201" s="1855"/>
      <c r="BC201" s="1855"/>
      <c r="BD201" s="1855"/>
      <c r="BE201" s="1855"/>
      <c r="BF201" s="1855"/>
      <c r="BG201" s="1855"/>
      <c r="BH201" s="1855"/>
      <c r="BI201" s="1855"/>
      <c r="BJ201" s="1855"/>
      <c r="BK201" s="1855"/>
      <c r="BL201" s="1855"/>
      <c r="BM201" s="1855"/>
      <c r="BN201" s="1855"/>
      <c r="BO201" s="1855"/>
      <c r="BP201" s="1855"/>
      <c r="BQ201" s="1855"/>
      <c r="BR201" s="1855"/>
      <c r="BS201" s="1855"/>
      <c r="BT201" s="1855"/>
      <c r="BU201" s="1855"/>
      <c r="BV201" s="1855"/>
      <c r="BW201" s="1855"/>
      <c r="BX201" s="1855"/>
      <c r="BY201" s="1855"/>
      <c r="BZ201" s="1855"/>
      <c r="CA201" s="1855"/>
      <c r="CB201" s="1855"/>
      <c r="CC201" s="1855"/>
      <c r="CD201" s="1859"/>
    </row>
    <row r="202" spans="1:82" ht="14.25">
      <c r="A202" s="1628" t="s">
        <v>1715</v>
      </c>
      <c r="B202" s="906" t="s">
        <v>3196</v>
      </c>
      <c r="C202" s="1472" t="s">
        <v>2116</v>
      </c>
      <c r="D202" s="968" t="s">
        <v>609</v>
      </c>
      <c r="E202" s="1493" t="s">
        <v>1715</v>
      </c>
      <c r="F202" s="1629" t="s">
        <v>3196</v>
      </c>
      <c r="G202" s="405" t="b">
        <v>0</v>
      </c>
      <c r="H202" s="1638"/>
      <c r="I202" s="1639">
        <v>0</v>
      </c>
      <c r="J202" s="1639">
        <v>0</v>
      </c>
      <c r="K202" s="1639">
        <v>0</v>
      </c>
      <c r="L202" s="1640">
        <v>0</v>
      </c>
      <c r="M202" s="2157">
        <v>0</v>
      </c>
      <c r="N202" s="1639"/>
      <c r="O202" s="1639">
        <v>0</v>
      </c>
      <c r="P202" s="1639">
        <v>0</v>
      </c>
      <c r="Q202" s="1639">
        <v>0</v>
      </c>
      <c r="R202" s="1640">
        <v>0</v>
      </c>
      <c r="S202" s="2157">
        <v>0</v>
      </c>
      <c r="T202" s="1639"/>
      <c r="U202" s="1639">
        <v>0</v>
      </c>
      <c r="V202" s="1639">
        <v>0</v>
      </c>
      <c r="W202" s="1639">
        <v>0</v>
      </c>
      <c r="X202" s="1640">
        <v>0</v>
      </c>
      <c r="Y202" s="1641">
        <v>0</v>
      </c>
      <c r="Z202" s="1854">
        <f>IF($G202,MATCH('Fan Name List'!Y202,'Fan Name List'!$AC$16:$BM$16,1),0)</f>
        <v>0</v>
      </c>
      <c r="AA202" s="1859">
        <f>IF($G202,IF(S202&gt;567,37,MATCH('Fan Name List'!S202,'Fan Name List'!$AC$16:$BM$16,1)+1),0)</f>
        <v>0</v>
      </c>
      <c r="AB202" s="1854"/>
      <c r="AC202" s="1855"/>
      <c r="AD202" s="1855"/>
      <c r="AE202" s="1855"/>
      <c r="AF202" s="1855"/>
      <c r="AG202" s="1855"/>
      <c r="AH202" s="1855"/>
      <c r="AI202" s="1855"/>
      <c r="AJ202" s="1855"/>
      <c r="AK202" s="1855"/>
      <c r="AL202" s="1855"/>
      <c r="AM202" s="1855"/>
      <c r="AN202" s="1855"/>
      <c r="AO202" s="1855"/>
      <c r="AP202" s="1855"/>
      <c r="AQ202" s="1855"/>
      <c r="AR202" s="1855"/>
      <c r="AS202" s="1855"/>
      <c r="AT202" s="1855"/>
      <c r="AU202" s="1855"/>
      <c r="AV202" s="1855"/>
      <c r="AW202" s="1855"/>
      <c r="AX202" s="1855"/>
      <c r="AY202" s="1855"/>
      <c r="AZ202" s="1855"/>
      <c r="BA202" s="1855"/>
      <c r="BB202" s="1855"/>
      <c r="BC202" s="1855"/>
      <c r="BD202" s="1855"/>
      <c r="BE202" s="1855"/>
      <c r="BF202" s="1855"/>
      <c r="BG202" s="1855"/>
      <c r="BH202" s="1855"/>
      <c r="BI202" s="1855"/>
      <c r="BJ202" s="1855"/>
      <c r="BK202" s="1855"/>
      <c r="BL202" s="1855"/>
      <c r="BM202" s="1855"/>
      <c r="BN202" s="1855"/>
      <c r="BO202" s="1855"/>
      <c r="BP202" s="1855"/>
      <c r="BQ202" s="1855"/>
      <c r="BR202" s="1855"/>
      <c r="BS202" s="1855"/>
      <c r="BT202" s="1855"/>
      <c r="BU202" s="1855"/>
      <c r="BV202" s="1855"/>
      <c r="BW202" s="1855"/>
      <c r="BX202" s="1855"/>
      <c r="BY202" s="1855"/>
      <c r="BZ202" s="1855"/>
      <c r="CA202" s="1855"/>
      <c r="CB202" s="1855"/>
      <c r="CC202" s="1855"/>
      <c r="CD202" s="1859"/>
    </row>
    <row r="203" spans="1:82" ht="14.25">
      <c r="A203" s="1628" t="s">
        <v>1639</v>
      </c>
      <c r="B203" s="906" t="s">
        <v>3067</v>
      </c>
      <c r="C203" s="1472" t="s">
        <v>2117</v>
      </c>
      <c r="D203" s="968" t="s">
        <v>3197</v>
      </c>
      <c r="E203" s="1493" t="s">
        <v>1639</v>
      </c>
      <c r="F203" s="1629" t="s">
        <v>3067</v>
      </c>
      <c r="G203" s="405" t="b">
        <v>0</v>
      </c>
      <c r="H203" s="1638"/>
      <c r="I203" s="1639">
        <v>0</v>
      </c>
      <c r="J203" s="1639">
        <v>0</v>
      </c>
      <c r="K203" s="1639">
        <v>0</v>
      </c>
      <c r="L203" s="1640">
        <v>0</v>
      </c>
      <c r="M203" s="2157">
        <v>0</v>
      </c>
      <c r="N203" s="1639"/>
      <c r="O203" s="1639">
        <v>0</v>
      </c>
      <c r="P203" s="1639">
        <v>0</v>
      </c>
      <c r="Q203" s="1639">
        <v>0</v>
      </c>
      <c r="R203" s="1640">
        <v>0</v>
      </c>
      <c r="S203" s="2157">
        <v>0</v>
      </c>
      <c r="T203" s="1639"/>
      <c r="U203" s="1639">
        <v>0</v>
      </c>
      <c r="V203" s="1639">
        <v>0</v>
      </c>
      <c r="W203" s="1639">
        <v>0</v>
      </c>
      <c r="X203" s="1640">
        <v>0</v>
      </c>
      <c r="Y203" s="1641">
        <v>0</v>
      </c>
      <c r="Z203" s="1854">
        <f>IF($G203,MATCH('Fan Name List'!Y203,'Fan Name List'!$AC$16:$BM$16,1),0)</f>
        <v>0</v>
      </c>
      <c r="AA203" s="1859">
        <f>IF($G203,IF(S203&gt;567,37,MATCH('Fan Name List'!S203,'Fan Name List'!$AC$16:$BM$16,1)+1),0)</f>
        <v>0</v>
      </c>
      <c r="AB203" s="1854"/>
      <c r="AC203" s="1855"/>
      <c r="AD203" s="1855"/>
      <c r="AE203" s="1855"/>
      <c r="AF203" s="1855"/>
      <c r="AG203" s="1855"/>
      <c r="AH203" s="1855"/>
      <c r="AI203" s="1855"/>
      <c r="AJ203" s="1855"/>
      <c r="AK203" s="1855"/>
      <c r="AL203" s="1855"/>
      <c r="AM203" s="1855"/>
      <c r="AN203" s="1855"/>
      <c r="AO203" s="1855"/>
      <c r="AP203" s="1855"/>
      <c r="AQ203" s="1855"/>
      <c r="AR203" s="1855"/>
      <c r="AS203" s="1855"/>
      <c r="AT203" s="1855"/>
      <c r="AU203" s="1855"/>
      <c r="AV203" s="1855"/>
      <c r="AW203" s="1855"/>
      <c r="AX203" s="1855"/>
      <c r="AY203" s="1855"/>
      <c r="AZ203" s="1855"/>
      <c r="BA203" s="1855"/>
      <c r="BB203" s="1855"/>
      <c r="BC203" s="1855"/>
      <c r="BD203" s="1855"/>
      <c r="BE203" s="1855"/>
      <c r="BF203" s="1855"/>
      <c r="BG203" s="1855"/>
      <c r="BH203" s="1855"/>
      <c r="BI203" s="1855"/>
      <c r="BJ203" s="1855"/>
      <c r="BK203" s="1855"/>
      <c r="BL203" s="1855"/>
      <c r="BM203" s="1855"/>
      <c r="BN203" s="1855"/>
      <c r="BO203" s="1855"/>
      <c r="BP203" s="1855"/>
      <c r="BQ203" s="1855"/>
      <c r="BR203" s="1855"/>
      <c r="BS203" s="1855"/>
      <c r="BT203" s="1855"/>
      <c r="BU203" s="1855"/>
      <c r="BV203" s="1855"/>
      <c r="BW203" s="1855"/>
      <c r="BX203" s="1855"/>
      <c r="BY203" s="1855"/>
      <c r="BZ203" s="1855"/>
      <c r="CA203" s="1855"/>
      <c r="CB203" s="1855"/>
      <c r="CC203" s="1855"/>
      <c r="CD203" s="1859"/>
    </row>
    <row r="204" spans="1:82" ht="14.25">
      <c r="A204" s="1628" t="s">
        <v>1716</v>
      </c>
      <c r="B204" s="906" t="s">
        <v>3198</v>
      </c>
      <c r="C204" s="1472" t="s">
        <v>2118</v>
      </c>
      <c r="D204" s="968" t="s">
        <v>3197</v>
      </c>
      <c r="E204" s="1493" t="s">
        <v>1716</v>
      </c>
      <c r="F204" s="1629" t="s">
        <v>3198</v>
      </c>
      <c r="G204" s="405" t="b">
        <v>0</v>
      </c>
      <c r="H204" s="1638"/>
      <c r="I204" s="1639">
        <v>0</v>
      </c>
      <c r="J204" s="1639">
        <v>0</v>
      </c>
      <c r="K204" s="1639">
        <v>0</v>
      </c>
      <c r="L204" s="1640">
        <v>0</v>
      </c>
      <c r="M204" s="2157">
        <v>0</v>
      </c>
      <c r="N204" s="1639"/>
      <c r="O204" s="1639">
        <v>0</v>
      </c>
      <c r="P204" s="1639">
        <v>0</v>
      </c>
      <c r="Q204" s="1639">
        <v>0</v>
      </c>
      <c r="R204" s="1640">
        <v>0</v>
      </c>
      <c r="S204" s="2157">
        <v>0</v>
      </c>
      <c r="T204" s="1639"/>
      <c r="U204" s="1639">
        <v>0</v>
      </c>
      <c r="V204" s="1639">
        <v>0</v>
      </c>
      <c r="W204" s="1639">
        <v>0</v>
      </c>
      <c r="X204" s="1640">
        <v>0</v>
      </c>
      <c r="Y204" s="1641">
        <v>0</v>
      </c>
      <c r="Z204" s="1854">
        <f>IF($G204,MATCH('Fan Name List'!Y204,'Fan Name List'!$AC$16:$BM$16,1),0)</f>
        <v>0</v>
      </c>
      <c r="AA204" s="1859">
        <f>IF($G204,IF(S204&gt;567,37,MATCH('Fan Name List'!S204,'Fan Name List'!$AC$16:$BM$16,1)+1),0)</f>
        <v>0</v>
      </c>
      <c r="AB204" s="1854"/>
      <c r="AC204" s="1855"/>
      <c r="AD204" s="1855"/>
      <c r="AE204" s="1855"/>
      <c r="AF204" s="1855"/>
      <c r="AG204" s="1855"/>
      <c r="AH204" s="1855"/>
      <c r="AI204" s="1855"/>
      <c r="AJ204" s="1855"/>
      <c r="AK204" s="1855"/>
      <c r="AL204" s="1855"/>
      <c r="AM204" s="1855"/>
      <c r="AN204" s="1855"/>
      <c r="AO204" s="1855"/>
      <c r="AP204" s="1855"/>
      <c r="AQ204" s="1855"/>
      <c r="AR204" s="1855"/>
      <c r="AS204" s="1855"/>
      <c r="AT204" s="1855"/>
      <c r="AU204" s="1855"/>
      <c r="AV204" s="1855"/>
      <c r="AW204" s="1855"/>
      <c r="AX204" s="1855"/>
      <c r="AY204" s="1855"/>
      <c r="AZ204" s="1855"/>
      <c r="BA204" s="1855"/>
      <c r="BB204" s="1855"/>
      <c r="BC204" s="1855"/>
      <c r="BD204" s="1855"/>
      <c r="BE204" s="1855"/>
      <c r="BF204" s="1855"/>
      <c r="BG204" s="1855"/>
      <c r="BH204" s="1855"/>
      <c r="BI204" s="1855"/>
      <c r="BJ204" s="1855"/>
      <c r="BK204" s="1855"/>
      <c r="BL204" s="1855"/>
      <c r="BM204" s="1855"/>
      <c r="BN204" s="1855"/>
      <c r="BO204" s="1855"/>
      <c r="BP204" s="1855"/>
      <c r="BQ204" s="1855"/>
      <c r="BR204" s="1855"/>
      <c r="BS204" s="1855"/>
      <c r="BT204" s="1855"/>
      <c r="BU204" s="1855"/>
      <c r="BV204" s="1855"/>
      <c r="BW204" s="1855"/>
      <c r="BX204" s="1855"/>
      <c r="BY204" s="1855"/>
      <c r="BZ204" s="1855"/>
      <c r="CA204" s="1855"/>
      <c r="CB204" s="1855"/>
      <c r="CC204" s="1855"/>
      <c r="CD204" s="1859"/>
    </row>
    <row r="205" spans="1:82" ht="14.25">
      <c r="A205" s="1628" t="s">
        <v>1640</v>
      </c>
      <c r="B205" s="906" t="s">
        <v>3199</v>
      </c>
      <c r="C205" s="1472" t="s">
        <v>2119</v>
      </c>
      <c r="D205" s="968" t="s">
        <v>3200</v>
      </c>
      <c r="E205" s="1493" t="s">
        <v>1640</v>
      </c>
      <c r="F205" s="1629" t="s">
        <v>3199</v>
      </c>
      <c r="G205" s="405" t="b">
        <v>0</v>
      </c>
      <c r="H205" s="1638"/>
      <c r="I205" s="1639">
        <v>0</v>
      </c>
      <c r="J205" s="1639">
        <v>0</v>
      </c>
      <c r="K205" s="1639">
        <v>0</v>
      </c>
      <c r="L205" s="1640">
        <v>0</v>
      </c>
      <c r="M205" s="2157">
        <v>0</v>
      </c>
      <c r="N205" s="1639"/>
      <c r="O205" s="1639">
        <v>0</v>
      </c>
      <c r="P205" s="1639">
        <v>0</v>
      </c>
      <c r="Q205" s="1639">
        <v>0</v>
      </c>
      <c r="R205" s="1640">
        <v>0</v>
      </c>
      <c r="S205" s="2157">
        <v>0</v>
      </c>
      <c r="T205" s="1639"/>
      <c r="U205" s="1639">
        <v>0</v>
      </c>
      <c r="V205" s="1639">
        <v>0</v>
      </c>
      <c r="W205" s="1639">
        <v>0</v>
      </c>
      <c r="X205" s="1640">
        <v>0</v>
      </c>
      <c r="Y205" s="1641">
        <v>0</v>
      </c>
      <c r="Z205" s="1854">
        <f>IF($G205,MATCH('Fan Name List'!Y205,'Fan Name List'!$AC$16:$BM$16,1),0)</f>
        <v>0</v>
      </c>
      <c r="AA205" s="1859">
        <f>IF($G205,IF(S205&gt;567,37,MATCH('Fan Name List'!S205,'Fan Name List'!$AC$16:$BM$16,1)+1),0)</f>
        <v>0</v>
      </c>
      <c r="AB205" s="1854"/>
      <c r="AC205" s="1855"/>
      <c r="AD205" s="1855"/>
      <c r="AE205" s="1855"/>
      <c r="AF205" s="1855"/>
      <c r="AG205" s="1855"/>
      <c r="AH205" s="1855"/>
      <c r="AI205" s="1855"/>
      <c r="AJ205" s="1855"/>
      <c r="AK205" s="1855"/>
      <c r="AL205" s="1855"/>
      <c r="AM205" s="1855"/>
      <c r="AN205" s="1855"/>
      <c r="AO205" s="1855"/>
      <c r="AP205" s="1855"/>
      <c r="AQ205" s="1855"/>
      <c r="AR205" s="1855"/>
      <c r="AS205" s="1855"/>
      <c r="AT205" s="1855"/>
      <c r="AU205" s="1855"/>
      <c r="AV205" s="1855"/>
      <c r="AW205" s="1855"/>
      <c r="AX205" s="1855"/>
      <c r="AY205" s="1855"/>
      <c r="AZ205" s="1855"/>
      <c r="BA205" s="1855"/>
      <c r="BB205" s="1855"/>
      <c r="BC205" s="1855"/>
      <c r="BD205" s="1855"/>
      <c r="BE205" s="1855"/>
      <c r="BF205" s="1855"/>
      <c r="BG205" s="1855"/>
      <c r="BH205" s="1855"/>
      <c r="BI205" s="1855"/>
      <c r="BJ205" s="1855"/>
      <c r="BK205" s="1855"/>
      <c r="BL205" s="1855"/>
      <c r="BM205" s="1855"/>
      <c r="BN205" s="1855"/>
      <c r="BO205" s="1855"/>
      <c r="BP205" s="1855"/>
      <c r="BQ205" s="1855"/>
      <c r="BR205" s="1855"/>
      <c r="BS205" s="1855"/>
      <c r="BT205" s="1855"/>
      <c r="BU205" s="1855"/>
      <c r="BV205" s="1855"/>
      <c r="BW205" s="1855"/>
      <c r="BX205" s="1855"/>
      <c r="BY205" s="1855"/>
      <c r="BZ205" s="1855"/>
      <c r="CA205" s="1855"/>
      <c r="CB205" s="1855"/>
      <c r="CC205" s="1855"/>
      <c r="CD205" s="1859"/>
    </row>
    <row r="206" spans="1:82" ht="14.25">
      <c r="A206" s="1628" t="s">
        <v>1717</v>
      </c>
      <c r="B206" s="906" t="s">
        <v>3201</v>
      </c>
      <c r="C206" s="1472" t="s">
        <v>2120</v>
      </c>
      <c r="D206" s="968" t="s">
        <v>3200</v>
      </c>
      <c r="E206" s="1493" t="s">
        <v>1717</v>
      </c>
      <c r="F206" s="1629" t="s">
        <v>3201</v>
      </c>
      <c r="G206" s="405" t="b">
        <v>0</v>
      </c>
      <c r="H206" s="1638"/>
      <c r="I206" s="1639">
        <v>0</v>
      </c>
      <c r="J206" s="1639">
        <v>0</v>
      </c>
      <c r="K206" s="1639">
        <v>0</v>
      </c>
      <c r="L206" s="1640">
        <v>0</v>
      </c>
      <c r="M206" s="2157">
        <v>0</v>
      </c>
      <c r="N206" s="1639"/>
      <c r="O206" s="1639">
        <v>0</v>
      </c>
      <c r="P206" s="1639">
        <v>0</v>
      </c>
      <c r="Q206" s="1639">
        <v>0</v>
      </c>
      <c r="R206" s="1640">
        <v>0</v>
      </c>
      <c r="S206" s="2157">
        <v>0</v>
      </c>
      <c r="T206" s="1639"/>
      <c r="U206" s="1639">
        <v>0</v>
      </c>
      <c r="V206" s="1639">
        <v>0</v>
      </c>
      <c r="W206" s="1639">
        <v>0</v>
      </c>
      <c r="X206" s="1640">
        <v>0</v>
      </c>
      <c r="Y206" s="1641">
        <v>0</v>
      </c>
      <c r="Z206" s="1854">
        <f>IF($G206,MATCH('Fan Name List'!Y206,'Fan Name List'!$AC$16:$BM$16,1),0)</f>
        <v>0</v>
      </c>
      <c r="AA206" s="1859">
        <f>IF($G206,IF(S206&gt;567,37,MATCH('Fan Name List'!S206,'Fan Name List'!$AC$16:$BM$16,1)+1),0)</f>
        <v>0</v>
      </c>
      <c r="AB206" s="1854"/>
      <c r="AC206" s="1855"/>
      <c r="AD206" s="1855"/>
      <c r="AE206" s="1855"/>
      <c r="AF206" s="1855"/>
      <c r="AG206" s="1855"/>
      <c r="AH206" s="1855"/>
      <c r="AI206" s="1855"/>
      <c r="AJ206" s="1855"/>
      <c r="AK206" s="1855"/>
      <c r="AL206" s="1855"/>
      <c r="AM206" s="1855"/>
      <c r="AN206" s="1855"/>
      <c r="AO206" s="1855"/>
      <c r="AP206" s="1855"/>
      <c r="AQ206" s="1855"/>
      <c r="AR206" s="1855"/>
      <c r="AS206" s="1855"/>
      <c r="AT206" s="1855"/>
      <c r="AU206" s="1855"/>
      <c r="AV206" s="1855"/>
      <c r="AW206" s="1855"/>
      <c r="AX206" s="1855"/>
      <c r="AY206" s="1855"/>
      <c r="AZ206" s="1855"/>
      <c r="BA206" s="1855"/>
      <c r="BB206" s="1855"/>
      <c r="BC206" s="1855"/>
      <c r="BD206" s="1855"/>
      <c r="BE206" s="1855"/>
      <c r="BF206" s="1855"/>
      <c r="BG206" s="1855"/>
      <c r="BH206" s="1855"/>
      <c r="BI206" s="1855"/>
      <c r="BJ206" s="1855"/>
      <c r="BK206" s="1855"/>
      <c r="BL206" s="1855"/>
      <c r="BM206" s="1855"/>
      <c r="BN206" s="1855"/>
      <c r="BO206" s="1855"/>
      <c r="BP206" s="1855"/>
      <c r="BQ206" s="1855"/>
      <c r="BR206" s="1855"/>
      <c r="BS206" s="1855"/>
      <c r="BT206" s="1855"/>
      <c r="BU206" s="1855"/>
      <c r="BV206" s="1855"/>
      <c r="BW206" s="1855"/>
      <c r="BX206" s="1855"/>
      <c r="BY206" s="1855"/>
      <c r="BZ206" s="1855"/>
      <c r="CA206" s="1855"/>
      <c r="CB206" s="1855"/>
      <c r="CC206" s="1855"/>
      <c r="CD206" s="1859"/>
    </row>
    <row r="207" spans="1:82" ht="14.25">
      <c r="A207" s="1628" t="s">
        <v>1641</v>
      </c>
      <c r="B207" s="906" t="s">
        <v>3202</v>
      </c>
      <c r="C207" s="1472" t="s">
        <v>2121</v>
      </c>
      <c r="D207" s="968" t="s">
        <v>3203</v>
      </c>
      <c r="E207" s="1493" t="s">
        <v>1641</v>
      </c>
      <c r="F207" s="1629" t="s">
        <v>3202</v>
      </c>
      <c r="G207" s="405" t="b">
        <v>0</v>
      </c>
      <c r="H207" s="1638"/>
      <c r="I207" s="1639">
        <v>0</v>
      </c>
      <c r="J207" s="1639">
        <v>0</v>
      </c>
      <c r="K207" s="1639">
        <v>0</v>
      </c>
      <c r="L207" s="1640">
        <v>0</v>
      </c>
      <c r="M207" s="2157">
        <v>0</v>
      </c>
      <c r="N207" s="1639"/>
      <c r="O207" s="1639">
        <v>0</v>
      </c>
      <c r="P207" s="1639">
        <v>0</v>
      </c>
      <c r="Q207" s="1639">
        <v>0</v>
      </c>
      <c r="R207" s="1640">
        <v>0</v>
      </c>
      <c r="S207" s="2157">
        <v>0</v>
      </c>
      <c r="T207" s="1639"/>
      <c r="U207" s="1639">
        <v>0</v>
      </c>
      <c r="V207" s="1639">
        <v>0</v>
      </c>
      <c r="W207" s="1639">
        <v>0</v>
      </c>
      <c r="X207" s="1640">
        <v>0</v>
      </c>
      <c r="Y207" s="1641">
        <v>0</v>
      </c>
      <c r="Z207" s="1854">
        <f>IF($G207,MATCH('Fan Name List'!Y207,'Fan Name List'!$AC$16:$BM$16,1),0)</f>
        <v>0</v>
      </c>
      <c r="AA207" s="1859">
        <f>IF($G207,IF(S207&gt;567,37,MATCH('Fan Name List'!S207,'Fan Name List'!$AC$16:$BM$16,1)+1),0)</f>
        <v>0</v>
      </c>
      <c r="AB207" s="1854"/>
      <c r="AC207" s="1855"/>
      <c r="AD207" s="1855"/>
      <c r="AE207" s="1855"/>
      <c r="AF207" s="1855"/>
      <c r="AG207" s="1855"/>
      <c r="AH207" s="1855"/>
      <c r="AI207" s="1855"/>
      <c r="AJ207" s="1855"/>
      <c r="AK207" s="1855"/>
      <c r="AL207" s="1855"/>
      <c r="AM207" s="1855"/>
      <c r="AN207" s="1855"/>
      <c r="AO207" s="1855"/>
      <c r="AP207" s="1855"/>
      <c r="AQ207" s="1855"/>
      <c r="AR207" s="1855"/>
      <c r="AS207" s="1855"/>
      <c r="AT207" s="1855"/>
      <c r="AU207" s="1855"/>
      <c r="AV207" s="1855"/>
      <c r="AW207" s="1855"/>
      <c r="AX207" s="1855"/>
      <c r="AY207" s="1855"/>
      <c r="AZ207" s="1855"/>
      <c r="BA207" s="1855"/>
      <c r="BB207" s="1855"/>
      <c r="BC207" s="1855"/>
      <c r="BD207" s="1855"/>
      <c r="BE207" s="1855"/>
      <c r="BF207" s="1855"/>
      <c r="BG207" s="1855"/>
      <c r="BH207" s="1855"/>
      <c r="BI207" s="1855"/>
      <c r="BJ207" s="1855"/>
      <c r="BK207" s="1855"/>
      <c r="BL207" s="1855"/>
      <c r="BM207" s="1855"/>
      <c r="BN207" s="1855"/>
      <c r="BO207" s="1855"/>
      <c r="BP207" s="1855"/>
      <c r="BQ207" s="1855"/>
      <c r="BR207" s="1855"/>
      <c r="BS207" s="1855"/>
      <c r="BT207" s="1855"/>
      <c r="BU207" s="1855"/>
      <c r="BV207" s="1855"/>
      <c r="BW207" s="1855"/>
      <c r="BX207" s="1855"/>
      <c r="BY207" s="1855"/>
      <c r="BZ207" s="1855"/>
      <c r="CA207" s="1855"/>
      <c r="CB207" s="1855"/>
      <c r="CC207" s="1855"/>
      <c r="CD207" s="1859"/>
    </row>
    <row r="208" spans="1:82" ht="14.25">
      <c r="A208" s="1628" t="s">
        <v>1718</v>
      </c>
      <c r="B208" s="906" t="s">
        <v>3204</v>
      </c>
      <c r="C208" s="1472" t="s">
        <v>2122</v>
      </c>
      <c r="D208" s="968" t="s">
        <v>3203</v>
      </c>
      <c r="E208" s="1493" t="s">
        <v>1718</v>
      </c>
      <c r="F208" s="1629" t="s">
        <v>3204</v>
      </c>
      <c r="G208" s="405" t="b">
        <v>0</v>
      </c>
      <c r="H208" s="1638"/>
      <c r="I208" s="1639">
        <v>0</v>
      </c>
      <c r="J208" s="1639">
        <v>0</v>
      </c>
      <c r="K208" s="1639">
        <v>0</v>
      </c>
      <c r="L208" s="1640">
        <v>0</v>
      </c>
      <c r="M208" s="2157">
        <v>0</v>
      </c>
      <c r="N208" s="1639"/>
      <c r="O208" s="1639">
        <v>0</v>
      </c>
      <c r="P208" s="1639">
        <v>0</v>
      </c>
      <c r="Q208" s="1639">
        <v>0</v>
      </c>
      <c r="R208" s="1640">
        <v>0</v>
      </c>
      <c r="S208" s="2157">
        <v>0</v>
      </c>
      <c r="T208" s="1639"/>
      <c r="U208" s="1639">
        <v>0</v>
      </c>
      <c r="V208" s="1639">
        <v>0</v>
      </c>
      <c r="W208" s="1639">
        <v>0</v>
      </c>
      <c r="X208" s="1640">
        <v>0</v>
      </c>
      <c r="Y208" s="1641">
        <v>0</v>
      </c>
      <c r="Z208" s="1854">
        <f>IF($G208,MATCH('Fan Name List'!Y208,'Fan Name List'!$AC$16:$BM$16,1),0)</f>
        <v>0</v>
      </c>
      <c r="AA208" s="1859">
        <f>IF($G208,IF(S208&gt;567,37,MATCH('Fan Name List'!S208,'Fan Name List'!$AC$16:$BM$16,1)+1),0)</f>
        <v>0</v>
      </c>
      <c r="AB208" s="1854"/>
      <c r="AC208" s="1855"/>
      <c r="AD208" s="1855"/>
      <c r="AE208" s="1855"/>
      <c r="AF208" s="1855"/>
      <c r="AG208" s="1855"/>
      <c r="AH208" s="1855"/>
      <c r="AI208" s="1855"/>
      <c r="AJ208" s="1855"/>
      <c r="AK208" s="1855"/>
      <c r="AL208" s="1855"/>
      <c r="AM208" s="1855"/>
      <c r="AN208" s="1855"/>
      <c r="AO208" s="1855"/>
      <c r="AP208" s="1855"/>
      <c r="AQ208" s="1855"/>
      <c r="AR208" s="1855"/>
      <c r="AS208" s="1855"/>
      <c r="AT208" s="1855"/>
      <c r="AU208" s="1855"/>
      <c r="AV208" s="1855"/>
      <c r="AW208" s="1855"/>
      <c r="AX208" s="1855"/>
      <c r="AY208" s="1855"/>
      <c r="AZ208" s="1855"/>
      <c r="BA208" s="1855"/>
      <c r="BB208" s="1855"/>
      <c r="BC208" s="1855"/>
      <c r="BD208" s="1855"/>
      <c r="BE208" s="1855"/>
      <c r="BF208" s="1855"/>
      <c r="BG208" s="1855"/>
      <c r="BH208" s="1855"/>
      <c r="BI208" s="1855"/>
      <c r="BJ208" s="1855"/>
      <c r="BK208" s="1855"/>
      <c r="BL208" s="1855"/>
      <c r="BM208" s="1855"/>
      <c r="BN208" s="1855"/>
      <c r="BO208" s="1855"/>
      <c r="BP208" s="1855"/>
      <c r="BQ208" s="1855"/>
      <c r="BR208" s="1855"/>
      <c r="BS208" s="1855"/>
      <c r="BT208" s="1855"/>
      <c r="BU208" s="1855"/>
      <c r="BV208" s="1855"/>
      <c r="BW208" s="1855"/>
      <c r="BX208" s="1855"/>
      <c r="BY208" s="1855"/>
      <c r="BZ208" s="1855"/>
      <c r="CA208" s="1855"/>
      <c r="CB208" s="1855"/>
      <c r="CC208" s="1855"/>
      <c r="CD208" s="1859"/>
    </row>
    <row r="209" spans="1:82" ht="14.25">
      <c r="A209" s="1628" t="s">
        <v>1642</v>
      </c>
      <c r="B209" s="906" t="s">
        <v>3205</v>
      </c>
      <c r="C209" s="1472" t="s">
        <v>2123</v>
      </c>
      <c r="D209" s="968" t="s">
        <v>3206</v>
      </c>
      <c r="E209" s="1493" t="s">
        <v>1642</v>
      </c>
      <c r="F209" s="1629" t="s">
        <v>3205</v>
      </c>
      <c r="G209" s="405" t="b">
        <v>0</v>
      </c>
      <c r="H209" s="1638"/>
      <c r="I209" s="1639">
        <v>0</v>
      </c>
      <c r="J209" s="1639">
        <v>0</v>
      </c>
      <c r="K209" s="1639">
        <v>0</v>
      </c>
      <c r="L209" s="1640">
        <v>0</v>
      </c>
      <c r="M209" s="2157">
        <v>0</v>
      </c>
      <c r="N209" s="1639"/>
      <c r="O209" s="1639">
        <v>0</v>
      </c>
      <c r="P209" s="1639">
        <v>0</v>
      </c>
      <c r="Q209" s="1639">
        <v>0</v>
      </c>
      <c r="R209" s="1640">
        <v>0</v>
      </c>
      <c r="S209" s="2157">
        <v>0</v>
      </c>
      <c r="T209" s="1639"/>
      <c r="U209" s="1639">
        <v>0</v>
      </c>
      <c r="V209" s="1639">
        <v>0</v>
      </c>
      <c r="W209" s="1639">
        <v>0</v>
      </c>
      <c r="X209" s="1640">
        <v>0</v>
      </c>
      <c r="Y209" s="1641">
        <v>0</v>
      </c>
      <c r="Z209" s="1854">
        <f>IF($G209,MATCH('Fan Name List'!Y209,'Fan Name List'!$AC$16:$BM$16,1),0)</f>
        <v>0</v>
      </c>
      <c r="AA209" s="1859">
        <f>IF($G209,IF(S209&gt;567,37,MATCH('Fan Name List'!S209,'Fan Name List'!$AC$16:$BM$16,1)+1),0)</f>
        <v>0</v>
      </c>
      <c r="AB209" s="1854"/>
      <c r="AC209" s="1855"/>
      <c r="AD209" s="1855"/>
      <c r="AE209" s="1855"/>
      <c r="AF209" s="1855"/>
      <c r="AG209" s="1855"/>
      <c r="AH209" s="1855"/>
      <c r="AI209" s="1855"/>
      <c r="AJ209" s="1855"/>
      <c r="AK209" s="1855"/>
      <c r="AL209" s="1855"/>
      <c r="AM209" s="1855"/>
      <c r="AN209" s="1855"/>
      <c r="AO209" s="1855"/>
      <c r="AP209" s="1855"/>
      <c r="AQ209" s="1855"/>
      <c r="AR209" s="1855"/>
      <c r="AS209" s="1855"/>
      <c r="AT209" s="1855"/>
      <c r="AU209" s="1855"/>
      <c r="AV209" s="1855"/>
      <c r="AW209" s="1855"/>
      <c r="AX209" s="1855"/>
      <c r="AY209" s="1855"/>
      <c r="AZ209" s="1855"/>
      <c r="BA209" s="1855"/>
      <c r="BB209" s="1855"/>
      <c r="BC209" s="1855"/>
      <c r="BD209" s="1855"/>
      <c r="BE209" s="1855"/>
      <c r="BF209" s="1855"/>
      <c r="BG209" s="1855"/>
      <c r="BH209" s="1855"/>
      <c r="BI209" s="1855"/>
      <c r="BJ209" s="1855"/>
      <c r="BK209" s="1855"/>
      <c r="BL209" s="1855"/>
      <c r="BM209" s="1855"/>
      <c r="BN209" s="1855"/>
      <c r="BO209" s="1855"/>
      <c r="BP209" s="1855"/>
      <c r="BQ209" s="1855"/>
      <c r="BR209" s="1855"/>
      <c r="BS209" s="1855"/>
      <c r="BT209" s="1855"/>
      <c r="BU209" s="1855"/>
      <c r="BV209" s="1855"/>
      <c r="BW209" s="1855"/>
      <c r="BX209" s="1855"/>
      <c r="BY209" s="1855"/>
      <c r="BZ209" s="1855"/>
      <c r="CA209" s="1855"/>
      <c r="CB209" s="1855"/>
      <c r="CC209" s="1855"/>
      <c r="CD209" s="1859"/>
    </row>
    <row r="210" spans="1:82" ht="14.25">
      <c r="A210" s="1628" t="s">
        <v>1719</v>
      </c>
      <c r="B210" s="906" t="s">
        <v>3207</v>
      </c>
      <c r="C210" s="1472" t="s">
        <v>2124</v>
      </c>
      <c r="D210" s="968" t="s">
        <v>3206</v>
      </c>
      <c r="E210" s="1493" t="s">
        <v>1719</v>
      </c>
      <c r="F210" s="1629" t="s">
        <v>3207</v>
      </c>
      <c r="G210" s="405" t="b">
        <v>0</v>
      </c>
      <c r="H210" s="1638"/>
      <c r="I210" s="1639">
        <v>0</v>
      </c>
      <c r="J210" s="1639">
        <v>0</v>
      </c>
      <c r="K210" s="1639">
        <v>0</v>
      </c>
      <c r="L210" s="1640">
        <v>0</v>
      </c>
      <c r="M210" s="2157">
        <v>0</v>
      </c>
      <c r="N210" s="1639"/>
      <c r="O210" s="1639">
        <v>0</v>
      </c>
      <c r="P210" s="1639">
        <v>0</v>
      </c>
      <c r="Q210" s="1639">
        <v>0</v>
      </c>
      <c r="R210" s="1640">
        <v>0</v>
      </c>
      <c r="S210" s="2157">
        <v>0</v>
      </c>
      <c r="T210" s="1639"/>
      <c r="U210" s="1639">
        <v>0</v>
      </c>
      <c r="V210" s="1639">
        <v>0</v>
      </c>
      <c r="W210" s="1639">
        <v>0</v>
      </c>
      <c r="X210" s="1640">
        <v>0</v>
      </c>
      <c r="Y210" s="1641">
        <v>0</v>
      </c>
      <c r="Z210" s="1854">
        <f>IF($G210,MATCH('Fan Name List'!Y210,'Fan Name List'!$AC$16:$BM$16,1),0)</f>
        <v>0</v>
      </c>
      <c r="AA210" s="1859">
        <f>IF($G210,IF(S210&gt;567,37,MATCH('Fan Name List'!S210,'Fan Name List'!$AC$16:$BM$16,1)+1),0)</f>
        <v>0</v>
      </c>
      <c r="AB210" s="1854"/>
      <c r="AC210" s="1855"/>
      <c r="AD210" s="1855"/>
      <c r="AE210" s="1855"/>
      <c r="AF210" s="1855"/>
      <c r="AG210" s="1855"/>
      <c r="AH210" s="1855"/>
      <c r="AI210" s="1855"/>
      <c r="AJ210" s="1855"/>
      <c r="AK210" s="1855"/>
      <c r="AL210" s="1855"/>
      <c r="AM210" s="1855"/>
      <c r="AN210" s="1855"/>
      <c r="AO210" s="1855"/>
      <c r="AP210" s="1855"/>
      <c r="AQ210" s="1855"/>
      <c r="AR210" s="1855"/>
      <c r="AS210" s="1855"/>
      <c r="AT210" s="1855"/>
      <c r="AU210" s="1855"/>
      <c r="AV210" s="1855"/>
      <c r="AW210" s="1855"/>
      <c r="AX210" s="1855"/>
      <c r="AY210" s="1855"/>
      <c r="AZ210" s="1855"/>
      <c r="BA210" s="1855"/>
      <c r="BB210" s="1855"/>
      <c r="BC210" s="1855"/>
      <c r="BD210" s="1855"/>
      <c r="BE210" s="1855"/>
      <c r="BF210" s="1855"/>
      <c r="BG210" s="1855"/>
      <c r="BH210" s="1855"/>
      <c r="BI210" s="1855"/>
      <c r="BJ210" s="1855"/>
      <c r="BK210" s="1855"/>
      <c r="BL210" s="1855"/>
      <c r="BM210" s="1855"/>
      <c r="BN210" s="1855"/>
      <c r="BO210" s="1855"/>
      <c r="BP210" s="1855"/>
      <c r="BQ210" s="1855"/>
      <c r="BR210" s="1855"/>
      <c r="BS210" s="1855"/>
      <c r="BT210" s="1855"/>
      <c r="BU210" s="1855"/>
      <c r="BV210" s="1855"/>
      <c r="BW210" s="1855"/>
      <c r="BX210" s="1855"/>
      <c r="BY210" s="1855"/>
      <c r="BZ210" s="1855"/>
      <c r="CA210" s="1855"/>
      <c r="CB210" s="1855"/>
      <c r="CC210" s="1855"/>
      <c r="CD210" s="1859"/>
    </row>
    <row r="211" spans="1:82" ht="14.25">
      <c r="A211" s="1628" t="s">
        <v>1643</v>
      </c>
      <c r="B211" s="906" t="s">
        <v>3208</v>
      </c>
      <c r="C211" s="1472" t="s">
        <v>2125</v>
      </c>
      <c r="D211" s="968" t="s">
        <v>3209</v>
      </c>
      <c r="E211" s="1493" t="s">
        <v>1643</v>
      </c>
      <c r="F211" s="1629" t="s">
        <v>3208</v>
      </c>
      <c r="G211" s="405" t="b">
        <v>0</v>
      </c>
      <c r="H211" s="1638"/>
      <c r="I211" s="1639">
        <v>0</v>
      </c>
      <c r="J211" s="1639">
        <v>0</v>
      </c>
      <c r="K211" s="1639">
        <v>0</v>
      </c>
      <c r="L211" s="1640">
        <v>0</v>
      </c>
      <c r="M211" s="2157">
        <v>0</v>
      </c>
      <c r="N211" s="1639"/>
      <c r="O211" s="1639">
        <v>0</v>
      </c>
      <c r="P211" s="1639">
        <v>0</v>
      </c>
      <c r="Q211" s="1639">
        <v>0</v>
      </c>
      <c r="R211" s="1640">
        <v>0</v>
      </c>
      <c r="S211" s="2157">
        <v>0</v>
      </c>
      <c r="T211" s="1639"/>
      <c r="U211" s="1639">
        <v>0</v>
      </c>
      <c r="V211" s="1639">
        <v>0</v>
      </c>
      <c r="W211" s="1639">
        <v>0</v>
      </c>
      <c r="X211" s="1640">
        <v>0</v>
      </c>
      <c r="Y211" s="1641">
        <v>0</v>
      </c>
      <c r="Z211" s="1854">
        <f>IF($G211,MATCH('Fan Name List'!Y211,'Fan Name List'!$AC$16:$BM$16,1),0)</f>
        <v>0</v>
      </c>
      <c r="AA211" s="1859">
        <f>IF($G211,IF(S211&gt;567,37,MATCH('Fan Name List'!S211,'Fan Name List'!$AC$16:$BM$16,1)+1),0)</f>
        <v>0</v>
      </c>
      <c r="AB211" s="1854"/>
      <c r="AC211" s="1855"/>
      <c r="AD211" s="1855"/>
      <c r="AE211" s="1855"/>
      <c r="AF211" s="1855"/>
      <c r="AG211" s="1855"/>
      <c r="AH211" s="1855"/>
      <c r="AI211" s="1855"/>
      <c r="AJ211" s="1855"/>
      <c r="AK211" s="1855"/>
      <c r="AL211" s="1855"/>
      <c r="AM211" s="1855"/>
      <c r="AN211" s="1855"/>
      <c r="AO211" s="1855"/>
      <c r="AP211" s="1855"/>
      <c r="AQ211" s="1855"/>
      <c r="AR211" s="1855"/>
      <c r="AS211" s="1855"/>
      <c r="AT211" s="1855"/>
      <c r="AU211" s="1855"/>
      <c r="AV211" s="1855"/>
      <c r="AW211" s="1855"/>
      <c r="AX211" s="1855"/>
      <c r="AY211" s="1855"/>
      <c r="AZ211" s="1855"/>
      <c r="BA211" s="1855"/>
      <c r="BB211" s="1855"/>
      <c r="BC211" s="1855"/>
      <c r="BD211" s="1855"/>
      <c r="BE211" s="1855"/>
      <c r="BF211" s="1855"/>
      <c r="BG211" s="1855"/>
      <c r="BH211" s="1855"/>
      <c r="BI211" s="1855"/>
      <c r="BJ211" s="1855"/>
      <c r="BK211" s="1855"/>
      <c r="BL211" s="1855"/>
      <c r="BM211" s="1855"/>
      <c r="BN211" s="1855"/>
      <c r="BO211" s="1855"/>
      <c r="BP211" s="1855"/>
      <c r="BQ211" s="1855"/>
      <c r="BR211" s="1855"/>
      <c r="BS211" s="1855"/>
      <c r="BT211" s="1855"/>
      <c r="BU211" s="1855"/>
      <c r="BV211" s="1855"/>
      <c r="BW211" s="1855"/>
      <c r="BX211" s="1855"/>
      <c r="BY211" s="1855"/>
      <c r="BZ211" s="1855"/>
      <c r="CA211" s="1855"/>
      <c r="CB211" s="1855"/>
      <c r="CC211" s="1855"/>
      <c r="CD211" s="1859"/>
    </row>
    <row r="212" spans="1:82" ht="14.25">
      <c r="A212" s="1628" t="s">
        <v>1644</v>
      </c>
      <c r="B212" s="906" t="s">
        <v>3210</v>
      </c>
      <c r="C212" s="1472" t="s">
        <v>2126</v>
      </c>
      <c r="D212" s="968" t="s">
        <v>3211</v>
      </c>
      <c r="E212" s="1493" t="s">
        <v>1644</v>
      </c>
      <c r="F212" s="1629" t="s">
        <v>3210</v>
      </c>
      <c r="G212" s="405" t="b">
        <v>0</v>
      </c>
      <c r="H212" s="1638"/>
      <c r="I212" s="1639">
        <v>0</v>
      </c>
      <c r="J212" s="1639">
        <v>0</v>
      </c>
      <c r="K212" s="1639">
        <v>0</v>
      </c>
      <c r="L212" s="1640">
        <v>0</v>
      </c>
      <c r="M212" s="2157">
        <v>0</v>
      </c>
      <c r="N212" s="1639"/>
      <c r="O212" s="1639">
        <v>0</v>
      </c>
      <c r="P212" s="1639">
        <v>0</v>
      </c>
      <c r="Q212" s="1639">
        <v>0</v>
      </c>
      <c r="R212" s="1640">
        <v>0</v>
      </c>
      <c r="S212" s="2157">
        <v>0</v>
      </c>
      <c r="T212" s="1639"/>
      <c r="U212" s="1639">
        <v>0</v>
      </c>
      <c r="V212" s="1639">
        <v>0</v>
      </c>
      <c r="W212" s="1639">
        <v>0</v>
      </c>
      <c r="X212" s="1640">
        <v>0</v>
      </c>
      <c r="Y212" s="1641">
        <v>0</v>
      </c>
      <c r="Z212" s="1854">
        <f>IF($G212,MATCH('Fan Name List'!Y212,'Fan Name List'!$AC$16:$BM$16,1),0)</f>
        <v>0</v>
      </c>
      <c r="AA212" s="1859">
        <f>IF($G212,IF(S212&gt;567,37,MATCH('Fan Name List'!S212,'Fan Name List'!$AC$16:$BM$16,1)+1),0)</f>
        <v>0</v>
      </c>
      <c r="AB212" s="1854"/>
      <c r="AC212" s="1855"/>
      <c r="AD212" s="1855"/>
      <c r="AE212" s="1855"/>
      <c r="AF212" s="1855"/>
      <c r="AG212" s="1855"/>
      <c r="AH212" s="1855"/>
      <c r="AI212" s="1855"/>
      <c r="AJ212" s="1855"/>
      <c r="AK212" s="1855"/>
      <c r="AL212" s="1855"/>
      <c r="AM212" s="1855"/>
      <c r="AN212" s="1855"/>
      <c r="AO212" s="1855"/>
      <c r="AP212" s="1855"/>
      <c r="AQ212" s="1855"/>
      <c r="AR212" s="1855"/>
      <c r="AS212" s="1855"/>
      <c r="AT212" s="1855"/>
      <c r="AU212" s="1855"/>
      <c r="AV212" s="1855"/>
      <c r="AW212" s="1855"/>
      <c r="AX212" s="1855"/>
      <c r="AY212" s="1855"/>
      <c r="AZ212" s="1855"/>
      <c r="BA212" s="1855"/>
      <c r="BB212" s="1855"/>
      <c r="BC212" s="1855"/>
      <c r="BD212" s="1855"/>
      <c r="BE212" s="1855"/>
      <c r="BF212" s="1855"/>
      <c r="BG212" s="1855"/>
      <c r="BH212" s="1855"/>
      <c r="BI212" s="1855"/>
      <c r="BJ212" s="1855"/>
      <c r="BK212" s="1855"/>
      <c r="BL212" s="1855"/>
      <c r="BM212" s="1855"/>
      <c r="BN212" s="1855"/>
      <c r="BO212" s="1855"/>
      <c r="BP212" s="1855"/>
      <c r="BQ212" s="1855"/>
      <c r="BR212" s="1855"/>
      <c r="BS212" s="1855"/>
      <c r="BT212" s="1855"/>
      <c r="BU212" s="1855"/>
      <c r="BV212" s="1855"/>
      <c r="BW212" s="1855"/>
      <c r="BX212" s="1855"/>
      <c r="BY212" s="1855"/>
      <c r="BZ212" s="1855"/>
      <c r="CA212" s="1855"/>
      <c r="CB212" s="1855"/>
      <c r="CC212" s="1855"/>
      <c r="CD212" s="1859"/>
    </row>
    <row r="213" spans="1:82" ht="14.25">
      <c r="A213" s="1628" t="s">
        <v>1645</v>
      </c>
      <c r="B213" s="906" t="s">
        <v>3212</v>
      </c>
      <c r="C213" s="1472" t="s">
        <v>2127</v>
      </c>
      <c r="D213" s="968" t="s">
        <v>519</v>
      </c>
      <c r="E213" s="1493" t="s">
        <v>1645</v>
      </c>
      <c r="F213" s="1629" t="s">
        <v>3212</v>
      </c>
      <c r="G213" s="405" t="b">
        <v>0</v>
      </c>
      <c r="H213" s="1638"/>
      <c r="I213" s="1639">
        <v>0</v>
      </c>
      <c r="J213" s="1639">
        <v>0</v>
      </c>
      <c r="K213" s="1639">
        <v>0</v>
      </c>
      <c r="L213" s="1640">
        <v>0</v>
      </c>
      <c r="M213" s="2157">
        <v>0</v>
      </c>
      <c r="N213" s="1639"/>
      <c r="O213" s="1639">
        <v>0</v>
      </c>
      <c r="P213" s="1639">
        <v>0</v>
      </c>
      <c r="Q213" s="1639">
        <v>0</v>
      </c>
      <c r="R213" s="1640">
        <v>0</v>
      </c>
      <c r="S213" s="2157">
        <v>0</v>
      </c>
      <c r="T213" s="1639"/>
      <c r="U213" s="1639">
        <v>0</v>
      </c>
      <c r="V213" s="1639">
        <v>0</v>
      </c>
      <c r="W213" s="1639">
        <v>0</v>
      </c>
      <c r="X213" s="1640">
        <v>0</v>
      </c>
      <c r="Y213" s="1641">
        <v>0</v>
      </c>
      <c r="Z213" s="1854">
        <f>IF($G213,MATCH('Fan Name List'!Y213,'Fan Name List'!$AC$16:$BM$16,1),0)</f>
        <v>0</v>
      </c>
      <c r="AA213" s="1859">
        <f>IF($G213,IF(S213&gt;567,37,MATCH('Fan Name List'!S213,'Fan Name List'!$AC$16:$BM$16,1)+1),0)</f>
        <v>0</v>
      </c>
      <c r="AB213" s="1854"/>
      <c r="AC213" s="1855"/>
      <c r="AD213" s="1855"/>
      <c r="AE213" s="1855"/>
      <c r="AF213" s="1855"/>
      <c r="AG213" s="1855"/>
      <c r="AH213" s="1855"/>
      <c r="AI213" s="1855"/>
      <c r="AJ213" s="1855"/>
      <c r="AK213" s="1855"/>
      <c r="AL213" s="1855"/>
      <c r="AM213" s="1855"/>
      <c r="AN213" s="1855"/>
      <c r="AO213" s="1855"/>
      <c r="AP213" s="1855"/>
      <c r="AQ213" s="1855"/>
      <c r="AR213" s="1855"/>
      <c r="AS213" s="1855"/>
      <c r="AT213" s="1855"/>
      <c r="AU213" s="1855"/>
      <c r="AV213" s="1855"/>
      <c r="AW213" s="1855"/>
      <c r="AX213" s="1855"/>
      <c r="AY213" s="1855"/>
      <c r="AZ213" s="1855"/>
      <c r="BA213" s="1855"/>
      <c r="BB213" s="1855"/>
      <c r="BC213" s="1855"/>
      <c r="BD213" s="1855"/>
      <c r="BE213" s="1855"/>
      <c r="BF213" s="1855"/>
      <c r="BG213" s="1855"/>
      <c r="BH213" s="1855"/>
      <c r="BI213" s="1855"/>
      <c r="BJ213" s="1855"/>
      <c r="BK213" s="1855"/>
      <c r="BL213" s="1855"/>
      <c r="BM213" s="1855"/>
      <c r="BN213" s="1855"/>
      <c r="BO213" s="1855"/>
      <c r="BP213" s="1855"/>
      <c r="BQ213" s="1855"/>
      <c r="BR213" s="1855"/>
      <c r="BS213" s="1855"/>
      <c r="BT213" s="1855"/>
      <c r="BU213" s="1855"/>
      <c r="BV213" s="1855"/>
      <c r="BW213" s="1855"/>
      <c r="BX213" s="1855"/>
      <c r="BY213" s="1855"/>
      <c r="BZ213" s="1855"/>
      <c r="CA213" s="1855"/>
      <c r="CB213" s="1855"/>
      <c r="CC213" s="1855"/>
      <c r="CD213" s="1859"/>
    </row>
    <row r="214" spans="1:82" ht="14.25">
      <c r="A214" s="1628" t="s">
        <v>1646</v>
      </c>
      <c r="B214" s="906" t="s">
        <v>3213</v>
      </c>
      <c r="C214" s="1472" t="s">
        <v>2128</v>
      </c>
      <c r="D214" s="968" t="s">
        <v>3214</v>
      </c>
      <c r="E214" s="1493" t="s">
        <v>1646</v>
      </c>
      <c r="F214" s="1629" t="s">
        <v>3213</v>
      </c>
      <c r="G214" s="405" t="b">
        <v>0</v>
      </c>
      <c r="H214" s="1638"/>
      <c r="I214" s="1639">
        <v>0</v>
      </c>
      <c r="J214" s="1639">
        <v>0</v>
      </c>
      <c r="K214" s="1639">
        <v>0</v>
      </c>
      <c r="L214" s="1640">
        <v>0</v>
      </c>
      <c r="M214" s="2157">
        <v>0</v>
      </c>
      <c r="N214" s="1639"/>
      <c r="O214" s="1639">
        <v>0</v>
      </c>
      <c r="P214" s="1639">
        <v>0</v>
      </c>
      <c r="Q214" s="1639">
        <v>0</v>
      </c>
      <c r="R214" s="1640">
        <v>0</v>
      </c>
      <c r="S214" s="2157">
        <v>0</v>
      </c>
      <c r="T214" s="1639"/>
      <c r="U214" s="1639">
        <v>0</v>
      </c>
      <c r="V214" s="1639">
        <v>0</v>
      </c>
      <c r="W214" s="1639">
        <v>0</v>
      </c>
      <c r="X214" s="1640">
        <v>0</v>
      </c>
      <c r="Y214" s="1641">
        <v>0</v>
      </c>
      <c r="Z214" s="1854">
        <f>IF($G214,MATCH('Fan Name List'!Y214,'Fan Name List'!$AC$16:$BM$16,1),0)</f>
        <v>0</v>
      </c>
      <c r="AA214" s="1859">
        <f>IF($G214,IF(S214&gt;567,37,MATCH('Fan Name List'!S214,'Fan Name List'!$AC$16:$BM$16,1)+1),0)</f>
        <v>0</v>
      </c>
      <c r="AB214" s="1854"/>
      <c r="AC214" s="1855"/>
      <c r="AD214" s="1855"/>
      <c r="AE214" s="1855"/>
      <c r="AF214" s="1855"/>
      <c r="AG214" s="1855"/>
      <c r="AH214" s="1855"/>
      <c r="AI214" s="1855"/>
      <c r="AJ214" s="1855"/>
      <c r="AK214" s="1855"/>
      <c r="AL214" s="1855"/>
      <c r="AM214" s="1855"/>
      <c r="AN214" s="1855"/>
      <c r="AO214" s="1855"/>
      <c r="AP214" s="1855"/>
      <c r="AQ214" s="1855"/>
      <c r="AR214" s="1855"/>
      <c r="AS214" s="1855"/>
      <c r="AT214" s="1855"/>
      <c r="AU214" s="1855"/>
      <c r="AV214" s="1855"/>
      <c r="AW214" s="1855"/>
      <c r="AX214" s="1855"/>
      <c r="AY214" s="1855"/>
      <c r="AZ214" s="1855"/>
      <c r="BA214" s="1855"/>
      <c r="BB214" s="1855"/>
      <c r="BC214" s="1855"/>
      <c r="BD214" s="1855"/>
      <c r="BE214" s="1855"/>
      <c r="BF214" s="1855"/>
      <c r="BG214" s="1855"/>
      <c r="BH214" s="1855"/>
      <c r="BI214" s="1855"/>
      <c r="BJ214" s="1855"/>
      <c r="BK214" s="1855"/>
      <c r="BL214" s="1855"/>
      <c r="BM214" s="1855"/>
      <c r="BN214" s="1855"/>
      <c r="BO214" s="1855"/>
      <c r="BP214" s="1855"/>
      <c r="BQ214" s="1855"/>
      <c r="BR214" s="1855"/>
      <c r="BS214" s="1855"/>
      <c r="BT214" s="1855"/>
      <c r="BU214" s="1855"/>
      <c r="BV214" s="1855"/>
      <c r="BW214" s="1855"/>
      <c r="BX214" s="1855"/>
      <c r="BY214" s="1855"/>
      <c r="BZ214" s="1855"/>
      <c r="CA214" s="1855"/>
      <c r="CB214" s="1855"/>
      <c r="CC214" s="1855"/>
      <c r="CD214" s="1859"/>
    </row>
    <row r="215" spans="1:82" ht="14.25">
      <c r="A215" s="1628" t="s">
        <v>1647</v>
      </c>
      <c r="B215" s="906" t="s">
        <v>3215</v>
      </c>
      <c r="C215" s="1472" t="s">
        <v>2129</v>
      </c>
      <c r="D215" s="968" t="s">
        <v>3216</v>
      </c>
      <c r="E215" s="1493" t="s">
        <v>1647</v>
      </c>
      <c r="F215" s="1629" t="s">
        <v>3215</v>
      </c>
      <c r="G215" s="405" t="b">
        <v>0</v>
      </c>
      <c r="H215" s="1638"/>
      <c r="I215" s="1639">
        <v>0</v>
      </c>
      <c r="J215" s="1639">
        <v>0</v>
      </c>
      <c r="K215" s="1639">
        <v>0</v>
      </c>
      <c r="L215" s="1640">
        <v>0</v>
      </c>
      <c r="M215" s="2157">
        <v>0</v>
      </c>
      <c r="N215" s="1639"/>
      <c r="O215" s="1639">
        <v>0</v>
      </c>
      <c r="P215" s="1639">
        <v>0</v>
      </c>
      <c r="Q215" s="1639">
        <v>0</v>
      </c>
      <c r="R215" s="1640">
        <v>0</v>
      </c>
      <c r="S215" s="2157">
        <v>0</v>
      </c>
      <c r="T215" s="1639"/>
      <c r="U215" s="1639">
        <v>0</v>
      </c>
      <c r="V215" s="1639">
        <v>0</v>
      </c>
      <c r="W215" s="1639">
        <v>0</v>
      </c>
      <c r="X215" s="1640">
        <v>0</v>
      </c>
      <c r="Y215" s="1641">
        <v>0</v>
      </c>
      <c r="Z215" s="1854">
        <f>IF($G215,MATCH('Fan Name List'!Y215,'Fan Name List'!$AC$16:$BM$16,1),0)</f>
        <v>0</v>
      </c>
      <c r="AA215" s="1859">
        <f>IF($G215,IF(S215&gt;567,37,MATCH('Fan Name List'!S215,'Fan Name List'!$AC$16:$BM$16,1)+1),0)</f>
        <v>0</v>
      </c>
      <c r="AB215" s="1854"/>
      <c r="AC215" s="1855"/>
      <c r="AD215" s="1855"/>
      <c r="AE215" s="1855"/>
      <c r="AF215" s="1855"/>
      <c r="AG215" s="1855"/>
      <c r="AH215" s="1855"/>
      <c r="AI215" s="1855"/>
      <c r="AJ215" s="1855"/>
      <c r="AK215" s="1855"/>
      <c r="AL215" s="1855"/>
      <c r="AM215" s="1855"/>
      <c r="AN215" s="1855"/>
      <c r="AO215" s="1855"/>
      <c r="AP215" s="1855"/>
      <c r="AQ215" s="1855"/>
      <c r="AR215" s="1855"/>
      <c r="AS215" s="1855"/>
      <c r="AT215" s="1855"/>
      <c r="AU215" s="1855"/>
      <c r="AV215" s="1855"/>
      <c r="AW215" s="1855"/>
      <c r="AX215" s="1855"/>
      <c r="AY215" s="1855"/>
      <c r="AZ215" s="1855"/>
      <c r="BA215" s="1855"/>
      <c r="BB215" s="1855"/>
      <c r="BC215" s="1855"/>
      <c r="BD215" s="1855"/>
      <c r="BE215" s="1855"/>
      <c r="BF215" s="1855"/>
      <c r="BG215" s="1855"/>
      <c r="BH215" s="1855"/>
      <c r="BI215" s="1855"/>
      <c r="BJ215" s="1855"/>
      <c r="BK215" s="1855"/>
      <c r="BL215" s="1855"/>
      <c r="BM215" s="1855"/>
      <c r="BN215" s="1855"/>
      <c r="BO215" s="1855"/>
      <c r="BP215" s="1855"/>
      <c r="BQ215" s="1855"/>
      <c r="BR215" s="1855"/>
      <c r="BS215" s="1855"/>
      <c r="BT215" s="1855"/>
      <c r="BU215" s="1855"/>
      <c r="BV215" s="1855"/>
      <c r="BW215" s="1855"/>
      <c r="BX215" s="1855"/>
      <c r="BY215" s="1855"/>
      <c r="BZ215" s="1855"/>
      <c r="CA215" s="1855"/>
      <c r="CB215" s="1855"/>
      <c r="CC215" s="1855"/>
      <c r="CD215" s="1859"/>
    </row>
    <row r="216" spans="1:82" ht="14.25">
      <c r="A216" s="1628" t="s">
        <v>1648</v>
      </c>
      <c r="B216" s="906" t="s">
        <v>3217</v>
      </c>
      <c r="C216" s="1472" t="s">
        <v>2131</v>
      </c>
      <c r="D216" s="968" t="s">
        <v>3218</v>
      </c>
      <c r="E216" s="1493" t="s">
        <v>1648</v>
      </c>
      <c r="F216" s="1629" t="s">
        <v>3217</v>
      </c>
      <c r="G216" s="405" t="b">
        <v>0</v>
      </c>
      <c r="H216" s="1638"/>
      <c r="I216" s="1639">
        <v>0</v>
      </c>
      <c r="J216" s="1639">
        <v>0</v>
      </c>
      <c r="K216" s="1639">
        <v>0</v>
      </c>
      <c r="L216" s="1640">
        <v>0</v>
      </c>
      <c r="M216" s="2157">
        <v>0</v>
      </c>
      <c r="N216" s="1639"/>
      <c r="O216" s="1639">
        <v>0</v>
      </c>
      <c r="P216" s="1639">
        <v>0</v>
      </c>
      <c r="Q216" s="1639">
        <v>0</v>
      </c>
      <c r="R216" s="1640">
        <v>0</v>
      </c>
      <c r="S216" s="2157">
        <v>0</v>
      </c>
      <c r="T216" s="1639"/>
      <c r="U216" s="1639">
        <v>0</v>
      </c>
      <c r="V216" s="1639">
        <v>0</v>
      </c>
      <c r="W216" s="1639">
        <v>0</v>
      </c>
      <c r="X216" s="1640">
        <v>0</v>
      </c>
      <c r="Y216" s="1641">
        <v>0</v>
      </c>
      <c r="Z216" s="1854">
        <f>IF($G216,MATCH('Fan Name List'!Y216,'Fan Name List'!$AC$16:$BM$16,1),0)</f>
        <v>0</v>
      </c>
      <c r="AA216" s="1859">
        <f>IF($G216,IF(S216&gt;567,37,MATCH('Fan Name List'!S216,'Fan Name List'!$AC$16:$BM$16,1)+1),0)</f>
        <v>0</v>
      </c>
      <c r="AB216" s="1854"/>
      <c r="AC216" s="1855"/>
      <c r="AD216" s="1855"/>
      <c r="AE216" s="1855"/>
      <c r="AF216" s="1855"/>
      <c r="AG216" s="1855"/>
      <c r="AH216" s="1855"/>
      <c r="AI216" s="1855"/>
      <c r="AJ216" s="1855"/>
      <c r="AK216" s="1855"/>
      <c r="AL216" s="1855"/>
      <c r="AM216" s="1855"/>
      <c r="AN216" s="1855"/>
      <c r="AO216" s="1855"/>
      <c r="AP216" s="1855"/>
      <c r="AQ216" s="1855"/>
      <c r="AR216" s="1855"/>
      <c r="AS216" s="1855"/>
      <c r="AT216" s="1855"/>
      <c r="AU216" s="1855"/>
      <c r="AV216" s="1855"/>
      <c r="AW216" s="1855"/>
      <c r="AX216" s="1855"/>
      <c r="AY216" s="1855"/>
      <c r="AZ216" s="1855"/>
      <c r="BA216" s="1855"/>
      <c r="BB216" s="1855"/>
      <c r="BC216" s="1855"/>
      <c r="BD216" s="1855"/>
      <c r="BE216" s="1855"/>
      <c r="BF216" s="1855"/>
      <c r="BG216" s="1855"/>
      <c r="BH216" s="1855"/>
      <c r="BI216" s="1855"/>
      <c r="BJ216" s="1855"/>
      <c r="BK216" s="1855"/>
      <c r="BL216" s="1855"/>
      <c r="BM216" s="1855"/>
      <c r="BN216" s="1855"/>
      <c r="BO216" s="1855"/>
      <c r="BP216" s="1855"/>
      <c r="BQ216" s="1855"/>
      <c r="BR216" s="1855"/>
      <c r="BS216" s="1855"/>
      <c r="BT216" s="1855"/>
      <c r="BU216" s="1855"/>
      <c r="BV216" s="1855"/>
      <c r="BW216" s="1855"/>
      <c r="BX216" s="1855"/>
      <c r="BY216" s="1855"/>
      <c r="BZ216" s="1855"/>
      <c r="CA216" s="1855"/>
      <c r="CB216" s="1855"/>
      <c r="CC216" s="1855"/>
      <c r="CD216" s="1859"/>
    </row>
    <row r="217" spans="1:82" ht="14.25">
      <c r="A217" s="1628" t="s">
        <v>1649</v>
      </c>
      <c r="B217" s="906" t="s">
        <v>3219</v>
      </c>
      <c r="C217" s="1472" t="s">
        <v>2132</v>
      </c>
      <c r="D217" s="968" t="s">
        <v>3220</v>
      </c>
      <c r="E217" s="1493" t="s">
        <v>1649</v>
      </c>
      <c r="F217" s="1629" t="s">
        <v>3219</v>
      </c>
      <c r="G217" s="405" t="b">
        <v>0</v>
      </c>
      <c r="H217" s="1638"/>
      <c r="I217" s="1639">
        <v>0</v>
      </c>
      <c r="J217" s="1639">
        <v>0</v>
      </c>
      <c r="K217" s="1639">
        <v>0</v>
      </c>
      <c r="L217" s="1640">
        <v>0</v>
      </c>
      <c r="M217" s="2157">
        <v>0</v>
      </c>
      <c r="N217" s="1639"/>
      <c r="O217" s="1639">
        <v>0</v>
      </c>
      <c r="P217" s="1639">
        <v>0</v>
      </c>
      <c r="Q217" s="1639">
        <v>0</v>
      </c>
      <c r="R217" s="1640">
        <v>0</v>
      </c>
      <c r="S217" s="2157">
        <v>0</v>
      </c>
      <c r="T217" s="1639"/>
      <c r="U217" s="1639">
        <v>0</v>
      </c>
      <c r="V217" s="1639">
        <v>0</v>
      </c>
      <c r="W217" s="1639">
        <v>0</v>
      </c>
      <c r="X217" s="1640">
        <v>0</v>
      </c>
      <c r="Y217" s="1641">
        <v>0</v>
      </c>
      <c r="Z217" s="1854">
        <f>IF($G217,MATCH('Fan Name List'!Y217,'Fan Name List'!$AC$16:$BM$16,1),0)</f>
        <v>0</v>
      </c>
      <c r="AA217" s="1859">
        <f>IF($G217,IF(S217&gt;567,37,MATCH('Fan Name List'!S217,'Fan Name List'!$AC$16:$BM$16,1)+1),0)</f>
        <v>0</v>
      </c>
      <c r="AB217" s="1854"/>
      <c r="AC217" s="1855"/>
      <c r="AD217" s="1855"/>
      <c r="AE217" s="1855"/>
      <c r="AF217" s="1855"/>
      <c r="AG217" s="1855"/>
      <c r="AH217" s="1855"/>
      <c r="AI217" s="1855"/>
      <c r="AJ217" s="1855"/>
      <c r="AK217" s="1855"/>
      <c r="AL217" s="1855"/>
      <c r="AM217" s="1855"/>
      <c r="AN217" s="1855"/>
      <c r="AO217" s="1855"/>
      <c r="AP217" s="1855"/>
      <c r="AQ217" s="1855"/>
      <c r="AR217" s="1855"/>
      <c r="AS217" s="1855"/>
      <c r="AT217" s="1855"/>
      <c r="AU217" s="1855"/>
      <c r="AV217" s="1855"/>
      <c r="AW217" s="1855"/>
      <c r="AX217" s="1855"/>
      <c r="AY217" s="1855"/>
      <c r="AZ217" s="1855"/>
      <c r="BA217" s="1855"/>
      <c r="BB217" s="1855"/>
      <c r="BC217" s="1855"/>
      <c r="BD217" s="1855"/>
      <c r="BE217" s="1855"/>
      <c r="BF217" s="1855"/>
      <c r="BG217" s="1855"/>
      <c r="BH217" s="1855"/>
      <c r="BI217" s="1855"/>
      <c r="BJ217" s="1855"/>
      <c r="BK217" s="1855"/>
      <c r="BL217" s="1855"/>
      <c r="BM217" s="1855"/>
      <c r="BN217" s="1855"/>
      <c r="BO217" s="1855"/>
      <c r="BP217" s="1855"/>
      <c r="BQ217" s="1855"/>
      <c r="BR217" s="1855"/>
      <c r="BS217" s="1855"/>
      <c r="BT217" s="1855"/>
      <c r="BU217" s="1855"/>
      <c r="BV217" s="1855"/>
      <c r="BW217" s="1855"/>
      <c r="BX217" s="1855"/>
      <c r="BY217" s="1855"/>
      <c r="BZ217" s="1855"/>
      <c r="CA217" s="1855"/>
      <c r="CB217" s="1855"/>
      <c r="CC217" s="1855"/>
      <c r="CD217" s="1859"/>
    </row>
    <row r="218" spans="1:82" ht="14.25">
      <c r="A218" s="1628" t="s">
        <v>1650</v>
      </c>
      <c r="B218" s="906" t="s">
        <v>3221</v>
      </c>
      <c r="C218" s="1472" t="s">
        <v>2133</v>
      </c>
      <c r="D218" s="968" t="s">
        <v>3222</v>
      </c>
      <c r="E218" s="1493" t="s">
        <v>1650</v>
      </c>
      <c r="F218" s="1629" t="s">
        <v>3221</v>
      </c>
      <c r="G218" s="405" t="b">
        <v>0</v>
      </c>
      <c r="H218" s="1638"/>
      <c r="I218" s="1639">
        <v>0</v>
      </c>
      <c r="J218" s="1639">
        <v>0</v>
      </c>
      <c r="K218" s="1639">
        <v>0</v>
      </c>
      <c r="L218" s="1640">
        <v>0</v>
      </c>
      <c r="M218" s="2157">
        <v>0</v>
      </c>
      <c r="N218" s="1639"/>
      <c r="O218" s="1639">
        <v>0</v>
      </c>
      <c r="P218" s="1639">
        <v>0</v>
      </c>
      <c r="Q218" s="1639">
        <v>0</v>
      </c>
      <c r="R218" s="1640">
        <v>0</v>
      </c>
      <c r="S218" s="2157">
        <v>0</v>
      </c>
      <c r="T218" s="1639"/>
      <c r="U218" s="1639">
        <v>0</v>
      </c>
      <c r="V218" s="1639">
        <v>0</v>
      </c>
      <c r="W218" s="1639">
        <v>0</v>
      </c>
      <c r="X218" s="1640">
        <v>0</v>
      </c>
      <c r="Y218" s="1641">
        <v>0</v>
      </c>
      <c r="Z218" s="1854">
        <f>IF($G218,MATCH('Fan Name List'!Y218,'Fan Name List'!$AC$16:$BM$16,1),0)</f>
        <v>0</v>
      </c>
      <c r="AA218" s="1859">
        <f>IF($G218,IF(S218&gt;567,37,MATCH('Fan Name List'!S218,'Fan Name List'!$AC$16:$BM$16,1)+1),0)</f>
        <v>0</v>
      </c>
      <c r="AB218" s="1854"/>
      <c r="AC218" s="1855"/>
      <c r="AD218" s="1855"/>
      <c r="AE218" s="1855"/>
      <c r="AF218" s="1855"/>
      <c r="AG218" s="1855"/>
      <c r="AH218" s="1855"/>
      <c r="AI218" s="1855"/>
      <c r="AJ218" s="1855"/>
      <c r="AK218" s="1855"/>
      <c r="AL218" s="1855"/>
      <c r="AM218" s="1855"/>
      <c r="AN218" s="1855"/>
      <c r="AO218" s="1855"/>
      <c r="AP218" s="1855"/>
      <c r="AQ218" s="1855"/>
      <c r="AR218" s="1855"/>
      <c r="AS218" s="1855"/>
      <c r="AT218" s="1855"/>
      <c r="AU218" s="1855"/>
      <c r="AV218" s="1855"/>
      <c r="AW218" s="1855"/>
      <c r="AX218" s="1855"/>
      <c r="AY218" s="1855"/>
      <c r="AZ218" s="1855"/>
      <c r="BA218" s="1855"/>
      <c r="BB218" s="1855"/>
      <c r="BC218" s="1855"/>
      <c r="BD218" s="1855"/>
      <c r="BE218" s="1855"/>
      <c r="BF218" s="1855"/>
      <c r="BG218" s="1855"/>
      <c r="BH218" s="1855"/>
      <c r="BI218" s="1855"/>
      <c r="BJ218" s="1855"/>
      <c r="BK218" s="1855"/>
      <c r="BL218" s="1855"/>
      <c r="BM218" s="1855"/>
      <c r="BN218" s="1855"/>
      <c r="BO218" s="1855"/>
      <c r="BP218" s="1855"/>
      <c r="BQ218" s="1855"/>
      <c r="BR218" s="1855"/>
      <c r="BS218" s="1855"/>
      <c r="BT218" s="1855"/>
      <c r="BU218" s="1855"/>
      <c r="BV218" s="1855"/>
      <c r="BW218" s="1855"/>
      <c r="BX218" s="1855"/>
      <c r="BY218" s="1855"/>
      <c r="BZ218" s="1855"/>
      <c r="CA218" s="1855"/>
      <c r="CB218" s="1855"/>
      <c r="CC218" s="1855"/>
      <c r="CD218" s="1859"/>
    </row>
    <row r="219" spans="1:82" ht="14.25">
      <c r="A219" s="1628" t="s">
        <v>1651</v>
      </c>
      <c r="B219" s="906" t="s">
        <v>3223</v>
      </c>
      <c r="C219" s="1472" t="s">
        <v>2134</v>
      </c>
      <c r="D219" s="968" t="s">
        <v>3224</v>
      </c>
      <c r="E219" s="1493" t="s">
        <v>1651</v>
      </c>
      <c r="F219" s="1629" t="s">
        <v>3223</v>
      </c>
      <c r="G219" s="405" t="b">
        <v>0</v>
      </c>
      <c r="H219" s="1638"/>
      <c r="I219" s="1639">
        <v>0</v>
      </c>
      <c r="J219" s="1639">
        <v>0</v>
      </c>
      <c r="K219" s="1639">
        <v>0</v>
      </c>
      <c r="L219" s="1640">
        <v>0</v>
      </c>
      <c r="M219" s="2157">
        <v>0</v>
      </c>
      <c r="N219" s="1639"/>
      <c r="O219" s="1639">
        <v>0</v>
      </c>
      <c r="P219" s="1639">
        <v>0</v>
      </c>
      <c r="Q219" s="1639">
        <v>0</v>
      </c>
      <c r="R219" s="1640">
        <v>0</v>
      </c>
      <c r="S219" s="2157">
        <v>0</v>
      </c>
      <c r="T219" s="1639"/>
      <c r="U219" s="1639">
        <v>0</v>
      </c>
      <c r="V219" s="1639">
        <v>0</v>
      </c>
      <c r="W219" s="1639">
        <v>0</v>
      </c>
      <c r="X219" s="1640">
        <v>0</v>
      </c>
      <c r="Y219" s="1641">
        <v>0</v>
      </c>
      <c r="Z219" s="1854">
        <f>IF($G219,MATCH('Fan Name List'!Y219,'Fan Name List'!$AC$16:$BM$16,1),0)</f>
        <v>0</v>
      </c>
      <c r="AA219" s="1859">
        <f>IF($G219,IF(S219&gt;567,37,MATCH('Fan Name List'!S219,'Fan Name List'!$AC$16:$BM$16,1)+1),0)</f>
        <v>0</v>
      </c>
      <c r="AB219" s="1854"/>
      <c r="AC219" s="1855"/>
      <c r="AD219" s="1855"/>
      <c r="AE219" s="1855"/>
      <c r="AF219" s="1855"/>
      <c r="AG219" s="1855"/>
      <c r="AH219" s="1855"/>
      <c r="AI219" s="1855"/>
      <c r="AJ219" s="1855"/>
      <c r="AK219" s="1855"/>
      <c r="AL219" s="1855"/>
      <c r="AM219" s="1855"/>
      <c r="AN219" s="1855"/>
      <c r="AO219" s="1855"/>
      <c r="AP219" s="1855"/>
      <c r="AQ219" s="1855"/>
      <c r="AR219" s="1855"/>
      <c r="AS219" s="1855"/>
      <c r="AT219" s="1855"/>
      <c r="AU219" s="1855"/>
      <c r="AV219" s="1855"/>
      <c r="AW219" s="1855"/>
      <c r="AX219" s="1855"/>
      <c r="AY219" s="1855"/>
      <c r="AZ219" s="1855"/>
      <c r="BA219" s="1855"/>
      <c r="BB219" s="1855"/>
      <c r="BC219" s="1855"/>
      <c r="BD219" s="1855"/>
      <c r="BE219" s="1855"/>
      <c r="BF219" s="1855"/>
      <c r="BG219" s="1855"/>
      <c r="BH219" s="1855"/>
      <c r="BI219" s="1855"/>
      <c r="BJ219" s="1855"/>
      <c r="BK219" s="1855"/>
      <c r="BL219" s="1855"/>
      <c r="BM219" s="1855"/>
      <c r="BN219" s="1855"/>
      <c r="BO219" s="1855"/>
      <c r="BP219" s="1855"/>
      <c r="BQ219" s="1855"/>
      <c r="BR219" s="1855"/>
      <c r="BS219" s="1855"/>
      <c r="BT219" s="1855"/>
      <c r="BU219" s="1855"/>
      <c r="BV219" s="1855"/>
      <c r="BW219" s="1855"/>
      <c r="BX219" s="1855"/>
      <c r="BY219" s="1855"/>
      <c r="BZ219" s="1855"/>
      <c r="CA219" s="1855"/>
      <c r="CB219" s="1855"/>
      <c r="CC219" s="1855"/>
      <c r="CD219" s="1859"/>
    </row>
    <row r="220" spans="1:82" ht="14.25">
      <c r="A220" s="1632" t="s">
        <v>1652</v>
      </c>
      <c r="B220" s="906">
        <v>0</v>
      </c>
      <c r="C220" s="1472" t="s">
        <v>2135</v>
      </c>
      <c r="D220" s="968" t="s">
        <v>3197</v>
      </c>
      <c r="E220" s="1493" t="s">
        <v>1652</v>
      </c>
      <c r="F220" s="1629">
        <v>0</v>
      </c>
      <c r="G220" s="405" t="b">
        <v>0</v>
      </c>
      <c r="H220" s="1638"/>
      <c r="I220" s="1639">
        <v>0</v>
      </c>
      <c r="J220" s="1639">
        <v>0</v>
      </c>
      <c r="K220" s="1639">
        <v>0</v>
      </c>
      <c r="L220" s="1640">
        <v>0</v>
      </c>
      <c r="M220" s="2157">
        <v>0</v>
      </c>
      <c r="N220" s="1639"/>
      <c r="O220" s="1639">
        <v>0</v>
      </c>
      <c r="P220" s="1639">
        <v>0</v>
      </c>
      <c r="Q220" s="1639">
        <v>0</v>
      </c>
      <c r="R220" s="1640">
        <v>0</v>
      </c>
      <c r="S220" s="2157">
        <v>0</v>
      </c>
      <c r="T220" s="1639"/>
      <c r="U220" s="1639">
        <v>0</v>
      </c>
      <c r="V220" s="1639">
        <v>0</v>
      </c>
      <c r="W220" s="1639">
        <v>0</v>
      </c>
      <c r="X220" s="1640">
        <v>0</v>
      </c>
      <c r="Y220" s="1641">
        <v>0</v>
      </c>
      <c r="Z220" s="1854">
        <f>IF($G220,MATCH('Fan Name List'!Y220,'Fan Name List'!$AC$16:$BM$16,1),0)</f>
        <v>0</v>
      </c>
      <c r="AA220" s="1859">
        <f>IF($G220,IF(S220&gt;567,37,MATCH('Fan Name List'!S220,'Fan Name List'!$AC$16:$BM$16,1)+1),0)</f>
        <v>0</v>
      </c>
      <c r="AB220" s="1854"/>
      <c r="AC220" s="1855"/>
      <c r="AD220" s="1855"/>
      <c r="AE220" s="1855"/>
      <c r="AF220" s="1855"/>
      <c r="AG220" s="1855"/>
      <c r="AH220" s="1855"/>
      <c r="AI220" s="1855"/>
      <c r="AJ220" s="1855"/>
      <c r="AK220" s="1855"/>
      <c r="AL220" s="1855"/>
      <c r="AM220" s="1855"/>
      <c r="AN220" s="1855"/>
      <c r="AO220" s="1855"/>
      <c r="AP220" s="1855"/>
      <c r="AQ220" s="1855"/>
      <c r="AR220" s="1855"/>
      <c r="AS220" s="1855"/>
      <c r="AT220" s="1855"/>
      <c r="AU220" s="1855"/>
      <c r="AV220" s="1855"/>
      <c r="AW220" s="1855"/>
      <c r="AX220" s="1855"/>
      <c r="AY220" s="1855"/>
      <c r="AZ220" s="1855"/>
      <c r="BA220" s="1855"/>
      <c r="BB220" s="1855"/>
      <c r="BC220" s="1855"/>
      <c r="BD220" s="1855"/>
      <c r="BE220" s="1855"/>
      <c r="BF220" s="1855"/>
      <c r="BG220" s="1855"/>
      <c r="BH220" s="1855"/>
      <c r="BI220" s="1855"/>
      <c r="BJ220" s="1855"/>
      <c r="BK220" s="1855"/>
      <c r="BL220" s="1855"/>
      <c r="BM220" s="1855"/>
      <c r="BN220" s="1855"/>
      <c r="BO220" s="1855"/>
      <c r="BP220" s="1855"/>
      <c r="BQ220" s="1855"/>
      <c r="BR220" s="1855"/>
      <c r="BS220" s="1855"/>
      <c r="BT220" s="1855"/>
      <c r="BU220" s="1855"/>
      <c r="BV220" s="1855"/>
      <c r="BW220" s="1855"/>
      <c r="BX220" s="1855"/>
      <c r="BY220" s="1855"/>
      <c r="BZ220" s="1855"/>
      <c r="CA220" s="1855"/>
      <c r="CB220" s="1855"/>
      <c r="CC220" s="1855"/>
      <c r="CD220" s="1859"/>
    </row>
    <row r="221" spans="1:82" ht="14.25">
      <c r="A221" s="1632" t="s">
        <v>1720</v>
      </c>
      <c r="B221" s="906">
        <v>0</v>
      </c>
      <c r="C221" s="1472" t="s">
        <v>2136</v>
      </c>
      <c r="D221" s="968" t="s">
        <v>3197</v>
      </c>
      <c r="E221" s="1493" t="s">
        <v>1720</v>
      </c>
      <c r="F221" s="1629">
        <v>0</v>
      </c>
      <c r="G221" s="405" t="b">
        <v>0</v>
      </c>
      <c r="H221" s="1638"/>
      <c r="I221" s="1639">
        <v>0</v>
      </c>
      <c r="J221" s="1639">
        <v>0</v>
      </c>
      <c r="K221" s="1639">
        <v>0</v>
      </c>
      <c r="L221" s="1640">
        <v>0</v>
      </c>
      <c r="M221" s="2157">
        <v>0</v>
      </c>
      <c r="N221" s="1639"/>
      <c r="O221" s="1639">
        <v>0</v>
      </c>
      <c r="P221" s="1639">
        <v>0</v>
      </c>
      <c r="Q221" s="1639">
        <v>0</v>
      </c>
      <c r="R221" s="1640">
        <v>0</v>
      </c>
      <c r="S221" s="2157">
        <v>0</v>
      </c>
      <c r="T221" s="1639"/>
      <c r="U221" s="1639">
        <v>0</v>
      </c>
      <c r="V221" s="1639">
        <v>0</v>
      </c>
      <c r="W221" s="1639">
        <v>0</v>
      </c>
      <c r="X221" s="1640">
        <v>0</v>
      </c>
      <c r="Y221" s="1641">
        <v>0</v>
      </c>
      <c r="Z221" s="1854">
        <f>IF($G221,MATCH('Fan Name List'!Y221,'Fan Name List'!$AC$16:$BM$16,1),0)</f>
        <v>0</v>
      </c>
      <c r="AA221" s="1859">
        <f>IF($G221,IF(S221&gt;567,37,MATCH('Fan Name List'!S221,'Fan Name List'!$AC$16:$BM$16,1)+1),0)</f>
        <v>0</v>
      </c>
      <c r="AB221" s="1854"/>
      <c r="AC221" s="1855"/>
      <c r="AD221" s="1855"/>
      <c r="AE221" s="1855"/>
      <c r="AF221" s="1855"/>
      <c r="AG221" s="1855"/>
      <c r="AH221" s="1855"/>
      <c r="AI221" s="1855"/>
      <c r="AJ221" s="1855"/>
      <c r="AK221" s="1855"/>
      <c r="AL221" s="1855"/>
      <c r="AM221" s="1855"/>
      <c r="AN221" s="1855"/>
      <c r="AO221" s="1855"/>
      <c r="AP221" s="1855"/>
      <c r="AQ221" s="1855"/>
      <c r="AR221" s="1855"/>
      <c r="AS221" s="1855"/>
      <c r="AT221" s="1855"/>
      <c r="AU221" s="1855"/>
      <c r="AV221" s="1855"/>
      <c r="AW221" s="1855"/>
      <c r="AX221" s="1855"/>
      <c r="AY221" s="1855"/>
      <c r="AZ221" s="1855"/>
      <c r="BA221" s="1855"/>
      <c r="BB221" s="1855"/>
      <c r="BC221" s="1855"/>
      <c r="BD221" s="1855"/>
      <c r="BE221" s="1855"/>
      <c r="BF221" s="1855"/>
      <c r="BG221" s="1855"/>
      <c r="BH221" s="1855"/>
      <c r="BI221" s="1855"/>
      <c r="BJ221" s="1855"/>
      <c r="BK221" s="1855"/>
      <c r="BL221" s="1855"/>
      <c r="BM221" s="1855"/>
      <c r="BN221" s="1855"/>
      <c r="BO221" s="1855"/>
      <c r="BP221" s="1855"/>
      <c r="BQ221" s="1855"/>
      <c r="BR221" s="1855"/>
      <c r="BS221" s="1855"/>
      <c r="BT221" s="1855"/>
      <c r="BU221" s="1855"/>
      <c r="BV221" s="1855"/>
      <c r="BW221" s="1855"/>
      <c r="BX221" s="1855"/>
      <c r="BY221" s="1855"/>
      <c r="BZ221" s="1855"/>
      <c r="CA221" s="1855"/>
      <c r="CB221" s="1855"/>
      <c r="CC221" s="1855"/>
      <c r="CD221" s="1859"/>
    </row>
    <row r="222" spans="1:82" ht="14.25">
      <c r="A222" s="1632" t="s">
        <v>1653</v>
      </c>
      <c r="B222" s="906">
        <v>0</v>
      </c>
      <c r="C222" s="1472" t="s">
        <v>2137</v>
      </c>
      <c r="D222" s="968" t="s">
        <v>3200</v>
      </c>
      <c r="E222" s="1493" t="s">
        <v>1653</v>
      </c>
      <c r="F222" s="1629">
        <v>0</v>
      </c>
      <c r="G222" s="405" t="b">
        <v>0</v>
      </c>
      <c r="H222" s="1638"/>
      <c r="I222" s="1639">
        <v>0</v>
      </c>
      <c r="J222" s="1639">
        <v>0</v>
      </c>
      <c r="K222" s="1639">
        <v>0</v>
      </c>
      <c r="L222" s="1640">
        <v>0</v>
      </c>
      <c r="M222" s="2157">
        <v>0</v>
      </c>
      <c r="N222" s="1639"/>
      <c r="O222" s="1639">
        <v>0</v>
      </c>
      <c r="P222" s="1639">
        <v>0</v>
      </c>
      <c r="Q222" s="1639">
        <v>0</v>
      </c>
      <c r="R222" s="1640">
        <v>0</v>
      </c>
      <c r="S222" s="2157">
        <v>0</v>
      </c>
      <c r="T222" s="1639"/>
      <c r="U222" s="1639">
        <v>0</v>
      </c>
      <c r="V222" s="1639">
        <v>0</v>
      </c>
      <c r="W222" s="1639">
        <v>0</v>
      </c>
      <c r="X222" s="1640">
        <v>0</v>
      </c>
      <c r="Y222" s="1641">
        <v>0</v>
      </c>
      <c r="Z222" s="1854">
        <f>IF($G222,MATCH('Fan Name List'!Y222,'Fan Name List'!$AC$16:$BM$16,1),0)</f>
        <v>0</v>
      </c>
      <c r="AA222" s="1859">
        <f>IF($G222,IF(S222&gt;567,37,MATCH('Fan Name List'!S222,'Fan Name List'!$AC$16:$BM$16,1)+1),0)</f>
        <v>0</v>
      </c>
      <c r="AB222" s="1854"/>
      <c r="AC222" s="1855"/>
      <c r="AD222" s="1855"/>
      <c r="AE222" s="1855"/>
      <c r="AF222" s="1855"/>
      <c r="AG222" s="1855"/>
      <c r="AH222" s="1855"/>
      <c r="AI222" s="1855"/>
      <c r="AJ222" s="1855"/>
      <c r="AK222" s="1855"/>
      <c r="AL222" s="1855"/>
      <c r="AM222" s="1855"/>
      <c r="AN222" s="1855"/>
      <c r="AO222" s="1855"/>
      <c r="AP222" s="1855"/>
      <c r="AQ222" s="1855"/>
      <c r="AR222" s="1855"/>
      <c r="AS222" s="1855"/>
      <c r="AT222" s="1855"/>
      <c r="AU222" s="1855"/>
      <c r="AV222" s="1855"/>
      <c r="AW222" s="1855"/>
      <c r="AX222" s="1855"/>
      <c r="AY222" s="1855"/>
      <c r="AZ222" s="1855"/>
      <c r="BA222" s="1855"/>
      <c r="BB222" s="1855"/>
      <c r="BC222" s="1855"/>
      <c r="BD222" s="1855"/>
      <c r="BE222" s="1855"/>
      <c r="BF222" s="1855"/>
      <c r="BG222" s="1855"/>
      <c r="BH222" s="1855"/>
      <c r="BI222" s="1855"/>
      <c r="BJ222" s="1855"/>
      <c r="BK222" s="1855"/>
      <c r="BL222" s="1855"/>
      <c r="BM222" s="1855"/>
      <c r="BN222" s="1855"/>
      <c r="BO222" s="1855"/>
      <c r="BP222" s="1855"/>
      <c r="BQ222" s="1855"/>
      <c r="BR222" s="1855"/>
      <c r="BS222" s="1855"/>
      <c r="BT222" s="1855"/>
      <c r="BU222" s="1855"/>
      <c r="BV222" s="1855"/>
      <c r="BW222" s="1855"/>
      <c r="BX222" s="1855"/>
      <c r="BY222" s="1855"/>
      <c r="BZ222" s="1855"/>
      <c r="CA222" s="1855"/>
      <c r="CB222" s="1855"/>
      <c r="CC222" s="1855"/>
      <c r="CD222" s="1859"/>
    </row>
    <row r="223" spans="1:82" ht="14.25">
      <c r="A223" s="1632" t="s">
        <v>1721</v>
      </c>
      <c r="B223" s="906">
        <v>0</v>
      </c>
      <c r="C223" s="1472" t="s">
        <v>2138</v>
      </c>
      <c r="D223" s="968" t="s">
        <v>3200</v>
      </c>
      <c r="E223" s="1493" t="s">
        <v>1721</v>
      </c>
      <c r="F223" s="1629">
        <v>0</v>
      </c>
      <c r="G223" s="405" t="b">
        <v>0</v>
      </c>
      <c r="H223" s="1638"/>
      <c r="I223" s="1639">
        <v>0</v>
      </c>
      <c r="J223" s="1639">
        <v>0</v>
      </c>
      <c r="K223" s="1639">
        <v>0</v>
      </c>
      <c r="L223" s="1640">
        <v>0</v>
      </c>
      <c r="M223" s="2157">
        <v>0</v>
      </c>
      <c r="N223" s="1639"/>
      <c r="O223" s="1639">
        <v>0</v>
      </c>
      <c r="P223" s="1639">
        <v>0</v>
      </c>
      <c r="Q223" s="1639">
        <v>0</v>
      </c>
      <c r="R223" s="1640">
        <v>0</v>
      </c>
      <c r="S223" s="2157">
        <v>0</v>
      </c>
      <c r="T223" s="1639"/>
      <c r="U223" s="1639">
        <v>0</v>
      </c>
      <c r="V223" s="1639">
        <v>0</v>
      </c>
      <c r="W223" s="1639">
        <v>0</v>
      </c>
      <c r="X223" s="1640">
        <v>0</v>
      </c>
      <c r="Y223" s="1641">
        <v>0</v>
      </c>
      <c r="Z223" s="1854">
        <f>IF($G223,MATCH('Fan Name List'!Y223,'Fan Name List'!$AC$16:$BM$16,1),0)</f>
        <v>0</v>
      </c>
      <c r="AA223" s="1859">
        <f>IF($G223,IF(S223&gt;567,37,MATCH('Fan Name List'!S223,'Fan Name List'!$AC$16:$BM$16,1)+1),0)</f>
        <v>0</v>
      </c>
      <c r="AB223" s="1854"/>
      <c r="AC223" s="1855"/>
      <c r="AD223" s="1855"/>
      <c r="AE223" s="1855"/>
      <c r="AF223" s="1855"/>
      <c r="AG223" s="1855"/>
      <c r="AH223" s="1855"/>
      <c r="AI223" s="1855"/>
      <c r="AJ223" s="1855"/>
      <c r="AK223" s="1855"/>
      <c r="AL223" s="1855"/>
      <c r="AM223" s="1855"/>
      <c r="AN223" s="1855"/>
      <c r="AO223" s="1855"/>
      <c r="AP223" s="1855"/>
      <c r="AQ223" s="1855"/>
      <c r="AR223" s="1855"/>
      <c r="AS223" s="1855"/>
      <c r="AT223" s="1855"/>
      <c r="AU223" s="1855"/>
      <c r="AV223" s="1855"/>
      <c r="AW223" s="1855"/>
      <c r="AX223" s="1855"/>
      <c r="AY223" s="1855"/>
      <c r="AZ223" s="1855"/>
      <c r="BA223" s="1855"/>
      <c r="BB223" s="1855"/>
      <c r="BC223" s="1855"/>
      <c r="BD223" s="1855"/>
      <c r="BE223" s="1855"/>
      <c r="BF223" s="1855"/>
      <c r="BG223" s="1855"/>
      <c r="BH223" s="1855"/>
      <c r="BI223" s="1855"/>
      <c r="BJ223" s="1855"/>
      <c r="BK223" s="1855"/>
      <c r="BL223" s="1855"/>
      <c r="BM223" s="1855"/>
      <c r="BN223" s="1855"/>
      <c r="BO223" s="1855"/>
      <c r="BP223" s="1855"/>
      <c r="BQ223" s="1855"/>
      <c r="BR223" s="1855"/>
      <c r="BS223" s="1855"/>
      <c r="BT223" s="1855"/>
      <c r="BU223" s="1855"/>
      <c r="BV223" s="1855"/>
      <c r="BW223" s="1855"/>
      <c r="BX223" s="1855"/>
      <c r="BY223" s="1855"/>
      <c r="BZ223" s="1855"/>
      <c r="CA223" s="1855"/>
      <c r="CB223" s="1855"/>
      <c r="CC223" s="1855"/>
      <c r="CD223" s="1859"/>
    </row>
    <row r="224" spans="1:82" ht="14.25">
      <c r="A224" s="1632" t="s">
        <v>1654</v>
      </c>
      <c r="B224" s="906">
        <v>0</v>
      </c>
      <c r="C224" s="1472" t="s">
        <v>2139</v>
      </c>
      <c r="D224" s="968" t="s">
        <v>3203</v>
      </c>
      <c r="E224" s="1493" t="s">
        <v>1654</v>
      </c>
      <c r="F224" s="1629">
        <v>0</v>
      </c>
      <c r="G224" s="405" t="b">
        <v>0</v>
      </c>
      <c r="H224" s="1638"/>
      <c r="I224" s="1639">
        <v>0</v>
      </c>
      <c r="J224" s="1639">
        <v>0</v>
      </c>
      <c r="K224" s="1639">
        <v>0</v>
      </c>
      <c r="L224" s="1640">
        <v>0</v>
      </c>
      <c r="M224" s="2157">
        <v>0</v>
      </c>
      <c r="N224" s="1639"/>
      <c r="O224" s="1639">
        <v>0</v>
      </c>
      <c r="P224" s="1639">
        <v>0</v>
      </c>
      <c r="Q224" s="1639">
        <v>0</v>
      </c>
      <c r="R224" s="1640">
        <v>0</v>
      </c>
      <c r="S224" s="2157">
        <v>0</v>
      </c>
      <c r="T224" s="1639"/>
      <c r="U224" s="1639">
        <v>0</v>
      </c>
      <c r="V224" s="1639">
        <v>0</v>
      </c>
      <c r="W224" s="1639">
        <v>0</v>
      </c>
      <c r="X224" s="1640">
        <v>0</v>
      </c>
      <c r="Y224" s="1641">
        <v>0</v>
      </c>
      <c r="Z224" s="1854">
        <f>IF($G224,MATCH('Fan Name List'!Y224,'Fan Name List'!$AC$16:$BM$16,1),0)</f>
        <v>0</v>
      </c>
      <c r="AA224" s="1859">
        <f>IF($G224,IF(S224&gt;567,37,MATCH('Fan Name List'!S224,'Fan Name List'!$AC$16:$BM$16,1)+1),0)</f>
        <v>0</v>
      </c>
      <c r="AB224" s="1854"/>
      <c r="AC224" s="1855"/>
      <c r="AD224" s="1855"/>
      <c r="AE224" s="1855"/>
      <c r="AF224" s="1855"/>
      <c r="AG224" s="1855"/>
      <c r="AH224" s="1855"/>
      <c r="AI224" s="1855"/>
      <c r="AJ224" s="1855"/>
      <c r="AK224" s="1855"/>
      <c r="AL224" s="1855"/>
      <c r="AM224" s="1855"/>
      <c r="AN224" s="1855"/>
      <c r="AO224" s="1855"/>
      <c r="AP224" s="1855"/>
      <c r="AQ224" s="1855"/>
      <c r="AR224" s="1855"/>
      <c r="AS224" s="1855"/>
      <c r="AT224" s="1855"/>
      <c r="AU224" s="1855"/>
      <c r="AV224" s="1855"/>
      <c r="AW224" s="1855"/>
      <c r="AX224" s="1855"/>
      <c r="AY224" s="1855"/>
      <c r="AZ224" s="1855"/>
      <c r="BA224" s="1855"/>
      <c r="BB224" s="1855"/>
      <c r="BC224" s="1855"/>
      <c r="BD224" s="1855"/>
      <c r="BE224" s="1855"/>
      <c r="BF224" s="1855"/>
      <c r="BG224" s="1855"/>
      <c r="BH224" s="1855"/>
      <c r="BI224" s="1855"/>
      <c r="BJ224" s="1855"/>
      <c r="BK224" s="1855"/>
      <c r="BL224" s="1855"/>
      <c r="BM224" s="1855"/>
      <c r="BN224" s="1855"/>
      <c r="BO224" s="1855"/>
      <c r="BP224" s="1855"/>
      <c r="BQ224" s="1855"/>
      <c r="BR224" s="1855"/>
      <c r="BS224" s="1855"/>
      <c r="BT224" s="1855"/>
      <c r="BU224" s="1855"/>
      <c r="BV224" s="1855"/>
      <c r="BW224" s="1855"/>
      <c r="BX224" s="1855"/>
      <c r="BY224" s="1855"/>
      <c r="BZ224" s="1855"/>
      <c r="CA224" s="1855"/>
      <c r="CB224" s="1855"/>
      <c r="CC224" s="1855"/>
      <c r="CD224" s="1859"/>
    </row>
    <row r="225" spans="1:82" ht="14.25">
      <c r="A225" s="1632" t="s">
        <v>1722</v>
      </c>
      <c r="B225" s="906">
        <v>0</v>
      </c>
      <c r="C225" s="1472" t="s">
        <v>2140</v>
      </c>
      <c r="D225" s="968" t="s">
        <v>3203</v>
      </c>
      <c r="E225" s="1493" t="s">
        <v>1722</v>
      </c>
      <c r="F225" s="1629">
        <v>0</v>
      </c>
      <c r="G225" s="405" t="b">
        <v>0</v>
      </c>
      <c r="H225" s="1638"/>
      <c r="I225" s="1639">
        <v>0</v>
      </c>
      <c r="J225" s="1639">
        <v>0</v>
      </c>
      <c r="K225" s="1639">
        <v>0</v>
      </c>
      <c r="L225" s="1640">
        <v>0</v>
      </c>
      <c r="M225" s="2157">
        <v>0</v>
      </c>
      <c r="N225" s="1639"/>
      <c r="O225" s="1639">
        <v>0</v>
      </c>
      <c r="P225" s="1639">
        <v>0</v>
      </c>
      <c r="Q225" s="1639">
        <v>0</v>
      </c>
      <c r="R225" s="1640">
        <v>0</v>
      </c>
      <c r="S225" s="2157">
        <v>0</v>
      </c>
      <c r="T225" s="1639"/>
      <c r="U225" s="1639">
        <v>0</v>
      </c>
      <c r="V225" s="1639">
        <v>0</v>
      </c>
      <c r="W225" s="1639">
        <v>0</v>
      </c>
      <c r="X225" s="1640">
        <v>0</v>
      </c>
      <c r="Y225" s="1641">
        <v>0</v>
      </c>
      <c r="Z225" s="1854">
        <f>IF($G225,MATCH('Fan Name List'!Y225,'Fan Name List'!$AC$16:$BM$16,1),0)</f>
        <v>0</v>
      </c>
      <c r="AA225" s="1859">
        <f>IF($G225,IF(S225&gt;567,37,MATCH('Fan Name List'!S225,'Fan Name List'!$AC$16:$BM$16,1)+1),0)</f>
        <v>0</v>
      </c>
      <c r="AB225" s="1854"/>
      <c r="AC225" s="1855"/>
      <c r="AD225" s="1855"/>
      <c r="AE225" s="1855"/>
      <c r="AF225" s="1855"/>
      <c r="AG225" s="1855"/>
      <c r="AH225" s="1855"/>
      <c r="AI225" s="1855"/>
      <c r="AJ225" s="1855"/>
      <c r="AK225" s="1855"/>
      <c r="AL225" s="1855"/>
      <c r="AM225" s="1855"/>
      <c r="AN225" s="1855"/>
      <c r="AO225" s="1855"/>
      <c r="AP225" s="1855"/>
      <c r="AQ225" s="1855"/>
      <c r="AR225" s="1855"/>
      <c r="AS225" s="1855"/>
      <c r="AT225" s="1855"/>
      <c r="AU225" s="1855"/>
      <c r="AV225" s="1855"/>
      <c r="AW225" s="1855"/>
      <c r="AX225" s="1855"/>
      <c r="AY225" s="1855"/>
      <c r="AZ225" s="1855"/>
      <c r="BA225" s="1855"/>
      <c r="BB225" s="1855"/>
      <c r="BC225" s="1855"/>
      <c r="BD225" s="1855"/>
      <c r="BE225" s="1855"/>
      <c r="BF225" s="1855"/>
      <c r="BG225" s="1855"/>
      <c r="BH225" s="1855"/>
      <c r="BI225" s="1855"/>
      <c r="BJ225" s="1855"/>
      <c r="BK225" s="1855"/>
      <c r="BL225" s="1855"/>
      <c r="BM225" s="1855"/>
      <c r="BN225" s="1855"/>
      <c r="BO225" s="1855"/>
      <c r="BP225" s="1855"/>
      <c r="BQ225" s="1855"/>
      <c r="BR225" s="1855"/>
      <c r="BS225" s="1855"/>
      <c r="BT225" s="1855"/>
      <c r="BU225" s="1855"/>
      <c r="BV225" s="1855"/>
      <c r="BW225" s="1855"/>
      <c r="BX225" s="1855"/>
      <c r="BY225" s="1855"/>
      <c r="BZ225" s="1855"/>
      <c r="CA225" s="1855"/>
      <c r="CB225" s="1855"/>
      <c r="CC225" s="1855"/>
      <c r="CD225" s="1859"/>
    </row>
    <row r="226" spans="1:82" ht="14.25">
      <c r="A226" s="1632" t="s">
        <v>1655</v>
      </c>
      <c r="B226" s="906">
        <v>0</v>
      </c>
      <c r="C226" s="1472" t="s">
        <v>2141</v>
      </c>
      <c r="D226" s="968" t="s">
        <v>3225</v>
      </c>
      <c r="E226" s="1493" t="s">
        <v>1655</v>
      </c>
      <c r="F226" s="1629">
        <v>0</v>
      </c>
      <c r="G226" s="405" t="b">
        <v>0</v>
      </c>
      <c r="H226" s="1638"/>
      <c r="I226" s="1639">
        <v>0</v>
      </c>
      <c r="J226" s="1639">
        <v>0</v>
      </c>
      <c r="K226" s="1639">
        <v>0</v>
      </c>
      <c r="L226" s="1640">
        <v>0</v>
      </c>
      <c r="M226" s="2157">
        <v>0</v>
      </c>
      <c r="N226" s="1639"/>
      <c r="O226" s="1639">
        <v>0</v>
      </c>
      <c r="P226" s="1639">
        <v>0</v>
      </c>
      <c r="Q226" s="1639">
        <v>0</v>
      </c>
      <c r="R226" s="1640">
        <v>0</v>
      </c>
      <c r="S226" s="2157">
        <v>0</v>
      </c>
      <c r="T226" s="1639"/>
      <c r="U226" s="1639">
        <v>0</v>
      </c>
      <c r="V226" s="1639">
        <v>0</v>
      </c>
      <c r="W226" s="1639">
        <v>0</v>
      </c>
      <c r="X226" s="1640">
        <v>0</v>
      </c>
      <c r="Y226" s="1641">
        <v>0</v>
      </c>
      <c r="Z226" s="1854">
        <f>IF($G226,MATCH('Fan Name List'!Y226,'Fan Name List'!$AC$16:$BM$16,1),0)</f>
        <v>0</v>
      </c>
      <c r="AA226" s="1859">
        <f>IF($G226,IF(S226&gt;567,37,MATCH('Fan Name List'!S226,'Fan Name List'!$AC$16:$BM$16,1)+1),0)</f>
        <v>0</v>
      </c>
      <c r="AB226" s="1854"/>
      <c r="AC226" s="1855"/>
      <c r="AD226" s="1855"/>
      <c r="AE226" s="1855"/>
      <c r="AF226" s="1855"/>
      <c r="AG226" s="1855"/>
      <c r="AH226" s="1855"/>
      <c r="AI226" s="1855"/>
      <c r="AJ226" s="1855"/>
      <c r="AK226" s="1855"/>
      <c r="AL226" s="1855"/>
      <c r="AM226" s="1855"/>
      <c r="AN226" s="1855"/>
      <c r="AO226" s="1855"/>
      <c r="AP226" s="1855"/>
      <c r="AQ226" s="1855"/>
      <c r="AR226" s="1855"/>
      <c r="AS226" s="1855"/>
      <c r="AT226" s="1855"/>
      <c r="AU226" s="1855"/>
      <c r="AV226" s="1855"/>
      <c r="AW226" s="1855"/>
      <c r="AX226" s="1855"/>
      <c r="AY226" s="1855"/>
      <c r="AZ226" s="1855"/>
      <c r="BA226" s="1855"/>
      <c r="BB226" s="1855"/>
      <c r="BC226" s="1855"/>
      <c r="BD226" s="1855"/>
      <c r="BE226" s="1855"/>
      <c r="BF226" s="1855"/>
      <c r="BG226" s="1855"/>
      <c r="BH226" s="1855"/>
      <c r="BI226" s="1855"/>
      <c r="BJ226" s="1855"/>
      <c r="BK226" s="1855"/>
      <c r="BL226" s="1855"/>
      <c r="BM226" s="1855"/>
      <c r="BN226" s="1855"/>
      <c r="BO226" s="1855"/>
      <c r="BP226" s="1855"/>
      <c r="BQ226" s="1855"/>
      <c r="BR226" s="1855"/>
      <c r="BS226" s="1855"/>
      <c r="BT226" s="1855"/>
      <c r="BU226" s="1855"/>
      <c r="BV226" s="1855"/>
      <c r="BW226" s="1855"/>
      <c r="BX226" s="1855"/>
      <c r="BY226" s="1855"/>
      <c r="BZ226" s="1855"/>
      <c r="CA226" s="1855"/>
      <c r="CB226" s="1855"/>
      <c r="CC226" s="1855"/>
      <c r="CD226" s="1859"/>
    </row>
    <row r="227" spans="1:82" ht="14.25">
      <c r="A227" s="1632" t="s">
        <v>1723</v>
      </c>
      <c r="B227" s="906">
        <v>0</v>
      </c>
      <c r="C227" s="1472" t="s">
        <v>2142</v>
      </c>
      <c r="D227" s="968" t="s">
        <v>3226</v>
      </c>
      <c r="E227" s="1493" t="s">
        <v>1723</v>
      </c>
      <c r="F227" s="1629">
        <v>0</v>
      </c>
      <c r="G227" s="405" t="b">
        <v>0</v>
      </c>
      <c r="H227" s="1638"/>
      <c r="I227" s="1639">
        <v>0</v>
      </c>
      <c r="J227" s="1639">
        <v>0</v>
      </c>
      <c r="K227" s="1639">
        <v>0</v>
      </c>
      <c r="L227" s="1640">
        <v>0</v>
      </c>
      <c r="M227" s="2157">
        <v>0</v>
      </c>
      <c r="N227" s="1639"/>
      <c r="O227" s="1639">
        <v>0</v>
      </c>
      <c r="P227" s="1639">
        <v>0</v>
      </c>
      <c r="Q227" s="1639">
        <v>0</v>
      </c>
      <c r="R227" s="1640">
        <v>0</v>
      </c>
      <c r="S227" s="2157">
        <v>0</v>
      </c>
      <c r="T227" s="1639"/>
      <c r="U227" s="1639">
        <v>0</v>
      </c>
      <c r="V227" s="1639">
        <v>0</v>
      </c>
      <c r="W227" s="1639">
        <v>0</v>
      </c>
      <c r="X227" s="1640">
        <v>0</v>
      </c>
      <c r="Y227" s="1641">
        <v>0</v>
      </c>
      <c r="Z227" s="1854">
        <f>IF($G227,MATCH('Fan Name List'!Y227,'Fan Name List'!$AC$16:$BM$16,1),0)</f>
        <v>0</v>
      </c>
      <c r="AA227" s="1859">
        <f>IF($G227,IF(S227&gt;567,37,MATCH('Fan Name List'!S227,'Fan Name List'!$AC$16:$BM$16,1)+1),0)</f>
        <v>0</v>
      </c>
      <c r="AB227" s="1854"/>
      <c r="AC227" s="1855"/>
      <c r="AD227" s="1855"/>
      <c r="AE227" s="1855"/>
      <c r="AF227" s="1855"/>
      <c r="AG227" s="1855"/>
      <c r="AH227" s="1855"/>
      <c r="AI227" s="1855"/>
      <c r="AJ227" s="1855"/>
      <c r="AK227" s="1855"/>
      <c r="AL227" s="1855"/>
      <c r="AM227" s="1855"/>
      <c r="AN227" s="1855"/>
      <c r="AO227" s="1855"/>
      <c r="AP227" s="1855"/>
      <c r="AQ227" s="1855"/>
      <c r="AR227" s="1855"/>
      <c r="AS227" s="1855"/>
      <c r="AT227" s="1855"/>
      <c r="AU227" s="1855"/>
      <c r="AV227" s="1855"/>
      <c r="AW227" s="1855"/>
      <c r="AX227" s="1855"/>
      <c r="AY227" s="1855"/>
      <c r="AZ227" s="1855"/>
      <c r="BA227" s="1855"/>
      <c r="BB227" s="1855"/>
      <c r="BC227" s="1855"/>
      <c r="BD227" s="1855"/>
      <c r="BE227" s="1855"/>
      <c r="BF227" s="1855"/>
      <c r="BG227" s="1855"/>
      <c r="BH227" s="1855"/>
      <c r="BI227" s="1855"/>
      <c r="BJ227" s="1855"/>
      <c r="BK227" s="1855"/>
      <c r="BL227" s="1855"/>
      <c r="BM227" s="1855"/>
      <c r="BN227" s="1855"/>
      <c r="BO227" s="1855"/>
      <c r="BP227" s="1855"/>
      <c r="BQ227" s="1855"/>
      <c r="BR227" s="1855"/>
      <c r="BS227" s="1855"/>
      <c r="BT227" s="1855"/>
      <c r="BU227" s="1855"/>
      <c r="BV227" s="1855"/>
      <c r="BW227" s="1855"/>
      <c r="BX227" s="1855"/>
      <c r="BY227" s="1855"/>
      <c r="BZ227" s="1855"/>
      <c r="CA227" s="1855"/>
      <c r="CB227" s="1855"/>
      <c r="CC227" s="1855"/>
      <c r="CD227" s="1859"/>
    </row>
    <row r="228" spans="1:82" ht="14.25">
      <c r="A228" s="1632" t="s">
        <v>1656</v>
      </c>
      <c r="B228" s="906">
        <v>0</v>
      </c>
      <c r="C228" s="1472" t="s">
        <v>2143</v>
      </c>
      <c r="D228" s="968" t="s">
        <v>3206</v>
      </c>
      <c r="E228" s="1493" t="s">
        <v>1656</v>
      </c>
      <c r="F228" s="1629">
        <v>0</v>
      </c>
      <c r="G228" s="405" t="b">
        <v>0</v>
      </c>
      <c r="H228" s="1638"/>
      <c r="I228" s="1639">
        <v>0</v>
      </c>
      <c r="J228" s="1639">
        <v>0</v>
      </c>
      <c r="K228" s="1639">
        <v>0</v>
      </c>
      <c r="L228" s="1640">
        <v>0</v>
      </c>
      <c r="M228" s="2157">
        <v>0</v>
      </c>
      <c r="N228" s="1639"/>
      <c r="O228" s="1639">
        <v>0</v>
      </c>
      <c r="P228" s="1639">
        <v>0</v>
      </c>
      <c r="Q228" s="1639">
        <v>0</v>
      </c>
      <c r="R228" s="1640">
        <v>0</v>
      </c>
      <c r="S228" s="2157">
        <v>0</v>
      </c>
      <c r="T228" s="1639"/>
      <c r="U228" s="1639">
        <v>0</v>
      </c>
      <c r="V228" s="1639">
        <v>0</v>
      </c>
      <c r="W228" s="1639">
        <v>0</v>
      </c>
      <c r="X228" s="1640">
        <v>0</v>
      </c>
      <c r="Y228" s="1641">
        <v>0</v>
      </c>
      <c r="Z228" s="1854">
        <f>IF($G228,MATCH('Fan Name List'!Y228,'Fan Name List'!$AC$16:$BM$16,1),0)</f>
        <v>0</v>
      </c>
      <c r="AA228" s="1859">
        <f>IF($G228,IF(S228&gt;567,37,MATCH('Fan Name List'!S228,'Fan Name List'!$AC$16:$BM$16,1)+1),0)</f>
        <v>0</v>
      </c>
      <c r="AB228" s="1854"/>
      <c r="AC228" s="1855"/>
      <c r="AD228" s="1855"/>
      <c r="AE228" s="1855"/>
      <c r="AF228" s="1855"/>
      <c r="AG228" s="1855"/>
      <c r="AH228" s="1855"/>
      <c r="AI228" s="1855"/>
      <c r="AJ228" s="1855"/>
      <c r="AK228" s="1855"/>
      <c r="AL228" s="1855"/>
      <c r="AM228" s="1855"/>
      <c r="AN228" s="1855"/>
      <c r="AO228" s="1855"/>
      <c r="AP228" s="1855"/>
      <c r="AQ228" s="1855"/>
      <c r="AR228" s="1855"/>
      <c r="AS228" s="1855"/>
      <c r="AT228" s="1855"/>
      <c r="AU228" s="1855"/>
      <c r="AV228" s="1855"/>
      <c r="AW228" s="1855"/>
      <c r="AX228" s="1855"/>
      <c r="AY228" s="1855"/>
      <c r="AZ228" s="1855"/>
      <c r="BA228" s="1855"/>
      <c r="BB228" s="1855"/>
      <c r="BC228" s="1855"/>
      <c r="BD228" s="1855"/>
      <c r="BE228" s="1855"/>
      <c r="BF228" s="1855"/>
      <c r="BG228" s="1855"/>
      <c r="BH228" s="1855"/>
      <c r="BI228" s="1855"/>
      <c r="BJ228" s="1855"/>
      <c r="BK228" s="1855"/>
      <c r="BL228" s="1855"/>
      <c r="BM228" s="1855"/>
      <c r="BN228" s="1855"/>
      <c r="BO228" s="1855"/>
      <c r="BP228" s="1855"/>
      <c r="BQ228" s="1855"/>
      <c r="BR228" s="1855"/>
      <c r="BS228" s="1855"/>
      <c r="BT228" s="1855"/>
      <c r="BU228" s="1855"/>
      <c r="BV228" s="1855"/>
      <c r="BW228" s="1855"/>
      <c r="BX228" s="1855"/>
      <c r="BY228" s="1855"/>
      <c r="BZ228" s="1855"/>
      <c r="CA228" s="1855"/>
      <c r="CB228" s="1855"/>
      <c r="CC228" s="1855"/>
      <c r="CD228" s="1859"/>
    </row>
    <row r="229" spans="1:82" ht="14.25">
      <c r="A229" s="1632" t="s">
        <v>1724</v>
      </c>
      <c r="B229" s="906">
        <v>0</v>
      </c>
      <c r="C229" s="1472" t="s">
        <v>2144</v>
      </c>
      <c r="D229" s="968" t="s">
        <v>3206</v>
      </c>
      <c r="E229" s="1493" t="s">
        <v>1724</v>
      </c>
      <c r="F229" s="1629">
        <v>0</v>
      </c>
      <c r="G229" s="405" t="b">
        <v>0</v>
      </c>
      <c r="H229" s="1638"/>
      <c r="I229" s="1639">
        <v>0</v>
      </c>
      <c r="J229" s="1639">
        <v>0</v>
      </c>
      <c r="K229" s="1639">
        <v>0</v>
      </c>
      <c r="L229" s="1640">
        <v>0</v>
      </c>
      <c r="M229" s="2157">
        <v>0</v>
      </c>
      <c r="N229" s="1639"/>
      <c r="O229" s="1639">
        <v>0</v>
      </c>
      <c r="P229" s="1639">
        <v>0</v>
      </c>
      <c r="Q229" s="1639">
        <v>0</v>
      </c>
      <c r="R229" s="1640">
        <v>0</v>
      </c>
      <c r="S229" s="2157">
        <v>0</v>
      </c>
      <c r="T229" s="1639"/>
      <c r="U229" s="1639">
        <v>0</v>
      </c>
      <c r="V229" s="1639">
        <v>0</v>
      </c>
      <c r="W229" s="1639">
        <v>0</v>
      </c>
      <c r="X229" s="1640">
        <v>0</v>
      </c>
      <c r="Y229" s="1641">
        <v>0</v>
      </c>
      <c r="Z229" s="1854">
        <f>IF($G229,MATCH('Fan Name List'!Y229,'Fan Name List'!$AC$16:$BM$16,1),0)</f>
        <v>0</v>
      </c>
      <c r="AA229" s="1859">
        <f>IF($G229,IF(S229&gt;567,37,MATCH('Fan Name List'!S229,'Fan Name List'!$AC$16:$BM$16,1)+1),0)</f>
        <v>0</v>
      </c>
      <c r="AB229" s="1854"/>
      <c r="AC229" s="1855"/>
      <c r="AD229" s="1855"/>
      <c r="AE229" s="1855"/>
      <c r="AF229" s="1855"/>
      <c r="AG229" s="1855"/>
      <c r="AH229" s="1855"/>
      <c r="AI229" s="1855"/>
      <c r="AJ229" s="1855"/>
      <c r="AK229" s="1855"/>
      <c r="AL229" s="1855"/>
      <c r="AM229" s="1855"/>
      <c r="AN229" s="1855"/>
      <c r="AO229" s="1855"/>
      <c r="AP229" s="1855"/>
      <c r="AQ229" s="1855"/>
      <c r="AR229" s="1855"/>
      <c r="AS229" s="1855"/>
      <c r="AT229" s="1855"/>
      <c r="AU229" s="1855"/>
      <c r="AV229" s="1855"/>
      <c r="AW229" s="1855"/>
      <c r="AX229" s="1855"/>
      <c r="AY229" s="1855"/>
      <c r="AZ229" s="1855"/>
      <c r="BA229" s="1855"/>
      <c r="BB229" s="1855"/>
      <c r="BC229" s="1855"/>
      <c r="BD229" s="1855"/>
      <c r="BE229" s="1855"/>
      <c r="BF229" s="1855"/>
      <c r="BG229" s="1855"/>
      <c r="BH229" s="1855"/>
      <c r="BI229" s="1855"/>
      <c r="BJ229" s="1855"/>
      <c r="BK229" s="1855"/>
      <c r="BL229" s="1855"/>
      <c r="BM229" s="1855"/>
      <c r="BN229" s="1855"/>
      <c r="BO229" s="1855"/>
      <c r="BP229" s="1855"/>
      <c r="BQ229" s="1855"/>
      <c r="BR229" s="1855"/>
      <c r="BS229" s="1855"/>
      <c r="BT229" s="1855"/>
      <c r="BU229" s="1855"/>
      <c r="BV229" s="1855"/>
      <c r="BW229" s="1855"/>
      <c r="BX229" s="1855"/>
      <c r="BY229" s="1855"/>
      <c r="BZ229" s="1855"/>
      <c r="CA229" s="1855"/>
      <c r="CB229" s="1855"/>
      <c r="CC229" s="1855"/>
      <c r="CD229" s="1859"/>
    </row>
    <row r="230" spans="1:82" ht="14.25">
      <c r="A230" s="1632" t="s">
        <v>1657</v>
      </c>
      <c r="B230" s="906">
        <v>0</v>
      </c>
      <c r="C230" s="1472" t="s">
        <v>2145</v>
      </c>
      <c r="D230" s="968" t="s">
        <v>3209</v>
      </c>
      <c r="E230" s="1493" t="s">
        <v>1657</v>
      </c>
      <c r="F230" s="1629">
        <v>0</v>
      </c>
      <c r="G230" s="405" t="b">
        <v>0</v>
      </c>
      <c r="H230" s="1638"/>
      <c r="I230" s="1639">
        <v>0</v>
      </c>
      <c r="J230" s="1639">
        <v>0</v>
      </c>
      <c r="K230" s="1639">
        <v>0</v>
      </c>
      <c r="L230" s="1640">
        <v>0</v>
      </c>
      <c r="M230" s="2157">
        <v>0</v>
      </c>
      <c r="N230" s="1639"/>
      <c r="O230" s="1639">
        <v>0</v>
      </c>
      <c r="P230" s="1639">
        <v>0</v>
      </c>
      <c r="Q230" s="1639">
        <v>0</v>
      </c>
      <c r="R230" s="1640">
        <v>0</v>
      </c>
      <c r="S230" s="2157">
        <v>0</v>
      </c>
      <c r="T230" s="1639"/>
      <c r="U230" s="1639">
        <v>0</v>
      </c>
      <c r="V230" s="1639">
        <v>0</v>
      </c>
      <c r="W230" s="1639">
        <v>0</v>
      </c>
      <c r="X230" s="1640">
        <v>0</v>
      </c>
      <c r="Y230" s="1641">
        <v>0</v>
      </c>
      <c r="Z230" s="1854">
        <f>IF($G230,MATCH('Fan Name List'!Y230,'Fan Name List'!$AC$16:$BM$16,1),0)</f>
        <v>0</v>
      </c>
      <c r="AA230" s="1859">
        <f>IF($G230,IF(S230&gt;567,37,MATCH('Fan Name List'!S230,'Fan Name List'!$AC$16:$BM$16,1)+1),0)</f>
        <v>0</v>
      </c>
      <c r="AB230" s="1854"/>
      <c r="AC230" s="1855"/>
      <c r="AD230" s="1855"/>
      <c r="AE230" s="1855"/>
      <c r="AF230" s="1855"/>
      <c r="AG230" s="1855"/>
      <c r="AH230" s="1855"/>
      <c r="AI230" s="1855"/>
      <c r="AJ230" s="1855"/>
      <c r="AK230" s="1855"/>
      <c r="AL230" s="1855"/>
      <c r="AM230" s="1855"/>
      <c r="AN230" s="1855"/>
      <c r="AO230" s="1855"/>
      <c r="AP230" s="1855"/>
      <c r="AQ230" s="1855"/>
      <c r="AR230" s="1855"/>
      <c r="AS230" s="1855"/>
      <c r="AT230" s="1855"/>
      <c r="AU230" s="1855"/>
      <c r="AV230" s="1855"/>
      <c r="AW230" s="1855"/>
      <c r="AX230" s="1855"/>
      <c r="AY230" s="1855"/>
      <c r="AZ230" s="1855"/>
      <c r="BA230" s="1855"/>
      <c r="BB230" s="1855"/>
      <c r="BC230" s="1855"/>
      <c r="BD230" s="1855"/>
      <c r="BE230" s="1855"/>
      <c r="BF230" s="1855"/>
      <c r="BG230" s="1855"/>
      <c r="BH230" s="1855"/>
      <c r="BI230" s="1855"/>
      <c r="BJ230" s="1855"/>
      <c r="BK230" s="1855"/>
      <c r="BL230" s="1855"/>
      <c r="BM230" s="1855"/>
      <c r="BN230" s="1855"/>
      <c r="BO230" s="1855"/>
      <c r="BP230" s="1855"/>
      <c r="BQ230" s="1855"/>
      <c r="BR230" s="1855"/>
      <c r="BS230" s="1855"/>
      <c r="BT230" s="1855"/>
      <c r="BU230" s="1855"/>
      <c r="BV230" s="1855"/>
      <c r="BW230" s="1855"/>
      <c r="BX230" s="1855"/>
      <c r="BY230" s="1855"/>
      <c r="BZ230" s="1855"/>
      <c r="CA230" s="1855"/>
      <c r="CB230" s="1855"/>
      <c r="CC230" s="1855"/>
      <c r="CD230" s="1859"/>
    </row>
    <row r="231" spans="1:82" ht="14.25">
      <c r="A231" s="1632" t="s">
        <v>1658</v>
      </c>
      <c r="B231" s="906">
        <v>0</v>
      </c>
      <c r="C231" s="1472" t="s">
        <v>2146</v>
      </c>
      <c r="D231" s="968" t="s">
        <v>3197</v>
      </c>
      <c r="E231" s="1493" t="s">
        <v>1658</v>
      </c>
      <c r="F231" s="1629">
        <v>0</v>
      </c>
      <c r="G231" s="405" t="b">
        <v>0</v>
      </c>
      <c r="H231" s="1638"/>
      <c r="I231" s="1639">
        <v>0</v>
      </c>
      <c r="J231" s="1639">
        <v>0</v>
      </c>
      <c r="K231" s="1639">
        <v>0</v>
      </c>
      <c r="L231" s="1640">
        <v>0</v>
      </c>
      <c r="M231" s="2157">
        <v>0</v>
      </c>
      <c r="N231" s="1639"/>
      <c r="O231" s="1639">
        <v>0</v>
      </c>
      <c r="P231" s="1639">
        <v>0</v>
      </c>
      <c r="Q231" s="1639">
        <v>0</v>
      </c>
      <c r="R231" s="1640">
        <v>0</v>
      </c>
      <c r="S231" s="2157">
        <v>0</v>
      </c>
      <c r="T231" s="1639"/>
      <c r="U231" s="1639">
        <v>0</v>
      </c>
      <c r="V231" s="1639">
        <v>0</v>
      </c>
      <c r="W231" s="1639">
        <v>0</v>
      </c>
      <c r="X231" s="1640">
        <v>0</v>
      </c>
      <c r="Y231" s="1641">
        <v>0</v>
      </c>
      <c r="Z231" s="1854">
        <f>IF($G231,MATCH('Fan Name List'!Y231,'Fan Name List'!$AC$16:$BM$16,1),0)</f>
        <v>0</v>
      </c>
      <c r="AA231" s="1859">
        <f>IF($G231,IF(S231&gt;567,37,MATCH('Fan Name List'!S231,'Fan Name List'!$AC$16:$BM$16,1)+1),0)</f>
        <v>0</v>
      </c>
      <c r="AB231" s="1854"/>
      <c r="AC231" s="1855"/>
      <c r="AD231" s="1855"/>
      <c r="AE231" s="1855"/>
      <c r="AF231" s="1855"/>
      <c r="AG231" s="1855"/>
      <c r="AH231" s="1855"/>
      <c r="AI231" s="1855"/>
      <c r="AJ231" s="1855"/>
      <c r="AK231" s="1855"/>
      <c r="AL231" s="1855"/>
      <c r="AM231" s="1855"/>
      <c r="AN231" s="1855"/>
      <c r="AO231" s="1855"/>
      <c r="AP231" s="1855"/>
      <c r="AQ231" s="1855"/>
      <c r="AR231" s="1855"/>
      <c r="AS231" s="1855"/>
      <c r="AT231" s="1855"/>
      <c r="AU231" s="1855"/>
      <c r="AV231" s="1855"/>
      <c r="AW231" s="1855"/>
      <c r="AX231" s="1855"/>
      <c r="AY231" s="1855"/>
      <c r="AZ231" s="1855"/>
      <c r="BA231" s="1855"/>
      <c r="BB231" s="1855"/>
      <c r="BC231" s="1855"/>
      <c r="BD231" s="1855"/>
      <c r="BE231" s="1855"/>
      <c r="BF231" s="1855"/>
      <c r="BG231" s="1855"/>
      <c r="BH231" s="1855"/>
      <c r="BI231" s="1855"/>
      <c r="BJ231" s="1855"/>
      <c r="BK231" s="1855"/>
      <c r="BL231" s="1855"/>
      <c r="BM231" s="1855"/>
      <c r="BN231" s="1855"/>
      <c r="BO231" s="1855"/>
      <c r="BP231" s="1855"/>
      <c r="BQ231" s="1855"/>
      <c r="BR231" s="1855"/>
      <c r="BS231" s="1855"/>
      <c r="BT231" s="1855"/>
      <c r="BU231" s="1855"/>
      <c r="BV231" s="1855"/>
      <c r="BW231" s="1855"/>
      <c r="BX231" s="1855"/>
      <c r="BY231" s="1855"/>
      <c r="BZ231" s="1855"/>
      <c r="CA231" s="1855"/>
      <c r="CB231" s="1855"/>
      <c r="CC231" s="1855"/>
      <c r="CD231" s="1859"/>
    </row>
    <row r="232" spans="1:82" ht="14.25">
      <c r="A232" s="1632" t="s">
        <v>1725</v>
      </c>
      <c r="B232" s="906">
        <v>0</v>
      </c>
      <c r="C232" s="1472" t="s">
        <v>2147</v>
      </c>
      <c r="D232" s="968" t="s">
        <v>3197</v>
      </c>
      <c r="E232" s="1493" t="s">
        <v>1725</v>
      </c>
      <c r="F232" s="1629">
        <v>0</v>
      </c>
      <c r="G232" s="405" t="b">
        <v>0</v>
      </c>
      <c r="H232" s="1638"/>
      <c r="I232" s="1639">
        <v>0</v>
      </c>
      <c r="J232" s="1639">
        <v>0</v>
      </c>
      <c r="K232" s="1639">
        <v>0</v>
      </c>
      <c r="L232" s="1640">
        <v>0</v>
      </c>
      <c r="M232" s="2157">
        <v>0</v>
      </c>
      <c r="N232" s="1639"/>
      <c r="O232" s="1639">
        <v>0</v>
      </c>
      <c r="P232" s="1639">
        <v>0</v>
      </c>
      <c r="Q232" s="1639">
        <v>0</v>
      </c>
      <c r="R232" s="1640">
        <v>0</v>
      </c>
      <c r="S232" s="2157">
        <v>0</v>
      </c>
      <c r="T232" s="1639"/>
      <c r="U232" s="1639">
        <v>0</v>
      </c>
      <c r="V232" s="1639">
        <v>0</v>
      </c>
      <c r="W232" s="1639">
        <v>0</v>
      </c>
      <c r="X232" s="1640">
        <v>0</v>
      </c>
      <c r="Y232" s="1641">
        <v>0</v>
      </c>
      <c r="Z232" s="1854">
        <f>IF($G232,MATCH('Fan Name List'!Y232,'Fan Name List'!$AC$16:$BM$16,1),0)</f>
        <v>0</v>
      </c>
      <c r="AA232" s="1859">
        <f>IF($G232,IF(S232&gt;567,37,MATCH('Fan Name List'!S232,'Fan Name List'!$AC$16:$BM$16,1)+1),0)</f>
        <v>0</v>
      </c>
      <c r="AB232" s="1854"/>
      <c r="AC232" s="1855"/>
      <c r="AD232" s="1855"/>
      <c r="AE232" s="1855"/>
      <c r="AF232" s="1855"/>
      <c r="AG232" s="1855"/>
      <c r="AH232" s="1855"/>
      <c r="AI232" s="1855"/>
      <c r="AJ232" s="1855"/>
      <c r="AK232" s="1855"/>
      <c r="AL232" s="1855"/>
      <c r="AM232" s="1855"/>
      <c r="AN232" s="1855"/>
      <c r="AO232" s="1855"/>
      <c r="AP232" s="1855"/>
      <c r="AQ232" s="1855"/>
      <c r="AR232" s="1855"/>
      <c r="AS232" s="1855"/>
      <c r="AT232" s="1855"/>
      <c r="AU232" s="1855"/>
      <c r="AV232" s="1855"/>
      <c r="AW232" s="1855"/>
      <c r="AX232" s="1855"/>
      <c r="AY232" s="1855"/>
      <c r="AZ232" s="1855"/>
      <c r="BA232" s="1855"/>
      <c r="BB232" s="1855"/>
      <c r="BC232" s="1855"/>
      <c r="BD232" s="1855"/>
      <c r="BE232" s="1855"/>
      <c r="BF232" s="1855"/>
      <c r="BG232" s="1855"/>
      <c r="BH232" s="1855"/>
      <c r="BI232" s="1855"/>
      <c r="BJ232" s="1855"/>
      <c r="BK232" s="1855"/>
      <c r="BL232" s="1855"/>
      <c r="BM232" s="1855"/>
      <c r="BN232" s="1855"/>
      <c r="BO232" s="1855"/>
      <c r="BP232" s="1855"/>
      <c r="BQ232" s="1855"/>
      <c r="BR232" s="1855"/>
      <c r="BS232" s="1855"/>
      <c r="BT232" s="1855"/>
      <c r="BU232" s="1855"/>
      <c r="BV232" s="1855"/>
      <c r="BW232" s="1855"/>
      <c r="BX232" s="1855"/>
      <c r="BY232" s="1855"/>
      <c r="BZ232" s="1855"/>
      <c r="CA232" s="1855"/>
      <c r="CB232" s="1855"/>
      <c r="CC232" s="1855"/>
      <c r="CD232" s="1859"/>
    </row>
    <row r="233" spans="1:82" ht="14.25">
      <c r="A233" s="1632" t="s">
        <v>1659</v>
      </c>
      <c r="B233" s="906">
        <v>0</v>
      </c>
      <c r="C233" s="1472" t="s">
        <v>2148</v>
      </c>
      <c r="D233" s="968" t="s">
        <v>3200</v>
      </c>
      <c r="E233" s="1493" t="s">
        <v>1659</v>
      </c>
      <c r="F233" s="1629">
        <v>0</v>
      </c>
      <c r="G233" s="405" t="b">
        <v>0</v>
      </c>
      <c r="H233" s="1638"/>
      <c r="I233" s="1639">
        <v>0</v>
      </c>
      <c r="J233" s="1639">
        <v>0</v>
      </c>
      <c r="K233" s="1639">
        <v>0</v>
      </c>
      <c r="L233" s="1640">
        <v>0</v>
      </c>
      <c r="M233" s="2157">
        <v>0</v>
      </c>
      <c r="N233" s="1639"/>
      <c r="O233" s="1639">
        <v>0</v>
      </c>
      <c r="P233" s="1639">
        <v>0</v>
      </c>
      <c r="Q233" s="1639">
        <v>0</v>
      </c>
      <c r="R233" s="1640">
        <v>0</v>
      </c>
      <c r="S233" s="2157">
        <v>0</v>
      </c>
      <c r="T233" s="1639"/>
      <c r="U233" s="1639">
        <v>0</v>
      </c>
      <c r="V233" s="1639">
        <v>0</v>
      </c>
      <c r="W233" s="1639">
        <v>0</v>
      </c>
      <c r="X233" s="1640">
        <v>0</v>
      </c>
      <c r="Y233" s="1641">
        <v>0</v>
      </c>
      <c r="Z233" s="1854">
        <f>IF($G233,MATCH('Fan Name List'!Y233,'Fan Name List'!$AC$16:$BM$16,1),0)</f>
        <v>0</v>
      </c>
      <c r="AA233" s="1859">
        <f>IF($G233,IF(S233&gt;567,37,MATCH('Fan Name List'!S233,'Fan Name List'!$AC$16:$BM$16,1)+1),0)</f>
        <v>0</v>
      </c>
      <c r="AB233" s="1854"/>
      <c r="AC233" s="1855"/>
      <c r="AD233" s="1855"/>
      <c r="AE233" s="1855"/>
      <c r="AF233" s="1855"/>
      <c r="AG233" s="1855"/>
      <c r="AH233" s="1855"/>
      <c r="AI233" s="1855"/>
      <c r="AJ233" s="1855"/>
      <c r="AK233" s="1855"/>
      <c r="AL233" s="1855"/>
      <c r="AM233" s="1855"/>
      <c r="AN233" s="1855"/>
      <c r="AO233" s="1855"/>
      <c r="AP233" s="1855"/>
      <c r="AQ233" s="1855"/>
      <c r="AR233" s="1855"/>
      <c r="AS233" s="1855"/>
      <c r="AT233" s="1855"/>
      <c r="AU233" s="1855"/>
      <c r="AV233" s="1855"/>
      <c r="AW233" s="1855"/>
      <c r="AX233" s="1855"/>
      <c r="AY233" s="1855"/>
      <c r="AZ233" s="1855"/>
      <c r="BA233" s="1855"/>
      <c r="BB233" s="1855"/>
      <c r="BC233" s="1855"/>
      <c r="BD233" s="1855"/>
      <c r="BE233" s="1855"/>
      <c r="BF233" s="1855"/>
      <c r="BG233" s="1855"/>
      <c r="BH233" s="1855"/>
      <c r="BI233" s="1855"/>
      <c r="BJ233" s="1855"/>
      <c r="BK233" s="1855"/>
      <c r="BL233" s="1855"/>
      <c r="BM233" s="1855"/>
      <c r="BN233" s="1855"/>
      <c r="BO233" s="1855"/>
      <c r="BP233" s="1855"/>
      <c r="BQ233" s="1855"/>
      <c r="BR233" s="1855"/>
      <c r="BS233" s="1855"/>
      <c r="BT233" s="1855"/>
      <c r="BU233" s="1855"/>
      <c r="BV233" s="1855"/>
      <c r="BW233" s="1855"/>
      <c r="BX233" s="1855"/>
      <c r="BY233" s="1855"/>
      <c r="BZ233" s="1855"/>
      <c r="CA233" s="1855"/>
      <c r="CB233" s="1855"/>
      <c r="CC233" s="1855"/>
      <c r="CD233" s="1859"/>
    </row>
    <row r="234" spans="1:82" ht="14.25">
      <c r="A234" s="1632" t="s">
        <v>1726</v>
      </c>
      <c r="B234" s="906">
        <v>0</v>
      </c>
      <c r="C234" s="1472" t="s">
        <v>2149</v>
      </c>
      <c r="D234" s="968" t="s">
        <v>3200</v>
      </c>
      <c r="E234" s="1493" t="s">
        <v>1726</v>
      </c>
      <c r="F234" s="1629">
        <v>0</v>
      </c>
      <c r="G234" s="405" t="b">
        <v>0</v>
      </c>
      <c r="H234" s="1638"/>
      <c r="I234" s="1639">
        <v>0</v>
      </c>
      <c r="J234" s="1639">
        <v>0</v>
      </c>
      <c r="K234" s="1639">
        <v>0</v>
      </c>
      <c r="L234" s="1640">
        <v>0</v>
      </c>
      <c r="M234" s="2157">
        <v>0</v>
      </c>
      <c r="N234" s="1639"/>
      <c r="O234" s="1639">
        <v>0</v>
      </c>
      <c r="P234" s="1639">
        <v>0</v>
      </c>
      <c r="Q234" s="1639">
        <v>0</v>
      </c>
      <c r="R234" s="1640">
        <v>0</v>
      </c>
      <c r="S234" s="2157">
        <v>0</v>
      </c>
      <c r="T234" s="1639"/>
      <c r="U234" s="1639">
        <v>0</v>
      </c>
      <c r="V234" s="1639">
        <v>0</v>
      </c>
      <c r="W234" s="1639">
        <v>0</v>
      </c>
      <c r="X234" s="1640">
        <v>0</v>
      </c>
      <c r="Y234" s="1641">
        <v>0</v>
      </c>
      <c r="Z234" s="1854">
        <f>IF($G234,MATCH('Fan Name List'!Y234,'Fan Name List'!$AC$16:$BM$16,1),0)</f>
        <v>0</v>
      </c>
      <c r="AA234" s="1859">
        <f>IF($G234,IF(S234&gt;567,37,MATCH('Fan Name List'!S234,'Fan Name List'!$AC$16:$BM$16,1)+1),0)</f>
        <v>0</v>
      </c>
      <c r="AB234" s="1854"/>
      <c r="AC234" s="1855"/>
      <c r="AD234" s="1855"/>
      <c r="AE234" s="1855"/>
      <c r="AF234" s="1855"/>
      <c r="AG234" s="1855"/>
      <c r="AH234" s="1855"/>
      <c r="AI234" s="1855"/>
      <c r="AJ234" s="1855"/>
      <c r="AK234" s="1855"/>
      <c r="AL234" s="1855"/>
      <c r="AM234" s="1855"/>
      <c r="AN234" s="1855"/>
      <c r="AO234" s="1855"/>
      <c r="AP234" s="1855"/>
      <c r="AQ234" s="1855"/>
      <c r="AR234" s="1855"/>
      <c r="AS234" s="1855"/>
      <c r="AT234" s="1855"/>
      <c r="AU234" s="1855"/>
      <c r="AV234" s="1855"/>
      <c r="AW234" s="1855"/>
      <c r="AX234" s="1855"/>
      <c r="AY234" s="1855"/>
      <c r="AZ234" s="1855"/>
      <c r="BA234" s="1855"/>
      <c r="BB234" s="1855"/>
      <c r="BC234" s="1855"/>
      <c r="BD234" s="1855"/>
      <c r="BE234" s="1855"/>
      <c r="BF234" s="1855"/>
      <c r="BG234" s="1855"/>
      <c r="BH234" s="1855"/>
      <c r="BI234" s="1855"/>
      <c r="BJ234" s="1855"/>
      <c r="BK234" s="1855"/>
      <c r="BL234" s="1855"/>
      <c r="BM234" s="1855"/>
      <c r="BN234" s="1855"/>
      <c r="BO234" s="1855"/>
      <c r="BP234" s="1855"/>
      <c r="BQ234" s="1855"/>
      <c r="BR234" s="1855"/>
      <c r="BS234" s="1855"/>
      <c r="BT234" s="1855"/>
      <c r="BU234" s="1855"/>
      <c r="BV234" s="1855"/>
      <c r="BW234" s="1855"/>
      <c r="BX234" s="1855"/>
      <c r="BY234" s="1855"/>
      <c r="BZ234" s="1855"/>
      <c r="CA234" s="1855"/>
      <c r="CB234" s="1855"/>
      <c r="CC234" s="1855"/>
      <c r="CD234" s="1859"/>
    </row>
    <row r="235" spans="1:82" ht="14.25">
      <c r="A235" s="1632" t="s">
        <v>1660</v>
      </c>
      <c r="B235" s="906">
        <v>0</v>
      </c>
      <c r="C235" s="1472" t="s">
        <v>2150</v>
      </c>
      <c r="D235" s="968" t="s">
        <v>3203</v>
      </c>
      <c r="E235" s="1493" t="s">
        <v>1660</v>
      </c>
      <c r="F235" s="1629">
        <v>0</v>
      </c>
      <c r="G235" s="405" t="b">
        <v>0</v>
      </c>
      <c r="H235" s="1638"/>
      <c r="I235" s="1639">
        <v>0</v>
      </c>
      <c r="J235" s="1639">
        <v>0</v>
      </c>
      <c r="K235" s="1639">
        <v>0</v>
      </c>
      <c r="L235" s="1640">
        <v>0</v>
      </c>
      <c r="M235" s="2157">
        <v>0</v>
      </c>
      <c r="N235" s="1639"/>
      <c r="O235" s="1639">
        <v>0</v>
      </c>
      <c r="P235" s="1639">
        <v>0</v>
      </c>
      <c r="Q235" s="1639">
        <v>0</v>
      </c>
      <c r="R235" s="1640">
        <v>0</v>
      </c>
      <c r="S235" s="2157">
        <v>0</v>
      </c>
      <c r="T235" s="1639"/>
      <c r="U235" s="1639">
        <v>0</v>
      </c>
      <c r="V235" s="1639">
        <v>0</v>
      </c>
      <c r="W235" s="1639">
        <v>0</v>
      </c>
      <c r="X235" s="1640">
        <v>0</v>
      </c>
      <c r="Y235" s="1641">
        <v>0</v>
      </c>
      <c r="Z235" s="1854">
        <f>IF($G235,MATCH('Fan Name List'!Y235,'Fan Name List'!$AC$16:$BM$16,1),0)</f>
        <v>0</v>
      </c>
      <c r="AA235" s="1859">
        <f>IF($G235,IF(S235&gt;567,37,MATCH('Fan Name List'!S235,'Fan Name List'!$AC$16:$BM$16,1)+1),0)</f>
        <v>0</v>
      </c>
      <c r="AB235" s="1854"/>
      <c r="AC235" s="1855"/>
      <c r="AD235" s="1855"/>
      <c r="AE235" s="1855"/>
      <c r="AF235" s="1855"/>
      <c r="AG235" s="1855"/>
      <c r="AH235" s="1855"/>
      <c r="AI235" s="1855"/>
      <c r="AJ235" s="1855"/>
      <c r="AK235" s="1855"/>
      <c r="AL235" s="1855"/>
      <c r="AM235" s="1855"/>
      <c r="AN235" s="1855"/>
      <c r="AO235" s="1855"/>
      <c r="AP235" s="1855"/>
      <c r="AQ235" s="1855"/>
      <c r="AR235" s="1855"/>
      <c r="AS235" s="1855"/>
      <c r="AT235" s="1855"/>
      <c r="AU235" s="1855"/>
      <c r="AV235" s="1855"/>
      <c r="AW235" s="1855"/>
      <c r="AX235" s="1855"/>
      <c r="AY235" s="1855"/>
      <c r="AZ235" s="1855"/>
      <c r="BA235" s="1855"/>
      <c r="BB235" s="1855"/>
      <c r="BC235" s="1855"/>
      <c r="BD235" s="1855"/>
      <c r="BE235" s="1855"/>
      <c r="BF235" s="1855"/>
      <c r="BG235" s="1855"/>
      <c r="BH235" s="1855"/>
      <c r="BI235" s="1855"/>
      <c r="BJ235" s="1855"/>
      <c r="BK235" s="1855"/>
      <c r="BL235" s="1855"/>
      <c r="BM235" s="1855"/>
      <c r="BN235" s="1855"/>
      <c r="BO235" s="1855"/>
      <c r="BP235" s="1855"/>
      <c r="BQ235" s="1855"/>
      <c r="BR235" s="1855"/>
      <c r="BS235" s="1855"/>
      <c r="BT235" s="1855"/>
      <c r="BU235" s="1855"/>
      <c r="BV235" s="1855"/>
      <c r="BW235" s="1855"/>
      <c r="BX235" s="1855"/>
      <c r="BY235" s="1855"/>
      <c r="BZ235" s="1855"/>
      <c r="CA235" s="1855"/>
      <c r="CB235" s="1855"/>
      <c r="CC235" s="1855"/>
      <c r="CD235" s="1859"/>
    </row>
    <row r="236" spans="1:82" ht="14.25">
      <c r="A236" s="1632" t="s">
        <v>1727</v>
      </c>
      <c r="B236" s="906">
        <v>0</v>
      </c>
      <c r="C236" s="1472" t="s">
        <v>2151</v>
      </c>
      <c r="D236" s="968" t="s">
        <v>3203</v>
      </c>
      <c r="E236" s="1493" t="s">
        <v>1727</v>
      </c>
      <c r="F236" s="1629">
        <v>0</v>
      </c>
      <c r="G236" s="405" t="b">
        <v>0</v>
      </c>
      <c r="H236" s="1638"/>
      <c r="I236" s="1639">
        <v>0</v>
      </c>
      <c r="J236" s="1639">
        <v>0</v>
      </c>
      <c r="K236" s="1639">
        <v>0</v>
      </c>
      <c r="L236" s="1640">
        <v>0</v>
      </c>
      <c r="M236" s="2157">
        <v>0</v>
      </c>
      <c r="N236" s="1639"/>
      <c r="O236" s="1639">
        <v>0</v>
      </c>
      <c r="P236" s="1639">
        <v>0</v>
      </c>
      <c r="Q236" s="1639">
        <v>0</v>
      </c>
      <c r="R236" s="1640">
        <v>0</v>
      </c>
      <c r="S236" s="2157">
        <v>0</v>
      </c>
      <c r="T236" s="1639"/>
      <c r="U236" s="1639">
        <v>0</v>
      </c>
      <c r="V236" s="1639">
        <v>0</v>
      </c>
      <c r="W236" s="1639">
        <v>0</v>
      </c>
      <c r="X236" s="1640">
        <v>0</v>
      </c>
      <c r="Y236" s="1641">
        <v>0</v>
      </c>
      <c r="Z236" s="1854">
        <f>IF($G236,MATCH('Fan Name List'!Y236,'Fan Name List'!$AC$16:$BM$16,1),0)</f>
        <v>0</v>
      </c>
      <c r="AA236" s="1859">
        <f>IF($G236,IF(S236&gt;567,37,MATCH('Fan Name List'!S236,'Fan Name List'!$AC$16:$BM$16,1)+1),0)</f>
        <v>0</v>
      </c>
      <c r="AB236" s="1854"/>
      <c r="AC236" s="1855"/>
      <c r="AD236" s="1855"/>
      <c r="AE236" s="1855"/>
      <c r="AF236" s="1855"/>
      <c r="AG236" s="1855"/>
      <c r="AH236" s="1855"/>
      <c r="AI236" s="1855"/>
      <c r="AJ236" s="1855"/>
      <c r="AK236" s="1855"/>
      <c r="AL236" s="1855"/>
      <c r="AM236" s="1855"/>
      <c r="AN236" s="1855"/>
      <c r="AO236" s="1855"/>
      <c r="AP236" s="1855"/>
      <c r="AQ236" s="1855"/>
      <c r="AR236" s="1855"/>
      <c r="AS236" s="1855"/>
      <c r="AT236" s="1855"/>
      <c r="AU236" s="1855"/>
      <c r="AV236" s="1855"/>
      <c r="AW236" s="1855"/>
      <c r="AX236" s="1855"/>
      <c r="AY236" s="1855"/>
      <c r="AZ236" s="1855"/>
      <c r="BA236" s="1855"/>
      <c r="BB236" s="1855"/>
      <c r="BC236" s="1855"/>
      <c r="BD236" s="1855"/>
      <c r="BE236" s="1855"/>
      <c r="BF236" s="1855"/>
      <c r="BG236" s="1855"/>
      <c r="BH236" s="1855"/>
      <c r="BI236" s="1855"/>
      <c r="BJ236" s="1855"/>
      <c r="BK236" s="1855"/>
      <c r="BL236" s="1855"/>
      <c r="BM236" s="1855"/>
      <c r="BN236" s="1855"/>
      <c r="BO236" s="1855"/>
      <c r="BP236" s="1855"/>
      <c r="BQ236" s="1855"/>
      <c r="BR236" s="1855"/>
      <c r="BS236" s="1855"/>
      <c r="BT236" s="1855"/>
      <c r="BU236" s="1855"/>
      <c r="BV236" s="1855"/>
      <c r="BW236" s="1855"/>
      <c r="BX236" s="1855"/>
      <c r="BY236" s="1855"/>
      <c r="BZ236" s="1855"/>
      <c r="CA236" s="1855"/>
      <c r="CB236" s="1855"/>
      <c r="CC236" s="1855"/>
      <c r="CD236" s="1859"/>
    </row>
    <row r="237" spans="1:82" ht="14.25">
      <c r="A237" s="1632" t="s">
        <v>1661</v>
      </c>
      <c r="B237" s="906">
        <v>0</v>
      </c>
      <c r="C237" s="1472" t="s">
        <v>2153</v>
      </c>
      <c r="D237" s="968" t="s">
        <v>3225</v>
      </c>
      <c r="E237" s="1493" t="s">
        <v>1661</v>
      </c>
      <c r="F237" s="1629">
        <v>0</v>
      </c>
      <c r="G237" s="405" t="b">
        <v>0</v>
      </c>
      <c r="H237" s="1638"/>
      <c r="I237" s="1639">
        <v>0</v>
      </c>
      <c r="J237" s="1639">
        <v>0</v>
      </c>
      <c r="K237" s="1639">
        <v>0</v>
      </c>
      <c r="L237" s="1640">
        <v>0</v>
      </c>
      <c r="M237" s="2157">
        <v>0</v>
      </c>
      <c r="N237" s="1639"/>
      <c r="O237" s="1639">
        <v>0</v>
      </c>
      <c r="P237" s="1639">
        <v>0</v>
      </c>
      <c r="Q237" s="1639">
        <v>0</v>
      </c>
      <c r="R237" s="1640">
        <v>0</v>
      </c>
      <c r="S237" s="2157">
        <v>0</v>
      </c>
      <c r="T237" s="1639"/>
      <c r="U237" s="1639">
        <v>0</v>
      </c>
      <c r="V237" s="1639">
        <v>0</v>
      </c>
      <c r="W237" s="1639">
        <v>0</v>
      </c>
      <c r="X237" s="1640">
        <v>0</v>
      </c>
      <c r="Y237" s="1641">
        <v>0</v>
      </c>
      <c r="Z237" s="1854">
        <f>IF($G237,MATCH('Fan Name List'!Y237,'Fan Name List'!$AC$16:$BM$16,1),0)</f>
        <v>0</v>
      </c>
      <c r="AA237" s="1859">
        <f>IF($G237,IF(S237&gt;567,37,MATCH('Fan Name List'!S237,'Fan Name List'!$AC$16:$BM$16,1)+1),0)</f>
        <v>0</v>
      </c>
      <c r="AB237" s="1854"/>
      <c r="AC237" s="1855"/>
      <c r="AD237" s="1855"/>
      <c r="AE237" s="1855"/>
      <c r="AF237" s="1855"/>
      <c r="AG237" s="1855"/>
      <c r="AH237" s="1855"/>
      <c r="AI237" s="1855"/>
      <c r="AJ237" s="1855"/>
      <c r="AK237" s="1855"/>
      <c r="AL237" s="1855"/>
      <c r="AM237" s="1855"/>
      <c r="AN237" s="1855"/>
      <c r="AO237" s="1855"/>
      <c r="AP237" s="1855"/>
      <c r="AQ237" s="1855"/>
      <c r="AR237" s="1855"/>
      <c r="AS237" s="1855"/>
      <c r="AT237" s="1855"/>
      <c r="AU237" s="1855"/>
      <c r="AV237" s="1855"/>
      <c r="AW237" s="1855"/>
      <c r="AX237" s="1855"/>
      <c r="AY237" s="1855"/>
      <c r="AZ237" s="1855"/>
      <c r="BA237" s="1855"/>
      <c r="BB237" s="1855"/>
      <c r="BC237" s="1855"/>
      <c r="BD237" s="1855"/>
      <c r="BE237" s="1855"/>
      <c r="BF237" s="1855"/>
      <c r="BG237" s="1855"/>
      <c r="BH237" s="1855"/>
      <c r="BI237" s="1855"/>
      <c r="BJ237" s="1855"/>
      <c r="BK237" s="1855"/>
      <c r="BL237" s="1855"/>
      <c r="BM237" s="1855"/>
      <c r="BN237" s="1855"/>
      <c r="BO237" s="1855"/>
      <c r="BP237" s="1855"/>
      <c r="BQ237" s="1855"/>
      <c r="BR237" s="1855"/>
      <c r="BS237" s="1855"/>
      <c r="BT237" s="1855"/>
      <c r="BU237" s="1855"/>
      <c r="BV237" s="1855"/>
      <c r="BW237" s="1855"/>
      <c r="BX237" s="1855"/>
      <c r="BY237" s="1855"/>
      <c r="BZ237" s="1855"/>
      <c r="CA237" s="1855"/>
      <c r="CB237" s="1855"/>
      <c r="CC237" s="1855"/>
      <c r="CD237" s="1859"/>
    </row>
    <row r="238" spans="1:82" ht="14.25">
      <c r="A238" s="1632" t="s">
        <v>1728</v>
      </c>
      <c r="B238" s="906">
        <v>0</v>
      </c>
      <c r="C238" s="1472" t="s">
        <v>2154</v>
      </c>
      <c r="D238" s="968" t="s">
        <v>3227</v>
      </c>
      <c r="E238" s="1493" t="s">
        <v>1728</v>
      </c>
      <c r="F238" s="1629">
        <v>0</v>
      </c>
      <c r="G238" s="405" t="b">
        <v>0</v>
      </c>
      <c r="H238" s="1638"/>
      <c r="I238" s="1639">
        <v>0</v>
      </c>
      <c r="J238" s="1639">
        <v>0</v>
      </c>
      <c r="K238" s="1639">
        <v>0</v>
      </c>
      <c r="L238" s="1640">
        <v>0</v>
      </c>
      <c r="M238" s="2157">
        <v>0</v>
      </c>
      <c r="N238" s="1639"/>
      <c r="O238" s="1639">
        <v>0</v>
      </c>
      <c r="P238" s="1639">
        <v>0</v>
      </c>
      <c r="Q238" s="1639">
        <v>0</v>
      </c>
      <c r="R238" s="1640">
        <v>0</v>
      </c>
      <c r="S238" s="2157">
        <v>0</v>
      </c>
      <c r="T238" s="1639"/>
      <c r="U238" s="1639">
        <v>0</v>
      </c>
      <c r="V238" s="1639">
        <v>0</v>
      </c>
      <c r="W238" s="1639">
        <v>0</v>
      </c>
      <c r="X238" s="1640">
        <v>0</v>
      </c>
      <c r="Y238" s="1641">
        <v>0</v>
      </c>
      <c r="Z238" s="1854">
        <f>IF($G238,MATCH('Fan Name List'!Y238,'Fan Name List'!$AC$16:$BM$16,1),0)</f>
        <v>0</v>
      </c>
      <c r="AA238" s="1859">
        <f>IF($G238,IF(S238&gt;567,37,MATCH('Fan Name List'!S238,'Fan Name List'!$AC$16:$BM$16,1)+1),0)</f>
        <v>0</v>
      </c>
      <c r="AB238" s="1854"/>
      <c r="AC238" s="1855"/>
      <c r="AD238" s="1855"/>
      <c r="AE238" s="1855"/>
      <c r="AF238" s="1855"/>
      <c r="AG238" s="1855"/>
      <c r="AH238" s="1855"/>
      <c r="AI238" s="1855"/>
      <c r="AJ238" s="1855"/>
      <c r="AK238" s="1855"/>
      <c r="AL238" s="1855"/>
      <c r="AM238" s="1855"/>
      <c r="AN238" s="1855"/>
      <c r="AO238" s="1855"/>
      <c r="AP238" s="1855"/>
      <c r="AQ238" s="1855"/>
      <c r="AR238" s="1855"/>
      <c r="AS238" s="1855"/>
      <c r="AT238" s="1855"/>
      <c r="AU238" s="1855"/>
      <c r="AV238" s="1855"/>
      <c r="AW238" s="1855"/>
      <c r="AX238" s="1855"/>
      <c r="AY238" s="1855"/>
      <c r="AZ238" s="1855"/>
      <c r="BA238" s="1855"/>
      <c r="BB238" s="1855"/>
      <c r="BC238" s="1855"/>
      <c r="BD238" s="1855"/>
      <c r="BE238" s="1855"/>
      <c r="BF238" s="1855"/>
      <c r="BG238" s="1855"/>
      <c r="BH238" s="1855"/>
      <c r="BI238" s="1855"/>
      <c r="BJ238" s="1855"/>
      <c r="BK238" s="1855"/>
      <c r="BL238" s="1855"/>
      <c r="BM238" s="1855"/>
      <c r="BN238" s="1855"/>
      <c r="BO238" s="1855"/>
      <c r="BP238" s="1855"/>
      <c r="BQ238" s="1855"/>
      <c r="BR238" s="1855"/>
      <c r="BS238" s="1855"/>
      <c r="BT238" s="1855"/>
      <c r="BU238" s="1855"/>
      <c r="BV238" s="1855"/>
      <c r="BW238" s="1855"/>
      <c r="BX238" s="1855"/>
      <c r="BY238" s="1855"/>
      <c r="BZ238" s="1855"/>
      <c r="CA238" s="1855"/>
      <c r="CB238" s="1855"/>
      <c r="CC238" s="1855"/>
      <c r="CD238" s="1859"/>
    </row>
    <row r="239" spans="1:82" s="1889" customFormat="1" ht="15" thickBot="1">
      <c r="A239" s="1633" t="s">
        <v>88</v>
      </c>
      <c r="B239" s="928"/>
      <c r="C239" s="1496" t="s">
        <v>88</v>
      </c>
      <c r="D239" s="928"/>
      <c r="E239" s="1497" t="s">
        <v>88</v>
      </c>
      <c r="F239" s="1634"/>
      <c r="G239" s="1491"/>
      <c r="H239" s="1669"/>
      <c r="I239" s="1491"/>
      <c r="J239" s="1491"/>
      <c r="K239" s="1491"/>
      <c r="L239" s="1670"/>
      <c r="M239" s="2158"/>
      <c r="N239" s="1491"/>
      <c r="O239" s="1491"/>
      <c r="P239" s="1491"/>
      <c r="Q239" s="1491"/>
      <c r="R239" s="1670"/>
      <c r="S239" s="2158"/>
      <c r="T239" s="1491"/>
      <c r="U239" s="1491"/>
      <c r="V239" s="1491"/>
      <c r="W239" s="1491"/>
      <c r="X239" s="1670"/>
      <c r="Y239" s="1671"/>
      <c r="Z239" s="1886" t="s">
        <v>88</v>
      </c>
      <c r="AA239" s="1887" t="s">
        <v>88</v>
      </c>
      <c r="AB239" s="1886"/>
      <c r="AC239" s="1888"/>
      <c r="AD239" s="1888"/>
      <c r="AE239" s="1888"/>
      <c r="AF239" s="1888"/>
      <c r="AG239" s="1888"/>
      <c r="AH239" s="1888"/>
      <c r="AI239" s="1888"/>
      <c r="AJ239" s="1888"/>
      <c r="AK239" s="1888"/>
      <c r="AL239" s="1888"/>
      <c r="AM239" s="1888"/>
      <c r="AN239" s="1888"/>
      <c r="AO239" s="1888"/>
      <c r="AP239" s="1888"/>
      <c r="AQ239" s="1888"/>
      <c r="AR239" s="1888"/>
      <c r="AS239" s="1888"/>
      <c r="AT239" s="1888"/>
      <c r="AU239" s="1888"/>
      <c r="AV239" s="1888"/>
      <c r="AW239" s="1888"/>
      <c r="AX239" s="1888"/>
      <c r="AY239" s="1888"/>
      <c r="AZ239" s="1888"/>
      <c r="BA239" s="1888"/>
      <c r="BB239" s="1888"/>
      <c r="BC239" s="1888"/>
      <c r="BD239" s="1888"/>
      <c r="BE239" s="1888"/>
      <c r="BF239" s="1888"/>
      <c r="BG239" s="1888"/>
      <c r="BH239" s="1888"/>
      <c r="BI239" s="1888"/>
      <c r="BJ239" s="1888"/>
      <c r="BK239" s="1888"/>
      <c r="BL239" s="1888"/>
      <c r="BM239" s="1888"/>
      <c r="BN239" s="1888"/>
      <c r="BO239" s="1888"/>
      <c r="BP239" s="1888"/>
      <c r="BQ239" s="1888"/>
      <c r="BR239" s="1888"/>
      <c r="BS239" s="1888"/>
      <c r="BT239" s="1888"/>
      <c r="BU239" s="1888"/>
      <c r="BV239" s="1888"/>
      <c r="BW239" s="1888"/>
      <c r="BX239" s="1888"/>
      <c r="BY239" s="1888"/>
      <c r="BZ239" s="1888"/>
      <c r="CA239" s="1888"/>
      <c r="CB239" s="1888"/>
      <c r="CC239" s="1888"/>
      <c r="CD239" s="1887"/>
    </row>
    <row r="240" spans="1:82" ht="13.5" thickTop="1"/>
  </sheetData>
  <mergeCells count="4">
    <mergeCell ref="AB1:AB11"/>
    <mergeCell ref="H15:M15"/>
    <mergeCell ref="N15:S15"/>
    <mergeCell ref="T15:Y15"/>
  </mergeCells>
  <phoneticPr fontId="170" type="noConversion"/>
  <conditionalFormatting sqref="E18:E238">
    <cfRule type="expression" dxfId="242" priority="1">
      <formula>$E18&lt;&gt;$A18</formula>
    </cfRule>
  </conditionalFormatting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pageSetUpPr fitToPage="1"/>
  </sheetPr>
  <dimension ref="A1:AC250"/>
  <sheetViews>
    <sheetView topLeftCell="A13" zoomScale="80" zoomScaleNormal="80" workbookViewId="0">
      <pane xSplit="1" ySplit="4" topLeftCell="J17" activePane="bottomRight" state="frozen"/>
      <selection activeCell="C6" sqref="C6:G6"/>
      <selection pane="topRight" activeCell="C6" sqref="C6:G6"/>
      <selection pane="bottomLeft" activeCell="C6" sqref="C6:G6"/>
      <selection pane="bottomRight" activeCell="A16" sqref="A16:AC239"/>
    </sheetView>
  </sheetViews>
  <sheetFormatPr defaultColWidth="10.42578125" defaultRowHeight="15" customHeight="1"/>
  <cols>
    <col min="1" max="1" width="15.7109375" style="900" customWidth="1"/>
    <col min="2" max="4" width="9.42578125" style="900" customWidth="1"/>
    <col min="5" max="5" width="10.5703125" style="873" customWidth="1"/>
    <col min="6" max="6" width="10.42578125" style="871" customWidth="1"/>
    <col min="7" max="10" width="10.42578125" style="862" customWidth="1"/>
    <col min="11" max="15" width="10.42578125" style="863" customWidth="1"/>
    <col min="16" max="19" width="10.42578125" style="862" customWidth="1"/>
    <col min="20" max="20" width="10.42578125" style="862"/>
    <col min="21" max="21" width="10.42578125" style="901" customWidth="1"/>
    <col min="22" max="22" width="10.42578125" style="862" customWidth="1"/>
    <col min="23" max="16384" width="10.42578125" style="862"/>
  </cols>
  <sheetData>
    <row r="1" spans="1:29" ht="15" customHeight="1" thickTop="1">
      <c r="A1" s="960" t="s">
        <v>1872</v>
      </c>
      <c r="B1" s="960"/>
      <c r="C1" s="961" t="s">
        <v>1873</v>
      </c>
      <c r="D1" s="961"/>
      <c r="I1" s="962"/>
      <c r="J1" s="962"/>
      <c r="K1" s="963"/>
      <c r="L1" s="964"/>
      <c r="M1" s="964"/>
      <c r="N1" s="964"/>
      <c r="O1" s="964"/>
      <c r="P1" s="965"/>
      <c r="Q1" s="965"/>
      <c r="R1" s="965"/>
      <c r="S1" s="965"/>
      <c r="T1" s="966"/>
      <c r="U1" s="962"/>
      <c r="V1" s="962"/>
      <c r="W1" s="962"/>
      <c r="X1" s="962"/>
      <c r="Y1" s="962"/>
      <c r="Z1" s="962"/>
      <c r="AA1" s="962"/>
      <c r="AB1" s="962"/>
      <c r="AC1" s="967"/>
    </row>
    <row r="2" spans="1:29" ht="15" customHeight="1">
      <c r="A2" s="867" t="s">
        <v>1874</v>
      </c>
      <c r="B2" s="867"/>
      <c r="C2" s="868" t="s">
        <v>1574</v>
      </c>
      <c r="D2" s="868"/>
      <c r="I2" s="968"/>
      <c r="J2" s="968"/>
      <c r="K2" s="969"/>
      <c r="L2" s="864"/>
      <c r="M2" s="864"/>
      <c r="N2" s="864"/>
      <c r="O2" s="864"/>
      <c r="P2" s="865"/>
      <c r="Q2" s="865"/>
      <c r="R2" s="865"/>
      <c r="S2" s="865"/>
      <c r="T2" s="970"/>
      <c r="U2" s="968"/>
      <c r="V2" s="968"/>
      <c r="W2" s="968"/>
      <c r="X2" s="968"/>
      <c r="Y2" s="968"/>
      <c r="Z2" s="968"/>
      <c r="AA2" s="968"/>
      <c r="AB2" s="968"/>
      <c r="AC2" s="971"/>
    </row>
    <row r="3" spans="1:29" ht="15" customHeight="1">
      <c r="A3" s="869" t="s">
        <v>1874</v>
      </c>
      <c r="B3" s="869"/>
      <c r="C3" s="861" t="s">
        <v>1875</v>
      </c>
      <c r="D3" s="861"/>
      <c r="I3" s="968"/>
      <c r="J3" s="968"/>
      <c r="K3" s="969"/>
      <c r="L3" s="864"/>
      <c r="M3" s="864"/>
      <c r="N3" s="864"/>
      <c r="O3" s="864"/>
      <c r="P3" s="865"/>
      <c r="Q3" s="865"/>
      <c r="R3" s="865"/>
      <c r="S3" s="865"/>
      <c r="T3" s="970"/>
      <c r="U3" s="968"/>
      <c r="V3" s="968"/>
      <c r="W3" s="968"/>
      <c r="X3" s="968"/>
      <c r="Y3" s="968"/>
      <c r="Z3" s="968"/>
      <c r="AA3" s="968"/>
      <c r="AB3" s="968"/>
      <c r="AC3" s="971"/>
    </row>
    <row r="4" spans="1:29" ht="15" customHeight="1">
      <c r="A4" s="867" t="s">
        <v>1872</v>
      </c>
      <c r="B4" s="867"/>
      <c r="C4" s="868">
        <v>1.1344640137963142</v>
      </c>
      <c r="D4" s="868"/>
      <c r="I4" s="968"/>
      <c r="J4" s="968"/>
      <c r="K4" s="969"/>
      <c r="L4" s="864"/>
      <c r="M4" s="864"/>
      <c r="N4" s="864"/>
      <c r="O4" s="864"/>
      <c r="P4" s="865"/>
      <c r="Q4" s="865"/>
      <c r="R4" s="865"/>
      <c r="S4" s="865"/>
      <c r="T4" s="970"/>
      <c r="U4" s="968"/>
      <c r="V4" s="968"/>
      <c r="W4" s="968"/>
      <c r="X4" s="968"/>
      <c r="Y4" s="968"/>
      <c r="Z4" s="968"/>
      <c r="AA4" s="968"/>
      <c r="AB4" s="968"/>
      <c r="AC4" s="971"/>
    </row>
    <row r="5" spans="1:29" ht="3" customHeight="1">
      <c r="A5" s="872">
        <v>0</v>
      </c>
      <c r="E5" s="870"/>
      <c r="F5" s="968"/>
      <c r="G5" s="968"/>
      <c r="H5" s="968"/>
      <c r="I5" s="968"/>
      <c r="J5" s="968"/>
      <c r="K5" s="969"/>
      <c r="L5" s="969"/>
      <c r="M5" s="969"/>
      <c r="N5" s="969"/>
      <c r="O5" s="969"/>
      <c r="P5" s="968"/>
      <c r="Q5" s="968"/>
      <c r="R5" s="968"/>
      <c r="S5" s="968"/>
      <c r="T5" s="968"/>
      <c r="U5" s="968"/>
      <c r="V5" s="968"/>
      <c r="W5" s="968"/>
      <c r="X5" s="968"/>
      <c r="Y5" s="968"/>
      <c r="Z5" s="968"/>
      <c r="AA5" s="968"/>
      <c r="AB5" s="968"/>
      <c r="AC5" s="971"/>
    </row>
    <row r="6" spans="1:29" ht="3" customHeight="1">
      <c r="A6" s="953"/>
      <c r="B6" s="954"/>
      <c r="C6" s="954"/>
      <c r="D6" s="954"/>
      <c r="E6" s="870"/>
      <c r="F6" s="968"/>
      <c r="G6" s="968"/>
      <c r="H6" s="968"/>
      <c r="I6" s="968"/>
      <c r="J6" s="968"/>
      <c r="K6" s="969"/>
      <c r="L6" s="969"/>
      <c r="M6" s="969"/>
      <c r="N6" s="969"/>
      <c r="O6" s="969"/>
      <c r="P6" s="968"/>
      <c r="Q6" s="968"/>
      <c r="R6" s="968"/>
      <c r="S6" s="968"/>
      <c r="T6" s="968"/>
      <c r="U6" s="968"/>
      <c r="V6" s="968"/>
      <c r="W6" s="968"/>
      <c r="X6" s="968"/>
      <c r="Y6" s="968"/>
      <c r="Z6" s="968"/>
      <c r="AA6" s="968"/>
      <c r="AB6" s="968"/>
      <c r="AC6" s="971"/>
    </row>
    <row r="7" spans="1:29" ht="3" customHeight="1">
      <c r="A7" s="872"/>
      <c r="E7" s="870"/>
      <c r="F7" s="968"/>
      <c r="G7" s="968"/>
      <c r="H7" s="968"/>
      <c r="I7" s="968"/>
      <c r="J7" s="968"/>
      <c r="K7" s="969"/>
      <c r="L7" s="969"/>
      <c r="M7" s="969"/>
      <c r="N7" s="969"/>
      <c r="O7" s="969"/>
      <c r="P7" s="968"/>
      <c r="Q7" s="968"/>
      <c r="R7" s="968"/>
      <c r="S7" s="968"/>
      <c r="T7" s="968"/>
      <c r="U7" s="968"/>
      <c r="V7" s="968"/>
      <c r="W7" s="968"/>
      <c r="X7" s="968"/>
      <c r="Y7" s="968"/>
      <c r="Z7" s="968"/>
      <c r="AA7" s="968"/>
      <c r="AB7" s="968"/>
      <c r="AC7" s="971"/>
    </row>
    <row r="8" spans="1:29" ht="3" customHeight="1">
      <c r="A8" s="872"/>
      <c r="E8" s="870"/>
      <c r="F8" s="968"/>
      <c r="G8" s="968"/>
      <c r="H8" s="968"/>
      <c r="I8" s="968"/>
      <c r="J8" s="968"/>
      <c r="K8" s="969"/>
      <c r="L8" s="969"/>
      <c r="M8" s="969"/>
      <c r="N8" s="969"/>
      <c r="O8" s="969"/>
      <c r="P8" s="968"/>
      <c r="Q8" s="968"/>
      <c r="R8" s="968"/>
      <c r="S8" s="968"/>
      <c r="T8" s="968"/>
      <c r="U8" s="968"/>
      <c r="V8" s="968"/>
      <c r="W8" s="968"/>
      <c r="X8" s="968"/>
      <c r="Y8" s="968"/>
      <c r="Z8" s="968"/>
      <c r="AA8" s="968"/>
      <c r="AB8" s="968"/>
      <c r="AC8" s="971"/>
    </row>
    <row r="9" spans="1:29" ht="3" customHeight="1">
      <c r="A9" s="872"/>
      <c r="E9" s="870"/>
      <c r="F9" s="968"/>
      <c r="G9" s="968"/>
      <c r="H9" s="968"/>
      <c r="I9" s="968"/>
      <c r="J9" s="968"/>
      <c r="K9" s="969"/>
      <c r="L9" s="969"/>
      <c r="M9" s="969"/>
      <c r="N9" s="969"/>
      <c r="O9" s="969"/>
      <c r="P9" s="968"/>
      <c r="Q9" s="968"/>
      <c r="R9" s="968"/>
      <c r="S9" s="968"/>
      <c r="T9" s="968"/>
      <c r="U9" s="968"/>
      <c r="V9" s="968"/>
      <c r="W9" s="968"/>
      <c r="X9" s="968"/>
      <c r="Y9" s="968"/>
      <c r="Z9" s="968"/>
      <c r="AA9" s="968"/>
      <c r="AB9" s="968"/>
      <c r="AC9" s="971"/>
    </row>
    <row r="10" spans="1:29" ht="3" customHeight="1">
      <c r="A10" s="872"/>
      <c r="E10" s="870"/>
      <c r="F10" s="968"/>
      <c r="G10" s="968"/>
      <c r="H10" s="968"/>
      <c r="I10" s="968"/>
      <c r="J10" s="968"/>
      <c r="K10" s="969"/>
      <c r="L10" s="969"/>
      <c r="M10" s="969"/>
      <c r="N10" s="969"/>
      <c r="O10" s="969"/>
      <c r="P10" s="968"/>
      <c r="Q10" s="968"/>
      <c r="R10" s="968"/>
      <c r="S10" s="968"/>
      <c r="T10" s="968"/>
      <c r="U10" s="968"/>
      <c r="V10" s="968"/>
      <c r="W10" s="968"/>
      <c r="X10" s="968"/>
      <c r="Y10" s="968"/>
      <c r="Z10" s="968"/>
      <c r="AA10" s="968"/>
      <c r="AB10" s="968"/>
      <c r="AC10" s="971"/>
    </row>
    <row r="11" spans="1:29" ht="3" customHeight="1">
      <c r="A11" s="955"/>
      <c r="B11" s="956"/>
      <c r="C11" s="956"/>
      <c r="D11" s="956"/>
      <c r="E11" s="870"/>
      <c r="F11" s="968"/>
      <c r="G11" s="968"/>
      <c r="H11" s="968"/>
      <c r="I11" s="968"/>
      <c r="J11" s="968"/>
      <c r="K11" s="969"/>
      <c r="L11" s="969"/>
      <c r="M11" s="969"/>
      <c r="N11" s="969"/>
      <c r="O11" s="969"/>
      <c r="P11" s="968"/>
      <c r="Q11" s="968"/>
      <c r="R11" s="968"/>
      <c r="S11" s="968"/>
      <c r="T11" s="968"/>
      <c r="U11" s="968"/>
      <c r="V11" s="968"/>
      <c r="W11" s="968"/>
      <c r="X11" s="968"/>
      <c r="Y11" s="968"/>
      <c r="Z11" s="968"/>
      <c r="AA11" s="968"/>
      <c r="AB11" s="968"/>
      <c r="AC11" s="971"/>
    </row>
    <row r="12" spans="1:29" ht="15" customHeight="1" thickBot="1">
      <c r="A12" s="872"/>
      <c r="E12" s="870"/>
      <c r="F12" s="968"/>
      <c r="G12" s="968"/>
      <c r="H12" s="968"/>
      <c r="I12" s="968"/>
      <c r="J12" s="968"/>
      <c r="K12" s="969"/>
      <c r="L12" s="969"/>
      <c r="M12" s="969"/>
      <c r="N12" s="969"/>
      <c r="O12" s="969"/>
      <c r="P12" s="968"/>
      <c r="Q12" s="968"/>
      <c r="R12" s="968"/>
      <c r="S12" s="968"/>
      <c r="T12" s="968"/>
      <c r="U12" s="968"/>
      <c r="V12" s="968"/>
      <c r="W12" s="968"/>
      <c r="X12" s="968"/>
      <c r="Y12" s="968"/>
      <c r="Z12" s="968"/>
      <c r="AA12" s="968"/>
      <c r="AB12" s="968"/>
      <c r="AC12" s="971"/>
    </row>
    <row r="13" spans="1:29" ht="15" customHeight="1" thickTop="1" thickBot="1">
      <c r="A13" s="1474">
        <v>1</v>
      </c>
      <c r="B13" s="1475">
        <v>2</v>
      </c>
      <c r="C13" s="1475">
        <v>3</v>
      </c>
      <c r="D13" s="1475">
        <v>4</v>
      </c>
      <c r="E13" s="1478">
        <v>5</v>
      </c>
      <c r="F13" s="1475">
        <v>6</v>
      </c>
      <c r="G13" s="1475">
        <v>7</v>
      </c>
      <c r="H13" s="1475">
        <v>8</v>
      </c>
      <c r="I13" s="1475">
        <v>9</v>
      </c>
      <c r="J13" s="1475">
        <v>10</v>
      </c>
      <c r="K13" s="1475">
        <v>11</v>
      </c>
      <c r="L13" s="1475">
        <v>12</v>
      </c>
      <c r="M13" s="1475">
        <v>13</v>
      </c>
      <c r="N13" s="1475">
        <v>14</v>
      </c>
      <c r="O13" s="1475">
        <v>15</v>
      </c>
      <c r="P13" s="1475">
        <v>16</v>
      </c>
      <c r="Q13" s="1475">
        <v>17</v>
      </c>
      <c r="R13" s="1475">
        <v>18</v>
      </c>
      <c r="S13" s="1475">
        <v>19</v>
      </c>
      <c r="T13" s="1475">
        <v>20</v>
      </c>
      <c r="U13" s="1475">
        <v>21</v>
      </c>
      <c r="V13" s="1475">
        <v>22</v>
      </c>
      <c r="W13" s="1475">
        <v>23</v>
      </c>
      <c r="X13" s="1475">
        <v>24</v>
      </c>
      <c r="Y13" s="1475">
        <v>25</v>
      </c>
      <c r="Z13" s="1475">
        <v>26</v>
      </c>
      <c r="AA13" s="1475">
        <v>27</v>
      </c>
      <c r="AB13" s="1475">
        <v>28</v>
      </c>
      <c r="AC13" s="1476">
        <v>29</v>
      </c>
    </row>
    <row r="14" spans="1:29" ht="15" customHeight="1" thickTop="1">
      <c r="A14" s="872"/>
      <c r="F14" s="968"/>
      <c r="G14" s="968"/>
      <c r="H14" s="968"/>
      <c r="I14" s="968"/>
      <c r="J14" s="968"/>
      <c r="K14" s="969"/>
      <c r="L14" s="969"/>
      <c r="M14" s="969"/>
      <c r="N14" s="969"/>
      <c r="O14" s="969"/>
      <c r="P14" s="968"/>
      <c r="Q14" s="968"/>
      <c r="R14" s="968"/>
      <c r="S14" s="968"/>
      <c r="T14" s="968"/>
      <c r="U14" s="968"/>
      <c r="V14" s="968"/>
      <c r="W14" s="968"/>
      <c r="X14" s="968"/>
      <c r="Y14" s="968"/>
      <c r="Z14" s="968"/>
      <c r="AA14" s="968"/>
      <c r="AB14" s="968"/>
      <c r="AC14" s="971"/>
    </row>
    <row r="15" spans="1:29" s="878" customFormat="1" ht="15" customHeight="1">
      <c r="A15" s="874"/>
      <c r="B15" s="4039" t="s">
        <v>2195</v>
      </c>
      <c r="C15" s="4039"/>
      <c r="D15" s="4040"/>
      <c r="E15" s="875"/>
      <c r="F15" s="876"/>
      <c r="G15" s="876"/>
      <c r="H15" s="876"/>
      <c r="I15" s="876"/>
      <c r="J15" s="876"/>
      <c r="K15" s="877"/>
      <c r="L15" s="877"/>
      <c r="M15" s="877"/>
      <c r="N15" s="877"/>
      <c r="O15" s="877"/>
      <c r="P15" s="876"/>
      <c r="Q15" s="876"/>
      <c r="R15" s="876"/>
      <c r="S15" s="876"/>
      <c r="T15" s="972"/>
      <c r="U15" s="972"/>
      <c r="V15" s="972"/>
      <c r="W15" s="972"/>
      <c r="X15" s="972"/>
      <c r="Y15" s="972"/>
      <c r="Z15" s="972"/>
      <c r="AA15" s="972"/>
      <c r="AB15" s="972"/>
      <c r="AC15" s="973"/>
    </row>
    <row r="16" spans="1:29" s="882" customFormat="1" ht="60" customHeight="1">
      <c r="A16" s="2326" t="s">
        <v>3922</v>
      </c>
      <c r="B16" s="880" t="s">
        <v>253</v>
      </c>
      <c r="C16" s="880" t="s">
        <v>288</v>
      </c>
      <c r="D16" s="880"/>
      <c r="E16" s="879" t="s">
        <v>2197</v>
      </c>
      <c r="F16" s="880" t="s">
        <v>1876</v>
      </c>
      <c r="G16" s="880" t="s">
        <v>1877</v>
      </c>
      <c r="H16" s="880" t="s">
        <v>1878</v>
      </c>
      <c r="I16" s="880" t="s">
        <v>3920</v>
      </c>
      <c r="J16" s="880" t="s">
        <v>3921</v>
      </c>
      <c r="K16" s="881" t="s">
        <v>1089</v>
      </c>
      <c r="L16" s="1672" t="s">
        <v>1236</v>
      </c>
      <c r="M16" s="881" t="s">
        <v>1237</v>
      </c>
      <c r="N16" s="881" t="s">
        <v>1238</v>
      </c>
      <c r="O16" s="881" t="s">
        <v>1239</v>
      </c>
      <c r="P16" s="881" t="s">
        <v>2529</v>
      </c>
      <c r="Q16" s="881" t="s">
        <v>234</v>
      </c>
      <c r="R16" s="881" t="s">
        <v>235</v>
      </c>
      <c r="T16" s="880" t="s">
        <v>3228</v>
      </c>
      <c r="U16" s="880"/>
      <c r="V16" s="880"/>
      <c r="W16" s="880"/>
      <c r="X16" s="880" t="s">
        <v>1879</v>
      </c>
      <c r="Y16" s="880"/>
      <c r="Z16" s="880"/>
      <c r="AA16" s="880"/>
      <c r="AB16" s="880" t="s">
        <v>1880</v>
      </c>
      <c r="AC16" s="880"/>
    </row>
    <row r="17" spans="1:29" ht="15" customHeight="1" thickBot="1">
      <c r="A17" s="2327" t="s">
        <v>2196</v>
      </c>
      <c r="B17" s="957"/>
      <c r="C17" s="957"/>
      <c r="D17" s="957"/>
      <c r="E17" s="883">
        <v>0</v>
      </c>
      <c r="F17" s="974">
        <v>0</v>
      </c>
      <c r="G17" s="974">
        <v>0</v>
      </c>
      <c r="H17" s="884">
        <v>0</v>
      </c>
      <c r="I17" s="974">
        <v>0</v>
      </c>
      <c r="J17" s="974">
        <v>0</v>
      </c>
      <c r="K17" s="975">
        <v>0</v>
      </c>
      <c r="L17" s="1673">
        <v>0</v>
      </c>
      <c r="M17" s="976">
        <v>0</v>
      </c>
      <c r="N17" s="976">
        <v>0</v>
      </c>
      <c r="O17" s="976">
        <v>0</v>
      </c>
      <c r="P17" s="1138">
        <v>0</v>
      </c>
      <c r="Q17" s="1138">
        <v>0</v>
      </c>
      <c r="R17" s="1138">
        <v>0</v>
      </c>
      <c r="S17" s="957"/>
      <c r="T17" s="977"/>
      <c r="U17" s="977"/>
      <c r="V17" s="968"/>
      <c r="W17" s="978"/>
      <c r="X17" s="968"/>
      <c r="Y17" s="971" t="s">
        <v>2541</v>
      </c>
      <c r="Z17" s="979"/>
      <c r="AA17" s="885" t="s">
        <v>2542</v>
      </c>
      <c r="AB17" s="968"/>
      <c r="AC17" s="968"/>
    </row>
    <row r="18" spans="1:29" ht="15" customHeight="1">
      <c r="A18" s="924" t="s">
        <v>1513</v>
      </c>
      <c r="B18" s="958">
        <v>5716.4917265124695</v>
      </c>
      <c r="C18" s="958">
        <v>12307.425189294698</v>
      </c>
      <c r="D18" s="958">
        <v>12190.110900955649</v>
      </c>
      <c r="E18" s="886">
        <v>350</v>
      </c>
      <c r="F18" s="887">
        <v>3</v>
      </c>
      <c r="G18" s="888">
        <v>988.53820400249606</v>
      </c>
      <c r="H18" s="884">
        <v>256</v>
      </c>
      <c r="I18" s="888">
        <v>250</v>
      </c>
      <c r="J18" s="888">
        <v>400</v>
      </c>
      <c r="K18" s="889">
        <v>0.33184749864725288</v>
      </c>
      <c r="L18" s="1674">
        <v>8.1517213899375732E-2</v>
      </c>
      <c r="M18" s="890">
        <v>1.1344640137963142</v>
      </c>
      <c r="N18" s="890">
        <v>6.2831853071795862</v>
      </c>
      <c r="O18" s="890">
        <v>0.37717997549930693</v>
      </c>
      <c r="P18" s="893">
        <v>0.8644489806012825</v>
      </c>
      <c r="Q18" s="893">
        <v>0.5568330472736146</v>
      </c>
      <c r="R18" s="893">
        <v>0.43170515672888143</v>
      </c>
      <c r="S18" s="958"/>
      <c r="T18" s="891" t="s">
        <v>1513</v>
      </c>
      <c r="U18" s="891"/>
      <c r="V18" s="968"/>
      <c r="W18" s="980" t="s">
        <v>1881</v>
      </c>
      <c r="X18" s="968" t="s">
        <v>2198</v>
      </c>
      <c r="Y18" s="971" t="s">
        <v>2282</v>
      </c>
      <c r="Z18" s="979" t="s">
        <v>1882</v>
      </c>
      <c r="AA18" s="892" t="s">
        <v>1883</v>
      </c>
      <c r="AB18" s="968">
        <v>1</v>
      </c>
      <c r="AC18" s="968"/>
    </row>
    <row r="19" spans="1:29" ht="15" customHeight="1">
      <c r="A19" s="924" t="s">
        <v>1514</v>
      </c>
      <c r="B19" s="958">
        <v>7393.3684337215591</v>
      </c>
      <c r="C19" s="958">
        <v>15443.969444604172</v>
      </c>
      <c r="D19" s="958">
        <v>15299.087389239154</v>
      </c>
      <c r="E19" s="886">
        <v>350</v>
      </c>
      <c r="F19" s="887">
        <v>4</v>
      </c>
      <c r="G19" s="888">
        <v>1195.3381564574906</v>
      </c>
      <c r="H19" s="884">
        <v>208</v>
      </c>
      <c r="I19" s="888">
        <v>200</v>
      </c>
      <c r="J19" s="888">
        <v>475</v>
      </c>
      <c r="K19" s="889">
        <v>0.41127947429413503</v>
      </c>
      <c r="L19" s="1674">
        <v>7.6367086939491985E-2</v>
      </c>
      <c r="M19" s="890">
        <v>1.1344640137963142</v>
      </c>
      <c r="N19" s="890">
        <v>6.2831853071795862</v>
      </c>
      <c r="O19" s="890">
        <v>0.46369643776952457</v>
      </c>
      <c r="P19" s="893">
        <v>1.0531196123614011</v>
      </c>
      <c r="Q19" s="893">
        <v>0.66854429039070373</v>
      </c>
      <c r="R19" s="893">
        <v>0.5267938660667868</v>
      </c>
      <c r="S19" s="958"/>
      <c r="T19" s="891" t="s">
        <v>1514</v>
      </c>
      <c r="U19" s="891"/>
      <c r="V19" s="968"/>
      <c r="W19" s="981" t="s">
        <v>1881</v>
      </c>
      <c r="X19" s="968" t="s">
        <v>2199</v>
      </c>
      <c r="Y19" s="971" t="s">
        <v>2283</v>
      </c>
      <c r="Z19" s="979" t="s">
        <v>1884</v>
      </c>
      <c r="AA19" s="892" t="s">
        <v>1885</v>
      </c>
      <c r="AB19" s="968">
        <v>2</v>
      </c>
      <c r="AC19" s="968"/>
    </row>
    <row r="20" spans="1:29" ht="15" customHeight="1">
      <c r="A20" s="924" t="s">
        <v>1515</v>
      </c>
      <c r="B20" s="958">
        <v>8094.981559787625</v>
      </c>
      <c r="C20" s="958">
        <v>16222.789912273</v>
      </c>
      <c r="D20" s="958">
        <v>16078.807856907981</v>
      </c>
      <c r="E20" s="886">
        <v>400</v>
      </c>
      <c r="F20" s="887">
        <v>4</v>
      </c>
      <c r="G20" s="888">
        <v>1195.3381564574906</v>
      </c>
      <c r="H20" s="884">
        <v>283</v>
      </c>
      <c r="I20" s="888">
        <v>275</v>
      </c>
      <c r="J20" s="888">
        <v>475</v>
      </c>
      <c r="K20" s="889">
        <v>0.41127947429413503</v>
      </c>
      <c r="L20" s="1674">
        <v>7.6367086939491971E-2</v>
      </c>
      <c r="M20" s="890">
        <v>1.1344640137963142</v>
      </c>
      <c r="N20" s="890">
        <v>6.2831853071795862</v>
      </c>
      <c r="O20" s="890">
        <v>0.46369643776952457</v>
      </c>
      <c r="P20" s="893">
        <v>1.0531196123614011</v>
      </c>
      <c r="Q20" s="893">
        <v>0.66854429039070373</v>
      </c>
      <c r="R20" s="893">
        <v>0.5267938660667868</v>
      </c>
      <c r="S20" s="958"/>
      <c r="T20" s="891" t="s">
        <v>1515</v>
      </c>
      <c r="U20" s="891"/>
      <c r="V20" s="968"/>
      <c r="W20" s="981" t="s">
        <v>1881</v>
      </c>
      <c r="X20" s="968" t="s">
        <v>2200</v>
      </c>
      <c r="Y20" s="971" t="s">
        <v>2284</v>
      </c>
      <c r="Z20" s="979" t="s">
        <v>1886</v>
      </c>
      <c r="AA20" s="892" t="s">
        <v>1887</v>
      </c>
      <c r="AB20" s="968">
        <v>3</v>
      </c>
      <c r="AC20" s="968"/>
    </row>
    <row r="21" spans="1:29" ht="15" customHeight="1">
      <c r="A21" s="924" t="s">
        <v>1516</v>
      </c>
      <c r="B21" s="958">
        <v>9646.1826725736773</v>
      </c>
      <c r="C21" s="958">
        <v>17966.629021043467</v>
      </c>
      <c r="D21" s="958">
        <v>17823.546965678452</v>
      </c>
      <c r="E21" s="886">
        <v>600</v>
      </c>
      <c r="F21" s="887">
        <v>4</v>
      </c>
      <c r="G21" s="888">
        <v>1192.9329249647249</v>
      </c>
      <c r="H21" s="884">
        <v>533</v>
      </c>
      <c r="I21" s="888">
        <v>525</v>
      </c>
      <c r="J21" s="888">
        <v>550</v>
      </c>
      <c r="K21" s="889">
        <v>0.40416746489219074</v>
      </c>
      <c r="L21" s="1674">
        <v>7.9510783612782049E-2</v>
      </c>
      <c r="M21" s="890">
        <v>1.3089969389957472</v>
      </c>
      <c r="N21" s="890">
        <v>6.2831853071795862</v>
      </c>
      <c r="O21" s="890">
        <v>0.45793376510075923</v>
      </c>
      <c r="P21" s="893">
        <v>1.0458091821311899</v>
      </c>
      <c r="Q21" s="893">
        <v>0.67008034172848041</v>
      </c>
      <c r="R21" s="893">
        <v>0.52285258323624451</v>
      </c>
      <c r="S21" s="958"/>
      <c r="T21" s="891" t="s">
        <v>1516</v>
      </c>
      <c r="U21" s="891"/>
      <c r="V21" s="968"/>
      <c r="W21" s="981" t="s">
        <v>1881</v>
      </c>
      <c r="X21" s="968" t="s">
        <v>2201</v>
      </c>
      <c r="Y21" s="971" t="s">
        <v>2285</v>
      </c>
      <c r="Z21" s="979" t="s">
        <v>1888</v>
      </c>
      <c r="AA21" s="892" t="s">
        <v>1889</v>
      </c>
      <c r="AB21" s="968">
        <v>4</v>
      </c>
      <c r="AC21" s="968"/>
    </row>
    <row r="22" spans="1:29" ht="15" customHeight="1">
      <c r="A22" s="924" t="s">
        <v>1680</v>
      </c>
      <c r="B22" s="958">
        <v>9719.1803535235904</v>
      </c>
      <c r="C22" s="958">
        <v>18104.321218101031</v>
      </c>
      <c r="D22" s="958">
        <v>17962.039162736019</v>
      </c>
      <c r="E22" s="886">
        <v>600</v>
      </c>
      <c r="F22" s="887">
        <v>4</v>
      </c>
      <c r="G22" s="888">
        <v>1192.9329249647249</v>
      </c>
      <c r="H22" s="884">
        <v>533</v>
      </c>
      <c r="I22" s="888">
        <v>525</v>
      </c>
      <c r="J22" s="888">
        <v>550</v>
      </c>
      <c r="K22" s="889">
        <v>0.40416746489219074</v>
      </c>
      <c r="L22" s="1674">
        <v>7.9510783612782049E-2</v>
      </c>
      <c r="M22" s="890">
        <v>1.3089969389957472</v>
      </c>
      <c r="N22" s="890">
        <v>6.2831853071795862</v>
      </c>
      <c r="O22" s="890">
        <v>0.45793376510075923</v>
      </c>
      <c r="P22" s="893">
        <v>1.0458091821311899</v>
      </c>
      <c r="Q22" s="893">
        <v>0.67008034172848041</v>
      </c>
      <c r="R22" s="893">
        <v>0.52285258323624451</v>
      </c>
      <c r="S22" s="958"/>
      <c r="T22" s="891" t="s">
        <v>1680</v>
      </c>
      <c r="U22" s="891"/>
      <c r="V22" s="968"/>
      <c r="W22" s="981" t="s">
        <v>1881</v>
      </c>
      <c r="X22" s="968" t="s">
        <v>2201</v>
      </c>
      <c r="Y22" s="971" t="s">
        <v>2285</v>
      </c>
      <c r="Z22" s="979" t="s">
        <v>1890</v>
      </c>
      <c r="AA22" s="892" t="s">
        <v>1891</v>
      </c>
      <c r="AB22" s="968">
        <v>5</v>
      </c>
      <c r="AC22" s="968"/>
    </row>
    <row r="23" spans="1:29" ht="15" customHeight="1">
      <c r="A23" s="924" t="s">
        <v>1517</v>
      </c>
      <c r="B23" s="958">
        <v>9417.7714155817794</v>
      </c>
      <c r="C23" s="958">
        <v>16573.922130615611</v>
      </c>
      <c r="D23" s="958">
        <v>16282.170232036484</v>
      </c>
      <c r="E23" s="886">
        <v>450</v>
      </c>
      <c r="F23" s="887">
        <v>3</v>
      </c>
      <c r="G23" s="888">
        <v>1381.6770177288224</v>
      </c>
      <c r="H23" s="884">
        <v>306</v>
      </c>
      <c r="I23" s="888">
        <v>300</v>
      </c>
      <c r="J23" s="888">
        <v>550</v>
      </c>
      <c r="K23" s="889">
        <v>0.47694463960862138</v>
      </c>
      <c r="L23" s="1674">
        <v>7.618433541496783E-2</v>
      </c>
      <c r="M23" s="890">
        <v>1.1344640137963142</v>
      </c>
      <c r="N23" s="890">
        <v>6.2831853071795862</v>
      </c>
      <c r="O23" s="890">
        <v>0.58910006157382244</v>
      </c>
      <c r="P23" s="893">
        <v>1.2720425470280285</v>
      </c>
      <c r="Q23" s="893">
        <v>0.77276149610516376</v>
      </c>
      <c r="R23" s="893">
        <v>0.6089155216236587</v>
      </c>
      <c r="S23" s="958"/>
      <c r="T23" s="891" t="s">
        <v>1517</v>
      </c>
      <c r="U23" s="891"/>
      <c r="V23" s="968"/>
      <c r="W23" s="981" t="s">
        <v>1881</v>
      </c>
      <c r="X23" s="968" t="s">
        <v>1517</v>
      </c>
      <c r="Y23" s="971" t="s">
        <v>2286</v>
      </c>
      <c r="Z23" s="979" t="s">
        <v>1892</v>
      </c>
      <c r="AA23" s="892" t="s">
        <v>1893</v>
      </c>
      <c r="AB23" s="968">
        <v>6</v>
      </c>
      <c r="AC23" s="968"/>
    </row>
    <row r="24" spans="1:29" ht="15" customHeight="1">
      <c r="A24" s="924" t="s">
        <v>1518</v>
      </c>
      <c r="B24" s="958">
        <v>9452.6371280235344</v>
      </c>
      <c r="C24" s="958">
        <v>18797.720727145261</v>
      </c>
      <c r="D24" s="958">
        <v>18632.37601866902</v>
      </c>
      <c r="E24" s="886">
        <v>450</v>
      </c>
      <c r="F24" s="887">
        <v>3</v>
      </c>
      <c r="G24" s="888">
        <v>1394.7334795699871</v>
      </c>
      <c r="H24" s="884">
        <v>281</v>
      </c>
      <c r="I24" s="888">
        <v>275</v>
      </c>
      <c r="J24" s="888">
        <v>560</v>
      </c>
      <c r="K24" s="889">
        <v>0.47559013685264867</v>
      </c>
      <c r="L24" s="1674">
        <v>7.8691244687535147E-2</v>
      </c>
      <c r="M24" s="890">
        <v>1.1344640137963142</v>
      </c>
      <c r="N24" s="890">
        <v>6.2831853071795862</v>
      </c>
      <c r="O24" s="890">
        <v>0.53816453706600187</v>
      </c>
      <c r="P24" s="893">
        <v>1.2272602524152265</v>
      </c>
      <c r="Q24" s="893">
        <v>0.78276149610516388</v>
      </c>
      <c r="R24" s="893">
        <v>0.61197198346482318</v>
      </c>
      <c r="S24" s="958"/>
      <c r="T24" s="891" t="s">
        <v>1518</v>
      </c>
      <c r="U24" s="891"/>
      <c r="V24" s="968"/>
      <c r="W24" s="981" t="s">
        <v>1881</v>
      </c>
      <c r="X24" s="968" t="s">
        <v>2202</v>
      </c>
      <c r="Y24" s="971" t="s">
        <v>2286</v>
      </c>
      <c r="Z24" s="979" t="s">
        <v>1894</v>
      </c>
      <c r="AA24" s="892" t="s">
        <v>1895</v>
      </c>
      <c r="AB24" s="968">
        <v>7</v>
      </c>
      <c r="AC24" s="968"/>
    </row>
    <row r="25" spans="1:29" ht="15" customHeight="1">
      <c r="A25" s="924" t="s">
        <v>1662</v>
      </c>
      <c r="B25" s="958">
        <v>9842.7314195558065</v>
      </c>
      <c r="C25" s="958">
        <v>19233.873680970082</v>
      </c>
      <c r="D25" s="958">
        <v>19068.261964899524</v>
      </c>
      <c r="E25" s="886">
        <v>500</v>
      </c>
      <c r="F25" s="887">
        <v>3</v>
      </c>
      <c r="G25" s="888">
        <v>1394.7334795699871</v>
      </c>
      <c r="H25" s="884">
        <v>356</v>
      </c>
      <c r="I25" s="888">
        <v>350</v>
      </c>
      <c r="J25" s="888">
        <v>560</v>
      </c>
      <c r="K25" s="889">
        <v>0.47559013685264867</v>
      </c>
      <c r="L25" s="1674">
        <v>7.8691244687535133E-2</v>
      </c>
      <c r="M25" s="890">
        <v>1.1344640137963142</v>
      </c>
      <c r="N25" s="890">
        <v>6.2831853071795862</v>
      </c>
      <c r="O25" s="890">
        <v>0.53816453706600187</v>
      </c>
      <c r="P25" s="893">
        <v>1.2272602524152265</v>
      </c>
      <c r="Q25" s="893">
        <v>0.78276149610516377</v>
      </c>
      <c r="R25" s="893">
        <v>0.61197198346482329</v>
      </c>
      <c r="S25" s="958"/>
      <c r="T25" s="891" t="s">
        <v>1662</v>
      </c>
      <c r="U25" s="891"/>
      <c r="V25" s="968"/>
      <c r="W25" s="981" t="s">
        <v>1881</v>
      </c>
      <c r="X25" s="968" t="s">
        <v>2203</v>
      </c>
      <c r="Y25" s="971" t="s">
        <v>2287</v>
      </c>
      <c r="Z25" s="979" t="s">
        <v>1896</v>
      </c>
      <c r="AA25" s="892" t="s">
        <v>1897</v>
      </c>
      <c r="AB25" s="968">
        <v>8</v>
      </c>
      <c r="AC25" s="968"/>
    </row>
    <row r="26" spans="1:29" ht="15" customHeight="1">
      <c r="A26" s="924" t="s">
        <v>1519</v>
      </c>
      <c r="B26" s="958">
        <v>10524.506865786119</v>
      </c>
      <c r="C26" s="958">
        <v>19990.749157251284</v>
      </c>
      <c r="D26" s="958">
        <v>19826.437441180729</v>
      </c>
      <c r="E26" s="886">
        <v>550</v>
      </c>
      <c r="F26" s="887">
        <v>3</v>
      </c>
      <c r="G26" s="888">
        <v>1394.7334795699871</v>
      </c>
      <c r="H26" s="884">
        <v>431</v>
      </c>
      <c r="I26" s="888">
        <v>425</v>
      </c>
      <c r="J26" s="888">
        <v>560</v>
      </c>
      <c r="K26" s="889">
        <v>0.47559013685264867</v>
      </c>
      <c r="L26" s="1674">
        <v>7.8691244687535133E-2</v>
      </c>
      <c r="M26" s="890">
        <v>1.1344640137963142</v>
      </c>
      <c r="N26" s="890">
        <v>6.2831853071795862</v>
      </c>
      <c r="O26" s="890">
        <v>0.53816453706600187</v>
      </c>
      <c r="P26" s="893">
        <v>1.2272602524152265</v>
      </c>
      <c r="Q26" s="893">
        <v>0.78276149610516377</v>
      </c>
      <c r="R26" s="893">
        <v>0.61197198346482329</v>
      </c>
      <c r="S26" s="958"/>
      <c r="T26" s="891" t="s">
        <v>1519</v>
      </c>
      <c r="U26" s="891"/>
      <c r="V26" s="968"/>
      <c r="W26" s="981" t="s">
        <v>1881</v>
      </c>
      <c r="X26" s="968" t="s">
        <v>2204</v>
      </c>
      <c r="Y26" s="971" t="s">
        <v>2288</v>
      </c>
      <c r="Z26" s="979" t="s">
        <v>1898</v>
      </c>
      <c r="AA26" s="892" t="s">
        <v>1899</v>
      </c>
      <c r="AB26" s="968">
        <v>9</v>
      </c>
      <c r="AC26" s="968"/>
    </row>
    <row r="27" spans="1:29" ht="15" customHeight="1">
      <c r="A27" s="924" t="s">
        <v>1520</v>
      </c>
      <c r="B27" s="958">
        <v>11443.886023648014</v>
      </c>
      <c r="C27" s="958">
        <v>20980.824550225865</v>
      </c>
      <c r="D27" s="958">
        <v>20816.145826560991</v>
      </c>
      <c r="E27" s="886">
        <v>650</v>
      </c>
      <c r="F27" s="887">
        <v>3</v>
      </c>
      <c r="G27" s="888">
        <v>1378.0699319510109</v>
      </c>
      <c r="H27" s="884">
        <v>556</v>
      </c>
      <c r="I27" s="888">
        <v>550</v>
      </c>
      <c r="J27" s="888">
        <v>600</v>
      </c>
      <c r="K27" s="889">
        <v>0.47229850681775887</v>
      </c>
      <c r="L27" s="1674">
        <v>7.7645946149561842E-2</v>
      </c>
      <c r="M27" s="890">
        <v>1.2391837689159739</v>
      </c>
      <c r="N27" s="890">
        <v>6.2831853071795862</v>
      </c>
      <c r="O27" s="890">
        <v>0.53356301628414626</v>
      </c>
      <c r="P27" s="893">
        <v>1.2145267950222829</v>
      </c>
      <c r="Q27" s="893">
        <v>0.77229544031772146</v>
      </c>
      <c r="R27" s="893">
        <v>0.60577449163328934</v>
      </c>
      <c r="S27" s="958"/>
      <c r="T27" s="891" t="s">
        <v>1520</v>
      </c>
      <c r="U27" s="891"/>
      <c r="V27" s="968"/>
      <c r="W27" s="981" t="s">
        <v>1881</v>
      </c>
      <c r="X27" s="968" t="s">
        <v>2205</v>
      </c>
      <c r="Y27" s="971" t="s">
        <v>2289</v>
      </c>
      <c r="Z27" s="979" t="s">
        <v>1900</v>
      </c>
      <c r="AA27" s="892" t="s">
        <v>1901</v>
      </c>
      <c r="AB27" s="968">
        <v>10</v>
      </c>
      <c r="AC27" s="968"/>
    </row>
    <row r="28" spans="1:29" ht="15" customHeight="1">
      <c r="A28" s="924" t="s">
        <v>1521</v>
      </c>
      <c r="B28" s="958">
        <v>13040.542797905789</v>
      </c>
      <c r="C28" s="958">
        <v>23869.250210743849</v>
      </c>
      <c r="D28" s="958">
        <v>23686.511902316604</v>
      </c>
      <c r="E28" s="886">
        <v>550</v>
      </c>
      <c r="F28" s="887">
        <v>4</v>
      </c>
      <c r="G28" s="888">
        <v>1583.3591082925511</v>
      </c>
      <c r="H28" s="884">
        <v>383</v>
      </c>
      <c r="I28" s="888">
        <v>375</v>
      </c>
      <c r="J28" s="888">
        <v>640</v>
      </c>
      <c r="K28" s="889">
        <v>0.53370428748968568</v>
      </c>
      <c r="L28" s="1674">
        <v>8.08927645902279E-2</v>
      </c>
      <c r="M28" s="890">
        <v>1.1344640137963142</v>
      </c>
      <c r="N28" s="890">
        <v>6.2831853071795862</v>
      </c>
      <c r="O28" s="890">
        <v>0.60601696111142855</v>
      </c>
      <c r="P28" s="893">
        <v>1.3873801632378218</v>
      </c>
      <c r="Q28" s="893">
        <v>0.89123168311830936</v>
      </c>
      <c r="R28" s="893">
        <v>0.69212742517424175</v>
      </c>
      <c r="S28" s="958"/>
      <c r="T28" s="891" t="s">
        <v>1521</v>
      </c>
      <c r="U28" s="891"/>
      <c r="V28" s="968"/>
      <c r="W28" s="981" t="s">
        <v>1881</v>
      </c>
      <c r="X28" s="968" t="s">
        <v>2206</v>
      </c>
      <c r="Y28" s="971" t="s">
        <v>2290</v>
      </c>
      <c r="Z28" s="979" t="s">
        <v>1902</v>
      </c>
      <c r="AA28" s="892" t="s">
        <v>1903</v>
      </c>
      <c r="AB28" s="968">
        <v>11</v>
      </c>
      <c r="AC28" s="968"/>
    </row>
    <row r="29" spans="1:29" ht="15" customHeight="1">
      <c r="A29" s="924" t="s">
        <v>1522</v>
      </c>
      <c r="B29" s="958">
        <v>14082.043554169752</v>
      </c>
      <c r="C29" s="958">
        <v>25128.404565747336</v>
      </c>
      <c r="D29" s="958">
        <v>24944.432242131468</v>
      </c>
      <c r="E29" s="886">
        <v>630</v>
      </c>
      <c r="F29" s="887">
        <v>4</v>
      </c>
      <c r="G29" s="888">
        <v>1583.3591082925511</v>
      </c>
      <c r="H29" s="884">
        <v>483</v>
      </c>
      <c r="I29" s="888">
        <v>475</v>
      </c>
      <c r="J29" s="888">
        <v>640</v>
      </c>
      <c r="K29" s="889">
        <v>0.53370428748968568</v>
      </c>
      <c r="L29" s="1674">
        <v>8.08927645902279E-2</v>
      </c>
      <c r="M29" s="890">
        <v>1.1344640137963142</v>
      </c>
      <c r="N29" s="890">
        <v>6.2831853071795862</v>
      </c>
      <c r="O29" s="890">
        <v>0.60601696111142855</v>
      </c>
      <c r="P29" s="893">
        <v>1.3873801632378218</v>
      </c>
      <c r="Q29" s="893">
        <v>0.89123168311830936</v>
      </c>
      <c r="R29" s="893">
        <v>0.69212742517424175</v>
      </c>
      <c r="S29" s="958"/>
      <c r="T29" s="891" t="s">
        <v>1522</v>
      </c>
      <c r="U29" s="891"/>
      <c r="V29" s="968"/>
      <c r="W29" s="981" t="s">
        <v>1881</v>
      </c>
      <c r="X29" s="968" t="s">
        <v>2207</v>
      </c>
      <c r="Y29" s="971" t="s">
        <v>2291</v>
      </c>
      <c r="Z29" s="979" t="s">
        <v>1904</v>
      </c>
      <c r="AA29" s="892" t="s">
        <v>1905</v>
      </c>
      <c r="AB29" s="968">
        <v>12</v>
      </c>
      <c r="AC29" s="968"/>
    </row>
    <row r="30" spans="1:29" ht="15" customHeight="1">
      <c r="A30" s="924" t="s">
        <v>1523</v>
      </c>
      <c r="B30" s="958">
        <v>15196.089273024549</v>
      </c>
      <c r="C30" s="958">
        <v>26390.253473817938</v>
      </c>
      <c r="D30" s="958">
        <v>26207.981150202064</v>
      </c>
      <c r="E30" s="886">
        <v>700</v>
      </c>
      <c r="F30" s="887">
        <v>4</v>
      </c>
      <c r="G30" s="888">
        <v>1583.3591082925511</v>
      </c>
      <c r="H30" s="884">
        <v>608</v>
      </c>
      <c r="I30" s="888">
        <v>600</v>
      </c>
      <c r="J30" s="888">
        <v>640</v>
      </c>
      <c r="K30" s="889">
        <v>0.53370428748968568</v>
      </c>
      <c r="L30" s="1674">
        <v>8.08927645902279E-2</v>
      </c>
      <c r="M30" s="890">
        <v>1.1344640137963142</v>
      </c>
      <c r="N30" s="890">
        <v>6.2831853071795862</v>
      </c>
      <c r="O30" s="890">
        <v>0.60601696111142855</v>
      </c>
      <c r="P30" s="893">
        <v>1.3873801632378218</v>
      </c>
      <c r="Q30" s="893">
        <v>0.89123168311830936</v>
      </c>
      <c r="R30" s="893">
        <v>0.69212742517424175</v>
      </c>
      <c r="S30" s="958"/>
      <c r="T30" s="891" t="s">
        <v>1523</v>
      </c>
      <c r="U30" s="891"/>
      <c r="V30" s="968"/>
      <c r="W30" s="981" t="s">
        <v>1881</v>
      </c>
      <c r="X30" s="968" t="s">
        <v>2208</v>
      </c>
      <c r="Y30" s="971" t="s">
        <v>2292</v>
      </c>
      <c r="Z30" s="979" t="s">
        <v>1906</v>
      </c>
      <c r="AA30" s="892" t="s">
        <v>1907</v>
      </c>
      <c r="AB30" s="968">
        <v>13</v>
      </c>
      <c r="AC30" s="968"/>
    </row>
    <row r="31" spans="1:29" ht="15" customHeight="1">
      <c r="A31" s="924" t="s">
        <v>1681</v>
      </c>
      <c r="B31" s="958">
        <v>15876.138686575054</v>
      </c>
      <c r="C31" s="958">
        <v>27117.058615384583</v>
      </c>
      <c r="D31" s="958">
        <v>26934.91928417439</v>
      </c>
      <c r="E31" s="886">
        <v>750</v>
      </c>
      <c r="F31" s="887">
        <v>4</v>
      </c>
      <c r="G31" s="888">
        <v>1577.609886179685</v>
      </c>
      <c r="H31" s="884">
        <v>658</v>
      </c>
      <c r="I31" s="888">
        <v>650</v>
      </c>
      <c r="J31" s="888">
        <v>675</v>
      </c>
      <c r="K31" s="889">
        <v>0.53035558818297979</v>
      </c>
      <c r="L31" s="1674">
        <v>8.1429878325055674E-2</v>
      </c>
      <c r="M31" s="890">
        <v>1.2042771838760873</v>
      </c>
      <c r="N31" s="890">
        <v>6.2831853071795862</v>
      </c>
      <c r="O31" s="890">
        <v>0.60272284032457668</v>
      </c>
      <c r="P31" s="893">
        <v>1.3811512003665851</v>
      </c>
      <c r="Q31" s="893">
        <v>0.88864525048400056</v>
      </c>
      <c r="R31" s="893">
        <v>0.68896463569568445</v>
      </c>
      <c r="S31" s="958"/>
      <c r="T31" s="891" t="s">
        <v>1681</v>
      </c>
      <c r="U31" s="891"/>
      <c r="V31" s="968"/>
      <c r="W31" s="981" t="s">
        <v>1881</v>
      </c>
      <c r="X31" s="968" t="s">
        <v>2209</v>
      </c>
      <c r="Y31" s="971" t="s">
        <v>2293</v>
      </c>
      <c r="Z31" s="979" t="s">
        <v>1908</v>
      </c>
      <c r="AA31" s="892" t="s">
        <v>1909</v>
      </c>
      <c r="AB31" s="968">
        <v>14</v>
      </c>
      <c r="AC31" s="968"/>
    </row>
    <row r="32" spans="1:29" ht="15" customHeight="1">
      <c r="A32" s="924" t="s">
        <v>1524</v>
      </c>
      <c r="B32" s="958">
        <v>13516.919014350282</v>
      </c>
      <c r="C32" s="958">
        <v>25345.281908913257</v>
      </c>
      <c r="D32" s="958">
        <v>25149.488106855442</v>
      </c>
      <c r="E32" s="886">
        <v>450</v>
      </c>
      <c r="F32" s="887">
        <v>4</v>
      </c>
      <c r="G32" s="888">
        <v>1708.5605948173679</v>
      </c>
      <c r="H32" s="884">
        <v>233</v>
      </c>
      <c r="I32" s="888">
        <v>225</v>
      </c>
      <c r="J32" s="888">
        <v>675</v>
      </c>
      <c r="K32" s="889">
        <v>0.58369949327438242</v>
      </c>
      <c r="L32" s="1674">
        <v>7.8229662280906706E-2</v>
      </c>
      <c r="M32" s="890">
        <v>1.1170107212763709</v>
      </c>
      <c r="N32" s="890">
        <v>6.2831853071795862</v>
      </c>
      <c r="O32" s="890">
        <v>0.6600193483283654</v>
      </c>
      <c r="P32" s="893">
        <v>1.5039200896023501</v>
      </c>
      <c r="Q32" s="893">
        <v>0.95824242050464237</v>
      </c>
      <c r="R32" s="893">
        <v>0.75031817431272552</v>
      </c>
      <c r="S32" s="958"/>
      <c r="T32" s="891" t="s">
        <v>1524</v>
      </c>
      <c r="U32" s="891"/>
      <c r="V32" s="968"/>
      <c r="W32" s="981" t="s">
        <v>1881</v>
      </c>
      <c r="X32" s="968" t="s">
        <v>2210</v>
      </c>
      <c r="Y32" s="971" t="s">
        <v>2688</v>
      </c>
      <c r="Z32" s="979" t="s">
        <v>1910</v>
      </c>
      <c r="AA32" s="892" t="s">
        <v>1911</v>
      </c>
      <c r="AB32" s="968">
        <v>15</v>
      </c>
      <c r="AC32" s="968"/>
    </row>
    <row r="33" spans="1:29" ht="15" customHeight="1">
      <c r="A33" s="924" t="s">
        <v>1682</v>
      </c>
      <c r="B33" s="958">
        <v>13911.422674725758</v>
      </c>
      <c r="C33" s="958">
        <v>25809.420174279239</v>
      </c>
      <c r="D33" s="958">
        <v>25612.59235703279</v>
      </c>
      <c r="E33" s="886">
        <v>450</v>
      </c>
      <c r="F33" s="887">
        <v>4</v>
      </c>
      <c r="G33" s="888">
        <v>1716.6023158338012</v>
      </c>
      <c r="H33" s="884">
        <v>258</v>
      </c>
      <c r="I33" s="888">
        <v>250</v>
      </c>
      <c r="J33" s="888">
        <v>640</v>
      </c>
      <c r="K33" s="889">
        <v>0.58701458969142617</v>
      </c>
      <c r="L33" s="1674">
        <v>7.8036833918613019E-2</v>
      </c>
      <c r="M33" s="890">
        <v>1.0471975511965976</v>
      </c>
      <c r="N33" s="890">
        <v>6.2831853071795862</v>
      </c>
      <c r="O33" s="890">
        <v>0.663566879188351</v>
      </c>
      <c r="P33" s="893">
        <v>1.5114896762204266</v>
      </c>
      <c r="Q33" s="893">
        <v>0.96249999999999991</v>
      </c>
      <c r="R33" s="893">
        <v>0.75410231583380138</v>
      </c>
      <c r="S33" s="958"/>
      <c r="T33" s="891" t="s">
        <v>1682</v>
      </c>
      <c r="U33" s="891"/>
      <c r="V33" s="968"/>
      <c r="W33" s="981" t="s">
        <v>1881</v>
      </c>
      <c r="X33" s="968" t="s">
        <v>2211</v>
      </c>
      <c r="Y33" s="971" t="s">
        <v>2294</v>
      </c>
      <c r="Z33" s="979" t="s">
        <v>1912</v>
      </c>
      <c r="AA33" s="892" t="s">
        <v>1913</v>
      </c>
      <c r="AB33" s="968">
        <v>16</v>
      </c>
      <c r="AC33" s="968"/>
    </row>
    <row r="34" spans="1:29" ht="15" customHeight="1">
      <c r="A34" s="924" t="s">
        <v>1525</v>
      </c>
      <c r="B34" s="958">
        <v>14842.191097227093</v>
      </c>
      <c r="C34" s="958">
        <v>27145.645391183356</v>
      </c>
      <c r="D34" s="958">
        <v>26951.017573936908</v>
      </c>
      <c r="E34" s="886">
        <v>500</v>
      </c>
      <c r="F34" s="887">
        <v>4</v>
      </c>
      <c r="G34" s="888">
        <v>1648.9827157619686</v>
      </c>
      <c r="H34" s="884">
        <v>308</v>
      </c>
      <c r="I34" s="888">
        <v>300</v>
      </c>
      <c r="J34" s="888">
        <v>640</v>
      </c>
      <c r="K34" s="889">
        <v>0.58896817664997314</v>
      </c>
      <c r="L34" s="1674">
        <v>6.9105323644975528E-2</v>
      </c>
      <c r="M34" s="890">
        <v>1.1344640137963142</v>
      </c>
      <c r="N34" s="890">
        <v>6.2831853071795862</v>
      </c>
      <c r="O34" s="890">
        <v>0.65649989990728685</v>
      </c>
      <c r="P34" s="893">
        <v>1.4721808764219741</v>
      </c>
      <c r="Q34" s="893">
        <v>0.91320783272882555</v>
      </c>
      <c r="R34" s="893">
        <v>0.73577488303314298</v>
      </c>
      <c r="S34" s="958"/>
      <c r="T34" s="891" t="s">
        <v>1525</v>
      </c>
      <c r="U34" s="891"/>
      <c r="V34" s="968"/>
      <c r="W34" s="981" t="s">
        <v>1881</v>
      </c>
      <c r="X34" s="968" t="s">
        <v>2212</v>
      </c>
      <c r="Y34" s="971" t="s">
        <v>2295</v>
      </c>
      <c r="Z34" s="979" t="s">
        <v>1914</v>
      </c>
      <c r="AA34" s="892" t="s">
        <v>1915</v>
      </c>
      <c r="AB34" s="968">
        <v>17</v>
      </c>
      <c r="AC34" s="968"/>
    </row>
    <row r="35" spans="1:29" ht="15" customHeight="1">
      <c r="A35" s="1396" t="s">
        <v>1683</v>
      </c>
      <c r="B35" s="958">
        <v>14088.381194930384</v>
      </c>
      <c r="C35" s="958">
        <v>26025.358971094225</v>
      </c>
      <c r="D35" s="958">
        <v>25831.364146253458</v>
      </c>
      <c r="E35" s="886">
        <v>500</v>
      </c>
      <c r="F35" s="887">
        <v>4</v>
      </c>
      <c r="G35" s="888">
        <v>1727.4418570043676</v>
      </c>
      <c r="H35" s="884">
        <v>283</v>
      </c>
      <c r="I35" s="888">
        <v>275</v>
      </c>
      <c r="J35" s="888">
        <v>700</v>
      </c>
      <c r="K35" s="889">
        <v>0.5807331226326925</v>
      </c>
      <c r="L35" s="1674">
        <v>8.1517213899375704E-2</v>
      </c>
      <c r="M35" s="890">
        <v>1.1344640137963142</v>
      </c>
      <c r="N35" s="890">
        <v>6.2831853071795862</v>
      </c>
      <c r="O35" s="890">
        <v>0.6600649571237871</v>
      </c>
      <c r="P35" s="893">
        <v>1.5127857160522438</v>
      </c>
      <c r="Q35" s="893">
        <v>0.97320783272882538</v>
      </c>
      <c r="R35" s="893">
        <v>0.75423402427554231</v>
      </c>
      <c r="S35" s="958"/>
      <c r="T35" s="891" t="s">
        <v>1683</v>
      </c>
      <c r="U35" s="891"/>
      <c r="V35" s="968"/>
      <c r="W35" s="981" t="s">
        <v>1881</v>
      </c>
      <c r="X35" s="968" t="s">
        <v>1565</v>
      </c>
      <c r="Y35" s="971" t="s">
        <v>2295</v>
      </c>
      <c r="Z35" s="979" t="s">
        <v>1914</v>
      </c>
      <c r="AA35" s="892"/>
      <c r="AB35" s="968">
        <v>17</v>
      </c>
      <c r="AC35" s="968"/>
    </row>
    <row r="36" spans="1:29" ht="15" customHeight="1">
      <c r="A36" s="924" t="s">
        <v>1526</v>
      </c>
      <c r="B36" s="958">
        <v>14721.240396916357</v>
      </c>
      <c r="C36" s="958">
        <v>26734.824332268912</v>
      </c>
      <c r="D36" s="958">
        <v>26541.362499833831</v>
      </c>
      <c r="E36" s="886">
        <v>550</v>
      </c>
      <c r="F36" s="887">
        <v>4</v>
      </c>
      <c r="G36" s="888">
        <v>1727.4418570043676</v>
      </c>
      <c r="H36" s="884">
        <v>358</v>
      </c>
      <c r="I36" s="888">
        <v>350</v>
      </c>
      <c r="J36" s="888">
        <v>700</v>
      </c>
      <c r="K36" s="889">
        <v>0.5807331226326925</v>
      </c>
      <c r="L36" s="1674">
        <v>8.1517213899375718E-2</v>
      </c>
      <c r="M36" s="890">
        <v>1.1344640137963142</v>
      </c>
      <c r="N36" s="890">
        <v>6.2831853071795862</v>
      </c>
      <c r="O36" s="890">
        <v>0.6600649571237871</v>
      </c>
      <c r="P36" s="893">
        <v>1.512785716052244</v>
      </c>
      <c r="Q36" s="893">
        <v>0.97320783272882538</v>
      </c>
      <c r="R36" s="893">
        <v>0.75423402427554231</v>
      </c>
      <c r="S36" s="958"/>
      <c r="T36" s="891" t="s">
        <v>1526</v>
      </c>
      <c r="U36" s="891"/>
      <c r="V36" s="968"/>
      <c r="W36" s="981" t="s">
        <v>1881</v>
      </c>
      <c r="X36" s="968" t="s">
        <v>2213</v>
      </c>
      <c r="Y36" s="971" t="s">
        <v>2296</v>
      </c>
      <c r="Z36" s="979" t="s">
        <v>1916</v>
      </c>
      <c r="AA36" s="892" t="s">
        <v>1917</v>
      </c>
      <c r="AB36" s="968">
        <v>19</v>
      </c>
      <c r="AC36" s="968"/>
    </row>
    <row r="37" spans="1:29" ht="15" customHeight="1">
      <c r="A37" s="924" t="s">
        <v>1527</v>
      </c>
      <c r="B37" s="958">
        <v>15285.809818963502</v>
      </c>
      <c r="C37" s="958">
        <v>27385.638752780102</v>
      </c>
      <c r="D37" s="958">
        <v>27192.809912750701</v>
      </c>
      <c r="E37" s="886">
        <v>600</v>
      </c>
      <c r="F37" s="887">
        <v>4</v>
      </c>
      <c r="G37" s="888">
        <v>1727.4418570043676</v>
      </c>
      <c r="H37" s="884">
        <v>408</v>
      </c>
      <c r="I37" s="888">
        <v>400</v>
      </c>
      <c r="J37" s="888">
        <v>700</v>
      </c>
      <c r="K37" s="889">
        <v>0.5807331226326925</v>
      </c>
      <c r="L37" s="1674">
        <v>8.1517213899375718E-2</v>
      </c>
      <c r="M37" s="890">
        <v>1.1344640137963142</v>
      </c>
      <c r="N37" s="890">
        <v>6.2831853071795862</v>
      </c>
      <c r="O37" s="890">
        <v>0.6600649571237871</v>
      </c>
      <c r="P37" s="893">
        <v>1.512785716052244</v>
      </c>
      <c r="Q37" s="893">
        <v>0.97320783272882538</v>
      </c>
      <c r="R37" s="893">
        <v>0.75423402427554231</v>
      </c>
      <c r="S37" s="958"/>
      <c r="T37" s="891" t="s">
        <v>1527</v>
      </c>
      <c r="U37" s="891"/>
      <c r="V37" s="968"/>
      <c r="W37" s="981" t="s">
        <v>1881</v>
      </c>
      <c r="X37" s="968" t="s">
        <v>2214</v>
      </c>
      <c r="Y37" s="971" t="s">
        <v>2297</v>
      </c>
      <c r="Z37" s="979" t="s">
        <v>1918</v>
      </c>
      <c r="AA37" s="892" t="s">
        <v>1919</v>
      </c>
      <c r="AB37" s="968">
        <v>20</v>
      </c>
      <c r="AC37" s="968"/>
    </row>
    <row r="38" spans="1:29" ht="15" customHeight="1">
      <c r="A38" s="924" t="s">
        <v>1528</v>
      </c>
      <c r="B38" s="958">
        <v>16737.751065266319</v>
      </c>
      <c r="C38" s="958">
        <v>29036.603243611091</v>
      </c>
      <c r="D38" s="958">
        <v>28845.874403581693</v>
      </c>
      <c r="E38" s="886">
        <v>700</v>
      </c>
      <c r="F38" s="887">
        <v>4</v>
      </c>
      <c r="G38" s="888">
        <v>1727.4418570043676</v>
      </c>
      <c r="H38" s="884">
        <v>558</v>
      </c>
      <c r="I38" s="888">
        <v>550</v>
      </c>
      <c r="J38" s="888">
        <v>700</v>
      </c>
      <c r="K38" s="889">
        <v>0.5807331226326925</v>
      </c>
      <c r="L38" s="1674">
        <v>8.1517213899375718E-2</v>
      </c>
      <c r="M38" s="890">
        <v>1.1344640137963142</v>
      </c>
      <c r="N38" s="890">
        <v>6.2831853071795862</v>
      </c>
      <c r="O38" s="890">
        <v>0.6600649571237871</v>
      </c>
      <c r="P38" s="893">
        <v>1.512785716052244</v>
      </c>
      <c r="Q38" s="893">
        <v>0.97320783272882538</v>
      </c>
      <c r="R38" s="893">
        <v>0.75423402427554231</v>
      </c>
      <c r="S38" s="958"/>
      <c r="T38" s="891" t="s">
        <v>1528</v>
      </c>
      <c r="U38" s="891"/>
      <c r="V38" s="968"/>
      <c r="W38" s="981" t="s">
        <v>1881</v>
      </c>
      <c r="X38" s="968" t="s">
        <v>2215</v>
      </c>
      <c r="Y38" s="971" t="s">
        <v>2298</v>
      </c>
      <c r="Z38" s="979" t="s">
        <v>1920</v>
      </c>
      <c r="AA38" s="892" t="s">
        <v>1921</v>
      </c>
      <c r="AB38" s="968">
        <v>21</v>
      </c>
      <c r="AC38" s="968"/>
    </row>
    <row r="39" spans="1:29" ht="15" customHeight="1">
      <c r="A39" s="924" t="s">
        <v>1529</v>
      </c>
      <c r="B39" s="958">
        <v>15671.18128174338</v>
      </c>
      <c r="C39" s="958">
        <v>27821.111343600547</v>
      </c>
      <c r="D39" s="958">
        <v>27630.915495976831</v>
      </c>
      <c r="E39" s="886">
        <v>630</v>
      </c>
      <c r="F39" s="887">
        <v>4</v>
      </c>
      <c r="G39" s="888">
        <v>1727.4418570043676</v>
      </c>
      <c r="H39" s="884">
        <v>458</v>
      </c>
      <c r="I39" s="888">
        <v>450</v>
      </c>
      <c r="J39" s="888">
        <v>700</v>
      </c>
      <c r="K39" s="889">
        <v>0.5807331226326925</v>
      </c>
      <c r="L39" s="1674">
        <v>8.1517213899375718E-2</v>
      </c>
      <c r="M39" s="890">
        <v>1.1344640137963142</v>
      </c>
      <c r="N39" s="890">
        <v>6.2831853071795862</v>
      </c>
      <c r="O39" s="890">
        <v>0.6600649571237871</v>
      </c>
      <c r="P39" s="893">
        <v>1.512785716052244</v>
      </c>
      <c r="Q39" s="893">
        <v>0.97320783272882538</v>
      </c>
      <c r="R39" s="893">
        <v>0.75423402427554231</v>
      </c>
      <c r="S39" s="958"/>
      <c r="T39" s="891" t="s">
        <v>1529</v>
      </c>
      <c r="U39" s="891"/>
      <c r="V39" s="968"/>
      <c r="W39" s="981" t="s">
        <v>1881</v>
      </c>
      <c r="X39" s="968" t="s">
        <v>2216</v>
      </c>
      <c r="Y39" s="971" t="s">
        <v>2299</v>
      </c>
      <c r="Z39" s="979" t="s">
        <v>1922</v>
      </c>
      <c r="AA39" s="892" t="s">
        <v>1923</v>
      </c>
      <c r="AB39" s="968">
        <v>22</v>
      </c>
      <c r="AC39" s="968"/>
    </row>
    <row r="40" spans="1:29" ht="15" customHeight="1">
      <c r="A40" s="924" t="s">
        <v>1530</v>
      </c>
      <c r="B40" s="958">
        <v>18114.126630523071</v>
      </c>
      <c r="C40" s="958">
        <v>30497.185867783228</v>
      </c>
      <c r="D40" s="958">
        <v>30309.090020159514</v>
      </c>
      <c r="E40" s="886">
        <v>800</v>
      </c>
      <c r="F40" s="887">
        <v>4</v>
      </c>
      <c r="G40" s="888">
        <v>1718.2307484596104</v>
      </c>
      <c r="H40" s="884">
        <v>708</v>
      </c>
      <c r="I40" s="888">
        <v>700</v>
      </c>
      <c r="J40" s="888">
        <v>725</v>
      </c>
      <c r="K40" s="889">
        <v>0.57846297742968722</v>
      </c>
      <c r="L40" s="1674">
        <v>8.1221071817862089E-2</v>
      </c>
      <c r="M40" s="890">
        <v>1.1868238913561442</v>
      </c>
      <c r="N40" s="890">
        <v>6.2831853071795862</v>
      </c>
      <c r="O40" s="890">
        <v>0.65717891878423729</v>
      </c>
      <c r="P40" s="893">
        <v>1.5053817804684542</v>
      </c>
      <c r="Q40" s="893">
        <v>0.96762440000593608</v>
      </c>
      <c r="R40" s="893">
        <v>0.75060634845367435</v>
      </c>
      <c r="S40" s="958"/>
      <c r="T40" s="891" t="s">
        <v>1530</v>
      </c>
      <c r="U40" s="891"/>
      <c r="V40" s="968"/>
      <c r="W40" s="981" t="s">
        <v>1881</v>
      </c>
      <c r="X40" s="968" t="s">
        <v>2217</v>
      </c>
      <c r="Y40" s="971" t="s">
        <v>2300</v>
      </c>
      <c r="Z40" s="979" t="s">
        <v>1924</v>
      </c>
      <c r="AA40" s="892" t="s">
        <v>1925</v>
      </c>
      <c r="AB40" s="968">
        <v>23</v>
      </c>
      <c r="AC40" s="968"/>
    </row>
    <row r="41" spans="1:29" ht="15" customHeight="1">
      <c r="A41" s="924" t="s">
        <v>1531</v>
      </c>
      <c r="B41" s="958">
        <v>17165.422114328867</v>
      </c>
      <c r="C41" s="958">
        <v>30835.930788752914</v>
      </c>
      <c r="D41" s="958">
        <v>30621.597098160069</v>
      </c>
      <c r="E41" s="886">
        <v>450</v>
      </c>
      <c r="F41" s="887">
        <v>4</v>
      </c>
      <c r="G41" s="888">
        <v>1956.567594135382</v>
      </c>
      <c r="H41" s="884">
        <v>258</v>
      </c>
      <c r="I41" s="888">
        <v>250</v>
      </c>
      <c r="J41" s="888">
        <v>640</v>
      </c>
      <c r="K41" s="889">
        <v>0.68023218695864096</v>
      </c>
      <c r="L41" s="1674">
        <v>7.4778547482224178E-2</v>
      </c>
      <c r="M41" s="890">
        <v>0.90757121103705141</v>
      </c>
      <c r="N41" s="890">
        <v>6.2831853071795862</v>
      </c>
      <c r="O41" s="890">
        <v>0.76501547241935841</v>
      </c>
      <c r="P41" s="893">
        <v>1.7326164551987793</v>
      </c>
      <c r="Q41" s="893">
        <v>1.0922015540370793</v>
      </c>
      <c r="R41" s="893">
        <v>0.86436604009830265</v>
      </c>
      <c r="S41" s="958"/>
      <c r="T41" s="891" t="s">
        <v>1531</v>
      </c>
      <c r="U41" s="891"/>
      <c r="V41" s="968"/>
      <c r="W41" s="981" t="s">
        <v>1881</v>
      </c>
      <c r="X41" s="968" t="s">
        <v>2218</v>
      </c>
      <c r="Y41" s="971" t="s">
        <v>2301</v>
      </c>
      <c r="Z41" s="979" t="s">
        <v>1926</v>
      </c>
      <c r="AA41" s="892" t="s">
        <v>1927</v>
      </c>
      <c r="AB41" s="968">
        <v>24</v>
      </c>
      <c r="AC41" s="968"/>
    </row>
    <row r="42" spans="1:29" ht="15" customHeight="1">
      <c r="A42" s="924" t="s">
        <v>1532</v>
      </c>
      <c r="B42" s="958">
        <v>18201.706581836464</v>
      </c>
      <c r="C42" s="958">
        <v>31989.330141146209</v>
      </c>
      <c r="D42" s="958">
        <v>31774.96243536473</v>
      </c>
      <c r="E42" s="886">
        <v>550</v>
      </c>
      <c r="F42" s="887">
        <v>4</v>
      </c>
      <c r="G42" s="888">
        <v>1956.162808780871</v>
      </c>
      <c r="H42" s="884">
        <v>308</v>
      </c>
      <c r="I42" s="888">
        <v>300</v>
      </c>
      <c r="J42" s="888">
        <v>775</v>
      </c>
      <c r="K42" s="889">
        <v>0.66661372692324616</v>
      </c>
      <c r="L42" s="1674">
        <v>7.8862528723356223E-2</v>
      </c>
      <c r="M42" s="890">
        <v>1.1170107212763709</v>
      </c>
      <c r="N42" s="890">
        <v>6.2831853071795862</v>
      </c>
      <c r="O42" s="890">
        <v>0.75452448417745455</v>
      </c>
      <c r="P42" s="893">
        <v>1.7211794949642016</v>
      </c>
      <c r="Q42" s="893">
        <v>1.0981341948624486</v>
      </c>
      <c r="R42" s="893">
        <v>0.85802861391842256</v>
      </c>
      <c r="S42" s="958"/>
      <c r="T42" s="891" t="s">
        <v>1532</v>
      </c>
      <c r="U42" s="891"/>
      <c r="V42" s="968"/>
      <c r="W42" s="981" t="s">
        <v>1881</v>
      </c>
      <c r="X42" s="968" t="s">
        <v>2219</v>
      </c>
      <c r="Y42" s="971" t="s">
        <v>2302</v>
      </c>
      <c r="Z42" s="979" t="s">
        <v>1928</v>
      </c>
      <c r="AA42" s="892" t="s">
        <v>1929</v>
      </c>
      <c r="AB42" s="968">
        <v>25</v>
      </c>
      <c r="AC42" s="968"/>
    </row>
    <row r="43" spans="1:29" ht="15" customHeight="1">
      <c r="A43" s="924" t="s">
        <v>1533</v>
      </c>
      <c r="B43" s="958">
        <v>18816.269654566782</v>
      </c>
      <c r="C43" s="958">
        <v>32681.495636209122</v>
      </c>
      <c r="D43" s="958">
        <v>32470.027930427645</v>
      </c>
      <c r="E43" s="886">
        <v>600</v>
      </c>
      <c r="F43" s="887">
        <v>4</v>
      </c>
      <c r="G43" s="888">
        <v>1956.162808780871</v>
      </c>
      <c r="H43" s="884">
        <v>383</v>
      </c>
      <c r="I43" s="888">
        <v>375</v>
      </c>
      <c r="J43" s="888">
        <v>775</v>
      </c>
      <c r="K43" s="889">
        <v>0.66661372692324616</v>
      </c>
      <c r="L43" s="1674">
        <v>7.8862528723356223E-2</v>
      </c>
      <c r="M43" s="890">
        <v>1.1170107212763709</v>
      </c>
      <c r="N43" s="890">
        <v>6.2831853071795862</v>
      </c>
      <c r="O43" s="890">
        <v>0.75452448417745455</v>
      </c>
      <c r="P43" s="893">
        <v>1.7211794949642016</v>
      </c>
      <c r="Q43" s="893">
        <v>1.0981341948624486</v>
      </c>
      <c r="R43" s="893">
        <v>0.85802861391842256</v>
      </c>
      <c r="S43" s="958"/>
      <c r="T43" s="891" t="s">
        <v>1533</v>
      </c>
      <c r="U43" s="891"/>
      <c r="V43" s="968"/>
      <c r="W43" s="981" t="s">
        <v>1881</v>
      </c>
      <c r="X43" s="968" t="s">
        <v>2220</v>
      </c>
      <c r="Y43" s="971" t="s">
        <v>2303</v>
      </c>
      <c r="Z43" s="979" t="s">
        <v>1930</v>
      </c>
      <c r="AA43" s="892" t="s">
        <v>1931</v>
      </c>
      <c r="AB43" s="968">
        <v>26</v>
      </c>
      <c r="AC43" s="968"/>
    </row>
    <row r="44" spans="1:29" ht="15" customHeight="1">
      <c r="A44" s="924" t="s">
        <v>1534</v>
      </c>
      <c r="B44" s="958">
        <v>19785.70671206612</v>
      </c>
      <c r="C44" s="958">
        <v>33770.791611130357</v>
      </c>
      <c r="D44" s="958">
        <v>33560.75689775456</v>
      </c>
      <c r="E44" s="886">
        <v>650</v>
      </c>
      <c r="F44" s="887">
        <v>4</v>
      </c>
      <c r="G44" s="888">
        <v>1956.162808780871</v>
      </c>
      <c r="H44" s="884">
        <v>433</v>
      </c>
      <c r="I44" s="888">
        <v>425</v>
      </c>
      <c r="J44" s="888">
        <v>775</v>
      </c>
      <c r="K44" s="889">
        <v>0.66661372692324616</v>
      </c>
      <c r="L44" s="1674">
        <v>7.8862528723356223E-2</v>
      </c>
      <c r="M44" s="890">
        <v>1.1170107212763709</v>
      </c>
      <c r="N44" s="890">
        <v>6.2831853071795862</v>
      </c>
      <c r="O44" s="890">
        <v>0.75452448417745455</v>
      </c>
      <c r="P44" s="893">
        <v>1.7211794949642016</v>
      </c>
      <c r="Q44" s="893">
        <v>1.0981341948624486</v>
      </c>
      <c r="R44" s="893">
        <v>0.85802861391842256</v>
      </c>
      <c r="S44" s="958"/>
      <c r="T44" s="891" t="s">
        <v>1534</v>
      </c>
      <c r="U44" s="891"/>
      <c r="V44" s="968"/>
      <c r="W44" s="981" t="s">
        <v>1881</v>
      </c>
      <c r="X44" s="968" t="s">
        <v>2221</v>
      </c>
      <c r="Y44" s="971" t="s">
        <v>2304</v>
      </c>
      <c r="Z44" s="979" t="s">
        <v>1932</v>
      </c>
      <c r="AA44" s="892" t="s">
        <v>1933</v>
      </c>
      <c r="AB44" s="968">
        <v>27</v>
      </c>
      <c r="AC44" s="968"/>
    </row>
    <row r="45" spans="1:29" ht="15" customHeight="1">
      <c r="A45" s="924" t="s">
        <v>1535</v>
      </c>
      <c r="B45" s="958">
        <v>22011.307112721519</v>
      </c>
      <c r="C45" s="958">
        <v>36366.5124442011</v>
      </c>
      <c r="D45" s="958">
        <v>36159.277730825306</v>
      </c>
      <c r="E45" s="886">
        <v>800</v>
      </c>
      <c r="F45" s="887">
        <v>4</v>
      </c>
      <c r="G45" s="888">
        <v>1956.1628087808708</v>
      </c>
      <c r="H45" s="884">
        <v>658</v>
      </c>
      <c r="I45" s="888">
        <v>650</v>
      </c>
      <c r="J45" s="888">
        <v>775</v>
      </c>
      <c r="K45" s="889">
        <v>0.66661372692324616</v>
      </c>
      <c r="L45" s="1674">
        <v>7.8862528723356209E-2</v>
      </c>
      <c r="M45" s="890">
        <v>1.1170107212763709</v>
      </c>
      <c r="N45" s="890">
        <v>6.2831853071795862</v>
      </c>
      <c r="O45" s="890">
        <v>0.75452448417745455</v>
      </c>
      <c r="P45" s="893">
        <v>1.7211794949642016</v>
      </c>
      <c r="Q45" s="893">
        <v>1.0981341948624483</v>
      </c>
      <c r="R45" s="893">
        <v>0.85802861391842256</v>
      </c>
      <c r="S45" s="958"/>
      <c r="T45" s="891" t="s">
        <v>1535</v>
      </c>
      <c r="U45" s="891"/>
      <c r="V45" s="968"/>
      <c r="W45" s="981" t="s">
        <v>1881</v>
      </c>
      <c r="X45" s="968" t="s">
        <v>2222</v>
      </c>
      <c r="Y45" s="971" t="s">
        <v>2305</v>
      </c>
      <c r="Z45" s="979" t="s">
        <v>1934</v>
      </c>
      <c r="AA45" s="892" t="s">
        <v>1935</v>
      </c>
      <c r="AB45" s="968">
        <v>28</v>
      </c>
      <c r="AC45" s="968"/>
    </row>
    <row r="46" spans="1:29" ht="15" customHeight="1">
      <c r="A46" s="924" t="s">
        <v>1684</v>
      </c>
      <c r="B46" s="958">
        <v>22053.286236287546</v>
      </c>
      <c r="C46" s="958">
        <v>36339.92560414625</v>
      </c>
      <c r="D46" s="958">
        <v>36132.35687558182</v>
      </c>
      <c r="E46" s="886">
        <v>800</v>
      </c>
      <c r="F46" s="887">
        <v>4</v>
      </c>
      <c r="G46" s="888">
        <v>1956.162808780871</v>
      </c>
      <c r="H46" s="884">
        <v>658</v>
      </c>
      <c r="I46" s="888">
        <v>650</v>
      </c>
      <c r="J46" s="888">
        <v>775</v>
      </c>
      <c r="K46" s="889">
        <v>0.66661372692324616</v>
      </c>
      <c r="L46" s="1674">
        <v>7.8862528723356223E-2</v>
      </c>
      <c r="M46" s="890">
        <v>1.1170107212763709</v>
      </c>
      <c r="N46" s="890">
        <v>6.2831853071795862</v>
      </c>
      <c r="O46" s="890">
        <v>0.75452448417745455</v>
      </c>
      <c r="P46" s="893">
        <v>1.7211794949642016</v>
      </c>
      <c r="Q46" s="893">
        <v>1.0981341948624486</v>
      </c>
      <c r="R46" s="893">
        <v>0.85802861391842256</v>
      </c>
      <c r="S46" s="958"/>
      <c r="T46" s="891" t="s">
        <v>1684</v>
      </c>
      <c r="U46" s="891"/>
      <c r="V46" s="968"/>
      <c r="W46" s="981" t="s">
        <v>1881</v>
      </c>
      <c r="X46" s="968" t="s">
        <v>2222</v>
      </c>
      <c r="Y46" s="971" t="s">
        <v>2305</v>
      </c>
      <c r="Z46" s="979" t="s">
        <v>1936</v>
      </c>
      <c r="AA46" s="892" t="s">
        <v>1937</v>
      </c>
      <c r="AB46" s="968">
        <v>29</v>
      </c>
      <c r="AC46" s="968"/>
    </row>
    <row r="47" spans="1:29" ht="15" customHeight="1">
      <c r="A47" s="924" t="s">
        <v>1536</v>
      </c>
      <c r="B47" s="958">
        <v>23896.67253691969</v>
      </c>
      <c r="C47" s="958">
        <v>38307.752956384247</v>
      </c>
      <c r="D47" s="958">
        <v>38102.984227819812</v>
      </c>
      <c r="E47" s="886">
        <v>850</v>
      </c>
      <c r="F47" s="887">
        <v>4</v>
      </c>
      <c r="G47" s="888">
        <v>1956.1628087808708</v>
      </c>
      <c r="H47" s="884">
        <v>733</v>
      </c>
      <c r="I47" s="888">
        <v>725</v>
      </c>
      <c r="J47" s="888">
        <v>775</v>
      </c>
      <c r="K47" s="889">
        <v>0.66661372692324616</v>
      </c>
      <c r="L47" s="1674">
        <v>7.8862528723356209E-2</v>
      </c>
      <c r="M47" s="890">
        <v>1.1170107212763709</v>
      </c>
      <c r="N47" s="890">
        <v>6.2831853071795862</v>
      </c>
      <c r="O47" s="890">
        <v>0.75452448417745455</v>
      </c>
      <c r="P47" s="893">
        <v>1.7211794949642016</v>
      </c>
      <c r="Q47" s="893">
        <v>1.0981341948624483</v>
      </c>
      <c r="R47" s="893">
        <v>0.85802861391842256</v>
      </c>
      <c r="S47" s="958"/>
      <c r="T47" s="891" t="s">
        <v>1536</v>
      </c>
      <c r="U47" s="891"/>
      <c r="V47" s="968"/>
      <c r="W47" s="981" t="s">
        <v>1881</v>
      </c>
      <c r="X47" s="968" t="s">
        <v>2223</v>
      </c>
      <c r="Y47" s="971" t="s">
        <v>2306</v>
      </c>
      <c r="Z47" s="979" t="s">
        <v>1938</v>
      </c>
      <c r="AA47" s="892" t="s">
        <v>1939</v>
      </c>
      <c r="AB47" s="968">
        <v>30</v>
      </c>
      <c r="AC47" s="968"/>
    </row>
    <row r="48" spans="1:29" ht="15" customHeight="1">
      <c r="A48" s="924" t="s">
        <v>1537</v>
      </c>
      <c r="B48" s="958">
        <v>20765.947283989346</v>
      </c>
      <c r="C48" s="958">
        <v>36079.313302169452</v>
      </c>
      <c r="D48" s="958">
        <v>35856.346882522223</v>
      </c>
      <c r="E48" s="886">
        <v>600</v>
      </c>
      <c r="F48" s="887">
        <v>4</v>
      </c>
      <c r="G48" s="888">
        <v>2150.2201435882284</v>
      </c>
      <c r="H48" s="884">
        <v>333</v>
      </c>
      <c r="I48" s="888">
        <v>325</v>
      </c>
      <c r="J48" s="888">
        <v>850</v>
      </c>
      <c r="K48" s="889">
        <v>0.73566485869837517</v>
      </c>
      <c r="L48" s="1674">
        <v>7.8126978831496038E-2</v>
      </c>
      <c r="M48" s="890">
        <v>1.1170107212763709</v>
      </c>
      <c r="N48" s="890">
        <v>6.2831853071795862</v>
      </c>
      <c r="O48" s="890">
        <v>0.83172032075131053</v>
      </c>
      <c r="P48" s="893">
        <v>1.8948149274626984</v>
      </c>
      <c r="Q48" s="893">
        <v>1.2059024380849319</v>
      </c>
      <c r="R48" s="893">
        <v>0.94431770550329652</v>
      </c>
      <c r="S48" s="958"/>
      <c r="T48" s="891" t="s">
        <v>1537</v>
      </c>
      <c r="U48" s="891"/>
      <c r="V48" s="968"/>
      <c r="W48" s="981" t="s">
        <v>1881</v>
      </c>
      <c r="X48" s="968" t="s">
        <v>2224</v>
      </c>
      <c r="Y48" s="971" t="s">
        <v>2307</v>
      </c>
      <c r="Z48" s="979" t="s">
        <v>1940</v>
      </c>
      <c r="AA48" s="892" t="s">
        <v>1941</v>
      </c>
      <c r="AB48" s="968">
        <v>31</v>
      </c>
      <c r="AC48" s="968"/>
    </row>
    <row r="49" spans="1:29" ht="15" customHeight="1">
      <c r="A49" s="924" t="s">
        <v>1685</v>
      </c>
      <c r="B49" s="958">
        <v>21407.135050689078</v>
      </c>
      <c r="C49" s="958">
        <v>36710.510084057816</v>
      </c>
      <c r="D49" s="958">
        <v>36487.909649221954</v>
      </c>
      <c r="E49" s="886">
        <v>600</v>
      </c>
      <c r="F49" s="887">
        <v>4</v>
      </c>
      <c r="G49" s="888">
        <v>2150.2201435882284</v>
      </c>
      <c r="H49" s="884">
        <v>333</v>
      </c>
      <c r="I49" s="888">
        <v>325</v>
      </c>
      <c r="J49" s="888">
        <v>850</v>
      </c>
      <c r="K49" s="889">
        <v>0.73566485869837517</v>
      </c>
      <c r="L49" s="1674">
        <v>7.8126978831496052E-2</v>
      </c>
      <c r="M49" s="890">
        <v>1.1170107212763709</v>
      </c>
      <c r="N49" s="890">
        <v>6.2831853071795862</v>
      </c>
      <c r="O49" s="890">
        <v>0.83172032075131053</v>
      </c>
      <c r="P49" s="893">
        <v>1.8948149274626984</v>
      </c>
      <c r="Q49" s="893">
        <v>1.2059024380849319</v>
      </c>
      <c r="R49" s="893">
        <v>0.94431770550329652</v>
      </c>
      <c r="S49" s="958"/>
      <c r="T49" s="891" t="s">
        <v>1685</v>
      </c>
      <c r="U49" s="891"/>
      <c r="V49" s="968"/>
      <c r="W49" s="981" t="s">
        <v>1881</v>
      </c>
      <c r="X49" s="968" t="s">
        <v>2224</v>
      </c>
      <c r="Y49" s="971" t="s">
        <v>2307</v>
      </c>
      <c r="Z49" s="979" t="s">
        <v>1942</v>
      </c>
      <c r="AA49" s="892" t="s">
        <v>1943</v>
      </c>
      <c r="AB49" s="968">
        <v>32</v>
      </c>
      <c r="AC49" s="968"/>
    </row>
    <row r="50" spans="1:29" ht="15" customHeight="1">
      <c r="A50" s="924" t="s">
        <v>1538</v>
      </c>
      <c r="B50" s="958">
        <v>22315.09665677973</v>
      </c>
      <c r="C50" s="958">
        <v>37734.88693597183</v>
      </c>
      <c r="D50" s="958">
        <v>37514.019493541644</v>
      </c>
      <c r="E50" s="886">
        <v>630</v>
      </c>
      <c r="F50" s="887">
        <v>4</v>
      </c>
      <c r="G50" s="888">
        <v>2150.220143588228</v>
      </c>
      <c r="H50" s="884">
        <v>383</v>
      </c>
      <c r="I50" s="888">
        <v>375</v>
      </c>
      <c r="J50" s="888">
        <v>850</v>
      </c>
      <c r="K50" s="889">
        <v>0.73566485869837517</v>
      </c>
      <c r="L50" s="1674">
        <v>7.8126978831496025E-2</v>
      </c>
      <c r="M50" s="890">
        <v>1.1170107212763709</v>
      </c>
      <c r="N50" s="890">
        <v>6.2831853071795862</v>
      </c>
      <c r="O50" s="890">
        <v>0.83172032075131053</v>
      </c>
      <c r="P50" s="893">
        <v>1.8948149274626984</v>
      </c>
      <c r="Q50" s="893">
        <v>1.2059024380849317</v>
      </c>
      <c r="R50" s="893">
        <v>0.9443177055032963</v>
      </c>
      <c r="S50" s="958"/>
      <c r="T50" s="891" t="s">
        <v>1538</v>
      </c>
      <c r="U50" s="891"/>
      <c r="V50" s="968"/>
      <c r="W50" s="981" t="s">
        <v>1881</v>
      </c>
      <c r="X50" s="968" t="s">
        <v>2225</v>
      </c>
      <c r="Y50" s="971" t="s">
        <v>2308</v>
      </c>
      <c r="Z50" s="899" t="s">
        <v>1944</v>
      </c>
      <c r="AA50" s="892" t="s">
        <v>1945</v>
      </c>
      <c r="AB50" s="968">
        <v>33</v>
      </c>
      <c r="AC50" s="968"/>
    </row>
    <row r="51" spans="1:29" ht="15" customHeight="1">
      <c r="A51" s="924" t="s">
        <v>1539</v>
      </c>
      <c r="B51" s="958">
        <v>23764.24974856255</v>
      </c>
      <c r="C51" s="958">
        <v>39453.896292128949</v>
      </c>
      <c r="D51" s="958">
        <v>39236.228849698768</v>
      </c>
      <c r="E51" s="886">
        <v>750</v>
      </c>
      <c r="F51" s="887">
        <v>4</v>
      </c>
      <c r="G51" s="888">
        <v>2150.2201435882284</v>
      </c>
      <c r="H51" s="884">
        <v>533</v>
      </c>
      <c r="I51" s="888">
        <v>525</v>
      </c>
      <c r="J51" s="888">
        <v>850</v>
      </c>
      <c r="K51" s="889">
        <v>0.73566485869837517</v>
      </c>
      <c r="L51" s="1674">
        <v>7.8126978831496052E-2</v>
      </c>
      <c r="M51" s="890">
        <v>1.1170107212763709</v>
      </c>
      <c r="N51" s="890">
        <v>6.2831853071795862</v>
      </c>
      <c r="O51" s="890">
        <v>0.83172032075131053</v>
      </c>
      <c r="P51" s="893">
        <v>1.8948149274626984</v>
      </c>
      <c r="Q51" s="893">
        <v>1.2059024380849319</v>
      </c>
      <c r="R51" s="893">
        <v>0.94431770550329652</v>
      </c>
      <c r="S51" s="958"/>
      <c r="T51" s="891" t="s">
        <v>1539</v>
      </c>
      <c r="U51" s="891"/>
      <c r="V51" s="968"/>
      <c r="W51" s="981" t="s">
        <v>1881</v>
      </c>
      <c r="X51" s="968" t="s">
        <v>2226</v>
      </c>
      <c r="Y51" s="971" t="s">
        <v>2309</v>
      </c>
      <c r="Z51" s="899" t="s">
        <v>1946</v>
      </c>
      <c r="AA51" s="892" t="s">
        <v>1947</v>
      </c>
      <c r="AB51" s="968">
        <v>34</v>
      </c>
      <c r="AC51" s="968"/>
    </row>
    <row r="52" spans="1:29" ht="15" customHeight="1">
      <c r="A52" s="924" t="s">
        <v>1540</v>
      </c>
      <c r="B52" s="958">
        <v>27527.019228520563</v>
      </c>
      <c r="C52" s="958">
        <v>43770.633761559155</v>
      </c>
      <c r="D52" s="958">
        <v>43554.399311534653</v>
      </c>
      <c r="E52" s="886">
        <v>950</v>
      </c>
      <c r="F52" s="887">
        <v>4</v>
      </c>
      <c r="G52" s="888">
        <v>2150.2201435882284</v>
      </c>
      <c r="H52" s="884">
        <v>833</v>
      </c>
      <c r="I52" s="888">
        <v>825</v>
      </c>
      <c r="J52" s="888">
        <v>850</v>
      </c>
      <c r="K52" s="889">
        <v>0.73566485869837517</v>
      </c>
      <c r="L52" s="1674">
        <v>7.8126978831496038E-2</v>
      </c>
      <c r="M52" s="890">
        <v>1.1170107212763709</v>
      </c>
      <c r="N52" s="890">
        <v>6.2831853071795862</v>
      </c>
      <c r="O52" s="890">
        <v>0.83172032075131053</v>
      </c>
      <c r="P52" s="893">
        <v>1.8948149274626984</v>
      </c>
      <c r="Q52" s="893">
        <v>1.2059024380849319</v>
      </c>
      <c r="R52" s="893">
        <v>0.94431770550329652</v>
      </c>
      <c r="S52" s="958"/>
      <c r="T52" s="891" t="s">
        <v>1540</v>
      </c>
      <c r="U52" s="891"/>
      <c r="V52" s="968"/>
      <c r="W52" s="981" t="s">
        <v>1881</v>
      </c>
      <c r="X52" s="968" t="s">
        <v>2227</v>
      </c>
      <c r="Y52" s="971" t="s">
        <v>2310</v>
      </c>
      <c r="Z52" s="899" t="s">
        <v>1948</v>
      </c>
      <c r="AA52" s="892" t="s">
        <v>1949</v>
      </c>
      <c r="AB52" s="968">
        <v>35</v>
      </c>
      <c r="AC52" s="968"/>
    </row>
    <row r="53" spans="1:29" ht="15" customHeight="1">
      <c r="A53" s="924" t="s">
        <v>1686</v>
      </c>
      <c r="B53" s="958">
        <v>27884.076794520675</v>
      </c>
      <c r="C53" s="958">
        <v>44114.850108050116</v>
      </c>
      <c r="D53" s="958">
        <v>43901.515658025608</v>
      </c>
      <c r="E53" s="886">
        <v>950</v>
      </c>
      <c r="F53" s="887">
        <v>4</v>
      </c>
      <c r="G53" s="888">
        <v>2150.2201435882284</v>
      </c>
      <c r="H53" s="884">
        <v>833</v>
      </c>
      <c r="I53" s="888">
        <v>825</v>
      </c>
      <c r="J53" s="888">
        <v>850</v>
      </c>
      <c r="K53" s="889">
        <v>0.73566485869837517</v>
      </c>
      <c r="L53" s="1674">
        <v>7.8126978831496038E-2</v>
      </c>
      <c r="M53" s="890">
        <v>1.1170107212763709</v>
      </c>
      <c r="N53" s="890">
        <v>6.2831853071795862</v>
      </c>
      <c r="O53" s="890">
        <v>0.83172032075131053</v>
      </c>
      <c r="P53" s="893">
        <v>1.8948149274626984</v>
      </c>
      <c r="Q53" s="893">
        <v>1.2059024380849319</v>
      </c>
      <c r="R53" s="893">
        <v>0.94431770550329652</v>
      </c>
      <c r="S53" s="958"/>
      <c r="T53" s="891" t="s">
        <v>1686</v>
      </c>
      <c r="U53" s="891"/>
      <c r="V53" s="968"/>
      <c r="W53" s="981" t="s">
        <v>1881</v>
      </c>
      <c r="X53" s="968" t="s">
        <v>2227</v>
      </c>
      <c r="Y53" s="971" t="s">
        <v>2310</v>
      </c>
      <c r="Z53" s="899" t="s">
        <v>1950</v>
      </c>
      <c r="AA53" s="892" t="s">
        <v>1951</v>
      </c>
      <c r="AB53" s="968">
        <v>36</v>
      </c>
      <c r="AC53" s="968"/>
    </row>
    <row r="54" spans="1:29" ht="15" customHeight="1">
      <c r="A54" s="924" t="s">
        <v>1541</v>
      </c>
      <c r="B54" s="958">
        <v>28099.759588038283</v>
      </c>
      <c r="C54" s="958">
        <v>44161.306110169462</v>
      </c>
      <c r="D54" s="958">
        <v>43949.104652550646</v>
      </c>
      <c r="E54" s="886">
        <v>900</v>
      </c>
      <c r="F54" s="887">
        <v>4</v>
      </c>
      <c r="G54" s="888">
        <v>2150.220143588228</v>
      </c>
      <c r="H54" s="884">
        <v>758</v>
      </c>
      <c r="I54" s="888">
        <v>750</v>
      </c>
      <c r="J54" s="888">
        <v>850</v>
      </c>
      <c r="K54" s="889">
        <v>0.73566485869837517</v>
      </c>
      <c r="L54" s="1674">
        <v>7.8126978831496025E-2</v>
      </c>
      <c r="M54" s="890">
        <v>1.1170107212763709</v>
      </c>
      <c r="N54" s="890">
        <v>6.2831853071795862</v>
      </c>
      <c r="O54" s="890">
        <v>0.83172032075131053</v>
      </c>
      <c r="P54" s="893">
        <v>1.8948149274626984</v>
      </c>
      <c r="Q54" s="893">
        <v>1.2059024380849317</v>
      </c>
      <c r="R54" s="893">
        <v>0.9443177055032963</v>
      </c>
      <c r="S54" s="958"/>
      <c r="T54" s="891" t="s">
        <v>1541</v>
      </c>
      <c r="U54" s="891"/>
      <c r="V54" s="968"/>
      <c r="W54" s="981" t="s">
        <v>1881</v>
      </c>
      <c r="X54" s="968" t="s">
        <v>2228</v>
      </c>
      <c r="Y54" s="971" t="s">
        <v>2311</v>
      </c>
      <c r="Z54" s="899" t="s">
        <v>1952</v>
      </c>
      <c r="AA54" s="892" t="s">
        <v>1953</v>
      </c>
      <c r="AB54" s="968">
        <v>37</v>
      </c>
      <c r="AC54" s="968"/>
    </row>
    <row r="55" spans="1:29" ht="15" customHeight="1">
      <c r="A55" s="924" t="s">
        <v>1542</v>
      </c>
      <c r="B55" s="958">
        <v>26581.905445174834</v>
      </c>
      <c r="C55" s="958">
        <v>44448.229750648206</v>
      </c>
      <c r="D55" s="958">
        <v>44209.283290579609</v>
      </c>
      <c r="E55" s="886">
        <v>600</v>
      </c>
      <c r="F55" s="887">
        <v>4</v>
      </c>
      <c r="G55" s="888">
        <v>2399.0881935315097</v>
      </c>
      <c r="H55" s="884">
        <v>308</v>
      </c>
      <c r="I55" s="888">
        <v>300</v>
      </c>
      <c r="J55" s="888">
        <v>950</v>
      </c>
      <c r="K55" s="889">
        <v>0.83636937536254774</v>
      </c>
      <c r="L55" s="1674">
        <v>7.4373665821982848E-2</v>
      </c>
      <c r="M55" s="890">
        <v>1.1344640137963142</v>
      </c>
      <c r="N55" s="890">
        <v>6.2831853071795862</v>
      </c>
      <c r="O55" s="890">
        <v>0.94001537653403078</v>
      </c>
      <c r="P55" s="893">
        <v>2.1274470490412378</v>
      </c>
      <c r="Q55" s="893">
        <v>1.3385826181840366</v>
      </c>
      <c r="R55" s="893">
        <v>1.0605055753474733</v>
      </c>
      <c r="S55" s="958"/>
      <c r="T55" s="891" t="s">
        <v>1542</v>
      </c>
      <c r="U55" s="891"/>
      <c r="V55" s="968"/>
      <c r="W55" s="981" t="s">
        <v>1881</v>
      </c>
      <c r="X55" s="968" t="s">
        <v>2229</v>
      </c>
      <c r="Y55" s="971" t="s">
        <v>2312</v>
      </c>
      <c r="Z55" s="899" t="s">
        <v>1954</v>
      </c>
      <c r="AA55" s="892" t="s">
        <v>1955</v>
      </c>
      <c r="AB55" s="968">
        <v>38</v>
      </c>
      <c r="AC55" s="968"/>
    </row>
    <row r="56" spans="1:29" ht="15" customHeight="1">
      <c r="A56" s="924" t="s">
        <v>1543</v>
      </c>
      <c r="B56" s="958">
        <v>29282.762341773621</v>
      </c>
      <c r="C56" s="958">
        <v>47545.674661071032</v>
      </c>
      <c r="D56" s="958">
        <v>47308.661193408116</v>
      </c>
      <c r="E56" s="886">
        <v>750</v>
      </c>
      <c r="F56" s="887">
        <v>4</v>
      </c>
      <c r="G56" s="888">
        <v>2399.0881935315097</v>
      </c>
      <c r="H56" s="884">
        <v>483</v>
      </c>
      <c r="I56" s="888">
        <v>475</v>
      </c>
      <c r="J56" s="888">
        <v>950</v>
      </c>
      <c r="K56" s="889">
        <v>0.83636937536254774</v>
      </c>
      <c r="L56" s="1674">
        <v>7.4373665821982848E-2</v>
      </c>
      <c r="M56" s="890">
        <v>1.1344640137963142</v>
      </c>
      <c r="N56" s="890">
        <v>6.2831853071795862</v>
      </c>
      <c r="O56" s="890">
        <v>0.94001537653403078</v>
      </c>
      <c r="P56" s="893">
        <v>2.1274470490412378</v>
      </c>
      <c r="Q56" s="893">
        <v>1.3385826181840366</v>
      </c>
      <c r="R56" s="893">
        <v>1.0605055753474733</v>
      </c>
      <c r="S56" s="958"/>
      <c r="T56" s="891" t="s">
        <v>1543</v>
      </c>
      <c r="U56" s="891"/>
      <c r="V56" s="968"/>
      <c r="W56" s="981" t="s">
        <v>1881</v>
      </c>
      <c r="X56" s="968" t="s">
        <v>2230</v>
      </c>
      <c r="Y56" s="971" t="s">
        <v>2313</v>
      </c>
      <c r="Z56" s="899" t="s">
        <v>1956</v>
      </c>
      <c r="AA56" s="892" t="s">
        <v>1957</v>
      </c>
      <c r="AB56" s="968">
        <v>39</v>
      </c>
      <c r="AC56" s="968"/>
    </row>
    <row r="57" spans="1:29" ht="15" customHeight="1">
      <c r="A57" s="924" t="s">
        <v>1544</v>
      </c>
      <c r="B57" s="958">
        <v>31958.56172797714</v>
      </c>
      <c r="C57" s="958">
        <v>50627.414407025739</v>
      </c>
      <c r="D57" s="958">
        <v>50393.500939362828</v>
      </c>
      <c r="E57" s="886">
        <v>900</v>
      </c>
      <c r="F57" s="887">
        <v>4</v>
      </c>
      <c r="G57" s="888">
        <v>2399.0881935315097</v>
      </c>
      <c r="H57" s="884">
        <v>683</v>
      </c>
      <c r="I57" s="888">
        <v>675</v>
      </c>
      <c r="J57" s="888">
        <v>950</v>
      </c>
      <c r="K57" s="889">
        <v>0.83636937536254774</v>
      </c>
      <c r="L57" s="1674">
        <v>7.4373665821982834E-2</v>
      </c>
      <c r="M57" s="890">
        <v>1.1344640137963142</v>
      </c>
      <c r="N57" s="890">
        <v>6.2831853071795862</v>
      </c>
      <c r="O57" s="890">
        <v>0.94001537653403078</v>
      </c>
      <c r="P57" s="893">
        <v>2.1274470490412378</v>
      </c>
      <c r="Q57" s="893">
        <v>1.3385826181840366</v>
      </c>
      <c r="R57" s="893">
        <v>1.0605055753474733</v>
      </c>
      <c r="S57" s="958"/>
      <c r="T57" s="891" t="s">
        <v>1544</v>
      </c>
      <c r="U57" s="891"/>
      <c r="V57" s="968"/>
      <c r="W57" s="981" t="s">
        <v>1881</v>
      </c>
      <c r="X57" s="968" t="s">
        <v>2231</v>
      </c>
      <c r="Y57" s="971" t="s">
        <v>2314</v>
      </c>
      <c r="Z57" s="899" t="s">
        <v>1958</v>
      </c>
      <c r="AA57" s="892" t="s">
        <v>1959</v>
      </c>
      <c r="AB57" s="968">
        <v>40</v>
      </c>
      <c r="AC57" s="968"/>
    </row>
    <row r="58" spans="1:29" ht="15" customHeight="1">
      <c r="A58" s="924" t="s">
        <v>1545</v>
      </c>
      <c r="B58" s="958">
        <v>36472.461091080091</v>
      </c>
      <c r="C58" s="958">
        <v>55701.015123359313</v>
      </c>
      <c r="D58" s="958">
        <v>55468.23464810208</v>
      </c>
      <c r="E58" s="886">
        <v>1100</v>
      </c>
      <c r="F58" s="887">
        <v>4</v>
      </c>
      <c r="G58" s="888">
        <v>2417.1898665284161</v>
      </c>
      <c r="H58" s="884">
        <v>933</v>
      </c>
      <c r="I58" s="888">
        <v>925</v>
      </c>
      <c r="J58" s="888">
        <v>1025</v>
      </c>
      <c r="K58" s="889">
        <v>0.82859187541575252</v>
      </c>
      <c r="L58" s="1674">
        <v>7.7820020477869262E-2</v>
      </c>
      <c r="M58" s="890">
        <v>1.2042771838760873</v>
      </c>
      <c r="N58" s="890">
        <v>6.2831853071795862</v>
      </c>
      <c r="O58" s="890">
        <v>0.93632920250404428</v>
      </c>
      <c r="P58" s="893">
        <v>2.1319800177126105</v>
      </c>
      <c r="Q58" s="893">
        <v>1.3551148340862234</v>
      </c>
      <c r="R58" s="893">
        <v>1.0620750324421928</v>
      </c>
      <c r="S58" s="958"/>
      <c r="T58" s="891" t="s">
        <v>1545</v>
      </c>
      <c r="U58" s="891"/>
      <c r="V58" s="968"/>
      <c r="W58" s="981" t="s">
        <v>1881</v>
      </c>
      <c r="X58" s="968" t="s">
        <v>2232</v>
      </c>
      <c r="Y58" s="971" t="s">
        <v>2315</v>
      </c>
      <c r="Z58" s="899" t="s">
        <v>1960</v>
      </c>
      <c r="AA58" s="892" t="s">
        <v>1961</v>
      </c>
      <c r="AB58" s="968">
        <v>41</v>
      </c>
      <c r="AC58" s="968"/>
    </row>
    <row r="59" spans="1:29" ht="15" customHeight="1">
      <c r="A59" s="924" t="s">
        <v>1546</v>
      </c>
      <c r="B59" s="958">
        <v>35906.620758680918</v>
      </c>
      <c r="C59" s="958">
        <v>54789.887761712213</v>
      </c>
      <c r="D59" s="958">
        <v>54579.473271266346</v>
      </c>
      <c r="E59" s="886">
        <v>1000</v>
      </c>
      <c r="F59" s="887">
        <v>4</v>
      </c>
      <c r="G59" s="888">
        <v>2399.0881935315097</v>
      </c>
      <c r="H59" s="884">
        <v>833</v>
      </c>
      <c r="I59" s="888">
        <v>825</v>
      </c>
      <c r="J59" s="888">
        <v>950</v>
      </c>
      <c r="K59" s="889">
        <v>0.83636937536254774</v>
      </c>
      <c r="L59" s="1674">
        <v>7.4373665821982848E-2</v>
      </c>
      <c r="M59" s="890">
        <v>1.1344640137963142</v>
      </c>
      <c r="N59" s="890">
        <v>6.2831853071795862</v>
      </c>
      <c r="O59" s="890">
        <v>0.94001537653403078</v>
      </c>
      <c r="P59" s="893">
        <v>2.1274470490412378</v>
      </c>
      <c r="Q59" s="893">
        <v>1.3385826181840366</v>
      </c>
      <c r="R59" s="893">
        <v>1.0605055753474733</v>
      </c>
      <c r="S59" s="958"/>
      <c r="T59" s="891" t="s">
        <v>1546</v>
      </c>
      <c r="U59" s="891"/>
      <c r="V59" s="968"/>
      <c r="W59" s="981" t="s">
        <v>1881</v>
      </c>
      <c r="X59" s="968" t="s">
        <v>2233</v>
      </c>
      <c r="Y59" s="971" t="s">
        <v>2316</v>
      </c>
      <c r="Z59" s="899" t="s">
        <v>1962</v>
      </c>
      <c r="AA59" s="892" t="s">
        <v>1963</v>
      </c>
      <c r="AB59" s="968">
        <v>42</v>
      </c>
      <c r="AC59" s="968"/>
    </row>
    <row r="60" spans="1:29" ht="15" customHeight="1">
      <c r="A60" s="924" t="s">
        <v>1547</v>
      </c>
      <c r="B60" s="958">
        <v>40500.508648090617</v>
      </c>
      <c r="C60" s="958">
        <v>62902.042587265365</v>
      </c>
      <c r="D60" s="958">
        <v>62686.305858945918</v>
      </c>
      <c r="E60" s="886">
        <v>700</v>
      </c>
      <c r="F60" s="887">
        <v>5</v>
      </c>
      <c r="G60" s="888">
        <v>2793.9877065270625</v>
      </c>
      <c r="H60" s="884">
        <v>360</v>
      </c>
      <c r="I60" s="888">
        <v>350</v>
      </c>
      <c r="J60" s="888">
        <v>1125</v>
      </c>
      <c r="K60" s="889">
        <v>0.95050964215147715</v>
      </c>
      <c r="L60" s="1674">
        <v>7.9312948555555277E-2</v>
      </c>
      <c r="M60" s="890">
        <v>1.1344640137963142</v>
      </c>
      <c r="N60" s="890">
        <v>6.2831853071795862</v>
      </c>
      <c r="O60" s="890">
        <v>1.0766210889730672</v>
      </c>
      <c r="P60" s="893">
        <v>2.4578815943585397</v>
      </c>
      <c r="Q60" s="893">
        <v>1.5695229922103275</v>
      </c>
      <c r="R60" s="893">
        <v>1.2244647143167351</v>
      </c>
      <c r="S60" s="958"/>
      <c r="T60" s="891" t="s">
        <v>1547</v>
      </c>
      <c r="U60" s="891"/>
      <c r="V60" s="968"/>
      <c r="W60" s="981" t="s">
        <v>1881</v>
      </c>
      <c r="X60" s="968" t="s">
        <v>2234</v>
      </c>
      <c r="Y60" s="971" t="s">
        <v>2317</v>
      </c>
      <c r="Z60" s="899" t="s">
        <v>1964</v>
      </c>
      <c r="AA60" s="892" t="s">
        <v>1965</v>
      </c>
      <c r="AB60" s="968">
        <v>43</v>
      </c>
      <c r="AC60" s="968"/>
    </row>
    <row r="61" spans="1:29" ht="15" customHeight="1">
      <c r="A61" s="924" t="s">
        <v>1548</v>
      </c>
      <c r="B61" s="958">
        <v>43512.905583610205</v>
      </c>
      <c r="C61" s="958">
        <v>66223.306502088613</v>
      </c>
      <c r="D61" s="958">
        <v>65989.036781363495</v>
      </c>
      <c r="E61" s="886">
        <v>800</v>
      </c>
      <c r="F61" s="887">
        <v>5</v>
      </c>
      <c r="G61" s="888">
        <v>2793.9877065270625</v>
      </c>
      <c r="H61" s="884">
        <v>460</v>
      </c>
      <c r="I61" s="888">
        <v>450</v>
      </c>
      <c r="J61" s="888">
        <v>1125</v>
      </c>
      <c r="K61" s="889">
        <v>0.95050964215147715</v>
      </c>
      <c r="L61" s="1674">
        <v>7.9312948555555277E-2</v>
      </c>
      <c r="M61" s="890">
        <v>1.1344640137963142</v>
      </c>
      <c r="N61" s="890">
        <v>6.2831853071795862</v>
      </c>
      <c r="O61" s="890">
        <v>1.0766210889730672</v>
      </c>
      <c r="P61" s="893">
        <v>2.4578815943585397</v>
      </c>
      <c r="Q61" s="893">
        <v>1.5695229922103275</v>
      </c>
      <c r="R61" s="893">
        <v>1.2244647143167351</v>
      </c>
      <c r="S61" s="958"/>
      <c r="T61" s="891" t="s">
        <v>1548</v>
      </c>
      <c r="U61" s="891"/>
      <c r="V61" s="968"/>
      <c r="W61" s="981" t="s">
        <v>1881</v>
      </c>
      <c r="X61" s="968" t="s">
        <v>2235</v>
      </c>
      <c r="Y61" s="971" t="s">
        <v>2318</v>
      </c>
      <c r="Z61" s="899" t="s">
        <v>1966</v>
      </c>
      <c r="AA61" s="892" t="s">
        <v>1967</v>
      </c>
      <c r="AB61" s="968">
        <v>44</v>
      </c>
      <c r="AC61" s="968"/>
    </row>
    <row r="62" spans="1:29" ht="15" customHeight="1">
      <c r="A62" s="924" t="s">
        <v>1549</v>
      </c>
      <c r="B62" s="958">
        <v>47157.181694818857</v>
      </c>
      <c r="C62" s="958">
        <v>70431.452714339393</v>
      </c>
      <c r="D62" s="958">
        <v>70178.250001208566</v>
      </c>
      <c r="E62" s="886">
        <v>950</v>
      </c>
      <c r="F62" s="887">
        <v>5</v>
      </c>
      <c r="G62" s="888">
        <v>2793.9877065270625</v>
      </c>
      <c r="H62" s="884">
        <v>640</v>
      </c>
      <c r="I62" s="888">
        <v>630</v>
      </c>
      <c r="J62" s="888">
        <v>1125</v>
      </c>
      <c r="K62" s="889">
        <v>0.95050964215147715</v>
      </c>
      <c r="L62" s="1674">
        <v>7.9312948555555277E-2</v>
      </c>
      <c r="M62" s="890">
        <v>1.1344640137963142</v>
      </c>
      <c r="N62" s="890">
        <v>6.2831853071795862</v>
      </c>
      <c r="O62" s="890">
        <v>1.0766210889730672</v>
      </c>
      <c r="P62" s="893">
        <v>2.4578815943585397</v>
      </c>
      <c r="Q62" s="893">
        <v>1.5695229922103275</v>
      </c>
      <c r="R62" s="893">
        <v>1.2244647143167351</v>
      </c>
      <c r="S62" s="958"/>
      <c r="T62" s="891" t="s">
        <v>1549</v>
      </c>
      <c r="U62" s="891"/>
      <c r="V62" s="968"/>
      <c r="W62" s="981" t="s">
        <v>1881</v>
      </c>
      <c r="X62" s="968" t="s">
        <v>2236</v>
      </c>
      <c r="Y62" s="971" t="s">
        <v>2319</v>
      </c>
      <c r="Z62" s="899" t="s">
        <v>1968</v>
      </c>
      <c r="AA62" s="892" t="s">
        <v>1969</v>
      </c>
      <c r="AB62" s="968">
        <v>45</v>
      </c>
      <c r="AC62" s="968"/>
    </row>
    <row r="63" spans="1:29" ht="15" customHeight="1">
      <c r="A63" s="924" t="s">
        <v>1550</v>
      </c>
      <c r="B63" s="958">
        <v>51856.101296090055</v>
      </c>
      <c r="C63" s="958">
        <v>75899.644041991007</v>
      </c>
      <c r="D63" s="958">
        <v>75625.341328860188</v>
      </c>
      <c r="E63" s="886">
        <v>1100</v>
      </c>
      <c r="F63" s="887">
        <v>5</v>
      </c>
      <c r="G63" s="888">
        <v>2793.9877065270625</v>
      </c>
      <c r="H63" s="884">
        <v>860</v>
      </c>
      <c r="I63" s="888">
        <v>850</v>
      </c>
      <c r="J63" s="888">
        <v>1125</v>
      </c>
      <c r="K63" s="889">
        <v>0.95050964215147715</v>
      </c>
      <c r="L63" s="1674">
        <v>7.9312948555555277E-2</v>
      </c>
      <c r="M63" s="890">
        <v>1.1344640137963142</v>
      </c>
      <c r="N63" s="890">
        <v>6.2831853071795862</v>
      </c>
      <c r="O63" s="890">
        <v>1.0766210889730672</v>
      </c>
      <c r="P63" s="893">
        <v>2.4578815943585397</v>
      </c>
      <c r="Q63" s="893">
        <v>1.5695229922103275</v>
      </c>
      <c r="R63" s="893">
        <v>1.2244647143167351</v>
      </c>
      <c r="S63" s="958"/>
      <c r="T63" s="891" t="s">
        <v>1550</v>
      </c>
      <c r="U63" s="891"/>
      <c r="V63" s="968"/>
      <c r="W63" s="981" t="s">
        <v>1881</v>
      </c>
      <c r="X63" s="968" t="s">
        <v>2237</v>
      </c>
      <c r="Y63" s="971" t="s">
        <v>2320</v>
      </c>
      <c r="Z63" s="899" t="s">
        <v>1970</v>
      </c>
      <c r="AA63" s="892" t="s">
        <v>1971</v>
      </c>
      <c r="AB63" s="968">
        <v>46</v>
      </c>
      <c r="AC63" s="968"/>
    </row>
    <row r="64" spans="1:29" ht="15" customHeight="1">
      <c r="A64" s="924" t="s">
        <v>1551</v>
      </c>
      <c r="B64" s="958">
        <v>54891.877470190964</v>
      </c>
      <c r="C64" s="958">
        <v>79398.508514085595</v>
      </c>
      <c r="D64" s="958">
        <v>79102.605800954771</v>
      </c>
      <c r="E64" s="886">
        <v>1200</v>
      </c>
      <c r="F64" s="887">
        <v>5</v>
      </c>
      <c r="G64" s="888">
        <v>2793.9877065270625</v>
      </c>
      <c r="H64" s="884">
        <v>1010</v>
      </c>
      <c r="I64" s="888">
        <v>1000</v>
      </c>
      <c r="J64" s="888">
        <v>1125</v>
      </c>
      <c r="K64" s="889">
        <v>0.95050964215147715</v>
      </c>
      <c r="L64" s="1674">
        <v>7.9312948555555277E-2</v>
      </c>
      <c r="M64" s="890">
        <v>1.1344640137963142</v>
      </c>
      <c r="N64" s="890">
        <v>6.2831853071795862</v>
      </c>
      <c r="O64" s="890">
        <v>1.0766210889730672</v>
      </c>
      <c r="P64" s="893">
        <v>2.4578815943585397</v>
      </c>
      <c r="Q64" s="893">
        <v>1.5695229922103275</v>
      </c>
      <c r="R64" s="893">
        <v>1.2244647143167351</v>
      </c>
      <c r="S64" s="958"/>
      <c r="T64" s="891" t="s">
        <v>1551</v>
      </c>
      <c r="U64" s="891"/>
      <c r="V64" s="968"/>
      <c r="W64" s="981" t="s">
        <v>1881</v>
      </c>
      <c r="X64" s="968" t="s">
        <v>2238</v>
      </c>
      <c r="Y64" s="971" t="s">
        <v>2321</v>
      </c>
      <c r="Z64" s="899" t="s">
        <v>1972</v>
      </c>
      <c r="AA64" s="892" t="s">
        <v>1973</v>
      </c>
      <c r="AB64" s="968">
        <v>47</v>
      </c>
      <c r="AC64" s="968"/>
    </row>
    <row r="65" spans="1:29" ht="15" customHeight="1">
      <c r="A65" s="924" t="s">
        <v>1552</v>
      </c>
      <c r="B65" s="958">
        <v>56396.85247070052</v>
      </c>
      <c r="C65" s="958">
        <v>80765.388633936076</v>
      </c>
      <c r="D65" s="958">
        <v>80448.852928399559</v>
      </c>
      <c r="E65" s="886">
        <v>1200</v>
      </c>
      <c r="F65" s="887">
        <v>5</v>
      </c>
      <c r="G65" s="888">
        <v>2793.9877065270625</v>
      </c>
      <c r="H65" s="884">
        <v>1010</v>
      </c>
      <c r="I65" s="888">
        <v>1000</v>
      </c>
      <c r="J65" s="888">
        <v>1125</v>
      </c>
      <c r="K65" s="889">
        <v>0.95050964215147715</v>
      </c>
      <c r="L65" s="1674">
        <v>7.9312948555555277E-2</v>
      </c>
      <c r="M65" s="890">
        <v>1.1344640137963142</v>
      </c>
      <c r="N65" s="890">
        <v>6.2831853071795862</v>
      </c>
      <c r="O65" s="890">
        <v>1.0766210889730672</v>
      </c>
      <c r="P65" s="893">
        <v>2.4578815943585397</v>
      </c>
      <c r="Q65" s="893">
        <v>1.5695229922103275</v>
      </c>
      <c r="R65" s="893">
        <v>1.2244647143167351</v>
      </c>
      <c r="S65" s="958"/>
      <c r="T65" s="891" t="s">
        <v>1552</v>
      </c>
      <c r="U65" s="891"/>
      <c r="V65" s="968"/>
      <c r="W65" s="981" t="s">
        <v>1881</v>
      </c>
      <c r="X65" s="968" t="s">
        <v>2238</v>
      </c>
      <c r="Y65" s="971" t="s">
        <v>2321</v>
      </c>
      <c r="Z65" s="899" t="s">
        <v>1974</v>
      </c>
      <c r="AA65" s="892" t="s">
        <v>1975</v>
      </c>
      <c r="AB65" s="968">
        <v>48</v>
      </c>
      <c r="AC65" s="968"/>
    </row>
    <row r="66" spans="1:29" ht="15" customHeight="1">
      <c r="A66" s="924" t="s">
        <v>1553</v>
      </c>
      <c r="B66" s="958">
        <v>53330.248908212052</v>
      </c>
      <c r="C66" s="958">
        <v>79743.573843408754</v>
      </c>
      <c r="D66" s="958">
        <v>79363.083930375942</v>
      </c>
      <c r="E66" s="886">
        <v>850</v>
      </c>
      <c r="F66" s="887">
        <v>5</v>
      </c>
      <c r="G66" s="888">
        <v>3088.9291369814141</v>
      </c>
      <c r="H66" s="884">
        <v>485</v>
      </c>
      <c r="I66" s="888">
        <v>475</v>
      </c>
      <c r="J66" s="888">
        <v>1225</v>
      </c>
      <c r="K66" s="889">
        <v>1.0748395215140718</v>
      </c>
      <c r="L66" s="1674">
        <v>7.4777498144136437E-2</v>
      </c>
      <c r="M66" s="890">
        <v>1.1344640137963142</v>
      </c>
      <c r="N66" s="890">
        <v>6.2831853071795862</v>
      </c>
      <c r="O66" s="890">
        <v>1.2088041770866345</v>
      </c>
      <c r="P66" s="893">
        <v>2.7377095340163251</v>
      </c>
      <c r="Q66" s="893">
        <v>1.7244633662366182</v>
      </c>
      <c r="R66" s="893">
        <v>1.3644657707447958</v>
      </c>
      <c r="S66" s="958"/>
      <c r="T66" s="891" t="s">
        <v>1553</v>
      </c>
      <c r="U66" s="891"/>
      <c r="V66" s="968"/>
      <c r="W66" s="981" t="s">
        <v>1881</v>
      </c>
      <c r="X66" s="968" t="s">
        <v>2239</v>
      </c>
      <c r="Y66" s="971" t="s">
        <v>2322</v>
      </c>
      <c r="Z66" s="899" t="s">
        <v>1976</v>
      </c>
      <c r="AA66" s="892" t="s">
        <v>1977</v>
      </c>
      <c r="AB66" s="968">
        <v>49</v>
      </c>
      <c r="AC66" s="968"/>
    </row>
    <row r="67" spans="1:29" ht="15" customHeight="1">
      <c r="A67" s="924" t="s">
        <v>1554</v>
      </c>
      <c r="B67" s="958">
        <v>56652.763106608429</v>
      </c>
      <c r="C67" s="958">
        <v>83714.040256520486</v>
      </c>
      <c r="D67" s="958">
        <v>83332.850343487677</v>
      </c>
      <c r="E67" s="886">
        <v>950</v>
      </c>
      <c r="F67" s="887">
        <v>5</v>
      </c>
      <c r="G67" s="888">
        <v>3088.9291369814141</v>
      </c>
      <c r="H67" s="884">
        <v>585</v>
      </c>
      <c r="I67" s="888">
        <v>575</v>
      </c>
      <c r="J67" s="888">
        <v>1225</v>
      </c>
      <c r="K67" s="889">
        <v>1.0748395215140718</v>
      </c>
      <c r="L67" s="1674">
        <v>7.4777498144136423E-2</v>
      </c>
      <c r="M67" s="890">
        <v>1.1344640137963142</v>
      </c>
      <c r="N67" s="890">
        <v>6.2831853071795862</v>
      </c>
      <c r="O67" s="890">
        <v>1.2088041770866345</v>
      </c>
      <c r="P67" s="893">
        <v>2.7377095340163251</v>
      </c>
      <c r="Q67" s="893">
        <v>1.7244633662366182</v>
      </c>
      <c r="R67" s="893">
        <v>1.3644657707447958</v>
      </c>
      <c r="S67" s="958"/>
      <c r="T67" s="891" t="s">
        <v>1554</v>
      </c>
      <c r="U67" s="891"/>
      <c r="V67" s="968"/>
      <c r="W67" s="981" t="s">
        <v>1881</v>
      </c>
      <c r="X67" s="968" t="s">
        <v>2240</v>
      </c>
      <c r="Y67" s="971" t="s">
        <v>2323</v>
      </c>
      <c r="Z67" s="899" t="s">
        <v>1978</v>
      </c>
      <c r="AA67" s="892" t="s">
        <v>1979</v>
      </c>
      <c r="AB67" s="968">
        <v>50</v>
      </c>
      <c r="AC67" s="968"/>
    </row>
    <row r="68" spans="1:29" ht="15" customHeight="1">
      <c r="A68" s="924" t="s">
        <v>1555</v>
      </c>
      <c r="B68" s="958">
        <v>57545.587053638279</v>
      </c>
      <c r="C68" s="958">
        <v>84742.574452267349</v>
      </c>
      <c r="D68" s="958">
        <v>84362.251546828833</v>
      </c>
      <c r="E68" s="886">
        <v>1000</v>
      </c>
      <c r="F68" s="887">
        <v>5</v>
      </c>
      <c r="G68" s="888">
        <v>3088.9291369814141</v>
      </c>
      <c r="H68" s="884">
        <v>650</v>
      </c>
      <c r="I68" s="888">
        <v>640</v>
      </c>
      <c r="J68" s="888">
        <v>1225</v>
      </c>
      <c r="K68" s="889">
        <v>1.0748395215140718</v>
      </c>
      <c r="L68" s="1674">
        <v>7.4777498144136437E-2</v>
      </c>
      <c r="M68" s="890">
        <v>1.1344640137963142</v>
      </c>
      <c r="N68" s="890">
        <v>6.2831853071795862</v>
      </c>
      <c r="O68" s="890">
        <v>1.2088041770866345</v>
      </c>
      <c r="P68" s="893">
        <v>2.7377095340163251</v>
      </c>
      <c r="Q68" s="893">
        <v>1.7244633662366182</v>
      </c>
      <c r="R68" s="893">
        <v>1.3644657707447958</v>
      </c>
      <c r="S68" s="958"/>
      <c r="T68" s="891" t="s">
        <v>1555</v>
      </c>
      <c r="U68" s="891"/>
      <c r="V68" s="968"/>
      <c r="W68" s="981" t="s">
        <v>1881</v>
      </c>
      <c r="X68" s="968" t="s">
        <v>2241</v>
      </c>
      <c r="Y68" s="971" t="s">
        <v>2324</v>
      </c>
      <c r="Z68" s="899" t="s">
        <v>1980</v>
      </c>
      <c r="AA68" s="892" t="s">
        <v>1981</v>
      </c>
      <c r="AB68" s="968">
        <v>51</v>
      </c>
      <c r="AC68" s="968"/>
    </row>
    <row r="69" spans="1:29" ht="15" customHeight="1">
      <c r="A69" s="924" t="s">
        <v>1556</v>
      </c>
      <c r="B69" s="958">
        <v>66867.083046351516</v>
      </c>
      <c r="C69" s="958">
        <v>95742.148495553789</v>
      </c>
      <c r="D69" s="958">
        <v>95362.792597709602</v>
      </c>
      <c r="E69" s="886">
        <v>1300</v>
      </c>
      <c r="F69" s="887">
        <v>5</v>
      </c>
      <c r="G69" s="888">
        <v>3088.9291369814141</v>
      </c>
      <c r="H69" s="884">
        <v>1085</v>
      </c>
      <c r="I69" s="888">
        <v>1075</v>
      </c>
      <c r="J69" s="888">
        <v>1225</v>
      </c>
      <c r="K69" s="889">
        <v>1.0748395215140718</v>
      </c>
      <c r="L69" s="1674">
        <v>7.4777498144136437E-2</v>
      </c>
      <c r="M69" s="890">
        <v>1.1344640137963142</v>
      </c>
      <c r="N69" s="890">
        <v>6.2831853071795862</v>
      </c>
      <c r="O69" s="890">
        <v>1.2088041770866345</v>
      </c>
      <c r="P69" s="893">
        <v>2.7377095340163251</v>
      </c>
      <c r="Q69" s="893">
        <v>1.7244633662366182</v>
      </c>
      <c r="R69" s="893">
        <v>1.3644657707447958</v>
      </c>
      <c r="S69" s="958"/>
      <c r="T69" s="891" t="s">
        <v>1556</v>
      </c>
      <c r="U69" s="891"/>
      <c r="V69" s="968"/>
      <c r="W69" s="981" t="s">
        <v>1881</v>
      </c>
      <c r="X69" s="968" t="s">
        <v>2242</v>
      </c>
      <c r="Y69" s="971" t="s">
        <v>2325</v>
      </c>
      <c r="Z69" s="899" t="s">
        <v>1982</v>
      </c>
      <c r="AA69" s="892" t="s">
        <v>1983</v>
      </c>
      <c r="AB69" s="968">
        <v>52</v>
      </c>
      <c r="AC69" s="968"/>
    </row>
    <row r="70" spans="1:29" ht="15" customHeight="1">
      <c r="A70" s="924" t="s">
        <v>1557</v>
      </c>
      <c r="B70" s="958">
        <v>66404.332098661776</v>
      </c>
      <c r="C70" s="958">
        <v>94965.092703616654</v>
      </c>
      <c r="D70" s="958">
        <v>94583.469798178121</v>
      </c>
      <c r="E70" s="886">
        <v>1250</v>
      </c>
      <c r="F70" s="887">
        <v>5</v>
      </c>
      <c r="G70" s="888">
        <v>3088.9291369814141</v>
      </c>
      <c r="H70" s="884">
        <v>1010</v>
      </c>
      <c r="I70" s="888">
        <v>1000</v>
      </c>
      <c r="J70" s="888">
        <v>1225</v>
      </c>
      <c r="K70" s="889">
        <v>1.0748395215140718</v>
      </c>
      <c r="L70" s="1674">
        <v>7.4777498144136437E-2</v>
      </c>
      <c r="M70" s="890">
        <v>1.1344640137963142</v>
      </c>
      <c r="N70" s="890">
        <v>6.2831853071795862</v>
      </c>
      <c r="O70" s="890">
        <v>1.2088041770866345</v>
      </c>
      <c r="P70" s="893">
        <v>2.7377095340163251</v>
      </c>
      <c r="Q70" s="893">
        <v>1.7244633662366182</v>
      </c>
      <c r="R70" s="893">
        <v>1.3644657707447958</v>
      </c>
      <c r="S70" s="958"/>
      <c r="T70" s="891" t="s">
        <v>1557</v>
      </c>
      <c r="U70" s="891"/>
      <c r="V70" s="968"/>
      <c r="W70" s="981" t="s">
        <v>1881</v>
      </c>
      <c r="X70" s="968" t="s">
        <v>2243</v>
      </c>
      <c r="Y70" s="971" t="s">
        <v>2326</v>
      </c>
      <c r="Z70" s="899" t="s">
        <v>1984</v>
      </c>
      <c r="AA70" s="892" t="s">
        <v>1985</v>
      </c>
      <c r="AB70" s="968">
        <v>53</v>
      </c>
      <c r="AC70" s="968"/>
    </row>
    <row r="71" spans="1:29" ht="15" customHeight="1">
      <c r="A71" s="924" t="s">
        <v>1558</v>
      </c>
      <c r="B71" s="958">
        <v>68161.244201282476</v>
      </c>
      <c r="C71" s="958">
        <v>96395.632785107126</v>
      </c>
      <c r="D71" s="958">
        <v>96014.876887262915</v>
      </c>
      <c r="E71" s="886">
        <v>1200</v>
      </c>
      <c r="F71" s="887">
        <v>5</v>
      </c>
      <c r="G71" s="888">
        <v>3088.9291369814141</v>
      </c>
      <c r="H71" s="884">
        <v>935</v>
      </c>
      <c r="I71" s="888">
        <v>925</v>
      </c>
      <c r="J71" s="888">
        <v>1225</v>
      </c>
      <c r="K71" s="889">
        <v>1.0748395215140718</v>
      </c>
      <c r="L71" s="1674">
        <v>7.4777498144136437E-2</v>
      </c>
      <c r="M71" s="890">
        <v>1.1344640137963142</v>
      </c>
      <c r="N71" s="890">
        <v>6.2831853071795862</v>
      </c>
      <c r="O71" s="890">
        <v>1.2088041770866345</v>
      </c>
      <c r="P71" s="893">
        <v>2.7377095340163251</v>
      </c>
      <c r="Q71" s="893">
        <v>1.7244633662366182</v>
      </c>
      <c r="R71" s="893">
        <v>1.3644657707447958</v>
      </c>
      <c r="S71" s="958"/>
      <c r="T71" s="891" t="s">
        <v>1558</v>
      </c>
      <c r="U71" s="891"/>
      <c r="V71" s="968"/>
      <c r="W71" s="981" t="s">
        <v>1881</v>
      </c>
      <c r="X71" s="968" t="s">
        <v>2244</v>
      </c>
      <c r="Y71" s="971" t="s">
        <v>2327</v>
      </c>
      <c r="Z71" s="899" t="s">
        <v>1986</v>
      </c>
      <c r="AA71" s="892" t="s">
        <v>1987</v>
      </c>
      <c r="AB71" s="968">
        <v>54</v>
      </c>
      <c r="AC71" s="968"/>
    </row>
    <row r="72" spans="1:29" ht="15" customHeight="1">
      <c r="A72" s="924" t="s">
        <v>1559</v>
      </c>
      <c r="B72" s="958">
        <v>62038.264907300567</v>
      </c>
      <c r="C72" s="958">
        <v>91760.543427064011</v>
      </c>
      <c r="D72" s="958">
        <v>91341.705443232553</v>
      </c>
      <c r="E72" s="886">
        <v>750</v>
      </c>
      <c r="F72" s="887">
        <v>5</v>
      </c>
      <c r="G72" s="888">
        <v>3418.7434851893327</v>
      </c>
      <c r="H72" s="884">
        <v>385</v>
      </c>
      <c r="I72" s="888">
        <v>375</v>
      </c>
      <c r="J72" s="888">
        <v>1200</v>
      </c>
      <c r="K72" s="889">
        <v>1.1959490512932169</v>
      </c>
      <c r="L72" s="1674">
        <v>7.3754618658396887E-2</v>
      </c>
      <c r="M72" s="890">
        <v>0.99483767363676789</v>
      </c>
      <c r="N72" s="890">
        <v>6.2831853071795862</v>
      </c>
      <c r="O72" s="890">
        <v>1.3428490846910701</v>
      </c>
      <c r="P72" s="893">
        <v>3.0358463834020344</v>
      </c>
      <c r="Q72" s="893">
        <v>1.9059504380643397</v>
      </c>
      <c r="R72" s="893">
        <v>1.5127930471249931</v>
      </c>
      <c r="S72" s="958"/>
      <c r="T72" s="891" t="s">
        <v>1559</v>
      </c>
      <c r="U72" s="891"/>
      <c r="V72" s="968"/>
      <c r="W72" s="981" t="s">
        <v>1881</v>
      </c>
      <c r="X72" s="968" t="s">
        <v>2245</v>
      </c>
      <c r="Y72" s="971" t="s">
        <v>2328</v>
      </c>
      <c r="Z72" s="899" t="s">
        <v>1988</v>
      </c>
      <c r="AA72" s="892" t="s">
        <v>1989</v>
      </c>
      <c r="AB72" s="968">
        <v>55</v>
      </c>
      <c r="AC72" s="968"/>
    </row>
    <row r="73" spans="1:29" ht="15" customHeight="1">
      <c r="A73" s="924" t="s">
        <v>1560</v>
      </c>
      <c r="B73" s="958">
        <v>66241.187421935596</v>
      </c>
      <c r="C73" s="958">
        <v>96566.554448565599</v>
      </c>
      <c r="D73" s="958">
        <v>96158.184495111418</v>
      </c>
      <c r="E73" s="886">
        <v>950</v>
      </c>
      <c r="F73" s="887">
        <v>5</v>
      </c>
      <c r="G73" s="888">
        <v>3432.7606062896016</v>
      </c>
      <c r="H73" s="884">
        <v>535</v>
      </c>
      <c r="I73" s="888">
        <v>525</v>
      </c>
      <c r="J73" s="888">
        <v>1375</v>
      </c>
      <c r="K73" s="889">
        <v>1.1785690261371593</v>
      </c>
      <c r="L73" s="1674">
        <v>7.7581055620570785E-2</v>
      </c>
      <c r="M73" s="890">
        <v>1.1344640137963142</v>
      </c>
      <c r="N73" s="890">
        <v>6.2831853071795862</v>
      </c>
      <c r="O73" s="890">
        <v>1.3313121702704376</v>
      </c>
      <c r="P73" s="893">
        <v>3.0300629142719595</v>
      </c>
      <c r="Q73" s="893">
        <v>1.9239097028602805</v>
      </c>
      <c r="R73" s="893">
        <v>1.5088509034293212</v>
      </c>
      <c r="S73" s="958"/>
      <c r="T73" s="891" t="s">
        <v>1560</v>
      </c>
      <c r="U73" s="891"/>
      <c r="V73" s="968"/>
      <c r="W73" s="981" t="s">
        <v>1881</v>
      </c>
      <c r="X73" s="968" t="s">
        <v>2246</v>
      </c>
      <c r="Y73" s="971" t="s">
        <v>2329</v>
      </c>
      <c r="Z73" s="899" t="s">
        <v>1990</v>
      </c>
      <c r="AA73" s="892" t="s">
        <v>1991</v>
      </c>
      <c r="AB73" s="968">
        <v>56</v>
      </c>
      <c r="AC73" s="968"/>
    </row>
    <row r="74" spans="1:29" ht="15" customHeight="1">
      <c r="A74" s="924" t="s">
        <v>1561</v>
      </c>
      <c r="B74" s="958">
        <v>76388.318285623856</v>
      </c>
      <c r="C74" s="958">
        <v>108501.30406975375</v>
      </c>
      <c r="D74" s="958">
        <v>108100.36813148818</v>
      </c>
      <c r="E74" s="886">
        <v>1300</v>
      </c>
      <c r="F74" s="887">
        <v>5</v>
      </c>
      <c r="G74" s="888">
        <v>3432.7606062896016</v>
      </c>
      <c r="H74" s="884">
        <v>985</v>
      </c>
      <c r="I74" s="888">
        <v>975</v>
      </c>
      <c r="J74" s="888">
        <v>1375</v>
      </c>
      <c r="K74" s="889">
        <v>1.1785690261371593</v>
      </c>
      <c r="L74" s="1674">
        <v>7.7581055620570771E-2</v>
      </c>
      <c r="M74" s="890">
        <v>1.1344640137963142</v>
      </c>
      <c r="N74" s="890">
        <v>6.2831853071795862</v>
      </c>
      <c r="O74" s="890">
        <v>1.3313121702704376</v>
      </c>
      <c r="P74" s="893">
        <v>3.0300629142719595</v>
      </c>
      <c r="Q74" s="893">
        <v>1.9239097028602801</v>
      </c>
      <c r="R74" s="893">
        <v>1.5088509034293216</v>
      </c>
      <c r="S74" s="958"/>
      <c r="T74" s="891" t="s">
        <v>1561</v>
      </c>
      <c r="U74" s="891"/>
      <c r="V74" s="968"/>
      <c r="W74" s="981" t="s">
        <v>1881</v>
      </c>
      <c r="X74" s="968" t="s">
        <v>2247</v>
      </c>
      <c r="Y74" s="971" t="s">
        <v>2330</v>
      </c>
      <c r="Z74" s="899" t="s">
        <v>1992</v>
      </c>
      <c r="AA74" s="892" t="s">
        <v>1993</v>
      </c>
      <c r="AB74" s="968">
        <v>57</v>
      </c>
      <c r="AC74" s="968"/>
    </row>
    <row r="75" spans="1:29" ht="15" customHeight="1">
      <c r="A75" s="924" t="s">
        <v>1562</v>
      </c>
      <c r="B75" s="958">
        <v>76799.261740571645</v>
      </c>
      <c r="C75" s="958">
        <v>108862.32564488334</v>
      </c>
      <c r="D75" s="958">
        <v>108472.15773699505</v>
      </c>
      <c r="E75" s="886">
        <v>1300</v>
      </c>
      <c r="F75" s="887">
        <v>5</v>
      </c>
      <c r="G75" s="888">
        <v>3432.7606062896016</v>
      </c>
      <c r="H75" s="884">
        <v>985</v>
      </c>
      <c r="I75" s="888">
        <v>975</v>
      </c>
      <c r="J75" s="888">
        <v>1375</v>
      </c>
      <c r="K75" s="889">
        <v>1.1785690261371593</v>
      </c>
      <c r="L75" s="1674">
        <v>7.7581055620570771E-2</v>
      </c>
      <c r="M75" s="890">
        <v>1.1344640137963142</v>
      </c>
      <c r="N75" s="890">
        <v>6.2831853071795862</v>
      </c>
      <c r="O75" s="890">
        <v>1.3313121702704376</v>
      </c>
      <c r="P75" s="893">
        <v>3.0300629142719595</v>
      </c>
      <c r="Q75" s="893">
        <v>1.9239097028602801</v>
      </c>
      <c r="R75" s="893">
        <v>1.5088509034293216</v>
      </c>
      <c r="S75" s="958"/>
      <c r="T75" s="891" t="s">
        <v>1562</v>
      </c>
      <c r="U75" s="891"/>
      <c r="V75" s="968"/>
      <c r="W75" s="981" t="s">
        <v>1881</v>
      </c>
      <c r="X75" s="968" t="s">
        <v>2247</v>
      </c>
      <c r="Y75" s="971" t="s">
        <v>2330</v>
      </c>
      <c r="Z75" s="899" t="s">
        <v>1994</v>
      </c>
      <c r="AA75" s="892" t="s">
        <v>1995</v>
      </c>
      <c r="AB75" s="968">
        <v>58</v>
      </c>
      <c r="AC75" s="968"/>
    </row>
    <row r="76" spans="1:29" ht="15" customHeight="1">
      <c r="A76" s="924" t="s">
        <v>1687</v>
      </c>
      <c r="B76" s="958">
        <v>76574.168787596078</v>
      </c>
      <c r="C76" s="958">
        <v>108553.37339123731</v>
      </c>
      <c r="D76" s="958">
        <v>108171.03949853766</v>
      </c>
      <c r="E76" s="886">
        <v>1250</v>
      </c>
      <c r="F76" s="887">
        <v>5</v>
      </c>
      <c r="G76" s="888">
        <v>3432.7606062896016</v>
      </c>
      <c r="H76" s="884">
        <v>910</v>
      </c>
      <c r="I76" s="888">
        <v>900</v>
      </c>
      <c r="J76" s="888">
        <v>1375</v>
      </c>
      <c r="K76" s="889">
        <v>1.1785690261371593</v>
      </c>
      <c r="L76" s="1674">
        <v>7.7581055620570771E-2</v>
      </c>
      <c r="M76" s="890">
        <v>1.1344640137963142</v>
      </c>
      <c r="N76" s="890">
        <v>6.2831853071795862</v>
      </c>
      <c r="O76" s="890">
        <v>1.3313121702704376</v>
      </c>
      <c r="P76" s="893">
        <v>3.0300629142719595</v>
      </c>
      <c r="Q76" s="893">
        <v>1.9239097028602801</v>
      </c>
      <c r="R76" s="893">
        <v>1.5088509034293216</v>
      </c>
      <c r="S76" s="958"/>
      <c r="T76" s="891" t="s">
        <v>1687</v>
      </c>
      <c r="U76" s="891"/>
      <c r="V76" s="968"/>
      <c r="W76" s="981" t="s">
        <v>1881</v>
      </c>
      <c r="X76" s="968" t="s">
        <v>2248</v>
      </c>
      <c r="Y76" s="971" t="s">
        <v>2331</v>
      </c>
      <c r="Z76" s="899" t="s">
        <v>1996</v>
      </c>
      <c r="AA76" s="892" t="s">
        <v>1997</v>
      </c>
      <c r="AB76" s="968">
        <v>59</v>
      </c>
      <c r="AC76" s="968"/>
    </row>
    <row r="77" spans="1:29" ht="15" customHeight="1">
      <c r="A77" s="1396" t="s">
        <v>1563</v>
      </c>
      <c r="B77" s="958">
        <v>4241.8903616004827</v>
      </c>
      <c r="C77" s="958">
        <v>9383.1848198151529</v>
      </c>
      <c r="D77" s="958">
        <v>9300.3702681248051</v>
      </c>
      <c r="E77" s="886">
        <v>225</v>
      </c>
      <c r="F77" s="887">
        <v>3</v>
      </c>
      <c r="G77" s="888">
        <v>732.2806699403302</v>
      </c>
      <c r="H77" s="884">
        <v>181</v>
      </c>
      <c r="I77" s="888">
        <v>175</v>
      </c>
      <c r="J77" s="888">
        <v>250</v>
      </c>
      <c r="K77" s="889">
        <v>0.25683781297886232</v>
      </c>
      <c r="L77" s="1674">
        <v>7.2137157829814683E-2</v>
      </c>
      <c r="M77" s="890">
        <v>0.97738438111682457</v>
      </c>
      <c r="N77" s="890">
        <v>6.2831853071795862</v>
      </c>
      <c r="O77" s="890">
        <v>0.28765377601026809</v>
      </c>
      <c r="P77" s="893">
        <v>0.64847519634033501</v>
      </c>
      <c r="Q77" s="893">
        <v>0.40711356419653777</v>
      </c>
      <c r="R77" s="893">
        <v>0.32516710574379248</v>
      </c>
      <c r="S77" s="958"/>
      <c r="T77" s="891" t="s">
        <v>1563</v>
      </c>
      <c r="U77" s="891"/>
      <c r="V77" s="968"/>
      <c r="W77" s="978" t="s">
        <v>1881</v>
      </c>
      <c r="X77" s="968" t="s">
        <v>2249</v>
      </c>
      <c r="Y77" s="971" t="s">
        <v>2332</v>
      </c>
      <c r="Z77" s="979" t="s">
        <v>1999</v>
      </c>
      <c r="AA77" s="885" t="s">
        <v>2000</v>
      </c>
      <c r="AB77" s="968" t="e">
        <v>#N/A</v>
      </c>
      <c r="AC77" s="968"/>
    </row>
    <row r="78" spans="1:29" ht="15" customHeight="1">
      <c r="A78" s="1396" t="s">
        <v>2333</v>
      </c>
      <c r="B78" s="958">
        <v>4531.8663248444482</v>
      </c>
      <c r="C78" s="958">
        <v>10470.475490825625</v>
      </c>
      <c r="D78" s="958">
        <v>10371.739460693336</v>
      </c>
      <c r="E78" s="886">
        <v>225</v>
      </c>
      <c r="F78" s="887">
        <v>4</v>
      </c>
      <c r="G78" s="888">
        <v>737.98717906773231</v>
      </c>
      <c r="H78" s="884">
        <v>158</v>
      </c>
      <c r="I78" s="888">
        <v>150</v>
      </c>
      <c r="J78" s="888">
        <v>250</v>
      </c>
      <c r="K78" s="889">
        <v>0.31575195561764358</v>
      </c>
      <c r="L78" s="1674">
        <v>3.0509975909487504E-2</v>
      </c>
      <c r="M78" s="890">
        <v>1.1537800090679124</v>
      </c>
      <c r="N78" s="890">
        <v>6.2831853071795862</v>
      </c>
      <c r="O78" s="890">
        <v>0.33125282741751338</v>
      </c>
      <c r="P78" s="893">
        <v>0.69582765878078412</v>
      </c>
      <c r="Q78" s="893">
        <v>0.38647251219114342</v>
      </c>
      <c r="R78" s="893">
        <v>0.35151466687658894</v>
      </c>
      <c r="S78" s="958"/>
      <c r="T78" s="891" t="s">
        <v>2333</v>
      </c>
      <c r="U78" s="891"/>
      <c r="V78" s="968"/>
      <c r="W78" s="978" t="s">
        <v>1881</v>
      </c>
      <c r="X78" s="968" t="s">
        <v>2333</v>
      </c>
      <c r="Y78" s="971" t="s">
        <v>2334</v>
      </c>
      <c r="Z78" s="979" t="s">
        <v>2002</v>
      </c>
      <c r="AA78" s="885" t="s">
        <v>2003</v>
      </c>
      <c r="AB78" s="968" t="e">
        <v>#N/A</v>
      </c>
      <c r="AC78" s="968"/>
    </row>
    <row r="79" spans="1:29" ht="15" customHeight="1">
      <c r="A79" s="1396" t="s">
        <v>1564</v>
      </c>
      <c r="B79" s="958">
        <v>149314.90790713645</v>
      </c>
      <c r="C79" s="958">
        <v>204221.58424190327</v>
      </c>
      <c r="D79" s="958">
        <v>203835.17618212866</v>
      </c>
      <c r="E79" s="886">
        <v>1800</v>
      </c>
      <c r="F79" s="887">
        <v>5</v>
      </c>
      <c r="G79" s="888">
        <v>3581.6139746742992</v>
      </c>
      <c r="H79" s="884">
        <v>1560</v>
      </c>
      <c r="I79" s="888">
        <v>1550</v>
      </c>
      <c r="J79" s="888">
        <v>1650</v>
      </c>
      <c r="K79" s="889">
        <v>1.1669722879964359</v>
      </c>
      <c r="L79" s="1674">
        <v>8.8252424743658506E-2</v>
      </c>
      <c r="M79" s="890">
        <v>1.2740903539558606</v>
      </c>
      <c r="N79" s="890">
        <v>6.2831853071795862</v>
      </c>
      <c r="O79" s="890">
        <v>1.34049532512893</v>
      </c>
      <c r="P79" s="893">
        <v>3.1092794236077115</v>
      </c>
      <c r="Q79" s="893">
        <v>2.0367935906121857</v>
      </c>
      <c r="R79" s="893">
        <v>1.5448203840621137</v>
      </c>
      <c r="S79" s="958"/>
      <c r="T79" s="891" t="s">
        <v>1564</v>
      </c>
      <c r="U79" s="891"/>
      <c r="V79" s="968"/>
      <c r="W79" s="978" t="s">
        <v>1881</v>
      </c>
      <c r="X79" s="968" t="s">
        <v>2250</v>
      </c>
      <c r="Y79" s="971" t="s">
        <v>2335</v>
      </c>
      <c r="Z79" s="979" t="s">
        <v>2005</v>
      </c>
      <c r="AA79" s="885" t="s">
        <v>2006</v>
      </c>
      <c r="AB79" s="968" t="e">
        <v>#N/A</v>
      </c>
      <c r="AC79" s="968"/>
    </row>
    <row r="80" spans="1:29" ht="15" customHeight="1">
      <c r="A80" s="1396" t="s">
        <v>1565</v>
      </c>
      <c r="B80" s="958">
        <v>16700.461423971501</v>
      </c>
      <c r="C80" s="958">
        <v>30428.453803510314</v>
      </c>
      <c r="D80" s="958">
        <v>30207.81295343682</v>
      </c>
      <c r="E80" s="886">
        <v>500</v>
      </c>
      <c r="F80" s="887">
        <v>4</v>
      </c>
      <c r="G80" s="888">
        <v>1725.0323813387515</v>
      </c>
      <c r="H80" s="884">
        <v>333</v>
      </c>
      <c r="I80" s="888">
        <v>325</v>
      </c>
      <c r="J80" s="888">
        <v>600</v>
      </c>
      <c r="K80" s="889">
        <v>0.70766404568902352</v>
      </c>
      <c r="L80" s="1674">
        <v>4.0575245576384256E-2</v>
      </c>
      <c r="M80" s="890">
        <v>1.1344640137963142</v>
      </c>
      <c r="N80" s="890">
        <v>6.2831853071795862</v>
      </c>
      <c r="O80" s="890">
        <v>0.75423569805444768</v>
      </c>
      <c r="P80" s="893">
        <v>1.6110110999672194</v>
      </c>
      <c r="Q80" s="893">
        <v>0.91716013194985824</v>
      </c>
      <c r="R80" s="893">
        <v>0.80787224938889335</v>
      </c>
      <c r="S80" s="958"/>
      <c r="T80" s="891" t="s">
        <v>1565</v>
      </c>
      <c r="U80" s="891"/>
      <c r="V80" s="968"/>
      <c r="W80" s="978" t="s">
        <v>1881</v>
      </c>
      <c r="X80" s="968" t="s">
        <v>1565</v>
      </c>
      <c r="Y80" s="971" t="s">
        <v>2336</v>
      </c>
      <c r="Z80" s="979" t="s">
        <v>2008</v>
      </c>
      <c r="AA80" s="885" t="s">
        <v>2009</v>
      </c>
      <c r="AB80" s="968" t="e">
        <v>#N/A</v>
      </c>
      <c r="AC80" s="968"/>
    </row>
    <row r="81" spans="1:29" ht="15" customHeight="1">
      <c r="A81" s="1396" t="s">
        <v>2337</v>
      </c>
      <c r="B81" s="958">
        <v>13969.678385895413</v>
      </c>
      <c r="C81" s="958">
        <v>26261.436283514773</v>
      </c>
      <c r="D81" s="958">
        <v>26064.727139712712</v>
      </c>
      <c r="E81" s="886">
        <v>350</v>
      </c>
      <c r="F81" s="887">
        <v>6</v>
      </c>
      <c r="G81" s="888">
        <v>1473.0529696742472</v>
      </c>
      <c r="H81" s="884">
        <v>226</v>
      </c>
      <c r="I81" s="888">
        <v>214</v>
      </c>
      <c r="J81" s="888">
        <v>525</v>
      </c>
      <c r="K81" s="889">
        <v>0.61262462095285264</v>
      </c>
      <c r="L81" s="1674">
        <v>3.6993072539747908E-2</v>
      </c>
      <c r="M81" s="890">
        <v>1.1728612573401895</v>
      </c>
      <c r="N81" s="890">
        <v>6.2831853071795862</v>
      </c>
      <c r="O81" s="890">
        <v>0.64927799394095931</v>
      </c>
      <c r="P81" s="893">
        <v>1.3785728610726902</v>
      </c>
      <c r="Q81" s="893">
        <v>0.77892862893143555</v>
      </c>
      <c r="R81" s="893">
        <v>0.6941243407428116</v>
      </c>
      <c r="S81" s="958"/>
      <c r="T81" s="891" t="s">
        <v>2337</v>
      </c>
      <c r="U81" s="891"/>
      <c r="V81" s="968"/>
      <c r="W81" s="978" t="s">
        <v>1881</v>
      </c>
      <c r="X81" s="968" t="s">
        <v>2337</v>
      </c>
      <c r="Y81" s="971" t="s">
        <v>2338</v>
      </c>
      <c r="Z81" s="979" t="s">
        <v>2011</v>
      </c>
      <c r="AA81" s="885" t="s">
        <v>2012</v>
      </c>
      <c r="AB81" s="968" t="e">
        <v>#N/A</v>
      </c>
      <c r="AC81" s="968"/>
    </row>
    <row r="82" spans="1:29" ht="15" customHeight="1">
      <c r="A82" s="1396" t="s">
        <v>2339</v>
      </c>
      <c r="B82" s="958">
        <v>13394.324269951552</v>
      </c>
      <c r="C82" s="958">
        <v>25870.400146736778</v>
      </c>
      <c r="D82" s="958">
        <v>25662.644714350696</v>
      </c>
      <c r="E82" s="886">
        <v>233</v>
      </c>
      <c r="F82" s="887">
        <v>6</v>
      </c>
      <c r="G82" s="888">
        <v>1438.2446546860856</v>
      </c>
      <c r="H82" s="884">
        <v>188</v>
      </c>
      <c r="I82" s="888">
        <v>176</v>
      </c>
      <c r="J82" s="888">
        <v>472</v>
      </c>
      <c r="K82" s="889">
        <v>0.65480615221004734</v>
      </c>
      <c r="L82" s="1674">
        <v>1.8019143992826576E-2</v>
      </c>
      <c r="M82" s="890">
        <v>1.1693705988362009</v>
      </c>
      <c r="N82" s="890">
        <v>6.2831853071795862</v>
      </c>
      <c r="O82" s="890">
        <v>0.67360483867250487</v>
      </c>
      <c r="P82" s="893">
        <v>1.3864416061583493</v>
      </c>
      <c r="Q82" s="893">
        <v>0.73930144217720184</v>
      </c>
      <c r="R82" s="893">
        <v>0.6989432125088838</v>
      </c>
      <c r="S82" s="958"/>
      <c r="T82" s="891" t="s">
        <v>2339</v>
      </c>
      <c r="U82" s="891"/>
      <c r="V82" s="968"/>
      <c r="W82" s="978" t="s">
        <v>1881</v>
      </c>
      <c r="X82" s="968" t="s">
        <v>2530</v>
      </c>
      <c r="Y82" s="971" t="s">
        <v>2522</v>
      </c>
      <c r="Z82" s="979"/>
      <c r="AA82" s="885" t="s">
        <v>2531</v>
      </c>
      <c r="AB82" s="968"/>
      <c r="AC82" s="968"/>
    </row>
    <row r="83" spans="1:29" ht="15" customHeight="1">
      <c r="A83" s="1396" t="s">
        <v>1566</v>
      </c>
      <c r="B83" s="958">
        <v>16971.423089055232</v>
      </c>
      <c r="C83" s="958">
        <v>29657.007108581744</v>
      </c>
      <c r="D83" s="958">
        <v>29459.164972374001</v>
      </c>
      <c r="E83" s="886">
        <v>500</v>
      </c>
      <c r="F83" s="887">
        <v>6</v>
      </c>
      <c r="G83" s="888">
        <v>1533.1655984238541</v>
      </c>
      <c r="H83" s="884">
        <v>387</v>
      </c>
      <c r="I83" s="888">
        <v>375</v>
      </c>
      <c r="J83" s="888">
        <v>525</v>
      </c>
      <c r="K83" s="889">
        <v>0.63592552146216241</v>
      </c>
      <c r="L83" s="1674">
        <v>3.7615516834078842E-2</v>
      </c>
      <c r="M83" s="890">
        <v>1.1344640137963142</v>
      </c>
      <c r="N83" s="890">
        <v>6.2831853071795862</v>
      </c>
      <c r="O83" s="890">
        <v>0.67463227694809458</v>
      </c>
      <c r="P83" s="893">
        <v>1.4338893341778522</v>
      </c>
      <c r="Q83" s="893">
        <v>0.81147060940421512</v>
      </c>
      <c r="R83" s="893">
        <v>0.72169498901963902</v>
      </c>
      <c r="S83" s="958"/>
      <c r="T83" s="891" t="s">
        <v>1566</v>
      </c>
      <c r="U83" s="891"/>
      <c r="V83" s="968"/>
      <c r="W83" s="978" t="s">
        <v>1881</v>
      </c>
      <c r="X83" s="968" t="s">
        <v>2251</v>
      </c>
      <c r="Y83" s="971" t="s">
        <v>2340</v>
      </c>
      <c r="Z83" s="979" t="s">
        <v>2014</v>
      </c>
      <c r="AA83" s="885" t="s">
        <v>2015</v>
      </c>
      <c r="AB83" s="968" t="e">
        <v>#N/A</v>
      </c>
      <c r="AC83" s="968"/>
    </row>
    <row r="84" spans="1:29" ht="15" customHeight="1">
      <c r="A84" s="1396" t="s">
        <v>2341</v>
      </c>
      <c r="B84" s="958">
        <v>5953.3614116211284</v>
      </c>
      <c r="C84" s="958">
        <v>13002.280095438682</v>
      </c>
      <c r="D84" s="958">
        <v>12885.817472949704</v>
      </c>
      <c r="E84" s="886">
        <v>300</v>
      </c>
      <c r="F84" s="887">
        <v>4</v>
      </c>
      <c r="G84" s="888">
        <v>926.4577890304937</v>
      </c>
      <c r="H84" s="884">
        <v>233</v>
      </c>
      <c r="I84" s="888">
        <v>225</v>
      </c>
      <c r="J84" s="888">
        <v>325</v>
      </c>
      <c r="K84" s="889">
        <v>0.37302632801159591</v>
      </c>
      <c r="L84" s="1674">
        <v>4.3619963611536083E-2</v>
      </c>
      <c r="M84" s="890">
        <v>1.1344640137963142</v>
      </c>
      <c r="N84" s="890">
        <v>6.2831853071795862</v>
      </c>
      <c r="O84" s="890">
        <v>0.39948134979539829</v>
      </c>
      <c r="P84" s="893">
        <v>0.85763437179524782</v>
      </c>
      <c r="Q84" s="893">
        <v>0.49464522768926716</v>
      </c>
      <c r="R84" s="893">
        <v>0.43181256134122653</v>
      </c>
      <c r="S84" s="958"/>
      <c r="T84" s="891" t="s">
        <v>2341</v>
      </c>
      <c r="U84" s="891"/>
      <c r="V84" s="968"/>
      <c r="W84" s="978" t="s">
        <v>1881</v>
      </c>
      <c r="X84" s="968" t="s">
        <v>2341</v>
      </c>
      <c r="Y84" s="971" t="s">
        <v>2342</v>
      </c>
      <c r="Z84" s="979" t="s">
        <v>2017</v>
      </c>
      <c r="AA84" s="885" t="s">
        <v>2018</v>
      </c>
      <c r="AB84" s="968" t="e">
        <v>#N/A</v>
      </c>
      <c r="AC84" s="968"/>
    </row>
    <row r="85" spans="1:29" ht="15" customHeight="1">
      <c r="A85" s="1396" t="s">
        <v>1567</v>
      </c>
      <c r="B85" s="958">
        <v>102486.20204901663</v>
      </c>
      <c r="C85" s="958">
        <v>143767.49047750604</v>
      </c>
      <c r="D85" s="958">
        <v>143236.48443267506</v>
      </c>
      <c r="E85" s="886">
        <v>1661</v>
      </c>
      <c r="F85" s="887">
        <v>5</v>
      </c>
      <c r="G85" s="888">
        <v>3550</v>
      </c>
      <c r="H85" s="884">
        <v>10</v>
      </c>
      <c r="I85" s="888">
        <v>0</v>
      </c>
      <c r="J85" s="888">
        <v>0</v>
      </c>
      <c r="K85" s="889">
        <v>0</v>
      </c>
      <c r="L85" s="1674">
        <v>0</v>
      </c>
      <c r="M85" s="890">
        <v>0</v>
      </c>
      <c r="N85" s="890">
        <v>0</v>
      </c>
      <c r="O85" s="890">
        <v>0</v>
      </c>
      <c r="P85" s="893">
        <v>0</v>
      </c>
      <c r="Q85" s="893">
        <v>5.0000000000000001E-3</v>
      </c>
      <c r="R85" s="893">
        <v>3.5449999999999999</v>
      </c>
      <c r="S85" s="958"/>
      <c r="T85" s="891" t="s">
        <v>1567</v>
      </c>
      <c r="U85" s="891"/>
      <c r="V85" s="968"/>
      <c r="W85" s="978" t="s">
        <v>1881</v>
      </c>
      <c r="X85" s="968" t="s">
        <v>1567</v>
      </c>
      <c r="Y85" s="1048" t="s">
        <v>2343</v>
      </c>
      <c r="Z85" s="979" t="s">
        <v>2020</v>
      </c>
      <c r="AA85" s="885" t="s">
        <v>2021</v>
      </c>
      <c r="AB85" s="968" t="e">
        <v>#N/A</v>
      </c>
      <c r="AC85" s="968"/>
    </row>
    <row r="86" spans="1:29" ht="15" customHeight="1">
      <c r="A86" s="1396" t="s">
        <v>1568</v>
      </c>
      <c r="B86" s="958">
        <v>7022.9827861882459</v>
      </c>
      <c r="C86" s="958">
        <v>15141.084188113928</v>
      </c>
      <c r="D86" s="958">
        <v>14925.686527653368</v>
      </c>
      <c r="E86" s="886">
        <v>324</v>
      </c>
      <c r="F86" s="887">
        <v>4</v>
      </c>
      <c r="G86" s="888">
        <v>1112</v>
      </c>
      <c r="H86" s="884">
        <v>8</v>
      </c>
      <c r="I86" s="888">
        <v>0</v>
      </c>
      <c r="J86" s="888">
        <v>0</v>
      </c>
      <c r="K86" s="889">
        <v>0</v>
      </c>
      <c r="L86" s="1674">
        <v>0</v>
      </c>
      <c r="M86" s="890">
        <v>0</v>
      </c>
      <c r="N86" s="890">
        <v>0</v>
      </c>
      <c r="O86" s="890">
        <v>0</v>
      </c>
      <c r="P86" s="893">
        <v>0</v>
      </c>
      <c r="Q86" s="893">
        <v>4.0000000000000001E-3</v>
      </c>
      <c r="R86" s="893">
        <v>1.1080000000000001</v>
      </c>
      <c r="S86" s="958"/>
      <c r="T86" s="891" t="s">
        <v>1568</v>
      </c>
      <c r="U86" s="891"/>
      <c r="V86" s="968"/>
      <c r="W86" s="978" t="s">
        <v>1881</v>
      </c>
      <c r="X86" s="968" t="s">
        <v>1568</v>
      </c>
      <c r="Y86" s="1048" t="s">
        <v>2344</v>
      </c>
      <c r="Z86" s="979" t="s">
        <v>2023</v>
      </c>
      <c r="AA86" s="885" t="s">
        <v>2024</v>
      </c>
      <c r="AB86" s="968" t="e">
        <v>#N/A</v>
      </c>
      <c r="AC86" s="968"/>
    </row>
    <row r="87" spans="1:29" ht="15" customHeight="1">
      <c r="A87" s="1396" t="s">
        <v>1569</v>
      </c>
      <c r="B87" s="958">
        <v>8601.4065040215919</v>
      </c>
      <c r="C87" s="958">
        <v>18010.278587694535</v>
      </c>
      <c r="D87" s="958">
        <v>17758.420319688652</v>
      </c>
      <c r="E87" s="886">
        <v>340</v>
      </c>
      <c r="F87" s="887">
        <v>4</v>
      </c>
      <c r="G87" s="888">
        <v>1280</v>
      </c>
      <c r="H87" s="884">
        <v>8</v>
      </c>
      <c r="I87" s="888">
        <v>0</v>
      </c>
      <c r="J87" s="888">
        <v>0</v>
      </c>
      <c r="K87" s="889">
        <v>0</v>
      </c>
      <c r="L87" s="1674">
        <v>0</v>
      </c>
      <c r="M87" s="890">
        <v>0</v>
      </c>
      <c r="N87" s="890">
        <v>0</v>
      </c>
      <c r="O87" s="890">
        <v>0</v>
      </c>
      <c r="P87" s="893">
        <v>0</v>
      </c>
      <c r="Q87" s="893">
        <v>4.0000000000000001E-3</v>
      </c>
      <c r="R87" s="893">
        <v>1.276</v>
      </c>
      <c r="S87" s="958"/>
      <c r="T87" s="891" t="s">
        <v>1569</v>
      </c>
      <c r="U87" s="891"/>
      <c r="V87" s="968"/>
      <c r="W87" s="978" t="s">
        <v>1881</v>
      </c>
      <c r="X87" s="968" t="s">
        <v>1569</v>
      </c>
      <c r="Y87" s="1048" t="s">
        <v>2345</v>
      </c>
      <c r="Z87" s="979" t="s">
        <v>2026</v>
      </c>
      <c r="AA87" s="885" t="s">
        <v>2027</v>
      </c>
      <c r="AB87" s="968" t="e">
        <v>#N/A</v>
      </c>
      <c r="AC87" s="968"/>
    </row>
    <row r="88" spans="1:29" ht="15" customHeight="1">
      <c r="A88" s="1396" t="s">
        <v>2346</v>
      </c>
      <c r="B88" s="958">
        <v>11119.116193242349</v>
      </c>
      <c r="C88" s="958">
        <v>21671.973027610366</v>
      </c>
      <c r="D88" s="958">
        <v>21497.929605268371</v>
      </c>
      <c r="E88" s="886">
        <v>375</v>
      </c>
      <c r="F88" s="887">
        <v>5</v>
      </c>
      <c r="G88" s="888">
        <v>1359.6039577389927</v>
      </c>
      <c r="H88" s="884">
        <v>235</v>
      </c>
      <c r="I88" s="888">
        <v>225</v>
      </c>
      <c r="J88" s="888">
        <v>500</v>
      </c>
      <c r="K88" s="889">
        <v>0.56018549691603237</v>
      </c>
      <c r="L88" s="1674">
        <v>3.9102493694212266E-2</v>
      </c>
      <c r="M88" s="890">
        <v>1.1935725715282037</v>
      </c>
      <c r="N88" s="890">
        <v>6.2831853071795862</v>
      </c>
      <c r="O88" s="890">
        <v>0.59567190876180665</v>
      </c>
      <c r="P88" s="893">
        <v>1.2692029833627378</v>
      </c>
      <c r="Q88" s="893">
        <v>0.7211976577877468</v>
      </c>
      <c r="R88" s="893">
        <v>0.63840629995124587</v>
      </c>
      <c r="S88" s="958"/>
      <c r="T88" s="891" t="s">
        <v>2346</v>
      </c>
      <c r="U88" s="891"/>
      <c r="V88" s="968"/>
      <c r="W88" s="978" t="s">
        <v>1881</v>
      </c>
      <c r="X88" s="968" t="s">
        <v>2346</v>
      </c>
      <c r="Y88" s="971" t="s">
        <v>2347</v>
      </c>
      <c r="Z88" s="979" t="s">
        <v>2029</v>
      </c>
      <c r="AA88" s="885" t="s">
        <v>2030</v>
      </c>
      <c r="AB88" s="968" t="e">
        <v>#N/A</v>
      </c>
      <c r="AC88" s="968"/>
    </row>
    <row r="89" spans="1:29" ht="15" customHeight="1">
      <c r="A89" s="1396" t="s">
        <v>2348</v>
      </c>
      <c r="B89" s="958">
        <v>11648.152958789888</v>
      </c>
      <c r="C89" s="958">
        <v>22659.97859766096</v>
      </c>
      <c r="D89" s="958">
        <v>22479.225970272426</v>
      </c>
      <c r="E89" s="886">
        <v>362</v>
      </c>
      <c r="F89" s="887">
        <v>5</v>
      </c>
      <c r="G89" s="888">
        <v>1356.0110300140693</v>
      </c>
      <c r="H89" s="884">
        <v>220</v>
      </c>
      <c r="I89" s="888">
        <v>210</v>
      </c>
      <c r="J89" s="888">
        <v>487</v>
      </c>
      <c r="K89" s="889">
        <v>0.55959316964222949</v>
      </c>
      <c r="L89" s="1674">
        <v>3.8768111553819637E-2</v>
      </c>
      <c r="M89" s="890">
        <v>1.1728612573401895</v>
      </c>
      <c r="N89" s="890">
        <v>6.2831853071795862</v>
      </c>
      <c r="O89" s="890">
        <v>0.59472959743539688</v>
      </c>
      <c r="P89" s="893">
        <v>1.2664891438176564</v>
      </c>
      <c r="Q89" s="893">
        <v>0.71893881531601289</v>
      </c>
      <c r="R89" s="893">
        <v>0.63707221469805642</v>
      </c>
      <c r="S89" s="958"/>
      <c r="T89" s="891" t="s">
        <v>2348</v>
      </c>
      <c r="U89" s="891"/>
      <c r="V89" s="968"/>
      <c r="W89" s="978" t="s">
        <v>1881</v>
      </c>
      <c r="X89" s="968" t="s">
        <v>2532</v>
      </c>
      <c r="Y89" s="971" t="s">
        <v>2521</v>
      </c>
      <c r="Z89" s="979" t="s">
        <v>1027</v>
      </c>
      <c r="AA89" s="885" t="s">
        <v>2032</v>
      </c>
      <c r="AB89" s="968" t="e">
        <v>#N/A</v>
      </c>
      <c r="AC89" s="968"/>
    </row>
    <row r="90" spans="1:29" ht="15" customHeight="1">
      <c r="A90" s="1396" t="s">
        <v>2349</v>
      </c>
      <c r="B90" s="958">
        <v>4873.5508031290419</v>
      </c>
      <c r="C90" s="958">
        <v>10640.237887601852</v>
      </c>
      <c r="D90" s="958">
        <v>10546.507994167261</v>
      </c>
      <c r="E90" s="886">
        <v>300</v>
      </c>
      <c r="F90" s="887">
        <v>4</v>
      </c>
      <c r="G90" s="888">
        <v>827.6864884584927</v>
      </c>
      <c r="H90" s="884">
        <v>233</v>
      </c>
      <c r="I90" s="888">
        <v>225</v>
      </c>
      <c r="J90" s="888">
        <v>325</v>
      </c>
      <c r="K90" s="889">
        <v>0.28754530996725536</v>
      </c>
      <c r="L90" s="1674">
        <v>7.378277784876662E-2</v>
      </c>
      <c r="M90" s="890">
        <v>1.1344640137963142</v>
      </c>
      <c r="N90" s="890">
        <v>6.2831853071795862</v>
      </c>
      <c r="O90" s="890">
        <v>0.32287916921993992</v>
      </c>
      <c r="P90" s="893">
        <v>0.72998517051812506</v>
      </c>
      <c r="Q90" s="893">
        <v>0.46113159953322974</v>
      </c>
      <c r="R90" s="893">
        <v>0.36655488892526294</v>
      </c>
      <c r="S90" s="958"/>
      <c r="T90" s="891" t="s">
        <v>2349</v>
      </c>
      <c r="U90" s="891"/>
      <c r="V90" s="968"/>
      <c r="W90" s="978" t="s">
        <v>1881</v>
      </c>
      <c r="X90" s="968" t="s">
        <v>2349</v>
      </c>
      <c r="Y90" s="971" t="s">
        <v>2350</v>
      </c>
      <c r="Z90" s="979" t="s">
        <v>2034</v>
      </c>
      <c r="AA90" s="885" t="s">
        <v>2035</v>
      </c>
      <c r="AB90" s="968" t="e">
        <v>#N/A</v>
      </c>
      <c r="AC90" s="968"/>
    </row>
    <row r="91" spans="1:29" ht="15" customHeight="1">
      <c r="A91" s="1396" t="s">
        <v>2351</v>
      </c>
      <c r="B91" s="958">
        <v>7859.9345303224</v>
      </c>
      <c r="C91" s="958">
        <v>15450.247093060785</v>
      </c>
      <c r="D91" s="958">
        <v>15326.508257930947</v>
      </c>
      <c r="E91" s="886">
        <v>500</v>
      </c>
      <c r="F91" s="887">
        <v>4</v>
      </c>
      <c r="G91" s="888">
        <v>1110.9551003164036</v>
      </c>
      <c r="H91" s="884">
        <v>433</v>
      </c>
      <c r="I91" s="888">
        <v>425</v>
      </c>
      <c r="J91" s="888">
        <v>450</v>
      </c>
      <c r="K91" s="889">
        <v>0.37908269531484556</v>
      </c>
      <c r="L91" s="1674">
        <v>7.7957846483745347E-2</v>
      </c>
      <c r="M91" s="890">
        <v>1.1519173063162575</v>
      </c>
      <c r="N91" s="890">
        <v>6.2831853071795862</v>
      </c>
      <c r="O91" s="890">
        <v>0.42846552238668845</v>
      </c>
      <c r="P91" s="893">
        <v>0.97583392453653373</v>
      </c>
      <c r="Q91" s="893">
        <v>0.62267368588353444</v>
      </c>
      <c r="R91" s="893">
        <v>0.4882814144328691</v>
      </c>
      <c r="S91" s="958"/>
      <c r="T91" s="891" t="s">
        <v>2351</v>
      </c>
      <c r="U91" s="891"/>
      <c r="V91" s="968"/>
      <c r="W91" s="978" t="s">
        <v>1881</v>
      </c>
      <c r="X91" s="968" t="s">
        <v>2351</v>
      </c>
      <c r="Y91" s="971" t="s">
        <v>2352</v>
      </c>
      <c r="Z91" s="979" t="s">
        <v>2037</v>
      </c>
      <c r="AA91" s="885" t="s">
        <v>2038</v>
      </c>
      <c r="AB91" s="968" t="e">
        <v>#N/A</v>
      </c>
      <c r="AC91" s="968"/>
    </row>
    <row r="92" spans="1:29" ht="15" customHeight="1">
      <c r="A92" s="1396" t="s">
        <v>2353</v>
      </c>
      <c r="B92" s="958">
        <v>8636.8557128452994</v>
      </c>
      <c r="C92" s="958">
        <v>17752.463669445551</v>
      </c>
      <c r="D92" s="958">
        <v>17601.218960969312</v>
      </c>
      <c r="E92" s="886">
        <v>331</v>
      </c>
      <c r="F92" s="887">
        <v>5</v>
      </c>
      <c r="G92" s="888">
        <v>1210.9034354330288</v>
      </c>
      <c r="H92" s="884">
        <v>196</v>
      </c>
      <c r="I92" s="888">
        <v>186</v>
      </c>
      <c r="J92" s="888">
        <v>462</v>
      </c>
      <c r="K92" s="889">
        <v>0.45878917873615682</v>
      </c>
      <c r="L92" s="1674">
        <v>5.6274968533847503E-2</v>
      </c>
      <c r="M92" s="890">
        <v>1.1695180620736756</v>
      </c>
      <c r="N92" s="890">
        <v>6.2831853071795862</v>
      </c>
      <c r="O92" s="890">
        <v>0.50119102348978106</v>
      </c>
      <c r="P92" s="893">
        <v>1.0993044070251239</v>
      </c>
      <c r="Q92" s="893">
        <v>0.65839173797167372</v>
      </c>
      <c r="R92" s="893">
        <v>0.55251169746135509</v>
      </c>
      <c r="S92" s="958"/>
      <c r="T92" s="891" t="s">
        <v>2353</v>
      </c>
      <c r="U92" s="891"/>
      <c r="V92" s="968"/>
      <c r="W92" s="978" t="s">
        <v>1881</v>
      </c>
      <c r="X92" s="968" t="s">
        <v>2533</v>
      </c>
      <c r="Y92" s="971" t="s">
        <v>2523</v>
      </c>
      <c r="Z92" s="979" t="s">
        <v>2040</v>
      </c>
      <c r="AA92" s="885" t="s">
        <v>2041</v>
      </c>
      <c r="AB92" s="968" t="e">
        <v>#N/A</v>
      </c>
      <c r="AC92" s="968"/>
    </row>
    <row r="93" spans="1:29" ht="15" customHeight="1">
      <c r="A93" s="1396" t="s">
        <v>2354</v>
      </c>
      <c r="B93" s="958">
        <v>16094.030798267881</v>
      </c>
      <c r="C93" s="958">
        <v>29083.188417643549</v>
      </c>
      <c r="D93" s="958">
        <v>28877.902038417677</v>
      </c>
      <c r="E93" s="886">
        <v>450</v>
      </c>
      <c r="F93" s="887">
        <v>5</v>
      </c>
      <c r="G93" s="888">
        <v>1664.3543045494741</v>
      </c>
      <c r="H93" s="884">
        <v>285</v>
      </c>
      <c r="I93" s="888">
        <v>275</v>
      </c>
      <c r="J93" s="888">
        <v>600</v>
      </c>
      <c r="K93" s="889">
        <v>0.65231545640021271</v>
      </c>
      <c r="L93" s="1674">
        <v>4.9749767149476931E-2</v>
      </c>
      <c r="M93" s="890">
        <v>1.1344640137963142</v>
      </c>
      <c r="N93" s="890">
        <v>6.2831853071795862</v>
      </c>
      <c r="O93" s="890">
        <v>0.70533652211101383</v>
      </c>
      <c r="P93" s="893">
        <v>1.5299943351721073</v>
      </c>
      <c r="Q93" s="893">
        <v>0.89668709416463932</v>
      </c>
      <c r="R93" s="893">
        <v>0.76766721038483487</v>
      </c>
      <c r="S93" s="958"/>
      <c r="T93" s="891" t="s">
        <v>2354</v>
      </c>
      <c r="U93" s="891"/>
      <c r="V93" s="968"/>
      <c r="W93" s="978" t="s">
        <v>1881</v>
      </c>
      <c r="X93" s="968" t="s">
        <v>1524</v>
      </c>
      <c r="Y93" s="971" t="s">
        <v>2355</v>
      </c>
      <c r="Z93" s="979" t="s">
        <v>1026</v>
      </c>
      <c r="AA93" s="885" t="s">
        <v>2043</v>
      </c>
      <c r="AB93" s="968" t="e">
        <v>#N/A</v>
      </c>
      <c r="AC93" s="968"/>
    </row>
    <row r="94" spans="1:29" ht="15" customHeight="1">
      <c r="A94" s="1396" t="s">
        <v>2356</v>
      </c>
      <c r="B94" s="958">
        <v>5918.6424039857129</v>
      </c>
      <c r="C94" s="958">
        <v>11978.701466007105</v>
      </c>
      <c r="D94" s="958">
        <v>11880.665435874816</v>
      </c>
      <c r="E94" s="886">
        <v>400</v>
      </c>
      <c r="F94" s="887">
        <v>4</v>
      </c>
      <c r="G94" s="888">
        <v>877.5471186165172</v>
      </c>
      <c r="H94" s="884">
        <v>333</v>
      </c>
      <c r="I94" s="888">
        <v>325</v>
      </c>
      <c r="J94" s="888">
        <v>375</v>
      </c>
      <c r="K94" s="889">
        <v>0.29754139269362068</v>
      </c>
      <c r="L94" s="1674">
        <v>7.8860056716875404E-2</v>
      </c>
      <c r="M94" s="890">
        <v>1.2173819362313629</v>
      </c>
      <c r="N94" s="890">
        <v>6.2831853071795862</v>
      </c>
      <c r="O94" s="890">
        <v>0.33677883462582925</v>
      </c>
      <c r="P94" s="893">
        <v>0.76823788814797589</v>
      </c>
      <c r="Q94" s="893">
        <v>0.4923565137559674</v>
      </c>
      <c r="R94" s="893">
        <v>0.38519060486054985</v>
      </c>
      <c r="S94" s="958"/>
      <c r="T94" s="891" t="s">
        <v>2356</v>
      </c>
      <c r="U94" s="891"/>
      <c r="V94" s="968"/>
      <c r="W94" s="978" t="s">
        <v>1881</v>
      </c>
      <c r="X94" s="968" t="s">
        <v>2356</v>
      </c>
      <c r="Y94" s="971" t="s">
        <v>2357</v>
      </c>
      <c r="Z94" s="979"/>
      <c r="AA94" s="885" t="s">
        <v>2534</v>
      </c>
      <c r="AB94" s="968"/>
      <c r="AC94" s="968"/>
    </row>
    <row r="95" spans="1:29" ht="15" customHeight="1">
      <c r="A95" s="1396" t="s">
        <v>2358</v>
      </c>
      <c r="B95" s="958">
        <v>11525.235216567549</v>
      </c>
      <c r="C95" s="958">
        <v>23228.326942107349</v>
      </c>
      <c r="D95" s="958">
        <v>23029.382760333712</v>
      </c>
      <c r="E95" s="886">
        <v>200</v>
      </c>
      <c r="F95" s="887">
        <v>6</v>
      </c>
      <c r="G95" s="888">
        <v>1341.8333657840433</v>
      </c>
      <c r="H95" s="884">
        <v>162</v>
      </c>
      <c r="I95" s="888">
        <v>150</v>
      </c>
      <c r="J95" s="888">
        <v>425</v>
      </c>
      <c r="K95" s="889">
        <v>0.63609229088442965</v>
      </c>
      <c r="L95" s="1674">
        <v>9.3815475648114707E-3</v>
      </c>
      <c r="M95" s="890">
        <v>1.172028628152634</v>
      </c>
      <c r="N95" s="890">
        <v>6.2831853071795862</v>
      </c>
      <c r="O95" s="890">
        <v>0.64553547406169842</v>
      </c>
      <c r="P95" s="893">
        <v>1.3103799653545847</v>
      </c>
      <c r="Q95" s="893">
        <v>0.68071451865471366</v>
      </c>
      <c r="R95" s="893">
        <v>0.66111884712932967</v>
      </c>
      <c r="S95" s="958"/>
      <c r="T95" s="891" t="s">
        <v>2358</v>
      </c>
      <c r="U95" s="891"/>
      <c r="V95" s="968"/>
      <c r="W95" s="978" t="s">
        <v>1881</v>
      </c>
      <c r="X95" s="968" t="s">
        <v>2358</v>
      </c>
      <c r="Y95" s="971" t="s">
        <v>2281</v>
      </c>
      <c r="Z95" s="979"/>
      <c r="AA95" s="885" t="s">
        <v>2535</v>
      </c>
      <c r="AB95" s="968"/>
      <c r="AC95" s="968"/>
    </row>
    <row r="96" spans="1:29" ht="15" customHeight="1">
      <c r="A96" s="1396" t="s">
        <v>2359</v>
      </c>
      <c r="B96" s="958">
        <v>10137.073650001341</v>
      </c>
      <c r="C96" s="958">
        <v>20453.88588013051</v>
      </c>
      <c r="D96" s="958">
        <v>20283.314579297585</v>
      </c>
      <c r="E96" s="886">
        <v>350</v>
      </c>
      <c r="F96" s="887">
        <v>5</v>
      </c>
      <c r="G96" s="888">
        <v>1319.6207918151017</v>
      </c>
      <c r="H96" s="884">
        <v>235</v>
      </c>
      <c r="I96" s="888">
        <v>225</v>
      </c>
      <c r="J96" s="888">
        <v>450</v>
      </c>
      <c r="K96" s="889">
        <v>0.55023126850631976</v>
      </c>
      <c r="L96" s="1674">
        <v>3.6575409143237633E-2</v>
      </c>
      <c r="M96" s="890">
        <v>1.1344640137963142</v>
      </c>
      <c r="N96" s="890">
        <v>6.2831853071795862</v>
      </c>
      <c r="O96" s="890">
        <v>0.58276918354643958</v>
      </c>
      <c r="P96" s="893">
        <v>1.2365003673624275</v>
      </c>
      <c r="Q96" s="893">
        <v>0.69738956427448984</v>
      </c>
      <c r="R96" s="893">
        <v>0.62223122754061189</v>
      </c>
      <c r="S96" s="958"/>
      <c r="T96" s="891" t="s">
        <v>2359</v>
      </c>
      <c r="U96" s="891"/>
      <c r="V96" s="968"/>
      <c r="W96" s="978" t="s">
        <v>1881</v>
      </c>
      <c r="X96" s="968" t="s">
        <v>2359</v>
      </c>
      <c r="Y96" s="971" t="s">
        <v>2360</v>
      </c>
      <c r="Z96" s="979"/>
      <c r="AA96" s="885" t="s">
        <v>2536</v>
      </c>
      <c r="AB96" s="968"/>
      <c r="AC96" s="968"/>
    </row>
    <row r="97" spans="1:29" ht="15" customHeight="1">
      <c r="A97" s="1396" t="s">
        <v>2524</v>
      </c>
      <c r="B97" s="958">
        <v>10611.404350178167</v>
      </c>
      <c r="C97" s="958">
        <v>21494.72653848576</v>
      </c>
      <c r="D97" s="958">
        <v>21312.838873125642</v>
      </c>
      <c r="E97" s="886">
        <v>278</v>
      </c>
      <c r="F97" s="887">
        <v>5</v>
      </c>
      <c r="G97" s="888">
        <v>1302.6241641649626</v>
      </c>
      <c r="H97" s="884">
        <v>192</v>
      </c>
      <c r="I97" s="888">
        <v>182</v>
      </c>
      <c r="J97" s="888">
        <v>442</v>
      </c>
      <c r="K97" s="889">
        <v>0.57215797844931815</v>
      </c>
      <c r="L97" s="1674">
        <v>2.5688342053874179E-2</v>
      </c>
      <c r="M97" s="890">
        <v>1.1693705988362009</v>
      </c>
      <c r="N97" s="890">
        <v>6.2831853071795862</v>
      </c>
      <c r="O97" s="890">
        <v>0.59571733991934539</v>
      </c>
      <c r="P97" s="893">
        <v>1.2415036110305224</v>
      </c>
      <c r="Q97" s="893">
        <v>0.67737737490863448</v>
      </c>
      <c r="R97" s="893">
        <v>0.62524678925632804</v>
      </c>
      <c r="S97" s="958"/>
      <c r="T97" s="891" t="s">
        <v>2524</v>
      </c>
      <c r="U97" s="891"/>
      <c r="V97" s="968"/>
      <c r="W97" s="978" t="s">
        <v>1881</v>
      </c>
      <c r="X97" s="968" t="s">
        <v>2524</v>
      </c>
      <c r="Y97" s="971" t="s">
        <v>2525</v>
      </c>
      <c r="Z97" s="979"/>
      <c r="AA97" s="885" t="s">
        <v>2543</v>
      </c>
      <c r="AB97" s="968"/>
      <c r="AC97" s="968"/>
    </row>
    <row r="98" spans="1:29" ht="15" customHeight="1">
      <c r="A98" s="1396" t="s">
        <v>2361</v>
      </c>
      <c r="B98" s="958">
        <v>16504.585206202333</v>
      </c>
      <c r="C98" s="958">
        <v>29680.92536178555</v>
      </c>
      <c r="D98" s="958">
        <v>29475.638982559678</v>
      </c>
      <c r="E98" s="886"/>
      <c r="F98" s="887"/>
      <c r="G98" s="888"/>
      <c r="H98" s="884">
        <v>0</v>
      </c>
      <c r="I98" s="888"/>
      <c r="J98" s="888"/>
      <c r="K98" s="889"/>
      <c r="L98" s="1674"/>
      <c r="M98" s="890"/>
      <c r="N98" s="890"/>
      <c r="O98" s="890"/>
      <c r="P98" s="893">
        <v>0</v>
      </c>
      <c r="Q98" s="893">
        <v>0</v>
      </c>
      <c r="R98" s="893">
        <v>0</v>
      </c>
      <c r="S98" s="958"/>
      <c r="T98" s="891" t="s">
        <v>2361</v>
      </c>
      <c r="U98" s="891"/>
      <c r="V98" s="968"/>
      <c r="W98" s="978" t="s">
        <v>1881</v>
      </c>
      <c r="X98" s="968" t="s">
        <v>2537</v>
      </c>
      <c r="Y98" s="971" t="s">
        <v>2526</v>
      </c>
      <c r="Z98" s="979"/>
      <c r="AA98" s="885"/>
      <c r="AB98" s="968"/>
      <c r="AC98" s="968"/>
    </row>
    <row r="99" spans="1:29" ht="15" customHeight="1">
      <c r="A99" s="1396" t="s">
        <v>2362</v>
      </c>
      <c r="B99" s="958">
        <v>47195.592695113679</v>
      </c>
      <c r="C99" s="958">
        <v>68590.855240429169</v>
      </c>
      <c r="D99" s="958">
        <v>68338.501357528628</v>
      </c>
      <c r="E99" s="886">
        <v>1350</v>
      </c>
      <c r="F99" s="887">
        <v>5</v>
      </c>
      <c r="G99" s="888">
        <v>2810.0022741290645</v>
      </c>
      <c r="H99" s="884">
        <v>1010</v>
      </c>
      <c r="I99" s="888">
        <v>1000</v>
      </c>
      <c r="J99" s="888">
        <v>1325</v>
      </c>
      <c r="K99" s="889">
        <v>0.73488128269999475</v>
      </c>
      <c r="L99" s="1674">
        <v>0.13222653040182564</v>
      </c>
      <c r="M99" s="890">
        <v>1.1333146975541581</v>
      </c>
      <c r="N99" s="890">
        <v>6.2831853071795862</v>
      </c>
      <c r="O99" s="890">
        <v>0.90452497309739399</v>
      </c>
      <c r="P99" s="893">
        <v>2.2748617495089456</v>
      </c>
      <c r="Q99" s="893">
        <v>1.6916722081477189</v>
      </c>
      <c r="R99" s="893">
        <v>1.1183300659813458</v>
      </c>
      <c r="S99" s="958"/>
      <c r="T99" s="891" t="s">
        <v>2362</v>
      </c>
      <c r="U99" s="891"/>
      <c r="V99" s="968"/>
      <c r="W99" s="978" t="s">
        <v>1881</v>
      </c>
      <c r="X99" s="968" t="s">
        <v>2362</v>
      </c>
      <c r="Y99" s="971" t="s">
        <v>2363</v>
      </c>
      <c r="Z99" s="979"/>
      <c r="AA99" s="885" t="s">
        <v>2538</v>
      </c>
      <c r="AB99" s="968"/>
      <c r="AC99" s="968"/>
    </row>
    <row r="100" spans="1:29" ht="15" customHeight="1">
      <c r="A100" s="1396" t="s">
        <v>2364</v>
      </c>
      <c r="B100" s="958">
        <v>86896.952539485181</v>
      </c>
      <c r="C100" s="958">
        <v>120699.13837743859</v>
      </c>
      <c r="D100" s="958">
        <v>120391.30778581683</v>
      </c>
      <c r="E100" s="886">
        <v>1700</v>
      </c>
      <c r="F100" s="887">
        <v>5</v>
      </c>
      <c r="G100" s="888">
        <v>3178.0224346160021</v>
      </c>
      <c r="H100" s="884">
        <v>1485</v>
      </c>
      <c r="I100" s="888">
        <v>1475</v>
      </c>
      <c r="J100" s="888">
        <v>1525</v>
      </c>
      <c r="K100" s="889">
        <v>0.89946072035969615</v>
      </c>
      <c r="L100" s="1674">
        <v>0.11655513394896098</v>
      </c>
      <c r="M100" s="890">
        <v>1.2312303797444535</v>
      </c>
      <c r="N100" s="890">
        <v>6.2831853071795862</v>
      </c>
      <c r="O100" s="890">
        <v>1.080176529938857</v>
      </c>
      <c r="P100" s="893">
        <v>2.6380056057288006</v>
      </c>
      <c r="Q100" s="893">
        <v>1.8758214458233491</v>
      </c>
      <c r="R100" s="893">
        <v>1.3022009887926531</v>
      </c>
      <c r="S100" s="958"/>
      <c r="T100" s="891" t="s">
        <v>2364</v>
      </c>
      <c r="U100" s="891"/>
      <c r="V100" s="968"/>
      <c r="W100" s="978" t="s">
        <v>1881</v>
      </c>
      <c r="X100" s="968" t="s">
        <v>2364</v>
      </c>
      <c r="Y100" s="971" t="s">
        <v>2365</v>
      </c>
      <c r="Z100" s="979"/>
      <c r="AA100" s="885" t="s">
        <v>2539</v>
      </c>
      <c r="AB100" s="968"/>
      <c r="AC100" s="968"/>
    </row>
    <row r="101" spans="1:29" ht="15" customHeight="1">
      <c r="A101" s="1396" t="s">
        <v>2412</v>
      </c>
      <c r="B101" s="958">
        <v>63788.230485782442</v>
      </c>
      <c r="C101" s="958">
        <v>89650.269561090798</v>
      </c>
      <c r="D101" s="958">
        <v>89369.543820032501</v>
      </c>
      <c r="E101" s="886">
        <v>1625</v>
      </c>
      <c r="F101" s="887">
        <v>5</v>
      </c>
      <c r="G101" s="888">
        <v>3219.8546682247384</v>
      </c>
      <c r="H101" s="884">
        <v>1285</v>
      </c>
      <c r="I101" s="888">
        <v>1275</v>
      </c>
      <c r="J101" s="888">
        <v>1625</v>
      </c>
      <c r="K101" s="889">
        <v>0.76151635614453639</v>
      </c>
      <c r="L101" s="1674">
        <v>0.15219728288207379</v>
      </c>
      <c r="M101" s="890">
        <v>1.1681407662289616</v>
      </c>
      <c r="N101" s="890">
        <v>6.2831853071795862</v>
      </c>
      <c r="O101" s="890">
        <v>0.96717802986980728</v>
      </c>
      <c r="P101" s="893">
        <v>2.5273080603672002</v>
      </c>
      <c r="Q101" s="893">
        <v>1.986472199594878</v>
      </c>
      <c r="R101" s="893">
        <v>1.2333824686298605</v>
      </c>
      <c r="S101" s="958"/>
      <c r="T101" s="891" t="s">
        <v>2412</v>
      </c>
      <c r="U101" s="891"/>
      <c r="V101" s="968"/>
      <c r="W101" s="978" t="s">
        <v>1881</v>
      </c>
      <c r="X101" s="968" t="s">
        <v>2412</v>
      </c>
      <c r="Y101" s="971" t="s">
        <v>2413</v>
      </c>
      <c r="Z101" s="979"/>
      <c r="AA101" s="885" t="s">
        <v>2540</v>
      </c>
      <c r="AB101" s="968"/>
      <c r="AC101" s="968"/>
    </row>
    <row r="102" spans="1:29" ht="15" customHeight="1">
      <c r="A102" s="1396" t="s">
        <v>2527</v>
      </c>
      <c r="B102" s="958">
        <v>6701.4735667127388</v>
      </c>
      <c r="C102" s="958">
        <v>15158.60884070087</v>
      </c>
      <c r="D102" s="958">
        <v>15014.341367648442</v>
      </c>
      <c r="E102" s="886">
        <v>150</v>
      </c>
      <c r="F102" s="887">
        <v>4</v>
      </c>
      <c r="G102" s="888">
        <v>1064.6476460409735</v>
      </c>
      <c r="H102" s="884">
        <v>147</v>
      </c>
      <c r="I102" s="888">
        <v>139</v>
      </c>
      <c r="J102" s="888">
        <v>376</v>
      </c>
      <c r="K102" s="889">
        <v>0.44624743819776408</v>
      </c>
      <c r="L102" s="1674">
        <v>3.5498339487983178E-2</v>
      </c>
      <c r="M102" s="890">
        <v>1.1693705988362009</v>
      </c>
      <c r="N102" s="890">
        <v>6.2831853071795862</v>
      </c>
      <c r="O102" s="890">
        <v>0.4718373145548862</v>
      </c>
      <c r="P102" s="893">
        <v>0.99934085452377308</v>
      </c>
      <c r="Q102" s="893">
        <v>0.56175301416254209</v>
      </c>
      <c r="R102" s="893">
        <v>0.50289463187843142</v>
      </c>
      <c r="S102" s="958"/>
      <c r="T102" s="891" t="s">
        <v>2527</v>
      </c>
      <c r="U102" s="891"/>
      <c r="V102" s="968"/>
      <c r="W102" s="978" t="s">
        <v>1881</v>
      </c>
      <c r="X102" s="968" t="s">
        <v>2527</v>
      </c>
      <c r="Y102" s="971" t="s">
        <v>2528</v>
      </c>
      <c r="Z102" s="979"/>
      <c r="AA102" s="885" t="s">
        <v>2544</v>
      </c>
      <c r="AB102" s="968"/>
      <c r="AC102" s="968"/>
    </row>
    <row r="103" spans="1:29" ht="15" customHeight="1">
      <c r="A103" s="1396" t="s">
        <v>2574</v>
      </c>
      <c r="B103" s="958">
        <v>10297.209539235548</v>
      </c>
      <c r="C103" s="958">
        <v>21189.58639121486</v>
      </c>
      <c r="D103" s="958">
        <v>20994.56061953431</v>
      </c>
      <c r="E103" s="886">
        <v>298</v>
      </c>
      <c r="F103" s="887">
        <v>5</v>
      </c>
      <c r="G103" s="888">
        <v>1275.3077955136587</v>
      </c>
      <c r="H103" s="884">
        <v>180</v>
      </c>
      <c r="I103" s="888">
        <v>170</v>
      </c>
      <c r="J103" s="888">
        <v>413</v>
      </c>
      <c r="K103" s="889">
        <v>0.58965004872894622</v>
      </c>
      <c r="L103" s="1674">
        <v>1.4880168919100583E-2</v>
      </c>
      <c r="M103" s="890">
        <v>1.1693705988362009</v>
      </c>
      <c r="N103" s="890">
        <v>6.2831853071795862</v>
      </c>
      <c r="O103" s="890">
        <v>0.60359469496055018</v>
      </c>
      <c r="P103" s="893">
        <v>1.2360758129766318</v>
      </c>
      <c r="Q103" s="893">
        <v>0.65243867709356429</v>
      </c>
      <c r="R103" s="893">
        <v>0.6228691184200944</v>
      </c>
      <c r="S103" s="958"/>
      <c r="T103" s="891" t="s">
        <v>2574</v>
      </c>
      <c r="U103" s="891"/>
      <c r="V103" s="968"/>
      <c r="W103" s="978" t="s">
        <v>1881</v>
      </c>
      <c r="X103" s="968"/>
      <c r="Y103" s="971" t="s">
        <v>2740</v>
      </c>
      <c r="Z103" s="979"/>
      <c r="AA103" s="885" t="s">
        <v>2741</v>
      </c>
      <c r="AB103" s="968"/>
      <c r="AC103" s="968"/>
    </row>
    <row r="104" spans="1:29" ht="15" customHeight="1">
      <c r="A104" s="1396" t="s">
        <v>2629</v>
      </c>
      <c r="B104" s="958">
        <v>17520.287517024237</v>
      </c>
      <c r="C104" s="958">
        <v>29637.790865502331</v>
      </c>
      <c r="D104" s="958">
        <v>29471.947443160341</v>
      </c>
      <c r="E104" s="886">
        <v>650</v>
      </c>
      <c r="F104" s="887">
        <v>5</v>
      </c>
      <c r="G104" s="888">
        <v>1642.9213208902806</v>
      </c>
      <c r="H104" s="884">
        <v>485</v>
      </c>
      <c r="I104" s="888">
        <v>475</v>
      </c>
      <c r="J104" s="888">
        <v>700</v>
      </c>
      <c r="K104" s="889">
        <v>0.52812435600783358</v>
      </c>
      <c r="L104" s="1674">
        <v>9.0318662176325865E-2</v>
      </c>
      <c r="M104" s="890">
        <v>1.1651668628717871</v>
      </c>
      <c r="N104" s="890">
        <v>6.2831853071795862</v>
      </c>
      <c r="O104" s="890">
        <v>0.60862602675244637</v>
      </c>
      <c r="P104" s="893">
        <v>1.4169382890314819</v>
      </c>
      <c r="Q104" s="893">
        <v>0.93652280323703474</v>
      </c>
      <c r="R104" s="893">
        <v>0.70639851765324591</v>
      </c>
      <c r="S104" s="958"/>
      <c r="T104" s="891" t="s">
        <v>2629</v>
      </c>
      <c r="U104" s="891"/>
      <c r="V104" s="968"/>
      <c r="W104" s="978" t="s">
        <v>1881</v>
      </c>
      <c r="X104" s="968"/>
      <c r="Y104" s="971" t="s">
        <v>2742</v>
      </c>
      <c r="Z104" s="979"/>
      <c r="AA104" s="885" t="s">
        <v>2743</v>
      </c>
      <c r="AB104" s="968"/>
      <c r="AC104" s="968"/>
    </row>
    <row r="105" spans="1:29" ht="15" customHeight="1">
      <c r="A105" s="1397" t="s">
        <v>2689</v>
      </c>
      <c r="B105" s="958">
        <v>8065.2155581172919</v>
      </c>
      <c r="C105" s="958">
        <v>15386.611000524003</v>
      </c>
      <c r="D105" s="958">
        <v>15285.979324874812</v>
      </c>
      <c r="E105" s="886">
        <v>488</v>
      </c>
      <c r="F105" s="887">
        <v>4</v>
      </c>
      <c r="G105" s="888">
        <v>1147.8869696271706</v>
      </c>
      <c r="H105" s="884">
        <v>379</v>
      </c>
      <c r="I105" s="888">
        <v>371</v>
      </c>
      <c r="J105" s="888">
        <v>504.15220433045459</v>
      </c>
      <c r="K105" s="889">
        <v>0.35469725086656501</v>
      </c>
      <c r="L105" s="1674">
        <v>9.8132563740484596E-2</v>
      </c>
      <c r="M105" s="890">
        <v>1.1764406625455939</v>
      </c>
      <c r="N105" s="890">
        <v>6.2831853071795862</v>
      </c>
      <c r="O105" s="890">
        <v>0.41381163477663474</v>
      </c>
      <c r="P105" s="893">
        <v>0.97705028193230037</v>
      </c>
      <c r="Q105" s="893">
        <v>0.66110885770735084</v>
      </c>
      <c r="R105" s="893">
        <v>0.4867781119198199</v>
      </c>
      <c r="S105" s="958"/>
      <c r="T105" s="891" t="s">
        <v>2689</v>
      </c>
      <c r="U105" s="891"/>
      <c r="V105" s="968"/>
      <c r="W105" s="978" t="s">
        <v>1881</v>
      </c>
      <c r="X105" s="968"/>
      <c r="Y105" s="971" t="s">
        <v>2744</v>
      </c>
      <c r="Z105" s="979"/>
      <c r="AA105" s="885" t="s">
        <v>2745</v>
      </c>
      <c r="AB105" s="968"/>
      <c r="AC105" s="968"/>
    </row>
    <row r="106" spans="1:29" ht="15" customHeight="1">
      <c r="A106" s="924" t="s">
        <v>1570</v>
      </c>
      <c r="B106" s="958">
        <v>2820.0702723372506</v>
      </c>
      <c r="C106" s="958">
        <v>6282.7344933913382</v>
      </c>
      <c r="D106" s="958">
        <v>6230.8969137735048</v>
      </c>
      <c r="E106" s="886">
        <v>98</v>
      </c>
      <c r="F106" s="887">
        <v>3</v>
      </c>
      <c r="G106" s="888">
        <v>394.473027618054</v>
      </c>
      <c r="H106" s="884">
        <v>70</v>
      </c>
      <c r="I106" s="888">
        <v>64</v>
      </c>
      <c r="J106" s="888">
        <v>117.8583366117297</v>
      </c>
      <c r="K106" s="889">
        <v>0.16266468239880821</v>
      </c>
      <c r="L106" s="1674">
        <v>3.727878523101251E-2</v>
      </c>
      <c r="M106" s="890">
        <v>1.0249206336432248</v>
      </c>
      <c r="N106" s="890">
        <v>6.2831853071795862</v>
      </c>
      <c r="O106" s="890">
        <v>0.18054966867164146</v>
      </c>
      <c r="P106" s="893">
        <v>0.37445364234748318</v>
      </c>
      <c r="Q106" s="893">
        <v>0.20859751241842803</v>
      </c>
      <c r="R106" s="893">
        <v>0.185875515199626</v>
      </c>
      <c r="S106" s="958"/>
      <c r="T106" s="891" t="s">
        <v>1570</v>
      </c>
      <c r="U106" s="891"/>
      <c r="V106" s="968"/>
      <c r="W106" s="980" t="s">
        <v>2045</v>
      </c>
      <c r="X106" s="968" t="s">
        <v>1570</v>
      </c>
      <c r="Y106" s="971" t="s">
        <v>2690</v>
      </c>
      <c r="Z106" s="899" t="s">
        <v>1998</v>
      </c>
      <c r="AA106" s="892" t="s">
        <v>1998</v>
      </c>
      <c r="AB106" s="968">
        <v>89</v>
      </c>
      <c r="AC106" s="968"/>
    </row>
    <row r="107" spans="1:29" ht="15" customHeight="1">
      <c r="A107" s="924" t="s">
        <v>1571</v>
      </c>
      <c r="B107" s="958">
        <v>3091.1405558177653</v>
      </c>
      <c r="C107" s="958">
        <v>7194.1367851880041</v>
      </c>
      <c r="D107" s="958">
        <v>7128.81481066571</v>
      </c>
      <c r="E107" s="886">
        <v>98</v>
      </c>
      <c r="F107" s="887">
        <v>3</v>
      </c>
      <c r="G107" s="888">
        <v>479.94792270879748</v>
      </c>
      <c r="H107" s="884">
        <v>70</v>
      </c>
      <c r="I107" s="888">
        <v>64</v>
      </c>
      <c r="J107" s="888">
        <v>117.8588659330926</v>
      </c>
      <c r="K107" s="889">
        <v>0.20560070040486636</v>
      </c>
      <c r="L107" s="1674">
        <v>2.9902373804087255E-2</v>
      </c>
      <c r="M107" s="890">
        <v>0.90649411987203488</v>
      </c>
      <c r="N107" s="890">
        <v>6.2831853071795862</v>
      </c>
      <c r="O107" s="890">
        <v>0.20790886289767813</v>
      </c>
      <c r="P107" s="893">
        <v>0.4446216546285835</v>
      </c>
      <c r="Q107" s="893">
        <v>0.2510965775465131</v>
      </c>
      <c r="R107" s="893">
        <v>0.22885134516228439</v>
      </c>
      <c r="S107" s="958"/>
      <c r="T107" s="891" t="s">
        <v>1571</v>
      </c>
      <c r="U107" s="891"/>
      <c r="V107" s="968"/>
      <c r="W107" s="981" t="s">
        <v>2045</v>
      </c>
      <c r="X107" s="968" t="s">
        <v>1571</v>
      </c>
      <c r="Y107" s="971" t="s">
        <v>2691</v>
      </c>
      <c r="Z107" s="899" t="s">
        <v>2001</v>
      </c>
      <c r="AA107" s="892" t="s">
        <v>2001</v>
      </c>
      <c r="AB107" s="968">
        <v>90</v>
      </c>
      <c r="AC107" s="968"/>
    </row>
    <row r="108" spans="1:29" ht="15" customHeight="1">
      <c r="A108" s="924" t="s">
        <v>1572</v>
      </c>
      <c r="B108" s="958">
        <v>3062.7012183535262</v>
      </c>
      <c r="C108" s="958">
        <v>7146.2339964188468</v>
      </c>
      <c r="D108" s="958">
        <v>7081.9460370851866</v>
      </c>
      <c r="E108" s="886">
        <v>102</v>
      </c>
      <c r="F108" s="887">
        <v>3</v>
      </c>
      <c r="G108" s="888">
        <v>484.57224661858214</v>
      </c>
      <c r="H108" s="884">
        <v>86</v>
      </c>
      <c r="I108" s="888">
        <v>80</v>
      </c>
      <c r="J108" s="888">
        <v>102.1442736110244</v>
      </c>
      <c r="K108" s="889">
        <v>0.20607816059416359</v>
      </c>
      <c r="L108" s="1674">
        <v>3.1445844117781244E-2</v>
      </c>
      <c r="M108" s="890">
        <v>0.78823608476046081</v>
      </c>
      <c r="N108" s="890">
        <v>6.2831853071795862</v>
      </c>
      <c r="O108" s="890">
        <v>0.18724952956001703</v>
      </c>
      <c r="P108" s="893">
        <v>0.426244036102015</v>
      </c>
      <c r="Q108" s="893">
        <v>0.25409606196857815</v>
      </c>
      <c r="R108" s="893">
        <v>0.23047618465000397</v>
      </c>
      <c r="S108" s="958"/>
      <c r="T108" s="891" t="s">
        <v>1572</v>
      </c>
      <c r="U108" s="891"/>
      <c r="V108" s="968"/>
      <c r="W108" s="981" t="s">
        <v>2045</v>
      </c>
      <c r="X108" s="968" t="s">
        <v>1572</v>
      </c>
      <c r="Y108" s="971" t="s">
        <v>2366</v>
      </c>
      <c r="Z108" s="899" t="s">
        <v>2004</v>
      </c>
      <c r="AA108" s="892" t="s">
        <v>2004</v>
      </c>
      <c r="AB108" s="968">
        <v>91</v>
      </c>
      <c r="AC108" s="968"/>
    </row>
    <row r="109" spans="1:29" ht="15" customHeight="1">
      <c r="A109" s="924" t="s">
        <v>1573</v>
      </c>
      <c r="B109" s="958">
        <v>3198.7772471490889</v>
      </c>
      <c r="C109" s="958">
        <v>7298.8545402126965</v>
      </c>
      <c r="D109" s="958">
        <v>7234.5665808790363</v>
      </c>
      <c r="E109" s="886">
        <v>125</v>
      </c>
      <c r="F109" s="887">
        <v>3</v>
      </c>
      <c r="G109" s="888">
        <v>484.4453570601197</v>
      </c>
      <c r="H109" s="884">
        <v>100</v>
      </c>
      <c r="I109" s="888">
        <v>94</v>
      </c>
      <c r="J109" s="888">
        <v>130.55154797121702</v>
      </c>
      <c r="K109" s="889">
        <v>0.20469611982967684</v>
      </c>
      <c r="L109" s="1674">
        <v>3.2794837364853162E-2</v>
      </c>
      <c r="M109" s="890">
        <v>0.96099665928496258</v>
      </c>
      <c r="N109" s="890">
        <v>6.2831853071795862</v>
      </c>
      <c r="O109" s="890">
        <v>0.21646860522839281</v>
      </c>
      <c r="P109" s="893">
        <v>0.45537422254242643</v>
      </c>
      <c r="Q109" s="893">
        <v>0.25453510878963359</v>
      </c>
      <c r="R109" s="893">
        <v>0.22991024827048612</v>
      </c>
      <c r="S109" s="958"/>
      <c r="T109" s="891" t="s">
        <v>1573</v>
      </c>
      <c r="U109" s="891"/>
      <c r="V109" s="968"/>
      <c r="W109" s="981" t="s">
        <v>2045</v>
      </c>
      <c r="X109" s="968" t="s">
        <v>1573</v>
      </c>
      <c r="Y109" s="971" t="s">
        <v>2367</v>
      </c>
      <c r="Z109" s="899" t="s">
        <v>2007</v>
      </c>
      <c r="AA109" s="892" t="s">
        <v>2007</v>
      </c>
      <c r="AB109" s="968">
        <v>92</v>
      </c>
      <c r="AC109" s="968"/>
    </row>
    <row r="110" spans="1:29" ht="15" customHeight="1">
      <c r="A110" s="924" t="s">
        <v>1574</v>
      </c>
      <c r="B110" s="958">
        <v>3216.9616660625579</v>
      </c>
      <c r="C110" s="958">
        <v>7954.3507767754945</v>
      </c>
      <c r="D110" s="958">
        <v>7877.1114149430578</v>
      </c>
      <c r="E110" s="886">
        <v>98</v>
      </c>
      <c r="F110" s="887">
        <v>3</v>
      </c>
      <c r="G110" s="888">
        <v>519.6800479867029</v>
      </c>
      <c r="H110" s="884">
        <v>70</v>
      </c>
      <c r="I110" s="888">
        <v>64</v>
      </c>
      <c r="J110" s="888">
        <v>117.85872663762549</v>
      </c>
      <c r="K110" s="889">
        <v>0.25262695713764749</v>
      </c>
      <c r="L110" s="1674">
        <v>3.5065704387824618E-3</v>
      </c>
      <c r="M110" s="890">
        <v>0.98383882279058543</v>
      </c>
      <c r="N110" s="890">
        <v>6.2831853071795862</v>
      </c>
      <c r="O110" s="890">
        <v>0.26383949079758218</v>
      </c>
      <c r="P110" s="893">
        <v>0.52067561867290624</v>
      </c>
      <c r="Q110" s="893">
        <v>0.26125471226837793</v>
      </c>
      <c r="R110" s="893">
        <v>0.25842533571832493</v>
      </c>
      <c r="S110" s="958"/>
      <c r="T110" s="891" t="s">
        <v>1574</v>
      </c>
      <c r="U110" s="891"/>
      <c r="V110" s="968"/>
      <c r="W110" s="981" t="s">
        <v>2045</v>
      </c>
      <c r="X110" s="968" t="s">
        <v>1574</v>
      </c>
      <c r="Y110" s="971" t="s">
        <v>2692</v>
      </c>
      <c r="Z110" s="899" t="s">
        <v>2010</v>
      </c>
      <c r="AA110" s="892" t="s">
        <v>2010</v>
      </c>
      <c r="AB110" s="968">
        <v>93</v>
      </c>
      <c r="AC110" s="968"/>
    </row>
    <row r="111" spans="1:29" ht="15" customHeight="1">
      <c r="A111" s="924" t="s">
        <v>1575</v>
      </c>
      <c r="B111" s="958">
        <v>3470.102779316695</v>
      </c>
      <c r="C111" s="958">
        <v>8317.7670354703441</v>
      </c>
      <c r="D111" s="958">
        <v>8238.4916128833756</v>
      </c>
      <c r="E111" s="886">
        <v>160</v>
      </c>
      <c r="F111" s="887">
        <v>3</v>
      </c>
      <c r="G111" s="888">
        <v>519.99177966956609</v>
      </c>
      <c r="H111" s="884">
        <v>130</v>
      </c>
      <c r="I111" s="888">
        <v>124</v>
      </c>
      <c r="J111" s="888">
        <v>167</v>
      </c>
      <c r="K111" s="889">
        <v>0.26130000000000003</v>
      </c>
      <c r="L111" s="1674">
        <v>9.9999999999999995E-7</v>
      </c>
      <c r="M111" s="890">
        <v>1.2217304763960306</v>
      </c>
      <c r="N111" s="890">
        <v>6.2831853071795862</v>
      </c>
      <c r="O111" s="890">
        <v>0.26130000000000003</v>
      </c>
      <c r="P111" s="893">
        <v>0.52260123135014191</v>
      </c>
      <c r="Q111" s="893">
        <v>0.26430164180147869</v>
      </c>
      <c r="R111" s="893">
        <v>0.25569013786808742</v>
      </c>
      <c r="S111" s="958"/>
      <c r="T111" s="891" t="s">
        <v>1575</v>
      </c>
      <c r="U111" s="891"/>
      <c r="V111" s="968"/>
      <c r="W111" s="981" t="s">
        <v>2045</v>
      </c>
      <c r="X111" s="968" t="s">
        <v>1575</v>
      </c>
      <c r="Y111" s="971" t="s">
        <v>2693</v>
      </c>
      <c r="Z111" s="899" t="s">
        <v>2013</v>
      </c>
      <c r="AA111" s="892" t="s">
        <v>2013</v>
      </c>
      <c r="AB111" s="968">
        <v>94</v>
      </c>
      <c r="AC111" s="968"/>
    </row>
    <row r="112" spans="1:29" ht="15" customHeight="1">
      <c r="A112" s="924" t="s">
        <v>1576</v>
      </c>
      <c r="B112" s="958">
        <v>3573.6249397237671</v>
      </c>
      <c r="C112" s="958">
        <v>8429.3076473415822</v>
      </c>
      <c r="D112" s="958">
        <v>8350.0322247546173</v>
      </c>
      <c r="E112" s="886">
        <v>200</v>
      </c>
      <c r="F112" s="887">
        <v>3</v>
      </c>
      <c r="G112" s="888">
        <v>520.91174588509273</v>
      </c>
      <c r="H112" s="884">
        <v>170</v>
      </c>
      <c r="I112" s="888">
        <v>164</v>
      </c>
      <c r="J112" s="888">
        <v>196</v>
      </c>
      <c r="K112" s="889">
        <v>0.26101558191811031</v>
      </c>
      <c r="L112" s="1674">
        <v>9.9999999999999995E-7</v>
      </c>
      <c r="M112" s="890">
        <v>1.3368348887769652</v>
      </c>
      <c r="N112" s="890">
        <v>6.2831853071795862</v>
      </c>
      <c r="O112" s="890">
        <v>0.26100000000000001</v>
      </c>
      <c r="P112" s="893">
        <v>0.52201681192796046</v>
      </c>
      <c r="Q112" s="893">
        <v>0.2640172219325318</v>
      </c>
      <c r="R112" s="893">
        <v>0.2568945239525609</v>
      </c>
      <c r="S112" s="958"/>
      <c r="T112" s="891" t="s">
        <v>1576</v>
      </c>
      <c r="U112" s="891"/>
      <c r="V112" s="968"/>
      <c r="W112" s="981" t="s">
        <v>2045</v>
      </c>
      <c r="X112" s="968" t="s">
        <v>1576</v>
      </c>
      <c r="Y112" s="971" t="s">
        <v>2694</v>
      </c>
      <c r="Z112" s="899" t="s">
        <v>2016</v>
      </c>
      <c r="AA112" s="892" t="s">
        <v>2016</v>
      </c>
      <c r="AB112" s="968">
        <v>95</v>
      </c>
      <c r="AC112" s="968"/>
    </row>
    <row r="113" spans="1:29" ht="15" customHeight="1">
      <c r="A113" s="924" t="s">
        <v>1577</v>
      </c>
      <c r="B113" s="958">
        <v>3802.3281600008272</v>
      </c>
      <c r="C113" s="958">
        <v>8909.6992530301723</v>
      </c>
      <c r="D113" s="958">
        <v>8826.8506861511923</v>
      </c>
      <c r="E113" s="886">
        <v>250</v>
      </c>
      <c r="F113" s="887">
        <v>3</v>
      </c>
      <c r="G113" s="888">
        <v>520.09101024002416</v>
      </c>
      <c r="H113" s="884">
        <v>210</v>
      </c>
      <c r="I113" s="888">
        <v>204</v>
      </c>
      <c r="J113" s="888">
        <v>269</v>
      </c>
      <c r="K113" s="889">
        <v>0.27800000000000002</v>
      </c>
      <c r="L113" s="1674">
        <v>9.9999999999999995E-7</v>
      </c>
      <c r="M113" s="890">
        <v>1.571</v>
      </c>
      <c r="N113" s="890">
        <v>6.2831853071795862</v>
      </c>
      <c r="O113" s="890">
        <v>0.27800000000000002</v>
      </c>
      <c r="P113" s="893">
        <v>0.55600131004722331</v>
      </c>
      <c r="Q113" s="893">
        <v>0.28100174673100292</v>
      </c>
      <c r="R113" s="893">
        <v>0.23908926350902121</v>
      </c>
      <c r="S113" s="958"/>
      <c r="T113" s="891" t="s">
        <v>1577</v>
      </c>
      <c r="U113" s="891"/>
      <c r="V113" s="968"/>
      <c r="W113" s="981" t="s">
        <v>2045</v>
      </c>
      <c r="X113" s="968" t="s">
        <v>1577</v>
      </c>
      <c r="Y113" s="971" t="s">
        <v>2695</v>
      </c>
      <c r="Z113" s="899" t="s">
        <v>2019</v>
      </c>
      <c r="AA113" s="892" t="s">
        <v>2019</v>
      </c>
      <c r="AB113" s="968">
        <v>96</v>
      </c>
      <c r="AC113" s="968"/>
    </row>
    <row r="114" spans="1:29" ht="15" customHeight="1">
      <c r="A114" s="924" t="s">
        <v>1578</v>
      </c>
      <c r="B114" s="958">
        <v>4249.8824603752282</v>
      </c>
      <c r="C114" s="958">
        <v>10111.584970832977</v>
      </c>
      <c r="D114" s="958">
        <v>10014.682955889322</v>
      </c>
      <c r="E114" s="886">
        <v>200</v>
      </c>
      <c r="F114" s="887">
        <v>3</v>
      </c>
      <c r="G114" s="888">
        <v>759.89730271107464</v>
      </c>
      <c r="H114" s="884">
        <v>166</v>
      </c>
      <c r="I114" s="888">
        <v>160</v>
      </c>
      <c r="J114" s="888">
        <v>196.34979877663878</v>
      </c>
      <c r="K114" s="889">
        <v>0.31402871315374142</v>
      </c>
      <c r="L114" s="1674">
        <v>3.8368951365070264E-2</v>
      </c>
      <c r="M114" s="890">
        <v>0.8950142293603699</v>
      </c>
      <c r="N114" s="890">
        <v>6.2831853071795862</v>
      </c>
      <c r="O114" s="890">
        <v>0.31696355511600821</v>
      </c>
      <c r="P114" s="893">
        <v>0.69322861761964594</v>
      </c>
      <c r="Q114" s="893">
        <v>0.40263980597340576</v>
      </c>
      <c r="R114" s="893">
        <v>0.35725749673766893</v>
      </c>
      <c r="S114" s="958"/>
      <c r="T114" s="891" t="s">
        <v>1578</v>
      </c>
      <c r="U114" s="891"/>
      <c r="V114" s="968"/>
      <c r="W114" s="981" t="s">
        <v>2045</v>
      </c>
      <c r="X114" s="968" t="s">
        <v>1578</v>
      </c>
      <c r="Y114" s="971" t="s">
        <v>2696</v>
      </c>
      <c r="Z114" s="899" t="s">
        <v>2022</v>
      </c>
      <c r="AA114" s="892" t="s">
        <v>2022</v>
      </c>
      <c r="AB114" s="968">
        <v>97</v>
      </c>
      <c r="AC114" s="968"/>
    </row>
    <row r="115" spans="1:29" ht="15" customHeight="1">
      <c r="A115" s="924" t="s">
        <v>1579</v>
      </c>
      <c r="B115" s="958">
        <v>4405.5864995458733</v>
      </c>
      <c r="C115" s="958">
        <v>10276.167414052519</v>
      </c>
      <c r="D115" s="958">
        <v>10179.265399108861</v>
      </c>
      <c r="E115" s="886">
        <v>250</v>
      </c>
      <c r="F115" s="887">
        <v>3</v>
      </c>
      <c r="G115" s="888">
        <v>759.85011826787843</v>
      </c>
      <c r="H115" s="884">
        <v>182</v>
      </c>
      <c r="I115" s="888">
        <v>176</v>
      </c>
      <c r="J115" s="888">
        <v>278.90553074929073</v>
      </c>
      <c r="K115" s="889">
        <v>0.30944483342455958</v>
      </c>
      <c r="L115" s="1674">
        <v>4.1412592407400743E-2</v>
      </c>
      <c r="M115" s="890">
        <v>1.1843100715736801</v>
      </c>
      <c r="N115" s="890">
        <v>6.2831853071795862</v>
      </c>
      <c r="O115" s="890">
        <v>0.37628468821254263</v>
      </c>
      <c r="P115" s="893">
        <v>0.75241365304652696</v>
      </c>
      <c r="Q115" s="893">
        <v>0.40440978939667538</v>
      </c>
      <c r="R115" s="893">
        <v>0.35544032887120303</v>
      </c>
      <c r="S115" s="958"/>
      <c r="T115" s="891" t="s">
        <v>1579</v>
      </c>
      <c r="U115" s="891"/>
      <c r="V115" s="968"/>
      <c r="W115" s="981" t="s">
        <v>2045</v>
      </c>
      <c r="X115" s="968" t="s">
        <v>1579</v>
      </c>
      <c r="Y115" s="971" t="s">
        <v>2697</v>
      </c>
      <c r="Z115" s="899" t="s">
        <v>2025</v>
      </c>
      <c r="AA115" s="892" t="s">
        <v>2025</v>
      </c>
      <c r="AB115" s="968">
        <v>98</v>
      </c>
      <c r="AC115" s="968"/>
    </row>
    <row r="116" spans="1:29" ht="15" customHeight="1">
      <c r="A116" s="924" t="s">
        <v>1580</v>
      </c>
      <c r="B116" s="958">
        <v>4636.0888638130782</v>
      </c>
      <c r="C116" s="958">
        <v>10525.912465234163</v>
      </c>
      <c r="D116" s="958">
        <v>10429.010450290505</v>
      </c>
      <c r="E116" s="886">
        <v>310</v>
      </c>
      <c r="F116" s="887">
        <v>3</v>
      </c>
      <c r="G116" s="888">
        <v>759.8879686722064</v>
      </c>
      <c r="H116" s="884">
        <v>252</v>
      </c>
      <c r="I116" s="888">
        <v>246</v>
      </c>
      <c r="J116" s="888">
        <v>306.81505735708902</v>
      </c>
      <c r="K116" s="889">
        <v>0.30789117739366073</v>
      </c>
      <c r="L116" s="1674">
        <v>4.2468226114407252E-2</v>
      </c>
      <c r="M116" s="890">
        <v>1.2733939438204971</v>
      </c>
      <c r="N116" s="890">
        <v>6.2831853071795862</v>
      </c>
      <c r="O116" s="890">
        <v>0.3884159960944723</v>
      </c>
      <c r="P116" s="893">
        <v>0.7645228169827798</v>
      </c>
      <c r="Q116" s="893">
        <v>0.40505228193803144</v>
      </c>
      <c r="R116" s="893">
        <v>0.35483568673417498</v>
      </c>
      <c r="S116" s="958"/>
      <c r="T116" s="891" t="s">
        <v>1580</v>
      </c>
      <c r="U116" s="891"/>
      <c r="V116" s="968"/>
      <c r="W116" s="981" t="s">
        <v>2045</v>
      </c>
      <c r="X116" s="968" t="s">
        <v>1580</v>
      </c>
      <c r="Y116" s="971" t="s">
        <v>2698</v>
      </c>
      <c r="Z116" s="899" t="s">
        <v>2028</v>
      </c>
      <c r="AA116" s="892" t="s">
        <v>2028</v>
      </c>
      <c r="AB116" s="968">
        <v>99</v>
      </c>
      <c r="AC116" s="968"/>
    </row>
    <row r="117" spans="1:29" ht="15" customHeight="1">
      <c r="A117" s="924" t="s">
        <v>1581</v>
      </c>
      <c r="B117" s="958">
        <v>5023.1122310131741</v>
      </c>
      <c r="C117" s="958">
        <v>11901.26890960962</v>
      </c>
      <c r="D117" s="958">
        <v>11785.173294714959</v>
      </c>
      <c r="E117" s="886">
        <v>200</v>
      </c>
      <c r="F117" s="887">
        <v>3</v>
      </c>
      <c r="G117" s="888">
        <v>894.35939023908338</v>
      </c>
      <c r="H117" s="884">
        <v>166</v>
      </c>
      <c r="I117" s="888">
        <v>160</v>
      </c>
      <c r="J117" s="888">
        <v>196.34939539191123</v>
      </c>
      <c r="K117" s="889">
        <v>0.37981716078815242</v>
      </c>
      <c r="L117" s="1674">
        <v>3.2934806218538538E-2</v>
      </c>
      <c r="M117" s="890">
        <v>0.80330692826807104</v>
      </c>
      <c r="N117" s="890">
        <v>6.2831853071795862</v>
      </c>
      <c r="O117" s="890">
        <v>0.35083236015422564</v>
      </c>
      <c r="P117" s="893">
        <v>0.79441831756476655</v>
      </c>
      <c r="Q117" s="893">
        <v>0.47013835241179058</v>
      </c>
      <c r="R117" s="893">
        <v>0.42422103782729281</v>
      </c>
      <c r="S117" s="958"/>
      <c r="T117" s="891" t="s">
        <v>1581</v>
      </c>
      <c r="U117" s="891"/>
      <c r="V117" s="968"/>
      <c r="W117" s="981" t="s">
        <v>2045</v>
      </c>
      <c r="X117" s="968" t="s">
        <v>1581</v>
      </c>
      <c r="Y117" s="971" t="s">
        <v>2699</v>
      </c>
      <c r="Z117" s="899" t="s">
        <v>2031</v>
      </c>
      <c r="AA117" s="892" t="s">
        <v>2031</v>
      </c>
      <c r="AB117" s="968">
        <v>100</v>
      </c>
      <c r="AC117" s="968"/>
    </row>
    <row r="118" spans="1:29" ht="15" customHeight="1">
      <c r="A118" s="924" t="s">
        <v>1582</v>
      </c>
      <c r="B118" s="958">
        <v>5029.3490115769782</v>
      </c>
      <c r="C118" s="958">
        <v>11904.595082152293</v>
      </c>
      <c r="D118" s="958">
        <v>11788.499467257636</v>
      </c>
      <c r="E118" s="886">
        <v>250</v>
      </c>
      <c r="F118" s="887">
        <v>3</v>
      </c>
      <c r="G118" s="888">
        <v>894.51624818326263</v>
      </c>
      <c r="H118" s="884">
        <v>182</v>
      </c>
      <c r="I118" s="888">
        <v>176</v>
      </c>
      <c r="J118" s="888">
        <v>278.90553074929073</v>
      </c>
      <c r="K118" s="889">
        <v>0.37566251305119741</v>
      </c>
      <c r="L118" s="1674">
        <v>3.5264732684869224E-2</v>
      </c>
      <c r="M118" s="890">
        <v>1.0621254611372668</v>
      </c>
      <c r="N118" s="890">
        <v>6.2831853071795862</v>
      </c>
      <c r="O118" s="890">
        <v>0.42577888748090581</v>
      </c>
      <c r="P118" s="893">
        <v>0.86935628702837731</v>
      </c>
      <c r="Q118" s="893">
        <v>0.47184209106439745</v>
      </c>
      <c r="R118" s="893">
        <v>0.42267415711886513</v>
      </c>
      <c r="S118" s="958"/>
      <c r="T118" s="891" t="s">
        <v>1582</v>
      </c>
      <c r="U118" s="891"/>
      <c r="V118" s="968"/>
      <c r="W118" s="981" t="s">
        <v>2045</v>
      </c>
      <c r="X118" s="968" t="s">
        <v>1582</v>
      </c>
      <c r="Y118" s="971" t="s">
        <v>2700</v>
      </c>
      <c r="Z118" s="899" t="s">
        <v>2033</v>
      </c>
      <c r="AA118" s="892" t="s">
        <v>2033</v>
      </c>
      <c r="AB118" s="968">
        <v>101</v>
      </c>
      <c r="AC118" s="968"/>
    </row>
    <row r="119" spans="1:29" ht="15" customHeight="1">
      <c r="A119" s="924" t="s">
        <v>1688</v>
      </c>
      <c r="B119" s="958">
        <v>4924.6290115769789</v>
      </c>
      <c r="C119" s="958">
        <v>11781.549082152294</v>
      </c>
      <c r="D119" s="958">
        <v>11665.453467257634</v>
      </c>
      <c r="E119" s="886">
        <v>250</v>
      </c>
      <c r="F119" s="887">
        <v>3</v>
      </c>
      <c r="G119" s="888">
        <v>894.51624818326263</v>
      </c>
      <c r="H119" s="884">
        <v>182</v>
      </c>
      <c r="I119" s="888">
        <v>176</v>
      </c>
      <c r="J119" s="888">
        <v>278.90553074929073</v>
      </c>
      <c r="K119" s="889">
        <v>0.37566251305119741</v>
      </c>
      <c r="L119" s="1674">
        <v>3.5264732684869224E-2</v>
      </c>
      <c r="M119" s="890">
        <v>1.0621254611372668</v>
      </c>
      <c r="N119" s="890">
        <v>6.2831853071795862</v>
      </c>
      <c r="O119" s="890">
        <v>0.42577888748090581</v>
      </c>
      <c r="P119" s="893">
        <v>0.86935628702837731</v>
      </c>
      <c r="Q119" s="893">
        <v>0.47184209106439745</v>
      </c>
      <c r="R119" s="893">
        <v>0.42267415711886513</v>
      </c>
      <c r="S119" s="958"/>
      <c r="T119" s="891" t="s">
        <v>1688</v>
      </c>
      <c r="U119" s="891"/>
      <c r="V119" s="968"/>
      <c r="W119" s="981" t="s">
        <v>2045</v>
      </c>
      <c r="X119" s="968" t="s">
        <v>1582</v>
      </c>
      <c r="Y119" s="971" t="s">
        <v>2700</v>
      </c>
      <c r="Z119" s="899" t="s">
        <v>2036</v>
      </c>
      <c r="AA119" s="892" t="s">
        <v>2036</v>
      </c>
      <c r="AB119" s="968">
        <v>102</v>
      </c>
      <c r="AC119" s="968"/>
    </row>
    <row r="120" spans="1:29" ht="15" customHeight="1">
      <c r="A120" s="924" t="s">
        <v>1689</v>
      </c>
      <c r="B120" s="958">
        <v>4924.6290115769789</v>
      </c>
      <c r="C120" s="958">
        <v>11781.549082152294</v>
      </c>
      <c r="D120" s="958">
        <v>11665.453467257634</v>
      </c>
      <c r="E120" s="886">
        <v>250</v>
      </c>
      <c r="F120" s="887">
        <v>3</v>
      </c>
      <c r="G120" s="888">
        <v>894.51624818326263</v>
      </c>
      <c r="H120" s="884">
        <v>182</v>
      </c>
      <c r="I120" s="888">
        <v>176</v>
      </c>
      <c r="J120" s="888">
        <v>278.90553074929073</v>
      </c>
      <c r="K120" s="889">
        <v>0.37566251305119741</v>
      </c>
      <c r="L120" s="1674">
        <v>3.5264732684869224E-2</v>
      </c>
      <c r="M120" s="890">
        <v>1.0621254611372668</v>
      </c>
      <c r="N120" s="890">
        <v>6.2831853071795862</v>
      </c>
      <c r="O120" s="890">
        <v>0.42577888748090581</v>
      </c>
      <c r="P120" s="893">
        <v>0.86935628702837731</v>
      </c>
      <c r="Q120" s="893">
        <v>0.47184209106439745</v>
      </c>
      <c r="R120" s="893">
        <v>0.42267415711886513</v>
      </c>
      <c r="S120" s="958"/>
      <c r="T120" s="891" t="s">
        <v>1689</v>
      </c>
      <c r="U120" s="891"/>
      <c r="V120" s="968"/>
      <c r="W120" s="981" t="s">
        <v>2045</v>
      </c>
      <c r="X120" s="968" t="s">
        <v>1582</v>
      </c>
      <c r="Y120" s="971" t="s">
        <v>2700</v>
      </c>
      <c r="Z120" s="899" t="s">
        <v>2039</v>
      </c>
      <c r="AA120" s="892" t="s">
        <v>2039</v>
      </c>
      <c r="AB120" s="968">
        <v>103</v>
      </c>
      <c r="AC120" s="968"/>
    </row>
    <row r="121" spans="1:29" ht="15" customHeight="1">
      <c r="A121" s="924" t="s">
        <v>1583</v>
      </c>
      <c r="B121" s="958">
        <v>5592.5356122678659</v>
      </c>
      <c r="C121" s="958">
        <v>12523.580850668312</v>
      </c>
      <c r="D121" s="958">
        <v>12407.485235773654</v>
      </c>
      <c r="E121" s="886">
        <v>310</v>
      </c>
      <c r="F121" s="887">
        <v>3</v>
      </c>
      <c r="G121" s="888">
        <v>895.00319377134269</v>
      </c>
      <c r="H121" s="884">
        <v>252</v>
      </c>
      <c r="I121" s="888">
        <v>246</v>
      </c>
      <c r="J121" s="888">
        <v>306.81505735708907</v>
      </c>
      <c r="K121" s="889">
        <v>0.37425051207801635</v>
      </c>
      <c r="L121" s="1674">
        <v>3.6163335881627241E-2</v>
      </c>
      <c r="M121" s="890">
        <v>1.1398657381024488</v>
      </c>
      <c r="N121" s="890">
        <v>6.2831853071795862</v>
      </c>
      <c r="O121" s="890">
        <v>0.44293149268675758</v>
      </c>
      <c r="P121" s="893">
        <v>0.88671688595168408</v>
      </c>
      <c r="Q121" s="893">
        <v>0.47272449042718417</v>
      </c>
      <c r="R121" s="893">
        <v>0.42227870334415857</v>
      </c>
      <c r="S121" s="958"/>
      <c r="T121" s="891" t="s">
        <v>1583</v>
      </c>
      <c r="U121" s="891"/>
      <c r="V121" s="968"/>
      <c r="W121" s="981" t="s">
        <v>2045</v>
      </c>
      <c r="X121" s="968" t="s">
        <v>1583</v>
      </c>
      <c r="Y121" s="971" t="s">
        <v>2701</v>
      </c>
      <c r="Z121" s="899" t="s">
        <v>2042</v>
      </c>
      <c r="AA121" s="892" t="s">
        <v>2042</v>
      </c>
      <c r="AB121" s="968">
        <v>104</v>
      </c>
      <c r="AC121" s="968"/>
    </row>
    <row r="122" spans="1:29" ht="15" customHeight="1">
      <c r="A122" s="924" t="s">
        <v>1690</v>
      </c>
      <c r="B122" s="958">
        <v>5413.0156122678654</v>
      </c>
      <c r="C122" s="958">
        <v>12312.644850668314</v>
      </c>
      <c r="D122" s="958">
        <v>12196.549235773653</v>
      </c>
      <c r="E122" s="886">
        <v>310</v>
      </c>
      <c r="F122" s="887">
        <v>3</v>
      </c>
      <c r="G122" s="888">
        <v>895.00319377134269</v>
      </c>
      <c r="H122" s="884">
        <v>252</v>
      </c>
      <c r="I122" s="888">
        <v>246</v>
      </c>
      <c r="J122" s="888">
        <v>306.81505735708907</v>
      </c>
      <c r="K122" s="889">
        <v>0.37425051207801635</v>
      </c>
      <c r="L122" s="1674">
        <v>3.6163335881627241E-2</v>
      </c>
      <c r="M122" s="890">
        <v>1.1398657381024488</v>
      </c>
      <c r="N122" s="890">
        <v>6.2831853071795862</v>
      </c>
      <c r="O122" s="890">
        <v>0.44293149268675758</v>
      </c>
      <c r="P122" s="893">
        <v>0.88671688595168408</v>
      </c>
      <c r="Q122" s="893">
        <v>0.47272449042718417</v>
      </c>
      <c r="R122" s="893">
        <v>0.42227870334415857</v>
      </c>
      <c r="S122" s="958"/>
      <c r="T122" s="891" t="s">
        <v>1690</v>
      </c>
      <c r="U122" s="891"/>
      <c r="V122" s="968"/>
      <c r="W122" s="981" t="s">
        <v>2045</v>
      </c>
      <c r="X122" s="968" t="s">
        <v>1583</v>
      </c>
      <c r="Y122" s="971" t="s">
        <v>2701</v>
      </c>
      <c r="Z122" s="899" t="s">
        <v>2044</v>
      </c>
      <c r="AA122" s="892" t="s">
        <v>2044</v>
      </c>
      <c r="AB122" s="968">
        <v>105</v>
      </c>
      <c r="AC122" s="968"/>
    </row>
    <row r="123" spans="1:29" ht="15" customHeight="1">
      <c r="A123" s="1396" t="s">
        <v>1691</v>
      </c>
      <c r="B123" s="958">
        <v>5633.0316189789428</v>
      </c>
      <c r="C123" s="958">
        <v>12544.642842190755</v>
      </c>
      <c r="D123" s="958">
        <v>12429.581242484728</v>
      </c>
      <c r="E123" s="886">
        <v>310</v>
      </c>
      <c r="F123" s="887">
        <v>3</v>
      </c>
      <c r="G123" s="888">
        <v>895.00319377134269</v>
      </c>
      <c r="H123" s="884">
        <v>252</v>
      </c>
      <c r="I123" s="888">
        <v>246</v>
      </c>
      <c r="J123" s="888">
        <v>306.81505735708907</v>
      </c>
      <c r="K123" s="889">
        <v>0.37425051207801635</v>
      </c>
      <c r="L123" s="1674">
        <v>3.6163335881627241E-2</v>
      </c>
      <c r="M123" s="890">
        <v>1.1398657381024488</v>
      </c>
      <c r="N123" s="890">
        <v>6.2831853071795862</v>
      </c>
      <c r="O123" s="890">
        <v>0.44293149268675758</v>
      </c>
      <c r="P123" s="893">
        <v>0.88671688595168408</v>
      </c>
      <c r="Q123" s="893">
        <v>0.47272449042718417</v>
      </c>
      <c r="R123" s="893">
        <v>0.42227870334415857</v>
      </c>
      <c r="S123" s="958"/>
      <c r="T123" s="891" t="s">
        <v>1691</v>
      </c>
      <c r="U123" s="891"/>
      <c r="V123" s="968"/>
      <c r="W123" s="981" t="s">
        <v>2045</v>
      </c>
      <c r="X123" s="968" t="s">
        <v>1583</v>
      </c>
      <c r="Y123" s="971" t="s">
        <v>2369</v>
      </c>
      <c r="Z123" s="899" t="s">
        <v>2046</v>
      </c>
      <c r="AA123" s="892" t="s">
        <v>2046</v>
      </c>
      <c r="AB123" s="968">
        <v>106</v>
      </c>
      <c r="AC123" s="968"/>
    </row>
    <row r="124" spans="1:29" ht="15" customHeight="1">
      <c r="A124" s="924" t="s">
        <v>1584</v>
      </c>
      <c r="B124" s="958">
        <v>5813.5156318413574</v>
      </c>
      <c r="C124" s="958">
        <v>12760.856387179479</v>
      </c>
      <c r="D124" s="958">
        <v>12644.760772284822</v>
      </c>
      <c r="E124" s="886">
        <v>350</v>
      </c>
      <c r="F124" s="887">
        <v>3</v>
      </c>
      <c r="G124" s="888">
        <v>894.96117644258334</v>
      </c>
      <c r="H124" s="884">
        <v>312</v>
      </c>
      <c r="I124" s="888">
        <v>306</v>
      </c>
      <c r="J124" s="888">
        <v>314.42169024526714</v>
      </c>
      <c r="K124" s="889">
        <v>0.37388070607980528</v>
      </c>
      <c r="L124" s="1674">
        <v>3.635937806054005E-2</v>
      </c>
      <c r="M124" s="890">
        <v>1.1609098544246585</v>
      </c>
      <c r="N124" s="890">
        <v>6.2831853071795862</v>
      </c>
      <c r="O124" s="890">
        <v>0.44711845916329257</v>
      </c>
      <c r="P124" s="893">
        <v>0.89087510239412149</v>
      </c>
      <c r="Q124" s="893">
        <v>0.47283872092171408</v>
      </c>
      <c r="R124" s="893">
        <v>0.42212245552086924</v>
      </c>
      <c r="S124" s="958"/>
      <c r="T124" s="891" t="s">
        <v>1584</v>
      </c>
      <c r="U124" s="891"/>
      <c r="V124" s="968"/>
      <c r="W124" s="981" t="s">
        <v>2045</v>
      </c>
      <c r="X124" s="968" t="s">
        <v>1584</v>
      </c>
      <c r="Y124" s="971" t="s">
        <v>2702</v>
      </c>
      <c r="Z124" s="899" t="s">
        <v>2047</v>
      </c>
      <c r="AA124" s="892" t="s">
        <v>2047</v>
      </c>
      <c r="AB124" s="968">
        <v>107</v>
      </c>
      <c r="AC124" s="968"/>
    </row>
    <row r="125" spans="1:29" ht="15" customHeight="1">
      <c r="A125" s="924" t="s">
        <v>1692</v>
      </c>
      <c r="B125" s="958">
        <v>5633.995631841357</v>
      </c>
      <c r="C125" s="958">
        <v>12549.92038717948</v>
      </c>
      <c r="D125" s="958">
        <v>12433.824772284821</v>
      </c>
      <c r="E125" s="886">
        <v>350</v>
      </c>
      <c r="F125" s="887">
        <v>3</v>
      </c>
      <c r="G125" s="888">
        <v>894.96117644258334</v>
      </c>
      <c r="H125" s="884">
        <v>312</v>
      </c>
      <c r="I125" s="888">
        <v>306</v>
      </c>
      <c r="J125" s="888">
        <v>314.42169024526714</v>
      </c>
      <c r="K125" s="889">
        <v>0.37388070607980528</v>
      </c>
      <c r="L125" s="1674">
        <v>3.635937806054005E-2</v>
      </c>
      <c r="M125" s="890">
        <v>1.1609098544246585</v>
      </c>
      <c r="N125" s="890">
        <v>6.2831853071795862</v>
      </c>
      <c r="O125" s="890">
        <v>0.44711845916329257</v>
      </c>
      <c r="P125" s="893">
        <v>0.89087510239412149</v>
      </c>
      <c r="Q125" s="893">
        <v>0.47283872092171408</v>
      </c>
      <c r="R125" s="893">
        <v>0.42212245552086924</v>
      </c>
      <c r="S125" s="958"/>
      <c r="T125" s="891" t="s">
        <v>1692</v>
      </c>
      <c r="U125" s="891"/>
      <c r="V125" s="968"/>
      <c r="W125" s="981" t="s">
        <v>2045</v>
      </c>
      <c r="X125" s="968" t="s">
        <v>1584</v>
      </c>
      <c r="Y125" s="971" t="s">
        <v>2702</v>
      </c>
      <c r="Z125" s="899" t="s">
        <v>2048</v>
      </c>
      <c r="AA125" s="892" t="s">
        <v>2048</v>
      </c>
      <c r="AB125" s="968">
        <v>108</v>
      </c>
      <c r="AC125" s="968"/>
    </row>
    <row r="126" spans="1:29" ht="15" customHeight="1">
      <c r="A126" s="924" t="s">
        <v>1693</v>
      </c>
      <c r="B126" s="958">
        <v>5738.7156318413563</v>
      </c>
      <c r="C126" s="958">
        <v>12672.96638717948</v>
      </c>
      <c r="D126" s="958">
        <v>12556.870772284821</v>
      </c>
      <c r="E126" s="886">
        <v>350</v>
      </c>
      <c r="F126" s="887">
        <v>3</v>
      </c>
      <c r="G126" s="888">
        <v>894.96117644258334</v>
      </c>
      <c r="H126" s="884">
        <v>312</v>
      </c>
      <c r="I126" s="888">
        <v>306</v>
      </c>
      <c r="J126" s="888">
        <v>314.42169024526714</v>
      </c>
      <c r="K126" s="889">
        <v>0.37388070607980528</v>
      </c>
      <c r="L126" s="1674">
        <v>3.635937806054005E-2</v>
      </c>
      <c r="M126" s="890">
        <v>1.1609098544246585</v>
      </c>
      <c r="N126" s="890">
        <v>6.2831853071795862</v>
      </c>
      <c r="O126" s="890">
        <v>0.44711845916329257</v>
      </c>
      <c r="P126" s="893">
        <v>0.89087510239412149</v>
      </c>
      <c r="Q126" s="893">
        <v>0.47283872092171408</v>
      </c>
      <c r="R126" s="893">
        <v>0.42212245552086924</v>
      </c>
      <c r="S126" s="958"/>
      <c r="T126" s="891" t="s">
        <v>1693</v>
      </c>
      <c r="U126" s="891"/>
      <c r="V126" s="968"/>
      <c r="W126" s="981" t="s">
        <v>2045</v>
      </c>
      <c r="X126" s="968" t="s">
        <v>1584</v>
      </c>
      <c r="Y126" s="971" t="s">
        <v>2702</v>
      </c>
      <c r="Z126" s="899" t="s">
        <v>2049</v>
      </c>
      <c r="AA126" s="892" t="s">
        <v>2049</v>
      </c>
      <c r="AB126" s="968">
        <v>109</v>
      </c>
      <c r="AC126" s="968"/>
    </row>
    <row r="127" spans="1:29" s="878" customFormat="1" ht="15" customHeight="1">
      <c r="A127" s="924" t="s">
        <v>1585</v>
      </c>
      <c r="B127" s="958">
        <v>5912.6861657883092</v>
      </c>
      <c r="C127" s="958">
        <v>13589.837304812201</v>
      </c>
      <c r="D127" s="958">
        <v>13458.22123425855</v>
      </c>
      <c r="E127" s="886">
        <v>200</v>
      </c>
      <c r="F127" s="887">
        <v>3</v>
      </c>
      <c r="G127" s="888">
        <v>979.98159378294724</v>
      </c>
      <c r="H127" s="884">
        <v>173</v>
      </c>
      <c r="I127" s="888">
        <v>167</v>
      </c>
      <c r="J127" s="888">
        <v>188.12357579555169</v>
      </c>
      <c r="K127" s="889">
        <v>0.43014435213060687</v>
      </c>
      <c r="L127" s="1674">
        <v>2.6160886472992133E-2</v>
      </c>
      <c r="M127" s="890">
        <v>0.75719604605598878</v>
      </c>
      <c r="N127" s="890">
        <v>6.2831853071795862</v>
      </c>
      <c r="O127" s="890">
        <v>0.37671422313397696</v>
      </c>
      <c r="P127" s="893">
        <v>0.86329412588117105</v>
      </c>
      <c r="Q127" s="893">
        <v>0.50999165936096769</v>
      </c>
      <c r="R127" s="893">
        <v>0.46998993442197956</v>
      </c>
      <c r="S127" s="958"/>
      <c r="T127" s="891" t="s">
        <v>1585</v>
      </c>
      <c r="U127" s="891"/>
      <c r="V127" s="968"/>
      <c r="W127" s="981" t="s">
        <v>2045</v>
      </c>
      <c r="X127" s="968" t="s">
        <v>1585</v>
      </c>
      <c r="Y127" s="971" t="s">
        <v>2703</v>
      </c>
      <c r="Z127" s="899" t="s">
        <v>2050</v>
      </c>
      <c r="AA127" s="892" t="s">
        <v>2050</v>
      </c>
      <c r="AB127" s="968">
        <v>110</v>
      </c>
      <c r="AC127" s="968"/>
    </row>
    <row r="128" spans="1:29" s="878" customFormat="1" ht="15" customHeight="1">
      <c r="A128" s="924" t="s">
        <v>1586</v>
      </c>
      <c r="B128" s="958">
        <v>6052.3253783322471</v>
      </c>
      <c r="C128" s="958">
        <v>13739.330082221109</v>
      </c>
      <c r="D128" s="958">
        <v>13607.71401166746</v>
      </c>
      <c r="E128" s="886">
        <v>250</v>
      </c>
      <c r="F128" s="887">
        <v>3</v>
      </c>
      <c r="G128" s="888">
        <v>979.95600521780329</v>
      </c>
      <c r="H128" s="884">
        <v>183</v>
      </c>
      <c r="I128" s="888">
        <v>177</v>
      </c>
      <c r="J128" s="888">
        <v>277.3333895711109</v>
      </c>
      <c r="K128" s="889">
        <v>0.42646035155583056</v>
      </c>
      <c r="L128" s="1674">
        <v>2.7955191067397776E-2</v>
      </c>
      <c r="M128" s="890">
        <v>1.0162826093928645</v>
      </c>
      <c r="N128" s="890">
        <v>6.2831853071795862</v>
      </c>
      <c r="O128" s="890">
        <v>0.46625775105950135</v>
      </c>
      <c r="P128" s="893">
        <v>0.95276662147566027</v>
      </c>
      <c r="Q128" s="893">
        <v>0.51134840343219978</v>
      </c>
      <c r="R128" s="893">
        <v>0.46860760178560357</v>
      </c>
      <c r="S128" s="958"/>
      <c r="T128" s="891" t="s">
        <v>1586</v>
      </c>
      <c r="U128" s="891"/>
      <c r="V128" s="968"/>
      <c r="W128" s="981" t="s">
        <v>2045</v>
      </c>
      <c r="X128" s="968" t="s">
        <v>1586</v>
      </c>
      <c r="Y128" s="971" t="s">
        <v>2704</v>
      </c>
      <c r="Z128" s="899" t="s">
        <v>2051</v>
      </c>
      <c r="AA128" s="892" t="s">
        <v>2051</v>
      </c>
      <c r="AB128" s="968">
        <v>111</v>
      </c>
      <c r="AC128" s="968"/>
    </row>
    <row r="129" spans="1:29" ht="15" customHeight="1">
      <c r="A129" s="924" t="s">
        <v>1587</v>
      </c>
      <c r="B129" s="958">
        <v>6303.1217806938166</v>
      </c>
      <c r="C129" s="958">
        <v>14012.030989968027</v>
      </c>
      <c r="D129" s="958">
        <v>13880.414919414377</v>
      </c>
      <c r="E129" s="886">
        <v>310</v>
      </c>
      <c r="F129" s="887">
        <v>3</v>
      </c>
      <c r="G129" s="888">
        <v>979.815927509944</v>
      </c>
      <c r="H129" s="884">
        <v>253</v>
      </c>
      <c r="I129" s="888">
        <v>247</v>
      </c>
      <c r="J129" s="888">
        <v>305.5735458233587</v>
      </c>
      <c r="K129" s="889">
        <v>0.42534887720977893</v>
      </c>
      <c r="L129" s="1674">
        <v>2.847084754628593E-2</v>
      </c>
      <c r="M129" s="890">
        <v>1.0895374644790978</v>
      </c>
      <c r="N129" s="890">
        <v>6.2831853071795862</v>
      </c>
      <c r="O129" s="890">
        <v>0.48614207687568545</v>
      </c>
      <c r="P129" s="893">
        <v>0.97256352628520537</v>
      </c>
      <c r="Q129" s="893">
        <v>0.51166890864151104</v>
      </c>
      <c r="R129" s="893">
        <v>0.46814701886843291</v>
      </c>
      <c r="S129" s="958"/>
      <c r="T129" s="891" t="s">
        <v>1587</v>
      </c>
      <c r="U129" s="891"/>
      <c r="V129" s="968"/>
      <c r="W129" s="981" t="s">
        <v>2045</v>
      </c>
      <c r="X129" s="968" t="s">
        <v>1587</v>
      </c>
      <c r="Y129" s="971" t="s">
        <v>2705</v>
      </c>
      <c r="Z129" s="899" t="s">
        <v>2052</v>
      </c>
      <c r="AA129" s="892" t="s">
        <v>2052</v>
      </c>
      <c r="AB129" s="968">
        <v>112</v>
      </c>
      <c r="AC129" s="972"/>
    </row>
    <row r="130" spans="1:29" ht="15" customHeight="1">
      <c r="A130" s="924" t="s">
        <v>1588</v>
      </c>
      <c r="B130" s="958">
        <v>6374.9521329828103</v>
      </c>
      <c r="C130" s="958">
        <v>14091.855158093669</v>
      </c>
      <c r="D130" s="958">
        <v>13960.239087540018</v>
      </c>
      <c r="E130" s="886">
        <v>350</v>
      </c>
      <c r="F130" s="887">
        <v>3</v>
      </c>
      <c r="G130" s="888">
        <v>980.02349982227327</v>
      </c>
      <c r="H130" s="884">
        <v>263</v>
      </c>
      <c r="I130" s="888">
        <v>257</v>
      </c>
      <c r="J130" s="888">
        <v>374.36823516547099</v>
      </c>
      <c r="K130" s="889">
        <v>0.4225773030765323</v>
      </c>
      <c r="L130" s="1674">
        <v>2.9881798935259586E-2</v>
      </c>
      <c r="M130" s="890">
        <v>1.2568647201868288</v>
      </c>
      <c r="N130" s="890">
        <v>6.2831853071795862</v>
      </c>
      <c r="O130" s="890">
        <v>0.52163362744863018</v>
      </c>
      <c r="P130" s="893">
        <v>1.0081093781263495</v>
      </c>
      <c r="Q130" s="893">
        <v>0.51285444139127689</v>
      </c>
      <c r="R130" s="893">
        <v>0.46716905843099632</v>
      </c>
      <c r="S130" s="958"/>
      <c r="T130" s="891" t="s">
        <v>1588</v>
      </c>
      <c r="U130" s="891"/>
      <c r="V130" s="968"/>
      <c r="W130" s="981" t="s">
        <v>2045</v>
      </c>
      <c r="X130" s="968" t="s">
        <v>1588</v>
      </c>
      <c r="Y130" s="971" t="s">
        <v>2706</v>
      </c>
      <c r="Z130" s="899" t="s">
        <v>2053</v>
      </c>
      <c r="AA130" s="892" t="s">
        <v>2053</v>
      </c>
      <c r="AB130" s="968">
        <v>113</v>
      </c>
      <c r="AC130" s="972"/>
    </row>
    <row r="131" spans="1:29" ht="15" customHeight="1">
      <c r="A131" s="924" t="s">
        <v>1589</v>
      </c>
      <c r="B131" s="958">
        <v>6737.6110940899389</v>
      </c>
      <c r="C131" s="958">
        <v>14477.359337589925</v>
      </c>
      <c r="D131" s="958">
        <v>14345.743267036274</v>
      </c>
      <c r="E131" s="886">
        <v>400</v>
      </c>
      <c r="F131" s="887">
        <v>3</v>
      </c>
      <c r="G131" s="888">
        <v>979.55368129123246</v>
      </c>
      <c r="H131" s="884">
        <v>328</v>
      </c>
      <c r="I131" s="888">
        <v>322</v>
      </c>
      <c r="J131" s="888">
        <v>390.25994165991261</v>
      </c>
      <c r="K131" s="889">
        <v>0.42199376229212104</v>
      </c>
      <c r="L131" s="1674">
        <v>3.0069710123311586E-2</v>
      </c>
      <c r="M131" s="890">
        <v>1.2949656645147345</v>
      </c>
      <c r="N131" s="890">
        <v>6.2831853071795862</v>
      </c>
      <c r="O131" s="890">
        <v>0.52770617959177768</v>
      </c>
      <c r="P131" s="893">
        <v>1.0139405266414054</v>
      </c>
      <c r="Q131" s="893">
        <v>0.51275187792850074</v>
      </c>
      <c r="R131" s="893">
        <v>0.46680180336273169</v>
      </c>
      <c r="S131" s="958"/>
      <c r="T131" s="891" t="s">
        <v>1589</v>
      </c>
      <c r="U131" s="891"/>
      <c r="V131" s="968"/>
      <c r="W131" s="981" t="s">
        <v>2045</v>
      </c>
      <c r="X131" s="968" t="s">
        <v>1589</v>
      </c>
      <c r="Y131" s="971" t="s">
        <v>2707</v>
      </c>
      <c r="Z131" s="899" t="s">
        <v>2054</v>
      </c>
      <c r="AA131" s="892" t="s">
        <v>2054</v>
      </c>
      <c r="AB131" s="968">
        <v>114</v>
      </c>
      <c r="AC131" s="968"/>
    </row>
    <row r="132" spans="1:29" ht="15" customHeight="1">
      <c r="A132" s="924" t="s">
        <v>1590</v>
      </c>
      <c r="B132" s="958">
        <v>7683.8336092657237</v>
      </c>
      <c r="C132" s="958">
        <v>15975.015468736243</v>
      </c>
      <c r="D132" s="958">
        <v>15834.58610200425</v>
      </c>
      <c r="E132" s="886">
        <v>450</v>
      </c>
      <c r="F132" s="887">
        <v>3</v>
      </c>
      <c r="G132" s="888">
        <v>1074.2318633291713</v>
      </c>
      <c r="H132" s="884">
        <v>364</v>
      </c>
      <c r="I132" s="888">
        <v>358</v>
      </c>
      <c r="J132" s="888">
        <v>444.25459288771049</v>
      </c>
      <c r="K132" s="889">
        <v>0.44929113029339385</v>
      </c>
      <c r="L132" s="1674">
        <v>3.635359651966049E-2</v>
      </c>
      <c r="M132" s="890">
        <v>1.3125981640569491</v>
      </c>
      <c r="N132" s="890">
        <v>6.2831853071795862</v>
      </c>
      <c r="O132" s="890">
        <v>0.5695360362073062</v>
      </c>
      <c r="P132" s="893">
        <v>1.1027823061359552</v>
      </c>
      <c r="Q132" s="893">
        <v>0.56758302973957397</v>
      </c>
      <c r="R132" s="893">
        <v>0.50664883358959745</v>
      </c>
      <c r="S132" s="958"/>
      <c r="T132" s="891" t="s">
        <v>1590</v>
      </c>
      <c r="U132" s="891"/>
      <c r="V132" s="968"/>
      <c r="W132" s="981" t="s">
        <v>2045</v>
      </c>
      <c r="X132" s="968" t="s">
        <v>1590</v>
      </c>
      <c r="Y132" s="971" t="s">
        <v>2708</v>
      </c>
      <c r="Z132" s="899" t="s">
        <v>2055</v>
      </c>
      <c r="AA132" s="892" t="s">
        <v>2055</v>
      </c>
      <c r="AB132" s="968">
        <v>115</v>
      </c>
      <c r="AC132" s="968"/>
    </row>
    <row r="133" spans="1:29" ht="15" customHeight="1">
      <c r="A133" s="924" t="s">
        <v>1591</v>
      </c>
      <c r="B133" s="958">
        <v>7336.2825658650863</v>
      </c>
      <c r="C133" s="958">
        <v>16331.752991679468</v>
      </c>
      <c r="D133" s="958">
        <v>16177.370176882798</v>
      </c>
      <c r="E133" s="886">
        <v>200</v>
      </c>
      <c r="F133" s="887">
        <v>3</v>
      </c>
      <c r="G133" s="888">
        <v>1224.8504563879671</v>
      </c>
      <c r="H133" s="884">
        <v>168</v>
      </c>
      <c r="I133" s="888">
        <v>162</v>
      </c>
      <c r="J133" s="888">
        <v>193.92331896702709</v>
      </c>
      <c r="K133" s="889">
        <v>0.50997714730920374</v>
      </c>
      <c r="L133" s="1674">
        <v>3.7437951350875229E-2</v>
      </c>
      <c r="M133" s="890">
        <v>0.51987075564828733</v>
      </c>
      <c r="N133" s="890">
        <v>6.2831853071795862</v>
      </c>
      <c r="O133" s="890">
        <v>0.32289918242841958</v>
      </c>
      <c r="P133" s="893">
        <v>0.93127213631901817</v>
      </c>
      <c r="Q133" s="893">
        <v>0.64822268248498871</v>
      </c>
      <c r="R133" s="893">
        <v>0.57662777390297848</v>
      </c>
      <c r="S133" s="958"/>
      <c r="T133" s="891" t="s">
        <v>1591</v>
      </c>
      <c r="U133" s="891"/>
      <c r="V133" s="968"/>
      <c r="W133" s="981" t="s">
        <v>2045</v>
      </c>
      <c r="X133" s="968" t="s">
        <v>1591</v>
      </c>
      <c r="Y133" s="971" t="s">
        <v>2709</v>
      </c>
      <c r="Z133" s="899" t="s">
        <v>2056</v>
      </c>
      <c r="AA133" s="892" t="s">
        <v>2056</v>
      </c>
      <c r="AB133" s="968">
        <v>116</v>
      </c>
      <c r="AC133" s="968"/>
    </row>
    <row r="134" spans="1:29" ht="15" customHeight="1">
      <c r="A134" s="924" t="s">
        <v>1592</v>
      </c>
      <c r="B134" s="958">
        <v>7951.7973434911528</v>
      </c>
      <c r="C134" s="958">
        <v>16981.262867964368</v>
      </c>
      <c r="D134" s="958">
        <v>16826.880053167701</v>
      </c>
      <c r="E134" s="886">
        <v>250</v>
      </c>
      <c r="F134" s="887">
        <v>3</v>
      </c>
      <c r="G134" s="888">
        <v>1224.9860632413588</v>
      </c>
      <c r="H134" s="884">
        <v>184</v>
      </c>
      <c r="I134" s="888">
        <v>178</v>
      </c>
      <c r="J134" s="888">
        <v>275.77272198178275</v>
      </c>
      <c r="K134" s="889">
        <v>0.50421190155060769</v>
      </c>
      <c r="L134" s="1674">
        <v>3.982595488411584E-2</v>
      </c>
      <c r="M134" s="890">
        <v>0.77417333417958611</v>
      </c>
      <c r="N134" s="890">
        <v>6.2831853071795862</v>
      </c>
      <c r="O134" s="890">
        <v>0.45443141177130136</v>
      </c>
      <c r="P134" s="893">
        <v>1.062733740894716</v>
      </c>
      <c r="Q134" s="893">
        <v>0.65057231702882812</v>
      </c>
      <c r="R134" s="893">
        <v>0.57441374621253061</v>
      </c>
      <c r="S134" s="958"/>
      <c r="T134" s="891" t="s">
        <v>1592</v>
      </c>
      <c r="U134" s="891"/>
      <c r="V134" s="968"/>
      <c r="W134" s="981" t="s">
        <v>2045</v>
      </c>
      <c r="X134" s="968" t="s">
        <v>1592</v>
      </c>
      <c r="Y134" s="971" t="s">
        <v>2710</v>
      </c>
      <c r="Z134" s="899" t="s">
        <v>2057</v>
      </c>
      <c r="AA134" s="892" t="s">
        <v>2057</v>
      </c>
      <c r="AB134" s="968">
        <v>117</v>
      </c>
      <c r="AC134" s="968"/>
    </row>
    <row r="135" spans="1:29" ht="15" customHeight="1">
      <c r="A135" s="924" t="s">
        <v>1593</v>
      </c>
      <c r="B135" s="958">
        <v>8421.7481224658823</v>
      </c>
      <c r="C135" s="958">
        <v>17478.286394159946</v>
      </c>
      <c r="D135" s="958">
        <v>17323.903579363276</v>
      </c>
      <c r="E135" s="886">
        <v>310</v>
      </c>
      <c r="F135" s="887">
        <v>3</v>
      </c>
      <c r="G135" s="888">
        <v>1224.589484704378</v>
      </c>
      <c r="H135" s="884">
        <v>254</v>
      </c>
      <c r="I135" s="888">
        <v>248</v>
      </c>
      <c r="J135" s="888">
        <v>304.3420507393148</v>
      </c>
      <c r="K135" s="889">
        <v>0.50243042747922284</v>
      </c>
      <c r="L135" s="1674">
        <v>4.0493970109448295E-2</v>
      </c>
      <c r="M135" s="890">
        <v>0.84880869701039652</v>
      </c>
      <c r="N135" s="890">
        <v>6.2831853071795862</v>
      </c>
      <c r="O135" s="890">
        <v>0.48782086100924482</v>
      </c>
      <c r="P135" s="893">
        <v>1.0958850899463575</v>
      </c>
      <c r="Q135" s="893">
        <v>0.65099844430865805</v>
      </c>
      <c r="R135" s="893">
        <v>0.57359104039572006</v>
      </c>
      <c r="S135" s="958"/>
      <c r="T135" s="891" t="s">
        <v>1593</v>
      </c>
      <c r="U135" s="891"/>
      <c r="V135" s="968"/>
      <c r="W135" s="981" t="s">
        <v>2045</v>
      </c>
      <c r="X135" s="968" t="s">
        <v>1593</v>
      </c>
      <c r="Y135" s="971" t="s">
        <v>2711</v>
      </c>
      <c r="Z135" s="899" t="s">
        <v>2058</v>
      </c>
      <c r="AA135" s="892" t="s">
        <v>2058</v>
      </c>
      <c r="AB135" s="968">
        <v>118</v>
      </c>
      <c r="AC135" s="968"/>
    </row>
    <row r="136" spans="1:29" ht="15" customHeight="1">
      <c r="A136" s="924" t="s">
        <v>1594</v>
      </c>
      <c r="B136" s="958">
        <v>8650.3065450260201</v>
      </c>
      <c r="C136" s="958">
        <v>17716.97629831206</v>
      </c>
      <c r="D136" s="958">
        <v>17562.593483515386</v>
      </c>
      <c r="E136" s="886">
        <v>350</v>
      </c>
      <c r="F136" s="887">
        <v>3</v>
      </c>
      <c r="G136" s="888">
        <v>1224.9397493665806</v>
      </c>
      <c r="H136" s="884">
        <v>264</v>
      </c>
      <c r="I136" s="888">
        <v>258</v>
      </c>
      <c r="J136" s="888">
        <v>372.91196013933904</v>
      </c>
      <c r="K136" s="889">
        <v>0.49828375250419715</v>
      </c>
      <c r="L136" s="1674">
        <v>4.2275074193378268E-2</v>
      </c>
      <c r="M136" s="890">
        <v>1.0090842768498118</v>
      </c>
      <c r="N136" s="890">
        <v>6.2831853071795862</v>
      </c>
      <c r="O136" s="890">
        <v>0.55012389409634699</v>
      </c>
      <c r="P136" s="893">
        <v>1.1582524453972824</v>
      </c>
      <c r="Q136" s="893">
        <v>0.65288266027264474</v>
      </c>
      <c r="R136" s="893">
        <v>0.57205708909393582</v>
      </c>
      <c r="S136" s="958"/>
      <c r="T136" s="891" t="s">
        <v>1594</v>
      </c>
      <c r="U136" s="891"/>
      <c r="V136" s="968"/>
      <c r="W136" s="981" t="s">
        <v>2045</v>
      </c>
      <c r="X136" s="968" t="s">
        <v>1594</v>
      </c>
      <c r="Y136" s="971" t="s">
        <v>2712</v>
      </c>
      <c r="Z136" s="899" t="s">
        <v>2059</v>
      </c>
      <c r="AA136" s="892" t="s">
        <v>2059</v>
      </c>
      <c r="AB136" s="968">
        <v>119</v>
      </c>
      <c r="AC136" s="968"/>
    </row>
    <row r="137" spans="1:29" ht="15" customHeight="1">
      <c r="A137" s="924" t="s">
        <v>1595</v>
      </c>
      <c r="B137" s="958">
        <v>8836.9975423831856</v>
      </c>
      <c r="C137" s="958">
        <v>17916.496080529738</v>
      </c>
      <c r="D137" s="958">
        <v>17762.113265733064</v>
      </c>
      <c r="E137" s="886">
        <v>400</v>
      </c>
      <c r="F137" s="887">
        <v>3</v>
      </c>
      <c r="G137" s="888">
        <v>1225.0215370386984</v>
      </c>
      <c r="H137" s="884">
        <v>264</v>
      </c>
      <c r="I137" s="888">
        <v>258</v>
      </c>
      <c r="J137" s="888">
        <v>487.07205741124477</v>
      </c>
      <c r="K137" s="889">
        <v>0.49156345998374146</v>
      </c>
      <c r="L137" s="1674">
        <v>4.5106129227125327E-2</v>
      </c>
      <c r="M137" s="890">
        <v>1.2467876620169844</v>
      </c>
      <c r="N137" s="890">
        <v>6.2831853071795862</v>
      </c>
      <c r="O137" s="890">
        <v>0.61617842179360682</v>
      </c>
      <c r="P137" s="893">
        <v>1.2241624866418137</v>
      </c>
      <c r="Q137" s="893">
        <v>0.65562403598655983</v>
      </c>
      <c r="R137" s="893">
        <v>0.56939750105213849</v>
      </c>
      <c r="S137" s="958"/>
      <c r="T137" s="891" t="s">
        <v>1595</v>
      </c>
      <c r="U137" s="891"/>
      <c r="V137" s="968"/>
      <c r="W137" s="981" t="s">
        <v>2045</v>
      </c>
      <c r="X137" s="968" t="s">
        <v>1595</v>
      </c>
      <c r="Y137" s="971" t="s">
        <v>2713</v>
      </c>
      <c r="Z137" s="899" t="s">
        <v>2060</v>
      </c>
      <c r="AA137" s="892" t="s">
        <v>2060</v>
      </c>
      <c r="AB137" s="968">
        <v>120</v>
      </c>
      <c r="AC137" s="968"/>
    </row>
    <row r="138" spans="1:29" ht="15" customHeight="1">
      <c r="A138" s="924" t="s">
        <v>1596</v>
      </c>
      <c r="B138" s="958">
        <v>9610.4256079325387</v>
      </c>
      <c r="C138" s="958">
        <v>18764.267240195721</v>
      </c>
      <c r="D138" s="958">
        <v>18609.88442539905</v>
      </c>
      <c r="E138" s="886">
        <v>500</v>
      </c>
      <c r="F138" s="887">
        <v>3</v>
      </c>
      <c r="G138" s="888">
        <v>1225.0157696748308</v>
      </c>
      <c r="H138" s="884">
        <v>414</v>
      </c>
      <c r="I138" s="888">
        <v>408</v>
      </c>
      <c r="J138" s="888">
        <v>481.2488916755338</v>
      </c>
      <c r="K138" s="889">
        <v>0.49190852982360789</v>
      </c>
      <c r="L138" s="1674">
        <v>4.4959659688814026E-2</v>
      </c>
      <c r="M138" s="890">
        <v>1.2352412750576005</v>
      </c>
      <c r="N138" s="890">
        <v>6.2831853071795862</v>
      </c>
      <c r="O138" s="890">
        <v>0.61374799217224785</v>
      </c>
      <c r="P138" s="893">
        <v>1.2217390589720352</v>
      </c>
      <c r="Q138" s="893">
        <v>0.6554814158842891</v>
      </c>
      <c r="R138" s="893">
        <v>0.56953435379054185</v>
      </c>
      <c r="S138" s="958"/>
      <c r="T138" s="891" t="s">
        <v>1596</v>
      </c>
      <c r="U138" s="891"/>
      <c r="V138" s="968"/>
      <c r="W138" s="981" t="s">
        <v>2045</v>
      </c>
      <c r="X138" s="968" t="s">
        <v>1596</v>
      </c>
      <c r="Y138" s="971" t="s">
        <v>2714</v>
      </c>
      <c r="Z138" s="899" t="s">
        <v>2061</v>
      </c>
      <c r="AA138" s="892" t="s">
        <v>2061</v>
      </c>
      <c r="AB138" s="968">
        <v>121</v>
      </c>
      <c r="AC138" s="968"/>
    </row>
    <row r="139" spans="1:29" ht="15" customHeight="1">
      <c r="A139" s="1397" t="s">
        <v>1597</v>
      </c>
      <c r="B139" s="958">
        <v>11645.555246863518</v>
      </c>
      <c r="C139" s="958">
        <v>21880.628552132825</v>
      </c>
      <c r="D139" s="958">
        <v>21706.952137385149</v>
      </c>
      <c r="E139" s="886">
        <v>550</v>
      </c>
      <c r="F139" s="887">
        <v>3</v>
      </c>
      <c r="G139" s="888">
        <v>1375.0270818020535</v>
      </c>
      <c r="H139" s="884">
        <v>439</v>
      </c>
      <c r="I139" s="888">
        <v>433</v>
      </c>
      <c r="J139" s="888">
        <v>548.69162746102927</v>
      </c>
      <c r="K139" s="889">
        <v>0.55319475494655868</v>
      </c>
      <c r="L139" s="1674">
        <v>4.4677500949511867E-2</v>
      </c>
      <c r="M139" s="890">
        <v>1.2512277453984382</v>
      </c>
      <c r="N139" s="890">
        <v>6.2831853071795862</v>
      </c>
      <c r="O139" s="890">
        <v>0.69422757271315372</v>
      </c>
      <c r="P139" s="893">
        <v>1.3770589075844013</v>
      </c>
      <c r="Q139" s="893">
        <v>0.7354734803798465</v>
      </c>
      <c r="R139" s="893">
        <v>0.63955360142220707</v>
      </c>
      <c r="S139" s="958"/>
      <c r="T139" s="891" t="s">
        <v>1597</v>
      </c>
      <c r="U139" s="891"/>
      <c r="V139" s="968"/>
      <c r="W139" s="981" t="s">
        <v>2045</v>
      </c>
      <c r="X139" s="968" t="s">
        <v>1597</v>
      </c>
      <c r="Y139" s="971" t="s">
        <v>2715</v>
      </c>
      <c r="Z139" s="899" t="s">
        <v>2062</v>
      </c>
      <c r="AA139" s="892" t="s">
        <v>2062</v>
      </c>
      <c r="AB139" s="968">
        <v>122</v>
      </c>
      <c r="AC139" s="968"/>
    </row>
    <row r="140" spans="1:29" ht="15" customHeight="1">
      <c r="A140" s="1396" t="s">
        <v>1598</v>
      </c>
      <c r="B140" s="958">
        <v>12801.272706372863</v>
      </c>
      <c r="C140" s="958">
        <v>23645.111997723852</v>
      </c>
      <c r="D140" s="958">
        <v>23460.622286797832</v>
      </c>
      <c r="E140" s="886">
        <v>625</v>
      </c>
      <c r="F140" s="887">
        <v>3</v>
      </c>
      <c r="G140" s="888">
        <v>1439.2216353018744</v>
      </c>
      <c r="H140" s="884">
        <v>516</v>
      </c>
      <c r="I140" s="888">
        <v>510</v>
      </c>
      <c r="J140" s="888">
        <v>601.58023031152641</v>
      </c>
      <c r="K140" s="889">
        <v>0.58385733033216425</v>
      </c>
      <c r="L140" s="1674">
        <v>4.299255733109425E-2</v>
      </c>
      <c r="M140" s="890">
        <v>1.3030723542300895</v>
      </c>
      <c r="N140" s="890">
        <v>6.2831853071795862</v>
      </c>
      <c r="O140" s="890">
        <v>0.74437732949042923</v>
      </c>
      <c r="P140" s="893">
        <v>1.4593571426927237</v>
      </c>
      <c r="Q140" s="893">
        <v>0.76793193816316185</v>
      </c>
      <c r="R140" s="893">
        <v>0.67128969713871245</v>
      </c>
      <c r="S140" s="958"/>
      <c r="T140" s="891" t="s">
        <v>1598</v>
      </c>
      <c r="U140" s="891"/>
      <c r="V140" s="968"/>
      <c r="W140" s="981" t="s">
        <v>2045</v>
      </c>
      <c r="X140" s="968" t="s">
        <v>1598</v>
      </c>
      <c r="Y140" s="971" t="s">
        <v>2371</v>
      </c>
      <c r="Z140" s="899" t="s">
        <v>2063</v>
      </c>
      <c r="AA140" s="892" t="s">
        <v>2063</v>
      </c>
      <c r="AB140" s="968">
        <v>123</v>
      </c>
      <c r="AC140" s="968"/>
    </row>
    <row r="141" spans="1:29" ht="15" customHeight="1">
      <c r="A141" s="1396" t="s">
        <v>1599</v>
      </c>
      <c r="B141" s="958">
        <v>18494.234851701414</v>
      </c>
      <c r="C141" s="958">
        <v>31380.963757980531</v>
      </c>
      <c r="D141" s="958">
        <v>31168.567150925166</v>
      </c>
      <c r="E141" s="886">
        <v>700</v>
      </c>
      <c r="F141" s="887">
        <v>3</v>
      </c>
      <c r="G141" s="888">
        <v>1979.1903409284942</v>
      </c>
      <c r="H141" s="884">
        <v>541</v>
      </c>
      <c r="I141" s="888">
        <v>535</v>
      </c>
      <c r="J141" s="888">
        <v>719.34912727702624</v>
      </c>
      <c r="K141" s="889">
        <v>0.65834977103967884</v>
      </c>
      <c r="L141" s="1674">
        <v>8.4000592361377177E-2</v>
      </c>
      <c r="M141" s="890">
        <v>0.98268575673395708</v>
      </c>
      <c r="N141" s="890">
        <v>6.2831853071795862</v>
      </c>
      <c r="O141" s="890">
        <v>0.74359142039530401</v>
      </c>
      <c r="P141" s="893">
        <v>1.7216600322188049</v>
      </c>
      <c r="Q141" s="893">
        <v>1.1190239962683404</v>
      </c>
      <c r="R141" s="893">
        <v>0.86016634466015374</v>
      </c>
      <c r="S141" s="958"/>
      <c r="T141" s="891" t="s">
        <v>1599</v>
      </c>
      <c r="U141" s="891"/>
      <c r="V141" s="968"/>
      <c r="W141" s="981" t="s">
        <v>2045</v>
      </c>
      <c r="X141" s="968" t="s">
        <v>1599</v>
      </c>
      <c r="Y141" s="971" t="s">
        <v>2372</v>
      </c>
      <c r="Z141" s="899" t="s">
        <v>2064</v>
      </c>
      <c r="AA141" s="892" t="s">
        <v>2064</v>
      </c>
      <c r="AB141" s="968">
        <v>124</v>
      </c>
      <c r="AC141" s="968"/>
    </row>
    <row r="142" spans="1:29" ht="15" customHeight="1">
      <c r="A142" s="1396" t="s">
        <v>1600</v>
      </c>
      <c r="B142" s="958">
        <v>23800.545216209488</v>
      </c>
      <c r="C142" s="958">
        <v>38457.625160731892</v>
      </c>
      <c r="D142" s="958">
        <v>38220.225748678975</v>
      </c>
      <c r="E142" s="886">
        <v>800</v>
      </c>
      <c r="F142" s="887">
        <v>4</v>
      </c>
      <c r="G142" s="888">
        <v>2149.8915634272244</v>
      </c>
      <c r="H142" s="884">
        <v>606</v>
      </c>
      <c r="I142" s="888">
        <v>598</v>
      </c>
      <c r="J142" s="888">
        <v>840.5493493975855</v>
      </c>
      <c r="K142" s="889">
        <v>0.73660414108767402</v>
      </c>
      <c r="L142" s="1674">
        <v>7.7835501197502946E-2</v>
      </c>
      <c r="M142" s="890">
        <v>1.1048005827252063</v>
      </c>
      <c r="N142" s="890">
        <v>6.2831853071795862</v>
      </c>
      <c r="O142" s="890">
        <v>0.89644558343621328</v>
      </c>
      <c r="P142" s="893">
        <v>1.9594364477067185</v>
      </c>
      <c r="Q142" s="893">
        <v>1.2052350362499096</v>
      </c>
      <c r="R142" s="893">
        <v>0.94465652717731463</v>
      </c>
      <c r="S142" s="958"/>
      <c r="T142" s="891" t="s">
        <v>1600</v>
      </c>
      <c r="U142" s="891"/>
      <c r="V142" s="968"/>
      <c r="W142" s="981" t="s">
        <v>2045</v>
      </c>
      <c r="X142" s="968" t="s">
        <v>1600</v>
      </c>
      <c r="Y142" s="971" t="s">
        <v>2373</v>
      </c>
      <c r="Z142" s="899" t="s">
        <v>2065</v>
      </c>
      <c r="AA142" s="892" t="s">
        <v>2065</v>
      </c>
      <c r="AB142" s="968">
        <v>125</v>
      </c>
      <c r="AC142" s="968"/>
    </row>
    <row r="143" spans="1:29" ht="15" customHeight="1">
      <c r="A143" s="1047" t="s">
        <v>1601</v>
      </c>
      <c r="B143" s="958">
        <v>2383.4106262419168</v>
      </c>
      <c r="C143" s="958">
        <v>3364.3332843139274</v>
      </c>
      <c r="D143" s="958">
        <v>3364.3332843139274</v>
      </c>
      <c r="E143" s="886">
        <v>160</v>
      </c>
      <c r="F143" s="887">
        <v>3</v>
      </c>
      <c r="G143" s="888">
        <v>580</v>
      </c>
      <c r="H143" s="884">
        <v>130</v>
      </c>
      <c r="I143" s="888">
        <v>124</v>
      </c>
      <c r="J143" s="888"/>
      <c r="K143" s="889"/>
      <c r="L143" s="1674"/>
      <c r="M143" s="890"/>
      <c r="N143" s="890"/>
      <c r="O143" s="890"/>
      <c r="P143" s="893">
        <v>0</v>
      </c>
      <c r="Q143" s="893">
        <v>3.0000000000000001E-3</v>
      </c>
      <c r="R143" s="893">
        <v>0.57699999999999996</v>
      </c>
      <c r="S143" s="958"/>
      <c r="T143" s="888" t="s">
        <v>1601</v>
      </c>
      <c r="U143" s="888"/>
      <c r="V143" s="968"/>
      <c r="W143" s="980" t="s">
        <v>2083</v>
      </c>
      <c r="X143" s="968" t="s">
        <v>1601</v>
      </c>
      <c r="Y143" s="971" t="s">
        <v>2374</v>
      </c>
      <c r="Z143" s="899" t="s">
        <v>2066</v>
      </c>
      <c r="AA143" s="892" t="s">
        <v>2066</v>
      </c>
      <c r="AB143" s="968">
        <v>126</v>
      </c>
      <c r="AC143" s="968"/>
    </row>
    <row r="144" spans="1:29" ht="15" customHeight="1">
      <c r="A144" s="1047" t="s">
        <v>1694</v>
      </c>
      <c r="B144" s="958">
        <v>2477.5481261405889</v>
      </c>
      <c r="C144" s="958">
        <v>3458.4707842125995</v>
      </c>
      <c r="D144" s="958">
        <v>3458.4707842125995</v>
      </c>
      <c r="E144" s="886">
        <v>160</v>
      </c>
      <c r="F144" s="887">
        <v>3</v>
      </c>
      <c r="G144" s="888">
        <v>580</v>
      </c>
      <c r="H144" s="884">
        <v>130</v>
      </c>
      <c r="I144" s="888">
        <v>124</v>
      </c>
      <c r="J144" s="888"/>
      <c r="K144" s="889"/>
      <c r="L144" s="1674"/>
      <c r="M144" s="890"/>
      <c r="N144" s="890"/>
      <c r="O144" s="890"/>
      <c r="P144" s="893">
        <v>0</v>
      </c>
      <c r="Q144" s="893">
        <v>3.0000000000000001E-3</v>
      </c>
      <c r="R144" s="893">
        <v>0.57699999999999996</v>
      </c>
      <c r="S144" s="958"/>
      <c r="T144" s="888" t="s">
        <v>1694</v>
      </c>
      <c r="U144" s="888"/>
      <c r="V144" s="968"/>
      <c r="W144" s="981" t="s">
        <v>2083</v>
      </c>
      <c r="X144" s="968" t="s">
        <v>1601</v>
      </c>
      <c r="Y144" s="971" t="s">
        <v>2374</v>
      </c>
      <c r="Z144" s="899" t="s">
        <v>2067</v>
      </c>
      <c r="AA144" s="892" t="s">
        <v>2067</v>
      </c>
      <c r="AB144" s="968">
        <v>127</v>
      </c>
      <c r="AC144" s="968"/>
    </row>
    <row r="145" spans="1:29" ht="15" customHeight="1">
      <c r="A145" s="924" t="s">
        <v>1695</v>
      </c>
      <c r="B145" s="958">
        <v>2896.7194012514792</v>
      </c>
      <c r="C145" s="958">
        <v>7708.6904819104575</v>
      </c>
      <c r="D145" s="958">
        <v>7629.4150593234899</v>
      </c>
      <c r="E145" s="886">
        <v>160</v>
      </c>
      <c r="F145" s="887">
        <v>3</v>
      </c>
      <c r="G145" s="888">
        <v>580</v>
      </c>
      <c r="H145" s="884">
        <v>130</v>
      </c>
      <c r="I145" s="888">
        <v>124</v>
      </c>
      <c r="J145" s="888"/>
      <c r="K145" s="889"/>
      <c r="L145" s="1674"/>
      <c r="M145" s="890"/>
      <c r="N145" s="890"/>
      <c r="O145" s="890"/>
      <c r="P145" s="893">
        <v>0</v>
      </c>
      <c r="Q145" s="893">
        <v>3.0000000000000001E-3</v>
      </c>
      <c r="R145" s="893">
        <v>0.57699999999999996</v>
      </c>
      <c r="S145" s="958"/>
      <c r="T145" s="888" t="s">
        <v>1695</v>
      </c>
      <c r="U145" s="888"/>
      <c r="V145" s="968"/>
      <c r="W145" s="981" t="s">
        <v>2083</v>
      </c>
      <c r="X145" s="968" t="s">
        <v>1601</v>
      </c>
      <c r="Y145" s="971" t="s">
        <v>2693</v>
      </c>
      <c r="Z145" s="899" t="s">
        <v>2068</v>
      </c>
      <c r="AA145" s="892" t="s">
        <v>2068</v>
      </c>
      <c r="AB145" s="968">
        <v>128</v>
      </c>
      <c r="AC145" s="968"/>
    </row>
    <row r="146" spans="1:29" ht="15" customHeight="1">
      <c r="A146" s="924" t="s">
        <v>1602</v>
      </c>
      <c r="B146" s="958">
        <v>3345.9839768783627</v>
      </c>
      <c r="C146" s="958">
        <v>8202.1094307484236</v>
      </c>
      <c r="D146" s="958">
        <v>8122.8340081614569</v>
      </c>
      <c r="E146" s="886">
        <v>200</v>
      </c>
      <c r="F146" s="887">
        <v>3</v>
      </c>
      <c r="G146" s="888">
        <v>580</v>
      </c>
      <c r="H146" s="884">
        <v>170</v>
      </c>
      <c r="I146" s="888">
        <v>164</v>
      </c>
      <c r="J146" s="888"/>
      <c r="K146" s="889"/>
      <c r="L146" s="1674"/>
      <c r="M146" s="890"/>
      <c r="N146" s="890"/>
      <c r="O146" s="890"/>
      <c r="P146" s="893">
        <v>0</v>
      </c>
      <c r="Q146" s="893">
        <v>3.0000000000000001E-3</v>
      </c>
      <c r="R146" s="893">
        <v>0.57699999999999996</v>
      </c>
      <c r="S146" s="958"/>
      <c r="T146" s="888" t="s">
        <v>1602</v>
      </c>
      <c r="U146" s="888"/>
      <c r="V146" s="968"/>
      <c r="W146" s="981" t="s">
        <v>2083</v>
      </c>
      <c r="X146" s="968" t="s">
        <v>1602</v>
      </c>
      <c r="Y146" s="971" t="s">
        <v>2694</v>
      </c>
      <c r="Z146" s="899" t="s">
        <v>2069</v>
      </c>
      <c r="AA146" s="892" t="s">
        <v>2069</v>
      </c>
      <c r="AB146" s="968">
        <v>129</v>
      </c>
      <c r="AC146" s="968"/>
    </row>
    <row r="147" spans="1:29" ht="15" customHeight="1">
      <c r="A147" s="924" t="s">
        <v>1603</v>
      </c>
      <c r="B147" s="958">
        <v>3544.9482303381787</v>
      </c>
      <c r="C147" s="958">
        <v>8654.6720621827444</v>
      </c>
      <c r="D147" s="958">
        <v>8571.8234953037609</v>
      </c>
      <c r="E147" s="886">
        <v>250</v>
      </c>
      <c r="F147" s="887">
        <v>3</v>
      </c>
      <c r="G147" s="888">
        <v>695</v>
      </c>
      <c r="H147" s="884">
        <v>210</v>
      </c>
      <c r="I147" s="888">
        <v>204</v>
      </c>
      <c r="J147" s="888"/>
      <c r="K147" s="889"/>
      <c r="L147" s="1674"/>
      <c r="M147" s="890"/>
      <c r="N147" s="890"/>
      <c r="O147" s="890"/>
      <c r="P147" s="893">
        <v>0</v>
      </c>
      <c r="Q147" s="893">
        <v>3.0000000000000001E-3</v>
      </c>
      <c r="R147" s="893">
        <v>0.69199999999999995</v>
      </c>
      <c r="S147" s="958"/>
      <c r="T147" s="888" t="s">
        <v>1603</v>
      </c>
      <c r="U147" s="888"/>
      <c r="V147" s="968"/>
      <c r="W147" s="981" t="s">
        <v>2083</v>
      </c>
      <c r="X147" s="968" t="s">
        <v>1603</v>
      </c>
      <c r="Y147" s="971" t="s">
        <v>2695</v>
      </c>
      <c r="Z147" s="899" t="s">
        <v>2070</v>
      </c>
      <c r="AA147" s="892" t="s">
        <v>2070</v>
      </c>
      <c r="AB147" s="968">
        <v>130</v>
      </c>
      <c r="AC147" s="968"/>
    </row>
    <row r="148" spans="1:29" ht="15" customHeight="1">
      <c r="A148" s="924" t="s">
        <v>1604</v>
      </c>
      <c r="B148" s="958">
        <v>4053.5658610255241</v>
      </c>
      <c r="C148" s="958">
        <v>9926.2391314484885</v>
      </c>
      <c r="D148" s="958">
        <v>9829.337116504832</v>
      </c>
      <c r="E148" s="886">
        <v>250</v>
      </c>
      <c r="F148" s="887">
        <v>3</v>
      </c>
      <c r="G148" s="888">
        <v>760</v>
      </c>
      <c r="H148" s="884">
        <v>182</v>
      </c>
      <c r="I148" s="888">
        <v>176</v>
      </c>
      <c r="J148" s="888"/>
      <c r="K148" s="889"/>
      <c r="L148" s="1674"/>
      <c r="M148" s="890"/>
      <c r="N148" s="890"/>
      <c r="O148" s="890"/>
      <c r="P148" s="893">
        <v>0</v>
      </c>
      <c r="Q148" s="893">
        <v>3.0000000000000001E-3</v>
      </c>
      <c r="R148" s="893">
        <v>0.75700000000000001</v>
      </c>
      <c r="S148" s="958"/>
      <c r="T148" s="888" t="s">
        <v>1604</v>
      </c>
      <c r="U148" s="888"/>
      <c r="V148" s="968"/>
      <c r="W148" s="981" t="s">
        <v>2083</v>
      </c>
      <c r="X148" s="968" t="s">
        <v>1604</v>
      </c>
      <c r="Y148" s="971" t="s">
        <v>2697</v>
      </c>
      <c r="Z148" s="899" t="s">
        <v>2071</v>
      </c>
      <c r="AA148" s="892" t="s">
        <v>2071</v>
      </c>
      <c r="AB148" s="968">
        <v>131</v>
      </c>
      <c r="AC148" s="968"/>
    </row>
    <row r="149" spans="1:29" ht="15" customHeight="1">
      <c r="A149" s="924" t="s">
        <v>1605</v>
      </c>
      <c r="B149" s="958">
        <v>4278.8264472468763</v>
      </c>
      <c r="C149" s="958">
        <v>10171.354194670304</v>
      </c>
      <c r="D149" s="958">
        <v>10074.452179726648</v>
      </c>
      <c r="E149" s="886">
        <v>310</v>
      </c>
      <c r="F149" s="887">
        <v>3</v>
      </c>
      <c r="G149" s="888">
        <v>760</v>
      </c>
      <c r="H149" s="884">
        <v>252</v>
      </c>
      <c r="I149" s="888">
        <v>246</v>
      </c>
      <c r="J149" s="888"/>
      <c r="K149" s="889"/>
      <c r="L149" s="1674"/>
      <c r="M149" s="890"/>
      <c r="N149" s="890"/>
      <c r="O149" s="890"/>
      <c r="P149" s="893">
        <v>0</v>
      </c>
      <c r="Q149" s="893">
        <v>3.0000000000000001E-3</v>
      </c>
      <c r="R149" s="893">
        <v>0.75700000000000001</v>
      </c>
      <c r="S149" s="958"/>
      <c r="T149" s="888" t="s">
        <v>1605</v>
      </c>
      <c r="U149" s="888"/>
      <c r="V149" s="968"/>
      <c r="W149" s="981" t="s">
        <v>2083</v>
      </c>
      <c r="X149" s="968" t="s">
        <v>1605</v>
      </c>
      <c r="Y149" s="971" t="s">
        <v>2698</v>
      </c>
      <c r="Z149" s="899" t="s">
        <v>2072</v>
      </c>
      <c r="AA149" s="892" t="s">
        <v>2072</v>
      </c>
      <c r="AB149" s="968">
        <v>132</v>
      </c>
      <c r="AC149" s="968"/>
    </row>
    <row r="150" spans="1:29" ht="15" customHeight="1">
      <c r="A150" s="924" t="s">
        <v>1606</v>
      </c>
      <c r="B150" s="958">
        <v>4827.1352088840995</v>
      </c>
      <c r="C150" s="958">
        <v>11707.124427140412</v>
      </c>
      <c r="D150" s="958">
        <v>11592.062827434384</v>
      </c>
      <c r="E150" s="886">
        <v>250</v>
      </c>
      <c r="F150" s="887">
        <v>3</v>
      </c>
      <c r="G150" s="888">
        <v>895</v>
      </c>
      <c r="H150" s="884">
        <v>182</v>
      </c>
      <c r="I150" s="888">
        <v>176</v>
      </c>
      <c r="J150" s="888"/>
      <c r="K150" s="889"/>
      <c r="L150" s="1674"/>
      <c r="M150" s="890"/>
      <c r="N150" s="890"/>
      <c r="O150" s="890"/>
      <c r="P150" s="893">
        <v>0</v>
      </c>
      <c r="Q150" s="893">
        <v>3.0000000000000001E-3</v>
      </c>
      <c r="R150" s="893">
        <v>0.89200000000000002</v>
      </c>
      <c r="S150" s="958"/>
      <c r="T150" s="888" t="s">
        <v>1606</v>
      </c>
      <c r="U150" s="888"/>
      <c r="V150" s="968"/>
      <c r="W150" s="981" t="s">
        <v>2083</v>
      </c>
      <c r="X150" s="968" t="s">
        <v>1606</v>
      </c>
      <c r="Y150" s="971" t="s">
        <v>2368</v>
      </c>
      <c r="Z150" s="899" t="s">
        <v>2073</v>
      </c>
      <c r="AA150" s="892" t="s">
        <v>2073</v>
      </c>
      <c r="AB150" s="968">
        <v>133</v>
      </c>
      <c r="AC150" s="968"/>
    </row>
    <row r="151" spans="1:29" ht="15" customHeight="1">
      <c r="A151" s="924" t="s">
        <v>1607</v>
      </c>
      <c r="B151" s="958">
        <v>5387.1418893445716</v>
      </c>
      <c r="C151" s="958">
        <v>12320.298266640662</v>
      </c>
      <c r="D151" s="958">
        <v>12205.236666934634</v>
      </c>
      <c r="E151" s="886">
        <v>350</v>
      </c>
      <c r="F151" s="887">
        <v>3</v>
      </c>
      <c r="G151" s="888">
        <v>895</v>
      </c>
      <c r="H151" s="884">
        <v>312</v>
      </c>
      <c r="I151" s="888">
        <v>306</v>
      </c>
      <c r="J151" s="888"/>
      <c r="K151" s="889"/>
      <c r="L151" s="1674"/>
      <c r="M151" s="890"/>
      <c r="N151" s="890"/>
      <c r="O151" s="890"/>
      <c r="P151" s="893">
        <v>0</v>
      </c>
      <c r="Q151" s="893">
        <v>3.0000000000000001E-3</v>
      </c>
      <c r="R151" s="893">
        <v>0.89200000000000002</v>
      </c>
      <c r="S151" s="958"/>
      <c r="T151" s="888" t="s">
        <v>1607</v>
      </c>
      <c r="U151" s="888"/>
      <c r="V151" s="968"/>
      <c r="W151" s="981" t="s">
        <v>2083</v>
      </c>
      <c r="X151" s="968" t="s">
        <v>1607</v>
      </c>
      <c r="Y151" s="971" t="s">
        <v>2370</v>
      </c>
      <c r="Z151" s="899" t="s">
        <v>2074</v>
      </c>
      <c r="AA151" s="892" t="s">
        <v>2074</v>
      </c>
      <c r="AB151" s="968">
        <v>134</v>
      </c>
      <c r="AC151" s="968"/>
    </row>
    <row r="152" spans="1:29" ht="15" customHeight="1">
      <c r="A152" s="924" t="s">
        <v>1608</v>
      </c>
      <c r="B152" s="958">
        <v>5882.7201019233498</v>
      </c>
      <c r="C152" s="958">
        <v>13602.259997528379</v>
      </c>
      <c r="D152" s="958">
        <v>13470.64392697473</v>
      </c>
      <c r="E152" s="886">
        <v>350</v>
      </c>
      <c r="F152" s="887">
        <v>3</v>
      </c>
      <c r="G152" s="888">
        <v>980</v>
      </c>
      <c r="H152" s="884">
        <v>263</v>
      </c>
      <c r="I152" s="888">
        <v>257</v>
      </c>
      <c r="J152" s="888"/>
      <c r="K152" s="889"/>
      <c r="L152" s="1674"/>
      <c r="M152" s="890"/>
      <c r="N152" s="890"/>
      <c r="O152" s="890"/>
      <c r="P152" s="893">
        <v>0</v>
      </c>
      <c r="Q152" s="893">
        <v>3.0000000000000001E-3</v>
      </c>
      <c r="R152" s="893">
        <v>0.97699999999999998</v>
      </c>
      <c r="S152" s="958"/>
      <c r="T152" s="888" t="s">
        <v>1608</v>
      </c>
      <c r="U152" s="888"/>
      <c r="V152" s="968"/>
      <c r="W152" s="981" t="s">
        <v>2083</v>
      </c>
      <c r="X152" s="968" t="s">
        <v>1608</v>
      </c>
      <c r="Y152" s="971" t="s">
        <v>2706</v>
      </c>
      <c r="Z152" s="899" t="s">
        <v>2075</v>
      </c>
      <c r="AA152" s="892" t="s">
        <v>2075</v>
      </c>
      <c r="AB152" s="968">
        <v>135</v>
      </c>
      <c r="AC152" s="968"/>
    </row>
    <row r="153" spans="1:29" ht="15" customHeight="1">
      <c r="A153" s="924" t="s">
        <v>1609</v>
      </c>
      <c r="B153" s="958">
        <v>6360.0193879028157</v>
      </c>
      <c r="C153" s="958">
        <v>14139.302602186648</v>
      </c>
      <c r="D153" s="958">
        <v>14007.686531632999</v>
      </c>
      <c r="E153" s="886">
        <v>400</v>
      </c>
      <c r="F153" s="887">
        <v>3</v>
      </c>
      <c r="G153" s="888">
        <v>980</v>
      </c>
      <c r="H153" s="884">
        <v>6</v>
      </c>
      <c r="I153" s="888"/>
      <c r="J153" s="888"/>
      <c r="K153" s="889"/>
      <c r="L153" s="1674"/>
      <c r="M153" s="890"/>
      <c r="N153" s="890"/>
      <c r="O153" s="890"/>
      <c r="P153" s="893">
        <v>0</v>
      </c>
      <c r="Q153" s="893">
        <v>3.0000000000000001E-3</v>
      </c>
      <c r="R153" s="893">
        <v>0.97699999999999998</v>
      </c>
      <c r="S153" s="958"/>
      <c r="T153" s="888" t="s">
        <v>1609</v>
      </c>
      <c r="U153" s="888"/>
      <c r="V153" s="968"/>
      <c r="W153" s="981" t="s">
        <v>2083</v>
      </c>
      <c r="X153" s="968" t="s">
        <v>1609</v>
      </c>
      <c r="Y153" s="971" t="s">
        <v>2707</v>
      </c>
      <c r="Z153" s="899" t="s">
        <v>2076</v>
      </c>
      <c r="AA153" s="892" t="s">
        <v>2076</v>
      </c>
      <c r="AB153" s="968">
        <v>136</v>
      </c>
      <c r="AC153" s="968"/>
    </row>
    <row r="154" spans="1:29" ht="15" customHeight="1">
      <c r="A154" s="924" t="s">
        <v>1610</v>
      </c>
      <c r="B154" s="958">
        <v>6926.9857510563625</v>
      </c>
      <c r="C154" s="958">
        <v>15221.771855440664</v>
      </c>
      <c r="D154" s="958">
        <v>15081.342488708671</v>
      </c>
      <c r="E154" s="886">
        <v>450</v>
      </c>
      <c r="F154" s="887">
        <v>3</v>
      </c>
      <c r="G154" s="888">
        <v>1075</v>
      </c>
      <c r="H154" s="884">
        <v>364</v>
      </c>
      <c r="I154" s="888">
        <v>358</v>
      </c>
      <c r="J154" s="888"/>
      <c r="K154" s="889"/>
      <c r="L154" s="1674"/>
      <c r="M154" s="890"/>
      <c r="N154" s="890"/>
      <c r="O154" s="890"/>
      <c r="P154" s="893">
        <v>0</v>
      </c>
      <c r="Q154" s="893">
        <v>3.0000000000000001E-3</v>
      </c>
      <c r="R154" s="893">
        <v>1.0720000000000001</v>
      </c>
      <c r="S154" s="958"/>
      <c r="T154" s="888" t="s">
        <v>1610</v>
      </c>
      <c r="U154" s="888"/>
      <c r="V154" s="968"/>
      <c r="W154" s="981" t="s">
        <v>2083</v>
      </c>
      <c r="X154" s="968" t="s">
        <v>1610</v>
      </c>
      <c r="Y154" s="971" t="s">
        <v>2708</v>
      </c>
      <c r="Z154" s="899" t="s">
        <v>2077</v>
      </c>
      <c r="AA154" s="892" t="s">
        <v>2077</v>
      </c>
      <c r="AB154" s="968">
        <v>137</v>
      </c>
      <c r="AC154" s="968"/>
    </row>
    <row r="155" spans="1:29" ht="15" customHeight="1">
      <c r="A155" s="924" t="s">
        <v>1611</v>
      </c>
      <c r="B155" s="958">
        <v>8046.1240705289083</v>
      </c>
      <c r="C155" s="958">
        <v>17133.5960805289</v>
      </c>
      <c r="D155" s="958">
        <v>16979.213265732229</v>
      </c>
      <c r="E155" s="886">
        <v>400</v>
      </c>
      <c r="F155" s="887">
        <v>3</v>
      </c>
      <c r="G155" s="888">
        <v>1225</v>
      </c>
      <c r="H155" s="884">
        <v>264</v>
      </c>
      <c r="I155" s="888">
        <v>258</v>
      </c>
      <c r="J155" s="888"/>
      <c r="K155" s="889"/>
      <c r="L155" s="1674"/>
      <c r="M155" s="890"/>
      <c r="N155" s="890"/>
      <c r="O155" s="890"/>
      <c r="P155" s="893">
        <v>0</v>
      </c>
      <c r="Q155" s="893">
        <v>3.0000000000000001E-3</v>
      </c>
      <c r="R155" s="893">
        <v>1.2220000000000002</v>
      </c>
      <c r="S155" s="958"/>
      <c r="T155" s="888" t="s">
        <v>1611</v>
      </c>
      <c r="U155" s="888"/>
      <c r="V155" s="968"/>
      <c r="W155" s="981" t="s">
        <v>2083</v>
      </c>
      <c r="X155" s="968" t="s">
        <v>1611</v>
      </c>
      <c r="Y155" s="971" t="s">
        <v>2713</v>
      </c>
      <c r="Z155" s="899" t="s">
        <v>2078</v>
      </c>
      <c r="AA155" s="892" t="s">
        <v>2078</v>
      </c>
      <c r="AB155" s="968">
        <v>138</v>
      </c>
      <c r="AC155" s="968"/>
    </row>
    <row r="156" spans="1:29" ht="15" customHeight="1">
      <c r="A156" s="924" t="s">
        <v>1612</v>
      </c>
      <c r="B156" s="958">
        <v>8726.3005529600414</v>
      </c>
      <c r="C156" s="958">
        <v>17929.651227678685</v>
      </c>
      <c r="D156" s="958">
        <v>17775.268412882018</v>
      </c>
      <c r="E156" s="886">
        <v>500</v>
      </c>
      <c r="F156" s="887">
        <v>3</v>
      </c>
      <c r="G156" s="888">
        <v>1225</v>
      </c>
      <c r="H156" s="884">
        <v>414</v>
      </c>
      <c r="I156" s="888">
        <v>408</v>
      </c>
      <c r="J156" s="888"/>
      <c r="K156" s="889"/>
      <c r="L156" s="1674"/>
      <c r="M156" s="890"/>
      <c r="N156" s="890"/>
      <c r="O156" s="890"/>
      <c r="P156" s="893">
        <v>0</v>
      </c>
      <c r="Q156" s="893">
        <v>3.0000000000000001E-3</v>
      </c>
      <c r="R156" s="893">
        <v>1.2220000000000002</v>
      </c>
      <c r="S156" s="958"/>
      <c r="T156" s="888" t="s">
        <v>1612</v>
      </c>
      <c r="U156" s="888"/>
      <c r="V156" s="968"/>
      <c r="W156" s="981" t="s">
        <v>2083</v>
      </c>
      <c r="X156" s="968" t="s">
        <v>1612</v>
      </c>
      <c r="Y156" s="971" t="s">
        <v>2714</v>
      </c>
      <c r="Z156" s="899" t="s">
        <v>2079</v>
      </c>
      <c r="AA156" s="892" t="s">
        <v>2079</v>
      </c>
      <c r="AB156" s="968">
        <v>139</v>
      </c>
      <c r="AC156" s="968"/>
    </row>
    <row r="157" spans="1:29" ht="15" customHeight="1">
      <c r="A157" s="924" t="s">
        <v>1613</v>
      </c>
      <c r="B157" s="958">
        <v>9703.0983376081767</v>
      </c>
      <c r="C157" s="958">
        <v>19945.985889194926</v>
      </c>
      <c r="D157" s="958">
        <v>19772.309474447251</v>
      </c>
      <c r="E157" s="886">
        <v>550</v>
      </c>
      <c r="F157" s="887">
        <v>3</v>
      </c>
      <c r="G157" s="888">
        <v>1375</v>
      </c>
      <c r="H157" s="884">
        <v>439</v>
      </c>
      <c r="I157" s="888">
        <v>433</v>
      </c>
      <c r="J157" s="888"/>
      <c r="K157" s="889"/>
      <c r="L157" s="1674"/>
      <c r="M157" s="890"/>
      <c r="N157" s="890"/>
      <c r="O157" s="890"/>
      <c r="P157" s="893">
        <v>0</v>
      </c>
      <c r="Q157" s="893">
        <v>3.0000000000000001E-3</v>
      </c>
      <c r="R157" s="893">
        <v>1.3720000000000001</v>
      </c>
      <c r="S157" s="958"/>
      <c r="T157" s="888" t="s">
        <v>1613</v>
      </c>
      <c r="U157" s="888"/>
      <c r="V157" s="972"/>
      <c r="W157" s="981" t="s">
        <v>2083</v>
      </c>
      <c r="X157" s="972" t="s">
        <v>1613</v>
      </c>
      <c r="Y157" s="973" t="s">
        <v>2715</v>
      </c>
      <c r="Z157" s="899" t="s">
        <v>2080</v>
      </c>
      <c r="AA157" s="892" t="s">
        <v>2080</v>
      </c>
      <c r="AB157" s="968">
        <v>140</v>
      </c>
      <c r="AC157" s="968"/>
    </row>
    <row r="158" spans="1:29" ht="15" customHeight="1">
      <c r="A158" s="924" t="s">
        <v>1614</v>
      </c>
      <c r="B158" s="958">
        <v>10611.834146995554</v>
      </c>
      <c r="C158" s="958">
        <v>21431.24730290331</v>
      </c>
      <c r="D158" s="958">
        <v>21247.290584382972</v>
      </c>
      <c r="E158" s="886">
        <v>625</v>
      </c>
      <c r="F158" s="887">
        <v>3</v>
      </c>
      <c r="G158" s="888">
        <v>1440</v>
      </c>
      <c r="H158" s="884">
        <v>516</v>
      </c>
      <c r="I158" s="888">
        <v>510</v>
      </c>
      <c r="J158" s="888"/>
      <c r="K158" s="889"/>
      <c r="L158" s="1674"/>
      <c r="M158" s="890"/>
      <c r="N158" s="890"/>
      <c r="O158" s="890"/>
      <c r="P158" s="893">
        <v>0</v>
      </c>
      <c r="Q158" s="893">
        <v>3.0000000000000001E-3</v>
      </c>
      <c r="R158" s="893">
        <v>1.4370000000000001</v>
      </c>
      <c r="S158" s="958"/>
      <c r="T158" s="888" t="s">
        <v>1614</v>
      </c>
      <c r="U158" s="888"/>
      <c r="V158" s="972"/>
      <c r="W158" s="981" t="s">
        <v>2083</v>
      </c>
      <c r="X158" s="972" t="s">
        <v>1614</v>
      </c>
      <c r="Y158" s="973" t="s">
        <v>2716</v>
      </c>
      <c r="Z158" s="899" t="s">
        <v>2081</v>
      </c>
      <c r="AA158" s="892" t="s">
        <v>2081</v>
      </c>
      <c r="AB158" s="968">
        <v>141</v>
      </c>
      <c r="AC158" s="968"/>
    </row>
    <row r="159" spans="1:29" ht="15" customHeight="1">
      <c r="A159" s="924" t="s">
        <v>1615</v>
      </c>
      <c r="B159" s="958">
        <v>16856.433891995002</v>
      </c>
      <c r="C159" s="958">
        <v>29850.426251239402</v>
      </c>
      <c r="D159" s="958">
        <v>29638.46263658972</v>
      </c>
      <c r="E159" s="886">
        <v>700</v>
      </c>
      <c r="F159" s="887">
        <v>3</v>
      </c>
      <c r="G159" s="888">
        <v>1980</v>
      </c>
      <c r="H159" s="884">
        <v>541</v>
      </c>
      <c r="I159" s="888">
        <v>535</v>
      </c>
      <c r="J159" s="888"/>
      <c r="K159" s="889"/>
      <c r="L159" s="1674"/>
      <c r="M159" s="890"/>
      <c r="N159" s="890"/>
      <c r="O159" s="890"/>
      <c r="P159" s="893">
        <v>0</v>
      </c>
      <c r="Q159" s="893">
        <v>3.0000000000000001E-3</v>
      </c>
      <c r="R159" s="893">
        <v>1.9770000000000001</v>
      </c>
      <c r="S159" s="958"/>
      <c r="T159" s="888" t="s">
        <v>1615</v>
      </c>
      <c r="U159" s="888"/>
      <c r="V159" s="968"/>
      <c r="W159" s="981" t="s">
        <v>2083</v>
      </c>
      <c r="X159" s="968" t="s">
        <v>1615</v>
      </c>
      <c r="Y159" s="971" t="s">
        <v>2717</v>
      </c>
      <c r="Z159" s="899" t="s">
        <v>2082</v>
      </c>
      <c r="AA159" s="892" t="s">
        <v>2082</v>
      </c>
      <c r="AB159" s="968">
        <v>142</v>
      </c>
      <c r="AC159" s="968"/>
    </row>
    <row r="160" spans="1:29" ht="15" customHeight="1">
      <c r="A160" s="1047" t="s">
        <v>1616</v>
      </c>
      <c r="B160" s="958">
        <v>19279.89087407515</v>
      </c>
      <c r="C160" s="958">
        <v>33808.40088377794</v>
      </c>
      <c r="D160" s="958">
        <v>33571.001471725031</v>
      </c>
      <c r="E160" s="886">
        <v>800</v>
      </c>
      <c r="F160" s="887">
        <v>4</v>
      </c>
      <c r="G160" s="888">
        <v>2150</v>
      </c>
      <c r="H160" s="884">
        <v>606</v>
      </c>
      <c r="I160" s="888">
        <v>598</v>
      </c>
      <c r="J160" s="888"/>
      <c r="K160" s="889"/>
      <c r="L160" s="1674"/>
      <c r="M160" s="890"/>
      <c r="N160" s="890"/>
      <c r="O160" s="890"/>
      <c r="P160" s="893">
        <v>0</v>
      </c>
      <c r="Q160" s="893">
        <v>4.0000000000000001E-3</v>
      </c>
      <c r="R160" s="893">
        <v>2.1459999999999999</v>
      </c>
      <c r="S160" s="958"/>
      <c r="T160" s="888" t="s">
        <v>1616</v>
      </c>
      <c r="U160" s="888"/>
      <c r="V160" s="968"/>
      <c r="W160" s="981" t="s">
        <v>2083</v>
      </c>
      <c r="X160" s="968" t="s">
        <v>1616</v>
      </c>
      <c r="Y160" s="971" t="s">
        <v>2373</v>
      </c>
      <c r="Z160" s="899" t="s">
        <v>2084</v>
      </c>
      <c r="AA160" s="892" t="s">
        <v>2084</v>
      </c>
      <c r="AB160" s="968">
        <v>143</v>
      </c>
      <c r="AC160" s="968"/>
    </row>
    <row r="161" spans="1:29" s="878" customFormat="1" ht="15" customHeight="1">
      <c r="A161" s="924" t="s">
        <v>1617</v>
      </c>
      <c r="B161" s="958">
        <v>3963.3995883939624</v>
      </c>
      <c r="C161" s="958">
        <v>9469.900970829538</v>
      </c>
      <c r="D161" s="958">
        <v>9378.7081609324287</v>
      </c>
      <c r="E161" s="886">
        <v>102</v>
      </c>
      <c r="F161" s="887">
        <v>3</v>
      </c>
      <c r="G161" s="888">
        <v>634.06817234392827</v>
      </c>
      <c r="H161" s="884">
        <v>66</v>
      </c>
      <c r="I161" s="888">
        <v>60</v>
      </c>
      <c r="J161" s="888">
        <v>100</v>
      </c>
      <c r="K161" s="889">
        <v>0.30003713500245432</v>
      </c>
      <c r="L161" s="1674">
        <v>9.6512351309920846E-3</v>
      </c>
      <c r="M161" s="890">
        <v>0.76137810943135409</v>
      </c>
      <c r="N161" s="890">
        <v>6.2831853071795862</v>
      </c>
      <c r="O161" s="890">
        <v>0.26066028436754213</v>
      </c>
      <c r="P161" s="893">
        <v>0.57465828686519571</v>
      </c>
      <c r="Q161" s="893">
        <v>0.32179451738605452</v>
      </c>
      <c r="R161" s="893">
        <v>0.31227365495787379</v>
      </c>
      <c r="S161" s="958"/>
      <c r="T161" s="888" t="s">
        <v>1617</v>
      </c>
      <c r="U161" s="888"/>
      <c r="V161" s="968"/>
      <c r="W161" s="980" t="s">
        <v>2096</v>
      </c>
      <c r="X161" s="968" t="s">
        <v>1617</v>
      </c>
      <c r="Y161" s="971" t="s">
        <v>2718</v>
      </c>
      <c r="Z161" s="899" t="s">
        <v>2085</v>
      </c>
      <c r="AA161" s="892" t="s">
        <v>2085</v>
      </c>
      <c r="AB161" s="968">
        <v>144</v>
      </c>
      <c r="AC161" s="968"/>
    </row>
    <row r="162" spans="1:29" s="878" customFormat="1" ht="15" customHeight="1">
      <c r="A162" s="924" t="s">
        <v>1618</v>
      </c>
      <c r="B162" s="958">
        <v>3993.2176656232618</v>
      </c>
      <c r="C162" s="958">
        <v>9503.5596153359093</v>
      </c>
      <c r="D162" s="958">
        <v>9412.3668054387981</v>
      </c>
      <c r="E162" s="886">
        <v>150</v>
      </c>
      <c r="F162" s="887">
        <v>3</v>
      </c>
      <c r="G162" s="888">
        <v>634.06817234392827</v>
      </c>
      <c r="H162" s="884">
        <v>66</v>
      </c>
      <c r="I162" s="888">
        <v>60</v>
      </c>
      <c r="J162" s="888">
        <v>100</v>
      </c>
      <c r="K162" s="889">
        <v>0.30003713500245432</v>
      </c>
      <c r="L162" s="1674">
        <v>9.6512351309920846E-3</v>
      </c>
      <c r="M162" s="890">
        <v>0.76137810943135409</v>
      </c>
      <c r="N162" s="890">
        <v>6.2831853071795862</v>
      </c>
      <c r="O162" s="890">
        <v>0.26066028436754213</v>
      </c>
      <c r="P162" s="893">
        <v>0.57465828686519571</v>
      </c>
      <c r="Q162" s="893">
        <v>0.32179451738605452</v>
      </c>
      <c r="R162" s="893">
        <v>0.31227365495787379</v>
      </c>
      <c r="S162" s="958"/>
      <c r="T162" s="888" t="s">
        <v>1618</v>
      </c>
      <c r="U162" s="888"/>
      <c r="V162" s="968"/>
      <c r="W162" s="981" t="s">
        <v>2096</v>
      </c>
      <c r="X162" s="968" t="s">
        <v>1618</v>
      </c>
      <c r="Y162" s="971" t="s">
        <v>2719</v>
      </c>
      <c r="Z162" s="899" t="s">
        <v>2085</v>
      </c>
      <c r="AA162" s="892" t="s">
        <v>2085</v>
      </c>
      <c r="AB162" s="968">
        <v>144</v>
      </c>
      <c r="AC162" s="968"/>
    </row>
    <row r="163" spans="1:29" ht="15" customHeight="1">
      <c r="A163" s="924" t="s">
        <v>1696</v>
      </c>
      <c r="B163" s="958">
        <v>4054.103909619073</v>
      </c>
      <c r="C163" s="958">
        <v>9563.4258399172195</v>
      </c>
      <c r="D163" s="958">
        <v>9472.2330300201102</v>
      </c>
      <c r="E163" s="886">
        <v>102</v>
      </c>
      <c r="F163" s="887">
        <v>3</v>
      </c>
      <c r="G163" s="888">
        <v>634.06817234392827</v>
      </c>
      <c r="H163" s="884">
        <v>86</v>
      </c>
      <c r="I163" s="888">
        <v>80</v>
      </c>
      <c r="J163" s="888">
        <v>100</v>
      </c>
      <c r="K163" s="889">
        <v>0.30003713500245432</v>
      </c>
      <c r="L163" s="1674">
        <v>9.6512351309920863E-3</v>
      </c>
      <c r="M163" s="890">
        <v>0.76137810943135409</v>
      </c>
      <c r="N163" s="890">
        <v>6.2831853071795862</v>
      </c>
      <c r="O163" s="890">
        <v>0.26066028436754213</v>
      </c>
      <c r="P163" s="893">
        <v>0.57465828686519571</v>
      </c>
      <c r="Q163" s="893">
        <v>0.32179451738605452</v>
      </c>
      <c r="R163" s="893">
        <v>0.31227365495787379</v>
      </c>
      <c r="S163" s="958"/>
      <c r="T163" s="888" t="s">
        <v>1696</v>
      </c>
      <c r="U163" s="888"/>
      <c r="V163" s="968"/>
      <c r="W163" s="981" t="s">
        <v>2096</v>
      </c>
      <c r="X163" s="968" t="s">
        <v>1617</v>
      </c>
      <c r="Y163" s="971" t="s">
        <v>2718</v>
      </c>
      <c r="Z163" s="899" t="s">
        <v>2086</v>
      </c>
      <c r="AA163" s="892" t="s">
        <v>2086</v>
      </c>
      <c r="AB163" s="968">
        <v>146</v>
      </c>
      <c r="AC163" s="972"/>
    </row>
    <row r="164" spans="1:29" ht="15" customHeight="1">
      <c r="A164" s="924" t="s">
        <v>1697</v>
      </c>
      <c r="B164" s="958">
        <v>4083.9219868483719</v>
      </c>
      <c r="C164" s="958">
        <v>9597.0844844235908</v>
      </c>
      <c r="D164" s="958">
        <v>9505.8916745264796</v>
      </c>
      <c r="E164" s="886">
        <v>150</v>
      </c>
      <c r="F164" s="887">
        <v>3</v>
      </c>
      <c r="G164" s="888">
        <v>634.06817234392827</v>
      </c>
      <c r="H164" s="884">
        <v>86</v>
      </c>
      <c r="I164" s="888">
        <v>80</v>
      </c>
      <c r="J164" s="888">
        <v>100</v>
      </c>
      <c r="K164" s="889">
        <v>0.30003713500245432</v>
      </c>
      <c r="L164" s="1674">
        <v>9.6512351309920863E-3</v>
      </c>
      <c r="M164" s="890">
        <v>0.76137810943135409</v>
      </c>
      <c r="N164" s="890">
        <v>6.2831853071795862</v>
      </c>
      <c r="O164" s="890">
        <v>0.26066028436754213</v>
      </c>
      <c r="P164" s="893">
        <v>0.57465828686519571</v>
      </c>
      <c r="Q164" s="893">
        <v>0.32179451738605452</v>
      </c>
      <c r="R164" s="893">
        <v>0.31227365495787379</v>
      </c>
      <c r="S164" s="958"/>
      <c r="T164" s="888" t="s">
        <v>1697</v>
      </c>
      <c r="U164" s="888"/>
      <c r="V164" s="968"/>
      <c r="W164" s="981" t="s">
        <v>2096</v>
      </c>
      <c r="X164" s="968" t="s">
        <v>1618</v>
      </c>
      <c r="Y164" s="971" t="s">
        <v>2719</v>
      </c>
      <c r="Z164" s="899" t="s">
        <v>2086</v>
      </c>
      <c r="AA164" s="892" t="s">
        <v>2086</v>
      </c>
      <c r="AB164" s="968">
        <v>146</v>
      </c>
      <c r="AC164" s="972"/>
    </row>
    <row r="165" spans="1:29" ht="15" customHeight="1">
      <c r="A165" s="924" t="s">
        <v>1619</v>
      </c>
      <c r="B165" s="958">
        <v>4050.8650056624624</v>
      </c>
      <c r="C165" s="958">
        <v>9564.4846250835926</v>
      </c>
      <c r="D165" s="958">
        <v>9473.2918151864815</v>
      </c>
      <c r="E165" s="886">
        <v>125</v>
      </c>
      <c r="F165" s="887">
        <v>3</v>
      </c>
      <c r="G165" s="888">
        <v>634.06817234392827</v>
      </c>
      <c r="H165" s="884">
        <v>106</v>
      </c>
      <c r="I165" s="888">
        <v>100</v>
      </c>
      <c r="J165" s="888">
        <v>100</v>
      </c>
      <c r="K165" s="889">
        <v>0.30003713500245432</v>
      </c>
      <c r="L165" s="1674">
        <v>9.6512351309920863E-3</v>
      </c>
      <c r="M165" s="890">
        <v>0.76137810943135409</v>
      </c>
      <c r="N165" s="890">
        <v>6.2831853071795862</v>
      </c>
      <c r="O165" s="890">
        <v>0.26066028436754213</v>
      </c>
      <c r="P165" s="893">
        <v>0.57465828686519571</v>
      </c>
      <c r="Q165" s="893">
        <v>0.32179451738605452</v>
      </c>
      <c r="R165" s="893">
        <v>0.31227365495787379</v>
      </c>
      <c r="S165" s="958"/>
      <c r="T165" s="888" t="s">
        <v>1619</v>
      </c>
      <c r="U165" s="888"/>
      <c r="V165" s="968"/>
      <c r="W165" s="981" t="s">
        <v>2096</v>
      </c>
      <c r="X165" s="968" t="s">
        <v>1619</v>
      </c>
      <c r="Y165" s="971" t="s">
        <v>2720</v>
      </c>
      <c r="Z165" s="899" t="s">
        <v>2087</v>
      </c>
      <c r="AA165" s="892" t="s">
        <v>2087</v>
      </c>
      <c r="AB165" s="968">
        <v>148</v>
      </c>
      <c r="AC165" s="968"/>
    </row>
    <row r="166" spans="1:29" ht="15" customHeight="1">
      <c r="A166" s="924" t="s">
        <v>1698</v>
      </c>
      <c r="B166" s="958">
        <v>4080.0694364415872</v>
      </c>
      <c r="C166" s="958">
        <v>9595.3093400175931</v>
      </c>
      <c r="D166" s="958">
        <v>9504.1165301204837</v>
      </c>
      <c r="E166" s="886">
        <v>150</v>
      </c>
      <c r="F166" s="887">
        <v>3</v>
      </c>
      <c r="G166" s="888">
        <v>634.06817234392827</v>
      </c>
      <c r="H166" s="884">
        <v>106</v>
      </c>
      <c r="I166" s="888">
        <v>100</v>
      </c>
      <c r="J166" s="888">
        <v>100</v>
      </c>
      <c r="K166" s="889">
        <v>0.30003713500245432</v>
      </c>
      <c r="L166" s="1674">
        <v>9.6512351309920863E-3</v>
      </c>
      <c r="M166" s="890">
        <v>0.76137810943135409</v>
      </c>
      <c r="N166" s="890">
        <v>6.2831853071795862</v>
      </c>
      <c r="O166" s="890">
        <v>0.26066028436754213</v>
      </c>
      <c r="P166" s="893">
        <v>0.57465828686519571</v>
      </c>
      <c r="Q166" s="893">
        <v>0.32179451738605452</v>
      </c>
      <c r="R166" s="893">
        <v>0.31227365495787379</v>
      </c>
      <c r="S166" s="958"/>
      <c r="T166" s="888" t="s">
        <v>1698</v>
      </c>
      <c r="U166" s="888"/>
      <c r="V166" s="968"/>
      <c r="W166" s="981" t="s">
        <v>2096</v>
      </c>
      <c r="X166" s="968" t="s">
        <v>1618</v>
      </c>
      <c r="Y166" s="971" t="s">
        <v>2719</v>
      </c>
      <c r="Z166" s="899" t="s">
        <v>2087</v>
      </c>
      <c r="AA166" s="892" t="s">
        <v>2087</v>
      </c>
      <c r="AB166" s="968">
        <v>148</v>
      </c>
      <c r="AC166" s="968"/>
    </row>
    <row r="167" spans="1:29" ht="15" customHeight="1">
      <c r="A167" s="924" t="s">
        <v>1620</v>
      </c>
      <c r="B167" s="958">
        <v>4320.8172053827484</v>
      </c>
      <c r="C167" s="958">
        <v>9847.0159518504697</v>
      </c>
      <c r="D167" s="958">
        <v>9755.8231419533586</v>
      </c>
      <c r="E167" s="886">
        <v>160</v>
      </c>
      <c r="F167" s="887">
        <v>3</v>
      </c>
      <c r="G167" s="888">
        <v>679.97317304498631</v>
      </c>
      <c r="H167" s="884">
        <v>124</v>
      </c>
      <c r="I167" s="888">
        <v>118</v>
      </c>
      <c r="J167" s="888">
        <v>174</v>
      </c>
      <c r="K167" s="889">
        <v>0.29423363190275964</v>
      </c>
      <c r="L167" s="1674">
        <v>2.8576145245986673E-2</v>
      </c>
      <c r="M167" s="890">
        <v>0.94065771184429059</v>
      </c>
      <c r="N167" s="890">
        <v>6.2831853071795862</v>
      </c>
      <c r="O167" s="890">
        <v>0.30525203626883057</v>
      </c>
      <c r="P167" s="893">
        <v>0.64189941547973906</v>
      </c>
      <c r="Q167" s="893">
        <v>0.35510285479572984</v>
      </c>
      <c r="R167" s="893">
        <v>0.32487031824925644</v>
      </c>
      <c r="S167" s="958"/>
      <c r="T167" s="888" t="s">
        <v>1620</v>
      </c>
      <c r="U167" s="888"/>
      <c r="V167" s="968"/>
      <c r="W167" s="981" t="s">
        <v>2096</v>
      </c>
      <c r="X167" s="968" t="s">
        <v>1620</v>
      </c>
      <c r="Y167" s="971" t="s">
        <v>2721</v>
      </c>
      <c r="Z167" s="899" t="s">
        <v>2088</v>
      </c>
      <c r="AA167" s="892" t="s">
        <v>2088</v>
      </c>
      <c r="AB167" s="968">
        <v>150</v>
      </c>
      <c r="AC167" s="968"/>
    </row>
    <row r="168" spans="1:29" ht="15" customHeight="1">
      <c r="A168" s="924" t="s">
        <v>1621</v>
      </c>
      <c r="B168" s="958">
        <v>4232.9840886276588</v>
      </c>
      <c r="C168" s="958">
        <v>9768.854503442155</v>
      </c>
      <c r="D168" s="958">
        <v>9677.6616935450438</v>
      </c>
      <c r="E168" s="886">
        <v>200</v>
      </c>
      <c r="F168" s="887">
        <v>3</v>
      </c>
      <c r="G168" s="888">
        <v>679.97226610923951</v>
      </c>
      <c r="H168" s="884">
        <v>166</v>
      </c>
      <c r="I168" s="888">
        <v>160</v>
      </c>
      <c r="J168" s="888">
        <v>194</v>
      </c>
      <c r="K168" s="889">
        <v>0.2933967367892289</v>
      </c>
      <c r="L168" s="1674">
        <v>2.917131182002897E-2</v>
      </c>
      <c r="M168" s="890">
        <v>1.0191089823356563</v>
      </c>
      <c r="N168" s="890">
        <v>6.2831853071795862</v>
      </c>
      <c r="O168" s="890">
        <v>0.32176074960746903</v>
      </c>
      <c r="P168" s="893">
        <v>0.65839341155734799</v>
      </c>
      <c r="Q168" s="893">
        <v>0.35541677722926118</v>
      </c>
      <c r="R168" s="893">
        <v>0.32455548887997837</v>
      </c>
      <c r="S168" s="958"/>
      <c r="T168" s="888" t="s">
        <v>1621</v>
      </c>
      <c r="U168" s="888"/>
      <c r="V168" s="968"/>
      <c r="W168" s="981" t="s">
        <v>2096</v>
      </c>
      <c r="X168" s="968" t="s">
        <v>1621</v>
      </c>
      <c r="Y168" s="971" t="s">
        <v>2722</v>
      </c>
      <c r="Z168" s="899" t="s">
        <v>2089</v>
      </c>
      <c r="AA168" s="892" t="s">
        <v>2089</v>
      </c>
      <c r="AB168" s="968">
        <v>151</v>
      </c>
      <c r="AC168" s="968"/>
    </row>
    <row r="169" spans="1:29" ht="15" customHeight="1">
      <c r="A169" s="924" t="s">
        <v>1699</v>
      </c>
      <c r="B169" s="958">
        <v>3529.6940886276589</v>
      </c>
      <c r="C169" s="958">
        <v>9002.7325034421538</v>
      </c>
      <c r="D169" s="958">
        <v>8911.5396935450444</v>
      </c>
      <c r="E169" s="886">
        <v>200</v>
      </c>
      <c r="F169" s="887">
        <v>3</v>
      </c>
      <c r="G169" s="888">
        <v>679.97226610923951</v>
      </c>
      <c r="H169" s="884">
        <v>166</v>
      </c>
      <c r="I169" s="888">
        <v>160</v>
      </c>
      <c r="J169" s="888">
        <v>194</v>
      </c>
      <c r="K169" s="889">
        <v>0.2933967367892289</v>
      </c>
      <c r="L169" s="1674">
        <v>2.917131182002897E-2</v>
      </c>
      <c r="M169" s="890">
        <v>1.0191089823356563</v>
      </c>
      <c r="N169" s="890">
        <v>6.2831853071795862</v>
      </c>
      <c r="O169" s="890">
        <v>0.32176074960746903</v>
      </c>
      <c r="P169" s="893">
        <v>0.65839341155734799</v>
      </c>
      <c r="Q169" s="893">
        <v>0.35541677722926118</v>
      </c>
      <c r="R169" s="893">
        <v>0.32455548887997837</v>
      </c>
      <c r="S169" s="958"/>
      <c r="T169" s="888" t="s">
        <v>1699</v>
      </c>
      <c r="U169" s="888"/>
      <c r="V169" s="968"/>
      <c r="W169" s="981" t="s">
        <v>2096</v>
      </c>
      <c r="X169" s="968" t="s">
        <v>1621</v>
      </c>
      <c r="Y169" s="971" t="s">
        <v>2722</v>
      </c>
      <c r="Z169" s="899" t="s">
        <v>2090</v>
      </c>
      <c r="AA169" s="892" t="s">
        <v>2090</v>
      </c>
      <c r="AB169" s="968">
        <v>152</v>
      </c>
      <c r="AC169" s="968"/>
    </row>
    <row r="170" spans="1:29" ht="15" customHeight="1">
      <c r="A170" s="924" t="s">
        <v>1700</v>
      </c>
      <c r="B170" s="958">
        <v>3527.0780024573451</v>
      </c>
      <c r="C170" s="958">
        <v>9000.1164172718381</v>
      </c>
      <c r="D170" s="958">
        <v>8908.9236073747288</v>
      </c>
      <c r="E170" s="886">
        <v>200</v>
      </c>
      <c r="F170" s="887">
        <v>3</v>
      </c>
      <c r="G170" s="888">
        <v>679.97226610923951</v>
      </c>
      <c r="H170" s="884">
        <v>166</v>
      </c>
      <c r="I170" s="888">
        <v>160</v>
      </c>
      <c r="J170" s="888">
        <v>194</v>
      </c>
      <c r="K170" s="889">
        <v>0.2933967367892289</v>
      </c>
      <c r="L170" s="1674">
        <v>2.917131182002897E-2</v>
      </c>
      <c r="M170" s="890">
        <v>1.0191089823356563</v>
      </c>
      <c r="N170" s="890">
        <v>6.2831853071795862</v>
      </c>
      <c r="O170" s="890">
        <v>0.32176074960746903</v>
      </c>
      <c r="P170" s="893">
        <v>0.65839341155734799</v>
      </c>
      <c r="Q170" s="893">
        <v>0.35541677722926118</v>
      </c>
      <c r="R170" s="893">
        <v>0.32455548887997837</v>
      </c>
      <c r="S170" s="958"/>
      <c r="T170" s="888" t="s">
        <v>1700</v>
      </c>
      <c r="U170" s="888"/>
      <c r="V170" s="968"/>
      <c r="W170" s="981" t="s">
        <v>2096</v>
      </c>
      <c r="X170" s="968" t="s">
        <v>1621</v>
      </c>
      <c r="Y170" s="971" t="s">
        <v>2722</v>
      </c>
      <c r="Z170" s="899" t="s">
        <v>2091</v>
      </c>
      <c r="AA170" s="892" t="s">
        <v>2091</v>
      </c>
      <c r="AB170" s="968">
        <v>153</v>
      </c>
      <c r="AC170" s="968"/>
    </row>
    <row r="171" spans="1:29" ht="15" customHeight="1">
      <c r="A171" s="924" t="s">
        <v>1622</v>
      </c>
      <c r="B171" s="958">
        <v>4068.9620758216283</v>
      </c>
      <c r="C171" s="958">
        <v>10207.449939775923</v>
      </c>
      <c r="D171" s="958">
        <v>10102.772734974353</v>
      </c>
      <c r="E171" s="886">
        <v>102</v>
      </c>
      <c r="F171" s="887">
        <v>3</v>
      </c>
      <c r="G171" s="888">
        <v>679.51893820939313</v>
      </c>
      <c r="H171" s="884">
        <v>66</v>
      </c>
      <c r="I171" s="888">
        <v>60</v>
      </c>
      <c r="J171" s="888">
        <v>100</v>
      </c>
      <c r="K171" s="889">
        <v>0.34616957884431021</v>
      </c>
      <c r="L171" s="1674">
        <v>9.9999999999999995E-7</v>
      </c>
      <c r="M171" s="890">
        <v>0.82540200772222694</v>
      </c>
      <c r="N171" s="890">
        <v>6.2831853071795862</v>
      </c>
      <c r="O171" s="890">
        <v>0.34599999999999997</v>
      </c>
      <c r="P171" s="893">
        <v>0.69217121013386251</v>
      </c>
      <c r="Q171" s="893">
        <v>0.34917175389875493</v>
      </c>
      <c r="R171" s="893">
        <v>0.3303471843106382</v>
      </c>
      <c r="S171" s="958"/>
      <c r="T171" s="888" t="s">
        <v>1622</v>
      </c>
      <c r="U171" s="888"/>
      <c r="V171" s="968"/>
      <c r="W171" s="981" t="s">
        <v>2096</v>
      </c>
      <c r="X171" s="968" t="s">
        <v>1622</v>
      </c>
      <c r="Y171" s="971" t="s">
        <v>2723</v>
      </c>
      <c r="Z171" s="899" t="s">
        <v>2092</v>
      </c>
      <c r="AA171" s="892" t="s">
        <v>2092</v>
      </c>
      <c r="AB171" s="968">
        <v>154</v>
      </c>
      <c r="AC171" s="968"/>
    </row>
    <row r="172" spans="1:29" ht="15" customHeight="1">
      <c r="A172" s="924" t="s">
        <v>1623</v>
      </c>
      <c r="B172" s="958">
        <v>4099.0861192427574</v>
      </c>
      <c r="C172" s="958">
        <v>10241.414550474121</v>
      </c>
      <c r="D172" s="958">
        <v>10136.737345672551</v>
      </c>
      <c r="E172" s="886">
        <v>150</v>
      </c>
      <c r="F172" s="887">
        <v>3</v>
      </c>
      <c r="G172" s="888">
        <v>679.51893820939313</v>
      </c>
      <c r="H172" s="884">
        <v>66</v>
      </c>
      <c r="I172" s="888">
        <v>60</v>
      </c>
      <c r="J172" s="888">
        <v>100</v>
      </c>
      <c r="K172" s="889">
        <v>0.34616957884431021</v>
      </c>
      <c r="L172" s="1674">
        <v>9.9999999999999995E-7</v>
      </c>
      <c r="M172" s="890">
        <v>0.82540200772222694</v>
      </c>
      <c r="N172" s="890">
        <v>6.2831853071795862</v>
      </c>
      <c r="O172" s="890">
        <v>0.34599999999999997</v>
      </c>
      <c r="P172" s="893">
        <v>0.69217121013386251</v>
      </c>
      <c r="Q172" s="893">
        <v>0.34917175389875493</v>
      </c>
      <c r="R172" s="893">
        <v>0.3303471843106382</v>
      </c>
      <c r="S172" s="958"/>
      <c r="T172" s="888" t="s">
        <v>1623</v>
      </c>
      <c r="U172" s="888"/>
      <c r="V172" s="968"/>
      <c r="W172" s="981" t="s">
        <v>2096</v>
      </c>
      <c r="X172" s="968" t="s">
        <v>1623</v>
      </c>
      <c r="Y172" s="971" t="s">
        <v>2724</v>
      </c>
      <c r="Z172" s="899" t="s">
        <v>2092</v>
      </c>
      <c r="AA172" s="892" t="s">
        <v>2092</v>
      </c>
      <c r="AB172" s="968">
        <v>154</v>
      </c>
      <c r="AC172" s="968"/>
    </row>
    <row r="173" spans="1:29" ht="15" customHeight="1">
      <c r="A173" s="924" t="s">
        <v>1701</v>
      </c>
      <c r="B173" s="958">
        <v>4268.816335449741</v>
      </c>
      <c r="C173" s="958">
        <v>10421.032434699655</v>
      </c>
      <c r="D173" s="958">
        <v>10316.355229898087</v>
      </c>
      <c r="E173" s="886">
        <v>102</v>
      </c>
      <c r="F173" s="887">
        <v>3</v>
      </c>
      <c r="G173" s="888">
        <v>679.51893820939313</v>
      </c>
      <c r="H173" s="884">
        <v>86</v>
      </c>
      <c r="I173" s="888">
        <v>80</v>
      </c>
      <c r="J173" s="888">
        <v>100</v>
      </c>
      <c r="K173" s="889">
        <v>0.34616957884431021</v>
      </c>
      <c r="L173" s="1674">
        <v>9.9999999999999995E-7</v>
      </c>
      <c r="M173" s="890">
        <v>0.82540200772222694</v>
      </c>
      <c r="N173" s="890">
        <v>6.2831853071795862</v>
      </c>
      <c r="O173" s="890">
        <v>0.34599999999999997</v>
      </c>
      <c r="P173" s="893">
        <v>0.69217121013386251</v>
      </c>
      <c r="Q173" s="893">
        <v>0.34917175389875493</v>
      </c>
      <c r="R173" s="893">
        <v>0.3303471843106382</v>
      </c>
      <c r="S173" s="958"/>
      <c r="T173" s="888" t="s">
        <v>1701</v>
      </c>
      <c r="U173" s="888"/>
      <c r="V173" s="968"/>
      <c r="W173" s="981" t="s">
        <v>2096</v>
      </c>
      <c r="X173" s="968" t="s">
        <v>1622</v>
      </c>
      <c r="Y173" s="971" t="s">
        <v>2723</v>
      </c>
      <c r="Z173" s="899" t="s">
        <v>2093</v>
      </c>
      <c r="AA173" s="892" t="s">
        <v>2093</v>
      </c>
      <c r="AB173" s="968">
        <v>156</v>
      </c>
      <c r="AC173" s="968"/>
    </row>
    <row r="174" spans="1:29" ht="15" customHeight="1">
      <c r="A174" s="924" t="s">
        <v>1702</v>
      </c>
      <c r="B174" s="958">
        <v>4299.2927790636131</v>
      </c>
      <c r="C174" s="958">
        <v>10455.349445590597</v>
      </c>
      <c r="D174" s="958">
        <v>10350.672240789028</v>
      </c>
      <c r="E174" s="886">
        <v>150</v>
      </c>
      <c r="F174" s="887">
        <v>3</v>
      </c>
      <c r="G174" s="888">
        <v>679.51893820939313</v>
      </c>
      <c r="H174" s="884">
        <v>86</v>
      </c>
      <c r="I174" s="888">
        <v>80</v>
      </c>
      <c r="J174" s="888">
        <v>100</v>
      </c>
      <c r="K174" s="889">
        <v>0.34616957884431021</v>
      </c>
      <c r="L174" s="1674">
        <v>9.9999999999999995E-7</v>
      </c>
      <c r="M174" s="890">
        <v>0.82540200772222694</v>
      </c>
      <c r="N174" s="890">
        <v>6.2831853071795862</v>
      </c>
      <c r="O174" s="890">
        <v>0.34599999999999997</v>
      </c>
      <c r="P174" s="893">
        <v>0.69217121013386251</v>
      </c>
      <c r="Q174" s="893">
        <v>0.34917175389875493</v>
      </c>
      <c r="R174" s="893">
        <v>0.3303471843106382</v>
      </c>
      <c r="S174" s="958"/>
      <c r="T174" s="888" t="s">
        <v>1702</v>
      </c>
      <c r="U174" s="888"/>
      <c r="V174" s="968"/>
      <c r="W174" s="981" t="s">
        <v>2096</v>
      </c>
      <c r="X174" s="968" t="s">
        <v>1623</v>
      </c>
      <c r="Y174" s="971" t="s">
        <v>2724</v>
      </c>
      <c r="Z174" s="899" t="s">
        <v>2093</v>
      </c>
      <c r="AA174" s="892" t="s">
        <v>2093</v>
      </c>
      <c r="AB174" s="968">
        <v>156</v>
      </c>
      <c r="AC174" s="968"/>
    </row>
    <row r="175" spans="1:29" ht="15" customHeight="1">
      <c r="A175" s="924" t="s">
        <v>1624</v>
      </c>
      <c r="B175" s="958">
        <v>4402.3946427647079</v>
      </c>
      <c r="C175" s="958">
        <v>10559.191118570656</v>
      </c>
      <c r="D175" s="958">
        <v>10454.513913769086</v>
      </c>
      <c r="E175" s="886">
        <v>125</v>
      </c>
      <c r="F175" s="887">
        <v>3</v>
      </c>
      <c r="G175" s="888">
        <v>679.51893820939313</v>
      </c>
      <c r="H175" s="884">
        <v>106</v>
      </c>
      <c r="I175" s="888">
        <v>100</v>
      </c>
      <c r="J175" s="888">
        <v>100</v>
      </c>
      <c r="K175" s="889">
        <v>0.34616957884431021</v>
      </c>
      <c r="L175" s="1674">
        <v>9.9999999999999995E-7</v>
      </c>
      <c r="M175" s="890">
        <v>0.82540200772222694</v>
      </c>
      <c r="N175" s="890">
        <v>6.2831853071795862</v>
      </c>
      <c r="O175" s="890">
        <v>0.34599999999999997</v>
      </c>
      <c r="P175" s="893">
        <v>0.69217121013386251</v>
      </c>
      <c r="Q175" s="893">
        <v>0.34917175389875493</v>
      </c>
      <c r="R175" s="893">
        <v>0.3303471843106382</v>
      </c>
      <c r="S175" s="958"/>
      <c r="T175" s="888" t="s">
        <v>1624</v>
      </c>
      <c r="U175" s="888"/>
      <c r="V175" s="968"/>
      <c r="W175" s="981" t="s">
        <v>2096</v>
      </c>
      <c r="X175" s="968" t="s">
        <v>1624</v>
      </c>
      <c r="Y175" s="971" t="s">
        <v>2725</v>
      </c>
      <c r="Z175" s="899" t="s">
        <v>2094</v>
      </c>
      <c r="AA175" s="892" t="s">
        <v>2094</v>
      </c>
      <c r="AB175" s="968">
        <v>158</v>
      </c>
      <c r="AC175" s="968"/>
    </row>
    <row r="176" spans="1:29" ht="15" customHeight="1">
      <c r="A176" s="924" t="s">
        <v>1703</v>
      </c>
      <c r="B176" s="958">
        <v>4420.7060121914601</v>
      </c>
      <c r="C176" s="958">
        <v>10579.865914014064</v>
      </c>
      <c r="D176" s="958">
        <v>10475.188709212498</v>
      </c>
      <c r="E176" s="886">
        <v>150</v>
      </c>
      <c r="F176" s="887">
        <v>3</v>
      </c>
      <c r="G176" s="888">
        <v>679.51893820939313</v>
      </c>
      <c r="H176" s="884">
        <v>106</v>
      </c>
      <c r="I176" s="888">
        <v>100</v>
      </c>
      <c r="J176" s="888">
        <v>100</v>
      </c>
      <c r="K176" s="889">
        <v>0.34616957884431021</v>
      </c>
      <c r="L176" s="1674">
        <v>9.9999999999999995E-7</v>
      </c>
      <c r="M176" s="890">
        <v>0.82540200772222694</v>
      </c>
      <c r="N176" s="890">
        <v>6.2831853071795862</v>
      </c>
      <c r="O176" s="890">
        <v>0.34599999999999997</v>
      </c>
      <c r="P176" s="893">
        <v>0.69217121013386251</v>
      </c>
      <c r="Q176" s="893">
        <v>0.34917175389875493</v>
      </c>
      <c r="R176" s="893">
        <v>0.3303471843106382</v>
      </c>
      <c r="S176" s="958"/>
      <c r="T176" s="888" t="s">
        <v>1703</v>
      </c>
      <c r="U176" s="888"/>
      <c r="V176" s="968"/>
      <c r="W176" s="981" t="s">
        <v>2096</v>
      </c>
      <c r="X176" s="968" t="s">
        <v>1623</v>
      </c>
      <c r="Y176" s="971" t="s">
        <v>2724</v>
      </c>
      <c r="Z176" s="899" t="s">
        <v>2094</v>
      </c>
      <c r="AA176" s="892" t="s">
        <v>2094</v>
      </c>
      <c r="AB176" s="968">
        <v>158</v>
      </c>
      <c r="AC176" s="968"/>
    </row>
    <row r="177" spans="1:29" ht="15" customHeight="1">
      <c r="A177" s="924" t="s">
        <v>1625</v>
      </c>
      <c r="B177" s="958">
        <v>4459.7766123868314</v>
      </c>
      <c r="C177" s="958">
        <v>10629.380635160984</v>
      </c>
      <c r="D177" s="958">
        <v>10524.703430359416</v>
      </c>
      <c r="E177" s="886">
        <v>160</v>
      </c>
      <c r="F177" s="887">
        <v>3</v>
      </c>
      <c r="G177" s="888">
        <v>714.93247007788057</v>
      </c>
      <c r="H177" s="884">
        <v>124</v>
      </c>
      <c r="I177" s="888">
        <v>118</v>
      </c>
      <c r="J177" s="888">
        <v>174</v>
      </c>
      <c r="K177" s="889">
        <v>0.3418543275915859</v>
      </c>
      <c r="L177" s="1674">
        <v>7.6724923594872771E-3</v>
      </c>
      <c r="M177" s="890">
        <v>1.004808670236327</v>
      </c>
      <c r="N177" s="890">
        <v>6.2831853071795862</v>
      </c>
      <c r="O177" s="890">
        <v>0.36347307121597</v>
      </c>
      <c r="P177" s="893">
        <v>0.71791356490742875</v>
      </c>
      <c r="Q177" s="893">
        <v>0.361738027922059</v>
      </c>
      <c r="R177" s="893">
        <v>0.35319444215582152</v>
      </c>
      <c r="S177" s="958"/>
      <c r="T177" s="888" t="s">
        <v>1625</v>
      </c>
      <c r="U177" s="888"/>
      <c r="V177" s="968"/>
      <c r="W177" s="981" t="s">
        <v>2096</v>
      </c>
      <c r="X177" s="968" t="s">
        <v>1625</v>
      </c>
      <c r="Y177" s="971" t="s">
        <v>2726</v>
      </c>
      <c r="Z177" s="899" t="s">
        <v>2095</v>
      </c>
      <c r="AA177" s="892" t="s">
        <v>2095</v>
      </c>
      <c r="AB177" s="968">
        <v>160</v>
      </c>
      <c r="AC177" s="968"/>
    </row>
    <row r="178" spans="1:29" ht="15" customHeight="1">
      <c r="A178" s="924" t="s">
        <v>1626</v>
      </c>
      <c r="B178" s="958">
        <v>4672.8230660864356</v>
      </c>
      <c r="C178" s="958">
        <v>10852.576818349931</v>
      </c>
      <c r="D178" s="958">
        <v>10747.899613548363</v>
      </c>
      <c r="E178" s="886">
        <v>200</v>
      </c>
      <c r="F178" s="887">
        <v>3</v>
      </c>
      <c r="G178" s="888">
        <v>714.67753770196066</v>
      </c>
      <c r="H178" s="884">
        <v>166</v>
      </c>
      <c r="I178" s="888">
        <v>160</v>
      </c>
      <c r="J178" s="888">
        <v>194</v>
      </c>
      <c r="K178" s="889">
        <v>0.34166068284422202</v>
      </c>
      <c r="L178" s="1674">
        <v>7.7162321873005804E-3</v>
      </c>
      <c r="M178" s="890">
        <v>1.0725443621263464</v>
      </c>
      <c r="N178" s="890">
        <v>6.2831853071795862</v>
      </c>
      <c r="O178" s="890">
        <v>0.37826929963435152</v>
      </c>
      <c r="P178" s="893">
        <v>0.73258204218591905</v>
      </c>
      <c r="Q178" s="893">
        <v>0.36163336736715257</v>
      </c>
      <c r="R178" s="893">
        <v>0.35304417033480806</v>
      </c>
      <c r="S178" s="958"/>
      <c r="T178" s="888" t="s">
        <v>1626</v>
      </c>
      <c r="U178" s="888"/>
      <c r="V178" s="968"/>
      <c r="W178" s="981" t="s">
        <v>2096</v>
      </c>
      <c r="X178" s="968" t="s">
        <v>1626</v>
      </c>
      <c r="Y178" s="971" t="s">
        <v>2727</v>
      </c>
      <c r="Z178" s="899" t="s">
        <v>2097</v>
      </c>
      <c r="AA178" s="892" t="s">
        <v>2097</v>
      </c>
      <c r="AB178" s="968">
        <v>161</v>
      </c>
      <c r="AC178" s="968"/>
    </row>
    <row r="179" spans="1:29" ht="15" customHeight="1">
      <c r="A179" s="924" t="s">
        <v>1627</v>
      </c>
      <c r="B179" s="958">
        <v>5203.2040750611541</v>
      </c>
      <c r="C179" s="958">
        <v>12336.930271768571</v>
      </c>
      <c r="D179" s="958">
        <v>12214.626474610317</v>
      </c>
      <c r="E179" s="886">
        <v>102</v>
      </c>
      <c r="F179" s="887">
        <v>3</v>
      </c>
      <c r="G179" s="888">
        <v>804.98106145182021</v>
      </c>
      <c r="H179" s="884">
        <v>66</v>
      </c>
      <c r="I179" s="888">
        <v>60</v>
      </c>
      <c r="J179" s="888">
        <v>100</v>
      </c>
      <c r="K179" s="889">
        <v>0.41147096421203566</v>
      </c>
      <c r="L179" s="1674">
        <v>9.9999999999999995E-7</v>
      </c>
      <c r="M179" s="890">
        <v>0.7644944439728083</v>
      </c>
      <c r="N179" s="890">
        <v>6.2831853071795862</v>
      </c>
      <c r="O179" s="890">
        <v>0.41099999999999998</v>
      </c>
      <c r="P179" s="893">
        <v>0.82247290322784183</v>
      </c>
      <c r="Q179" s="893">
        <v>0.41447354956847449</v>
      </c>
      <c r="R179" s="893">
        <v>0.39050751188334576</v>
      </c>
      <c r="S179" s="958"/>
      <c r="T179" s="888" t="s">
        <v>1627</v>
      </c>
      <c r="U179" s="888"/>
      <c r="V179" s="968"/>
      <c r="W179" s="981" t="s">
        <v>2096</v>
      </c>
      <c r="X179" s="968" t="s">
        <v>1627</v>
      </c>
      <c r="Y179" s="971" t="s">
        <v>2728</v>
      </c>
      <c r="Z179" s="899" t="s">
        <v>2098</v>
      </c>
      <c r="AA179" s="892" t="s">
        <v>2098</v>
      </c>
      <c r="AB179" s="968">
        <v>162</v>
      </c>
      <c r="AC179" s="968"/>
    </row>
    <row r="180" spans="1:29" ht="15" customHeight="1">
      <c r="A180" s="924" t="s">
        <v>1628</v>
      </c>
      <c r="B180" s="958">
        <v>5096.4668729269133</v>
      </c>
      <c r="C180" s="958">
        <v>12235.629436185111</v>
      </c>
      <c r="D180" s="958">
        <v>12113.325639026853</v>
      </c>
      <c r="E180" s="886">
        <v>150</v>
      </c>
      <c r="F180" s="887">
        <v>3</v>
      </c>
      <c r="G180" s="888">
        <v>805</v>
      </c>
      <c r="H180" s="884">
        <v>66</v>
      </c>
      <c r="I180" s="888">
        <v>60</v>
      </c>
      <c r="J180" s="888"/>
      <c r="K180" s="889"/>
      <c r="L180" s="1674"/>
      <c r="M180" s="890"/>
      <c r="N180" s="890"/>
      <c r="O180" s="890"/>
      <c r="P180" s="893">
        <v>0</v>
      </c>
      <c r="Q180" s="893">
        <v>3.0000000000000001E-3</v>
      </c>
      <c r="R180" s="893">
        <v>0.80200000000000005</v>
      </c>
      <c r="S180" s="958"/>
      <c r="T180" s="888" t="s">
        <v>1628</v>
      </c>
      <c r="U180" s="888"/>
      <c r="V180" s="968"/>
      <c r="W180" s="981" t="s">
        <v>2096</v>
      </c>
      <c r="X180" s="968" t="s">
        <v>1628</v>
      </c>
      <c r="Y180" s="971" t="s">
        <v>2729</v>
      </c>
      <c r="Z180" s="899" t="s">
        <v>2098</v>
      </c>
      <c r="AA180" s="892" t="s">
        <v>2098</v>
      </c>
      <c r="AB180" s="968">
        <v>162</v>
      </c>
      <c r="AC180" s="968"/>
    </row>
    <row r="181" spans="1:29" ht="15" customHeight="1">
      <c r="A181" s="924" t="s">
        <v>1704</v>
      </c>
      <c r="B181" s="958">
        <v>4829.0102541986034</v>
      </c>
      <c r="C181" s="958">
        <v>11978.607616288111</v>
      </c>
      <c r="D181" s="958">
        <v>11856.303819129855</v>
      </c>
      <c r="E181" s="886">
        <v>102</v>
      </c>
      <c r="F181" s="887">
        <v>3</v>
      </c>
      <c r="G181" s="888">
        <v>805</v>
      </c>
      <c r="H181" s="884">
        <v>86</v>
      </c>
      <c r="I181" s="888">
        <v>80</v>
      </c>
      <c r="J181" s="888"/>
      <c r="K181" s="889"/>
      <c r="L181" s="1674"/>
      <c r="M181" s="890"/>
      <c r="N181" s="890"/>
      <c r="O181" s="890"/>
      <c r="P181" s="893">
        <v>0</v>
      </c>
      <c r="Q181" s="893">
        <v>3.0000000000000001E-3</v>
      </c>
      <c r="R181" s="893">
        <v>0.80200000000000005</v>
      </c>
      <c r="S181" s="958"/>
      <c r="T181" s="888" t="s">
        <v>1704</v>
      </c>
      <c r="U181" s="888"/>
      <c r="V181" s="968"/>
      <c r="W181" s="981" t="s">
        <v>2096</v>
      </c>
      <c r="X181" s="968" t="s">
        <v>1627</v>
      </c>
      <c r="Y181" s="971" t="s">
        <v>2728</v>
      </c>
      <c r="Z181" s="899" t="s">
        <v>2099</v>
      </c>
      <c r="AA181" s="892" t="s">
        <v>2099</v>
      </c>
      <c r="AB181" s="968">
        <v>164</v>
      </c>
      <c r="AC181" s="968"/>
    </row>
    <row r="182" spans="1:29" ht="15" customHeight="1">
      <c r="A182" s="924" t="s">
        <v>1705</v>
      </c>
      <c r="B182" s="958">
        <v>5026.2148930849135</v>
      </c>
      <c r="C182" s="958">
        <v>12181.754578152893</v>
      </c>
      <c r="D182" s="958">
        <v>12059.450780994635</v>
      </c>
      <c r="E182" s="886">
        <v>150</v>
      </c>
      <c r="F182" s="887">
        <v>3</v>
      </c>
      <c r="G182" s="888">
        <v>804.88402585122265</v>
      </c>
      <c r="H182" s="884">
        <v>86</v>
      </c>
      <c r="I182" s="888">
        <v>80</v>
      </c>
      <c r="J182" s="888">
        <v>235</v>
      </c>
      <c r="K182" s="889">
        <v>0.4128829965940069</v>
      </c>
      <c r="L182" s="1674">
        <v>9.9999999999999995E-7</v>
      </c>
      <c r="M182" s="890">
        <v>1.1693094051647952</v>
      </c>
      <c r="N182" s="890">
        <v>6.2831853071795862</v>
      </c>
      <c r="O182" s="890">
        <v>0.4128829965940069</v>
      </c>
      <c r="P182" s="893">
        <v>0.82576793885788158</v>
      </c>
      <c r="Q182" s="893">
        <v>0.41588559082253473</v>
      </c>
      <c r="R182" s="893">
        <v>0.38899843502868792</v>
      </c>
      <c r="S182" s="958"/>
      <c r="T182" s="888" t="s">
        <v>1705</v>
      </c>
      <c r="U182" s="888"/>
      <c r="V182" s="968"/>
      <c r="W182" s="981" t="s">
        <v>2096</v>
      </c>
      <c r="X182" s="968" t="s">
        <v>1628</v>
      </c>
      <c r="Y182" s="971" t="s">
        <v>2729</v>
      </c>
      <c r="Z182" s="899" t="s">
        <v>2099</v>
      </c>
      <c r="AA182" s="892" t="s">
        <v>2099</v>
      </c>
      <c r="AB182" s="968">
        <v>164</v>
      </c>
      <c r="AC182" s="968"/>
    </row>
    <row r="183" spans="1:29" ht="15" customHeight="1">
      <c r="A183" s="924" t="s">
        <v>1706</v>
      </c>
      <c r="B183" s="958">
        <v>5037.8007539333148</v>
      </c>
      <c r="C183" s="958">
        <v>12193.357147842242</v>
      </c>
      <c r="D183" s="958">
        <v>12071.053350683987</v>
      </c>
      <c r="E183" s="886">
        <v>150</v>
      </c>
      <c r="F183" s="887">
        <v>3</v>
      </c>
      <c r="G183" s="888">
        <v>804.98106145182021</v>
      </c>
      <c r="H183" s="884">
        <v>106</v>
      </c>
      <c r="I183" s="888">
        <v>100</v>
      </c>
      <c r="J183" s="888">
        <v>100</v>
      </c>
      <c r="K183" s="889">
        <v>0.41147096421203566</v>
      </c>
      <c r="L183" s="1674">
        <v>9.9999999999999995E-7</v>
      </c>
      <c r="M183" s="890">
        <v>0.7644944439728083</v>
      </c>
      <c r="N183" s="890">
        <v>6.2831853071795862</v>
      </c>
      <c r="O183" s="890">
        <v>0.41147096421203566</v>
      </c>
      <c r="P183" s="893">
        <v>0.82294386743987746</v>
      </c>
      <c r="Q183" s="893">
        <v>0.41447354956847449</v>
      </c>
      <c r="R183" s="893">
        <v>0.39050751188334576</v>
      </c>
      <c r="S183" s="958"/>
      <c r="T183" s="888" t="s">
        <v>1706</v>
      </c>
      <c r="U183" s="888"/>
      <c r="V183" s="968"/>
      <c r="W183" s="981" t="s">
        <v>2096</v>
      </c>
      <c r="X183" s="968" t="s">
        <v>1628</v>
      </c>
      <c r="Y183" s="971" t="s">
        <v>2729</v>
      </c>
      <c r="Z183" s="899" t="s">
        <v>2100</v>
      </c>
      <c r="AA183" s="892" t="s">
        <v>2100</v>
      </c>
      <c r="AB183" s="968">
        <v>166</v>
      </c>
      <c r="AC183" s="968"/>
    </row>
    <row r="184" spans="1:29" ht="15" customHeight="1">
      <c r="A184" s="924" t="s">
        <v>1629</v>
      </c>
      <c r="B184" s="958">
        <v>5121.2265215865127</v>
      </c>
      <c r="C184" s="958">
        <v>12288.192295826539</v>
      </c>
      <c r="D184" s="958">
        <v>12165.888498668282</v>
      </c>
      <c r="E184" s="886">
        <v>190</v>
      </c>
      <c r="F184" s="887">
        <v>3</v>
      </c>
      <c r="G184" s="888">
        <v>814.38574252801504</v>
      </c>
      <c r="H184" s="884">
        <v>125</v>
      </c>
      <c r="I184" s="888">
        <v>119</v>
      </c>
      <c r="J184" s="888">
        <v>174</v>
      </c>
      <c r="K184" s="889">
        <v>0.41090730893065713</v>
      </c>
      <c r="L184" s="1674">
        <v>9.9999999999999995E-7</v>
      </c>
      <c r="M184" s="890">
        <v>0.98038112826426793</v>
      </c>
      <c r="N184" s="890">
        <v>6.2831853071795862</v>
      </c>
      <c r="O184" s="890">
        <v>0.41090730893065713</v>
      </c>
      <c r="P184" s="893">
        <v>0.82181655422095123</v>
      </c>
      <c r="Q184" s="893">
        <v>0.41390989074553425</v>
      </c>
      <c r="R184" s="893">
        <v>0.40047585178248074</v>
      </c>
      <c r="S184" s="958"/>
      <c r="T184" s="888" t="s">
        <v>1629</v>
      </c>
      <c r="U184" s="888"/>
      <c r="V184" s="968"/>
      <c r="W184" s="981" t="s">
        <v>2096</v>
      </c>
      <c r="X184" s="968" t="s">
        <v>1629</v>
      </c>
      <c r="Y184" s="971" t="s">
        <v>2730</v>
      </c>
      <c r="Z184" s="899" t="s">
        <v>2101</v>
      </c>
      <c r="AA184" s="892" t="s">
        <v>2101</v>
      </c>
      <c r="AB184" s="968">
        <v>167</v>
      </c>
      <c r="AC184" s="968"/>
    </row>
    <row r="185" spans="1:29" ht="15" customHeight="1">
      <c r="A185" s="924" t="s">
        <v>1630</v>
      </c>
      <c r="B185" s="958">
        <v>5206.5233636039429</v>
      </c>
      <c r="C185" s="958">
        <v>12381.88127551883</v>
      </c>
      <c r="D185" s="958">
        <v>12259.577478360576</v>
      </c>
      <c r="E185" s="886">
        <v>190</v>
      </c>
      <c r="F185" s="887">
        <v>3</v>
      </c>
      <c r="G185" s="888">
        <v>814.97541287250704</v>
      </c>
      <c r="H185" s="884">
        <v>167</v>
      </c>
      <c r="I185" s="888">
        <v>161</v>
      </c>
      <c r="J185" s="888">
        <v>194</v>
      </c>
      <c r="K185" s="889">
        <v>0.41092701153940114</v>
      </c>
      <c r="L185" s="1674">
        <v>9.9999999999999995E-7</v>
      </c>
      <c r="M185" s="890">
        <v>1.0369982956507164</v>
      </c>
      <c r="N185" s="890">
        <v>6.2831853071795862</v>
      </c>
      <c r="O185" s="890">
        <v>0.41092701153940114</v>
      </c>
      <c r="P185" s="893">
        <v>0.82185595953128587</v>
      </c>
      <c r="Q185" s="893">
        <v>0.41392959347807379</v>
      </c>
      <c r="R185" s="893">
        <v>0.40104581939443329</v>
      </c>
      <c r="S185" s="958"/>
      <c r="T185" s="888" t="s">
        <v>1630</v>
      </c>
      <c r="U185" s="888"/>
      <c r="V185" s="968"/>
      <c r="W185" s="981" t="s">
        <v>2096</v>
      </c>
      <c r="X185" s="968" t="s">
        <v>1630</v>
      </c>
      <c r="Y185" s="971" t="s">
        <v>2730</v>
      </c>
      <c r="Z185" s="899" t="s">
        <v>2102</v>
      </c>
      <c r="AA185" s="892" t="s">
        <v>2102</v>
      </c>
      <c r="AB185" s="968">
        <v>168</v>
      </c>
      <c r="AC185" s="968"/>
    </row>
    <row r="186" spans="1:29" ht="15" customHeight="1">
      <c r="A186" s="924" t="s">
        <v>1631</v>
      </c>
      <c r="B186" s="958">
        <v>6056.5375886704624</v>
      </c>
      <c r="C186" s="958">
        <v>13942.542133896975</v>
      </c>
      <c r="D186" s="958">
        <v>13805.685911456996</v>
      </c>
      <c r="E186" s="886">
        <v>102</v>
      </c>
      <c r="F186" s="887">
        <v>3</v>
      </c>
      <c r="G186" s="888">
        <v>894.90805263666903</v>
      </c>
      <c r="H186" s="884">
        <v>66</v>
      </c>
      <c r="I186" s="888">
        <v>60</v>
      </c>
      <c r="J186" s="888">
        <v>100</v>
      </c>
      <c r="K186" s="889">
        <v>0.45695017304143515</v>
      </c>
      <c r="L186" s="1674">
        <v>9.9999999999999995E-7</v>
      </c>
      <c r="M186" s="890">
        <v>0.72575314802943558</v>
      </c>
      <c r="N186" s="890">
        <v>6.2831853071795862</v>
      </c>
      <c r="O186" s="890">
        <v>0.45695017304143515</v>
      </c>
      <c r="P186" s="893">
        <v>0.91390249941490398</v>
      </c>
      <c r="Q186" s="893">
        <v>0.45995304415306837</v>
      </c>
      <c r="R186" s="893">
        <v>0.43495500848360069</v>
      </c>
      <c r="S186" s="958"/>
      <c r="T186" s="888" t="s">
        <v>1631</v>
      </c>
      <c r="U186" s="888"/>
      <c r="V186" s="968"/>
      <c r="W186" s="981" t="s">
        <v>2096</v>
      </c>
      <c r="X186" s="968" t="s">
        <v>1631</v>
      </c>
      <c r="Y186" s="971" t="s">
        <v>2731</v>
      </c>
      <c r="Z186" s="899" t="s">
        <v>2103</v>
      </c>
      <c r="AA186" s="892" t="s">
        <v>2103</v>
      </c>
      <c r="AB186" s="968">
        <v>169</v>
      </c>
      <c r="AC186" s="968"/>
    </row>
    <row r="187" spans="1:29" ht="15" customHeight="1">
      <c r="A187" s="924" t="s">
        <v>1632</v>
      </c>
      <c r="B187" s="958">
        <v>6086.3556658997622</v>
      </c>
      <c r="C187" s="958">
        <v>13976.200778403345</v>
      </c>
      <c r="D187" s="958">
        <v>13839.344555963366</v>
      </c>
      <c r="E187" s="886">
        <v>150</v>
      </c>
      <c r="F187" s="887">
        <v>3</v>
      </c>
      <c r="G187" s="888">
        <v>894.90805263666903</v>
      </c>
      <c r="H187" s="884">
        <v>66</v>
      </c>
      <c r="I187" s="888">
        <v>60</v>
      </c>
      <c r="J187" s="888">
        <v>100</v>
      </c>
      <c r="K187" s="889">
        <v>0.45695017304143515</v>
      </c>
      <c r="L187" s="1674">
        <v>9.9999999999999995E-7</v>
      </c>
      <c r="M187" s="890">
        <v>0.72575314802943558</v>
      </c>
      <c r="N187" s="890">
        <v>6.2831853071795862</v>
      </c>
      <c r="O187" s="890">
        <v>0.45695017304143515</v>
      </c>
      <c r="P187" s="893">
        <v>0.91390249941490398</v>
      </c>
      <c r="Q187" s="893">
        <v>0.45995304415306837</v>
      </c>
      <c r="R187" s="893">
        <v>0.43495500848360069</v>
      </c>
      <c r="S187" s="958"/>
      <c r="T187" s="888" t="s">
        <v>1632</v>
      </c>
      <c r="U187" s="888"/>
      <c r="V187" s="968"/>
      <c r="W187" s="981" t="s">
        <v>2096</v>
      </c>
      <c r="X187" s="968" t="s">
        <v>1632</v>
      </c>
      <c r="Y187" s="971" t="s">
        <v>2732</v>
      </c>
      <c r="Z187" s="899" t="s">
        <v>2103</v>
      </c>
      <c r="AA187" s="892" t="s">
        <v>2103</v>
      </c>
      <c r="AB187" s="968">
        <v>169</v>
      </c>
      <c r="AC187" s="968"/>
    </row>
    <row r="188" spans="1:29" ht="15" customHeight="1">
      <c r="A188" s="924" t="s">
        <v>1707</v>
      </c>
      <c r="B188" s="958">
        <v>5629.2596051355968</v>
      </c>
      <c r="C188" s="958">
        <v>13521.609131679512</v>
      </c>
      <c r="D188" s="958">
        <v>13384.752909239529</v>
      </c>
      <c r="E188" s="886">
        <v>102</v>
      </c>
      <c r="F188" s="887">
        <v>3</v>
      </c>
      <c r="G188" s="888">
        <v>895</v>
      </c>
      <c r="H188" s="884">
        <v>86</v>
      </c>
      <c r="I188" s="888">
        <v>80</v>
      </c>
      <c r="J188" s="888"/>
      <c r="K188" s="889"/>
      <c r="L188" s="1674"/>
      <c r="M188" s="890"/>
      <c r="N188" s="890"/>
      <c r="O188" s="890"/>
      <c r="P188" s="893">
        <v>0</v>
      </c>
      <c r="Q188" s="893">
        <v>3.0000000000000001E-3</v>
      </c>
      <c r="R188" s="893">
        <v>0.89200000000000002</v>
      </c>
      <c r="S188" s="958"/>
      <c r="T188" s="888" t="s">
        <v>1707</v>
      </c>
      <c r="U188" s="888"/>
      <c r="V188" s="968"/>
      <c r="W188" s="981" t="s">
        <v>2096</v>
      </c>
      <c r="X188" s="968" t="s">
        <v>1631</v>
      </c>
      <c r="Y188" s="971" t="s">
        <v>2731</v>
      </c>
      <c r="Z188" s="899" t="s">
        <v>2104</v>
      </c>
      <c r="AA188" s="892" t="s">
        <v>2104</v>
      </c>
      <c r="AB188" s="968">
        <v>171</v>
      </c>
      <c r="AC188" s="968"/>
    </row>
    <row r="189" spans="1:29" ht="15" customHeight="1">
      <c r="A189" s="924" t="s">
        <v>1708</v>
      </c>
      <c r="B189" s="958">
        <v>5659.3763108590983</v>
      </c>
      <c r="C189" s="958">
        <v>13555.603426300067</v>
      </c>
      <c r="D189" s="958">
        <v>13418.747203860086</v>
      </c>
      <c r="E189" s="886">
        <v>150</v>
      </c>
      <c r="F189" s="887">
        <v>3</v>
      </c>
      <c r="G189" s="888">
        <v>895</v>
      </c>
      <c r="H189" s="884">
        <v>86</v>
      </c>
      <c r="I189" s="888">
        <v>80</v>
      </c>
      <c r="J189" s="888"/>
      <c r="K189" s="889"/>
      <c r="L189" s="1674"/>
      <c r="M189" s="890"/>
      <c r="N189" s="890"/>
      <c r="O189" s="890"/>
      <c r="P189" s="893">
        <v>0</v>
      </c>
      <c r="Q189" s="893">
        <v>3.0000000000000001E-3</v>
      </c>
      <c r="R189" s="893">
        <v>0.89200000000000002</v>
      </c>
      <c r="S189" s="958"/>
      <c r="T189" s="888" t="s">
        <v>1708</v>
      </c>
      <c r="U189" s="888"/>
      <c r="V189" s="968"/>
      <c r="W189" s="981" t="s">
        <v>2096</v>
      </c>
      <c r="X189" s="968" t="s">
        <v>1632</v>
      </c>
      <c r="Y189" s="971" t="s">
        <v>2732</v>
      </c>
      <c r="Z189" s="899" t="s">
        <v>2104</v>
      </c>
      <c r="AA189" s="892" t="s">
        <v>2104</v>
      </c>
      <c r="AB189" s="968">
        <v>171</v>
      </c>
      <c r="AC189" s="968"/>
    </row>
    <row r="190" spans="1:29" ht="15" customHeight="1">
      <c r="A190" s="924" t="s">
        <v>1633</v>
      </c>
      <c r="B190" s="958">
        <v>5694.6099415588169</v>
      </c>
      <c r="C190" s="958">
        <v>13592.785170470926</v>
      </c>
      <c r="D190" s="958">
        <v>13455.928948030947</v>
      </c>
      <c r="E190" s="886">
        <v>125</v>
      </c>
      <c r="F190" s="887">
        <v>3</v>
      </c>
      <c r="G190" s="888">
        <v>895</v>
      </c>
      <c r="H190" s="884">
        <v>556</v>
      </c>
      <c r="I190" s="888">
        <v>550</v>
      </c>
      <c r="J190" s="888"/>
      <c r="K190" s="889"/>
      <c r="L190" s="1674"/>
      <c r="M190" s="890"/>
      <c r="N190" s="890"/>
      <c r="O190" s="890"/>
      <c r="P190" s="893">
        <v>0</v>
      </c>
      <c r="Q190" s="893">
        <v>3.0000000000000001E-3</v>
      </c>
      <c r="R190" s="893">
        <v>0.89200000000000002</v>
      </c>
      <c r="S190" s="958"/>
      <c r="T190" s="888" t="s">
        <v>1633</v>
      </c>
      <c r="U190" s="888"/>
      <c r="V190" s="968"/>
      <c r="W190" s="981" t="s">
        <v>2096</v>
      </c>
      <c r="X190" s="968" t="s">
        <v>1633</v>
      </c>
      <c r="Y190" s="971" t="s">
        <v>2733</v>
      </c>
      <c r="Z190" s="899" t="s">
        <v>2105</v>
      </c>
      <c r="AA190" s="892" t="s">
        <v>2105</v>
      </c>
      <c r="AB190" s="968">
        <v>173</v>
      </c>
      <c r="AC190" s="968"/>
    </row>
    <row r="191" spans="1:29" ht="15" customHeight="1">
      <c r="A191" s="924" t="s">
        <v>1709</v>
      </c>
      <c r="B191" s="958">
        <v>5711.3634550177521</v>
      </c>
      <c r="C191" s="958">
        <v>13611.695398307278</v>
      </c>
      <c r="D191" s="958">
        <v>13474.839175867299</v>
      </c>
      <c r="E191" s="886">
        <v>150</v>
      </c>
      <c r="F191" s="887">
        <v>3</v>
      </c>
      <c r="G191" s="888">
        <v>895</v>
      </c>
      <c r="H191" s="884">
        <v>556</v>
      </c>
      <c r="I191" s="888">
        <v>550</v>
      </c>
      <c r="J191" s="888"/>
      <c r="K191" s="889"/>
      <c r="L191" s="1674"/>
      <c r="M191" s="890"/>
      <c r="N191" s="890"/>
      <c r="O191" s="890"/>
      <c r="P191" s="893">
        <v>0</v>
      </c>
      <c r="Q191" s="893">
        <v>3.0000000000000001E-3</v>
      </c>
      <c r="R191" s="893">
        <v>0.89200000000000002</v>
      </c>
      <c r="S191" s="958"/>
      <c r="T191" s="888" t="s">
        <v>1709</v>
      </c>
      <c r="U191" s="888"/>
      <c r="V191" s="972"/>
      <c r="W191" s="981" t="s">
        <v>2096</v>
      </c>
      <c r="X191" s="972" t="s">
        <v>1632</v>
      </c>
      <c r="Y191" s="973" t="s">
        <v>2732</v>
      </c>
      <c r="Z191" s="899" t="s">
        <v>2105</v>
      </c>
      <c r="AA191" s="892" t="s">
        <v>2105</v>
      </c>
      <c r="AB191" s="968">
        <v>173</v>
      </c>
      <c r="AC191" s="968"/>
    </row>
    <row r="192" spans="1:29" ht="15" customHeight="1">
      <c r="A192" s="924" t="s">
        <v>1634</v>
      </c>
      <c r="B192" s="958">
        <v>6015.3953827802961</v>
      </c>
      <c r="C192" s="958">
        <v>13922.257287110368</v>
      </c>
      <c r="D192" s="958">
        <v>13785.401064670386</v>
      </c>
      <c r="E192" s="886">
        <v>190</v>
      </c>
      <c r="F192" s="887">
        <v>3</v>
      </c>
      <c r="G192" s="888">
        <v>895</v>
      </c>
      <c r="H192" s="884">
        <v>6</v>
      </c>
      <c r="I192" s="888"/>
      <c r="J192" s="888"/>
      <c r="K192" s="889"/>
      <c r="L192" s="1674"/>
      <c r="M192" s="890"/>
      <c r="N192" s="890"/>
      <c r="O192" s="890"/>
      <c r="P192" s="893">
        <v>0</v>
      </c>
      <c r="Q192" s="893">
        <v>3.0000000000000001E-3</v>
      </c>
      <c r="R192" s="893">
        <v>0.89200000000000002</v>
      </c>
      <c r="S192" s="958"/>
      <c r="T192" s="888" t="s">
        <v>1634</v>
      </c>
      <c r="U192" s="888"/>
      <c r="V192" s="972"/>
      <c r="W192" s="981" t="s">
        <v>2096</v>
      </c>
      <c r="X192" s="972" t="s">
        <v>1634</v>
      </c>
      <c r="Y192" s="973" t="s">
        <v>2734</v>
      </c>
      <c r="Z192" s="899" t="s">
        <v>2106</v>
      </c>
      <c r="AA192" s="892" t="s">
        <v>2106</v>
      </c>
      <c r="AB192" s="968">
        <v>175</v>
      </c>
      <c r="AC192" s="968"/>
    </row>
    <row r="193" spans="1:29" ht="15" customHeight="1">
      <c r="A193" s="924" t="s">
        <v>1635</v>
      </c>
      <c r="B193" s="958">
        <v>6703.8293671653282</v>
      </c>
      <c r="C193" s="958">
        <v>15092.426183250376</v>
      </c>
      <c r="D193" s="958">
        <v>14946.756664632052</v>
      </c>
      <c r="E193" s="886">
        <v>150</v>
      </c>
      <c r="F193" s="887">
        <v>3</v>
      </c>
      <c r="G193" s="888">
        <v>934.97022687281071</v>
      </c>
      <c r="H193" s="884">
        <v>66</v>
      </c>
      <c r="I193" s="888">
        <v>60</v>
      </c>
      <c r="J193" s="888">
        <v>100</v>
      </c>
      <c r="K193" s="889">
        <v>0.49202517733529749</v>
      </c>
      <c r="L193" s="1674">
        <v>9.9999999999999995E-7</v>
      </c>
      <c r="M193" s="890">
        <v>0.75348131831099063</v>
      </c>
      <c r="N193" s="890">
        <v>6.2831853071795862</v>
      </c>
      <c r="O193" s="889">
        <v>0.49202517733529749</v>
      </c>
      <c r="P193" s="893">
        <v>0.98405267329008184</v>
      </c>
      <c r="Q193" s="893">
        <v>0.49502826883037471</v>
      </c>
      <c r="R193" s="893">
        <v>0.43994195804243602</v>
      </c>
      <c r="S193" s="958"/>
      <c r="T193" s="888" t="s">
        <v>1635</v>
      </c>
      <c r="U193" s="888"/>
      <c r="V193" s="968"/>
      <c r="W193" s="981" t="s">
        <v>2096</v>
      </c>
      <c r="X193" s="968" t="s">
        <v>1635</v>
      </c>
      <c r="Y193" s="971" t="s">
        <v>2735</v>
      </c>
      <c r="Z193" s="899" t="s">
        <v>2107</v>
      </c>
      <c r="AA193" s="892" t="s">
        <v>2107</v>
      </c>
      <c r="AB193" s="968">
        <v>176</v>
      </c>
      <c r="AC193" s="968"/>
    </row>
    <row r="194" spans="1:29" ht="15" customHeight="1">
      <c r="A194" s="924" t="s">
        <v>1710</v>
      </c>
      <c r="B194" s="958">
        <v>6098.7344699283021</v>
      </c>
      <c r="C194" s="958">
        <v>14495.183274432864</v>
      </c>
      <c r="D194" s="958">
        <v>14349.513755814538</v>
      </c>
      <c r="E194" s="886">
        <v>150</v>
      </c>
      <c r="F194" s="887">
        <v>3</v>
      </c>
      <c r="G194" s="888">
        <v>934.9702268728106</v>
      </c>
      <c r="H194" s="884">
        <v>106</v>
      </c>
      <c r="I194" s="888">
        <v>100</v>
      </c>
      <c r="J194" s="888">
        <v>100</v>
      </c>
      <c r="K194" s="889">
        <v>0.49202517733529749</v>
      </c>
      <c r="L194" s="1674">
        <v>9.9999999999999995E-7</v>
      </c>
      <c r="M194" s="890">
        <v>0.75348131831099108</v>
      </c>
      <c r="N194" s="890">
        <v>6.2831853071795862</v>
      </c>
      <c r="O194" s="889">
        <v>0.49202517733529749</v>
      </c>
      <c r="P194" s="893">
        <v>0.98405267329008184</v>
      </c>
      <c r="Q194" s="893">
        <v>0.49502826883037471</v>
      </c>
      <c r="R194" s="893">
        <v>0.43994195804243591</v>
      </c>
      <c r="S194" s="958"/>
      <c r="T194" s="888" t="s">
        <v>1710</v>
      </c>
      <c r="U194" s="888"/>
      <c r="V194" s="968"/>
      <c r="W194" s="981" t="s">
        <v>2096</v>
      </c>
      <c r="X194" s="968" t="s">
        <v>1635</v>
      </c>
      <c r="Y194" s="971" t="s">
        <v>2735</v>
      </c>
      <c r="Z194" s="899" t="s">
        <v>2108</v>
      </c>
      <c r="AA194" s="892" t="s">
        <v>2108</v>
      </c>
      <c r="AB194" s="968">
        <v>177</v>
      </c>
      <c r="AC194" s="968"/>
    </row>
    <row r="195" spans="1:29" ht="15" customHeight="1">
      <c r="A195" s="924" t="s">
        <v>1711</v>
      </c>
      <c r="B195" s="958">
        <v>6160.9399219716215</v>
      </c>
      <c r="C195" s="958">
        <v>14557.388726476183</v>
      </c>
      <c r="D195" s="958">
        <v>14411.719207857857</v>
      </c>
      <c r="E195" s="886">
        <v>150</v>
      </c>
      <c r="F195" s="887">
        <v>3</v>
      </c>
      <c r="G195" s="888">
        <v>934.9702268728106</v>
      </c>
      <c r="H195" s="884">
        <v>106</v>
      </c>
      <c r="I195" s="888">
        <v>100</v>
      </c>
      <c r="J195" s="888">
        <v>100</v>
      </c>
      <c r="K195" s="889">
        <v>0.49202517733529749</v>
      </c>
      <c r="L195" s="1674">
        <v>9.9999999999999995E-7</v>
      </c>
      <c r="M195" s="890">
        <v>0.75348131831099108</v>
      </c>
      <c r="N195" s="890">
        <v>6.2831853071795862</v>
      </c>
      <c r="O195" s="889">
        <v>0.49202517733529749</v>
      </c>
      <c r="P195" s="893">
        <v>0.98405267329008184</v>
      </c>
      <c r="Q195" s="893">
        <v>0.49502826883037471</v>
      </c>
      <c r="R195" s="893">
        <v>0.43994195804243591</v>
      </c>
      <c r="S195" s="958"/>
      <c r="T195" s="888" t="s">
        <v>1711</v>
      </c>
      <c r="U195" s="888"/>
      <c r="V195" s="968"/>
      <c r="W195" s="981" t="s">
        <v>2096</v>
      </c>
      <c r="X195" s="968" t="s">
        <v>1635</v>
      </c>
      <c r="Y195" s="971" t="s">
        <v>2735</v>
      </c>
      <c r="Z195" s="899" t="s">
        <v>2109</v>
      </c>
      <c r="AA195" s="892" t="s">
        <v>2109</v>
      </c>
      <c r="AB195" s="968">
        <v>178</v>
      </c>
      <c r="AC195" s="968"/>
    </row>
    <row r="196" spans="1:29" ht="15" customHeight="1">
      <c r="A196" s="924" t="s">
        <v>1636</v>
      </c>
      <c r="B196" s="958">
        <v>6869.9599501363509</v>
      </c>
      <c r="C196" s="958">
        <v>15311.629778700342</v>
      </c>
      <c r="D196" s="958">
        <v>15165.960260082018</v>
      </c>
      <c r="E196" s="886">
        <v>190</v>
      </c>
      <c r="F196" s="887">
        <v>3</v>
      </c>
      <c r="G196" s="888">
        <v>1024.987776319186</v>
      </c>
      <c r="H196" s="884">
        <v>125</v>
      </c>
      <c r="I196" s="888">
        <v>119</v>
      </c>
      <c r="J196" s="888">
        <v>174</v>
      </c>
      <c r="K196" s="889">
        <v>0.48322658186786283</v>
      </c>
      <c r="L196" s="1674">
        <v>1.1199724807811342E-2</v>
      </c>
      <c r="M196" s="890">
        <v>0.78614727930747175</v>
      </c>
      <c r="N196" s="890">
        <v>6.2831853071795862</v>
      </c>
      <c r="O196" s="890">
        <v>0.43121586279993446</v>
      </c>
      <c r="P196" s="893">
        <v>0.94063091807124177</v>
      </c>
      <c r="Q196" s="893">
        <v>0.5214562279718763</v>
      </c>
      <c r="R196" s="893">
        <v>0.50353154834730962</v>
      </c>
      <c r="S196" s="958"/>
      <c r="T196" s="888" t="s">
        <v>1636</v>
      </c>
      <c r="U196" s="888"/>
      <c r="V196" s="968"/>
      <c r="W196" s="981" t="s">
        <v>2096</v>
      </c>
      <c r="X196" s="968" t="s">
        <v>1636</v>
      </c>
      <c r="Y196" s="971" t="s">
        <v>2736</v>
      </c>
      <c r="Z196" s="899" t="s">
        <v>2110</v>
      </c>
      <c r="AA196" s="892" t="s">
        <v>2110</v>
      </c>
      <c r="AB196" s="968">
        <v>179</v>
      </c>
      <c r="AC196" s="968"/>
    </row>
    <row r="197" spans="1:29" ht="15" customHeight="1">
      <c r="A197" s="924" t="s">
        <v>1712</v>
      </c>
      <c r="B197" s="958">
        <v>6296.6994909534124</v>
      </c>
      <c r="C197" s="958">
        <v>14934.603233148986</v>
      </c>
      <c r="D197" s="958">
        <v>14783.79356264433</v>
      </c>
      <c r="E197" s="886">
        <v>150</v>
      </c>
      <c r="F197" s="887">
        <v>3</v>
      </c>
      <c r="G197" s="888">
        <v>935</v>
      </c>
      <c r="H197" s="884">
        <v>6</v>
      </c>
      <c r="I197" s="888"/>
      <c r="J197" s="888"/>
      <c r="K197" s="889"/>
      <c r="L197" s="1674"/>
      <c r="M197" s="890"/>
      <c r="N197" s="890"/>
      <c r="O197" s="890"/>
      <c r="P197" s="893">
        <v>0</v>
      </c>
      <c r="Q197" s="893">
        <v>3.0000000000000001E-3</v>
      </c>
      <c r="R197" s="893">
        <v>0.93200000000000005</v>
      </c>
      <c r="S197" s="958"/>
      <c r="T197" s="888" t="s">
        <v>1712</v>
      </c>
      <c r="U197" s="888"/>
      <c r="V197" s="968"/>
      <c r="W197" s="981" t="s">
        <v>2096</v>
      </c>
      <c r="X197" s="968" t="s">
        <v>1635</v>
      </c>
      <c r="Y197" s="971" t="s">
        <v>2737</v>
      </c>
      <c r="Z197" s="899" t="s">
        <v>2111</v>
      </c>
      <c r="AA197" s="892" t="s">
        <v>2111</v>
      </c>
      <c r="AB197" s="968">
        <v>180</v>
      </c>
      <c r="AC197" s="968"/>
    </row>
    <row r="198" spans="1:29" ht="15" customHeight="1">
      <c r="A198" s="924" t="s">
        <v>1713</v>
      </c>
      <c r="B198" s="958">
        <v>7114.2334753914147</v>
      </c>
      <c r="C198" s="958">
        <v>15809.14457185715</v>
      </c>
      <c r="D198" s="958">
        <v>15658.334901352495</v>
      </c>
      <c r="E198" s="886">
        <v>190</v>
      </c>
      <c r="F198" s="887">
        <v>3</v>
      </c>
      <c r="G198" s="888">
        <v>1024.6039060287592</v>
      </c>
      <c r="H198" s="884">
        <v>126</v>
      </c>
      <c r="I198" s="888">
        <v>120</v>
      </c>
      <c r="J198" s="888">
        <v>236.27392701738481</v>
      </c>
      <c r="K198" s="889">
        <v>0.50228052862061201</v>
      </c>
      <c r="L198" s="1674">
        <v>2.9436434596828214E-3</v>
      </c>
      <c r="M198" s="890">
        <v>0.99241899999334438</v>
      </c>
      <c r="N198" s="890">
        <v>6.2831853071795862</v>
      </c>
      <c r="O198" s="890">
        <v>0.52726933946139465</v>
      </c>
      <c r="P198" s="893">
        <v>1.0365658480554885</v>
      </c>
      <c r="Q198" s="893">
        <v>0.51465687936724347</v>
      </c>
      <c r="R198" s="893">
        <v>0.50994702666151581</v>
      </c>
      <c r="S198" s="958"/>
      <c r="T198" s="888" t="s">
        <v>1713</v>
      </c>
      <c r="U198" s="888"/>
      <c r="V198" s="968"/>
      <c r="W198" s="981" t="s">
        <v>2096</v>
      </c>
      <c r="X198" s="968" t="s">
        <v>1636</v>
      </c>
      <c r="Y198" s="971" t="s">
        <v>2738</v>
      </c>
      <c r="Z198" s="899" t="s">
        <v>2112</v>
      </c>
      <c r="AA198" s="892" t="s">
        <v>2112</v>
      </c>
      <c r="AB198" s="968">
        <v>181</v>
      </c>
      <c r="AC198" s="968"/>
    </row>
    <row r="199" spans="1:29" ht="15" customHeight="1">
      <c r="A199" s="924" t="s">
        <v>1637</v>
      </c>
      <c r="B199" s="958">
        <v>2556.4061618005885</v>
      </c>
      <c r="C199" s="958">
        <v>5421.0306518135721</v>
      </c>
      <c r="D199" s="958">
        <v>5381.1764443172469</v>
      </c>
      <c r="E199" s="886">
        <v>150</v>
      </c>
      <c r="F199" s="887">
        <v>3</v>
      </c>
      <c r="G199" s="888">
        <v>335</v>
      </c>
      <c r="H199" s="884">
        <v>6</v>
      </c>
      <c r="I199" s="888"/>
      <c r="J199" s="888"/>
      <c r="K199" s="889"/>
      <c r="L199" s="1674"/>
      <c r="M199" s="890"/>
      <c r="N199" s="890"/>
      <c r="O199" s="890"/>
      <c r="P199" s="893">
        <v>0</v>
      </c>
      <c r="Q199" s="893">
        <v>3.0000000000000001E-3</v>
      </c>
      <c r="R199" s="893">
        <v>0.33200000000000002</v>
      </c>
      <c r="S199" s="958"/>
      <c r="T199" s="888" t="s">
        <v>1637</v>
      </c>
      <c r="U199" s="888"/>
      <c r="V199" s="968"/>
      <c r="W199" s="980" t="s">
        <v>2130</v>
      </c>
      <c r="X199" s="968" t="s">
        <v>1637</v>
      </c>
      <c r="Y199" s="971" t="s">
        <v>2375</v>
      </c>
      <c r="Z199" s="899" t="s">
        <v>2113</v>
      </c>
      <c r="AA199" s="892" t="s">
        <v>2113</v>
      </c>
      <c r="AB199" s="968">
        <v>182</v>
      </c>
      <c r="AC199" s="968"/>
    </row>
    <row r="200" spans="1:29" ht="15" customHeight="1">
      <c r="A200" s="924" t="s">
        <v>1714</v>
      </c>
      <c r="B200" s="958">
        <v>2969.1289781654718</v>
      </c>
      <c r="C200" s="958">
        <v>5875.1909681784555</v>
      </c>
      <c r="D200" s="958">
        <v>5835.3367606821303</v>
      </c>
      <c r="E200" s="886">
        <v>150</v>
      </c>
      <c r="F200" s="887">
        <v>3</v>
      </c>
      <c r="G200" s="888">
        <v>335</v>
      </c>
      <c r="H200" s="884">
        <v>6</v>
      </c>
      <c r="I200" s="888"/>
      <c r="J200" s="888"/>
      <c r="K200" s="889"/>
      <c r="L200" s="1674"/>
      <c r="M200" s="890"/>
      <c r="N200" s="890"/>
      <c r="O200" s="890"/>
      <c r="P200" s="893">
        <v>0</v>
      </c>
      <c r="Q200" s="893">
        <v>3.0000000000000001E-3</v>
      </c>
      <c r="R200" s="893">
        <v>0.33200000000000002</v>
      </c>
      <c r="S200" s="958"/>
      <c r="T200" s="888" t="s">
        <v>1714</v>
      </c>
      <c r="U200" s="888"/>
      <c r="V200" s="968"/>
      <c r="W200" s="981" t="s">
        <v>2130</v>
      </c>
      <c r="X200" s="968" t="s">
        <v>1637</v>
      </c>
      <c r="Y200" s="971" t="s">
        <v>2375</v>
      </c>
      <c r="Z200" s="899" t="s">
        <v>2114</v>
      </c>
      <c r="AA200" s="892" t="s">
        <v>2114</v>
      </c>
      <c r="AB200" s="968">
        <v>183</v>
      </c>
      <c r="AC200" s="968"/>
    </row>
    <row r="201" spans="1:29" ht="15" customHeight="1">
      <c r="A201" s="924" t="s">
        <v>1638</v>
      </c>
      <c r="B201" s="958">
        <v>3307.6549707626923</v>
      </c>
      <c r="C201" s="958">
        <v>6853.3549541892562</v>
      </c>
      <c r="D201" s="958">
        <v>6799.9163517884717</v>
      </c>
      <c r="E201" s="886">
        <v>175</v>
      </c>
      <c r="F201" s="887">
        <v>3</v>
      </c>
      <c r="G201" s="888">
        <v>410</v>
      </c>
      <c r="H201" s="884">
        <v>151</v>
      </c>
      <c r="I201" s="888">
        <v>145</v>
      </c>
      <c r="J201" s="888"/>
      <c r="K201" s="889"/>
      <c r="L201" s="1674"/>
      <c r="M201" s="890"/>
      <c r="N201" s="890"/>
      <c r="O201" s="890"/>
      <c r="P201" s="893">
        <v>0</v>
      </c>
      <c r="Q201" s="893">
        <v>3.0000000000000001E-3</v>
      </c>
      <c r="R201" s="893">
        <v>0.40699999999999997</v>
      </c>
      <c r="S201" s="958"/>
      <c r="T201" s="888" t="s">
        <v>1638</v>
      </c>
      <c r="U201" s="888"/>
      <c r="V201" s="968"/>
      <c r="W201" s="981" t="s">
        <v>2130</v>
      </c>
      <c r="X201" s="968" t="s">
        <v>1638</v>
      </c>
      <c r="Y201" s="971" t="s">
        <v>2376</v>
      </c>
      <c r="Z201" s="899" t="s">
        <v>2115</v>
      </c>
      <c r="AA201" s="892" t="s">
        <v>2115</v>
      </c>
      <c r="AB201" s="968">
        <v>184</v>
      </c>
      <c r="AC201" s="968"/>
    </row>
    <row r="202" spans="1:29" ht="15" customHeight="1">
      <c r="A202" s="924" t="s">
        <v>1715</v>
      </c>
      <c r="B202" s="958">
        <v>3305.0803292659612</v>
      </c>
      <c r="C202" s="958">
        <v>6850.7803126925246</v>
      </c>
      <c r="D202" s="958">
        <v>6797.3417102917392</v>
      </c>
      <c r="E202" s="886">
        <v>175</v>
      </c>
      <c r="F202" s="887">
        <v>3</v>
      </c>
      <c r="G202" s="888">
        <v>410</v>
      </c>
      <c r="H202" s="884">
        <v>151</v>
      </c>
      <c r="I202" s="888">
        <v>145</v>
      </c>
      <c r="J202" s="888"/>
      <c r="K202" s="889"/>
      <c r="L202" s="1674"/>
      <c r="M202" s="890"/>
      <c r="N202" s="890"/>
      <c r="O202" s="890"/>
      <c r="P202" s="893">
        <v>0</v>
      </c>
      <c r="Q202" s="893">
        <v>3.0000000000000001E-3</v>
      </c>
      <c r="R202" s="893">
        <v>0.40699999999999997</v>
      </c>
      <c r="S202" s="958"/>
      <c r="T202" s="888" t="s">
        <v>1715</v>
      </c>
      <c r="U202" s="888"/>
      <c r="V202" s="968"/>
      <c r="W202" s="981" t="s">
        <v>2130</v>
      </c>
      <c r="X202" s="968" t="s">
        <v>1638</v>
      </c>
      <c r="Y202" s="971" t="s">
        <v>2376</v>
      </c>
      <c r="Z202" s="899" t="s">
        <v>2116</v>
      </c>
      <c r="AA202" s="892" t="s">
        <v>2116</v>
      </c>
      <c r="AB202" s="968">
        <v>185</v>
      </c>
      <c r="AC202" s="968"/>
    </row>
    <row r="203" spans="1:29" ht="15" customHeight="1">
      <c r="A203" s="924" t="s">
        <v>1639</v>
      </c>
      <c r="B203" s="958">
        <v>2891.5361547085336</v>
      </c>
      <c r="C203" s="958">
        <v>6866.7717699442292</v>
      </c>
      <c r="D203" s="958">
        <v>6804.5198713651007</v>
      </c>
      <c r="E203" s="886">
        <v>200</v>
      </c>
      <c r="F203" s="887">
        <v>3</v>
      </c>
      <c r="G203" s="888">
        <v>520</v>
      </c>
      <c r="H203" s="884">
        <v>186</v>
      </c>
      <c r="I203" s="888">
        <v>180</v>
      </c>
      <c r="J203" s="888"/>
      <c r="K203" s="889"/>
      <c r="L203" s="1674"/>
      <c r="M203" s="890"/>
      <c r="N203" s="890"/>
      <c r="O203" s="890"/>
      <c r="P203" s="893">
        <v>0</v>
      </c>
      <c r="Q203" s="893">
        <v>3.0000000000000001E-3</v>
      </c>
      <c r="R203" s="893">
        <v>0.51700000000000002</v>
      </c>
      <c r="S203" s="958"/>
      <c r="T203" s="888" t="s">
        <v>1639</v>
      </c>
      <c r="U203" s="888"/>
      <c r="V203" s="968"/>
      <c r="W203" s="981" t="s">
        <v>2130</v>
      </c>
      <c r="X203" s="968" t="s">
        <v>1639</v>
      </c>
      <c r="Y203" s="971" t="s">
        <v>2377</v>
      </c>
      <c r="Z203" s="899" t="s">
        <v>2117</v>
      </c>
      <c r="AA203" s="892" t="s">
        <v>2117</v>
      </c>
      <c r="AB203" s="968">
        <v>186</v>
      </c>
      <c r="AC203" s="968"/>
    </row>
    <row r="204" spans="1:29" ht="15" customHeight="1">
      <c r="A204" s="924" t="s">
        <v>1716</v>
      </c>
      <c r="B204" s="958">
        <v>2891.5361547085336</v>
      </c>
      <c r="C204" s="958">
        <v>6866.7717699442292</v>
      </c>
      <c r="D204" s="958">
        <v>6804.5198713651007</v>
      </c>
      <c r="E204" s="886">
        <v>200</v>
      </c>
      <c r="F204" s="887">
        <v>3</v>
      </c>
      <c r="G204" s="888">
        <v>520</v>
      </c>
      <c r="H204" s="884">
        <v>186</v>
      </c>
      <c r="I204" s="888">
        <v>180</v>
      </c>
      <c r="J204" s="888"/>
      <c r="K204" s="889"/>
      <c r="L204" s="1674"/>
      <c r="M204" s="890"/>
      <c r="N204" s="890"/>
      <c r="O204" s="890"/>
      <c r="P204" s="893">
        <v>0</v>
      </c>
      <c r="Q204" s="893">
        <v>3.0000000000000001E-3</v>
      </c>
      <c r="R204" s="893">
        <v>0.51700000000000002</v>
      </c>
      <c r="S204" s="958"/>
      <c r="T204" s="888" t="s">
        <v>1716</v>
      </c>
      <c r="U204" s="888"/>
      <c r="V204" s="968"/>
      <c r="W204" s="981" t="s">
        <v>2130</v>
      </c>
      <c r="X204" s="968" t="s">
        <v>1639</v>
      </c>
      <c r="Y204" s="971" t="s">
        <v>2377</v>
      </c>
      <c r="Z204" s="899" t="s">
        <v>2118</v>
      </c>
      <c r="AA204" s="892" t="s">
        <v>2118</v>
      </c>
      <c r="AB204" s="968">
        <v>187</v>
      </c>
      <c r="AC204" s="968"/>
    </row>
    <row r="205" spans="1:29" ht="15" customHeight="1">
      <c r="A205" s="924" t="s">
        <v>1640</v>
      </c>
      <c r="B205" s="958">
        <v>3309.6341648438765</v>
      </c>
      <c r="C205" s="958">
        <v>7799.2978264062986</v>
      </c>
      <c r="D205" s="958">
        <v>7728.3326316488256</v>
      </c>
      <c r="E205" s="886">
        <v>250</v>
      </c>
      <c r="F205" s="887">
        <v>3</v>
      </c>
      <c r="G205" s="888">
        <v>600</v>
      </c>
      <c r="H205" s="884">
        <v>211</v>
      </c>
      <c r="I205" s="888">
        <v>205</v>
      </c>
      <c r="J205" s="888"/>
      <c r="K205" s="889"/>
      <c r="L205" s="1674"/>
      <c r="M205" s="890"/>
      <c r="N205" s="890"/>
      <c r="O205" s="890"/>
      <c r="P205" s="893">
        <v>0</v>
      </c>
      <c r="Q205" s="893">
        <v>3.0000000000000001E-3</v>
      </c>
      <c r="R205" s="893">
        <v>0.59699999999999998</v>
      </c>
      <c r="S205" s="958"/>
      <c r="T205" s="888" t="s">
        <v>1640</v>
      </c>
      <c r="U205" s="888"/>
      <c r="V205" s="968"/>
      <c r="W205" s="981" t="s">
        <v>2130</v>
      </c>
      <c r="X205" s="968" t="s">
        <v>1640</v>
      </c>
      <c r="Y205" s="971" t="s">
        <v>2378</v>
      </c>
      <c r="Z205" s="899" t="s">
        <v>2119</v>
      </c>
      <c r="AA205" s="892" t="s">
        <v>2119</v>
      </c>
      <c r="AB205" s="968">
        <v>188</v>
      </c>
      <c r="AC205" s="968"/>
    </row>
    <row r="206" spans="1:29" ht="15" customHeight="1">
      <c r="A206" s="924" t="s">
        <v>1717</v>
      </c>
      <c r="B206" s="958">
        <v>3309.6341648438765</v>
      </c>
      <c r="C206" s="958">
        <v>7799.2978264062986</v>
      </c>
      <c r="D206" s="958">
        <v>7728.3326316488256</v>
      </c>
      <c r="E206" s="886">
        <v>250</v>
      </c>
      <c r="F206" s="887">
        <v>3</v>
      </c>
      <c r="G206" s="888">
        <v>600</v>
      </c>
      <c r="H206" s="884">
        <v>211</v>
      </c>
      <c r="I206" s="888">
        <v>205</v>
      </c>
      <c r="J206" s="888"/>
      <c r="K206" s="889"/>
      <c r="L206" s="1674"/>
      <c r="M206" s="890"/>
      <c r="N206" s="890"/>
      <c r="O206" s="890"/>
      <c r="P206" s="893">
        <v>0</v>
      </c>
      <c r="Q206" s="893">
        <v>3.0000000000000001E-3</v>
      </c>
      <c r="R206" s="893">
        <v>0.59699999999999998</v>
      </c>
      <c r="S206" s="958"/>
      <c r="T206" s="888" t="s">
        <v>1717</v>
      </c>
      <c r="U206" s="888"/>
      <c r="V206" s="968"/>
      <c r="W206" s="981" t="s">
        <v>2130</v>
      </c>
      <c r="X206" s="968" t="s">
        <v>1640</v>
      </c>
      <c r="Y206" s="971" t="s">
        <v>2378</v>
      </c>
      <c r="Z206" s="899" t="s">
        <v>2120</v>
      </c>
      <c r="AA206" s="892" t="s">
        <v>2120</v>
      </c>
      <c r="AB206" s="968">
        <v>189</v>
      </c>
      <c r="AC206" s="968"/>
    </row>
    <row r="207" spans="1:29" ht="15" customHeight="1">
      <c r="A207" s="924" t="s">
        <v>1641</v>
      </c>
      <c r="B207" s="958">
        <v>3901.4441519235561</v>
      </c>
      <c r="C207" s="958">
        <v>9009.4984920925363</v>
      </c>
      <c r="D207" s="958">
        <v>8926.0169328078719</v>
      </c>
      <c r="E207" s="886">
        <v>310</v>
      </c>
      <c r="F207" s="887">
        <v>3</v>
      </c>
      <c r="G207" s="888">
        <v>695</v>
      </c>
      <c r="H207" s="884">
        <v>261</v>
      </c>
      <c r="I207" s="888">
        <v>255</v>
      </c>
      <c r="J207" s="888"/>
      <c r="K207" s="889"/>
      <c r="L207" s="1674"/>
      <c r="M207" s="890"/>
      <c r="N207" s="890"/>
      <c r="O207" s="890"/>
      <c r="P207" s="893">
        <v>0</v>
      </c>
      <c r="Q207" s="893">
        <v>3.0000000000000001E-3</v>
      </c>
      <c r="R207" s="893">
        <v>0.69199999999999995</v>
      </c>
      <c r="S207" s="958"/>
      <c r="T207" s="888" t="s">
        <v>1641</v>
      </c>
      <c r="U207" s="888"/>
      <c r="V207" s="968"/>
      <c r="W207" s="981" t="s">
        <v>2130</v>
      </c>
      <c r="X207" s="968" t="s">
        <v>1641</v>
      </c>
      <c r="Y207" s="971" t="s">
        <v>2379</v>
      </c>
      <c r="Z207" s="899" t="s">
        <v>2121</v>
      </c>
      <c r="AA207" s="892" t="s">
        <v>2121</v>
      </c>
      <c r="AB207" s="968">
        <v>190</v>
      </c>
      <c r="AC207" s="968"/>
    </row>
    <row r="208" spans="1:29" ht="15" customHeight="1">
      <c r="A208" s="924" t="s">
        <v>1718</v>
      </c>
      <c r="B208" s="958">
        <v>3901.4441519235561</v>
      </c>
      <c r="C208" s="958">
        <v>9009.4984920925363</v>
      </c>
      <c r="D208" s="958">
        <v>8926.0169328078719</v>
      </c>
      <c r="E208" s="886">
        <v>310</v>
      </c>
      <c r="F208" s="887">
        <v>3</v>
      </c>
      <c r="G208" s="888">
        <v>695</v>
      </c>
      <c r="H208" s="884">
        <v>261</v>
      </c>
      <c r="I208" s="888">
        <v>255</v>
      </c>
      <c r="J208" s="888"/>
      <c r="K208" s="889"/>
      <c r="L208" s="1674"/>
      <c r="M208" s="890"/>
      <c r="N208" s="890"/>
      <c r="O208" s="890"/>
      <c r="P208" s="893">
        <v>0</v>
      </c>
      <c r="Q208" s="893">
        <v>3.0000000000000001E-3</v>
      </c>
      <c r="R208" s="893">
        <v>0.69199999999999995</v>
      </c>
      <c r="S208" s="958"/>
      <c r="T208" s="888" t="s">
        <v>1718</v>
      </c>
      <c r="U208" s="888"/>
      <c r="V208" s="968"/>
      <c r="W208" s="981" t="s">
        <v>2130</v>
      </c>
      <c r="X208" s="968" t="s">
        <v>1641</v>
      </c>
      <c r="Y208" s="971" t="s">
        <v>2379</v>
      </c>
      <c r="Z208" s="899" t="s">
        <v>2122</v>
      </c>
      <c r="AA208" s="892" t="s">
        <v>2122</v>
      </c>
      <c r="AB208" s="968">
        <v>191</v>
      </c>
      <c r="AC208" s="968"/>
    </row>
    <row r="209" spans="1:29" ht="15" customHeight="1">
      <c r="A209" s="924" t="s">
        <v>1642</v>
      </c>
      <c r="B209" s="958">
        <v>4638.3483455954374</v>
      </c>
      <c r="C209" s="958">
        <v>10211.056454816684</v>
      </c>
      <c r="D209" s="958">
        <v>10120.897660108209</v>
      </c>
      <c r="E209" s="886">
        <v>350</v>
      </c>
      <c r="F209" s="887">
        <v>3</v>
      </c>
      <c r="G209" s="888">
        <v>785</v>
      </c>
      <c r="H209" s="884">
        <v>291</v>
      </c>
      <c r="I209" s="888">
        <v>285</v>
      </c>
      <c r="J209" s="888"/>
      <c r="K209" s="889"/>
      <c r="L209" s="1674"/>
      <c r="M209" s="890"/>
      <c r="N209" s="890"/>
      <c r="O209" s="890"/>
      <c r="P209" s="893">
        <v>0</v>
      </c>
      <c r="Q209" s="893">
        <v>3.0000000000000001E-3</v>
      </c>
      <c r="R209" s="893">
        <v>0.78200000000000003</v>
      </c>
      <c r="S209" s="958"/>
      <c r="T209" s="888" t="s">
        <v>1642</v>
      </c>
      <c r="U209" s="888"/>
      <c r="V209" s="968"/>
      <c r="W209" s="981" t="s">
        <v>2130</v>
      </c>
      <c r="X209" s="968" t="s">
        <v>1642</v>
      </c>
      <c r="Y209" s="971" t="s">
        <v>2380</v>
      </c>
      <c r="Z209" s="899" t="s">
        <v>2123</v>
      </c>
      <c r="AA209" s="892" t="s">
        <v>2123</v>
      </c>
      <c r="AB209" s="968">
        <v>192</v>
      </c>
      <c r="AC209" s="968"/>
    </row>
    <row r="210" spans="1:29" ht="15" customHeight="1">
      <c r="A210" s="924" t="s">
        <v>1719</v>
      </c>
      <c r="B210" s="958">
        <v>4794.0009301361288</v>
      </c>
      <c r="C210" s="958">
        <v>10366.709039357376</v>
      </c>
      <c r="D210" s="958">
        <v>10276.550244648899</v>
      </c>
      <c r="E210" s="886">
        <v>350</v>
      </c>
      <c r="F210" s="887">
        <v>3</v>
      </c>
      <c r="G210" s="888">
        <v>785</v>
      </c>
      <c r="H210" s="884">
        <v>291</v>
      </c>
      <c r="I210" s="888">
        <v>285</v>
      </c>
      <c r="J210" s="888"/>
      <c r="K210" s="889"/>
      <c r="L210" s="1674"/>
      <c r="M210" s="890"/>
      <c r="N210" s="890"/>
      <c r="O210" s="890"/>
      <c r="P210" s="893">
        <v>0</v>
      </c>
      <c r="Q210" s="893">
        <v>3.0000000000000001E-3</v>
      </c>
      <c r="R210" s="893">
        <v>0.78200000000000003</v>
      </c>
      <c r="S210" s="958"/>
      <c r="T210" s="888" t="s">
        <v>1719</v>
      </c>
      <c r="U210" s="888"/>
      <c r="V210" s="968"/>
      <c r="W210" s="981" t="s">
        <v>2130</v>
      </c>
      <c r="X210" s="968" t="s">
        <v>1642</v>
      </c>
      <c r="Y210" s="971" t="s">
        <v>2380</v>
      </c>
      <c r="Z210" s="899" t="s">
        <v>2124</v>
      </c>
      <c r="AA210" s="892" t="s">
        <v>2124</v>
      </c>
      <c r="AB210" s="968">
        <v>193</v>
      </c>
      <c r="AC210" s="968"/>
    </row>
    <row r="211" spans="1:29" ht="15" customHeight="1">
      <c r="A211" s="924" t="s">
        <v>1643</v>
      </c>
      <c r="B211" s="958">
        <v>5427.0876420481254</v>
      </c>
      <c r="C211" s="958">
        <v>11530.441994199911</v>
      </c>
      <c r="D211" s="958">
        <v>11431.469903313091</v>
      </c>
      <c r="E211" s="886">
        <v>400</v>
      </c>
      <c r="F211" s="887">
        <v>3</v>
      </c>
      <c r="G211" s="888">
        <v>905</v>
      </c>
      <c r="H211" s="884">
        <v>336</v>
      </c>
      <c r="I211" s="888">
        <v>330</v>
      </c>
      <c r="J211" s="888"/>
      <c r="K211" s="889"/>
      <c r="L211" s="1674"/>
      <c r="M211" s="890"/>
      <c r="N211" s="890"/>
      <c r="O211" s="890"/>
      <c r="P211" s="893">
        <v>0</v>
      </c>
      <c r="Q211" s="893">
        <v>3.0000000000000001E-3</v>
      </c>
      <c r="R211" s="893">
        <v>0.90200000000000002</v>
      </c>
      <c r="S211" s="958"/>
      <c r="T211" s="888" t="s">
        <v>1643</v>
      </c>
      <c r="U211" s="888"/>
      <c r="V211" s="968"/>
      <c r="W211" s="981" t="s">
        <v>2130</v>
      </c>
      <c r="X211" s="968" t="s">
        <v>1643</v>
      </c>
      <c r="Y211" s="971" t="s">
        <v>2381</v>
      </c>
      <c r="Z211" s="899" t="s">
        <v>2125</v>
      </c>
      <c r="AA211" s="892" t="s">
        <v>2125</v>
      </c>
      <c r="AB211" s="968">
        <v>194</v>
      </c>
      <c r="AC211" s="968"/>
    </row>
    <row r="212" spans="1:29" ht="15" customHeight="1">
      <c r="A212" s="924" t="s">
        <v>1644</v>
      </c>
      <c r="B212" s="958">
        <v>6161.5371202548622</v>
      </c>
      <c r="C212" s="958">
        <v>12818.259218196814</v>
      </c>
      <c r="D212" s="958">
        <v>12707.339815943018</v>
      </c>
      <c r="E212" s="886">
        <v>450</v>
      </c>
      <c r="F212" s="887">
        <v>3</v>
      </c>
      <c r="G212" s="888">
        <v>995</v>
      </c>
      <c r="H212" s="884">
        <v>361</v>
      </c>
      <c r="I212" s="888">
        <v>355</v>
      </c>
      <c r="J212" s="888"/>
      <c r="K212" s="889"/>
      <c r="L212" s="1674"/>
      <c r="M212" s="890"/>
      <c r="N212" s="890"/>
      <c r="O212" s="890"/>
      <c r="P212" s="893">
        <v>0</v>
      </c>
      <c r="Q212" s="893">
        <v>3.0000000000000001E-3</v>
      </c>
      <c r="R212" s="893">
        <v>0.99199999999999999</v>
      </c>
      <c r="S212" s="958"/>
      <c r="T212" s="888" t="s">
        <v>1644</v>
      </c>
      <c r="U212" s="888"/>
      <c r="V212" s="968"/>
      <c r="W212" s="981" t="s">
        <v>2130</v>
      </c>
      <c r="X212" s="968" t="s">
        <v>1644</v>
      </c>
      <c r="Y212" s="971" t="s">
        <v>2382</v>
      </c>
      <c r="Z212" s="899" t="s">
        <v>2126</v>
      </c>
      <c r="AA212" s="892" t="s">
        <v>2126</v>
      </c>
      <c r="AB212" s="968">
        <v>195</v>
      </c>
      <c r="AC212" s="968"/>
    </row>
    <row r="213" spans="1:29" ht="15" customHeight="1">
      <c r="A213" s="924" t="s">
        <v>1645</v>
      </c>
      <c r="B213" s="958">
        <v>7385.7799865910965</v>
      </c>
      <c r="C213" s="958">
        <v>14632.751154876267</v>
      </c>
      <c r="D213" s="958">
        <v>14513.018456444122</v>
      </c>
      <c r="E213" s="886">
        <v>500</v>
      </c>
      <c r="F213" s="887">
        <v>3</v>
      </c>
      <c r="G213" s="888">
        <v>1040</v>
      </c>
      <c r="H213" s="884">
        <v>411</v>
      </c>
      <c r="I213" s="888">
        <v>405</v>
      </c>
      <c r="J213" s="888"/>
      <c r="K213" s="889"/>
      <c r="L213" s="1674"/>
      <c r="M213" s="890"/>
      <c r="N213" s="890"/>
      <c r="O213" s="890"/>
      <c r="P213" s="893">
        <v>0</v>
      </c>
      <c r="Q213" s="893">
        <v>3.0000000000000001E-3</v>
      </c>
      <c r="R213" s="893">
        <v>1.0370000000000001</v>
      </c>
      <c r="S213" s="958"/>
      <c r="T213" s="888" t="s">
        <v>1645</v>
      </c>
      <c r="U213" s="888"/>
      <c r="V213" s="968"/>
      <c r="W213" s="981" t="s">
        <v>2130</v>
      </c>
      <c r="X213" s="968" t="s">
        <v>1645</v>
      </c>
      <c r="Y213" s="971" t="s">
        <v>2383</v>
      </c>
      <c r="Z213" s="899" t="s">
        <v>2127</v>
      </c>
      <c r="AA213" s="892" t="s">
        <v>2127</v>
      </c>
      <c r="AB213" s="968">
        <v>196</v>
      </c>
      <c r="AC213" s="968"/>
    </row>
    <row r="214" spans="1:29" ht="15" customHeight="1">
      <c r="A214" s="924" t="s">
        <v>1646</v>
      </c>
      <c r="B214" s="958">
        <v>10515.963021054999</v>
      </c>
      <c r="C214" s="958">
        <v>19498.463682554331</v>
      </c>
      <c r="D214" s="958">
        <v>19350.824087992838</v>
      </c>
      <c r="E214" s="886">
        <v>700</v>
      </c>
      <c r="F214" s="887">
        <v>3</v>
      </c>
      <c r="G214" s="888">
        <v>1450</v>
      </c>
      <c r="H214" s="884">
        <v>513</v>
      </c>
      <c r="I214" s="888">
        <v>507</v>
      </c>
      <c r="J214" s="888"/>
      <c r="K214" s="889"/>
      <c r="L214" s="1674"/>
      <c r="M214" s="890"/>
      <c r="N214" s="890"/>
      <c r="O214" s="890"/>
      <c r="P214" s="893">
        <v>0</v>
      </c>
      <c r="Q214" s="893">
        <v>3.0000000000000001E-3</v>
      </c>
      <c r="R214" s="893">
        <v>1.4470000000000001</v>
      </c>
      <c r="S214" s="958"/>
      <c r="T214" s="888" t="s">
        <v>1646</v>
      </c>
      <c r="U214" s="888"/>
      <c r="V214" s="968"/>
      <c r="W214" s="981" t="s">
        <v>2130</v>
      </c>
      <c r="X214" s="968" t="s">
        <v>1646</v>
      </c>
      <c r="Y214" s="971" t="s">
        <v>2384</v>
      </c>
      <c r="Z214" s="899" t="s">
        <v>2128</v>
      </c>
      <c r="AA214" s="892" t="s">
        <v>2128</v>
      </c>
      <c r="AB214" s="968">
        <v>197</v>
      </c>
      <c r="AC214" s="968"/>
    </row>
    <row r="215" spans="1:29" ht="15" customHeight="1">
      <c r="A215" s="924" t="s">
        <v>1647</v>
      </c>
      <c r="B215" s="958">
        <v>12027.220484503756</v>
      </c>
      <c r="C215" s="958">
        <v>21610.841025905673</v>
      </c>
      <c r="D215" s="958">
        <v>21454.288135165843</v>
      </c>
      <c r="E215" s="886">
        <v>800</v>
      </c>
      <c r="F215" s="887">
        <v>3</v>
      </c>
      <c r="G215" s="888">
        <v>1500</v>
      </c>
      <c r="H215" s="884">
        <v>613</v>
      </c>
      <c r="I215" s="888">
        <v>607</v>
      </c>
      <c r="J215" s="888"/>
      <c r="K215" s="889"/>
      <c r="L215" s="1674"/>
      <c r="M215" s="890"/>
      <c r="N215" s="890"/>
      <c r="O215" s="890"/>
      <c r="P215" s="893">
        <v>0</v>
      </c>
      <c r="Q215" s="893">
        <v>3.0000000000000001E-3</v>
      </c>
      <c r="R215" s="893">
        <v>1.4970000000000001</v>
      </c>
      <c r="S215" s="958"/>
      <c r="T215" s="888" t="s">
        <v>1647</v>
      </c>
      <c r="U215" s="888"/>
      <c r="V215" s="968"/>
      <c r="W215" s="981" t="s">
        <v>2130</v>
      </c>
      <c r="X215" s="968" t="s">
        <v>1647</v>
      </c>
      <c r="Y215" s="968" t="s">
        <v>2385</v>
      </c>
      <c r="Z215" s="1635" t="s">
        <v>2129</v>
      </c>
      <c r="AA215" s="892" t="s">
        <v>2129</v>
      </c>
      <c r="AB215" s="968">
        <v>198</v>
      </c>
      <c r="AC215" s="968"/>
    </row>
    <row r="216" spans="1:29" ht="15" customHeight="1">
      <c r="A216" s="924" t="s">
        <v>1648</v>
      </c>
      <c r="B216" s="958">
        <v>14403.412164872392</v>
      </c>
      <c r="C216" s="958">
        <v>26156.341430134718</v>
      </c>
      <c r="D216" s="958">
        <v>25963.038423030361</v>
      </c>
      <c r="E216" s="886">
        <v>900</v>
      </c>
      <c r="F216" s="887">
        <v>3</v>
      </c>
      <c r="G216" s="888">
        <v>1760</v>
      </c>
      <c r="H216" s="884">
        <v>666</v>
      </c>
      <c r="I216" s="888">
        <v>660</v>
      </c>
      <c r="J216" s="888"/>
      <c r="K216" s="889"/>
      <c r="L216" s="1674"/>
      <c r="M216" s="890"/>
      <c r="N216" s="890"/>
      <c r="O216" s="890"/>
      <c r="P216" s="893">
        <v>0</v>
      </c>
      <c r="Q216" s="893">
        <v>3.0000000000000001E-3</v>
      </c>
      <c r="R216" s="893">
        <v>1.7570000000000001</v>
      </c>
      <c r="S216" s="958"/>
      <c r="T216" s="888" t="s">
        <v>1648</v>
      </c>
      <c r="U216" s="888"/>
      <c r="V216" s="968"/>
      <c r="W216" s="981" t="s">
        <v>2130</v>
      </c>
      <c r="X216" s="968" t="s">
        <v>1648</v>
      </c>
      <c r="Y216" s="968" t="s">
        <v>2739</v>
      </c>
      <c r="Z216" s="1635" t="s">
        <v>2131</v>
      </c>
      <c r="AA216" s="892" t="s">
        <v>2131</v>
      </c>
      <c r="AB216" s="968">
        <v>199</v>
      </c>
      <c r="AC216" s="968"/>
    </row>
    <row r="217" spans="1:29" ht="15" customHeight="1">
      <c r="A217" s="924" t="s">
        <v>1649</v>
      </c>
      <c r="B217" s="958">
        <v>19314.997659599259</v>
      </c>
      <c r="C217" s="958">
        <v>32533.401876500204</v>
      </c>
      <c r="D217" s="958">
        <v>32321.005269444839</v>
      </c>
      <c r="E217" s="886">
        <v>1000</v>
      </c>
      <c r="F217" s="887">
        <v>3</v>
      </c>
      <c r="G217" s="888">
        <v>2145</v>
      </c>
      <c r="H217" s="884">
        <v>816</v>
      </c>
      <c r="I217" s="888">
        <v>810</v>
      </c>
      <c r="J217" s="888"/>
      <c r="K217" s="889"/>
      <c r="L217" s="1674"/>
      <c r="M217" s="890"/>
      <c r="N217" s="890"/>
      <c r="O217" s="890"/>
      <c r="P217" s="893">
        <v>0</v>
      </c>
      <c r="Q217" s="893">
        <v>3.0000000000000001E-3</v>
      </c>
      <c r="R217" s="893">
        <v>2.1419999999999999</v>
      </c>
      <c r="S217" s="958"/>
      <c r="T217" s="888" t="s">
        <v>1649</v>
      </c>
      <c r="U217" s="888"/>
      <c r="V217" s="968"/>
      <c r="W217" s="981" t="s">
        <v>2130</v>
      </c>
      <c r="X217" s="968" t="s">
        <v>1649</v>
      </c>
      <c r="Y217" s="968" t="s">
        <v>2386</v>
      </c>
      <c r="Z217" s="1635" t="s">
        <v>2132</v>
      </c>
      <c r="AA217" s="892" t="s">
        <v>2132</v>
      </c>
      <c r="AB217" s="968">
        <v>200</v>
      </c>
      <c r="AC217" s="968"/>
    </row>
    <row r="218" spans="1:29" ht="15" customHeight="1">
      <c r="A218" s="924" t="s">
        <v>1650</v>
      </c>
      <c r="B218" s="958">
        <v>7338.9779911917385</v>
      </c>
      <c r="C218" s="958">
        <v>14958.699456215019</v>
      </c>
      <c r="D218" s="958">
        <v>14831.690545142015</v>
      </c>
      <c r="E218" s="886">
        <v>575</v>
      </c>
      <c r="F218" s="887">
        <v>3</v>
      </c>
      <c r="G218" s="888">
        <v>1170</v>
      </c>
      <c r="H218" s="884">
        <v>438</v>
      </c>
      <c r="I218" s="888">
        <v>432</v>
      </c>
      <c r="J218" s="888"/>
      <c r="K218" s="889"/>
      <c r="L218" s="1674"/>
      <c r="M218" s="890"/>
      <c r="N218" s="890"/>
      <c r="O218" s="890"/>
      <c r="P218" s="893">
        <v>0</v>
      </c>
      <c r="Q218" s="893">
        <v>3.0000000000000001E-3</v>
      </c>
      <c r="R218" s="893">
        <v>1.167</v>
      </c>
      <c r="S218" s="958"/>
      <c r="T218" s="888" t="s">
        <v>1650</v>
      </c>
      <c r="U218" s="888"/>
      <c r="V218" s="968"/>
      <c r="W218" s="981" t="s">
        <v>2130</v>
      </c>
      <c r="X218" s="968" t="s">
        <v>1650</v>
      </c>
      <c r="Y218" s="968" t="s">
        <v>2387</v>
      </c>
      <c r="Z218" s="1635" t="s">
        <v>2133</v>
      </c>
      <c r="AA218" s="892" t="s">
        <v>2133</v>
      </c>
      <c r="AB218" s="968">
        <v>201</v>
      </c>
      <c r="AC218" s="968"/>
    </row>
    <row r="219" spans="1:29" ht="15" customHeight="1">
      <c r="A219" s="924" t="s">
        <v>1651</v>
      </c>
      <c r="B219" s="958">
        <v>8185.0785700779361</v>
      </c>
      <c r="C219" s="958">
        <v>16342.076747534846</v>
      </c>
      <c r="D219" s="958">
        <v>16206.254540283497</v>
      </c>
      <c r="E219" s="886">
        <v>550</v>
      </c>
      <c r="F219" s="887">
        <v>3</v>
      </c>
      <c r="G219" s="888">
        <v>1300</v>
      </c>
      <c r="H219" s="884">
        <v>438</v>
      </c>
      <c r="I219" s="888">
        <v>432</v>
      </c>
      <c r="J219" s="888"/>
      <c r="K219" s="889"/>
      <c r="L219" s="1674"/>
      <c r="M219" s="890"/>
      <c r="N219" s="890"/>
      <c r="O219" s="890"/>
      <c r="P219" s="893">
        <v>0</v>
      </c>
      <c r="Q219" s="893">
        <v>3.0000000000000001E-3</v>
      </c>
      <c r="R219" s="893">
        <v>1.2970000000000002</v>
      </c>
      <c r="S219" s="958"/>
      <c r="T219" s="888" t="s">
        <v>1651</v>
      </c>
      <c r="U219" s="888"/>
      <c r="V219" s="968"/>
      <c r="W219" s="981" t="s">
        <v>2130</v>
      </c>
      <c r="X219" s="968" t="s">
        <v>1651</v>
      </c>
      <c r="Y219" s="968" t="s">
        <v>2388</v>
      </c>
      <c r="Z219" s="1635" t="s">
        <v>2134</v>
      </c>
      <c r="AA219" s="892" t="s">
        <v>2134</v>
      </c>
      <c r="AB219" s="968">
        <v>202</v>
      </c>
      <c r="AC219" s="968"/>
    </row>
    <row r="220" spans="1:29" ht="15" customHeight="1">
      <c r="A220" s="1047" t="s">
        <v>1652</v>
      </c>
      <c r="B220" s="958">
        <v>3191.4004902250285</v>
      </c>
      <c r="C220" s="958">
        <v>7200.6701054607238</v>
      </c>
      <c r="D220" s="958">
        <v>7138.4182068815944</v>
      </c>
      <c r="E220" s="886">
        <v>200</v>
      </c>
      <c r="F220" s="887">
        <v>3</v>
      </c>
      <c r="G220" s="888">
        <v>520</v>
      </c>
      <c r="H220" s="884">
        <v>186</v>
      </c>
      <c r="I220" s="888">
        <v>180</v>
      </c>
      <c r="J220" s="888"/>
      <c r="K220" s="889"/>
      <c r="L220" s="1674"/>
      <c r="M220" s="890"/>
      <c r="N220" s="890"/>
      <c r="O220" s="890"/>
      <c r="P220" s="893">
        <v>0</v>
      </c>
      <c r="Q220" s="893">
        <v>3.0000000000000001E-3</v>
      </c>
      <c r="R220" s="893">
        <v>0.51700000000000002</v>
      </c>
      <c r="S220" s="958"/>
      <c r="T220" s="888" t="s">
        <v>1652</v>
      </c>
      <c r="U220" s="888"/>
      <c r="V220" s="968"/>
      <c r="W220" s="980" t="s">
        <v>2152</v>
      </c>
      <c r="X220" s="968" t="s">
        <v>1652</v>
      </c>
      <c r="Y220" s="968" t="s">
        <v>2377</v>
      </c>
      <c r="Z220" s="1635" t="s">
        <v>2135</v>
      </c>
      <c r="AA220" s="892" t="s">
        <v>2135</v>
      </c>
      <c r="AB220" s="968">
        <v>203</v>
      </c>
      <c r="AC220" s="968"/>
    </row>
    <row r="221" spans="1:29" ht="15" customHeight="1">
      <c r="A221" s="1047" t="s">
        <v>1720</v>
      </c>
      <c r="B221" s="958">
        <v>2788.6704902250285</v>
      </c>
      <c r="C221" s="958">
        <v>6763.9061054607237</v>
      </c>
      <c r="D221" s="958">
        <v>6701.6542068815952</v>
      </c>
      <c r="E221" s="886">
        <v>200</v>
      </c>
      <c r="F221" s="887">
        <v>3</v>
      </c>
      <c r="G221" s="888">
        <v>520</v>
      </c>
      <c r="H221" s="884">
        <v>186</v>
      </c>
      <c r="I221" s="888">
        <v>180</v>
      </c>
      <c r="J221" s="888"/>
      <c r="K221" s="889"/>
      <c r="L221" s="1674"/>
      <c r="M221" s="890"/>
      <c r="N221" s="890"/>
      <c r="O221" s="890"/>
      <c r="P221" s="893">
        <v>0</v>
      </c>
      <c r="Q221" s="893">
        <v>3.0000000000000001E-3</v>
      </c>
      <c r="R221" s="893">
        <v>0.51700000000000002</v>
      </c>
      <c r="S221" s="958"/>
      <c r="T221" s="888" t="s">
        <v>1720</v>
      </c>
      <c r="U221" s="888"/>
      <c r="V221" s="968"/>
      <c r="W221" s="981" t="s">
        <v>2152</v>
      </c>
      <c r="X221" s="968" t="s">
        <v>1652</v>
      </c>
      <c r="Y221" s="968" t="s">
        <v>2377</v>
      </c>
      <c r="Z221" s="1635" t="s">
        <v>2136</v>
      </c>
      <c r="AA221" s="892" t="s">
        <v>2136</v>
      </c>
      <c r="AB221" s="968">
        <v>204</v>
      </c>
      <c r="AC221" s="968"/>
    </row>
    <row r="222" spans="1:29" ht="15" customHeight="1">
      <c r="A222" s="1047" t="s">
        <v>1653</v>
      </c>
      <c r="B222" s="958">
        <v>3529.0303578703747</v>
      </c>
      <c r="C222" s="958">
        <v>8044.8740194327956</v>
      </c>
      <c r="D222" s="958">
        <v>7973.9088246753245</v>
      </c>
      <c r="E222" s="886">
        <v>250</v>
      </c>
      <c r="F222" s="887">
        <v>3</v>
      </c>
      <c r="G222" s="888">
        <v>600</v>
      </c>
      <c r="H222" s="884">
        <v>211</v>
      </c>
      <c r="I222" s="888">
        <v>205</v>
      </c>
      <c r="J222" s="888"/>
      <c r="K222" s="889"/>
      <c r="L222" s="1674"/>
      <c r="M222" s="890"/>
      <c r="N222" s="890"/>
      <c r="O222" s="890"/>
      <c r="P222" s="893">
        <v>0</v>
      </c>
      <c r="Q222" s="893">
        <v>3.0000000000000001E-3</v>
      </c>
      <c r="R222" s="893">
        <v>0.59699999999999998</v>
      </c>
      <c r="S222" s="958"/>
      <c r="T222" s="888" t="s">
        <v>1653</v>
      </c>
      <c r="U222" s="888"/>
      <c r="V222" s="968"/>
      <c r="W222" s="981" t="s">
        <v>2152</v>
      </c>
      <c r="X222" s="968" t="s">
        <v>1653</v>
      </c>
      <c r="Y222" s="968" t="s">
        <v>2378</v>
      </c>
      <c r="Z222" s="1635" t="s">
        <v>2137</v>
      </c>
      <c r="AA222" s="892" t="s">
        <v>2137</v>
      </c>
      <c r="AB222" s="968">
        <v>205</v>
      </c>
      <c r="AC222" s="968"/>
    </row>
    <row r="223" spans="1:29" ht="15" customHeight="1">
      <c r="A223" s="1047" t="s">
        <v>1721</v>
      </c>
      <c r="B223" s="958">
        <v>3209.4303578703752</v>
      </c>
      <c r="C223" s="958">
        <v>7699.0940194327959</v>
      </c>
      <c r="D223" s="958">
        <v>7628.1288246753247</v>
      </c>
      <c r="E223" s="886">
        <v>250</v>
      </c>
      <c r="F223" s="887">
        <v>3</v>
      </c>
      <c r="G223" s="888">
        <v>600</v>
      </c>
      <c r="H223" s="884">
        <v>211</v>
      </c>
      <c r="I223" s="888">
        <v>205</v>
      </c>
      <c r="J223" s="888"/>
      <c r="K223" s="889"/>
      <c r="L223" s="1674"/>
      <c r="M223" s="890"/>
      <c r="N223" s="890"/>
      <c r="O223" s="890"/>
      <c r="P223" s="893">
        <v>0</v>
      </c>
      <c r="Q223" s="893">
        <v>3.0000000000000001E-3</v>
      </c>
      <c r="R223" s="893">
        <v>0.59699999999999998</v>
      </c>
      <c r="S223" s="958"/>
      <c r="T223" s="888" t="s">
        <v>1721</v>
      </c>
      <c r="U223" s="888"/>
      <c r="V223" s="968"/>
      <c r="W223" s="981" t="s">
        <v>2152</v>
      </c>
      <c r="X223" s="968" t="s">
        <v>1653</v>
      </c>
      <c r="Y223" s="968" t="s">
        <v>2378</v>
      </c>
      <c r="Z223" s="1635" t="s">
        <v>2138</v>
      </c>
      <c r="AA223" s="892" t="s">
        <v>2138</v>
      </c>
      <c r="AB223" s="968">
        <v>206</v>
      </c>
      <c r="AC223" s="968"/>
    </row>
    <row r="224" spans="1:29" ht="15" customHeight="1">
      <c r="A224" s="1047" t="s">
        <v>1654</v>
      </c>
      <c r="B224" s="958">
        <v>4000.8956918802373</v>
      </c>
      <c r="C224" s="958">
        <v>9135.1300320492155</v>
      </c>
      <c r="D224" s="958">
        <v>9051.6484727645529</v>
      </c>
      <c r="E224" s="886">
        <v>310</v>
      </c>
      <c r="F224" s="887">
        <v>3</v>
      </c>
      <c r="G224" s="888">
        <v>695</v>
      </c>
      <c r="H224" s="884">
        <v>261</v>
      </c>
      <c r="I224" s="888">
        <v>255</v>
      </c>
      <c r="J224" s="888"/>
      <c r="K224" s="889"/>
      <c r="L224" s="1674"/>
      <c r="M224" s="890"/>
      <c r="N224" s="890"/>
      <c r="O224" s="890"/>
      <c r="P224" s="893">
        <v>0</v>
      </c>
      <c r="Q224" s="893">
        <v>3.0000000000000001E-3</v>
      </c>
      <c r="R224" s="893">
        <v>0.69199999999999995</v>
      </c>
      <c r="S224" s="958"/>
      <c r="T224" s="888" t="s">
        <v>1654</v>
      </c>
      <c r="U224" s="888"/>
      <c r="V224" s="968"/>
      <c r="W224" s="981" t="s">
        <v>2152</v>
      </c>
      <c r="X224" s="968" t="s">
        <v>1654</v>
      </c>
      <c r="Y224" s="968" t="s">
        <v>2379</v>
      </c>
      <c r="Z224" s="1635" t="s">
        <v>2139</v>
      </c>
      <c r="AA224" s="892" t="s">
        <v>2139</v>
      </c>
      <c r="AB224" s="968">
        <v>207</v>
      </c>
      <c r="AC224" s="968"/>
    </row>
    <row r="225" spans="1:29" ht="15" customHeight="1">
      <c r="A225" s="1047" t="s">
        <v>1722</v>
      </c>
      <c r="B225" s="958">
        <v>3756.733191880237</v>
      </c>
      <c r="C225" s="958">
        <v>8864.7875320492167</v>
      </c>
      <c r="D225" s="958">
        <v>8781.3059727645523</v>
      </c>
      <c r="E225" s="886">
        <v>310</v>
      </c>
      <c r="F225" s="887">
        <v>3</v>
      </c>
      <c r="G225" s="888">
        <v>695</v>
      </c>
      <c r="H225" s="884">
        <v>261</v>
      </c>
      <c r="I225" s="888">
        <v>255</v>
      </c>
      <c r="J225" s="888"/>
      <c r="K225" s="889"/>
      <c r="L225" s="1674"/>
      <c r="M225" s="890"/>
      <c r="N225" s="890"/>
      <c r="O225" s="890"/>
      <c r="P225" s="893">
        <v>0</v>
      </c>
      <c r="Q225" s="893">
        <v>3.0000000000000001E-3</v>
      </c>
      <c r="R225" s="893">
        <v>0.69199999999999995</v>
      </c>
      <c r="S225" s="958"/>
      <c r="T225" s="888" t="s">
        <v>1722</v>
      </c>
      <c r="U225" s="888"/>
      <c r="V225" s="968"/>
      <c r="W225" s="981" t="s">
        <v>2152</v>
      </c>
      <c r="X225" s="968" t="s">
        <v>1654</v>
      </c>
      <c r="Y225" s="968" t="s">
        <v>2379</v>
      </c>
      <c r="Z225" s="1635" t="s">
        <v>2140</v>
      </c>
      <c r="AA225" s="892" t="s">
        <v>2140</v>
      </c>
      <c r="AB225" s="968">
        <v>208</v>
      </c>
      <c r="AC225" s="968"/>
    </row>
    <row r="226" spans="1:29" ht="15" customHeight="1">
      <c r="A226" s="1047" t="s">
        <v>1655</v>
      </c>
      <c r="B226" s="958">
        <v>3790.7091604531229</v>
      </c>
      <c r="C226" s="958">
        <v>8385.5091765946745</v>
      </c>
      <c r="D226" s="958">
        <v>8313.4759514599355</v>
      </c>
      <c r="E226" s="886">
        <v>425</v>
      </c>
      <c r="F226" s="887">
        <v>3</v>
      </c>
      <c r="G226" s="888">
        <v>695</v>
      </c>
      <c r="H226" s="884">
        <v>261</v>
      </c>
      <c r="I226" s="888">
        <v>255</v>
      </c>
      <c r="J226" s="888"/>
      <c r="K226" s="889"/>
      <c r="L226" s="1674"/>
      <c r="M226" s="890"/>
      <c r="N226" s="890"/>
      <c r="O226" s="890"/>
      <c r="P226" s="893">
        <v>0</v>
      </c>
      <c r="Q226" s="893">
        <v>3.0000000000000001E-3</v>
      </c>
      <c r="R226" s="893">
        <v>0.69199999999999995</v>
      </c>
      <c r="S226" s="958"/>
      <c r="T226" s="888" t="s">
        <v>1655</v>
      </c>
      <c r="U226" s="888"/>
      <c r="V226" s="968"/>
      <c r="W226" s="981" t="s">
        <v>2152</v>
      </c>
      <c r="X226" s="968" t="s">
        <v>1655</v>
      </c>
      <c r="Y226" s="968" t="s">
        <v>2389</v>
      </c>
      <c r="Z226" s="1635" t="s">
        <v>2141</v>
      </c>
      <c r="AA226" s="892" t="s">
        <v>2141</v>
      </c>
      <c r="AB226" s="968">
        <v>209</v>
      </c>
      <c r="AC226" s="968"/>
    </row>
    <row r="227" spans="1:29" ht="15" customHeight="1">
      <c r="A227" s="1047" t="s">
        <v>1723</v>
      </c>
      <c r="B227" s="958">
        <v>3865.4230302322953</v>
      </c>
      <c r="C227" s="958">
        <v>8752.0812286374439</v>
      </c>
      <c r="D227" s="958">
        <v>8673.8398212391076</v>
      </c>
      <c r="E227" s="886">
        <v>425</v>
      </c>
      <c r="F227" s="887">
        <v>3</v>
      </c>
      <c r="G227" s="888">
        <v>695</v>
      </c>
      <c r="H227" s="884">
        <v>261</v>
      </c>
      <c r="I227" s="888">
        <v>255</v>
      </c>
      <c r="J227" s="888"/>
      <c r="K227" s="889"/>
      <c r="L227" s="1674"/>
      <c r="M227" s="890"/>
      <c r="N227" s="890"/>
      <c r="O227" s="890"/>
      <c r="P227" s="893">
        <v>0</v>
      </c>
      <c r="Q227" s="893">
        <v>3.0000000000000001E-3</v>
      </c>
      <c r="R227" s="893">
        <v>0.69199999999999995</v>
      </c>
      <c r="S227" s="958"/>
      <c r="T227" s="888" t="s">
        <v>1723</v>
      </c>
      <c r="U227" s="888"/>
      <c r="V227" s="968"/>
      <c r="W227" s="981" t="s">
        <v>2152</v>
      </c>
      <c r="X227" s="968" t="s">
        <v>1655</v>
      </c>
      <c r="Y227" s="968" t="s">
        <v>2390</v>
      </c>
      <c r="Z227" s="1635" t="s">
        <v>2142</v>
      </c>
      <c r="AA227" s="892" t="s">
        <v>2142</v>
      </c>
      <c r="AB227" s="968">
        <v>210</v>
      </c>
      <c r="AC227" s="968"/>
    </row>
    <row r="228" spans="1:29" ht="15" customHeight="1">
      <c r="A228" s="1047" t="s">
        <v>1656</v>
      </c>
      <c r="B228" s="958">
        <v>4545.3549404648929</v>
      </c>
      <c r="C228" s="958">
        <v>10118.063049686139</v>
      </c>
      <c r="D228" s="958">
        <v>10027.904254977664</v>
      </c>
      <c r="E228" s="886">
        <v>350</v>
      </c>
      <c r="F228" s="887">
        <v>3</v>
      </c>
      <c r="G228" s="888">
        <v>785</v>
      </c>
      <c r="H228" s="884">
        <v>291</v>
      </c>
      <c r="I228" s="888">
        <v>285</v>
      </c>
      <c r="J228" s="888"/>
      <c r="K228" s="889"/>
      <c r="L228" s="1674"/>
      <c r="M228" s="890"/>
      <c r="N228" s="890"/>
      <c r="O228" s="890"/>
      <c r="P228" s="893">
        <v>0</v>
      </c>
      <c r="Q228" s="893">
        <v>3.0000000000000001E-3</v>
      </c>
      <c r="R228" s="893">
        <v>0.78200000000000003</v>
      </c>
      <c r="S228" s="958"/>
      <c r="T228" s="888" t="s">
        <v>1656</v>
      </c>
      <c r="U228" s="888"/>
      <c r="V228" s="968"/>
      <c r="W228" s="981" t="s">
        <v>2152</v>
      </c>
      <c r="X228" s="968" t="s">
        <v>1656</v>
      </c>
      <c r="Y228" s="968" t="s">
        <v>2380</v>
      </c>
      <c r="Z228" s="1635" t="s">
        <v>2143</v>
      </c>
      <c r="AA228" s="892" t="s">
        <v>2143</v>
      </c>
      <c r="AB228" s="968">
        <v>211</v>
      </c>
      <c r="AC228" s="968"/>
    </row>
    <row r="229" spans="1:29" ht="15" customHeight="1">
      <c r="A229" s="1047" t="s">
        <v>1724</v>
      </c>
      <c r="B229" s="958">
        <v>4301.1924404648926</v>
      </c>
      <c r="C229" s="958">
        <v>9847.7205496861407</v>
      </c>
      <c r="D229" s="958">
        <v>9757.5617549776634</v>
      </c>
      <c r="E229" s="886">
        <v>350</v>
      </c>
      <c r="F229" s="887">
        <v>3</v>
      </c>
      <c r="G229" s="888">
        <v>785</v>
      </c>
      <c r="H229" s="884">
        <v>291</v>
      </c>
      <c r="I229" s="888">
        <v>285</v>
      </c>
      <c r="J229" s="888"/>
      <c r="K229" s="889"/>
      <c r="L229" s="1674"/>
      <c r="M229" s="890"/>
      <c r="N229" s="890"/>
      <c r="O229" s="890"/>
      <c r="P229" s="893">
        <v>0</v>
      </c>
      <c r="Q229" s="893">
        <v>3.0000000000000001E-3</v>
      </c>
      <c r="R229" s="893">
        <v>0.78200000000000003</v>
      </c>
      <c r="S229" s="958"/>
      <c r="T229" s="888" t="s">
        <v>1724</v>
      </c>
      <c r="U229" s="888"/>
      <c r="V229" s="968"/>
      <c r="W229" s="981" t="s">
        <v>2152</v>
      </c>
      <c r="X229" s="968" t="s">
        <v>1656</v>
      </c>
      <c r="Y229" s="968" t="s">
        <v>2380</v>
      </c>
      <c r="Z229" s="1635" t="s">
        <v>2144</v>
      </c>
      <c r="AA229" s="892" t="s">
        <v>2144</v>
      </c>
      <c r="AB229" s="968">
        <v>212</v>
      </c>
      <c r="AC229" s="968"/>
    </row>
    <row r="230" spans="1:29" ht="15" customHeight="1">
      <c r="A230" s="1047" t="s">
        <v>1657</v>
      </c>
      <c r="B230" s="958">
        <v>5091.7859894797575</v>
      </c>
      <c r="C230" s="958">
        <v>11195.140341631544</v>
      </c>
      <c r="D230" s="958">
        <v>11096.168250744722</v>
      </c>
      <c r="E230" s="886">
        <v>400</v>
      </c>
      <c r="F230" s="887">
        <v>3</v>
      </c>
      <c r="G230" s="888">
        <v>905</v>
      </c>
      <c r="H230" s="884">
        <v>336</v>
      </c>
      <c r="I230" s="888">
        <v>330</v>
      </c>
      <c r="J230" s="888"/>
      <c r="K230" s="889"/>
      <c r="L230" s="1674"/>
      <c r="M230" s="890"/>
      <c r="N230" s="890"/>
      <c r="O230" s="890"/>
      <c r="P230" s="893">
        <v>0</v>
      </c>
      <c r="Q230" s="893">
        <v>3.0000000000000001E-3</v>
      </c>
      <c r="R230" s="893">
        <v>0.90200000000000002</v>
      </c>
      <c r="S230" s="958"/>
      <c r="T230" s="888" t="s">
        <v>1657</v>
      </c>
      <c r="U230" s="888"/>
      <c r="V230" s="968"/>
      <c r="W230" s="981" t="s">
        <v>2152</v>
      </c>
      <c r="X230" s="968" t="s">
        <v>1657</v>
      </c>
      <c r="Y230" s="968" t="s">
        <v>2381</v>
      </c>
      <c r="Z230" s="1635" t="s">
        <v>2145</v>
      </c>
      <c r="AA230" s="892" t="s">
        <v>2145</v>
      </c>
      <c r="AB230" s="968">
        <v>213</v>
      </c>
      <c r="AC230" s="968"/>
    </row>
    <row r="231" spans="1:29" ht="15" customHeight="1">
      <c r="A231" s="1047" t="s">
        <v>1658</v>
      </c>
      <c r="B231" s="958">
        <v>2792.389337242395</v>
      </c>
      <c r="C231" s="958">
        <v>6767.6249524780906</v>
      </c>
      <c r="D231" s="958">
        <v>6705.3730538989621</v>
      </c>
      <c r="E231" s="886">
        <v>200</v>
      </c>
      <c r="F231" s="887">
        <v>3</v>
      </c>
      <c r="G231" s="888">
        <v>520</v>
      </c>
      <c r="H231" s="884">
        <v>186</v>
      </c>
      <c r="I231" s="888">
        <v>180</v>
      </c>
      <c r="J231" s="888"/>
      <c r="K231" s="889"/>
      <c r="L231" s="1674"/>
      <c r="M231" s="890"/>
      <c r="N231" s="890"/>
      <c r="O231" s="890"/>
      <c r="P231" s="893">
        <v>0</v>
      </c>
      <c r="Q231" s="893">
        <v>3.0000000000000001E-3</v>
      </c>
      <c r="R231" s="893">
        <v>0.51700000000000002</v>
      </c>
      <c r="S231" s="958"/>
      <c r="T231" s="888" t="s">
        <v>1658</v>
      </c>
      <c r="U231" s="888"/>
      <c r="V231" s="968"/>
      <c r="W231" s="980" t="s">
        <v>2155</v>
      </c>
      <c r="X231" s="968" t="s">
        <v>1658</v>
      </c>
      <c r="Y231" s="968" t="s">
        <v>2377</v>
      </c>
      <c r="Z231" s="1635" t="s">
        <v>2146</v>
      </c>
      <c r="AA231" s="892" t="s">
        <v>2146</v>
      </c>
      <c r="AB231" s="968">
        <v>214</v>
      </c>
      <c r="AC231" s="968"/>
    </row>
    <row r="232" spans="1:29" ht="15" customHeight="1">
      <c r="A232" s="1047" t="s">
        <v>1725</v>
      </c>
      <c r="B232" s="958">
        <v>2960.5193372423955</v>
      </c>
      <c r="C232" s="958">
        <v>6943.6089524780909</v>
      </c>
      <c r="D232" s="958">
        <v>6881.3570538989625</v>
      </c>
      <c r="E232" s="886">
        <v>200</v>
      </c>
      <c r="F232" s="887">
        <v>3</v>
      </c>
      <c r="G232" s="888">
        <v>520</v>
      </c>
      <c r="H232" s="884">
        <v>186</v>
      </c>
      <c r="I232" s="888">
        <v>180</v>
      </c>
      <c r="J232" s="888"/>
      <c r="K232" s="889"/>
      <c r="L232" s="1674"/>
      <c r="M232" s="890"/>
      <c r="N232" s="890"/>
      <c r="O232" s="890"/>
      <c r="P232" s="893">
        <v>0</v>
      </c>
      <c r="Q232" s="893">
        <v>3.0000000000000001E-3</v>
      </c>
      <c r="R232" s="893">
        <v>0.51700000000000002</v>
      </c>
      <c r="S232" s="958"/>
      <c r="T232" s="888" t="s">
        <v>1725</v>
      </c>
      <c r="U232" s="888"/>
      <c r="V232" s="968"/>
      <c r="W232" s="981" t="s">
        <v>2155</v>
      </c>
      <c r="X232" s="968" t="s">
        <v>1658</v>
      </c>
      <c r="Y232" s="968" t="s">
        <v>2377</v>
      </c>
      <c r="Z232" s="1635" t="s">
        <v>2147</v>
      </c>
      <c r="AA232" s="892" t="s">
        <v>2147</v>
      </c>
      <c r="AB232" s="968">
        <v>215</v>
      </c>
      <c r="AC232" s="968"/>
    </row>
    <row r="233" spans="1:29" ht="15" customHeight="1">
      <c r="A233" s="1047" t="s">
        <v>1659</v>
      </c>
      <c r="B233" s="958">
        <v>3215.8183046132308</v>
      </c>
      <c r="C233" s="958">
        <v>7705.4819661756528</v>
      </c>
      <c r="D233" s="958">
        <v>7634.5167714181798</v>
      </c>
      <c r="E233" s="886">
        <v>250</v>
      </c>
      <c r="F233" s="887">
        <v>3</v>
      </c>
      <c r="G233" s="888">
        <v>600</v>
      </c>
      <c r="H233" s="884">
        <v>211</v>
      </c>
      <c r="I233" s="888">
        <v>205</v>
      </c>
      <c r="J233" s="888"/>
      <c r="K233" s="889"/>
      <c r="L233" s="1674"/>
      <c r="M233" s="890"/>
      <c r="N233" s="890"/>
      <c r="O233" s="890"/>
      <c r="P233" s="893">
        <v>0</v>
      </c>
      <c r="Q233" s="893">
        <v>3.0000000000000001E-3</v>
      </c>
      <c r="R233" s="893">
        <v>0.59699999999999998</v>
      </c>
      <c r="S233" s="958"/>
      <c r="T233" s="888" t="s">
        <v>1659</v>
      </c>
      <c r="U233" s="888"/>
      <c r="V233" s="968"/>
      <c r="W233" s="981" t="s">
        <v>2155</v>
      </c>
      <c r="X233" s="968" t="s">
        <v>1659</v>
      </c>
      <c r="Y233" s="968" t="s">
        <v>2378</v>
      </c>
      <c r="Z233" s="1635" t="s">
        <v>2148</v>
      </c>
      <c r="AA233" s="892" t="s">
        <v>2148</v>
      </c>
      <c r="AB233" s="968">
        <v>216</v>
      </c>
      <c r="AC233" s="968"/>
    </row>
    <row r="234" spans="1:29" ht="15" customHeight="1">
      <c r="A234" s="1047" t="s">
        <v>1726</v>
      </c>
      <c r="B234" s="958">
        <v>3300.8183046132308</v>
      </c>
      <c r="C234" s="958">
        <v>7790.4819661756528</v>
      </c>
      <c r="D234" s="958">
        <v>7719.5167714181798</v>
      </c>
      <c r="E234" s="886">
        <v>250</v>
      </c>
      <c r="F234" s="887">
        <v>3</v>
      </c>
      <c r="G234" s="888">
        <v>600</v>
      </c>
      <c r="H234" s="884">
        <v>211</v>
      </c>
      <c r="I234" s="888">
        <v>205</v>
      </c>
      <c r="J234" s="888"/>
      <c r="K234" s="889"/>
      <c r="L234" s="1674"/>
      <c r="M234" s="890"/>
      <c r="N234" s="890"/>
      <c r="O234" s="890"/>
      <c r="P234" s="893">
        <v>0</v>
      </c>
      <c r="Q234" s="893">
        <v>3.0000000000000001E-3</v>
      </c>
      <c r="R234" s="893">
        <v>0.59699999999999998</v>
      </c>
      <c r="S234" s="958"/>
      <c r="T234" s="888" t="s">
        <v>1726</v>
      </c>
      <c r="U234" s="888"/>
      <c r="V234" s="968"/>
      <c r="W234" s="981" t="s">
        <v>2155</v>
      </c>
      <c r="X234" s="968" t="s">
        <v>1659</v>
      </c>
      <c r="Y234" s="968" t="s">
        <v>2378</v>
      </c>
      <c r="Z234" s="1635" t="s">
        <v>2149</v>
      </c>
      <c r="AA234" s="892" t="s">
        <v>2149</v>
      </c>
      <c r="AB234" s="968">
        <v>217</v>
      </c>
      <c r="AC234" s="968"/>
    </row>
    <row r="235" spans="1:29" ht="15" customHeight="1">
      <c r="A235" s="1047" t="s">
        <v>1660</v>
      </c>
      <c r="B235" s="958">
        <v>3764.1572421371197</v>
      </c>
      <c r="C235" s="958">
        <v>8872.2115823060994</v>
      </c>
      <c r="D235" s="958">
        <v>8788.730023021435</v>
      </c>
      <c r="E235" s="886">
        <v>310</v>
      </c>
      <c r="F235" s="887">
        <v>3</v>
      </c>
      <c r="G235" s="888">
        <v>695</v>
      </c>
      <c r="H235" s="884">
        <v>261</v>
      </c>
      <c r="I235" s="888">
        <v>255</v>
      </c>
      <c r="J235" s="888"/>
      <c r="K235" s="889"/>
      <c r="L235" s="1674"/>
      <c r="M235" s="890"/>
      <c r="N235" s="890"/>
      <c r="O235" s="890"/>
      <c r="P235" s="893">
        <v>0</v>
      </c>
      <c r="Q235" s="893">
        <v>3.0000000000000001E-3</v>
      </c>
      <c r="R235" s="893">
        <v>0.69199999999999995</v>
      </c>
      <c r="S235" s="958"/>
      <c r="T235" s="888" t="s">
        <v>1660</v>
      </c>
      <c r="U235" s="888"/>
      <c r="V235" s="968"/>
      <c r="W235" s="981" t="s">
        <v>2155</v>
      </c>
      <c r="X235" s="968" t="s">
        <v>1660</v>
      </c>
      <c r="Y235" s="968" t="s">
        <v>2379</v>
      </c>
      <c r="Z235" s="1635" t="s">
        <v>2150</v>
      </c>
      <c r="AA235" s="892" t="s">
        <v>2150</v>
      </c>
      <c r="AB235" s="968">
        <v>218</v>
      </c>
      <c r="AC235" s="968"/>
    </row>
    <row r="236" spans="1:29" ht="15" customHeight="1">
      <c r="A236" s="1047" t="s">
        <v>1727</v>
      </c>
      <c r="B236" s="958">
        <v>3764.1572421371197</v>
      </c>
      <c r="C236" s="958">
        <v>8872.2115823060994</v>
      </c>
      <c r="D236" s="958">
        <v>8788.730023021435</v>
      </c>
      <c r="E236" s="886">
        <v>310</v>
      </c>
      <c r="F236" s="887">
        <v>3</v>
      </c>
      <c r="G236" s="888">
        <v>695</v>
      </c>
      <c r="H236" s="884">
        <v>261</v>
      </c>
      <c r="I236" s="888">
        <v>255</v>
      </c>
      <c r="J236" s="888"/>
      <c r="K236" s="889"/>
      <c r="L236" s="1674"/>
      <c r="M236" s="890"/>
      <c r="N236" s="890"/>
      <c r="O236" s="890"/>
      <c r="P236" s="893">
        <v>0</v>
      </c>
      <c r="Q236" s="893">
        <v>3.0000000000000001E-3</v>
      </c>
      <c r="R236" s="893">
        <v>0.69199999999999995</v>
      </c>
      <c r="S236" s="958"/>
      <c r="T236" s="888" t="s">
        <v>1727</v>
      </c>
      <c r="U236" s="888"/>
      <c r="V236" s="968"/>
      <c r="W236" s="981" t="s">
        <v>2155</v>
      </c>
      <c r="X236" s="968" t="s">
        <v>1660</v>
      </c>
      <c r="Y236" s="968" t="s">
        <v>2379</v>
      </c>
      <c r="Z236" s="1635" t="s">
        <v>2151</v>
      </c>
      <c r="AA236" s="892" t="s">
        <v>2151</v>
      </c>
      <c r="AB236" s="968">
        <v>219</v>
      </c>
      <c r="AC236" s="968"/>
    </row>
    <row r="237" spans="1:29" ht="15" customHeight="1">
      <c r="A237" s="1047" t="s">
        <v>1661</v>
      </c>
      <c r="B237" s="958">
        <v>3799.4239880368596</v>
      </c>
      <c r="C237" s="958">
        <v>8394.2240041784098</v>
      </c>
      <c r="D237" s="958">
        <v>8322.1907790436726</v>
      </c>
      <c r="E237" s="886">
        <v>425</v>
      </c>
      <c r="F237" s="887">
        <v>3</v>
      </c>
      <c r="G237" s="888">
        <v>695</v>
      </c>
      <c r="H237" s="884">
        <v>261</v>
      </c>
      <c r="I237" s="888">
        <v>255</v>
      </c>
      <c r="J237" s="888"/>
      <c r="K237" s="889"/>
      <c r="L237" s="1674"/>
      <c r="M237" s="890"/>
      <c r="N237" s="890"/>
      <c r="O237" s="890"/>
      <c r="P237" s="893">
        <v>0</v>
      </c>
      <c r="Q237" s="893">
        <v>3.0000000000000001E-3</v>
      </c>
      <c r="R237" s="893">
        <v>0.69199999999999995</v>
      </c>
      <c r="S237" s="958"/>
      <c r="T237" s="888" t="s">
        <v>1661</v>
      </c>
      <c r="U237" s="888"/>
      <c r="V237" s="968"/>
      <c r="W237" s="981" t="s">
        <v>2155</v>
      </c>
      <c r="X237" s="968" t="s">
        <v>1661</v>
      </c>
      <c r="Y237" s="968" t="s">
        <v>2389</v>
      </c>
      <c r="Z237" s="1635" t="s">
        <v>2153</v>
      </c>
      <c r="AA237" s="892" t="s">
        <v>2153</v>
      </c>
      <c r="AB237" s="968">
        <v>220</v>
      </c>
      <c r="AC237" s="968"/>
    </row>
    <row r="238" spans="1:29" ht="15" customHeight="1">
      <c r="A238" s="1047" t="s">
        <v>1728</v>
      </c>
      <c r="B238" s="958">
        <v>3910.8002796193023</v>
      </c>
      <c r="C238" s="958">
        <v>8943.2875691562494</v>
      </c>
      <c r="D238" s="958">
        <v>8861.9420706261153</v>
      </c>
      <c r="E238" s="886">
        <v>425</v>
      </c>
      <c r="F238" s="887">
        <v>3</v>
      </c>
      <c r="G238" s="888">
        <v>695</v>
      </c>
      <c r="H238" s="884">
        <v>261</v>
      </c>
      <c r="I238" s="888">
        <v>255</v>
      </c>
      <c r="J238" s="888"/>
      <c r="K238" s="889"/>
      <c r="L238" s="1674"/>
      <c r="M238" s="890"/>
      <c r="N238" s="890"/>
      <c r="O238" s="890"/>
      <c r="P238" s="893">
        <v>0</v>
      </c>
      <c r="Q238" s="893">
        <v>3.0000000000000001E-3</v>
      </c>
      <c r="R238" s="893">
        <v>0.69199999999999995</v>
      </c>
      <c r="S238" s="958"/>
      <c r="T238" s="888" t="s">
        <v>1728</v>
      </c>
      <c r="U238" s="888"/>
      <c r="V238" s="968"/>
      <c r="W238" s="981" t="s">
        <v>2155</v>
      </c>
      <c r="X238" s="968" t="s">
        <v>1661</v>
      </c>
      <c r="Y238" s="968" t="s">
        <v>2391</v>
      </c>
      <c r="Z238" s="1635" t="s">
        <v>2154</v>
      </c>
      <c r="AA238" s="892" t="s">
        <v>2154</v>
      </c>
      <c r="AB238" s="968">
        <v>221</v>
      </c>
      <c r="AC238" s="968"/>
    </row>
    <row r="239" spans="1:29" ht="15" customHeight="1" thickBot="1">
      <c r="A239" s="925" t="s">
        <v>88</v>
      </c>
      <c r="B239" s="959"/>
      <c r="C239" s="959"/>
      <c r="D239" s="959"/>
      <c r="E239" s="894"/>
      <c r="F239" s="895"/>
      <c r="G239" s="896"/>
      <c r="H239" s="927"/>
      <c r="I239" s="896"/>
      <c r="J239" s="896"/>
      <c r="K239" s="897"/>
      <c r="L239" s="1675"/>
      <c r="M239" s="898"/>
      <c r="N239" s="898"/>
      <c r="O239" s="898"/>
      <c r="P239" s="930"/>
      <c r="Q239" s="930"/>
      <c r="R239" s="930"/>
      <c r="S239" s="959"/>
      <c r="T239" s="896" t="s">
        <v>88</v>
      </c>
      <c r="U239" s="896"/>
      <c r="V239" s="982"/>
      <c r="W239" s="982"/>
      <c r="X239" s="982"/>
      <c r="Y239" s="982"/>
      <c r="Z239" s="1636"/>
      <c r="AA239" s="1398" t="s">
        <v>88</v>
      </c>
      <c r="AB239" s="982"/>
      <c r="AC239" s="982"/>
    </row>
    <row r="240" spans="1:29" ht="15" customHeight="1" thickTop="1">
      <c r="A240" s="866"/>
    </row>
    <row r="241" spans="1:1" ht="15" customHeight="1">
      <c r="A241" s="866"/>
    </row>
    <row r="242" spans="1:1" ht="15" customHeight="1">
      <c r="A242" s="866"/>
    </row>
    <row r="243" spans="1:1" ht="15" customHeight="1">
      <c r="A243" s="866"/>
    </row>
    <row r="244" spans="1:1" ht="15" customHeight="1">
      <c r="A244" s="866"/>
    </row>
    <row r="245" spans="1:1" ht="15" customHeight="1">
      <c r="A245" s="866"/>
    </row>
    <row r="246" spans="1:1" ht="15" customHeight="1">
      <c r="A246" s="866"/>
    </row>
    <row r="247" spans="1:1" ht="15" customHeight="1">
      <c r="A247" s="866"/>
    </row>
    <row r="248" spans="1:1" ht="15" customHeight="1">
      <c r="A248" s="866"/>
    </row>
    <row r="249" spans="1:1" ht="15" customHeight="1">
      <c r="A249" s="866"/>
    </row>
    <row r="250" spans="1:1" ht="15" customHeight="1" thickBot="1">
      <c r="A250" s="1470"/>
    </row>
  </sheetData>
  <mergeCells count="1">
    <mergeCell ref="B15:D15"/>
  </mergeCells>
  <phoneticPr fontId="170" type="noConversion"/>
  <conditionalFormatting sqref="T18:T238">
    <cfRule type="expression" dxfId="241" priority="6">
      <formula>$T18&lt;&gt;$A18</formula>
    </cfRule>
  </conditionalFormatting>
  <conditionalFormatting sqref="T101">
    <cfRule type="expression" dxfId="240" priority="5">
      <formula>$T101&lt;&gt;$A101</formula>
    </cfRule>
  </conditionalFormatting>
  <conditionalFormatting sqref="T102">
    <cfRule type="expression" dxfId="239" priority="4">
      <formula>$T102&lt;&gt;$A102</formula>
    </cfRule>
  </conditionalFormatting>
  <conditionalFormatting sqref="T103">
    <cfRule type="expression" dxfId="238" priority="3">
      <formula>$T103&lt;&gt;$A103</formula>
    </cfRule>
  </conditionalFormatting>
  <conditionalFormatting sqref="T104">
    <cfRule type="expression" dxfId="237" priority="2">
      <formula>$T104&lt;&gt;$A104</formula>
    </cfRule>
  </conditionalFormatting>
  <conditionalFormatting sqref="T105">
    <cfRule type="expression" dxfId="236" priority="1">
      <formula>$T105&lt;&gt;$A105</formula>
    </cfRule>
  </conditionalFormatting>
  <pageMargins left="0.74803149606299213" right="0.74803149606299213" top="0.98425196850393704" bottom="0.98425196850393704" header="0.51181102362204722" footer="0.51181102362204722"/>
  <pageSetup paperSize="9" scale="10" orientation="landscape" r:id="rId1"/>
  <headerFooter alignWithMargins="0">
    <oddHeader>&amp;L&amp;F / &amp;A&amp;C &amp;R&amp;D</oddHeader>
    <oddFooter>&amp;LCONFIDENTIAL&amp;C BARKER JET&amp;RPage &amp;P/&amp;N</oddFooter>
  </headerFooter>
  <rowBreaks count="1" manualBreakCount="1">
    <brk id="162" max="16383" man="1"/>
  </rowBreaks>
</worksheet>
</file>

<file path=xl/worksheets/sheet4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5">
    <pageSetUpPr fitToPage="1"/>
  </sheetPr>
  <dimension ref="A1:KO240"/>
  <sheetViews>
    <sheetView topLeftCell="A13" zoomScale="80" zoomScaleNormal="80" workbookViewId="0">
      <pane xSplit="1" ySplit="5" topLeftCell="AE18" activePane="bottomRight" state="frozen"/>
      <selection activeCell="A13" sqref="A13"/>
      <selection pane="topRight" activeCell="B13" sqref="B13"/>
      <selection pane="bottomLeft" activeCell="A18" sqref="A18"/>
      <selection pane="bottomRight" activeCell="AO16" sqref="AO16"/>
    </sheetView>
  </sheetViews>
  <sheetFormatPr defaultColWidth="10.42578125" defaultRowHeight="15" customHeight="1"/>
  <cols>
    <col min="1" max="1" width="15.7109375" style="905" customWidth="1"/>
    <col min="2" max="14" width="10.42578125" style="862" customWidth="1"/>
    <col min="15" max="15" width="10.42578125" style="937" customWidth="1"/>
    <col min="16" max="16" width="10.42578125" style="862" customWidth="1"/>
    <col min="17" max="17" width="10.42578125" style="937" customWidth="1"/>
    <col min="18" max="20" width="10.42578125" style="862" customWidth="1"/>
    <col min="21" max="23" width="10.42578125" style="937" customWidth="1"/>
    <col min="24" max="27" width="10.42578125" style="862" customWidth="1"/>
    <col min="28" max="28" width="10.42578125" style="862"/>
    <col min="29" max="29" width="10.42578125" style="903"/>
    <col min="30" max="33" width="10.42578125" style="863" customWidth="1"/>
    <col min="34" max="34" width="10.42578125" style="862" customWidth="1"/>
    <col min="35" max="35" width="10.42578125" style="904" customWidth="1"/>
    <col min="36" max="58" width="10.42578125" style="862" customWidth="1"/>
    <col min="59" max="59" width="10.42578125" style="862"/>
    <col min="60" max="93" width="10.42578125" style="862" customWidth="1"/>
    <col min="94" max="94" width="10.42578125" style="862"/>
    <col min="95" max="108" width="10.42578125" style="862" customWidth="1"/>
    <col min="109" max="109" width="10.42578125" style="862"/>
    <col min="110" max="123" width="10.42578125" style="862" customWidth="1"/>
    <col min="124" max="124" width="10.42578125" style="862"/>
    <col min="125" max="138" width="10.42578125" style="862" customWidth="1"/>
    <col min="139" max="139" width="10.42578125" style="862"/>
    <col min="140" max="154" width="10.42578125" style="862" customWidth="1"/>
    <col min="155" max="155" width="10.42578125" style="862"/>
    <col min="156" max="204" width="10.42578125" style="862" customWidth="1"/>
    <col min="205" max="205" width="10.42578125" style="862"/>
    <col min="206" max="219" width="10.42578125" style="862" customWidth="1"/>
    <col min="220" max="220" width="10.42578125" style="862"/>
    <col min="221" max="234" width="10.42578125" style="862" customWidth="1"/>
    <col min="235" max="235" width="10.42578125" style="862"/>
    <col min="236" max="265" width="10.42578125" style="862" customWidth="1"/>
    <col min="266" max="16384" width="10.42578125" style="862"/>
  </cols>
  <sheetData>
    <row r="1" spans="1:301" s="2267" customFormat="1" ht="15" customHeight="1" thickTop="1">
      <c r="P1" s="2263"/>
      <c r="Q1" s="2263"/>
      <c r="R1" s="2263"/>
      <c r="S1" s="2263"/>
      <c r="T1" s="2263"/>
      <c r="U1" s="2263"/>
      <c r="V1" s="2263"/>
      <c r="W1" s="2263"/>
      <c r="X1" s="2263"/>
      <c r="Y1" s="2263"/>
      <c r="Z1" s="2263"/>
      <c r="AA1" s="2263"/>
      <c r="AB1" s="2263"/>
      <c r="AC1" s="2268"/>
      <c r="AD1" s="2264"/>
      <c r="AE1" s="2264"/>
      <c r="AF1" s="2264"/>
      <c r="AG1" s="2264"/>
      <c r="AH1" s="2263"/>
      <c r="AI1" s="2265"/>
      <c r="AJ1" s="2263"/>
      <c r="AK1" s="2263"/>
      <c r="AL1" s="2263"/>
      <c r="AM1" s="2263"/>
      <c r="AN1" s="2263"/>
      <c r="AO1" s="2263"/>
      <c r="AP1" s="2263"/>
      <c r="AQ1" s="2263"/>
      <c r="AR1" s="2263"/>
      <c r="AS1" s="2263"/>
      <c r="AT1" s="2263"/>
      <c r="AU1" s="2263"/>
      <c r="AV1" s="2263">
        <v>0.8</v>
      </c>
      <c r="AW1" s="2263"/>
      <c r="AX1" s="2263"/>
      <c r="AY1" s="2263"/>
      <c r="AZ1" s="2263">
        <v>1</v>
      </c>
      <c r="BA1" s="2263"/>
      <c r="BB1" s="2263"/>
      <c r="BC1" s="2263"/>
      <c r="BD1" s="2263"/>
      <c r="BE1" s="2263"/>
      <c r="BF1" s="2263"/>
      <c r="BG1" s="2263"/>
      <c r="BH1" s="2263"/>
      <c r="BI1" s="2263"/>
      <c r="BJ1" s="2263"/>
      <c r="BK1" s="2263"/>
      <c r="BL1" s="2263"/>
      <c r="BM1" s="2263"/>
      <c r="BN1" s="2263"/>
      <c r="BO1" s="2263"/>
      <c r="BP1" s="2263"/>
      <c r="BQ1" s="2263"/>
      <c r="BR1" s="2263"/>
      <c r="BS1" s="2263"/>
      <c r="BT1" s="2263"/>
      <c r="BU1" s="2263"/>
      <c r="BV1" s="2263"/>
      <c r="BW1" s="2263"/>
      <c r="BX1" s="2263"/>
      <c r="BY1" s="2263"/>
      <c r="BZ1" s="2263"/>
      <c r="CA1" s="2263"/>
      <c r="CB1" s="2263"/>
      <c r="CC1" s="2263"/>
      <c r="CD1" s="2263"/>
      <c r="CE1" s="2263"/>
      <c r="CF1" s="2263"/>
      <c r="CG1" s="2263"/>
      <c r="CH1" s="2263"/>
      <c r="CI1" s="2263"/>
      <c r="CJ1" s="2263"/>
      <c r="CK1" s="2263"/>
      <c r="CL1" s="2263"/>
      <c r="CM1" s="2263"/>
      <c r="CN1" s="2263"/>
      <c r="CO1" s="2263"/>
      <c r="CP1" s="2263"/>
      <c r="CQ1" s="2263"/>
      <c r="CR1" s="2263"/>
      <c r="CS1" s="2263"/>
      <c r="CT1" s="2263"/>
      <c r="CU1" s="2263"/>
      <c r="CV1" s="2263"/>
      <c r="CW1" s="2263"/>
      <c r="CX1" s="2263"/>
      <c r="CY1" s="2263"/>
      <c r="CZ1" s="2263"/>
      <c r="DA1" s="2263"/>
      <c r="DB1" s="2263"/>
      <c r="DC1" s="2263"/>
      <c r="DD1" s="2263"/>
      <c r="DE1" s="2263"/>
      <c r="DF1" s="2263"/>
      <c r="DG1" s="2263"/>
      <c r="DH1" s="2263"/>
      <c r="DI1" s="2263"/>
      <c r="DJ1" s="2263"/>
      <c r="DK1" s="2263"/>
      <c r="DL1" s="2263"/>
      <c r="DM1" s="2263"/>
      <c r="DN1" s="2263"/>
      <c r="DO1" s="2263"/>
      <c r="DP1" s="2263"/>
      <c r="DQ1" s="2263"/>
      <c r="DR1" s="2263"/>
      <c r="DS1" s="2263"/>
      <c r="DT1" s="2263"/>
      <c r="DU1" s="2263"/>
      <c r="DV1" s="2263"/>
      <c r="DW1" s="2263"/>
      <c r="DX1" s="2263"/>
      <c r="DY1" s="2263"/>
      <c r="DZ1" s="2263"/>
      <c r="EA1" s="2263"/>
      <c r="EB1" s="2263"/>
      <c r="EC1" s="2263"/>
      <c r="ED1" s="2263"/>
      <c r="EE1" s="2263"/>
      <c r="EF1" s="2263"/>
      <c r="EG1" s="2263"/>
      <c r="EH1" s="2263"/>
      <c r="EI1" s="2263"/>
      <c r="EJ1" s="2263"/>
      <c r="EK1" s="2263"/>
      <c r="EL1" s="2263"/>
      <c r="EM1" s="2263"/>
      <c r="EN1" s="2263"/>
      <c r="EO1" s="2263"/>
      <c r="EP1" s="2263"/>
      <c r="EQ1" s="2263"/>
      <c r="ER1" s="2263"/>
      <c r="ES1" s="2263"/>
      <c r="ET1" s="2263"/>
      <c r="EU1" s="2263"/>
      <c r="EV1" s="2263"/>
      <c r="EW1" s="2263"/>
      <c r="EX1" s="2263"/>
      <c r="EY1" s="2263"/>
      <c r="EZ1" s="2263"/>
      <c r="FA1" s="2263"/>
      <c r="FB1" s="2263"/>
      <c r="FC1" s="2263"/>
      <c r="FD1" s="2263"/>
      <c r="FE1" s="2263"/>
      <c r="FF1" s="2263"/>
      <c r="FG1" s="2263"/>
      <c r="FH1" s="2263"/>
      <c r="FI1" s="2263"/>
      <c r="FJ1" s="2263"/>
      <c r="FK1" s="2263"/>
      <c r="FL1" s="2263"/>
      <c r="FM1" s="2263"/>
      <c r="FN1" s="2263"/>
      <c r="FO1" s="2263"/>
      <c r="FP1" s="2263"/>
      <c r="FQ1" s="2263"/>
      <c r="FR1" s="2263"/>
      <c r="FS1" s="2263"/>
      <c r="FT1" s="2263"/>
      <c r="FU1" s="2263"/>
      <c r="FV1" s="2263"/>
      <c r="FW1" s="2263"/>
      <c r="FX1" s="2263"/>
      <c r="FY1" s="2263"/>
      <c r="FZ1" s="2263"/>
      <c r="GA1" s="2263"/>
      <c r="GB1" s="2263"/>
      <c r="GC1" s="2263"/>
      <c r="GD1" s="2263"/>
      <c r="GE1" s="2263"/>
      <c r="GF1" s="2263"/>
      <c r="GG1" s="2263"/>
      <c r="GH1" s="2263"/>
      <c r="GI1" s="2263"/>
      <c r="GJ1" s="2263"/>
      <c r="GK1" s="2263"/>
      <c r="GL1" s="2263"/>
      <c r="GM1" s="2263"/>
      <c r="GN1" s="2263"/>
      <c r="GO1" s="2263"/>
      <c r="GP1" s="2263"/>
      <c r="GQ1" s="2263"/>
      <c r="GR1" s="2263"/>
      <c r="GS1" s="2263"/>
      <c r="GT1" s="2263"/>
      <c r="GU1" s="2263"/>
      <c r="GV1" s="2263"/>
      <c r="GW1" s="2263"/>
      <c r="GX1" s="2263"/>
      <c r="GY1" s="2263"/>
      <c r="GZ1" s="2263"/>
      <c r="HA1" s="2263"/>
      <c r="HB1" s="2263"/>
      <c r="HC1" s="2263"/>
      <c r="HD1" s="2263"/>
      <c r="HE1" s="2263"/>
      <c r="HF1" s="2263"/>
      <c r="HG1" s="2263"/>
      <c r="HH1" s="2263"/>
      <c r="HI1" s="2263"/>
      <c r="HJ1" s="2263"/>
      <c r="HK1" s="2263"/>
      <c r="HL1" s="2263"/>
      <c r="HM1" s="2263"/>
      <c r="HN1" s="2263"/>
      <c r="HO1" s="2263"/>
      <c r="HP1" s="2263"/>
      <c r="HQ1" s="2263"/>
      <c r="HR1" s="2263"/>
      <c r="HS1" s="2263"/>
      <c r="HT1" s="2263"/>
      <c r="HU1" s="2263"/>
      <c r="HV1" s="2263"/>
      <c r="HW1" s="2263"/>
      <c r="HX1" s="2263"/>
      <c r="HY1" s="2263"/>
      <c r="HZ1" s="2263"/>
      <c r="IA1" s="2263"/>
      <c r="IB1" s="2263"/>
      <c r="IC1" s="2263"/>
      <c r="ID1" s="2263"/>
      <c r="IE1" s="2263"/>
      <c r="IF1" s="2263"/>
      <c r="IG1" s="2263"/>
      <c r="IH1" s="2263"/>
      <c r="II1" s="2263"/>
      <c r="IJ1" s="2263"/>
      <c r="IK1" s="2263"/>
      <c r="IL1" s="2263"/>
      <c r="IM1" s="2263"/>
      <c r="IN1" s="2263"/>
      <c r="IO1" s="2263"/>
      <c r="IP1" s="2263"/>
      <c r="IQ1" s="2263"/>
      <c r="IR1" s="2263"/>
      <c r="IS1" s="2263"/>
      <c r="IT1" s="2263"/>
      <c r="IU1" s="2263"/>
      <c r="IV1" s="2263"/>
      <c r="IW1" s="2263"/>
      <c r="IX1" s="2263"/>
      <c r="IY1" s="2263"/>
      <c r="IZ1" s="2263"/>
      <c r="JA1" s="2263"/>
      <c r="JB1" s="2263"/>
      <c r="JC1" s="2263"/>
      <c r="JD1" s="2263"/>
      <c r="JE1" s="2263"/>
      <c r="JF1" s="2263"/>
      <c r="JG1" s="2263"/>
      <c r="JH1" s="2263"/>
      <c r="JI1" s="2263"/>
      <c r="JJ1" s="2263"/>
      <c r="JK1" s="2263"/>
      <c r="JL1" s="2263"/>
      <c r="JM1" s="2263"/>
      <c r="JN1" s="2263"/>
      <c r="JO1" s="2263"/>
      <c r="JP1" s="2263"/>
      <c r="JQ1" s="2263"/>
      <c r="JR1" s="2263"/>
      <c r="JS1" s="2263"/>
      <c r="JT1" s="2263"/>
      <c r="JU1" s="2263"/>
      <c r="JV1" s="2263"/>
      <c r="JW1" s="2263"/>
      <c r="JX1" s="2263"/>
      <c r="JY1" s="2263"/>
      <c r="JZ1" s="2263"/>
      <c r="KA1" s="2263"/>
      <c r="KB1" s="2263"/>
      <c r="KC1" s="2263"/>
      <c r="KD1" s="2263"/>
      <c r="KE1" s="2263"/>
      <c r="KF1" s="2263"/>
      <c r="KG1" s="2263"/>
      <c r="KH1" s="2263"/>
      <c r="KI1" s="2263"/>
      <c r="KJ1" s="2263"/>
      <c r="KK1" s="2263"/>
      <c r="KL1" s="2263"/>
      <c r="KM1" s="2263"/>
      <c r="KN1" s="2263"/>
      <c r="KO1" s="2266"/>
    </row>
    <row r="2" spans="1:301" ht="15" customHeight="1">
      <c r="I2" s="986"/>
      <c r="J2" s="986"/>
      <c r="K2" s="968"/>
      <c r="L2" s="968"/>
      <c r="M2" s="968"/>
      <c r="N2" s="968"/>
      <c r="O2" s="968"/>
      <c r="P2" s="968"/>
      <c r="Q2" s="968"/>
      <c r="R2" s="968"/>
      <c r="S2" s="968"/>
      <c r="T2" s="968"/>
      <c r="U2" s="968"/>
      <c r="V2" s="968"/>
      <c r="W2" s="968"/>
      <c r="X2" s="968"/>
      <c r="Y2" s="968"/>
      <c r="Z2" s="968"/>
      <c r="AA2" s="968"/>
      <c r="AB2" s="968"/>
      <c r="AC2" s="689"/>
      <c r="AD2" s="969"/>
      <c r="AE2" s="969"/>
      <c r="AF2" s="969"/>
      <c r="AG2" s="969"/>
      <c r="AH2" s="968"/>
      <c r="AI2" s="987"/>
      <c r="AJ2" s="968"/>
      <c r="AK2" s="968"/>
      <c r="AL2" s="968"/>
      <c r="AM2" s="968"/>
      <c r="AN2" s="968"/>
      <c r="AO2" s="968"/>
      <c r="AP2" s="968"/>
      <c r="AQ2" s="968"/>
      <c r="AR2" s="968"/>
      <c r="AS2" s="968"/>
      <c r="AT2" s="968"/>
      <c r="AU2" s="968"/>
      <c r="AV2" s="968"/>
      <c r="AW2" s="968"/>
      <c r="AX2" s="968"/>
      <c r="AY2" s="968"/>
      <c r="AZ2" s="968"/>
      <c r="BA2" s="968"/>
      <c r="BB2" s="968"/>
      <c r="BC2" s="968"/>
      <c r="BD2" s="968"/>
      <c r="BE2" s="968"/>
      <c r="BF2" s="968"/>
      <c r="BG2" s="968"/>
      <c r="BH2" s="968"/>
      <c r="BI2" s="968"/>
      <c r="BJ2" s="968"/>
      <c r="BK2" s="968"/>
      <c r="BL2" s="968"/>
      <c r="BM2" s="968"/>
      <c r="BN2" s="968"/>
      <c r="BO2" s="968"/>
      <c r="BP2" s="968"/>
      <c r="BQ2" s="968"/>
      <c r="BR2" s="968"/>
      <c r="BS2" s="968"/>
      <c r="BT2" s="968"/>
      <c r="BU2" s="968"/>
      <c r="BV2" s="968"/>
      <c r="BW2" s="968"/>
      <c r="BX2" s="968"/>
      <c r="BY2" s="968"/>
      <c r="BZ2" s="968"/>
      <c r="CA2" s="968"/>
      <c r="CB2" s="968"/>
      <c r="CC2" s="968"/>
      <c r="CD2" s="968"/>
      <c r="CE2" s="968"/>
      <c r="CF2" s="968"/>
      <c r="CG2" s="968"/>
      <c r="CH2" s="968"/>
      <c r="CI2" s="968"/>
      <c r="CJ2" s="968"/>
      <c r="CK2" s="968"/>
      <c r="CL2" s="968"/>
      <c r="CM2" s="968"/>
      <c r="CN2" s="968"/>
      <c r="CO2" s="968"/>
      <c r="CP2" s="968"/>
      <c r="CQ2" s="968"/>
      <c r="CR2" s="968"/>
      <c r="CS2" s="968"/>
      <c r="CT2" s="968"/>
      <c r="CU2" s="968"/>
      <c r="CV2" s="968"/>
      <c r="CW2" s="968"/>
      <c r="CX2" s="968"/>
      <c r="CY2" s="968"/>
      <c r="CZ2" s="968"/>
      <c r="DA2" s="968"/>
      <c r="DB2" s="968"/>
      <c r="DC2" s="968"/>
      <c r="DD2" s="968"/>
      <c r="DE2" s="968"/>
      <c r="DF2" s="968"/>
      <c r="DG2" s="968"/>
      <c r="DH2" s="968"/>
      <c r="DI2" s="968"/>
      <c r="DJ2" s="968"/>
      <c r="DK2" s="968"/>
      <c r="DL2" s="968"/>
      <c r="DM2" s="968"/>
      <c r="DN2" s="968"/>
      <c r="DO2" s="968"/>
      <c r="DP2" s="968"/>
      <c r="DQ2" s="968"/>
      <c r="DR2" s="968"/>
      <c r="DS2" s="968"/>
      <c r="DT2" s="968"/>
      <c r="DU2" s="968"/>
      <c r="DV2" s="968"/>
      <c r="DW2" s="968"/>
      <c r="DX2" s="968"/>
      <c r="DY2" s="968"/>
      <c r="DZ2" s="968"/>
      <c r="EA2" s="968"/>
      <c r="EB2" s="968"/>
      <c r="EC2" s="968"/>
      <c r="ED2" s="968"/>
      <c r="EE2" s="968"/>
      <c r="EF2" s="968"/>
      <c r="EG2" s="968"/>
      <c r="EH2" s="968"/>
      <c r="EI2" s="968"/>
      <c r="EJ2" s="968"/>
      <c r="EK2" s="968"/>
      <c r="EL2" s="968"/>
      <c r="EM2" s="968"/>
      <c r="EN2" s="968"/>
      <c r="EO2" s="968"/>
      <c r="EP2" s="968"/>
      <c r="EQ2" s="968"/>
      <c r="ER2" s="968"/>
      <c r="ES2" s="968"/>
      <c r="ET2" s="968"/>
      <c r="EU2" s="968"/>
      <c r="EV2" s="968"/>
      <c r="EW2" s="968"/>
      <c r="EX2" s="968"/>
      <c r="EY2" s="968"/>
      <c r="EZ2" s="968"/>
      <c r="FA2" s="968"/>
      <c r="FB2" s="968"/>
      <c r="FC2" s="968"/>
      <c r="FD2" s="968"/>
      <c r="FE2" s="968"/>
      <c r="FF2" s="968"/>
      <c r="FG2" s="968"/>
      <c r="FH2" s="968"/>
      <c r="FI2" s="968"/>
      <c r="FJ2" s="968"/>
      <c r="FK2" s="968"/>
      <c r="FL2" s="968"/>
      <c r="FM2" s="968"/>
      <c r="FN2" s="968"/>
      <c r="FO2" s="968"/>
      <c r="FP2" s="968"/>
      <c r="FQ2" s="968"/>
      <c r="FR2" s="968"/>
      <c r="FS2" s="968"/>
      <c r="FT2" s="968"/>
      <c r="FU2" s="968"/>
      <c r="FV2" s="968"/>
      <c r="FW2" s="968"/>
      <c r="FX2" s="968"/>
      <c r="FY2" s="968"/>
      <c r="FZ2" s="968"/>
      <c r="GA2" s="968"/>
      <c r="GB2" s="968"/>
      <c r="GC2" s="968"/>
      <c r="GD2" s="968"/>
      <c r="GE2" s="968"/>
      <c r="GF2" s="968"/>
      <c r="GG2" s="968"/>
      <c r="GH2" s="968"/>
      <c r="GI2" s="968"/>
      <c r="GJ2" s="968"/>
      <c r="GK2" s="968"/>
      <c r="GL2" s="968"/>
      <c r="GM2" s="968"/>
      <c r="GN2" s="968"/>
      <c r="GO2" s="968"/>
      <c r="GP2" s="968"/>
      <c r="GQ2" s="968"/>
      <c r="GR2" s="968"/>
      <c r="GS2" s="968"/>
      <c r="GT2" s="968"/>
      <c r="GU2" s="968"/>
      <c r="GV2" s="968"/>
      <c r="GW2" s="968"/>
      <c r="GX2" s="968"/>
      <c r="GY2" s="968"/>
      <c r="GZ2" s="968"/>
      <c r="HA2" s="968"/>
      <c r="HB2" s="968"/>
      <c r="HC2" s="968"/>
      <c r="HD2" s="968"/>
      <c r="HE2" s="968"/>
      <c r="HF2" s="968"/>
      <c r="HG2" s="968"/>
      <c r="HH2" s="968"/>
      <c r="HI2" s="968"/>
      <c r="HJ2" s="968"/>
      <c r="HK2" s="968"/>
      <c r="HL2" s="968"/>
      <c r="HM2" s="968"/>
      <c r="HN2" s="968"/>
      <c r="HO2" s="968"/>
      <c r="HP2" s="968"/>
      <c r="HQ2" s="968"/>
      <c r="HR2" s="968"/>
      <c r="HS2" s="968"/>
      <c r="HT2" s="968"/>
      <c r="HU2" s="968"/>
      <c r="HV2" s="968"/>
      <c r="HW2" s="968"/>
      <c r="HX2" s="968"/>
      <c r="HY2" s="968"/>
      <c r="HZ2" s="968"/>
      <c r="IA2" s="968"/>
      <c r="IB2" s="968"/>
      <c r="IC2" s="968"/>
      <c r="ID2" s="968"/>
      <c r="IE2" s="968"/>
      <c r="IF2" s="968"/>
      <c r="IG2" s="968"/>
      <c r="IH2" s="968"/>
      <c r="II2" s="968"/>
      <c r="IJ2" s="968"/>
      <c r="IK2" s="968"/>
      <c r="IL2" s="968"/>
      <c r="IM2" s="968"/>
      <c r="IN2" s="968"/>
      <c r="IO2" s="968"/>
      <c r="IP2" s="968"/>
      <c r="IQ2" s="968"/>
      <c r="IR2" s="968"/>
      <c r="IS2" s="968"/>
      <c r="IT2" s="968"/>
      <c r="IU2" s="968"/>
      <c r="IV2" s="968"/>
      <c r="IW2" s="968"/>
      <c r="IX2" s="968"/>
      <c r="IY2" s="968"/>
      <c r="IZ2" s="968"/>
      <c r="JA2" s="968"/>
      <c r="JB2" s="968"/>
      <c r="JC2" s="968"/>
      <c r="JD2" s="968"/>
      <c r="JE2" s="968"/>
      <c r="JF2" s="968"/>
      <c r="JG2" s="968"/>
      <c r="JH2" s="968"/>
      <c r="JI2" s="968"/>
      <c r="JJ2" s="968"/>
      <c r="JK2" s="968"/>
      <c r="JL2" s="968"/>
      <c r="JM2" s="968"/>
      <c r="JN2" s="968"/>
      <c r="JO2" s="968"/>
      <c r="JP2" s="968"/>
      <c r="JQ2" s="968"/>
      <c r="JR2" s="968"/>
      <c r="JS2" s="968"/>
      <c r="JT2" s="968"/>
      <c r="JU2" s="968"/>
      <c r="JV2" s="968"/>
      <c r="JW2" s="968"/>
      <c r="JX2" s="968"/>
      <c r="JY2" s="968"/>
      <c r="JZ2" s="968"/>
      <c r="KA2" s="968"/>
      <c r="KB2" s="968"/>
      <c r="KC2" s="968"/>
      <c r="KD2" s="968"/>
      <c r="KE2" s="968"/>
      <c r="KF2" s="968"/>
      <c r="KG2" s="968"/>
      <c r="KH2" s="968"/>
      <c r="KI2" s="968"/>
      <c r="KJ2" s="968"/>
      <c r="KK2" s="968"/>
      <c r="KL2" s="968"/>
      <c r="KM2" s="968"/>
      <c r="KN2" s="968"/>
      <c r="KO2" s="971"/>
    </row>
    <row r="3" spans="1:301" ht="15" customHeight="1">
      <c r="I3" s="986"/>
      <c r="J3" s="986"/>
      <c r="K3" s="968"/>
      <c r="L3" s="968"/>
      <c r="M3" s="968"/>
      <c r="N3" s="968"/>
      <c r="O3" s="968"/>
      <c r="P3" s="968"/>
      <c r="Q3" s="968"/>
      <c r="R3" s="968"/>
      <c r="S3" s="968"/>
      <c r="T3" s="968"/>
      <c r="U3" s="968"/>
      <c r="V3" s="968"/>
      <c r="W3" s="968"/>
      <c r="X3" s="968"/>
      <c r="Y3" s="968"/>
      <c r="Z3" s="968"/>
      <c r="AA3" s="968"/>
      <c r="AB3" s="968"/>
      <c r="AC3" s="689"/>
      <c r="AD3" s="969"/>
      <c r="AE3" s="969"/>
      <c r="AF3" s="969"/>
      <c r="AG3" s="969"/>
      <c r="AH3" s="968"/>
      <c r="AI3" s="987"/>
      <c r="AJ3" s="968"/>
      <c r="AK3" s="968"/>
      <c r="AL3" s="968"/>
      <c r="AM3" s="968"/>
      <c r="AN3" s="968"/>
      <c r="AO3" s="968"/>
      <c r="AP3" s="968"/>
      <c r="AQ3" s="968"/>
      <c r="AR3" s="968"/>
      <c r="AS3" s="968"/>
      <c r="AT3" s="968"/>
      <c r="AU3" s="968"/>
      <c r="AV3" s="968"/>
      <c r="AW3" s="968"/>
      <c r="AX3" s="968"/>
      <c r="AY3" s="968"/>
      <c r="AZ3" s="968"/>
      <c r="BA3" s="968"/>
      <c r="BB3" s="968"/>
      <c r="BC3" s="968"/>
      <c r="BD3" s="968"/>
      <c r="BE3" s="968"/>
      <c r="BF3" s="968"/>
      <c r="BG3" s="968"/>
      <c r="BH3" s="968"/>
      <c r="BI3" s="968"/>
      <c r="BJ3" s="968"/>
      <c r="BK3" s="968"/>
      <c r="BL3" s="968"/>
      <c r="BM3" s="968"/>
      <c r="BN3" s="968"/>
      <c r="BO3" s="968"/>
      <c r="BP3" s="968"/>
      <c r="BQ3" s="968"/>
      <c r="BR3" s="968"/>
      <c r="BS3" s="968"/>
      <c r="BT3" s="968"/>
      <c r="BU3" s="968"/>
      <c r="BV3" s="968"/>
      <c r="BW3" s="968"/>
      <c r="BX3" s="968"/>
      <c r="BY3" s="968"/>
      <c r="BZ3" s="968"/>
      <c r="CA3" s="968"/>
      <c r="CB3" s="968"/>
      <c r="CC3" s="968"/>
      <c r="CD3" s="968"/>
      <c r="CE3" s="968"/>
      <c r="CF3" s="968"/>
      <c r="CG3" s="968"/>
      <c r="CH3" s="968"/>
      <c r="CI3" s="968"/>
      <c r="CJ3" s="968"/>
      <c r="CK3" s="968"/>
      <c r="CL3" s="968"/>
      <c r="CM3" s="968"/>
      <c r="CN3" s="968"/>
      <c r="CO3" s="968"/>
      <c r="CP3" s="968"/>
      <c r="CQ3" s="968"/>
      <c r="CR3" s="968"/>
      <c r="CS3" s="968"/>
      <c r="CT3" s="968"/>
      <c r="CU3" s="968"/>
      <c r="CV3" s="968"/>
      <c r="CW3" s="968"/>
      <c r="CX3" s="968"/>
      <c r="CY3" s="968"/>
      <c r="CZ3" s="968"/>
      <c r="DA3" s="968"/>
      <c r="DB3" s="968"/>
      <c r="DC3" s="968"/>
      <c r="DD3" s="968"/>
      <c r="DE3" s="968"/>
      <c r="DF3" s="968"/>
      <c r="DG3" s="968"/>
      <c r="DH3" s="968"/>
      <c r="DI3" s="968"/>
      <c r="DJ3" s="968"/>
      <c r="DK3" s="968"/>
      <c r="DL3" s="968"/>
      <c r="DM3" s="968"/>
      <c r="DN3" s="968"/>
      <c r="DO3" s="968"/>
      <c r="DP3" s="968"/>
      <c r="DQ3" s="968"/>
      <c r="DR3" s="968"/>
      <c r="DS3" s="968"/>
      <c r="DT3" s="968"/>
      <c r="DU3" s="968"/>
      <c r="DV3" s="968"/>
      <c r="DW3" s="968"/>
      <c r="DX3" s="968"/>
      <c r="DY3" s="968"/>
      <c r="DZ3" s="968"/>
      <c r="EA3" s="968"/>
      <c r="EB3" s="968"/>
      <c r="EC3" s="968"/>
      <c r="ED3" s="968"/>
      <c r="EE3" s="968"/>
      <c r="EF3" s="968"/>
      <c r="EG3" s="968"/>
      <c r="EH3" s="968"/>
      <c r="EI3" s="968"/>
      <c r="EJ3" s="968"/>
      <c r="EK3" s="968"/>
      <c r="EL3" s="968"/>
      <c r="EM3" s="968"/>
      <c r="EN3" s="968"/>
      <c r="EO3" s="968"/>
      <c r="EP3" s="968"/>
      <c r="EQ3" s="968"/>
      <c r="ER3" s="968"/>
      <c r="ES3" s="968"/>
      <c r="ET3" s="968"/>
      <c r="EU3" s="968"/>
      <c r="EV3" s="968"/>
      <c r="EW3" s="968"/>
      <c r="EX3" s="968"/>
      <c r="EY3" s="968"/>
      <c r="EZ3" s="968"/>
      <c r="FA3" s="968"/>
      <c r="FB3" s="968"/>
      <c r="FC3" s="968"/>
      <c r="FD3" s="968"/>
      <c r="FE3" s="968"/>
      <c r="FF3" s="968"/>
      <c r="FG3" s="968"/>
      <c r="FH3" s="968"/>
      <c r="FI3" s="968"/>
      <c r="FJ3" s="968"/>
      <c r="FK3" s="968"/>
      <c r="FL3" s="968"/>
      <c r="FM3" s="968"/>
      <c r="FN3" s="968"/>
      <c r="FO3" s="968"/>
      <c r="FP3" s="968"/>
      <c r="FQ3" s="968"/>
      <c r="FR3" s="968"/>
      <c r="FS3" s="968"/>
      <c r="FT3" s="968"/>
      <c r="FU3" s="968"/>
      <c r="FV3" s="968"/>
      <c r="FW3" s="968"/>
      <c r="FX3" s="968"/>
      <c r="FY3" s="968"/>
      <c r="FZ3" s="968"/>
      <c r="GA3" s="968"/>
      <c r="GB3" s="968"/>
      <c r="GC3" s="968"/>
      <c r="GD3" s="968"/>
      <c r="GE3" s="968"/>
      <c r="GF3" s="968"/>
      <c r="GG3" s="968"/>
      <c r="GH3" s="968"/>
      <c r="GI3" s="968"/>
      <c r="GJ3" s="968"/>
      <c r="GK3" s="968"/>
      <c r="GL3" s="968"/>
      <c r="GM3" s="968"/>
      <c r="GN3" s="968"/>
      <c r="GO3" s="968"/>
      <c r="GP3" s="968"/>
      <c r="GQ3" s="968"/>
      <c r="GR3" s="968"/>
      <c r="GS3" s="968"/>
      <c r="GT3" s="968"/>
      <c r="GU3" s="968"/>
      <c r="GV3" s="968"/>
      <c r="GW3" s="968"/>
      <c r="GX3" s="968"/>
      <c r="GY3" s="968"/>
      <c r="GZ3" s="968"/>
      <c r="HA3" s="968"/>
      <c r="HB3" s="968"/>
      <c r="HC3" s="968"/>
      <c r="HD3" s="968"/>
      <c r="HE3" s="968"/>
      <c r="HF3" s="968"/>
      <c r="HG3" s="968"/>
      <c r="HH3" s="968"/>
      <c r="HI3" s="968"/>
      <c r="HJ3" s="968"/>
      <c r="HK3" s="968"/>
      <c r="HL3" s="968"/>
      <c r="HM3" s="968"/>
      <c r="HN3" s="968"/>
      <c r="HO3" s="968"/>
      <c r="HP3" s="968"/>
      <c r="HQ3" s="968"/>
      <c r="HR3" s="968"/>
      <c r="HS3" s="968"/>
      <c r="HT3" s="968"/>
      <c r="HU3" s="968"/>
      <c r="HV3" s="968"/>
      <c r="HW3" s="968"/>
      <c r="HX3" s="968"/>
      <c r="HY3" s="968"/>
      <c r="HZ3" s="968"/>
      <c r="IA3" s="968"/>
      <c r="IB3" s="968"/>
      <c r="IC3" s="968"/>
      <c r="ID3" s="968"/>
      <c r="IE3" s="968"/>
      <c r="IF3" s="968"/>
      <c r="IG3" s="968"/>
      <c r="IH3" s="968"/>
      <c r="II3" s="968"/>
      <c r="IJ3" s="968"/>
      <c r="IK3" s="968"/>
      <c r="IL3" s="968"/>
      <c r="IM3" s="968"/>
      <c r="IN3" s="968"/>
      <c r="IO3" s="968"/>
      <c r="IP3" s="968"/>
      <c r="IQ3" s="968"/>
      <c r="IR3" s="968"/>
      <c r="IS3" s="968"/>
      <c r="IT3" s="968"/>
      <c r="IU3" s="968"/>
      <c r="IV3" s="968"/>
      <c r="IW3" s="968"/>
      <c r="IX3" s="968"/>
      <c r="IY3" s="968"/>
      <c r="IZ3" s="968"/>
      <c r="JA3" s="968"/>
      <c r="JB3" s="968"/>
      <c r="JC3" s="968"/>
      <c r="JD3" s="968"/>
      <c r="JE3" s="968"/>
      <c r="JF3" s="968"/>
      <c r="JG3" s="968"/>
      <c r="JH3" s="968"/>
      <c r="JI3" s="968"/>
      <c r="JJ3" s="968"/>
      <c r="JK3" s="968"/>
      <c r="JL3" s="968"/>
      <c r="JM3" s="968"/>
      <c r="JN3" s="968"/>
      <c r="JO3" s="968"/>
      <c r="JP3" s="968"/>
      <c r="JQ3" s="968"/>
      <c r="JR3" s="968"/>
      <c r="JS3" s="968"/>
      <c r="JT3" s="968"/>
      <c r="JU3" s="968"/>
      <c r="JV3" s="968"/>
      <c r="JW3" s="968"/>
      <c r="JX3" s="968"/>
      <c r="JY3" s="968"/>
      <c r="JZ3" s="968"/>
      <c r="KA3" s="968"/>
      <c r="KB3" s="968"/>
      <c r="KC3" s="968"/>
      <c r="KD3" s="968"/>
      <c r="KE3" s="968"/>
      <c r="KF3" s="968"/>
      <c r="KG3" s="968"/>
      <c r="KH3" s="968"/>
      <c r="KI3" s="968"/>
      <c r="KJ3" s="968"/>
      <c r="KK3" s="968"/>
      <c r="KL3" s="968"/>
      <c r="KM3" s="968"/>
      <c r="KN3" s="968"/>
      <c r="KO3" s="971"/>
    </row>
    <row r="4" spans="1:301" ht="15" customHeight="1">
      <c r="J4" s="968"/>
      <c r="K4" s="968"/>
      <c r="L4" s="968"/>
      <c r="M4" s="968"/>
      <c r="N4" s="968"/>
      <c r="O4" s="968"/>
      <c r="P4" s="968"/>
      <c r="Q4" s="968"/>
      <c r="R4" s="968"/>
      <c r="S4" s="968"/>
      <c r="T4" s="968"/>
      <c r="U4" s="968"/>
      <c r="V4" s="968"/>
      <c r="W4" s="968"/>
      <c r="X4" s="968"/>
      <c r="Y4" s="968"/>
      <c r="Z4" s="968"/>
      <c r="AA4" s="968"/>
      <c r="AB4" s="968"/>
      <c r="AC4" s="689"/>
      <c r="AD4" s="969"/>
      <c r="AE4" s="969"/>
      <c r="AF4" s="969"/>
      <c r="AG4" s="969"/>
      <c r="AH4" s="968"/>
      <c r="AI4" s="987"/>
      <c r="AJ4" s="968"/>
      <c r="AK4" s="968"/>
      <c r="AL4" s="968"/>
      <c r="AM4" s="968"/>
      <c r="AN4" s="968"/>
      <c r="AO4" s="968"/>
      <c r="AP4" s="968"/>
      <c r="AQ4" s="968"/>
      <c r="AR4" s="968"/>
      <c r="AS4" s="968"/>
      <c r="AT4" s="968"/>
      <c r="AU4" s="968"/>
      <c r="AV4" s="968"/>
      <c r="AW4" s="968"/>
      <c r="AX4" s="968"/>
      <c r="AY4" s="968"/>
      <c r="AZ4" s="968"/>
      <c r="BA4" s="968"/>
      <c r="BB4" s="968"/>
      <c r="BC4" s="968"/>
      <c r="BD4" s="968"/>
      <c r="BE4" s="968"/>
      <c r="BF4" s="968"/>
      <c r="BG4" s="968"/>
      <c r="BH4" s="968"/>
      <c r="BI4" s="968"/>
      <c r="BJ4" s="968"/>
      <c r="BK4" s="968"/>
      <c r="BL4" s="968"/>
      <c r="BM4" s="968"/>
      <c r="BN4" s="968"/>
      <c r="BO4" s="968"/>
      <c r="BP4" s="968"/>
      <c r="BQ4" s="968"/>
      <c r="BR4" s="968"/>
      <c r="BS4" s="968"/>
      <c r="BT4" s="968"/>
      <c r="BU4" s="968"/>
      <c r="BV4" s="968"/>
      <c r="BW4" s="968"/>
      <c r="BX4" s="968"/>
      <c r="BY4" s="968"/>
      <c r="BZ4" s="968"/>
      <c r="CA4" s="968"/>
      <c r="CB4" s="968"/>
      <c r="CC4" s="968"/>
      <c r="CD4" s="968"/>
      <c r="CE4" s="968"/>
      <c r="CF4" s="968"/>
      <c r="CG4" s="968"/>
      <c r="CH4" s="968"/>
      <c r="CI4" s="968"/>
      <c r="CJ4" s="968"/>
      <c r="CK4" s="968"/>
      <c r="CL4" s="968"/>
      <c r="CM4" s="968"/>
      <c r="CN4" s="968"/>
      <c r="CO4" s="968"/>
      <c r="CP4" s="968"/>
      <c r="CQ4" s="968"/>
      <c r="CR4" s="968"/>
      <c r="CS4" s="968"/>
      <c r="CT4" s="968"/>
      <c r="CU4" s="968"/>
      <c r="CV4" s="968"/>
      <c r="CW4" s="968"/>
      <c r="CX4" s="968"/>
      <c r="CY4" s="968"/>
      <c r="CZ4" s="968"/>
      <c r="DA4" s="968"/>
      <c r="DB4" s="968"/>
      <c r="DC4" s="968"/>
      <c r="DD4" s="968"/>
      <c r="DE4" s="968"/>
      <c r="DF4" s="968"/>
      <c r="DG4" s="968"/>
      <c r="DH4" s="968"/>
      <c r="DI4" s="968"/>
      <c r="DJ4" s="968"/>
      <c r="DK4" s="968"/>
      <c r="DL4" s="968"/>
      <c r="DM4" s="968"/>
      <c r="DN4" s="968"/>
      <c r="DO4" s="968"/>
      <c r="DP4" s="968"/>
      <c r="DQ4" s="968"/>
      <c r="DR4" s="968"/>
      <c r="DS4" s="968"/>
      <c r="DT4" s="968"/>
      <c r="DU4" s="968"/>
      <c r="DV4" s="968"/>
      <c r="DW4" s="968"/>
      <c r="DX4" s="968"/>
      <c r="DY4" s="968"/>
      <c r="DZ4" s="968"/>
      <c r="EA4" s="968"/>
      <c r="EB4" s="968"/>
      <c r="EC4" s="968"/>
      <c r="ED4" s="968"/>
      <c r="EE4" s="968"/>
      <c r="EF4" s="968"/>
      <c r="EG4" s="968"/>
      <c r="EH4" s="968"/>
      <c r="EI4" s="968"/>
      <c r="EJ4" s="968"/>
      <c r="EK4" s="968"/>
      <c r="EL4" s="968"/>
      <c r="EM4" s="968"/>
      <c r="EN4" s="968"/>
      <c r="EO4" s="968"/>
      <c r="EP4" s="968"/>
      <c r="EQ4" s="968"/>
      <c r="ER4" s="968"/>
      <c r="ES4" s="968"/>
      <c r="ET4" s="968"/>
      <c r="EU4" s="968"/>
      <c r="EV4" s="968"/>
      <c r="EW4" s="968"/>
      <c r="EX4" s="968"/>
      <c r="EY4" s="968"/>
      <c r="EZ4" s="968"/>
      <c r="FA4" s="968"/>
      <c r="FB4" s="968"/>
      <c r="FC4" s="968"/>
      <c r="FD4" s="968"/>
      <c r="FE4" s="968"/>
      <c r="FF4" s="968"/>
      <c r="FG4" s="968"/>
      <c r="FH4" s="968"/>
      <c r="FI4" s="968"/>
      <c r="FJ4" s="968"/>
      <c r="FK4" s="968"/>
      <c r="FL4" s="968"/>
      <c r="FM4" s="968"/>
      <c r="FN4" s="968"/>
      <c r="FO4" s="968"/>
      <c r="FP4" s="968"/>
      <c r="FQ4" s="968"/>
      <c r="FR4" s="968"/>
      <c r="FS4" s="968"/>
      <c r="FT4" s="968"/>
      <c r="FU4" s="968"/>
      <c r="FV4" s="968"/>
      <c r="FW4" s="968"/>
      <c r="FX4" s="968"/>
      <c r="FY4" s="968"/>
      <c r="FZ4" s="968"/>
      <c r="GA4" s="968"/>
      <c r="GB4" s="968"/>
      <c r="GC4" s="968"/>
      <c r="GD4" s="968"/>
      <c r="GE4" s="968"/>
      <c r="GF4" s="968"/>
      <c r="GG4" s="968"/>
      <c r="GH4" s="968"/>
      <c r="GI4" s="968"/>
      <c r="GJ4" s="968"/>
      <c r="GK4" s="968"/>
      <c r="GL4" s="968"/>
      <c r="GM4" s="968"/>
      <c r="GN4" s="968"/>
      <c r="GO4" s="968"/>
      <c r="GP4" s="968"/>
      <c r="GQ4" s="968"/>
      <c r="GR4" s="968"/>
      <c r="GS4" s="968"/>
      <c r="GT4" s="968"/>
      <c r="GU4" s="968"/>
      <c r="GV4" s="968"/>
      <c r="GW4" s="968"/>
      <c r="GX4" s="968"/>
      <c r="GY4" s="968"/>
      <c r="GZ4" s="968"/>
      <c r="HA4" s="968"/>
      <c r="HB4" s="968"/>
      <c r="HC4" s="968"/>
      <c r="HD4" s="968"/>
      <c r="HE4" s="968"/>
      <c r="HF4" s="968"/>
      <c r="HG4" s="968"/>
      <c r="HH4" s="968"/>
      <c r="HI4" s="968"/>
      <c r="HJ4" s="968"/>
      <c r="HK4" s="968"/>
      <c r="HL4" s="968"/>
      <c r="HM4" s="968"/>
      <c r="HN4" s="968"/>
      <c r="HO4" s="968"/>
      <c r="HP4" s="968"/>
      <c r="HQ4" s="968"/>
      <c r="HR4" s="968"/>
      <c r="HS4" s="968"/>
      <c r="HT4" s="968"/>
      <c r="HU4" s="968"/>
      <c r="HV4" s="968"/>
      <c r="HW4" s="968"/>
      <c r="HX4" s="968"/>
      <c r="HY4" s="968"/>
      <c r="HZ4" s="968"/>
      <c r="IA4" s="968"/>
      <c r="IB4" s="968"/>
      <c r="IC4" s="968"/>
      <c r="ID4" s="968"/>
      <c r="IE4" s="968"/>
      <c r="IF4" s="968"/>
      <c r="IG4" s="968"/>
      <c r="IH4" s="968"/>
      <c r="II4" s="968"/>
      <c r="IJ4" s="968"/>
      <c r="IK4" s="968"/>
      <c r="IL4" s="968"/>
      <c r="IM4" s="968"/>
      <c r="IN4" s="968"/>
      <c r="IO4" s="968"/>
      <c r="IP4" s="968"/>
      <c r="IQ4" s="968"/>
      <c r="IR4" s="968"/>
      <c r="IS4" s="968"/>
      <c r="IT4" s="968"/>
      <c r="IU4" s="968"/>
      <c r="IV4" s="968"/>
      <c r="IW4" s="968"/>
      <c r="IX4" s="968"/>
      <c r="IY4" s="968"/>
      <c r="IZ4" s="968"/>
      <c r="JA4" s="968"/>
      <c r="JB4" s="968"/>
      <c r="JC4" s="968"/>
      <c r="JD4" s="968"/>
      <c r="JE4" s="968"/>
      <c r="JF4" s="968"/>
      <c r="JG4" s="968"/>
      <c r="JH4" s="968"/>
      <c r="JI4" s="968"/>
      <c r="JJ4" s="968"/>
      <c r="JK4" s="968"/>
      <c r="JL4" s="968"/>
      <c r="JM4" s="968"/>
      <c r="JN4" s="968"/>
      <c r="JO4" s="968"/>
      <c r="JP4" s="968"/>
      <c r="JQ4" s="968"/>
      <c r="JR4" s="968"/>
      <c r="JS4" s="968"/>
      <c r="JT4" s="968"/>
      <c r="JU4" s="968"/>
      <c r="JV4" s="968"/>
      <c r="JW4" s="968"/>
      <c r="JX4" s="968"/>
      <c r="JY4" s="968"/>
      <c r="JZ4" s="968"/>
      <c r="KA4" s="968"/>
      <c r="KB4" s="968"/>
      <c r="KC4" s="968"/>
      <c r="KD4" s="968"/>
      <c r="KE4" s="968"/>
      <c r="KF4" s="968"/>
      <c r="KG4" s="968"/>
      <c r="KH4" s="968"/>
      <c r="KI4" s="968"/>
      <c r="KJ4" s="968"/>
      <c r="KK4" s="968"/>
      <c r="KL4" s="968"/>
      <c r="KM4" s="968"/>
      <c r="KN4" s="968"/>
      <c r="KO4" s="971"/>
    </row>
    <row r="5" spans="1:301" ht="3" customHeight="1">
      <c r="A5" s="989">
        <v>0</v>
      </c>
      <c r="B5" s="968"/>
      <c r="C5" s="968"/>
      <c r="D5" s="968"/>
      <c r="E5" s="968"/>
      <c r="F5" s="968"/>
      <c r="G5" s="968"/>
      <c r="H5" s="968"/>
      <c r="I5" s="968"/>
      <c r="J5" s="968"/>
      <c r="K5" s="968"/>
      <c r="L5" s="968"/>
      <c r="M5" s="968"/>
      <c r="N5" s="968"/>
      <c r="O5" s="968"/>
      <c r="P5" s="968"/>
      <c r="Q5" s="968"/>
      <c r="R5" s="968"/>
      <c r="S5" s="968"/>
      <c r="T5" s="968"/>
      <c r="U5" s="968"/>
      <c r="V5" s="968"/>
      <c r="W5" s="968"/>
      <c r="X5" s="968"/>
      <c r="Y5" s="968"/>
      <c r="Z5" s="968"/>
      <c r="AA5" s="968"/>
      <c r="AB5" s="968"/>
      <c r="AC5" s="689"/>
      <c r="AD5" s="969"/>
      <c r="AE5" s="969"/>
      <c r="AF5" s="969"/>
      <c r="AG5" s="969"/>
      <c r="AH5" s="968"/>
      <c r="AI5" s="987"/>
      <c r="AJ5" s="968"/>
      <c r="AK5" s="968"/>
      <c r="AL5" s="968"/>
      <c r="AM5" s="968"/>
      <c r="AN5" s="968"/>
      <c r="AO5" s="968"/>
      <c r="AP5" s="968"/>
      <c r="AQ5" s="968"/>
      <c r="AR5" s="968"/>
      <c r="AS5" s="968"/>
      <c r="AT5" s="968"/>
      <c r="AU5" s="968"/>
      <c r="AV5" s="968"/>
      <c r="AW5" s="968"/>
      <c r="AX5" s="968"/>
      <c r="AY5" s="968"/>
      <c r="AZ5" s="968"/>
      <c r="BA5" s="968"/>
      <c r="BB5" s="968"/>
      <c r="BC5" s="968"/>
      <c r="BD5" s="968"/>
      <c r="BE5" s="968"/>
      <c r="BF5" s="968"/>
      <c r="BG5" s="968"/>
      <c r="BH5" s="968"/>
      <c r="BI5" s="968"/>
      <c r="BJ5" s="968"/>
      <c r="BK5" s="968"/>
      <c r="BL5" s="968"/>
      <c r="BM5" s="968"/>
      <c r="BN5" s="968"/>
      <c r="BO5" s="968"/>
      <c r="BP5" s="968"/>
      <c r="BQ5" s="968"/>
      <c r="BR5" s="968"/>
      <c r="BS5" s="968"/>
      <c r="BT5" s="968"/>
      <c r="BU5" s="968"/>
      <c r="BV5" s="968"/>
      <c r="BW5" s="968"/>
      <c r="BX5" s="968"/>
      <c r="BY5" s="968"/>
      <c r="BZ5" s="968"/>
      <c r="CA5" s="968"/>
      <c r="CB5" s="968"/>
      <c r="CC5" s="968"/>
      <c r="CD5" s="968"/>
      <c r="CE5" s="968"/>
      <c r="CF5" s="968"/>
      <c r="CG5" s="968"/>
      <c r="CH5" s="968"/>
      <c r="CI5" s="968"/>
      <c r="CJ5" s="968"/>
      <c r="CK5" s="968"/>
      <c r="CL5" s="968"/>
      <c r="CM5" s="968"/>
      <c r="CN5" s="968"/>
      <c r="CO5" s="968"/>
      <c r="CP5" s="968"/>
      <c r="CQ5" s="968"/>
      <c r="CR5" s="968"/>
      <c r="CS5" s="968"/>
      <c r="CT5" s="968"/>
      <c r="CU5" s="968"/>
      <c r="CV5" s="968"/>
      <c r="CW5" s="968"/>
      <c r="CX5" s="968"/>
      <c r="CY5" s="968"/>
      <c r="CZ5" s="968"/>
      <c r="DA5" s="968"/>
      <c r="DB5" s="968"/>
      <c r="DC5" s="968"/>
      <c r="DD5" s="968"/>
      <c r="DE5" s="968"/>
      <c r="DF5" s="968"/>
      <c r="DG5" s="968"/>
      <c r="DH5" s="968"/>
      <c r="DI5" s="968"/>
      <c r="DJ5" s="968"/>
      <c r="DK5" s="968"/>
      <c r="DL5" s="968"/>
      <c r="DM5" s="968"/>
      <c r="DN5" s="968"/>
      <c r="DO5" s="968"/>
      <c r="DP5" s="968"/>
      <c r="DQ5" s="968"/>
      <c r="DR5" s="968"/>
      <c r="DS5" s="968"/>
      <c r="DT5" s="968"/>
      <c r="DU5" s="968"/>
      <c r="DV5" s="968"/>
      <c r="DW5" s="968"/>
      <c r="DX5" s="968"/>
      <c r="DY5" s="968"/>
      <c r="DZ5" s="968"/>
      <c r="EA5" s="968"/>
      <c r="EB5" s="968"/>
      <c r="EC5" s="968"/>
      <c r="ED5" s="968"/>
      <c r="EE5" s="968"/>
      <c r="EF5" s="968"/>
      <c r="EG5" s="968"/>
      <c r="EH5" s="968"/>
      <c r="EI5" s="968"/>
      <c r="EJ5" s="968"/>
      <c r="EK5" s="968"/>
      <c r="EL5" s="968"/>
      <c r="EM5" s="968"/>
      <c r="EN5" s="968"/>
      <c r="EO5" s="968"/>
      <c r="EP5" s="968"/>
      <c r="EQ5" s="968"/>
      <c r="ER5" s="968"/>
      <c r="ES5" s="968"/>
      <c r="ET5" s="968"/>
      <c r="EU5" s="968"/>
      <c r="EV5" s="968"/>
      <c r="EW5" s="968"/>
      <c r="EX5" s="968"/>
      <c r="EY5" s="968"/>
      <c r="EZ5" s="968"/>
      <c r="FA5" s="968"/>
      <c r="FB5" s="968"/>
      <c r="FC5" s="968"/>
      <c r="FD5" s="968"/>
      <c r="FE5" s="968"/>
      <c r="FF5" s="968"/>
      <c r="FG5" s="968"/>
      <c r="FH5" s="968"/>
      <c r="FI5" s="968"/>
      <c r="FJ5" s="968"/>
      <c r="FK5" s="968"/>
      <c r="FL5" s="968"/>
      <c r="FM5" s="968"/>
      <c r="FN5" s="968"/>
      <c r="FO5" s="968"/>
      <c r="FP5" s="968"/>
      <c r="FQ5" s="968"/>
      <c r="FR5" s="968"/>
      <c r="FS5" s="968"/>
      <c r="FT5" s="968"/>
      <c r="FU5" s="968"/>
      <c r="FV5" s="968"/>
      <c r="FW5" s="968"/>
      <c r="FX5" s="968"/>
      <c r="FY5" s="968"/>
      <c r="FZ5" s="968"/>
      <c r="GA5" s="968"/>
      <c r="GB5" s="968"/>
      <c r="GC5" s="968"/>
      <c r="GD5" s="968"/>
      <c r="GE5" s="968"/>
      <c r="GF5" s="968"/>
      <c r="GG5" s="968"/>
      <c r="GH5" s="968"/>
      <c r="GI5" s="968"/>
      <c r="GJ5" s="968"/>
      <c r="GK5" s="968"/>
      <c r="GL5" s="968"/>
      <c r="GM5" s="968"/>
      <c r="GN5" s="968"/>
      <c r="GO5" s="968"/>
      <c r="GP5" s="968"/>
      <c r="GQ5" s="968"/>
      <c r="GR5" s="968"/>
      <c r="GS5" s="968"/>
      <c r="GT5" s="968"/>
      <c r="GU5" s="968"/>
      <c r="GV5" s="968"/>
      <c r="GW5" s="968"/>
      <c r="GX5" s="968"/>
      <c r="GY5" s="968"/>
      <c r="GZ5" s="968"/>
      <c r="HA5" s="968"/>
      <c r="HB5" s="968"/>
      <c r="HC5" s="968"/>
      <c r="HD5" s="968"/>
      <c r="HE5" s="968"/>
      <c r="HF5" s="968"/>
      <c r="HG5" s="968"/>
      <c r="HH5" s="968"/>
      <c r="HI5" s="968"/>
      <c r="HJ5" s="968"/>
      <c r="HK5" s="968"/>
      <c r="HL5" s="968"/>
      <c r="HM5" s="968"/>
      <c r="HN5" s="968"/>
      <c r="HO5" s="968"/>
      <c r="HP5" s="968"/>
      <c r="HQ5" s="968"/>
      <c r="HR5" s="968"/>
      <c r="HS5" s="968"/>
      <c r="HT5" s="968"/>
      <c r="HU5" s="968"/>
      <c r="HV5" s="968"/>
      <c r="HW5" s="968"/>
      <c r="HX5" s="968"/>
      <c r="HY5" s="968"/>
      <c r="HZ5" s="968"/>
      <c r="IA5" s="968"/>
      <c r="IB5" s="968"/>
      <c r="IC5" s="968"/>
      <c r="ID5" s="968"/>
      <c r="IE5" s="968"/>
      <c r="IF5" s="968"/>
      <c r="IG5" s="968"/>
      <c r="IH5" s="968"/>
      <c r="II5" s="968"/>
      <c r="IJ5" s="968"/>
      <c r="IK5" s="968"/>
      <c r="IL5" s="968"/>
      <c r="IM5" s="968"/>
      <c r="IN5" s="968"/>
      <c r="IO5" s="968"/>
      <c r="IP5" s="968"/>
      <c r="IQ5" s="968"/>
      <c r="IR5" s="968"/>
      <c r="IS5" s="968"/>
      <c r="IT5" s="968"/>
      <c r="IU5" s="968"/>
      <c r="IV5" s="968"/>
      <c r="IW5" s="968"/>
      <c r="IX5" s="968"/>
      <c r="IY5" s="968"/>
      <c r="IZ5" s="968"/>
      <c r="JA5" s="968"/>
      <c r="JB5" s="968"/>
      <c r="JC5" s="968"/>
      <c r="JD5" s="968"/>
      <c r="JE5" s="968"/>
      <c r="JF5" s="968"/>
      <c r="JG5" s="968"/>
      <c r="JH5" s="968"/>
      <c r="JI5" s="968"/>
      <c r="JJ5" s="968"/>
      <c r="JK5" s="968"/>
      <c r="JL5" s="968"/>
      <c r="JM5" s="968"/>
      <c r="JN5" s="968"/>
      <c r="JO5" s="968"/>
      <c r="JP5" s="968"/>
      <c r="JQ5" s="968"/>
      <c r="JR5" s="968"/>
      <c r="JS5" s="968"/>
      <c r="JT5" s="968"/>
      <c r="JU5" s="968"/>
      <c r="JV5" s="968"/>
      <c r="JW5" s="968"/>
      <c r="JX5" s="968"/>
      <c r="JY5" s="968"/>
      <c r="JZ5" s="968"/>
      <c r="KA5" s="968"/>
      <c r="KB5" s="968"/>
      <c r="KC5" s="968"/>
      <c r="KD5" s="968"/>
      <c r="KE5" s="968"/>
      <c r="KF5" s="968"/>
      <c r="KG5" s="968"/>
      <c r="KH5" s="968"/>
      <c r="KI5" s="968"/>
      <c r="KJ5" s="968"/>
      <c r="KK5" s="968"/>
      <c r="KL5" s="968"/>
      <c r="KM5" s="968"/>
      <c r="KN5" s="968"/>
      <c r="KO5" s="971"/>
    </row>
    <row r="6" spans="1:301" ht="3" customHeight="1">
      <c r="A6" s="983"/>
      <c r="B6" s="968"/>
      <c r="C6" s="968"/>
      <c r="D6" s="968"/>
      <c r="E6" s="968"/>
      <c r="F6" s="968"/>
      <c r="G6" s="968"/>
      <c r="H6" s="968"/>
      <c r="I6" s="968"/>
      <c r="J6" s="968"/>
      <c r="K6" s="968"/>
      <c r="L6" s="968"/>
      <c r="M6" s="968"/>
      <c r="N6" s="968"/>
      <c r="O6" s="968"/>
      <c r="P6" s="968"/>
      <c r="Q6" s="968"/>
      <c r="R6" s="968"/>
      <c r="S6" s="968"/>
      <c r="T6" s="968"/>
      <c r="U6" s="968"/>
      <c r="V6" s="968"/>
      <c r="W6" s="968"/>
      <c r="X6" s="968"/>
      <c r="Y6" s="968"/>
      <c r="Z6" s="968"/>
      <c r="AA6" s="968"/>
      <c r="AB6" s="968"/>
      <c r="AC6" s="689"/>
      <c r="AD6" s="969"/>
      <c r="AE6" s="969"/>
      <c r="AF6" s="969"/>
      <c r="AG6" s="969"/>
      <c r="AH6" s="968"/>
      <c r="AI6" s="987"/>
      <c r="AJ6" s="968"/>
      <c r="AK6" s="968"/>
      <c r="AL6" s="968"/>
      <c r="AM6" s="968"/>
      <c r="AN6" s="968"/>
      <c r="AO6" s="968"/>
      <c r="AP6" s="968"/>
      <c r="AQ6" s="968"/>
      <c r="AR6" s="968"/>
      <c r="AS6" s="968"/>
      <c r="AT6" s="968"/>
      <c r="AU6" s="968"/>
      <c r="AV6" s="968"/>
      <c r="AW6" s="968"/>
      <c r="AX6" s="968"/>
      <c r="AY6" s="968"/>
      <c r="AZ6" s="968"/>
      <c r="BA6" s="968"/>
      <c r="BB6" s="968"/>
      <c r="BC6" s="968"/>
      <c r="BD6" s="968"/>
      <c r="BE6" s="968"/>
      <c r="BF6" s="968"/>
      <c r="BG6" s="968"/>
      <c r="BH6" s="968"/>
      <c r="BI6" s="968"/>
      <c r="BJ6" s="968"/>
      <c r="BK6" s="968"/>
      <c r="BL6" s="968"/>
      <c r="BM6" s="968"/>
      <c r="BN6" s="968"/>
      <c r="BO6" s="968"/>
      <c r="BP6" s="968"/>
      <c r="BQ6" s="968"/>
      <c r="BR6" s="968"/>
      <c r="BS6" s="968"/>
      <c r="BT6" s="968"/>
      <c r="BU6" s="968"/>
      <c r="BV6" s="968"/>
      <c r="BW6" s="968"/>
      <c r="BX6" s="968"/>
      <c r="BY6" s="968"/>
      <c r="BZ6" s="968"/>
      <c r="CA6" s="968"/>
      <c r="CB6" s="968"/>
      <c r="CC6" s="968"/>
      <c r="CD6" s="968"/>
      <c r="CE6" s="968"/>
      <c r="CF6" s="968"/>
      <c r="CG6" s="968"/>
      <c r="CH6" s="968"/>
      <c r="CI6" s="968"/>
      <c r="CJ6" s="968"/>
      <c r="CK6" s="968"/>
      <c r="CL6" s="968"/>
      <c r="CM6" s="968"/>
      <c r="CN6" s="968"/>
      <c r="CO6" s="968"/>
      <c r="CP6" s="968"/>
      <c r="CQ6" s="968"/>
      <c r="CR6" s="968"/>
      <c r="CS6" s="968"/>
      <c r="CT6" s="968"/>
      <c r="CU6" s="968"/>
      <c r="CV6" s="968"/>
      <c r="CW6" s="968"/>
      <c r="CX6" s="968"/>
      <c r="CY6" s="968"/>
      <c r="CZ6" s="968"/>
      <c r="DA6" s="968"/>
      <c r="DB6" s="968"/>
      <c r="DC6" s="968"/>
      <c r="DD6" s="968"/>
      <c r="DE6" s="968"/>
      <c r="DF6" s="968"/>
      <c r="DG6" s="968"/>
      <c r="DH6" s="968"/>
      <c r="DI6" s="968"/>
      <c r="DJ6" s="968"/>
      <c r="DK6" s="968"/>
      <c r="DL6" s="968"/>
      <c r="DM6" s="968"/>
      <c r="DN6" s="968"/>
      <c r="DO6" s="968"/>
      <c r="DP6" s="968"/>
      <c r="DQ6" s="968"/>
      <c r="DR6" s="968"/>
      <c r="DS6" s="968"/>
      <c r="DT6" s="968"/>
      <c r="DU6" s="968"/>
      <c r="DV6" s="968"/>
      <c r="DW6" s="968"/>
      <c r="DX6" s="968"/>
      <c r="DY6" s="968"/>
      <c r="DZ6" s="968"/>
      <c r="EA6" s="968"/>
      <c r="EB6" s="968"/>
      <c r="EC6" s="968"/>
      <c r="ED6" s="968"/>
      <c r="EE6" s="968"/>
      <c r="EF6" s="968"/>
      <c r="EG6" s="968"/>
      <c r="EH6" s="968"/>
      <c r="EI6" s="968"/>
      <c r="EJ6" s="968"/>
      <c r="EK6" s="968"/>
      <c r="EL6" s="968"/>
      <c r="EM6" s="968"/>
      <c r="EN6" s="968"/>
      <c r="EO6" s="968"/>
      <c r="EP6" s="968"/>
      <c r="EQ6" s="968"/>
      <c r="ER6" s="968"/>
      <c r="ES6" s="968"/>
      <c r="ET6" s="968"/>
      <c r="EU6" s="968"/>
      <c r="EV6" s="968"/>
      <c r="EW6" s="968"/>
      <c r="EX6" s="968"/>
      <c r="EY6" s="968"/>
      <c r="EZ6" s="968"/>
      <c r="FA6" s="968"/>
      <c r="FB6" s="968"/>
      <c r="FC6" s="968"/>
      <c r="FD6" s="968"/>
      <c r="FE6" s="968"/>
      <c r="FF6" s="968"/>
      <c r="FG6" s="968"/>
      <c r="FH6" s="968"/>
      <c r="FI6" s="968"/>
      <c r="FJ6" s="968"/>
      <c r="FK6" s="968"/>
      <c r="FL6" s="968"/>
      <c r="FM6" s="968"/>
      <c r="FN6" s="968"/>
      <c r="FO6" s="968"/>
      <c r="FP6" s="968"/>
      <c r="FQ6" s="968"/>
      <c r="FR6" s="968"/>
      <c r="FS6" s="968"/>
      <c r="FT6" s="968"/>
      <c r="FU6" s="968"/>
      <c r="FV6" s="968"/>
      <c r="FW6" s="968"/>
      <c r="FX6" s="968"/>
      <c r="FY6" s="968"/>
      <c r="FZ6" s="968"/>
      <c r="GA6" s="968"/>
      <c r="GB6" s="968"/>
      <c r="GC6" s="968"/>
      <c r="GD6" s="968"/>
      <c r="GE6" s="968"/>
      <c r="GF6" s="968"/>
      <c r="GG6" s="968"/>
      <c r="GH6" s="968"/>
      <c r="GI6" s="968"/>
      <c r="GJ6" s="968"/>
      <c r="GK6" s="968"/>
      <c r="GL6" s="968"/>
      <c r="GM6" s="968"/>
      <c r="GN6" s="968"/>
      <c r="GO6" s="968"/>
      <c r="GP6" s="968"/>
      <c r="GQ6" s="968"/>
      <c r="GR6" s="968"/>
      <c r="GS6" s="968"/>
      <c r="GT6" s="968"/>
      <c r="GU6" s="968"/>
      <c r="GV6" s="968"/>
      <c r="GW6" s="968"/>
      <c r="GX6" s="968"/>
      <c r="GY6" s="968"/>
      <c r="GZ6" s="968"/>
      <c r="HA6" s="968"/>
      <c r="HB6" s="968"/>
      <c r="HC6" s="968"/>
      <c r="HD6" s="968"/>
      <c r="HE6" s="968"/>
      <c r="HF6" s="968"/>
      <c r="HG6" s="968"/>
      <c r="HH6" s="968"/>
      <c r="HI6" s="968"/>
      <c r="HJ6" s="968"/>
      <c r="HK6" s="968"/>
      <c r="HL6" s="968"/>
      <c r="HM6" s="968"/>
      <c r="HN6" s="968"/>
      <c r="HO6" s="968"/>
      <c r="HP6" s="968"/>
      <c r="HQ6" s="968"/>
      <c r="HR6" s="968"/>
      <c r="HS6" s="968"/>
      <c r="HT6" s="968"/>
      <c r="HU6" s="968"/>
      <c r="HV6" s="968"/>
      <c r="HW6" s="968"/>
      <c r="HX6" s="968"/>
      <c r="HY6" s="968"/>
      <c r="HZ6" s="968"/>
      <c r="IA6" s="968"/>
      <c r="IB6" s="968"/>
      <c r="IC6" s="968"/>
      <c r="ID6" s="968"/>
      <c r="IE6" s="968"/>
      <c r="IF6" s="968"/>
      <c r="IG6" s="968"/>
      <c r="IH6" s="968"/>
      <c r="II6" s="968"/>
      <c r="IJ6" s="968"/>
      <c r="IK6" s="968"/>
      <c r="IL6" s="968"/>
      <c r="IM6" s="968"/>
      <c r="IN6" s="968"/>
      <c r="IO6" s="968"/>
      <c r="IP6" s="968"/>
      <c r="IQ6" s="968"/>
      <c r="IR6" s="968"/>
      <c r="IS6" s="968"/>
      <c r="IT6" s="968"/>
      <c r="IU6" s="968"/>
      <c r="IV6" s="968"/>
      <c r="IW6" s="968"/>
      <c r="IX6" s="968"/>
      <c r="IY6" s="968"/>
      <c r="IZ6" s="968"/>
      <c r="JA6" s="968"/>
      <c r="JB6" s="968"/>
      <c r="JC6" s="968"/>
      <c r="JD6" s="968"/>
      <c r="JE6" s="968"/>
      <c r="JF6" s="968"/>
      <c r="JG6" s="968"/>
      <c r="JH6" s="968"/>
      <c r="JI6" s="968"/>
      <c r="JJ6" s="968"/>
      <c r="JK6" s="968"/>
      <c r="JL6" s="968"/>
      <c r="JM6" s="968"/>
      <c r="JN6" s="968"/>
      <c r="JO6" s="968"/>
      <c r="JP6" s="968"/>
      <c r="JQ6" s="968"/>
      <c r="JR6" s="968"/>
      <c r="JS6" s="968"/>
      <c r="JT6" s="968"/>
      <c r="JU6" s="968"/>
      <c r="JV6" s="968"/>
      <c r="JW6" s="968"/>
      <c r="JX6" s="968"/>
      <c r="JY6" s="968"/>
      <c r="JZ6" s="968"/>
      <c r="KA6" s="968"/>
      <c r="KB6" s="968"/>
      <c r="KC6" s="968"/>
      <c r="KD6" s="968"/>
      <c r="KE6" s="968"/>
      <c r="KF6" s="968"/>
      <c r="KG6" s="968"/>
      <c r="KH6" s="968"/>
      <c r="KI6" s="968"/>
      <c r="KJ6" s="968"/>
      <c r="KK6" s="968"/>
      <c r="KL6" s="968"/>
      <c r="KM6" s="968"/>
      <c r="KN6" s="968"/>
      <c r="KO6" s="971"/>
    </row>
    <row r="7" spans="1:301" ht="3" customHeight="1">
      <c r="A7" s="983"/>
      <c r="B7" s="968"/>
      <c r="C7" s="968"/>
      <c r="D7" s="968"/>
      <c r="E7" s="968"/>
      <c r="F7" s="968"/>
      <c r="G7" s="968"/>
      <c r="H7" s="968"/>
      <c r="I7" s="968"/>
      <c r="J7" s="968"/>
      <c r="K7" s="968"/>
      <c r="L7" s="968"/>
      <c r="M7" s="968"/>
      <c r="N7" s="968"/>
      <c r="O7" s="968"/>
      <c r="P7" s="968"/>
      <c r="Q7" s="968"/>
      <c r="R7" s="968"/>
      <c r="S7" s="968"/>
      <c r="T7" s="968"/>
      <c r="U7" s="968"/>
      <c r="V7" s="968"/>
      <c r="W7" s="968"/>
      <c r="X7" s="968"/>
      <c r="Y7" s="968"/>
      <c r="Z7" s="968"/>
      <c r="AA7" s="968"/>
      <c r="AB7" s="968"/>
      <c r="AC7" s="689"/>
      <c r="AD7" s="969"/>
      <c r="AE7" s="969"/>
      <c r="AF7" s="969"/>
      <c r="AG7" s="969"/>
      <c r="AH7" s="968"/>
      <c r="AI7" s="987"/>
      <c r="AJ7" s="968"/>
      <c r="AK7" s="968"/>
      <c r="AL7" s="968"/>
      <c r="AM7" s="968"/>
      <c r="AN7" s="968"/>
      <c r="AO7" s="968"/>
      <c r="AP7" s="968"/>
      <c r="AQ7" s="968"/>
      <c r="AR7" s="968"/>
      <c r="AS7" s="968"/>
      <c r="AT7" s="968"/>
      <c r="AU7" s="968"/>
      <c r="AV7" s="968"/>
      <c r="AW7" s="968"/>
      <c r="AX7" s="968"/>
      <c r="AY7" s="968"/>
      <c r="AZ7" s="968"/>
      <c r="BA7" s="968"/>
      <c r="BB7" s="968"/>
      <c r="BC7" s="968"/>
      <c r="BD7" s="968"/>
      <c r="BE7" s="968"/>
      <c r="BF7" s="968"/>
      <c r="BG7" s="968"/>
      <c r="BH7" s="968"/>
      <c r="BI7" s="968"/>
      <c r="BJ7" s="968"/>
      <c r="BK7" s="968"/>
      <c r="BL7" s="968"/>
      <c r="BM7" s="968"/>
      <c r="BN7" s="968"/>
      <c r="BO7" s="968"/>
      <c r="BP7" s="968"/>
      <c r="BQ7" s="968"/>
      <c r="BR7" s="968"/>
      <c r="BS7" s="968"/>
      <c r="BT7" s="968"/>
      <c r="BU7" s="968"/>
      <c r="BV7" s="968"/>
      <c r="BW7" s="968"/>
      <c r="BX7" s="968"/>
      <c r="BY7" s="968"/>
      <c r="BZ7" s="968"/>
      <c r="CA7" s="968"/>
      <c r="CB7" s="968"/>
      <c r="CC7" s="968"/>
      <c r="CD7" s="968"/>
      <c r="CE7" s="968"/>
      <c r="CF7" s="968"/>
      <c r="CG7" s="968"/>
      <c r="CH7" s="968"/>
      <c r="CI7" s="968"/>
      <c r="CJ7" s="968"/>
      <c r="CK7" s="968"/>
      <c r="CL7" s="968"/>
      <c r="CM7" s="968"/>
      <c r="CN7" s="968"/>
      <c r="CO7" s="968"/>
      <c r="CP7" s="968"/>
      <c r="CQ7" s="968"/>
      <c r="CR7" s="968"/>
      <c r="CS7" s="968"/>
      <c r="CT7" s="968"/>
      <c r="CU7" s="968"/>
      <c r="CV7" s="968"/>
      <c r="CW7" s="968"/>
      <c r="CX7" s="968"/>
      <c r="CY7" s="968"/>
      <c r="CZ7" s="968"/>
      <c r="DA7" s="968"/>
      <c r="DB7" s="968"/>
      <c r="DC7" s="968"/>
      <c r="DD7" s="968"/>
      <c r="DE7" s="968"/>
      <c r="DF7" s="968"/>
      <c r="DG7" s="968"/>
      <c r="DH7" s="968"/>
      <c r="DI7" s="968"/>
      <c r="DJ7" s="968"/>
      <c r="DK7" s="968"/>
      <c r="DL7" s="968"/>
      <c r="DM7" s="968"/>
      <c r="DN7" s="968"/>
      <c r="DO7" s="968"/>
      <c r="DP7" s="968"/>
      <c r="DQ7" s="968"/>
      <c r="DR7" s="968"/>
      <c r="DS7" s="968"/>
      <c r="DT7" s="968"/>
      <c r="DU7" s="968"/>
      <c r="DV7" s="968"/>
      <c r="DW7" s="968"/>
      <c r="DX7" s="968"/>
      <c r="DY7" s="968"/>
      <c r="DZ7" s="968"/>
      <c r="EA7" s="968"/>
      <c r="EB7" s="968"/>
      <c r="EC7" s="968"/>
      <c r="ED7" s="968"/>
      <c r="EE7" s="968"/>
      <c r="EF7" s="968"/>
      <c r="EG7" s="968"/>
      <c r="EH7" s="968"/>
      <c r="EI7" s="968"/>
      <c r="EJ7" s="968"/>
      <c r="EK7" s="968"/>
      <c r="EL7" s="968"/>
      <c r="EM7" s="968"/>
      <c r="EN7" s="968"/>
      <c r="EO7" s="968"/>
      <c r="EP7" s="968"/>
      <c r="EQ7" s="968"/>
      <c r="ER7" s="968"/>
      <c r="ES7" s="968"/>
      <c r="ET7" s="968"/>
      <c r="EU7" s="968"/>
      <c r="EV7" s="968"/>
      <c r="EW7" s="968"/>
      <c r="EX7" s="968"/>
      <c r="EY7" s="968"/>
      <c r="EZ7" s="968"/>
      <c r="FA7" s="968"/>
      <c r="FB7" s="968"/>
      <c r="FC7" s="968"/>
      <c r="FD7" s="968"/>
      <c r="FE7" s="968"/>
      <c r="FF7" s="968"/>
      <c r="FG7" s="968"/>
      <c r="FH7" s="968"/>
      <c r="FI7" s="968"/>
      <c r="FJ7" s="968"/>
      <c r="FK7" s="968"/>
      <c r="FL7" s="968"/>
      <c r="FM7" s="968"/>
      <c r="FN7" s="968"/>
      <c r="FO7" s="968"/>
      <c r="FP7" s="968"/>
      <c r="FQ7" s="968"/>
      <c r="FR7" s="968"/>
      <c r="FS7" s="968"/>
      <c r="FT7" s="968"/>
      <c r="FU7" s="968"/>
      <c r="FV7" s="968"/>
      <c r="FW7" s="968"/>
      <c r="FX7" s="968"/>
      <c r="FY7" s="968"/>
      <c r="FZ7" s="968"/>
      <c r="GA7" s="968"/>
      <c r="GB7" s="968"/>
      <c r="GC7" s="968"/>
      <c r="GD7" s="968"/>
      <c r="GE7" s="968"/>
      <c r="GF7" s="968"/>
      <c r="GG7" s="968"/>
      <c r="GH7" s="968"/>
      <c r="GI7" s="968"/>
      <c r="GJ7" s="968"/>
      <c r="GK7" s="968"/>
      <c r="GL7" s="968"/>
      <c r="GM7" s="968"/>
      <c r="GN7" s="968"/>
      <c r="GO7" s="968"/>
      <c r="GP7" s="968"/>
      <c r="GQ7" s="968"/>
      <c r="GR7" s="968"/>
      <c r="GS7" s="968"/>
      <c r="GT7" s="968"/>
      <c r="GU7" s="968"/>
      <c r="GV7" s="968"/>
      <c r="GW7" s="968"/>
      <c r="GX7" s="968"/>
      <c r="GY7" s="968"/>
      <c r="GZ7" s="968"/>
      <c r="HA7" s="968"/>
      <c r="HB7" s="968"/>
      <c r="HC7" s="968"/>
      <c r="HD7" s="968"/>
      <c r="HE7" s="968"/>
      <c r="HF7" s="968"/>
      <c r="HG7" s="968"/>
      <c r="HH7" s="968"/>
      <c r="HI7" s="968"/>
      <c r="HJ7" s="968"/>
      <c r="HK7" s="968"/>
      <c r="HL7" s="968"/>
      <c r="HM7" s="968"/>
      <c r="HN7" s="968"/>
      <c r="HO7" s="968"/>
      <c r="HP7" s="968"/>
      <c r="HQ7" s="968"/>
      <c r="HR7" s="968"/>
      <c r="HS7" s="968"/>
      <c r="HT7" s="968"/>
      <c r="HU7" s="968"/>
      <c r="HV7" s="968"/>
      <c r="HW7" s="968"/>
      <c r="HX7" s="968"/>
      <c r="HY7" s="968"/>
      <c r="HZ7" s="968"/>
      <c r="IA7" s="968"/>
      <c r="IB7" s="968"/>
      <c r="IC7" s="968"/>
      <c r="ID7" s="968"/>
      <c r="IE7" s="968"/>
      <c r="IF7" s="968"/>
      <c r="IG7" s="968"/>
      <c r="IH7" s="968"/>
      <c r="II7" s="968"/>
      <c r="IJ7" s="968"/>
      <c r="IK7" s="968"/>
      <c r="IL7" s="968"/>
      <c r="IM7" s="968"/>
      <c r="IN7" s="968"/>
      <c r="IO7" s="968"/>
      <c r="IP7" s="968"/>
      <c r="IQ7" s="968"/>
      <c r="IR7" s="968"/>
      <c r="IS7" s="968"/>
      <c r="IT7" s="968"/>
      <c r="IU7" s="968"/>
      <c r="IV7" s="968"/>
      <c r="IW7" s="968"/>
      <c r="IX7" s="968"/>
      <c r="IY7" s="968"/>
      <c r="IZ7" s="968"/>
      <c r="JA7" s="968"/>
      <c r="JB7" s="968"/>
      <c r="JC7" s="968"/>
      <c r="JD7" s="968"/>
      <c r="JE7" s="968"/>
      <c r="JF7" s="968"/>
      <c r="JG7" s="968"/>
      <c r="JH7" s="968"/>
      <c r="JI7" s="968"/>
      <c r="JJ7" s="968"/>
      <c r="JK7" s="968"/>
      <c r="JL7" s="968"/>
      <c r="JM7" s="968"/>
      <c r="JN7" s="968"/>
      <c r="JO7" s="968"/>
      <c r="JP7" s="968"/>
      <c r="JQ7" s="968"/>
      <c r="JR7" s="968"/>
      <c r="JS7" s="968"/>
      <c r="JT7" s="968"/>
      <c r="JU7" s="968"/>
      <c r="JV7" s="968"/>
      <c r="JW7" s="968"/>
      <c r="JX7" s="968"/>
      <c r="JY7" s="968"/>
      <c r="JZ7" s="968"/>
      <c r="KA7" s="968"/>
      <c r="KB7" s="968"/>
      <c r="KC7" s="968"/>
      <c r="KD7" s="968"/>
      <c r="KE7" s="968"/>
      <c r="KF7" s="968"/>
      <c r="KG7" s="968"/>
      <c r="KH7" s="968"/>
      <c r="KI7" s="968"/>
      <c r="KJ7" s="968"/>
      <c r="KK7" s="968"/>
      <c r="KL7" s="968"/>
      <c r="KM7" s="968"/>
      <c r="KN7" s="968"/>
      <c r="KO7" s="971"/>
    </row>
    <row r="8" spans="1:301" ht="3" customHeight="1">
      <c r="A8" s="983"/>
      <c r="B8" s="968"/>
      <c r="C8" s="968"/>
      <c r="D8" s="968"/>
      <c r="E8" s="968"/>
      <c r="F8" s="968"/>
      <c r="G8" s="968"/>
      <c r="H8" s="968"/>
      <c r="I8" s="968"/>
      <c r="J8" s="968"/>
      <c r="K8" s="968"/>
      <c r="L8" s="968"/>
      <c r="M8" s="968"/>
      <c r="N8" s="968"/>
      <c r="O8" s="968"/>
      <c r="P8" s="968"/>
      <c r="Q8" s="968"/>
      <c r="R8" s="968"/>
      <c r="S8" s="968"/>
      <c r="T8" s="968"/>
      <c r="U8" s="968"/>
      <c r="V8" s="968"/>
      <c r="W8" s="968"/>
      <c r="X8" s="968"/>
      <c r="Y8" s="968"/>
      <c r="Z8" s="968"/>
      <c r="AA8" s="968"/>
      <c r="AB8" s="968"/>
      <c r="AC8" s="689"/>
      <c r="AD8" s="969"/>
      <c r="AE8" s="969"/>
      <c r="AF8" s="969"/>
      <c r="AG8" s="969"/>
      <c r="AH8" s="968"/>
      <c r="AI8" s="987"/>
      <c r="AJ8" s="968"/>
      <c r="AK8" s="968"/>
      <c r="AL8" s="968"/>
      <c r="AM8" s="968"/>
      <c r="AN8" s="968"/>
      <c r="AO8" s="968"/>
      <c r="AP8" s="968"/>
      <c r="AQ8" s="968"/>
      <c r="AR8" s="968"/>
      <c r="AS8" s="968"/>
      <c r="AT8" s="968"/>
      <c r="AU8" s="968"/>
      <c r="AV8" s="968"/>
      <c r="AW8" s="968"/>
      <c r="AX8" s="968"/>
      <c r="AY8" s="968"/>
      <c r="AZ8" s="968"/>
      <c r="BA8" s="968"/>
      <c r="BB8" s="968"/>
      <c r="BC8" s="968"/>
      <c r="BD8" s="968"/>
      <c r="BE8" s="968"/>
      <c r="BF8" s="968"/>
      <c r="BG8" s="968"/>
      <c r="BH8" s="968"/>
      <c r="BI8" s="968"/>
      <c r="BJ8" s="968"/>
      <c r="BK8" s="968"/>
      <c r="BL8" s="968"/>
      <c r="BM8" s="968"/>
      <c r="BN8" s="968"/>
      <c r="BO8" s="968"/>
      <c r="BP8" s="968"/>
      <c r="BQ8" s="968"/>
      <c r="BR8" s="968"/>
      <c r="BS8" s="968"/>
      <c r="BT8" s="968"/>
      <c r="BU8" s="968"/>
      <c r="BV8" s="968"/>
      <c r="BW8" s="968"/>
      <c r="BX8" s="968"/>
      <c r="BY8" s="968"/>
      <c r="BZ8" s="968"/>
      <c r="CA8" s="968"/>
      <c r="CB8" s="968"/>
      <c r="CC8" s="968"/>
      <c r="CD8" s="968"/>
      <c r="CE8" s="968"/>
      <c r="CF8" s="968"/>
      <c r="CG8" s="968"/>
      <c r="CH8" s="968"/>
      <c r="CI8" s="968"/>
      <c r="CJ8" s="968"/>
      <c r="CK8" s="968"/>
      <c r="CL8" s="968"/>
      <c r="CM8" s="968"/>
      <c r="CN8" s="968"/>
      <c r="CO8" s="968"/>
      <c r="CP8" s="968"/>
      <c r="CQ8" s="968"/>
      <c r="CR8" s="968"/>
      <c r="CS8" s="968"/>
      <c r="CT8" s="968"/>
      <c r="CU8" s="968"/>
      <c r="CV8" s="968"/>
      <c r="CW8" s="968"/>
      <c r="CX8" s="968"/>
      <c r="CY8" s="968"/>
      <c r="CZ8" s="968"/>
      <c r="DA8" s="968"/>
      <c r="DB8" s="968"/>
      <c r="DC8" s="968"/>
      <c r="DD8" s="968"/>
      <c r="DE8" s="968"/>
      <c r="DF8" s="968"/>
      <c r="DG8" s="968"/>
      <c r="DH8" s="968"/>
      <c r="DI8" s="968"/>
      <c r="DJ8" s="968"/>
      <c r="DK8" s="968"/>
      <c r="DL8" s="968"/>
      <c r="DM8" s="968"/>
      <c r="DN8" s="968"/>
      <c r="DO8" s="968"/>
      <c r="DP8" s="968"/>
      <c r="DQ8" s="968"/>
      <c r="DR8" s="968"/>
      <c r="DS8" s="968"/>
      <c r="DT8" s="968"/>
      <c r="DU8" s="968"/>
      <c r="DV8" s="968"/>
      <c r="DW8" s="968"/>
      <c r="DX8" s="968"/>
      <c r="DY8" s="968"/>
      <c r="DZ8" s="968"/>
      <c r="EA8" s="968"/>
      <c r="EB8" s="968"/>
      <c r="EC8" s="968"/>
      <c r="ED8" s="968"/>
      <c r="EE8" s="968"/>
      <c r="EF8" s="968"/>
      <c r="EG8" s="968"/>
      <c r="EH8" s="968"/>
      <c r="EI8" s="968"/>
      <c r="EJ8" s="968"/>
      <c r="EK8" s="968"/>
      <c r="EL8" s="968"/>
      <c r="EM8" s="968"/>
      <c r="EN8" s="968"/>
      <c r="EO8" s="968"/>
      <c r="EP8" s="968"/>
      <c r="EQ8" s="968"/>
      <c r="ER8" s="968"/>
      <c r="ES8" s="968"/>
      <c r="ET8" s="968"/>
      <c r="EU8" s="968"/>
      <c r="EV8" s="968"/>
      <c r="EW8" s="968"/>
      <c r="EX8" s="968"/>
      <c r="EY8" s="968"/>
      <c r="EZ8" s="968"/>
      <c r="FA8" s="968"/>
      <c r="FB8" s="968"/>
      <c r="FC8" s="968"/>
      <c r="FD8" s="968"/>
      <c r="FE8" s="968"/>
      <c r="FF8" s="968"/>
      <c r="FG8" s="968"/>
      <c r="FH8" s="968"/>
      <c r="FI8" s="968"/>
      <c r="FJ8" s="968"/>
      <c r="FK8" s="968"/>
      <c r="FL8" s="968"/>
      <c r="FM8" s="968"/>
      <c r="FN8" s="968"/>
      <c r="FO8" s="968"/>
      <c r="FP8" s="968"/>
      <c r="FQ8" s="968"/>
      <c r="FR8" s="968"/>
      <c r="FS8" s="968"/>
      <c r="FT8" s="968"/>
      <c r="FU8" s="968"/>
      <c r="FV8" s="968"/>
      <c r="FW8" s="968"/>
      <c r="FX8" s="968"/>
      <c r="FY8" s="968"/>
      <c r="FZ8" s="968"/>
      <c r="GA8" s="968"/>
      <c r="GB8" s="968"/>
      <c r="GC8" s="968"/>
      <c r="GD8" s="968"/>
      <c r="GE8" s="968"/>
      <c r="GF8" s="968"/>
      <c r="GG8" s="968"/>
      <c r="GH8" s="968"/>
      <c r="GI8" s="968"/>
      <c r="GJ8" s="968"/>
      <c r="GK8" s="968"/>
      <c r="GL8" s="968"/>
      <c r="GM8" s="968"/>
      <c r="GN8" s="968"/>
      <c r="GO8" s="968"/>
      <c r="GP8" s="968"/>
      <c r="GQ8" s="968"/>
      <c r="GR8" s="968"/>
      <c r="GS8" s="968"/>
      <c r="GT8" s="968"/>
      <c r="GU8" s="968"/>
      <c r="GV8" s="968"/>
      <c r="GW8" s="968"/>
      <c r="GX8" s="968"/>
      <c r="GY8" s="968"/>
      <c r="GZ8" s="968"/>
      <c r="HA8" s="968"/>
      <c r="HB8" s="968"/>
      <c r="HC8" s="968"/>
      <c r="HD8" s="968"/>
      <c r="HE8" s="968"/>
      <c r="HF8" s="968"/>
      <c r="HG8" s="968"/>
      <c r="HH8" s="968"/>
      <c r="HI8" s="968"/>
      <c r="HJ8" s="968"/>
      <c r="HK8" s="968"/>
      <c r="HL8" s="968"/>
      <c r="HM8" s="968"/>
      <c r="HN8" s="968"/>
      <c r="HO8" s="968"/>
      <c r="HP8" s="968"/>
      <c r="HQ8" s="968"/>
      <c r="HR8" s="968"/>
      <c r="HS8" s="968"/>
      <c r="HT8" s="968"/>
      <c r="HU8" s="968"/>
      <c r="HV8" s="968"/>
      <c r="HW8" s="968"/>
      <c r="HX8" s="968"/>
      <c r="HY8" s="968"/>
      <c r="HZ8" s="968"/>
      <c r="IA8" s="968"/>
      <c r="IB8" s="968"/>
      <c r="IC8" s="968"/>
      <c r="ID8" s="968"/>
      <c r="IE8" s="968"/>
      <c r="IF8" s="968"/>
      <c r="IG8" s="968"/>
      <c r="IH8" s="968"/>
      <c r="II8" s="968"/>
      <c r="IJ8" s="968"/>
      <c r="IK8" s="968"/>
      <c r="IL8" s="968"/>
      <c r="IM8" s="968"/>
      <c r="IN8" s="968"/>
      <c r="IO8" s="968"/>
      <c r="IP8" s="968"/>
      <c r="IQ8" s="968"/>
      <c r="IR8" s="968"/>
      <c r="IS8" s="968"/>
      <c r="IT8" s="968"/>
      <c r="IU8" s="968"/>
      <c r="IV8" s="968"/>
      <c r="IW8" s="968"/>
      <c r="IX8" s="968"/>
      <c r="IY8" s="968"/>
      <c r="IZ8" s="968"/>
      <c r="JA8" s="968"/>
      <c r="JB8" s="968"/>
      <c r="JC8" s="968"/>
      <c r="JD8" s="968"/>
      <c r="JE8" s="968"/>
      <c r="JF8" s="968"/>
      <c r="JG8" s="968"/>
      <c r="JH8" s="968"/>
      <c r="JI8" s="968"/>
      <c r="JJ8" s="968"/>
      <c r="JK8" s="968"/>
      <c r="JL8" s="968"/>
      <c r="JM8" s="968"/>
      <c r="JN8" s="968"/>
      <c r="JO8" s="968"/>
      <c r="JP8" s="968"/>
      <c r="JQ8" s="968"/>
      <c r="JR8" s="968"/>
      <c r="JS8" s="968"/>
      <c r="JT8" s="968"/>
      <c r="JU8" s="968"/>
      <c r="JV8" s="968"/>
      <c r="JW8" s="968"/>
      <c r="JX8" s="968"/>
      <c r="JY8" s="968"/>
      <c r="JZ8" s="968"/>
      <c r="KA8" s="968"/>
      <c r="KB8" s="968"/>
      <c r="KC8" s="968"/>
      <c r="KD8" s="968"/>
      <c r="KE8" s="968"/>
      <c r="KF8" s="968"/>
      <c r="KG8" s="968"/>
      <c r="KH8" s="968"/>
      <c r="KI8" s="968"/>
      <c r="KJ8" s="968"/>
      <c r="KK8" s="968"/>
      <c r="KL8" s="968"/>
      <c r="KM8" s="968"/>
      <c r="KN8" s="968"/>
      <c r="KO8" s="971"/>
    </row>
    <row r="9" spans="1:301" ht="3" customHeight="1">
      <c r="A9" s="983"/>
      <c r="B9" s="968"/>
      <c r="C9" s="968"/>
      <c r="D9" s="968"/>
      <c r="E9" s="968"/>
      <c r="F9" s="968"/>
      <c r="G9" s="968"/>
      <c r="H9" s="968"/>
      <c r="I9" s="968"/>
      <c r="J9" s="968"/>
      <c r="K9" s="968"/>
      <c r="L9" s="968"/>
      <c r="M9" s="968"/>
      <c r="N9" s="968"/>
      <c r="O9" s="968"/>
      <c r="P9" s="968"/>
      <c r="Q9" s="968"/>
      <c r="R9" s="968"/>
      <c r="S9" s="968"/>
      <c r="T9" s="968"/>
      <c r="U9" s="968"/>
      <c r="V9" s="968"/>
      <c r="W9" s="968"/>
      <c r="X9" s="968"/>
      <c r="Y9" s="968"/>
      <c r="Z9" s="968"/>
      <c r="AA9" s="968"/>
      <c r="AB9" s="968"/>
      <c r="AC9" s="689"/>
      <c r="AD9" s="969"/>
      <c r="AE9" s="969"/>
      <c r="AF9" s="969"/>
      <c r="AG9" s="969"/>
      <c r="AH9" s="968"/>
      <c r="AI9" s="987"/>
      <c r="AJ9" s="968"/>
      <c r="AK9" s="968"/>
      <c r="AL9" s="968"/>
      <c r="AM9" s="968"/>
      <c r="AN9" s="968"/>
      <c r="AO9" s="968"/>
      <c r="AP9" s="968"/>
      <c r="AQ9" s="968"/>
      <c r="AR9" s="968"/>
      <c r="AS9" s="968"/>
      <c r="AT9" s="968"/>
      <c r="AU9" s="968"/>
      <c r="AV9" s="968"/>
      <c r="AW9" s="968"/>
      <c r="AX9" s="968"/>
      <c r="AY9" s="968"/>
      <c r="AZ9" s="968"/>
      <c r="BA9" s="968"/>
      <c r="BB9" s="968"/>
      <c r="BC9" s="968"/>
      <c r="BD9" s="968"/>
      <c r="BE9" s="968"/>
      <c r="BF9" s="968"/>
      <c r="BG9" s="968"/>
      <c r="BH9" s="968"/>
      <c r="BI9" s="968"/>
      <c r="BJ9" s="968"/>
      <c r="BK9" s="968"/>
      <c r="BL9" s="968"/>
      <c r="BM9" s="968"/>
      <c r="BN9" s="968"/>
      <c r="BO9" s="968"/>
      <c r="BP9" s="968"/>
      <c r="BQ9" s="968"/>
      <c r="BR9" s="968"/>
      <c r="BS9" s="968"/>
      <c r="BT9" s="968"/>
      <c r="BU9" s="968"/>
      <c r="BV9" s="968"/>
      <c r="BW9" s="968"/>
      <c r="BX9" s="968"/>
      <c r="BY9" s="968"/>
      <c r="BZ9" s="968"/>
      <c r="CA9" s="968"/>
      <c r="CB9" s="968"/>
      <c r="CC9" s="968"/>
      <c r="CD9" s="968"/>
      <c r="CE9" s="968"/>
      <c r="CF9" s="968"/>
      <c r="CG9" s="968"/>
      <c r="CH9" s="968"/>
      <c r="CI9" s="968"/>
      <c r="CJ9" s="968"/>
      <c r="CK9" s="968"/>
      <c r="CL9" s="968"/>
      <c r="CM9" s="968"/>
      <c r="CN9" s="968"/>
      <c r="CO9" s="968"/>
      <c r="CP9" s="968"/>
      <c r="CQ9" s="968"/>
      <c r="CR9" s="968"/>
      <c r="CS9" s="968"/>
      <c r="CT9" s="968"/>
      <c r="CU9" s="968"/>
      <c r="CV9" s="968"/>
      <c r="CW9" s="968"/>
      <c r="CX9" s="968"/>
      <c r="CY9" s="968"/>
      <c r="CZ9" s="968"/>
      <c r="DA9" s="968"/>
      <c r="DB9" s="968"/>
      <c r="DC9" s="968"/>
      <c r="DD9" s="968"/>
      <c r="DE9" s="968"/>
      <c r="DF9" s="968"/>
      <c r="DG9" s="968"/>
      <c r="DH9" s="968"/>
      <c r="DI9" s="968"/>
      <c r="DJ9" s="968"/>
      <c r="DK9" s="968"/>
      <c r="DL9" s="968"/>
      <c r="DM9" s="968"/>
      <c r="DN9" s="968"/>
      <c r="DO9" s="968"/>
      <c r="DP9" s="968"/>
      <c r="DQ9" s="968"/>
      <c r="DR9" s="968"/>
      <c r="DS9" s="968"/>
      <c r="DT9" s="968"/>
      <c r="DU9" s="968"/>
      <c r="DV9" s="968"/>
      <c r="DW9" s="968"/>
      <c r="DX9" s="968"/>
      <c r="DY9" s="968"/>
      <c r="DZ9" s="968"/>
      <c r="EA9" s="968"/>
      <c r="EB9" s="968"/>
      <c r="EC9" s="968"/>
      <c r="ED9" s="968"/>
      <c r="EE9" s="968"/>
      <c r="EF9" s="968"/>
      <c r="EG9" s="968"/>
      <c r="EH9" s="968"/>
      <c r="EI9" s="968"/>
      <c r="EJ9" s="968"/>
      <c r="EK9" s="968"/>
      <c r="EL9" s="968"/>
      <c r="EM9" s="968"/>
      <c r="EN9" s="968"/>
      <c r="EO9" s="968"/>
      <c r="EP9" s="968"/>
      <c r="EQ9" s="968"/>
      <c r="ER9" s="968"/>
      <c r="ES9" s="968"/>
      <c r="ET9" s="968"/>
      <c r="EU9" s="968"/>
      <c r="EV9" s="968"/>
      <c r="EW9" s="968"/>
      <c r="EX9" s="968"/>
      <c r="EY9" s="968"/>
      <c r="EZ9" s="968"/>
      <c r="FA9" s="968"/>
      <c r="FB9" s="968"/>
      <c r="FC9" s="968"/>
      <c r="FD9" s="968"/>
      <c r="FE9" s="968"/>
      <c r="FF9" s="968"/>
      <c r="FG9" s="968"/>
      <c r="FH9" s="968"/>
      <c r="FI9" s="968"/>
      <c r="FJ9" s="968"/>
      <c r="FK9" s="968"/>
      <c r="FL9" s="968"/>
      <c r="FM9" s="968"/>
      <c r="FN9" s="968"/>
      <c r="FO9" s="968"/>
      <c r="FP9" s="968"/>
      <c r="FQ9" s="968"/>
      <c r="FR9" s="968"/>
      <c r="FS9" s="968"/>
      <c r="FT9" s="968"/>
      <c r="FU9" s="968"/>
      <c r="FV9" s="968"/>
      <c r="FW9" s="968"/>
      <c r="FX9" s="968"/>
      <c r="FY9" s="968"/>
      <c r="FZ9" s="968"/>
      <c r="GA9" s="968"/>
      <c r="GB9" s="968"/>
      <c r="GC9" s="968"/>
      <c r="GD9" s="968"/>
      <c r="GE9" s="968"/>
      <c r="GF9" s="968"/>
      <c r="GG9" s="968"/>
      <c r="GH9" s="968"/>
      <c r="GI9" s="968"/>
      <c r="GJ9" s="968"/>
      <c r="GK9" s="968"/>
      <c r="GL9" s="968"/>
      <c r="GM9" s="968"/>
      <c r="GN9" s="968"/>
      <c r="GO9" s="968"/>
      <c r="GP9" s="968"/>
      <c r="GQ9" s="968"/>
      <c r="GR9" s="968"/>
      <c r="GS9" s="968"/>
      <c r="GT9" s="968"/>
      <c r="GU9" s="968"/>
      <c r="GV9" s="968"/>
      <c r="GW9" s="968"/>
      <c r="GX9" s="968"/>
      <c r="GY9" s="968"/>
      <c r="GZ9" s="968"/>
      <c r="HA9" s="968"/>
      <c r="HB9" s="968"/>
      <c r="HC9" s="968"/>
      <c r="HD9" s="968"/>
      <c r="HE9" s="968"/>
      <c r="HF9" s="968"/>
      <c r="HG9" s="968"/>
      <c r="HH9" s="968"/>
      <c r="HI9" s="968"/>
      <c r="HJ9" s="968"/>
      <c r="HK9" s="968"/>
      <c r="HL9" s="968"/>
      <c r="HM9" s="968"/>
      <c r="HN9" s="968"/>
      <c r="HO9" s="968"/>
      <c r="HP9" s="968"/>
      <c r="HQ9" s="968"/>
      <c r="HR9" s="968"/>
      <c r="HS9" s="968"/>
      <c r="HT9" s="968"/>
      <c r="HU9" s="968"/>
      <c r="HV9" s="968"/>
      <c r="HW9" s="968"/>
      <c r="HX9" s="968"/>
      <c r="HY9" s="968"/>
      <c r="HZ9" s="968"/>
      <c r="IA9" s="968"/>
      <c r="IB9" s="968"/>
      <c r="IC9" s="968"/>
      <c r="ID9" s="968"/>
      <c r="IE9" s="968"/>
      <c r="IF9" s="968"/>
      <c r="IG9" s="968"/>
      <c r="IH9" s="968"/>
      <c r="II9" s="968"/>
      <c r="IJ9" s="968"/>
      <c r="IK9" s="968"/>
      <c r="IL9" s="968"/>
      <c r="IM9" s="968"/>
      <c r="IN9" s="968"/>
      <c r="IO9" s="968"/>
      <c r="IP9" s="968"/>
      <c r="IQ9" s="968"/>
      <c r="IR9" s="968"/>
      <c r="IS9" s="968"/>
      <c r="IT9" s="968"/>
      <c r="IU9" s="968"/>
      <c r="IV9" s="968"/>
      <c r="IW9" s="968"/>
      <c r="IX9" s="968"/>
      <c r="IY9" s="968"/>
      <c r="IZ9" s="968"/>
      <c r="JA9" s="968"/>
      <c r="JB9" s="968"/>
      <c r="JC9" s="968"/>
      <c r="JD9" s="968"/>
      <c r="JE9" s="968"/>
      <c r="JF9" s="968"/>
      <c r="JG9" s="968"/>
      <c r="JH9" s="968"/>
      <c r="JI9" s="968"/>
      <c r="JJ9" s="968"/>
      <c r="JK9" s="968"/>
      <c r="JL9" s="968"/>
      <c r="JM9" s="968"/>
      <c r="JN9" s="968"/>
      <c r="JO9" s="968"/>
      <c r="JP9" s="968"/>
      <c r="JQ9" s="968"/>
      <c r="JR9" s="968"/>
      <c r="JS9" s="968"/>
      <c r="JT9" s="968"/>
      <c r="JU9" s="968"/>
      <c r="JV9" s="968"/>
      <c r="JW9" s="968"/>
      <c r="JX9" s="968"/>
      <c r="JY9" s="968"/>
      <c r="JZ9" s="968"/>
      <c r="KA9" s="968"/>
      <c r="KB9" s="968"/>
      <c r="KC9" s="968"/>
      <c r="KD9" s="968"/>
      <c r="KE9" s="968"/>
      <c r="KF9" s="968"/>
      <c r="KG9" s="968"/>
      <c r="KH9" s="968"/>
      <c r="KI9" s="968"/>
      <c r="KJ9" s="968"/>
      <c r="KK9" s="968"/>
      <c r="KL9" s="968"/>
      <c r="KM9" s="968"/>
      <c r="KN9" s="968"/>
      <c r="KO9" s="971"/>
    </row>
    <row r="10" spans="1:301" ht="3" customHeight="1">
      <c r="A10" s="988"/>
      <c r="B10" s="968"/>
      <c r="C10" s="968"/>
      <c r="D10" s="968"/>
      <c r="E10" s="968"/>
      <c r="F10" s="968"/>
      <c r="G10" s="968"/>
      <c r="H10" s="968"/>
      <c r="I10" s="968"/>
      <c r="J10" s="968"/>
      <c r="K10" s="968"/>
      <c r="L10" s="968"/>
      <c r="M10" s="968"/>
      <c r="N10" s="968"/>
      <c r="O10" s="968"/>
      <c r="P10" s="968"/>
      <c r="Q10" s="968"/>
      <c r="R10" s="968"/>
      <c r="S10" s="968"/>
      <c r="T10" s="968"/>
      <c r="U10" s="968"/>
      <c r="V10" s="968"/>
      <c r="W10" s="968"/>
      <c r="X10" s="968"/>
      <c r="Y10" s="968"/>
      <c r="Z10" s="968"/>
      <c r="AA10" s="968"/>
      <c r="AB10" s="968"/>
      <c r="AC10" s="689"/>
      <c r="AD10" s="969"/>
      <c r="AE10" s="969"/>
      <c r="AF10" s="969"/>
      <c r="AG10" s="969"/>
      <c r="AH10" s="968"/>
      <c r="AI10" s="987"/>
      <c r="AJ10" s="968"/>
      <c r="AK10" s="968"/>
      <c r="AL10" s="968"/>
      <c r="AM10" s="968"/>
      <c r="AN10" s="968"/>
      <c r="AO10" s="968"/>
      <c r="AP10" s="968"/>
      <c r="AQ10" s="968"/>
      <c r="AR10" s="968"/>
      <c r="AS10" s="968"/>
      <c r="AT10" s="968"/>
      <c r="AU10" s="968"/>
      <c r="AV10" s="968"/>
      <c r="AW10" s="968"/>
      <c r="AX10" s="968"/>
      <c r="AY10" s="968"/>
      <c r="AZ10" s="968"/>
      <c r="BA10" s="968"/>
      <c r="BB10" s="968"/>
      <c r="BC10" s="968"/>
      <c r="BD10" s="968"/>
      <c r="BE10" s="968"/>
      <c r="BF10" s="968"/>
      <c r="BG10" s="968"/>
      <c r="BH10" s="968"/>
      <c r="BI10" s="968"/>
      <c r="BJ10" s="968"/>
      <c r="BK10" s="968"/>
      <c r="BL10" s="968"/>
      <c r="BM10" s="968"/>
      <c r="BN10" s="968"/>
      <c r="BO10" s="968"/>
      <c r="BP10" s="968"/>
      <c r="BQ10" s="968"/>
      <c r="BR10" s="968"/>
      <c r="BS10" s="968"/>
      <c r="BT10" s="968"/>
      <c r="BU10" s="968"/>
      <c r="BV10" s="968"/>
      <c r="BW10" s="968"/>
      <c r="BX10" s="968"/>
      <c r="BY10" s="968"/>
      <c r="BZ10" s="968"/>
      <c r="CA10" s="968"/>
      <c r="CB10" s="968"/>
      <c r="CC10" s="968"/>
      <c r="CD10" s="968"/>
      <c r="CE10" s="968"/>
      <c r="CF10" s="968"/>
      <c r="CG10" s="968"/>
      <c r="CH10" s="968"/>
      <c r="CI10" s="968"/>
      <c r="CJ10" s="968"/>
      <c r="CK10" s="968"/>
      <c r="CL10" s="968"/>
      <c r="CM10" s="968"/>
      <c r="CN10" s="968"/>
      <c r="CO10" s="968"/>
      <c r="CP10" s="968"/>
      <c r="CQ10" s="968"/>
      <c r="CR10" s="968"/>
      <c r="CS10" s="968"/>
      <c r="CT10" s="968"/>
      <c r="CU10" s="968"/>
      <c r="CV10" s="968"/>
      <c r="CW10" s="968"/>
      <c r="CX10" s="968"/>
      <c r="CY10" s="968"/>
      <c r="CZ10" s="968"/>
      <c r="DA10" s="968"/>
      <c r="DB10" s="968"/>
      <c r="DC10" s="968"/>
      <c r="DD10" s="968"/>
      <c r="DE10" s="968"/>
      <c r="DF10" s="968"/>
      <c r="DG10" s="968"/>
      <c r="DH10" s="968"/>
      <c r="DI10" s="968"/>
      <c r="DJ10" s="968"/>
      <c r="DK10" s="968"/>
      <c r="DL10" s="968"/>
      <c r="DM10" s="968"/>
      <c r="DN10" s="968"/>
      <c r="DO10" s="968"/>
      <c r="DP10" s="968"/>
      <c r="DQ10" s="968"/>
      <c r="DR10" s="968"/>
      <c r="DS10" s="968"/>
      <c r="DT10" s="968"/>
      <c r="DU10" s="968"/>
      <c r="DV10" s="968"/>
      <c r="DW10" s="968"/>
      <c r="DX10" s="968"/>
      <c r="DY10" s="968"/>
      <c r="DZ10" s="968"/>
      <c r="EA10" s="968"/>
      <c r="EB10" s="968"/>
      <c r="EC10" s="968"/>
      <c r="ED10" s="968"/>
      <c r="EE10" s="968"/>
      <c r="EF10" s="968"/>
      <c r="EG10" s="968"/>
      <c r="EH10" s="968"/>
      <c r="EI10" s="968"/>
      <c r="EJ10" s="968"/>
      <c r="EK10" s="968"/>
      <c r="EL10" s="968"/>
      <c r="EM10" s="968"/>
      <c r="EN10" s="968"/>
      <c r="EO10" s="968"/>
      <c r="EP10" s="968"/>
      <c r="EQ10" s="968"/>
      <c r="ER10" s="968"/>
      <c r="ES10" s="968"/>
      <c r="ET10" s="968"/>
      <c r="EU10" s="968"/>
      <c r="EV10" s="968"/>
      <c r="EW10" s="968"/>
      <c r="EX10" s="968"/>
      <c r="EY10" s="968"/>
      <c r="EZ10" s="968"/>
      <c r="FA10" s="968"/>
      <c r="FB10" s="968"/>
      <c r="FC10" s="968"/>
      <c r="FD10" s="968"/>
      <c r="FE10" s="968"/>
      <c r="FF10" s="968"/>
      <c r="FG10" s="968"/>
      <c r="FH10" s="968"/>
      <c r="FI10" s="968"/>
      <c r="FJ10" s="968"/>
      <c r="FK10" s="968"/>
      <c r="FL10" s="968"/>
      <c r="FM10" s="968"/>
      <c r="FN10" s="968"/>
      <c r="FO10" s="968"/>
      <c r="FP10" s="968"/>
      <c r="FQ10" s="968"/>
      <c r="FR10" s="968"/>
      <c r="FS10" s="968"/>
      <c r="FT10" s="968"/>
      <c r="FU10" s="968"/>
      <c r="FV10" s="968"/>
      <c r="FW10" s="968"/>
      <c r="FX10" s="968"/>
      <c r="FY10" s="968"/>
      <c r="FZ10" s="968"/>
      <c r="GA10" s="968"/>
      <c r="GB10" s="968"/>
      <c r="GC10" s="968"/>
      <c r="GD10" s="968"/>
      <c r="GE10" s="968"/>
      <c r="GF10" s="968"/>
      <c r="GG10" s="968"/>
      <c r="GH10" s="968"/>
      <c r="GI10" s="968"/>
      <c r="GJ10" s="968"/>
      <c r="GK10" s="968"/>
      <c r="GL10" s="968"/>
      <c r="GM10" s="968"/>
      <c r="GN10" s="968"/>
      <c r="GO10" s="968"/>
      <c r="GP10" s="968"/>
      <c r="GQ10" s="968"/>
      <c r="GR10" s="968"/>
      <c r="GS10" s="968"/>
      <c r="GT10" s="968"/>
      <c r="GU10" s="968"/>
      <c r="GV10" s="968"/>
      <c r="GW10" s="968"/>
      <c r="GX10" s="968"/>
      <c r="GY10" s="968"/>
      <c r="GZ10" s="968"/>
      <c r="HA10" s="968"/>
      <c r="HB10" s="968"/>
      <c r="HC10" s="968"/>
      <c r="HD10" s="968"/>
      <c r="HE10" s="968"/>
      <c r="HF10" s="968"/>
      <c r="HG10" s="968"/>
      <c r="HH10" s="968"/>
      <c r="HI10" s="968"/>
      <c r="HJ10" s="968"/>
      <c r="HK10" s="968"/>
      <c r="HL10" s="968"/>
      <c r="HM10" s="968"/>
      <c r="HN10" s="968"/>
      <c r="HO10" s="968"/>
      <c r="HP10" s="968"/>
      <c r="HQ10" s="968"/>
      <c r="HR10" s="968"/>
      <c r="HS10" s="968"/>
      <c r="HT10" s="968"/>
      <c r="HU10" s="968"/>
      <c r="HV10" s="968"/>
      <c r="HW10" s="968"/>
      <c r="HX10" s="968"/>
      <c r="HY10" s="968"/>
      <c r="HZ10" s="968"/>
      <c r="IA10" s="968"/>
      <c r="IB10" s="968"/>
      <c r="IC10" s="968"/>
      <c r="ID10" s="968"/>
      <c r="IE10" s="968"/>
      <c r="IF10" s="968"/>
      <c r="IG10" s="968"/>
      <c r="IH10" s="968"/>
      <c r="II10" s="968"/>
      <c r="IJ10" s="968"/>
      <c r="IK10" s="968"/>
      <c r="IL10" s="968"/>
      <c r="IM10" s="968"/>
      <c r="IN10" s="968"/>
      <c r="IO10" s="968"/>
      <c r="IP10" s="968"/>
      <c r="IQ10" s="968"/>
      <c r="IR10" s="968"/>
      <c r="IS10" s="968"/>
      <c r="IT10" s="968"/>
      <c r="IU10" s="968"/>
      <c r="IV10" s="968"/>
      <c r="IW10" s="968"/>
      <c r="IX10" s="968"/>
      <c r="IY10" s="968"/>
      <c r="IZ10" s="968"/>
      <c r="JA10" s="968"/>
      <c r="JB10" s="968"/>
      <c r="JC10" s="968"/>
      <c r="JD10" s="968"/>
      <c r="JE10" s="968"/>
      <c r="JF10" s="968"/>
      <c r="JG10" s="968"/>
      <c r="JH10" s="968"/>
      <c r="JI10" s="968"/>
      <c r="JJ10" s="968"/>
      <c r="JK10" s="968"/>
      <c r="JL10" s="968"/>
      <c r="JM10" s="968"/>
      <c r="JN10" s="968"/>
      <c r="JO10" s="968"/>
      <c r="JP10" s="968"/>
      <c r="JQ10" s="968"/>
      <c r="JR10" s="968"/>
      <c r="JS10" s="968"/>
      <c r="JT10" s="968"/>
      <c r="JU10" s="968"/>
      <c r="JV10" s="968"/>
      <c r="JW10" s="968"/>
      <c r="JX10" s="968"/>
      <c r="JY10" s="968"/>
      <c r="JZ10" s="968"/>
      <c r="KA10" s="968"/>
      <c r="KB10" s="968"/>
      <c r="KC10" s="968"/>
      <c r="KD10" s="968"/>
      <c r="KE10" s="968"/>
      <c r="KF10" s="968"/>
      <c r="KG10" s="968"/>
      <c r="KH10" s="968"/>
      <c r="KI10" s="968"/>
      <c r="KJ10" s="968"/>
      <c r="KK10" s="968"/>
      <c r="KL10" s="968"/>
      <c r="KM10" s="968"/>
      <c r="KN10" s="968"/>
      <c r="KO10" s="971"/>
    </row>
    <row r="11" spans="1:301" ht="3" customHeight="1">
      <c r="A11" s="988"/>
      <c r="B11" s="884"/>
      <c r="C11" s="884"/>
      <c r="D11" s="884"/>
      <c r="E11" s="884"/>
      <c r="F11" s="884"/>
      <c r="G11" s="884"/>
      <c r="H11" s="884"/>
      <c r="I11" s="884"/>
      <c r="J11" s="884"/>
      <c r="K11" s="884"/>
      <c r="L11" s="884"/>
      <c r="M11" s="884"/>
      <c r="N11" s="884"/>
      <c r="O11" s="884"/>
      <c r="P11" s="884"/>
      <c r="Q11" s="884"/>
      <c r="R11" s="884"/>
      <c r="S11" s="884"/>
      <c r="T11" s="906"/>
      <c r="U11" s="906"/>
      <c r="V11" s="906"/>
      <c r="W11" s="906"/>
      <c r="X11" s="902"/>
      <c r="Y11" s="902"/>
      <c r="Z11" s="902"/>
      <c r="AA11" s="902"/>
      <c r="AB11" s="984"/>
      <c r="AC11" s="990"/>
      <c r="AD11" s="893"/>
      <c r="AE11" s="893"/>
      <c r="AF11" s="893"/>
      <c r="AG11" s="893"/>
      <c r="AH11" s="884"/>
      <c r="AI11" s="907"/>
      <c r="AJ11" s="908"/>
      <c r="AK11" s="902"/>
      <c r="AL11" s="902"/>
      <c r="AM11" s="902"/>
      <c r="AN11" s="902"/>
      <c r="AO11" s="902"/>
      <c r="AP11" s="902"/>
      <c r="AQ11" s="991"/>
      <c r="AR11" s="991"/>
      <c r="AS11" s="991"/>
      <c r="AT11" s="991"/>
      <c r="AU11" s="991"/>
      <c r="AV11" s="992"/>
      <c r="AW11" s="991"/>
      <c r="AX11" s="991"/>
      <c r="AY11" s="991"/>
      <c r="AZ11" s="992"/>
      <c r="BA11" s="876"/>
      <c r="BB11" s="993"/>
      <c r="BC11" s="908"/>
      <c r="BD11" s="902"/>
      <c r="BE11" s="902"/>
      <c r="BF11" s="902"/>
      <c r="BG11" s="902"/>
      <c r="BH11" s="902"/>
      <c r="BI11" s="902"/>
      <c r="BJ11" s="991"/>
      <c r="BK11" s="991"/>
      <c r="BL11" s="991"/>
      <c r="BM11" s="991"/>
      <c r="BN11" s="991"/>
      <c r="BO11" s="992"/>
      <c r="BP11" s="991"/>
      <c r="BQ11" s="991"/>
      <c r="BR11" s="991"/>
      <c r="BS11" s="992"/>
      <c r="BT11" s="876"/>
      <c r="BU11" s="993"/>
      <c r="BV11" s="908"/>
      <c r="BW11" s="902"/>
      <c r="BX11" s="902"/>
      <c r="BY11" s="902"/>
      <c r="BZ11" s="902"/>
      <c r="CA11" s="902"/>
      <c r="CB11" s="902"/>
      <c r="CC11" s="991"/>
      <c r="CD11" s="991"/>
      <c r="CE11" s="991"/>
      <c r="CF11" s="991"/>
      <c r="CG11" s="991"/>
      <c r="CH11" s="992"/>
      <c r="CI11" s="991"/>
      <c r="CJ11" s="991"/>
      <c r="CK11" s="991"/>
      <c r="CL11" s="992"/>
      <c r="CM11" s="876"/>
      <c r="CN11" s="993"/>
      <c r="CO11" s="908"/>
      <c r="CP11" s="902"/>
      <c r="CQ11" s="902"/>
      <c r="CR11" s="902"/>
      <c r="CS11" s="902"/>
      <c r="CT11" s="902"/>
      <c r="CU11" s="902"/>
      <c r="CV11" s="991"/>
      <c r="CW11" s="991"/>
      <c r="CX11" s="991"/>
      <c r="CY11" s="991"/>
      <c r="CZ11" s="991"/>
      <c r="DA11" s="992"/>
      <c r="DB11" s="991"/>
      <c r="DC11" s="991"/>
      <c r="DD11" s="991"/>
      <c r="DE11" s="992"/>
      <c r="DF11" s="876"/>
      <c r="DG11" s="993"/>
      <c r="DH11" s="908"/>
      <c r="DI11" s="902"/>
      <c r="DJ11" s="902"/>
      <c r="DK11" s="902"/>
      <c r="DL11" s="902"/>
      <c r="DM11" s="902"/>
      <c r="DN11" s="902"/>
      <c r="DO11" s="991"/>
      <c r="DP11" s="991"/>
      <c r="DQ11" s="991"/>
      <c r="DR11" s="991"/>
      <c r="DS11" s="991"/>
      <c r="DT11" s="992"/>
      <c r="DU11" s="991"/>
      <c r="DV11" s="991"/>
      <c r="DW11" s="991"/>
      <c r="DX11" s="992"/>
      <c r="DY11" s="876"/>
      <c r="DZ11" s="993"/>
      <c r="EA11" s="908"/>
      <c r="EB11" s="902"/>
      <c r="EC11" s="902"/>
      <c r="ED11" s="902"/>
      <c r="EE11" s="902"/>
      <c r="EF11" s="902"/>
      <c r="EG11" s="902"/>
      <c r="EH11" s="991"/>
      <c r="EI11" s="991"/>
      <c r="EJ11" s="991"/>
      <c r="EK11" s="991"/>
      <c r="EL11" s="991"/>
      <c r="EM11" s="992"/>
      <c r="EN11" s="991"/>
      <c r="EO11" s="991"/>
      <c r="EP11" s="991"/>
      <c r="EQ11" s="992"/>
      <c r="ER11" s="876"/>
      <c r="ES11" s="993"/>
      <c r="ET11" s="908"/>
      <c r="EU11" s="902"/>
      <c r="EV11" s="902"/>
      <c r="EW11" s="902"/>
      <c r="EX11" s="902"/>
      <c r="EY11" s="902"/>
      <c r="EZ11" s="902"/>
      <c r="FA11" s="991"/>
      <c r="FB11" s="991"/>
      <c r="FC11" s="991"/>
      <c r="FD11" s="991"/>
      <c r="FE11" s="991"/>
      <c r="FF11" s="992"/>
      <c r="FG11" s="991"/>
      <c r="FH11" s="991"/>
      <c r="FI11" s="991"/>
      <c r="FJ11" s="992"/>
      <c r="FK11" s="876"/>
      <c r="FL11" s="993"/>
      <c r="FM11" s="908"/>
      <c r="FN11" s="902"/>
      <c r="FO11" s="902"/>
      <c r="FP11" s="902"/>
      <c r="FQ11" s="902"/>
      <c r="FR11" s="902"/>
      <c r="FS11" s="902"/>
      <c r="FT11" s="991"/>
      <c r="FU11" s="991"/>
      <c r="FV11" s="991"/>
      <c r="FW11" s="991"/>
      <c r="FX11" s="991"/>
      <c r="FY11" s="992"/>
      <c r="FZ11" s="991"/>
      <c r="GA11" s="991"/>
      <c r="GB11" s="991"/>
      <c r="GC11" s="992"/>
      <c r="GD11" s="876"/>
      <c r="GE11" s="993"/>
      <c r="GF11" s="908"/>
      <c r="GG11" s="902"/>
      <c r="GH11" s="902"/>
      <c r="GI11" s="902"/>
      <c r="GJ11" s="902"/>
      <c r="GK11" s="902"/>
      <c r="GL11" s="902"/>
      <c r="GM11" s="991"/>
      <c r="GN11" s="991"/>
      <c r="GO11" s="991"/>
      <c r="GP11" s="991"/>
      <c r="GQ11" s="991"/>
      <c r="GR11" s="992"/>
      <c r="GS11" s="991"/>
      <c r="GT11" s="991"/>
      <c r="GU11" s="991"/>
      <c r="GV11" s="992"/>
      <c r="GW11" s="876"/>
      <c r="GX11" s="993"/>
      <c r="GY11" s="908"/>
      <c r="GZ11" s="902"/>
      <c r="HA11" s="902"/>
      <c r="HB11" s="902"/>
      <c r="HC11" s="902"/>
      <c r="HD11" s="902"/>
      <c r="HE11" s="902"/>
      <c r="HF11" s="991"/>
      <c r="HG11" s="991"/>
      <c r="HH11" s="991"/>
      <c r="HI11" s="991"/>
      <c r="HJ11" s="991"/>
      <c r="HK11" s="992"/>
      <c r="HL11" s="991"/>
      <c r="HM11" s="991"/>
      <c r="HN11" s="991"/>
      <c r="HO11" s="992"/>
      <c r="HP11" s="876"/>
      <c r="HQ11" s="993"/>
      <c r="HR11" s="908"/>
      <c r="HS11" s="902"/>
      <c r="HT11" s="902"/>
      <c r="HU11" s="902"/>
      <c r="HV11" s="902"/>
      <c r="HW11" s="902"/>
      <c r="HX11" s="902"/>
      <c r="HY11" s="991"/>
      <c r="HZ11" s="991"/>
      <c r="IA11" s="991"/>
      <c r="IB11" s="991"/>
      <c r="IC11" s="991"/>
      <c r="ID11" s="992"/>
      <c r="IE11" s="991"/>
      <c r="IF11" s="991"/>
      <c r="IG11" s="991"/>
      <c r="IH11" s="992"/>
      <c r="II11" s="876"/>
      <c r="IJ11" s="993"/>
      <c r="IK11" s="908"/>
      <c r="IL11" s="902"/>
      <c r="IM11" s="902"/>
      <c r="IN11" s="902"/>
      <c r="IO11" s="902"/>
      <c r="IP11" s="902"/>
      <c r="IQ11" s="902"/>
      <c r="IR11" s="991"/>
      <c r="IS11" s="991"/>
      <c r="IT11" s="991"/>
      <c r="IU11" s="991"/>
      <c r="IV11" s="991"/>
      <c r="IW11" s="992"/>
      <c r="IX11" s="991"/>
      <c r="IY11" s="991"/>
      <c r="IZ11" s="991"/>
      <c r="JA11" s="992"/>
      <c r="JB11" s="876"/>
      <c r="JC11" s="993"/>
      <c r="JD11" s="908"/>
      <c r="JE11" s="902"/>
      <c r="JF11" s="902"/>
      <c r="JG11" s="902"/>
      <c r="JH11" s="902"/>
      <c r="JI11" s="902"/>
      <c r="JJ11" s="902"/>
      <c r="JK11" s="991"/>
      <c r="JL11" s="991"/>
      <c r="JM11" s="991"/>
      <c r="JN11" s="991"/>
      <c r="JO11" s="991"/>
      <c r="JP11" s="992"/>
      <c r="JQ11" s="991"/>
      <c r="JR11" s="991"/>
      <c r="JS11" s="991"/>
      <c r="JT11" s="992"/>
      <c r="JU11" s="876"/>
      <c r="JV11" s="993"/>
      <c r="JW11" s="908"/>
      <c r="JX11" s="902"/>
      <c r="JY11" s="902"/>
      <c r="JZ11" s="902"/>
      <c r="KA11" s="902"/>
      <c r="KB11" s="902"/>
      <c r="KC11" s="902"/>
      <c r="KD11" s="991"/>
      <c r="KE11" s="991"/>
      <c r="KF11" s="991"/>
      <c r="KG11" s="991"/>
      <c r="KH11" s="991"/>
      <c r="KI11" s="992"/>
      <c r="KJ11" s="991"/>
      <c r="KK11" s="991"/>
      <c r="KL11" s="991"/>
      <c r="KM11" s="992"/>
      <c r="KN11" s="876"/>
      <c r="KO11" s="994"/>
    </row>
    <row r="12" spans="1:301" ht="15" customHeight="1" thickBot="1">
      <c r="A12" s="983"/>
      <c r="B12" s="968"/>
      <c r="C12" s="968"/>
      <c r="D12" s="968"/>
      <c r="E12" s="968"/>
      <c r="F12" s="968"/>
      <c r="G12" s="968"/>
      <c r="H12" s="968"/>
      <c r="I12" s="968"/>
      <c r="J12" s="968"/>
      <c r="K12" s="968"/>
      <c r="L12" s="968"/>
      <c r="M12" s="968"/>
      <c r="N12" s="968"/>
      <c r="O12" s="968"/>
      <c r="P12" s="968"/>
      <c r="Q12" s="968"/>
      <c r="R12" s="968"/>
      <c r="S12" s="968"/>
      <c r="T12" s="968"/>
      <c r="U12" s="968"/>
      <c r="V12" s="968"/>
      <c r="W12" s="968"/>
      <c r="X12" s="968"/>
      <c r="Y12" s="968"/>
      <c r="Z12" s="968"/>
      <c r="AA12" s="968"/>
      <c r="AB12" s="968"/>
      <c r="AC12" s="689"/>
      <c r="AD12" s="969"/>
      <c r="AE12" s="969"/>
      <c r="AF12" s="969"/>
      <c r="AG12" s="969"/>
      <c r="AH12" s="968"/>
      <c r="AI12" s="987"/>
      <c r="AJ12" s="968"/>
      <c r="AK12" s="968"/>
      <c r="AL12" s="968"/>
      <c r="AM12" s="968"/>
      <c r="AN12" s="968"/>
      <c r="AO12" s="968"/>
      <c r="AP12" s="968"/>
      <c r="AQ12" s="968"/>
      <c r="AR12" s="968"/>
      <c r="AS12" s="968"/>
      <c r="AT12" s="968"/>
      <c r="AU12" s="968"/>
      <c r="AV12" s="968"/>
      <c r="AW12" s="968"/>
      <c r="AX12" s="968"/>
      <c r="AY12" s="968"/>
      <c r="AZ12" s="968"/>
      <c r="BA12" s="968"/>
      <c r="BB12" s="968"/>
      <c r="BC12" s="968"/>
      <c r="BD12" s="968"/>
      <c r="BE12" s="968"/>
      <c r="BF12" s="968"/>
      <c r="BG12" s="968"/>
      <c r="BH12" s="968"/>
      <c r="BI12" s="968"/>
      <c r="BJ12" s="968"/>
      <c r="BK12" s="968"/>
      <c r="BL12" s="968"/>
      <c r="BM12" s="968"/>
      <c r="BN12" s="968"/>
      <c r="BO12" s="968"/>
      <c r="BP12" s="968"/>
      <c r="BQ12" s="968"/>
      <c r="BR12" s="968"/>
      <c r="BS12" s="968"/>
      <c r="BT12" s="968"/>
      <c r="BU12" s="968"/>
      <c r="BV12" s="968"/>
      <c r="BW12" s="968"/>
      <c r="BX12" s="968"/>
      <c r="BY12" s="968"/>
      <c r="BZ12" s="968"/>
      <c r="CA12" s="968"/>
      <c r="CB12" s="968"/>
      <c r="CC12" s="968"/>
      <c r="CD12" s="968"/>
      <c r="CE12" s="968"/>
      <c r="CF12" s="968"/>
      <c r="CG12" s="968"/>
      <c r="CH12" s="968"/>
      <c r="CI12" s="968"/>
      <c r="CJ12" s="968"/>
      <c r="CK12" s="968"/>
      <c r="CL12" s="968"/>
      <c r="CM12" s="968"/>
      <c r="CN12" s="968"/>
      <c r="CO12" s="968"/>
      <c r="CP12" s="968"/>
      <c r="CQ12" s="968"/>
      <c r="CR12" s="968"/>
      <c r="CS12" s="968"/>
      <c r="CT12" s="968"/>
      <c r="CU12" s="968"/>
      <c r="CV12" s="968"/>
      <c r="CW12" s="968"/>
      <c r="CX12" s="968"/>
      <c r="CY12" s="968"/>
      <c r="CZ12" s="968"/>
      <c r="DA12" s="968"/>
      <c r="DB12" s="968"/>
      <c r="DC12" s="968"/>
      <c r="DD12" s="968"/>
      <c r="DE12" s="968"/>
      <c r="DF12" s="968"/>
      <c r="DG12" s="968"/>
      <c r="DH12" s="968"/>
      <c r="DI12" s="968"/>
      <c r="DJ12" s="968"/>
      <c r="DK12" s="968"/>
      <c r="DL12" s="968"/>
      <c r="DM12" s="968"/>
      <c r="DN12" s="968"/>
      <c r="DO12" s="968"/>
      <c r="DP12" s="968"/>
      <c r="DQ12" s="968"/>
      <c r="DR12" s="968"/>
      <c r="DS12" s="968"/>
      <c r="DT12" s="968"/>
      <c r="DU12" s="968"/>
      <c r="DV12" s="968"/>
      <c r="DW12" s="968"/>
      <c r="DX12" s="968"/>
      <c r="DY12" s="968"/>
      <c r="DZ12" s="968"/>
      <c r="EA12" s="968"/>
      <c r="EB12" s="968"/>
      <c r="EC12" s="968"/>
      <c r="ED12" s="968"/>
      <c r="EE12" s="968"/>
      <c r="EF12" s="968"/>
      <c r="EG12" s="968"/>
      <c r="EH12" s="968"/>
      <c r="EI12" s="968"/>
      <c r="EJ12" s="968"/>
      <c r="EK12" s="968"/>
      <c r="EL12" s="968"/>
      <c r="EM12" s="968"/>
      <c r="EN12" s="968"/>
      <c r="EO12" s="968"/>
      <c r="EP12" s="968"/>
      <c r="EQ12" s="968"/>
      <c r="ER12" s="968"/>
      <c r="ES12" s="968"/>
      <c r="ET12" s="968"/>
      <c r="EU12" s="968"/>
      <c r="EV12" s="968"/>
      <c r="EW12" s="968"/>
      <c r="EX12" s="968"/>
      <c r="EY12" s="968"/>
      <c r="EZ12" s="968"/>
      <c r="FA12" s="968"/>
      <c r="FB12" s="968"/>
      <c r="FC12" s="968"/>
      <c r="FD12" s="968"/>
      <c r="FE12" s="968"/>
      <c r="FF12" s="968"/>
      <c r="FG12" s="968"/>
      <c r="FH12" s="968"/>
      <c r="FI12" s="968"/>
      <c r="FJ12" s="968"/>
      <c r="FK12" s="968"/>
      <c r="FL12" s="968"/>
      <c r="FM12" s="968"/>
      <c r="FN12" s="968"/>
      <c r="FO12" s="968"/>
      <c r="FP12" s="968"/>
      <c r="FQ12" s="968"/>
      <c r="FR12" s="968"/>
      <c r="FS12" s="968"/>
      <c r="FT12" s="968"/>
      <c r="FU12" s="968"/>
      <c r="FV12" s="968"/>
      <c r="FW12" s="968"/>
      <c r="FX12" s="968"/>
      <c r="FY12" s="968"/>
      <c r="FZ12" s="968"/>
      <c r="GA12" s="968"/>
      <c r="GB12" s="968"/>
      <c r="GC12" s="968"/>
      <c r="GD12" s="968"/>
      <c r="GE12" s="968"/>
      <c r="GF12" s="968"/>
      <c r="GG12" s="968"/>
      <c r="GH12" s="968"/>
      <c r="GI12" s="968"/>
      <c r="GJ12" s="968"/>
      <c r="GK12" s="968"/>
      <c r="GL12" s="968"/>
      <c r="GM12" s="968"/>
      <c r="GN12" s="968"/>
      <c r="GO12" s="968"/>
      <c r="GP12" s="968"/>
      <c r="GQ12" s="968"/>
      <c r="GR12" s="968"/>
      <c r="GS12" s="968"/>
      <c r="GT12" s="968"/>
      <c r="GU12" s="968"/>
      <c r="GV12" s="968"/>
      <c r="GW12" s="968"/>
      <c r="GX12" s="968"/>
      <c r="GY12" s="968"/>
      <c r="GZ12" s="968"/>
      <c r="HA12" s="968"/>
      <c r="HB12" s="968"/>
      <c r="HC12" s="968"/>
      <c r="HD12" s="968"/>
      <c r="HE12" s="968"/>
      <c r="HF12" s="968"/>
      <c r="HG12" s="968"/>
      <c r="HH12" s="968"/>
      <c r="HI12" s="968"/>
      <c r="HJ12" s="968"/>
      <c r="HK12" s="968"/>
      <c r="HL12" s="968"/>
      <c r="HM12" s="968"/>
      <c r="HN12" s="968"/>
      <c r="HO12" s="968"/>
      <c r="HP12" s="968"/>
      <c r="HQ12" s="968"/>
      <c r="HR12" s="968"/>
      <c r="HS12" s="968"/>
      <c r="HT12" s="968"/>
      <c r="HU12" s="968"/>
      <c r="HV12" s="968"/>
      <c r="HW12" s="968"/>
      <c r="HX12" s="968"/>
      <c r="HY12" s="968"/>
      <c r="HZ12" s="968"/>
      <c r="IA12" s="968"/>
      <c r="IB12" s="968"/>
      <c r="IC12" s="968"/>
      <c r="ID12" s="968"/>
      <c r="IE12" s="968"/>
      <c r="IF12" s="968"/>
      <c r="IG12" s="968"/>
      <c r="IH12" s="968"/>
      <c r="II12" s="968"/>
      <c r="IJ12" s="968"/>
      <c r="IK12" s="968"/>
      <c r="IL12" s="968"/>
      <c r="IM12" s="968"/>
      <c r="IN12" s="968"/>
      <c r="IO12" s="968"/>
      <c r="IP12" s="968"/>
      <c r="IQ12" s="968"/>
      <c r="IR12" s="968"/>
      <c r="IS12" s="968"/>
      <c r="IT12" s="968"/>
      <c r="IU12" s="968"/>
      <c r="IV12" s="968"/>
      <c r="IW12" s="968"/>
      <c r="IX12" s="968"/>
      <c r="IY12" s="968"/>
      <c r="IZ12" s="968"/>
      <c r="JA12" s="968"/>
      <c r="JB12" s="968"/>
      <c r="JC12" s="968"/>
      <c r="JD12" s="968"/>
      <c r="JE12" s="968"/>
      <c r="JF12" s="968"/>
      <c r="JG12" s="968"/>
      <c r="JH12" s="968"/>
      <c r="JI12" s="968"/>
      <c r="JJ12" s="968"/>
      <c r="JK12" s="968"/>
      <c r="JL12" s="968"/>
      <c r="JM12" s="968"/>
      <c r="JN12" s="968"/>
      <c r="JO12" s="968"/>
      <c r="JP12" s="968"/>
      <c r="JQ12" s="968"/>
      <c r="JR12" s="968"/>
      <c r="JS12" s="968"/>
      <c r="JT12" s="968"/>
      <c r="JU12" s="968"/>
      <c r="JV12" s="968"/>
      <c r="JW12" s="968"/>
      <c r="JX12" s="968"/>
      <c r="JY12" s="968"/>
      <c r="JZ12" s="968"/>
      <c r="KA12" s="968"/>
      <c r="KB12" s="968"/>
      <c r="KC12" s="968"/>
      <c r="KD12" s="968"/>
      <c r="KE12" s="968"/>
      <c r="KF12" s="968"/>
      <c r="KG12" s="968"/>
      <c r="KH12" s="968"/>
      <c r="KI12" s="968"/>
      <c r="KJ12" s="968"/>
      <c r="KK12" s="968"/>
      <c r="KL12" s="968"/>
      <c r="KM12" s="968"/>
      <c r="KN12" s="968"/>
      <c r="KO12" s="971"/>
    </row>
    <row r="13" spans="1:301" ht="15" customHeight="1" thickTop="1" thickBot="1">
      <c r="A13" s="1477">
        <v>1</v>
      </c>
      <c r="B13" s="1478">
        <f>A13+1</f>
        <v>2</v>
      </c>
      <c r="C13" s="1475">
        <f t="shared" ref="C13:R13" si="0">B13+1</f>
        <v>3</v>
      </c>
      <c r="D13" s="1475">
        <f t="shared" si="0"/>
        <v>4</v>
      </c>
      <c r="E13" s="1475">
        <f t="shared" si="0"/>
        <v>5</v>
      </c>
      <c r="F13" s="1475">
        <f t="shared" si="0"/>
        <v>6</v>
      </c>
      <c r="G13" s="1475">
        <f t="shared" si="0"/>
        <v>7</v>
      </c>
      <c r="H13" s="1475">
        <f t="shared" si="0"/>
        <v>8</v>
      </c>
      <c r="I13" s="1475">
        <f t="shared" si="0"/>
        <v>9</v>
      </c>
      <c r="J13" s="1475">
        <f t="shared" si="0"/>
        <v>10</v>
      </c>
      <c r="K13" s="1475">
        <f t="shared" si="0"/>
        <v>11</v>
      </c>
      <c r="L13" s="1475">
        <f t="shared" si="0"/>
        <v>12</v>
      </c>
      <c r="M13" s="1475">
        <f t="shared" si="0"/>
        <v>13</v>
      </c>
      <c r="N13" s="1475">
        <f t="shared" si="0"/>
        <v>14</v>
      </c>
      <c r="O13" s="1475">
        <f t="shared" si="0"/>
        <v>15</v>
      </c>
      <c r="P13" s="1475">
        <f t="shared" si="0"/>
        <v>16</v>
      </c>
      <c r="Q13" s="1475">
        <f t="shared" si="0"/>
        <v>17</v>
      </c>
      <c r="R13" s="1475">
        <f t="shared" si="0"/>
        <v>18</v>
      </c>
      <c r="S13" s="1475">
        <f t="shared" ref="S13:AH13" si="1">R13+1</f>
        <v>19</v>
      </c>
      <c r="T13" s="1475">
        <f t="shared" si="1"/>
        <v>20</v>
      </c>
      <c r="U13" s="1475">
        <f t="shared" si="1"/>
        <v>21</v>
      </c>
      <c r="V13" s="1475">
        <f t="shared" si="1"/>
        <v>22</v>
      </c>
      <c r="W13" s="1475">
        <f t="shared" si="1"/>
        <v>23</v>
      </c>
      <c r="X13" s="1475">
        <f t="shared" si="1"/>
        <v>24</v>
      </c>
      <c r="Y13" s="1475">
        <f t="shared" si="1"/>
        <v>25</v>
      </c>
      <c r="Z13" s="1475">
        <f t="shared" si="1"/>
        <v>26</v>
      </c>
      <c r="AA13" s="1475">
        <f t="shared" si="1"/>
        <v>27</v>
      </c>
      <c r="AB13" s="1479">
        <f t="shared" si="1"/>
        <v>28</v>
      </c>
      <c r="AC13" s="1480">
        <f t="shared" si="1"/>
        <v>29</v>
      </c>
      <c r="AD13" s="1475">
        <f t="shared" si="1"/>
        <v>30</v>
      </c>
      <c r="AE13" s="1475">
        <f t="shared" si="1"/>
        <v>31</v>
      </c>
      <c r="AF13" s="1475">
        <f t="shared" si="1"/>
        <v>32</v>
      </c>
      <c r="AG13" s="1475">
        <f t="shared" si="1"/>
        <v>33</v>
      </c>
      <c r="AH13" s="1475">
        <f t="shared" si="1"/>
        <v>34</v>
      </c>
      <c r="AI13" s="1481">
        <f t="shared" ref="AI13:AX14" si="2">AH13+1</f>
        <v>35</v>
      </c>
      <c r="AJ13" s="1475">
        <f t="shared" si="2"/>
        <v>36</v>
      </c>
      <c r="AK13" s="1475">
        <f t="shared" si="2"/>
        <v>37</v>
      </c>
      <c r="AL13" s="1475">
        <f t="shared" si="2"/>
        <v>38</v>
      </c>
      <c r="AM13" s="1475">
        <f t="shared" si="2"/>
        <v>39</v>
      </c>
      <c r="AN13" s="1475">
        <f t="shared" si="2"/>
        <v>40</v>
      </c>
      <c r="AO13" s="1475">
        <f t="shared" si="2"/>
        <v>41</v>
      </c>
      <c r="AP13" s="1475">
        <f t="shared" si="2"/>
        <v>42</v>
      </c>
      <c r="AQ13" s="1475">
        <f t="shared" si="2"/>
        <v>43</v>
      </c>
      <c r="AR13" s="1475">
        <f t="shared" si="2"/>
        <v>44</v>
      </c>
      <c r="AS13" s="1475">
        <f t="shared" si="2"/>
        <v>45</v>
      </c>
      <c r="AT13" s="1475">
        <f t="shared" si="2"/>
        <v>46</v>
      </c>
      <c r="AU13" s="1475">
        <f t="shared" si="2"/>
        <v>47</v>
      </c>
      <c r="AV13" s="1475">
        <f t="shared" si="2"/>
        <v>48</v>
      </c>
      <c r="AW13" s="1475">
        <f t="shared" si="2"/>
        <v>49</v>
      </c>
      <c r="AX13" s="1475">
        <f t="shared" si="2"/>
        <v>50</v>
      </c>
      <c r="AY13" s="1475">
        <f t="shared" ref="AY13:BN14" si="3">AX13+1</f>
        <v>51</v>
      </c>
      <c r="AZ13" s="1475">
        <f t="shared" si="3"/>
        <v>52</v>
      </c>
      <c r="BA13" s="1475">
        <f t="shared" si="3"/>
        <v>53</v>
      </c>
      <c r="BB13" s="1475">
        <f t="shared" si="3"/>
        <v>54</v>
      </c>
      <c r="BC13" s="1475">
        <f t="shared" si="3"/>
        <v>55</v>
      </c>
      <c r="BD13" s="1475">
        <f t="shared" si="3"/>
        <v>56</v>
      </c>
      <c r="BE13" s="1475">
        <f t="shared" si="3"/>
        <v>57</v>
      </c>
      <c r="BF13" s="1475">
        <f t="shared" si="3"/>
        <v>58</v>
      </c>
      <c r="BG13" s="1479">
        <f t="shared" si="3"/>
        <v>59</v>
      </c>
      <c r="BH13" s="1475">
        <f t="shared" si="3"/>
        <v>60</v>
      </c>
      <c r="BI13" s="1475">
        <f t="shared" si="3"/>
        <v>61</v>
      </c>
      <c r="BJ13" s="1475">
        <f t="shared" si="3"/>
        <v>62</v>
      </c>
      <c r="BK13" s="1475">
        <f t="shared" si="3"/>
        <v>63</v>
      </c>
      <c r="BL13" s="1475">
        <f t="shared" si="3"/>
        <v>64</v>
      </c>
      <c r="BM13" s="1475">
        <f t="shared" si="3"/>
        <v>65</v>
      </c>
      <c r="BN13" s="1475">
        <f t="shared" si="3"/>
        <v>66</v>
      </c>
      <c r="BO13" s="1475">
        <f t="shared" ref="BO13:CD14" si="4">BN13+1</f>
        <v>67</v>
      </c>
      <c r="BP13" s="1475">
        <f t="shared" si="4"/>
        <v>68</v>
      </c>
      <c r="BQ13" s="1475">
        <f t="shared" si="4"/>
        <v>69</v>
      </c>
      <c r="BR13" s="1475">
        <f t="shared" si="4"/>
        <v>70</v>
      </c>
      <c r="BS13" s="1475">
        <f t="shared" si="4"/>
        <v>71</v>
      </c>
      <c r="BT13" s="1475">
        <f t="shared" si="4"/>
        <v>72</v>
      </c>
      <c r="BU13" s="1475">
        <f t="shared" si="4"/>
        <v>73</v>
      </c>
      <c r="BV13" s="1475">
        <f t="shared" si="4"/>
        <v>74</v>
      </c>
      <c r="BW13" s="1475">
        <f t="shared" si="4"/>
        <v>75</v>
      </c>
      <c r="BX13" s="1475">
        <f t="shared" si="4"/>
        <v>76</v>
      </c>
      <c r="BY13" s="1475">
        <f t="shared" si="4"/>
        <v>77</v>
      </c>
      <c r="BZ13" s="1479">
        <f t="shared" si="4"/>
        <v>78</v>
      </c>
      <c r="CA13" s="1475">
        <f t="shared" si="4"/>
        <v>79</v>
      </c>
      <c r="CB13" s="1475">
        <f t="shared" si="4"/>
        <v>80</v>
      </c>
      <c r="CC13" s="1475">
        <f t="shared" si="4"/>
        <v>81</v>
      </c>
      <c r="CD13" s="1475">
        <f t="shared" si="4"/>
        <v>82</v>
      </c>
      <c r="CE13" s="1475">
        <f t="shared" ref="CE13:CT14" si="5">CD13+1</f>
        <v>83</v>
      </c>
      <c r="CF13" s="1475">
        <f t="shared" si="5"/>
        <v>84</v>
      </c>
      <c r="CG13" s="1475">
        <f t="shared" si="5"/>
        <v>85</v>
      </c>
      <c r="CH13" s="1475">
        <f t="shared" si="5"/>
        <v>86</v>
      </c>
      <c r="CI13" s="1475">
        <f t="shared" si="5"/>
        <v>87</v>
      </c>
      <c r="CJ13" s="1475">
        <f t="shared" si="5"/>
        <v>88</v>
      </c>
      <c r="CK13" s="1475">
        <f t="shared" si="5"/>
        <v>89</v>
      </c>
      <c r="CL13" s="1475">
        <f t="shared" si="5"/>
        <v>90</v>
      </c>
      <c r="CM13" s="1475">
        <f t="shared" si="5"/>
        <v>91</v>
      </c>
      <c r="CN13" s="1475">
        <f t="shared" si="5"/>
        <v>92</v>
      </c>
      <c r="CO13" s="1475">
        <f t="shared" si="5"/>
        <v>93</v>
      </c>
      <c r="CP13" s="1475">
        <f t="shared" si="5"/>
        <v>94</v>
      </c>
      <c r="CQ13" s="1481">
        <f t="shared" si="5"/>
        <v>95</v>
      </c>
      <c r="CR13" s="1475">
        <f t="shared" si="5"/>
        <v>96</v>
      </c>
      <c r="CS13" s="1475">
        <f t="shared" si="5"/>
        <v>97</v>
      </c>
      <c r="CT13" s="1475">
        <f t="shared" si="5"/>
        <v>98</v>
      </c>
      <c r="CU13" s="1475">
        <f t="shared" ref="CU13:DJ14" si="6">CT13+1</f>
        <v>99</v>
      </c>
      <c r="CV13" s="1475">
        <f t="shared" si="6"/>
        <v>100</v>
      </c>
      <c r="CW13" s="1475">
        <f t="shared" si="6"/>
        <v>101</v>
      </c>
      <c r="CX13" s="1475">
        <f t="shared" si="6"/>
        <v>102</v>
      </c>
      <c r="CY13" s="1475">
        <f t="shared" si="6"/>
        <v>103</v>
      </c>
      <c r="CZ13" s="1475">
        <f t="shared" si="6"/>
        <v>104</v>
      </c>
      <c r="DA13" s="1475">
        <f t="shared" si="6"/>
        <v>105</v>
      </c>
      <c r="DB13" s="1475">
        <f t="shared" si="6"/>
        <v>106</v>
      </c>
      <c r="DC13" s="1475">
        <f t="shared" si="6"/>
        <v>107</v>
      </c>
      <c r="DD13" s="1475">
        <f t="shared" si="6"/>
        <v>108</v>
      </c>
      <c r="DE13" s="1475">
        <f t="shared" si="6"/>
        <v>109</v>
      </c>
      <c r="DF13" s="1475">
        <f t="shared" si="6"/>
        <v>110</v>
      </c>
      <c r="DG13" s="1475">
        <f t="shared" si="6"/>
        <v>111</v>
      </c>
      <c r="DH13" s="1475">
        <f t="shared" si="6"/>
        <v>112</v>
      </c>
      <c r="DI13" s="1479">
        <f t="shared" si="6"/>
        <v>113</v>
      </c>
      <c r="DJ13" s="1475">
        <f t="shared" si="6"/>
        <v>114</v>
      </c>
      <c r="DK13" s="1475">
        <f t="shared" ref="DK13:DZ14" si="7">DJ13+1</f>
        <v>115</v>
      </c>
      <c r="DL13" s="1475">
        <f t="shared" si="7"/>
        <v>116</v>
      </c>
      <c r="DM13" s="1475">
        <f t="shared" si="7"/>
        <v>117</v>
      </c>
      <c r="DN13" s="1475">
        <f t="shared" si="7"/>
        <v>118</v>
      </c>
      <c r="DO13" s="1475">
        <f t="shared" si="7"/>
        <v>119</v>
      </c>
      <c r="DP13" s="1475">
        <f t="shared" si="7"/>
        <v>120</v>
      </c>
      <c r="DQ13" s="1475">
        <f t="shared" si="7"/>
        <v>121</v>
      </c>
      <c r="DR13" s="1475">
        <f t="shared" si="7"/>
        <v>122</v>
      </c>
      <c r="DS13" s="1475">
        <f t="shared" si="7"/>
        <v>123</v>
      </c>
      <c r="DT13" s="1475">
        <f t="shared" si="7"/>
        <v>124</v>
      </c>
      <c r="DU13" s="1475">
        <f t="shared" si="7"/>
        <v>125</v>
      </c>
      <c r="DV13" s="1475">
        <f t="shared" si="7"/>
        <v>126</v>
      </c>
      <c r="DW13" s="1475">
        <f t="shared" si="7"/>
        <v>127</v>
      </c>
      <c r="DX13" s="1479">
        <f t="shared" si="7"/>
        <v>128</v>
      </c>
      <c r="DY13" s="1475">
        <f t="shared" si="7"/>
        <v>129</v>
      </c>
      <c r="DZ13" s="1475">
        <f t="shared" si="7"/>
        <v>130</v>
      </c>
      <c r="EA13" s="1475">
        <f t="shared" ref="EA13:EP14" si="8">DZ13+1</f>
        <v>131</v>
      </c>
      <c r="EB13" s="1475">
        <f t="shared" si="8"/>
        <v>132</v>
      </c>
      <c r="EC13" s="1475">
        <f t="shared" si="8"/>
        <v>133</v>
      </c>
      <c r="ED13" s="1475">
        <f t="shared" si="8"/>
        <v>134</v>
      </c>
      <c r="EE13" s="1475">
        <f t="shared" si="8"/>
        <v>135</v>
      </c>
      <c r="EF13" s="1475">
        <f t="shared" si="8"/>
        <v>136</v>
      </c>
      <c r="EG13" s="1475">
        <f t="shared" si="8"/>
        <v>137</v>
      </c>
      <c r="EH13" s="1475">
        <f t="shared" si="8"/>
        <v>138</v>
      </c>
      <c r="EI13" s="1475">
        <f t="shared" si="8"/>
        <v>139</v>
      </c>
      <c r="EJ13" s="1475">
        <f t="shared" si="8"/>
        <v>140</v>
      </c>
      <c r="EK13" s="1475">
        <f t="shared" si="8"/>
        <v>141</v>
      </c>
      <c r="EL13" s="1475">
        <f t="shared" si="8"/>
        <v>142</v>
      </c>
      <c r="EM13" s="1479">
        <f t="shared" si="8"/>
        <v>143</v>
      </c>
      <c r="EN13" s="1475">
        <f t="shared" si="8"/>
        <v>144</v>
      </c>
      <c r="EO13" s="1475">
        <f t="shared" si="8"/>
        <v>145</v>
      </c>
      <c r="EP13" s="1475">
        <f t="shared" si="8"/>
        <v>146</v>
      </c>
      <c r="EQ13" s="1475">
        <f t="shared" ref="EQ13:FF14" si="9">EP13+1</f>
        <v>147</v>
      </c>
      <c r="ER13" s="1475">
        <f t="shared" si="9"/>
        <v>148</v>
      </c>
      <c r="ES13" s="1475">
        <f t="shared" si="9"/>
        <v>149</v>
      </c>
      <c r="ET13" s="1475">
        <f t="shared" si="9"/>
        <v>150</v>
      </c>
      <c r="EU13" s="1475">
        <f t="shared" si="9"/>
        <v>151</v>
      </c>
      <c r="EV13" s="1475">
        <f t="shared" si="9"/>
        <v>152</v>
      </c>
      <c r="EW13" s="1475">
        <f t="shared" si="9"/>
        <v>153</v>
      </c>
      <c r="EX13" s="1475">
        <f t="shared" si="9"/>
        <v>154</v>
      </c>
      <c r="EY13" s="1475">
        <f t="shared" si="9"/>
        <v>155</v>
      </c>
      <c r="EZ13" s="1475">
        <f t="shared" si="9"/>
        <v>156</v>
      </c>
      <c r="FA13" s="1475">
        <f t="shared" si="9"/>
        <v>157</v>
      </c>
      <c r="FB13" s="1479">
        <f t="shared" si="9"/>
        <v>158</v>
      </c>
      <c r="FC13" s="1475">
        <f t="shared" si="9"/>
        <v>159</v>
      </c>
      <c r="FD13" s="1475">
        <f t="shared" si="9"/>
        <v>160</v>
      </c>
      <c r="FE13" s="1475">
        <f t="shared" si="9"/>
        <v>161</v>
      </c>
      <c r="FF13" s="1475">
        <f t="shared" si="9"/>
        <v>162</v>
      </c>
      <c r="FG13" s="1475">
        <f t="shared" ref="FG13:FV14" si="10">FF13+1</f>
        <v>163</v>
      </c>
      <c r="FH13" s="1475">
        <f t="shared" si="10"/>
        <v>164</v>
      </c>
      <c r="FI13" s="1475">
        <f t="shared" si="10"/>
        <v>165</v>
      </c>
      <c r="FJ13" s="1475">
        <f t="shared" si="10"/>
        <v>166</v>
      </c>
      <c r="FK13" s="1475">
        <f t="shared" si="10"/>
        <v>167</v>
      </c>
      <c r="FL13" s="1475">
        <f t="shared" si="10"/>
        <v>168</v>
      </c>
      <c r="FM13" s="1475">
        <f t="shared" si="10"/>
        <v>169</v>
      </c>
      <c r="FN13" s="1475">
        <f t="shared" si="10"/>
        <v>170</v>
      </c>
      <c r="FO13" s="1475">
        <f t="shared" si="10"/>
        <v>171</v>
      </c>
      <c r="FP13" s="1475">
        <f t="shared" si="10"/>
        <v>172</v>
      </c>
      <c r="FQ13" s="1475">
        <f t="shared" si="10"/>
        <v>173</v>
      </c>
      <c r="FR13" s="1479">
        <f t="shared" si="10"/>
        <v>174</v>
      </c>
      <c r="FS13" s="1475">
        <f t="shared" si="10"/>
        <v>175</v>
      </c>
      <c r="FT13" s="1475">
        <f t="shared" si="10"/>
        <v>176</v>
      </c>
      <c r="FU13" s="1475">
        <f t="shared" si="10"/>
        <v>177</v>
      </c>
      <c r="FV13" s="1475">
        <f t="shared" si="10"/>
        <v>178</v>
      </c>
      <c r="FW13" s="1475">
        <f t="shared" ref="FW13:GL14" si="11">FV13+1</f>
        <v>179</v>
      </c>
      <c r="FX13" s="1475">
        <f t="shared" si="11"/>
        <v>180</v>
      </c>
      <c r="FY13" s="1475">
        <f t="shared" si="11"/>
        <v>181</v>
      </c>
      <c r="FZ13" s="1475">
        <f t="shared" si="11"/>
        <v>182</v>
      </c>
      <c r="GA13" s="1475">
        <f t="shared" si="11"/>
        <v>183</v>
      </c>
      <c r="GB13" s="1475">
        <f t="shared" si="11"/>
        <v>184</v>
      </c>
      <c r="GC13" s="1475">
        <f t="shared" si="11"/>
        <v>185</v>
      </c>
      <c r="GD13" s="1475">
        <f t="shared" si="11"/>
        <v>186</v>
      </c>
      <c r="GE13" s="1475">
        <f t="shared" si="11"/>
        <v>187</v>
      </c>
      <c r="GF13" s="1475">
        <f t="shared" si="11"/>
        <v>188</v>
      </c>
      <c r="GG13" s="1475">
        <f t="shared" si="11"/>
        <v>189</v>
      </c>
      <c r="GH13" s="1475">
        <f t="shared" si="11"/>
        <v>190</v>
      </c>
      <c r="GI13" s="1475">
        <f t="shared" si="11"/>
        <v>191</v>
      </c>
      <c r="GJ13" s="1475">
        <f t="shared" si="11"/>
        <v>192</v>
      </c>
      <c r="GK13" s="1475">
        <f t="shared" si="11"/>
        <v>193</v>
      </c>
      <c r="GL13" s="1475">
        <f t="shared" si="11"/>
        <v>194</v>
      </c>
      <c r="GM13" s="1475">
        <f t="shared" ref="GM13:HB14" si="12">GL13+1</f>
        <v>195</v>
      </c>
      <c r="GN13" s="1475">
        <f t="shared" si="12"/>
        <v>196</v>
      </c>
      <c r="GO13" s="1475">
        <f t="shared" si="12"/>
        <v>197</v>
      </c>
      <c r="GP13" s="1475">
        <f t="shared" si="12"/>
        <v>198</v>
      </c>
      <c r="GQ13" s="1475">
        <f t="shared" si="12"/>
        <v>199</v>
      </c>
      <c r="GR13" s="1475">
        <f t="shared" si="12"/>
        <v>200</v>
      </c>
      <c r="GS13" s="1475">
        <f t="shared" si="12"/>
        <v>201</v>
      </c>
      <c r="GT13" s="1475">
        <f t="shared" si="12"/>
        <v>202</v>
      </c>
      <c r="GU13" s="1475">
        <f t="shared" si="12"/>
        <v>203</v>
      </c>
      <c r="GV13" s="1475">
        <f t="shared" si="12"/>
        <v>204</v>
      </c>
      <c r="GW13" s="1475">
        <f t="shared" si="12"/>
        <v>205</v>
      </c>
      <c r="GX13" s="1475">
        <f t="shared" si="12"/>
        <v>206</v>
      </c>
      <c r="GY13" s="1475">
        <f t="shared" si="12"/>
        <v>207</v>
      </c>
      <c r="GZ13" s="1475">
        <f t="shared" si="12"/>
        <v>208</v>
      </c>
      <c r="HA13" s="1475">
        <f t="shared" si="12"/>
        <v>209</v>
      </c>
      <c r="HB13" s="1475">
        <f t="shared" si="12"/>
        <v>210</v>
      </c>
      <c r="HC13" s="1475">
        <f t="shared" ref="HC13:HR14" si="13">HB13+1</f>
        <v>211</v>
      </c>
      <c r="HD13" s="1475">
        <f t="shared" si="13"/>
        <v>212</v>
      </c>
      <c r="HE13" s="1475">
        <f t="shared" si="13"/>
        <v>213</v>
      </c>
      <c r="HF13" s="1475">
        <f t="shared" si="13"/>
        <v>214</v>
      </c>
      <c r="HG13" s="1475">
        <f t="shared" si="13"/>
        <v>215</v>
      </c>
      <c r="HH13" s="1475">
        <f t="shared" si="13"/>
        <v>216</v>
      </c>
      <c r="HI13" s="1475">
        <f t="shared" si="13"/>
        <v>217</v>
      </c>
      <c r="HJ13" s="1475">
        <f t="shared" si="13"/>
        <v>218</v>
      </c>
      <c r="HK13" s="1475">
        <f t="shared" si="13"/>
        <v>219</v>
      </c>
      <c r="HL13" s="1475">
        <f t="shared" si="13"/>
        <v>220</v>
      </c>
      <c r="HM13" s="1475">
        <f t="shared" si="13"/>
        <v>221</v>
      </c>
      <c r="HN13" s="1475">
        <f t="shared" si="13"/>
        <v>222</v>
      </c>
      <c r="HO13" s="1475">
        <f t="shared" si="13"/>
        <v>223</v>
      </c>
      <c r="HP13" s="1479">
        <f t="shared" si="13"/>
        <v>224</v>
      </c>
      <c r="HQ13" s="1475">
        <f t="shared" si="13"/>
        <v>225</v>
      </c>
      <c r="HR13" s="1475">
        <f t="shared" si="13"/>
        <v>226</v>
      </c>
      <c r="HS13" s="1475">
        <f t="shared" ref="HS13:IH14" si="14">HR13+1</f>
        <v>227</v>
      </c>
      <c r="HT13" s="1475">
        <f t="shared" si="14"/>
        <v>228</v>
      </c>
      <c r="HU13" s="1475">
        <f t="shared" si="14"/>
        <v>229</v>
      </c>
      <c r="HV13" s="1475">
        <f t="shared" si="14"/>
        <v>230</v>
      </c>
      <c r="HW13" s="1475">
        <f t="shared" si="14"/>
        <v>231</v>
      </c>
      <c r="HX13" s="1475">
        <f t="shared" si="14"/>
        <v>232</v>
      </c>
      <c r="HY13" s="1475">
        <f t="shared" si="14"/>
        <v>233</v>
      </c>
      <c r="HZ13" s="1475">
        <f t="shared" si="14"/>
        <v>234</v>
      </c>
      <c r="IA13" s="1475">
        <f t="shared" si="14"/>
        <v>235</v>
      </c>
      <c r="IB13" s="1475">
        <f t="shared" si="14"/>
        <v>236</v>
      </c>
      <c r="IC13" s="1475">
        <f t="shared" si="14"/>
        <v>237</v>
      </c>
      <c r="ID13" s="1475">
        <f t="shared" si="14"/>
        <v>238</v>
      </c>
      <c r="IE13" s="1479">
        <f t="shared" si="14"/>
        <v>239</v>
      </c>
      <c r="IF13" s="1475">
        <f t="shared" si="14"/>
        <v>240</v>
      </c>
      <c r="IG13" s="1475">
        <f t="shared" si="14"/>
        <v>241</v>
      </c>
      <c r="IH13" s="1475">
        <f t="shared" si="14"/>
        <v>242</v>
      </c>
      <c r="II13" s="1475">
        <f t="shared" ref="II13:IX14" si="15">IH13+1</f>
        <v>243</v>
      </c>
      <c r="IJ13" s="1475">
        <f t="shared" si="15"/>
        <v>244</v>
      </c>
      <c r="IK13" s="1475">
        <f t="shared" si="15"/>
        <v>245</v>
      </c>
      <c r="IL13" s="1475">
        <f t="shared" si="15"/>
        <v>246</v>
      </c>
      <c r="IM13" s="1475">
        <f t="shared" si="15"/>
        <v>247</v>
      </c>
      <c r="IN13" s="1475">
        <f t="shared" si="15"/>
        <v>248</v>
      </c>
      <c r="IO13" s="1475">
        <f t="shared" si="15"/>
        <v>249</v>
      </c>
      <c r="IP13" s="1475">
        <f t="shared" si="15"/>
        <v>250</v>
      </c>
      <c r="IQ13" s="1475">
        <f t="shared" si="15"/>
        <v>251</v>
      </c>
      <c r="IR13" s="1475">
        <f t="shared" si="15"/>
        <v>252</v>
      </c>
      <c r="IS13" s="1475">
        <f t="shared" si="15"/>
        <v>253</v>
      </c>
      <c r="IT13" s="1479">
        <f t="shared" si="15"/>
        <v>254</v>
      </c>
      <c r="IU13" s="1475">
        <f t="shared" si="15"/>
        <v>255</v>
      </c>
      <c r="IV13" s="1475">
        <f t="shared" si="15"/>
        <v>256</v>
      </c>
      <c r="IW13" s="1475">
        <f t="shared" si="15"/>
        <v>257</v>
      </c>
      <c r="IX13" s="1475">
        <f t="shared" si="15"/>
        <v>258</v>
      </c>
      <c r="IY13" s="1475">
        <f t="shared" ref="IY13:JN14" si="16">IX13+1</f>
        <v>259</v>
      </c>
      <c r="IZ13" s="1475">
        <f t="shared" si="16"/>
        <v>260</v>
      </c>
      <c r="JA13" s="1475">
        <f t="shared" si="16"/>
        <v>261</v>
      </c>
      <c r="JB13" s="1475">
        <f t="shared" si="16"/>
        <v>262</v>
      </c>
      <c r="JC13" s="1475">
        <f t="shared" si="16"/>
        <v>263</v>
      </c>
      <c r="JD13" s="1475">
        <f t="shared" si="16"/>
        <v>264</v>
      </c>
      <c r="JE13" s="1475">
        <f t="shared" si="16"/>
        <v>265</v>
      </c>
      <c r="JF13" s="1479">
        <f t="shared" si="16"/>
        <v>266</v>
      </c>
      <c r="JG13" s="1479">
        <f t="shared" si="16"/>
        <v>267</v>
      </c>
      <c r="JH13" s="1479">
        <f t="shared" si="16"/>
        <v>268</v>
      </c>
      <c r="JI13" s="1479">
        <f t="shared" si="16"/>
        <v>269</v>
      </c>
      <c r="JJ13" s="1479">
        <f t="shared" si="16"/>
        <v>270</v>
      </c>
      <c r="JK13" s="1479">
        <f t="shared" si="16"/>
        <v>271</v>
      </c>
      <c r="JL13" s="1479">
        <f t="shared" si="16"/>
        <v>272</v>
      </c>
      <c r="JM13" s="1479">
        <f t="shared" si="16"/>
        <v>273</v>
      </c>
      <c r="JN13" s="1479">
        <f t="shared" si="16"/>
        <v>274</v>
      </c>
      <c r="JO13" s="1479">
        <f t="shared" ref="JO13:KD14" si="17">JN13+1</f>
        <v>275</v>
      </c>
      <c r="JP13" s="1479">
        <f t="shared" si="17"/>
        <v>276</v>
      </c>
      <c r="JQ13" s="1479">
        <f t="shared" si="17"/>
        <v>277</v>
      </c>
      <c r="JR13" s="1479">
        <f t="shared" si="17"/>
        <v>278</v>
      </c>
      <c r="JS13" s="1479">
        <f t="shared" si="17"/>
        <v>279</v>
      </c>
      <c r="JT13" s="1479">
        <f t="shared" si="17"/>
        <v>280</v>
      </c>
      <c r="JU13" s="1479">
        <f t="shared" si="17"/>
        <v>281</v>
      </c>
      <c r="JV13" s="1479">
        <f t="shared" si="17"/>
        <v>282</v>
      </c>
      <c r="JW13" s="1479">
        <f t="shared" si="17"/>
        <v>283</v>
      </c>
      <c r="JX13" s="1479">
        <f t="shared" si="17"/>
        <v>284</v>
      </c>
      <c r="JY13" s="1479">
        <f t="shared" si="17"/>
        <v>285</v>
      </c>
      <c r="JZ13" s="1479">
        <f t="shared" si="17"/>
        <v>286</v>
      </c>
      <c r="KA13" s="1479">
        <f t="shared" si="17"/>
        <v>287</v>
      </c>
      <c r="KB13" s="1479">
        <f t="shared" si="17"/>
        <v>288</v>
      </c>
      <c r="KC13" s="1479">
        <f t="shared" si="17"/>
        <v>289</v>
      </c>
      <c r="KD13" s="1479">
        <f t="shared" si="17"/>
        <v>290</v>
      </c>
      <c r="KE13" s="1479">
        <f t="shared" ref="KE13:KO14" si="18">KD13+1</f>
        <v>291</v>
      </c>
      <c r="KF13" s="1479">
        <f t="shared" si="18"/>
        <v>292</v>
      </c>
      <c r="KG13" s="1479">
        <f t="shared" si="18"/>
        <v>293</v>
      </c>
      <c r="KH13" s="1479">
        <f t="shared" si="18"/>
        <v>294</v>
      </c>
      <c r="KI13" s="1479">
        <f t="shared" si="18"/>
        <v>295</v>
      </c>
      <c r="KJ13" s="1479">
        <f t="shared" si="18"/>
        <v>296</v>
      </c>
      <c r="KK13" s="1479">
        <f t="shared" si="18"/>
        <v>297</v>
      </c>
      <c r="KL13" s="1479">
        <f t="shared" si="18"/>
        <v>298</v>
      </c>
      <c r="KM13" s="1479">
        <f t="shared" si="18"/>
        <v>299</v>
      </c>
      <c r="KN13" s="1479">
        <f t="shared" si="18"/>
        <v>300</v>
      </c>
      <c r="KO13" s="1482">
        <f t="shared" si="18"/>
        <v>301</v>
      </c>
    </row>
    <row r="14" spans="1:301" s="913" customFormat="1" ht="15" customHeight="1" thickTop="1" thickBot="1">
      <c r="A14" s="1483"/>
      <c r="B14" s="1484"/>
      <c r="C14" s="1485"/>
      <c r="D14" s="1485"/>
      <c r="E14" s="1485"/>
      <c r="F14" s="1485"/>
      <c r="G14" s="1485"/>
      <c r="H14" s="1485"/>
      <c r="I14" s="1485"/>
      <c r="J14" s="1485"/>
      <c r="K14" s="1485"/>
      <c r="L14" s="1485"/>
      <c r="M14" s="1485"/>
      <c r="N14" s="1485"/>
      <c r="O14" s="1485"/>
      <c r="P14" s="1485"/>
      <c r="Q14" s="1485"/>
      <c r="R14" s="1485"/>
      <c r="S14" s="1485"/>
      <c r="T14" s="1485"/>
      <c r="U14" s="1485"/>
      <c r="V14" s="1485"/>
      <c r="W14" s="1485"/>
      <c r="X14" s="1485"/>
      <c r="Y14" s="1485"/>
      <c r="Z14" s="1485"/>
      <c r="AA14" s="1485"/>
      <c r="AB14" s="1485"/>
      <c r="AC14" s="1486"/>
      <c r="AD14" s="1487"/>
      <c r="AE14" s="1487"/>
      <c r="AF14" s="1487"/>
      <c r="AG14" s="1487"/>
      <c r="AH14" s="1485"/>
      <c r="AI14" s="1488"/>
      <c r="AJ14" s="995" t="s">
        <v>1066</v>
      </c>
      <c r="AK14" s="996">
        <v>1</v>
      </c>
      <c r="AL14" s="996">
        <f>AK14+1</f>
        <v>2</v>
      </c>
      <c r="AM14" s="996">
        <f t="shared" si="2"/>
        <v>3</v>
      </c>
      <c r="AN14" s="996">
        <f t="shared" si="2"/>
        <v>4</v>
      </c>
      <c r="AO14" s="996">
        <f t="shared" si="2"/>
        <v>5</v>
      </c>
      <c r="AP14" s="996">
        <f t="shared" si="2"/>
        <v>6</v>
      </c>
      <c r="AQ14" s="996">
        <f t="shared" si="2"/>
        <v>7</v>
      </c>
      <c r="AR14" s="996">
        <f t="shared" si="2"/>
        <v>8</v>
      </c>
      <c r="AS14" s="996">
        <f t="shared" si="2"/>
        <v>9</v>
      </c>
      <c r="AT14" s="996">
        <f t="shared" si="2"/>
        <v>10</v>
      </c>
      <c r="AU14" s="996">
        <f t="shared" si="2"/>
        <v>11</v>
      </c>
      <c r="AV14" s="996">
        <f t="shared" si="2"/>
        <v>12</v>
      </c>
      <c r="AW14" s="996">
        <f t="shared" si="2"/>
        <v>13</v>
      </c>
      <c r="AX14" s="996">
        <f t="shared" si="2"/>
        <v>14</v>
      </c>
      <c r="AY14" s="996">
        <f t="shared" si="3"/>
        <v>15</v>
      </c>
      <c r="AZ14" s="996">
        <f t="shared" si="3"/>
        <v>16</v>
      </c>
      <c r="BA14" s="996">
        <f t="shared" si="3"/>
        <v>17</v>
      </c>
      <c r="BB14" s="996">
        <f t="shared" si="3"/>
        <v>18</v>
      </c>
      <c r="BC14" s="995" t="s">
        <v>2159</v>
      </c>
      <c r="BD14" s="996">
        <v>1</v>
      </c>
      <c r="BE14" s="996">
        <f>BD14+1</f>
        <v>2</v>
      </c>
      <c r="BF14" s="996">
        <f t="shared" si="3"/>
        <v>3</v>
      </c>
      <c r="BG14" s="996">
        <f t="shared" si="3"/>
        <v>4</v>
      </c>
      <c r="BH14" s="996">
        <f t="shared" si="3"/>
        <v>5</v>
      </c>
      <c r="BI14" s="996">
        <f t="shared" si="3"/>
        <v>6</v>
      </c>
      <c r="BJ14" s="996">
        <f t="shared" si="3"/>
        <v>7</v>
      </c>
      <c r="BK14" s="996">
        <f t="shared" si="3"/>
        <v>8</v>
      </c>
      <c r="BL14" s="996">
        <f t="shared" si="3"/>
        <v>9</v>
      </c>
      <c r="BM14" s="996">
        <f t="shared" si="3"/>
        <v>10</v>
      </c>
      <c r="BN14" s="996">
        <f t="shared" si="3"/>
        <v>11</v>
      </c>
      <c r="BO14" s="996">
        <f t="shared" si="4"/>
        <v>12</v>
      </c>
      <c r="BP14" s="996">
        <f t="shared" si="4"/>
        <v>13</v>
      </c>
      <c r="BQ14" s="996">
        <f t="shared" si="4"/>
        <v>14</v>
      </c>
      <c r="BR14" s="996">
        <f t="shared" si="4"/>
        <v>15</v>
      </c>
      <c r="BS14" s="996">
        <f t="shared" si="4"/>
        <v>16</v>
      </c>
      <c r="BT14" s="996">
        <f t="shared" si="4"/>
        <v>17</v>
      </c>
      <c r="BU14" s="996">
        <f t="shared" si="4"/>
        <v>18</v>
      </c>
      <c r="BV14" s="995" t="s">
        <v>3885</v>
      </c>
      <c r="BW14" s="996">
        <v>1</v>
      </c>
      <c r="BX14" s="996">
        <f>BW14+1</f>
        <v>2</v>
      </c>
      <c r="BY14" s="996">
        <f t="shared" si="4"/>
        <v>3</v>
      </c>
      <c r="BZ14" s="996">
        <f t="shared" si="4"/>
        <v>4</v>
      </c>
      <c r="CA14" s="996">
        <f t="shared" si="4"/>
        <v>5</v>
      </c>
      <c r="CB14" s="996">
        <f t="shared" si="4"/>
        <v>6</v>
      </c>
      <c r="CC14" s="996">
        <f t="shared" si="4"/>
        <v>7</v>
      </c>
      <c r="CD14" s="996">
        <f t="shared" si="4"/>
        <v>8</v>
      </c>
      <c r="CE14" s="996">
        <f t="shared" si="5"/>
        <v>9</v>
      </c>
      <c r="CF14" s="996">
        <f t="shared" si="5"/>
        <v>10</v>
      </c>
      <c r="CG14" s="996">
        <f t="shared" si="5"/>
        <v>11</v>
      </c>
      <c r="CH14" s="996">
        <f t="shared" si="5"/>
        <v>12</v>
      </c>
      <c r="CI14" s="996">
        <f t="shared" si="5"/>
        <v>13</v>
      </c>
      <c r="CJ14" s="996">
        <f t="shared" si="5"/>
        <v>14</v>
      </c>
      <c r="CK14" s="996">
        <f t="shared" si="5"/>
        <v>15</v>
      </c>
      <c r="CL14" s="996">
        <f t="shared" si="5"/>
        <v>16</v>
      </c>
      <c r="CM14" s="996">
        <f t="shared" si="5"/>
        <v>17</v>
      </c>
      <c r="CN14" s="996">
        <f t="shared" si="5"/>
        <v>18</v>
      </c>
      <c r="CO14" s="995" t="s">
        <v>3886</v>
      </c>
      <c r="CP14" s="996">
        <v>1</v>
      </c>
      <c r="CQ14" s="996">
        <f>CP14+1</f>
        <v>2</v>
      </c>
      <c r="CR14" s="996">
        <f t="shared" si="5"/>
        <v>3</v>
      </c>
      <c r="CS14" s="996">
        <f t="shared" si="5"/>
        <v>4</v>
      </c>
      <c r="CT14" s="996">
        <f t="shared" si="5"/>
        <v>5</v>
      </c>
      <c r="CU14" s="996">
        <f t="shared" si="6"/>
        <v>6</v>
      </c>
      <c r="CV14" s="996">
        <f t="shared" si="6"/>
        <v>7</v>
      </c>
      <c r="CW14" s="996">
        <f t="shared" si="6"/>
        <v>8</v>
      </c>
      <c r="CX14" s="996">
        <f t="shared" si="6"/>
        <v>9</v>
      </c>
      <c r="CY14" s="996">
        <f t="shared" si="6"/>
        <v>10</v>
      </c>
      <c r="CZ14" s="996">
        <f t="shared" si="6"/>
        <v>11</v>
      </c>
      <c r="DA14" s="996">
        <f t="shared" si="6"/>
        <v>12</v>
      </c>
      <c r="DB14" s="996">
        <f t="shared" si="6"/>
        <v>13</v>
      </c>
      <c r="DC14" s="996">
        <f t="shared" si="6"/>
        <v>14</v>
      </c>
      <c r="DD14" s="996">
        <f t="shared" si="6"/>
        <v>15</v>
      </c>
      <c r="DE14" s="996">
        <f t="shared" si="6"/>
        <v>16</v>
      </c>
      <c r="DF14" s="996">
        <f t="shared" si="6"/>
        <v>17</v>
      </c>
      <c r="DG14" s="996">
        <f t="shared" si="6"/>
        <v>18</v>
      </c>
      <c r="DH14" s="995" t="s">
        <v>3895</v>
      </c>
      <c r="DI14" s="996">
        <v>1</v>
      </c>
      <c r="DJ14" s="996">
        <f>DI14+1</f>
        <v>2</v>
      </c>
      <c r="DK14" s="996">
        <f t="shared" si="7"/>
        <v>3</v>
      </c>
      <c r="DL14" s="996">
        <f t="shared" si="7"/>
        <v>4</v>
      </c>
      <c r="DM14" s="996">
        <f t="shared" si="7"/>
        <v>5</v>
      </c>
      <c r="DN14" s="996">
        <f t="shared" si="7"/>
        <v>6</v>
      </c>
      <c r="DO14" s="996">
        <f t="shared" si="7"/>
        <v>7</v>
      </c>
      <c r="DP14" s="996">
        <f t="shared" si="7"/>
        <v>8</v>
      </c>
      <c r="DQ14" s="996">
        <f t="shared" si="7"/>
        <v>9</v>
      </c>
      <c r="DR14" s="996">
        <f t="shared" si="7"/>
        <v>10</v>
      </c>
      <c r="DS14" s="996">
        <f t="shared" si="7"/>
        <v>11</v>
      </c>
      <c r="DT14" s="996">
        <f t="shared" si="7"/>
        <v>12</v>
      </c>
      <c r="DU14" s="996">
        <f t="shared" si="7"/>
        <v>13</v>
      </c>
      <c r="DV14" s="996">
        <f t="shared" si="7"/>
        <v>14</v>
      </c>
      <c r="DW14" s="996">
        <f t="shared" si="7"/>
        <v>15</v>
      </c>
      <c r="DX14" s="996">
        <f t="shared" si="7"/>
        <v>16</v>
      </c>
      <c r="DY14" s="996">
        <f t="shared" si="7"/>
        <v>17</v>
      </c>
      <c r="DZ14" s="996">
        <f t="shared" si="7"/>
        <v>18</v>
      </c>
      <c r="EA14" s="995" t="s">
        <v>3896</v>
      </c>
      <c r="EB14" s="996">
        <v>1</v>
      </c>
      <c r="EC14" s="996">
        <f>EB14+1</f>
        <v>2</v>
      </c>
      <c r="ED14" s="996">
        <f t="shared" si="8"/>
        <v>3</v>
      </c>
      <c r="EE14" s="996">
        <f t="shared" si="8"/>
        <v>4</v>
      </c>
      <c r="EF14" s="996">
        <f t="shared" si="8"/>
        <v>5</v>
      </c>
      <c r="EG14" s="996">
        <f t="shared" si="8"/>
        <v>6</v>
      </c>
      <c r="EH14" s="996">
        <f t="shared" si="8"/>
        <v>7</v>
      </c>
      <c r="EI14" s="996">
        <f t="shared" si="8"/>
        <v>8</v>
      </c>
      <c r="EJ14" s="996">
        <f t="shared" si="8"/>
        <v>9</v>
      </c>
      <c r="EK14" s="996">
        <f t="shared" si="8"/>
        <v>10</v>
      </c>
      <c r="EL14" s="996">
        <f t="shared" si="8"/>
        <v>11</v>
      </c>
      <c r="EM14" s="996">
        <f t="shared" si="8"/>
        <v>12</v>
      </c>
      <c r="EN14" s="996">
        <f t="shared" si="8"/>
        <v>13</v>
      </c>
      <c r="EO14" s="996">
        <f t="shared" si="8"/>
        <v>14</v>
      </c>
      <c r="EP14" s="996">
        <f t="shared" si="8"/>
        <v>15</v>
      </c>
      <c r="EQ14" s="996">
        <f t="shared" si="9"/>
        <v>16</v>
      </c>
      <c r="ER14" s="996">
        <f t="shared" si="9"/>
        <v>17</v>
      </c>
      <c r="ES14" s="996">
        <f t="shared" si="9"/>
        <v>18</v>
      </c>
      <c r="ET14" s="995" t="s">
        <v>3897</v>
      </c>
      <c r="EU14" s="996">
        <v>1</v>
      </c>
      <c r="EV14" s="996">
        <f>EU14+1</f>
        <v>2</v>
      </c>
      <c r="EW14" s="996">
        <f t="shared" si="9"/>
        <v>3</v>
      </c>
      <c r="EX14" s="996">
        <f t="shared" si="9"/>
        <v>4</v>
      </c>
      <c r="EY14" s="996">
        <f t="shared" si="9"/>
        <v>5</v>
      </c>
      <c r="EZ14" s="996">
        <f t="shared" si="9"/>
        <v>6</v>
      </c>
      <c r="FA14" s="996">
        <f t="shared" si="9"/>
        <v>7</v>
      </c>
      <c r="FB14" s="996">
        <f t="shared" si="9"/>
        <v>8</v>
      </c>
      <c r="FC14" s="996">
        <f t="shared" si="9"/>
        <v>9</v>
      </c>
      <c r="FD14" s="996">
        <f t="shared" si="9"/>
        <v>10</v>
      </c>
      <c r="FE14" s="996">
        <f t="shared" si="9"/>
        <v>11</v>
      </c>
      <c r="FF14" s="996">
        <f t="shared" si="9"/>
        <v>12</v>
      </c>
      <c r="FG14" s="996">
        <f t="shared" si="10"/>
        <v>13</v>
      </c>
      <c r="FH14" s="996">
        <f t="shared" si="10"/>
        <v>14</v>
      </c>
      <c r="FI14" s="996">
        <f t="shared" si="10"/>
        <v>15</v>
      </c>
      <c r="FJ14" s="996">
        <f t="shared" si="10"/>
        <v>16</v>
      </c>
      <c r="FK14" s="996">
        <f t="shared" si="10"/>
        <v>17</v>
      </c>
      <c r="FL14" s="996">
        <f t="shared" si="10"/>
        <v>18</v>
      </c>
      <c r="FM14" s="995" t="s">
        <v>3898</v>
      </c>
      <c r="FN14" s="996">
        <v>1</v>
      </c>
      <c r="FO14" s="996">
        <f>FN14+1</f>
        <v>2</v>
      </c>
      <c r="FP14" s="996">
        <f t="shared" si="10"/>
        <v>3</v>
      </c>
      <c r="FQ14" s="996">
        <f t="shared" si="10"/>
        <v>4</v>
      </c>
      <c r="FR14" s="996">
        <f t="shared" si="10"/>
        <v>5</v>
      </c>
      <c r="FS14" s="996">
        <f t="shared" si="10"/>
        <v>6</v>
      </c>
      <c r="FT14" s="996">
        <f t="shared" si="10"/>
        <v>7</v>
      </c>
      <c r="FU14" s="996">
        <f t="shared" si="10"/>
        <v>8</v>
      </c>
      <c r="FV14" s="996">
        <f t="shared" si="10"/>
        <v>9</v>
      </c>
      <c r="FW14" s="996">
        <f t="shared" si="11"/>
        <v>10</v>
      </c>
      <c r="FX14" s="996">
        <f t="shared" si="11"/>
        <v>11</v>
      </c>
      <c r="FY14" s="996">
        <f t="shared" si="11"/>
        <v>12</v>
      </c>
      <c r="FZ14" s="996">
        <f t="shared" si="11"/>
        <v>13</v>
      </c>
      <c r="GA14" s="996">
        <f t="shared" si="11"/>
        <v>14</v>
      </c>
      <c r="GB14" s="996">
        <f t="shared" si="11"/>
        <v>15</v>
      </c>
      <c r="GC14" s="996">
        <f t="shared" si="11"/>
        <v>16</v>
      </c>
      <c r="GD14" s="996">
        <f t="shared" si="11"/>
        <v>17</v>
      </c>
      <c r="GE14" s="996">
        <f t="shared" si="11"/>
        <v>18</v>
      </c>
      <c r="GF14" s="995" t="s">
        <v>3887</v>
      </c>
      <c r="GG14" s="996">
        <v>1</v>
      </c>
      <c r="GH14" s="996">
        <f>GG14+1</f>
        <v>2</v>
      </c>
      <c r="GI14" s="996">
        <f t="shared" si="11"/>
        <v>3</v>
      </c>
      <c r="GJ14" s="996">
        <f t="shared" si="11"/>
        <v>4</v>
      </c>
      <c r="GK14" s="996">
        <f t="shared" si="11"/>
        <v>5</v>
      </c>
      <c r="GL14" s="996">
        <f t="shared" si="11"/>
        <v>6</v>
      </c>
      <c r="GM14" s="996">
        <f t="shared" si="12"/>
        <v>7</v>
      </c>
      <c r="GN14" s="996">
        <f t="shared" si="12"/>
        <v>8</v>
      </c>
      <c r="GO14" s="996">
        <f t="shared" si="12"/>
        <v>9</v>
      </c>
      <c r="GP14" s="996">
        <f t="shared" si="12"/>
        <v>10</v>
      </c>
      <c r="GQ14" s="996">
        <f t="shared" si="12"/>
        <v>11</v>
      </c>
      <c r="GR14" s="996">
        <f t="shared" si="12"/>
        <v>12</v>
      </c>
      <c r="GS14" s="996">
        <f t="shared" si="12"/>
        <v>13</v>
      </c>
      <c r="GT14" s="996">
        <f t="shared" si="12"/>
        <v>14</v>
      </c>
      <c r="GU14" s="996">
        <f t="shared" si="12"/>
        <v>15</v>
      </c>
      <c r="GV14" s="996">
        <f t="shared" si="12"/>
        <v>16</v>
      </c>
      <c r="GW14" s="996">
        <f t="shared" si="12"/>
        <v>17</v>
      </c>
      <c r="GX14" s="996">
        <f t="shared" si="12"/>
        <v>18</v>
      </c>
      <c r="GY14" s="995" t="s">
        <v>3888</v>
      </c>
      <c r="GZ14" s="996">
        <v>1</v>
      </c>
      <c r="HA14" s="996">
        <f>GZ14+1</f>
        <v>2</v>
      </c>
      <c r="HB14" s="996">
        <f t="shared" si="12"/>
        <v>3</v>
      </c>
      <c r="HC14" s="996">
        <f t="shared" si="13"/>
        <v>4</v>
      </c>
      <c r="HD14" s="996">
        <f t="shared" si="13"/>
        <v>5</v>
      </c>
      <c r="HE14" s="996">
        <f t="shared" si="13"/>
        <v>6</v>
      </c>
      <c r="HF14" s="996">
        <f t="shared" si="13"/>
        <v>7</v>
      </c>
      <c r="HG14" s="996">
        <f t="shared" si="13"/>
        <v>8</v>
      </c>
      <c r="HH14" s="996">
        <f t="shared" si="13"/>
        <v>9</v>
      </c>
      <c r="HI14" s="996">
        <f t="shared" si="13"/>
        <v>10</v>
      </c>
      <c r="HJ14" s="996">
        <f t="shared" si="13"/>
        <v>11</v>
      </c>
      <c r="HK14" s="996">
        <f t="shared" si="13"/>
        <v>12</v>
      </c>
      <c r="HL14" s="996">
        <f t="shared" si="13"/>
        <v>13</v>
      </c>
      <c r="HM14" s="996">
        <f t="shared" si="13"/>
        <v>14</v>
      </c>
      <c r="HN14" s="996">
        <f t="shared" si="13"/>
        <v>15</v>
      </c>
      <c r="HO14" s="996">
        <f t="shared" si="13"/>
        <v>16</v>
      </c>
      <c r="HP14" s="996">
        <f t="shared" si="13"/>
        <v>17</v>
      </c>
      <c r="HQ14" s="996">
        <f t="shared" si="13"/>
        <v>18</v>
      </c>
      <c r="HR14" s="995" t="s">
        <v>2160</v>
      </c>
      <c r="HS14" s="996">
        <v>1</v>
      </c>
      <c r="HT14" s="996">
        <f>HS14+1</f>
        <v>2</v>
      </c>
      <c r="HU14" s="996">
        <f t="shared" si="14"/>
        <v>3</v>
      </c>
      <c r="HV14" s="996">
        <f t="shared" si="14"/>
        <v>4</v>
      </c>
      <c r="HW14" s="996">
        <f t="shared" si="14"/>
        <v>5</v>
      </c>
      <c r="HX14" s="996">
        <f t="shared" si="14"/>
        <v>6</v>
      </c>
      <c r="HY14" s="996">
        <f t="shared" si="14"/>
        <v>7</v>
      </c>
      <c r="HZ14" s="996">
        <f t="shared" si="14"/>
        <v>8</v>
      </c>
      <c r="IA14" s="996">
        <f t="shared" si="14"/>
        <v>9</v>
      </c>
      <c r="IB14" s="996">
        <f t="shared" si="14"/>
        <v>10</v>
      </c>
      <c r="IC14" s="996">
        <f t="shared" si="14"/>
        <v>11</v>
      </c>
      <c r="ID14" s="996">
        <f t="shared" si="14"/>
        <v>12</v>
      </c>
      <c r="IE14" s="996">
        <f t="shared" si="14"/>
        <v>13</v>
      </c>
      <c r="IF14" s="996">
        <f t="shared" si="14"/>
        <v>14</v>
      </c>
      <c r="IG14" s="996">
        <f t="shared" si="14"/>
        <v>15</v>
      </c>
      <c r="IH14" s="996">
        <f t="shared" si="14"/>
        <v>16</v>
      </c>
      <c r="II14" s="996">
        <f t="shared" si="15"/>
        <v>17</v>
      </c>
      <c r="IJ14" s="996">
        <f t="shared" si="15"/>
        <v>18</v>
      </c>
      <c r="IK14" s="995" t="s">
        <v>2161</v>
      </c>
      <c r="IL14" s="996">
        <v>1</v>
      </c>
      <c r="IM14" s="996">
        <f>IL14+1</f>
        <v>2</v>
      </c>
      <c r="IN14" s="996">
        <f t="shared" si="15"/>
        <v>3</v>
      </c>
      <c r="IO14" s="996">
        <f t="shared" si="15"/>
        <v>4</v>
      </c>
      <c r="IP14" s="996">
        <f t="shared" si="15"/>
        <v>5</v>
      </c>
      <c r="IQ14" s="996">
        <f t="shared" si="15"/>
        <v>6</v>
      </c>
      <c r="IR14" s="996">
        <f t="shared" si="15"/>
        <v>7</v>
      </c>
      <c r="IS14" s="996">
        <f t="shared" si="15"/>
        <v>8</v>
      </c>
      <c r="IT14" s="996">
        <f t="shared" si="15"/>
        <v>9</v>
      </c>
      <c r="IU14" s="996">
        <f t="shared" si="15"/>
        <v>10</v>
      </c>
      <c r="IV14" s="996">
        <f t="shared" si="15"/>
        <v>11</v>
      </c>
      <c r="IW14" s="996">
        <f t="shared" si="15"/>
        <v>12</v>
      </c>
      <c r="IX14" s="996">
        <f t="shared" si="15"/>
        <v>13</v>
      </c>
      <c r="IY14" s="996">
        <f t="shared" si="16"/>
        <v>14</v>
      </c>
      <c r="IZ14" s="996">
        <f t="shared" si="16"/>
        <v>15</v>
      </c>
      <c r="JA14" s="996">
        <f t="shared" si="16"/>
        <v>16</v>
      </c>
      <c r="JB14" s="996">
        <f t="shared" si="16"/>
        <v>17</v>
      </c>
      <c r="JC14" s="996">
        <f t="shared" si="16"/>
        <v>18</v>
      </c>
      <c r="JD14" s="995" t="s">
        <v>2162</v>
      </c>
      <c r="JE14" s="996">
        <v>1</v>
      </c>
      <c r="JF14" s="996">
        <f>JE14+1</f>
        <v>2</v>
      </c>
      <c r="JG14" s="996">
        <f t="shared" si="16"/>
        <v>3</v>
      </c>
      <c r="JH14" s="996">
        <f t="shared" si="16"/>
        <v>4</v>
      </c>
      <c r="JI14" s="996">
        <f t="shared" si="16"/>
        <v>5</v>
      </c>
      <c r="JJ14" s="996">
        <f t="shared" si="16"/>
        <v>6</v>
      </c>
      <c r="JK14" s="996">
        <f t="shared" si="16"/>
        <v>7</v>
      </c>
      <c r="JL14" s="996">
        <f t="shared" si="16"/>
        <v>8</v>
      </c>
      <c r="JM14" s="996">
        <f t="shared" si="16"/>
        <v>9</v>
      </c>
      <c r="JN14" s="996">
        <f t="shared" si="16"/>
        <v>10</v>
      </c>
      <c r="JO14" s="996">
        <f t="shared" si="17"/>
        <v>11</v>
      </c>
      <c r="JP14" s="996">
        <f t="shared" si="17"/>
        <v>12</v>
      </c>
      <c r="JQ14" s="996">
        <f t="shared" si="17"/>
        <v>13</v>
      </c>
      <c r="JR14" s="996">
        <f t="shared" si="17"/>
        <v>14</v>
      </c>
      <c r="JS14" s="996">
        <f t="shared" si="17"/>
        <v>15</v>
      </c>
      <c r="JT14" s="996">
        <f t="shared" si="17"/>
        <v>16</v>
      </c>
      <c r="JU14" s="996">
        <f t="shared" si="17"/>
        <v>17</v>
      </c>
      <c r="JV14" s="996">
        <f t="shared" si="17"/>
        <v>18</v>
      </c>
      <c r="JW14" s="995" t="s">
        <v>2163</v>
      </c>
      <c r="JX14" s="996">
        <v>1</v>
      </c>
      <c r="JY14" s="996">
        <f>JX14+1</f>
        <v>2</v>
      </c>
      <c r="JZ14" s="996">
        <f t="shared" si="17"/>
        <v>3</v>
      </c>
      <c r="KA14" s="996">
        <f t="shared" si="17"/>
        <v>4</v>
      </c>
      <c r="KB14" s="996">
        <f t="shared" si="17"/>
        <v>5</v>
      </c>
      <c r="KC14" s="996">
        <f t="shared" si="17"/>
        <v>6</v>
      </c>
      <c r="KD14" s="996">
        <f t="shared" si="17"/>
        <v>7</v>
      </c>
      <c r="KE14" s="996">
        <f t="shared" si="18"/>
        <v>8</v>
      </c>
      <c r="KF14" s="996">
        <f t="shared" si="18"/>
        <v>9</v>
      </c>
      <c r="KG14" s="996">
        <f t="shared" si="18"/>
        <v>10</v>
      </c>
      <c r="KH14" s="996">
        <f t="shared" si="18"/>
        <v>11</v>
      </c>
      <c r="KI14" s="996">
        <f t="shared" si="18"/>
        <v>12</v>
      </c>
      <c r="KJ14" s="996">
        <f t="shared" si="18"/>
        <v>13</v>
      </c>
      <c r="KK14" s="996">
        <f t="shared" si="18"/>
        <v>14</v>
      </c>
      <c r="KL14" s="996">
        <f t="shared" si="18"/>
        <v>15</v>
      </c>
      <c r="KM14" s="996">
        <f t="shared" si="18"/>
        <v>16</v>
      </c>
      <c r="KN14" s="996">
        <f t="shared" si="18"/>
        <v>17</v>
      </c>
      <c r="KO14" s="997">
        <f t="shared" si="18"/>
        <v>18</v>
      </c>
    </row>
    <row r="15" spans="1:301" s="878" customFormat="1" ht="15" customHeight="1">
      <c r="A15" s="914"/>
      <c r="B15" s="876"/>
      <c r="C15" s="876"/>
      <c r="D15" s="876"/>
      <c r="E15" s="876"/>
      <c r="F15" s="876"/>
      <c r="G15" s="876"/>
      <c r="H15" s="876"/>
      <c r="I15" s="876"/>
      <c r="J15" s="876"/>
      <c r="K15" s="876"/>
      <c r="L15" s="876"/>
      <c r="M15" s="876"/>
      <c r="N15" s="915"/>
      <c r="O15" s="915"/>
      <c r="P15" s="915"/>
      <c r="Q15" s="915"/>
      <c r="R15" s="876"/>
      <c r="S15" s="876"/>
      <c r="T15" s="876"/>
      <c r="U15" s="876"/>
      <c r="V15" s="876"/>
      <c r="W15" s="916">
        <v>0.75</v>
      </c>
      <c r="X15" s="972"/>
      <c r="Y15" s="972"/>
      <c r="Z15" s="876"/>
      <c r="AA15" s="876"/>
      <c r="AB15" s="972"/>
      <c r="AC15" s="990"/>
      <c r="AD15" s="877"/>
      <c r="AE15" s="877"/>
      <c r="AF15" s="877"/>
      <c r="AG15" s="877"/>
      <c r="AH15" s="876"/>
      <c r="AI15" s="1489"/>
      <c r="AJ15" s="917"/>
      <c r="AK15" s="915"/>
      <c r="AL15" s="915"/>
      <c r="AM15" s="915"/>
      <c r="AN15" s="876"/>
      <c r="AO15" s="876"/>
      <c r="AP15" s="915"/>
      <c r="AQ15" s="915"/>
      <c r="AR15" s="915"/>
      <c r="AS15" s="915"/>
      <c r="AT15" s="915"/>
      <c r="AU15" s="915"/>
      <c r="AV15" s="915"/>
      <c r="AW15" s="915"/>
      <c r="AX15" s="915"/>
      <c r="AY15" s="915"/>
      <c r="AZ15" s="915"/>
      <c r="BA15" s="915"/>
      <c r="BB15" s="918"/>
      <c r="BC15" s="917"/>
      <c r="BD15" s="915"/>
      <c r="BE15" s="915"/>
      <c r="BF15" s="915"/>
      <c r="BG15" s="876"/>
      <c r="BH15" s="876"/>
      <c r="BI15" s="915"/>
      <c r="BJ15" s="915"/>
      <c r="BK15" s="915"/>
      <c r="BL15" s="915"/>
      <c r="BM15" s="915"/>
      <c r="BN15" s="915"/>
      <c r="BO15" s="915"/>
      <c r="BP15" s="915"/>
      <c r="BQ15" s="915"/>
      <c r="BR15" s="915"/>
      <c r="BS15" s="915"/>
      <c r="BT15" s="915"/>
      <c r="BU15" s="918"/>
      <c r="BV15" s="917"/>
      <c r="BW15" s="915"/>
      <c r="BX15" s="915"/>
      <c r="BY15" s="915"/>
      <c r="BZ15" s="876"/>
      <c r="CA15" s="876"/>
      <c r="CB15" s="915"/>
      <c r="CC15" s="915"/>
      <c r="CD15" s="915"/>
      <c r="CE15" s="915"/>
      <c r="CF15" s="915"/>
      <c r="CG15" s="915"/>
      <c r="CH15" s="915"/>
      <c r="CI15" s="915"/>
      <c r="CJ15" s="915"/>
      <c r="CK15" s="915"/>
      <c r="CL15" s="915"/>
      <c r="CM15" s="915"/>
      <c r="CN15" s="918"/>
      <c r="CO15" s="917"/>
      <c r="CP15" s="915"/>
      <c r="CQ15" s="915"/>
      <c r="CR15" s="915"/>
      <c r="CS15" s="876"/>
      <c r="CT15" s="876"/>
      <c r="CU15" s="915"/>
      <c r="CV15" s="915"/>
      <c r="CW15" s="915"/>
      <c r="CX15" s="915"/>
      <c r="CY15" s="915"/>
      <c r="CZ15" s="915"/>
      <c r="DA15" s="915"/>
      <c r="DB15" s="915"/>
      <c r="DC15" s="915"/>
      <c r="DD15" s="915"/>
      <c r="DE15" s="915"/>
      <c r="DF15" s="915"/>
      <c r="DG15" s="918"/>
      <c r="DH15" s="917"/>
      <c r="DI15" s="915"/>
      <c r="DJ15" s="915"/>
      <c r="DK15" s="915"/>
      <c r="DL15" s="876"/>
      <c r="DM15" s="876"/>
      <c r="DN15" s="915"/>
      <c r="DO15" s="915"/>
      <c r="DP15" s="915"/>
      <c r="DQ15" s="915"/>
      <c r="DR15" s="915"/>
      <c r="DS15" s="915"/>
      <c r="DT15" s="915"/>
      <c r="DU15" s="915"/>
      <c r="DV15" s="915"/>
      <c r="DW15" s="915"/>
      <c r="DX15" s="915"/>
      <c r="DY15" s="915"/>
      <c r="DZ15" s="918"/>
      <c r="EA15" s="917"/>
      <c r="EB15" s="915"/>
      <c r="EC15" s="915"/>
      <c r="ED15" s="915"/>
      <c r="EE15" s="876"/>
      <c r="EF15" s="876"/>
      <c r="EG15" s="915"/>
      <c r="EH15" s="915"/>
      <c r="EI15" s="915"/>
      <c r="EJ15" s="915"/>
      <c r="EK15" s="915"/>
      <c r="EL15" s="915"/>
      <c r="EM15" s="915"/>
      <c r="EN15" s="915"/>
      <c r="EO15" s="915"/>
      <c r="EP15" s="915"/>
      <c r="EQ15" s="915"/>
      <c r="ER15" s="915"/>
      <c r="ES15" s="918"/>
      <c r="ET15" s="917"/>
      <c r="EU15" s="915"/>
      <c r="EV15" s="915"/>
      <c r="EW15" s="915"/>
      <c r="EX15" s="876"/>
      <c r="EY15" s="876"/>
      <c r="EZ15" s="915"/>
      <c r="FA15" s="915"/>
      <c r="FB15" s="915"/>
      <c r="FC15" s="915"/>
      <c r="FD15" s="915"/>
      <c r="FE15" s="915"/>
      <c r="FF15" s="915"/>
      <c r="FG15" s="915"/>
      <c r="FH15" s="915"/>
      <c r="FI15" s="915"/>
      <c r="FJ15" s="915"/>
      <c r="FK15" s="915"/>
      <c r="FL15" s="918"/>
      <c r="FM15" s="917"/>
      <c r="FN15" s="915"/>
      <c r="FO15" s="915"/>
      <c r="FP15" s="915"/>
      <c r="FQ15" s="876"/>
      <c r="FR15" s="876"/>
      <c r="FS15" s="915"/>
      <c r="FT15" s="915"/>
      <c r="FU15" s="915"/>
      <c r="FV15" s="915"/>
      <c r="FW15" s="915"/>
      <c r="FX15" s="915"/>
      <c r="FY15" s="915"/>
      <c r="FZ15" s="915"/>
      <c r="GA15" s="915"/>
      <c r="GB15" s="915"/>
      <c r="GC15" s="915"/>
      <c r="GD15" s="915"/>
      <c r="GE15" s="918"/>
      <c r="GF15" s="917"/>
      <c r="GG15" s="915"/>
      <c r="GH15" s="915"/>
      <c r="GI15" s="915"/>
      <c r="GJ15" s="876"/>
      <c r="GK15" s="876"/>
      <c r="GL15" s="915"/>
      <c r="GM15" s="915"/>
      <c r="GN15" s="915"/>
      <c r="GO15" s="915"/>
      <c r="GP15" s="915"/>
      <c r="GQ15" s="915"/>
      <c r="GR15" s="915"/>
      <c r="GS15" s="915"/>
      <c r="GT15" s="915"/>
      <c r="GU15" s="915"/>
      <c r="GV15" s="915"/>
      <c r="GW15" s="915"/>
      <c r="GX15" s="918"/>
      <c r="GY15" s="917"/>
      <c r="GZ15" s="915"/>
      <c r="HA15" s="915"/>
      <c r="HB15" s="915"/>
      <c r="HC15" s="876"/>
      <c r="HD15" s="876"/>
      <c r="HE15" s="915"/>
      <c r="HF15" s="915"/>
      <c r="HG15" s="915"/>
      <c r="HH15" s="915"/>
      <c r="HI15" s="915"/>
      <c r="HJ15" s="915"/>
      <c r="HK15" s="915"/>
      <c r="HL15" s="915"/>
      <c r="HM15" s="915"/>
      <c r="HN15" s="915"/>
      <c r="HO15" s="915"/>
      <c r="HP15" s="915"/>
      <c r="HQ15" s="918"/>
      <c r="HR15" s="917"/>
      <c r="HS15" s="915"/>
      <c r="HT15" s="915"/>
      <c r="HU15" s="915"/>
      <c r="HV15" s="876"/>
      <c r="HW15" s="876"/>
      <c r="HX15" s="915"/>
      <c r="HY15" s="915"/>
      <c r="HZ15" s="915"/>
      <c r="IA15" s="915"/>
      <c r="IB15" s="915"/>
      <c r="IC15" s="915"/>
      <c r="ID15" s="915"/>
      <c r="IE15" s="915"/>
      <c r="IF15" s="915"/>
      <c r="IG15" s="915"/>
      <c r="IH15" s="915"/>
      <c r="II15" s="915"/>
      <c r="IJ15" s="918"/>
      <c r="IK15" s="917"/>
      <c r="IL15" s="915"/>
      <c r="IM15" s="915"/>
      <c r="IN15" s="915"/>
      <c r="IO15" s="876"/>
      <c r="IP15" s="876"/>
      <c r="IQ15" s="915"/>
      <c r="IR15" s="915"/>
      <c r="IS15" s="915"/>
      <c r="IT15" s="915"/>
      <c r="IU15" s="915"/>
      <c r="IV15" s="915"/>
      <c r="IW15" s="915"/>
      <c r="IX15" s="915"/>
      <c r="IY15" s="915"/>
      <c r="IZ15" s="915"/>
      <c r="JA15" s="915"/>
      <c r="JB15" s="915"/>
      <c r="JC15" s="918"/>
      <c r="JD15" s="917"/>
      <c r="JE15" s="915"/>
      <c r="JF15" s="915"/>
      <c r="JG15" s="915"/>
      <c r="JH15" s="876"/>
      <c r="JI15" s="876"/>
      <c r="JJ15" s="915"/>
      <c r="JK15" s="915"/>
      <c r="JL15" s="915"/>
      <c r="JM15" s="915"/>
      <c r="JN15" s="915"/>
      <c r="JO15" s="915"/>
      <c r="JP15" s="915"/>
      <c r="JQ15" s="915"/>
      <c r="JR15" s="915"/>
      <c r="JS15" s="915"/>
      <c r="JT15" s="915"/>
      <c r="JU15" s="915"/>
      <c r="JV15" s="918"/>
      <c r="JW15" s="917"/>
      <c r="JX15" s="915"/>
      <c r="JY15" s="915"/>
      <c r="JZ15" s="915"/>
      <c r="KA15" s="876"/>
      <c r="KB15" s="876"/>
      <c r="KC15" s="915"/>
      <c r="KD15" s="915"/>
      <c r="KE15" s="915"/>
      <c r="KF15" s="915"/>
      <c r="KG15" s="915"/>
      <c r="KH15" s="915"/>
      <c r="KI15" s="915"/>
      <c r="KJ15" s="915"/>
      <c r="KK15" s="915"/>
      <c r="KL15" s="915"/>
      <c r="KM15" s="915"/>
      <c r="KN15" s="915"/>
      <c r="KO15" s="919"/>
    </row>
    <row r="16" spans="1:301" s="882" customFormat="1" ht="60" customHeight="1" thickBot="1">
      <c r="A16" s="2326" t="s">
        <v>3922</v>
      </c>
      <c r="B16" s="880" t="s">
        <v>1512</v>
      </c>
      <c r="C16" s="880" t="s">
        <v>2164</v>
      </c>
      <c r="D16" s="880" t="s">
        <v>1797</v>
      </c>
      <c r="E16" s="880" t="s">
        <v>1132</v>
      </c>
      <c r="F16" s="880" t="s">
        <v>2165</v>
      </c>
      <c r="G16" s="880" t="s">
        <v>1428</v>
      </c>
      <c r="H16" s="880" t="s">
        <v>1429</v>
      </c>
      <c r="I16" s="880" t="s">
        <v>2166</v>
      </c>
      <c r="J16" s="880" t="s">
        <v>1067</v>
      </c>
      <c r="K16" s="880" t="s">
        <v>1068</v>
      </c>
      <c r="L16" s="880" t="s">
        <v>3870</v>
      </c>
      <c r="M16" s="880" t="s">
        <v>2167</v>
      </c>
      <c r="N16" s="880" t="s">
        <v>2168</v>
      </c>
      <c r="O16" s="880" t="s">
        <v>2181</v>
      </c>
      <c r="P16" s="880" t="s">
        <v>2169</v>
      </c>
      <c r="Q16" s="880" t="s">
        <v>2182</v>
      </c>
      <c r="R16" s="880" t="s">
        <v>2170</v>
      </c>
      <c r="S16" s="880" t="s">
        <v>2171</v>
      </c>
      <c r="T16" s="880" t="s">
        <v>2183</v>
      </c>
      <c r="U16" s="880" t="s">
        <v>2172</v>
      </c>
      <c r="V16" s="880" t="s">
        <v>1856</v>
      </c>
      <c r="W16" s="1139" t="s">
        <v>1244</v>
      </c>
      <c r="X16" s="880" t="s">
        <v>2173</v>
      </c>
      <c r="Y16" s="880" t="s">
        <v>1841</v>
      </c>
      <c r="Z16" s="880" t="s">
        <v>2174</v>
      </c>
      <c r="AA16" s="880" t="s">
        <v>2175</v>
      </c>
      <c r="AB16" s="880" t="s">
        <v>1245</v>
      </c>
      <c r="AC16" s="880" t="s">
        <v>2392</v>
      </c>
      <c r="AD16" s="881" t="s">
        <v>1240</v>
      </c>
      <c r="AE16" s="881" t="s">
        <v>1241</v>
      </c>
      <c r="AF16" s="881" t="s">
        <v>1242</v>
      </c>
      <c r="AG16" s="881" t="s">
        <v>1243</v>
      </c>
      <c r="AH16" s="880"/>
      <c r="AI16" s="920" t="s">
        <v>2176</v>
      </c>
      <c r="AJ16" s="879" t="s">
        <v>2252</v>
      </c>
      <c r="AK16" s="880" t="s">
        <v>2177</v>
      </c>
      <c r="AL16" s="880" t="s">
        <v>3881</v>
      </c>
      <c r="AM16" s="880" t="s">
        <v>3882</v>
      </c>
      <c r="AN16" s="880" t="s">
        <v>42</v>
      </c>
      <c r="AO16" s="880" t="s">
        <v>4085</v>
      </c>
      <c r="AP16" s="880" t="s">
        <v>1069</v>
      </c>
      <c r="AQ16" s="880" t="s">
        <v>2178</v>
      </c>
      <c r="AR16" s="880" t="s">
        <v>3903</v>
      </c>
      <c r="AS16" s="880" t="s">
        <v>3904</v>
      </c>
      <c r="AT16" s="880" t="s">
        <v>3905</v>
      </c>
      <c r="AU16" s="880" t="s">
        <v>3906</v>
      </c>
      <c r="AV16" s="880" t="s">
        <v>1070</v>
      </c>
      <c r="AW16" s="880" t="s">
        <v>3907</v>
      </c>
      <c r="AX16" s="880" t="s">
        <v>3908</v>
      </c>
      <c r="AY16" s="880" t="s">
        <v>3909</v>
      </c>
      <c r="AZ16" s="880" t="s">
        <v>1071</v>
      </c>
      <c r="BA16" s="921" t="s">
        <v>122</v>
      </c>
      <c r="BB16" s="922" t="s">
        <v>1072</v>
      </c>
      <c r="BC16" s="879" t="s">
        <v>2252</v>
      </c>
      <c r="BD16" s="880" t="s">
        <v>2177</v>
      </c>
      <c r="BE16" s="880" t="s">
        <v>3881</v>
      </c>
      <c r="BF16" s="880" t="s">
        <v>3882</v>
      </c>
      <c r="BG16" s="880" t="s">
        <v>42</v>
      </c>
      <c r="BH16" s="880" t="s">
        <v>4085</v>
      </c>
      <c r="BI16" s="880" t="s">
        <v>1069</v>
      </c>
      <c r="BJ16" s="880" t="s">
        <v>2178</v>
      </c>
      <c r="BK16" s="880" t="s">
        <v>3903</v>
      </c>
      <c r="BL16" s="880" t="s">
        <v>3904</v>
      </c>
      <c r="BM16" s="880" t="s">
        <v>3905</v>
      </c>
      <c r="BN16" s="880" t="s">
        <v>3906</v>
      </c>
      <c r="BO16" s="880" t="s">
        <v>1070</v>
      </c>
      <c r="BP16" s="880" t="s">
        <v>3907</v>
      </c>
      <c r="BQ16" s="880" t="s">
        <v>3908</v>
      </c>
      <c r="BR16" s="880" t="s">
        <v>3909</v>
      </c>
      <c r="BS16" s="880" t="s">
        <v>1071</v>
      </c>
      <c r="BT16" s="921" t="s">
        <v>122</v>
      </c>
      <c r="BU16" s="922" t="s">
        <v>1072</v>
      </c>
      <c r="BV16" s="879" t="s">
        <v>2252</v>
      </c>
      <c r="BW16" s="880" t="s">
        <v>2177</v>
      </c>
      <c r="BX16" s="880" t="s">
        <v>3881</v>
      </c>
      <c r="BY16" s="880" t="s">
        <v>3882</v>
      </c>
      <c r="BZ16" s="880" t="s">
        <v>42</v>
      </c>
      <c r="CA16" s="880" t="s">
        <v>4085</v>
      </c>
      <c r="CB16" s="880" t="s">
        <v>1069</v>
      </c>
      <c r="CC16" s="880" t="s">
        <v>2178</v>
      </c>
      <c r="CD16" s="880" t="s">
        <v>3903</v>
      </c>
      <c r="CE16" s="880" t="s">
        <v>3904</v>
      </c>
      <c r="CF16" s="880" t="s">
        <v>3905</v>
      </c>
      <c r="CG16" s="880" t="s">
        <v>3906</v>
      </c>
      <c r="CH16" s="880" t="s">
        <v>1070</v>
      </c>
      <c r="CI16" s="880" t="s">
        <v>3907</v>
      </c>
      <c r="CJ16" s="880" t="s">
        <v>3908</v>
      </c>
      <c r="CK16" s="880" t="s">
        <v>3909</v>
      </c>
      <c r="CL16" s="880" t="s">
        <v>1071</v>
      </c>
      <c r="CM16" s="921" t="s">
        <v>122</v>
      </c>
      <c r="CN16" s="922" t="s">
        <v>1072</v>
      </c>
      <c r="CO16" s="879" t="s">
        <v>2252</v>
      </c>
      <c r="CP16" s="880" t="s">
        <v>2177</v>
      </c>
      <c r="CQ16" s="880" t="s">
        <v>3881</v>
      </c>
      <c r="CR16" s="880" t="s">
        <v>3882</v>
      </c>
      <c r="CS16" s="880" t="s">
        <v>42</v>
      </c>
      <c r="CT16" s="880" t="s">
        <v>4085</v>
      </c>
      <c r="CU16" s="880" t="s">
        <v>1069</v>
      </c>
      <c r="CV16" s="880" t="s">
        <v>2178</v>
      </c>
      <c r="CW16" s="880" t="s">
        <v>3903</v>
      </c>
      <c r="CX16" s="880" t="s">
        <v>3904</v>
      </c>
      <c r="CY16" s="880" t="s">
        <v>3905</v>
      </c>
      <c r="CZ16" s="880" t="s">
        <v>3906</v>
      </c>
      <c r="DA16" s="880" t="s">
        <v>1070</v>
      </c>
      <c r="DB16" s="880" t="s">
        <v>3907</v>
      </c>
      <c r="DC16" s="880" t="s">
        <v>3908</v>
      </c>
      <c r="DD16" s="880" t="s">
        <v>3909</v>
      </c>
      <c r="DE16" s="880" t="s">
        <v>1071</v>
      </c>
      <c r="DF16" s="921" t="s">
        <v>122</v>
      </c>
      <c r="DG16" s="922" t="s">
        <v>1072</v>
      </c>
      <c r="DH16" s="879" t="s">
        <v>2252</v>
      </c>
      <c r="DI16" s="880" t="s">
        <v>2177</v>
      </c>
      <c r="DJ16" s="880" t="s">
        <v>3881</v>
      </c>
      <c r="DK16" s="880" t="s">
        <v>3882</v>
      </c>
      <c r="DL16" s="880" t="s">
        <v>42</v>
      </c>
      <c r="DM16" s="880" t="s">
        <v>4085</v>
      </c>
      <c r="DN16" s="880" t="s">
        <v>1069</v>
      </c>
      <c r="DO16" s="880" t="s">
        <v>2178</v>
      </c>
      <c r="DP16" s="880" t="s">
        <v>3903</v>
      </c>
      <c r="DQ16" s="880" t="s">
        <v>3904</v>
      </c>
      <c r="DR16" s="880" t="s">
        <v>3905</v>
      </c>
      <c r="DS16" s="880" t="s">
        <v>3906</v>
      </c>
      <c r="DT16" s="880" t="s">
        <v>1070</v>
      </c>
      <c r="DU16" s="880" t="s">
        <v>3907</v>
      </c>
      <c r="DV16" s="880" t="s">
        <v>3908</v>
      </c>
      <c r="DW16" s="880" t="s">
        <v>3909</v>
      </c>
      <c r="DX16" s="880" t="s">
        <v>1071</v>
      </c>
      <c r="DY16" s="921" t="s">
        <v>122</v>
      </c>
      <c r="DZ16" s="922" t="s">
        <v>1072</v>
      </c>
      <c r="EA16" s="879" t="s">
        <v>2252</v>
      </c>
      <c r="EB16" s="880" t="s">
        <v>2177</v>
      </c>
      <c r="EC16" s="880" t="s">
        <v>3881</v>
      </c>
      <c r="ED16" s="880" t="s">
        <v>3882</v>
      </c>
      <c r="EE16" s="880" t="s">
        <v>42</v>
      </c>
      <c r="EF16" s="880" t="s">
        <v>4085</v>
      </c>
      <c r="EG16" s="880" t="s">
        <v>1069</v>
      </c>
      <c r="EH16" s="880" t="s">
        <v>2178</v>
      </c>
      <c r="EI16" s="880" t="s">
        <v>3903</v>
      </c>
      <c r="EJ16" s="880" t="s">
        <v>3904</v>
      </c>
      <c r="EK16" s="880" t="s">
        <v>3905</v>
      </c>
      <c r="EL16" s="880" t="s">
        <v>3906</v>
      </c>
      <c r="EM16" s="880" t="s">
        <v>1070</v>
      </c>
      <c r="EN16" s="880" t="s">
        <v>3907</v>
      </c>
      <c r="EO16" s="880" t="s">
        <v>3908</v>
      </c>
      <c r="EP16" s="880" t="s">
        <v>3909</v>
      </c>
      <c r="EQ16" s="880" t="s">
        <v>1071</v>
      </c>
      <c r="ER16" s="921" t="s">
        <v>122</v>
      </c>
      <c r="ES16" s="922" t="s">
        <v>1072</v>
      </c>
      <c r="ET16" s="879" t="s">
        <v>2252</v>
      </c>
      <c r="EU16" s="880" t="s">
        <v>2177</v>
      </c>
      <c r="EV16" s="880" t="s">
        <v>3881</v>
      </c>
      <c r="EW16" s="880" t="s">
        <v>3882</v>
      </c>
      <c r="EX16" s="880" t="s">
        <v>42</v>
      </c>
      <c r="EY16" s="880" t="s">
        <v>4085</v>
      </c>
      <c r="EZ16" s="880" t="s">
        <v>1069</v>
      </c>
      <c r="FA16" s="880" t="s">
        <v>2178</v>
      </c>
      <c r="FB16" s="880" t="s">
        <v>3903</v>
      </c>
      <c r="FC16" s="880" t="s">
        <v>3904</v>
      </c>
      <c r="FD16" s="880" t="s">
        <v>3905</v>
      </c>
      <c r="FE16" s="880" t="s">
        <v>3906</v>
      </c>
      <c r="FF16" s="880" t="s">
        <v>1070</v>
      </c>
      <c r="FG16" s="880" t="s">
        <v>3907</v>
      </c>
      <c r="FH16" s="880" t="s">
        <v>3908</v>
      </c>
      <c r="FI16" s="880" t="s">
        <v>3909</v>
      </c>
      <c r="FJ16" s="880" t="s">
        <v>1071</v>
      </c>
      <c r="FK16" s="921" t="s">
        <v>122</v>
      </c>
      <c r="FL16" s="922" t="s">
        <v>1072</v>
      </c>
      <c r="FM16" s="879" t="s">
        <v>2252</v>
      </c>
      <c r="FN16" s="880" t="s">
        <v>2177</v>
      </c>
      <c r="FO16" s="880" t="s">
        <v>3881</v>
      </c>
      <c r="FP16" s="880" t="s">
        <v>3882</v>
      </c>
      <c r="FQ16" s="880" t="s">
        <v>42</v>
      </c>
      <c r="FR16" s="880" t="s">
        <v>4085</v>
      </c>
      <c r="FS16" s="880" t="s">
        <v>1069</v>
      </c>
      <c r="FT16" s="880" t="s">
        <v>2178</v>
      </c>
      <c r="FU16" s="880" t="s">
        <v>3903</v>
      </c>
      <c r="FV16" s="880" t="s">
        <v>3904</v>
      </c>
      <c r="FW16" s="880" t="s">
        <v>3905</v>
      </c>
      <c r="FX16" s="880" t="s">
        <v>3906</v>
      </c>
      <c r="FY16" s="880" t="s">
        <v>1070</v>
      </c>
      <c r="FZ16" s="880" t="s">
        <v>3907</v>
      </c>
      <c r="GA16" s="880" t="s">
        <v>3908</v>
      </c>
      <c r="GB16" s="880" t="s">
        <v>3909</v>
      </c>
      <c r="GC16" s="880" t="s">
        <v>1071</v>
      </c>
      <c r="GD16" s="921" t="s">
        <v>122</v>
      </c>
      <c r="GE16" s="922" t="s">
        <v>1072</v>
      </c>
      <c r="GF16" s="879" t="s">
        <v>2252</v>
      </c>
      <c r="GG16" s="880" t="s">
        <v>2177</v>
      </c>
      <c r="GH16" s="880" t="s">
        <v>3881</v>
      </c>
      <c r="GI16" s="880" t="s">
        <v>3882</v>
      </c>
      <c r="GJ16" s="880" t="s">
        <v>42</v>
      </c>
      <c r="GK16" s="880" t="s">
        <v>4085</v>
      </c>
      <c r="GL16" s="880" t="s">
        <v>1069</v>
      </c>
      <c r="GM16" s="880" t="s">
        <v>2178</v>
      </c>
      <c r="GN16" s="880" t="s">
        <v>3903</v>
      </c>
      <c r="GO16" s="880" t="s">
        <v>3904</v>
      </c>
      <c r="GP16" s="880" t="s">
        <v>3905</v>
      </c>
      <c r="GQ16" s="880" t="s">
        <v>3906</v>
      </c>
      <c r="GR16" s="880" t="s">
        <v>1070</v>
      </c>
      <c r="GS16" s="880" t="s">
        <v>3907</v>
      </c>
      <c r="GT16" s="880" t="s">
        <v>3908</v>
      </c>
      <c r="GU16" s="880" t="s">
        <v>3909</v>
      </c>
      <c r="GV16" s="880" t="s">
        <v>1071</v>
      </c>
      <c r="GW16" s="921" t="s">
        <v>122</v>
      </c>
      <c r="GX16" s="922" t="s">
        <v>1072</v>
      </c>
      <c r="GY16" s="879" t="s">
        <v>2252</v>
      </c>
      <c r="GZ16" s="880" t="s">
        <v>2177</v>
      </c>
      <c r="HA16" s="880" t="s">
        <v>3881</v>
      </c>
      <c r="HB16" s="880" t="s">
        <v>3882</v>
      </c>
      <c r="HC16" s="880" t="s">
        <v>42</v>
      </c>
      <c r="HD16" s="880" t="s">
        <v>4085</v>
      </c>
      <c r="HE16" s="880" t="s">
        <v>1069</v>
      </c>
      <c r="HF16" s="880" t="s">
        <v>2178</v>
      </c>
      <c r="HG16" s="880" t="s">
        <v>3903</v>
      </c>
      <c r="HH16" s="880" t="s">
        <v>3904</v>
      </c>
      <c r="HI16" s="880" t="s">
        <v>3905</v>
      </c>
      <c r="HJ16" s="880" t="s">
        <v>3906</v>
      </c>
      <c r="HK16" s="880" t="s">
        <v>1070</v>
      </c>
      <c r="HL16" s="880" t="s">
        <v>3907</v>
      </c>
      <c r="HM16" s="880" t="s">
        <v>3908</v>
      </c>
      <c r="HN16" s="880" t="s">
        <v>3909</v>
      </c>
      <c r="HO16" s="880" t="s">
        <v>1071</v>
      </c>
      <c r="HP16" s="921" t="s">
        <v>122</v>
      </c>
      <c r="HQ16" s="922" t="s">
        <v>1072</v>
      </c>
      <c r="HR16" s="879" t="s">
        <v>2252</v>
      </c>
      <c r="HS16" s="880" t="s">
        <v>2177</v>
      </c>
      <c r="HT16" s="880" t="s">
        <v>3881</v>
      </c>
      <c r="HU16" s="880" t="s">
        <v>3882</v>
      </c>
      <c r="HV16" s="880" t="s">
        <v>42</v>
      </c>
      <c r="HW16" s="880" t="s">
        <v>4085</v>
      </c>
      <c r="HX16" s="880" t="s">
        <v>1069</v>
      </c>
      <c r="HY16" s="880" t="s">
        <v>2178</v>
      </c>
      <c r="HZ16" s="880" t="s">
        <v>3903</v>
      </c>
      <c r="IA16" s="880" t="s">
        <v>3904</v>
      </c>
      <c r="IB16" s="880" t="s">
        <v>3905</v>
      </c>
      <c r="IC16" s="880" t="s">
        <v>3906</v>
      </c>
      <c r="ID16" s="880" t="s">
        <v>1070</v>
      </c>
      <c r="IE16" s="880" t="s">
        <v>3907</v>
      </c>
      <c r="IF16" s="880" t="s">
        <v>3908</v>
      </c>
      <c r="IG16" s="880" t="s">
        <v>3909</v>
      </c>
      <c r="IH16" s="880" t="s">
        <v>1071</v>
      </c>
      <c r="II16" s="921" t="s">
        <v>122</v>
      </c>
      <c r="IJ16" s="922" t="s">
        <v>1072</v>
      </c>
      <c r="IK16" s="879" t="s">
        <v>2252</v>
      </c>
      <c r="IL16" s="880" t="s">
        <v>2177</v>
      </c>
      <c r="IM16" s="880" t="s">
        <v>3881</v>
      </c>
      <c r="IN16" s="880" t="s">
        <v>3882</v>
      </c>
      <c r="IO16" s="880" t="s">
        <v>42</v>
      </c>
      <c r="IP16" s="880" t="s">
        <v>4085</v>
      </c>
      <c r="IQ16" s="880" t="s">
        <v>1069</v>
      </c>
      <c r="IR16" s="880" t="s">
        <v>2178</v>
      </c>
      <c r="IS16" s="880" t="s">
        <v>3903</v>
      </c>
      <c r="IT16" s="880" t="s">
        <v>3904</v>
      </c>
      <c r="IU16" s="880" t="s">
        <v>3905</v>
      </c>
      <c r="IV16" s="880" t="s">
        <v>3906</v>
      </c>
      <c r="IW16" s="880" t="s">
        <v>1070</v>
      </c>
      <c r="IX16" s="880" t="s">
        <v>3907</v>
      </c>
      <c r="IY16" s="880" t="s">
        <v>3908</v>
      </c>
      <c r="IZ16" s="880" t="s">
        <v>3909</v>
      </c>
      <c r="JA16" s="880" t="s">
        <v>1071</v>
      </c>
      <c r="JB16" s="921" t="s">
        <v>122</v>
      </c>
      <c r="JC16" s="922" t="s">
        <v>1072</v>
      </c>
      <c r="JD16" s="879" t="s">
        <v>2252</v>
      </c>
      <c r="JE16" s="880" t="s">
        <v>2177</v>
      </c>
      <c r="JF16" s="880" t="s">
        <v>3881</v>
      </c>
      <c r="JG16" s="880" t="s">
        <v>3882</v>
      </c>
      <c r="JH16" s="880" t="s">
        <v>42</v>
      </c>
      <c r="JI16" s="880" t="s">
        <v>4085</v>
      </c>
      <c r="JJ16" s="880" t="s">
        <v>1069</v>
      </c>
      <c r="JK16" s="880" t="s">
        <v>2178</v>
      </c>
      <c r="JL16" s="880" t="s">
        <v>3903</v>
      </c>
      <c r="JM16" s="880" t="s">
        <v>3904</v>
      </c>
      <c r="JN16" s="880" t="s">
        <v>3905</v>
      </c>
      <c r="JO16" s="880" t="s">
        <v>3906</v>
      </c>
      <c r="JP16" s="880" t="s">
        <v>1070</v>
      </c>
      <c r="JQ16" s="880" t="s">
        <v>3907</v>
      </c>
      <c r="JR16" s="880" t="s">
        <v>3908</v>
      </c>
      <c r="JS16" s="880" t="s">
        <v>3909</v>
      </c>
      <c r="JT16" s="880" t="s">
        <v>1071</v>
      </c>
      <c r="JU16" s="921" t="s">
        <v>122</v>
      </c>
      <c r="JV16" s="922" t="s">
        <v>1072</v>
      </c>
      <c r="JW16" s="879" t="s">
        <v>2252</v>
      </c>
      <c r="JX16" s="880" t="s">
        <v>2177</v>
      </c>
      <c r="JY16" s="880" t="s">
        <v>3881</v>
      </c>
      <c r="JZ16" s="880" t="s">
        <v>3882</v>
      </c>
      <c r="KA16" s="880" t="s">
        <v>42</v>
      </c>
      <c r="KB16" s="880" t="s">
        <v>4085</v>
      </c>
      <c r="KC16" s="880" t="s">
        <v>1069</v>
      </c>
      <c r="KD16" s="880" t="s">
        <v>2178</v>
      </c>
      <c r="KE16" s="880" t="s">
        <v>3903</v>
      </c>
      <c r="KF16" s="880" t="s">
        <v>3904</v>
      </c>
      <c r="KG16" s="880" t="s">
        <v>3905</v>
      </c>
      <c r="KH16" s="880" t="s">
        <v>3906</v>
      </c>
      <c r="KI16" s="880" t="s">
        <v>1070</v>
      </c>
      <c r="KJ16" s="880" t="s">
        <v>3907</v>
      </c>
      <c r="KK16" s="880" t="s">
        <v>3908</v>
      </c>
      <c r="KL16" s="880" t="s">
        <v>3909</v>
      </c>
      <c r="KM16" s="880" t="s">
        <v>1071</v>
      </c>
      <c r="KN16" s="921" t="s">
        <v>122</v>
      </c>
      <c r="KO16" s="1044" t="s">
        <v>1072</v>
      </c>
    </row>
    <row r="17" spans="1:301" s="923" customFormat="1" ht="15" customHeight="1" thickBot="1">
      <c r="A17" s="2327" t="s">
        <v>2196</v>
      </c>
      <c r="B17" s="998">
        <v>0</v>
      </c>
      <c r="C17" s="998">
        <v>0</v>
      </c>
      <c r="D17" s="998">
        <v>0</v>
      </c>
      <c r="E17" s="998">
        <v>0</v>
      </c>
      <c r="F17" s="998">
        <v>0</v>
      </c>
      <c r="G17" s="998">
        <v>0</v>
      </c>
      <c r="H17" s="998">
        <v>0</v>
      </c>
      <c r="I17" s="998">
        <v>0</v>
      </c>
      <c r="J17" s="998">
        <v>0</v>
      </c>
      <c r="K17" s="998">
        <v>0</v>
      </c>
      <c r="L17" s="998">
        <v>0</v>
      </c>
      <c r="M17" s="998">
        <v>0</v>
      </c>
      <c r="N17" s="998">
        <v>0</v>
      </c>
      <c r="O17" s="999">
        <v>0</v>
      </c>
      <c r="P17" s="998">
        <v>0</v>
      </c>
      <c r="Q17" s="999">
        <v>0</v>
      </c>
      <c r="R17" s="998">
        <v>0</v>
      </c>
      <c r="S17" s="998">
        <v>0</v>
      </c>
      <c r="T17" s="1000">
        <v>0</v>
      </c>
      <c r="U17" s="1000">
        <v>0</v>
      </c>
      <c r="V17" s="1000">
        <v>10</v>
      </c>
      <c r="W17" s="1140">
        <v>0</v>
      </c>
      <c r="X17" s="1001">
        <v>0</v>
      </c>
      <c r="Y17" s="1001">
        <v>0</v>
      </c>
      <c r="Z17" s="1001">
        <v>0</v>
      </c>
      <c r="AA17" s="1001">
        <v>0</v>
      </c>
      <c r="AB17" s="1002">
        <v>0</v>
      </c>
      <c r="AC17" s="1216">
        <v>0</v>
      </c>
      <c r="AD17" s="1003">
        <v>0</v>
      </c>
      <c r="AE17" s="1003">
        <v>0</v>
      </c>
      <c r="AF17" s="1003">
        <v>0</v>
      </c>
      <c r="AG17" s="1003">
        <v>0</v>
      </c>
      <c r="AH17" s="998"/>
      <c r="AI17" s="1004">
        <v>0</v>
      </c>
      <c r="AJ17" s="1005"/>
      <c r="AK17" s="1001"/>
      <c r="AL17" s="1001"/>
      <c r="AM17" s="1001"/>
      <c r="AN17" s="1001"/>
      <c r="AO17" s="1001"/>
      <c r="AP17" s="1218"/>
      <c r="AQ17" s="1219"/>
      <c r="AR17" s="1219"/>
      <c r="AS17" s="1219"/>
      <c r="AT17" s="1219"/>
      <c r="AU17" s="1219"/>
      <c r="AV17" s="1220"/>
      <c r="AW17" s="1219"/>
      <c r="AX17" s="1219"/>
      <c r="AY17" s="1219"/>
      <c r="AZ17" s="1220"/>
      <c r="BA17" s="1006"/>
      <c r="BB17" s="1007"/>
      <c r="BC17" s="1217"/>
      <c r="BD17" s="1218"/>
      <c r="BE17" s="1219"/>
      <c r="BF17" s="1219"/>
      <c r="BG17" s="1216"/>
      <c r="BH17" s="1216"/>
      <c r="BI17" s="1216"/>
      <c r="BJ17" s="1219"/>
      <c r="BK17" s="1219"/>
      <c r="BL17" s="1219"/>
      <c r="BM17" s="1219"/>
      <c r="BN17" s="1219"/>
      <c r="BO17" s="1220"/>
      <c r="BP17" s="1219"/>
      <c r="BQ17" s="1219"/>
      <c r="BR17" s="1219"/>
      <c r="BS17" s="1220"/>
      <c r="BT17" s="1006"/>
      <c r="BU17" s="1007"/>
      <c r="BV17" s="1217"/>
      <c r="BW17" s="1218"/>
      <c r="BX17" s="1219"/>
      <c r="BY17" s="1219"/>
      <c r="BZ17" s="1216"/>
      <c r="CA17" s="1216"/>
      <c r="CB17" s="1216"/>
      <c r="CC17" s="1219"/>
      <c r="CD17" s="1219"/>
      <c r="CE17" s="1219"/>
      <c r="CF17" s="1219"/>
      <c r="CG17" s="1219"/>
      <c r="CH17" s="1220"/>
      <c r="CI17" s="1219"/>
      <c r="CJ17" s="1219"/>
      <c r="CK17" s="1219"/>
      <c r="CL17" s="1220"/>
      <c r="CM17" s="1006"/>
      <c r="CN17" s="1007"/>
      <c r="CO17" s="1217"/>
      <c r="CP17" s="1218"/>
      <c r="CQ17" s="1219"/>
      <c r="CR17" s="1219"/>
      <c r="CS17" s="1216"/>
      <c r="CT17" s="1216"/>
      <c r="CU17" s="1216"/>
      <c r="CV17" s="1219"/>
      <c r="CW17" s="1219"/>
      <c r="CX17" s="1219"/>
      <c r="CY17" s="1219"/>
      <c r="CZ17" s="1219"/>
      <c r="DA17" s="1220"/>
      <c r="DB17" s="1219"/>
      <c r="DC17" s="1219"/>
      <c r="DD17" s="1219"/>
      <c r="DE17" s="1220"/>
      <c r="DF17" s="1006"/>
      <c r="DG17" s="1007"/>
      <c r="DH17" s="1217"/>
      <c r="DI17" s="1218"/>
      <c r="DJ17" s="1219"/>
      <c r="DK17" s="1219"/>
      <c r="DL17" s="1216"/>
      <c r="DM17" s="1216"/>
      <c r="DN17" s="1216"/>
      <c r="DO17" s="1219"/>
      <c r="DP17" s="1219"/>
      <c r="DQ17" s="1219"/>
      <c r="DR17" s="1219"/>
      <c r="DS17" s="1219"/>
      <c r="DT17" s="1220"/>
      <c r="DU17" s="1219"/>
      <c r="DV17" s="1219"/>
      <c r="DW17" s="1219"/>
      <c r="DX17" s="1220"/>
      <c r="DY17" s="1006"/>
      <c r="DZ17" s="1007"/>
      <c r="EA17" s="1217"/>
      <c r="EB17" s="1218"/>
      <c r="EC17" s="1219"/>
      <c r="ED17" s="1219"/>
      <c r="EE17" s="1216"/>
      <c r="EF17" s="1216"/>
      <c r="EG17" s="1216"/>
      <c r="EH17" s="1219"/>
      <c r="EI17" s="1219"/>
      <c r="EJ17" s="1219"/>
      <c r="EK17" s="1219"/>
      <c r="EL17" s="1219"/>
      <c r="EM17" s="1220"/>
      <c r="EN17" s="1219"/>
      <c r="EO17" s="1219"/>
      <c r="EP17" s="1219"/>
      <c r="EQ17" s="1220"/>
      <c r="ER17" s="1006"/>
      <c r="ES17" s="1007"/>
      <c r="ET17" s="1217"/>
      <c r="EU17" s="1218"/>
      <c r="EV17" s="1219"/>
      <c r="EW17" s="1219"/>
      <c r="EX17" s="1216"/>
      <c r="EY17" s="1216"/>
      <c r="EZ17" s="1216"/>
      <c r="FA17" s="1219"/>
      <c r="FB17" s="1219"/>
      <c r="FC17" s="1219"/>
      <c r="FD17" s="1219"/>
      <c r="FE17" s="1219"/>
      <c r="FF17" s="1220"/>
      <c r="FG17" s="1219"/>
      <c r="FH17" s="1219"/>
      <c r="FI17" s="1219"/>
      <c r="FJ17" s="1220"/>
      <c r="FK17" s="1006"/>
      <c r="FL17" s="1007"/>
      <c r="FM17" s="1217"/>
      <c r="FN17" s="1218"/>
      <c r="FO17" s="1219"/>
      <c r="FP17" s="1219"/>
      <c r="FQ17" s="1216"/>
      <c r="FR17" s="1216"/>
      <c r="FS17" s="1216"/>
      <c r="FT17" s="1219"/>
      <c r="FU17" s="1219"/>
      <c r="FV17" s="1219"/>
      <c r="FW17" s="1219"/>
      <c r="FX17" s="1219"/>
      <c r="FY17" s="1220"/>
      <c r="FZ17" s="1219"/>
      <c r="GA17" s="1219"/>
      <c r="GB17" s="1219"/>
      <c r="GC17" s="1220"/>
      <c r="GD17" s="1006"/>
      <c r="GE17" s="1007"/>
      <c r="GF17" s="1217"/>
      <c r="GG17" s="1218"/>
      <c r="GH17" s="1219"/>
      <c r="GI17" s="1219"/>
      <c r="GJ17" s="1216"/>
      <c r="GK17" s="1216"/>
      <c r="GL17" s="1216"/>
      <c r="GM17" s="1219"/>
      <c r="GN17" s="1219"/>
      <c r="GO17" s="1219"/>
      <c r="GP17" s="1219"/>
      <c r="GQ17" s="1219"/>
      <c r="GR17" s="1220"/>
      <c r="GS17" s="1219"/>
      <c r="GT17" s="1219"/>
      <c r="GU17" s="1219"/>
      <c r="GV17" s="1220"/>
      <c r="GW17" s="1006"/>
      <c r="GX17" s="1007"/>
      <c r="GY17" s="1217"/>
      <c r="GZ17" s="1218"/>
      <c r="HA17" s="1219"/>
      <c r="HB17" s="1219"/>
      <c r="HC17" s="1216"/>
      <c r="HD17" s="1216"/>
      <c r="HE17" s="1216"/>
      <c r="HF17" s="1219"/>
      <c r="HG17" s="1219"/>
      <c r="HH17" s="1219"/>
      <c r="HI17" s="1219"/>
      <c r="HJ17" s="1219"/>
      <c r="HK17" s="1220"/>
      <c r="HL17" s="1219"/>
      <c r="HM17" s="1219"/>
      <c r="HN17" s="1219"/>
      <c r="HO17" s="1220"/>
      <c r="HP17" s="1006"/>
      <c r="HQ17" s="1007"/>
      <c r="HR17" s="1217"/>
      <c r="HS17" s="1218"/>
      <c r="HT17" s="1219"/>
      <c r="HU17" s="1219"/>
      <c r="HV17" s="1216"/>
      <c r="HW17" s="1216"/>
      <c r="HX17" s="1216"/>
      <c r="HY17" s="1219"/>
      <c r="HZ17" s="1219"/>
      <c r="IA17" s="1219"/>
      <c r="IB17" s="1219"/>
      <c r="IC17" s="1219"/>
      <c r="ID17" s="1220"/>
      <c r="IE17" s="1219"/>
      <c r="IF17" s="1219"/>
      <c r="IG17" s="1219"/>
      <c r="IH17" s="1220"/>
      <c r="II17" s="1006"/>
      <c r="IJ17" s="1007"/>
      <c r="IK17" s="1217"/>
      <c r="IL17" s="1218"/>
      <c r="IM17" s="1219"/>
      <c r="IN17" s="1219"/>
      <c r="IO17" s="1216"/>
      <c r="IP17" s="1216"/>
      <c r="IQ17" s="1216"/>
      <c r="IR17" s="1219"/>
      <c r="IS17" s="1219"/>
      <c r="IT17" s="1219"/>
      <c r="IU17" s="1219"/>
      <c r="IV17" s="1219"/>
      <c r="IW17" s="1220"/>
      <c r="IX17" s="1219"/>
      <c r="IY17" s="1219"/>
      <c r="IZ17" s="1219"/>
      <c r="JA17" s="1220"/>
      <c r="JB17" s="1006"/>
      <c r="JC17" s="1007"/>
      <c r="JD17" s="1217"/>
      <c r="JE17" s="1218"/>
      <c r="JF17" s="1219"/>
      <c r="JG17" s="1219"/>
      <c r="JH17" s="1216"/>
      <c r="JI17" s="1216"/>
      <c r="JJ17" s="1216"/>
      <c r="JK17" s="1219"/>
      <c r="JL17" s="1219"/>
      <c r="JM17" s="1219"/>
      <c r="JN17" s="1219"/>
      <c r="JO17" s="1219"/>
      <c r="JP17" s="1220"/>
      <c r="JQ17" s="1219"/>
      <c r="JR17" s="1219"/>
      <c r="JS17" s="1219"/>
      <c r="JT17" s="1220"/>
      <c r="JU17" s="1006"/>
      <c r="JV17" s="1007"/>
      <c r="JW17" s="1217"/>
      <c r="JX17" s="1218"/>
      <c r="JY17" s="1219"/>
      <c r="JZ17" s="1219"/>
      <c r="KA17" s="1216"/>
      <c r="KB17" s="1216"/>
      <c r="KC17" s="1216"/>
      <c r="KD17" s="1219"/>
      <c r="KE17" s="1219"/>
      <c r="KF17" s="1219"/>
      <c r="KG17" s="1219"/>
      <c r="KH17" s="1219"/>
      <c r="KI17" s="1220"/>
      <c r="KJ17" s="1219"/>
      <c r="KK17" s="1219"/>
      <c r="KL17" s="1219"/>
      <c r="KM17" s="1220"/>
      <c r="KN17" s="1006"/>
      <c r="KO17" s="1221"/>
    </row>
    <row r="18" spans="1:301" ht="15" customHeight="1">
      <c r="A18" s="924" t="s">
        <v>1513</v>
      </c>
      <c r="B18" s="888" t="s">
        <v>1073</v>
      </c>
      <c r="C18" s="888">
        <v>272.5</v>
      </c>
      <c r="D18" s="888">
        <v>560</v>
      </c>
      <c r="E18" s="888">
        <v>280</v>
      </c>
      <c r="F18" s="888">
        <v>250</v>
      </c>
      <c r="G18" s="888">
        <v>149</v>
      </c>
      <c r="H18" s="888">
        <v>105</v>
      </c>
      <c r="I18" s="888">
        <v>71</v>
      </c>
      <c r="J18" s="888">
        <v>30.66</v>
      </c>
      <c r="K18" s="888">
        <v>44.99</v>
      </c>
      <c r="L18" s="888">
        <v>10</v>
      </c>
      <c r="M18" s="888">
        <v>223</v>
      </c>
      <c r="N18" s="888">
        <v>3</v>
      </c>
      <c r="O18" s="884">
        <v>4.3502890111319301</v>
      </c>
      <c r="P18" s="888">
        <v>4</v>
      </c>
      <c r="Q18" s="884">
        <v>4.0001747582448548</v>
      </c>
      <c r="R18" s="888">
        <v>13.000000000000002</v>
      </c>
      <c r="S18" s="888">
        <v>389.09740859358476</v>
      </c>
      <c r="T18" s="906">
        <v>12.134435211133153</v>
      </c>
      <c r="U18" s="906">
        <v>58.364611289037711</v>
      </c>
      <c r="V18" s="906">
        <v>60</v>
      </c>
      <c r="W18" s="1141">
        <v>0.94508581932863978</v>
      </c>
      <c r="X18" s="902">
        <v>0</v>
      </c>
      <c r="Y18" s="902">
        <v>0</v>
      </c>
      <c r="Z18" s="902">
        <v>0</v>
      </c>
      <c r="AA18" s="902">
        <v>0</v>
      </c>
      <c r="AB18" s="970">
        <v>3.0118231593620988</v>
      </c>
      <c r="AC18" s="1045">
        <v>4000</v>
      </c>
      <c r="AD18" s="890">
        <v>0.9708924696388932</v>
      </c>
      <c r="AE18" s="890">
        <v>0.59281268482821858</v>
      </c>
      <c r="AF18" s="890">
        <v>-0.39235611544875931</v>
      </c>
      <c r="AG18" s="890">
        <v>0.98350537585865627</v>
      </c>
      <c r="AH18" s="888"/>
      <c r="AI18" s="907">
        <v>1.2610420114241956</v>
      </c>
      <c r="AJ18" s="908">
        <v>4.6214520000000014</v>
      </c>
      <c r="AK18" s="902">
        <v>26.05143679983858</v>
      </c>
      <c r="AL18" s="902">
        <v>0</v>
      </c>
      <c r="AM18" s="902">
        <v>0</v>
      </c>
      <c r="AN18" s="902">
        <v>31.270188105042049</v>
      </c>
      <c r="AO18" s="902">
        <v>0.89936941881652865</v>
      </c>
      <c r="AP18" s="1222">
        <v>3600</v>
      </c>
      <c r="AQ18" s="909" t="s">
        <v>1062</v>
      </c>
      <c r="AR18" s="909">
        <v>3</v>
      </c>
      <c r="AS18" s="909">
        <v>0</v>
      </c>
      <c r="AT18" s="909">
        <v>0</v>
      </c>
      <c r="AU18" s="909">
        <v>0</v>
      </c>
      <c r="AV18" s="910">
        <v>4539.433016837007</v>
      </c>
      <c r="AW18" s="909">
        <v>0</v>
      </c>
      <c r="AX18" s="909">
        <v>0</v>
      </c>
      <c r="AY18" s="909">
        <v>0</v>
      </c>
      <c r="AZ18" s="910">
        <v>4923.589605821785</v>
      </c>
      <c r="BA18" s="871">
        <v>4000</v>
      </c>
      <c r="BB18" s="911">
        <v>117.28612573401894</v>
      </c>
      <c r="BC18" s="908">
        <v>4.6214520000000014</v>
      </c>
      <c r="BD18" s="902">
        <v>26.05143679983858</v>
      </c>
      <c r="BE18" s="902">
        <v>0</v>
      </c>
      <c r="BF18" s="902">
        <v>0</v>
      </c>
      <c r="BG18" s="902">
        <v>31.270188105042049</v>
      </c>
      <c r="BH18" s="902">
        <v>0.89936941881652865</v>
      </c>
      <c r="BI18" s="902">
        <v>3600</v>
      </c>
      <c r="BJ18" s="909" t="s">
        <v>1062</v>
      </c>
      <c r="BK18" s="909">
        <v>3</v>
      </c>
      <c r="BL18" s="909">
        <v>0</v>
      </c>
      <c r="BM18" s="909">
        <v>0</v>
      </c>
      <c r="BN18" s="909">
        <v>0</v>
      </c>
      <c r="BO18" s="910">
        <v>4539.433016837007</v>
      </c>
      <c r="BP18" s="909">
        <v>0</v>
      </c>
      <c r="BQ18" s="909">
        <v>0</v>
      </c>
      <c r="BR18" s="909">
        <v>0</v>
      </c>
      <c r="BS18" s="910">
        <v>4923.589605821785</v>
      </c>
      <c r="BT18" s="871">
        <v>4000</v>
      </c>
      <c r="BU18" s="911">
        <v>117.28612573401894</v>
      </c>
      <c r="BV18" s="908">
        <v>4.6214520000000014</v>
      </c>
      <c r="BW18" s="902">
        <v>26.05143679983858</v>
      </c>
      <c r="BX18" s="902">
        <v>0</v>
      </c>
      <c r="BY18" s="902">
        <v>0</v>
      </c>
      <c r="BZ18" s="902">
        <v>31.270188105042049</v>
      </c>
      <c r="CA18" s="902">
        <v>0.89936941881652865</v>
      </c>
      <c r="CB18" s="902">
        <v>3600</v>
      </c>
      <c r="CC18" s="909" t="s">
        <v>2874</v>
      </c>
      <c r="CD18" s="909">
        <v>3</v>
      </c>
      <c r="CE18" s="909">
        <v>0</v>
      </c>
      <c r="CF18" s="909">
        <v>0</v>
      </c>
      <c r="CG18" s="909">
        <v>0</v>
      </c>
      <c r="CH18" s="910">
        <v>4447.7178451174186</v>
      </c>
      <c r="CI18" s="909">
        <v>0</v>
      </c>
      <c r="CJ18" s="909">
        <v>0</v>
      </c>
      <c r="CK18" s="909">
        <v>0</v>
      </c>
      <c r="CL18" s="910">
        <v>4824.1128948537335</v>
      </c>
      <c r="CM18" s="871">
        <v>4000</v>
      </c>
      <c r="CN18" s="911">
        <v>117.28612573401894</v>
      </c>
      <c r="CO18" s="908">
        <v>4.6214520000000014</v>
      </c>
      <c r="CP18" s="902">
        <v>26.05143679983858</v>
      </c>
      <c r="CQ18" s="902">
        <v>0</v>
      </c>
      <c r="CR18" s="902">
        <v>0</v>
      </c>
      <c r="CS18" s="902">
        <v>31.270188105042049</v>
      </c>
      <c r="CT18" s="902">
        <v>0.89936941881652865</v>
      </c>
      <c r="CU18" s="902">
        <v>3600</v>
      </c>
      <c r="CV18" s="909" t="s">
        <v>2874</v>
      </c>
      <c r="CW18" s="909">
        <v>3</v>
      </c>
      <c r="CX18" s="909">
        <v>0</v>
      </c>
      <c r="CY18" s="909">
        <v>0</v>
      </c>
      <c r="CZ18" s="909">
        <v>0</v>
      </c>
      <c r="DA18" s="910">
        <v>4447.7178451174186</v>
      </c>
      <c r="DB18" s="909">
        <v>0</v>
      </c>
      <c r="DC18" s="909">
        <v>0</v>
      </c>
      <c r="DD18" s="909">
        <v>0</v>
      </c>
      <c r="DE18" s="910">
        <v>4824.1128948537335</v>
      </c>
      <c r="DF18" s="871">
        <v>4000</v>
      </c>
      <c r="DG18" s="911">
        <v>117.28612573401894</v>
      </c>
      <c r="DH18" s="908">
        <v>4.6214520000000014</v>
      </c>
      <c r="DI18" s="902">
        <v>26.05143679983858</v>
      </c>
      <c r="DJ18" s="902">
        <v>0</v>
      </c>
      <c r="DK18" s="902">
        <v>0</v>
      </c>
      <c r="DL18" s="902">
        <v>31.270188105042049</v>
      </c>
      <c r="DM18" s="902">
        <v>0.89936941881652865</v>
      </c>
      <c r="DN18" s="902">
        <v>3600</v>
      </c>
      <c r="DO18" s="909" t="s">
        <v>2875</v>
      </c>
      <c r="DP18" s="909">
        <v>3</v>
      </c>
      <c r="DQ18" s="909">
        <v>0</v>
      </c>
      <c r="DR18" s="909">
        <v>0</v>
      </c>
      <c r="DS18" s="909">
        <v>0</v>
      </c>
      <c r="DT18" s="910">
        <v>4629.3315066996392</v>
      </c>
      <c r="DU18" s="909">
        <v>0</v>
      </c>
      <c r="DV18" s="909">
        <v>0</v>
      </c>
      <c r="DW18" s="909">
        <v>0</v>
      </c>
      <c r="DX18" s="910">
        <v>5021.0958954012494</v>
      </c>
      <c r="DY18" s="871">
        <v>4000</v>
      </c>
      <c r="DZ18" s="911">
        <v>117.28612573401894</v>
      </c>
      <c r="EA18" s="908">
        <v>4.6214520000000014</v>
      </c>
      <c r="EB18" s="902">
        <v>26.05143679983858</v>
      </c>
      <c r="EC18" s="902">
        <v>0</v>
      </c>
      <c r="ED18" s="902">
        <v>0</v>
      </c>
      <c r="EE18" s="902">
        <v>31.270188105042049</v>
      </c>
      <c r="EF18" s="902">
        <v>0.89936941881652865</v>
      </c>
      <c r="EG18" s="902">
        <v>3600</v>
      </c>
      <c r="EH18" s="909" t="s">
        <v>2875</v>
      </c>
      <c r="EI18" s="909">
        <v>3</v>
      </c>
      <c r="EJ18" s="909">
        <v>0</v>
      </c>
      <c r="EK18" s="909">
        <v>0</v>
      </c>
      <c r="EL18" s="909">
        <v>0</v>
      </c>
      <c r="EM18" s="910">
        <v>4629.3315066996392</v>
      </c>
      <c r="EN18" s="909">
        <v>0</v>
      </c>
      <c r="EO18" s="909">
        <v>0</v>
      </c>
      <c r="EP18" s="909">
        <v>0</v>
      </c>
      <c r="EQ18" s="910">
        <v>5021.0958954012494</v>
      </c>
      <c r="ER18" s="871">
        <v>4000</v>
      </c>
      <c r="ES18" s="911">
        <v>117.28612573401894</v>
      </c>
      <c r="ET18" s="908">
        <v>4.6214520000000014</v>
      </c>
      <c r="EU18" s="902">
        <v>26.05143679983858</v>
      </c>
      <c r="EV18" s="902">
        <v>0</v>
      </c>
      <c r="EW18" s="902">
        <v>0</v>
      </c>
      <c r="EX18" s="902">
        <v>31.270188105042049</v>
      </c>
      <c r="EY18" s="902">
        <v>0.89936941881652865</v>
      </c>
      <c r="EZ18" s="902">
        <v>3600</v>
      </c>
      <c r="FA18" s="909" t="s">
        <v>3884</v>
      </c>
      <c r="FB18" s="909">
        <v>3</v>
      </c>
      <c r="FC18" s="909">
        <v>0</v>
      </c>
      <c r="FD18" s="909">
        <v>0</v>
      </c>
      <c r="FE18" s="909">
        <v>0</v>
      </c>
      <c r="FF18" s="910">
        <v>4931.086441640492</v>
      </c>
      <c r="FG18" s="909">
        <v>0</v>
      </c>
      <c r="FH18" s="909">
        <v>0</v>
      </c>
      <c r="FI18" s="909">
        <v>0</v>
      </c>
      <c r="FJ18" s="910">
        <v>5348.3873116793557</v>
      </c>
      <c r="FK18" s="871">
        <v>4000</v>
      </c>
      <c r="FL18" s="911">
        <v>117.28612573401894</v>
      </c>
      <c r="FM18" s="908">
        <v>4.6214520000000014</v>
      </c>
      <c r="FN18" s="902">
        <v>26.05143679983858</v>
      </c>
      <c r="FO18" s="902">
        <v>0</v>
      </c>
      <c r="FP18" s="902">
        <v>0</v>
      </c>
      <c r="FQ18" s="902">
        <v>31.270188105042049</v>
      </c>
      <c r="FR18" s="902">
        <v>0.89936941881652865</v>
      </c>
      <c r="FS18" s="902">
        <v>3600</v>
      </c>
      <c r="FT18" s="909" t="s">
        <v>3884</v>
      </c>
      <c r="FU18" s="909">
        <v>3</v>
      </c>
      <c r="FV18" s="909">
        <v>0</v>
      </c>
      <c r="FW18" s="909">
        <v>0</v>
      </c>
      <c r="FX18" s="909">
        <v>0</v>
      </c>
      <c r="FY18" s="910">
        <v>4931.086441640492</v>
      </c>
      <c r="FZ18" s="909">
        <v>0</v>
      </c>
      <c r="GA18" s="909">
        <v>0</v>
      </c>
      <c r="GB18" s="909">
        <v>0</v>
      </c>
      <c r="GC18" s="910">
        <v>5348.3873116793557</v>
      </c>
      <c r="GD18" s="871">
        <v>4000</v>
      </c>
      <c r="GE18" s="911">
        <v>117.28612573401894</v>
      </c>
      <c r="GF18" s="908">
        <v>3.0809680000000008</v>
      </c>
      <c r="GG18" s="902">
        <v>24.510952799838581</v>
      </c>
      <c r="GH18" s="902">
        <v>0</v>
      </c>
      <c r="GI18" s="902">
        <v>0</v>
      </c>
      <c r="GJ18" s="902">
        <v>29.935919877516934</v>
      </c>
      <c r="GK18" s="902">
        <v>0.82468362538840367</v>
      </c>
      <c r="GL18" s="902">
        <v>3600</v>
      </c>
      <c r="GM18" s="909" t="s">
        <v>2877</v>
      </c>
      <c r="GN18" s="909">
        <v>2</v>
      </c>
      <c r="GO18" s="909">
        <v>0</v>
      </c>
      <c r="GP18" s="909">
        <v>0</v>
      </c>
      <c r="GQ18" s="909">
        <v>0</v>
      </c>
      <c r="GR18" s="910">
        <v>4734.0913930005836</v>
      </c>
      <c r="GS18" s="909">
        <v>0</v>
      </c>
      <c r="GT18" s="909">
        <v>0</v>
      </c>
      <c r="GU18" s="909">
        <v>0</v>
      </c>
      <c r="GV18" s="910">
        <v>5028.4260593718263</v>
      </c>
      <c r="GW18" s="871">
        <v>4000</v>
      </c>
      <c r="GX18" s="911">
        <v>117.28612573401894</v>
      </c>
      <c r="GY18" s="908">
        <v>3.0809680000000008</v>
      </c>
      <c r="GZ18" s="902">
        <v>24.510952799838581</v>
      </c>
      <c r="HA18" s="902">
        <v>0</v>
      </c>
      <c r="HB18" s="902">
        <v>0</v>
      </c>
      <c r="HC18" s="902">
        <v>29.935919877516934</v>
      </c>
      <c r="HD18" s="902">
        <v>0.82468362538840367</v>
      </c>
      <c r="HE18" s="902">
        <v>3600</v>
      </c>
      <c r="HF18" s="909" t="s">
        <v>2877</v>
      </c>
      <c r="HG18" s="909">
        <v>2</v>
      </c>
      <c r="HH18" s="909">
        <v>0</v>
      </c>
      <c r="HI18" s="909">
        <v>0</v>
      </c>
      <c r="HJ18" s="909">
        <v>0</v>
      </c>
      <c r="HK18" s="910">
        <v>4734.0913930005836</v>
      </c>
      <c r="HL18" s="909">
        <v>0</v>
      </c>
      <c r="HM18" s="909">
        <v>0</v>
      </c>
      <c r="HN18" s="909">
        <v>0</v>
      </c>
      <c r="HO18" s="910">
        <v>5028.4260593718263</v>
      </c>
      <c r="HP18" s="871">
        <v>4000</v>
      </c>
      <c r="HQ18" s="911">
        <v>117.28612573401894</v>
      </c>
      <c r="HR18" s="908">
        <v>3.0809680000000008</v>
      </c>
      <c r="HS18" s="902">
        <v>24.510952799838581</v>
      </c>
      <c r="HT18" s="902">
        <v>0</v>
      </c>
      <c r="HU18" s="902">
        <v>0</v>
      </c>
      <c r="HV18" s="902">
        <v>29.935919877516934</v>
      </c>
      <c r="HW18" s="902">
        <v>0.82468362538840367</v>
      </c>
      <c r="HX18" s="902">
        <v>3600</v>
      </c>
      <c r="HY18" s="909" t="s">
        <v>1063</v>
      </c>
      <c r="HZ18" s="909">
        <v>2</v>
      </c>
      <c r="IA18" s="909">
        <v>0</v>
      </c>
      <c r="IB18" s="909">
        <v>0</v>
      </c>
      <c r="IC18" s="909">
        <v>0</v>
      </c>
      <c r="ID18" s="910">
        <v>4175.0761699102959</v>
      </c>
      <c r="IE18" s="909">
        <v>0</v>
      </c>
      <c r="IF18" s="909">
        <v>0</v>
      </c>
      <c r="IG18" s="909">
        <v>0</v>
      </c>
      <c r="IH18" s="910">
        <v>4434.6549463914553</v>
      </c>
      <c r="II18" s="871">
        <v>4000</v>
      </c>
      <c r="IJ18" s="911">
        <v>117.28612573401894</v>
      </c>
      <c r="IK18" s="908">
        <v>3.0809680000000008</v>
      </c>
      <c r="IL18" s="902">
        <v>24.510952799838581</v>
      </c>
      <c r="IM18" s="902">
        <v>0</v>
      </c>
      <c r="IN18" s="902">
        <v>0</v>
      </c>
      <c r="IO18" s="902">
        <v>29.935919877516934</v>
      </c>
      <c r="IP18" s="902">
        <v>0.82468362538840367</v>
      </c>
      <c r="IQ18" s="902">
        <v>3600</v>
      </c>
      <c r="IR18" s="909" t="s">
        <v>1063</v>
      </c>
      <c r="IS18" s="909">
        <v>2</v>
      </c>
      <c r="IT18" s="909">
        <v>0</v>
      </c>
      <c r="IU18" s="909">
        <v>0</v>
      </c>
      <c r="IV18" s="909">
        <v>0</v>
      </c>
      <c r="IW18" s="910">
        <v>4175.0761699102959</v>
      </c>
      <c r="IX18" s="909">
        <v>0</v>
      </c>
      <c r="IY18" s="909">
        <v>0</v>
      </c>
      <c r="IZ18" s="909">
        <v>0</v>
      </c>
      <c r="JA18" s="910">
        <v>4434.6549463914553</v>
      </c>
      <c r="JB18" s="871">
        <v>4000</v>
      </c>
      <c r="JC18" s="911">
        <v>117.28612573401894</v>
      </c>
      <c r="JD18" s="908">
        <v>3.0809680000000008</v>
      </c>
      <c r="JE18" s="902">
        <v>24.510952799838581</v>
      </c>
      <c r="JF18" s="902">
        <v>0</v>
      </c>
      <c r="JG18" s="902">
        <v>0</v>
      </c>
      <c r="JH18" s="902">
        <v>29.935919877516934</v>
      </c>
      <c r="JI18" s="902">
        <v>0.82468362538840367</v>
      </c>
      <c r="JJ18" s="902">
        <v>3600</v>
      </c>
      <c r="JK18" s="909" t="s">
        <v>1064</v>
      </c>
      <c r="JL18" s="909">
        <v>2</v>
      </c>
      <c r="JM18" s="909">
        <v>0</v>
      </c>
      <c r="JN18" s="909">
        <v>0</v>
      </c>
      <c r="JO18" s="909">
        <v>0</v>
      </c>
      <c r="JP18" s="910">
        <v>5689.6697533987835</v>
      </c>
      <c r="JQ18" s="909">
        <v>0</v>
      </c>
      <c r="JR18" s="909">
        <v>0</v>
      </c>
      <c r="JS18" s="909">
        <v>0</v>
      </c>
      <c r="JT18" s="910">
        <v>6043.4159973148171</v>
      </c>
      <c r="JU18" s="871">
        <v>4000</v>
      </c>
      <c r="JV18" s="911">
        <v>117.28612573401894</v>
      </c>
      <c r="JW18" s="908">
        <v>3.0809680000000008</v>
      </c>
      <c r="JX18" s="902">
        <v>24.510952799838581</v>
      </c>
      <c r="JY18" s="902">
        <v>0</v>
      </c>
      <c r="JZ18" s="902">
        <v>0</v>
      </c>
      <c r="KA18" s="902">
        <v>29.935919877516934</v>
      </c>
      <c r="KB18" s="902">
        <v>0.82468362538840367</v>
      </c>
      <c r="KC18" s="902">
        <v>3600</v>
      </c>
      <c r="KD18" s="909" t="s">
        <v>1064</v>
      </c>
      <c r="KE18" s="909">
        <v>2</v>
      </c>
      <c r="KF18" s="909">
        <v>0</v>
      </c>
      <c r="KG18" s="909">
        <v>0</v>
      </c>
      <c r="KH18" s="909">
        <v>0</v>
      </c>
      <c r="KI18" s="910">
        <v>5689.6697533987835</v>
      </c>
      <c r="KJ18" s="909">
        <v>0</v>
      </c>
      <c r="KK18" s="909">
        <v>0</v>
      </c>
      <c r="KL18" s="909">
        <v>0</v>
      </c>
      <c r="KM18" s="910">
        <v>6043.4159973148171</v>
      </c>
      <c r="KN18" s="871">
        <v>4000</v>
      </c>
      <c r="KO18" s="912">
        <v>117.28612573401894</v>
      </c>
    </row>
    <row r="19" spans="1:301" ht="15" customHeight="1">
      <c r="A19" s="924" t="s">
        <v>1514</v>
      </c>
      <c r="B19" s="888" t="s">
        <v>1073</v>
      </c>
      <c r="C19" s="888">
        <v>272.5</v>
      </c>
      <c r="D19" s="888">
        <v>690</v>
      </c>
      <c r="E19" s="888">
        <v>280</v>
      </c>
      <c r="F19" s="888">
        <v>250</v>
      </c>
      <c r="G19" s="888">
        <v>146</v>
      </c>
      <c r="H19" s="888">
        <v>106</v>
      </c>
      <c r="I19" s="888">
        <v>73</v>
      </c>
      <c r="J19" s="888">
        <v>37.5</v>
      </c>
      <c r="K19" s="888">
        <v>49</v>
      </c>
      <c r="L19" s="888">
        <v>10</v>
      </c>
      <c r="M19" s="888">
        <v>306</v>
      </c>
      <c r="N19" s="888">
        <v>4</v>
      </c>
      <c r="O19" s="884">
        <v>9.8078794769113866</v>
      </c>
      <c r="P19" s="888">
        <v>4</v>
      </c>
      <c r="Q19" s="884">
        <v>6.6411651325843062</v>
      </c>
      <c r="R19" s="888">
        <v>13.000000000000002</v>
      </c>
      <c r="S19" s="888">
        <v>454.76059110854408</v>
      </c>
      <c r="T19" s="906">
        <v>16.575572412920248</v>
      </c>
      <c r="U19" s="906">
        <v>68.214088666281611</v>
      </c>
      <c r="V19" s="906">
        <v>60</v>
      </c>
      <c r="W19" s="1141">
        <v>1.2909820821601345</v>
      </c>
      <c r="X19" s="902">
        <v>0</v>
      </c>
      <c r="Y19" s="902">
        <v>0</v>
      </c>
      <c r="Z19" s="902">
        <v>0</v>
      </c>
      <c r="AA19" s="902">
        <v>0</v>
      </c>
      <c r="AB19" s="970">
        <v>5.6981210418809498</v>
      </c>
      <c r="AC19" s="1045">
        <v>4000</v>
      </c>
      <c r="AD19" s="890">
        <v>0.61766286408577342</v>
      </c>
      <c r="AE19" s="890">
        <v>0.76732698797896037</v>
      </c>
      <c r="AF19" s="890">
        <v>-0.28788259185426668</v>
      </c>
      <c r="AG19" s="890">
        <v>1.0365839401957009</v>
      </c>
      <c r="AH19" s="888"/>
      <c r="AI19" s="907">
        <v>1.9268108176325365</v>
      </c>
      <c r="AJ19" s="908">
        <v>6.4496385000000007</v>
      </c>
      <c r="AK19" s="902">
        <v>40.765237604576072</v>
      </c>
      <c r="AL19" s="902">
        <v>0</v>
      </c>
      <c r="AM19" s="902">
        <v>0</v>
      </c>
      <c r="AN19" s="902">
        <v>37.807189876247719</v>
      </c>
      <c r="AO19" s="902">
        <v>2.1189143902945293</v>
      </c>
      <c r="AP19" s="1222">
        <v>3600</v>
      </c>
      <c r="AQ19" s="909" t="s">
        <v>1062</v>
      </c>
      <c r="AR19" s="909">
        <v>3</v>
      </c>
      <c r="AS19" s="909">
        <v>0</v>
      </c>
      <c r="AT19" s="909">
        <v>0</v>
      </c>
      <c r="AU19" s="909">
        <v>0</v>
      </c>
      <c r="AV19" s="910">
        <v>4566.392459835075</v>
      </c>
      <c r="AW19" s="909">
        <v>0</v>
      </c>
      <c r="AX19" s="909">
        <v>0</v>
      </c>
      <c r="AY19" s="909">
        <v>0</v>
      </c>
      <c r="AZ19" s="910">
        <v>4456.3591958661209</v>
      </c>
      <c r="BA19" s="871">
        <v>4000</v>
      </c>
      <c r="BB19" s="911">
        <v>144.5132620651305</v>
      </c>
      <c r="BC19" s="908">
        <v>6.4496385000000007</v>
      </c>
      <c r="BD19" s="902">
        <v>40.765237604576072</v>
      </c>
      <c r="BE19" s="902">
        <v>0</v>
      </c>
      <c r="BF19" s="902">
        <v>0</v>
      </c>
      <c r="BG19" s="902">
        <v>37.807189876247719</v>
      </c>
      <c r="BH19" s="902">
        <v>2.1189143902945293</v>
      </c>
      <c r="BI19" s="902">
        <v>3600</v>
      </c>
      <c r="BJ19" s="909" t="s">
        <v>1062</v>
      </c>
      <c r="BK19" s="909">
        <v>3</v>
      </c>
      <c r="BL19" s="909">
        <v>0</v>
      </c>
      <c r="BM19" s="909">
        <v>0</v>
      </c>
      <c r="BN19" s="909">
        <v>0</v>
      </c>
      <c r="BO19" s="910">
        <v>4566.392459835075</v>
      </c>
      <c r="BP19" s="909">
        <v>0</v>
      </c>
      <c r="BQ19" s="909">
        <v>0</v>
      </c>
      <c r="BR19" s="909">
        <v>0</v>
      </c>
      <c r="BS19" s="910">
        <v>4456.3591958661209</v>
      </c>
      <c r="BT19" s="871">
        <v>4000</v>
      </c>
      <c r="BU19" s="911">
        <v>144.5132620651305</v>
      </c>
      <c r="BV19" s="908">
        <v>6.4496385000000007</v>
      </c>
      <c r="BW19" s="902">
        <v>40.765237604576072</v>
      </c>
      <c r="BX19" s="902">
        <v>0</v>
      </c>
      <c r="BY19" s="902">
        <v>0</v>
      </c>
      <c r="BZ19" s="902">
        <v>37.807189876247719</v>
      </c>
      <c r="CA19" s="902">
        <v>2.1189143902945293</v>
      </c>
      <c r="CB19" s="902">
        <v>3600</v>
      </c>
      <c r="CC19" s="909" t="s">
        <v>2874</v>
      </c>
      <c r="CD19" s="909">
        <v>3</v>
      </c>
      <c r="CE19" s="909">
        <v>0</v>
      </c>
      <c r="CF19" s="909">
        <v>0</v>
      </c>
      <c r="CG19" s="909">
        <v>0</v>
      </c>
      <c r="CH19" s="910">
        <v>4474.1325967553839</v>
      </c>
      <c r="CI19" s="909">
        <v>0</v>
      </c>
      <c r="CJ19" s="909">
        <v>0</v>
      </c>
      <c r="CK19" s="909">
        <v>0</v>
      </c>
      <c r="CL19" s="910">
        <v>4366.322456172622</v>
      </c>
      <c r="CM19" s="871">
        <v>4000</v>
      </c>
      <c r="CN19" s="911">
        <v>144.5132620651305</v>
      </c>
      <c r="CO19" s="908">
        <v>6.4496385000000007</v>
      </c>
      <c r="CP19" s="902">
        <v>40.765237604576072</v>
      </c>
      <c r="CQ19" s="902">
        <v>0</v>
      </c>
      <c r="CR19" s="902">
        <v>0</v>
      </c>
      <c r="CS19" s="902">
        <v>37.807189876247719</v>
      </c>
      <c r="CT19" s="902">
        <v>2.1189143902945293</v>
      </c>
      <c r="CU19" s="902">
        <v>3600</v>
      </c>
      <c r="CV19" s="909" t="s">
        <v>2874</v>
      </c>
      <c r="CW19" s="909">
        <v>3</v>
      </c>
      <c r="CX19" s="909">
        <v>0</v>
      </c>
      <c r="CY19" s="909">
        <v>0</v>
      </c>
      <c r="CZ19" s="909">
        <v>0</v>
      </c>
      <c r="DA19" s="910">
        <v>4474.1325967553839</v>
      </c>
      <c r="DB19" s="909">
        <v>0</v>
      </c>
      <c r="DC19" s="909">
        <v>0</v>
      </c>
      <c r="DD19" s="909">
        <v>0</v>
      </c>
      <c r="DE19" s="910">
        <v>4366.322456172622</v>
      </c>
      <c r="DF19" s="871">
        <v>4000</v>
      </c>
      <c r="DG19" s="911">
        <v>144.5132620651305</v>
      </c>
      <c r="DH19" s="908">
        <v>6.4496385000000007</v>
      </c>
      <c r="DI19" s="902">
        <v>40.765237604576072</v>
      </c>
      <c r="DJ19" s="902">
        <v>0</v>
      </c>
      <c r="DK19" s="902">
        <v>0</v>
      </c>
      <c r="DL19" s="902">
        <v>37.807189876247719</v>
      </c>
      <c r="DM19" s="902">
        <v>2.1189143902945293</v>
      </c>
      <c r="DN19" s="902">
        <v>3600</v>
      </c>
      <c r="DO19" s="909" t="s">
        <v>2875</v>
      </c>
      <c r="DP19" s="909">
        <v>3</v>
      </c>
      <c r="DQ19" s="909">
        <v>0</v>
      </c>
      <c r="DR19" s="909">
        <v>0</v>
      </c>
      <c r="DS19" s="909">
        <v>0</v>
      </c>
      <c r="DT19" s="910">
        <v>4656.8248518842156</v>
      </c>
      <c r="DU19" s="909">
        <v>0</v>
      </c>
      <c r="DV19" s="909">
        <v>0</v>
      </c>
      <c r="DW19" s="909">
        <v>0</v>
      </c>
      <c r="DX19" s="910">
        <v>4544.6124998590876</v>
      </c>
      <c r="DY19" s="871">
        <v>4000</v>
      </c>
      <c r="DZ19" s="911">
        <v>144.5132620651305</v>
      </c>
      <c r="EA19" s="908">
        <v>6.4496385000000007</v>
      </c>
      <c r="EB19" s="902">
        <v>40.765237604576072</v>
      </c>
      <c r="EC19" s="902">
        <v>0</v>
      </c>
      <c r="ED19" s="902">
        <v>0</v>
      </c>
      <c r="EE19" s="902">
        <v>37.807189876247719</v>
      </c>
      <c r="EF19" s="902">
        <v>2.1189143902945293</v>
      </c>
      <c r="EG19" s="902">
        <v>3600</v>
      </c>
      <c r="EH19" s="909" t="s">
        <v>2875</v>
      </c>
      <c r="EI19" s="909">
        <v>3</v>
      </c>
      <c r="EJ19" s="909">
        <v>0</v>
      </c>
      <c r="EK19" s="909">
        <v>0</v>
      </c>
      <c r="EL19" s="909">
        <v>0</v>
      </c>
      <c r="EM19" s="910">
        <v>4656.8248518842156</v>
      </c>
      <c r="EN19" s="909">
        <v>0</v>
      </c>
      <c r="EO19" s="909">
        <v>0</v>
      </c>
      <c r="EP19" s="909">
        <v>0</v>
      </c>
      <c r="EQ19" s="910">
        <v>4544.6124998590876</v>
      </c>
      <c r="ER19" s="871">
        <v>4000</v>
      </c>
      <c r="ES19" s="911">
        <v>144.5132620651305</v>
      </c>
      <c r="ET19" s="908">
        <v>6.4496385000000007</v>
      </c>
      <c r="EU19" s="902">
        <v>40.765237604576072</v>
      </c>
      <c r="EV19" s="902">
        <v>0</v>
      </c>
      <c r="EW19" s="902">
        <v>0</v>
      </c>
      <c r="EX19" s="902">
        <v>37.807189876247719</v>
      </c>
      <c r="EY19" s="902">
        <v>2.1189143902945293</v>
      </c>
      <c r="EZ19" s="902">
        <v>3600</v>
      </c>
      <c r="FA19" s="909" t="s">
        <v>3884</v>
      </c>
      <c r="FB19" s="909">
        <v>3</v>
      </c>
      <c r="FC19" s="909">
        <v>0</v>
      </c>
      <c r="FD19" s="909">
        <v>0</v>
      </c>
      <c r="FE19" s="909">
        <v>0</v>
      </c>
      <c r="FF19" s="910">
        <v>4960.3718927858226</v>
      </c>
      <c r="FG19" s="909">
        <v>0</v>
      </c>
      <c r="FH19" s="909">
        <v>0</v>
      </c>
      <c r="FI19" s="909">
        <v>0</v>
      </c>
      <c r="FJ19" s="910">
        <v>4840.845173462546</v>
      </c>
      <c r="FK19" s="871">
        <v>4000</v>
      </c>
      <c r="FL19" s="911">
        <v>144.5132620651305</v>
      </c>
      <c r="FM19" s="908">
        <v>6.4496385000000007</v>
      </c>
      <c r="FN19" s="902">
        <v>40.765237604576072</v>
      </c>
      <c r="FO19" s="902">
        <v>0</v>
      </c>
      <c r="FP19" s="902">
        <v>0</v>
      </c>
      <c r="FQ19" s="902">
        <v>37.807189876247719</v>
      </c>
      <c r="FR19" s="902">
        <v>2.1189143902945293</v>
      </c>
      <c r="FS19" s="902">
        <v>3600</v>
      </c>
      <c r="FT19" s="909" t="s">
        <v>3884</v>
      </c>
      <c r="FU19" s="909">
        <v>3</v>
      </c>
      <c r="FV19" s="909">
        <v>0</v>
      </c>
      <c r="FW19" s="909">
        <v>0</v>
      </c>
      <c r="FX19" s="909">
        <v>0</v>
      </c>
      <c r="FY19" s="910">
        <v>4960.3718927858226</v>
      </c>
      <c r="FZ19" s="909">
        <v>0</v>
      </c>
      <c r="GA19" s="909">
        <v>0</v>
      </c>
      <c r="GB19" s="909">
        <v>0</v>
      </c>
      <c r="GC19" s="910">
        <v>4840.845173462546</v>
      </c>
      <c r="GD19" s="871">
        <v>4000</v>
      </c>
      <c r="GE19" s="911">
        <v>144.5132620651305</v>
      </c>
      <c r="GF19" s="908">
        <v>4.2997590000000008</v>
      </c>
      <c r="GG19" s="902">
        <v>38.615358104576075</v>
      </c>
      <c r="GH19" s="902">
        <v>0</v>
      </c>
      <c r="GI19" s="902">
        <v>0</v>
      </c>
      <c r="GJ19" s="902">
        <v>36.961342197093941</v>
      </c>
      <c r="GK19" s="902">
        <v>1.9710144378480452</v>
      </c>
      <c r="GL19" s="902">
        <v>3600</v>
      </c>
      <c r="GM19" s="909" t="s">
        <v>2877</v>
      </c>
      <c r="GN19" s="909">
        <v>2</v>
      </c>
      <c r="GO19" s="909">
        <v>0</v>
      </c>
      <c r="GP19" s="909">
        <v>0</v>
      </c>
      <c r="GQ19" s="909">
        <v>0</v>
      </c>
      <c r="GR19" s="910">
        <v>4770.3731435213813</v>
      </c>
      <c r="GS19" s="909">
        <v>0</v>
      </c>
      <c r="GT19" s="909">
        <v>0</v>
      </c>
      <c r="GU19" s="909">
        <v>0</v>
      </c>
      <c r="GV19" s="910">
        <v>4561.9471204247029</v>
      </c>
      <c r="GW19" s="871">
        <v>4000</v>
      </c>
      <c r="GX19" s="911">
        <v>144.5132620651305</v>
      </c>
      <c r="GY19" s="908">
        <v>4.2997590000000008</v>
      </c>
      <c r="GZ19" s="902">
        <v>38.615358104576075</v>
      </c>
      <c r="HA19" s="902">
        <v>0</v>
      </c>
      <c r="HB19" s="902">
        <v>0</v>
      </c>
      <c r="HC19" s="902">
        <v>36.961342197093941</v>
      </c>
      <c r="HD19" s="902">
        <v>1.9710144378480452</v>
      </c>
      <c r="HE19" s="902">
        <v>3600</v>
      </c>
      <c r="HF19" s="909" t="s">
        <v>2877</v>
      </c>
      <c r="HG19" s="909">
        <v>2</v>
      </c>
      <c r="HH19" s="909">
        <v>0</v>
      </c>
      <c r="HI19" s="909">
        <v>0</v>
      </c>
      <c r="HJ19" s="909">
        <v>0</v>
      </c>
      <c r="HK19" s="910">
        <v>4770.3731435213813</v>
      </c>
      <c r="HL19" s="909">
        <v>0</v>
      </c>
      <c r="HM19" s="909">
        <v>0</v>
      </c>
      <c r="HN19" s="909">
        <v>0</v>
      </c>
      <c r="HO19" s="910">
        <v>4561.9471204247029</v>
      </c>
      <c r="HP19" s="871">
        <v>4000</v>
      </c>
      <c r="HQ19" s="911">
        <v>144.5132620651305</v>
      </c>
      <c r="HR19" s="908">
        <v>4.2997590000000008</v>
      </c>
      <c r="HS19" s="902">
        <v>38.615358104576075</v>
      </c>
      <c r="HT19" s="902">
        <v>0</v>
      </c>
      <c r="HU19" s="902">
        <v>0</v>
      </c>
      <c r="HV19" s="902">
        <v>36.961342197093941</v>
      </c>
      <c r="HW19" s="902">
        <v>1.9710144378480452</v>
      </c>
      <c r="HX19" s="902">
        <v>3600</v>
      </c>
      <c r="HY19" s="909" t="s">
        <v>1063</v>
      </c>
      <c r="HZ19" s="909">
        <v>2</v>
      </c>
      <c r="IA19" s="909">
        <v>0</v>
      </c>
      <c r="IB19" s="909">
        <v>0</v>
      </c>
      <c r="IC19" s="909">
        <v>0</v>
      </c>
      <c r="ID19" s="910">
        <v>4207.073666246336</v>
      </c>
      <c r="IE19" s="909">
        <v>0</v>
      </c>
      <c r="IF19" s="909">
        <v>0</v>
      </c>
      <c r="IG19" s="909">
        <v>0</v>
      </c>
      <c r="IH19" s="910">
        <v>4023.2591916236652</v>
      </c>
      <c r="II19" s="871">
        <v>4000</v>
      </c>
      <c r="IJ19" s="911">
        <v>144.5132620651305</v>
      </c>
      <c r="IK19" s="908">
        <v>4.2997590000000008</v>
      </c>
      <c r="IL19" s="902">
        <v>38.615358104576075</v>
      </c>
      <c r="IM19" s="902">
        <v>0</v>
      </c>
      <c r="IN19" s="902">
        <v>0</v>
      </c>
      <c r="IO19" s="902">
        <v>36.961342197093941</v>
      </c>
      <c r="IP19" s="902">
        <v>1.9710144378480452</v>
      </c>
      <c r="IQ19" s="902">
        <v>3600</v>
      </c>
      <c r="IR19" s="909" t="s">
        <v>1063</v>
      </c>
      <c r="IS19" s="909">
        <v>2</v>
      </c>
      <c r="IT19" s="909">
        <v>0</v>
      </c>
      <c r="IU19" s="909">
        <v>0</v>
      </c>
      <c r="IV19" s="909">
        <v>0</v>
      </c>
      <c r="IW19" s="910">
        <v>4207.073666246336</v>
      </c>
      <c r="IX19" s="909">
        <v>0</v>
      </c>
      <c r="IY19" s="909">
        <v>0</v>
      </c>
      <c r="IZ19" s="909">
        <v>0</v>
      </c>
      <c r="JA19" s="910">
        <v>4023.2591916236652</v>
      </c>
      <c r="JB19" s="871">
        <v>4000</v>
      </c>
      <c r="JC19" s="911">
        <v>144.5132620651305</v>
      </c>
      <c r="JD19" s="908">
        <v>4.2997590000000008</v>
      </c>
      <c r="JE19" s="902">
        <v>38.615358104576075</v>
      </c>
      <c r="JF19" s="902">
        <v>0</v>
      </c>
      <c r="JG19" s="902">
        <v>0</v>
      </c>
      <c r="JH19" s="902">
        <v>36.961342197093941</v>
      </c>
      <c r="JI19" s="902">
        <v>1.9710144378480452</v>
      </c>
      <c r="JJ19" s="902">
        <v>3600</v>
      </c>
      <c r="JK19" s="909" t="s">
        <v>1064</v>
      </c>
      <c r="JL19" s="909">
        <v>2</v>
      </c>
      <c r="JM19" s="909">
        <v>0</v>
      </c>
      <c r="JN19" s="909">
        <v>0</v>
      </c>
      <c r="JO19" s="909">
        <v>0</v>
      </c>
      <c r="JP19" s="910">
        <v>5733.2749906875588</v>
      </c>
      <c r="JQ19" s="909">
        <v>0</v>
      </c>
      <c r="JR19" s="909">
        <v>0</v>
      </c>
      <c r="JS19" s="909">
        <v>0</v>
      </c>
      <c r="JT19" s="910">
        <v>5482.7780862155214</v>
      </c>
      <c r="JU19" s="871">
        <v>4000</v>
      </c>
      <c r="JV19" s="911">
        <v>144.5132620651305</v>
      </c>
      <c r="JW19" s="908">
        <v>4.2997590000000008</v>
      </c>
      <c r="JX19" s="902">
        <v>38.615358104576075</v>
      </c>
      <c r="JY19" s="902">
        <v>0</v>
      </c>
      <c r="JZ19" s="902">
        <v>0</v>
      </c>
      <c r="KA19" s="902">
        <v>36.961342197093941</v>
      </c>
      <c r="KB19" s="902">
        <v>1.9710144378480452</v>
      </c>
      <c r="KC19" s="902">
        <v>3600</v>
      </c>
      <c r="KD19" s="909" t="s">
        <v>1064</v>
      </c>
      <c r="KE19" s="909">
        <v>2</v>
      </c>
      <c r="KF19" s="909">
        <v>0</v>
      </c>
      <c r="KG19" s="909">
        <v>0</v>
      </c>
      <c r="KH19" s="909">
        <v>0</v>
      </c>
      <c r="KI19" s="910">
        <v>5733.2749906875588</v>
      </c>
      <c r="KJ19" s="909">
        <v>0</v>
      </c>
      <c r="KK19" s="909">
        <v>0</v>
      </c>
      <c r="KL19" s="909">
        <v>0</v>
      </c>
      <c r="KM19" s="910">
        <v>5482.7780862155214</v>
      </c>
      <c r="KN19" s="871">
        <v>4000</v>
      </c>
      <c r="KO19" s="912">
        <v>144.5132620651305</v>
      </c>
    </row>
    <row r="20" spans="1:301" ht="15" customHeight="1">
      <c r="A20" s="924" t="s">
        <v>1515</v>
      </c>
      <c r="B20" s="888" t="s">
        <v>1074</v>
      </c>
      <c r="C20" s="888">
        <v>344</v>
      </c>
      <c r="D20" s="888">
        <v>690</v>
      </c>
      <c r="E20" s="888">
        <v>350</v>
      </c>
      <c r="F20" s="888">
        <v>315</v>
      </c>
      <c r="G20" s="888">
        <v>191</v>
      </c>
      <c r="H20" s="888">
        <v>133</v>
      </c>
      <c r="I20" s="888">
        <v>89</v>
      </c>
      <c r="J20" s="888">
        <v>36.549999999999997</v>
      </c>
      <c r="K20" s="888">
        <v>46.5</v>
      </c>
      <c r="L20" s="888">
        <v>10</v>
      </c>
      <c r="M20" s="888">
        <v>279</v>
      </c>
      <c r="N20" s="888">
        <v>4</v>
      </c>
      <c r="O20" s="884">
        <v>8.7203072241284048</v>
      </c>
      <c r="P20" s="888">
        <v>4</v>
      </c>
      <c r="Q20" s="884">
        <v>6.0221485158145738</v>
      </c>
      <c r="R20" s="888">
        <v>13.000000000000002</v>
      </c>
      <c r="S20" s="888">
        <v>481.56797925444289</v>
      </c>
      <c r="T20" s="906">
        <v>18.587376417421879</v>
      </c>
      <c r="U20" s="906">
        <v>72.235196888166428</v>
      </c>
      <c r="V20" s="906">
        <v>85</v>
      </c>
      <c r="W20" s="1141">
        <v>2.0508667729799614</v>
      </c>
      <c r="X20" s="902">
        <v>0</v>
      </c>
      <c r="Y20" s="902">
        <v>0</v>
      </c>
      <c r="Z20" s="902">
        <v>0</v>
      </c>
      <c r="AA20" s="902">
        <v>0</v>
      </c>
      <c r="AB20" s="970">
        <v>8.0899397621511469</v>
      </c>
      <c r="AC20" s="1045">
        <v>4000</v>
      </c>
      <c r="AD20" s="890">
        <v>0.66713808663402452</v>
      </c>
      <c r="AE20" s="890">
        <v>0.74131243349806197</v>
      </c>
      <c r="AF20" s="890">
        <v>-0.32141591662516694</v>
      </c>
      <c r="AG20" s="890">
        <v>0.81245213260895566</v>
      </c>
      <c r="AH20" s="888"/>
      <c r="AI20" s="907">
        <v>1.9292105082464994</v>
      </c>
      <c r="AJ20" s="908">
        <v>12.155332500000002</v>
      </c>
      <c r="AK20" s="902">
        <v>47.536031430344821</v>
      </c>
      <c r="AL20" s="902">
        <v>0</v>
      </c>
      <c r="AM20" s="902">
        <v>0</v>
      </c>
      <c r="AN20" s="902">
        <v>46.031494170099784</v>
      </c>
      <c r="AO20" s="902">
        <v>2.6274783533590726</v>
      </c>
      <c r="AP20" s="1222">
        <v>3600</v>
      </c>
      <c r="AQ20" s="909" t="s">
        <v>1062</v>
      </c>
      <c r="AR20" s="909">
        <v>5</v>
      </c>
      <c r="AS20" s="909">
        <v>0</v>
      </c>
      <c r="AT20" s="909">
        <v>0</v>
      </c>
      <c r="AU20" s="909">
        <v>0</v>
      </c>
      <c r="AV20" s="910">
        <v>4936.3524813328977</v>
      </c>
      <c r="AW20" s="909">
        <v>0</v>
      </c>
      <c r="AX20" s="909">
        <v>0</v>
      </c>
      <c r="AY20" s="909">
        <v>0</v>
      </c>
      <c r="AZ20" s="910">
        <v>5836.1456501858165</v>
      </c>
      <c r="BA20" s="871">
        <v>4000</v>
      </c>
      <c r="BB20" s="911">
        <v>144.5132620651305</v>
      </c>
      <c r="BC20" s="908">
        <v>12.155332500000002</v>
      </c>
      <c r="BD20" s="902">
        <v>47.536031430344821</v>
      </c>
      <c r="BE20" s="902">
        <v>0</v>
      </c>
      <c r="BF20" s="902">
        <v>0</v>
      </c>
      <c r="BG20" s="902">
        <v>46.031494170099784</v>
      </c>
      <c r="BH20" s="902">
        <v>2.6274783533590726</v>
      </c>
      <c r="BI20" s="902">
        <v>3600</v>
      </c>
      <c r="BJ20" s="909" t="s">
        <v>1062</v>
      </c>
      <c r="BK20" s="909">
        <v>5</v>
      </c>
      <c r="BL20" s="909">
        <v>0</v>
      </c>
      <c r="BM20" s="909">
        <v>0</v>
      </c>
      <c r="BN20" s="909">
        <v>0</v>
      </c>
      <c r="BO20" s="910">
        <v>4936.3524813328977</v>
      </c>
      <c r="BP20" s="909">
        <v>0</v>
      </c>
      <c r="BQ20" s="909">
        <v>0</v>
      </c>
      <c r="BR20" s="909">
        <v>0</v>
      </c>
      <c r="BS20" s="910">
        <v>5836.1456501858165</v>
      </c>
      <c r="BT20" s="871">
        <v>4000</v>
      </c>
      <c r="BU20" s="911">
        <v>144.5132620651305</v>
      </c>
      <c r="BV20" s="908">
        <v>12.155332500000002</v>
      </c>
      <c r="BW20" s="902">
        <v>47.536031430344821</v>
      </c>
      <c r="BX20" s="902">
        <v>0</v>
      </c>
      <c r="BY20" s="902">
        <v>0</v>
      </c>
      <c r="BZ20" s="902">
        <v>46.031494170099784</v>
      </c>
      <c r="CA20" s="902">
        <v>2.6274783533590726</v>
      </c>
      <c r="CB20" s="902">
        <v>3600</v>
      </c>
      <c r="CC20" s="909" t="s">
        <v>2874</v>
      </c>
      <c r="CD20" s="909">
        <v>5</v>
      </c>
      <c r="CE20" s="909">
        <v>0</v>
      </c>
      <c r="CF20" s="909">
        <v>0</v>
      </c>
      <c r="CG20" s="909">
        <v>0</v>
      </c>
      <c r="CH20" s="910">
        <v>4836.6179079148887</v>
      </c>
      <c r="CI20" s="909">
        <v>0</v>
      </c>
      <c r="CJ20" s="909">
        <v>0</v>
      </c>
      <c r="CK20" s="909">
        <v>0</v>
      </c>
      <c r="CL20" s="910">
        <v>5718.2315630075282</v>
      </c>
      <c r="CM20" s="871">
        <v>4000</v>
      </c>
      <c r="CN20" s="911">
        <v>144.5132620651305</v>
      </c>
      <c r="CO20" s="908">
        <v>12.155332500000002</v>
      </c>
      <c r="CP20" s="902">
        <v>47.536031430344821</v>
      </c>
      <c r="CQ20" s="902">
        <v>0</v>
      </c>
      <c r="CR20" s="902">
        <v>0</v>
      </c>
      <c r="CS20" s="902">
        <v>46.031494170099784</v>
      </c>
      <c r="CT20" s="902">
        <v>2.6274783533590726</v>
      </c>
      <c r="CU20" s="902">
        <v>3600</v>
      </c>
      <c r="CV20" s="909" t="s">
        <v>2874</v>
      </c>
      <c r="CW20" s="909">
        <v>5</v>
      </c>
      <c r="CX20" s="909">
        <v>0</v>
      </c>
      <c r="CY20" s="909">
        <v>0</v>
      </c>
      <c r="CZ20" s="909">
        <v>0</v>
      </c>
      <c r="DA20" s="910">
        <v>4836.6179079148887</v>
      </c>
      <c r="DB20" s="909">
        <v>0</v>
      </c>
      <c r="DC20" s="909">
        <v>0</v>
      </c>
      <c r="DD20" s="909">
        <v>0</v>
      </c>
      <c r="DE20" s="910">
        <v>5718.2315630075282</v>
      </c>
      <c r="DF20" s="871">
        <v>4000</v>
      </c>
      <c r="DG20" s="911">
        <v>144.5132620651305</v>
      </c>
      <c r="DH20" s="908">
        <v>9.7242660000000019</v>
      </c>
      <c r="DI20" s="902">
        <v>45.104964930344821</v>
      </c>
      <c r="DJ20" s="902">
        <v>0</v>
      </c>
      <c r="DK20" s="902">
        <v>0</v>
      </c>
      <c r="DL20" s="902">
        <v>44.928283051213668</v>
      </c>
      <c r="DM20" s="902">
        <v>2.4468391726098226</v>
      </c>
      <c r="DN20" s="902">
        <v>3600</v>
      </c>
      <c r="DO20" s="909" t="s">
        <v>2875</v>
      </c>
      <c r="DP20" s="909">
        <v>4</v>
      </c>
      <c r="DQ20" s="909">
        <v>0</v>
      </c>
      <c r="DR20" s="909">
        <v>0</v>
      </c>
      <c r="DS20" s="909">
        <v>0</v>
      </c>
      <c r="DT20" s="910">
        <v>4034.3809543463567</v>
      </c>
      <c r="DU20" s="909">
        <v>0</v>
      </c>
      <c r="DV20" s="909">
        <v>0</v>
      </c>
      <c r="DW20" s="909">
        <v>0</v>
      </c>
      <c r="DX20" s="910">
        <v>4449.3767230952581</v>
      </c>
      <c r="DY20" s="871">
        <v>4000</v>
      </c>
      <c r="DZ20" s="911">
        <v>144.5132620651305</v>
      </c>
      <c r="EA20" s="908">
        <v>9.7242660000000019</v>
      </c>
      <c r="EB20" s="902">
        <v>45.104964930344821</v>
      </c>
      <c r="EC20" s="902">
        <v>0</v>
      </c>
      <c r="ED20" s="902">
        <v>0</v>
      </c>
      <c r="EE20" s="902">
        <v>44.928283051213668</v>
      </c>
      <c r="EF20" s="902">
        <v>2.4468391726098226</v>
      </c>
      <c r="EG20" s="902">
        <v>3600</v>
      </c>
      <c r="EH20" s="909" t="s">
        <v>2875</v>
      </c>
      <c r="EI20" s="909">
        <v>4</v>
      </c>
      <c r="EJ20" s="909">
        <v>0</v>
      </c>
      <c r="EK20" s="909">
        <v>0</v>
      </c>
      <c r="EL20" s="909">
        <v>0</v>
      </c>
      <c r="EM20" s="910">
        <v>4034.3809543463567</v>
      </c>
      <c r="EN20" s="909">
        <v>0</v>
      </c>
      <c r="EO20" s="909">
        <v>0</v>
      </c>
      <c r="EP20" s="909">
        <v>0</v>
      </c>
      <c r="EQ20" s="910">
        <v>4449.3767230952581</v>
      </c>
      <c r="ER20" s="871">
        <v>4000</v>
      </c>
      <c r="ES20" s="911">
        <v>144.5132620651305</v>
      </c>
      <c r="ET20" s="908">
        <v>9.7242660000000019</v>
      </c>
      <c r="EU20" s="902">
        <v>45.104964930344821</v>
      </c>
      <c r="EV20" s="902">
        <v>0</v>
      </c>
      <c r="EW20" s="902">
        <v>0</v>
      </c>
      <c r="EX20" s="902">
        <v>44.928283051213668</v>
      </c>
      <c r="EY20" s="902">
        <v>2.4468391726098226</v>
      </c>
      <c r="EZ20" s="902">
        <v>3600</v>
      </c>
      <c r="FA20" s="909" t="s">
        <v>3884</v>
      </c>
      <c r="FB20" s="909">
        <v>4</v>
      </c>
      <c r="FC20" s="909">
        <v>0</v>
      </c>
      <c r="FD20" s="909">
        <v>0</v>
      </c>
      <c r="FE20" s="909">
        <v>0</v>
      </c>
      <c r="FF20" s="910">
        <v>4297.355070726564</v>
      </c>
      <c r="FG20" s="909">
        <v>0</v>
      </c>
      <c r="FH20" s="909">
        <v>0</v>
      </c>
      <c r="FI20" s="909">
        <v>0</v>
      </c>
      <c r="FJ20" s="910">
        <v>4739.4016179773562</v>
      </c>
      <c r="FK20" s="871">
        <v>4000</v>
      </c>
      <c r="FL20" s="911">
        <v>144.5132620651305</v>
      </c>
      <c r="FM20" s="908">
        <v>9.7242660000000019</v>
      </c>
      <c r="FN20" s="902">
        <v>45.104964930344821</v>
      </c>
      <c r="FO20" s="902">
        <v>0</v>
      </c>
      <c r="FP20" s="902">
        <v>0</v>
      </c>
      <c r="FQ20" s="902">
        <v>44.928283051213668</v>
      </c>
      <c r="FR20" s="902">
        <v>2.4468391726098226</v>
      </c>
      <c r="FS20" s="902">
        <v>3600</v>
      </c>
      <c r="FT20" s="909" t="s">
        <v>3884</v>
      </c>
      <c r="FU20" s="909">
        <v>4</v>
      </c>
      <c r="FV20" s="909">
        <v>0</v>
      </c>
      <c r="FW20" s="909">
        <v>0</v>
      </c>
      <c r="FX20" s="909">
        <v>0</v>
      </c>
      <c r="FY20" s="910">
        <v>4297.355070726564</v>
      </c>
      <c r="FZ20" s="909">
        <v>0</v>
      </c>
      <c r="GA20" s="909">
        <v>0</v>
      </c>
      <c r="GB20" s="909">
        <v>0</v>
      </c>
      <c r="GC20" s="910">
        <v>4739.4016179773562</v>
      </c>
      <c r="GD20" s="871">
        <v>4000</v>
      </c>
      <c r="GE20" s="911">
        <v>144.5132620651305</v>
      </c>
      <c r="GF20" s="908">
        <v>7.2931995000000018</v>
      </c>
      <c r="GG20" s="902">
        <v>42.673898430344821</v>
      </c>
      <c r="GH20" s="902">
        <v>0</v>
      </c>
      <c r="GI20" s="902">
        <v>0</v>
      </c>
      <c r="GJ20" s="902">
        <v>43.699375443738418</v>
      </c>
      <c r="GK20" s="902">
        <v>2.2661999918605726</v>
      </c>
      <c r="GL20" s="902">
        <v>3600</v>
      </c>
      <c r="GM20" s="909" t="s">
        <v>2877</v>
      </c>
      <c r="GN20" s="909">
        <v>3</v>
      </c>
      <c r="GO20" s="909">
        <v>0</v>
      </c>
      <c r="GP20" s="909">
        <v>0</v>
      </c>
      <c r="GQ20" s="909">
        <v>0</v>
      </c>
      <c r="GR20" s="910">
        <v>4329.0027142320168</v>
      </c>
      <c r="GS20" s="909">
        <v>0</v>
      </c>
      <c r="GT20" s="909">
        <v>0</v>
      </c>
      <c r="GU20" s="909">
        <v>0</v>
      </c>
      <c r="GV20" s="910">
        <v>4638.5003980377551</v>
      </c>
      <c r="GW20" s="871">
        <v>4000</v>
      </c>
      <c r="GX20" s="911">
        <v>144.5132620651305</v>
      </c>
      <c r="GY20" s="908">
        <v>7.2931995000000018</v>
      </c>
      <c r="GZ20" s="902">
        <v>42.673898430344821</v>
      </c>
      <c r="HA20" s="902">
        <v>0</v>
      </c>
      <c r="HB20" s="902">
        <v>0</v>
      </c>
      <c r="HC20" s="902">
        <v>43.699375443738418</v>
      </c>
      <c r="HD20" s="902">
        <v>2.2661999918605726</v>
      </c>
      <c r="HE20" s="902">
        <v>3600</v>
      </c>
      <c r="HF20" s="909" t="s">
        <v>2877</v>
      </c>
      <c r="HG20" s="909">
        <v>3</v>
      </c>
      <c r="HH20" s="909">
        <v>0</v>
      </c>
      <c r="HI20" s="909">
        <v>0</v>
      </c>
      <c r="HJ20" s="909">
        <v>0</v>
      </c>
      <c r="HK20" s="910">
        <v>4329.0027142320168</v>
      </c>
      <c r="HL20" s="909">
        <v>0</v>
      </c>
      <c r="HM20" s="909">
        <v>0</v>
      </c>
      <c r="HN20" s="909">
        <v>0</v>
      </c>
      <c r="HO20" s="910">
        <v>4638.5003980377551</v>
      </c>
      <c r="HP20" s="871">
        <v>4000</v>
      </c>
      <c r="HQ20" s="911">
        <v>144.5132620651305</v>
      </c>
      <c r="HR20" s="908">
        <v>9.7242660000000019</v>
      </c>
      <c r="HS20" s="902">
        <v>45.104964930344821</v>
      </c>
      <c r="HT20" s="902">
        <v>0</v>
      </c>
      <c r="HU20" s="902">
        <v>0</v>
      </c>
      <c r="HV20" s="902">
        <v>44.928283051213668</v>
      </c>
      <c r="HW20" s="902">
        <v>2.4468391726098226</v>
      </c>
      <c r="HX20" s="902">
        <v>3600</v>
      </c>
      <c r="HY20" s="909" t="s">
        <v>1063</v>
      </c>
      <c r="HZ20" s="909">
        <v>4</v>
      </c>
      <c r="IA20" s="909">
        <v>0</v>
      </c>
      <c r="IB20" s="909">
        <v>0</v>
      </c>
      <c r="IC20" s="909">
        <v>0</v>
      </c>
      <c r="ID20" s="910">
        <v>4680.8449227748379</v>
      </c>
      <c r="IE20" s="909">
        <v>0</v>
      </c>
      <c r="IF20" s="909">
        <v>0</v>
      </c>
      <c r="IG20" s="909">
        <v>0</v>
      </c>
      <c r="IH20" s="910">
        <v>5162.339074939272</v>
      </c>
      <c r="II20" s="871">
        <v>4000</v>
      </c>
      <c r="IJ20" s="911">
        <v>144.5132620651305</v>
      </c>
      <c r="IK20" s="908">
        <v>9.7242660000000019</v>
      </c>
      <c r="IL20" s="902">
        <v>45.104964930344821</v>
      </c>
      <c r="IM20" s="902">
        <v>0</v>
      </c>
      <c r="IN20" s="902">
        <v>0</v>
      </c>
      <c r="IO20" s="902">
        <v>44.928283051213668</v>
      </c>
      <c r="IP20" s="902">
        <v>2.4468391726098226</v>
      </c>
      <c r="IQ20" s="902">
        <v>3600</v>
      </c>
      <c r="IR20" s="909" t="s">
        <v>1063</v>
      </c>
      <c r="IS20" s="909">
        <v>4</v>
      </c>
      <c r="IT20" s="909">
        <v>0</v>
      </c>
      <c r="IU20" s="909">
        <v>0</v>
      </c>
      <c r="IV20" s="909">
        <v>0</v>
      </c>
      <c r="IW20" s="910">
        <v>4680.8449227748379</v>
      </c>
      <c r="IX20" s="909">
        <v>0</v>
      </c>
      <c r="IY20" s="909">
        <v>0</v>
      </c>
      <c r="IZ20" s="909">
        <v>0</v>
      </c>
      <c r="JA20" s="910">
        <v>5162.339074939272</v>
      </c>
      <c r="JB20" s="871">
        <v>4000</v>
      </c>
      <c r="JC20" s="911">
        <v>144.5132620651305</v>
      </c>
      <c r="JD20" s="908">
        <v>4.8621330000000009</v>
      </c>
      <c r="JE20" s="902">
        <v>40.242831930344821</v>
      </c>
      <c r="JF20" s="902">
        <v>0</v>
      </c>
      <c r="JG20" s="902">
        <v>0</v>
      </c>
      <c r="JH20" s="902">
        <v>42.321991400941755</v>
      </c>
      <c r="JI20" s="902">
        <v>2.0855608111113226</v>
      </c>
      <c r="JJ20" s="902">
        <v>3600</v>
      </c>
      <c r="JK20" s="909" t="s">
        <v>1064</v>
      </c>
      <c r="JL20" s="909">
        <v>2</v>
      </c>
      <c r="JM20" s="909">
        <v>0</v>
      </c>
      <c r="JN20" s="909">
        <v>0</v>
      </c>
      <c r="JO20" s="909">
        <v>0</v>
      </c>
      <c r="JP20" s="910">
        <v>4090.8633365440592</v>
      </c>
      <c r="JQ20" s="909">
        <v>0</v>
      </c>
      <c r="JR20" s="909">
        <v>0</v>
      </c>
      <c r="JS20" s="909">
        <v>0</v>
      </c>
      <c r="JT20" s="910">
        <v>4314.9592071849011</v>
      </c>
      <c r="JU20" s="871">
        <v>4000</v>
      </c>
      <c r="JV20" s="911">
        <v>144.5132620651305</v>
      </c>
      <c r="JW20" s="908">
        <v>4.8621330000000009</v>
      </c>
      <c r="JX20" s="902">
        <v>40.242831930344821</v>
      </c>
      <c r="JY20" s="902">
        <v>0</v>
      </c>
      <c r="JZ20" s="902">
        <v>0</v>
      </c>
      <c r="KA20" s="902">
        <v>42.321991400941755</v>
      </c>
      <c r="KB20" s="902">
        <v>2.0855608111113226</v>
      </c>
      <c r="KC20" s="902">
        <v>3600</v>
      </c>
      <c r="KD20" s="909" t="s">
        <v>1064</v>
      </c>
      <c r="KE20" s="909">
        <v>2</v>
      </c>
      <c r="KF20" s="909">
        <v>0</v>
      </c>
      <c r="KG20" s="909">
        <v>0</v>
      </c>
      <c r="KH20" s="909">
        <v>0</v>
      </c>
      <c r="KI20" s="910">
        <v>4090.8633365440592</v>
      </c>
      <c r="KJ20" s="909">
        <v>0</v>
      </c>
      <c r="KK20" s="909">
        <v>0</v>
      </c>
      <c r="KL20" s="909">
        <v>0</v>
      </c>
      <c r="KM20" s="910">
        <v>4314.9592071849011</v>
      </c>
      <c r="KN20" s="871">
        <v>4000</v>
      </c>
      <c r="KO20" s="912">
        <v>144.5132620651305</v>
      </c>
    </row>
    <row r="21" spans="1:301" ht="15" customHeight="1">
      <c r="A21" s="924" t="s">
        <v>1516</v>
      </c>
      <c r="B21" s="888" t="s">
        <v>1075</v>
      </c>
      <c r="C21" s="888">
        <v>459.5</v>
      </c>
      <c r="D21" s="888">
        <v>690</v>
      </c>
      <c r="E21" s="888">
        <v>450</v>
      </c>
      <c r="F21" s="888">
        <v>450</v>
      </c>
      <c r="G21" s="888">
        <v>281</v>
      </c>
      <c r="H21" s="888">
        <v>190</v>
      </c>
      <c r="I21" s="888">
        <v>139</v>
      </c>
      <c r="J21" s="888">
        <v>18.57</v>
      </c>
      <c r="K21" s="888">
        <v>29.66</v>
      </c>
      <c r="L21" s="888">
        <v>8</v>
      </c>
      <c r="M21" s="888">
        <v>265</v>
      </c>
      <c r="N21" s="888">
        <v>4</v>
      </c>
      <c r="O21" s="884">
        <v>6.7473870376740139</v>
      </c>
      <c r="P21" s="888">
        <v>4</v>
      </c>
      <c r="Q21" s="884">
        <v>4.8719056143386217</v>
      </c>
      <c r="R21" s="888">
        <v>13.000000000000002</v>
      </c>
      <c r="S21" s="888">
        <v>527.77737035859855</v>
      </c>
      <c r="T21" s="906">
        <v>22.325665847218723</v>
      </c>
      <c r="U21" s="906">
        <v>79.166605553789779</v>
      </c>
      <c r="V21" s="906">
        <v>110</v>
      </c>
      <c r="W21" s="1141">
        <v>3.1878474791461349</v>
      </c>
      <c r="X21" s="902">
        <v>0</v>
      </c>
      <c r="Y21" s="902">
        <v>0</v>
      </c>
      <c r="Z21" s="902">
        <v>0</v>
      </c>
      <c r="AA21" s="902">
        <v>0</v>
      </c>
      <c r="AB21" s="970">
        <v>13.652763514131557</v>
      </c>
      <c r="AC21" s="1045">
        <v>4000</v>
      </c>
      <c r="AD21" s="890">
        <v>0.76982121334115883</v>
      </c>
      <c r="AE21" s="890">
        <v>0.33595438386795234</v>
      </c>
      <c r="AF21" s="890">
        <v>-0.76293392603386023</v>
      </c>
      <c r="AG21" s="890">
        <v>0.9573236749525984</v>
      </c>
      <c r="AH21" s="888"/>
      <c r="AI21" s="907">
        <v>1.8615339332355441</v>
      </c>
      <c r="AJ21" s="908">
        <v>21.900872000000007</v>
      </c>
      <c r="AK21" s="902">
        <v>59.033677978377504</v>
      </c>
      <c r="AL21" s="902">
        <v>0</v>
      </c>
      <c r="AM21" s="902">
        <v>0</v>
      </c>
      <c r="AN21" s="902">
        <v>62.553761754422077</v>
      </c>
      <c r="AO21" s="902">
        <v>3.6906633626042797</v>
      </c>
      <c r="AP21" s="1222">
        <v>3600</v>
      </c>
      <c r="AQ21" s="909" t="s">
        <v>1062</v>
      </c>
      <c r="AR21" s="909">
        <v>8</v>
      </c>
      <c r="AS21" s="909">
        <v>0</v>
      </c>
      <c r="AT21" s="909">
        <v>0</v>
      </c>
      <c r="AU21" s="909">
        <v>0</v>
      </c>
      <c r="AV21" s="910">
        <v>11205.627018913005</v>
      </c>
      <c r="AW21" s="909">
        <v>0</v>
      </c>
      <c r="AX21" s="909">
        <v>0</v>
      </c>
      <c r="AY21" s="909">
        <v>0</v>
      </c>
      <c r="AZ21" s="910">
        <v>5308.3348040680503</v>
      </c>
      <c r="BA21" s="871">
        <v>4000</v>
      </c>
      <c r="BB21" s="911">
        <v>144.5132620651305</v>
      </c>
      <c r="BC21" s="908">
        <v>21.900872000000007</v>
      </c>
      <c r="BD21" s="902">
        <v>59.033677978377504</v>
      </c>
      <c r="BE21" s="902">
        <v>0</v>
      </c>
      <c r="BF21" s="902">
        <v>0</v>
      </c>
      <c r="BG21" s="902">
        <v>62.553761754422077</v>
      </c>
      <c r="BH21" s="902">
        <v>3.6906633626042797</v>
      </c>
      <c r="BI21" s="902">
        <v>3600</v>
      </c>
      <c r="BJ21" s="909" t="s">
        <v>1062</v>
      </c>
      <c r="BK21" s="909">
        <v>8</v>
      </c>
      <c r="BL21" s="909">
        <v>0</v>
      </c>
      <c r="BM21" s="909">
        <v>0</v>
      </c>
      <c r="BN21" s="909">
        <v>0</v>
      </c>
      <c r="BO21" s="910">
        <v>11205.627018913005</v>
      </c>
      <c r="BP21" s="909">
        <v>0</v>
      </c>
      <c r="BQ21" s="909">
        <v>0</v>
      </c>
      <c r="BR21" s="909">
        <v>0</v>
      </c>
      <c r="BS21" s="910">
        <v>5308.3348040680503</v>
      </c>
      <c r="BT21" s="871">
        <v>4000</v>
      </c>
      <c r="BU21" s="911">
        <v>144.5132620651305</v>
      </c>
      <c r="BV21" s="908">
        <v>21.900872000000007</v>
      </c>
      <c r="BW21" s="902">
        <v>59.033677978377504</v>
      </c>
      <c r="BX21" s="902">
        <v>0</v>
      </c>
      <c r="BY21" s="902">
        <v>0</v>
      </c>
      <c r="BZ21" s="902">
        <v>62.553761754422077</v>
      </c>
      <c r="CA21" s="902">
        <v>3.6906633626042797</v>
      </c>
      <c r="CB21" s="902">
        <v>3600</v>
      </c>
      <c r="CC21" s="909" t="s">
        <v>2874</v>
      </c>
      <c r="CD21" s="909">
        <v>8</v>
      </c>
      <c r="CE21" s="909">
        <v>0</v>
      </c>
      <c r="CF21" s="909">
        <v>0</v>
      </c>
      <c r="CG21" s="909">
        <v>0</v>
      </c>
      <c r="CH21" s="910">
        <v>10979.227377712583</v>
      </c>
      <c r="CI21" s="909">
        <v>0</v>
      </c>
      <c r="CJ21" s="909">
        <v>0</v>
      </c>
      <c r="CK21" s="909">
        <v>0</v>
      </c>
      <c r="CL21" s="910">
        <v>5201.0846615294577</v>
      </c>
      <c r="CM21" s="871">
        <v>4000</v>
      </c>
      <c r="CN21" s="911">
        <v>144.5132620651305</v>
      </c>
      <c r="CO21" s="908">
        <v>21.900872000000007</v>
      </c>
      <c r="CP21" s="902">
        <v>59.033677978377504</v>
      </c>
      <c r="CQ21" s="902">
        <v>0</v>
      </c>
      <c r="CR21" s="902">
        <v>0</v>
      </c>
      <c r="CS21" s="902">
        <v>62.553761754422077</v>
      </c>
      <c r="CT21" s="902">
        <v>3.6906633626042797</v>
      </c>
      <c r="CU21" s="902">
        <v>3600</v>
      </c>
      <c r="CV21" s="909" t="s">
        <v>2874</v>
      </c>
      <c r="CW21" s="909">
        <v>8</v>
      </c>
      <c r="CX21" s="909">
        <v>0</v>
      </c>
      <c r="CY21" s="909">
        <v>0</v>
      </c>
      <c r="CZ21" s="909">
        <v>0</v>
      </c>
      <c r="DA21" s="910">
        <v>10979.227377712583</v>
      </c>
      <c r="DB21" s="909">
        <v>0</v>
      </c>
      <c r="DC21" s="909">
        <v>0</v>
      </c>
      <c r="DD21" s="909">
        <v>0</v>
      </c>
      <c r="DE21" s="910">
        <v>5201.0846615294577</v>
      </c>
      <c r="DF21" s="871">
        <v>4000</v>
      </c>
      <c r="DG21" s="911">
        <v>144.5132620651305</v>
      </c>
      <c r="DH21" s="908">
        <v>21.900872000000007</v>
      </c>
      <c r="DI21" s="902">
        <v>59.033677978377504</v>
      </c>
      <c r="DJ21" s="902">
        <v>0</v>
      </c>
      <c r="DK21" s="902">
        <v>0</v>
      </c>
      <c r="DL21" s="902">
        <v>62.553761754422077</v>
      </c>
      <c r="DM21" s="902">
        <v>3.6906633626042797</v>
      </c>
      <c r="DN21" s="902">
        <v>3600</v>
      </c>
      <c r="DO21" s="909" t="s">
        <v>2875</v>
      </c>
      <c r="DP21" s="909">
        <v>8</v>
      </c>
      <c r="DQ21" s="909">
        <v>0</v>
      </c>
      <c r="DR21" s="909">
        <v>0</v>
      </c>
      <c r="DS21" s="909">
        <v>0</v>
      </c>
      <c r="DT21" s="910">
        <v>11427.542166295987</v>
      </c>
      <c r="DU21" s="909">
        <v>0</v>
      </c>
      <c r="DV21" s="909">
        <v>0</v>
      </c>
      <c r="DW21" s="909">
        <v>0</v>
      </c>
      <c r="DX21" s="910">
        <v>5413.4605501253427</v>
      </c>
      <c r="DY21" s="871">
        <v>4000</v>
      </c>
      <c r="DZ21" s="911">
        <v>144.5132620651305</v>
      </c>
      <c r="EA21" s="908">
        <v>21.900872000000007</v>
      </c>
      <c r="EB21" s="902">
        <v>59.033677978377504</v>
      </c>
      <c r="EC21" s="902">
        <v>0</v>
      </c>
      <c r="ED21" s="902">
        <v>0</v>
      </c>
      <c r="EE21" s="902">
        <v>62.553761754422077</v>
      </c>
      <c r="EF21" s="902">
        <v>3.6906633626042797</v>
      </c>
      <c r="EG21" s="902">
        <v>3600</v>
      </c>
      <c r="EH21" s="909" t="s">
        <v>2875</v>
      </c>
      <c r="EI21" s="909">
        <v>8</v>
      </c>
      <c r="EJ21" s="909">
        <v>0</v>
      </c>
      <c r="EK21" s="909">
        <v>0</v>
      </c>
      <c r="EL21" s="909">
        <v>0</v>
      </c>
      <c r="EM21" s="910">
        <v>11427.542166295987</v>
      </c>
      <c r="EN21" s="909">
        <v>0</v>
      </c>
      <c r="EO21" s="909">
        <v>0</v>
      </c>
      <c r="EP21" s="909">
        <v>0</v>
      </c>
      <c r="EQ21" s="910">
        <v>5413.4605501253427</v>
      </c>
      <c r="ER21" s="871">
        <v>4000</v>
      </c>
      <c r="ES21" s="911">
        <v>144.5132620651305</v>
      </c>
      <c r="ET21" s="908">
        <v>21.900872000000007</v>
      </c>
      <c r="EU21" s="902">
        <v>59.033677978377504</v>
      </c>
      <c r="EV21" s="902">
        <v>0</v>
      </c>
      <c r="EW21" s="902">
        <v>0</v>
      </c>
      <c r="EX21" s="902">
        <v>62.553761754422077</v>
      </c>
      <c r="EY21" s="902">
        <v>3.6906633626042797</v>
      </c>
      <c r="EZ21" s="902">
        <v>3600</v>
      </c>
      <c r="FA21" s="909" t="s">
        <v>3884</v>
      </c>
      <c r="FB21" s="909">
        <v>8</v>
      </c>
      <c r="FC21" s="909">
        <v>0</v>
      </c>
      <c r="FD21" s="909">
        <v>0</v>
      </c>
      <c r="FE21" s="909">
        <v>0</v>
      </c>
      <c r="FF21" s="910">
        <v>12172.426657271431</v>
      </c>
      <c r="FG21" s="909">
        <v>0</v>
      </c>
      <c r="FH21" s="909">
        <v>0</v>
      </c>
      <c r="FI21" s="909">
        <v>0</v>
      </c>
      <c r="FJ21" s="910">
        <v>5766.3275750389548</v>
      </c>
      <c r="FK21" s="871">
        <v>4000</v>
      </c>
      <c r="FL21" s="911">
        <v>144.5132620651305</v>
      </c>
      <c r="FM21" s="908">
        <v>21.900872000000007</v>
      </c>
      <c r="FN21" s="902">
        <v>59.033677978377504</v>
      </c>
      <c r="FO21" s="902">
        <v>0</v>
      </c>
      <c r="FP21" s="902">
        <v>0</v>
      </c>
      <c r="FQ21" s="902">
        <v>62.553761754422077</v>
      </c>
      <c r="FR21" s="902">
        <v>3.6906633626042797</v>
      </c>
      <c r="FS21" s="902">
        <v>3600</v>
      </c>
      <c r="FT21" s="909" t="s">
        <v>3884</v>
      </c>
      <c r="FU21" s="909">
        <v>8</v>
      </c>
      <c r="FV21" s="909">
        <v>0</v>
      </c>
      <c r="FW21" s="909">
        <v>0</v>
      </c>
      <c r="FX21" s="909">
        <v>0</v>
      </c>
      <c r="FY21" s="910">
        <v>12172.426657271431</v>
      </c>
      <c r="FZ21" s="909">
        <v>0</v>
      </c>
      <c r="GA21" s="909">
        <v>0</v>
      </c>
      <c r="GB21" s="909">
        <v>0</v>
      </c>
      <c r="GC21" s="910">
        <v>5766.3275750389548</v>
      </c>
      <c r="GD21" s="871">
        <v>4000</v>
      </c>
      <c r="GE21" s="911">
        <v>144.5132620651305</v>
      </c>
      <c r="GF21" s="908">
        <v>16.425654000000005</v>
      </c>
      <c r="GG21" s="902">
        <v>53.558459978377499</v>
      </c>
      <c r="GH21" s="902">
        <v>0</v>
      </c>
      <c r="GI21" s="902">
        <v>0</v>
      </c>
      <c r="GJ21" s="902">
        <v>59.236821204858167</v>
      </c>
      <c r="GK21" s="902">
        <v>3.220314589213717</v>
      </c>
      <c r="GL21" s="902">
        <v>3600</v>
      </c>
      <c r="GM21" s="909" t="s">
        <v>2877</v>
      </c>
      <c r="GN21" s="909">
        <v>6</v>
      </c>
      <c r="GO21" s="909">
        <v>0</v>
      </c>
      <c r="GP21" s="909">
        <v>0</v>
      </c>
      <c r="GQ21" s="909">
        <v>0</v>
      </c>
      <c r="GR21" s="910">
        <v>4301.6737018166868</v>
      </c>
      <c r="GS21" s="909">
        <v>0</v>
      </c>
      <c r="GT21" s="909">
        <v>0</v>
      </c>
      <c r="GU21" s="909">
        <v>0</v>
      </c>
      <c r="GV21" s="910">
        <v>4912.8868253862029</v>
      </c>
      <c r="GW21" s="871">
        <v>4000</v>
      </c>
      <c r="GX21" s="911">
        <v>144.5132620651305</v>
      </c>
      <c r="GY21" s="908">
        <v>16.425654000000005</v>
      </c>
      <c r="GZ21" s="902">
        <v>53.558459978377499</v>
      </c>
      <c r="HA21" s="902">
        <v>0</v>
      </c>
      <c r="HB21" s="902">
        <v>0</v>
      </c>
      <c r="HC21" s="902">
        <v>59.236821204858167</v>
      </c>
      <c r="HD21" s="902">
        <v>3.220314589213717</v>
      </c>
      <c r="HE21" s="902">
        <v>3600</v>
      </c>
      <c r="HF21" s="909" t="s">
        <v>2877</v>
      </c>
      <c r="HG21" s="909">
        <v>6</v>
      </c>
      <c r="HH21" s="909">
        <v>0</v>
      </c>
      <c r="HI21" s="909">
        <v>0</v>
      </c>
      <c r="HJ21" s="909">
        <v>0</v>
      </c>
      <c r="HK21" s="910">
        <v>4301.6737018166868</v>
      </c>
      <c r="HL21" s="909">
        <v>0</v>
      </c>
      <c r="HM21" s="909">
        <v>0</v>
      </c>
      <c r="HN21" s="909">
        <v>0</v>
      </c>
      <c r="HO21" s="910">
        <v>4912.8868253862029</v>
      </c>
      <c r="HP21" s="871">
        <v>4000</v>
      </c>
      <c r="HQ21" s="911">
        <v>144.5132620651305</v>
      </c>
      <c r="HR21" s="908">
        <v>16.425654000000005</v>
      </c>
      <c r="HS21" s="902">
        <v>54.620599129016767</v>
      </c>
      <c r="HT21" s="902">
        <v>1.0621391506392686</v>
      </c>
      <c r="HU21" s="902">
        <v>0</v>
      </c>
      <c r="HV21" s="902">
        <v>59.932263454766641</v>
      </c>
      <c r="HW21" s="902">
        <v>3.2825590249921213</v>
      </c>
      <c r="HX21" s="902">
        <v>3600</v>
      </c>
      <c r="HY21" s="909" t="s">
        <v>1063</v>
      </c>
      <c r="HZ21" s="909">
        <v>6</v>
      </c>
      <c r="IA21" s="909">
        <v>1</v>
      </c>
      <c r="IB21" s="909">
        <v>8</v>
      </c>
      <c r="IC21" s="909">
        <v>24.062411117256737</v>
      </c>
      <c r="ID21" s="910">
        <v>6791.3850451376966</v>
      </c>
      <c r="IE21" s="909">
        <v>0</v>
      </c>
      <c r="IF21" s="909">
        <v>0</v>
      </c>
      <c r="IG21" s="909">
        <v>0</v>
      </c>
      <c r="IH21" s="910">
        <v>4332.758919792499</v>
      </c>
      <c r="II21" s="871">
        <v>4000</v>
      </c>
      <c r="IJ21" s="911">
        <v>144.5132620651305</v>
      </c>
      <c r="IK21" s="908">
        <v>16.425654000000005</v>
      </c>
      <c r="IL21" s="902">
        <v>54.620599129016767</v>
      </c>
      <c r="IM21" s="902">
        <v>1.0621391506392686</v>
      </c>
      <c r="IN21" s="902">
        <v>0</v>
      </c>
      <c r="IO21" s="902">
        <v>59.932263454766641</v>
      </c>
      <c r="IP21" s="902">
        <v>3.2825590249921213</v>
      </c>
      <c r="IQ21" s="902">
        <v>3600</v>
      </c>
      <c r="IR21" s="909" t="s">
        <v>1063</v>
      </c>
      <c r="IS21" s="909">
        <v>6</v>
      </c>
      <c r="IT21" s="909">
        <v>1</v>
      </c>
      <c r="IU21" s="909">
        <v>8</v>
      </c>
      <c r="IV21" s="909">
        <v>24.062411117256737</v>
      </c>
      <c r="IW21" s="910">
        <v>6791.3850451376966</v>
      </c>
      <c r="IX21" s="909">
        <v>0</v>
      </c>
      <c r="IY21" s="909">
        <v>0</v>
      </c>
      <c r="IZ21" s="909">
        <v>0</v>
      </c>
      <c r="JA21" s="910">
        <v>4332.758919792499</v>
      </c>
      <c r="JB21" s="871">
        <v>4000</v>
      </c>
      <c r="JC21" s="911">
        <v>144.5132620651305</v>
      </c>
      <c r="JD21" s="908">
        <v>13.688045000000004</v>
      </c>
      <c r="JE21" s="902">
        <v>50.8208509783775</v>
      </c>
      <c r="JF21" s="902">
        <v>0</v>
      </c>
      <c r="JG21" s="902">
        <v>0</v>
      </c>
      <c r="JH21" s="902">
        <v>57.310336341787981</v>
      </c>
      <c r="JI21" s="902">
        <v>2.9851402025184361</v>
      </c>
      <c r="JJ21" s="902">
        <v>3600</v>
      </c>
      <c r="JK21" s="909" t="s">
        <v>1064</v>
      </c>
      <c r="JL21" s="909">
        <v>5</v>
      </c>
      <c r="JM21" s="909">
        <v>0</v>
      </c>
      <c r="JN21" s="909">
        <v>0</v>
      </c>
      <c r="JO21" s="909">
        <v>0</v>
      </c>
      <c r="JP21" s="910">
        <v>4142.3597975895273</v>
      </c>
      <c r="JQ21" s="909">
        <v>0</v>
      </c>
      <c r="JR21" s="909">
        <v>0</v>
      </c>
      <c r="JS21" s="909">
        <v>0</v>
      </c>
      <c r="JT21" s="910">
        <v>4493.5892871889791</v>
      </c>
      <c r="JU21" s="871">
        <v>4000</v>
      </c>
      <c r="JV21" s="911">
        <v>144.5132620651305</v>
      </c>
      <c r="JW21" s="908">
        <v>13.688045000000004</v>
      </c>
      <c r="JX21" s="902">
        <v>50.8208509783775</v>
      </c>
      <c r="JY21" s="902">
        <v>0</v>
      </c>
      <c r="JZ21" s="902">
        <v>0</v>
      </c>
      <c r="KA21" s="902">
        <v>57.310336341787981</v>
      </c>
      <c r="KB21" s="902">
        <v>2.9851402025184361</v>
      </c>
      <c r="KC21" s="902">
        <v>3600</v>
      </c>
      <c r="KD21" s="909" t="s">
        <v>1064</v>
      </c>
      <c r="KE21" s="909">
        <v>5</v>
      </c>
      <c r="KF21" s="909">
        <v>0</v>
      </c>
      <c r="KG21" s="909">
        <v>0</v>
      </c>
      <c r="KH21" s="909">
        <v>0</v>
      </c>
      <c r="KI21" s="910">
        <v>4142.3597975895273</v>
      </c>
      <c r="KJ21" s="909">
        <v>0</v>
      </c>
      <c r="KK21" s="909">
        <v>0</v>
      </c>
      <c r="KL21" s="909">
        <v>0</v>
      </c>
      <c r="KM21" s="910">
        <v>4493.5892871889791</v>
      </c>
      <c r="KN21" s="871">
        <v>4000</v>
      </c>
      <c r="KO21" s="912">
        <v>144.5132620651305</v>
      </c>
    </row>
    <row r="22" spans="1:301" ht="15" customHeight="1">
      <c r="A22" s="924" t="s">
        <v>1680</v>
      </c>
      <c r="B22" s="888" t="s">
        <v>1075</v>
      </c>
      <c r="C22" s="888">
        <v>459.5</v>
      </c>
      <c r="D22" s="888">
        <v>690</v>
      </c>
      <c r="E22" s="888">
        <v>450</v>
      </c>
      <c r="F22" s="888">
        <v>365.55474071719715</v>
      </c>
      <c r="G22" s="888">
        <v>208.87552229474832</v>
      </c>
      <c r="H22" s="888">
        <v>169.00768160016216</v>
      </c>
      <c r="I22" s="888">
        <v>139</v>
      </c>
      <c r="J22" s="888">
        <v>18.57</v>
      </c>
      <c r="K22" s="888">
        <v>29.66</v>
      </c>
      <c r="L22" s="888">
        <v>8</v>
      </c>
      <c r="M22" s="888">
        <v>302.23178161739992</v>
      </c>
      <c r="N22" s="888">
        <v>4</v>
      </c>
      <c r="O22" s="884">
        <v>6.7473870376740139</v>
      </c>
      <c r="P22" s="888">
        <v>4</v>
      </c>
      <c r="Q22" s="884">
        <v>4.8719056143386217</v>
      </c>
      <c r="R22" s="888">
        <v>13.000000000000002</v>
      </c>
      <c r="S22" s="888">
        <v>527.77737035859855</v>
      </c>
      <c r="T22" s="906">
        <v>22.325665847218723</v>
      </c>
      <c r="U22" s="906">
        <v>79.166605553789779</v>
      </c>
      <c r="V22" s="906">
        <v>97.5</v>
      </c>
      <c r="W22" s="1141">
        <v>2.8255920837886195</v>
      </c>
      <c r="X22" s="902">
        <v>0</v>
      </c>
      <c r="Y22" s="902">
        <v>0</v>
      </c>
      <c r="Z22" s="902">
        <v>0</v>
      </c>
      <c r="AA22" s="902">
        <v>0</v>
      </c>
      <c r="AB22" s="970">
        <v>12.603656391657871</v>
      </c>
      <c r="AC22" s="1045">
        <v>4000</v>
      </c>
      <c r="AD22" s="890">
        <v>0.76982121334115883</v>
      </c>
      <c r="AE22" s="890">
        <v>0.33595438386795234</v>
      </c>
      <c r="AF22" s="890">
        <v>-0.76293392603386023</v>
      </c>
      <c r="AG22" s="890">
        <v>0.9573236749525984</v>
      </c>
      <c r="AH22" s="888"/>
      <c r="AI22" s="907">
        <v>1.9087716161304389</v>
      </c>
      <c r="AJ22" s="908">
        <v>23.384135242899703</v>
      </c>
      <c r="AK22" s="902">
        <v>60.154685825919685</v>
      </c>
      <c r="AL22" s="902">
        <v>0</v>
      </c>
      <c r="AM22" s="902">
        <v>0</v>
      </c>
      <c r="AN22" s="902">
        <v>56.670859275957454</v>
      </c>
      <c r="AO22" s="902">
        <v>3.8180831378375548</v>
      </c>
      <c r="AP22" s="1222">
        <v>3600</v>
      </c>
      <c r="AQ22" s="909" t="s">
        <v>1062</v>
      </c>
      <c r="AR22" s="909">
        <v>8</v>
      </c>
      <c r="AS22" s="909">
        <v>0</v>
      </c>
      <c r="AT22" s="909">
        <v>0</v>
      </c>
      <c r="AU22" s="909">
        <v>0</v>
      </c>
      <c r="AV22" s="910">
        <v>11205.627018913005</v>
      </c>
      <c r="AW22" s="909">
        <v>0</v>
      </c>
      <c r="AX22" s="909">
        <v>0</v>
      </c>
      <c r="AY22" s="909">
        <v>0</v>
      </c>
      <c r="AZ22" s="910">
        <v>5308.3348040680503</v>
      </c>
      <c r="BA22" s="871">
        <v>4000</v>
      </c>
      <c r="BB22" s="911">
        <v>144.5132620651305</v>
      </c>
      <c r="BC22" s="908">
        <v>23.384135242899703</v>
      </c>
      <c r="BD22" s="902">
        <v>60.154685825919685</v>
      </c>
      <c r="BE22" s="902">
        <v>0</v>
      </c>
      <c r="BF22" s="902">
        <v>0</v>
      </c>
      <c r="BG22" s="902">
        <v>56.670859275957454</v>
      </c>
      <c r="BH22" s="902">
        <v>3.8180831378375548</v>
      </c>
      <c r="BI22" s="902">
        <v>3600</v>
      </c>
      <c r="BJ22" s="909" t="s">
        <v>1062</v>
      </c>
      <c r="BK22" s="909">
        <v>8</v>
      </c>
      <c r="BL22" s="909">
        <v>0</v>
      </c>
      <c r="BM22" s="909">
        <v>0</v>
      </c>
      <c r="BN22" s="909">
        <v>0</v>
      </c>
      <c r="BO22" s="910">
        <v>11205.627018913005</v>
      </c>
      <c r="BP22" s="909">
        <v>0</v>
      </c>
      <c r="BQ22" s="909">
        <v>0</v>
      </c>
      <c r="BR22" s="909">
        <v>0</v>
      </c>
      <c r="BS22" s="910">
        <v>5308.3348040680503</v>
      </c>
      <c r="BT22" s="871">
        <v>4000</v>
      </c>
      <c r="BU22" s="911">
        <v>144.5132620651305</v>
      </c>
      <c r="BV22" s="908">
        <v>23.384135242899703</v>
      </c>
      <c r="BW22" s="902">
        <v>60.154685825919685</v>
      </c>
      <c r="BX22" s="902">
        <v>0</v>
      </c>
      <c r="BY22" s="902">
        <v>0</v>
      </c>
      <c r="BZ22" s="902">
        <v>56.670859275957454</v>
      </c>
      <c r="CA22" s="902">
        <v>3.8180831378375548</v>
      </c>
      <c r="CB22" s="902">
        <v>3600</v>
      </c>
      <c r="CC22" s="909" t="s">
        <v>2874</v>
      </c>
      <c r="CD22" s="909">
        <v>8</v>
      </c>
      <c r="CE22" s="909">
        <v>0</v>
      </c>
      <c r="CF22" s="909">
        <v>0</v>
      </c>
      <c r="CG22" s="909">
        <v>0</v>
      </c>
      <c r="CH22" s="910">
        <v>10979.227377712583</v>
      </c>
      <c r="CI22" s="909">
        <v>0</v>
      </c>
      <c r="CJ22" s="909">
        <v>0</v>
      </c>
      <c r="CK22" s="909">
        <v>0</v>
      </c>
      <c r="CL22" s="910">
        <v>5201.0846615294577</v>
      </c>
      <c r="CM22" s="871">
        <v>4000</v>
      </c>
      <c r="CN22" s="911">
        <v>144.5132620651305</v>
      </c>
      <c r="CO22" s="908">
        <v>23.384135242899703</v>
      </c>
      <c r="CP22" s="902">
        <v>60.154685825919685</v>
      </c>
      <c r="CQ22" s="902">
        <v>0</v>
      </c>
      <c r="CR22" s="902">
        <v>0</v>
      </c>
      <c r="CS22" s="902">
        <v>56.670859275957454</v>
      </c>
      <c r="CT22" s="902">
        <v>3.8180831378375548</v>
      </c>
      <c r="CU22" s="902">
        <v>3600</v>
      </c>
      <c r="CV22" s="909" t="s">
        <v>2874</v>
      </c>
      <c r="CW22" s="909">
        <v>8</v>
      </c>
      <c r="CX22" s="909">
        <v>0</v>
      </c>
      <c r="CY22" s="909">
        <v>0</v>
      </c>
      <c r="CZ22" s="909">
        <v>0</v>
      </c>
      <c r="DA22" s="910">
        <v>10979.227377712583</v>
      </c>
      <c r="DB22" s="909">
        <v>0</v>
      </c>
      <c r="DC22" s="909">
        <v>0</v>
      </c>
      <c r="DD22" s="909">
        <v>0</v>
      </c>
      <c r="DE22" s="910">
        <v>5201.0846615294577</v>
      </c>
      <c r="DF22" s="871">
        <v>4000</v>
      </c>
      <c r="DG22" s="911">
        <v>144.5132620651305</v>
      </c>
      <c r="DH22" s="908">
        <v>23.384135242899703</v>
      </c>
      <c r="DI22" s="902">
        <v>60.154685825919685</v>
      </c>
      <c r="DJ22" s="902">
        <v>0</v>
      </c>
      <c r="DK22" s="902">
        <v>0</v>
      </c>
      <c r="DL22" s="902">
        <v>56.670859275957454</v>
      </c>
      <c r="DM22" s="902">
        <v>3.8180831378375548</v>
      </c>
      <c r="DN22" s="902">
        <v>3600</v>
      </c>
      <c r="DO22" s="909" t="s">
        <v>2875</v>
      </c>
      <c r="DP22" s="909">
        <v>8</v>
      </c>
      <c r="DQ22" s="909">
        <v>0</v>
      </c>
      <c r="DR22" s="909">
        <v>0</v>
      </c>
      <c r="DS22" s="909">
        <v>0</v>
      </c>
      <c r="DT22" s="910">
        <v>11427.542166295987</v>
      </c>
      <c r="DU22" s="909">
        <v>0</v>
      </c>
      <c r="DV22" s="909">
        <v>0</v>
      </c>
      <c r="DW22" s="909">
        <v>0</v>
      </c>
      <c r="DX22" s="910">
        <v>5413.4605501253427</v>
      </c>
      <c r="DY22" s="871">
        <v>4000</v>
      </c>
      <c r="DZ22" s="911">
        <v>144.5132620651305</v>
      </c>
      <c r="EA22" s="908">
        <v>23.384135242899703</v>
      </c>
      <c r="EB22" s="902">
        <v>60.154685825919685</v>
      </c>
      <c r="EC22" s="902">
        <v>0</v>
      </c>
      <c r="ED22" s="902">
        <v>0</v>
      </c>
      <c r="EE22" s="902">
        <v>56.670859275957454</v>
      </c>
      <c r="EF22" s="902">
        <v>3.8180831378375548</v>
      </c>
      <c r="EG22" s="902">
        <v>3600</v>
      </c>
      <c r="EH22" s="909" t="s">
        <v>2875</v>
      </c>
      <c r="EI22" s="909">
        <v>8</v>
      </c>
      <c r="EJ22" s="909">
        <v>0</v>
      </c>
      <c r="EK22" s="909">
        <v>0</v>
      </c>
      <c r="EL22" s="909">
        <v>0</v>
      </c>
      <c r="EM22" s="910">
        <v>11427.542166295987</v>
      </c>
      <c r="EN22" s="909">
        <v>0</v>
      </c>
      <c r="EO22" s="909">
        <v>0</v>
      </c>
      <c r="EP22" s="909">
        <v>0</v>
      </c>
      <c r="EQ22" s="910">
        <v>5413.4605501253427</v>
      </c>
      <c r="ER22" s="871">
        <v>4000</v>
      </c>
      <c r="ES22" s="911">
        <v>144.5132620651305</v>
      </c>
      <c r="ET22" s="908">
        <v>23.384135242899703</v>
      </c>
      <c r="EU22" s="902">
        <v>60.154685825919685</v>
      </c>
      <c r="EV22" s="902">
        <v>0</v>
      </c>
      <c r="EW22" s="902">
        <v>0</v>
      </c>
      <c r="EX22" s="902">
        <v>56.670859275957454</v>
      </c>
      <c r="EY22" s="902">
        <v>3.8180831378375548</v>
      </c>
      <c r="EZ22" s="902">
        <v>3600</v>
      </c>
      <c r="FA22" s="909" t="s">
        <v>3884</v>
      </c>
      <c r="FB22" s="909">
        <v>8</v>
      </c>
      <c r="FC22" s="909">
        <v>0</v>
      </c>
      <c r="FD22" s="909">
        <v>0</v>
      </c>
      <c r="FE22" s="909">
        <v>0</v>
      </c>
      <c r="FF22" s="910">
        <v>12172.426657271431</v>
      </c>
      <c r="FG22" s="909">
        <v>0</v>
      </c>
      <c r="FH22" s="909">
        <v>0</v>
      </c>
      <c r="FI22" s="909">
        <v>0</v>
      </c>
      <c r="FJ22" s="910">
        <v>5766.3275750389548</v>
      </c>
      <c r="FK22" s="871">
        <v>4000</v>
      </c>
      <c r="FL22" s="911">
        <v>144.5132620651305</v>
      </c>
      <c r="FM22" s="908">
        <v>23.384135242899703</v>
      </c>
      <c r="FN22" s="902">
        <v>60.154685825919685</v>
      </c>
      <c r="FO22" s="902">
        <v>0</v>
      </c>
      <c r="FP22" s="902">
        <v>0</v>
      </c>
      <c r="FQ22" s="902">
        <v>56.670859275957454</v>
      </c>
      <c r="FR22" s="902">
        <v>3.8180831378375548</v>
      </c>
      <c r="FS22" s="902">
        <v>3600</v>
      </c>
      <c r="FT22" s="909" t="s">
        <v>3884</v>
      </c>
      <c r="FU22" s="909">
        <v>8</v>
      </c>
      <c r="FV22" s="909">
        <v>0</v>
      </c>
      <c r="FW22" s="909">
        <v>0</v>
      </c>
      <c r="FX22" s="909">
        <v>0</v>
      </c>
      <c r="FY22" s="910">
        <v>12172.426657271431</v>
      </c>
      <c r="FZ22" s="909">
        <v>0</v>
      </c>
      <c r="GA22" s="909">
        <v>0</v>
      </c>
      <c r="GB22" s="909">
        <v>0</v>
      </c>
      <c r="GC22" s="910">
        <v>5766.3275750389548</v>
      </c>
      <c r="GD22" s="871">
        <v>4000</v>
      </c>
      <c r="GE22" s="911">
        <v>144.5132620651305</v>
      </c>
      <c r="GF22" s="908">
        <v>17.538101432174777</v>
      </c>
      <c r="GG22" s="902">
        <v>54.30865201519476</v>
      </c>
      <c r="GH22" s="902">
        <v>0</v>
      </c>
      <c r="GI22" s="902">
        <v>0</v>
      </c>
      <c r="GJ22" s="902">
        <v>53.674788760383173</v>
      </c>
      <c r="GK22" s="902">
        <v>3.315879420638673</v>
      </c>
      <c r="GL22" s="902">
        <v>3600</v>
      </c>
      <c r="GM22" s="909" t="s">
        <v>2877</v>
      </c>
      <c r="GN22" s="909">
        <v>6</v>
      </c>
      <c r="GO22" s="909">
        <v>0</v>
      </c>
      <c r="GP22" s="909">
        <v>0</v>
      </c>
      <c r="GQ22" s="909">
        <v>0</v>
      </c>
      <c r="GR22" s="910">
        <v>4301.6737018166868</v>
      </c>
      <c r="GS22" s="909">
        <v>0</v>
      </c>
      <c r="GT22" s="909">
        <v>0</v>
      </c>
      <c r="GU22" s="909">
        <v>0</v>
      </c>
      <c r="GV22" s="910">
        <v>4912.8868253862029</v>
      </c>
      <c r="GW22" s="871">
        <v>4000</v>
      </c>
      <c r="GX22" s="911">
        <v>144.5132620651305</v>
      </c>
      <c r="GY22" s="908">
        <v>17.538101432174777</v>
      </c>
      <c r="GZ22" s="902">
        <v>54.30865201519476</v>
      </c>
      <c r="HA22" s="902">
        <v>0</v>
      </c>
      <c r="HB22" s="902">
        <v>0</v>
      </c>
      <c r="HC22" s="902">
        <v>53.674788760383173</v>
      </c>
      <c r="HD22" s="902">
        <v>3.315879420638673</v>
      </c>
      <c r="HE22" s="902">
        <v>3600</v>
      </c>
      <c r="HF22" s="909" t="s">
        <v>2877</v>
      </c>
      <c r="HG22" s="909">
        <v>6</v>
      </c>
      <c r="HH22" s="909">
        <v>0</v>
      </c>
      <c r="HI22" s="909">
        <v>0</v>
      </c>
      <c r="HJ22" s="909">
        <v>0</v>
      </c>
      <c r="HK22" s="910">
        <v>4301.6737018166868</v>
      </c>
      <c r="HL22" s="909">
        <v>0</v>
      </c>
      <c r="HM22" s="909">
        <v>0</v>
      </c>
      <c r="HN22" s="909">
        <v>0</v>
      </c>
      <c r="HO22" s="910">
        <v>4912.8868253862029</v>
      </c>
      <c r="HP22" s="871">
        <v>4000</v>
      </c>
      <c r="HQ22" s="911">
        <v>144.5132620651305</v>
      </c>
      <c r="HR22" s="908">
        <v>17.538101432174777</v>
      </c>
      <c r="HS22" s="902">
        <v>55.370791165834028</v>
      </c>
      <c r="HT22" s="902">
        <v>1.0621391506392686</v>
      </c>
      <c r="HU22" s="902">
        <v>0</v>
      </c>
      <c r="HV22" s="902">
        <v>54.266160898274229</v>
      </c>
      <c r="HW22" s="902">
        <v>3.3781238564170772</v>
      </c>
      <c r="HX22" s="902">
        <v>3600</v>
      </c>
      <c r="HY22" s="909" t="s">
        <v>1063</v>
      </c>
      <c r="HZ22" s="909">
        <v>6</v>
      </c>
      <c r="IA22" s="909">
        <v>1</v>
      </c>
      <c r="IB22" s="909">
        <v>8</v>
      </c>
      <c r="IC22" s="909">
        <v>24.062411117256737</v>
      </c>
      <c r="ID22" s="910">
        <v>6791.3850451376966</v>
      </c>
      <c r="IE22" s="909">
        <v>0</v>
      </c>
      <c r="IF22" s="909">
        <v>0</v>
      </c>
      <c r="IG22" s="909">
        <v>0</v>
      </c>
      <c r="IH22" s="910">
        <v>4332.758919792499</v>
      </c>
      <c r="II22" s="871">
        <v>4000</v>
      </c>
      <c r="IJ22" s="911">
        <v>144.5132620651305</v>
      </c>
      <c r="IK22" s="908">
        <v>17.538101432174777</v>
      </c>
      <c r="IL22" s="902">
        <v>55.370791165834028</v>
      </c>
      <c r="IM22" s="902">
        <v>1.0621391506392686</v>
      </c>
      <c r="IN22" s="902">
        <v>0</v>
      </c>
      <c r="IO22" s="902">
        <v>54.266160898274229</v>
      </c>
      <c r="IP22" s="902">
        <v>3.3781238564170772</v>
      </c>
      <c r="IQ22" s="902">
        <v>3600</v>
      </c>
      <c r="IR22" s="909" t="s">
        <v>1063</v>
      </c>
      <c r="IS22" s="909">
        <v>6</v>
      </c>
      <c r="IT22" s="909">
        <v>1</v>
      </c>
      <c r="IU22" s="909">
        <v>8</v>
      </c>
      <c r="IV22" s="909">
        <v>24.062411117256737</v>
      </c>
      <c r="IW22" s="910">
        <v>6791.3850451376966</v>
      </c>
      <c r="IX22" s="909">
        <v>0</v>
      </c>
      <c r="IY22" s="909">
        <v>0</v>
      </c>
      <c r="IZ22" s="909">
        <v>0</v>
      </c>
      <c r="JA22" s="910">
        <v>4332.758919792499</v>
      </c>
      <c r="JB22" s="871">
        <v>4000</v>
      </c>
      <c r="JC22" s="911">
        <v>144.5132620651305</v>
      </c>
      <c r="JD22" s="908">
        <v>14.615084526812314</v>
      </c>
      <c r="JE22" s="902">
        <v>51.385635109832293</v>
      </c>
      <c r="JF22" s="902">
        <v>0</v>
      </c>
      <c r="JG22" s="902">
        <v>0</v>
      </c>
      <c r="JH22" s="902">
        <v>51.921111101330688</v>
      </c>
      <c r="JI22" s="902">
        <v>3.0647775620392324</v>
      </c>
      <c r="JJ22" s="902">
        <v>3600</v>
      </c>
      <c r="JK22" s="909" t="s">
        <v>1064</v>
      </c>
      <c r="JL22" s="909">
        <v>5</v>
      </c>
      <c r="JM22" s="909">
        <v>0</v>
      </c>
      <c r="JN22" s="909">
        <v>0</v>
      </c>
      <c r="JO22" s="909">
        <v>0</v>
      </c>
      <c r="JP22" s="910">
        <v>4142.3597975895273</v>
      </c>
      <c r="JQ22" s="909">
        <v>0</v>
      </c>
      <c r="JR22" s="909">
        <v>0</v>
      </c>
      <c r="JS22" s="909">
        <v>0</v>
      </c>
      <c r="JT22" s="910">
        <v>4493.5892871889791</v>
      </c>
      <c r="JU22" s="871">
        <v>4000</v>
      </c>
      <c r="JV22" s="911">
        <v>144.5132620651305</v>
      </c>
      <c r="JW22" s="908">
        <v>14.615084526812314</v>
      </c>
      <c r="JX22" s="902">
        <v>51.385635109832293</v>
      </c>
      <c r="JY22" s="902">
        <v>0</v>
      </c>
      <c r="JZ22" s="902">
        <v>0</v>
      </c>
      <c r="KA22" s="902">
        <v>51.921111101330688</v>
      </c>
      <c r="KB22" s="902">
        <v>3.0647775620392324</v>
      </c>
      <c r="KC22" s="902">
        <v>3600</v>
      </c>
      <c r="KD22" s="909" t="s">
        <v>1064</v>
      </c>
      <c r="KE22" s="909">
        <v>5</v>
      </c>
      <c r="KF22" s="909">
        <v>0</v>
      </c>
      <c r="KG22" s="909">
        <v>0</v>
      </c>
      <c r="KH22" s="909">
        <v>0</v>
      </c>
      <c r="KI22" s="910">
        <v>4142.3597975895273</v>
      </c>
      <c r="KJ22" s="909">
        <v>0</v>
      </c>
      <c r="KK22" s="909">
        <v>0</v>
      </c>
      <c r="KL22" s="909">
        <v>0</v>
      </c>
      <c r="KM22" s="910">
        <v>4493.5892871889791</v>
      </c>
      <c r="KN22" s="871">
        <v>4000</v>
      </c>
      <c r="KO22" s="912">
        <v>144.5132620651305</v>
      </c>
    </row>
    <row r="23" spans="1:301" ht="15" customHeight="1">
      <c r="A23" s="924" t="s">
        <v>1517</v>
      </c>
      <c r="B23" s="888" t="s">
        <v>1076</v>
      </c>
      <c r="C23" s="888">
        <v>308</v>
      </c>
      <c r="D23" s="888">
        <v>800</v>
      </c>
      <c r="E23" s="888">
        <v>280</v>
      </c>
      <c r="F23" s="888">
        <v>245</v>
      </c>
      <c r="G23" s="888">
        <v>156</v>
      </c>
      <c r="H23" s="888">
        <v>106</v>
      </c>
      <c r="I23" s="888">
        <v>71</v>
      </c>
      <c r="J23" s="888">
        <v>34.85</v>
      </c>
      <c r="K23" s="888">
        <v>49.18</v>
      </c>
      <c r="L23" s="888">
        <v>12</v>
      </c>
      <c r="M23" s="888">
        <v>369</v>
      </c>
      <c r="N23" s="888">
        <v>5</v>
      </c>
      <c r="O23" s="884">
        <v>17.312374636137275</v>
      </c>
      <c r="P23" s="888">
        <v>5</v>
      </c>
      <c r="Q23" s="884">
        <v>11.256957458465024</v>
      </c>
      <c r="R23" s="888">
        <v>13.000000000000002</v>
      </c>
      <c r="S23" s="888">
        <v>524.24520471048061</v>
      </c>
      <c r="T23" s="906">
        <v>22.027835455805082</v>
      </c>
      <c r="U23" s="906">
        <v>78.636780706572083</v>
      </c>
      <c r="V23" s="906">
        <v>60</v>
      </c>
      <c r="W23" s="1141">
        <v>1.7156294922309723</v>
      </c>
      <c r="X23" s="902">
        <v>0</v>
      </c>
      <c r="Y23" s="902">
        <v>0</v>
      </c>
      <c r="Z23" s="902">
        <v>0</v>
      </c>
      <c r="AA23" s="902">
        <v>0</v>
      </c>
      <c r="AB23" s="970">
        <v>10.019530418411961</v>
      </c>
      <c r="AC23" s="1045">
        <v>4000</v>
      </c>
      <c r="AD23" s="890">
        <v>0.59929400829659485</v>
      </c>
      <c r="AE23" s="890">
        <v>0.69631309670689834</v>
      </c>
      <c r="AF23" s="890">
        <v>-0.31643547939043903</v>
      </c>
      <c r="AG23" s="890">
        <v>1.1312875977582417</v>
      </c>
      <c r="AH23" s="888"/>
      <c r="AI23" s="907">
        <v>2.6453632755523966</v>
      </c>
      <c r="AJ23" s="908">
        <v>12.304969200000002</v>
      </c>
      <c r="AK23" s="902">
        <v>64.617766242638353</v>
      </c>
      <c r="AL23" s="902">
        <v>0</v>
      </c>
      <c r="AM23" s="902">
        <v>0</v>
      </c>
      <c r="AN23" s="902">
        <v>41.939971705770979</v>
      </c>
      <c r="AO23" s="902">
        <v>4.7289877803662899</v>
      </c>
      <c r="AP23" s="1222">
        <v>3600</v>
      </c>
      <c r="AQ23" s="909" t="s">
        <v>1062</v>
      </c>
      <c r="AR23" s="909">
        <v>4</v>
      </c>
      <c r="AS23" s="909">
        <v>0</v>
      </c>
      <c r="AT23" s="909">
        <v>0</v>
      </c>
      <c r="AU23" s="909">
        <v>0</v>
      </c>
      <c r="AV23" s="910">
        <v>4396.5758033033935</v>
      </c>
      <c r="AW23" s="909">
        <v>0</v>
      </c>
      <c r="AX23" s="909">
        <v>0</v>
      </c>
      <c r="AY23" s="909">
        <v>0</v>
      </c>
      <c r="AZ23" s="910">
        <v>4545.3107366807662</v>
      </c>
      <c r="BA23" s="871">
        <v>4000</v>
      </c>
      <c r="BB23" s="911">
        <v>167.55160819145564</v>
      </c>
      <c r="BC23" s="908">
        <v>12.304969200000002</v>
      </c>
      <c r="BD23" s="902">
        <v>64.617766242638353</v>
      </c>
      <c r="BE23" s="902">
        <v>0</v>
      </c>
      <c r="BF23" s="902">
        <v>0</v>
      </c>
      <c r="BG23" s="902">
        <v>41.939971705770979</v>
      </c>
      <c r="BH23" s="902">
        <v>4.7289877803662899</v>
      </c>
      <c r="BI23" s="902">
        <v>3600</v>
      </c>
      <c r="BJ23" s="909" t="s">
        <v>1062</v>
      </c>
      <c r="BK23" s="909">
        <v>4</v>
      </c>
      <c r="BL23" s="909">
        <v>0</v>
      </c>
      <c r="BM23" s="909">
        <v>0</v>
      </c>
      <c r="BN23" s="909">
        <v>0</v>
      </c>
      <c r="BO23" s="910">
        <v>4396.5758033033935</v>
      </c>
      <c r="BP23" s="909">
        <v>0</v>
      </c>
      <c r="BQ23" s="909">
        <v>0</v>
      </c>
      <c r="BR23" s="909">
        <v>0</v>
      </c>
      <c r="BS23" s="910">
        <v>4545.3107366807662</v>
      </c>
      <c r="BT23" s="871">
        <v>4000</v>
      </c>
      <c r="BU23" s="911">
        <v>167.55160819145564</v>
      </c>
      <c r="BV23" s="908">
        <v>12.304969200000002</v>
      </c>
      <c r="BW23" s="902">
        <v>64.617766242638353</v>
      </c>
      <c r="BX23" s="902">
        <v>0</v>
      </c>
      <c r="BY23" s="902">
        <v>0</v>
      </c>
      <c r="BZ23" s="902">
        <v>41.939971705770979</v>
      </c>
      <c r="CA23" s="902">
        <v>4.7289877803662899</v>
      </c>
      <c r="CB23" s="902">
        <v>3600</v>
      </c>
      <c r="CC23" s="909" t="s">
        <v>2874</v>
      </c>
      <c r="CD23" s="909">
        <v>4</v>
      </c>
      <c r="CE23" s="909">
        <v>0</v>
      </c>
      <c r="CF23" s="909">
        <v>0</v>
      </c>
      <c r="CG23" s="909">
        <v>0</v>
      </c>
      <c r="CH23" s="910">
        <v>4307.7469334241496</v>
      </c>
      <c r="CI23" s="909">
        <v>0</v>
      </c>
      <c r="CJ23" s="909">
        <v>0</v>
      </c>
      <c r="CK23" s="909">
        <v>0</v>
      </c>
      <c r="CL23" s="910">
        <v>4453.4768109047145</v>
      </c>
      <c r="CM23" s="871">
        <v>4000</v>
      </c>
      <c r="CN23" s="911">
        <v>167.55160819145564</v>
      </c>
      <c r="CO23" s="908">
        <v>12.304969200000002</v>
      </c>
      <c r="CP23" s="902">
        <v>64.617766242638353</v>
      </c>
      <c r="CQ23" s="902">
        <v>0</v>
      </c>
      <c r="CR23" s="902">
        <v>0</v>
      </c>
      <c r="CS23" s="902">
        <v>41.939971705770979</v>
      </c>
      <c r="CT23" s="902">
        <v>4.7289877803662899</v>
      </c>
      <c r="CU23" s="902">
        <v>3600</v>
      </c>
      <c r="CV23" s="909" t="s">
        <v>2874</v>
      </c>
      <c r="CW23" s="909">
        <v>4</v>
      </c>
      <c r="CX23" s="909">
        <v>0</v>
      </c>
      <c r="CY23" s="909">
        <v>0</v>
      </c>
      <c r="CZ23" s="909">
        <v>0</v>
      </c>
      <c r="DA23" s="910">
        <v>4307.7469334241496</v>
      </c>
      <c r="DB23" s="909">
        <v>0</v>
      </c>
      <c r="DC23" s="909">
        <v>0</v>
      </c>
      <c r="DD23" s="909">
        <v>0</v>
      </c>
      <c r="DE23" s="910">
        <v>4453.4768109047145</v>
      </c>
      <c r="DF23" s="871">
        <v>4000</v>
      </c>
      <c r="DG23" s="911">
        <v>167.55160819145564</v>
      </c>
      <c r="DH23" s="908">
        <v>12.304969200000002</v>
      </c>
      <c r="DI23" s="902">
        <v>64.617766242638353</v>
      </c>
      <c r="DJ23" s="902">
        <v>0</v>
      </c>
      <c r="DK23" s="902">
        <v>0</v>
      </c>
      <c r="DL23" s="902">
        <v>41.939971705770979</v>
      </c>
      <c r="DM23" s="902">
        <v>4.7289877803662899</v>
      </c>
      <c r="DN23" s="902">
        <v>3600</v>
      </c>
      <c r="DO23" s="909" t="s">
        <v>2875</v>
      </c>
      <c r="DP23" s="909">
        <v>4</v>
      </c>
      <c r="DQ23" s="909">
        <v>0</v>
      </c>
      <c r="DR23" s="909">
        <v>0</v>
      </c>
      <c r="DS23" s="909">
        <v>0</v>
      </c>
      <c r="DT23" s="910">
        <v>4483.6451628067762</v>
      </c>
      <c r="DU23" s="909">
        <v>0</v>
      </c>
      <c r="DV23" s="909">
        <v>0</v>
      </c>
      <c r="DW23" s="909">
        <v>0</v>
      </c>
      <c r="DX23" s="910">
        <v>4635.325628335605</v>
      </c>
      <c r="DY23" s="871">
        <v>4000</v>
      </c>
      <c r="DZ23" s="911">
        <v>167.55160819145564</v>
      </c>
      <c r="EA23" s="908">
        <v>12.304969200000002</v>
      </c>
      <c r="EB23" s="902">
        <v>64.617766242638353</v>
      </c>
      <c r="EC23" s="902">
        <v>0</v>
      </c>
      <c r="ED23" s="902">
        <v>0</v>
      </c>
      <c r="EE23" s="902">
        <v>41.939971705770979</v>
      </c>
      <c r="EF23" s="902">
        <v>4.7289877803662899</v>
      </c>
      <c r="EG23" s="902">
        <v>3600</v>
      </c>
      <c r="EH23" s="909" t="s">
        <v>2875</v>
      </c>
      <c r="EI23" s="909">
        <v>4</v>
      </c>
      <c r="EJ23" s="909">
        <v>0</v>
      </c>
      <c r="EK23" s="909">
        <v>0</v>
      </c>
      <c r="EL23" s="909">
        <v>0</v>
      </c>
      <c r="EM23" s="910">
        <v>4483.6451628067762</v>
      </c>
      <c r="EN23" s="909">
        <v>0</v>
      </c>
      <c r="EO23" s="909">
        <v>0</v>
      </c>
      <c r="EP23" s="909">
        <v>0</v>
      </c>
      <c r="EQ23" s="910">
        <v>4635.325628335605</v>
      </c>
      <c r="ER23" s="871">
        <v>4000</v>
      </c>
      <c r="ES23" s="911">
        <v>167.55160819145564</v>
      </c>
      <c r="ET23" s="908">
        <v>12.304969200000002</v>
      </c>
      <c r="EU23" s="902">
        <v>64.617766242638353</v>
      </c>
      <c r="EV23" s="902">
        <v>0</v>
      </c>
      <c r="EW23" s="902">
        <v>0</v>
      </c>
      <c r="EX23" s="902">
        <v>41.939971705770979</v>
      </c>
      <c r="EY23" s="902">
        <v>4.7289877803662899</v>
      </c>
      <c r="EZ23" s="902">
        <v>3600</v>
      </c>
      <c r="FA23" s="909" t="s">
        <v>3884</v>
      </c>
      <c r="FB23" s="909">
        <v>4</v>
      </c>
      <c r="FC23" s="909">
        <v>0</v>
      </c>
      <c r="FD23" s="909">
        <v>0</v>
      </c>
      <c r="FE23" s="909">
        <v>0</v>
      </c>
      <c r="FF23" s="910">
        <v>4775.903786420703</v>
      </c>
      <c r="FG23" s="909">
        <v>0</v>
      </c>
      <c r="FH23" s="909">
        <v>0</v>
      </c>
      <c r="FI23" s="909">
        <v>0</v>
      </c>
      <c r="FJ23" s="910">
        <v>4937.4712796858721</v>
      </c>
      <c r="FK23" s="871">
        <v>4000</v>
      </c>
      <c r="FL23" s="911">
        <v>167.55160819145564</v>
      </c>
      <c r="FM23" s="908">
        <v>12.304969200000002</v>
      </c>
      <c r="FN23" s="902">
        <v>64.617766242638353</v>
      </c>
      <c r="FO23" s="902">
        <v>0</v>
      </c>
      <c r="FP23" s="902">
        <v>0</v>
      </c>
      <c r="FQ23" s="902">
        <v>41.939971705770979</v>
      </c>
      <c r="FR23" s="902">
        <v>4.7289877803662899</v>
      </c>
      <c r="FS23" s="902">
        <v>3600</v>
      </c>
      <c r="FT23" s="909" t="s">
        <v>3884</v>
      </c>
      <c r="FU23" s="909">
        <v>4</v>
      </c>
      <c r="FV23" s="909">
        <v>0</v>
      </c>
      <c r="FW23" s="909">
        <v>0</v>
      </c>
      <c r="FX23" s="909">
        <v>0</v>
      </c>
      <c r="FY23" s="910">
        <v>4775.903786420703</v>
      </c>
      <c r="FZ23" s="909">
        <v>0</v>
      </c>
      <c r="GA23" s="909">
        <v>0</v>
      </c>
      <c r="GB23" s="909">
        <v>0</v>
      </c>
      <c r="GC23" s="910">
        <v>4937.4712796858721</v>
      </c>
      <c r="GD23" s="871">
        <v>4000</v>
      </c>
      <c r="GE23" s="911">
        <v>167.55160819145564</v>
      </c>
      <c r="GF23" s="908">
        <v>9.2287269000000016</v>
      </c>
      <c r="GG23" s="902">
        <v>61.541523942638349</v>
      </c>
      <c r="GH23" s="902">
        <v>0</v>
      </c>
      <c r="GI23" s="902">
        <v>0</v>
      </c>
      <c r="GJ23" s="902">
        <v>41.387120156147084</v>
      </c>
      <c r="GK23" s="902">
        <v>4.4464103151728898</v>
      </c>
      <c r="GL23" s="902">
        <v>3600</v>
      </c>
      <c r="GM23" s="909" t="s">
        <v>2877</v>
      </c>
      <c r="GN23" s="909">
        <v>3</v>
      </c>
      <c r="GO23" s="909">
        <v>0</v>
      </c>
      <c r="GP23" s="909">
        <v>0</v>
      </c>
      <c r="GQ23" s="909">
        <v>0</v>
      </c>
      <c r="GR23" s="910">
        <v>4868.9353400689351</v>
      </c>
      <c r="GS23" s="909">
        <v>0</v>
      </c>
      <c r="GT23" s="909">
        <v>0</v>
      </c>
      <c r="GU23" s="909">
        <v>0</v>
      </c>
      <c r="GV23" s="910">
        <v>4909.5192620236467</v>
      </c>
      <c r="GW23" s="871">
        <v>4000</v>
      </c>
      <c r="GX23" s="911">
        <v>167.55160819145564</v>
      </c>
      <c r="GY23" s="908">
        <v>9.2287269000000016</v>
      </c>
      <c r="GZ23" s="902">
        <v>61.541523942638349</v>
      </c>
      <c r="HA23" s="902">
        <v>0</v>
      </c>
      <c r="HB23" s="902">
        <v>0</v>
      </c>
      <c r="HC23" s="902">
        <v>41.387120156147084</v>
      </c>
      <c r="HD23" s="902">
        <v>4.4464103151728898</v>
      </c>
      <c r="HE23" s="902">
        <v>3600</v>
      </c>
      <c r="HF23" s="909" t="s">
        <v>2877</v>
      </c>
      <c r="HG23" s="909">
        <v>3</v>
      </c>
      <c r="HH23" s="909">
        <v>0</v>
      </c>
      <c r="HI23" s="909">
        <v>0</v>
      </c>
      <c r="HJ23" s="909">
        <v>0</v>
      </c>
      <c r="HK23" s="910">
        <v>4868.9353400689351</v>
      </c>
      <c r="HL23" s="909">
        <v>0</v>
      </c>
      <c r="HM23" s="909">
        <v>0</v>
      </c>
      <c r="HN23" s="909">
        <v>0</v>
      </c>
      <c r="HO23" s="910">
        <v>4909.5192620236467</v>
      </c>
      <c r="HP23" s="871">
        <v>4000</v>
      </c>
      <c r="HQ23" s="911">
        <v>167.55160819145564</v>
      </c>
      <c r="HR23" s="908">
        <v>9.2287269000000016</v>
      </c>
      <c r="HS23" s="902">
        <v>61.541523942638349</v>
      </c>
      <c r="HT23" s="902">
        <v>0</v>
      </c>
      <c r="HU23" s="902">
        <v>0</v>
      </c>
      <c r="HV23" s="902">
        <v>41.387120156147084</v>
      </c>
      <c r="HW23" s="902">
        <v>4.4464103151728898</v>
      </c>
      <c r="HX23" s="902">
        <v>3600</v>
      </c>
      <c r="HY23" s="909" t="s">
        <v>1063</v>
      </c>
      <c r="HZ23" s="909">
        <v>3</v>
      </c>
      <c r="IA23" s="909">
        <v>0</v>
      </c>
      <c r="IB23" s="909">
        <v>0</v>
      </c>
      <c r="IC23" s="909">
        <v>0</v>
      </c>
      <c r="ID23" s="910">
        <v>4293.9973531587011</v>
      </c>
      <c r="IE23" s="909">
        <v>0</v>
      </c>
      <c r="IF23" s="909">
        <v>0</v>
      </c>
      <c r="IG23" s="909">
        <v>0</v>
      </c>
      <c r="IH23" s="910">
        <v>4329.7890080653078</v>
      </c>
      <c r="II23" s="871">
        <v>4000</v>
      </c>
      <c r="IJ23" s="911">
        <v>167.55160819145564</v>
      </c>
      <c r="IK23" s="908">
        <v>9.2287269000000016</v>
      </c>
      <c r="IL23" s="902">
        <v>61.541523942638349</v>
      </c>
      <c r="IM23" s="902">
        <v>0</v>
      </c>
      <c r="IN23" s="902">
        <v>0</v>
      </c>
      <c r="IO23" s="902">
        <v>41.387120156147084</v>
      </c>
      <c r="IP23" s="902">
        <v>4.4464103151728898</v>
      </c>
      <c r="IQ23" s="902">
        <v>3600</v>
      </c>
      <c r="IR23" s="909" t="s">
        <v>1063</v>
      </c>
      <c r="IS23" s="909">
        <v>3</v>
      </c>
      <c r="IT23" s="909">
        <v>0</v>
      </c>
      <c r="IU23" s="909">
        <v>0</v>
      </c>
      <c r="IV23" s="909">
        <v>0</v>
      </c>
      <c r="IW23" s="910">
        <v>4293.9973531587011</v>
      </c>
      <c r="IX23" s="909">
        <v>0</v>
      </c>
      <c r="IY23" s="909">
        <v>0</v>
      </c>
      <c r="IZ23" s="909">
        <v>0</v>
      </c>
      <c r="JA23" s="910">
        <v>4329.7890080653078</v>
      </c>
      <c r="JB23" s="871">
        <v>4000</v>
      </c>
      <c r="JC23" s="911">
        <v>167.55160819145564</v>
      </c>
      <c r="JD23" s="908">
        <v>9.2287269000000016</v>
      </c>
      <c r="JE23" s="902">
        <v>61.541523942638349</v>
      </c>
      <c r="JF23" s="902">
        <v>0</v>
      </c>
      <c r="JG23" s="902">
        <v>0</v>
      </c>
      <c r="JH23" s="902">
        <v>41.387120156147084</v>
      </c>
      <c r="JI23" s="902">
        <v>4.4464103151728898</v>
      </c>
      <c r="JJ23" s="902">
        <v>3600</v>
      </c>
      <c r="JK23" s="909" t="s">
        <v>1064</v>
      </c>
      <c r="JL23" s="909">
        <v>3</v>
      </c>
      <c r="JM23" s="909">
        <v>0</v>
      </c>
      <c r="JN23" s="909">
        <v>0</v>
      </c>
      <c r="JO23" s="909">
        <v>0</v>
      </c>
      <c r="JP23" s="910">
        <v>5851.7320085124156</v>
      </c>
      <c r="JQ23" s="909">
        <v>0</v>
      </c>
      <c r="JR23" s="909">
        <v>0</v>
      </c>
      <c r="JS23" s="909">
        <v>0</v>
      </c>
      <c r="JT23" s="910">
        <v>5900.5078123681278</v>
      </c>
      <c r="JU23" s="871">
        <v>4000</v>
      </c>
      <c r="JV23" s="911">
        <v>167.55160819145564</v>
      </c>
      <c r="JW23" s="908">
        <v>9.2287269000000016</v>
      </c>
      <c r="JX23" s="902">
        <v>61.541523942638349</v>
      </c>
      <c r="JY23" s="902">
        <v>0</v>
      </c>
      <c r="JZ23" s="902">
        <v>0</v>
      </c>
      <c r="KA23" s="902">
        <v>41.387120156147084</v>
      </c>
      <c r="KB23" s="902">
        <v>4.4464103151728898</v>
      </c>
      <c r="KC23" s="902">
        <v>3600</v>
      </c>
      <c r="KD23" s="909" t="s">
        <v>1064</v>
      </c>
      <c r="KE23" s="909">
        <v>3</v>
      </c>
      <c r="KF23" s="909">
        <v>0</v>
      </c>
      <c r="KG23" s="909">
        <v>0</v>
      </c>
      <c r="KH23" s="909">
        <v>0</v>
      </c>
      <c r="KI23" s="910">
        <v>5851.7320085124156</v>
      </c>
      <c r="KJ23" s="909">
        <v>0</v>
      </c>
      <c r="KK23" s="909">
        <v>0</v>
      </c>
      <c r="KL23" s="909">
        <v>0</v>
      </c>
      <c r="KM23" s="910">
        <v>5900.5078123681278</v>
      </c>
      <c r="KN23" s="871">
        <v>4000</v>
      </c>
      <c r="KO23" s="912">
        <v>167.55160819145564</v>
      </c>
    </row>
    <row r="24" spans="1:301" ht="15" customHeight="1">
      <c r="A24" s="924" t="s">
        <v>1518</v>
      </c>
      <c r="B24" s="888" t="s">
        <v>1076</v>
      </c>
      <c r="C24" s="888">
        <v>308</v>
      </c>
      <c r="D24" s="888">
        <v>800</v>
      </c>
      <c r="E24" s="888">
        <v>315</v>
      </c>
      <c r="F24" s="888">
        <v>280</v>
      </c>
      <c r="G24" s="888">
        <v>182</v>
      </c>
      <c r="H24" s="888">
        <v>121</v>
      </c>
      <c r="I24" s="888">
        <v>80.5</v>
      </c>
      <c r="J24" s="888">
        <v>34.85</v>
      </c>
      <c r="K24" s="888">
        <v>49.18</v>
      </c>
      <c r="L24" s="888">
        <v>10</v>
      </c>
      <c r="M24" s="888">
        <v>360</v>
      </c>
      <c r="N24" s="888">
        <v>5</v>
      </c>
      <c r="O24" s="884">
        <v>16.670404903591763</v>
      </c>
      <c r="P24" s="888">
        <v>5</v>
      </c>
      <c r="Q24" s="884">
        <v>11.256957468026414</v>
      </c>
      <c r="R24" s="888">
        <v>13.000000000000002</v>
      </c>
      <c r="S24" s="888">
        <v>524.24520441466098</v>
      </c>
      <c r="T24" s="906">
        <v>22.027835430945469</v>
      </c>
      <c r="U24" s="906">
        <v>78.636780662199143</v>
      </c>
      <c r="V24" s="906">
        <v>72.5</v>
      </c>
      <c r="W24" s="1141">
        <v>2.0730523007728729</v>
      </c>
      <c r="X24" s="902">
        <v>0</v>
      </c>
      <c r="Y24" s="902">
        <v>0</v>
      </c>
      <c r="Z24" s="902">
        <v>0</v>
      </c>
      <c r="AA24" s="902">
        <v>0</v>
      </c>
      <c r="AB24" s="970">
        <v>10.916253779048432</v>
      </c>
      <c r="AC24" s="1045">
        <v>4000</v>
      </c>
      <c r="AD24" s="890">
        <v>0.59929400829659485</v>
      </c>
      <c r="AE24" s="890">
        <v>0.69631309670689834</v>
      </c>
      <c r="AF24" s="890">
        <v>-0.3164354829823337</v>
      </c>
      <c r="AG24" s="890">
        <v>1.1312875977582417</v>
      </c>
      <c r="AH24" s="888"/>
      <c r="AI24" s="907">
        <v>2.5870072755523967</v>
      </c>
      <c r="AJ24" s="908">
        <v>11.388780000000002</v>
      </c>
      <c r="AK24" s="902">
        <v>63.417030103336522</v>
      </c>
      <c r="AL24" s="902">
        <v>0</v>
      </c>
      <c r="AM24" s="902">
        <v>0</v>
      </c>
      <c r="AN24" s="902">
        <v>46.558655433684329</v>
      </c>
      <c r="AO24" s="902">
        <v>4.6305747375636503</v>
      </c>
      <c r="AP24" s="1222">
        <v>3600</v>
      </c>
      <c r="AQ24" s="909" t="s">
        <v>1062</v>
      </c>
      <c r="AR24" s="909">
        <v>4</v>
      </c>
      <c r="AS24" s="909">
        <v>0</v>
      </c>
      <c r="AT24" s="909">
        <v>0</v>
      </c>
      <c r="AU24" s="909">
        <v>0</v>
      </c>
      <c r="AV24" s="910">
        <v>4396.5758409711334</v>
      </c>
      <c r="AW24" s="909">
        <v>0</v>
      </c>
      <c r="AX24" s="909">
        <v>0</v>
      </c>
      <c r="AY24" s="909">
        <v>0</v>
      </c>
      <c r="AZ24" s="910">
        <v>4545.3107366807662</v>
      </c>
      <c r="BA24" s="871">
        <v>4000</v>
      </c>
      <c r="BB24" s="911">
        <v>167.55160819145564</v>
      </c>
      <c r="BC24" s="908">
        <v>11.388780000000002</v>
      </c>
      <c r="BD24" s="902">
        <v>63.417030103336522</v>
      </c>
      <c r="BE24" s="902">
        <v>0</v>
      </c>
      <c r="BF24" s="902">
        <v>0</v>
      </c>
      <c r="BG24" s="902">
        <v>46.558655433684329</v>
      </c>
      <c r="BH24" s="902">
        <v>4.6305747375636503</v>
      </c>
      <c r="BI24" s="902">
        <v>3600</v>
      </c>
      <c r="BJ24" s="909" t="s">
        <v>1062</v>
      </c>
      <c r="BK24" s="909">
        <v>4</v>
      </c>
      <c r="BL24" s="909">
        <v>0</v>
      </c>
      <c r="BM24" s="909">
        <v>0</v>
      </c>
      <c r="BN24" s="909">
        <v>0</v>
      </c>
      <c r="BO24" s="910">
        <v>4396.5758409711334</v>
      </c>
      <c r="BP24" s="909">
        <v>0</v>
      </c>
      <c r="BQ24" s="909">
        <v>0</v>
      </c>
      <c r="BR24" s="909">
        <v>0</v>
      </c>
      <c r="BS24" s="910">
        <v>4545.3107366807662</v>
      </c>
      <c r="BT24" s="871">
        <v>4000</v>
      </c>
      <c r="BU24" s="911">
        <v>167.55160819145564</v>
      </c>
      <c r="BV24" s="908">
        <v>11.388780000000002</v>
      </c>
      <c r="BW24" s="902">
        <v>63.417030103336522</v>
      </c>
      <c r="BX24" s="902">
        <v>0</v>
      </c>
      <c r="BY24" s="902">
        <v>0</v>
      </c>
      <c r="BZ24" s="902">
        <v>46.558655433684329</v>
      </c>
      <c r="CA24" s="902">
        <v>4.6305747375636503</v>
      </c>
      <c r="CB24" s="902">
        <v>3600</v>
      </c>
      <c r="CC24" s="909" t="s">
        <v>2874</v>
      </c>
      <c r="CD24" s="909">
        <v>4</v>
      </c>
      <c r="CE24" s="909">
        <v>0</v>
      </c>
      <c r="CF24" s="909">
        <v>0</v>
      </c>
      <c r="CG24" s="909">
        <v>0</v>
      </c>
      <c r="CH24" s="910">
        <v>4307.746970330847</v>
      </c>
      <c r="CI24" s="909">
        <v>0</v>
      </c>
      <c r="CJ24" s="909">
        <v>0</v>
      </c>
      <c r="CK24" s="909">
        <v>0</v>
      </c>
      <c r="CL24" s="910">
        <v>4453.4768109047145</v>
      </c>
      <c r="CM24" s="871">
        <v>4000</v>
      </c>
      <c r="CN24" s="911">
        <v>167.55160819145564</v>
      </c>
      <c r="CO24" s="908">
        <v>11.388780000000002</v>
      </c>
      <c r="CP24" s="902">
        <v>63.417030103336522</v>
      </c>
      <c r="CQ24" s="902">
        <v>0</v>
      </c>
      <c r="CR24" s="902">
        <v>0</v>
      </c>
      <c r="CS24" s="902">
        <v>46.558655433684329</v>
      </c>
      <c r="CT24" s="902">
        <v>4.6305747375636503</v>
      </c>
      <c r="CU24" s="902">
        <v>3600</v>
      </c>
      <c r="CV24" s="909" t="s">
        <v>2874</v>
      </c>
      <c r="CW24" s="909">
        <v>4</v>
      </c>
      <c r="CX24" s="909">
        <v>0</v>
      </c>
      <c r="CY24" s="909">
        <v>0</v>
      </c>
      <c r="CZ24" s="909">
        <v>0</v>
      </c>
      <c r="DA24" s="910">
        <v>4307.746970330847</v>
      </c>
      <c r="DB24" s="909">
        <v>0</v>
      </c>
      <c r="DC24" s="909">
        <v>0</v>
      </c>
      <c r="DD24" s="909">
        <v>0</v>
      </c>
      <c r="DE24" s="910">
        <v>4453.4768109047145</v>
      </c>
      <c r="DF24" s="871">
        <v>4000</v>
      </c>
      <c r="DG24" s="911">
        <v>167.55160819145564</v>
      </c>
      <c r="DH24" s="908">
        <v>11.388780000000002</v>
      </c>
      <c r="DI24" s="902">
        <v>63.417030103336522</v>
      </c>
      <c r="DJ24" s="902">
        <v>0</v>
      </c>
      <c r="DK24" s="902">
        <v>0</v>
      </c>
      <c r="DL24" s="902">
        <v>46.558655433684329</v>
      </c>
      <c r="DM24" s="902">
        <v>4.6305747375636503</v>
      </c>
      <c r="DN24" s="902">
        <v>3600</v>
      </c>
      <c r="DO24" s="909" t="s">
        <v>2875</v>
      </c>
      <c r="DP24" s="909">
        <v>4</v>
      </c>
      <c r="DQ24" s="909">
        <v>0</v>
      </c>
      <c r="DR24" s="909">
        <v>0</v>
      </c>
      <c r="DS24" s="909">
        <v>0</v>
      </c>
      <c r="DT24" s="910">
        <v>4483.6452012204845</v>
      </c>
      <c r="DU24" s="909">
        <v>0</v>
      </c>
      <c r="DV24" s="909">
        <v>0</v>
      </c>
      <c r="DW24" s="909">
        <v>0</v>
      </c>
      <c r="DX24" s="910">
        <v>4635.325628335605</v>
      </c>
      <c r="DY24" s="871">
        <v>4000</v>
      </c>
      <c r="DZ24" s="911">
        <v>167.55160819145564</v>
      </c>
      <c r="EA24" s="908">
        <v>11.388780000000002</v>
      </c>
      <c r="EB24" s="902">
        <v>63.417030103336522</v>
      </c>
      <c r="EC24" s="902">
        <v>0</v>
      </c>
      <c r="ED24" s="902">
        <v>0</v>
      </c>
      <c r="EE24" s="902">
        <v>46.558655433684329</v>
      </c>
      <c r="EF24" s="902">
        <v>4.6305747375636503</v>
      </c>
      <c r="EG24" s="902">
        <v>3600</v>
      </c>
      <c r="EH24" s="909" t="s">
        <v>2875</v>
      </c>
      <c r="EI24" s="909">
        <v>4</v>
      </c>
      <c r="EJ24" s="909">
        <v>0</v>
      </c>
      <c r="EK24" s="909">
        <v>0</v>
      </c>
      <c r="EL24" s="909">
        <v>0</v>
      </c>
      <c r="EM24" s="910">
        <v>4483.6452012204845</v>
      </c>
      <c r="EN24" s="909">
        <v>0</v>
      </c>
      <c r="EO24" s="909">
        <v>0</v>
      </c>
      <c r="EP24" s="909">
        <v>0</v>
      </c>
      <c r="EQ24" s="910">
        <v>4635.325628335605</v>
      </c>
      <c r="ER24" s="871">
        <v>4000</v>
      </c>
      <c r="ES24" s="911">
        <v>167.55160819145564</v>
      </c>
      <c r="ET24" s="908">
        <v>11.388780000000002</v>
      </c>
      <c r="EU24" s="902">
        <v>63.417030103336522</v>
      </c>
      <c r="EV24" s="902">
        <v>0</v>
      </c>
      <c r="EW24" s="902">
        <v>0</v>
      </c>
      <c r="EX24" s="902">
        <v>46.558655433684329</v>
      </c>
      <c r="EY24" s="902">
        <v>4.6305747375636503</v>
      </c>
      <c r="EZ24" s="902">
        <v>3600</v>
      </c>
      <c r="FA24" s="909" t="s">
        <v>3884</v>
      </c>
      <c r="FB24" s="909">
        <v>4</v>
      </c>
      <c r="FC24" s="909">
        <v>0</v>
      </c>
      <c r="FD24" s="909">
        <v>0</v>
      </c>
      <c r="FE24" s="909">
        <v>0</v>
      </c>
      <c r="FF24" s="910">
        <v>4775.9038273383412</v>
      </c>
      <c r="FG24" s="909">
        <v>0</v>
      </c>
      <c r="FH24" s="909">
        <v>0</v>
      </c>
      <c r="FI24" s="909">
        <v>0</v>
      </c>
      <c r="FJ24" s="910">
        <v>4937.4712796858721</v>
      </c>
      <c r="FK24" s="871">
        <v>4000</v>
      </c>
      <c r="FL24" s="911">
        <v>167.55160819145564</v>
      </c>
      <c r="FM24" s="908">
        <v>11.388780000000002</v>
      </c>
      <c r="FN24" s="902">
        <v>63.417030103336522</v>
      </c>
      <c r="FO24" s="902">
        <v>0</v>
      </c>
      <c r="FP24" s="902">
        <v>0</v>
      </c>
      <c r="FQ24" s="902">
        <v>46.558655433684329</v>
      </c>
      <c r="FR24" s="902">
        <v>4.6305747375636503</v>
      </c>
      <c r="FS24" s="902">
        <v>3600</v>
      </c>
      <c r="FT24" s="909" t="s">
        <v>3884</v>
      </c>
      <c r="FU24" s="909">
        <v>4</v>
      </c>
      <c r="FV24" s="909">
        <v>0</v>
      </c>
      <c r="FW24" s="909">
        <v>0</v>
      </c>
      <c r="FX24" s="909">
        <v>0</v>
      </c>
      <c r="FY24" s="910">
        <v>4775.9038273383412</v>
      </c>
      <c r="FZ24" s="909">
        <v>0</v>
      </c>
      <c r="GA24" s="909">
        <v>0</v>
      </c>
      <c r="GB24" s="909">
        <v>0</v>
      </c>
      <c r="GC24" s="910">
        <v>4937.4712796858721</v>
      </c>
      <c r="GD24" s="871">
        <v>4000</v>
      </c>
      <c r="GE24" s="911">
        <v>167.55160819145564</v>
      </c>
      <c r="GF24" s="908">
        <v>8.5415850000000013</v>
      </c>
      <c r="GG24" s="902">
        <v>60.569835103336516</v>
      </c>
      <c r="GH24" s="902">
        <v>0</v>
      </c>
      <c r="GI24" s="902">
        <v>0</v>
      </c>
      <c r="GJ24" s="902">
        <v>45.903317236465028</v>
      </c>
      <c r="GK24" s="902">
        <v>4.3690370992536502</v>
      </c>
      <c r="GL24" s="902">
        <v>3600</v>
      </c>
      <c r="GM24" s="909" t="s">
        <v>2877</v>
      </c>
      <c r="GN24" s="909">
        <v>3</v>
      </c>
      <c r="GO24" s="909">
        <v>0</v>
      </c>
      <c r="GP24" s="909">
        <v>0</v>
      </c>
      <c r="GQ24" s="909">
        <v>0</v>
      </c>
      <c r="GR24" s="910">
        <v>4868.9353796881105</v>
      </c>
      <c r="GS24" s="909">
        <v>0</v>
      </c>
      <c r="GT24" s="909">
        <v>0</v>
      </c>
      <c r="GU24" s="909">
        <v>0</v>
      </c>
      <c r="GV24" s="910">
        <v>4909.5192620236467</v>
      </c>
      <c r="GW24" s="871">
        <v>4000</v>
      </c>
      <c r="GX24" s="911">
        <v>167.55160819145564</v>
      </c>
      <c r="GY24" s="908">
        <v>8.5415850000000013</v>
      </c>
      <c r="GZ24" s="902">
        <v>60.569835103336516</v>
      </c>
      <c r="HA24" s="902">
        <v>0</v>
      </c>
      <c r="HB24" s="902">
        <v>0</v>
      </c>
      <c r="HC24" s="902">
        <v>45.903317236465028</v>
      </c>
      <c r="HD24" s="902">
        <v>4.3690370992536502</v>
      </c>
      <c r="HE24" s="902">
        <v>3600</v>
      </c>
      <c r="HF24" s="909" t="s">
        <v>2877</v>
      </c>
      <c r="HG24" s="909">
        <v>3</v>
      </c>
      <c r="HH24" s="909">
        <v>0</v>
      </c>
      <c r="HI24" s="909">
        <v>0</v>
      </c>
      <c r="HJ24" s="909">
        <v>0</v>
      </c>
      <c r="HK24" s="910">
        <v>4868.9353796881105</v>
      </c>
      <c r="HL24" s="909">
        <v>0</v>
      </c>
      <c r="HM24" s="909">
        <v>0</v>
      </c>
      <c r="HN24" s="909">
        <v>0</v>
      </c>
      <c r="HO24" s="910">
        <v>4909.5192620236467</v>
      </c>
      <c r="HP24" s="871">
        <v>4000</v>
      </c>
      <c r="HQ24" s="911">
        <v>167.55160819145564</v>
      </c>
      <c r="HR24" s="908">
        <v>8.5415850000000013</v>
      </c>
      <c r="HS24" s="902">
        <v>60.569835103336516</v>
      </c>
      <c r="HT24" s="902">
        <v>0</v>
      </c>
      <c r="HU24" s="902">
        <v>0</v>
      </c>
      <c r="HV24" s="902">
        <v>45.903317236465028</v>
      </c>
      <c r="HW24" s="902">
        <v>4.3690370992536502</v>
      </c>
      <c r="HX24" s="902">
        <v>3600</v>
      </c>
      <c r="HY24" s="909" t="s">
        <v>1063</v>
      </c>
      <c r="HZ24" s="909">
        <v>3</v>
      </c>
      <c r="IA24" s="909">
        <v>0</v>
      </c>
      <c r="IB24" s="909">
        <v>0</v>
      </c>
      <c r="IC24" s="909">
        <v>0</v>
      </c>
      <c r="ID24" s="910">
        <v>4293.9973880995294</v>
      </c>
      <c r="IE24" s="909">
        <v>0</v>
      </c>
      <c r="IF24" s="909">
        <v>0</v>
      </c>
      <c r="IG24" s="909">
        <v>0</v>
      </c>
      <c r="IH24" s="910">
        <v>4329.7890080653078</v>
      </c>
      <c r="II24" s="871">
        <v>4000</v>
      </c>
      <c r="IJ24" s="911">
        <v>167.55160819145564</v>
      </c>
      <c r="IK24" s="908">
        <v>8.5415850000000013</v>
      </c>
      <c r="IL24" s="902">
        <v>60.569835103336516</v>
      </c>
      <c r="IM24" s="902">
        <v>0</v>
      </c>
      <c r="IN24" s="902">
        <v>0</v>
      </c>
      <c r="IO24" s="902">
        <v>45.903317236465028</v>
      </c>
      <c r="IP24" s="902">
        <v>4.3690370992536502</v>
      </c>
      <c r="IQ24" s="902">
        <v>3600</v>
      </c>
      <c r="IR24" s="909" t="s">
        <v>1063</v>
      </c>
      <c r="IS24" s="909">
        <v>3</v>
      </c>
      <c r="IT24" s="909">
        <v>0</v>
      </c>
      <c r="IU24" s="909">
        <v>0</v>
      </c>
      <c r="IV24" s="909">
        <v>0</v>
      </c>
      <c r="IW24" s="910">
        <v>4293.9973880995294</v>
      </c>
      <c r="IX24" s="909">
        <v>0</v>
      </c>
      <c r="IY24" s="909">
        <v>0</v>
      </c>
      <c r="IZ24" s="909">
        <v>0</v>
      </c>
      <c r="JA24" s="910">
        <v>4329.7890080653078</v>
      </c>
      <c r="JB24" s="871">
        <v>4000</v>
      </c>
      <c r="JC24" s="911">
        <v>167.55160819145564</v>
      </c>
      <c r="JD24" s="908">
        <v>8.5415850000000013</v>
      </c>
      <c r="JE24" s="902">
        <v>60.569835103336516</v>
      </c>
      <c r="JF24" s="902">
        <v>0</v>
      </c>
      <c r="JG24" s="902">
        <v>0</v>
      </c>
      <c r="JH24" s="902">
        <v>45.903317236465028</v>
      </c>
      <c r="JI24" s="902">
        <v>4.3690370992536502</v>
      </c>
      <c r="JJ24" s="902">
        <v>3600</v>
      </c>
      <c r="JK24" s="909" t="s">
        <v>1064</v>
      </c>
      <c r="JL24" s="909">
        <v>3</v>
      </c>
      <c r="JM24" s="909">
        <v>0</v>
      </c>
      <c r="JN24" s="909">
        <v>0</v>
      </c>
      <c r="JO24" s="909">
        <v>0</v>
      </c>
      <c r="JP24" s="910">
        <v>5851.732056128737</v>
      </c>
      <c r="JQ24" s="909">
        <v>0</v>
      </c>
      <c r="JR24" s="909">
        <v>0</v>
      </c>
      <c r="JS24" s="909">
        <v>0</v>
      </c>
      <c r="JT24" s="910">
        <v>5900.5078123681278</v>
      </c>
      <c r="JU24" s="871">
        <v>4000</v>
      </c>
      <c r="JV24" s="911">
        <v>167.55160819145564</v>
      </c>
      <c r="JW24" s="908">
        <v>8.5415850000000013</v>
      </c>
      <c r="JX24" s="902">
        <v>60.569835103336516</v>
      </c>
      <c r="JY24" s="902">
        <v>0</v>
      </c>
      <c r="JZ24" s="902">
        <v>0</v>
      </c>
      <c r="KA24" s="902">
        <v>45.903317236465028</v>
      </c>
      <c r="KB24" s="902">
        <v>4.3690370992536502</v>
      </c>
      <c r="KC24" s="902">
        <v>3600</v>
      </c>
      <c r="KD24" s="909" t="s">
        <v>1064</v>
      </c>
      <c r="KE24" s="909">
        <v>3</v>
      </c>
      <c r="KF24" s="909">
        <v>0</v>
      </c>
      <c r="KG24" s="909">
        <v>0</v>
      </c>
      <c r="KH24" s="909">
        <v>0</v>
      </c>
      <c r="KI24" s="910">
        <v>5851.732056128737</v>
      </c>
      <c r="KJ24" s="909">
        <v>0</v>
      </c>
      <c r="KK24" s="909">
        <v>0</v>
      </c>
      <c r="KL24" s="909">
        <v>0</v>
      </c>
      <c r="KM24" s="910">
        <v>5900.5078123681278</v>
      </c>
      <c r="KN24" s="871">
        <v>4000</v>
      </c>
      <c r="KO24" s="912">
        <v>167.55160819145564</v>
      </c>
    </row>
    <row r="25" spans="1:301" ht="15" customHeight="1">
      <c r="A25" s="924" t="s">
        <v>1662</v>
      </c>
      <c r="B25" s="888" t="s">
        <v>1074</v>
      </c>
      <c r="C25" s="888">
        <v>340</v>
      </c>
      <c r="D25" s="888">
        <v>800</v>
      </c>
      <c r="E25" s="888">
        <v>355</v>
      </c>
      <c r="F25" s="888">
        <v>310</v>
      </c>
      <c r="G25" s="888">
        <v>196</v>
      </c>
      <c r="H25" s="888">
        <v>138</v>
      </c>
      <c r="I25" s="888">
        <v>93</v>
      </c>
      <c r="J25" s="888">
        <v>34.68</v>
      </c>
      <c r="K25" s="888">
        <v>47.84</v>
      </c>
      <c r="L25" s="888">
        <v>10</v>
      </c>
      <c r="M25" s="888">
        <v>350</v>
      </c>
      <c r="N25" s="888">
        <v>5</v>
      </c>
      <c r="O25" s="884">
        <v>15.844244575513986</v>
      </c>
      <c r="P25" s="888">
        <v>5</v>
      </c>
      <c r="Q25" s="884">
        <v>10.964140578551467</v>
      </c>
      <c r="R25" s="888">
        <v>13.000000000000002</v>
      </c>
      <c r="S25" s="888">
        <v>533.22770655774809</v>
      </c>
      <c r="T25" s="906">
        <v>22.789159343580337</v>
      </c>
      <c r="U25" s="906">
        <v>79.984155983662205</v>
      </c>
      <c r="V25" s="906">
        <v>85</v>
      </c>
      <c r="W25" s="1141">
        <v>2.5144769564190796</v>
      </c>
      <c r="X25" s="902">
        <v>0</v>
      </c>
      <c r="Y25" s="902">
        <v>0</v>
      </c>
      <c r="Z25" s="902">
        <v>0</v>
      </c>
      <c r="AA25" s="902">
        <v>0</v>
      </c>
      <c r="AB25" s="970">
        <v>10.820321694039277</v>
      </c>
      <c r="AC25" s="1045">
        <v>4000</v>
      </c>
      <c r="AD25" s="890">
        <v>0.60196832096681585</v>
      </c>
      <c r="AE25" s="890">
        <v>0.69191652277805815</v>
      </c>
      <c r="AF25" s="890">
        <v>-0.36390817022501332</v>
      </c>
      <c r="AG25" s="890">
        <v>1.0304646082035278</v>
      </c>
      <c r="AH25" s="888"/>
      <c r="AI25" s="907">
        <v>2.6375352429199777</v>
      </c>
      <c r="AJ25" s="908">
        <v>12.693450000000002</v>
      </c>
      <c r="AK25" s="902">
        <v>64.805471454064872</v>
      </c>
      <c r="AL25" s="902">
        <v>0</v>
      </c>
      <c r="AM25" s="902">
        <v>0</v>
      </c>
      <c r="AN25" s="902">
        <v>51.612292669133801</v>
      </c>
      <c r="AO25" s="902">
        <v>4.7928055408270094</v>
      </c>
      <c r="AP25" s="1222">
        <v>3150</v>
      </c>
      <c r="AQ25" s="909" t="s">
        <v>1062</v>
      </c>
      <c r="AR25" s="909">
        <v>4</v>
      </c>
      <c r="AS25" s="909">
        <v>0</v>
      </c>
      <c r="AT25" s="909">
        <v>0</v>
      </c>
      <c r="AU25" s="909">
        <v>0</v>
      </c>
      <c r="AV25" s="910">
        <v>3631.6746799915645</v>
      </c>
      <c r="AW25" s="909">
        <v>0</v>
      </c>
      <c r="AX25" s="909">
        <v>0</v>
      </c>
      <c r="AY25" s="909">
        <v>0</v>
      </c>
      <c r="AZ25" s="910">
        <v>3761.4361351047187</v>
      </c>
      <c r="BA25" s="871">
        <v>3631.6746799915645</v>
      </c>
      <c r="BB25" s="911">
        <v>152.12323326519416</v>
      </c>
      <c r="BC25" s="908">
        <v>12.693450000000002</v>
      </c>
      <c r="BD25" s="902">
        <v>64.805471454064872</v>
      </c>
      <c r="BE25" s="902">
        <v>0</v>
      </c>
      <c r="BF25" s="902">
        <v>0</v>
      </c>
      <c r="BG25" s="902">
        <v>51.612292669133801</v>
      </c>
      <c r="BH25" s="902">
        <v>4.7928055408270094</v>
      </c>
      <c r="BI25" s="902">
        <v>3600</v>
      </c>
      <c r="BJ25" s="909" t="s">
        <v>1062</v>
      </c>
      <c r="BK25" s="909">
        <v>4</v>
      </c>
      <c r="BL25" s="909">
        <v>0</v>
      </c>
      <c r="BM25" s="909">
        <v>0</v>
      </c>
      <c r="BN25" s="909">
        <v>0</v>
      </c>
      <c r="BO25" s="910">
        <v>3631.6746799915645</v>
      </c>
      <c r="BP25" s="909">
        <v>0</v>
      </c>
      <c r="BQ25" s="909">
        <v>0</v>
      </c>
      <c r="BR25" s="909">
        <v>0</v>
      </c>
      <c r="BS25" s="910">
        <v>3761.4361351047187</v>
      </c>
      <c r="BT25" s="871">
        <v>3631.6746799915645</v>
      </c>
      <c r="BU25" s="911">
        <v>152.12323326519416</v>
      </c>
      <c r="BV25" s="908">
        <v>12.693450000000002</v>
      </c>
      <c r="BW25" s="902">
        <v>64.805471454064872</v>
      </c>
      <c r="BX25" s="902">
        <v>0</v>
      </c>
      <c r="BY25" s="902">
        <v>0</v>
      </c>
      <c r="BZ25" s="902">
        <v>51.612292669133801</v>
      </c>
      <c r="CA25" s="902">
        <v>4.7928055408270094</v>
      </c>
      <c r="CB25" s="902">
        <v>3150</v>
      </c>
      <c r="CC25" s="909" t="s">
        <v>2874</v>
      </c>
      <c r="CD25" s="909">
        <v>4</v>
      </c>
      <c r="CE25" s="909">
        <v>0</v>
      </c>
      <c r="CF25" s="909">
        <v>0</v>
      </c>
      <c r="CG25" s="909">
        <v>0</v>
      </c>
      <c r="CH25" s="910">
        <v>3558.299951105887</v>
      </c>
      <c r="CI25" s="909">
        <v>0</v>
      </c>
      <c r="CJ25" s="909">
        <v>0</v>
      </c>
      <c r="CK25" s="909">
        <v>0</v>
      </c>
      <c r="CL25" s="910">
        <v>3685.4396924292037</v>
      </c>
      <c r="CM25" s="871">
        <v>3558.299951105887</v>
      </c>
      <c r="CN25" s="911">
        <v>149.04971980884233</v>
      </c>
      <c r="CO25" s="908">
        <v>15.866812500000002</v>
      </c>
      <c r="CP25" s="902">
        <v>67.978833954064868</v>
      </c>
      <c r="CQ25" s="902">
        <v>0</v>
      </c>
      <c r="CR25" s="902">
        <v>0</v>
      </c>
      <c r="CS25" s="902">
        <v>52.423979119096025</v>
      </c>
      <c r="CT25" s="902">
        <v>5.0925296289520094</v>
      </c>
      <c r="CU25" s="902">
        <v>3600</v>
      </c>
      <c r="CV25" s="909" t="s">
        <v>2874</v>
      </c>
      <c r="CW25" s="909">
        <v>5</v>
      </c>
      <c r="CX25" s="909">
        <v>0</v>
      </c>
      <c r="CY25" s="909">
        <v>0</v>
      </c>
      <c r="CZ25" s="909">
        <v>0</v>
      </c>
      <c r="DA25" s="910">
        <v>4236.1335388036578</v>
      </c>
      <c r="DB25" s="909">
        <v>0</v>
      </c>
      <c r="DC25" s="909">
        <v>0</v>
      </c>
      <c r="DD25" s="909">
        <v>0</v>
      </c>
      <c r="DE25" s="910">
        <v>4538.9888455740647</v>
      </c>
      <c r="DF25" s="871">
        <v>4000</v>
      </c>
      <c r="DG25" s="911">
        <v>167.55160819145564</v>
      </c>
      <c r="DH25" s="908">
        <v>12.693450000000002</v>
      </c>
      <c r="DI25" s="902">
        <v>64.805471454064872</v>
      </c>
      <c r="DJ25" s="902">
        <v>0</v>
      </c>
      <c r="DK25" s="902">
        <v>0</v>
      </c>
      <c r="DL25" s="902">
        <v>51.612292669133801</v>
      </c>
      <c r="DM25" s="902">
        <v>4.7928055408270094</v>
      </c>
      <c r="DN25" s="902">
        <v>3150</v>
      </c>
      <c r="DO25" s="909" t="s">
        <v>2875</v>
      </c>
      <c r="DP25" s="909">
        <v>4</v>
      </c>
      <c r="DQ25" s="909">
        <v>0</v>
      </c>
      <c r="DR25" s="909">
        <v>0</v>
      </c>
      <c r="DS25" s="909">
        <v>0</v>
      </c>
      <c r="DT25" s="910">
        <v>3703.5960120595637</v>
      </c>
      <c r="DU25" s="909">
        <v>0</v>
      </c>
      <c r="DV25" s="909">
        <v>0</v>
      </c>
      <c r="DW25" s="909">
        <v>0</v>
      </c>
      <c r="DX25" s="910">
        <v>3835.9272504063979</v>
      </c>
      <c r="DY25" s="871">
        <v>3703.5960120595637</v>
      </c>
      <c r="DZ25" s="911">
        <v>155.1358669780104</v>
      </c>
      <c r="EA25" s="908">
        <v>12.693450000000002</v>
      </c>
      <c r="EB25" s="902">
        <v>64.805471454064872</v>
      </c>
      <c r="EC25" s="902">
        <v>0</v>
      </c>
      <c r="ED25" s="902">
        <v>0</v>
      </c>
      <c r="EE25" s="902">
        <v>51.612292669133801</v>
      </c>
      <c r="EF25" s="902">
        <v>4.7928055408270094</v>
      </c>
      <c r="EG25" s="902">
        <v>3600</v>
      </c>
      <c r="EH25" s="909" t="s">
        <v>2875</v>
      </c>
      <c r="EI25" s="909">
        <v>4</v>
      </c>
      <c r="EJ25" s="909">
        <v>0</v>
      </c>
      <c r="EK25" s="909">
        <v>0</v>
      </c>
      <c r="EL25" s="909">
        <v>0</v>
      </c>
      <c r="EM25" s="910">
        <v>3703.5960120595637</v>
      </c>
      <c r="EN25" s="909">
        <v>0</v>
      </c>
      <c r="EO25" s="909">
        <v>0</v>
      </c>
      <c r="EP25" s="909">
        <v>0</v>
      </c>
      <c r="EQ25" s="910">
        <v>3835.9272504063979</v>
      </c>
      <c r="ER25" s="871">
        <v>3703.5960120595637</v>
      </c>
      <c r="ES25" s="911">
        <v>155.1358669780104</v>
      </c>
      <c r="ET25" s="908">
        <v>12.693450000000002</v>
      </c>
      <c r="EU25" s="902">
        <v>64.805471454064872</v>
      </c>
      <c r="EV25" s="902">
        <v>0</v>
      </c>
      <c r="EW25" s="902">
        <v>0</v>
      </c>
      <c r="EX25" s="902">
        <v>51.612292669133801</v>
      </c>
      <c r="EY25" s="902">
        <v>4.7928055408270094</v>
      </c>
      <c r="EZ25" s="902">
        <v>3150</v>
      </c>
      <c r="FA25" s="909" t="s">
        <v>3884</v>
      </c>
      <c r="FB25" s="909">
        <v>4</v>
      </c>
      <c r="FC25" s="909">
        <v>0</v>
      </c>
      <c r="FD25" s="909">
        <v>0</v>
      </c>
      <c r="FE25" s="909">
        <v>0</v>
      </c>
      <c r="FF25" s="910">
        <v>3945.0084864198157</v>
      </c>
      <c r="FG25" s="909">
        <v>0</v>
      </c>
      <c r="FH25" s="909">
        <v>0</v>
      </c>
      <c r="FI25" s="909">
        <v>0</v>
      </c>
      <c r="FJ25" s="910">
        <v>4085.9655067311078</v>
      </c>
      <c r="FK25" s="871">
        <v>3945.0084864198157</v>
      </c>
      <c r="FL25" s="911">
        <v>165.24812905714509</v>
      </c>
      <c r="FM25" s="908">
        <v>12.693450000000002</v>
      </c>
      <c r="FN25" s="902">
        <v>64.805471454064872</v>
      </c>
      <c r="FO25" s="902">
        <v>0</v>
      </c>
      <c r="FP25" s="902">
        <v>0</v>
      </c>
      <c r="FQ25" s="902">
        <v>51.612292669133801</v>
      </c>
      <c r="FR25" s="902">
        <v>4.7928055408270094</v>
      </c>
      <c r="FS25" s="902">
        <v>3600</v>
      </c>
      <c r="FT25" s="909" t="s">
        <v>3884</v>
      </c>
      <c r="FU25" s="909">
        <v>4</v>
      </c>
      <c r="FV25" s="909">
        <v>0</v>
      </c>
      <c r="FW25" s="909">
        <v>0</v>
      </c>
      <c r="FX25" s="909">
        <v>0</v>
      </c>
      <c r="FY25" s="910">
        <v>3945.0084864198157</v>
      </c>
      <c r="FZ25" s="909">
        <v>0</v>
      </c>
      <c r="GA25" s="909">
        <v>0</v>
      </c>
      <c r="GB25" s="909">
        <v>0</v>
      </c>
      <c r="GC25" s="910">
        <v>4085.9655067311078</v>
      </c>
      <c r="GD25" s="871">
        <v>3945.0084864198157</v>
      </c>
      <c r="GE25" s="911">
        <v>165.24812905714509</v>
      </c>
      <c r="GF25" s="908">
        <v>9.5200875000000025</v>
      </c>
      <c r="GG25" s="902">
        <v>61.632108954064876</v>
      </c>
      <c r="GH25" s="902">
        <v>0</v>
      </c>
      <c r="GI25" s="902">
        <v>0</v>
      </c>
      <c r="GJ25" s="902">
        <v>50.717020718503811</v>
      </c>
      <c r="GK25" s="902">
        <v>4.4930814527020093</v>
      </c>
      <c r="GL25" s="902">
        <v>3150</v>
      </c>
      <c r="GM25" s="909" t="s">
        <v>2877</v>
      </c>
      <c r="GN25" s="909">
        <v>3</v>
      </c>
      <c r="GO25" s="909">
        <v>0</v>
      </c>
      <c r="GP25" s="909">
        <v>0</v>
      </c>
      <c r="GQ25" s="909">
        <v>0</v>
      </c>
      <c r="GR25" s="910">
        <v>4048.3043519075877</v>
      </c>
      <c r="GS25" s="909">
        <v>0</v>
      </c>
      <c r="GT25" s="909">
        <v>0</v>
      </c>
      <c r="GU25" s="909">
        <v>0</v>
      </c>
      <c r="GV25" s="910">
        <v>4113.6593391002471</v>
      </c>
      <c r="GW25" s="871">
        <v>4000</v>
      </c>
      <c r="GX25" s="911">
        <v>167.55160819145564</v>
      </c>
      <c r="GY25" s="908">
        <v>9.5200875000000025</v>
      </c>
      <c r="GZ25" s="902">
        <v>61.632108954064876</v>
      </c>
      <c r="HA25" s="902">
        <v>0</v>
      </c>
      <c r="HB25" s="902">
        <v>0</v>
      </c>
      <c r="HC25" s="902">
        <v>50.717020718503811</v>
      </c>
      <c r="HD25" s="902">
        <v>4.4930814527020093</v>
      </c>
      <c r="HE25" s="902">
        <v>3600</v>
      </c>
      <c r="HF25" s="909" t="s">
        <v>2877</v>
      </c>
      <c r="HG25" s="909">
        <v>3</v>
      </c>
      <c r="HH25" s="909">
        <v>0</v>
      </c>
      <c r="HI25" s="909">
        <v>0</v>
      </c>
      <c r="HJ25" s="909">
        <v>0</v>
      </c>
      <c r="HK25" s="910">
        <v>4048.3043519075877</v>
      </c>
      <c r="HL25" s="909">
        <v>0</v>
      </c>
      <c r="HM25" s="909">
        <v>0</v>
      </c>
      <c r="HN25" s="909">
        <v>0</v>
      </c>
      <c r="HO25" s="910">
        <v>4113.6593391002471</v>
      </c>
      <c r="HP25" s="871">
        <v>4000</v>
      </c>
      <c r="HQ25" s="911">
        <v>167.55160819145564</v>
      </c>
      <c r="HR25" s="908">
        <v>9.5200875000000025</v>
      </c>
      <c r="HS25" s="902">
        <v>61.632108954064876</v>
      </c>
      <c r="HT25" s="902">
        <v>0</v>
      </c>
      <c r="HU25" s="902">
        <v>0</v>
      </c>
      <c r="HV25" s="902">
        <v>50.717020718503811</v>
      </c>
      <c r="HW25" s="902">
        <v>4.4930814527020093</v>
      </c>
      <c r="HX25" s="902">
        <v>3150</v>
      </c>
      <c r="HY25" s="909" t="s">
        <v>1063</v>
      </c>
      <c r="HZ25" s="909">
        <v>3</v>
      </c>
      <c r="IA25" s="909">
        <v>0</v>
      </c>
      <c r="IB25" s="909">
        <v>0</v>
      </c>
      <c r="IC25" s="909">
        <v>0</v>
      </c>
      <c r="ID25" s="910">
        <v>3570.2688488826634</v>
      </c>
      <c r="IE25" s="909">
        <v>0</v>
      </c>
      <c r="IF25" s="909">
        <v>0</v>
      </c>
      <c r="IG25" s="909">
        <v>0</v>
      </c>
      <c r="IH25" s="910">
        <v>3627.9065298991914</v>
      </c>
      <c r="II25" s="871">
        <v>3570.2688488826634</v>
      </c>
      <c r="IJ25" s="911">
        <v>149.55107182653683</v>
      </c>
      <c r="IK25" s="908">
        <v>12.693450000000002</v>
      </c>
      <c r="IL25" s="902">
        <v>64.805471454064872</v>
      </c>
      <c r="IM25" s="902">
        <v>0</v>
      </c>
      <c r="IN25" s="902">
        <v>0</v>
      </c>
      <c r="IO25" s="902">
        <v>51.612292669133801</v>
      </c>
      <c r="IP25" s="902">
        <v>4.7928055408270094</v>
      </c>
      <c r="IQ25" s="902">
        <v>3600</v>
      </c>
      <c r="IR25" s="909" t="s">
        <v>1063</v>
      </c>
      <c r="IS25" s="909">
        <v>4</v>
      </c>
      <c r="IT25" s="909">
        <v>0</v>
      </c>
      <c r="IU25" s="909">
        <v>0</v>
      </c>
      <c r="IV25" s="909">
        <v>0</v>
      </c>
      <c r="IW25" s="910">
        <v>4297.0554306185732</v>
      </c>
      <c r="IX25" s="909">
        <v>0</v>
      </c>
      <c r="IY25" s="909">
        <v>0</v>
      </c>
      <c r="IZ25" s="909">
        <v>0</v>
      </c>
      <c r="JA25" s="910">
        <v>4450.5912548626757</v>
      </c>
      <c r="JB25" s="871">
        <v>4000</v>
      </c>
      <c r="JC25" s="911">
        <v>167.55160819145564</v>
      </c>
      <c r="JD25" s="908">
        <v>9.5200875000000025</v>
      </c>
      <c r="JE25" s="902">
        <v>61.632108954064876</v>
      </c>
      <c r="JF25" s="902">
        <v>0</v>
      </c>
      <c r="JG25" s="902">
        <v>0</v>
      </c>
      <c r="JH25" s="902">
        <v>50.717020718503811</v>
      </c>
      <c r="JI25" s="902">
        <v>4.4930814527020093</v>
      </c>
      <c r="JJ25" s="902">
        <v>3150</v>
      </c>
      <c r="JK25" s="909" t="s">
        <v>1064</v>
      </c>
      <c r="JL25" s="909">
        <v>3</v>
      </c>
      <c r="JM25" s="909">
        <v>0</v>
      </c>
      <c r="JN25" s="909">
        <v>0</v>
      </c>
      <c r="JO25" s="909">
        <v>0</v>
      </c>
      <c r="JP25" s="910">
        <v>4865.4563064956083</v>
      </c>
      <c r="JQ25" s="909">
        <v>0</v>
      </c>
      <c r="JR25" s="909">
        <v>0</v>
      </c>
      <c r="JS25" s="909">
        <v>0</v>
      </c>
      <c r="JT25" s="910">
        <v>4944.0032256390814</v>
      </c>
      <c r="JU25" s="871">
        <v>4000</v>
      </c>
      <c r="JV25" s="911">
        <v>167.55160819145564</v>
      </c>
      <c r="JW25" s="908">
        <v>9.5200875000000025</v>
      </c>
      <c r="JX25" s="902">
        <v>61.632108954064876</v>
      </c>
      <c r="JY25" s="902">
        <v>0</v>
      </c>
      <c r="JZ25" s="902">
        <v>0</v>
      </c>
      <c r="KA25" s="902">
        <v>50.717020718503811</v>
      </c>
      <c r="KB25" s="902">
        <v>4.4930814527020093</v>
      </c>
      <c r="KC25" s="902">
        <v>3600</v>
      </c>
      <c r="KD25" s="909" t="s">
        <v>1064</v>
      </c>
      <c r="KE25" s="909">
        <v>3</v>
      </c>
      <c r="KF25" s="909">
        <v>0</v>
      </c>
      <c r="KG25" s="909">
        <v>0</v>
      </c>
      <c r="KH25" s="909">
        <v>0</v>
      </c>
      <c r="KI25" s="910">
        <v>4865.4563064956083</v>
      </c>
      <c r="KJ25" s="909">
        <v>0</v>
      </c>
      <c r="KK25" s="909">
        <v>0</v>
      </c>
      <c r="KL25" s="909">
        <v>0</v>
      </c>
      <c r="KM25" s="910">
        <v>4944.0032256390814</v>
      </c>
      <c r="KN25" s="871">
        <v>4000</v>
      </c>
      <c r="KO25" s="912">
        <v>167.55160819145564</v>
      </c>
    </row>
    <row r="26" spans="1:301" ht="15" customHeight="1">
      <c r="A26" s="924" t="s">
        <v>1519</v>
      </c>
      <c r="B26" s="888" t="s">
        <v>1077</v>
      </c>
      <c r="C26" s="888">
        <v>385</v>
      </c>
      <c r="D26" s="888">
        <v>800</v>
      </c>
      <c r="E26" s="888">
        <v>400</v>
      </c>
      <c r="F26" s="888">
        <v>350</v>
      </c>
      <c r="G26" s="888">
        <v>228</v>
      </c>
      <c r="H26" s="888">
        <v>156</v>
      </c>
      <c r="I26" s="888">
        <v>111.5</v>
      </c>
      <c r="J26" s="888">
        <v>35</v>
      </c>
      <c r="K26" s="888">
        <v>46.3</v>
      </c>
      <c r="L26" s="888">
        <v>10</v>
      </c>
      <c r="M26" s="888">
        <v>329</v>
      </c>
      <c r="N26" s="888">
        <v>5</v>
      </c>
      <c r="O26" s="884">
        <v>14.796901398407927</v>
      </c>
      <c r="P26" s="888">
        <v>5</v>
      </c>
      <c r="Q26" s="884">
        <v>10.335682409106624</v>
      </c>
      <c r="R26" s="888">
        <v>13.000000000000002</v>
      </c>
      <c r="S26" s="888">
        <v>552.0131179762684</v>
      </c>
      <c r="T26" s="906">
        <v>24.423150584136927</v>
      </c>
      <c r="U26" s="906">
        <v>82.801967696440258</v>
      </c>
      <c r="V26" s="906">
        <v>85</v>
      </c>
      <c r="W26" s="1141">
        <v>2.6947658937785688</v>
      </c>
      <c r="X26" s="902">
        <v>0</v>
      </c>
      <c r="Y26" s="902">
        <v>0</v>
      </c>
      <c r="Z26" s="902">
        <v>0</v>
      </c>
      <c r="AA26" s="902">
        <v>0</v>
      </c>
      <c r="AB26" s="970">
        <v>12.183990761553778</v>
      </c>
      <c r="AC26" s="1045">
        <v>4000</v>
      </c>
      <c r="AD26" s="890">
        <v>0.59810892094957457</v>
      </c>
      <c r="AE26" s="890">
        <v>0.70020753820970971</v>
      </c>
      <c r="AF26" s="890">
        <v>-0.34930789654276273</v>
      </c>
      <c r="AG26" s="890">
        <v>0.88724367478586885</v>
      </c>
      <c r="AH26" s="888"/>
      <c r="AI26" s="907">
        <v>2.6578630127582943</v>
      </c>
      <c r="AJ26" s="908">
        <v>17.271471875000003</v>
      </c>
      <c r="AK26" s="902">
        <v>69.521972160430039</v>
      </c>
      <c r="AL26" s="902">
        <v>0</v>
      </c>
      <c r="AM26" s="902">
        <v>0</v>
      </c>
      <c r="AN26" s="902">
        <v>56.882860724680867</v>
      </c>
      <c r="AO26" s="902">
        <v>5.3322278274430284</v>
      </c>
      <c r="AP26" s="1222">
        <v>3000</v>
      </c>
      <c r="AQ26" s="909" t="s">
        <v>1062</v>
      </c>
      <c r="AR26" s="909">
        <v>5</v>
      </c>
      <c r="AS26" s="909">
        <v>0</v>
      </c>
      <c r="AT26" s="909">
        <v>0</v>
      </c>
      <c r="AU26" s="909">
        <v>0</v>
      </c>
      <c r="AV26" s="910">
        <v>3502.8166540348643</v>
      </c>
      <c r="AW26" s="909">
        <v>0</v>
      </c>
      <c r="AX26" s="909">
        <v>0</v>
      </c>
      <c r="AY26" s="909">
        <v>0</v>
      </c>
      <c r="AZ26" s="910">
        <v>3607.2973336864356</v>
      </c>
      <c r="BA26" s="871">
        <v>3502.8166540348643</v>
      </c>
      <c r="BB26" s="911">
        <v>146.72564089583878</v>
      </c>
      <c r="BC26" s="908">
        <v>20.725766250000003</v>
      </c>
      <c r="BD26" s="902">
        <v>72.976266535430042</v>
      </c>
      <c r="BE26" s="902">
        <v>0</v>
      </c>
      <c r="BF26" s="902">
        <v>0</v>
      </c>
      <c r="BG26" s="902">
        <v>57.882429747294701</v>
      </c>
      <c r="BH26" s="902">
        <v>5.6725729754098255</v>
      </c>
      <c r="BI26" s="902">
        <v>3600</v>
      </c>
      <c r="BJ26" s="909" t="s">
        <v>1062</v>
      </c>
      <c r="BK26" s="909">
        <v>6</v>
      </c>
      <c r="BL26" s="909">
        <v>0</v>
      </c>
      <c r="BM26" s="909">
        <v>0</v>
      </c>
      <c r="BN26" s="909">
        <v>0</v>
      </c>
      <c r="BO26" s="910">
        <v>4187.1486401748252</v>
      </c>
      <c r="BP26" s="909">
        <v>0</v>
      </c>
      <c r="BQ26" s="909">
        <v>0</v>
      </c>
      <c r="BR26" s="909">
        <v>0</v>
      </c>
      <c r="BS26" s="910">
        <v>4500.5520700237703</v>
      </c>
      <c r="BT26" s="871">
        <v>4000</v>
      </c>
      <c r="BU26" s="911">
        <v>167.55160819145564</v>
      </c>
      <c r="BV26" s="908">
        <v>17.271471875000003</v>
      </c>
      <c r="BW26" s="902">
        <v>69.521972160430039</v>
      </c>
      <c r="BX26" s="902">
        <v>0</v>
      </c>
      <c r="BY26" s="902">
        <v>0</v>
      </c>
      <c r="BZ26" s="902">
        <v>56.882860724680867</v>
      </c>
      <c r="CA26" s="902">
        <v>5.3322278274430284</v>
      </c>
      <c r="CB26" s="902">
        <v>3000</v>
      </c>
      <c r="CC26" s="909" t="s">
        <v>2874</v>
      </c>
      <c r="CD26" s="909">
        <v>5</v>
      </c>
      <c r="CE26" s="909">
        <v>0</v>
      </c>
      <c r="CF26" s="909">
        <v>0</v>
      </c>
      <c r="CG26" s="909">
        <v>0</v>
      </c>
      <c r="CH26" s="910">
        <v>3432.0453859633963</v>
      </c>
      <c r="CI26" s="909">
        <v>0</v>
      </c>
      <c r="CJ26" s="909">
        <v>0</v>
      </c>
      <c r="CK26" s="909">
        <v>0</v>
      </c>
      <c r="CL26" s="910">
        <v>3534.4151272136128</v>
      </c>
      <c r="CM26" s="871">
        <v>3432.0453859633963</v>
      </c>
      <c r="CN26" s="911">
        <v>143.76118095105804</v>
      </c>
      <c r="CO26" s="908">
        <v>20.725766250000003</v>
      </c>
      <c r="CP26" s="902">
        <v>72.976266535430042</v>
      </c>
      <c r="CQ26" s="902">
        <v>0</v>
      </c>
      <c r="CR26" s="902">
        <v>0</v>
      </c>
      <c r="CS26" s="902">
        <v>57.882429747294701</v>
      </c>
      <c r="CT26" s="902">
        <v>5.6725729754098255</v>
      </c>
      <c r="CU26" s="902">
        <v>3600</v>
      </c>
      <c r="CV26" s="909" t="s">
        <v>2874</v>
      </c>
      <c r="CW26" s="909">
        <v>6</v>
      </c>
      <c r="CX26" s="909">
        <v>0</v>
      </c>
      <c r="CY26" s="909">
        <v>0</v>
      </c>
      <c r="CZ26" s="909">
        <v>0</v>
      </c>
      <c r="DA26" s="910">
        <v>4102.5510582467068</v>
      </c>
      <c r="DB26" s="909">
        <v>0</v>
      </c>
      <c r="DC26" s="909">
        <v>0</v>
      </c>
      <c r="DD26" s="909">
        <v>0</v>
      </c>
      <c r="DE26" s="910">
        <v>4409.6224529539295</v>
      </c>
      <c r="DF26" s="871">
        <v>4000</v>
      </c>
      <c r="DG26" s="911">
        <v>167.55160819145564</v>
      </c>
      <c r="DH26" s="908">
        <v>17.271471875000003</v>
      </c>
      <c r="DI26" s="902">
        <v>69.521972160430039</v>
      </c>
      <c r="DJ26" s="902">
        <v>0</v>
      </c>
      <c r="DK26" s="902">
        <v>0</v>
      </c>
      <c r="DL26" s="902">
        <v>56.882860724680867</v>
      </c>
      <c r="DM26" s="902">
        <v>5.3322278274430284</v>
      </c>
      <c r="DN26" s="902">
        <v>3000</v>
      </c>
      <c r="DO26" s="909" t="s">
        <v>2875</v>
      </c>
      <c r="DP26" s="909">
        <v>5</v>
      </c>
      <c r="DQ26" s="909">
        <v>0</v>
      </c>
      <c r="DR26" s="909">
        <v>0</v>
      </c>
      <c r="DS26" s="909">
        <v>0</v>
      </c>
      <c r="DT26" s="910">
        <v>3572.1860942923117</v>
      </c>
      <c r="DU26" s="909">
        <v>0</v>
      </c>
      <c r="DV26" s="909">
        <v>0</v>
      </c>
      <c r="DW26" s="909">
        <v>0</v>
      </c>
      <c r="DX26" s="910">
        <v>3678.735899159672</v>
      </c>
      <c r="DY26" s="871">
        <v>3572.1860942923117</v>
      </c>
      <c r="DZ26" s="911">
        <v>149.63138121445792</v>
      </c>
      <c r="EA26" s="908">
        <v>20.725766250000003</v>
      </c>
      <c r="EB26" s="902">
        <v>72.976266535430042</v>
      </c>
      <c r="EC26" s="902">
        <v>0</v>
      </c>
      <c r="ED26" s="902">
        <v>0</v>
      </c>
      <c r="EE26" s="902">
        <v>57.882429747294701</v>
      </c>
      <c r="EF26" s="902">
        <v>5.6725729754098255</v>
      </c>
      <c r="EG26" s="902">
        <v>3600</v>
      </c>
      <c r="EH26" s="909" t="s">
        <v>2875</v>
      </c>
      <c r="EI26" s="909">
        <v>6</v>
      </c>
      <c r="EJ26" s="909">
        <v>0</v>
      </c>
      <c r="EK26" s="909">
        <v>0</v>
      </c>
      <c r="EL26" s="909">
        <v>0</v>
      </c>
      <c r="EM26" s="910">
        <v>4270.0705245129848</v>
      </c>
      <c r="EN26" s="909">
        <v>0</v>
      </c>
      <c r="EO26" s="909">
        <v>0</v>
      </c>
      <c r="EP26" s="909">
        <v>0</v>
      </c>
      <c r="EQ26" s="910">
        <v>4589.680565398322</v>
      </c>
      <c r="ER26" s="871">
        <v>4000</v>
      </c>
      <c r="ES26" s="911">
        <v>167.55160819145564</v>
      </c>
      <c r="ET26" s="908">
        <v>17.271471875000003</v>
      </c>
      <c r="EU26" s="902">
        <v>69.521972160430039</v>
      </c>
      <c r="EV26" s="902">
        <v>0</v>
      </c>
      <c r="EW26" s="902">
        <v>0</v>
      </c>
      <c r="EX26" s="902">
        <v>56.882860724680867</v>
      </c>
      <c r="EY26" s="902">
        <v>5.3322278274430284</v>
      </c>
      <c r="EZ26" s="902">
        <v>3000</v>
      </c>
      <c r="FA26" s="909" t="s">
        <v>3884</v>
      </c>
      <c r="FB26" s="909">
        <v>5</v>
      </c>
      <c r="FC26" s="909">
        <v>0</v>
      </c>
      <c r="FD26" s="909">
        <v>0</v>
      </c>
      <c r="FE26" s="909">
        <v>0</v>
      </c>
      <c r="FF26" s="910">
        <v>3805.0328413701136</v>
      </c>
      <c r="FG26" s="909">
        <v>0</v>
      </c>
      <c r="FH26" s="909">
        <v>0</v>
      </c>
      <c r="FI26" s="909">
        <v>0</v>
      </c>
      <c r="FJ26" s="910">
        <v>3918.5279102327577</v>
      </c>
      <c r="FK26" s="871">
        <v>3805.0328413701136</v>
      </c>
      <c r="FL26" s="911">
        <v>159.38484294821663</v>
      </c>
      <c r="FM26" s="908">
        <v>17.271471875000003</v>
      </c>
      <c r="FN26" s="902">
        <v>69.521972160430039</v>
      </c>
      <c r="FO26" s="902">
        <v>0</v>
      </c>
      <c r="FP26" s="902">
        <v>0</v>
      </c>
      <c r="FQ26" s="902">
        <v>56.882860724680867</v>
      </c>
      <c r="FR26" s="902">
        <v>5.3322278274430284</v>
      </c>
      <c r="FS26" s="902">
        <v>3600</v>
      </c>
      <c r="FT26" s="909" t="s">
        <v>3884</v>
      </c>
      <c r="FU26" s="909">
        <v>5</v>
      </c>
      <c r="FV26" s="909">
        <v>0</v>
      </c>
      <c r="FW26" s="909">
        <v>0</v>
      </c>
      <c r="FX26" s="909">
        <v>0</v>
      </c>
      <c r="FY26" s="910">
        <v>3805.0328413701136</v>
      </c>
      <c r="FZ26" s="909">
        <v>0</v>
      </c>
      <c r="GA26" s="909">
        <v>0</v>
      </c>
      <c r="GB26" s="909">
        <v>0</v>
      </c>
      <c r="GC26" s="910">
        <v>3918.5279102327577</v>
      </c>
      <c r="GD26" s="871">
        <v>3805.0328413701136</v>
      </c>
      <c r="GE26" s="911">
        <v>159.38484294821663</v>
      </c>
      <c r="GF26" s="908">
        <v>10.362883125000002</v>
      </c>
      <c r="GG26" s="902">
        <v>62.613383410430046</v>
      </c>
      <c r="GH26" s="902">
        <v>0</v>
      </c>
      <c r="GI26" s="902">
        <v>0</v>
      </c>
      <c r="GJ26" s="902">
        <v>54.552853577912444</v>
      </c>
      <c r="GK26" s="902">
        <v>4.6515375315094349</v>
      </c>
      <c r="GL26" s="902">
        <v>3000</v>
      </c>
      <c r="GM26" s="909" t="s">
        <v>2877</v>
      </c>
      <c r="GN26" s="909">
        <v>3</v>
      </c>
      <c r="GO26" s="909">
        <v>0</v>
      </c>
      <c r="GP26" s="909">
        <v>0</v>
      </c>
      <c r="GQ26" s="909">
        <v>0</v>
      </c>
      <c r="GR26" s="910">
        <v>3329.4635092978465</v>
      </c>
      <c r="GS26" s="909">
        <v>0</v>
      </c>
      <c r="GT26" s="909">
        <v>0</v>
      </c>
      <c r="GU26" s="909">
        <v>0</v>
      </c>
      <c r="GV26" s="910">
        <v>3314.8433875794226</v>
      </c>
      <c r="GW26" s="871">
        <v>3314.8433875794226</v>
      </c>
      <c r="GX26" s="911">
        <v>138.85183512293625</v>
      </c>
      <c r="GY26" s="908">
        <v>13.817177500000001</v>
      </c>
      <c r="GZ26" s="902">
        <v>66.06767778543005</v>
      </c>
      <c r="HA26" s="902">
        <v>0</v>
      </c>
      <c r="HB26" s="902">
        <v>0</v>
      </c>
      <c r="HC26" s="902">
        <v>55.778768408136429</v>
      </c>
      <c r="HD26" s="902">
        <v>4.9918826794762312</v>
      </c>
      <c r="HE26" s="902">
        <v>3600</v>
      </c>
      <c r="HF26" s="909" t="s">
        <v>2877</v>
      </c>
      <c r="HG26" s="909">
        <v>4</v>
      </c>
      <c r="HH26" s="909">
        <v>0</v>
      </c>
      <c r="HI26" s="909">
        <v>0</v>
      </c>
      <c r="HJ26" s="909">
        <v>0</v>
      </c>
      <c r="HK26" s="910">
        <v>3984.6830631470402</v>
      </c>
      <c r="HL26" s="909">
        <v>0</v>
      </c>
      <c r="HM26" s="909">
        <v>0</v>
      </c>
      <c r="HN26" s="909">
        <v>0</v>
      </c>
      <c r="HO26" s="910">
        <v>4017.3065723907803</v>
      </c>
      <c r="HP26" s="871">
        <v>3984.6830631470402</v>
      </c>
      <c r="HQ26" s="911">
        <v>166.91001384088551</v>
      </c>
      <c r="HR26" s="908">
        <v>13.817177500000001</v>
      </c>
      <c r="HS26" s="902">
        <v>66.06767778543005</v>
      </c>
      <c r="HT26" s="902">
        <v>0</v>
      </c>
      <c r="HU26" s="902">
        <v>0</v>
      </c>
      <c r="HV26" s="902">
        <v>55.778768408136429</v>
      </c>
      <c r="HW26" s="902">
        <v>4.9918826794762312</v>
      </c>
      <c r="HX26" s="902">
        <v>3000</v>
      </c>
      <c r="HY26" s="909" t="s">
        <v>1063</v>
      </c>
      <c r="HZ26" s="909">
        <v>4</v>
      </c>
      <c r="IA26" s="909">
        <v>0</v>
      </c>
      <c r="IB26" s="909">
        <v>0</v>
      </c>
      <c r="IC26" s="909">
        <v>0</v>
      </c>
      <c r="ID26" s="910">
        <v>3514.1601461660507</v>
      </c>
      <c r="IE26" s="909">
        <v>0</v>
      </c>
      <c r="IF26" s="909">
        <v>0</v>
      </c>
      <c r="IG26" s="909">
        <v>0</v>
      </c>
      <c r="IH26" s="910">
        <v>3542.9313769504347</v>
      </c>
      <c r="II26" s="871">
        <v>3514.1601461660507</v>
      </c>
      <c r="IJ26" s="911">
        <v>147.20079598311065</v>
      </c>
      <c r="IK26" s="908">
        <v>17.271471875000003</v>
      </c>
      <c r="IL26" s="902">
        <v>69.521972160430039</v>
      </c>
      <c r="IM26" s="902">
        <v>0</v>
      </c>
      <c r="IN26" s="902">
        <v>0</v>
      </c>
      <c r="IO26" s="902">
        <v>56.882860724680867</v>
      </c>
      <c r="IP26" s="902">
        <v>5.3322278274430284</v>
      </c>
      <c r="IQ26" s="902">
        <v>3600</v>
      </c>
      <c r="IR26" s="909" t="s">
        <v>1063</v>
      </c>
      <c r="IS26" s="909">
        <v>5</v>
      </c>
      <c r="IT26" s="909">
        <v>0</v>
      </c>
      <c r="IU26" s="909">
        <v>0</v>
      </c>
      <c r="IV26" s="909">
        <v>0</v>
      </c>
      <c r="IW26" s="910">
        <v>4144.5885581680604</v>
      </c>
      <c r="IX26" s="909">
        <v>0</v>
      </c>
      <c r="IY26" s="909">
        <v>0</v>
      </c>
      <c r="IZ26" s="909">
        <v>0</v>
      </c>
      <c r="JA26" s="910">
        <v>4268.211765490295</v>
      </c>
      <c r="JB26" s="871">
        <v>4000</v>
      </c>
      <c r="JC26" s="911">
        <v>167.55160819145564</v>
      </c>
      <c r="JD26" s="908">
        <v>10.362883125000002</v>
      </c>
      <c r="JE26" s="902">
        <v>62.613383410430046</v>
      </c>
      <c r="JF26" s="902">
        <v>0</v>
      </c>
      <c r="JG26" s="902">
        <v>0</v>
      </c>
      <c r="JH26" s="902">
        <v>54.552853577912444</v>
      </c>
      <c r="JI26" s="902">
        <v>4.6515375315094349</v>
      </c>
      <c r="JJ26" s="902">
        <v>3000</v>
      </c>
      <c r="JK26" s="909" t="s">
        <v>1064</v>
      </c>
      <c r="JL26" s="909">
        <v>3</v>
      </c>
      <c r="JM26" s="909">
        <v>0</v>
      </c>
      <c r="JN26" s="909">
        <v>0</v>
      </c>
      <c r="JO26" s="909">
        <v>0</v>
      </c>
      <c r="JP26" s="910">
        <v>4001.5171341865548</v>
      </c>
      <c r="JQ26" s="909">
        <v>0</v>
      </c>
      <c r="JR26" s="909">
        <v>0</v>
      </c>
      <c r="JS26" s="909">
        <v>0</v>
      </c>
      <c r="JT26" s="910">
        <v>3983.9459346834524</v>
      </c>
      <c r="JU26" s="871">
        <v>3983.9459346834524</v>
      </c>
      <c r="JV26" s="911">
        <v>166.87913707600606</v>
      </c>
      <c r="JW26" s="908">
        <v>10.362883125000002</v>
      </c>
      <c r="JX26" s="902">
        <v>62.613383410430046</v>
      </c>
      <c r="JY26" s="902">
        <v>0</v>
      </c>
      <c r="JZ26" s="902">
        <v>0</v>
      </c>
      <c r="KA26" s="902">
        <v>54.552853577912444</v>
      </c>
      <c r="KB26" s="902">
        <v>4.6515375315094349</v>
      </c>
      <c r="KC26" s="902">
        <v>3600</v>
      </c>
      <c r="KD26" s="909" t="s">
        <v>1064</v>
      </c>
      <c r="KE26" s="909">
        <v>3</v>
      </c>
      <c r="KF26" s="909">
        <v>0</v>
      </c>
      <c r="KG26" s="909">
        <v>0</v>
      </c>
      <c r="KH26" s="909">
        <v>0</v>
      </c>
      <c r="KI26" s="910">
        <v>4001.5171341865548</v>
      </c>
      <c r="KJ26" s="909">
        <v>0</v>
      </c>
      <c r="KK26" s="909">
        <v>0</v>
      </c>
      <c r="KL26" s="909">
        <v>0</v>
      </c>
      <c r="KM26" s="910">
        <v>3983.9459346834524</v>
      </c>
      <c r="KN26" s="871">
        <v>3983.9459346834524</v>
      </c>
      <c r="KO26" s="912">
        <v>166.87913707600606</v>
      </c>
    </row>
    <row r="27" spans="1:301" ht="15" customHeight="1">
      <c r="A27" s="924" t="s">
        <v>1520</v>
      </c>
      <c r="B27" s="888" t="s">
        <v>1073</v>
      </c>
      <c r="C27" s="888">
        <v>511.49999999999994</v>
      </c>
      <c r="D27" s="888">
        <v>800</v>
      </c>
      <c r="E27" s="888">
        <v>500</v>
      </c>
      <c r="F27" s="888">
        <v>500</v>
      </c>
      <c r="G27" s="888">
        <v>298</v>
      </c>
      <c r="H27" s="888">
        <v>210</v>
      </c>
      <c r="I27" s="888">
        <v>153</v>
      </c>
      <c r="J27" s="888">
        <v>20.010000000000002</v>
      </c>
      <c r="K27" s="888">
        <v>30.1</v>
      </c>
      <c r="L27" s="888">
        <v>8</v>
      </c>
      <c r="M27" s="888">
        <v>317</v>
      </c>
      <c r="N27" s="888">
        <v>5</v>
      </c>
      <c r="O27" s="884">
        <v>12.022482386206439</v>
      </c>
      <c r="P27" s="888">
        <v>5</v>
      </c>
      <c r="Q27" s="884">
        <v>8.3740178205273974</v>
      </c>
      <c r="R27" s="888">
        <v>13.000000000000002</v>
      </c>
      <c r="S27" s="888">
        <v>606.92121363186084</v>
      </c>
      <c r="T27" s="906">
        <v>29.523478514442914</v>
      </c>
      <c r="U27" s="906">
        <v>91.03818204477912</v>
      </c>
      <c r="V27" s="906">
        <v>122.5</v>
      </c>
      <c r="W27" s="1141">
        <v>4.6946589031980723</v>
      </c>
      <c r="X27" s="902">
        <v>0</v>
      </c>
      <c r="Y27" s="902">
        <v>0</v>
      </c>
      <c r="Z27" s="902">
        <v>0</v>
      </c>
      <c r="AA27" s="902">
        <v>0</v>
      </c>
      <c r="AB27" s="970">
        <v>23.130747303479851</v>
      </c>
      <c r="AC27" s="1045">
        <v>4000</v>
      </c>
      <c r="AD27" s="890">
        <v>0.57258868950156983</v>
      </c>
      <c r="AE27" s="890">
        <v>0.36416790088271772</v>
      </c>
      <c r="AF27" s="890">
        <v>-0.63015040562014635</v>
      </c>
      <c r="AG27" s="890">
        <v>1.0011198823881093</v>
      </c>
      <c r="AH27" s="888"/>
      <c r="AI27" s="907">
        <v>2.5202163210263842</v>
      </c>
      <c r="AJ27" s="908">
        <v>28.905835200000006</v>
      </c>
      <c r="AK27" s="902">
        <v>85.388565210448192</v>
      </c>
      <c r="AL27" s="902">
        <v>1.8680923860733749</v>
      </c>
      <c r="AM27" s="902">
        <v>0</v>
      </c>
      <c r="AN27" s="902">
        <v>73.269403168184439</v>
      </c>
      <c r="AO27" s="902">
        <v>7.1478303620813755</v>
      </c>
      <c r="AP27" s="1222">
        <v>3600</v>
      </c>
      <c r="AQ27" s="909" t="s">
        <v>1062</v>
      </c>
      <c r="AR27" s="909">
        <v>8</v>
      </c>
      <c r="AS27" s="909">
        <v>1</v>
      </c>
      <c r="AT27" s="909">
        <v>10</v>
      </c>
      <c r="AU27" s="909">
        <v>30.529609796355569</v>
      </c>
      <c r="AV27" s="910">
        <v>5166.2768926320659</v>
      </c>
      <c r="AW27" s="909">
        <v>0</v>
      </c>
      <c r="AX27" s="909">
        <v>0</v>
      </c>
      <c r="AY27" s="909">
        <v>0</v>
      </c>
      <c r="AZ27" s="910">
        <v>4728.9303325254978</v>
      </c>
      <c r="BA27" s="871">
        <v>4000</v>
      </c>
      <c r="BB27" s="911">
        <v>167.55160819145564</v>
      </c>
      <c r="BC27" s="908">
        <v>28.905835200000006</v>
      </c>
      <c r="BD27" s="902">
        <v>85.388565210448192</v>
      </c>
      <c r="BE27" s="902">
        <v>1.8680923860733749</v>
      </c>
      <c r="BF27" s="902">
        <v>0</v>
      </c>
      <c r="BG27" s="902">
        <v>73.269403168184439</v>
      </c>
      <c r="BH27" s="902">
        <v>7.1478303620813755</v>
      </c>
      <c r="BI27" s="902">
        <v>3600</v>
      </c>
      <c r="BJ27" s="909" t="s">
        <v>1062</v>
      </c>
      <c r="BK27" s="909">
        <v>8</v>
      </c>
      <c r="BL27" s="909">
        <v>1</v>
      </c>
      <c r="BM27" s="909">
        <v>10</v>
      </c>
      <c r="BN27" s="909">
        <v>30.529609796355569</v>
      </c>
      <c r="BO27" s="910">
        <v>5166.2768926320659</v>
      </c>
      <c r="BP27" s="909">
        <v>0</v>
      </c>
      <c r="BQ27" s="909">
        <v>0</v>
      </c>
      <c r="BR27" s="909">
        <v>0</v>
      </c>
      <c r="BS27" s="910">
        <v>4728.9303325254978</v>
      </c>
      <c r="BT27" s="871">
        <v>4000</v>
      </c>
      <c r="BU27" s="911">
        <v>167.55160819145564</v>
      </c>
      <c r="BV27" s="908">
        <v>28.905835200000006</v>
      </c>
      <c r="BW27" s="902">
        <v>85.388565210448192</v>
      </c>
      <c r="BX27" s="902">
        <v>1.8680923860733749</v>
      </c>
      <c r="BY27" s="902">
        <v>0</v>
      </c>
      <c r="BZ27" s="902">
        <v>73.269403168184439</v>
      </c>
      <c r="CA27" s="902">
        <v>7.1478303620813755</v>
      </c>
      <c r="CB27" s="902">
        <v>3600</v>
      </c>
      <c r="CC27" s="909" t="s">
        <v>2874</v>
      </c>
      <c r="CD27" s="909">
        <v>8</v>
      </c>
      <c r="CE27" s="909">
        <v>1</v>
      </c>
      <c r="CF27" s="909">
        <v>10</v>
      </c>
      <c r="CG27" s="909">
        <v>30.529609796355569</v>
      </c>
      <c r="CH27" s="910">
        <v>5061.8969027519997</v>
      </c>
      <c r="CI27" s="909">
        <v>0</v>
      </c>
      <c r="CJ27" s="909">
        <v>0</v>
      </c>
      <c r="CK27" s="909">
        <v>0</v>
      </c>
      <c r="CL27" s="910">
        <v>4633.3865375429814</v>
      </c>
      <c r="CM27" s="871">
        <v>4000</v>
      </c>
      <c r="CN27" s="911">
        <v>167.55160819145564</v>
      </c>
      <c r="CO27" s="908">
        <v>28.905835200000006</v>
      </c>
      <c r="CP27" s="902">
        <v>85.388565210448192</v>
      </c>
      <c r="CQ27" s="902">
        <v>1.8680923860733749</v>
      </c>
      <c r="CR27" s="902">
        <v>0</v>
      </c>
      <c r="CS27" s="902">
        <v>73.269403168184439</v>
      </c>
      <c r="CT27" s="902">
        <v>7.1478303620813755</v>
      </c>
      <c r="CU27" s="902">
        <v>3600</v>
      </c>
      <c r="CV27" s="909" t="s">
        <v>2874</v>
      </c>
      <c r="CW27" s="909">
        <v>8</v>
      </c>
      <c r="CX27" s="909">
        <v>1</v>
      </c>
      <c r="CY27" s="909">
        <v>10</v>
      </c>
      <c r="CZ27" s="909">
        <v>30.529609796355569</v>
      </c>
      <c r="DA27" s="910">
        <v>5061.8969027519997</v>
      </c>
      <c r="DB27" s="909">
        <v>0</v>
      </c>
      <c r="DC27" s="909">
        <v>0</v>
      </c>
      <c r="DD27" s="909">
        <v>0</v>
      </c>
      <c r="DE27" s="910">
        <v>4633.3865375429814</v>
      </c>
      <c r="DF27" s="871">
        <v>4000</v>
      </c>
      <c r="DG27" s="911">
        <v>167.55160819145564</v>
      </c>
      <c r="DH27" s="908">
        <v>28.905835200000006</v>
      </c>
      <c r="DI27" s="902">
        <v>83.520472824374821</v>
      </c>
      <c r="DJ27" s="902">
        <v>0</v>
      </c>
      <c r="DK27" s="902">
        <v>0</v>
      </c>
      <c r="DL27" s="902">
        <v>72.559688719228646</v>
      </c>
      <c r="DM27" s="902">
        <v>7.0101855065160041</v>
      </c>
      <c r="DN27" s="902">
        <v>3600</v>
      </c>
      <c r="DO27" s="909" t="s">
        <v>3884</v>
      </c>
      <c r="DP27" s="909">
        <v>8</v>
      </c>
      <c r="DQ27" s="909">
        <v>0</v>
      </c>
      <c r="DR27" s="909">
        <v>0</v>
      </c>
      <c r="DS27" s="909">
        <v>0</v>
      </c>
      <c r="DT27" s="910">
        <v>4016.7962217248564</v>
      </c>
      <c r="DU27" s="909">
        <v>0</v>
      </c>
      <c r="DV27" s="909">
        <v>0</v>
      </c>
      <c r="DW27" s="909">
        <v>0</v>
      </c>
      <c r="DX27" s="910">
        <v>5136.9332160402928</v>
      </c>
      <c r="DY27" s="871">
        <v>4000</v>
      </c>
      <c r="DZ27" s="911">
        <v>167.55160819145564</v>
      </c>
      <c r="EA27" s="908">
        <v>28.905835200000006</v>
      </c>
      <c r="EB27" s="902">
        <v>83.520472824374821</v>
      </c>
      <c r="EC27" s="902">
        <v>0</v>
      </c>
      <c r="ED27" s="902">
        <v>0</v>
      </c>
      <c r="EE27" s="902">
        <v>72.559688719228646</v>
      </c>
      <c r="EF27" s="902">
        <v>7.0101855065160041</v>
      </c>
      <c r="EG27" s="902">
        <v>3600</v>
      </c>
      <c r="EH27" s="909" t="s">
        <v>3884</v>
      </c>
      <c r="EI27" s="909">
        <v>8</v>
      </c>
      <c r="EJ27" s="909">
        <v>0</v>
      </c>
      <c r="EK27" s="909">
        <v>0</v>
      </c>
      <c r="EL27" s="909">
        <v>0</v>
      </c>
      <c r="EM27" s="910">
        <v>4016.7962217248564</v>
      </c>
      <c r="EN27" s="909">
        <v>0</v>
      </c>
      <c r="EO27" s="909">
        <v>0</v>
      </c>
      <c r="EP27" s="909">
        <v>0</v>
      </c>
      <c r="EQ27" s="910">
        <v>5136.9332160402928</v>
      </c>
      <c r="ER27" s="871">
        <v>4000</v>
      </c>
      <c r="ES27" s="911">
        <v>167.55160819145564</v>
      </c>
      <c r="ET27" s="908">
        <v>28.905835200000006</v>
      </c>
      <c r="EU27" s="902">
        <v>83.520472824374821</v>
      </c>
      <c r="EV27" s="902">
        <v>0</v>
      </c>
      <c r="EW27" s="902">
        <v>0</v>
      </c>
      <c r="EX27" s="902">
        <v>72.559688719228646</v>
      </c>
      <c r="EY27" s="902">
        <v>7.0101855065160041</v>
      </c>
      <c r="EZ27" s="902">
        <v>3600</v>
      </c>
      <c r="FA27" s="909" t="s">
        <v>3884</v>
      </c>
      <c r="FB27" s="909">
        <v>8</v>
      </c>
      <c r="FC27" s="909">
        <v>0</v>
      </c>
      <c r="FD27" s="909">
        <v>0</v>
      </c>
      <c r="FE27" s="909">
        <v>0</v>
      </c>
      <c r="FF27" s="910">
        <v>4016.7962217248564</v>
      </c>
      <c r="FG27" s="909">
        <v>0</v>
      </c>
      <c r="FH27" s="909">
        <v>0</v>
      </c>
      <c r="FI27" s="909">
        <v>0</v>
      </c>
      <c r="FJ27" s="910">
        <v>5136.9332160402928</v>
      </c>
      <c r="FK27" s="871">
        <v>4000</v>
      </c>
      <c r="FL27" s="911">
        <v>167.55160819145564</v>
      </c>
      <c r="FM27" s="908">
        <v>28.905835200000006</v>
      </c>
      <c r="FN27" s="902">
        <v>83.520472824374821</v>
      </c>
      <c r="FO27" s="902">
        <v>0</v>
      </c>
      <c r="FP27" s="902">
        <v>0</v>
      </c>
      <c r="FQ27" s="902">
        <v>72.559688719228646</v>
      </c>
      <c r="FR27" s="902">
        <v>7.0101855065160041</v>
      </c>
      <c r="FS27" s="902">
        <v>3600</v>
      </c>
      <c r="FT27" s="909" t="s">
        <v>3884</v>
      </c>
      <c r="FU27" s="909">
        <v>8</v>
      </c>
      <c r="FV27" s="909">
        <v>0</v>
      </c>
      <c r="FW27" s="909">
        <v>0</v>
      </c>
      <c r="FX27" s="909">
        <v>0</v>
      </c>
      <c r="FY27" s="910">
        <v>4016.7962217248564</v>
      </c>
      <c r="FZ27" s="909">
        <v>0</v>
      </c>
      <c r="GA27" s="909">
        <v>0</v>
      </c>
      <c r="GB27" s="909">
        <v>0</v>
      </c>
      <c r="GC27" s="910">
        <v>5136.9332160402928</v>
      </c>
      <c r="GD27" s="871">
        <v>4000</v>
      </c>
      <c r="GE27" s="911">
        <v>167.55160819145564</v>
      </c>
      <c r="GF27" s="908">
        <v>28.905835200000006</v>
      </c>
      <c r="GG27" s="902">
        <v>83.520472824374821</v>
      </c>
      <c r="GH27" s="902">
        <v>0</v>
      </c>
      <c r="GI27" s="902">
        <v>0</v>
      </c>
      <c r="GJ27" s="902">
        <v>72.559688719228646</v>
      </c>
      <c r="GK27" s="902">
        <v>7.0101855065160041</v>
      </c>
      <c r="GL27" s="902">
        <v>3600</v>
      </c>
      <c r="GM27" s="909" t="s">
        <v>2877</v>
      </c>
      <c r="GN27" s="909">
        <v>8</v>
      </c>
      <c r="GO27" s="909">
        <v>0</v>
      </c>
      <c r="GP27" s="909">
        <v>0</v>
      </c>
      <c r="GQ27" s="909">
        <v>0</v>
      </c>
      <c r="GR27" s="910">
        <v>4961.066502715662</v>
      </c>
      <c r="GS27" s="909">
        <v>0</v>
      </c>
      <c r="GT27" s="909">
        <v>0</v>
      </c>
      <c r="GU27" s="909">
        <v>0</v>
      </c>
      <c r="GV27" s="910">
        <v>6344.5258106326201</v>
      </c>
      <c r="GW27" s="871">
        <v>4000</v>
      </c>
      <c r="GX27" s="911">
        <v>167.55160819145564</v>
      </c>
      <c r="GY27" s="908">
        <v>28.905835200000006</v>
      </c>
      <c r="GZ27" s="902">
        <v>83.520472824374821</v>
      </c>
      <c r="HA27" s="902">
        <v>0</v>
      </c>
      <c r="HB27" s="902">
        <v>0</v>
      </c>
      <c r="HC27" s="902">
        <v>72.559688719228646</v>
      </c>
      <c r="HD27" s="902">
        <v>7.0101855065160041</v>
      </c>
      <c r="HE27" s="902">
        <v>3600</v>
      </c>
      <c r="HF27" s="909" t="s">
        <v>2877</v>
      </c>
      <c r="HG27" s="909">
        <v>8</v>
      </c>
      <c r="HH27" s="909">
        <v>0</v>
      </c>
      <c r="HI27" s="909">
        <v>0</v>
      </c>
      <c r="HJ27" s="909">
        <v>0</v>
      </c>
      <c r="HK27" s="910">
        <v>4961.066502715662</v>
      </c>
      <c r="HL27" s="909">
        <v>0</v>
      </c>
      <c r="HM27" s="909">
        <v>0</v>
      </c>
      <c r="HN27" s="909">
        <v>0</v>
      </c>
      <c r="HO27" s="910">
        <v>6344.5258106326201</v>
      </c>
      <c r="HP27" s="871">
        <v>4000</v>
      </c>
      <c r="HQ27" s="911">
        <v>167.55160819145564</v>
      </c>
      <c r="HR27" s="908">
        <v>14.452917600000003</v>
      </c>
      <c r="HS27" s="902">
        <v>72.762680588453065</v>
      </c>
      <c r="HT27" s="902">
        <v>1.1208554316440249</v>
      </c>
      <c r="HU27" s="902">
        <v>2.5742699324342038</v>
      </c>
      <c r="HV27" s="902">
        <v>66.755163398200708</v>
      </c>
      <c r="HW27" s="902">
        <v>5.8322565150734942</v>
      </c>
      <c r="HX27" s="902">
        <v>3600</v>
      </c>
      <c r="HY27" s="909" t="s">
        <v>1063</v>
      </c>
      <c r="HZ27" s="909">
        <v>4</v>
      </c>
      <c r="IA27" s="909">
        <v>1</v>
      </c>
      <c r="IB27" s="909">
        <v>6</v>
      </c>
      <c r="IC27" s="909">
        <v>30.529609796355569</v>
      </c>
      <c r="ID27" s="910">
        <v>4613.808319618578</v>
      </c>
      <c r="IE27" s="909">
        <v>1</v>
      </c>
      <c r="IF27" s="909">
        <v>6</v>
      </c>
      <c r="IG27" s="909">
        <v>44.744700533923059</v>
      </c>
      <c r="IH27" s="910">
        <v>4982.6204907990541</v>
      </c>
      <c r="II27" s="871">
        <v>4000</v>
      </c>
      <c r="IJ27" s="911">
        <v>167.55160819145564</v>
      </c>
      <c r="IK27" s="908">
        <v>14.452917600000003</v>
      </c>
      <c r="IL27" s="902">
        <v>72.762680588453065</v>
      </c>
      <c r="IM27" s="902">
        <v>1.1208554316440249</v>
      </c>
      <c r="IN27" s="902">
        <v>2.5742699324342038</v>
      </c>
      <c r="IO27" s="902">
        <v>66.755163398200708</v>
      </c>
      <c r="IP27" s="902">
        <v>5.8322565150734942</v>
      </c>
      <c r="IQ27" s="902">
        <v>3600</v>
      </c>
      <c r="IR27" s="909" t="s">
        <v>1063</v>
      </c>
      <c r="IS27" s="909">
        <v>4</v>
      </c>
      <c r="IT27" s="909">
        <v>1</v>
      </c>
      <c r="IU27" s="909">
        <v>6</v>
      </c>
      <c r="IV27" s="909">
        <v>30.529609796355569</v>
      </c>
      <c r="IW27" s="910">
        <v>4613.808319618578</v>
      </c>
      <c r="IX27" s="909">
        <v>1</v>
      </c>
      <c r="IY27" s="909">
        <v>6</v>
      </c>
      <c r="IZ27" s="909">
        <v>44.744700533923059</v>
      </c>
      <c r="JA27" s="910">
        <v>4982.6204907990541</v>
      </c>
      <c r="JB27" s="871">
        <v>4000</v>
      </c>
      <c r="JC27" s="911">
        <v>167.55160819145564</v>
      </c>
      <c r="JD27" s="908">
        <v>21.679376400000002</v>
      </c>
      <c r="JE27" s="902">
        <v>77.788487933233526</v>
      </c>
      <c r="JF27" s="902">
        <v>1.4944739088586998</v>
      </c>
      <c r="JG27" s="902">
        <v>0</v>
      </c>
      <c r="JH27" s="902">
        <v>70.169265932184601</v>
      </c>
      <c r="JI27" s="902">
        <v>6.3058503525462637</v>
      </c>
      <c r="JJ27" s="902">
        <v>3600</v>
      </c>
      <c r="JK27" s="909" t="s">
        <v>1064</v>
      </c>
      <c r="JL27" s="909">
        <v>6</v>
      </c>
      <c r="JM27" s="909">
        <v>1</v>
      </c>
      <c r="JN27" s="909">
        <v>8</v>
      </c>
      <c r="JO27" s="909">
        <v>30.529609796355569</v>
      </c>
      <c r="JP27" s="910">
        <v>8436.1873842648638</v>
      </c>
      <c r="JQ27" s="909">
        <v>0</v>
      </c>
      <c r="JR27" s="909">
        <v>0</v>
      </c>
      <c r="JS27" s="909">
        <v>0</v>
      </c>
      <c r="JT27" s="910">
        <v>4204.3417749909613</v>
      </c>
      <c r="JU27" s="871">
        <v>4000</v>
      </c>
      <c r="JV27" s="911">
        <v>167.55160819145564</v>
      </c>
      <c r="JW27" s="908">
        <v>21.679376400000002</v>
      </c>
      <c r="JX27" s="902">
        <v>77.788487933233526</v>
      </c>
      <c r="JY27" s="902">
        <v>1.4944739088586998</v>
      </c>
      <c r="JZ27" s="902">
        <v>0</v>
      </c>
      <c r="KA27" s="902">
        <v>70.169265932184601</v>
      </c>
      <c r="KB27" s="902">
        <v>6.3058503525462637</v>
      </c>
      <c r="KC27" s="902">
        <v>3600</v>
      </c>
      <c r="KD27" s="909" t="s">
        <v>1064</v>
      </c>
      <c r="KE27" s="909">
        <v>6</v>
      </c>
      <c r="KF27" s="909">
        <v>1</v>
      </c>
      <c r="KG27" s="909">
        <v>8</v>
      </c>
      <c r="KH27" s="909">
        <v>30.529609796355569</v>
      </c>
      <c r="KI27" s="910">
        <v>8436.1873842648638</v>
      </c>
      <c r="KJ27" s="909">
        <v>0</v>
      </c>
      <c r="KK27" s="909">
        <v>0</v>
      </c>
      <c r="KL27" s="909">
        <v>0</v>
      </c>
      <c r="KM27" s="910">
        <v>4204.3417749909613</v>
      </c>
      <c r="KN27" s="871">
        <v>4000</v>
      </c>
      <c r="KO27" s="912">
        <v>167.55160819145564</v>
      </c>
    </row>
    <row r="28" spans="1:301" ht="15" customHeight="1">
      <c r="A28" s="924" t="s">
        <v>1521</v>
      </c>
      <c r="B28" s="888" t="s">
        <v>1075</v>
      </c>
      <c r="C28" s="888">
        <v>460</v>
      </c>
      <c r="D28" s="888">
        <v>900</v>
      </c>
      <c r="E28" s="888">
        <v>400</v>
      </c>
      <c r="F28" s="888">
        <v>350</v>
      </c>
      <c r="G28" s="888">
        <v>231</v>
      </c>
      <c r="H28" s="888">
        <v>154</v>
      </c>
      <c r="I28" s="888">
        <v>106.5</v>
      </c>
      <c r="J28" s="888">
        <v>34.5</v>
      </c>
      <c r="K28" s="888">
        <v>46.37</v>
      </c>
      <c r="L28" s="888">
        <v>12</v>
      </c>
      <c r="M28" s="888">
        <v>386</v>
      </c>
      <c r="N28" s="888">
        <v>5</v>
      </c>
      <c r="O28" s="884">
        <v>20.037470643677402</v>
      </c>
      <c r="P28" s="888">
        <v>5</v>
      </c>
      <c r="Q28" s="884">
        <v>12.09032561930065</v>
      </c>
      <c r="R28" s="888">
        <v>18.000000000000004</v>
      </c>
      <c r="S28" s="888">
        <v>646.37389965873854</v>
      </c>
      <c r="T28" s="906">
        <v>46.366003765845818</v>
      </c>
      <c r="U28" s="906">
        <v>96.956084948810783</v>
      </c>
      <c r="V28" s="906">
        <v>85</v>
      </c>
      <c r="W28" s="1141">
        <v>3.694790925090838</v>
      </c>
      <c r="X28" s="902">
        <v>0</v>
      </c>
      <c r="Y28" s="902">
        <v>0</v>
      </c>
      <c r="Z28" s="902">
        <v>0</v>
      </c>
      <c r="AA28" s="902">
        <v>0</v>
      </c>
      <c r="AB28" s="970">
        <v>19.922132474743137</v>
      </c>
      <c r="AC28" s="1045">
        <v>4000</v>
      </c>
      <c r="AD28" s="890">
        <v>0.59576856227772923</v>
      </c>
      <c r="AE28" s="890">
        <v>0.68728095860161309</v>
      </c>
      <c r="AF28" s="890">
        <v>-0.23688180991160718</v>
      </c>
      <c r="AG28" s="890">
        <v>0.82014815072606806</v>
      </c>
      <c r="AH28" s="888"/>
      <c r="AI28" s="907">
        <v>3.4189455466579326</v>
      </c>
      <c r="AJ28" s="908">
        <v>28.416277800000003</v>
      </c>
      <c r="AK28" s="902">
        <v>110.60486875391472</v>
      </c>
      <c r="AL28" s="902">
        <v>0</v>
      </c>
      <c r="AM28" s="902">
        <v>0</v>
      </c>
      <c r="AN28" s="902">
        <v>53.147500631842547</v>
      </c>
      <c r="AO28" s="902">
        <v>10.335323548762608</v>
      </c>
      <c r="AP28" s="1222">
        <v>3300</v>
      </c>
      <c r="AQ28" s="909" t="s">
        <v>1062</v>
      </c>
      <c r="AR28" s="909">
        <v>6</v>
      </c>
      <c r="AS28" s="909">
        <v>0</v>
      </c>
      <c r="AT28" s="909">
        <v>0</v>
      </c>
      <c r="AU28" s="909">
        <v>0</v>
      </c>
      <c r="AV28" s="910">
        <v>3832.8717234674223</v>
      </c>
      <c r="AW28" s="909">
        <v>0</v>
      </c>
      <c r="AX28" s="909">
        <v>0</v>
      </c>
      <c r="AY28" s="909">
        <v>0</v>
      </c>
      <c r="AZ28" s="910">
        <v>4548.968991286064</v>
      </c>
      <c r="BA28" s="871">
        <v>3832.8717234674223</v>
      </c>
      <c r="BB28" s="911">
        <v>180.61982472895954</v>
      </c>
      <c r="BC28" s="908">
        <v>28.416277800000003</v>
      </c>
      <c r="BD28" s="902">
        <v>110.60486875391472</v>
      </c>
      <c r="BE28" s="902">
        <v>0</v>
      </c>
      <c r="BF28" s="902">
        <v>0</v>
      </c>
      <c r="BG28" s="902">
        <v>53.147500631842547</v>
      </c>
      <c r="BH28" s="902">
        <v>10.335323548762608</v>
      </c>
      <c r="BI28" s="902">
        <v>3600</v>
      </c>
      <c r="BJ28" s="909" t="s">
        <v>1062</v>
      </c>
      <c r="BK28" s="909">
        <v>6</v>
      </c>
      <c r="BL28" s="909">
        <v>0</v>
      </c>
      <c r="BM28" s="909">
        <v>0</v>
      </c>
      <c r="BN28" s="909">
        <v>0</v>
      </c>
      <c r="BO28" s="910">
        <v>3832.8717234674223</v>
      </c>
      <c r="BP28" s="909">
        <v>0</v>
      </c>
      <c r="BQ28" s="909">
        <v>0</v>
      </c>
      <c r="BR28" s="909">
        <v>0</v>
      </c>
      <c r="BS28" s="910">
        <v>4548.968991286064</v>
      </c>
      <c r="BT28" s="871">
        <v>3832.8717234674223</v>
      </c>
      <c r="BU28" s="911">
        <v>180.61982472895954</v>
      </c>
      <c r="BV28" s="908">
        <v>28.416277800000003</v>
      </c>
      <c r="BW28" s="902">
        <v>110.60486875391472</v>
      </c>
      <c r="BX28" s="902">
        <v>0</v>
      </c>
      <c r="BY28" s="902">
        <v>0</v>
      </c>
      <c r="BZ28" s="902">
        <v>53.147500631842547</v>
      </c>
      <c r="CA28" s="902">
        <v>10.335323548762608</v>
      </c>
      <c r="CB28" s="902">
        <v>3300</v>
      </c>
      <c r="CC28" s="909" t="s">
        <v>2874</v>
      </c>
      <c r="CD28" s="909">
        <v>6</v>
      </c>
      <c r="CE28" s="909">
        <v>0</v>
      </c>
      <c r="CF28" s="909">
        <v>0</v>
      </c>
      <c r="CG28" s="909">
        <v>0</v>
      </c>
      <c r="CH28" s="910">
        <v>3755.431988814853</v>
      </c>
      <c r="CI28" s="909">
        <v>0</v>
      </c>
      <c r="CJ28" s="909">
        <v>0</v>
      </c>
      <c r="CK28" s="909">
        <v>0</v>
      </c>
      <c r="CL28" s="910">
        <v>4457.0611537575833</v>
      </c>
      <c r="CM28" s="871">
        <v>3755.431988814853</v>
      </c>
      <c r="CN28" s="911">
        <v>176.9705632067527</v>
      </c>
      <c r="CO28" s="908">
        <v>28.416277800000003</v>
      </c>
      <c r="CP28" s="902">
        <v>110.60486875391472</v>
      </c>
      <c r="CQ28" s="902">
        <v>0</v>
      </c>
      <c r="CR28" s="902">
        <v>0</v>
      </c>
      <c r="CS28" s="902">
        <v>53.147500631842547</v>
      </c>
      <c r="CT28" s="902">
        <v>10.335323548762608</v>
      </c>
      <c r="CU28" s="902">
        <v>3600</v>
      </c>
      <c r="CV28" s="909" t="s">
        <v>2874</v>
      </c>
      <c r="CW28" s="909">
        <v>6</v>
      </c>
      <c r="CX28" s="909">
        <v>0</v>
      </c>
      <c r="CY28" s="909">
        <v>0</v>
      </c>
      <c r="CZ28" s="909">
        <v>0</v>
      </c>
      <c r="DA28" s="910">
        <v>3755.431988814853</v>
      </c>
      <c r="DB28" s="909">
        <v>0</v>
      </c>
      <c r="DC28" s="909">
        <v>0</v>
      </c>
      <c r="DD28" s="909">
        <v>0</v>
      </c>
      <c r="DE28" s="910">
        <v>4457.0611537575833</v>
      </c>
      <c r="DF28" s="871">
        <v>3755.431988814853</v>
      </c>
      <c r="DG28" s="911">
        <v>176.9705632067527</v>
      </c>
      <c r="DH28" s="908">
        <v>28.416277800000003</v>
      </c>
      <c r="DI28" s="902">
        <v>110.60486875391472</v>
      </c>
      <c r="DJ28" s="902">
        <v>0</v>
      </c>
      <c r="DK28" s="902">
        <v>0</v>
      </c>
      <c r="DL28" s="902">
        <v>53.147500631842547</v>
      </c>
      <c r="DM28" s="902">
        <v>10.335323548762608</v>
      </c>
      <c r="DN28" s="902">
        <v>3300</v>
      </c>
      <c r="DO28" s="909" t="s">
        <v>2875</v>
      </c>
      <c r="DP28" s="909">
        <v>6</v>
      </c>
      <c r="DQ28" s="909">
        <v>0</v>
      </c>
      <c r="DR28" s="909">
        <v>0</v>
      </c>
      <c r="DS28" s="909">
        <v>0</v>
      </c>
      <c r="DT28" s="910">
        <v>3908.7775422116792</v>
      </c>
      <c r="DU28" s="909">
        <v>0</v>
      </c>
      <c r="DV28" s="909">
        <v>0</v>
      </c>
      <c r="DW28" s="909">
        <v>0</v>
      </c>
      <c r="DX28" s="910">
        <v>4639.0563306592267</v>
      </c>
      <c r="DY28" s="871">
        <v>3908.7775422116792</v>
      </c>
      <c r="DZ28" s="911">
        <v>184.19680216693467</v>
      </c>
      <c r="EA28" s="908">
        <v>28.416277800000003</v>
      </c>
      <c r="EB28" s="902">
        <v>110.60486875391472</v>
      </c>
      <c r="EC28" s="902">
        <v>0</v>
      </c>
      <c r="ED28" s="902">
        <v>0</v>
      </c>
      <c r="EE28" s="902">
        <v>53.147500631842547</v>
      </c>
      <c r="EF28" s="902">
        <v>10.335323548762608</v>
      </c>
      <c r="EG28" s="902">
        <v>3600</v>
      </c>
      <c r="EH28" s="909" t="s">
        <v>2875</v>
      </c>
      <c r="EI28" s="909">
        <v>6</v>
      </c>
      <c r="EJ28" s="909">
        <v>0</v>
      </c>
      <c r="EK28" s="909">
        <v>0</v>
      </c>
      <c r="EL28" s="909">
        <v>0</v>
      </c>
      <c r="EM28" s="910">
        <v>3908.7775422116792</v>
      </c>
      <c r="EN28" s="909">
        <v>0</v>
      </c>
      <c r="EO28" s="909">
        <v>0</v>
      </c>
      <c r="EP28" s="909">
        <v>0</v>
      </c>
      <c r="EQ28" s="910">
        <v>4639.0563306592267</v>
      </c>
      <c r="ER28" s="871">
        <v>3908.7775422116792</v>
      </c>
      <c r="ES28" s="911">
        <v>184.19680216693467</v>
      </c>
      <c r="ET28" s="908">
        <v>28.416277800000003</v>
      </c>
      <c r="EU28" s="902">
        <v>110.60486875391472</v>
      </c>
      <c r="EV28" s="902">
        <v>0</v>
      </c>
      <c r="EW28" s="902">
        <v>0</v>
      </c>
      <c r="EX28" s="902">
        <v>53.147500631842547</v>
      </c>
      <c r="EY28" s="902">
        <v>10.335323548762608</v>
      </c>
      <c r="EZ28" s="902">
        <v>3300</v>
      </c>
      <c r="FA28" s="909" t="s">
        <v>3884</v>
      </c>
      <c r="FB28" s="909">
        <v>6</v>
      </c>
      <c r="FC28" s="909">
        <v>0</v>
      </c>
      <c r="FD28" s="909">
        <v>0</v>
      </c>
      <c r="FE28" s="909">
        <v>0</v>
      </c>
      <c r="FF28" s="910">
        <v>4163.5644182954866</v>
      </c>
      <c r="FG28" s="909">
        <v>0</v>
      </c>
      <c r="FH28" s="909">
        <v>0</v>
      </c>
      <c r="FI28" s="909">
        <v>0</v>
      </c>
      <c r="FJ28" s="910">
        <v>4941.4451613616984</v>
      </c>
      <c r="FK28" s="871">
        <v>4000</v>
      </c>
      <c r="FL28" s="911">
        <v>188.49555921538757</v>
      </c>
      <c r="FM28" s="908">
        <v>28.416277800000003</v>
      </c>
      <c r="FN28" s="902">
        <v>110.60486875391472</v>
      </c>
      <c r="FO28" s="902">
        <v>0</v>
      </c>
      <c r="FP28" s="902">
        <v>0</v>
      </c>
      <c r="FQ28" s="902">
        <v>53.147500631842547</v>
      </c>
      <c r="FR28" s="902">
        <v>10.335323548762608</v>
      </c>
      <c r="FS28" s="902">
        <v>3600</v>
      </c>
      <c r="FT28" s="909" t="s">
        <v>3884</v>
      </c>
      <c r="FU28" s="909">
        <v>6</v>
      </c>
      <c r="FV28" s="909">
        <v>0</v>
      </c>
      <c r="FW28" s="909">
        <v>0</v>
      </c>
      <c r="FX28" s="909">
        <v>0</v>
      </c>
      <c r="FY28" s="910">
        <v>4163.5644182954866</v>
      </c>
      <c r="FZ28" s="909">
        <v>0</v>
      </c>
      <c r="GA28" s="909">
        <v>0</v>
      </c>
      <c r="GB28" s="909">
        <v>0</v>
      </c>
      <c r="GC28" s="910">
        <v>4941.4451613616984</v>
      </c>
      <c r="GD28" s="871">
        <v>4000</v>
      </c>
      <c r="GE28" s="911">
        <v>188.49555921538757</v>
      </c>
      <c r="GF28" s="908">
        <v>18.944185200000003</v>
      </c>
      <c r="GG28" s="902">
        <v>101.13277615391472</v>
      </c>
      <c r="GH28" s="902">
        <v>0</v>
      </c>
      <c r="GI28" s="902">
        <v>0</v>
      </c>
      <c r="GJ28" s="902">
        <v>50.91347629918922</v>
      </c>
      <c r="GK28" s="902">
        <v>9.1257373237426087</v>
      </c>
      <c r="GL28" s="902">
        <v>3300</v>
      </c>
      <c r="GM28" s="909" t="s">
        <v>2877</v>
      </c>
      <c r="GN28" s="909">
        <v>4</v>
      </c>
      <c r="GO28" s="909">
        <v>0</v>
      </c>
      <c r="GP28" s="909">
        <v>0</v>
      </c>
      <c r="GQ28" s="909">
        <v>0</v>
      </c>
      <c r="GR28" s="910">
        <v>3645.5695268684049</v>
      </c>
      <c r="GS28" s="909">
        <v>0</v>
      </c>
      <c r="GT28" s="909">
        <v>0</v>
      </c>
      <c r="GU28" s="909">
        <v>0</v>
      </c>
      <c r="GV28" s="910">
        <v>3997.5972337596281</v>
      </c>
      <c r="GW28" s="871">
        <v>3645.5695268684049</v>
      </c>
      <c r="GX28" s="911">
        <v>171.79341665640899</v>
      </c>
      <c r="GY28" s="908">
        <v>18.944185200000003</v>
      </c>
      <c r="GZ28" s="902">
        <v>101.13277615391472</v>
      </c>
      <c r="HA28" s="902">
        <v>0</v>
      </c>
      <c r="HB28" s="902">
        <v>0</v>
      </c>
      <c r="HC28" s="902">
        <v>50.91347629918922</v>
      </c>
      <c r="HD28" s="902">
        <v>9.1257373237426087</v>
      </c>
      <c r="HE28" s="902">
        <v>3600</v>
      </c>
      <c r="HF28" s="909" t="s">
        <v>2877</v>
      </c>
      <c r="HG28" s="909">
        <v>4</v>
      </c>
      <c r="HH28" s="909">
        <v>0</v>
      </c>
      <c r="HI28" s="909">
        <v>0</v>
      </c>
      <c r="HJ28" s="909">
        <v>0</v>
      </c>
      <c r="HK28" s="910">
        <v>3645.5695268684049</v>
      </c>
      <c r="HL28" s="909">
        <v>0</v>
      </c>
      <c r="HM28" s="909">
        <v>0</v>
      </c>
      <c r="HN28" s="909">
        <v>0</v>
      </c>
      <c r="HO28" s="910">
        <v>3997.5972337596281</v>
      </c>
      <c r="HP28" s="871">
        <v>3645.5695268684049</v>
      </c>
      <c r="HQ28" s="911">
        <v>171.79341665640899</v>
      </c>
      <c r="HR28" s="908">
        <v>23.680231500000005</v>
      </c>
      <c r="HS28" s="902">
        <v>105.86882245391472</v>
      </c>
      <c r="HT28" s="902">
        <v>0</v>
      </c>
      <c r="HU28" s="902">
        <v>0</v>
      </c>
      <c r="HV28" s="902">
        <v>52.080458052545993</v>
      </c>
      <c r="HW28" s="902">
        <v>9.7305304362526073</v>
      </c>
      <c r="HX28" s="902">
        <v>3300</v>
      </c>
      <c r="HY28" s="909" t="s">
        <v>1063</v>
      </c>
      <c r="HZ28" s="909">
        <v>5</v>
      </c>
      <c r="IA28" s="909">
        <v>0</v>
      </c>
      <c r="IB28" s="909">
        <v>0</v>
      </c>
      <c r="IC28" s="909">
        <v>0</v>
      </c>
      <c r="ID28" s="910">
        <v>3792.5744649642934</v>
      </c>
      <c r="IE28" s="909">
        <v>0</v>
      </c>
      <c r="IF28" s="909">
        <v>0</v>
      </c>
      <c r="IG28" s="909">
        <v>0</v>
      </c>
      <c r="IH28" s="910">
        <v>4268.1526980930566</v>
      </c>
      <c r="II28" s="871">
        <v>3792.5744649642934</v>
      </c>
      <c r="IJ28" s="911">
        <v>178.72086115986096</v>
      </c>
      <c r="IK28" s="908">
        <v>23.680231500000005</v>
      </c>
      <c r="IL28" s="902">
        <v>105.86882245391472</v>
      </c>
      <c r="IM28" s="902">
        <v>0</v>
      </c>
      <c r="IN28" s="902">
        <v>0</v>
      </c>
      <c r="IO28" s="902">
        <v>52.080458052545993</v>
      </c>
      <c r="IP28" s="902">
        <v>9.7305304362526073</v>
      </c>
      <c r="IQ28" s="902">
        <v>3600</v>
      </c>
      <c r="IR28" s="909" t="s">
        <v>1063</v>
      </c>
      <c r="IS28" s="909">
        <v>5</v>
      </c>
      <c r="IT28" s="909">
        <v>0</v>
      </c>
      <c r="IU28" s="909">
        <v>0</v>
      </c>
      <c r="IV28" s="909">
        <v>0</v>
      </c>
      <c r="IW28" s="910">
        <v>3792.5744649642934</v>
      </c>
      <c r="IX28" s="909">
        <v>0</v>
      </c>
      <c r="IY28" s="909">
        <v>0</v>
      </c>
      <c r="IZ28" s="909">
        <v>0</v>
      </c>
      <c r="JA28" s="910">
        <v>4268.1526980930566</v>
      </c>
      <c r="JB28" s="871">
        <v>3792.5744649642934</v>
      </c>
      <c r="JC28" s="911">
        <v>178.72086115986096</v>
      </c>
      <c r="JD28" s="908">
        <v>14.208138900000002</v>
      </c>
      <c r="JE28" s="902">
        <v>96.396729853914707</v>
      </c>
      <c r="JF28" s="902">
        <v>0</v>
      </c>
      <c r="JG28" s="902">
        <v>0</v>
      </c>
      <c r="JH28" s="902">
        <v>49.63182510375637</v>
      </c>
      <c r="JI28" s="902">
        <v>8.5209442112326066</v>
      </c>
      <c r="JJ28" s="902">
        <v>3300</v>
      </c>
      <c r="JK28" s="909" t="s">
        <v>1064</v>
      </c>
      <c r="JL28" s="909">
        <v>3</v>
      </c>
      <c r="JM28" s="909">
        <v>0</v>
      </c>
      <c r="JN28" s="909">
        <v>0</v>
      </c>
      <c r="JO28" s="909">
        <v>0</v>
      </c>
      <c r="JP28" s="910">
        <v>3660.5529220943381</v>
      </c>
      <c r="JQ28" s="909">
        <v>0</v>
      </c>
      <c r="JR28" s="909">
        <v>0</v>
      </c>
      <c r="JS28" s="909">
        <v>0</v>
      </c>
      <c r="JT28" s="910">
        <v>3953.3956275097703</v>
      </c>
      <c r="JU28" s="871">
        <v>3660.5529220943381</v>
      </c>
      <c r="JV28" s="911">
        <v>172.49949252192334</v>
      </c>
      <c r="JW28" s="908">
        <v>14.208138900000002</v>
      </c>
      <c r="JX28" s="902">
        <v>96.396729853914707</v>
      </c>
      <c r="JY28" s="902">
        <v>0</v>
      </c>
      <c r="JZ28" s="902">
        <v>0</v>
      </c>
      <c r="KA28" s="902">
        <v>49.63182510375637</v>
      </c>
      <c r="KB28" s="902">
        <v>8.5209442112326066</v>
      </c>
      <c r="KC28" s="902">
        <v>3600</v>
      </c>
      <c r="KD28" s="909" t="s">
        <v>1064</v>
      </c>
      <c r="KE28" s="909">
        <v>3</v>
      </c>
      <c r="KF28" s="909">
        <v>0</v>
      </c>
      <c r="KG28" s="909">
        <v>0</v>
      </c>
      <c r="KH28" s="909">
        <v>0</v>
      </c>
      <c r="KI28" s="910">
        <v>3660.5529220943381</v>
      </c>
      <c r="KJ28" s="909">
        <v>0</v>
      </c>
      <c r="KK28" s="909">
        <v>0</v>
      </c>
      <c r="KL28" s="909">
        <v>0</v>
      </c>
      <c r="KM28" s="910">
        <v>3953.3956275097703</v>
      </c>
      <c r="KN28" s="871">
        <v>3660.5529220943381</v>
      </c>
      <c r="KO28" s="912">
        <v>172.49949252192334</v>
      </c>
    </row>
    <row r="29" spans="1:301" ht="15" customHeight="1">
      <c r="A29" s="924" t="s">
        <v>1522</v>
      </c>
      <c r="B29" s="888" t="s">
        <v>1075</v>
      </c>
      <c r="C29" s="888">
        <v>437</v>
      </c>
      <c r="D29" s="888">
        <v>900</v>
      </c>
      <c r="E29" s="888">
        <v>450</v>
      </c>
      <c r="F29" s="888">
        <v>400</v>
      </c>
      <c r="G29" s="888">
        <v>272</v>
      </c>
      <c r="H29" s="888">
        <v>166</v>
      </c>
      <c r="I29" s="888">
        <v>118</v>
      </c>
      <c r="J29" s="888">
        <v>34.5</v>
      </c>
      <c r="K29" s="888">
        <v>46.37</v>
      </c>
      <c r="L29" s="888">
        <v>10</v>
      </c>
      <c r="M29" s="888">
        <v>369</v>
      </c>
      <c r="N29" s="888">
        <v>5</v>
      </c>
      <c r="O29" s="884">
        <v>18.727328332360031</v>
      </c>
      <c r="P29" s="888">
        <v>5</v>
      </c>
      <c r="Q29" s="884">
        <v>12.91261533208236</v>
      </c>
      <c r="R29" s="888">
        <v>18.000000000000004</v>
      </c>
      <c r="S29" s="888">
        <v>625.39969452896412</v>
      </c>
      <c r="T29" s="906">
        <v>43.405760799831668</v>
      </c>
      <c r="U29" s="906">
        <v>93.809954179344615</v>
      </c>
      <c r="V29" s="906">
        <v>97.5</v>
      </c>
      <c r="W29" s="1141">
        <v>3.9675578231096122</v>
      </c>
      <c r="X29" s="902">
        <v>0</v>
      </c>
      <c r="Y29" s="902">
        <v>0</v>
      </c>
      <c r="Z29" s="902">
        <v>0</v>
      </c>
      <c r="AA29" s="902">
        <v>0</v>
      </c>
      <c r="AB29" s="970">
        <v>22.543751082228962</v>
      </c>
      <c r="AC29" s="1045">
        <v>4000</v>
      </c>
      <c r="AD29" s="890">
        <v>0.55708342359556406</v>
      </c>
      <c r="AE29" s="890">
        <v>0.68728095860161309</v>
      </c>
      <c r="AF29" s="890">
        <v>-0.33126556740946189</v>
      </c>
      <c r="AG29" s="890">
        <v>0.88510298460532677</v>
      </c>
      <c r="AH29" s="888"/>
      <c r="AI29" s="907">
        <v>3.2926766456760377</v>
      </c>
      <c r="AJ29" s="908">
        <v>32.905944000000005</v>
      </c>
      <c r="AK29" s="902">
        <v>111.91920628738367</v>
      </c>
      <c r="AL29" s="902">
        <v>0</v>
      </c>
      <c r="AM29" s="902">
        <v>0</v>
      </c>
      <c r="AN29" s="902">
        <v>57.686985985218236</v>
      </c>
      <c r="AO29" s="902">
        <v>10.548247571559223</v>
      </c>
      <c r="AP29" s="1222">
        <v>3400</v>
      </c>
      <c r="AQ29" s="909" t="s">
        <v>1062</v>
      </c>
      <c r="AR29" s="909">
        <v>8</v>
      </c>
      <c r="AS29" s="909">
        <v>0</v>
      </c>
      <c r="AT29" s="909">
        <v>0</v>
      </c>
      <c r="AU29" s="909">
        <v>0</v>
      </c>
      <c r="AV29" s="910">
        <v>6517.2726772723527</v>
      </c>
      <c r="AW29" s="909">
        <v>0</v>
      </c>
      <c r="AX29" s="909">
        <v>0</v>
      </c>
      <c r="AY29" s="909">
        <v>0</v>
      </c>
      <c r="AZ29" s="910">
        <v>15945.959148922509</v>
      </c>
      <c r="BA29" s="871">
        <v>4000</v>
      </c>
      <c r="BB29" s="911">
        <v>188.49555921538757</v>
      </c>
      <c r="BC29" s="908">
        <v>32.905944000000005</v>
      </c>
      <c r="BD29" s="902">
        <v>111.91920628738367</v>
      </c>
      <c r="BE29" s="902">
        <v>0</v>
      </c>
      <c r="BF29" s="902">
        <v>0</v>
      </c>
      <c r="BG29" s="902">
        <v>57.686985985218236</v>
      </c>
      <c r="BH29" s="902">
        <v>10.548247571559223</v>
      </c>
      <c r="BI29" s="902">
        <v>3600</v>
      </c>
      <c r="BJ29" s="909" t="s">
        <v>1062</v>
      </c>
      <c r="BK29" s="909">
        <v>8</v>
      </c>
      <c r="BL29" s="909">
        <v>0</v>
      </c>
      <c r="BM29" s="909">
        <v>0</v>
      </c>
      <c r="BN29" s="909">
        <v>0</v>
      </c>
      <c r="BO29" s="910">
        <v>6517.2726772723527</v>
      </c>
      <c r="BP29" s="909">
        <v>0</v>
      </c>
      <c r="BQ29" s="909">
        <v>0</v>
      </c>
      <c r="BR29" s="909">
        <v>0</v>
      </c>
      <c r="BS29" s="910">
        <v>15945.959148922509</v>
      </c>
      <c r="BT29" s="871">
        <v>4000</v>
      </c>
      <c r="BU29" s="911">
        <v>188.49555921538757</v>
      </c>
      <c r="BV29" s="908">
        <v>32.905944000000005</v>
      </c>
      <c r="BW29" s="902">
        <v>111.91920628738367</v>
      </c>
      <c r="BX29" s="902">
        <v>0</v>
      </c>
      <c r="BY29" s="902">
        <v>0</v>
      </c>
      <c r="BZ29" s="902">
        <v>57.686985985218236</v>
      </c>
      <c r="CA29" s="902">
        <v>10.548247571559223</v>
      </c>
      <c r="CB29" s="902">
        <v>3400</v>
      </c>
      <c r="CC29" s="909" t="s">
        <v>2874</v>
      </c>
      <c r="CD29" s="909">
        <v>8</v>
      </c>
      <c r="CE29" s="909">
        <v>0</v>
      </c>
      <c r="CF29" s="909">
        <v>0</v>
      </c>
      <c r="CG29" s="909">
        <v>0</v>
      </c>
      <c r="CH29" s="910">
        <v>6385.597029559879</v>
      </c>
      <c r="CI29" s="909">
        <v>0</v>
      </c>
      <c r="CJ29" s="909">
        <v>0</v>
      </c>
      <c r="CK29" s="909">
        <v>0</v>
      </c>
      <c r="CL29" s="910">
        <v>15623.785349650081</v>
      </c>
      <c r="CM29" s="871">
        <v>4000</v>
      </c>
      <c r="CN29" s="911">
        <v>188.49555921538757</v>
      </c>
      <c r="CO29" s="908">
        <v>32.905944000000005</v>
      </c>
      <c r="CP29" s="902">
        <v>111.91920628738367</v>
      </c>
      <c r="CQ29" s="902">
        <v>0</v>
      </c>
      <c r="CR29" s="902">
        <v>0</v>
      </c>
      <c r="CS29" s="902">
        <v>57.686985985218236</v>
      </c>
      <c r="CT29" s="902">
        <v>10.548247571559223</v>
      </c>
      <c r="CU29" s="902">
        <v>3600</v>
      </c>
      <c r="CV29" s="909" t="s">
        <v>2874</v>
      </c>
      <c r="CW29" s="909">
        <v>8</v>
      </c>
      <c r="CX29" s="909">
        <v>0</v>
      </c>
      <c r="CY29" s="909">
        <v>0</v>
      </c>
      <c r="CZ29" s="909">
        <v>0</v>
      </c>
      <c r="DA29" s="910">
        <v>6385.597029559879</v>
      </c>
      <c r="DB29" s="909">
        <v>0</v>
      </c>
      <c r="DC29" s="909">
        <v>0</v>
      </c>
      <c r="DD29" s="909">
        <v>0</v>
      </c>
      <c r="DE29" s="910">
        <v>15623.785349650081</v>
      </c>
      <c r="DF29" s="871">
        <v>4000</v>
      </c>
      <c r="DG29" s="911">
        <v>188.49555921538757</v>
      </c>
      <c r="DH29" s="908">
        <v>32.905944000000005</v>
      </c>
      <c r="DI29" s="902">
        <v>111.91920628738367</v>
      </c>
      <c r="DJ29" s="902">
        <v>0</v>
      </c>
      <c r="DK29" s="902">
        <v>0</v>
      </c>
      <c r="DL29" s="902">
        <v>57.686985985218236</v>
      </c>
      <c r="DM29" s="902">
        <v>10.548247571559223</v>
      </c>
      <c r="DN29" s="902">
        <v>3400</v>
      </c>
      <c r="DO29" s="909" t="s">
        <v>2875</v>
      </c>
      <c r="DP29" s="909">
        <v>8</v>
      </c>
      <c r="DQ29" s="909">
        <v>0</v>
      </c>
      <c r="DR29" s="909">
        <v>0</v>
      </c>
      <c r="DS29" s="909">
        <v>0</v>
      </c>
      <c r="DT29" s="910">
        <v>6646.3401113633654</v>
      </c>
      <c r="DU29" s="909">
        <v>0</v>
      </c>
      <c r="DV29" s="909">
        <v>0</v>
      </c>
      <c r="DW29" s="909">
        <v>0</v>
      </c>
      <c r="DX29" s="910">
        <v>16261.751372661824</v>
      </c>
      <c r="DY29" s="871">
        <v>4000</v>
      </c>
      <c r="DZ29" s="911">
        <v>188.49555921538757</v>
      </c>
      <c r="EA29" s="908">
        <v>32.905944000000005</v>
      </c>
      <c r="EB29" s="902">
        <v>111.91920628738367</v>
      </c>
      <c r="EC29" s="902">
        <v>0</v>
      </c>
      <c r="ED29" s="902">
        <v>0</v>
      </c>
      <c r="EE29" s="902">
        <v>57.686985985218236</v>
      </c>
      <c r="EF29" s="902">
        <v>10.548247571559223</v>
      </c>
      <c r="EG29" s="902">
        <v>3600</v>
      </c>
      <c r="EH29" s="909" t="s">
        <v>2875</v>
      </c>
      <c r="EI29" s="909">
        <v>8</v>
      </c>
      <c r="EJ29" s="909">
        <v>0</v>
      </c>
      <c r="EK29" s="909">
        <v>0</v>
      </c>
      <c r="EL29" s="909">
        <v>0</v>
      </c>
      <c r="EM29" s="910">
        <v>6646.3401113633654</v>
      </c>
      <c r="EN29" s="909">
        <v>0</v>
      </c>
      <c r="EO29" s="909">
        <v>0</v>
      </c>
      <c r="EP29" s="909">
        <v>0</v>
      </c>
      <c r="EQ29" s="910">
        <v>16261.751372661824</v>
      </c>
      <c r="ER29" s="871">
        <v>4000</v>
      </c>
      <c r="ES29" s="911">
        <v>188.49555921538757</v>
      </c>
      <c r="ET29" s="908">
        <v>24.679458000000004</v>
      </c>
      <c r="EU29" s="902">
        <v>103.69272028738368</v>
      </c>
      <c r="EV29" s="902">
        <v>0</v>
      </c>
      <c r="EW29" s="902">
        <v>0</v>
      </c>
      <c r="EX29" s="902">
        <v>55.678772150792064</v>
      </c>
      <c r="EY29" s="902">
        <v>9.5189403884424735</v>
      </c>
      <c r="EZ29" s="902">
        <v>3400</v>
      </c>
      <c r="FA29" s="909" t="s">
        <v>3884</v>
      </c>
      <c r="FB29" s="909">
        <v>6</v>
      </c>
      <c r="FC29" s="909">
        <v>0</v>
      </c>
      <c r="FD29" s="909">
        <v>0</v>
      </c>
      <c r="FE29" s="909">
        <v>0</v>
      </c>
      <c r="FF29" s="910">
        <v>3914.2556321517759</v>
      </c>
      <c r="FG29" s="909">
        <v>0</v>
      </c>
      <c r="FH29" s="909">
        <v>0</v>
      </c>
      <c r="FI29" s="909">
        <v>0</v>
      </c>
      <c r="FJ29" s="910">
        <v>4246.8325445374267</v>
      </c>
      <c r="FK29" s="871">
        <v>3914.2556321517759</v>
      </c>
      <c r="FL29" s="911">
        <v>184.45495107360736</v>
      </c>
      <c r="FM29" s="908">
        <v>24.679458000000004</v>
      </c>
      <c r="FN29" s="902">
        <v>103.69272028738368</v>
      </c>
      <c r="FO29" s="902">
        <v>0</v>
      </c>
      <c r="FP29" s="902">
        <v>0</v>
      </c>
      <c r="FQ29" s="902">
        <v>55.678772150792064</v>
      </c>
      <c r="FR29" s="902">
        <v>9.5189403884424735</v>
      </c>
      <c r="FS29" s="902">
        <v>3600</v>
      </c>
      <c r="FT29" s="909" t="s">
        <v>3884</v>
      </c>
      <c r="FU29" s="909">
        <v>6</v>
      </c>
      <c r="FV29" s="909">
        <v>0</v>
      </c>
      <c r="FW29" s="909">
        <v>0</v>
      </c>
      <c r="FX29" s="909">
        <v>0</v>
      </c>
      <c r="FY29" s="910">
        <v>3914.2556321517759</v>
      </c>
      <c r="FZ29" s="909">
        <v>0</v>
      </c>
      <c r="GA29" s="909">
        <v>0</v>
      </c>
      <c r="GB29" s="909">
        <v>0</v>
      </c>
      <c r="GC29" s="910">
        <v>4246.8325445374267</v>
      </c>
      <c r="GD29" s="871">
        <v>3914.2556321517759</v>
      </c>
      <c r="GE29" s="911">
        <v>184.45495107360736</v>
      </c>
      <c r="GF29" s="908">
        <v>20.566215000000003</v>
      </c>
      <c r="GG29" s="902">
        <v>99.579477287383668</v>
      </c>
      <c r="GH29" s="902">
        <v>0</v>
      </c>
      <c r="GI29" s="902">
        <v>0</v>
      </c>
      <c r="GJ29" s="902">
        <v>54.550237915993492</v>
      </c>
      <c r="GK29" s="902">
        <v>9.0042867968840987</v>
      </c>
      <c r="GL29" s="902">
        <v>3400</v>
      </c>
      <c r="GM29" s="909" t="s">
        <v>2877</v>
      </c>
      <c r="GN29" s="909">
        <v>5</v>
      </c>
      <c r="GO29" s="909">
        <v>0</v>
      </c>
      <c r="GP29" s="909">
        <v>0</v>
      </c>
      <c r="GQ29" s="909">
        <v>0</v>
      </c>
      <c r="GR29" s="910">
        <v>4075.8478009649734</v>
      </c>
      <c r="GS29" s="909">
        <v>0</v>
      </c>
      <c r="GT29" s="909">
        <v>0</v>
      </c>
      <c r="GU29" s="909">
        <v>0</v>
      </c>
      <c r="GV29" s="910">
        <v>4253.6146379239181</v>
      </c>
      <c r="GW29" s="871">
        <v>4000</v>
      </c>
      <c r="GX29" s="911">
        <v>188.49555921538757</v>
      </c>
      <c r="GY29" s="908">
        <v>20.566215000000003</v>
      </c>
      <c r="GZ29" s="902">
        <v>99.579477287383668</v>
      </c>
      <c r="HA29" s="902">
        <v>0</v>
      </c>
      <c r="HB29" s="902">
        <v>0</v>
      </c>
      <c r="HC29" s="902">
        <v>54.550237915993492</v>
      </c>
      <c r="HD29" s="902">
        <v>9.0042867968840987</v>
      </c>
      <c r="HE29" s="902">
        <v>3600</v>
      </c>
      <c r="HF29" s="909" t="s">
        <v>2877</v>
      </c>
      <c r="HG29" s="909">
        <v>5</v>
      </c>
      <c r="HH29" s="909">
        <v>0</v>
      </c>
      <c r="HI29" s="909">
        <v>0</v>
      </c>
      <c r="HJ29" s="909">
        <v>0</v>
      </c>
      <c r="HK29" s="910">
        <v>4075.8478009649734</v>
      </c>
      <c r="HL29" s="909">
        <v>0</v>
      </c>
      <c r="HM29" s="909">
        <v>0</v>
      </c>
      <c r="HN29" s="909">
        <v>0</v>
      </c>
      <c r="HO29" s="910">
        <v>4253.6146379239181</v>
      </c>
      <c r="HP29" s="871">
        <v>4000</v>
      </c>
      <c r="HQ29" s="911">
        <v>188.49555921538757</v>
      </c>
      <c r="HR29" s="908">
        <v>24.679458000000004</v>
      </c>
      <c r="HS29" s="902">
        <v>103.69272028738368</v>
      </c>
      <c r="HT29" s="902">
        <v>0</v>
      </c>
      <c r="HU29" s="902">
        <v>0</v>
      </c>
      <c r="HV29" s="902">
        <v>55.678772150792064</v>
      </c>
      <c r="HW29" s="902">
        <v>9.5189403884424735</v>
      </c>
      <c r="HX29" s="902">
        <v>3400</v>
      </c>
      <c r="HY29" s="909" t="s">
        <v>1063</v>
      </c>
      <c r="HZ29" s="909">
        <v>6</v>
      </c>
      <c r="IA29" s="909">
        <v>0</v>
      </c>
      <c r="IB29" s="909">
        <v>0</v>
      </c>
      <c r="IC29" s="909">
        <v>0</v>
      </c>
      <c r="ID29" s="910">
        <v>4263.55823539215</v>
      </c>
      <c r="IE29" s="909">
        <v>0</v>
      </c>
      <c r="IF29" s="909">
        <v>0</v>
      </c>
      <c r="IG29" s="909">
        <v>0</v>
      </c>
      <c r="IH29" s="910">
        <v>4625.8138382342258</v>
      </c>
      <c r="II29" s="871">
        <v>4000</v>
      </c>
      <c r="IJ29" s="911">
        <v>188.49555921538757</v>
      </c>
      <c r="IK29" s="908">
        <v>24.679458000000004</v>
      </c>
      <c r="IL29" s="902">
        <v>103.69272028738368</v>
      </c>
      <c r="IM29" s="902">
        <v>0</v>
      </c>
      <c r="IN29" s="902">
        <v>0</v>
      </c>
      <c r="IO29" s="902">
        <v>55.678772150792064</v>
      </c>
      <c r="IP29" s="902">
        <v>9.5189403884424735</v>
      </c>
      <c r="IQ29" s="902">
        <v>3600</v>
      </c>
      <c r="IR29" s="909" t="s">
        <v>1063</v>
      </c>
      <c r="IS29" s="909">
        <v>6</v>
      </c>
      <c r="IT29" s="909">
        <v>0</v>
      </c>
      <c r="IU29" s="909">
        <v>0</v>
      </c>
      <c r="IV29" s="909">
        <v>0</v>
      </c>
      <c r="IW29" s="910">
        <v>4263.55823539215</v>
      </c>
      <c r="IX29" s="909">
        <v>0</v>
      </c>
      <c r="IY29" s="909">
        <v>0</v>
      </c>
      <c r="IZ29" s="909">
        <v>0</v>
      </c>
      <c r="JA29" s="910">
        <v>4625.8138382342258</v>
      </c>
      <c r="JB29" s="871">
        <v>4000</v>
      </c>
      <c r="JC29" s="911">
        <v>188.49555921538757</v>
      </c>
      <c r="JD29" s="908">
        <v>16.452972000000003</v>
      </c>
      <c r="JE29" s="902">
        <v>95.466234287383671</v>
      </c>
      <c r="JF29" s="902">
        <v>0</v>
      </c>
      <c r="JG29" s="902">
        <v>0</v>
      </c>
      <c r="JH29" s="902">
        <v>53.324455987783821</v>
      </c>
      <c r="JI29" s="902">
        <v>8.4896332053257222</v>
      </c>
      <c r="JJ29" s="902">
        <v>3400</v>
      </c>
      <c r="JK29" s="909" t="s">
        <v>1064</v>
      </c>
      <c r="JL29" s="909">
        <v>4</v>
      </c>
      <c r="JM29" s="909">
        <v>0</v>
      </c>
      <c r="JN29" s="909">
        <v>0</v>
      </c>
      <c r="JO29" s="909">
        <v>0</v>
      </c>
      <c r="JP29" s="910">
        <v>4170.7807829285957</v>
      </c>
      <c r="JQ29" s="909">
        <v>0</v>
      </c>
      <c r="JR29" s="909">
        <v>0</v>
      </c>
      <c r="JS29" s="909">
        <v>0</v>
      </c>
      <c r="JT29" s="910">
        <v>4267.0730408726258</v>
      </c>
      <c r="JU29" s="871">
        <v>4000</v>
      </c>
      <c r="JV29" s="911">
        <v>188.49555921538757</v>
      </c>
      <c r="JW29" s="908">
        <v>16.452972000000003</v>
      </c>
      <c r="JX29" s="902">
        <v>95.466234287383671</v>
      </c>
      <c r="JY29" s="902">
        <v>0</v>
      </c>
      <c r="JZ29" s="902">
        <v>0</v>
      </c>
      <c r="KA29" s="902">
        <v>53.324455987783821</v>
      </c>
      <c r="KB29" s="902">
        <v>8.4896332053257222</v>
      </c>
      <c r="KC29" s="902">
        <v>3600</v>
      </c>
      <c r="KD29" s="909" t="s">
        <v>1064</v>
      </c>
      <c r="KE29" s="909">
        <v>4</v>
      </c>
      <c r="KF29" s="909">
        <v>0</v>
      </c>
      <c r="KG29" s="909">
        <v>0</v>
      </c>
      <c r="KH29" s="909">
        <v>0</v>
      </c>
      <c r="KI29" s="910">
        <v>4170.7807829285957</v>
      </c>
      <c r="KJ29" s="909">
        <v>0</v>
      </c>
      <c r="KK29" s="909">
        <v>0</v>
      </c>
      <c r="KL29" s="909">
        <v>0</v>
      </c>
      <c r="KM29" s="910">
        <v>4267.0730408726258</v>
      </c>
      <c r="KN29" s="871">
        <v>4000</v>
      </c>
      <c r="KO29" s="912">
        <v>188.49555921538757</v>
      </c>
    </row>
    <row r="30" spans="1:301" ht="15" customHeight="1">
      <c r="A30" s="924" t="s">
        <v>1523</v>
      </c>
      <c r="B30" s="888" t="s">
        <v>1073</v>
      </c>
      <c r="C30" s="888">
        <v>485.5</v>
      </c>
      <c r="D30" s="888">
        <v>900</v>
      </c>
      <c r="E30" s="888">
        <v>500</v>
      </c>
      <c r="F30" s="888">
        <v>450</v>
      </c>
      <c r="G30" s="888">
        <v>272</v>
      </c>
      <c r="H30" s="888">
        <v>182</v>
      </c>
      <c r="I30" s="888">
        <v>124</v>
      </c>
      <c r="J30" s="888">
        <v>34.82</v>
      </c>
      <c r="K30" s="888">
        <v>44.86</v>
      </c>
      <c r="L30" s="888">
        <v>12</v>
      </c>
      <c r="M30" s="888">
        <v>341</v>
      </c>
      <c r="N30" s="888">
        <v>5</v>
      </c>
      <c r="O30" s="884">
        <v>17.263051631475914</v>
      </c>
      <c r="P30" s="888">
        <v>5</v>
      </c>
      <c r="Q30" s="884">
        <v>12.193318408277758</v>
      </c>
      <c r="R30" s="888">
        <v>18.000000000000004</v>
      </c>
      <c r="S30" s="888">
        <v>643.78428996120647</v>
      </c>
      <c r="T30" s="906">
        <v>45.99522972552824</v>
      </c>
      <c r="U30" s="906">
        <v>96.56764349418097</v>
      </c>
      <c r="V30" s="906">
        <v>110</v>
      </c>
      <c r="W30" s="1141">
        <v>4.7432580654450982</v>
      </c>
      <c r="X30" s="902">
        <v>0</v>
      </c>
      <c r="Y30" s="902">
        <v>0</v>
      </c>
      <c r="Z30" s="902">
        <v>0</v>
      </c>
      <c r="AA30" s="902">
        <v>0</v>
      </c>
      <c r="AB30" s="970">
        <v>26.307879808654377</v>
      </c>
      <c r="AC30" s="1045">
        <v>4000</v>
      </c>
      <c r="AD30" s="890">
        <v>0.54564181236893494</v>
      </c>
      <c r="AE30" s="890">
        <v>0.69553591333635456</v>
      </c>
      <c r="AF30" s="890">
        <v>-0.33684263185302099</v>
      </c>
      <c r="AG30" s="890">
        <v>0.76329467364335479</v>
      </c>
      <c r="AH30" s="888"/>
      <c r="AI30" s="907">
        <v>3.426589254519826</v>
      </c>
      <c r="AJ30" s="908">
        <v>39.317572800000008</v>
      </c>
      <c r="AK30" s="902">
        <v>119.51243063072702</v>
      </c>
      <c r="AL30" s="902">
        <v>0</v>
      </c>
      <c r="AM30" s="902">
        <v>0</v>
      </c>
      <c r="AN30" s="902">
        <v>62.128215782179325</v>
      </c>
      <c r="AO30" s="902">
        <v>11.675866642576697</v>
      </c>
      <c r="AP30" s="1222">
        <v>3450</v>
      </c>
      <c r="AQ30" s="909" t="s">
        <v>1062</v>
      </c>
      <c r="AR30" s="909">
        <v>8</v>
      </c>
      <c r="AS30" s="909">
        <v>0</v>
      </c>
      <c r="AT30" s="909">
        <v>0</v>
      </c>
      <c r="AU30" s="909">
        <v>0</v>
      </c>
      <c r="AV30" s="910">
        <v>5286.950138697076</v>
      </c>
      <c r="AW30" s="909">
        <v>0</v>
      </c>
      <c r="AX30" s="909">
        <v>0</v>
      </c>
      <c r="AY30" s="909">
        <v>0</v>
      </c>
      <c r="AZ30" s="910">
        <v>10415.047813638794</v>
      </c>
      <c r="BA30" s="871">
        <v>4000</v>
      </c>
      <c r="BB30" s="911">
        <v>188.49555921538757</v>
      </c>
      <c r="BC30" s="908">
        <v>39.317572800000008</v>
      </c>
      <c r="BD30" s="902">
        <v>119.51243063072702</v>
      </c>
      <c r="BE30" s="902">
        <v>0</v>
      </c>
      <c r="BF30" s="902">
        <v>0</v>
      </c>
      <c r="BG30" s="902">
        <v>62.128215782179325</v>
      </c>
      <c r="BH30" s="902">
        <v>11.675866642576697</v>
      </c>
      <c r="BI30" s="902">
        <v>3600</v>
      </c>
      <c r="BJ30" s="909" t="s">
        <v>1062</v>
      </c>
      <c r="BK30" s="909">
        <v>8</v>
      </c>
      <c r="BL30" s="909">
        <v>0</v>
      </c>
      <c r="BM30" s="909">
        <v>0</v>
      </c>
      <c r="BN30" s="909">
        <v>0</v>
      </c>
      <c r="BO30" s="910">
        <v>5286.950138697076</v>
      </c>
      <c r="BP30" s="909">
        <v>0</v>
      </c>
      <c r="BQ30" s="909">
        <v>0</v>
      </c>
      <c r="BR30" s="909">
        <v>0</v>
      </c>
      <c r="BS30" s="910">
        <v>10415.047813638794</v>
      </c>
      <c r="BT30" s="871">
        <v>4000</v>
      </c>
      <c r="BU30" s="911">
        <v>188.49555921538757</v>
      </c>
      <c r="BV30" s="908">
        <v>39.317572800000008</v>
      </c>
      <c r="BW30" s="902">
        <v>119.51243063072702</v>
      </c>
      <c r="BX30" s="902">
        <v>0</v>
      </c>
      <c r="BY30" s="902">
        <v>0</v>
      </c>
      <c r="BZ30" s="902">
        <v>62.128215782179325</v>
      </c>
      <c r="CA30" s="902">
        <v>11.675866642576697</v>
      </c>
      <c r="CB30" s="902">
        <v>3450</v>
      </c>
      <c r="CC30" s="909" t="s">
        <v>2874</v>
      </c>
      <c r="CD30" s="909">
        <v>8</v>
      </c>
      <c r="CE30" s="909">
        <v>0</v>
      </c>
      <c r="CF30" s="909">
        <v>0</v>
      </c>
      <c r="CG30" s="909">
        <v>0</v>
      </c>
      <c r="CH30" s="910">
        <v>5180.1320541378354</v>
      </c>
      <c r="CI30" s="909">
        <v>0</v>
      </c>
      <c r="CJ30" s="909">
        <v>0</v>
      </c>
      <c r="CK30" s="909">
        <v>0</v>
      </c>
      <c r="CL30" s="910">
        <v>10204.621116041832</v>
      </c>
      <c r="CM30" s="871">
        <v>4000</v>
      </c>
      <c r="CN30" s="911">
        <v>188.49555921538757</v>
      </c>
      <c r="CO30" s="908">
        <v>39.317572800000008</v>
      </c>
      <c r="CP30" s="902">
        <v>119.51243063072702</v>
      </c>
      <c r="CQ30" s="902">
        <v>0</v>
      </c>
      <c r="CR30" s="902">
        <v>0</v>
      </c>
      <c r="CS30" s="902">
        <v>62.128215782179325</v>
      </c>
      <c r="CT30" s="902">
        <v>11.675866642576697</v>
      </c>
      <c r="CU30" s="902">
        <v>3600</v>
      </c>
      <c r="CV30" s="909" t="s">
        <v>2874</v>
      </c>
      <c r="CW30" s="909">
        <v>8</v>
      </c>
      <c r="CX30" s="909">
        <v>0</v>
      </c>
      <c r="CY30" s="909">
        <v>0</v>
      </c>
      <c r="CZ30" s="909">
        <v>0</v>
      </c>
      <c r="DA30" s="910">
        <v>5180.1320541378354</v>
      </c>
      <c r="DB30" s="909">
        <v>0</v>
      </c>
      <c r="DC30" s="909">
        <v>0</v>
      </c>
      <c r="DD30" s="909">
        <v>0</v>
      </c>
      <c r="DE30" s="910">
        <v>10204.621116041832</v>
      </c>
      <c r="DF30" s="871">
        <v>4000</v>
      </c>
      <c r="DG30" s="911">
        <v>188.49555921538757</v>
      </c>
      <c r="DH30" s="908">
        <v>39.317572800000008</v>
      </c>
      <c r="DI30" s="902">
        <v>119.51243063072702</v>
      </c>
      <c r="DJ30" s="902">
        <v>0</v>
      </c>
      <c r="DK30" s="902">
        <v>0</v>
      </c>
      <c r="DL30" s="902">
        <v>62.128215782179325</v>
      </c>
      <c r="DM30" s="902">
        <v>11.675866642576697</v>
      </c>
      <c r="DN30" s="902">
        <v>3450</v>
      </c>
      <c r="DO30" s="909" t="s">
        <v>2875</v>
      </c>
      <c r="DP30" s="909">
        <v>8</v>
      </c>
      <c r="DQ30" s="909">
        <v>0</v>
      </c>
      <c r="DR30" s="909">
        <v>0</v>
      </c>
      <c r="DS30" s="909">
        <v>0</v>
      </c>
      <c r="DT30" s="910">
        <v>5391.6523849216928</v>
      </c>
      <c r="DU30" s="909">
        <v>0</v>
      </c>
      <c r="DV30" s="909">
        <v>0</v>
      </c>
      <c r="DW30" s="909">
        <v>0</v>
      </c>
      <c r="DX30" s="910">
        <v>10621.306407349215</v>
      </c>
      <c r="DY30" s="871">
        <v>4000</v>
      </c>
      <c r="DZ30" s="911">
        <v>188.49555921538757</v>
      </c>
      <c r="EA30" s="908">
        <v>39.317572800000008</v>
      </c>
      <c r="EB30" s="902">
        <v>119.51243063072702</v>
      </c>
      <c r="EC30" s="902">
        <v>0</v>
      </c>
      <c r="ED30" s="902">
        <v>0</v>
      </c>
      <c r="EE30" s="902">
        <v>62.128215782179325</v>
      </c>
      <c r="EF30" s="902">
        <v>11.675866642576697</v>
      </c>
      <c r="EG30" s="902">
        <v>3600</v>
      </c>
      <c r="EH30" s="909" t="s">
        <v>2875</v>
      </c>
      <c r="EI30" s="909">
        <v>8</v>
      </c>
      <c r="EJ30" s="909">
        <v>0</v>
      </c>
      <c r="EK30" s="909">
        <v>0</v>
      </c>
      <c r="EL30" s="909">
        <v>0</v>
      </c>
      <c r="EM30" s="910">
        <v>5391.6523849216928</v>
      </c>
      <c r="EN30" s="909">
        <v>0</v>
      </c>
      <c r="EO30" s="909">
        <v>0</v>
      </c>
      <c r="EP30" s="909">
        <v>0</v>
      </c>
      <c r="EQ30" s="910">
        <v>10621.306407349215</v>
      </c>
      <c r="ER30" s="871">
        <v>4000</v>
      </c>
      <c r="ES30" s="911">
        <v>188.49555921538757</v>
      </c>
      <c r="ET30" s="908">
        <v>39.317572800000008</v>
      </c>
      <c r="EU30" s="902">
        <v>119.51243063072702</v>
      </c>
      <c r="EV30" s="902">
        <v>0</v>
      </c>
      <c r="EW30" s="902">
        <v>0</v>
      </c>
      <c r="EX30" s="902">
        <v>62.128215782179325</v>
      </c>
      <c r="EY30" s="902">
        <v>11.675866642576697</v>
      </c>
      <c r="EZ30" s="902">
        <v>3450</v>
      </c>
      <c r="FA30" s="909" t="s">
        <v>3884</v>
      </c>
      <c r="FB30" s="909">
        <v>8</v>
      </c>
      <c r="FC30" s="909">
        <v>0</v>
      </c>
      <c r="FD30" s="909">
        <v>0</v>
      </c>
      <c r="FE30" s="909">
        <v>0</v>
      </c>
      <c r="FF30" s="910">
        <v>5743.0978824586864</v>
      </c>
      <c r="FG30" s="909">
        <v>0</v>
      </c>
      <c r="FH30" s="909">
        <v>0</v>
      </c>
      <c r="FI30" s="909">
        <v>0</v>
      </c>
      <c r="FJ30" s="910">
        <v>11313.637820491298</v>
      </c>
      <c r="FK30" s="871">
        <v>4000</v>
      </c>
      <c r="FL30" s="911">
        <v>188.49555921538757</v>
      </c>
      <c r="FM30" s="908">
        <v>39.317572800000008</v>
      </c>
      <c r="FN30" s="902">
        <v>119.51243063072702</v>
      </c>
      <c r="FO30" s="902">
        <v>0</v>
      </c>
      <c r="FP30" s="902">
        <v>0</v>
      </c>
      <c r="FQ30" s="902">
        <v>62.128215782179325</v>
      </c>
      <c r="FR30" s="902">
        <v>11.675866642576697</v>
      </c>
      <c r="FS30" s="902">
        <v>3600</v>
      </c>
      <c r="FT30" s="909" t="s">
        <v>3884</v>
      </c>
      <c r="FU30" s="909">
        <v>8</v>
      </c>
      <c r="FV30" s="909">
        <v>0</v>
      </c>
      <c r="FW30" s="909">
        <v>0</v>
      </c>
      <c r="FX30" s="909">
        <v>0</v>
      </c>
      <c r="FY30" s="910">
        <v>5743.0978824586864</v>
      </c>
      <c r="FZ30" s="909">
        <v>0</v>
      </c>
      <c r="GA30" s="909">
        <v>0</v>
      </c>
      <c r="GB30" s="909">
        <v>0</v>
      </c>
      <c r="GC30" s="910">
        <v>11313.637820491298</v>
      </c>
      <c r="GD30" s="871">
        <v>4000</v>
      </c>
      <c r="GE30" s="911">
        <v>188.49555921538757</v>
      </c>
      <c r="GF30" s="908">
        <v>29.488179600000006</v>
      </c>
      <c r="GG30" s="902">
        <v>109.68303743072703</v>
      </c>
      <c r="GH30" s="902">
        <v>0</v>
      </c>
      <c r="GI30" s="902">
        <v>0</v>
      </c>
      <c r="GJ30" s="902">
        <v>59.540831934045556</v>
      </c>
      <c r="GK30" s="902">
        <v>10.391029490011659</v>
      </c>
      <c r="GL30" s="902">
        <v>3450</v>
      </c>
      <c r="GM30" s="909" t="s">
        <v>2877</v>
      </c>
      <c r="GN30" s="909">
        <v>6</v>
      </c>
      <c r="GO30" s="909">
        <v>0</v>
      </c>
      <c r="GP30" s="909">
        <v>0</v>
      </c>
      <c r="GQ30" s="909">
        <v>0</v>
      </c>
      <c r="GR30" s="910">
        <v>4201.5783959770124</v>
      </c>
      <c r="GS30" s="909">
        <v>0</v>
      </c>
      <c r="GT30" s="909">
        <v>0</v>
      </c>
      <c r="GU30" s="909">
        <v>0</v>
      </c>
      <c r="GV30" s="910">
        <v>4824.3332966695325</v>
      </c>
      <c r="GW30" s="871">
        <v>4000</v>
      </c>
      <c r="GX30" s="911">
        <v>188.49555921538757</v>
      </c>
      <c r="GY30" s="908">
        <v>29.488179600000006</v>
      </c>
      <c r="GZ30" s="902">
        <v>109.68303743072703</v>
      </c>
      <c r="HA30" s="902">
        <v>0</v>
      </c>
      <c r="HB30" s="902">
        <v>0</v>
      </c>
      <c r="HC30" s="902">
        <v>59.540831934045556</v>
      </c>
      <c r="HD30" s="902">
        <v>10.391029490011659</v>
      </c>
      <c r="HE30" s="902">
        <v>3600</v>
      </c>
      <c r="HF30" s="909" t="s">
        <v>2877</v>
      </c>
      <c r="HG30" s="909">
        <v>6</v>
      </c>
      <c r="HH30" s="909">
        <v>0</v>
      </c>
      <c r="HI30" s="909">
        <v>0</v>
      </c>
      <c r="HJ30" s="909">
        <v>0</v>
      </c>
      <c r="HK30" s="910">
        <v>4201.5783959770124</v>
      </c>
      <c r="HL30" s="909">
        <v>0</v>
      </c>
      <c r="HM30" s="909">
        <v>0</v>
      </c>
      <c r="HN30" s="909">
        <v>0</v>
      </c>
      <c r="HO30" s="910">
        <v>4824.3332966695325</v>
      </c>
      <c r="HP30" s="871">
        <v>4000</v>
      </c>
      <c r="HQ30" s="911">
        <v>188.49555921538757</v>
      </c>
      <c r="HR30" s="908">
        <v>29.488179600000006</v>
      </c>
      <c r="HS30" s="902">
        <v>111.81890198073053</v>
      </c>
      <c r="HT30" s="902">
        <v>2.1358645500035034</v>
      </c>
      <c r="HU30" s="902">
        <v>0</v>
      </c>
      <c r="HV30" s="902">
        <v>60.141736795875211</v>
      </c>
      <c r="HW30" s="902">
        <v>10.543530720596756</v>
      </c>
      <c r="HX30" s="902">
        <v>3450</v>
      </c>
      <c r="HY30" s="909" t="s">
        <v>1063</v>
      </c>
      <c r="HZ30" s="909">
        <v>6</v>
      </c>
      <c r="IA30" s="909">
        <v>1</v>
      </c>
      <c r="IB30" s="909">
        <v>8</v>
      </c>
      <c r="IC30" s="909">
        <v>46.858196189691405</v>
      </c>
      <c r="ID30" s="910">
        <v>6788.7365529093986</v>
      </c>
      <c r="IE30" s="909">
        <v>0</v>
      </c>
      <c r="IF30" s="909">
        <v>0</v>
      </c>
      <c r="IG30" s="909">
        <v>0</v>
      </c>
      <c r="IH30" s="910">
        <v>4254.6620482253238</v>
      </c>
      <c r="II30" s="871">
        <v>4000</v>
      </c>
      <c r="IJ30" s="911">
        <v>188.49555921538757</v>
      </c>
      <c r="IK30" s="908">
        <v>29.488179600000006</v>
      </c>
      <c r="IL30" s="902">
        <v>111.81890198073053</v>
      </c>
      <c r="IM30" s="902">
        <v>2.1358645500035034</v>
      </c>
      <c r="IN30" s="902">
        <v>0</v>
      </c>
      <c r="IO30" s="902">
        <v>60.141736795875211</v>
      </c>
      <c r="IP30" s="902">
        <v>10.543530720596756</v>
      </c>
      <c r="IQ30" s="902">
        <v>3600</v>
      </c>
      <c r="IR30" s="909" t="s">
        <v>1063</v>
      </c>
      <c r="IS30" s="909">
        <v>6</v>
      </c>
      <c r="IT30" s="909">
        <v>1</v>
      </c>
      <c r="IU30" s="909">
        <v>8</v>
      </c>
      <c r="IV30" s="909">
        <v>46.858196189691405</v>
      </c>
      <c r="IW30" s="910">
        <v>6788.7365529093986</v>
      </c>
      <c r="IX30" s="909">
        <v>0</v>
      </c>
      <c r="IY30" s="909">
        <v>0</v>
      </c>
      <c r="IZ30" s="909">
        <v>0</v>
      </c>
      <c r="JA30" s="910">
        <v>4254.6620482253238</v>
      </c>
      <c r="JB30" s="871">
        <v>4000</v>
      </c>
      <c r="JC30" s="911">
        <v>188.49555921538757</v>
      </c>
      <c r="JD30" s="908">
        <v>24.573483000000003</v>
      </c>
      <c r="JE30" s="902">
        <v>104.76834083072703</v>
      </c>
      <c r="JF30" s="902">
        <v>0</v>
      </c>
      <c r="JG30" s="902">
        <v>0</v>
      </c>
      <c r="JH30" s="902">
        <v>58.065078236825322</v>
      </c>
      <c r="JI30" s="902">
        <v>9.7486109137291397</v>
      </c>
      <c r="JJ30" s="902">
        <v>3450</v>
      </c>
      <c r="JK30" s="909" t="s">
        <v>1064</v>
      </c>
      <c r="JL30" s="909">
        <v>5</v>
      </c>
      <c r="JM30" s="909">
        <v>0</v>
      </c>
      <c r="JN30" s="909">
        <v>0</v>
      </c>
      <c r="JO30" s="909">
        <v>0</v>
      </c>
      <c r="JP30" s="910">
        <v>4289.3756864516536</v>
      </c>
      <c r="JQ30" s="909">
        <v>0</v>
      </c>
      <c r="JR30" s="909">
        <v>0</v>
      </c>
      <c r="JS30" s="909">
        <v>0</v>
      </c>
      <c r="JT30" s="910">
        <v>4744.8698779849601</v>
      </c>
      <c r="JU30" s="871">
        <v>4000</v>
      </c>
      <c r="JV30" s="911">
        <v>188.49555921538757</v>
      </c>
      <c r="JW30" s="908">
        <v>24.573483000000003</v>
      </c>
      <c r="JX30" s="902">
        <v>104.76834083072703</v>
      </c>
      <c r="JY30" s="902">
        <v>0</v>
      </c>
      <c r="JZ30" s="902">
        <v>0</v>
      </c>
      <c r="KA30" s="902">
        <v>58.065078236825322</v>
      </c>
      <c r="KB30" s="902">
        <v>9.7486109137291397</v>
      </c>
      <c r="KC30" s="902">
        <v>3600</v>
      </c>
      <c r="KD30" s="909" t="s">
        <v>1064</v>
      </c>
      <c r="KE30" s="909">
        <v>5</v>
      </c>
      <c r="KF30" s="909">
        <v>0</v>
      </c>
      <c r="KG30" s="909">
        <v>0</v>
      </c>
      <c r="KH30" s="909">
        <v>0</v>
      </c>
      <c r="KI30" s="910">
        <v>4289.3756864516536</v>
      </c>
      <c r="KJ30" s="909">
        <v>0</v>
      </c>
      <c r="KK30" s="909">
        <v>0</v>
      </c>
      <c r="KL30" s="909">
        <v>0</v>
      </c>
      <c r="KM30" s="910">
        <v>4744.8698779849601</v>
      </c>
      <c r="KN30" s="871">
        <v>4000</v>
      </c>
      <c r="KO30" s="912">
        <v>188.49555921538757</v>
      </c>
    </row>
    <row r="31" spans="1:301" ht="15" customHeight="1">
      <c r="A31" s="924" t="s">
        <v>1681</v>
      </c>
      <c r="B31" s="888" t="s">
        <v>1078</v>
      </c>
      <c r="C31" s="888">
        <v>574.5</v>
      </c>
      <c r="D31" s="888">
        <v>900</v>
      </c>
      <c r="E31" s="888">
        <v>560</v>
      </c>
      <c r="F31" s="888">
        <v>570</v>
      </c>
      <c r="G31" s="888">
        <v>323</v>
      </c>
      <c r="H31" s="888">
        <v>233</v>
      </c>
      <c r="I31" s="888">
        <v>172</v>
      </c>
      <c r="J31" s="888">
        <v>19.16</v>
      </c>
      <c r="K31" s="888">
        <v>29.87</v>
      </c>
      <c r="L31" s="888">
        <v>8</v>
      </c>
      <c r="M31" s="888">
        <v>363</v>
      </c>
      <c r="N31" s="888">
        <v>5</v>
      </c>
      <c r="O31" s="884">
        <v>15.302462196186863</v>
      </c>
      <c r="P31" s="888">
        <v>5</v>
      </c>
      <c r="Q31" s="884">
        <v>10.493157776098732</v>
      </c>
      <c r="R31" s="888">
        <v>18.000000000000004</v>
      </c>
      <c r="S31" s="888">
        <v>685.28103994096364</v>
      </c>
      <c r="T31" s="906">
        <v>52.115808001372727</v>
      </c>
      <c r="U31" s="906">
        <v>102.79215599114454</v>
      </c>
      <c r="V31" s="906">
        <v>135</v>
      </c>
      <c r="W31" s="1141">
        <v>6.5959069501737329</v>
      </c>
      <c r="X31" s="902">
        <v>0</v>
      </c>
      <c r="Y31" s="902">
        <v>0</v>
      </c>
      <c r="Z31" s="902">
        <v>0</v>
      </c>
      <c r="AA31" s="902">
        <v>0</v>
      </c>
      <c r="AB31" s="970">
        <v>32.2101342610963</v>
      </c>
      <c r="AC31" s="1045">
        <v>4000</v>
      </c>
      <c r="AD31" s="890">
        <v>0.52693769707253968</v>
      </c>
      <c r="AE31" s="890">
        <v>0.34745424079171944</v>
      </c>
      <c r="AF31" s="890">
        <v>-0.62352705447607581</v>
      </c>
      <c r="AG31" s="890">
        <v>1.0361976726003008</v>
      </c>
      <c r="AH31" s="888"/>
      <c r="AI31" s="907">
        <v>3.2023683290499951</v>
      </c>
      <c r="AJ31" s="908">
        <v>27.697626</v>
      </c>
      <c r="AK31" s="902">
        <v>122.93270713852873</v>
      </c>
      <c r="AL31" s="902">
        <v>1.8628114690842883</v>
      </c>
      <c r="AM31" s="902">
        <v>8.8649347456123841</v>
      </c>
      <c r="AN31" s="902">
        <v>70.869243290594966</v>
      </c>
      <c r="AO31" s="902">
        <v>12.608709031300345</v>
      </c>
      <c r="AP31" s="1222">
        <v>3600</v>
      </c>
      <c r="AQ31" s="909" t="s">
        <v>1062</v>
      </c>
      <c r="AR31" s="909">
        <v>6</v>
      </c>
      <c r="AS31" s="909">
        <v>1</v>
      </c>
      <c r="AT31" s="909">
        <v>8</v>
      </c>
      <c r="AU31" s="909">
        <v>33.868285385747484</v>
      </c>
      <c r="AV31" s="910">
        <v>4622.5450633190185</v>
      </c>
      <c r="AW31" s="909">
        <v>1</v>
      </c>
      <c r="AX31" s="909">
        <v>16</v>
      </c>
      <c r="AY31" s="909">
        <v>51.39298048508892</v>
      </c>
      <c r="AZ31" s="910">
        <v>3980.3555430811484</v>
      </c>
      <c r="BA31" s="871">
        <v>3980.3555430811484</v>
      </c>
      <c r="BB31" s="911">
        <v>187.56983599228721</v>
      </c>
      <c r="BC31" s="908">
        <v>27.697626</v>
      </c>
      <c r="BD31" s="902">
        <v>122.93270713852873</v>
      </c>
      <c r="BE31" s="902">
        <v>1.8628114690842883</v>
      </c>
      <c r="BF31" s="902">
        <v>8.8649347456123841</v>
      </c>
      <c r="BG31" s="902">
        <v>70.869243290594966</v>
      </c>
      <c r="BH31" s="902">
        <v>12.608709031300345</v>
      </c>
      <c r="BI31" s="902">
        <v>3600</v>
      </c>
      <c r="BJ31" s="909" t="s">
        <v>1062</v>
      </c>
      <c r="BK31" s="909">
        <v>6</v>
      </c>
      <c r="BL31" s="909">
        <v>1</v>
      </c>
      <c r="BM31" s="909">
        <v>8</v>
      </c>
      <c r="BN31" s="909">
        <v>33.868285385747484</v>
      </c>
      <c r="BO31" s="910">
        <v>4622.5450633190185</v>
      </c>
      <c r="BP31" s="909">
        <v>1</v>
      </c>
      <c r="BQ31" s="909">
        <v>16</v>
      </c>
      <c r="BR31" s="909">
        <v>51.39298048508892</v>
      </c>
      <c r="BS31" s="910">
        <v>3980.3555430811484</v>
      </c>
      <c r="BT31" s="871">
        <v>3980.3555430811484</v>
      </c>
      <c r="BU31" s="911">
        <v>187.56983599228721</v>
      </c>
      <c r="BV31" s="908">
        <v>23.081355000000002</v>
      </c>
      <c r="BW31" s="902">
        <v>114.99208560892409</v>
      </c>
      <c r="BX31" s="902">
        <v>1.8628114690842883</v>
      </c>
      <c r="BY31" s="902">
        <v>5.5405842160077396</v>
      </c>
      <c r="BZ31" s="902">
        <v>68.600009920279774</v>
      </c>
      <c r="CA31" s="902">
        <v>11.350171961246657</v>
      </c>
      <c r="CB31" s="902">
        <v>3600</v>
      </c>
      <c r="CC31" s="909" t="s">
        <v>2875</v>
      </c>
      <c r="CD31" s="909">
        <v>5</v>
      </c>
      <c r="CE31" s="909">
        <v>1</v>
      </c>
      <c r="CF31" s="909">
        <v>8</v>
      </c>
      <c r="CG31" s="909">
        <v>33.868285385747484</v>
      </c>
      <c r="CH31" s="910">
        <v>3974.7620744438814</v>
      </c>
      <c r="CI31" s="909">
        <v>1</v>
      </c>
      <c r="CJ31" s="909">
        <v>10</v>
      </c>
      <c r="CK31" s="909">
        <v>51.39298048508892</v>
      </c>
      <c r="CL31" s="910">
        <v>3971.9642078012612</v>
      </c>
      <c r="CM31" s="871">
        <v>3971.9642078012612</v>
      </c>
      <c r="CN31" s="911">
        <v>187.17440363325068</v>
      </c>
      <c r="CO31" s="908">
        <v>23.081355000000002</v>
      </c>
      <c r="CP31" s="902">
        <v>114.99208560892409</v>
      </c>
      <c r="CQ31" s="902">
        <v>1.8628114690842883</v>
      </c>
      <c r="CR31" s="902">
        <v>5.5405842160077396</v>
      </c>
      <c r="CS31" s="902">
        <v>68.600009920279774</v>
      </c>
      <c r="CT31" s="902">
        <v>11.350171961246657</v>
      </c>
      <c r="CU31" s="902">
        <v>3600</v>
      </c>
      <c r="CV31" s="909" t="s">
        <v>2875</v>
      </c>
      <c r="CW31" s="909">
        <v>5</v>
      </c>
      <c r="CX31" s="909">
        <v>1</v>
      </c>
      <c r="CY31" s="909">
        <v>8</v>
      </c>
      <c r="CZ31" s="909">
        <v>33.868285385747484</v>
      </c>
      <c r="DA31" s="910">
        <v>3974.7620744438814</v>
      </c>
      <c r="DB31" s="909">
        <v>1</v>
      </c>
      <c r="DC31" s="909">
        <v>10</v>
      </c>
      <c r="DD31" s="909">
        <v>51.39298048508892</v>
      </c>
      <c r="DE31" s="910">
        <v>3971.9642078012612</v>
      </c>
      <c r="DF31" s="871">
        <v>3971.9642078012612</v>
      </c>
      <c r="DG31" s="911">
        <v>187.17440363325068</v>
      </c>
      <c r="DH31" s="908">
        <v>23.081355000000002</v>
      </c>
      <c r="DI31" s="902">
        <v>114.99208560892409</v>
      </c>
      <c r="DJ31" s="902">
        <v>1.8628114690842883</v>
      </c>
      <c r="DK31" s="902">
        <v>5.5405842160077396</v>
      </c>
      <c r="DL31" s="902">
        <v>68.600009920279774</v>
      </c>
      <c r="DM31" s="902">
        <v>11.350171961246657</v>
      </c>
      <c r="DN31" s="902">
        <v>3600</v>
      </c>
      <c r="DO31" s="909" t="s">
        <v>2875</v>
      </c>
      <c r="DP31" s="909">
        <v>5</v>
      </c>
      <c r="DQ31" s="909">
        <v>1</v>
      </c>
      <c r="DR31" s="909">
        <v>8</v>
      </c>
      <c r="DS31" s="909">
        <v>33.868285385747484</v>
      </c>
      <c r="DT31" s="910">
        <v>3974.7620744438814</v>
      </c>
      <c r="DU31" s="909">
        <v>1</v>
      </c>
      <c r="DV31" s="909">
        <v>10</v>
      </c>
      <c r="DW31" s="909">
        <v>51.39298048508892</v>
      </c>
      <c r="DX31" s="910">
        <v>3971.9642078012612</v>
      </c>
      <c r="DY31" s="871">
        <v>3971.9642078012612</v>
      </c>
      <c r="DZ31" s="911">
        <v>187.17440363325068</v>
      </c>
      <c r="EA31" s="908">
        <v>23.081355000000002</v>
      </c>
      <c r="EB31" s="902">
        <v>114.99208560892409</v>
      </c>
      <c r="EC31" s="902">
        <v>1.8628114690842883</v>
      </c>
      <c r="ED31" s="902">
        <v>5.5405842160077396</v>
      </c>
      <c r="EE31" s="902">
        <v>68.600009920279774</v>
      </c>
      <c r="EF31" s="902">
        <v>11.350171961246657</v>
      </c>
      <c r="EG31" s="902">
        <v>3600</v>
      </c>
      <c r="EH31" s="909" t="s">
        <v>2875</v>
      </c>
      <c r="EI31" s="909">
        <v>5</v>
      </c>
      <c r="EJ31" s="909">
        <v>1</v>
      </c>
      <c r="EK31" s="909">
        <v>8</v>
      </c>
      <c r="EL31" s="909">
        <v>33.868285385747484</v>
      </c>
      <c r="EM31" s="910">
        <v>3974.7620744438814</v>
      </c>
      <c r="EN31" s="909">
        <v>1</v>
      </c>
      <c r="EO31" s="909">
        <v>10</v>
      </c>
      <c r="EP31" s="909">
        <v>51.39298048508892</v>
      </c>
      <c r="EQ31" s="910">
        <v>3971.9642078012612</v>
      </c>
      <c r="ER31" s="871">
        <v>3971.9642078012612</v>
      </c>
      <c r="ES31" s="911">
        <v>187.17440363325068</v>
      </c>
      <c r="ET31" s="908">
        <v>36.930168000000002</v>
      </c>
      <c r="EU31" s="902">
        <v>123.76601726018741</v>
      </c>
      <c r="EV31" s="902">
        <v>2.3285143363553602</v>
      </c>
      <c r="EW31" s="902">
        <v>0</v>
      </c>
      <c r="EX31" s="902">
        <v>73.361083037831264</v>
      </c>
      <c r="EY31" s="902">
        <v>12.365789806125463</v>
      </c>
      <c r="EZ31" s="902">
        <v>3600</v>
      </c>
      <c r="FA31" s="909" t="s">
        <v>2877</v>
      </c>
      <c r="FB31" s="909">
        <v>8</v>
      </c>
      <c r="FC31" s="909">
        <v>1</v>
      </c>
      <c r="FD31" s="909">
        <v>10</v>
      </c>
      <c r="FE31" s="909">
        <v>33.868285385747484</v>
      </c>
      <c r="FF31" s="910">
        <v>6122.1362374396631</v>
      </c>
      <c r="FG31" s="909">
        <v>0</v>
      </c>
      <c r="FH31" s="909">
        <v>0</v>
      </c>
      <c r="FI31" s="909">
        <v>0</v>
      </c>
      <c r="FJ31" s="910">
        <v>4636.5722865348953</v>
      </c>
      <c r="FK31" s="871">
        <v>4000</v>
      </c>
      <c r="FL31" s="911">
        <v>188.49555921538757</v>
      </c>
      <c r="FM31" s="908">
        <v>36.930168000000002</v>
      </c>
      <c r="FN31" s="902">
        <v>123.76601726018741</v>
      </c>
      <c r="FO31" s="902">
        <v>2.3285143363553602</v>
      </c>
      <c r="FP31" s="902">
        <v>0</v>
      </c>
      <c r="FQ31" s="902">
        <v>73.361083037831264</v>
      </c>
      <c r="FR31" s="902">
        <v>12.365789806125463</v>
      </c>
      <c r="FS31" s="902">
        <v>3600</v>
      </c>
      <c r="FT31" s="909" t="s">
        <v>2877</v>
      </c>
      <c r="FU31" s="909">
        <v>8</v>
      </c>
      <c r="FV31" s="909">
        <v>1</v>
      </c>
      <c r="FW31" s="909">
        <v>10</v>
      </c>
      <c r="FX31" s="909">
        <v>33.868285385747484</v>
      </c>
      <c r="FY31" s="910">
        <v>6122.1362374396631</v>
      </c>
      <c r="FZ31" s="909">
        <v>0</v>
      </c>
      <c r="GA31" s="909">
        <v>0</v>
      </c>
      <c r="GB31" s="909">
        <v>0</v>
      </c>
      <c r="GC31" s="910">
        <v>4636.5722865348953</v>
      </c>
      <c r="GD31" s="871">
        <v>4000</v>
      </c>
      <c r="GE31" s="911">
        <v>188.49555921538757</v>
      </c>
      <c r="GF31" s="908">
        <v>36.930168000000002</v>
      </c>
      <c r="GG31" s="902">
        <v>123.76601726018741</v>
      </c>
      <c r="GH31" s="902">
        <v>2.3285143363553602</v>
      </c>
      <c r="GI31" s="902">
        <v>0</v>
      </c>
      <c r="GJ31" s="902">
        <v>73.361083037831264</v>
      </c>
      <c r="GK31" s="902">
        <v>12.365789806125463</v>
      </c>
      <c r="GL31" s="902">
        <v>3600</v>
      </c>
      <c r="GM31" s="909" t="s">
        <v>2877</v>
      </c>
      <c r="GN31" s="909">
        <v>8</v>
      </c>
      <c r="GO31" s="909">
        <v>1</v>
      </c>
      <c r="GP31" s="909">
        <v>10</v>
      </c>
      <c r="GQ31" s="909">
        <v>33.868285385747484</v>
      </c>
      <c r="GR31" s="910">
        <v>6122.1362374396631</v>
      </c>
      <c r="GS31" s="909">
        <v>0</v>
      </c>
      <c r="GT31" s="909">
        <v>0</v>
      </c>
      <c r="GU31" s="909">
        <v>0</v>
      </c>
      <c r="GV31" s="910">
        <v>4636.5722865348953</v>
      </c>
      <c r="GW31" s="871">
        <v>4000</v>
      </c>
      <c r="GX31" s="911">
        <v>188.49555921538757</v>
      </c>
      <c r="GY31" s="908">
        <v>36.930168000000002</v>
      </c>
      <c r="GZ31" s="902">
        <v>123.76601726018741</v>
      </c>
      <c r="HA31" s="902">
        <v>2.3285143363553602</v>
      </c>
      <c r="HB31" s="902">
        <v>0</v>
      </c>
      <c r="HC31" s="902">
        <v>73.361083037831264</v>
      </c>
      <c r="HD31" s="902">
        <v>12.365789806125463</v>
      </c>
      <c r="HE31" s="902">
        <v>3600</v>
      </c>
      <c r="HF31" s="909" t="s">
        <v>2877</v>
      </c>
      <c r="HG31" s="909">
        <v>8</v>
      </c>
      <c r="HH31" s="909">
        <v>1</v>
      </c>
      <c r="HI31" s="909">
        <v>10</v>
      </c>
      <c r="HJ31" s="909">
        <v>33.868285385747484</v>
      </c>
      <c r="HK31" s="910">
        <v>6122.1362374396631</v>
      </c>
      <c r="HL31" s="909">
        <v>0</v>
      </c>
      <c r="HM31" s="909">
        <v>0</v>
      </c>
      <c r="HN31" s="909">
        <v>0</v>
      </c>
      <c r="HO31" s="910">
        <v>4636.5722865348953</v>
      </c>
      <c r="HP31" s="871">
        <v>4000</v>
      </c>
      <c r="HQ31" s="911">
        <v>188.49555921538757</v>
      </c>
      <c r="HR31" s="908">
        <v>23.081355000000002</v>
      </c>
      <c r="HS31" s="902">
        <v>113.88396876572253</v>
      </c>
      <c r="HT31" s="902">
        <v>1.8628114690842883</v>
      </c>
      <c r="HU31" s="902">
        <v>4.4324673728061921</v>
      </c>
      <c r="HV31" s="902">
        <v>68.430704070757258</v>
      </c>
      <c r="HW31" s="902">
        <v>11.149942142379501</v>
      </c>
      <c r="HX31" s="902">
        <v>3600</v>
      </c>
      <c r="HY31" s="909" t="s">
        <v>1063</v>
      </c>
      <c r="HZ31" s="909">
        <v>5</v>
      </c>
      <c r="IA31" s="909">
        <v>1</v>
      </c>
      <c r="IB31" s="909">
        <v>8</v>
      </c>
      <c r="IC31" s="909">
        <v>33.868285385747484</v>
      </c>
      <c r="ID31" s="910">
        <v>4611.6727909283463</v>
      </c>
      <c r="IE31" s="909">
        <v>1</v>
      </c>
      <c r="IF31" s="909">
        <v>8</v>
      </c>
      <c r="IG31" s="909">
        <v>51.39298048508892</v>
      </c>
      <c r="IH31" s="910">
        <v>4513.4875959897872</v>
      </c>
      <c r="II31" s="871">
        <v>4000</v>
      </c>
      <c r="IJ31" s="911">
        <v>188.49555921538757</v>
      </c>
      <c r="IK31" s="908">
        <v>23.081355000000002</v>
      </c>
      <c r="IL31" s="902">
        <v>113.88396876572253</v>
      </c>
      <c r="IM31" s="902">
        <v>1.8628114690842883</v>
      </c>
      <c r="IN31" s="902">
        <v>4.4324673728061921</v>
      </c>
      <c r="IO31" s="902">
        <v>68.430704070757258</v>
      </c>
      <c r="IP31" s="902">
        <v>11.149942142379501</v>
      </c>
      <c r="IQ31" s="902">
        <v>3600</v>
      </c>
      <c r="IR31" s="909" t="s">
        <v>1063</v>
      </c>
      <c r="IS31" s="909">
        <v>5</v>
      </c>
      <c r="IT31" s="909">
        <v>1</v>
      </c>
      <c r="IU31" s="909">
        <v>8</v>
      </c>
      <c r="IV31" s="909">
        <v>33.868285385747484</v>
      </c>
      <c r="IW31" s="910">
        <v>4611.6727909283463</v>
      </c>
      <c r="IX31" s="909">
        <v>1</v>
      </c>
      <c r="IY31" s="909">
        <v>8</v>
      </c>
      <c r="IZ31" s="909">
        <v>51.39298048508892</v>
      </c>
      <c r="JA31" s="910">
        <v>4513.4875959897872</v>
      </c>
      <c r="JB31" s="871">
        <v>4000</v>
      </c>
      <c r="JC31" s="911">
        <v>188.49555921538757</v>
      </c>
      <c r="JD31" s="908">
        <v>13.848813</v>
      </c>
      <c r="JE31" s="902">
        <v>103.07760705524991</v>
      </c>
      <c r="JF31" s="902">
        <v>1.3971086018132164</v>
      </c>
      <c r="JG31" s="902">
        <v>3.3243505296046441</v>
      </c>
      <c r="JH31" s="902">
        <v>63.719141112168316</v>
      </c>
      <c r="JI31" s="902">
        <v>9.5907929977499755</v>
      </c>
      <c r="JJ31" s="902">
        <v>3600</v>
      </c>
      <c r="JK31" s="909" t="s">
        <v>1064</v>
      </c>
      <c r="JL31" s="909">
        <v>3</v>
      </c>
      <c r="JM31" s="909">
        <v>1</v>
      </c>
      <c r="JN31" s="909">
        <v>6</v>
      </c>
      <c r="JO31" s="909">
        <v>33.868285385747484</v>
      </c>
      <c r="JP31" s="910">
        <v>4265.7430053797298</v>
      </c>
      <c r="JQ31" s="909">
        <v>1</v>
      </c>
      <c r="JR31" s="909">
        <v>6</v>
      </c>
      <c r="JS31" s="909">
        <v>51.39298048508892</v>
      </c>
      <c r="JT31" s="910">
        <v>4479.4852598175939</v>
      </c>
      <c r="JU31" s="871">
        <v>4000</v>
      </c>
      <c r="JV31" s="911">
        <v>188.49555921538757</v>
      </c>
      <c r="JW31" s="908">
        <v>13.848813</v>
      </c>
      <c r="JX31" s="902">
        <v>103.07760705524991</v>
      </c>
      <c r="JY31" s="902">
        <v>1.3971086018132164</v>
      </c>
      <c r="JZ31" s="902">
        <v>3.3243505296046441</v>
      </c>
      <c r="KA31" s="902">
        <v>63.719141112168316</v>
      </c>
      <c r="KB31" s="902">
        <v>9.5907929977499755</v>
      </c>
      <c r="KC31" s="902">
        <v>3600</v>
      </c>
      <c r="KD31" s="909" t="s">
        <v>1064</v>
      </c>
      <c r="KE31" s="909">
        <v>3</v>
      </c>
      <c r="KF31" s="909">
        <v>1</v>
      </c>
      <c r="KG31" s="909">
        <v>6</v>
      </c>
      <c r="KH31" s="909">
        <v>33.868285385747484</v>
      </c>
      <c r="KI31" s="910">
        <v>4265.7430053797298</v>
      </c>
      <c r="KJ31" s="909">
        <v>1</v>
      </c>
      <c r="KK31" s="909">
        <v>6</v>
      </c>
      <c r="KL31" s="909">
        <v>51.39298048508892</v>
      </c>
      <c r="KM31" s="910">
        <v>4479.4852598175939</v>
      </c>
      <c r="KN31" s="871">
        <v>4000</v>
      </c>
      <c r="KO31" s="912">
        <v>188.49555921538757</v>
      </c>
    </row>
    <row r="32" spans="1:301" ht="15" customHeight="1">
      <c r="A32" s="924" t="s">
        <v>1524</v>
      </c>
      <c r="B32" s="888" t="s">
        <v>1076</v>
      </c>
      <c r="C32" s="888">
        <v>324.5</v>
      </c>
      <c r="D32" s="888">
        <v>990</v>
      </c>
      <c r="E32" s="888">
        <v>315</v>
      </c>
      <c r="F32" s="888">
        <v>315</v>
      </c>
      <c r="G32" s="888">
        <v>154</v>
      </c>
      <c r="H32" s="888">
        <v>88</v>
      </c>
      <c r="I32" s="888">
        <v>46.2</v>
      </c>
      <c r="J32" s="888">
        <v>39.99</v>
      </c>
      <c r="K32" s="888">
        <v>50.98</v>
      </c>
      <c r="L32" s="888">
        <v>10</v>
      </c>
      <c r="M32" s="888">
        <v>434</v>
      </c>
      <c r="N32" s="888">
        <v>6</v>
      </c>
      <c r="O32" s="884">
        <v>32.585551298306456</v>
      </c>
      <c r="P32" s="888">
        <v>6</v>
      </c>
      <c r="Q32" s="884">
        <v>21.499279495214978</v>
      </c>
      <c r="R32" s="888">
        <v>18.000000000000004</v>
      </c>
      <c r="S32" s="888">
        <v>631.59853752068557</v>
      </c>
      <c r="T32" s="906">
        <v>44.270484468702136</v>
      </c>
      <c r="U32" s="906">
        <v>94.739780628102835</v>
      </c>
      <c r="V32" s="906">
        <v>85</v>
      </c>
      <c r="W32" s="1141">
        <v>3.5278042310997009</v>
      </c>
      <c r="X32" s="902">
        <v>0</v>
      </c>
      <c r="Y32" s="902">
        <v>0</v>
      </c>
      <c r="Z32" s="902">
        <v>0</v>
      </c>
      <c r="AA32" s="902">
        <v>0</v>
      </c>
      <c r="AB32" s="970">
        <v>14.35505610441451</v>
      </c>
      <c r="AC32" s="1045">
        <v>4000</v>
      </c>
      <c r="AD32" s="890">
        <v>0.38757313265833399</v>
      </c>
      <c r="AE32" s="890">
        <v>0.83880225522834062</v>
      </c>
      <c r="AF32" s="890">
        <v>-0.16386950008659926</v>
      </c>
      <c r="AG32" s="890">
        <v>1.144370934825848</v>
      </c>
      <c r="AH32" s="888"/>
      <c r="AI32" s="907">
        <v>3.4960977138727722</v>
      </c>
      <c r="AJ32" s="908">
        <v>9.1441195999999998</v>
      </c>
      <c r="AK32" s="902">
        <v>111.02723909332327</v>
      </c>
      <c r="AL32" s="902">
        <v>0</v>
      </c>
      <c r="AM32" s="902">
        <v>0</v>
      </c>
      <c r="AN32" s="902">
        <v>34.971000692119006</v>
      </c>
      <c r="AO32" s="902">
        <v>11.550441464628078</v>
      </c>
      <c r="AP32" s="1222">
        <v>3600</v>
      </c>
      <c r="AQ32" s="909" t="s">
        <v>1062</v>
      </c>
      <c r="AR32" s="909">
        <v>4</v>
      </c>
      <c r="AS32" s="909">
        <v>0</v>
      </c>
      <c r="AT32" s="909">
        <v>0</v>
      </c>
      <c r="AU32" s="909">
        <v>0</v>
      </c>
      <c r="AV32" s="910">
        <v>6316.6347970579654</v>
      </c>
      <c r="AW32" s="909">
        <v>0</v>
      </c>
      <c r="AX32" s="909">
        <v>0</v>
      </c>
      <c r="AY32" s="909">
        <v>0</v>
      </c>
      <c r="AZ32" s="910">
        <v>8645.4440260507399</v>
      </c>
      <c r="BA32" s="871">
        <v>4000</v>
      </c>
      <c r="BB32" s="911">
        <v>207.34511513692635</v>
      </c>
      <c r="BC32" s="908">
        <v>9.1441195999999998</v>
      </c>
      <c r="BD32" s="902">
        <v>111.02723909332327</v>
      </c>
      <c r="BE32" s="902">
        <v>0</v>
      </c>
      <c r="BF32" s="902">
        <v>0</v>
      </c>
      <c r="BG32" s="902">
        <v>34.971000692119006</v>
      </c>
      <c r="BH32" s="902">
        <v>11.550441464628078</v>
      </c>
      <c r="BI32" s="902">
        <v>3600</v>
      </c>
      <c r="BJ32" s="909" t="s">
        <v>1062</v>
      </c>
      <c r="BK32" s="909">
        <v>4</v>
      </c>
      <c r="BL32" s="909">
        <v>0</v>
      </c>
      <c r="BM32" s="909">
        <v>0</v>
      </c>
      <c r="BN32" s="909">
        <v>0</v>
      </c>
      <c r="BO32" s="910">
        <v>6316.6347970579654</v>
      </c>
      <c r="BP32" s="909">
        <v>0</v>
      </c>
      <c r="BQ32" s="909">
        <v>0</v>
      </c>
      <c r="BR32" s="909">
        <v>0</v>
      </c>
      <c r="BS32" s="910">
        <v>8645.4440260507399</v>
      </c>
      <c r="BT32" s="871">
        <v>4000</v>
      </c>
      <c r="BU32" s="911">
        <v>207.34511513692635</v>
      </c>
      <c r="BV32" s="908">
        <v>9.1441195999999998</v>
      </c>
      <c r="BW32" s="902">
        <v>111.02723909332327</v>
      </c>
      <c r="BX32" s="902">
        <v>0</v>
      </c>
      <c r="BY32" s="902">
        <v>0</v>
      </c>
      <c r="BZ32" s="902">
        <v>34.971000692119006</v>
      </c>
      <c r="CA32" s="902">
        <v>11.550441464628078</v>
      </c>
      <c r="CB32" s="902">
        <v>3600</v>
      </c>
      <c r="CC32" s="909" t="s">
        <v>2874</v>
      </c>
      <c r="CD32" s="909">
        <v>4</v>
      </c>
      <c r="CE32" s="909">
        <v>0</v>
      </c>
      <c r="CF32" s="909">
        <v>0</v>
      </c>
      <c r="CG32" s="909">
        <v>0</v>
      </c>
      <c r="CH32" s="910">
        <v>6189.0128577203159</v>
      </c>
      <c r="CI32" s="909">
        <v>0</v>
      </c>
      <c r="CJ32" s="909">
        <v>0</v>
      </c>
      <c r="CK32" s="909">
        <v>0</v>
      </c>
      <c r="CL32" s="910">
        <v>8470.7705854469514</v>
      </c>
      <c r="CM32" s="871">
        <v>4000</v>
      </c>
      <c r="CN32" s="911">
        <v>207.34511513692635</v>
      </c>
      <c r="CO32" s="908">
        <v>9.1441195999999998</v>
      </c>
      <c r="CP32" s="902">
        <v>111.02723909332327</v>
      </c>
      <c r="CQ32" s="902">
        <v>0</v>
      </c>
      <c r="CR32" s="902">
        <v>0</v>
      </c>
      <c r="CS32" s="902">
        <v>34.971000692119006</v>
      </c>
      <c r="CT32" s="902">
        <v>11.550441464628078</v>
      </c>
      <c r="CU32" s="902">
        <v>3600</v>
      </c>
      <c r="CV32" s="909" t="s">
        <v>2874</v>
      </c>
      <c r="CW32" s="909">
        <v>4</v>
      </c>
      <c r="CX32" s="909">
        <v>0</v>
      </c>
      <c r="CY32" s="909">
        <v>0</v>
      </c>
      <c r="CZ32" s="909">
        <v>0</v>
      </c>
      <c r="DA32" s="910">
        <v>6189.0128577203159</v>
      </c>
      <c r="DB32" s="909">
        <v>0</v>
      </c>
      <c r="DC32" s="909">
        <v>0</v>
      </c>
      <c r="DD32" s="909">
        <v>0</v>
      </c>
      <c r="DE32" s="910">
        <v>8470.7705854469514</v>
      </c>
      <c r="DF32" s="871">
        <v>4000</v>
      </c>
      <c r="DG32" s="911">
        <v>207.34511513692635</v>
      </c>
      <c r="DH32" s="908">
        <v>9.1441195999999998</v>
      </c>
      <c r="DI32" s="902">
        <v>111.02723909332327</v>
      </c>
      <c r="DJ32" s="902">
        <v>0</v>
      </c>
      <c r="DK32" s="902">
        <v>0</v>
      </c>
      <c r="DL32" s="902">
        <v>34.971000692119006</v>
      </c>
      <c r="DM32" s="902">
        <v>11.550441464628078</v>
      </c>
      <c r="DN32" s="902">
        <v>3600</v>
      </c>
      <c r="DO32" s="909" t="s">
        <v>2875</v>
      </c>
      <c r="DP32" s="909">
        <v>4</v>
      </c>
      <c r="DQ32" s="909">
        <v>0</v>
      </c>
      <c r="DR32" s="909">
        <v>0</v>
      </c>
      <c r="DS32" s="909">
        <v>0</v>
      </c>
      <c r="DT32" s="910">
        <v>6441.728818087553</v>
      </c>
      <c r="DU32" s="909">
        <v>0</v>
      </c>
      <c r="DV32" s="909">
        <v>0</v>
      </c>
      <c r="DW32" s="909">
        <v>0</v>
      </c>
      <c r="DX32" s="910">
        <v>8816.6575585013761</v>
      </c>
      <c r="DY32" s="871">
        <v>4000</v>
      </c>
      <c r="DZ32" s="911">
        <v>207.34511513692635</v>
      </c>
      <c r="EA32" s="908">
        <v>9.1441195999999998</v>
      </c>
      <c r="EB32" s="902">
        <v>111.02723909332327</v>
      </c>
      <c r="EC32" s="902">
        <v>0</v>
      </c>
      <c r="ED32" s="902">
        <v>0</v>
      </c>
      <c r="EE32" s="902">
        <v>34.971000692119006</v>
      </c>
      <c r="EF32" s="902">
        <v>11.550441464628078</v>
      </c>
      <c r="EG32" s="902">
        <v>3600</v>
      </c>
      <c r="EH32" s="909" t="s">
        <v>2875</v>
      </c>
      <c r="EI32" s="909">
        <v>4</v>
      </c>
      <c r="EJ32" s="909">
        <v>0</v>
      </c>
      <c r="EK32" s="909">
        <v>0</v>
      </c>
      <c r="EL32" s="909">
        <v>0</v>
      </c>
      <c r="EM32" s="910">
        <v>6441.728818087553</v>
      </c>
      <c r="EN32" s="909">
        <v>0</v>
      </c>
      <c r="EO32" s="909">
        <v>0</v>
      </c>
      <c r="EP32" s="909">
        <v>0</v>
      </c>
      <c r="EQ32" s="910">
        <v>8816.6575585013761</v>
      </c>
      <c r="ER32" s="871">
        <v>4000</v>
      </c>
      <c r="ES32" s="911">
        <v>207.34511513692635</v>
      </c>
      <c r="ET32" s="908">
        <v>9.1441195999999998</v>
      </c>
      <c r="EU32" s="902">
        <v>111.02723909332327</v>
      </c>
      <c r="EV32" s="902">
        <v>0</v>
      </c>
      <c r="EW32" s="902">
        <v>0</v>
      </c>
      <c r="EX32" s="902">
        <v>34.971000692119006</v>
      </c>
      <c r="EY32" s="902">
        <v>11.550441464628078</v>
      </c>
      <c r="EZ32" s="902">
        <v>3600</v>
      </c>
      <c r="FA32" s="909" t="s">
        <v>3884</v>
      </c>
      <c r="FB32" s="909">
        <v>4</v>
      </c>
      <c r="FC32" s="909">
        <v>0</v>
      </c>
      <c r="FD32" s="909">
        <v>0</v>
      </c>
      <c r="FE32" s="909">
        <v>0</v>
      </c>
      <c r="FF32" s="910">
        <v>6861.6217243517704</v>
      </c>
      <c r="FG32" s="909">
        <v>0</v>
      </c>
      <c r="FH32" s="909">
        <v>0</v>
      </c>
      <c r="FI32" s="909">
        <v>0</v>
      </c>
      <c r="FJ32" s="910">
        <v>9391.3560703947423</v>
      </c>
      <c r="FK32" s="871">
        <v>4000</v>
      </c>
      <c r="FL32" s="911">
        <v>207.34511513692635</v>
      </c>
      <c r="FM32" s="908">
        <v>9.1441195999999998</v>
      </c>
      <c r="FN32" s="902">
        <v>111.02723909332327</v>
      </c>
      <c r="FO32" s="902">
        <v>0</v>
      </c>
      <c r="FP32" s="902">
        <v>0</v>
      </c>
      <c r="FQ32" s="902">
        <v>34.971000692119006</v>
      </c>
      <c r="FR32" s="902">
        <v>11.550441464628078</v>
      </c>
      <c r="FS32" s="902">
        <v>3600</v>
      </c>
      <c r="FT32" s="909" t="s">
        <v>3884</v>
      </c>
      <c r="FU32" s="909">
        <v>4</v>
      </c>
      <c r="FV32" s="909">
        <v>0</v>
      </c>
      <c r="FW32" s="909">
        <v>0</v>
      </c>
      <c r="FX32" s="909">
        <v>0</v>
      </c>
      <c r="FY32" s="910">
        <v>6861.6217243517704</v>
      </c>
      <c r="FZ32" s="909">
        <v>0</v>
      </c>
      <c r="GA32" s="909">
        <v>0</v>
      </c>
      <c r="GB32" s="909">
        <v>0</v>
      </c>
      <c r="GC32" s="910">
        <v>9391.3560703947423</v>
      </c>
      <c r="GD32" s="871">
        <v>4000</v>
      </c>
      <c r="GE32" s="911">
        <v>207.34511513692635</v>
      </c>
      <c r="GF32" s="908">
        <v>9.1441195999999998</v>
      </c>
      <c r="GG32" s="902">
        <v>111.02723909332327</v>
      </c>
      <c r="GH32" s="902">
        <v>0</v>
      </c>
      <c r="GI32" s="902">
        <v>0</v>
      </c>
      <c r="GJ32" s="902">
        <v>34.971000692119006</v>
      </c>
      <c r="GK32" s="902">
        <v>11.550441464628078</v>
      </c>
      <c r="GL32" s="902">
        <v>3600</v>
      </c>
      <c r="GM32" s="909" t="s">
        <v>2877</v>
      </c>
      <c r="GN32" s="909">
        <v>4</v>
      </c>
      <c r="GO32" s="909">
        <v>0</v>
      </c>
      <c r="GP32" s="909">
        <v>0</v>
      </c>
      <c r="GQ32" s="909">
        <v>0</v>
      </c>
      <c r="GR32" s="910">
        <v>8474.654877157318</v>
      </c>
      <c r="GS32" s="909">
        <v>0</v>
      </c>
      <c r="GT32" s="909">
        <v>0</v>
      </c>
      <c r="GU32" s="909">
        <v>0</v>
      </c>
      <c r="GV32" s="910">
        <v>11599.08032275135</v>
      </c>
      <c r="GW32" s="871">
        <v>4000</v>
      </c>
      <c r="GX32" s="911">
        <v>207.34511513692635</v>
      </c>
      <c r="GY32" s="908">
        <v>9.1441195999999998</v>
      </c>
      <c r="GZ32" s="902">
        <v>111.02723909332327</v>
      </c>
      <c r="HA32" s="902">
        <v>0</v>
      </c>
      <c r="HB32" s="902">
        <v>0</v>
      </c>
      <c r="HC32" s="902">
        <v>34.971000692119006</v>
      </c>
      <c r="HD32" s="902">
        <v>11.550441464628078</v>
      </c>
      <c r="HE32" s="902">
        <v>3600</v>
      </c>
      <c r="HF32" s="909" t="s">
        <v>2877</v>
      </c>
      <c r="HG32" s="909">
        <v>4</v>
      </c>
      <c r="HH32" s="909">
        <v>0</v>
      </c>
      <c r="HI32" s="909">
        <v>0</v>
      </c>
      <c r="HJ32" s="909">
        <v>0</v>
      </c>
      <c r="HK32" s="910">
        <v>8474.654877157318</v>
      </c>
      <c r="HL32" s="909">
        <v>0</v>
      </c>
      <c r="HM32" s="909">
        <v>0</v>
      </c>
      <c r="HN32" s="909">
        <v>0</v>
      </c>
      <c r="HO32" s="910">
        <v>11599.08032275135</v>
      </c>
      <c r="HP32" s="871">
        <v>4000</v>
      </c>
      <c r="HQ32" s="911">
        <v>207.34511513692635</v>
      </c>
      <c r="HR32" s="908">
        <v>9.1441195999999998</v>
      </c>
      <c r="HS32" s="902">
        <v>111.02723909332327</v>
      </c>
      <c r="HT32" s="902">
        <v>0</v>
      </c>
      <c r="HU32" s="902">
        <v>0</v>
      </c>
      <c r="HV32" s="902">
        <v>34.971000692119006</v>
      </c>
      <c r="HW32" s="902">
        <v>11.550441464628078</v>
      </c>
      <c r="HX32" s="902">
        <v>3600</v>
      </c>
      <c r="HY32" s="909" t="s">
        <v>1063</v>
      </c>
      <c r="HZ32" s="909">
        <v>4</v>
      </c>
      <c r="IA32" s="909">
        <v>0</v>
      </c>
      <c r="IB32" s="909">
        <v>0</v>
      </c>
      <c r="IC32" s="909">
        <v>0</v>
      </c>
      <c r="ID32" s="910">
        <v>7473.9430840196337</v>
      </c>
      <c r="IE32" s="909">
        <v>0</v>
      </c>
      <c r="IF32" s="909">
        <v>0</v>
      </c>
      <c r="IG32" s="909">
        <v>0</v>
      </c>
      <c r="IH32" s="910">
        <v>10229.427323687623</v>
      </c>
      <c r="II32" s="871">
        <v>4000</v>
      </c>
      <c r="IJ32" s="911">
        <v>207.34511513692635</v>
      </c>
      <c r="IK32" s="908">
        <v>9.1441195999999998</v>
      </c>
      <c r="IL32" s="902">
        <v>111.02723909332327</v>
      </c>
      <c r="IM32" s="902">
        <v>0</v>
      </c>
      <c r="IN32" s="902">
        <v>0</v>
      </c>
      <c r="IO32" s="902">
        <v>34.971000692119006</v>
      </c>
      <c r="IP32" s="902">
        <v>11.550441464628078</v>
      </c>
      <c r="IQ32" s="902">
        <v>3600</v>
      </c>
      <c r="IR32" s="909" t="s">
        <v>1063</v>
      </c>
      <c r="IS32" s="909">
        <v>4</v>
      </c>
      <c r="IT32" s="909">
        <v>0</v>
      </c>
      <c r="IU32" s="909">
        <v>0</v>
      </c>
      <c r="IV32" s="909">
        <v>0</v>
      </c>
      <c r="IW32" s="910">
        <v>7473.9430840196337</v>
      </c>
      <c r="IX32" s="909">
        <v>0</v>
      </c>
      <c r="IY32" s="909">
        <v>0</v>
      </c>
      <c r="IZ32" s="909">
        <v>0</v>
      </c>
      <c r="JA32" s="910">
        <v>10229.427323687623</v>
      </c>
      <c r="JB32" s="871">
        <v>4000</v>
      </c>
      <c r="JC32" s="911">
        <v>207.34511513692635</v>
      </c>
      <c r="JD32" s="908">
        <v>9.1441195999999998</v>
      </c>
      <c r="JE32" s="902">
        <v>111.02723909332327</v>
      </c>
      <c r="JF32" s="902">
        <v>0</v>
      </c>
      <c r="JG32" s="902">
        <v>0</v>
      </c>
      <c r="JH32" s="902">
        <v>34.971000692119006</v>
      </c>
      <c r="JI32" s="902">
        <v>11.550441464628078</v>
      </c>
      <c r="JJ32" s="902">
        <v>3600</v>
      </c>
      <c r="JK32" s="909" t="s">
        <v>1064</v>
      </c>
      <c r="JL32" s="909">
        <v>4</v>
      </c>
      <c r="JM32" s="909">
        <v>0</v>
      </c>
      <c r="JN32" s="909">
        <v>0</v>
      </c>
      <c r="JO32" s="909">
        <v>0</v>
      </c>
      <c r="JP32" s="910">
        <v>10185.267567150564</v>
      </c>
      <c r="JQ32" s="909">
        <v>0</v>
      </c>
      <c r="JR32" s="909">
        <v>0</v>
      </c>
      <c r="JS32" s="909">
        <v>0</v>
      </c>
      <c r="JT32" s="910">
        <v>13940.35961730179</v>
      </c>
      <c r="JU32" s="871">
        <v>4000</v>
      </c>
      <c r="JV32" s="911">
        <v>207.34511513692635</v>
      </c>
      <c r="JW32" s="908">
        <v>9.1441195999999998</v>
      </c>
      <c r="JX32" s="902">
        <v>111.02723909332327</v>
      </c>
      <c r="JY32" s="902">
        <v>0</v>
      </c>
      <c r="JZ32" s="902">
        <v>0</v>
      </c>
      <c r="KA32" s="902">
        <v>34.971000692119006</v>
      </c>
      <c r="KB32" s="902">
        <v>11.550441464628078</v>
      </c>
      <c r="KC32" s="902">
        <v>3600</v>
      </c>
      <c r="KD32" s="909" t="s">
        <v>1064</v>
      </c>
      <c r="KE32" s="909">
        <v>4</v>
      </c>
      <c r="KF32" s="909">
        <v>0</v>
      </c>
      <c r="KG32" s="909">
        <v>0</v>
      </c>
      <c r="KH32" s="909">
        <v>0</v>
      </c>
      <c r="KI32" s="910">
        <v>10185.267567150564</v>
      </c>
      <c r="KJ32" s="909">
        <v>0</v>
      </c>
      <c r="KK32" s="909">
        <v>0</v>
      </c>
      <c r="KL32" s="909">
        <v>0</v>
      </c>
      <c r="KM32" s="910">
        <v>13940.35961730179</v>
      </c>
      <c r="KN32" s="871">
        <v>4000</v>
      </c>
      <c r="KO32" s="912">
        <v>207.34511513692635</v>
      </c>
    </row>
    <row r="33" spans="1:301" ht="15" customHeight="1">
      <c r="A33" s="924" t="s">
        <v>1682</v>
      </c>
      <c r="B33" s="888" t="s">
        <v>1076</v>
      </c>
      <c r="C33" s="888">
        <v>323</v>
      </c>
      <c r="D33" s="888">
        <v>980</v>
      </c>
      <c r="E33" s="888">
        <v>315</v>
      </c>
      <c r="F33" s="888">
        <v>315</v>
      </c>
      <c r="G33" s="888">
        <v>187</v>
      </c>
      <c r="H33" s="888">
        <v>120</v>
      </c>
      <c r="I33" s="888">
        <v>78.7</v>
      </c>
      <c r="J33" s="888">
        <v>39.99</v>
      </c>
      <c r="K33" s="888">
        <v>50.98</v>
      </c>
      <c r="L33" s="888">
        <v>10</v>
      </c>
      <c r="M33" s="888">
        <v>434</v>
      </c>
      <c r="N33" s="888">
        <v>6</v>
      </c>
      <c r="O33" s="884">
        <v>31.856803904434862</v>
      </c>
      <c r="P33" s="888">
        <v>6</v>
      </c>
      <c r="Q33" s="884">
        <v>20.955487206578745</v>
      </c>
      <c r="R33" s="888">
        <v>18.000000000000004</v>
      </c>
      <c r="S33" s="888">
        <v>627.6279783281658</v>
      </c>
      <c r="T33" s="906">
        <v>43.715619152996069</v>
      </c>
      <c r="U33" s="906">
        <v>94.144196749224861</v>
      </c>
      <c r="V33" s="906">
        <v>85</v>
      </c>
      <c r="W33" s="1141">
        <v>3.4835884012543734</v>
      </c>
      <c r="X33" s="902">
        <v>0</v>
      </c>
      <c r="Y33" s="902">
        <v>0</v>
      </c>
      <c r="Z33" s="902">
        <v>0</v>
      </c>
      <c r="AA33" s="902">
        <v>0</v>
      </c>
      <c r="AB33" s="970">
        <v>19.371291131468936</v>
      </c>
      <c r="AC33" s="1045">
        <v>4000</v>
      </c>
      <c r="AD33" s="890">
        <v>0.3861417929025574</v>
      </c>
      <c r="AE33" s="890">
        <v>0.83880225522834062</v>
      </c>
      <c r="AF33" s="890">
        <v>-0.19280850993352566</v>
      </c>
      <c r="AG33" s="890">
        <v>1.1493817004226063</v>
      </c>
      <c r="AH33" s="888"/>
      <c r="AI33" s="907">
        <v>3.7156639745294524</v>
      </c>
      <c r="AJ33" s="908">
        <v>13.539020600000001</v>
      </c>
      <c r="AK33" s="902">
        <v>113.55051926526406</v>
      </c>
      <c r="AL33" s="902">
        <v>0</v>
      </c>
      <c r="AM33" s="902">
        <v>0</v>
      </c>
      <c r="AN33" s="902">
        <v>46.142609293949768</v>
      </c>
      <c r="AO33" s="902">
        <v>11.721543000644177</v>
      </c>
      <c r="AP33" s="1222">
        <v>3600</v>
      </c>
      <c r="AQ33" s="909" t="s">
        <v>1062</v>
      </c>
      <c r="AR33" s="909">
        <v>4</v>
      </c>
      <c r="AS33" s="909">
        <v>0</v>
      </c>
      <c r="AT33" s="909">
        <v>0</v>
      </c>
      <c r="AU33" s="909">
        <v>0</v>
      </c>
      <c r="AV33" s="910">
        <v>4355.1510127865331</v>
      </c>
      <c r="AW33" s="909">
        <v>0</v>
      </c>
      <c r="AX33" s="909">
        <v>0</v>
      </c>
      <c r="AY33" s="909">
        <v>0</v>
      </c>
      <c r="AZ33" s="910">
        <v>4231.1656688591565</v>
      </c>
      <c r="BA33" s="871">
        <v>4000</v>
      </c>
      <c r="BB33" s="911">
        <v>205.25072003453315</v>
      </c>
      <c r="BC33" s="908">
        <v>13.539020600000001</v>
      </c>
      <c r="BD33" s="902">
        <v>113.55051926526406</v>
      </c>
      <c r="BE33" s="902">
        <v>0</v>
      </c>
      <c r="BF33" s="902">
        <v>0</v>
      </c>
      <c r="BG33" s="902">
        <v>46.142609293949768</v>
      </c>
      <c r="BH33" s="902">
        <v>11.721543000644177</v>
      </c>
      <c r="BI33" s="902">
        <v>3600</v>
      </c>
      <c r="BJ33" s="909" t="s">
        <v>1062</v>
      </c>
      <c r="BK33" s="909">
        <v>4</v>
      </c>
      <c r="BL33" s="909">
        <v>0</v>
      </c>
      <c r="BM33" s="909">
        <v>0</v>
      </c>
      <c r="BN33" s="909">
        <v>0</v>
      </c>
      <c r="BO33" s="910">
        <v>4355.1510127865331</v>
      </c>
      <c r="BP33" s="909">
        <v>0</v>
      </c>
      <c r="BQ33" s="909">
        <v>0</v>
      </c>
      <c r="BR33" s="909">
        <v>0</v>
      </c>
      <c r="BS33" s="910">
        <v>4231.1656688591565</v>
      </c>
      <c r="BT33" s="871">
        <v>4000</v>
      </c>
      <c r="BU33" s="911">
        <v>205.25072003453315</v>
      </c>
      <c r="BV33" s="908">
        <v>13.539020600000001</v>
      </c>
      <c r="BW33" s="902">
        <v>113.55051926526406</v>
      </c>
      <c r="BX33" s="902">
        <v>0</v>
      </c>
      <c r="BY33" s="902">
        <v>0</v>
      </c>
      <c r="BZ33" s="902">
        <v>46.142609293949768</v>
      </c>
      <c r="CA33" s="902">
        <v>11.721543000644177</v>
      </c>
      <c r="CB33" s="902">
        <v>3600</v>
      </c>
      <c r="CC33" s="909" t="s">
        <v>2874</v>
      </c>
      <c r="CD33" s="909">
        <v>4</v>
      </c>
      <c r="CE33" s="909">
        <v>0</v>
      </c>
      <c r="CF33" s="909">
        <v>0</v>
      </c>
      <c r="CG33" s="909">
        <v>0</v>
      </c>
      <c r="CH33" s="910">
        <v>4267.1590936369539</v>
      </c>
      <c r="CI33" s="909">
        <v>0</v>
      </c>
      <c r="CJ33" s="909">
        <v>0</v>
      </c>
      <c r="CK33" s="909">
        <v>0</v>
      </c>
      <c r="CL33" s="910">
        <v>4145.6787623547316</v>
      </c>
      <c r="CM33" s="871">
        <v>4000</v>
      </c>
      <c r="CN33" s="911">
        <v>205.25072003453315</v>
      </c>
      <c r="CO33" s="908">
        <v>13.539020600000001</v>
      </c>
      <c r="CP33" s="902">
        <v>113.55051926526406</v>
      </c>
      <c r="CQ33" s="902">
        <v>0</v>
      </c>
      <c r="CR33" s="902">
        <v>0</v>
      </c>
      <c r="CS33" s="902">
        <v>46.142609293949768</v>
      </c>
      <c r="CT33" s="902">
        <v>11.721543000644177</v>
      </c>
      <c r="CU33" s="902">
        <v>3600</v>
      </c>
      <c r="CV33" s="909" t="s">
        <v>2874</v>
      </c>
      <c r="CW33" s="909">
        <v>4</v>
      </c>
      <c r="CX33" s="909">
        <v>0</v>
      </c>
      <c r="CY33" s="909">
        <v>0</v>
      </c>
      <c r="CZ33" s="909">
        <v>0</v>
      </c>
      <c r="DA33" s="910">
        <v>4267.1590936369539</v>
      </c>
      <c r="DB33" s="909">
        <v>0</v>
      </c>
      <c r="DC33" s="909">
        <v>0</v>
      </c>
      <c r="DD33" s="909">
        <v>0</v>
      </c>
      <c r="DE33" s="910">
        <v>4145.6787623547316</v>
      </c>
      <c r="DF33" s="871">
        <v>4000</v>
      </c>
      <c r="DG33" s="911">
        <v>205.25072003453315</v>
      </c>
      <c r="DH33" s="908">
        <v>13.539020600000001</v>
      </c>
      <c r="DI33" s="902">
        <v>113.55051926526406</v>
      </c>
      <c r="DJ33" s="902">
        <v>0</v>
      </c>
      <c r="DK33" s="902">
        <v>0</v>
      </c>
      <c r="DL33" s="902">
        <v>46.142609293949768</v>
      </c>
      <c r="DM33" s="902">
        <v>11.721543000644177</v>
      </c>
      <c r="DN33" s="902">
        <v>3600</v>
      </c>
      <c r="DO33" s="909" t="s">
        <v>2875</v>
      </c>
      <c r="DP33" s="909">
        <v>4</v>
      </c>
      <c r="DQ33" s="909">
        <v>0</v>
      </c>
      <c r="DR33" s="909">
        <v>0</v>
      </c>
      <c r="DS33" s="909">
        <v>0</v>
      </c>
      <c r="DT33" s="910">
        <v>4441.3999997683832</v>
      </c>
      <c r="DU33" s="909">
        <v>0</v>
      </c>
      <c r="DV33" s="909">
        <v>0</v>
      </c>
      <c r="DW33" s="909">
        <v>0</v>
      </c>
      <c r="DX33" s="910">
        <v>4314.959262151342</v>
      </c>
      <c r="DY33" s="871">
        <v>4000</v>
      </c>
      <c r="DZ33" s="911">
        <v>205.25072003453315</v>
      </c>
      <c r="EA33" s="908">
        <v>13.539020600000001</v>
      </c>
      <c r="EB33" s="902">
        <v>113.55051926526406</v>
      </c>
      <c r="EC33" s="902">
        <v>0</v>
      </c>
      <c r="ED33" s="902">
        <v>0</v>
      </c>
      <c r="EE33" s="902">
        <v>46.142609293949768</v>
      </c>
      <c r="EF33" s="902">
        <v>11.721543000644177</v>
      </c>
      <c r="EG33" s="902">
        <v>3600</v>
      </c>
      <c r="EH33" s="909" t="s">
        <v>2875</v>
      </c>
      <c r="EI33" s="909">
        <v>4</v>
      </c>
      <c r="EJ33" s="909">
        <v>0</v>
      </c>
      <c r="EK33" s="909">
        <v>0</v>
      </c>
      <c r="EL33" s="909">
        <v>0</v>
      </c>
      <c r="EM33" s="910">
        <v>4441.3999997683832</v>
      </c>
      <c r="EN33" s="909">
        <v>0</v>
      </c>
      <c r="EO33" s="909">
        <v>0</v>
      </c>
      <c r="EP33" s="909">
        <v>0</v>
      </c>
      <c r="EQ33" s="910">
        <v>4314.959262151342</v>
      </c>
      <c r="ER33" s="871">
        <v>4000</v>
      </c>
      <c r="ES33" s="911">
        <v>205.25072003453315</v>
      </c>
      <c r="ET33" s="908">
        <v>13.539020600000001</v>
      </c>
      <c r="EU33" s="902">
        <v>113.55051926526406</v>
      </c>
      <c r="EV33" s="902">
        <v>0</v>
      </c>
      <c r="EW33" s="902">
        <v>0</v>
      </c>
      <c r="EX33" s="902">
        <v>46.142609293949768</v>
      </c>
      <c r="EY33" s="902">
        <v>11.721543000644177</v>
      </c>
      <c r="EZ33" s="902">
        <v>3600</v>
      </c>
      <c r="FA33" s="909" t="s">
        <v>3884</v>
      </c>
      <c r="FB33" s="909">
        <v>4</v>
      </c>
      <c r="FC33" s="909">
        <v>0</v>
      </c>
      <c r="FD33" s="909">
        <v>0</v>
      </c>
      <c r="FE33" s="909">
        <v>0</v>
      </c>
      <c r="FF33" s="910">
        <v>4730.9049457928413</v>
      </c>
      <c r="FG33" s="909">
        <v>0</v>
      </c>
      <c r="FH33" s="909">
        <v>0</v>
      </c>
      <c r="FI33" s="909">
        <v>0</v>
      </c>
      <c r="FJ33" s="910">
        <v>4596.2223882719363</v>
      </c>
      <c r="FK33" s="871">
        <v>4000</v>
      </c>
      <c r="FL33" s="911">
        <v>205.25072003453315</v>
      </c>
      <c r="FM33" s="908">
        <v>13.539020600000001</v>
      </c>
      <c r="FN33" s="902">
        <v>113.55051926526406</v>
      </c>
      <c r="FO33" s="902">
        <v>0</v>
      </c>
      <c r="FP33" s="902">
        <v>0</v>
      </c>
      <c r="FQ33" s="902">
        <v>46.142609293949768</v>
      </c>
      <c r="FR33" s="902">
        <v>11.721543000644177</v>
      </c>
      <c r="FS33" s="902">
        <v>3600</v>
      </c>
      <c r="FT33" s="909" t="s">
        <v>3884</v>
      </c>
      <c r="FU33" s="909">
        <v>4</v>
      </c>
      <c r="FV33" s="909">
        <v>0</v>
      </c>
      <c r="FW33" s="909">
        <v>0</v>
      </c>
      <c r="FX33" s="909">
        <v>0</v>
      </c>
      <c r="FY33" s="910">
        <v>4730.9049457928413</v>
      </c>
      <c r="FZ33" s="909">
        <v>0</v>
      </c>
      <c r="GA33" s="909">
        <v>0</v>
      </c>
      <c r="GB33" s="909">
        <v>0</v>
      </c>
      <c r="GC33" s="910">
        <v>4596.2223882719363</v>
      </c>
      <c r="GD33" s="871">
        <v>4000</v>
      </c>
      <c r="GE33" s="911">
        <v>205.25072003453315</v>
      </c>
      <c r="GF33" s="908">
        <v>13.539020600000001</v>
      </c>
      <c r="GG33" s="902">
        <v>113.55051926526406</v>
      </c>
      <c r="GH33" s="902">
        <v>0</v>
      </c>
      <c r="GI33" s="902">
        <v>0</v>
      </c>
      <c r="GJ33" s="902">
        <v>46.142609293949768</v>
      </c>
      <c r="GK33" s="902">
        <v>11.721543000644177</v>
      </c>
      <c r="GL33" s="902">
        <v>3600</v>
      </c>
      <c r="GM33" s="909" t="s">
        <v>2877</v>
      </c>
      <c r="GN33" s="909">
        <v>4</v>
      </c>
      <c r="GO33" s="909">
        <v>0</v>
      </c>
      <c r="GP33" s="909">
        <v>0</v>
      </c>
      <c r="GQ33" s="909">
        <v>0</v>
      </c>
      <c r="GR33" s="910">
        <v>5843.0482301206466</v>
      </c>
      <c r="GS33" s="909">
        <v>0</v>
      </c>
      <c r="GT33" s="909">
        <v>0</v>
      </c>
      <c r="GU33" s="909">
        <v>0</v>
      </c>
      <c r="GV33" s="910">
        <v>5676.7044357794648</v>
      </c>
      <c r="GW33" s="871">
        <v>4000</v>
      </c>
      <c r="GX33" s="911">
        <v>205.25072003453315</v>
      </c>
      <c r="GY33" s="908">
        <v>13.539020600000001</v>
      </c>
      <c r="GZ33" s="902">
        <v>113.55051926526406</v>
      </c>
      <c r="HA33" s="902">
        <v>0</v>
      </c>
      <c r="HB33" s="902">
        <v>0</v>
      </c>
      <c r="HC33" s="902">
        <v>46.142609293949768</v>
      </c>
      <c r="HD33" s="902">
        <v>11.721543000644177</v>
      </c>
      <c r="HE33" s="902">
        <v>3600</v>
      </c>
      <c r="HF33" s="909" t="s">
        <v>2877</v>
      </c>
      <c r="HG33" s="909">
        <v>4</v>
      </c>
      <c r="HH33" s="909">
        <v>0</v>
      </c>
      <c r="HI33" s="909">
        <v>0</v>
      </c>
      <c r="HJ33" s="909">
        <v>0</v>
      </c>
      <c r="HK33" s="910">
        <v>5843.0482301206466</v>
      </c>
      <c r="HL33" s="909">
        <v>0</v>
      </c>
      <c r="HM33" s="909">
        <v>0</v>
      </c>
      <c r="HN33" s="909">
        <v>0</v>
      </c>
      <c r="HO33" s="910">
        <v>5676.7044357794648</v>
      </c>
      <c r="HP33" s="871">
        <v>4000</v>
      </c>
      <c r="HQ33" s="911">
        <v>205.25072003453315</v>
      </c>
      <c r="HR33" s="908">
        <v>13.539020600000001</v>
      </c>
      <c r="HS33" s="902">
        <v>113.55051926526406</v>
      </c>
      <c r="HT33" s="902">
        <v>0</v>
      </c>
      <c r="HU33" s="902">
        <v>0</v>
      </c>
      <c r="HV33" s="902">
        <v>46.142609293949768</v>
      </c>
      <c r="HW33" s="902">
        <v>11.721543000644177</v>
      </c>
      <c r="HX33" s="902">
        <v>3600</v>
      </c>
      <c r="HY33" s="909" t="s">
        <v>1063</v>
      </c>
      <c r="HZ33" s="909">
        <v>4</v>
      </c>
      <c r="IA33" s="909">
        <v>0</v>
      </c>
      <c r="IB33" s="909">
        <v>0</v>
      </c>
      <c r="IC33" s="909">
        <v>0</v>
      </c>
      <c r="ID33" s="910">
        <v>5153.0841718184447</v>
      </c>
      <c r="IE33" s="909">
        <v>0</v>
      </c>
      <c r="IF33" s="909">
        <v>0</v>
      </c>
      <c r="IG33" s="909">
        <v>0</v>
      </c>
      <c r="IH33" s="910">
        <v>5006.3827344965639</v>
      </c>
      <c r="II33" s="871">
        <v>4000</v>
      </c>
      <c r="IJ33" s="911">
        <v>205.25072003453315</v>
      </c>
      <c r="IK33" s="908">
        <v>13.539020600000001</v>
      </c>
      <c r="IL33" s="902">
        <v>113.55051926526406</v>
      </c>
      <c r="IM33" s="902">
        <v>0</v>
      </c>
      <c r="IN33" s="902">
        <v>0</v>
      </c>
      <c r="IO33" s="902">
        <v>46.142609293949768</v>
      </c>
      <c r="IP33" s="902">
        <v>11.721543000644177</v>
      </c>
      <c r="IQ33" s="902">
        <v>3600</v>
      </c>
      <c r="IR33" s="909" t="s">
        <v>1063</v>
      </c>
      <c r="IS33" s="909">
        <v>4</v>
      </c>
      <c r="IT33" s="909">
        <v>0</v>
      </c>
      <c r="IU33" s="909">
        <v>0</v>
      </c>
      <c r="IV33" s="909">
        <v>0</v>
      </c>
      <c r="IW33" s="910">
        <v>5153.0841718184447</v>
      </c>
      <c r="IX33" s="909">
        <v>0</v>
      </c>
      <c r="IY33" s="909">
        <v>0</v>
      </c>
      <c r="IZ33" s="909">
        <v>0</v>
      </c>
      <c r="JA33" s="910">
        <v>5006.3827344965639</v>
      </c>
      <c r="JB33" s="871">
        <v>4000</v>
      </c>
      <c r="JC33" s="911">
        <v>205.25072003453315</v>
      </c>
      <c r="JD33" s="908">
        <v>13.539020600000001</v>
      </c>
      <c r="JE33" s="902">
        <v>113.55051926526406</v>
      </c>
      <c r="JF33" s="902">
        <v>0</v>
      </c>
      <c r="JG33" s="902">
        <v>0</v>
      </c>
      <c r="JH33" s="902">
        <v>46.142609293949768</v>
      </c>
      <c r="JI33" s="902">
        <v>11.721543000644177</v>
      </c>
      <c r="JJ33" s="902">
        <v>3600</v>
      </c>
      <c r="JK33" s="909" t="s">
        <v>1064</v>
      </c>
      <c r="JL33" s="909">
        <v>4</v>
      </c>
      <c r="JM33" s="909">
        <v>0</v>
      </c>
      <c r="JN33" s="909">
        <v>0</v>
      </c>
      <c r="JO33" s="909">
        <v>0</v>
      </c>
      <c r="JP33" s="910">
        <v>7022.469999569701</v>
      </c>
      <c r="JQ33" s="909">
        <v>0</v>
      </c>
      <c r="JR33" s="909">
        <v>0</v>
      </c>
      <c r="JS33" s="909">
        <v>0</v>
      </c>
      <c r="JT33" s="910">
        <v>6822.5496396189101</v>
      </c>
      <c r="JU33" s="871">
        <v>4000</v>
      </c>
      <c r="JV33" s="911">
        <v>205.25072003453315</v>
      </c>
      <c r="JW33" s="908">
        <v>13.539020600000001</v>
      </c>
      <c r="JX33" s="902">
        <v>113.55051926526406</v>
      </c>
      <c r="JY33" s="902">
        <v>0</v>
      </c>
      <c r="JZ33" s="902">
        <v>0</v>
      </c>
      <c r="KA33" s="902">
        <v>46.142609293949768</v>
      </c>
      <c r="KB33" s="902">
        <v>11.721543000644177</v>
      </c>
      <c r="KC33" s="902">
        <v>3600</v>
      </c>
      <c r="KD33" s="909" t="s">
        <v>1064</v>
      </c>
      <c r="KE33" s="909">
        <v>4</v>
      </c>
      <c r="KF33" s="909">
        <v>0</v>
      </c>
      <c r="KG33" s="909">
        <v>0</v>
      </c>
      <c r="KH33" s="909">
        <v>0</v>
      </c>
      <c r="KI33" s="910">
        <v>7022.469999569701</v>
      </c>
      <c r="KJ33" s="909">
        <v>0</v>
      </c>
      <c r="KK33" s="909">
        <v>0</v>
      </c>
      <c r="KL33" s="909">
        <v>0</v>
      </c>
      <c r="KM33" s="910">
        <v>6822.5496396189101</v>
      </c>
      <c r="KN33" s="871">
        <v>4000</v>
      </c>
      <c r="KO33" s="912">
        <v>205.25072003453315</v>
      </c>
    </row>
    <row r="34" spans="1:301" ht="15" customHeight="1">
      <c r="A34" s="924" t="s">
        <v>1525</v>
      </c>
      <c r="B34" s="888" t="s">
        <v>1074</v>
      </c>
      <c r="C34" s="888">
        <v>371.62197504944044</v>
      </c>
      <c r="D34" s="888">
        <v>980</v>
      </c>
      <c r="E34" s="888">
        <v>355</v>
      </c>
      <c r="F34" s="888">
        <v>315</v>
      </c>
      <c r="G34" s="888">
        <v>201</v>
      </c>
      <c r="H34" s="888">
        <v>133</v>
      </c>
      <c r="I34" s="888">
        <v>81.99070231404913</v>
      </c>
      <c r="J34" s="888">
        <v>35.26269356060623</v>
      </c>
      <c r="K34" s="888">
        <v>55.851800423607244</v>
      </c>
      <c r="L34" s="888">
        <v>10</v>
      </c>
      <c r="M34" s="888">
        <v>457</v>
      </c>
      <c r="N34" s="888">
        <v>6</v>
      </c>
      <c r="O34" s="884">
        <v>30.865411510741531</v>
      </c>
      <c r="P34" s="888">
        <v>6</v>
      </c>
      <c r="Q34" s="884">
        <v>20.163696074170865</v>
      </c>
      <c r="R34" s="888">
        <v>18.000000000000004</v>
      </c>
      <c r="S34" s="888">
        <v>644.45412622940682</v>
      </c>
      <c r="T34" s="906">
        <v>46.090992550219696</v>
      </c>
      <c r="U34" s="906">
        <v>96.668118934411027</v>
      </c>
      <c r="V34" s="906">
        <v>85</v>
      </c>
      <c r="W34" s="1141">
        <v>3.6728759688456316</v>
      </c>
      <c r="X34" s="902">
        <v>0</v>
      </c>
      <c r="Y34" s="902">
        <v>0</v>
      </c>
      <c r="Z34" s="902">
        <v>0</v>
      </c>
      <c r="AA34" s="902">
        <v>0</v>
      </c>
      <c r="AB34" s="970">
        <v>23.200321115658284</v>
      </c>
      <c r="AC34" s="1045">
        <v>4000</v>
      </c>
      <c r="AD34" s="890">
        <v>0.72410386997193488</v>
      </c>
      <c r="AE34" s="890">
        <v>0.70706237774199721</v>
      </c>
      <c r="AF34" s="890">
        <v>-0.27008256358604837</v>
      </c>
      <c r="AG34" s="890">
        <v>1.0456674070371257</v>
      </c>
      <c r="AH34" s="888"/>
      <c r="AI34" s="907">
        <v>3.7827615780759731</v>
      </c>
      <c r="AJ34" s="908">
        <v>23.138051850496073</v>
      </c>
      <c r="AK34" s="902">
        <v>123.93102795447379</v>
      </c>
      <c r="AL34" s="902">
        <v>0</v>
      </c>
      <c r="AM34" s="902">
        <v>0</v>
      </c>
      <c r="AN34" s="902">
        <v>50.634514474795118</v>
      </c>
      <c r="AO34" s="902">
        <v>13.229044603717171</v>
      </c>
      <c r="AP34" s="1222">
        <v>3600</v>
      </c>
      <c r="AQ34" s="909" t="s">
        <v>1062</v>
      </c>
      <c r="AR34" s="909">
        <v>6</v>
      </c>
      <c r="AS34" s="909">
        <v>0</v>
      </c>
      <c r="AT34" s="909">
        <v>0</v>
      </c>
      <c r="AU34" s="909">
        <v>0</v>
      </c>
      <c r="AV34" s="910">
        <v>4454.2265111257138</v>
      </c>
      <c r="AW34" s="909">
        <v>0</v>
      </c>
      <c r="AX34" s="909">
        <v>0</v>
      </c>
      <c r="AY34" s="909">
        <v>0</v>
      </c>
      <c r="AZ34" s="910">
        <v>6540.347299250252</v>
      </c>
      <c r="BA34" s="871">
        <v>4000</v>
      </c>
      <c r="BB34" s="911">
        <v>205.25072003453315</v>
      </c>
      <c r="BC34" s="908">
        <v>23.138051850496073</v>
      </c>
      <c r="BD34" s="902">
        <v>123.93102795447379</v>
      </c>
      <c r="BE34" s="902">
        <v>0</v>
      </c>
      <c r="BF34" s="902">
        <v>0</v>
      </c>
      <c r="BG34" s="902">
        <v>50.634514474795118</v>
      </c>
      <c r="BH34" s="902">
        <v>13.229044603717171</v>
      </c>
      <c r="BI34" s="902">
        <v>3600</v>
      </c>
      <c r="BJ34" s="909" t="s">
        <v>1062</v>
      </c>
      <c r="BK34" s="909">
        <v>6</v>
      </c>
      <c r="BL34" s="909">
        <v>0</v>
      </c>
      <c r="BM34" s="909">
        <v>0</v>
      </c>
      <c r="BN34" s="909">
        <v>0</v>
      </c>
      <c r="BO34" s="910">
        <v>4454.2265111257138</v>
      </c>
      <c r="BP34" s="909">
        <v>0</v>
      </c>
      <c r="BQ34" s="909">
        <v>0</v>
      </c>
      <c r="BR34" s="909">
        <v>0</v>
      </c>
      <c r="BS34" s="910">
        <v>6540.347299250252</v>
      </c>
      <c r="BT34" s="871">
        <v>4000</v>
      </c>
      <c r="BU34" s="911">
        <v>205.25072003453315</v>
      </c>
      <c r="BV34" s="908">
        <v>23.138051850496073</v>
      </c>
      <c r="BW34" s="902">
        <v>123.93102795447379</v>
      </c>
      <c r="BX34" s="902">
        <v>0</v>
      </c>
      <c r="BY34" s="902">
        <v>0</v>
      </c>
      <c r="BZ34" s="902">
        <v>50.634514474795118</v>
      </c>
      <c r="CA34" s="902">
        <v>13.229044603717171</v>
      </c>
      <c r="CB34" s="902">
        <v>3600</v>
      </c>
      <c r="CC34" s="909" t="s">
        <v>2874</v>
      </c>
      <c r="CD34" s="909">
        <v>6</v>
      </c>
      <c r="CE34" s="909">
        <v>0</v>
      </c>
      <c r="CF34" s="909">
        <v>0</v>
      </c>
      <c r="CG34" s="909">
        <v>0</v>
      </c>
      <c r="CH34" s="910">
        <v>4364.2328604141348</v>
      </c>
      <c r="CI34" s="909">
        <v>0</v>
      </c>
      <c r="CJ34" s="909">
        <v>0</v>
      </c>
      <c r="CK34" s="909">
        <v>0</v>
      </c>
      <c r="CL34" s="910">
        <v>6408.205449501259</v>
      </c>
      <c r="CM34" s="871">
        <v>4000</v>
      </c>
      <c r="CN34" s="911">
        <v>205.25072003453315</v>
      </c>
      <c r="CO34" s="908">
        <v>23.138051850496073</v>
      </c>
      <c r="CP34" s="902">
        <v>123.93102795447379</v>
      </c>
      <c r="CQ34" s="902">
        <v>0</v>
      </c>
      <c r="CR34" s="902">
        <v>0</v>
      </c>
      <c r="CS34" s="902">
        <v>50.634514474795118</v>
      </c>
      <c r="CT34" s="902">
        <v>13.229044603717171</v>
      </c>
      <c r="CU34" s="902">
        <v>3600</v>
      </c>
      <c r="CV34" s="909" t="s">
        <v>2874</v>
      </c>
      <c r="CW34" s="909">
        <v>6</v>
      </c>
      <c r="CX34" s="909">
        <v>0</v>
      </c>
      <c r="CY34" s="909">
        <v>0</v>
      </c>
      <c r="CZ34" s="909">
        <v>0</v>
      </c>
      <c r="DA34" s="910">
        <v>4364.2328604141348</v>
      </c>
      <c r="DB34" s="909">
        <v>0</v>
      </c>
      <c r="DC34" s="909">
        <v>0</v>
      </c>
      <c r="DD34" s="909">
        <v>0</v>
      </c>
      <c r="DE34" s="910">
        <v>6408.205449501259</v>
      </c>
      <c r="DF34" s="871">
        <v>4000</v>
      </c>
      <c r="DG34" s="911">
        <v>205.25072003453315</v>
      </c>
      <c r="DH34" s="908">
        <v>23.138051850496073</v>
      </c>
      <c r="DI34" s="902">
        <v>123.93102795447379</v>
      </c>
      <c r="DJ34" s="902">
        <v>0</v>
      </c>
      <c r="DK34" s="902">
        <v>0</v>
      </c>
      <c r="DL34" s="902">
        <v>50.634514474795118</v>
      </c>
      <c r="DM34" s="902">
        <v>13.229044603717171</v>
      </c>
      <c r="DN34" s="902">
        <v>3600</v>
      </c>
      <c r="DO34" s="909" t="s">
        <v>2875</v>
      </c>
      <c r="DP34" s="909">
        <v>6</v>
      </c>
      <c r="DQ34" s="909">
        <v>0</v>
      </c>
      <c r="DR34" s="909">
        <v>0</v>
      </c>
      <c r="DS34" s="909">
        <v>0</v>
      </c>
      <c r="DT34" s="910">
        <v>4542.4375796384656</v>
      </c>
      <c r="DU34" s="909">
        <v>0</v>
      </c>
      <c r="DV34" s="909">
        <v>0</v>
      </c>
      <c r="DW34" s="909">
        <v>0</v>
      </c>
      <c r="DX34" s="910">
        <v>6669.8717009101783</v>
      </c>
      <c r="DY34" s="871">
        <v>4000</v>
      </c>
      <c r="DZ34" s="911">
        <v>205.25072003453315</v>
      </c>
      <c r="EA34" s="908">
        <v>23.138051850496073</v>
      </c>
      <c r="EB34" s="902">
        <v>123.93102795447379</v>
      </c>
      <c r="EC34" s="902">
        <v>0</v>
      </c>
      <c r="ED34" s="902">
        <v>0</v>
      </c>
      <c r="EE34" s="902">
        <v>50.634514474795118</v>
      </c>
      <c r="EF34" s="902">
        <v>13.229044603717171</v>
      </c>
      <c r="EG34" s="902">
        <v>3600</v>
      </c>
      <c r="EH34" s="909" t="s">
        <v>2875</v>
      </c>
      <c r="EI34" s="909">
        <v>6</v>
      </c>
      <c r="EJ34" s="909">
        <v>0</v>
      </c>
      <c r="EK34" s="909">
        <v>0</v>
      </c>
      <c r="EL34" s="909">
        <v>0</v>
      </c>
      <c r="EM34" s="910">
        <v>4542.4375796384656</v>
      </c>
      <c r="EN34" s="909">
        <v>0</v>
      </c>
      <c r="EO34" s="909">
        <v>0</v>
      </c>
      <c r="EP34" s="909">
        <v>0</v>
      </c>
      <c r="EQ34" s="910">
        <v>6669.8717009101783</v>
      </c>
      <c r="ER34" s="871">
        <v>4000</v>
      </c>
      <c r="ES34" s="911">
        <v>205.25072003453315</v>
      </c>
      <c r="ET34" s="908">
        <v>19.281709875413394</v>
      </c>
      <c r="EU34" s="902">
        <v>120.07468597939112</v>
      </c>
      <c r="EV34" s="902">
        <v>0</v>
      </c>
      <c r="EW34" s="902">
        <v>0</v>
      </c>
      <c r="EX34" s="902">
        <v>50.124975455085213</v>
      </c>
      <c r="EY34" s="902">
        <v>12.699519252032282</v>
      </c>
      <c r="EZ34" s="902">
        <v>3600</v>
      </c>
      <c r="FA34" s="909" t="s">
        <v>3884</v>
      </c>
      <c r="FB34" s="909">
        <v>5</v>
      </c>
      <c r="FC34" s="909">
        <v>0</v>
      </c>
      <c r="FD34" s="909">
        <v>0</v>
      </c>
      <c r="FE34" s="909">
        <v>0</v>
      </c>
      <c r="FF34" s="910">
        <v>4140.1592099927375</v>
      </c>
      <c r="FG34" s="909">
        <v>0</v>
      </c>
      <c r="FH34" s="909">
        <v>0</v>
      </c>
      <c r="FI34" s="909">
        <v>0</v>
      </c>
      <c r="FJ34" s="910">
        <v>5638.6915255501872</v>
      </c>
      <c r="FK34" s="871">
        <v>4000</v>
      </c>
      <c r="FL34" s="911">
        <v>205.25072003453315</v>
      </c>
      <c r="FM34" s="908">
        <v>19.281709875413394</v>
      </c>
      <c r="FN34" s="902">
        <v>120.07468597939112</v>
      </c>
      <c r="FO34" s="902">
        <v>0</v>
      </c>
      <c r="FP34" s="902">
        <v>0</v>
      </c>
      <c r="FQ34" s="902">
        <v>50.124975455085213</v>
      </c>
      <c r="FR34" s="902">
        <v>12.699519252032282</v>
      </c>
      <c r="FS34" s="902">
        <v>3600</v>
      </c>
      <c r="FT34" s="909" t="s">
        <v>3884</v>
      </c>
      <c r="FU34" s="909">
        <v>5</v>
      </c>
      <c r="FV34" s="909">
        <v>0</v>
      </c>
      <c r="FW34" s="909">
        <v>0</v>
      </c>
      <c r="FX34" s="909">
        <v>0</v>
      </c>
      <c r="FY34" s="910">
        <v>4140.1592099927375</v>
      </c>
      <c r="FZ34" s="909">
        <v>0</v>
      </c>
      <c r="GA34" s="909">
        <v>0</v>
      </c>
      <c r="GB34" s="909">
        <v>0</v>
      </c>
      <c r="GC34" s="910">
        <v>5638.6915255501872</v>
      </c>
      <c r="GD34" s="871">
        <v>4000</v>
      </c>
      <c r="GE34" s="911">
        <v>205.25072003453315</v>
      </c>
      <c r="GF34" s="908">
        <v>15.425367900330714</v>
      </c>
      <c r="GG34" s="902">
        <v>116.21834400430843</v>
      </c>
      <c r="GH34" s="902">
        <v>0</v>
      </c>
      <c r="GI34" s="902">
        <v>0</v>
      </c>
      <c r="GJ34" s="902">
        <v>49.58162152041529</v>
      </c>
      <c r="GK34" s="902">
        <v>12.169993900347393</v>
      </c>
      <c r="GL34" s="902">
        <v>3600</v>
      </c>
      <c r="GM34" s="909" t="s">
        <v>2877</v>
      </c>
      <c r="GN34" s="909">
        <v>4</v>
      </c>
      <c r="GO34" s="909">
        <v>0</v>
      </c>
      <c r="GP34" s="909">
        <v>0</v>
      </c>
      <c r="GQ34" s="909">
        <v>0</v>
      </c>
      <c r="GR34" s="910">
        <v>4375.1062225427913</v>
      </c>
      <c r="GS34" s="909">
        <v>0</v>
      </c>
      <c r="GT34" s="909">
        <v>0</v>
      </c>
      <c r="GU34" s="909">
        <v>0</v>
      </c>
      <c r="GV34" s="910">
        <v>5719.1792337897041</v>
      </c>
      <c r="GW34" s="871">
        <v>4000</v>
      </c>
      <c r="GX34" s="911">
        <v>205.25072003453315</v>
      </c>
      <c r="GY34" s="908">
        <v>15.425367900330714</v>
      </c>
      <c r="GZ34" s="902">
        <v>116.21834400430843</v>
      </c>
      <c r="HA34" s="902">
        <v>0</v>
      </c>
      <c r="HB34" s="902">
        <v>0</v>
      </c>
      <c r="HC34" s="902">
        <v>49.58162152041529</v>
      </c>
      <c r="HD34" s="902">
        <v>12.169993900347393</v>
      </c>
      <c r="HE34" s="902">
        <v>3600</v>
      </c>
      <c r="HF34" s="909" t="s">
        <v>2877</v>
      </c>
      <c r="HG34" s="909">
        <v>4</v>
      </c>
      <c r="HH34" s="909">
        <v>0</v>
      </c>
      <c r="HI34" s="909">
        <v>0</v>
      </c>
      <c r="HJ34" s="909">
        <v>0</v>
      </c>
      <c r="HK34" s="910">
        <v>4375.1062225427913</v>
      </c>
      <c r="HL34" s="909">
        <v>0</v>
      </c>
      <c r="HM34" s="909">
        <v>0</v>
      </c>
      <c r="HN34" s="909">
        <v>0</v>
      </c>
      <c r="HO34" s="910">
        <v>5719.1792337897041</v>
      </c>
      <c r="HP34" s="871">
        <v>4000</v>
      </c>
      <c r="HQ34" s="911">
        <v>205.25072003453315</v>
      </c>
      <c r="HR34" s="908">
        <v>19.281709875413394</v>
      </c>
      <c r="HS34" s="902">
        <v>120.07468597939112</v>
      </c>
      <c r="HT34" s="902">
        <v>0</v>
      </c>
      <c r="HU34" s="902">
        <v>0</v>
      </c>
      <c r="HV34" s="902">
        <v>50.124975455085213</v>
      </c>
      <c r="HW34" s="902">
        <v>12.699519252032282</v>
      </c>
      <c r="HX34" s="902">
        <v>3600</v>
      </c>
      <c r="HY34" s="909" t="s">
        <v>1063</v>
      </c>
      <c r="HZ34" s="909">
        <v>5</v>
      </c>
      <c r="IA34" s="909">
        <v>0</v>
      </c>
      <c r="IB34" s="909">
        <v>0</v>
      </c>
      <c r="IC34" s="909">
        <v>0</v>
      </c>
      <c r="ID34" s="910">
        <v>4509.6211270942194</v>
      </c>
      <c r="IE34" s="909">
        <v>0</v>
      </c>
      <c r="IF34" s="909">
        <v>0</v>
      </c>
      <c r="IG34" s="909">
        <v>0</v>
      </c>
      <c r="IH34" s="910">
        <v>6141.8803343151785</v>
      </c>
      <c r="II34" s="871">
        <v>4000</v>
      </c>
      <c r="IJ34" s="911">
        <v>205.25072003453315</v>
      </c>
      <c r="IK34" s="908">
        <v>19.281709875413394</v>
      </c>
      <c r="IL34" s="902">
        <v>120.07468597939112</v>
      </c>
      <c r="IM34" s="902">
        <v>0</v>
      </c>
      <c r="IN34" s="902">
        <v>0</v>
      </c>
      <c r="IO34" s="902">
        <v>50.124975455085213</v>
      </c>
      <c r="IP34" s="902">
        <v>12.699519252032282</v>
      </c>
      <c r="IQ34" s="902">
        <v>3600</v>
      </c>
      <c r="IR34" s="909" t="s">
        <v>1063</v>
      </c>
      <c r="IS34" s="909">
        <v>5</v>
      </c>
      <c r="IT34" s="909">
        <v>0</v>
      </c>
      <c r="IU34" s="909">
        <v>0</v>
      </c>
      <c r="IV34" s="909">
        <v>0</v>
      </c>
      <c r="IW34" s="910">
        <v>4509.6211270942194</v>
      </c>
      <c r="IX34" s="909">
        <v>0</v>
      </c>
      <c r="IY34" s="909">
        <v>0</v>
      </c>
      <c r="IZ34" s="909">
        <v>0</v>
      </c>
      <c r="JA34" s="910">
        <v>6141.8803343151785</v>
      </c>
      <c r="JB34" s="871">
        <v>4000</v>
      </c>
      <c r="JC34" s="911">
        <v>205.25072003453315</v>
      </c>
      <c r="JD34" s="908">
        <v>15.425367900330714</v>
      </c>
      <c r="JE34" s="902">
        <v>116.21834400430843</v>
      </c>
      <c r="JF34" s="902">
        <v>0</v>
      </c>
      <c r="JG34" s="902">
        <v>0</v>
      </c>
      <c r="JH34" s="902">
        <v>49.58162152041529</v>
      </c>
      <c r="JI34" s="902">
        <v>12.169993900347393</v>
      </c>
      <c r="JJ34" s="902">
        <v>3600</v>
      </c>
      <c r="JK34" s="909" t="s">
        <v>1064</v>
      </c>
      <c r="JL34" s="909">
        <v>4</v>
      </c>
      <c r="JM34" s="909">
        <v>0</v>
      </c>
      <c r="JN34" s="909">
        <v>0</v>
      </c>
      <c r="JO34" s="909">
        <v>0</v>
      </c>
      <c r="JP34" s="910">
        <v>5258.2232736598644</v>
      </c>
      <c r="JQ34" s="909">
        <v>0</v>
      </c>
      <c r="JR34" s="909">
        <v>0</v>
      </c>
      <c r="JS34" s="909">
        <v>0</v>
      </c>
      <c r="JT34" s="910">
        <v>6873.597993665875</v>
      </c>
      <c r="JU34" s="871">
        <v>4000</v>
      </c>
      <c r="JV34" s="911">
        <v>205.25072003453315</v>
      </c>
      <c r="JW34" s="908">
        <v>15.425367900330714</v>
      </c>
      <c r="JX34" s="902">
        <v>116.21834400430843</v>
      </c>
      <c r="JY34" s="902">
        <v>0</v>
      </c>
      <c r="JZ34" s="902">
        <v>0</v>
      </c>
      <c r="KA34" s="902">
        <v>49.58162152041529</v>
      </c>
      <c r="KB34" s="902">
        <v>12.169993900347393</v>
      </c>
      <c r="KC34" s="902">
        <v>3600</v>
      </c>
      <c r="KD34" s="909" t="s">
        <v>1064</v>
      </c>
      <c r="KE34" s="909">
        <v>4</v>
      </c>
      <c r="KF34" s="909">
        <v>0</v>
      </c>
      <c r="KG34" s="909">
        <v>0</v>
      </c>
      <c r="KH34" s="909">
        <v>0</v>
      </c>
      <c r="KI34" s="910">
        <v>5258.2232736598644</v>
      </c>
      <c r="KJ34" s="909">
        <v>0</v>
      </c>
      <c r="KK34" s="909">
        <v>0</v>
      </c>
      <c r="KL34" s="909">
        <v>0</v>
      </c>
      <c r="KM34" s="910">
        <v>6873.597993665875</v>
      </c>
      <c r="KN34" s="871">
        <v>4000</v>
      </c>
      <c r="KO34" s="912">
        <v>205.25072003453315</v>
      </c>
    </row>
    <row r="35" spans="1:301" ht="15" customHeight="1">
      <c r="A35" s="1396" t="s">
        <v>1683</v>
      </c>
      <c r="B35" s="888" t="s">
        <v>1074</v>
      </c>
      <c r="C35" s="888">
        <v>345</v>
      </c>
      <c r="D35" s="888">
        <v>980</v>
      </c>
      <c r="E35" s="888">
        <v>355</v>
      </c>
      <c r="F35" s="888">
        <v>276.50505811244818</v>
      </c>
      <c r="G35" s="888">
        <v>149.64435343337104</v>
      </c>
      <c r="H35" s="888">
        <v>122.4719392195997</v>
      </c>
      <c r="I35" s="888">
        <v>82.8</v>
      </c>
      <c r="J35" s="888">
        <v>35.01</v>
      </c>
      <c r="K35" s="888">
        <v>47.81</v>
      </c>
      <c r="L35" s="888">
        <v>10</v>
      </c>
      <c r="M35" s="888">
        <v>488.35355202579035</v>
      </c>
      <c r="N35" s="888">
        <v>6</v>
      </c>
      <c r="O35" s="884">
        <v>30.865411510741531</v>
      </c>
      <c r="P35" s="888">
        <v>6</v>
      </c>
      <c r="Q35" s="884">
        <v>20.926471922481088</v>
      </c>
      <c r="R35" s="888">
        <v>18.000000000000004</v>
      </c>
      <c r="S35" s="888">
        <v>628.25252905622403</v>
      </c>
      <c r="T35" s="906">
        <v>43.802665005289029</v>
      </c>
      <c r="U35" s="906">
        <v>94.237879358433602</v>
      </c>
      <c r="V35" s="906">
        <v>72.5</v>
      </c>
      <c r="W35" s="1141">
        <v>2.9772123870782381</v>
      </c>
      <c r="X35" s="902">
        <v>0</v>
      </c>
      <c r="Y35" s="902">
        <v>0</v>
      </c>
      <c r="Z35" s="902">
        <v>0</v>
      </c>
      <c r="AA35" s="902">
        <v>0</v>
      </c>
      <c r="AB35" s="970">
        <v>20.518371272857184</v>
      </c>
      <c r="AC35" s="1045">
        <v>4000</v>
      </c>
      <c r="AD35" s="890">
        <v>0.4032942506577531</v>
      </c>
      <c r="AE35" s="890">
        <v>0.70046767478066729</v>
      </c>
      <c r="AF35" s="890">
        <v>-0.32230890848126437</v>
      </c>
      <c r="AG35" s="890">
        <v>1.2600977889005627</v>
      </c>
      <c r="AH35" s="888"/>
      <c r="AI35" s="907">
        <v>3.8326743582020111</v>
      </c>
      <c r="AJ35" s="908">
        <v>19.673136327388558</v>
      </c>
      <c r="AK35" s="902">
        <v>118.24489715297845</v>
      </c>
      <c r="AL35" s="902">
        <v>0</v>
      </c>
      <c r="AM35" s="902">
        <v>0</v>
      </c>
      <c r="AN35" s="902">
        <v>46.934606602697897</v>
      </c>
      <c r="AO35" s="902">
        <v>12.551885517726069</v>
      </c>
      <c r="AP35" s="1222">
        <v>3600</v>
      </c>
      <c r="AQ35" s="909" t="s">
        <v>1062</v>
      </c>
      <c r="AR35" s="909">
        <v>5</v>
      </c>
      <c r="AS35" s="909">
        <v>0</v>
      </c>
      <c r="AT35" s="909">
        <v>0</v>
      </c>
      <c r="AU35" s="909">
        <v>0</v>
      </c>
      <c r="AV35" s="910">
        <v>4375.3831684778697</v>
      </c>
      <c r="AW35" s="909">
        <v>0</v>
      </c>
      <c r="AX35" s="909">
        <v>0</v>
      </c>
      <c r="AY35" s="909">
        <v>0</v>
      </c>
      <c r="AZ35" s="910">
        <v>4683.7826627530567</v>
      </c>
      <c r="BA35" s="871">
        <v>4000</v>
      </c>
      <c r="BB35" s="911">
        <v>205.25072003453315</v>
      </c>
      <c r="BC35" s="908">
        <v>19.673136327388558</v>
      </c>
      <c r="BD35" s="902">
        <v>118.24489715297845</v>
      </c>
      <c r="BE35" s="902">
        <v>0</v>
      </c>
      <c r="BF35" s="902">
        <v>0</v>
      </c>
      <c r="BG35" s="902">
        <v>46.934606602697897</v>
      </c>
      <c r="BH35" s="902">
        <v>12.551885517726069</v>
      </c>
      <c r="BI35" s="902">
        <v>3600</v>
      </c>
      <c r="BJ35" s="909" t="s">
        <v>1062</v>
      </c>
      <c r="BK35" s="909">
        <v>5</v>
      </c>
      <c r="BL35" s="909">
        <v>0</v>
      </c>
      <c r="BM35" s="909">
        <v>0</v>
      </c>
      <c r="BN35" s="909">
        <v>0</v>
      </c>
      <c r="BO35" s="910">
        <v>4375.3831684778697</v>
      </c>
      <c r="BP35" s="909">
        <v>0</v>
      </c>
      <c r="BQ35" s="909">
        <v>0</v>
      </c>
      <c r="BR35" s="909">
        <v>0</v>
      </c>
      <c r="BS35" s="910">
        <v>4683.7826627530567</v>
      </c>
      <c r="BT35" s="871">
        <v>4000</v>
      </c>
      <c r="BU35" s="911">
        <v>205.25072003453315</v>
      </c>
      <c r="BV35" s="908">
        <v>19.673136327388558</v>
      </c>
      <c r="BW35" s="902">
        <v>118.24489715297845</v>
      </c>
      <c r="BX35" s="902">
        <v>0</v>
      </c>
      <c r="BY35" s="902">
        <v>0</v>
      </c>
      <c r="BZ35" s="902">
        <v>46.934606602697897</v>
      </c>
      <c r="CA35" s="902">
        <v>12.551885517726069</v>
      </c>
      <c r="CB35" s="902">
        <v>3600</v>
      </c>
      <c r="CC35" s="909" t="s">
        <v>2874</v>
      </c>
      <c r="CD35" s="909">
        <v>5</v>
      </c>
      <c r="CE35" s="909">
        <v>0</v>
      </c>
      <c r="CF35" s="909">
        <v>0</v>
      </c>
      <c r="CG35" s="909">
        <v>0</v>
      </c>
      <c r="CH35" s="910">
        <v>4286.9824767730825</v>
      </c>
      <c r="CI35" s="909">
        <v>0</v>
      </c>
      <c r="CJ35" s="909">
        <v>0</v>
      </c>
      <c r="CK35" s="909">
        <v>0</v>
      </c>
      <c r="CL35" s="910">
        <v>4589.1510359357171</v>
      </c>
      <c r="CM35" s="871">
        <v>4000</v>
      </c>
      <c r="CN35" s="911">
        <v>205.25072003453315</v>
      </c>
      <c r="CO35" s="908">
        <v>19.673136327388558</v>
      </c>
      <c r="CP35" s="902">
        <v>118.24489715297845</v>
      </c>
      <c r="CQ35" s="902">
        <v>0</v>
      </c>
      <c r="CR35" s="902">
        <v>0</v>
      </c>
      <c r="CS35" s="902">
        <v>46.934606602697897</v>
      </c>
      <c r="CT35" s="902">
        <v>12.551885517726069</v>
      </c>
      <c r="CU35" s="902">
        <v>3600</v>
      </c>
      <c r="CV35" s="909" t="s">
        <v>2874</v>
      </c>
      <c r="CW35" s="909">
        <v>5</v>
      </c>
      <c r="CX35" s="909">
        <v>0</v>
      </c>
      <c r="CY35" s="909">
        <v>0</v>
      </c>
      <c r="CZ35" s="909">
        <v>0</v>
      </c>
      <c r="DA35" s="910">
        <v>4286.9824767730825</v>
      </c>
      <c r="DB35" s="909">
        <v>0</v>
      </c>
      <c r="DC35" s="909">
        <v>0</v>
      </c>
      <c r="DD35" s="909">
        <v>0</v>
      </c>
      <c r="DE35" s="910">
        <v>4589.1510359357171</v>
      </c>
      <c r="DF35" s="871">
        <v>4000</v>
      </c>
      <c r="DG35" s="911">
        <v>205.25072003453315</v>
      </c>
      <c r="DH35" s="908">
        <v>19.673136327388558</v>
      </c>
      <c r="DI35" s="902">
        <v>118.24489715297845</v>
      </c>
      <c r="DJ35" s="902">
        <v>0</v>
      </c>
      <c r="DK35" s="902">
        <v>0</v>
      </c>
      <c r="DL35" s="902">
        <v>46.934606602697897</v>
      </c>
      <c r="DM35" s="902">
        <v>12.551885517726069</v>
      </c>
      <c r="DN35" s="902">
        <v>3600</v>
      </c>
      <c r="DO35" s="909" t="s">
        <v>2875</v>
      </c>
      <c r="DP35" s="909">
        <v>5</v>
      </c>
      <c r="DQ35" s="909">
        <v>0</v>
      </c>
      <c r="DR35" s="909">
        <v>0</v>
      </c>
      <c r="DS35" s="909">
        <v>0</v>
      </c>
      <c r="DT35" s="910">
        <v>4462.0328311028179</v>
      </c>
      <c r="DU35" s="909">
        <v>0</v>
      </c>
      <c r="DV35" s="909">
        <v>0</v>
      </c>
      <c r="DW35" s="909">
        <v>0</v>
      </c>
      <c r="DX35" s="910">
        <v>4776.5398389610818</v>
      </c>
      <c r="DY35" s="871">
        <v>4000</v>
      </c>
      <c r="DZ35" s="911">
        <v>205.25072003453315</v>
      </c>
      <c r="EA35" s="908">
        <v>19.673136327388558</v>
      </c>
      <c r="EB35" s="902">
        <v>118.24489715297845</v>
      </c>
      <c r="EC35" s="902">
        <v>0</v>
      </c>
      <c r="ED35" s="902">
        <v>0</v>
      </c>
      <c r="EE35" s="902">
        <v>46.934606602697897</v>
      </c>
      <c r="EF35" s="902">
        <v>12.551885517726069</v>
      </c>
      <c r="EG35" s="902">
        <v>3600</v>
      </c>
      <c r="EH35" s="909" t="s">
        <v>2875</v>
      </c>
      <c r="EI35" s="909">
        <v>5</v>
      </c>
      <c r="EJ35" s="909">
        <v>0</v>
      </c>
      <c r="EK35" s="909">
        <v>0</v>
      </c>
      <c r="EL35" s="909">
        <v>0</v>
      </c>
      <c r="EM35" s="910">
        <v>4462.0328311028179</v>
      </c>
      <c r="EN35" s="909">
        <v>0</v>
      </c>
      <c r="EO35" s="909">
        <v>0</v>
      </c>
      <c r="EP35" s="909">
        <v>0</v>
      </c>
      <c r="EQ35" s="910">
        <v>4776.5398389610818</v>
      </c>
      <c r="ER35" s="871">
        <v>4000</v>
      </c>
      <c r="ES35" s="911">
        <v>205.25072003453315</v>
      </c>
      <c r="ET35" s="908">
        <v>15.738509061910847</v>
      </c>
      <c r="EU35" s="902">
        <v>114.31026988750074</v>
      </c>
      <c r="EV35" s="902">
        <v>0</v>
      </c>
      <c r="EW35" s="902">
        <v>0</v>
      </c>
      <c r="EX35" s="902">
        <v>46.442345208541305</v>
      </c>
      <c r="EY35" s="902">
        <v>12.020993638221285</v>
      </c>
      <c r="EZ35" s="902">
        <v>3600</v>
      </c>
      <c r="FA35" s="909" t="s">
        <v>3884</v>
      </c>
      <c r="FB35" s="909">
        <v>4</v>
      </c>
      <c r="FC35" s="909">
        <v>0</v>
      </c>
      <c r="FD35" s="909">
        <v>0</v>
      </c>
      <c r="FE35" s="909">
        <v>0</v>
      </c>
      <c r="FF35" s="910">
        <v>4045.9102742325599</v>
      </c>
      <c r="FG35" s="909">
        <v>0</v>
      </c>
      <c r="FH35" s="909">
        <v>0</v>
      </c>
      <c r="FI35" s="909">
        <v>0</v>
      </c>
      <c r="FJ35" s="910">
        <v>4183.4019276096105</v>
      </c>
      <c r="FK35" s="871">
        <v>4000</v>
      </c>
      <c r="FL35" s="911">
        <v>205.25072003453315</v>
      </c>
      <c r="FM35" s="908">
        <v>15.738509061910847</v>
      </c>
      <c r="FN35" s="902">
        <v>114.31026988750074</v>
      </c>
      <c r="FO35" s="902">
        <v>0</v>
      </c>
      <c r="FP35" s="902">
        <v>0</v>
      </c>
      <c r="FQ35" s="902">
        <v>46.442345208541305</v>
      </c>
      <c r="FR35" s="902">
        <v>12.020993638221285</v>
      </c>
      <c r="FS35" s="902">
        <v>3600</v>
      </c>
      <c r="FT35" s="909" t="s">
        <v>3884</v>
      </c>
      <c r="FU35" s="909">
        <v>4</v>
      </c>
      <c r="FV35" s="909">
        <v>0</v>
      </c>
      <c r="FW35" s="909">
        <v>0</v>
      </c>
      <c r="FX35" s="909">
        <v>0</v>
      </c>
      <c r="FY35" s="910">
        <v>4045.9102742325599</v>
      </c>
      <c r="FZ35" s="909">
        <v>0</v>
      </c>
      <c r="GA35" s="909">
        <v>0</v>
      </c>
      <c r="GB35" s="909">
        <v>0</v>
      </c>
      <c r="GC35" s="910">
        <v>4183.4019276096105</v>
      </c>
      <c r="GD35" s="871">
        <v>4000</v>
      </c>
      <c r="GE35" s="911">
        <v>205.25072003453315</v>
      </c>
      <c r="GF35" s="908">
        <v>15.738509061910847</v>
      </c>
      <c r="GG35" s="902">
        <v>114.31026988750074</v>
      </c>
      <c r="GH35" s="902">
        <v>0</v>
      </c>
      <c r="GI35" s="902">
        <v>0</v>
      </c>
      <c r="GJ35" s="902">
        <v>46.442345208541305</v>
      </c>
      <c r="GK35" s="902">
        <v>12.020993638221285</v>
      </c>
      <c r="GL35" s="902">
        <v>3600</v>
      </c>
      <c r="GM35" s="909" t="s">
        <v>2877</v>
      </c>
      <c r="GN35" s="909">
        <v>4</v>
      </c>
      <c r="GO35" s="909">
        <v>0</v>
      </c>
      <c r="GP35" s="909">
        <v>0</v>
      </c>
      <c r="GQ35" s="909">
        <v>0</v>
      </c>
      <c r="GR35" s="910">
        <v>4997.024699915979</v>
      </c>
      <c r="GS35" s="909">
        <v>0</v>
      </c>
      <c r="GT35" s="909">
        <v>0</v>
      </c>
      <c r="GU35" s="909">
        <v>0</v>
      </c>
      <c r="GV35" s="910">
        <v>5166.8379536435932</v>
      </c>
      <c r="GW35" s="871">
        <v>4000</v>
      </c>
      <c r="GX35" s="911">
        <v>205.25072003453315</v>
      </c>
      <c r="GY35" s="908">
        <v>15.738509061910847</v>
      </c>
      <c r="GZ35" s="902">
        <v>114.31026988750074</v>
      </c>
      <c r="HA35" s="902">
        <v>0</v>
      </c>
      <c r="HB35" s="902">
        <v>0</v>
      </c>
      <c r="HC35" s="902">
        <v>46.442345208541305</v>
      </c>
      <c r="HD35" s="902">
        <v>12.020993638221285</v>
      </c>
      <c r="HE35" s="902">
        <v>3600</v>
      </c>
      <c r="HF35" s="909" t="s">
        <v>2877</v>
      </c>
      <c r="HG35" s="909">
        <v>4</v>
      </c>
      <c r="HH35" s="909">
        <v>0</v>
      </c>
      <c r="HI35" s="909">
        <v>0</v>
      </c>
      <c r="HJ35" s="909">
        <v>0</v>
      </c>
      <c r="HK35" s="910">
        <v>4997.024699915979</v>
      </c>
      <c r="HL35" s="909">
        <v>0</v>
      </c>
      <c r="HM35" s="909">
        <v>0</v>
      </c>
      <c r="HN35" s="909">
        <v>0</v>
      </c>
      <c r="HO35" s="910">
        <v>5166.8379536435932</v>
      </c>
      <c r="HP35" s="871">
        <v>4000</v>
      </c>
      <c r="HQ35" s="911">
        <v>205.25072003453315</v>
      </c>
      <c r="HR35" s="908">
        <v>15.738509061910847</v>
      </c>
      <c r="HS35" s="902">
        <v>114.31026988750074</v>
      </c>
      <c r="HT35" s="902">
        <v>0</v>
      </c>
      <c r="HU35" s="902">
        <v>0</v>
      </c>
      <c r="HV35" s="902">
        <v>46.442345208541305</v>
      </c>
      <c r="HW35" s="902">
        <v>12.020993638221285</v>
      </c>
      <c r="HX35" s="902">
        <v>3600</v>
      </c>
      <c r="HY35" s="909" t="s">
        <v>1063</v>
      </c>
      <c r="HZ35" s="909">
        <v>4</v>
      </c>
      <c r="IA35" s="909">
        <v>0</v>
      </c>
      <c r="IB35" s="909">
        <v>0</v>
      </c>
      <c r="IC35" s="909">
        <v>0</v>
      </c>
      <c r="ID35" s="910">
        <v>4406.9615504082822</v>
      </c>
      <c r="IE35" s="909">
        <v>0</v>
      </c>
      <c r="IF35" s="909">
        <v>0</v>
      </c>
      <c r="IG35" s="909">
        <v>0</v>
      </c>
      <c r="IH35" s="910">
        <v>4556.7227633036073</v>
      </c>
      <c r="II35" s="871">
        <v>4000</v>
      </c>
      <c r="IJ35" s="911">
        <v>205.25072003453315</v>
      </c>
      <c r="IK35" s="908">
        <v>15.738509061910847</v>
      </c>
      <c r="IL35" s="902">
        <v>114.31026988750074</v>
      </c>
      <c r="IM35" s="902">
        <v>0</v>
      </c>
      <c r="IN35" s="902">
        <v>0</v>
      </c>
      <c r="IO35" s="902">
        <v>46.442345208541305</v>
      </c>
      <c r="IP35" s="902">
        <v>12.020993638221285</v>
      </c>
      <c r="IQ35" s="902">
        <v>3600</v>
      </c>
      <c r="IR35" s="909" t="s">
        <v>1063</v>
      </c>
      <c r="IS35" s="909">
        <v>4</v>
      </c>
      <c r="IT35" s="909">
        <v>0</v>
      </c>
      <c r="IU35" s="909">
        <v>0</v>
      </c>
      <c r="IV35" s="909">
        <v>0</v>
      </c>
      <c r="IW35" s="910">
        <v>4406.9615504082822</v>
      </c>
      <c r="IX35" s="909">
        <v>0</v>
      </c>
      <c r="IY35" s="909">
        <v>0</v>
      </c>
      <c r="IZ35" s="909">
        <v>0</v>
      </c>
      <c r="JA35" s="910">
        <v>4556.7227633036073</v>
      </c>
      <c r="JB35" s="871">
        <v>4000</v>
      </c>
      <c r="JC35" s="911">
        <v>205.25072003453315</v>
      </c>
      <c r="JD35" s="908">
        <v>15.738509061910847</v>
      </c>
      <c r="JE35" s="902">
        <v>114.31026988750074</v>
      </c>
      <c r="JF35" s="902">
        <v>0</v>
      </c>
      <c r="JG35" s="902">
        <v>0</v>
      </c>
      <c r="JH35" s="902">
        <v>46.442345208541305</v>
      </c>
      <c r="JI35" s="902">
        <v>12.020993638221285</v>
      </c>
      <c r="JJ35" s="902">
        <v>3600</v>
      </c>
      <c r="JK35" s="909" t="s">
        <v>1064</v>
      </c>
      <c r="JL35" s="909">
        <v>4</v>
      </c>
      <c r="JM35" s="909">
        <v>0</v>
      </c>
      <c r="JN35" s="909">
        <v>0</v>
      </c>
      <c r="JO35" s="909">
        <v>0</v>
      </c>
      <c r="JP35" s="910">
        <v>6005.6762601023729</v>
      </c>
      <c r="JQ35" s="909">
        <v>0</v>
      </c>
      <c r="JR35" s="909">
        <v>0</v>
      </c>
      <c r="JS35" s="909">
        <v>0</v>
      </c>
      <c r="JT35" s="910">
        <v>6209.7663912918006</v>
      </c>
      <c r="JU35" s="871">
        <v>4000</v>
      </c>
      <c r="JV35" s="911">
        <v>205.25072003453315</v>
      </c>
      <c r="JW35" s="908">
        <v>15.738509061910847</v>
      </c>
      <c r="JX35" s="902">
        <v>114.31026988750074</v>
      </c>
      <c r="JY35" s="902">
        <v>0</v>
      </c>
      <c r="JZ35" s="902">
        <v>0</v>
      </c>
      <c r="KA35" s="902">
        <v>46.442345208541305</v>
      </c>
      <c r="KB35" s="902">
        <v>12.020993638221285</v>
      </c>
      <c r="KC35" s="902">
        <v>3600</v>
      </c>
      <c r="KD35" s="909" t="s">
        <v>1064</v>
      </c>
      <c r="KE35" s="909">
        <v>4</v>
      </c>
      <c r="KF35" s="909">
        <v>0</v>
      </c>
      <c r="KG35" s="909">
        <v>0</v>
      </c>
      <c r="KH35" s="909">
        <v>0</v>
      </c>
      <c r="KI35" s="910">
        <v>6005.6762601023729</v>
      </c>
      <c r="KJ35" s="909">
        <v>0</v>
      </c>
      <c r="KK35" s="909">
        <v>0</v>
      </c>
      <c r="KL35" s="909">
        <v>0</v>
      </c>
      <c r="KM35" s="910">
        <v>6209.7663912918006</v>
      </c>
      <c r="KN35" s="871">
        <v>4000</v>
      </c>
      <c r="KO35" s="912">
        <v>205.25072003453315</v>
      </c>
    </row>
    <row r="36" spans="1:301" ht="15" customHeight="1">
      <c r="A36" s="924" t="s">
        <v>1526</v>
      </c>
      <c r="B36" s="888" t="s">
        <v>1077</v>
      </c>
      <c r="C36" s="888">
        <v>395</v>
      </c>
      <c r="D36" s="888">
        <v>980</v>
      </c>
      <c r="E36" s="888">
        <v>400</v>
      </c>
      <c r="F36" s="888">
        <v>350</v>
      </c>
      <c r="G36" s="888">
        <v>230</v>
      </c>
      <c r="H36" s="888">
        <v>155</v>
      </c>
      <c r="I36" s="888">
        <v>105.2</v>
      </c>
      <c r="J36" s="888">
        <v>34.950000000000003</v>
      </c>
      <c r="K36" s="888">
        <v>48.76</v>
      </c>
      <c r="L36" s="888">
        <v>9</v>
      </c>
      <c r="M36" s="888">
        <v>459</v>
      </c>
      <c r="N36" s="888">
        <v>6</v>
      </c>
      <c r="O36" s="884">
        <v>29.608599698214263</v>
      </c>
      <c r="P36" s="888">
        <v>6</v>
      </c>
      <c r="Q36" s="884">
        <v>19.845368390215921</v>
      </c>
      <c r="R36" s="888">
        <v>18.000000000000004</v>
      </c>
      <c r="S36" s="888">
        <v>651.09628579056857</v>
      </c>
      <c r="T36" s="906">
        <v>47.045975602084539</v>
      </c>
      <c r="U36" s="906">
        <v>97.664442868585283</v>
      </c>
      <c r="V36" s="906">
        <v>85</v>
      </c>
      <c r="W36" s="1141">
        <v>3.7489761807911108</v>
      </c>
      <c r="X36" s="902">
        <v>0</v>
      </c>
      <c r="Y36" s="902">
        <v>0</v>
      </c>
      <c r="Z36" s="902">
        <v>0</v>
      </c>
      <c r="AA36" s="902">
        <v>0</v>
      </c>
      <c r="AB36" s="970">
        <v>25.117643205300908</v>
      </c>
      <c r="AC36" s="1045">
        <v>4000</v>
      </c>
      <c r="AD36" s="890">
        <v>0.49374771558078495</v>
      </c>
      <c r="AE36" s="890">
        <v>0.69890780818898146</v>
      </c>
      <c r="AF36" s="890">
        <v>-0.29920151165394859</v>
      </c>
      <c r="AG36" s="890">
        <v>1.077476039132149</v>
      </c>
      <c r="AH36" s="888"/>
      <c r="AI36" s="907">
        <v>3.846988287619463</v>
      </c>
      <c r="AJ36" s="908">
        <v>25.313570009999999</v>
      </c>
      <c r="AK36" s="902">
        <v>125.56248988130585</v>
      </c>
      <c r="AL36" s="902">
        <v>0</v>
      </c>
      <c r="AM36" s="902">
        <v>0</v>
      </c>
      <c r="AN36" s="902">
        <v>57.289529771758858</v>
      </c>
      <c r="AO36" s="902">
        <v>13.606334271347032</v>
      </c>
      <c r="AP36" s="1222">
        <v>3400</v>
      </c>
      <c r="AQ36" s="909" t="s">
        <v>1062</v>
      </c>
      <c r="AR36" s="909">
        <v>6</v>
      </c>
      <c r="AS36" s="909">
        <v>0</v>
      </c>
      <c r="AT36" s="909">
        <v>0</v>
      </c>
      <c r="AU36" s="909">
        <v>0</v>
      </c>
      <c r="AV36" s="910">
        <v>3920.3060013507047</v>
      </c>
      <c r="AW36" s="909">
        <v>0</v>
      </c>
      <c r="AX36" s="909">
        <v>0</v>
      </c>
      <c r="AY36" s="909">
        <v>0</v>
      </c>
      <c r="AZ36" s="910">
        <v>4177.9379613377505</v>
      </c>
      <c r="BA36" s="871">
        <v>3920.3060013507047</v>
      </c>
      <c r="BB36" s="911">
        <v>201.16140738323341</v>
      </c>
      <c r="BC36" s="908">
        <v>25.313570009999999</v>
      </c>
      <c r="BD36" s="902">
        <v>125.56248988130585</v>
      </c>
      <c r="BE36" s="902">
        <v>0</v>
      </c>
      <c r="BF36" s="902">
        <v>0</v>
      </c>
      <c r="BG36" s="902">
        <v>57.289529771758858</v>
      </c>
      <c r="BH36" s="902">
        <v>13.606334271347032</v>
      </c>
      <c r="BI36" s="902">
        <v>3600</v>
      </c>
      <c r="BJ36" s="909" t="s">
        <v>1062</v>
      </c>
      <c r="BK36" s="909">
        <v>6</v>
      </c>
      <c r="BL36" s="909">
        <v>0</v>
      </c>
      <c r="BM36" s="909">
        <v>0</v>
      </c>
      <c r="BN36" s="909">
        <v>0</v>
      </c>
      <c r="BO36" s="910">
        <v>3920.3060013507047</v>
      </c>
      <c r="BP36" s="909">
        <v>0</v>
      </c>
      <c r="BQ36" s="909">
        <v>0</v>
      </c>
      <c r="BR36" s="909">
        <v>0</v>
      </c>
      <c r="BS36" s="910">
        <v>4177.9379613377505</v>
      </c>
      <c r="BT36" s="871">
        <v>3920.3060013507047</v>
      </c>
      <c r="BU36" s="911">
        <v>201.16140738323341</v>
      </c>
      <c r="BV36" s="908">
        <v>25.313570009999999</v>
      </c>
      <c r="BW36" s="902">
        <v>125.56248988130585</v>
      </c>
      <c r="BX36" s="902">
        <v>0</v>
      </c>
      <c r="BY36" s="902">
        <v>0</v>
      </c>
      <c r="BZ36" s="902">
        <v>57.289529771758858</v>
      </c>
      <c r="CA36" s="902">
        <v>13.606334271347032</v>
      </c>
      <c r="CB36" s="902">
        <v>3400</v>
      </c>
      <c r="CC36" s="909" t="s">
        <v>2874</v>
      </c>
      <c r="CD36" s="909">
        <v>6</v>
      </c>
      <c r="CE36" s="909">
        <v>0</v>
      </c>
      <c r="CF36" s="909">
        <v>0</v>
      </c>
      <c r="CG36" s="909">
        <v>0</v>
      </c>
      <c r="CH36" s="910">
        <v>3841.0997355519544</v>
      </c>
      <c r="CI36" s="909">
        <v>0</v>
      </c>
      <c r="CJ36" s="909">
        <v>0</v>
      </c>
      <c r="CK36" s="909">
        <v>0</v>
      </c>
      <c r="CL36" s="910">
        <v>4093.5264729125138</v>
      </c>
      <c r="CM36" s="871">
        <v>3841.0997355519544</v>
      </c>
      <c r="CN36" s="911">
        <v>197.09712161162335</v>
      </c>
      <c r="CO36" s="908">
        <v>25.313570009999999</v>
      </c>
      <c r="CP36" s="902">
        <v>125.56248988130585</v>
      </c>
      <c r="CQ36" s="902">
        <v>0</v>
      </c>
      <c r="CR36" s="902">
        <v>0</v>
      </c>
      <c r="CS36" s="902">
        <v>57.289529771758858</v>
      </c>
      <c r="CT36" s="902">
        <v>13.606334271347032</v>
      </c>
      <c r="CU36" s="902">
        <v>3600</v>
      </c>
      <c r="CV36" s="909" t="s">
        <v>2874</v>
      </c>
      <c r="CW36" s="909">
        <v>6</v>
      </c>
      <c r="CX36" s="909">
        <v>0</v>
      </c>
      <c r="CY36" s="909">
        <v>0</v>
      </c>
      <c r="CZ36" s="909">
        <v>0</v>
      </c>
      <c r="DA36" s="910">
        <v>3841.0997355519544</v>
      </c>
      <c r="DB36" s="909">
        <v>0</v>
      </c>
      <c r="DC36" s="909">
        <v>0</v>
      </c>
      <c r="DD36" s="909">
        <v>0</v>
      </c>
      <c r="DE36" s="910">
        <v>4093.5264729125138</v>
      </c>
      <c r="DF36" s="871">
        <v>3841.0997355519544</v>
      </c>
      <c r="DG36" s="911">
        <v>197.09712161162335</v>
      </c>
      <c r="DH36" s="908">
        <v>25.313570009999999</v>
      </c>
      <c r="DI36" s="902">
        <v>125.56248988130585</v>
      </c>
      <c r="DJ36" s="902">
        <v>0</v>
      </c>
      <c r="DK36" s="902">
        <v>0</v>
      </c>
      <c r="DL36" s="902">
        <v>57.289529771758858</v>
      </c>
      <c r="DM36" s="902">
        <v>13.606334271347032</v>
      </c>
      <c r="DN36" s="902">
        <v>3400</v>
      </c>
      <c r="DO36" s="909" t="s">
        <v>2875</v>
      </c>
      <c r="DP36" s="909">
        <v>6</v>
      </c>
      <c r="DQ36" s="909">
        <v>0</v>
      </c>
      <c r="DR36" s="909">
        <v>0</v>
      </c>
      <c r="DS36" s="909">
        <v>0</v>
      </c>
      <c r="DT36" s="910">
        <v>3997.9433600284297</v>
      </c>
      <c r="DU36" s="909">
        <v>0</v>
      </c>
      <c r="DV36" s="909">
        <v>0</v>
      </c>
      <c r="DW36" s="909">
        <v>0</v>
      </c>
      <c r="DX36" s="910">
        <v>4260.6774382882495</v>
      </c>
      <c r="DY36" s="871">
        <v>3997.9433600284297</v>
      </c>
      <c r="DZ36" s="911">
        <v>205.145188325779</v>
      </c>
      <c r="EA36" s="908">
        <v>25.313570009999999</v>
      </c>
      <c r="EB36" s="902">
        <v>125.56248988130585</v>
      </c>
      <c r="EC36" s="902">
        <v>0</v>
      </c>
      <c r="ED36" s="902">
        <v>0</v>
      </c>
      <c r="EE36" s="902">
        <v>57.289529771758858</v>
      </c>
      <c r="EF36" s="902">
        <v>13.606334271347032</v>
      </c>
      <c r="EG36" s="902">
        <v>3600</v>
      </c>
      <c r="EH36" s="909" t="s">
        <v>2875</v>
      </c>
      <c r="EI36" s="909">
        <v>6</v>
      </c>
      <c r="EJ36" s="909">
        <v>0</v>
      </c>
      <c r="EK36" s="909">
        <v>0</v>
      </c>
      <c r="EL36" s="909">
        <v>0</v>
      </c>
      <c r="EM36" s="910">
        <v>3997.9433600284297</v>
      </c>
      <c r="EN36" s="909">
        <v>0</v>
      </c>
      <c r="EO36" s="909">
        <v>0</v>
      </c>
      <c r="EP36" s="909">
        <v>0</v>
      </c>
      <c r="EQ36" s="910">
        <v>4260.6774382882495</v>
      </c>
      <c r="ER36" s="871">
        <v>3997.9433600284297</v>
      </c>
      <c r="ES36" s="911">
        <v>205.145188325779</v>
      </c>
      <c r="ET36" s="908">
        <v>25.313570009999999</v>
      </c>
      <c r="EU36" s="902">
        <v>125.56248988130585</v>
      </c>
      <c r="EV36" s="902">
        <v>0</v>
      </c>
      <c r="EW36" s="902">
        <v>0</v>
      </c>
      <c r="EX36" s="902">
        <v>57.289529771758858</v>
      </c>
      <c r="EY36" s="902">
        <v>13.606334271347032</v>
      </c>
      <c r="EZ36" s="902">
        <v>3400</v>
      </c>
      <c r="FA36" s="909" t="s">
        <v>3884</v>
      </c>
      <c r="FB36" s="909">
        <v>6</v>
      </c>
      <c r="FC36" s="909">
        <v>0</v>
      </c>
      <c r="FD36" s="909">
        <v>0</v>
      </c>
      <c r="FE36" s="909">
        <v>0</v>
      </c>
      <c r="FF36" s="910">
        <v>4258.542355100758</v>
      </c>
      <c r="FG36" s="909">
        <v>0</v>
      </c>
      <c r="FH36" s="909">
        <v>0</v>
      </c>
      <c r="FI36" s="909">
        <v>0</v>
      </c>
      <c r="FJ36" s="910">
        <v>4538.402297986453</v>
      </c>
      <c r="FK36" s="871">
        <v>4000</v>
      </c>
      <c r="FL36" s="911">
        <v>205.25072003453315</v>
      </c>
      <c r="FM36" s="908">
        <v>25.313570009999999</v>
      </c>
      <c r="FN36" s="902">
        <v>125.56248988130585</v>
      </c>
      <c r="FO36" s="902">
        <v>0</v>
      </c>
      <c r="FP36" s="902">
        <v>0</v>
      </c>
      <c r="FQ36" s="902">
        <v>57.289529771758858</v>
      </c>
      <c r="FR36" s="902">
        <v>13.606334271347032</v>
      </c>
      <c r="FS36" s="902">
        <v>3600</v>
      </c>
      <c r="FT36" s="909" t="s">
        <v>3884</v>
      </c>
      <c r="FU36" s="909">
        <v>6</v>
      </c>
      <c r="FV36" s="909">
        <v>0</v>
      </c>
      <c r="FW36" s="909">
        <v>0</v>
      </c>
      <c r="FX36" s="909">
        <v>0</v>
      </c>
      <c r="FY36" s="910">
        <v>4258.542355100758</v>
      </c>
      <c r="FZ36" s="909">
        <v>0</v>
      </c>
      <c r="GA36" s="909">
        <v>0</v>
      </c>
      <c r="GB36" s="909">
        <v>0</v>
      </c>
      <c r="GC36" s="910">
        <v>4538.402297986453</v>
      </c>
      <c r="GD36" s="871">
        <v>4000</v>
      </c>
      <c r="GE36" s="911">
        <v>205.25072003453315</v>
      </c>
      <c r="GF36" s="908">
        <v>16.875713340000001</v>
      </c>
      <c r="GG36" s="902">
        <v>117.12463321130585</v>
      </c>
      <c r="GH36" s="902">
        <v>0</v>
      </c>
      <c r="GI36" s="902">
        <v>0</v>
      </c>
      <c r="GJ36" s="902">
        <v>55.833533314450513</v>
      </c>
      <c r="GK36" s="902">
        <v>12.428805004746438</v>
      </c>
      <c r="GL36" s="902">
        <v>3400</v>
      </c>
      <c r="GM36" s="909" t="s">
        <v>2877</v>
      </c>
      <c r="GN36" s="909">
        <v>4</v>
      </c>
      <c r="GO36" s="909">
        <v>0</v>
      </c>
      <c r="GP36" s="909">
        <v>0</v>
      </c>
      <c r="GQ36" s="909">
        <v>0</v>
      </c>
      <c r="GR36" s="910">
        <v>3890.9507588796728</v>
      </c>
      <c r="GS36" s="909">
        <v>0</v>
      </c>
      <c r="GT36" s="909">
        <v>0</v>
      </c>
      <c r="GU36" s="909">
        <v>0</v>
      </c>
      <c r="GV36" s="910">
        <v>3930.9141828696015</v>
      </c>
      <c r="GW36" s="871">
        <v>3890.9507588796728</v>
      </c>
      <c r="GX36" s="911">
        <v>199.65511121974151</v>
      </c>
      <c r="GY36" s="908">
        <v>16.875713340000001</v>
      </c>
      <c r="GZ36" s="902">
        <v>117.12463321130585</v>
      </c>
      <c r="HA36" s="902">
        <v>0</v>
      </c>
      <c r="HB36" s="902">
        <v>0</v>
      </c>
      <c r="HC36" s="902">
        <v>55.833533314450513</v>
      </c>
      <c r="HD36" s="902">
        <v>12.428805004746438</v>
      </c>
      <c r="HE36" s="902">
        <v>3600</v>
      </c>
      <c r="HF36" s="909" t="s">
        <v>2877</v>
      </c>
      <c r="HG36" s="909">
        <v>4</v>
      </c>
      <c r="HH36" s="909">
        <v>0</v>
      </c>
      <c r="HI36" s="909">
        <v>0</v>
      </c>
      <c r="HJ36" s="909">
        <v>0</v>
      </c>
      <c r="HK36" s="910">
        <v>3890.9507588796728</v>
      </c>
      <c r="HL36" s="909">
        <v>0</v>
      </c>
      <c r="HM36" s="909">
        <v>0</v>
      </c>
      <c r="HN36" s="909">
        <v>0</v>
      </c>
      <c r="HO36" s="910">
        <v>3930.9141828696015</v>
      </c>
      <c r="HP36" s="871">
        <v>3890.9507588796728</v>
      </c>
      <c r="HQ36" s="911">
        <v>199.65511121974151</v>
      </c>
      <c r="HR36" s="908">
        <v>21.094641675000002</v>
      </c>
      <c r="HS36" s="902">
        <v>121.34356154630585</v>
      </c>
      <c r="HT36" s="902">
        <v>0</v>
      </c>
      <c r="HU36" s="902">
        <v>0</v>
      </c>
      <c r="HV36" s="902">
        <v>56.58684291781266</v>
      </c>
      <c r="HW36" s="902">
        <v>13.017569638046735</v>
      </c>
      <c r="HX36" s="902">
        <v>3400</v>
      </c>
      <c r="HY36" s="909" t="s">
        <v>1063</v>
      </c>
      <c r="HZ36" s="909">
        <v>5</v>
      </c>
      <c r="IA36" s="909">
        <v>0</v>
      </c>
      <c r="IB36" s="909">
        <v>0</v>
      </c>
      <c r="IC36" s="909">
        <v>0</v>
      </c>
      <c r="ID36" s="910">
        <v>3994.644338503575</v>
      </c>
      <c r="IE36" s="909">
        <v>0</v>
      </c>
      <c r="IF36" s="909">
        <v>0</v>
      </c>
      <c r="IG36" s="909">
        <v>0</v>
      </c>
      <c r="IH36" s="910">
        <v>4116.7643784058992</v>
      </c>
      <c r="II36" s="871">
        <v>3994.644338503575</v>
      </c>
      <c r="IJ36" s="911">
        <v>204.97590668993251</v>
      </c>
      <c r="IK36" s="908">
        <v>21.094641675000002</v>
      </c>
      <c r="IL36" s="902">
        <v>121.34356154630585</v>
      </c>
      <c r="IM36" s="902">
        <v>0</v>
      </c>
      <c r="IN36" s="902">
        <v>0</v>
      </c>
      <c r="IO36" s="902">
        <v>56.58684291781266</v>
      </c>
      <c r="IP36" s="902">
        <v>13.017569638046735</v>
      </c>
      <c r="IQ36" s="902">
        <v>3600</v>
      </c>
      <c r="IR36" s="909" t="s">
        <v>1063</v>
      </c>
      <c r="IS36" s="909">
        <v>5</v>
      </c>
      <c r="IT36" s="909">
        <v>0</v>
      </c>
      <c r="IU36" s="909">
        <v>0</v>
      </c>
      <c r="IV36" s="909">
        <v>0</v>
      </c>
      <c r="IW36" s="910">
        <v>3994.644338503575</v>
      </c>
      <c r="IX36" s="909">
        <v>0</v>
      </c>
      <c r="IY36" s="909">
        <v>0</v>
      </c>
      <c r="IZ36" s="909">
        <v>0</v>
      </c>
      <c r="JA36" s="910">
        <v>4116.7643784058992</v>
      </c>
      <c r="JB36" s="871">
        <v>3994.644338503575</v>
      </c>
      <c r="JC36" s="911">
        <v>204.97590668993251</v>
      </c>
      <c r="JD36" s="908">
        <v>16.875713340000001</v>
      </c>
      <c r="JE36" s="902">
        <v>117.12463321130585</v>
      </c>
      <c r="JF36" s="902">
        <v>0</v>
      </c>
      <c r="JG36" s="902">
        <v>0</v>
      </c>
      <c r="JH36" s="902">
        <v>55.833533314450513</v>
      </c>
      <c r="JI36" s="902">
        <v>12.428805004746438</v>
      </c>
      <c r="JJ36" s="902">
        <v>3400</v>
      </c>
      <c r="JK36" s="909" t="s">
        <v>1064</v>
      </c>
      <c r="JL36" s="909">
        <v>4</v>
      </c>
      <c r="JM36" s="909">
        <v>0</v>
      </c>
      <c r="JN36" s="909">
        <v>0</v>
      </c>
      <c r="JO36" s="909">
        <v>0</v>
      </c>
      <c r="JP36" s="910">
        <v>4676.3408238153925</v>
      </c>
      <c r="JQ36" s="909">
        <v>0</v>
      </c>
      <c r="JR36" s="909">
        <v>0</v>
      </c>
      <c r="JS36" s="909">
        <v>0</v>
      </c>
      <c r="JT36" s="910">
        <v>4724.3708819283256</v>
      </c>
      <c r="JU36" s="871">
        <v>4000</v>
      </c>
      <c r="JV36" s="911">
        <v>205.25072003453315</v>
      </c>
      <c r="JW36" s="908">
        <v>16.875713340000001</v>
      </c>
      <c r="JX36" s="902">
        <v>117.12463321130585</v>
      </c>
      <c r="JY36" s="902">
        <v>0</v>
      </c>
      <c r="JZ36" s="902">
        <v>0</v>
      </c>
      <c r="KA36" s="902">
        <v>55.833533314450513</v>
      </c>
      <c r="KB36" s="902">
        <v>12.428805004746438</v>
      </c>
      <c r="KC36" s="902">
        <v>3600</v>
      </c>
      <c r="KD36" s="909" t="s">
        <v>1064</v>
      </c>
      <c r="KE36" s="909">
        <v>4</v>
      </c>
      <c r="KF36" s="909">
        <v>0</v>
      </c>
      <c r="KG36" s="909">
        <v>0</v>
      </c>
      <c r="KH36" s="909">
        <v>0</v>
      </c>
      <c r="KI36" s="910">
        <v>4676.3408238153925</v>
      </c>
      <c r="KJ36" s="909">
        <v>0</v>
      </c>
      <c r="KK36" s="909">
        <v>0</v>
      </c>
      <c r="KL36" s="909">
        <v>0</v>
      </c>
      <c r="KM36" s="910">
        <v>4724.3708819283256</v>
      </c>
      <c r="KN36" s="871">
        <v>4000</v>
      </c>
      <c r="KO36" s="912">
        <v>205.25072003453315</v>
      </c>
    </row>
    <row r="37" spans="1:301" ht="15" customHeight="1">
      <c r="A37" s="924" t="s">
        <v>1527</v>
      </c>
      <c r="B37" s="888" t="s">
        <v>1075</v>
      </c>
      <c r="C37" s="888">
        <v>437.5</v>
      </c>
      <c r="D37" s="888">
        <v>980</v>
      </c>
      <c r="E37" s="888">
        <v>450</v>
      </c>
      <c r="F37" s="888">
        <v>400</v>
      </c>
      <c r="G37" s="888">
        <v>240</v>
      </c>
      <c r="H37" s="888">
        <v>165</v>
      </c>
      <c r="I37" s="888">
        <v>116</v>
      </c>
      <c r="J37" s="888">
        <v>37.5</v>
      </c>
      <c r="K37" s="888">
        <v>47.5</v>
      </c>
      <c r="L37" s="888">
        <v>9</v>
      </c>
      <c r="M37" s="888">
        <v>421</v>
      </c>
      <c r="N37" s="888">
        <v>6</v>
      </c>
      <c r="O37" s="884">
        <v>28.03642892463342</v>
      </c>
      <c r="P37" s="888">
        <v>6</v>
      </c>
      <c r="Q37" s="884">
        <v>19.106238162057707</v>
      </c>
      <c r="R37" s="888">
        <v>18.000000000000004</v>
      </c>
      <c r="S37" s="888">
        <v>666.26349838247847</v>
      </c>
      <c r="T37" s="906">
        <v>49.26336628655919</v>
      </c>
      <c r="U37" s="906">
        <v>99.939524757371771</v>
      </c>
      <c r="V37" s="906">
        <v>97.5</v>
      </c>
      <c r="W37" s="1141">
        <v>4.5029795746307997</v>
      </c>
      <c r="X37" s="902">
        <v>0</v>
      </c>
      <c r="Y37" s="902">
        <v>0</v>
      </c>
      <c r="Z37" s="902">
        <v>0</v>
      </c>
      <c r="AA37" s="902">
        <v>0</v>
      </c>
      <c r="AB37" s="970">
        <v>19.241245473974189</v>
      </c>
      <c r="AC37" s="1045">
        <v>4000</v>
      </c>
      <c r="AD37" s="890">
        <v>0.42649282395700994</v>
      </c>
      <c r="AE37" s="890">
        <v>0.76732698797896037</v>
      </c>
      <c r="AF37" s="890">
        <v>-0.28823750656372177</v>
      </c>
      <c r="AG37" s="890">
        <v>0.91332258281528289</v>
      </c>
      <c r="AH37" s="888"/>
      <c r="AI37" s="907">
        <v>3.7812343500820513</v>
      </c>
      <c r="AJ37" s="908">
        <v>20.894914125</v>
      </c>
      <c r="AK37" s="902">
        <v>121.80392707288112</v>
      </c>
      <c r="AL37" s="902">
        <v>0</v>
      </c>
      <c r="AM37" s="902">
        <v>0</v>
      </c>
      <c r="AN37" s="902">
        <v>58.04451977131346</v>
      </c>
      <c r="AO37" s="902">
        <v>13.171229547587028</v>
      </c>
      <c r="AP37" s="1222">
        <v>2650</v>
      </c>
      <c r="AQ37" s="909" t="s">
        <v>1062</v>
      </c>
      <c r="AR37" s="909">
        <v>5</v>
      </c>
      <c r="AS37" s="909">
        <v>0</v>
      </c>
      <c r="AT37" s="909">
        <v>0</v>
      </c>
      <c r="AU37" s="909">
        <v>0</v>
      </c>
      <c r="AV37" s="910">
        <v>3031.8829772390732</v>
      </c>
      <c r="AW37" s="909">
        <v>0</v>
      </c>
      <c r="AX37" s="909">
        <v>0</v>
      </c>
      <c r="AY37" s="909">
        <v>0</v>
      </c>
      <c r="AZ37" s="910">
        <v>3050.6068504217001</v>
      </c>
      <c r="BA37" s="871">
        <v>3031.8829772390732</v>
      </c>
      <c r="BB37" s="911">
        <v>155.57404103469096</v>
      </c>
      <c r="BC37" s="908">
        <v>33.431862600000002</v>
      </c>
      <c r="BD37" s="902">
        <v>134.34087554788113</v>
      </c>
      <c r="BE37" s="902">
        <v>0</v>
      </c>
      <c r="BF37" s="902">
        <v>0</v>
      </c>
      <c r="BG37" s="902">
        <v>60.32675214703702</v>
      </c>
      <c r="BH37" s="902">
        <v>14.976246498766152</v>
      </c>
      <c r="BI37" s="902">
        <v>3312.5</v>
      </c>
      <c r="BJ37" s="909" t="s">
        <v>1062</v>
      </c>
      <c r="BK37" s="909">
        <v>8</v>
      </c>
      <c r="BL37" s="909">
        <v>0</v>
      </c>
      <c r="BM37" s="909">
        <v>0</v>
      </c>
      <c r="BN37" s="909">
        <v>0</v>
      </c>
      <c r="BO37" s="910">
        <v>5041.9721659302786</v>
      </c>
      <c r="BP37" s="909">
        <v>0</v>
      </c>
      <c r="BQ37" s="909">
        <v>0</v>
      </c>
      <c r="BR37" s="909">
        <v>0</v>
      </c>
      <c r="BS37" s="910">
        <v>6168.1623343771307</v>
      </c>
      <c r="BT37" s="871">
        <v>4000</v>
      </c>
      <c r="BU37" s="911">
        <v>205.25072003453315</v>
      </c>
      <c r="BV37" s="908">
        <v>20.894914125</v>
      </c>
      <c r="BW37" s="902">
        <v>121.80392707288112</v>
      </c>
      <c r="BX37" s="902">
        <v>0</v>
      </c>
      <c r="BY37" s="902">
        <v>0</v>
      </c>
      <c r="BZ37" s="902">
        <v>58.04451977131346</v>
      </c>
      <c r="CA37" s="902">
        <v>13.171229547587028</v>
      </c>
      <c r="CB37" s="902">
        <v>2650</v>
      </c>
      <c r="CC37" s="909" t="s">
        <v>2874</v>
      </c>
      <c r="CD37" s="909">
        <v>5</v>
      </c>
      <c r="CE37" s="909">
        <v>0</v>
      </c>
      <c r="CF37" s="909">
        <v>0</v>
      </c>
      <c r="CG37" s="909">
        <v>0</v>
      </c>
      <c r="CH37" s="910">
        <v>2970.6265016264133</v>
      </c>
      <c r="CI37" s="909">
        <v>0</v>
      </c>
      <c r="CJ37" s="909">
        <v>0</v>
      </c>
      <c r="CK37" s="909">
        <v>0</v>
      </c>
      <c r="CL37" s="910">
        <v>2988.9720757488208</v>
      </c>
      <c r="CM37" s="871">
        <v>2970.6265016264133</v>
      </c>
      <c r="CN37" s="911">
        <v>152.43080710312188</v>
      </c>
      <c r="CO37" s="908">
        <v>33.431862600000002</v>
      </c>
      <c r="CP37" s="902">
        <v>134.34087554788113</v>
      </c>
      <c r="CQ37" s="902">
        <v>0</v>
      </c>
      <c r="CR37" s="902">
        <v>0</v>
      </c>
      <c r="CS37" s="902">
        <v>60.32675214703702</v>
      </c>
      <c r="CT37" s="902">
        <v>14.976246498766152</v>
      </c>
      <c r="CU37" s="902">
        <v>3312.5</v>
      </c>
      <c r="CV37" s="909" t="s">
        <v>2874</v>
      </c>
      <c r="CW37" s="909">
        <v>8</v>
      </c>
      <c r="CX37" s="909">
        <v>0</v>
      </c>
      <c r="CY37" s="909">
        <v>0</v>
      </c>
      <c r="CZ37" s="909">
        <v>0</v>
      </c>
      <c r="DA37" s="910">
        <v>4940.1036415378012</v>
      </c>
      <c r="DB37" s="909">
        <v>0</v>
      </c>
      <c r="DC37" s="909">
        <v>0</v>
      </c>
      <c r="DD37" s="909">
        <v>0</v>
      </c>
      <c r="DE37" s="910">
        <v>6043.5401479513284</v>
      </c>
      <c r="DF37" s="871">
        <v>4000</v>
      </c>
      <c r="DG37" s="911">
        <v>205.25072003453315</v>
      </c>
      <c r="DH37" s="908">
        <v>20.894914125</v>
      </c>
      <c r="DI37" s="902">
        <v>121.80392707288112</v>
      </c>
      <c r="DJ37" s="902">
        <v>0</v>
      </c>
      <c r="DK37" s="902">
        <v>0</v>
      </c>
      <c r="DL37" s="902">
        <v>58.04451977131346</v>
      </c>
      <c r="DM37" s="902">
        <v>13.171229547587028</v>
      </c>
      <c r="DN37" s="902">
        <v>2650</v>
      </c>
      <c r="DO37" s="909" t="s">
        <v>2875</v>
      </c>
      <c r="DP37" s="909">
        <v>5</v>
      </c>
      <c r="DQ37" s="909">
        <v>0</v>
      </c>
      <c r="DR37" s="909">
        <v>0</v>
      </c>
      <c r="DS37" s="909">
        <v>0</v>
      </c>
      <c r="DT37" s="910">
        <v>3091.926092774364</v>
      </c>
      <c r="DU37" s="909">
        <v>0</v>
      </c>
      <c r="DV37" s="909">
        <v>0</v>
      </c>
      <c r="DW37" s="909">
        <v>0</v>
      </c>
      <c r="DX37" s="910">
        <v>3111.0207717200151</v>
      </c>
      <c r="DY37" s="871">
        <v>3091.926092774364</v>
      </c>
      <c r="DZ37" s="911">
        <v>158.65501420887475</v>
      </c>
      <c r="EA37" s="908">
        <v>33.431862600000002</v>
      </c>
      <c r="EB37" s="902">
        <v>134.34087554788113</v>
      </c>
      <c r="EC37" s="902">
        <v>0</v>
      </c>
      <c r="ED37" s="902">
        <v>0</v>
      </c>
      <c r="EE37" s="902">
        <v>60.32675214703702</v>
      </c>
      <c r="EF37" s="902">
        <v>14.976246498766152</v>
      </c>
      <c r="EG37" s="902">
        <v>3312.5</v>
      </c>
      <c r="EH37" s="909" t="s">
        <v>2875</v>
      </c>
      <c r="EI37" s="909">
        <v>8</v>
      </c>
      <c r="EJ37" s="909">
        <v>0</v>
      </c>
      <c r="EK37" s="909">
        <v>0</v>
      </c>
      <c r="EL37" s="909">
        <v>0</v>
      </c>
      <c r="EM37" s="910">
        <v>5141.8228922140343</v>
      </c>
      <c r="EN37" s="909">
        <v>0</v>
      </c>
      <c r="EO37" s="909">
        <v>0</v>
      </c>
      <c r="EP37" s="909">
        <v>0</v>
      </c>
      <c r="EQ37" s="910">
        <v>6290.3160211994027</v>
      </c>
      <c r="ER37" s="871">
        <v>4000</v>
      </c>
      <c r="ES37" s="911">
        <v>205.25072003453315</v>
      </c>
      <c r="ET37" s="908">
        <v>20.894914125</v>
      </c>
      <c r="EU37" s="902">
        <v>121.80392707288112</v>
      </c>
      <c r="EV37" s="902">
        <v>0</v>
      </c>
      <c r="EW37" s="902">
        <v>0</v>
      </c>
      <c r="EX37" s="902">
        <v>58.04451977131346</v>
      </c>
      <c r="EY37" s="902">
        <v>13.171229547587028</v>
      </c>
      <c r="EZ37" s="902">
        <v>2650</v>
      </c>
      <c r="FA37" s="909" t="s">
        <v>3884</v>
      </c>
      <c r="FB37" s="909">
        <v>5</v>
      </c>
      <c r="FC37" s="909">
        <v>0</v>
      </c>
      <c r="FD37" s="909">
        <v>0</v>
      </c>
      <c r="FE37" s="909">
        <v>0</v>
      </c>
      <c r="FF37" s="910">
        <v>3293.4679256754621</v>
      </c>
      <c r="FG37" s="909">
        <v>0</v>
      </c>
      <c r="FH37" s="909">
        <v>0</v>
      </c>
      <c r="FI37" s="909">
        <v>0</v>
      </c>
      <c r="FJ37" s="910">
        <v>3313.8072581082583</v>
      </c>
      <c r="FK37" s="871">
        <v>3293.4679256754621</v>
      </c>
      <c r="FL37" s="911">
        <v>168.99666578888221</v>
      </c>
      <c r="FM37" s="908">
        <v>25.073896950000002</v>
      </c>
      <c r="FN37" s="902">
        <v>125.98290989788113</v>
      </c>
      <c r="FO37" s="902">
        <v>0</v>
      </c>
      <c r="FP37" s="902">
        <v>0</v>
      </c>
      <c r="FQ37" s="902">
        <v>58.855733228247004</v>
      </c>
      <c r="FR37" s="902">
        <v>13.772901864646737</v>
      </c>
      <c r="FS37" s="902">
        <v>3312.5</v>
      </c>
      <c r="FT37" s="909" t="s">
        <v>3884</v>
      </c>
      <c r="FU37" s="909">
        <v>6</v>
      </c>
      <c r="FV37" s="909">
        <v>0</v>
      </c>
      <c r="FW37" s="909">
        <v>0</v>
      </c>
      <c r="FX37" s="909">
        <v>0</v>
      </c>
      <c r="FY37" s="910">
        <v>3806.3425399235748</v>
      </c>
      <c r="FZ37" s="909">
        <v>0</v>
      </c>
      <c r="GA37" s="909">
        <v>0</v>
      </c>
      <c r="GB37" s="909">
        <v>0</v>
      </c>
      <c r="GC37" s="910">
        <v>3929.2391039767012</v>
      </c>
      <c r="GD37" s="871">
        <v>3806.3425399235748</v>
      </c>
      <c r="GE37" s="911">
        <v>195.31363675434687</v>
      </c>
      <c r="GF37" s="908">
        <v>16.715931300000001</v>
      </c>
      <c r="GG37" s="902">
        <v>117.62494424788113</v>
      </c>
      <c r="GH37" s="902">
        <v>0</v>
      </c>
      <c r="GI37" s="902">
        <v>0</v>
      </c>
      <c r="GJ37" s="902">
        <v>57.175664678490328</v>
      </c>
      <c r="GK37" s="902">
        <v>12.569557230527323</v>
      </c>
      <c r="GL37" s="902">
        <v>2650</v>
      </c>
      <c r="GM37" s="909" t="s">
        <v>2877</v>
      </c>
      <c r="GN37" s="909">
        <v>4</v>
      </c>
      <c r="GO37" s="909">
        <v>0</v>
      </c>
      <c r="GP37" s="909">
        <v>0</v>
      </c>
      <c r="GQ37" s="909">
        <v>0</v>
      </c>
      <c r="GR37" s="910">
        <v>3504.6840625742939</v>
      </c>
      <c r="GS37" s="909">
        <v>0</v>
      </c>
      <c r="GT37" s="909">
        <v>0</v>
      </c>
      <c r="GU37" s="909">
        <v>0</v>
      </c>
      <c r="GV37" s="910">
        <v>3471.6402042346199</v>
      </c>
      <c r="GW37" s="871">
        <v>3471.6402042346199</v>
      </c>
      <c r="GX37" s="911">
        <v>178.13916290499733</v>
      </c>
      <c r="GY37" s="908">
        <v>20.894914125</v>
      </c>
      <c r="GZ37" s="902">
        <v>121.80392707288112</v>
      </c>
      <c r="HA37" s="902">
        <v>0</v>
      </c>
      <c r="HB37" s="902">
        <v>0</v>
      </c>
      <c r="HC37" s="902">
        <v>58.04451977131346</v>
      </c>
      <c r="HD37" s="902">
        <v>13.171229547587028</v>
      </c>
      <c r="HE37" s="902">
        <v>3312.5</v>
      </c>
      <c r="HF37" s="909" t="s">
        <v>2877</v>
      </c>
      <c r="HG37" s="909">
        <v>5</v>
      </c>
      <c r="HH37" s="909">
        <v>0</v>
      </c>
      <c r="HI37" s="909">
        <v>0</v>
      </c>
      <c r="HJ37" s="909">
        <v>0</v>
      </c>
      <c r="HK37" s="910">
        <v>4067.6978621586086</v>
      </c>
      <c r="HL37" s="909">
        <v>0</v>
      </c>
      <c r="HM37" s="909">
        <v>0</v>
      </c>
      <c r="HN37" s="909">
        <v>0</v>
      </c>
      <c r="HO37" s="910">
        <v>4092.8185741016728</v>
      </c>
      <c r="HP37" s="871">
        <v>4000</v>
      </c>
      <c r="HQ37" s="911">
        <v>205.25072003453315</v>
      </c>
      <c r="HR37" s="908">
        <v>16.715931300000001</v>
      </c>
      <c r="HS37" s="902">
        <v>117.62494424788113</v>
      </c>
      <c r="HT37" s="902">
        <v>0</v>
      </c>
      <c r="HU37" s="902">
        <v>0</v>
      </c>
      <c r="HV37" s="902">
        <v>57.175664678490328</v>
      </c>
      <c r="HW37" s="902">
        <v>12.569557230527323</v>
      </c>
      <c r="HX37" s="902">
        <v>2650</v>
      </c>
      <c r="HY37" s="909" t="s">
        <v>1063</v>
      </c>
      <c r="HZ37" s="909">
        <v>4</v>
      </c>
      <c r="IA37" s="909">
        <v>0</v>
      </c>
      <c r="IB37" s="909">
        <v>0</v>
      </c>
      <c r="IC37" s="909">
        <v>0</v>
      </c>
      <c r="ID37" s="910">
        <v>3090.8408178077048</v>
      </c>
      <c r="IE37" s="909">
        <v>0</v>
      </c>
      <c r="IF37" s="909">
        <v>0</v>
      </c>
      <c r="IG37" s="909">
        <v>0</v>
      </c>
      <c r="IH37" s="910">
        <v>3061.6988739660956</v>
      </c>
      <c r="II37" s="871">
        <v>3061.6988739660956</v>
      </c>
      <c r="IJ37" s="911">
        <v>157.1039746026151</v>
      </c>
      <c r="IK37" s="908">
        <v>25.073896950000002</v>
      </c>
      <c r="IL37" s="902">
        <v>125.98290989788113</v>
      </c>
      <c r="IM37" s="902">
        <v>0</v>
      </c>
      <c r="IN37" s="902">
        <v>0</v>
      </c>
      <c r="IO37" s="902">
        <v>58.855733228247004</v>
      </c>
      <c r="IP37" s="902">
        <v>13.772901864646737</v>
      </c>
      <c r="IQ37" s="902">
        <v>3312.5</v>
      </c>
      <c r="IR37" s="909" t="s">
        <v>1063</v>
      </c>
      <c r="IS37" s="909">
        <v>6</v>
      </c>
      <c r="IT37" s="909">
        <v>0</v>
      </c>
      <c r="IU37" s="909">
        <v>0</v>
      </c>
      <c r="IV37" s="909">
        <v>0</v>
      </c>
      <c r="IW37" s="910">
        <v>4146.0151323569353</v>
      </c>
      <c r="IX37" s="909">
        <v>0</v>
      </c>
      <c r="IY37" s="909">
        <v>0</v>
      </c>
      <c r="IZ37" s="909">
        <v>0</v>
      </c>
      <c r="JA37" s="910">
        <v>4279.8788109235957</v>
      </c>
      <c r="JB37" s="871">
        <v>4000</v>
      </c>
      <c r="JC37" s="911">
        <v>205.25072003453315</v>
      </c>
      <c r="JD37" s="908">
        <v>16.715931300000001</v>
      </c>
      <c r="JE37" s="902">
        <v>117.62494424788113</v>
      </c>
      <c r="JF37" s="902">
        <v>0</v>
      </c>
      <c r="JG37" s="902">
        <v>0</v>
      </c>
      <c r="JH37" s="902">
        <v>57.175664678490328</v>
      </c>
      <c r="JI37" s="902">
        <v>12.569557230527323</v>
      </c>
      <c r="JJ37" s="902">
        <v>2650</v>
      </c>
      <c r="JK37" s="909" t="s">
        <v>1064</v>
      </c>
      <c r="JL37" s="909">
        <v>4</v>
      </c>
      <c r="JM37" s="909">
        <v>0</v>
      </c>
      <c r="JN37" s="909">
        <v>0</v>
      </c>
      <c r="JO37" s="909">
        <v>0</v>
      </c>
      <c r="JP37" s="910">
        <v>4212.1060306376867</v>
      </c>
      <c r="JQ37" s="909">
        <v>0</v>
      </c>
      <c r="JR37" s="909">
        <v>0</v>
      </c>
      <c r="JS37" s="909">
        <v>0</v>
      </c>
      <c r="JT37" s="910">
        <v>4172.3922554434002</v>
      </c>
      <c r="JU37" s="871">
        <v>4000</v>
      </c>
      <c r="JV37" s="911">
        <v>205.25072003453315</v>
      </c>
      <c r="JW37" s="908">
        <v>16.715931300000001</v>
      </c>
      <c r="JX37" s="902">
        <v>117.62494424788113</v>
      </c>
      <c r="JY37" s="902">
        <v>0</v>
      </c>
      <c r="JZ37" s="902">
        <v>0</v>
      </c>
      <c r="KA37" s="902">
        <v>57.175664678490328</v>
      </c>
      <c r="KB37" s="902">
        <v>12.569557230527323</v>
      </c>
      <c r="KC37" s="902">
        <v>3312.5</v>
      </c>
      <c r="KD37" s="909" t="s">
        <v>1064</v>
      </c>
      <c r="KE37" s="909">
        <v>4</v>
      </c>
      <c r="KF37" s="909">
        <v>0</v>
      </c>
      <c r="KG37" s="909">
        <v>0</v>
      </c>
      <c r="KH37" s="909">
        <v>0</v>
      </c>
      <c r="KI37" s="910">
        <v>4212.1060306376867</v>
      </c>
      <c r="KJ37" s="909">
        <v>0</v>
      </c>
      <c r="KK37" s="909">
        <v>0</v>
      </c>
      <c r="KL37" s="909">
        <v>0</v>
      </c>
      <c r="KM37" s="910">
        <v>4172.3922554434002</v>
      </c>
      <c r="KN37" s="871">
        <v>4000</v>
      </c>
      <c r="KO37" s="912">
        <v>205.25072003453315</v>
      </c>
    </row>
    <row r="38" spans="1:301" ht="15" customHeight="1">
      <c r="A38" s="924" t="s">
        <v>1528</v>
      </c>
      <c r="B38" s="888" t="s">
        <v>1073</v>
      </c>
      <c r="C38" s="888">
        <v>487.5</v>
      </c>
      <c r="D38" s="888">
        <v>980</v>
      </c>
      <c r="E38" s="888">
        <v>500</v>
      </c>
      <c r="F38" s="888">
        <v>450</v>
      </c>
      <c r="G38" s="888">
        <v>277</v>
      </c>
      <c r="H38" s="888">
        <v>186</v>
      </c>
      <c r="I38" s="888">
        <v>128</v>
      </c>
      <c r="J38" s="888">
        <v>33.68</v>
      </c>
      <c r="K38" s="888">
        <v>46.9</v>
      </c>
      <c r="L38" s="888">
        <v>10</v>
      </c>
      <c r="M38" s="888">
        <v>384</v>
      </c>
      <c r="N38" s="888">
        <v>6</v>
      </c>
      <c r="O38" s="884">
        <v>26.279296883572478</v>
      </c>
      <c r="P38" s="888">
        <v>6</v>
      </c>
      <c r="Q38" s="884">
        <v>18.13171768047027</v>
      </c>
      <c r="R38" s="888">
        <v>18.000000000000004</v>
      </c>
      <c r="S38" s="888">
        <v>685.7484642071413</v>
      </c>
      <c r="T38" s="906">
        <v>52.186927731321489</v>
      </c>
      <c r="U38" s="906">
        <v>102.86226963107119</v>
      </c>
      <c r="V38" s="906">
        <v>110</v>
      </c>
      <c r="W38" s="1141">
        <v>5.3817769222925271</v>
      </c>
      <c r="X38" s="902">
        <v>0</v>
      </c>
      <c r="Y38" s="902">
        <v>0</v>
      </c>
      <c r="Z38" s="902">
        <v>0</v>
      </c>
      <c r="AA38" s="902">
        <v>0</v>
      </c>
      <c r="AB38" s="970">
        <v>31.27788437613841</v>
      </c>
      <c r="AC38" s="1045">
        <v>4000</v>
      </c>
      <c r="AD38" s="890">
        <v>0.57568728755403409</v>
      </c>
      <c r="AE38" s="890">
        <v>0.66641289092643863</v>
      </c>
      <c r="AF38" s="890">
        <v>-0.34333097188638956</v>
      </c>
      <c r="AG38" s="890">
        <v>0.86399791650090807</v>
      </c>
      <c r="AH38" s="888"/>
      <c r="AI38" s="907">
        <v>3.8496360199677868</v>
      </c>
      <c r="AJ38" s="908">
        <v>37.860864000000007</v>
      </c>
      <c r="AK38" s="902">
        <v>139.84058321765679</v>
      </c>
      <c r="AL38" s="902">
        <v>0</v>
      </c>
      <c r="AM38" s="902">
        <v>0</v>
      </c>
      <c r="AN38" s="902">
        <v>65.997184746642105</v>
      </c>
      <c r="AO38" s="902">
        <v>15.956127199342919</v>
      </c>
      <c r="AP38" s="1222">
        <v>3300</v>
      </c>
      <c r="AQ38" s="909" t="s">
        <v>1062</v>
      </c>
      <c r="AR38" s="909">
        <v>8</v>
      </c>
      <c r="AS38" s="909">
        <v>0</v>
      </c>
      <c r="AT38" s="909">
        <v>0</v>
      </c>
      <c r="AU38" s="909">
        <v>0</v>
      </c>
      <c r="AV38" s="910">
        <v>3967.143397862058</v>
      </c>
      <c r="AW38" s="909">
        <v>0</v>
      </c>
      <c r="AX38" s="909">
        <v>0</v>
      </c>
      <c r="AY38" s="909">
        <v>0</v>
      </c>
      <c r="AZ38" s="910">
        <v>4992.893892301764</v>
      </c>
      <c r="BA38" s="871">
        <v>3967.143397862058</v>
      </c>
      <c r="BB38" s="911">
        <v>203.56475972285796</v>
      </c>
      <c r="BC38" s="908">
        <v>37.860864000000007</v>
      </c>
      <c r="BD38" s="902">
        <v>139.84058321765679</v>
      </c>
      <c r="BE38" s="902">
        <v>0</v>
      </c>
      <c r="BF38" s="902">
        <v>0</v>
      </c>
      <c r="BG38" s="902">
        <v>65.997184746642105</v>
      </c>
      <c r="BH38" s="902">
        <v>15.956127199342919</v>
      </c>
      <c r="BI38" s="902">
        <v>3600</v>
      </c>
      <c r="BJ38" s="909" t="s">
        <v>1062</v>
      </c>
      <c r="BK38" s="909">
        <v>8</v>
      </c>
      <c r="BL38" s="909">
        <v>0</v>
      </c>
      <c r="BM38" s="909">
        <v>0</v>
      </c>
      <c r="BN38" s="909">
        <v>0</v>
      </c>
      <c r="BO38" s="910">
        <v>3967.143397862058</v>
      </c>
      <c r="BP38" s="909">
        <v>0</v>
      </c>
      <c r="BQ38" s="909">
        <v>0</v>
      </c>
      <c r="BR38" s="909">
        <v>0</v>
      </c>
      <c r="BS38" s="910">
        <v>4992.893892301764</v>
      </c>
      <c r="BT38" s="871">
        <v>3967.143397862058</v>
      </c>
      <c r="BU38" s="911">
        <v>203.56475972285796</v>
      </c>
      <c r="BV38" s="908">
        <v>37.860864000000007</v>
      </c>
      <c r="BW38" s="902">
        <v>139.84058321765679</v>
      </c>
      <c r="BX38" s="902">
        <v>0</v>
      </c>
      <c r="BY38" s="902">
        <v>0</v>
      </c>
      <c r="BZ38" s="902">
        <v>65.997184746642105</v>
      </c>
      <c r="CA38" s="902">
        <v>15.956127199342919</v>
      </c>
      <c r="CB38" s="902">
        <v>3300</v>
      </c>
      <c r="CC38" s="909" t="s">
        <v>2874</v>
      </c>
      <c r="CD38" s="909">
        <v>8</v>
      </c>
      <c r="CE38" s="909">
        <v>0</v>
      </c>
      <c r="CF38" s="909">
        <v>0</v>
      </c>
      <c r="CG38" s="909">
        <v>0</v>
      </c>
      <c r="CH38" s="910">
        <v>3886.9908244852459</v>
      </c>
      <c r="CI38" s="909">
        <v>0</v>
      </c>
      <c r="CJ38" s="909">
        <v>0</v>
      </c>
      <c r="CK38" s="909">
        <v>0</v>
      </c>
      <c r="CL38" s="910">
        <v>4892.0169503991792</v>
      </c>
      <c r="CM38" s="871">
        <v>3886.9908244852459</v>
      </c>
      <c r="CN38" s="911">
        <v>199.4519163733051</v>
      </c>
      <c r="CO38" s="908">
        <v>37.860864000000007</v>
      </c>
      <c r="CP38" s="902">
        <v>139.84058321765679</v>
      </c>
      <c r="CQ38" s="902">
        <v>0</v>
      </c>
      <c r="CR38" s="902">
        <v>0</v>
      </c>
      <c r="CS38" s="902">
        <v>65.997184746642105</v>
      </c>
      <c r="CT38" s="902">
        <v>15.956127199342919</v>
      </c>
      <c r="CU38" s="902">
        <v>3600</v>
      </c>
      <c r="CV38" s="909" t="s">
        <v>2874</v>
      </c>
      <c r="CW38" s="909">
        <v>8</v>
      </c>
      <c r="CX38" s="909">
        <v>0</v>
      </c>
      <c r="CY38" s="909">
        <v>0</v>
      </c>
      <c r="CZ38" s="909">
        <v>0</v>
      </c>
      <c r="DA38" s="910">
        <v>3886.9908244852459</v>
      </c>
      <c r="DB38" s="909">
        <v>0</v>
      </c>
      <c r="DC38" s="909">
        <v>0</v>
      </c>
      <c r="DD38" s="909">
        <v>0</v>
      </c>
      <c r="DE38" s="910">
        <v>4892.0169503991792</v>
      </c>
      <c r="DF38" s="871">
        <v>3886.9908244852459</v>
      </c>
      <c r="DG38" s="911">
        <v>199.4519163733051</v>
      </c>
      <c r="DH38" s="908">
        <v>37.860864000000007</v>
      </c>
      <c r="DI38" s="902">
        <v>139.84058321765679</v>
      </c>
      <c r="DJ38" s="902">
        <v>0</v>
      </c>
      <c r="DK38" s="902">
        <v>0</v>
      </c>
      <c r="DL38" s="902">
        <v>65.997184746642105</v>
      </c>
      <c r="DM38" s="902">
        <v>15.956127199342919</v>
      </c>
      <c r="DN38" s="902">
        <v>3300</v>
      </c>
      <c r="DO38" s="909" t="s">
        <v>2875</v>
      </c>
      <c r="DP38" s="909">
        <v>8</v>
      </c>
      <c r="DQ38" s="909">
        <v>0</v>
      </c>
      <c r="DR38" s="909">
        <v>0</v>
      </c>
      <c r="DS38" s="909">
        <v>0</v>
      </c>
      <c r="DT38" s="910">
        <v>4045.7083197838842</v>
      </c>
      <c r="DU38" s="909">
        <v>0</v>
      </c>
      <c r="DV38" s="909">
        <v>0</v>
      </c>
      <c r="DW38" s="909">
        <v>0</v>
      </c>
      <c r="DX38" s="910">
        <v>5091.7726772289843</v>
      </c>
      <c r="DY38" s="871">
        <v>4000</v>
      </c>
      <c r="DZ38" s="911">
        <v>205.25072003453315</v>
      </c>
      <c r="EA38" s="908">
        <v>37.860864000000007</v>
      </c>
      <c r="EB38" s="902">
        <v>139.84058321765679</v>
      </c>
      <c r="EC38" s="902">
        <v>0</v>
      </c>
      <c r="ED38" s="902">
        <v>0</v>
      </c>
      <c r="EE38" s="902">
        <v>65.997184746642105</v>
      </c>
      <c r="EF38" s="902">
        <v>15.956127199342919</v>
      </c>
      <c r="EG38" s="902">
        <v>3600</v>
      </c>
      <c r="EH38" s="909" t="s">
        <v>2875</v>
      </c>
      <c r="EI38" s="909">
        <v>8</v>
      </c>
      <c r="EJ38" s="909">
        <v>0</v>
      </c>
      <c r="EK38" s="909">
        <v>0</v>
      </c>
      <c r="EL38" s="909">
        <v>0</v>
      </c>
      <c r="EM38" s="910">
        <v>4045.7083197838842</v>
      </c>
      <c r="EN38" s="909">
        <v>0</v>
      </c>
      <c r="EO38" s="909">
        <v>0</v>
      </c>
      <c r="EP38" s="909">
        <v>0</v>
      </c>
      <c r="EQ38" s="910">
        <v>5091.7726772289843</v>
      </c>
      <c r="ER38" s="871">
        <v>4000</v>
      </c>
      <c r="ES38" s="911">
        <v>205.25072003453315</v>
      </c>
      <c r="ET38" s="908">
        <v>37.860864000000007</v>
      </c>
      <c r="EU38" s="902">
        <v>139.84058321765679</v>
      </c>
      <c r="EV38" s="902">
        <v>0</v>
      </c>
      <c r="EW38" s="902">
        <v>0</v>
      </c>
      <c r="EX38" s="902">
        <v>65.997184746642105</v>
      </c>
      <c r="EY38" s="902">
        <v>15.956127199342919</v>
      </c>
      <c r="EZ38" s="902">
        <v>3300</v>
      </c>
      <c r="FA38" s="909" t="s">
        <v>3884</v>
      </c>
      <c r="FB38" s="909">
        <v>8</v>
      </c>
      <c r="FC38" s="909">
        <v>0</v>
      </c>
      <c r="FD38" s="909">
        <v>0</v>
      </c>
      <c r="FE38" s="909">
        <v>0</v>
      </c>
      <c r="FF38" s="910">
        <v>4309.4207908089702</v>
      </c>
      <c r="FG38" s="909">
        <v>0</v>
      </c>
      <c r="FH38" s="909">
        <v>0</v>
      </c>
      <c r="FI38" s="909">
        <v>0</v>
      </c>
      <c r="FJ38" s="910">
        <v>5423.6710368022414</v>
      </c>
      <c r="FK38" s="871">
        <v>4000</v>
      </c>
      <c r="FL38" s="911">
        <v>205.25072003453315</v>
      </c>
      <c r="FM38" s="908">
        <v>37.860864000000007</v>
      </c>
      <c r="FN38" s="902">
        <v>139.84058321765679</v>
      </c>
      <c r="FO38" s="902">
        <v>0</v>
      </c>
      <c r="FP38" s="902">
        <v>0</v>
      </c>
      <c r="FQ38" s="902">
        <v>65.997184746642105</v>
      </c>
      <c r="FR38" s="902">
        <v>15.956127199342919</v>
      </c>
      <c r="FS38" s="902">
        <v>3600</v>
      </c>
      <c r="FT38" s="909" t="s">
        <v>3884</v>
      </c>
      <c r="FU38" s="909">
        <v>8</v>
      </c>
      <c r="FV38" s="909">
        <v>0</v>
      </c>
      <c r="FW38" s="909">
        <v>0</v>
      </c>
      <c r="FX38" s="909">
        <v>0</v>
      </c>
      <c r="FY38" s="910">
        <v>4309.4207908089702</v>
      </c>
      <c r="FZ38" s="909">
        <v>0</v>
      </c>
      <c r="GA38" s="909">
        <v>0</v>
      </c>
      <c r="GB38" s="909">
        <v>0</v>
      </c>
      <c r="GC38" s="910">
        <v>5423.6710368022414</v>
      </c>
      <c r="GD38" s="871">
        <v>4000</v>
      </c>
      <c r="GE38" s="911">
        <v>205.25072003453315</v>
      </c>
      <c r="GF38" s="908">
        <v>28.395648000000005</v>
      </c>
      <c r="GG38" s="902">
        <v>130.37536721765676</v>
      </c>
      <c r="GH38" s="902">
        <v>0</v>
      </c>
      <c r="GI38" s="902">
        <v>0</v>
      </c>
      <c r="GJ38" s="902">
        <v>64.036787745002741</v>
      </c>
      <c r="GK38" s="902">
        <v>14.538644551042918</v>
      </c>
      <c r="GL38" s="902">
        <v>3300</v>
      </c>
      <c r="GM38" s="909" t="s">
        <v>2877</v>
      </c>
      <c r="GN38" s="909">
        <v>6</v>
      </c>
      <c r="GO38" s="909">
        <v>0</v>
      </c>
      <c r="GP38" s="909">
        <v>0</v>
      </c>
      <c r="GQ38" s="909">
        <v>0</v>
      </c>
      <c r="GR38" s="910">
        <v>3833.7401491286164</v>
      </c>
      <c r="GS38" s="909">
        <v>0</v>
      </c>
      <c r="GT38" s="909">
        <v>0</v>
      </c>
      <c r="GU38" s="909">
        <v>0</v>
      </c>
      <c r="GV38" s="910">
        <v>4246.0827025508042</v>
      </c>
      <c r="GW38" s="871">
        <v>3833.7401491286164</v>
      </c>
      <c r="GX38" s="911">
        <v>196.71948150848675</v>
      </c>
      <c r="GY38" s="908">
        <v>28.395648000000005</v>
      </c>
      <c r="GZ38" s="902">
        <v>130.37536721765676</v>
      </c>
      <c r="HA38" s="902">
        <v>0</v>
      </c>
      <c r="HB38" s="902">
        <v>0</v>
      </c>
      <c r="HC38" s="902">
        <v>64.036787745002741</v>
      </c>
      <c r="HD38" s="902">
        <v>14.538644551042918</v>
      </c>
      <c r="HE38" s="902">
        <v>3600</v>
      </c>
      <c r="HF38" s="909" t="s">
        <v>2877</v>
      </c>
      <c r="HG38" s="909">
        <v>6</v>
      </c>
      <c r="HH38" s="909">
        <v>0</v>
      </c>
      <c r="HI38" s="909">
        <v>0</v>
      </c>
      <c r="HJ38" s="909">
        <v>0</v>
      </c>
      <c r="HK38" s="910">
        <v>3833.7401491286164</v>
      </c>
      <c r="HL38" s="909">
        <v>0</v>
      </c>
      <c r="HM38" s="909">
        <v>0</v>
      </c>
      <c r="HN38" s="909">
        <v>0</v>
      </c>
      <c r="HO38" s="910">
        <v>4246.0827025508042</v>
      </c>
      <c r="HP38" s="871">
        <v>3833.7401491286164</v>
      </c>
      <c r="HQ38" s="911">
        <v>196.71948150848675</v>
      </c>
      <c r="HR38" s="908">
        <v>28.395648000000005</v>
      </c>
      <c r="HS38" s="902">
        <v>132.82201612719342</v>
      </c>
      <c r="HT38" s="902">
        <v>2.4466489095366581</v>
      </c>
      <c r="HU38" s="902">
        <v>0</v>
      </c>
      <c r="HV38" s="902">
        <v>64.570304806003435</v>
      </c>
      <c r="HW38" s="902">
        <v>14.71967246819697</v>
      </c>
      <c r="HX38" s="902">
        <v>3300</v>
      </c>
      <c r="HY38" s="909" t="s">
        <v>1063</v>
      </c>
      <c r="HZ38" s="909">
        <v>6</v>
      </c>
      <c r="IA38" s="909">
        <v>1</v>
      </c>
      <c r="IB38" s="909">
        <v>8</v>
      </c>
      <c r="IC38" s="909">
        <v>53.850798597178112</v>
      </c>
      <c r="ID38" s="910">
        <v>6894.8991367081953</v>
      </c>
      <c r="IE38" s="909">
        <v>0</v>
      </c>
      <c r="IF38" s="909">
        <v>0</v>
      </c>
      <c r="IG38" s="909">
        <v>0</v>
      </c>
      <c r="IH38" s="910">
        <v>3744.6929590541572</v>
      </c>
      <c r="II38" s="871">
        <v>3744.6929590541572</v>
      </c>
      <c r="IJ38" s="911">
        <v>192.15023153852809</v>
      </c>
      <c r="IK38" s="908">
        <v>28.395648000000005</v>
      </c>
      <c r="IL38" s="902">
        <v>132.82201612719342</v>
      </c>
      <c r="IM38" s="902">
        <v>2.4466489095366581</v>
      </c>
      <c r="IN38" s="902">
        <v>0</v>
      </c>
      <c r="IO38" s="902">
        <v>64.570304806003435</v>
      </c>
      <c r="IP38" s="902">
        <v>14.71967246819697</v>
      </c>
      <c r="IQ38" s="902">
        <v>3600</v>
      </c>
      <c r="IR38" s="909" t="s">
        <v>1063</v>
      </c>
      <c r="IS38" s="909">
        <v>6</v>
      </c>
      <c r="IT38" s="909">
        <v>1</v>
      </c>
      <c r="IU38" s="909">
        <v>8</v>
      </c>
      <c r="IV38" s="909">
        <v>53.850798597178112</v>
      </c>
      <c r="IW38" s="910">
        <v>6894.8991367081953</v>
      </c>
      <c r="IX38" s="909">
        <v>0</v>
      </c>
      <c r="IY38" s="909">
        <v>0</v>
      </c>
      <c r="IZ38" s="909">
        <v>0</v>
      </c>
      <c r="JA38" s="910">
        <v>3744.6929590541572</v>
      </c>
      <c r="JB38" s="871">
        <v>3744.6929590541572</v>
      </c>
      <c r="JC38" s="911">
        <v>192.15023153852809</v>
      </c>
      <c r="JD38" s="908">
        <v>23.663040000000002</v>
      </c>
      <c r="JE38" s="902">
        <v>125.64275921765676</v>
      </c>
      <c r="JF38" s="902">
        <v>0</v>
      </c>
      <c r="JG38" s="902">
        <v>0</v>
      </c>
      <c r="JH38" s="902">
        <v>62.945825314081887</v>
      </c>
      <c r="JI38" s="902">
        <v>13.829903226892917</v>
      </c>
      <c r="JJ38" s="902">
        <v>3300</v>
      </c>
      <c r="JK38" s="909" t="s">
        <v>1064</v>
      </c>
      <c r="JL38" s="909">
        <v>5</v>
      </c>
      <c r="JM38" s="909">
        <v>0</v>
      </c>
      <c r="JN38" s="909">
        <v>0</v>
      </c>
      <c r="JO38" s="909">
        <v>0</v>
      </c>
      <c r="JP38" s="910">
        <v>4014.0862086822931</v>
      </c>
      <c r="JQ38" s="909">
        <v>0</v>
      </c>
      <c r="JR38" s="909">
        <v>0</v>
      </c>
      <c r="JS38" s="909">
        <v>0</v>
      </c>
      <c r="JT38" s="910">
        <v>4349.2669230899091</v>
      </c>
      <c r="JU38" s="871">
        <v>4000</v>
      </c>
      <c r="JV38" s="911">
        <v>205.25072003453315</v>
      </c>
      <c r="JW38" s="908">
        <v>23.663040000000002</v>
      </c>
      <c r="JX38" s="902">
        <v>125.64275921765676</v>
      </c>
      <c r="JY38" s="902">
        <v>0</v>
      </c>
      <c r="JZ38" s="902">
        <v>0</v>
      </c>
      <c r="KA38" s="902">
        <v>62.945825314081887</v>
      </c>
      <c r="KB38" s="902">
        <v>13.829903226892917</v>
      </c>
      <c r="KC38" s="902">
        <v>3600</v>
      </c>
      <c r="KD38" s="909" t="s">
        <v>1064</v>
      </c>
      <c r="KE38" s="909">
        <v>5</v>
      </c>
      <c r="KF38" s="909">
        <v>0</v>
      </c>
      <c r="KG38" s="909">
        <v>0</v>
      </c>
      <c r="KH38" s="909">
        <v>0</v>
      </c>
      <c r="KI38" s="910">
        <v>4014.0862086822931</v>
      </c>
      <c r="KJ38" s="909">
        <v>0</v>
      </c>
      <c r="KK38" s="909">
        <v>0</v>
      </c>
      <c r="KL38" s="909">
        <v>0</v>
      </c>
      <c r="KM38" s="910">
        <v>4349.2669230899091</v>
      </c>
      <c r="KN38" s="871">
        <v>4000</v>
      </c>
      <c r="KO38" s="912">
        <v>205.25072003453315</v>
      </c>
    </row>
    <row r="39" spans="1:301" ht="15" customHeight="1">
      <c r="A39" s="924" t="s">
        <v>1529</v>
      </c>
      <c r="B39" s="888" t="s">
        <v>1078</v>
      </c>
      <c r="C39" s="888">
        <v>546</v>
      </c>
      <c r="D39" s="888">
        <v>980</v>
      </c>
      <c r="E39" s="888">
        <v>560</v>
      </c>
      <c r="F39" s="888">
        <v>500</v>
      </c>
      <c r="G39" s="888">
        <v>308</v>
      </c>
      <c r="H39" s="888">
        <v>209</v>
      </c>
      <c r="I39" s="888">
        <v>143</v>
      </c>
      <c r="J39" s="888">
        <v>32.619999999999997</v>
      </c>
      <c r="K39" s="888">
        <v>43.74</v>
      </c>
      <c r="L39" s="888">
        <v>1</v>
      </c>
      <c r="M39" s="888">
        <v>365</v>
      </c>
      <c r="N39" s="888">
        <v>6</v>
      </c>
      <c r="O39" s="884">
        <v>23.926589561225615</v>
      </c>
      <c r="P39" s="888">
        <v>6</v>
      </c>
      <c r="Q39" s="884">
        <v>16.981666166032113</v>
      </c>
      <c r="R39" s="888">
        <v>18.000000000000004</v>
      </c>
      <c r="S39" s="888">
        <v>708.05362683173246</v>
      </c>
      <c r="T39" s="906">
        <v>55.637082274635965</v>
      </c>
      <c r="U39" s="906">
        <v>106.20804402475987</v>
      </c>
      <c r="V39" s="906">
        <v>122.5</v>
      </c>
      <c r="W39" s="1141">
        <v>6.3895711674777234</v>
      </c>
      <c r="X39" s="902">
        <v>0</v>
      </c>
      <c r="Y39" s="902">
        <v>0</v>
      </c>
      <c r="Z39" s="902">
        <v>0</v>
      </c>
      <c r="AA39" s="902">
        <v>0</v>
      </c>
      <c r="AB39" s="970">
        <v>12.857632931168899</v>
      </c>
      <c r="AC39" s="1045">
        <v>3503.100627683677</v>
      </c>
      <c r="AD39" s="890">
        <v>0.54795068328576069</v>
      </c>
      <c r="AE39" s="890">
        <v>0.64001862224193418</v>
      </c>
      <c r="AF39" s="890">
        <v>-0.36846502416512161</v>
      </c>
      <c r="AG39" s="890">
        <v>0.77074075557247423</v>
      </c>
      <c r="AH39" s="888"/>
      <c r="AI39" s="907">
        <v>2.6773860667488498</v>
      </c>
      <c r="AJ39" s="908">
        <v>3.0257040000000002</v>
      </c>
      <c r="AK39" s="902">
        <v>105.96061316937143</v>
      </c>
      <c r="AL39" s="902">
        <v>0</v>
      </c>
      <c r="AM39" s="902">
        <v>0</v>
      </c>
      <c r="AN39" s="902">
        <v>59.077454084452604</v>
      </c>
      <c r="AO39" s="902">
        <v>10.87578038213805</v>
      </c>
      <c r="AP39" s="1222">
        <v>2000</v>
      </c>
      <c r="AQ39" s="909" t="s">
        <v>1062</v>
      </c>
      <c r="AR39" s="909">
        <v>6</v>
      </c>
      <c r="AS39" s="909">
        <v>0</v>
      </c>
      <c r="AT39" s="909">
        <v>0</v>
      </c>
      <c r="AU39" s="909">
        <v>0</v>
      </c>
      <c r="AV39" s="910">
        <v>2386.2220985478871</v>
      </c>
      <c r="AW39" s="909">
        <v>0</v>
      </c>
      <c r="AX39" s="909">
        <v>0</v>
      </c>
      <c r="AY39" s="909">
        <v>0</v>
      </c>
      <c r="AZ39" s="910">
        <v>2677.672573079124</v>
      </c>
      <c r="BA39" s="871">
        <v>2386.2220985478871</v>
      </c>
      <c r="BB39" s="911">
        <v>122.44345097231714</v>
      </c>
      <c r="BC39" s="908">
        <v>4.0342720000000005</v>
      </c>
      <c r="BD39" s="902">
        <v>106.96918116937142</v>
      </c>
      <c r="BE39" s="902">
        <v>0</v>
      </c>
      <c r="BF39" s="902">
        <v>0</v>
      </c>
      <c r="BG39" s="902">
        <v>59.505724412299791</v>
      </c>
      <c r="BH39" s="902">
        <v>11.034442752774051</v>
      </c>
      <c r="BI39" s="902">
        <v>2500</v>
      </c>
      <c r="BJ39" s="909" t="s">
        <v>1062</v>
      </c>
      <c r="BK39" s="909">
        <v>8</v>
      </c>
      <c r="BL39" s="909">
        <v>0</v>
      </c>
      <c r="BM39" s="909">
        <v>0</v>
      </c>
      <c r="BN39" s="909">
        <v>0</v>
      </c>
      <c r="BO39" s="910">
        <v>3224.8655217948567</v>
      </c>
      <c r="BP39" s="909">
        <v>0</v>
      </c>
      <c r="BQ39" s="909">
        <v>0</v>
      </c>
      <c r="BR39" s="909">
        <v>0</v>
      </c>
      <c r="BS39" s="910">
        <v>3971.9385873976662</v>
      </c>
      <c r="BT39" s="871">
        <v>3224.8655217948567</v>
      </c>
      <c r="BU39" s="911">
        <v>165.4764925907337</v>
      </c>
      <c r="BV39" s="908">
        <v>3.0257040000000002</v>
      </c>
      <c r="BW39" s="902">
        <v>105.96061316937143</v>
      </c>
      <c r="BX39" s="902">
        <v>0</v>
      </c>
      <c r="BY39" s="902">
        <v>0</v>
      </c>
      <c r="BZ39" s="902">
        <v>59.077454084452604</v>
      </c>
      <c r="CA39" s="902">
        <v>10.87578038213805</v>
      </c>
      <c r="CB39" s="902">
        <v>2000</v>
      </c>
      <c r="CC39" s="909" t="s">
        <v>2874</v>
      </c>
      <c r="CD39" s="909">
        <v>6</v>
      </c>
      <c r="CE39" s="909">
        <v>0</v>
      </c>
      <c r="CF39" s="909">
        <v>0</v>
      </c>
      <c r="CG39" s="909">
        <v>0</v>
      </c>
      <c r="CH39" s="910">
        <v>2338.0106217582397</v>
      </c>
      <c r="CI39" s="909">
        <v>0</v>
      </c>
      <c r="CJ39" s="909">
        <v>0</v>
      </c>
      <c r="CK39" s="909">
        <v>0</v>
      </c>
      <c r="CL39" s="910">
        <v>2623.572600915661</v>
      </c>
      <c r="CM39" s="871">
        <v>2338.0106217582397</v>
      </c>
      <c r="CN39" s="911">
        <v>119.9695908910663</v>
      </c>
      <c r="CO39" s="908">
        <v>4.0342720000000005</v>
      </c>
      <c r="CP39" s="902">
        <v>106.96918116937142</v>
      </c>
      <c r="CQ39" s="902">
        <v>0</v>
      </c>
      <c r="CR39" s="902">
        <v>0</v>
      </c>
      <c r="CS39" s="902">
        <v>59.505724412299791</v>
      </c>
      <c r="CT39" s="902">
        <v>11.034442752774051</v>
      </c>
      <c r="CU39" s="902">
        <v>2500</v>
      </c>
      <c r="CV39" s="909" t="s">
        <v>2874</v>
      </c>
      <c r="CW39" s="909">
        <v>8</v>
      </c>
      <c r="CX39" s="909">
        <v>0</v>
      </c>
      <c r="CY39" s="909">
        <v>0</v>
      </c>
      <c r="CZ39" s="909">
        <v>0</v>
      </c>
      <c r="DA39" s="910">
        <v>3159.7100069966491</v>
      </c>
      <c r="DB39" s="909">
        <v>0</v>
      </c>
      <c r="DC39" s="909">
        <v>0</v>
      </c>
      <c r="DD39" s="909">
        <v>0</v>
      </c>
      <c r="DE39" s="910">
        <v>3891.689131518116</v>
      </c>
      <c r="DF39" s="871">
        <v>3159.7100069966491</v>
      </c>
      <c r="DG39" s="911">
        <v>162.13318850909548</v>
      </c>
      <c r="DH39" s="908">
        <v>3.0257040000000002</v>
      </c>
      <c r="DI39" s="902">
        <v>105.96061316937143</v>
      </c>
      <c r="DJ39" s="902">
        <v>0</v>
      </c>
      <c r="DK39" s="902">
        <v>0</v>
      </c>
      <c r="DL39" s="902">
        <v>59.077454084452604</v>
      </c>
      <c r="DM39" s="902">
        <v>10.87578038213805</v>
      </c>
      <c r="DN39" s="902">
        <v>2000</v>
      </c>
      <c r="DO39" s="909" t="s">
        <v>2875</v>
      </c>
      <c r="DP39" s="909">
        <v>6</v>
      </c>
      <c r="DQ39" s="909">
        <v>0</v>
      </c>
      <c r="DR39" s="909">
        <v>0</v>
      </c>
      <c r="DS39" s="909">
        <v>0</v>
      </c>
      <c r="DT39" s="910">
        <v>2433.4786088524002</v>
      </c>
      <c r="DU39" s="909">
        <v>0</v>
      </c>
      <c r="DV39" s="909">
        <v>0</v>
      </c>
      <c r="DW39" s="909">
        <v>0</v>
      </c>
      <c r="DX39" s="910">
        <v>2730.7009402285316</v>
      </c>
      <c r="DY39" s="871">
        <v>2433.4786088524002</v>
      </c>
      <c r="DZ39" s="911">
        <v>124.86830916389729</v>
      </c>
      <c r="EA39" s="908">
        <v>4.0342720000000005</v>
      </c>
      <c r="EB39" s="902">
        <v>106.96918116937142</v>
      </c>
      <c r="EC39" s="902">
        <v>0</v>
      </c>
      <c r="ED39" s="902">
        <v>0</v>
      </c>
      <c r="EE39" s="902">
        <v>59.505724412299791</v>
      </c>
      <c r="EF39" s="902">
        <v>11.034442752774051</v>
      </c>
      <c r="EG39" s="902">
        <v>2500</v>
      </c>
      <c r="EH39" s="909" t="s">
        <v>2875</v>
      </c>
      <c r="EI39" s="909">
        <v>8</v>
      </c>
      <c r="EJ39" s="909">
        <v>0</v>
      </c>
      <c r="EK39" s="909">
        <v>0</v>
      </c>
      <c r="EL39" s="909">
        <v>0</v>
      </c>
      <c r="EM39" s="910">
        <v>3288.7304448689106</v>
      </c>
      <c r="EN39" s="909">
        <v>0</v>
      </c>
      <c r="EO39" s="909">
        <v>0</v>
      </c>
      <c r="EP39" s="909">
        <v>0</v>
      </c>
      <c r="EQ39" s="910">
        <v>4050.5984727865707</v>
      </c>
      <c r="ER39" s="871">
        <v>3288.7304448689106</v>
      </c>
      <c r="ES39" s="911">
        <v>168.7535729522086</v>
      </c>
      <c r="ET39" s="908">
        <v>2.5214200000000004</v>
      </c>
      <c r="EU39" s="902">
        <v>105.45632916937143</v>
      </c>
      <c r="EV39" s="902">
        <v>0</v>
      </c>
      <c r="EW39" s="902">
        <v>0</v>
      </c>
      <c r="EX39" s="902">
        <v>58.860246987212506</v>
      </c>
      <c r="EY39" s="902">
        <v>10.796449196820051</v>
      </c>
      <c r="EZ39" s="902">
        <v>2000</v>
      </c>
      <c r="FA39" s="909" t="s">
        <v>3884</v>
      </c>
      <c r="FB39" s="909">
        <v>5</v>
      </c>
      <c r="FC39" s="909">
        <v>0</v>
      </c>
      <c r="FD39" s="909">
        <v>0</v>
      </c>
      <c r="FE39" s="909">
        <v>0</v>
      </c>
      <c r="FF39" s="910">
        <v>2270.7755412574629</v>
      </c>
      <c r="FG39" s="909">
        <v>0</v>
      </c>
      <c r="FH39" s="909">
        <v>0</v>
      </c>
      <c r="FI39" s="909">
        <v>0</v>
      </c>
      <c r="FJ39" s="910">
        <v>2503.3035966504053</v>
      </c>
      <c r="FK39" s="871">
        <v>2270.7755412574629</v>
      </c>
      <c r="FL39" s="911">
        <v>116.51957871997524</v>
      </c>
      <c r="FM39" s="908">
        <v>4.0342720000000005</v>
      </c>
      <c r="FN39" s="902">
        <v>106.96918116937142</v>
      </c>
      <c r="FO39" s="902">
        <v>0</v>
      </c>
      <c r="FP39" s="902">
        <v>0</v>
      </c>
      <c r="FQ39" s="902">
        <v>59.505724412299791</v>
      </c>
      <c r="FR39" s="902">
        <v>11.034442752774051</v>
      </c>
      <c r="FS39" s="902">
        <v>2500</v>
      </c>
      <c r="FT39" s="909" t="s">
        <v>3884</v>
      </c>
      <c r="FU39" s="909">
        <v>8</v>
      </c>
      <c r="FV39" s="909">
        <v>0</v>
      </c>
      <c r="FW39" s="909">
        <v>0</v>
      </c>
      <c r="FX39" s="909">
        <v>0</v>
      </c>
      <c r="FY39" s="910">
        <v>3503.100627683677</v>
      </c>
      <c r="FZ39" s="909">
        <v>0</v>
      </c>
      <c r="GA39" s="909">
        <v>0</v>
      </c>
      <c r="GB39" s="909">
        <v>0</v>
      </c>
      <c r="GC39" s="910">
        <v>4314.6296999428705</v>
      </c>
      <c r="GD39" s="871">
        <v>3503.100627683677</v>
      </c>
      <c r="GE39" s="911">
        <v>179.75348154637493</v>
      </c>
      <c r="GF39" s="908">
        <v>2.0171360000000003</v>
      </c>
      <c r="GG39" s="902">
        <v>104.95204516937142</v>
      </c>
      <c r="GH39" s="902">
        <v>0</v>
      </c>
      <c r="GI39" s="902">
        <v>0</v>
      </c>
      <c r="GJ39" s="902">
        <v>58.640952573548077</v>
      </c>
      <c r="GK39" s="902">
        <v>10.71711801150205</v>
      </c>
      <c r="GL39" s="902">
        <v>2000</v>
      </c>
      <c r="GM39" s="909" t="s">
        <v>2877</v>
      </c>
      <c r="GN39" s="909">
        <v>4</v>
      </c>
      <c r="GO39" s="909">
        <v>0</v>
      </c>
      <c r="GP39" s="909">
        <v>0</v>
      </c>
      <c r="GQ39" s="909">
        <v>0</v>
      </c>
      <c r="GR39" s="910">
        <v>2435.9140208247809</v>
      </c>
      <c r="GS39" s="909">
        <v>0</v>
      </c>
      <c r="GT39" s="909">
        <v>0</v>
      </c>
      <c r="GU39" s="909">
        <v>0</v>
      </c>
      <c r="GV39" s="910">
        <v>2654.8474213218319</v>
      </c>
      <c r="GW39" s="871">
        <v>2435.9140208247809</v>
      </c>
      <c r="GX39" s="911">
        <v>124.99327667912526</v>
      </c>
      <c r="GY39" s="908">
        <v>2.5214200000000004</v>
      </c>
      <c r="GZ39" s="902">
        <v>105.45632916937143</v>
      </c>
      <c r="HA39" s="902">
        <v>0</v>
      </c>
      <c r="HB39" s="902">
        <v>0</v>
      </c>
      <c r="HC39" s="902">
        <v>58.860246987212506</v>
      </c>
      <c r="HD39" s="902">
        <v>10.796449196820051</v>
      </c>
      <c r="HE39" s="902">
        <v>2500</v>
      </c>
      <c r="HF39" s="909" t="s">
        <v>2877</v>
      </c>
      <c r="HG39" s="909">
        <v>5</v>
      </c>
      <c r="HH39" s="909">
        <v>0</v>
      </c>
      <c r="HI39" s="909">
        <v>0</v>
      </c>
      <c r="HJ39" s="909">
        <v>0</v>
      </c>
      <c r="HK39" s="910">
        <v>2804.5904873083223</v>
      </c>
      <c r="HL39" s="909">
        <v>0</v>
      </c>
      <c r="HM39" s="909">
        <v>0</v>
      </c>
      <c r="HN39" s="909">
        <v>0</v>
      </c>
      <c r="HO39" s="910">
        <v>3091.7813436244182</v>
      </c>
      <c r="HP39" s="871">
        <v>2804.5904873083223</v>
      </c>
      <c r="HQ39" s="911">
        <v>143.91105423050882</v>
      </c>
      <c r="HR39" s="908">
        <v>2.5214200000000004</v>
      </c>
      <c r="HS39" s="902">
        <v>105.45632916937143</v>
      </c>
      <c r="HT39" s="902">
        <v>0</v>
      </c>
      <c r="HU39" s="902">
        <v>0</v>
      </c>
      <c r="HV39" s="902">
        <v>58.860246987212506</v>
      </c>
      <c r="HW39" s="902">
        <v>10.796449196820051</v>
      </c>
      <c r="HX39" s="902">
        <v>2000</v>
      </c>
      <c r="HY39" s="909" t="s">
        <v>1063</v>
      </c>
      <c r="HZ39" s="909">
        <v>5</v>
      </c>
      <c r="IA39" s="909">
        <v>0</v>
      </c>
      <c r="IB39" s="909">
        <v>0</v>
      </c>
      <c r="IC39" s="909">
        <v>0</v>
      </c>
      <c r="ID39" s="910">
        <v>2473.4163196012532</v>
      </c>
      <c r="IE39" s="909">
        <v>0</v>
      </c>
      <c r="IF39" s="909">
        <v>0</v>
      </c>
      <c r="IG39" s="909">
        <v>0</v>
      </c>
      <c r="IH39" s="910">
        <v>2726.6948478064487</v>
      </c>
      <c r="II39" s="871">
        <v>2473.4163196012532</v>
      </c>
      <c r="IJ39" s="911">
        <v>126.91762013583055</v>
      </c>
      <c r="IK39" s="908">
        <v>3.0257040000000002</v>
      </c>
      <c r="IL39" s="902">
        <v>105.96061316937143</v>
      </c>
      <c r="IM39" s="902">
        <v>0</v>
      </c>
      <c r="IN39" s="902">
        <v>0</v>
      </c>
      <c r="IO39" s="902">
        <v>59.077454084452604</v>
      </c>
      <c r="IP39" s="902">
        <v>10.87578038213805</v>
      </c>
      <c r="IQ39" s="902">
        <v>2500</v>
      </c>
      <c r="IR39" s="909" t="s">
        <v>1063</v>
      </c>
      <c r="IS39" s="909">
        <v>6</v>
      </c>
      <c r="IT39" s="909">
        <v>0</v>
      </c>
      <c r="IU39" s="909">
        <v>0</v>
      </c>
      <c r="IV39" s="909">
        <v>0</v>
      </c>
      <c r="IW39" s="910">
        <v>2823.4160630409383</v>
      </c>
      <c r="IX39" s="909">
        <v>0</v>
      </c>
      <c r="IY39" s="909">
        <v>0</v>
      </c>
      <c r="IZ39" s="909">
        <v>0</v>
      </c>
      <c r="JA39" s="910">
        <v>3168.2649150707475</v>
      </c>
      <c r="JB39" s="871">
        <v>2823.4160630409383</v>
      </c>
      <c r="JC39" s="911">
        <v>144.87704497405485</v>
      </c>
      <c r="JD39" s="908">
        <v>2.0171360000000003</v>
      </c>
      <c r="JE39" s="902">
        <v>104.95204516937142</v>
      </c>
      <c r="JF39" s="902">
        <v>0</v>
      </c>
      <c r="JG39" s="902">
        <v>0</v>
      </c>
      <c r="JH39" s="902">
        <v>58.640952573548077</v>
      </c>
      <c r="JI39" s="902">
        <v>10.71711801150205</v>
      </c>
      <c r="JJ39" s="902">
        <v>2000</v>
      </c>
      <c r="JK39" s="909" t="s">
        <v>1064</v>
      </c>
      <c r="JL39" s="909">
        <v>4</v>
      </c>
      <c r="JM39" s="909">
        <v>0</v>
      </c>
      <c r="JN39" s="909">
        <v>0</v>
      </c>
      <c r="JO39" s="909">
        <v>0</v>
      </c>
      <c r="JP39" s="910">
        <v>2927.6043015684681</v>
      </c>
      <c r="JQ39" s="909">
        <v>0</v>
      </c>
      <c r="JR39" s="909">
        <v>0</v>
      </c>
      <c r="JS39" s="909">
        <v>0</v>
      </c>
      <c r="JT39" s="910">
        <v>3190.729502036404</v>
      </c>
      <c r="JU39" s="871">
        <v>2927.6043015684681</v>
      </c>
      <c r="JV39" s="911">
        <v>150.22322271828116</v>
      </c>
      <c r="JW39" s="908">
        <v>2.0171360000000003</v>
      </c>
      <c r="JX39" s="902">
        <v>104.95204516937142</v>
      </c>
      <c r="JY39" s="902">
        <v>0</v>
      </c>
      <c r="JZ39" s="902">
        <v>0</v>
      </c>
      <c r="KA39" s="902">
        <v>58.640952573548077</v>
      </c>
      <c r="KB39" s="902">
        <v>10.71711801150205</v>
      </c>
      <c r="KC39" s="902">
        <v>2500</v>
      </c>
      <c r="KD39" s="909" t="s">
        <v>1064</v>
      </c>
      <c r="KE39" s="909">
        <v>4</v>
      </c>
      <c r="KF39" s="909">
        <v>0</v>
      </c>
      <c r="KG39" s="909">
        <v>0</v>
      </c>
      <c r="KH39" s="909">
        <v>0</v>
      </c>
      <c r="KI39" s="910">
        <v>2927.6043015684681</v>
      </c>
      <c r="KJ39" s="909">
        <v>0</v>
      </c>
      <c r="KK39" s="909">
        <v>0</v>
      </c>
      <c r="KL39" s="909">
        <v>0</v>
      </c>
      <c r="KM39" s="910">
        <v>3190.729502036404</v>
      </c>
      <c r="KN39" s="871">
        <v>2927.6043015684681</v>
      </c>
      <c r="KO39" s="912">
        <v>150.22322271828116</v>
      </c>
    </row>
    <row r="40" spans="1:301" ht="15" customHeight="1">
      <c r="A40" s="924" t="s">
        <v>1530</v>
      </c>
      <c r="B40" s="888" t="s">
        <v>1079</v>
      </c>
      <c r="C40" s="888">
        <v>642.5</v>
      </c>
      <c r="D40" s="888">
        <v>980</v>
      </c>
      <c r="E40" s="888">
        <v>630</v>
      </c>
      <c r="F40" s="888">
        <v>630</v>
      </c>
      <c r="G40" s="888">
        <v>370</v>
      </c>
      <c r="H40" s="888">
        <v>257</v>
      </c>
      <c r="I40" s="888">
        <v>195</v>
      </c>
      <c r="J40" s="888">
        <v>19.100000000000001</v>
      </c>
      <c r="K40" s="888">
        <v>29.88</v>
      </c>
      <c r="L40" s="888">
        <v>8</v>
      </c>
      <c r="M40" s="888">
        <v>369</v>
      </c>
      <c r="N40" s="888">
        <v>6</v>
      </c>
      <c r="O40" s="884">
        <v>20.845134845007166</v>
      </c>
      <c r="P40" s="888">
        <v>6</v>
      </c>
      <c r="Q40" s="884">
        <v>14.436213769945626</v>
      </c>
      <c r="R40" s="888">
        <v>18.000000000000004</v>
      </c>
      <c r="S40" s="888">
        <v>755.08301243354038</v>
      </c>
      <c r="T40" s="906">
        <v>63.273439462895418</v>
      </c>
      <c r="U40" s="906">
        <v>113.26245186503105</v>
      </c>
      <c r="V40" s="906">
        <v>147.5</v>
      </c>
      <c r="W40" s="1141">
        <v>8.749530300728507</v>
      </c>
      <c r="X40" s="902">
        <v>0</v>
      </c>
      <c r="Y40" s="902">
        <v>0</v>
      </c>
      <c r="Z40" s="902">
        <v>0</v>
      </c>
      <c r="AA40" s="902">
        <v>0</v>
      </c>
      <c r="AB40" s="970">
        <v>28.70135095220601</v>
      </c>
      <c r="AC40" s="1045">
        <v>4000</v>
      </c>
      <c r="AD40" s="890">
        <v>0.51516904619891568</v>
      </c>
      <c r="AE40" s="890">
        <v>0.34628104733407428</v>
      </c>
      <c r="AF40" s="890">
        <v>-0.60557522371475814</v>
      </c>
      <c r="AG40" s="890">
        <v>0.97453909027120356</v>
      </c>
      <c r="AH40" s="888"/>
      <c r="AI40" s="907">
        <v>3.7030550433296616</v>
      </c>
      <c r="AJ40" s="908">
        <v>26.185716000000006</v>
      </c>
      <c r="AK40" s="902">
        <v>140.68639789939559</v>
      </c>
      <c r="AL40" s="902">
        <v>2.1660412776861322</v>
      </c>
      <c r="AM40" s="902">
        <v>5.0303222431327397</v>
      </c>
      <c r="AN40" s="902">
        <v>76.403294850836147</v>
      </c>
      <c r="AO40" s="902">
        <v>16.63522396258336</v>
      </c>
      <c r="AP40" s="1222">
        <v>2600</v>
      </c>
      <c r="AQ40" s="909" t="s">
        <v>1062</v>
      </c>
      <c r="AR40" s="909">
        <v>5</v>
      </c>
      <c r="AS40" s="909">
        <v>1</v>
      </c>
      <c r="AT40" s="909">
        <v>8</v>
      </c>
      <c r="AU40" s="909">
        <v>35.136176965902443</v>
      </c>
      <c r="AV40" s="910">
        <v>3137.3914933167212</v>
      </c>
      <c r="AW40" s="909">
        <v>1</v>
      </c>
      <c r="AX40" s="909">
        <v>8</v>
      </c>
      <c r="AY40" s="909">
        <v>53.494384254642874</v>
      </c>
      <c r="AZ40" s="910">
        <v>3335.594029341285</v>
      </c>
      <c r="BA40" s="871">
        <v>3137.3914933167212</v>
      </c>
      <c r="BB40" s="911">
        <v>160.98796575836906</v>
      </c>
      <c r="BC40" s="908">
        <v>31.422859200000005</v>
      </c>
      <c r="BD40" s="902">
        <v>149.69628278174514</v>
      </c>
      <c r="BE40" s="902">
        <v>2.1660412776861322</v>
      </c>
      <c r="BF40" s="902">
        <v>8.8030639254822951</v>
      </c>
      <c r="BG40" s="902">
        <v>78.757597292030866</v>
      </c>
      <c r="BH40" s="902">
        <v>18.346525052129714</v>
      </c>
      <c r="BI40" s="902">
        <v>3250</v>
      </c>
      <c r="BJ40" s="909" t="s">
        <v>1062</v>
      </c>
      <c r="BK40" s="909">
        <v>6</v>
      </c>
      <c r="BL40" s="909">
        <v>1</v>
      </c>
      <c r="BM40" s="909">
        <v>8</v>
      </c>
      <c r="BN40" s="909">
        <v>35.136176965902443</v>
      </c>
      <c r="BO40" s="910">
        <v>3714.6114830857759</v>
      </c>
      <c r="BP40" s="909">
        <v>1</v>
      </c>
      <c r="BQ40" s="909">
        <v>14</v>
      </c>
      <c r="BR40" s="909">
        <v>53.494384254642874</v>
      </c>
      <c r="BS40" s="910">
        <v>3594.2593633627985</v>
      </c>
      <c r="BT40" s="871">
        <v>3594.2593633627985</v>
      </c>
      <c r="BU40" s="911">
        <v>184.43108058026928</v>
      </c>
      <c r="BV40" s="908">
        <v>26.185716000000006</v>
      </c>
      <c r="BW40" s="902">
        <v>140.68639789939559</v>
      </c>
      <c r="BX40" s="902">
        <v>2.1660412776861322</v>
      </c>
      <c r="BY40" s="902">
        <v>5.0303222431327397</v>
      </c>
      <c r="BZ40" s="902">
        <v>76.403294850836147</v>
      </c>
      <c r="CA40" s="902">
        <v>16.63522396258336</v>
      </c>
      <c r="CB40" s="902">
        <v>2600</v>
      </c>
      <c r="CC40" s="909" t="s">
        <v>2874</v>
      </c>
      <c r="CD40" s="909">
        <v>5</v>
      </c>
      <c r="CE40" s="909">
        <v>1</v>
      </c>
      <c r="CF40" s="909">
        <v>8</v>
      </c>
      <c r="CG40" s="909">
        <v>35.136176965902443</v>
      </c>
      <c r="CH40" s="910">
        <v>3074.0033127898032</v>
      </c>
      <c r="CI40" s="909">
        <v>1</v>
      </c>
      <c r="CJ40" s="909">
        <v>8</v>
      </c>
      <c r="CK40" s="909">
        <v>53.494384254642874</v>
      </c>
      <c r="CL40" s="910">
        <v>3268.2013443841151</v>
      </c>
      <c r="CM40" s="871">
        <v>3074.0033127898032</v>
      </c>
      <c r="CN40" s="911">
        <v>157.73534833466184</v>
      </c>
      <c r="CO40" s="908">
        <v>31.422859200000005</v>
      </c>
      <c r="CP40" s="902">
        <v>152.2114439033115</v>
      </c>
      <c r="CQ40" s="902">
        <v>2.1660412776861322</v>
      </c>
      <c r="CR40" s="902">
        <v>11.318225047048667</v>
      </c>
      <c r="CS40" s="902">
        <v>79.067299121321497</v>
      </c>
      <c r="CT40" s="902">
        <v>18.888085963961867</v>
      </c>
      <c r="CU40" s="902">
        <v>3250</v>
      </c>
      <c r="CV40" s="909" t="s">
        <v>2874</v>
      </c>
      <c r="CW40" s="909">
        <v>6</v>
      </c>
      <c r="CX40" s="909">
        <v>1</v>
      </c>
      <c r="CY40" s="909">
        <v>8</v>
      </c>
      <c r="CZ40" s="909">
        <v>35.136176965902443</v>
      </c>
      <c r="DA40" s="910">
        <v>3639.5610904972868</v>
      </c>
      <c r="DB40" s="909">
        <v>1</v>
      </c>
      <c r="DC40" s="909">
        <v>18.000000000000004</v>
      </c>
      <c r="DD40" s="909">
        <v>53.494384254642874</v>
      </c>
      <c r="DE40" s="910">
        <v>3582.8369039279601</v>
      </c>
      <c r="DF40" s="871">
        <v>3582.8369039279601</v>
      </c>
      <c r="DG40" s="911">
        <v>183.8449635743778</v>
      </c>
      <c r="DH40" s="908">
        <v>26.185716000000006</v>
      </c>
      <c r="DI40" s="902">
        <v>140.68639789939559</v>
      </c>
      <c r="DJ40" s="902">
        <v>2.1660412776861322</v>
      </c>
      <c r="DK40" s="902">
        <v>5.0303222431327397</v>
      </c>
      <c r="DL40" s="902">
        <v>76.403294850836147</v>
      </c>
      <c r="DM40" s="902">
        <v>16.63522396258336</v>
      </c>
      <c r="DN40" s="902">
        <v>2600</v>
      </c>
      <c r="DO40" s="909" t="s">
        <v>2875</v>
      </c>
      <c r="DP40" s="909">
        <v>5</v>
      </c>
      <c r="DQ40" s="909">
        <v>1</v>
      </c>
      <c r="DR40" s="909">
        <v>8</v>
      </c>
      <c r="DS40" s="909">
        <v>35.136176965902443</v>
      </c>
      <c r="DT40" s="910">
        <v>3199.524089240394</v>
      </c>
      <c r="DU40" s="909">
        <v>1</v>
      </c>
      <c r="DV40" s="909">
        <v>8</v>
      </c>
      <c r="DW40" s="909">
        <v>53.494384254642874</v>
      </c>
      <c r="DX40" s="910">
        <v>3401.651809006959</v>
      </c>
      <c r="DY40" s="871">
        <v>3199.524089240394</v>
      </c>
      <c r="DZ40" s="911">
        <v>164.17615577110618</v>
      </c>
      <c r="EA40" s="908">
        <v>31.422859200000005</v>
      </c>
      <c r="EB40" s="902">
        <v>148.43870222096194</v>
      </c>
      <c r="EC40" s="902">
        <v>2.1660412776861322</v>
      </c>
      <c r="ED40" s="902">
        <v>7.5454833646991082</v>
      </c>
      <c r="EE40" s="902">
        <v>78.598810661891605</v>
      </c>
      <c r="EF40" s="902">
        <v>18.075744596213639</v>
      </c>
      <c r="EG40" s="902">
        <v>3250</v>
      </c>
      <c r="EH40" s="909" t="s">
        <v>2875</v>
      </c>
      <c r="EI40" s="909">
        <v>6</v>
      </c>
      <c r="EJ40" s="909">
        <v>1</v>
      </c>
      <c r="EK40" s="909">
        <v>8</v>
      </c>
      <c r="EL40" s="909">
        <v>35.136176965902443</v>
      </c>
      <c r="EM40" s="910">
        <v>3788.1752875340412</v>
      </c>
      <c r="EN40" s="909">
        <v>1</v>
      </c>
      <c r="EO40" s="909">
        <v>12</v>
      </c>
      <c r="EP40" s="909">
        <v>53.494384254642874</v>
      </c>
      <c r="EQ40" s="910">
        <v>3619.7538805114405</v>
      </c>
      <c r="ER40" s="871">
        <v>3619.7538805114405</v>
      </c>
      <c r="ES40" s="911">
        <v>185.73927258069216</v>
      </c>
      <c r="ET40" s="908">
        <v>41.897145600000009</v>
      </c>
      <c r="EU40" s="902">
        <v>151.90901557568438</v>
      </c>
      <c r="EV40" s="902">
        <v>2.7075515971076651</v>
      </c>
      <c r="EW40" s="902">
        <v>0</v>
      </c>
      <c r="EX40" s="902">
        <v>81.278590703514112</v>
      </c>
      <c r="EY40" s="902">
        <v>18.311312572447189</v>
      </c>
      <c r="EZ40" s="902">
        <v>2600</v>
      </c>
      <c r="FA40" s="909" t="s">
        <v>2877</v>
      </c>
      <c r="FB40" s="909">
        <v>8</v>
      </c>
      <c r="FC40" s="909">
        <v>1</v>
      </c>
      <c r="FD40" s="909">
        <v>10</v>
      </c>
      <c r="FE40" s="909">
        <v>35.136176965902443</v>
      </c>
      <c r="FF40" s="910">
        <v>5467.5676123745197</v>
      </c>
      <c r="FG40" s="909">
        <v>0</v>
      </c>
      <c r="FH40" s="909">
        <v>0</v>
      </c>
      <c r="FI40" s="909">
        <v>0</v>
      </c>
      <c r="FJ40" s="910">
        <v>3036.8714750830522</v>
      </c>
      <c r="FK40" s="871">
        <v>3036.8714750830522</v>
      </c>
      <c r="FL40" s="911">
        <v>155.83001422828281</v>
      </c>
      <c r="FM40" s="908">
        <v>31.422859200000005</v>
      </c>
      <c r="FN40" s="902">
        <v>145.92354109939558</v>
      </c>
      <c r="FO40" s="902">
        <v>2.1660412776861322</v>
      </c>
      <c r="FP40" s="902">
        <v>5.0303222431327397</v>
      </c>
      <c r="FQ40" s="902">
        <v>78.273026787566678</v>
      </c>
      <c r="FR40" s="902">
        <v>17.534183684381489</v>
      </c>
      <c r="FS40" s="902">
        <v>3250</v>
      </c>
      <c r="FT40" s="909" t="s">
        <v>3884</v>
      </c>
      <c r="FU40" s="909">
        <v>6</v>
      </c>
      <c r="FV40" s="909">
        <v>1</v>
      </c>
      <c r="FW40" s="909">
        <v>8</v>
      </c>
      <c r="FX40" s="909">
        <v>35.136176965902443</v>
      </c>
      <c r="FY40" s="910">
        <v>4035.1009150852474</v>
      </c>
      <c r="FZ40" s="909">
        <v>1</v>
      </c>
      <c r="GA40" s="909">
        <v>8</v>
      </c>
      <c r="GB40" s="909">
        <v>53.494384254642874</v>
      </c>
      <c r="GC40" s="910">
        <v>3698.6885514748601</v>
      </c>
      <c r="GD40" s="871">
        <v>3698.6885514748601</v>
      </c>
      <c r="GE40" s="911">
        <v>189.78962209342487</v>
      </c>
      <c r="GF40" s="908">
        <v>41.897145600000009</v>
      </c>
      <c r="GG40" s="902">
        <v>151.90901557568438</v>
      </c>
      <c r="GH40" s="902">
        <v>2.7075515971076651</v>
      </c>
      <c r="GI40" s="902">
        <v>0</v>
      </c>
      <c r="GJ40" s="902">
        <v>81.278590703514112</v>
      </c>
      <c r="GK40" s="902">
        <v>18.311312572447189</v>
      </c>
      <c r="GL40" s="902">
        <v>2600</v>
      </c>
      <c r="GM40" s="909" t="s">
        <v>2877</v>
      </c>
      <c r="GN40" s="909">
        <v>8</v>
      </c>
      <c r="GO40" s="909">
        <v>1</v>
      </c>
      <c r="GP40" s="909">
        <v>10</v>
      </c>
      <c r="GQ40" s="909">
        <v>35.136176965902443</v>
      </c>
      <c r="GR40" s="910">
        <v>5467.5676123745197</v>
      </c>
      <c r="GS40" s="909">
        <v>0</v>
      </c>
      <c r="GT40" s="909">
        <v>0</v>
      </c>
      <c r="GU40" s="909">
        <v>0</v>
      </c>
      <c r="GV40" s="910">
        <v>3036.8714750830522</v>
      </c>
      <c r="GW40" s="871">
        <v>3036.8714750830522</v>
      </c>
      <c r="GX40" s="911">
        <v>155.83001422828281</v>
      </c>
      <c r="GY40" s="908">
        <v>26.185716000000006</v>
      </c>
      <c r="GZ40" s="902">
        <v>140.68639789939559</v>
      </c>
      <c r="HA40" s="902">
        <v>2.1660412776861322</v>
      </c>
      <c r="HB40" s="902">
        <v>5.0303222431327397</v>
      </c>
      <c r="HC40" s="902">
        <v>76.403294850836147</v>
      </c>
      <c r="HD40" s="902">
        <v>16.63522396258336</v>
      </c>
      <c r="HE40" s="902">
        <v>3250</v>
      </c>
      <c r="HF40" s="909" t="s">
        <v>2877</v>
      </c>
      <c r="HG40" s="909">
        <v>5</v>
      </c>
      <c r="HH40" s="909">
        <v>1</v>
      </c>
      <c r="HI40" s="909">
        <v>8</v>
      </c>
      <c r="HJ40" s="909">
        <v>35.136176965902443</v>
      </c>
      <c r="HK40" s="910">
        <v>4209.2523906514607</v>
      </c>
      <c r="HL40" s="909">
        <v>1</v>
      </c>
      <c r="HM40" s="909">
        <v>8</v>
      </c>
      <c r="HN40" s="909">
        <v>53.494384254642874</v>
      </c>
      <c r="HO40" s="910">
        <v>4475.1689969697254</v>
      </c>
      <c r="HP40" s="871">
        <v>4000</v>
      </c>
      <c r="HQ40" s="911">
        <v>205.25072003453315</v>
      </c>
      <c r="HR40" s="908">
        <v>20.948572800000004</v>
      </c>
      <c r="HS40" s="902">
        <v>133.65016381919085</v>
      </c>
      <c r="HT40" s="902">
        <v>1.624530958264599</v>
      </c>
      <c r="HU40" s="902">
        <v>3.7727416823495541</v>
      </c>
      <c r="HV40" s="902">
        <v>73.952271930311994</v>
      </c>
      <c r="HW40" s="902">
        <v>15.403152516735405</v>
      </c>
      <c r="HX40" s="902">
        <v>2600</v>
      </c>
      <c r="HY40" s="909" t="s">
        <v>1063</v>
      </c>
      <c r="HZ40" s="909">
        <v>4</v>
      </c>
      <c r="IA40" s="909">
        <v>1</v>
      </c>
      <c r="IB40" s="909">
        <v>6</v>
      </c>
      <c r="IC40" s="909">
        <v>35.136176965902443</v>
      </c>
      <c r="ID40" s="910">
        <v>3151.5064030105318</v>
      </c>
      <c r="IE40" s="909">
        <v>1</v>
      </c>
      <c r="IF40" s="909">
        <v>6</v>
      </c>
      <c r="IG40" s="909">
        <v>53.494384254642874</v>
      </c>
      <c r="IH40" s="910">
        <v>3301.9845522755431</v>
      </c>
      <c r="II40" s="871">
        <v>3151.5064030105318</v>
      </c>
      <c r="IJ40" s="911">
        <v>161.71223960283834</v>
      </c>
      <c r="IK40" s="908">
        <v>26.185716000000006</v>
      </c>
      <c r="IL40" s="902">
        <v>140.68639789939559</v>
      </c>
      <c r="IM40" s="902">
        <v>2.1660412776861322</v>
      </c>
      <c r="IN40" s="902">
        <v>5.0303222431327397</v>
      </c>
      <c r="IO40" s="902">
        <v>76.403294850836147</v>
      </c>
      <c r="IP40" s="902">
        <v>16.63522396258336</v>
      </c>
      <c r="IQ40" s="902">
        <v>3250</v>
      </c>
      <c r="IR40" s="909" t="s">
        <v>1063</v>
      </c>
      <c r="IS40" s="909">
        <v>5</v>
      </c>
      <c r="IT40" s="909">
        <v>1</v>
      </c>
      <c r="IU40" s="909">
        <v>8</v>
      </c>
      <c r="IV40" s="909">
        <v>35.136176965902443</v>
      </c>
      <c r="IW40" s="910">
        <v>3712.2116770559542</v>
      </c>
      <c r="IX40" s="909">
        <v>1</v>
      </c>
      <c r="IY40" s="909">
        <v>8</v>
      </c>
      <c r="IZ40" s="909">
        <v>53.494384254642874</v>
      </c>
      <c r="JA40" s="910">
        <v>3946.7280803227527</v>
      </c>
      <c r="JB40" s="871">
        <v>3712.2116770559542</v>
      </c>
      <c r="JC40" s="911">
        <v>190.4835299090841</v>
      </c>
      <c r="JD40" s="908">
        <v>20.948572800000004</v>
      </c>
      <c r="JE40" s="902">
        <v>133.65016381919085</v>
      </c>
      <c r="JF40" s="902">
        <v>1.624530958264599</v>
      </c>
      <c r="JG40" s="902">
        <v>3.7727416823495541</v>
      </c>
      <c r="JH40" s="902">
        <v>73.952271930311994</v>
      </c>
      <c r="JI40" s="902">
        <v>15.403152516735405</v>
      </c>
      <c r="JJ40" s="902">
        <v>2600</v>
      </c>
      <c r="JK40" s="909" t="s">
        <v>1064</v>
      </c>
      <c r="JL40" s="909">
        <v>4</v>
      </c>
      <c r="JM40" s="909">
        <v>1</v>
      </c>
      <c r="JN40" s="909">
        <v>6</v>
      </c>
      <c r="JO40" s="909">
        <v>35.136176965902443</v>
      </c>
      <c r="JP40" s="910">
        <v>4294.7792876403673</v>
      </c>
      <c r="JQ40" s="909">
        <v>1</v>
      </c>
      <c r="JR40" s="909">
        <v>6</v>
      </c>
      <c r="JS40" s="909">
        <v>53.494384254642874</v>
      </c>
      <c r="JT40" s="910">
        <v>4499.8464384126037</v>
      </c>
      <c r="JU40" s="871">
        <v>4000</v>
      </c>
      <c r="JV40" s="911">
        <v>205.25072003453315</v>
      </c>
      <c r="JW40" s="908">
        <v>20.948572800000004</v>
      </c>
      <c r="JX40" s="902">
        <v>133.65016381919085</v>
      </c>
      <c r="JY40" s="902">
        <v>1.624530958264599</v>
      </c>
      <c r="JZ40" s="902">
        <v>3.7727416823495541</v>
      </c>
      <c r="KA40" s="902">
        <v>73.952271930311994</v>
      </c>
      <c r="KB40" s="902">
        <v>15.403152516735405</v>
      </c>
      <c r="KC40" s="902">
        <v>3250</v>
      </c>
      <c r="KD40" s="909" t="s">
        <v>1064</v>
      </c>
      <c r="KE40" s="909">
        <v>4</v>
      </c>
      <c r="KF40" s="909">
        <v>1</v>
      </c>
      <c r="KG40" s="909">
        <v>6</v>
      </c>
      <c r="KH40" s="909">
        <v>35.136176965902443</v>
      </c>
      <c r="KI40" s="910">
        <v>4294.7792876403673</v>
      </c>
      <c r="KJ40" s="909">
        <v>1</v>
      </c>
      <c r="KK40" s="909">
        <v>6</v>
      </c>
      <c r="KL40" s="909">
        <v>53.494384254642874</v>
      </c>
      <c r="KM40" s="910">
        <v>4499.8464384126037</v>
      </c>
      <c r="KN40" s="871">
        <v>4000</v>
      </c>
      <c r="KO40" s="912">
        <v>205.25072003453315</v>
      </c>
    </row>
    <row r="41" spans="1:301" ht="15" customHeight="1">
      <c r="A41" s="924" t="s">
        <v>1531</v>
      </c>
      <c r="B41" s="888" t="s">
        <v>1076</v>
      </c>
      <c r="C41" s="888">
        <v>322.5</v>
      </c>
      <c r="D41" s="888">
        <v>1120</v>
      </c>
      <c r="E41" s="888">
        <v>315</v>
      </c>
      <c r="F41" s="888">
        <v>315</v>
      </c>
      <c r="G41" s="888">
        <v>184</v>
      </c>
      <c r="H41" s="888">
        <v>119</v>
      </c>
      <c r="I41" s="888">
        <v>78.2</v>
      </c>
      <c r="J41" s="888">
        <v>34.840000000000003</v>
      </c>
      <c r="K41" s="888">
        <v>52.1</v>
      </c>
      <c r="L41" s="888">
        <v>10</v>
      </c>
      <c r="M41" s="888">
        <v>515</v>
      </c>
      <c r="N41" s="888">
        <v>6</v>
      </c>
      <c r="O41" s="884">
        <v>42.732526432264692</v>
      </c>
      <c r="P41" s="888">
        <v>6</v>
      </c>
      <c r="Q41" s="884">
        <v>28.413612598482331</v>
      </c>
      <c r="R41" s="888">
        <v>18.000000000000004</v>
      </c>
      <c r="S41" s="888">
        <v>697.35479628891665</v>
      </c>
      <c r="T41" s="906">
        <v>53.968410560774778</v>
      </c>
      <c r="U41" s="906">
        <v>104.60321944333749</v>
      </c>
      <c r="V41" s="906">
        <v>85</v>
      </c>
      <c r="W41" s="1141">
        <v>4.3006077165617391</v>
      </c>
      <c r="X41" s="902">
        <v>0</v>
      </c>
      <c r="Y41" s="902">
        <v>0</v>
      </c>
      <c r="Z41" s="902">
        <v>0</v>
      </c>
      <c r="AA41" s="902">
        <v>0</v>
      </c>
      <c r="AB41" s="970">
        <v>25.094814339778992</v>
      </c>
      <c r="AC41" s="1045">
        <v>4000</v>
      </c>
      <c r="AD41" s="890">
        <v>0.40825063871163014</v>
      </c>
      <c r="AE41" s="890">
        <v>0.69605397264490643</v>
      </c>
      <c r="AF41" s="890">
        <v>-0.23370088576735551</v>
      </c>
      <c r="AG41" s="890">
        <v>1.4496008023740272</v>
      </c>
      <c r="AH41" s="888"/>
      <c r="AI41" s="907">
        <v>4.793021189199326</v>
      </c>
      <c r="AJ41" s="908">
        <v>15.944606</v>
      </c>
      <c r="AK41" s="902">
        <v>145.35976330808353</v>
      </c>
      <c r="AL41" s="902">
        <v>0</v>
      </c>
      <c r="AM41" s="902">
        <v>0</v>
      </c>
      <c r="AN41" s="902">
        <v>46.69522644206404</v>
      </c>
      <c r="AO41" s="902">
        <v>19.400973479545762</v>
      </c>
      <c r="AP41" s="1222">
        <v>3600</v>
      </c>
      <c r="AQ41" s="909" t="s">
        <v>1062</v>
      </c>
      <c r="AR41" s="909">
        <v>4</v>
      </c>
      <c r="AS41" s="909">
        <v>0</v>
      </c>
      <c r="AT41" s="909">
        <v>0</v>
      </c>
      <c r="AU41" s="909">
        <v>0</v>
      </c>
      <c r="AV41" s="910">
        <v>4219.7208109473941</v>
      </c>
      <c r="AW41" s="909">
        <v>0</v>
      </c>
      <c r="AX41" s="909">
        <v>0</v>
      </c>
      <c r="AY41" s="909">
        <v>0</v>
      </c>
      <c r="AZ41" s="910">
        <v>4038.3258254670245</v>
      </c>
      <c r="BA41" s="871">
        <v>4000</v>
      </c>
      <c r="BB41" s="911">
        <v>234.57225146803788</v>
      </c>
      <c r="BC41" s="908">
        <v>15.944606</v>
      </c>
      <c r="BD41" s="902">
        <v>145.35976330808353</v>
      </c>
      <c r="BE41" s="902">
        <v>0</v>
      </c>
      <c r="BF41" s="902">
        <v>0</v>
      </c>
      <c r="BG41" s="902">
        <v>46.69522644206404</v>
      </c>
      <c r="BH41" s="902">
        <v>19.400973479545762</v>
      </c>
      <c r="BI41" s="902">
        <v>3600</v>
      </c>
      <c r="BJ41" s="909" t="s">
        <v>1062</v>
      </c>
      <c r="BK41" s="909">
        <v>4</v>
      </c>
      <c r="BL41" s="909">
        <v>0</v>
      </c>
      <c r="BM41" s="909">
        <v>0</v>
      </c>
      <c r="BN41" s="909">
        <v>0</v>
      </c>
      <c r="BO41" s="910">
        <v>4219.7208109473941</v>
      </c>
      <c r="BP41" s="909">
        <v>0</v>
      </c>
      <c r="BQ41" s="909">
        <v>0</v>
      </c>
      <c r="BR41" s="909">
        <v>0</v>
      </c>
      <c r="BS41" s="910">
        <v>4038.3258254670245</v>
      </c>
      <c r="BT41" s="871">
        <v>4000</v>
      </c>
      <c r="BU41" s="911">
        <v>234.57225146803788</v>
      </c>
      <c r="BV41" s="908">
        <v>19.930757499999999</v>
      </c>
      <c r="BW41" s="902">
        <v>149.34591480808353</v>
      </c>
      <c r="BX41" s="902">
        <v>0</v>
      </c>
      <c r="BY41" s="902">
        <v>0</v>
      </c>
      <c r="BZ41" s="902">
        <v>47.036995196774988</v>
      </c>
      <c r="CA41" s="902">
        <v>20.07782511842662</v>
      </c>
      <c r="CB41" s="902">
        <v>3600</v>
      </c>
      <c r="CC41" s="909" t="s">
        <v>2874</v>
      </c>
      <c r="CD41" s="909">
        <v>5</v>
      </c>
      <c r="CE41" s="909">
        <v>0</v>
      </c>
      <c r="CF41" s="909">
        <v>0</v>
      </c>
      <c r="CG41" s="909">
        <v>0</v>
      </c>
      <c r="CH41" s="910">
        <v>4883.412805332292</v>
      </c>
      <c r="CI41" s="909">
        <v>0</v>
      </c>
      <c r="CJ41" s="909">
        <v>0</v>
      </c>
      <c r="CK41" s="909">
        <v>0</v>
      </c>
      <c r="CL41" s="910">
        <v>4848.3027768878428</v>
      </c>
      <c r="CM41" s="871">
        <v>4000</v>
      </c>
      <c r="CN41" s="911">
        <v>234.57225146803788</v>
      </c>
      <c r="CO41" s="908">
        <v>19.930757499999999</v>
      </c>
      <c r="CP41" s="902">
        <v>149.34591480808353</v>
      </c>
      <c r="CQ41" s="902">
        <v>0</v>
      </c>
      <c r="CR41" s="902">
        <v>0</v>
      </c>
      <c r="CS41" s="902">
        <v>47.036995196774988</v>
      </c>
      <c r="CT41" s="902">
        <v>20.07782511842662</v>
      </c>
      <c r="CU41" s="902">
        <v>3600</v>
      </c>
      <c r="CV41" s="909" t="s">
        <v>2874</v>
      </c>
      <c r="CW41" s="909">
        <v>5</v>
      </c>
      <c r="CX41" s="909">
        <v>0</v>
      </c>
      <c r="CY41" s="909">
        <v>0</v>
      </c>
      <c r="CZ41" s="909">
        <v>0</v>
      </c>
      <c r="DA41" s="910">
        <v>4883.412805332292</v>
      </c>
      <c r="DB41" s="909">
        <v>0</v>
      </c>
      <c r="DC41" s="909">
        <v>0</v>
      </c>
      <c r="DD41" s="909">
        <v>0</v>
      </c>
      <c r="DE41" s="910">
        <v>4848.3027768878428</v>
      </c>
      <c r="DF41" s="871">
        <v>4000</v>
      </c>
      <c r="DG41" s="911">
        <v>234.57225146803788</v>
      </c>
      <c r="DH41" s="908">
        <v>15.944606</v>
      </c>
      <c r="DI41" s="902">
        <v>145.35976330808353</v>
      </c>
      <c r="DJ41" s="902">
        <v>0</v>
      </c>
      <c r="DK41" s="902">
        <v>0</v>
      </c>
      <c r="DL41" s="902">
        <v>46.69522644206404</v>
      </c>
      <c r="DM41" s="902">
        <v>19.400973479545762</v>
      </c>
      <c r="DN41" s="902">
        <v>3600</v>
      </c>
      <c r="DO41" s="909" t="s">
        <v>2875</v>
      </c>
      <c r="DP41" s="909">
        <v>4</v>
      </c>
      <c r="DQ41" s="909">
        <v>0</v>
      </c>
      <c r="DR41" s="909">
        <v>0</v>
      </c>
      <c r="DS41" s="909">
        <v>0</v>
      </c>
      <c r="DT41" s="910">
        <v>4303.2877513868661</v>
      </c>
      <c r="DU41" s="909">
        <v>0</v>
      </c>
      <c r="DV41" s="909">
        <v>0</v>
      </c>
      <c r="DW41" s="909">
        <v>0</v>
      </c>
      <c r="DX41" s="910">
        <v>4118.30043726041</v>
      </c>
      <c r="DY41" s="871">
        <v>4000</v>
      </c>
      <c r="DZ41" s="911">
        <v>234.57225146803788</v>
      </c>
      <c r="EA41" s="908">
        <v>15.944606</v>
      </c>
      <c r="EB41" s="902">
        <v>145.35976330808353</v>
      </c>
      <c r="EC41" s="902">
        <v>0</v>
      </c>
      <c r="ED41" s="902">
        <v>0</v>
      </c>
      <c r="EE41" s="902">
        <v>46.69522644206404</v>
      </c>
      <c r="EF41" s="902">
        <v>19.400973479545762</v>
      </c>
      <c r="EG41" s="902">
        <v>3600</v>
      </c>
      <c r="EH41" s="909" t="s">
        <v>2875</v>
      </c>
      <c r="EI41" s="909">
        <v>4</v>
      </c>
      <c r="EJ41" s="909">
        <v>0</v>
      </c>
      <c r="EK41" s="909">
        <v>0</v>
      </c>
      <c r="EL41" s="909">
        <v>0</v>
      </c>
      <c r="EM41" s="910">
        <v>4303.2877513868661</v>
      </c>
      <c r="EN41" s="909">
        <v>0</v>
      </c>
      <c r="EO41" s="909">
        <v>0</v>
      </c>
      <c r="EP41" s="909">
        <v>0</v>
      </c>
      <c r="EQ41" s="910">
        <v>4118.30043726041</v>
      </c>
      <c r="ER41" s="871">
        <v>4000</v>
      </c>
      <c r="ES41" s="911">
        <v>234.57225146803788</v>
      </c>
      <c r="ET41" s="908">
        <v>15.944606</v>
      </c>
      <c r="EU41" s="902">
        <v>145.35976330808353</v>
      </c>
      <c r="EV41" s="902">
        <v>0</v>
      </c>
      <c r="EW41" s="902">
        <v>0</v>
      </c>
      <c r="EX41" s="902">
        <v>46.69522644206404</v>
      </c>
      <c r="EY41" s="902">
        <v>19.400973479545762</v>
      </c>
      <c r="EZ41" s="902">
        <v>3600</v>
      </c>
      <c r="FA41" s="909" t="s">
        <v>3884</v>
      </c>
      <c r="FB41" s="909">
        <v>4</v>
      </c>
      <c r="FC41" s="909">
        <v>0</v>
      </c>
      <c r="FD41" s="909">
        <v>0</v>
      </c>
      <c r="FE41" s="909">
        <v>0</v>
      </c>
      <c r="FF41" s="910">
        <v>4583.79009034709</v>
      </c>
      <c r="FG41" s="909">
        <v>0</v>
      </c>
      <c r="FH41" s="909">
        <v>0</v>
      </c>
      <c r="FI41" s="909">
        <v>0</v>
      </c>
      <c r="FJ41" s="910">
        <v>4386.7446993993208</v>
      </c>
      <c r="FK41" s="871">
        <v>4000</v>
      </c>
      <c r="FL41" s="911">
        <v>234.57225146803788</v>
      </c>
      <c r="FM41" s="908">
        <v>15.944606</v>
      </c>
      <c r="FN41" s="902">
        <v>145.35976330808353</v>
      </c>
      <c r="FO41" s="902">
        <v>0</v>
      </c>
      <c r="FP41" s="902">
        <v>0</v>
      </c>
      <c r="FQ41" s="902">
        <v>46.69522644206404</v>
      </c>
      <c r="FR41" s="902">
        <v>19.400973479545762</v>
      </c>
      <c r="FS41" s="902">
        <v>3600</v>
      </c>
      <c r="FT41" s="909" t="s">
        <v>3884</v>
      </c>
      <c r="FU41" s="909">
        <v>4</v>
      </c>
      <c r="FV41" s="909">
        <v>0</v>
      </c>
      <c r="FW41" s="909">
        <v>0</v>
      </c>
      <c r="FX41" s="909">
        <v>0</v>
      </c>
      <c r="FY41" s="910">
        <v>4583.79009034709</v>
      </c>
      <c r="FZ41" s="909">
        <v>0</v>
      </c>
      <c r="GA41" s="909">
        <v>0</v>
      </c>
      <c r="GB41" s="909">
        <v>0</v>
      </c>
      <c r="GC41" s="910">
        <v>4386.7446993993208</v>
      </c>
      <c r="GD41" s="871">
        <v>4000</v>
      </c>
      <c r="GE41" s="911">
        <v>234.57225146803788</v>
      </c>
      <c r="GF41" s="908">
        <v>15.944606</v>
      </c>
      <c r="GG41" s="902">
        <v>145.35976330808353</v>
      </c>
      <c r="GH41" s="902">
        <v>0</v>
      </c>
      <c r="GI41" s="902">
        <v>0</v>
      </c>
      <c r="GJ41" s="902">
        <v>46.69522644206404</v>
      </c>
      <c r="GK41" s="902">
        <v>19.400973479545762</v>
      </c>
      <c r="GL41" s="902">
        <v>3600</v>
      </c>
      <c r="GM41" s="909" t="s">
        <v>2877</v>
      </c>
      <c r="GN41" s="909">
        <v>4</v>
      </c>
      <c r="GO41" s="909">
        <v>0</v>
      </c>
      <c r="GP41" s="909">
        <v>0</v>
      </c>
      <c r="GQ41" s="909">
        <v>0</v>
      </c>
      <c r="GR41" s="910">
        <v>5661.3495476093458</v>
      </c>
      <c r="GS41" s="909">
        <v>0</v>
      </c>
      <c r="GT41" s="909">
        <v>0</v>
      </c>
      <c r="GU41" s="909">
        <v>0</v>
      </c>
      <c r="GV41" s="910">
        <v>5417.9826366223306</v>
      </c>
      <c r="GW41" s="871">
        <v>4000</v>
      </c>
      <c r="GX41" s="911">
        <v>234.57225146803788</v>
      </c>
      <c r="GY41" s="908">
        <v>15.944606</v>
      </c>
      <c r="GZ41" s="902">
        <v>145.35976330808353</v>
      </c>
      <c r="HA41" s="902">
        <v>0</v>
      </c>
      <c r="HB41" s="902">
        <v>0</v>
      </c>
      <c r="HC41" s="902">
        <v>46.69522644206404</v>
      </c>
      <c r="HD41" s="902">
        <v>19.400973479545762</v>
      </c>
      <c r="HE41" s="902">
        <v>3600</v>
      </c>
      <c r="HF41" s="909" t="s">
        <v>2877</v>
      </c>
      <c r="HG41" s="909">
        <v>4</v>
      </c>
      <c r="HH41" s="909">
        <v>0</v>
      </c>
      <c r="HI41" s="909">
        <v>0</v>
      </c>
      <c r="HJ41" s="909">
        <v>0</v>
      </c>
      <c r="HK41" s="910">
        <v>5661.3495476093458</v>
      </c>
      <c r="HL41" s="909">
        <v>0</v>
      </c>
      <c r="HM41" s="909">
        <v>0</v>
      </c>
      <c r="HN41" s="909">
        <v>0</v>
      </c>
      <c r="HO41" s="910">
        <v>5417.9826366223306</v>
      </c>
      <c r="HP41" s="871">
        <v>4000</v>
      </c>
      <c r="HQ41" s="911">
        <v>234.57225146803788</v>
      </c>
      <c r="HR41" s="908">
        <v>15.944606</v>
      </c>
      <c r="HS41" s="902">
        <v>145.35976330808353</v>
      </c>
      <c r="HT41" s="902">
        <v>0</v>
      </c>
      <c r="HU41" s="902">
        <v>0</v>
      </c>
      <c r="HV41" s="902">
        <v>46.69522644206404</v>
      </c>
      <c r="HW41" s="902">
        <v>19.400973479545762</v>
      </c>
      <c r="HX41" s="902">
        <v>3600</v>
      </c>
      <c r="HY41" s="909" t="s">
        <v>1063</v>
      </c>
      <c r="HZ41" s="909">
        <v>4</v>
      </c>
      <c r="IA41" s="909">
        <v>0</v>
      </c>
      <c r="IB41" s="909">
        <v>0</v>
      </c>
      <c r="IC41" s="909">
        <v>0</v>
      </c>
      <c r="ID41" s="910">
        <v>4992.8409959941164</v>
      </c>
      <c r="IE41" s="909">
        <v>0</v>
      </c>
      <c r="IF41" s="909">
        <v>0</v>
      </c>
      <c r="IG41" s="909">
        <v>0</v>
      </c>
      <c r="IH41" s="910">
        <v>4778.2115547229077</v>
      </c>
      <c r="II41" s="871">
        <v>4000</v>
      </c>
      <c r="IJ41" s="911">
        <v>234.57225146803788</v>
      </c>
      <c r="IK41" s="908">
        <v>15.944606</v>
      </c>
      <c r="IL41" s="902">
        <v>145.35976330808353</v>
      </c>
      <c r="IM41" s="902">
        <v>0</v>
      </c>
      <c r="IN41" s="902">
        <v>0</v>
      </c>
      <c r="IO41" s="902">
        <v>46.69522644206404</v>
      </c>
      <c r="IP41" s="902">
        <v>19.400973479545762</v>
      </c>
      <c r="IQ41" s="902">
        <v>3600</v>
      </c>
      <c r="IR41" s="909" t="s">
        <v>1063</v>
      </c>
      <c r="IS41" s="909">
        <v>4</v>
      </c>
      <c r="IT41" s="909">
        <v>0</v>
      </c>
      <c r="IU41" s="909">
        <v>0</v>
      </c>
      <c r="IV41" s="909">
        <v>0</v>
      </c>
      <c r="IW41" s="910">
        <v>4992.8409959941164</v>
      </c>
      <c r="IX41" s="909">
        <v>0</v>
      </c>
      <c r="IY41" s="909">
        <v>0</v>
      </c>
      <c r="IZ41" s="909">
        <v>0</v>
      </c>
      <c r="JA41" s="910">
        <v>4778.2115547229077</v>
      </c>
      <c r="JB41" s="871">
        <v>4000</v>
      </c>
      <c r="JC41" s="911">
        <v>234.57225146803788</v>
      </c>
      <c r="JD41" s="908">
        <v>15.944606</v>
      </c>
      <c r="JE41" s="902">
        <v>145.35976330808353</v>
      </c>
      <c r="JF41" s="902">
        <v>0</v>
      </c>
      <c r="JG41" s="902">
        <v>0</v>
      </c>
      <c r="JH41" s="902">
        <v>46.69522644206404</v>
      </c>
      <c r="JI41" s="902">
        <v>19.400973479545762</v>
      </c>
      <c r="JJ41" s="902">
        <v>3600</v>
      </c>
      <c r="JK41" s="909" t="s">
        <v>1064</v>
      </c>
      <c r="JL41" s="909">
        <v>4</v>
      </c>
      <c r="JM41" s="909">
        <v>0</v>
      </c>
      <c r="JN41" s="909">
        <v>0</v>
      </c>
      <c r="JO41" s="909">
        <v>0</v>
      </c>
      <c r="JP41" s="910">
        <v>6804.0953607434521</v>
      </c>
      <c r="JQ41" s="909">
        <v>0</v>
      </c>
      <c r="JR41" s="909">
        <v>0</v>
      </c>
      <c r="JS41" s="909">
        <v>0</v>
      </c>
      <c r="JT41" s="910">
        <v>6511.6047353051308</v>
      </c>
      <c r="JU41" s="871">
        <v>4000</v>
      </c>
      <c r="JV41" s="911">
        <v>234.57225146803788</v>
      </c>
      <c r="JW41" s="908">
        <v>15.944606</v>
      </c>
      <c r="JX41" s="902">
        <v>145.35976330808353</v>
      </c>
      <c r="JY41" s="902">
        <v>0</v>
      </c>
      <c r="JZ41" s="902">
        <v>0</v>
      </c>
      <c r="KA41" s="902">
        <v>46.69522644206404</v>
      </c>
      <c r="KB41" s="902">
        <v>19.400973479545762</v>
      </c>
      <c r="KC41" s="902">
        <v>3600</v>
      </c>
      <c r="KD41" s="909" t="s">
        <v>1064</v>
      </c>
      <c r="KE41" s="909">
        <v>4</v>
      </c>
      <c r="KF41" s="909">
        <v>0</v>
      </c>
      <c r="KG41" s="909">
        <v>0</v>
      </c>
      <c r="KH41" s="909">
        <v>0</v>
      </c>
      <c r="KI41" s="910">
        <v>6804.0953607434521</v>
      </c>
      <c r="KJ41" s="909">
        <v>0</v>
      </c>
      <c r="KK41" s="909">
        <v>0</v>
      </c>
      <c r="KL41" s="909">
        <v>0</v>
      </c>
      <c r="KM41" s="910">
        <v>6511.6047353051308</v>
      </c>
      <c r="KN41" s="871">
        <v>4000</v>
      </c>
      <c r="KO41" s="912">
        <v>234.57225146803788</v>
      </c>
    </row>
    <row r="42" spans="1:301" ht="15" customHeight="1">
      <c r="A42" s="924" t="s">
        <v>1532</v>
      </c>
      <c r="B42" s="888" t="s">
        <v>1077</v>
      </c>
      <c r="C42" s="888">
        <v>402.5</v>
      </c>
      <c r="D42" s="888">
        <v>1120</v>
      </c>
      <c r="E42" s="888">
        <v>400</v>
      </c>
      <c r="F42" s="888">
        <v>400</v>
      </c>
      <c r="G42" s="888">
        <v>233</v>
      </c>
      <c r="H42" s="888">
        <v>154</v>
      </c>
      <c r="I42" s="888">
        <v>105</v>
      </c>
      <c r="J42" s="888">
        <v>39</v>
      </c>
      <c r="K42" s="888">
        <v>50.2</v>
      </c>
      <c r="L42" s="888">
        <v>12</v>
      </c>
      <c r="M42" s="888">
        <v>478</v>
      </c>
      <c r="N42" s="888">
        <v>6</v>
      </c>
      <c r="O42" s="884">
        <v>40.484322226044085</v>
      </c>
      <c r="P42" s="888">
        <v>6</v>
      </c>
      <c r="Q42" s="884">
        <v>26.797325548379447</v>
      </c>
      <c r="R42" s="888">
        <v>18.000000000000004</v>
      </c>
      <c r="S42" s="888">
        <v>728.00844321329055</v>
      </c>
      <c r="T42" s="906">
        <v>58.817271711083443</v>
      </c>
      <c r="U42" s="906">
        <v>109.20126648199358</v>
      </c>
      <c r="V42" s="906">
        <v>97.5</v>
      </c>
      <c r="W42" s="1141">
        <v>5.3762662423412211</v>
      </c>
      <c r="X42" s="902">
        <v>0</v>
      </c>
      <c r="Y42" s="902">
        <v>0</v>
      </c>
      <c r="Z42" s="902">
        <v>0</v>
      </c>
      <c r="AA42" s="902">
        <v>0</v>
      </c>
      <c r="AB42" s="970">
        <v>34.723772791095328</v>
      </c>
      <c r="AC42" s="1045">
        <v>4000</v>
      </c>
      <c r="AD42" s="890">
        <v>0.35754933801154493</v>
      </c>
      <c r="AE42" s="890">
        <v>0.80978403319500702</v>
      </c>
      <c r="AF42" s="890">
        <v>-0.22626145137707462</v>
      </c>
      <c r="AG42" s="890">
        <v>1.0909691032217592</v>
      </c>
      <c r="AH42" s="888"/>
      <c r="AI42" s="907">
        <v>5.171959002245222</v>
      </c>
      <c r="AJ42" s="908">
        <v>34.986445200000006</v>
      </c>
      <c r="AK42" s="902">
        <v>166.4616309278482</v>
      </c>
      <c r="AL42" s="902">
        <v>0</v>
      </c>
      <c r="AM42" s="902">
        <v>0</v>
      </c>
      <c r="AN42" s="902">
        <v>58.874722360600515</v>
      </c>
      <c r="AO42" s="902">
        <v>23.225753672318202</v>
      </c>
      <c r="AP42" s="1222">
        <v>3450</v>
      </c>
      <c r="AQ42" s="909" t="s">
        <v>1062</v>
      </c>
      <c r="AR42" s="909">
        <v>6</v>
      </c>
      <c r="AS42" s="909">
        <v>0</v>
      </c>
      <c r="AT42" s="909">
        <v>0</v>
      </c>
      <c r="AU42" s="909">
        <v>0</v>
      </c>
      <c r="AV42" s="910">
        <v>3953.511148831918</v>
      </c>
      <c r="AW42" s="909">
        <v>0</v>
      </c>
      <c r="AX42" s="909">
        <v>0</v>
      </c>
      <c r="AY42" s="909">
        <v>0</v>
      </c>
      <c r="AZ42" s="910">
        <v>3976.4119914121288</v>
      </c>
      <c r="BA42" s="871">
        <v>3953.511148831918</v>
      </c>
      <c r="BB42" s="911">
        <v>231.84600284637301</v>
      </c>
      <c r="BC42" s="908">
        <v>34.986445200000006</v>
      </c>
      <c r="BD42" s="902">
        <v>166.4616309278482</v>
      </c>
      <c r="BE42" s="902">
        <v>0</v>
      </c>
      <c r="BF42" s="902">
        <v>0</v>
      </c>
      <c r="BG42" s="902">
        <v>58.874722360600515</v>
      </c>
      <c r="BH42" s="902">
        <v>23.225753672318202</v>
      </c>
      <c r="BI42" s="902">
        <v>3600</v>
      </c>
      <c r="BJ42" s="909" t="s">
        <v>1062</v>
      </c>
      <c r="BK42" s="909">
        <v>6</v>
      </c>
      <c r="BL42" s="909">
        <v>0</v>
      </c>
      <c r="BM42" s="909">
        <v>0</v>
      </c>
      <c r="BN42" s="909">
        <v>0</v>
      </c>
      <c r="BO42" s="910">
        <v>3953.511148831918</v>
      </c>
      <c r="BP42" s="909">
        <v>0</v>
      </c>
      <c r="BQ42" s="909">
        <v>0</v>
      </c>
      <c r="BR42" s="909">
        <v>0</v>
      </c>
      <c r="BS42" s="910">
        <v>3976.4119914121288</v>
      </c>
      <c r="BT42" s="871">
        <v>3953.511148831918</v>
      </c>
      <c r="BU42" s="911">
        <v>231.84600284637301</v>
      </c>
      <c r="BV42" s="908">
        <v>34.986445200000006</v>
      </c>
      <c r="BW42" s="902">
        <v>166.4616309278482</v>
      </c>
      <c r="BX42" s="902">
        <v>0</v>
      </c>
      <c r="BY42" s="902">
        <v>0</v>
      </c>
      <c r="BZ42" s="902">
        <v>58.874722360600515</v>
      </c>
      <c r="CA42" s="902">
        <v>23.225753672318202</v>
      </c>
      <c r="CB42" s="902">
        <v>3450</v>
      </c>
      <c r="CC42" s="909" t="s">
        <v>2874</v>
      </c>
      <c r="CD42" s="909">
        <v>6</v>
      </c>
      <c r="CE42" s="909">
        <v>0</v>
      </c>
      <c r="CF42" s="909">
        <v>0</v>
      </c>
      <c r="CG42" s="909">
        <v>0</v>
      </c>
      <c r="CH42" s="910">
        <v>3873.6340028170889</v>
      </c>
      <c r="CI42" s="909">
        <v>0</v>
      </c>
      <c r="CJ42" s="909">
        <v>0</v>
      </c>
      <c r="CK42" s="909">
        <v>0</v>
      </c>
      <c r="CL42" s="910">
        <v>3896.0721544176167</v>
      </c>
      <c r="CM42" s="871">
        <v>3873.6340028170889</v>
      </c>
      <c r="CN42" s="911">
        <v>227.16176235098811</v>
      </c>
      <c r="CO42" s="908">
        <v>34.986445200000006</v>
      </c>
      <c r="CP42" s="902">
        <v>166.4616309278482</v>
      </c>
      <c r="CQ42" s="902">
        <v>0</v>
      </c>
      <c r="CR42" s="902">
        <v>0</v>
      </c>
      <c r="CS42" s="902">
        <v>58.874722360600515</v>
      </c>
      <c r="CT42" s="902">
        <v>23.225753672318202</v>
      </c>
      <c r="CU42" s="902">
        <v>3600</v>
      </c>
      <c r="CV42" s="909" t="s">
        <v>2874</v>
      </c>
      <c r="CW42" s="909">
        <v>6</v>
      </c>
      <c r="CX42" s="909">
        <v>0</v>
      </c>
      <c r="CY42" s="909">
        <v>0</v>
      </c>
      <c r="CZ42" s="909">
        <v>0</v>
      </c>
      <c r="DA42" s="910">
        <v>3873.6340028170889</v>
      </c>
      <c r="DB42" s="909">
        <v>0</v>
      </c>
      <c r="DC42" s="909">
        <v>0</v>
      </c>
      <c r="DD42" s="909">
        <v>0</v>
      </c>
      <c r="DE42" s="910">
        <v>3896.0721544176167</v>
      </c>
      <c r="DF42" s="871">
        <v>3873.6340028170889</v>
      </c>
      <c r="DG42" s="911">
        <v>227.16176235098811</v>
      </c>
      <c r="DH42" s="908">
        <v>34.986445200000006</v>
      </c>
      <c r="DI42" s="902">
        <v>166.4616309278482</v>
      </c>
      <c r="DJ42" s="902">
        <v>0</v>
      </c>
      <c r="DK42" s="902">
        <v>0</v>
      </c>
      <c r="DL42" s="902">
        <v>58.874722360600515</v>
      </c>
      <c r="DM42" s="902">
        <v>23.225753672318202</v>
      </c>
      <c r="DN42" s="902">
        <v>3450</v>
      </c>
      <c r="DO42" s="909" t="s">
        <v>2875</v>
      </c>
      <c r="DP42" s="909">
        <v>6</v>
      </c>
      <c r="DQ42" s="909">
        <v>0</v>
      </c>
      <c r="DR42" s="909">
        <v>0</v>
      </c>
      <c r="DS42" s="909">
        <v>0</v>
      </c>
      <c r="DT42" s="910">
        <v>4031.8060990201147</v>
      </c>
      <c r="DU42" s="909">
        <v>0</v>
      </c>
      <c r="DV42" s="909">
        <v>0</v>
      </c>
      <c r="DW42" s="909">
        <v>0</v>
      </c>
      <c r="DX42" s="910">
        <v>4055.1604676589595</v>
      </c>
      <c r="DY42" s="871">
        <v>4000</v>
      </c>
      <c r="DZ42" s="911">
        <v>234.57225146803788</v>
      </c>
      <c r="EA42" s="908">
        <v>34.986445200000006</v>
      </c>
      <c r="EB42" s="902">
        <v>166.4616309278482</v>
      </c>
      <c r="EC42" s="902">
        <v>0</v>
      </c>
      <c r="ED42" s="902">
        <v>0</v>
      </c>
      <c r="EE42" s="902">
        <v>58.874722360600515</v>
      </c>
      <c r="EF42" s="902">
        <v>23.225753672318202</v>
      </c>
      <c r="EG42" s="902">
        <v>3600</v>
      </c>
      <c r="EH42" s="909" t="s">
        <v>2875</v>
      </c>
      <c r="EI42" s="909">
        <v>6</v>
      </c>
      <c r="EJ42" s="909">
        <v>0</v>
      </c>
      <c r="EK42" s="909">
        <v>0</v>
      </c>
      <c r="EL42" s="909">
        <v>0</v>
      </c>
      <c r="EM42" s="910">
        <v>4031.8060990201147</v>
      </c>
      <c r="EN42" s="909">
        <v>0</v>
      </c>
      <c r="EO42" s="909">
        <v>0</v>
      </c>
      <c r="EP42" s="909">
        <v>0</v>
      </c>
      <c r="EQ42" s="910">
        <v>4055.1604676589595</v>
      </c>
      <c r="ER42" s="871">
        <v>4000</v>
      </c>
      <c r="ES42" s="911">
        <v>234.57225146803788</v>
      </c>
      <c r="ET42" s="908">
        <v>34.986445200000006</v>
      </c>
      <c r="EU42" s="902">
        <v>166.4616309278482</v>
      </c>
      <c r="EV42" s="902">
        <v>0</v>
      </c>
      <c r="EW42" s="902">
        <v>0</v>
      </c>
      <c r="EX42" s="902">
        <v>58.874722360600515</v>
      </c>
      <c r="EY42" s="902">
        <v>23.225753672318202</v>
      </c>
      <c r="EZ42" s="902">
        <v>3450</v>
      </c>
      <c r="FA42" s="909" t="s">
        <v>3884</v>
      </c>
      <c r="FB42" s="909">
        <v>6</v>
      </c>
      <c r="FC42" s="909">
        <v>0</v>
      </c>
      <c r="FD42" s="909">
        <v>0</v>
      </c>
      <c r="FE42" s="909">
        <v>0</v>
      </c>
      <c r="FF42" s="910">
        <v>4294.6123779273903</v>
      </c>
      <c r="FG42" s="909">
        <v>0</v>
      </c>
      <c r="FH42" s="909">
        <v>0</v>
      </c>
      <c r="FI42" s="909">
        <v>0</v>
      </c>
      <c r="FJ42" s="910">
        <v>4319.4890605286282</v>
      </c>
      <c r="FK42" s="871">
        <v>4000</v>
      </c>
      <c r="FL42" s="911">
        <v>234.57225146803788</v>
      </c>
      <c r="FM42" s="908">
        <v>34.986445200000006</v>
      </c>
      <c r="FN42" s="902">
        <v>166.4616309278482</v>
      </c>
      <c r="FO42" s="902">
        <v>0</v>
      </c>
      <c r="FP42" s="902">
        <v>0</v>
      </c>
      <c r="FQ42" s="902">
        <v>58.874722360600515</v>
      </c>
      <c r="FR42" s="902">
        <v>23.225753672318202</v>
      </c>
      <c r="FS42" s="902">
        <v>3600</v>
      </c>
      <c r="FT42" s="909" t="s">
        <v>3884</v>
      </c>
      <c r="FU42" s="909">
        <v>6</v>
      </c>
      <c r="FV42" s="909">
        <v>0</v>
      </c>
      <c r="FW42" s="909">
        <v>0</v>
      </c>
      <c r="FX42" s="909">
        <v>0</v>
      </c>
      <c r="FY42" s="910">
        <v>4294.6123779273903</v>
      </c>
      <c r="FZ42" s="909">
        <v>0</v>
      </c>
      <c r="GA42" s="909">
        <v>0</v>
      </c>
      <c r="GB42" s="909">
        <v>0</v>
      </c>
      <c r="GC42" s="910">
        <v>4319.4890605286282</v>
      </c>
      <c r="GD42" s="871">
        <v>4000</v>
      </c>
      <c r="GE42" s="911">
        <v>234.57225146803788</v>
      </c>
      <c r="GF42" s="908">
        <v>29.155371000000002</v>
      </c>
      <c r="GG42" s="902">
        <v>160.63055672784819</v>
      </c>
      <c r="GH42" s="902">
        <v>0</v>
      </c>
      <c r="GI42" s="902">
        <v>0</v>
      </c>
      <c r="GJ42" s="902">
        <v>58.216753908246794</v>
      </c>
      <c r="GK42" s="902">
        <v>22.193357429681484</v>
      </c>
      <c r="GL42" s="902">
        <v>3450</v>
      </c>
      <c r="GM42" s="909" t="s">
        <v>2877</v>
      </c>
      <c r="GN42" s="909">
        <v>5</v>
      </c>
      <c r="GO42" s="909">
        <v>0</v>
      </c>
      <c r="GP42" s="909">
        <v>0</v>
      </c>
      <c r="GQ42" s="909">
        <v>0</v>
      </c>
      <c r="GR42" s="910">
        <v>4570.4128707568079</v>
      </c>
      <c r="GS42" s="909">
        <v>0</v>
      </c>
      <c r="GT42" s="909">
        <v>0</v>
      </c>
      <c r="GU42" s="909">
        <v>0</v>
      </c>
      <c r="GV42" s="910">
        <v>4441.5990946433776</v>
      </c>
      <c r="GW42" s="871">
        <v>4000</v>
      </c>
      <c r="GX42" s="911">
        <v>234.57225146803788</v>
      </c>
      <c r="GY42" s="908">
        <v>29.155371000000002</v>
      </c>
      <c r="GZ42" s="902">
        <v>160.63055672784819</v>
      </c>
      <c r="HA42" s="902">
        <v>0</v>
      </c>
      <c r="HB42" s="902">
        <v>0</v>
      </c>
      <c r="HC42" s="902">
        <v>58.216753908246794</v>
      </c>
      <c r="HD42" s="902">
        <v>22.193357429681484</v>
      </c>
      <c r="HE42" s="902">
        <v>3600</v>
      </c>
      <c r="HF42" s="909" t="s">
        <v>2877</v>
      </c>
      <c r="HG42" s="909">
        <v>5</v>
      </c>
      <c r="HH42" s="909">
        <v>0</v>
      </c>
      <c r="HI42" s="909">
        <v>0</v>
      </c>
      <c r="HJ42" s="909">
        <v>0</v>
      </c>
      <c r="HK42" s="910">
        <v>4570.4128707568079</v>
      </c>
      <c r="HL42" s="909">
        <v>0</v>
      </c>
      <c r="HM42" s="909">
        <v>0</v>
      </c>
      <c r="HN42" s="909">
        <v>0</v>
      </c>
      <c r="HO42" s="910">
        <v>4441.5990946433776</v>
      </c>
      <c r="HP42" s="871">
        <v>4000</v>
      </c>
      <c r="HQ42" s="911">
        <v>234.57225146803788</v>
      </c>
      <c r="HR42" s="908">
        <v>29.155371000000002</v>
      </c>
      <c r="HS42" s="902">
        <v>160.63055672784819</v>
      </c>
      <c r="HT42" s="902">
        <v>0</v>
      </c>
      <c r="HU42" s="902">
        <v>0</v>
      </c>
      <c r="HV42" s="902">
        <v>58.216753908246794</v>
      </c>
      <c r="HW42" s="902">
        <v>22.193357429681484</v>
      </c>
      <c r="HX42" s="902">
        <v>3450</v>
      </c>
      <c r="HY42" s="909" t="s">
        <v>1063</v>
      </c>
      <c r="HZ42" s="909">
        <v>5</v>
      </c>
      <c r="IA42" s="909">
        <v>0</v>
      </c>
      <c r="IB42" s="909">
        <v>0</v>
      </c>
      <c r="IC42" s="909">
        <v>0</v>
      </c>
      <c r="ID42" s="910">
        <v>4030.7252816371006</v>
      </c>
      <c r="IE42" s="909">
        <v>0</v>
      </c>
      <c r="IF42" s="909">
        <v>0</v>
      </c>
      <c r="IG42" s="909">
        <v>0</v>
      </c>
      <c r="IH42" s="910">
        <v>3917.1222092920038</v>
      </c>
      <c r="II42" s="871">
        <v>3917.1222092920038</v>
      </c>
      <c r="IJ42" s="911">
        <v>229.71204397727004</v>
      </c>
      <c r="IK42" s="908">
        <v>29.155371000000002</v>
      </c>
      <c r="IL42" s="902">
        <v>160.63055672784819</v>
      </c>
      <c r="IM42" s="902">
        <v>0</v>
      </c>
      <c r="IN42" s="902">
        <v>0</v>
      </c>
      <c r="IO42" s="902">
        <v>58.216753908246794</v>
      </c>
      <c r="IP42" s="902">
        <v>22.193357429681484</v>
      </c>
      <c r="IQ42" s="902">
        <v>3600</v>
      </c>
      <c r="IR42" s="909" t="s">
        <v>1063</v>
      </c>
      <c r="IS42" s="909">
        <v>5</v>
      </c>
      <c r="IT42" s="909">
        <v>0</v>
      </c>
      <c r="IU42" s="909">
        <v>0</v>
      </c>
      <c r="IV42" s="909">
        <v>0</v>
      </c>
      <c r="IW42" s="910">
        <v>4030.7252816371006</v>
      </c>
      <c r="IX42" s="909">
        <v>0</v>
      </c>
      <c r="IY42" s="909">
        <v>0</v>
      </c>
      <c r="IZ42" s="909">
        <v>0</v>
      </c>
      <c r="JA42" s="910">
        <v>3917.1222092920038</v>
      </c>
      <c r="JB42" s="871">
        <v>3917.1222092920038</v>
      </c>
      <c r="JC42" s="911">
        <v>229.71204397727004</v>
      </c>
      <c r="JD42" s="908">
        <v>23.324296800000003</v>
      </c>
      <c r="JE42" s="902">
        <v>154.7994825278482</v>
      </c>
      <c r="JF42" s="902">
        <v>0</v>
      </c>
      <c r="JG42" s="902">
        <v>0</v>
      </c>
      <c r="JH42" s="902">
        <v>57.509216002503663</v>
      </c>
      <c r="JI42" s="902">
        <v>21.160961187044766</v>
      </c>
      <c r="JJ42" s="902">
        <v>3450</v>
      </c>
      <c r="JK42" s="909" t="s">
        <v>1064</v>
      </c>
      <c r="JL42" s="909">
        <v>4</v>
      </c>
      <c r="JM42" s="909">
        <v>0</v>
      </c>
      <c r="JN42" s="909">
        <v>0</v>
      </c>
      <c r="JO42" s="909">
        <v>0</v>
      </c>
      <c r="JP42" s="910">
        <v>4720.2280127114973</v>
      </c>
      <c r="JQ42" s="909">
        <v>0</v>
      </c>
      <c r="JR42" s="909">
        <v>0</v>
      </c>
      <c r="JS42" s="909">
        <v>0</v>
      </c>
      <c r="JT42" s="910">
        <v>4494.575332895638</v>
      </c>
      <c r="JU42" s="871">
        <v>4000</v>
      </c>
      <c r="JV42" s="911">
        <v>234.57225146803788</v>
      </c>
      <c r="JW42" s="908">
        <v>23.324296800000003</v>
      </c>
      <c r="JX42" s="902">
        <v>154.7994825278482</v>
      </c>
      <c r="JY42" s="902">
        <v>0</v>
      </c>
      <c r="JZ42" s="902">
        <v>0</v>
      </c>
      <c r="KA42" s="902">
        <v>57.509216002503663</v>
      </c>
      <c r="KB42" s="902">
        <v>21.160961187044766</v>
      </c>
      <c r="KC42" s="902">
        <v>3600</v>
      </c>
      <c r="KD42" s="909" t="s">
        <v>1064</v>
      </c>
      <c r="KE42" s="909">
        <v>4</v>
      </c>
      <c r="KF42" s="909">
        <v>0</v>
      </c>
      <c r="KG42" s="909">
        <v>0</v>
      </c>
      <c r="KH42" s="909">
        <v>0</v>
      </c>
      <c r="KI42" s="910">
        <v>4720.2280127114973</v>
      </c>
      <c r="KJ42" s="909">
        <v>0</v>
      </c>
      <c r="KK42" s="909">
        <v>0</v>
      </c>
      <c r="KL42" s="909">
        <v>0</v>
      </c>
      <c r="KM42" s="910">
        <v>4494.575332895638</v>
      </c>
      <c r="KN42" s="871">
        <v>4000</v>
      </c>
      <c r="KO42" s="912">
        <v>234.57225146803788</v>
      </c>
    </row>
    <row r="43" spans="1:301" ht="15" customHeight="1">
      <c r="A43" s="924" t="s">
        <v>1533</v>
      </c>
      <c r="B43" s="888" t="s">
        <v>1075</v>
      </c>
      <c r="C43" s="888">
        <v>436.5</v>
      </c>
      <c r="D43" s="888">
        <v>1120</v>
      </c>
      <c r="E43" s="888">
        <v>450</v>
      </c>
      <c r="F43" s="888">
        <v>400</v>
      </c>
      <c r="G43" s="888">
        <v>253</v>
      </c>
      <c r="H43" s="888">
        <v>170</v>
      </c>
      <c r="I43" s="888">
        <v>112</v>
      </c>
      <c r="J43" s="888">
        <v>35.74</v>
      </c>
      <c r="K43" s="888">
        <v>49.12</v>
      </c>
      <c r="L43" s="888">
        <v>12</v>
      </c>
      <c r="M43" s="888">
        <v>468</v>
      </c>
      <c r="N43" s="888">
        <v>6</v>
      </c>
      <c r="O43" s="884">
        <v>38.912151452463242</v>
      </c>
      <c r="P43" s="888">
        <v>6</v>
      </c>
      <c r="Q43" s="884">
        <v>26.392352428525726</v>
      </c>
      <c r="R43" s="888">
        <v>18.000000000000004</v>
      </c>
      <c r="S43" s="888">
        <v>735.48882035744384</v>
      </c>
      <c r="T43" s="906">
        <v>60.0321910706446</v>
      </c>
      <c r="U43" s="906">
        <v>110.32332305361658</v>
      </c>
      <c r="V43" s="906">
        <v>97.5</v>
      </c>
      <c r="W43" s="1141">
        <v>5.487317465051107</v>
      </c>
      <c r="X43" s="902">
        <v>0</v>
      </c>
      <c r="Y43" s="902">
        <v>0</v>
      </c>
      <c r="Z43" s="902">
        <v>0</v>
      </c>
      <c r="AA43" s="902">
        <v>0</v>
      </c>
      <c r="AB43" s="970">
        <v>43.363771051682804</v>
      </c>
      <c r="AC43" s="1045">
        <v>4000</v>
      </c>
      <c r="AD43" s="890">
        <v>0.41512348312010233</v>
      </c>
      <c r="AE43" s="890">
        <v>0.71963203697494749</v>
      </c>
      <c r="AF43" s="890">
        <v>-0.31068784706807473</v>
      </c>
      <c r="AG43" s="890">
        <v>1.0937841624774096</v>
      </c>
      <c r="AH43" s="888"/>
      <c r="AI43" s="907">
        <v>5.2252384662270703</v>
      </c>
      <c r="AJ43" s="908">
        <v>49.7285568</v>
      </c>
      <c r="AK43" s="902">
        <v>180.55256921668467</v>
      </c>
      <c r="AL43" s="902">
        <v>0</v>
      </c>
      <c r="AM43" s="902">
        <v>0</v>
      </c>
      <c r="AN43" s="902">
        <v>64.961504724893771</v>
      </c>
      <c r="AO43" s="902">
        <v>26.050362149796868</v>
      </c>
      <c r="AP43" s="1222">
        <v>3600</v>
      </c>
      <c r="AQ43" s="909" t="s">
        <v>1062</v>
      </c>
      <c r="AR43" s="909">
        <v>8</v>
      </c>
      <c r="AS43" s="909">
        <v>0</v>
      </c>
      <c r="AT43" s="909">
        <v>0</v>
      </c>
      <c r="AU43" s="909">
        <v>0</v>
      </c>
      <c r="AV43" s="910">
        <v>4978.8032803758506</v>
      </c>
      <c r="AW43" s="909">
        <v>0</v>
      </c>
      <c r="AX43" s="909">
        <v>0</v>
      </c>
      <c r="AY43" s="909">
        <v>0</v>
      </c>
      <c r="AZ43" s="910">
        <v>6367.0753824416788</v>
      </c>
      <c r="BA43" s="871">
        <v>4000</v>
      </c>
      <c r="BB43" s="911">
        <v>234.57225146803788</v>
      </c>
      <c r="BC43" s="908">
        <v>49.7285568</v>
      </c>
      <c r="BD43" s="902">
        <v>180.55256921668467</v>
      </c>
      <c r="BE43" s="902">
        <v>0</v>
      </c>
      <c r="BF43" s="902">
        <v>0</v>
      </c>
      <c r="BG43" s="902">
        <v>64.961504724893771</v>
      </c>
      <c r="BH43" s="902">
        <v>26.050362149796868</v>
      </c>
      <c r="BI43" s="902">
        <v>3600</v>
      </c>
      <c r="BJ43" s="909" t="s">
        <v>1062</v>
      </c>
      <c r="BK43" s="909">
        <v>8</v>
      </c>
      <c r="BL43" s="909">
        <v>0</v>
      </c>
      <c r="BM43" s="909">
        <v>0</v>
      </c>
      <c r="BN43" s="909">
        <v>0</v>
      </c>
      <c r="BO43" s="910">
        <v>4978.8032803758506</v>
      </c>
      <c r="BP43" s="909">
        <v>0</v>
      </c>
      <c r="BQ43" s="909">
        <v>0</v>
      </c>
      <c r="BR43" s="909">
        <v>0</v>
      </c>
      <c r="BS43" s="910">
        <v>6367.0753824416788</v>
      </c>
      <c r="BT43" s="871">
        <v>4000</v>
      </c>
      <c r="BU43" s="911">
        <v>234.57225146803788</v>
      </c>
      <c r="BV43" s="908">
        <v>49.7285568</v>
      </c>
      <c r="BW43" s="902">
        <v>180.55256921668467</v>
      </c>
      <c r="BX43" s="902">
        <v>0</v>
      </c>
      <c r="BY43" s="902">
        <v>0</v>
      </c>
      <c r="BZ43" s="902">
        <v>64.961504724893771</v>
      </c>
      <c r="CA43" s="902">
        <v>26.050362149796868</v>
      </c>
      <c r="CB43" s="902">
        <v>3600</v>
      </c>
      <c r="CC43" s="909" t="s">
        <v>2874</v>
      </c>
      <c r="CD43" s="909">
        <v>8</v>
      </c>
      <c r="CE43" s="909">
        <v>0</v>
      </c>
      <c r="CF43" s="909">
        <v>0</v>
      </c>
      <c r="CG43" s="909">
        <v>0</v>
      </c>
      <c r="CH43" s="910">
        <v>4878.2110266463533</v>
      </c>
      <c r="CI43" s="909">
        <v>0</v>
      </c>
      <c r="CJ43" s="909">
        <v>0</v>
      </c>
      <c r="CK43" s="909">
        <v>0</v>
      </c>
      <c r="CL43" s="910">
        <v>6238.4343363272719</v>
      </c>
      <c r="CM43" s="871">
        <v>4000</v>
      </c>
      <c r="CN43" s="911">
        <v>234.57225146803788</v>
      </c>
      <c r="CO43" s="908">
        <v>49.7285568</v>
      </c>
      <c r="CP43" s="902">
        <v>180.55256921668467</v>
      </c>
      <c r="CQ43" s="902">
        <v>0</v>
      </c>
      <c r="CR43" s="902">
        <v>0</v>
      </c>
      <c r="CS43" s="902">
        <v>64.961504724893771</v>
      </c>
      <c r="CT43" s="902">
        <v>26.050362149796868</v>
      </c>
      <c r="CU43" s="902">
        <v>3600</v>
      </c>
      <c r="CV43" s="909" t="s">
        <v>2874</v>
      </c>
      <c r="CW43" s="909">
        <v>8</v>
      </c>
      <c r="CX43" s="909">
        <v>0</v>
      </c>
      <c r="CY43" s="909">
        <v>0</v>
      </c>
      <c r="CZ43" s="909">
        <v>0</v>
      </c>
      <c r="DA43" s="910">
        <v>4878.2110266463533</v>
      </c>
      <c r="DB43" s="909">
        <v>0</v>
      </c>
      <c r="DC43" s="909">
        <v>0</v>
      </c>
      <c r="DD43" s="909">
        <v>0</v>
      </c>
      <c r="DE43" s="910">
        <v>6238.4343363272719</v>
      </c>
      <c r="DF43" s="871">
        <v>4000</v>
      </c>
      <c r="DG43" s="911">
        <v>234.57225146803788</v>
      </c>
      <c r="DH43" s="908">
        <v>49.7285568</v>
      </c>
      <c r="DI43" s="902">
        <v>180.55256921668467</v>
      </c>
      <c r="DJ43" s="902">
        <v>0</v>
      </c>
      <c r="DK43" s="902">
        <v>0</v>
      </c>
      <c r="DL43" s="902">
        <v>64.961504724893771</v>
      </c>
      <c r="DM43" s="902">
        <v>26.050362149796868</v>
      </c>
      <c r="DN43" s="902">
        <v>3600</v>
      </c>
      <c r="DO43" s="909" t="s">
        <v>2875</v>
      </c>
      <c r="DP43" s="909">
        <v>8</v>
      </c>
      <c r="DQ43" s="909">
        <v>0</v>
      </c>
      <c r="DR43" s="909">
        <v>0</v>
      </c>
      <c r="DS43" s="909">
        <v>0</v>
      </c>
      <c r="DT43" s="910">
        <v>5077.4030161952442</v>
      </c>
      <c r="DU43" s="909">
        <v>0</v>
      </c>
      <c r="DV43" s="909">
        <v>0</v>
      </c>
      <c r="DW43" s="909">
        <v>0</v>
      </c>
      <c r="DX43" s="910">
        <v>6493.1683239172744</v>
      </c>
      <c r="DY43" s="871">
        <v>4000</v>
      </c>
      <c r="DZ43" s="911">
        <v>234.57225146803788</v>
      </c>
      <c r="EA43" s="908">
        <v>49.7285568</v>
      </c>
      <c r="EB43" s="902">
        <v>180.55256921668467</v>
      </c>
      <c r="EC43" s="902">
        <v>0</v>
      </c>
      <c r="ED43" s="902">
        <v>0</v>
      </c>
      <c r="EE43" s="902">
        <v>64.961504724893771</v>
      </c>
      <c r="EF43" s="902">
        <v>26.050362149796868</v>
      </c>
      <c r="EG43" s="902">
        <v>3600</v>
      </c>
      <c r="EH43" s="909" t="s">
        <v>2875</v>
      </c>
      <c r="EI43" s="909">
        <v>8</v>
      </c>
      <c r="EJ43" s="909">
        <v>0</v>
      </c>
      <c r="EK43" s="909">
        <v>0</v>
      </c>
      <c r="EL43" s="909">
        <v>0</v>
      </c>
      <c r="EM43" s="910">
        <v>5077.4030161952442</v>
      </c>
      <c r="EN43" s="909">
        <v>0</v>
      </c>
      <c r="EO43" s="909">
        <v>0</v>
      </c>
      <c r="EP43" s="909">
        <v>0</v>
      </c>
      <c r="EQ43" s="910">
        <v>6493.1683239172744</v>
      </c>
      <c r="ER43" s="871">
        <v>4000</v>
      </c>
      <c r="ES43" s="911">
        <v>234.57225146803788</v>
      </c>
      <c r="ET43" s="908">
        <v>49.7285568</v>
      </c>
      <c r="EU43" s="902">
        <v>180.55256921668467</v>
      </c>
      <c r="EV43" s="902">
        <v>0</v>
      </c>
      <c r="EW43" s="902">
        <v>0</v>
      </c>
      <c r="EX43" s="902">
        <v>64.961504724893771</v>
      </c>
      <c r="EY43" s="902">
        <v>26.050362149796868</v>
      </c>
      <c r="EZ43" s="902">
        <v>3600</v>
      </c>
      <c r="FA43" s="909" t="s">
        <v>3884</v>
      </c>
      <c r="FB43" s="909">
        <v>8</v>
      </c>
      <c r="FC43" s="909">
        <v>0</v>
      </c>
      <c r="FD43" s="909">
        <v>0</v>
      </c>
      <c r="FE43" s="909">
        <v>0</v>
      </c>
      <c r="FF43" s="910">
        <v>5408.3647143590415</v>
      </c>
      <c r="FG43" s="909">
        <v>0</v>
      </c>
      <c r="FH43" s="909">
        <v>0</v>
      </c>
      <c r="FI43" s="909">
        <v>0</v>
      </c>
      <c r="FJ43" s="910">
        <v>6916.4142250388641</v>
      </c>
      <c r="FK43" s="871">
        <v>4000</v>
      </c>
      <c r="FL43" s="911">
        <v>234.57225146803788</v>
      </c>
      <c r="FM43" s="908">
        <v>49.7285568</v>
      </c>
      <c r="FN43" s="902">
        <v>180.55256921668467</v>
      </c>
      <c r="FO43" s="902">
        <v>0</v>
      </c>
      <c r="FP43" s="902">
        <v>0</v>
      </c>
      <c r="FQ43" s="902">
        <v>64.961504724893771</v>
      </c>
      <c r="FR43" s="902">
        <v>26.050362149796868</v>
      </c>
      <c r="FS43" s="902">
        <v>3600</v>
      </c>
      <c r="FT43" s="909" t="s">
        <v>3884</v>
      </c>
      <c r="FU43" s="909">
        <v>8</v>
      </c>
      <c r="FV43" s="909">
        <v>0</v>
      </c>
      <c r="FW43" s="909">
        <v>0</v>
      </c>
      <c r="FX43" s="909">
        <v>0</v>
      </c>
      <c r="FY43" s="910">
        <v>5408.3647143590415</v>
      </c>
      <c r="FZ43" s="909">
        <v>0</v>
      </c>
      <c r="GA43" s="909">
        <v>0</v>
      </c>
      <c r="GB43" s="909">
        <v>0</v>
      </c>
      <c r="GC43" s="910">
        <v>6916.4142250388641</v>
      </c>
      <c r="GD43" s="871">
        <v>4000</v>
      </c>
      <c r="GE43" s="911">
        <v>234.57225146803788</v>
      </c>
      <c r="GF43" s="908">
        <v>31.080348000000001</v>
      </c>
      <c r="GG43" s="902">
        <v>161.90436041668465</v>
      </c>
      <c r="GH43" s="902">
        <v>0</v>
      </c>
      <c r="GI43" s="902">
        <v>0</v>
      </c>
      <c r="GJ43" s="902">
        <v>62.653462847786408</v>
      </c>
      <c r="GK43" s="902">
        <v>22.682187362315148</v>
      </c>
      <c r="GL43" s="902">
        <v>3600</v>
      </c>
      <c r="GM43" s="909" t="s">
        <v>2877</v>
      </c>
      <c r="GN43" s="909">
        <v>5</v>
      </c>
      <c r="GO43" s="909">
        <v>0</v>
      </c>
      <c r="GP43" s="909">
        <v>0</v>
      </c>
      <c r="GQ43" s="909">
        <v>0</v>
      </c>
      <c r="GR43" s="910">
        <v>4019.4148697890296</v>
      </c>
      <c r="GS43" s="909">
        <v>0</v>
      </c>
      <c r="GT43" s="909">
        <v>0</v>
      </c>
      <c r="GU43" s="909">
        <v>0</v>
      </c>
      <c r="GV43" s="910">
        <v>4058.5567744501036</v>
      </c>
      <c r="GW43" s="871">
        <v>4000</v>
      </c>
      <c r="GX43" s="911">
        <v>234.57225146803788</v>
      </c>
      <c r="GY43" s="908">
        <v>31.080348000000001</v>
      </c>
      <c r="GZ43" s="902">
        <v>161.90436041668465</v>
      </c>
      <c r="HA43" s="902">
        <v>0</v>
      </c>
      <c r="HB43" s="902">
        <v>0</v>
      </c>
      <c r="HC43" s="902">
        <v>62.653462847786408</v>
      </c>
      <c r="HD43" s="902">
        <v>22.682187362315148</v>
      </c>
      <c r="HE43" s="902">
        <v>3600</v>
      </c>
      <c r="HF43" s="909" t="s">
        <v>2877</v>
      </c>
      <c r="HG43" s="909">
        <v>5</v>
      </c>
      <c r="HH43" s="909">
        <v>0</v>
      </c>
      <c r="HI43" s="909">
        <v>0</v>
      </c>
      <c r="HJ43" s="909">
        <v>0</v>
      </c>
      <c r="HK43" s="910">
        <v>4019.4148697890296</v>
      </c>
      <c r="HL43" s="909">
        <v>0</v>
      </c>
      <c r="HM43" s="909">
        <v>0</v>
      </c>
      <c r="HN43" s="909">
        <v>0</v>
      </c>
      <c r="HO43" s="910">
        <v>4058.5567744501036</v>
      </c>
      <c r="HP43" s="871">
        <v>4000</v>
      </c>
      <c r="HQ43" s="911">
        <v>234.57225146803788</v>
      </c>
      <c r="HR43" s="908">
        <v>37.296417599999998</v>
      </c>
      <c r="HS43" s="902">
        <v>168.12043001668468</v>
      </c>
      <c r="HT43" s="902">
        <v>0</v>
      </c>
      <c r="HU43" s="902">
        <v>0</v>
      </c>
      <c r="HV43" s="902">
        <v>63.479701694804326</v>
      </c>
      <c r="HW43" s="902">
        <v>23.80491229147572</v>
      </c>
      <c r="HX43" s="902">
        <v>3600</v>
      </c>
      <c r="HY43" s="909" t="s">
        <v>1063</v>
      </c>
      <c r="HZ43" s="909">
        <v>6</v>
      </c>
      <c r="IA43" s="909">
        <v>0</v>
      </c>
      <c r="IB43" s="909">
        <v>0</v>
      </c>
      <c r="IC43" s="909">
        <v>0</v>
      </c>
      <c r="ID43" s="910">
        <v>4096.3799289342005</v>
      </c>
      <c r="IE43" s="909">
        <v>0</v>
      </c>
      <c r="IF43" s="909">
        <v>0</v>
      </c>
      <c r="IG43" s="909">
        <v>0</v>
      </c>
      <c r="IH43" s="910">
        <v>4262.1358030162264</v>
      </c>
      <c r="II43" s="871">
        <v>4000</v>
      </c>
      <c r="IJ43" s="911">
        <v>234.57225146803788</v>
      </c>
      <c r="IK43" s="908">
        <v>37.296417599999998</v>
      </c>
      <c r="IL43" s="902">
        <v>168.12043001668468</v>
      </c>
      <c r="IM43" s="902">
        <v>0</v>
      </c>
      <c r="IN43" s="902">
        <v>0</v>
      </c>
      <c r="IO43" s="902">
        <v>63.479701694804326</v>
      </c>
      <c r="IP43" s="902">
        <v>23.80491229147572</v>
      </c>
      <c r="IQ43" s="902">
        <v>3600</v>
      </c>
      <c r="IR43" s="909" t="s">
        <v>1063</v>
      </c>
      <c r="IS43" s="909">
        <v>6</v>
      </c>
      <c r="IT43" s="909">
        <v>0</v>
      </c>
      <c r="IU43" s="909">
        <v>0</v>
      </c>
      <c r="IV43" s="909">
        <v>0</v>
      </c>
      <c r="IW43" s="910">
        <v>4096.3799289342005</v>
      </c>
      <c r="IX43" s="909">
        <v>0</v>
      </c>
      <c r="IY43" s="909">
        <v>0</v>
      </c>
      <c r="IZ43" s="909">
        <v>0</v>
      </c>
      <c r="JA43" s="910">
        <v>4262.1358030162264</v>
      </c>
      <c r="JB43" s="871">
        <v>4000</v>
      </c>
      <c r="JC43" s="911">
        <v>234.57225146803788</v>
      </c>
      <c r="JD43" s="908">
        <v>24.8642784</v>
      </c>
      <c r="JE43" s="902">
        <v>155.68829081668466</v>
      </c>
      <c r="JF43" s="902">
        <v>0</v>
      </c>
      <c r="JG43" s="902">
        <v>0</v>
      </c>
      <c r="JH43" s="902">
        <v>61.761246551181905</v>
      </c>
      <c r="JI43" s="902">
        <v>21.559462433154572</v>
      </c>
      <c r="JJ43" s="902">
        <v>3600</v>
      </c>
      <c r="JK43" s="909" t="s">
        <v>1064</v>
      </c>
      <c r="JL43" s="909">
        <v>4</v>
      </c>
      <c r="JM43" s="909">
        <v>0</v>
      </c>
      <c r="JN43" s="909">
        <v>0</v>
      </c>
      <c r="JO43" s="909">
        <v>0</v>
      </c>
      <c r="JP43" s="910">
        <v>4162.3821181652256</v>
      </c>
      <c r="JQ43" s="909">
        <v>0</v>
      </c>
      <c r="JR43" s="909">
        <v>0</v>
      </c>
      <c r="JS43" s="909">
        <v>0</v>
      </c>
      <c r="JT43" s="910">
        <v>4127.2549916450016</v>
      </c>
      <c r="JU43" s="871">
        <v>4000</v>
      </c>
      <c r="JV43" s="911">
        <v>234.57225146803788</v>
      </c>
      <c r="JW43" s="908">
        <v>24.8642784</v>
      </c>
      <c r="JX43" s="902">
        <v>155.68829081668466</v>
      </c>
      <c r="JY43" s="902">
        <v>0</v>
      </c>
      <c r="JZ43" s="902">
        <v>0</v>
      </c>
      <c r="KA43" s="902">
        <v>61.761246551181905</v>
      </c>
      <c r="KB43" s="902">
        <v>21.559462433154572</v>
      </c>
      <c r="KC43" s="902">
        <v>3600</v>
      </c>
      <c r="KD43" s="909" t="s">
        <v>1064</v>
      </c>
      <c r="KE43" s="909">
        <v>4</v>
      </c>
      <c r="KF43" s="909">
        <v>0</v>
      </c>
      <c r="KG43" s="909">
        <v>0</v>
      </c>
      <c r="KH43" s="909">
        <v>0</v>
      </c>
      <c r="KI43" s="910">
        <v>4162.3821181652256</v>
      </c>
      <c r="KJ43" s="909">
        <v>0</v>
      </c>
      <c r="KK43" s="909">
        <v>0</v>
      </c>
      <c r="KL43" s="909">
        <v>0</v>
      </c>
      <c r="KM43" s="910">
        <v>4127.2549916450016</v>
      </c>
      <c r="KN43" s="871">
        <v>4000</v>
      </c>
      <c r="KO43" s="912">
        <v>234.57225146803788</v>
      </c>
    </row>
    <row r="44" spans="1:301" ht="15" customHeight="1">
      <c r="A44" s="924" t="s">
        <v>1534</v>
      </c>
      <c r="B44" s="888" t="s">
        <v>1073</v>
      </c>
      <c r="C44" s="888">
        <v>488</v>
      </c>
      <c r="D44" s="888">
        <v>1120</v>
      </c>
      <c r="E44" s="888">
        <v>500</v>
      </c>
      <c r="F44" s="888">
        <v>450</v>
      </c>
      <c r="G44" s="888">
        <v>272</v>
      </c>
      <c r="H44" s="888">
        <v>183</v>
      </c>
      <c r="I44" s="888">
        <v>124</v>
      </c>
      <c r="J44" s="888">
        <v>33.25</v>
      </c>
      <c r="K44" s="888">
        <v>48.62</v>
      </c>
      <c r="L44" s="888">
        <v>12</v>
      </c>
      <c r="M44" s="888">
        <v>476</v>
      </c>
      <c r="N44" s="888">
        <v>6</v>
      </c>
      <c r="O44" s="884">
        <v>37.155019411402307</v>
      </c>
      <c r="P44" s="888">
        <v>6</v>
      </c>
      <c r="Q44" s="884">
        <v>24.65347724485774</v>
      </c>
      <c r="R44" s="888">
        <v>18.000000000000004</v>
      </c>
      <c r="S44" s="888">
        <v>766.77915527503899</v>
      </c>
      <c r="T44" s="906">
        <v>65.248816621648572</v>
      </c>
      <c r="U44" s="906">
        <v>115.01687329125585</v>
      </c>
      <c r="V44" s="906">
        <v>110</v>
      </c>
      <c r="W44" s="1141">
        <v>6.7287842141075078</v>
      </c>
      <c r="X44" s="902">
        <v>0</v>
      </c>
      <c r="Y44" s="902">
        <v>0</v>
      </c>
      <c r="Z44" s="902">
        <v>0</v>
      </c>
      <c r="AA44" s="902">
        <v>0</v>
      </c>
      <c r="AB44" s="970">
        <v>47.578180667432271</v>
      </c>
      <c r="AC44" s="1045">
        <v>4000</v>
      </c>
      <c r="AD44" s="890">
        <v>0.49634491190230717</v>
      </c>
      <c r="AE44" s="890">
        <v>0.65562872909703773</v>
      </c>
      <c r="AF44" s="890">
        <v>-0.25977517646990067</v>
      </c>
      <c r="AG44" s="890">
        <v>1.022517450963824</v>
      </c>
      <c r="AH44" s="888"/>
      <c r="AI44" s="907">
        <v>5.3203221042147941</v>
      </c>
      <c r="AJ44" s="908">
        <v>55.062537600000013</v>
      </c>
      <c r="AK44" s="902">
        <v>188.84863509201614</v>
      </c>
      <c r="AL44" s="902">
        <v>0</v>
      </c>
      <c r="AM44" s="902">
        <v>0</v>
      </c>
      <c r="AN44" s="902">
        <v>68.143853142076523</v>
      </c>
      <c r="AO44" s="902">
        <v>27.732833924630864</v>
      </c>
      <c r="AP44" s="1222">
        <v>3600</v>
      </c>
      <c r="AQ44" s="909" t="s">
        <v>1062</v>
      </c>
      <c r="AR44" s="909">
        <v>8</v>
      </c>
      <c r="AS44" s="909">
        <v>0</v>
      </c>
      <c r="AT44" s="909">
        <v>0</v>
      </c>
      <c r="AU44" s="909">
        <v>0</v>
      </c>
      <c r="AV44" s="910">
        <v>5350.8258756871073</v>
      </c>
      <c r="AW44" s="909">
        <v>0</v>
      </c>
      <c r="AX44" s="909">
        <v>0</v>
      </c>
      <c r="AY44" s="909">
        <v>0</v>
      </c>
      <c r="AZ44" s="910">
        <v>5056.4823255051979</v>
      </c>
      <c r="BA44" s="871">
        <v>4000</v>
      </c>
      <c r="BB44" s="911">
        <v>234.57225146803788</v>
      </c>
      <c r="BC44" s="908">
        <v>55.062537600000013</v>
      </c>
      <c r="BD44" s="902">
        <v>188.84863509201614</v>
      </c>
      <c r="BE44" s="902">
        <v>0</v>
      </c>
      <c r="BF44" s="902">
        <v>0</v>
      </c>
      <c r="BG44" s="902">
        <v>68.143853142076523</v>
      </c>
      <c r="BH44" s="902">
        <v>27.732833924630864</v>
      </c>
      <c r="BI44" s="902">
        <v>3600</v>
      </c>
      <c r="BJ44" s="909" t="s">
        <v>1062</v>
      </c>
      <c r="BK44" s="909">
        <v>8</v>
      </c>
      <c r="BL44" s="909">
        <v>0</v>
      </c>
      <c r="BM44" s="909">
        <v>0</v>
      </c>
      <c r="BN44" s="909">
        <v>0</v>
      </c>
      <c r="BO44" s="910">
        <v>5350.8258756871073</v>
      </c>
      <c r="BP44" s="909">
        <v>0</v>
      </c>
      <c r="BQ44" s="909">
        <v>0</v>
      </c>
      <c r="BR44" s="909">
        <v>0</v>
      </c>
      <c r="BS44" s="910">
        <v>5056.4823255051979</v>
      </c>
      <c r="BT44" s="871">
        <v>4000</v>
      </c>
      <c r="BU44" s="911">
        <v>234.57225146803788</v>
      </c>
      <c r="BV44" s="908">
        <v>55.062537600000013</v>
      </c>
      <c r="BW44" s="902">
        <v>188.84863509201614</v>
      </c>
      <c r="BX44" s="902">
        <v>0</v>
      </c>
      <c r="BY44" s="902">
        <v>0</v>
      </c>
      <c r="BZ44" s="902">
        <v>68.143853142076523</v>
      </c>
      <c r="CA44" s="902">
        <v>27.732833924630864</v>
      </c>
      <c r="CB44" s="902">
        <v>3600</v>
      </c>
      <c r="CC44" s="909" t="s">
        <v>2874</v>
      </c>
      <c r="CD44" s="909">
        <v>8</v>
      </c>
      <c r="CE44" s="909">
        <v>0</v>
      </c>
      <c r="CF44" s="909">
        <v>0</v>
      </c>
      <c r="CG44" s="909">
        <v>0</v>
      </c>
      <c r="CH44" s="910">
        <v>5242.7172391657541</v>
      </c>
      <c r="CI44" s="909">
        <v>0</v>
      </c>
      <c r="CJ44" s="909">
        <v>0</v>
      </c>
      <c r="CK44" s="909">
        <v>0</v>
      </c>
      <c r="CL44" s="910">
        <v>4954.3206363557647</v>
      </c>
      <c r="CM44" s="871">
        <v>4000</v>
      </c>
      <c r="CN44" s="911">
        <v>234.57225146803788</v>
      </c>
      <c r="CO44" s="908">
        <v>55.062537600000013</v>
      </c>
      <c r="CP44" s="902">
        <v>188.84863509201614</v>
      </c>
      <c r="CQ44" s="902">
        <v>0</v>
      </c>
      <c r="CR44" s="902">
        <v>0</v>
      </c>
      <c r="CS44" s="902">
        <v>68.143853142076523</v>
      </c>
      <c r="CT44" s="902">
        <v>27.732833924630864</v>
      </c>
      <c r="CU44" s="902">
        <v>3600</v>
      </c>
      <c r="CV44" s="909" t="s">
        <v>2874</v>
      </c>
      <c r="CW44" s="909">
        <v>8</v>
      </c>
      <c r="CX44" s="909">
        <v>0</v>
      </c>
      <c r="CY44" s="909">
        <v>0</v>
      </c>
      <c r="CZ44" s="909">
        <v>0</v>
      </c>
      <c r="DA44" s="910">
        <v>5242.7172391657541</v>
      </c>
      <c r="DB44" s="909">
        <v>0</v>
      </c>
      <c r="DC44" s="909">
        <v>0</v>
      </c>
      <c r="DD44" s="909">
        <v>0</v>
      </c>
      <c r="DE44" s="910">
        <v>4954.3206363557647</v>
      </c>
      <c r="DF44" s="871">
        <v>4000</v>
      </c>
      <c r="DG44" s="911">
        <v>234.57225146803788</v>
      </c>
      <c r="DH44" s="908">
        <v>55.062537600000013</v>
      </c>
      <c r="DI44" s="902">
        <v>188.84863509201614</v>
      </c>
      <c r="DJ44" s="902">
        <v>0</v>
      </c>
      <c r="DK44" s="902">
        <v>0</v>
      </c>
      <c r="DL44" s="902">
        <v>68.143853142076523</v>
      </c>
      <c r="DM44" s="902">
        <v>27.732833924630864</v>
      </c>
      <c r="DN44" s="902">
        <v>3600</v>
      </c>
      <c r="DO44" s="909" t="s">
        <v>2875</v>
      </c>
      <c r="DP44" s="909">
        <v>8</v>
      </c>
      <c r="DQ44" s="909">
        <v>0</v>
      </c>
      <c r="DR44" s="909">
        <v>0</v>
      </c>
      <c r="DS44" s="909">
        <v>0</v>
      </c>
      <c r="DT44" s="910">
        <v>5456.7931107931527</v>
      </c>
      <c r="DU44" s="909">
        <v>0</v>
      </c>
      <c r="DV44" s="909">
        <v>0</v>
      </c>
      <c r="DW44" s="909">
        <v>0</v>
      </c>
      <c r="DX44" s="910">
        <v>5156.6204095776056</v>
      </c>
      <c r="DY44" s="871">
        <v>4000</v>
      </c>
      <c r="DZ44" s="911">
        <v>234.57225146803788</v>
      </c>
      <c r="EA44" s="908">
        <v>55.062537600000013</v>
      </c>
      <c r="EB44" s="902">
        <v>188.84863509201614</v>
      </c>
      <c r="EC44" s="902">
        <v>0</v>
      </c>
      <c r="ED44" s="902">
        <v>0</v>
      </c>
      <c r="EE44" s="902">
        <v>68.143853142076523</v>
      </c>
      <c r="EF44" s="902">
        <v>27.732833924630864</v>
      </c>
      <c r="EG44" s="902">
        <v>3600</v>
      </c>
      <c r="EH44" s="909" t="s">
        <v>2875</v>
      </c>
      <c r="EI44" s="909">
        <v>8</v>
      </c>
      <c r="EJ44" s="909">
        <v>0</v>
      </c>
      <c r="EK44" s="909">
        <v>0</v>
      </c>
      <c r="EL44" s="909">
        <v>0</v>
      </c>
      <c r="EM44" s="910">
        <v>5456.7931107931527</v>
      </c>
      <c r="EN44" s="909">
        <v>0</v>
      </c>
      <c r="EO44" s="909">
        <v>0</v>
      </c>
      <c r="EP44" s="909">
        <v>0</v>
      </c>
      <c r="EQ44" s="910">
        <v>5156.6204095776056</v>
      </c>
      <c r="ER44" s="871">
        <v>4000</v>
      </c>
      <c r="ES44" s="911">
        <v>234.57225146803788</v>
      </c>
      <c r="ET44" s="908">
        <v>55.062537600000013</v>
      </c>
      <c r="EU44" s="902">
        <v>188.84863509201614</v>
      </c>
      <c r="EV44" s="902">
        <v>0</v>
      </c>
      <c r="EW44" s="902">
        <v>0</v>
      </c>
      <c r="EX44" s="902">
        <v>68.143853142076523</v>
      </c>
      <c r="EY44" s="902">
        <v>27.732833924630864</v>
      </c>
      <c r="EZ44" s="902">
        <v>3600</v>
      </c>
      <c r="FA44" s="909" t="s">
        <v>3884</v>
      </c>
      <c r="FB44" s="909">
        <v>8</v>
      </c>
      <c r="FC44" s="909">
        <v>0</v>
      </c>
      <c r="FD44" s="909">
        <v>0</v>
      </c>
      <c r="FE44" s="909">
        <v>0</v>
      </c>
      <c r="FF44" s="910">
        <v>5812.4846934223224</v>
      </c>
      <c r="FG44" s="909">
        <v>0</v>
      </c>
      <c r="FH44" s="909">
        <v>0</v>
      </c>
      <c r="FI44" s="909">
        <v>0</v>
      </c>
      <c r="FJ44" s="910">
        <v>5492.7457559596551</v>
      </c>
      <c r="FK44" s="871">
        <v>4000</v>
      </c>
      <c r="FL44" s="911">
        <v>234.57225146803788</v>
      </c>
      <c r="FM44" s="908">
        <v>55.062537600000013</v>
      </c>
      <c r="FN44" s="902">
        <v>188.84863509201614</v>
      </c>
      <c r="FO44" s="902">
        <v>0</v>
      </c>
      <c r="FP44" s="902">
        <v>0</v>
      </c>
      <c r="FQ44" s="902">
        <v>68.143853142076523</v>
      </c>
      <c r="FR44" s="902">
        <v>27.732833924630864</v>
      </c>
      <c r="FS44" s="902">
        <v>3600</v>
      </c>
      <c r="FT44" s="909" t="s">
        <v>3884</v>
      </c>
      <c r="FU44" s="909">
        <v>8</v>
      </c>
      <c r="FV44" s="909">
        <v>0</v>
      </c>
      <c r="FW44" s="909">
        <v>0</v>
      </c>
      <c r="FX44" s="909">
        <v>0</v>
      </c>
      <c r="FY44" s="910">
        <v>5812.4846934223224</v>
      </c>
      <c r="FZ44" s="909">
        <v>0</v>
      </c>
      <c r="GA44" s="909">
        <v>0</v>
      </c>
      <c r="GB44" s="909">
        <v>0</v>
      </c>
      <c r="GC44" s="910">
        <v>5492.7457559596551</v>
      </c>
      <c r="GD44" s="871">
        <v>4000</v>
      </c>
      <c r="GE44" s="911">
        <v>234.57225146803788</v>
      </c>
      <c r="GF44" s="908">
        <v>41.29690320000001</v>
      </c>
      <c r="GG44" s="902">
        <v>175.08300069201613</v>
      </c>
      <c r="GH44" s="902">
        <v>0</v>
      </c>
      <c r="GI44" s="902">
        <v>0</v>
      </c>
      <c r="GJ44" s="902">
        <v>66.30751165050907</v>
      </c>
      <c r="GK44" s="902">
        <v>25.164607045891664</v>
      </c>
      <c r="GL44" s="902">
        <v>3600</v>
      </c>
      <c r="GM44" s="909" t="s">
        <v>2877</v>
      </c>
      <c r="GN44" s="909">
        <v>6</v>
      </c>
      <c r="GO44" s="909">
        <v>0</v>
      </c>
      <c r="GP44" s="909">
        <v>0</v>
      </c>
      <c r="GQ44" s="909">
        <v>0</v>
      </c>
      <c r="GR44" s="910">
        <v>4809.3942933960943</v>
      </c>
      <c r="GS44" s="909">
        <v>0</v>
      </c>
      <c r="GT44" s="909">
        <v>0</v>
      </c>
      <c r="GU44" s="909">
        <v>0</v>
      </c>
      <c r="GV44" s="910">
        <v>4206.1509372147157</v>
      </c>
      <c r="GW44" s="871">
        <v>4000</v>
      </c>
      <c r="GX44" s="911">
        <v>234.57225146803788</v>
      </c>
      <c r="GY44" s="908">
        <v>41.29690320000001</v>
      </c>
      <c r="GZ44" s="902">
        <v>175.08300069201613</v>
      </c>
      <c r="HA44" s="902">
        <v>0</v>
      </c>
      <c r="HB44" s="902">
        <v>0</v>
      </c>
      <c r="HC44" s="902">
        <v>66.30751165050907</v>
      </c>
      <c r="HD44" s="902">
        <v>25.164607045891664</v>
      </c>
      <c r="HE44" s="902">
        <v>3600</v>
      </c>
      <c r="HF44" s="909" t="s">
        <v>2877</v>
      </c>
      <c r="HG44" s="909">
        <v>6</v>
      </c>
      <c r="HH44" s="909">
        <v>0</v>
      </c>
      <c r="HI44" s="909">
        <v>0</v>
      </c>
      <c r="HJ44" s="909">
        <v>0</v>
      </c>
      <c r="HK44" s="910">
        <v>4809.3942933960943</v>
      </c>
      <c r="HL44" s="909">
        <v>0</v>
      </c>
      <c r="HM44" s="909">
        <v>0</v>
      </c>
      <c r="HN44" s="909">
        <v>0</v>
      </c>
      <c r="HO44" s="910">
        <v>4206.1509372147157</v>
      </c>
      <c r="HP44" s="871">
        <v>4000</v>
      </c>
      <c r="HQ44" s="911">
        <v>234.57225146803788</v>
      </c>
      <c r="HR44" s="908">
        <v>41.29690320000001</v>
      </c>
      <c r="HS44" s="902">
        <v>184.88077395222069</v>
      </c>
      <c r="HT44" s="902">
        <v>0</v>
      </c>
      <c r="HU44" s="902">
        <v>9.7977732602045506</v>
      </c>
      <c r="HV44" s="902">
        <v>66.079234682789945</v>
      </c>
      <c r="HW44" s="902">
        <v>27.771577172057096</v>
      </c>
      <c r="HX44" s="902">
        <v>3600</v>
      </c>
      <c r="HY44" s="909" t="s">
        <v>1063</v>
      </c>
      <c r="HZ44" s="909">
        <v>6</v>
      </c>
      <c r="IA44" s="909">
        <v>0</v>
      </c>
      <c r="IB44" s="909">
        <v>0</v>
      </c>
      <c r="IC44" s="909">
        <v>0</v>
      </c>
      <c r="ID44" s="910">
        <v>4241.4870857264259</v>
      </c>
      <c r="IE44" s="909">
        <v>1</v>
      </c>
      <c r="IF44" s="909">
        <v>8</v>
      </c>
      <c r="IG44" s="909">
        <v>92.500657595024805</v>
      </c>
      <c r="IH44" s="910">
        <v>3969.7846620868499</v>
      </c>
      <c r="II44" s="871">
        <v>3969.7846620868499</v>
      </c>
      <c r="IJ44" s="911">
        <v>232.8003315072491</v>
      </c>
      <c r="IK44" s="908">
        <v>41.29690320000001</v>
      </c>
      <c r="IL44" s="902">
        <v>184.88077395222069</v>
      </c>
      <c r="IM44" s="902">
        <v>0</v>
      </c>
      <c r="IN44" s="902">
        <v>9.7977732602045506</v>
      </c>
      <c r="IO44" s="902">
        <v>66.079234682789945</v>
      </c>
      <c r="IP44" s="902">
        <v>27.771577172057096</v>
      </c>
      <c r="IQ44" s="902">
        <v>3600</v>
      </c>
      <c r="IR44" s="909" t="s">
        <v>1063</v>
      </c>
      <c r="IS44" s="909">
        <v>6</v>
      </c>
      <c r="IT44" s="909">
        <v>0</v>
      </c>
      <c r="IU44" s="909">
        <v>0</v>
      </c>
      <c r="IV44" s="909">
        <v>0</v>
      </c>
      <c r="IW44" s="910">
        <v>4241.4870857264259</v>
      </c>
      <c r="IX44" s="909">
        <v>1</v>
      </c>
      <c r="IY44" s="909">
        <v>8</v>
      </c>
      <c r="IZ44" s="909">
        <v>92.500657595024805</v>
      </c>
      <c r="JA44" s="910">
        <v>3969.7846620868499</v>
      </c>
      <c r="JB44" s="871">
        <v>3969.7846620868499</v>
      </c>
      <c r="JC44" s="911">
        <v>232.8003315072491</v>
      </c>
      <c r="JD44" s="908">
        <v>34.414086000000012</v>
      </c>
      <c r="JE44" s="902">
        <v>168.20018349201615</v>
      </c>
      <c r="JF44" s="902">
        <v>0</v>
      </c>
      <c r="JG44" s="902">
        <v>0</v>
      </c>
      <c r="JH44" s="902">
        <v>65.276625188183019</v>
      </c>
      <c r="JI44" s="902">
        <v>23.880493606522062</v>
      </c>
      <c r="JJ44" s="902">
        <v>3600</v>
      </c>
      <c r="JK44" s="909" t="s">
        <v>1064</v>
      </c>
      <c r="JL44" s="909">
        <v>5</v>
      </c>
      <c r="JM44" s="909">
        <v>0</v>
      </c>
      <c r="JN44" s="909">
        <v>0</v>
      </c>
      <c r="JO44" s="909">
        <v>0</v>
      </c>
      <c r="JP44" s="910">
        <v>4969.3121621484961</v>
      </c>
      <c r="JQ44" s="909">
        <v>0</v>
      </c>
      <c r="JR44" s="909">
        <v>0</v>
      </c>
      <c r="JS44" s="909">
        <v>0</v>
      </c>
      <c r="JT44" s="910">
        <v>4294.709623170138</v>
      </c>
      <c r="JU44" s="871">
        <v>4000</v>
      </c>
      <c r="JV44" s="911">
        <v>234.57225146803788</v>
      </c>
      <c r="JW44" s="908">
        <v>34.414086000000012</v>
      </c>
      <c r="JX44" s="902">
        <v>168.20018349201615</v>
      </c>
      <c r="JY44" s="902">
        <v>0</v>
      </c>
      <c r="JZ44" s="902">
        <v>0</v>
      </c>
      <c r="KA44" s="902">
        <v>65.276625188183019</v>
      </c>
      <c r="KB44" s="902">
        <v>23.880493606522062</v>
      </c>
      <c r="KC44" s="902">
        <v>3600</v>
      </c>
      <c r="KD44" s="909" t="s">
        <v>1064</v>
      </c>
      <c r="KE44" s="909">
        <v>5</v>
      </c>
      <c r="KF44" s="909">
        <v>0</v>
      </c>
      <c r="KG44" s="909">
        <v>0</v>
      </c>
      <c r="KH44" s="909">
        <v>0</v>
      </c>
      <c r="KI44" s="910">
        <v>4969.3121621484961</v>
      </c>
      <c r="KJ44" s="909">
        <v>0</v>
      </c>
      <c r="KK44" s="909">
        <v>0</v>
      </c>
      <c r="KL44" s="909">
        <v>0</v>
      </c>
      <c r="KM44" s="910">
        <v>4294.709623170138</v>
      </c>
      <c r="KN44" s="871">
        <v>4000</v>
      </c>
      <c r="KO44" s="912">
        <v>234.57225146803788</v>
      </c>
    </row>
    <row r="45" spans="1:301" ht="15" customHeight="1">
      <c r="A45" s="924" t="s">
        <v>1535</v>
      </c>
      <c r="B45" s="888" t="s">
        <v>1078</v>
      </c>
      <c r="C45" s="888">
        <v>544</v>
      </c>
      <c r="D45" s="888">
        <v>1120</v>
      </c>
      <c r="E45" s="888">
        <v>560</v>
      </c>
      <c r="F45" s="888">
        <v>500</v>
      </c>
      <c r="G45" s="888">
        <v>308</v>
      </c>
      <c r="H45" s="888">
        <v>208</v>
      </c>
      <c r="I45" s="888">
        <v>137</v>
      </c>
      <c r="J45" s="888">
        <v>35.700000000000003</v>
      </c>
      <c r="K45" s="888">
        <v>46.64</v>
      </c>
      <c r="L45" s="888">
        <v>10</v>
      </c>
      <c r="M45" s="888">
        <v>450</v>
      </c>
      <c r="N45" s="888">
        <v>6</v>
      </c>
      <c r="O45" s="884">
        <v>34.802312089055441</v>
      </c>
      <c r="P45" s="888">
        <v>6</v>
      </c>
      <c r="Q45" s="884">
        <v>24.074993823890207</v>
      </c>
      <c r="R45" s="888">
        <v>18.000000000000004</v>
      </c>
      <c r="S45" s="888">
        <v>776.90941174552165</v>
      </c>
      <c r="T45" s="906">
        <v>66.984266884551175</v>
      </c>
      <c r="U45" s="906">
        <v>116.53641176182825</v>
      </c>
      <c r="V45" s="906">
        <v>122.5</v>
      </c>
      <c r="W45" s="1141">
        <v>7.6927244000226729</v>
      </c>
      <c r="X45" s="902">
        <v>0</v>
      </c>
      <c r="Y45" s="902">
        <v>0</v>
      </c>
      <c r="Z45" s="902">
        <v>0</v>
      </c>
      <c r="AA45" s="902">
        <v>0</v>
      </c>
      <c r="AB45" s="970">
        <v>37.308849898777702</v>
      </c>
      <c r="AC45" s="1045">
        <v>4000</v>
      </c>
      <c r="AD45" s="890">
        <v>0.42716065177205609</v>
      </c>
      <c r="AE45" s="890">
        <v>0.71857289556110249</v>
      </c>
      <c r="AF45" s="890">
        <v>-0.32562462417926402</v>
      </c>
      <c r="AG45" s="890">
        <v>0.8580547381309922</v>
      </c>
      <c r="AH45" s="888"/>
      <c r="AI45" s="907">
        <v>5.0284586428966627</v>
      </c>
      <c r="AJ45" s="908">
        <v>48.7485</v>
      </c>
      <c r="AK45" s="902">
        <v>182.30279719751951</v>
      </c>
      <c r="AL45" s="902">
        <v>0</v>
      </c>
      <c r="AM45" s="902">
        <v>0</v>
      </c>
      <c r="AN45" s="902">
        <v>73.805711565025987</v>
      </c>
      <c r="AO45" s="902">
        <v>26.913568808754036</v>
      </c>
      <c r="AP45" s="1222">
        <v>2700</v>
      </c>
      <c r="AQ45" s="909" t="s">
        <v>1062</v>
      </c>
      <c r="AR45" s="909">
        <v>8</v>
      </c>
      <c r="AS45" s="909">
        <v>0</v>
      </c>
      <c r="AT45" s="909">
        <v>0</v>
      </c>
      <c r="AU45" s="909">
        <v>0</v>
      </c>
      <c r="AV45" s="910">
        <v>3267.1492070576701</v>
      </c>
      <c r="AW45" s="909">
        <v>0</v>
      </c>
      <c r="AX45" s="909">
        <v>0</v>
      </c>
      <c r="AY45" s="909">
        <v>0</v>
      </c>
      <c r="AZ45" s="910">
        <v>4107.0435661772917</v>
      </c>
      <c r="BA45" s="871">
        <v>3267.1492070576701</v>
      </c>
      <c r="BB45" s="911">
        <v>191.59563634538307</v>
      </c>
      <c r="BC45" s="908">
        <v>36.561374999999998</v>
      </c>
      <c r="BD45" s="902">
        <v>170.1156721975195</v>
      </c>
      <c r="BE45" s="902">
        <v>0</v>
      </c>
      <c r="BF45" s="902">
        <v>0</v>
      </c>
      <c r="BG45" s="902">
        <v>71.642585953554857</v>
      </c>
      <c r="BH45" s="902">
        <v>24.551801480754037</v>
      </c>
      <c r="BI45" s="902">
        <v>3375</v>
      </c>
      <c r="BJ45" s="909" t="s">
        <v>1064</v>
      </c>
      <c r="BK45" s="909">
        <v>6</v>
      </c>
      <c r="BL45" s="909">
        <v>0</v>
      </c>
      <c r="BM45" s="909">
        <v>0</v>
      </c>
      <c r="BN45" s="909">
        <v>0</v>
      </c>
      <c r="BO45" s="910">
        <v>3902.8206723085823</v>
      </c>
      <c r="BP45" s="909">
        <v>0</v>
      </c>
      <c r="BQ45" s="909">
        <v>0</v>
      </c>
      <c r="BR45" s="909">
        <v>0</v>
      </c>
      <c r="BS45" s="910">
        <v>4369.9639871750251</v>
      </c>
      <c r="BT45" s="871">
        <v>3902.8206723085823</v>
      </c>
      <c r="BU45" s="911">
        <v>228.87335804485639</v>
      </c>
      <c r="BV45" s="908">
        <v>48.7485</v>
      </c>
      <c r="BW45" s="902">
        <v>182.30279719751951</v>
      </c>
      <c r="BX45" s="902">
        <v>0</v>
      </c>
      <c r="BY45" s="902">
        <v>0</v>
      </c>
      <c r="BZ45" s="902">
        <v>73.805711565025987</v>
      </c>
      <c r="CA45" s="902">
        <v>26.913568808754036</v>
      </c>
      <c r="CB45" s="902">
        <v>2700</v>
      </c>
      <c r="CC45" s="909" t="s">
        <v>2874</v>
      </c>
      <c r="CD45" s="909">
        <v>8</v>
      </c>
      <c r="CE45" s="909">
        <v>0</v>
      </c>
      <c r="CF45" s="909">
        <v>0</v>
      </c>
      <c r="CG45" s="909">
        <v>0</v>
      </c>
      <c r="CH45" s="910">
        <v>3201.1393883319824</v>
      </c>
      <c r="CI45" s="909">
        <v>0</v>
      </c>
      <c r="CJ45" s="909">
        <v>0</v>
      </c>
      <c r="CK45" s="909">
        <v>0</v>
      </c>
      <c r="CL45" s="910">
        <v>4024.0644354059696</v>
      </c>
      <c r="CM45" s="871">
        <v>3201.1393883319824</v>
      </c>
      <c r="CN45" s="911">
        <v>187.72461839601272</v>
      </c>
      <c r="CO45" s="908">
        <v>48.7485</v>
      </c>
      <c r="CP45" s="902">
        <v>186.38643580287984</v>
      </c>
      <c r="CQ45" s="902">
        <v>4.0836386053603322</v>
      </c>
      <c r="CR45" s="902">
        <v>0</v>
      </c>
      <c r="CS45" s="902">
        <v>74.467254135885852</v>
      </c>
      <c r="CT45" s="902">
        <v>27.296144953863447</v>
      </c>
      <c r="CU45" s="902">
        <v>3375</v>
      </c>
      <c r="CV45" s="909" t="s">
        <v>2874</v>
      </c>
      <c r="CW45" s="909">
        <v>8</v>
      </c>
      <c r="CX45" s="909">
        <v>1</v>
      </c>
      <c r="CY45" s="909">
        <v>10</v>
      </c>
      <c r="CZ45" s="909">
        <v>64.728713429910627</v>
      </c>
      <c r="DA45" s="910">
        <v>5121.7810254495607</v>
      </c>
      <c r="DB45" s="909">
        <v>0</v>
      </c>
      <c r="DC45" s="909">
        <v>0</v>
      </c>
      <c r="DD45" s="909">
        <v>0</v>
      </c>
      <c r="DE45" s="910">
        <v>4024.0644354059696</v>
      </c>
      <c r="DF45" s="871">
        <v>4000</v>
      </c>
      <c r="DG45" s="911">
        <v>234.57225146803788</v>
      </c>
      <c r="DH45" s="908">
        <v>48.7485</v>
      </c>
      <c r="DI45" s="902">
        <v>182.30279719751951</v>
      </c>
      <c r="DJ45" s="902">
        <v>0</v>
      </c>
      <c r="DK45" s="902">
        <v>0</v>
      </c>
      <c r="DL45" s="902">
        <v>73.805711565025987</v>
      </c>
      <c r="DM45" s="902">
        <v>26.913568808754036</v>
      </c>
      <c r="DN45" s="902">
        <v>2700</v>
      </c>
      <c r="DO45" s="909" t="s">
        <v>2875</v>
      </c>
      <c r="DP45" s="909">
        <v>8</v>
      </c>
      <c r="DQ45" s="909">
        <v>0</v>
      </c>
      <c r="DR45" s="909">
        <v>0</v>
      </c>
      <c r="DS45" s="909">
        <v>0</v>
      </c>
      <c r="DT45" s="910">
        <v>3331.8515121212499</v>
      </c>
      <c r="DU45" s="909">
        <v>0</v>
      </c>
      <c r="DV45" s="909">
        <v>0</v>
      </c>
      <c r="DW45" s="909">
        <v>0</v>
      </c>
      <c r="DX45" s="910">
        <v>4188.3790574227432</v>
      </c>
      <c r="DY45" s="871">
        <v>3331.8515121212499</v>
      </c>
      <c r="DZ45" s="911">
        <v>195.38997768886702</v>
      </c>
      <c r="EA45" s="908">
        <v>48.7485</v>
      </c>
      <c r="EB45" s="902">
        <v>186.38643580287984</v>
      </c>
      <c r="EC45" s="902">
        <v>4.0836386053603322</v>
      </c>
      <c r="ED45" s="902">
        <v>0</v>
      </c>
      <c r="EE45" s="902">
        <v>74.467254135885852</v>
      </c>
      <c r="EF45" s="902">
        <v>27.296144953863447</v>
      </c>
      <c r="EG45" s="902">
        <v>3375</v>
      </c>
      <c r="EH45" s="909" t="s">
        <v>2875</v>
      </c>
      <c r="EI45" s="909">
        <v>8</v>
      </c>
      <c r="EJ45" s="909">
        <v>1</v>
      </c>
      <c r="EK45" s="909">
        <v>10</v>
      </c>
      <c r="EL45" s="909">
        <v>64.728713429910627</v>
      </c>
      <c r="EM45" s="910">
        <v>5330.9187086945667</v>
      </c>
      <c r="EN45" s="909">
        <v>0</v>
      </c>
      <c r="EO45" s="909">
        <v>0</v>
      </c>
      <c r="EP45" s="909">
        <v>0</v>
      </c>
      <c r="EQ45" s="910">
        <v>4188.3790574227432</v>
      </c>
      <c r="ER45" s="871">
        <v>4000</v>
      </c>
      <c r="ES45" s="911">
        <v>234.57225146803788</v>
      </c>
      <c r="ET45" s="908">
        <v>48.7485</v>
      </c>
      <c r="EU45" s="902">
        <v>182.30279719751951</v>
      </c>
      <c r="EV45" s="902">
        <v>0</v>
      </c>
      <c r="EW45" s="902">
        <v>0</v>
      </c>
      <c r="EX45" s="902">
        <v>73.805711565025987</v>
      </c>
      <c r="EY45" s="902">
        <v>26.913568808754036</v>
      </c>
      <c r="EZ45" s="902">
        <v>2700</v>
      </c>
      <c r="FA45" s="909" t="s">
        <v>3884</v>
      </c>
      <c r="FB45" s="909">
        <v>8</v>
      </c>
      <c r="FC45" s="909">
        <v>0</v>
      </c>
      <c r="FD45" s="909">
        <v>0</v>
      </c>
      <c r="FE45" s="909">
        <v>0</v>
      </c>
      <c r="FF45" s="910">
        <v>3549.0324668266303</v>
      </c>
      <c r="FG45" s="909">
        <v>0</v>
      </c>
      <c r="FH45" s="909">
        <v>0</v>
      </c>
      <c r="FI45" s="909">
        <v>0</v>
      </c>
      <c r="FJ45" s="910">
        <v>4461.3912727180059</v>
      </c>
      <c r="FK45" s="871">
        <v>3549.0324668266303</v>
      </c>
      <c r="FL45" s="911">
        <v>208.1261340691718</v>
      </c>
      <c r="FM45" s="908">
        <v>48.7485</v>
      </c>
      <c r="FN45" s="902">
        <v>182.30279719751951</v>
      </c>
      <c r="FO45" s="902">
        <v>0</v>
      </c>
      <c r="FP45" s="902">
        <v>0</v>
      </c>
      <c r="FQ45" s="902">
        <v>73.805711565025987</v>
      </c>
      <c r="FR45" s="902">
        <v>26.913568808754036</v>
      </c>
      <c r="FS45" s="902">
        <v>3375</v>
      </c>
      <c r="FT45" s="909" t="s">
        <v>2877</v>
      </c>
      <c r="FU45" s="909">
        <v>8</v>
      </c>
      <c r="FV45" s="909">
        <v>0</v>
      </c>
      <c r="FW45" s="909">
        <v>0</v>
      </c>
      <c r="FX45" s="909">
        <v>0</v>
      </c>
      <c r="FY45" s="910">
        <v>4383.340631763178</v>
      </c>
      <c r="FZ45" s="909">
        <v>0</v>
      </c>
      <c r="GA45" s="909">
        <v>0</v>
      </c>
      <c r="GB45" s="909">
        <v>0</v>
      </c>
      <c r="GC45" s="910">
        <v>5510.1771603153484</v>
      </c>
      <c r="GD45" s="871">
        <v>4000</v>
      </c>
      <c r="GE45" s="911">
        <v>234.57225146803788</v>
      </c>
      <c r="GF45" s="908">
        <v>36.561374999999998</v>
      </c>
      <c r="GG45" s="902">
        <v>170.1156721975195</v>
      </c>
      <c r="GH45" s="902">
        <v>0</v>
      </c>
      <c r="GI45" s="902">
        <v>0</v>
      </c>
      <c r="GJ45" s="902">
        <v>71.642585953554857</v>
      </c>
      <c r="GK45" s="902">
        <v>24.551801480754037</v>
      </c>
      <c r="GL45" s="902">
        <v>2700</v>
      </c>
      <c r="GM45" s="909" t="s">
        <v>2877</v>
      </c>
      <c r="GN45" s="909">
        <v>6</v>
      </c>
      <c r="GO45" s="909">
        <v>0</v>
      </c>
      <c r="GP45" s="909">
        <v>0</v>
      </c>
      <c r="GQ45" s="909">
        <v>0</v>
      </c>
      <c r="GR45" s="910">
        <v>3247.3430891421767</v>
      </c>
      <c r="GS45" s="909">
        <v>0</v>
      </c>
      <c r="GT45" s="909">
        <v>0</v>
      </c>
      <c r="GU45" s="909">
        <v>0</v>
      </c>
      <c r="GV45" s="910">
        <v>3636.0298217747568</v>
      </c>
      <c r="GW45" s="871">
        <v>3247.3430891421767</v>
      </c>
      <c r="GX45" s="911">
        <v>190.43414492731341</v>
      </c>
      <c r="GY45" s="908">
        <v>48.7485</v>
      </c>
      <c r="GZ45" s="902">
        <v>182.30279719751951</v>
      </c>
      <c r="HA45" s="902">
        <v>0</v>
      </c>
      <c r="HB45" s="902">
        <v>0</v>
      </c>
      <c r="HC45" s="902">
        <v>73.805711565025987</v>
      </c>
      <c r="HD45" s="902">
        <v>26.913568808754036</v>
      </c>
      <c r="HE45" s="902">
        <v>3375</v>
      </c>
      <c r="HF45" s="909" t="s">
        <v>2877</v>
      </c>
      <c r="HG45" s="909">
        <v>8</v>
      </c>
      <c r="HH45" s="909">
        <v>0</v>
      </c>
      <c r="HI45" s="909">
        <v>0</v>
      </c>
      <c r="HJ45" s="909">
        <v>0</v>
      </c>
      <c r="HK45" s="910">
        <v>4383.340631763178</v>
      </c>
      <c r="HL45" s="909">
        <v>0</v>
      </c>
      <c r="HM45" s="909">
        <v>0</v>
      </c>
      <c r="HN45" s="909">
        <v>0</v>
      </c>
      <c r="HO45" s="910">
        <v>5510.1771603153484</v>
      </c>
      <c r="HP45" s="871">
        <v>4000</v>
      </c>
      <c r="HQ45" s="911">
        <v>234.57225146803788</v>
      </c>
      <c r="HR45" s="908">
        <v>36.561374999999998</v>
      </c>
      <c r="HS45" s="902">
        <v>173.38258308180778</v>
      </c>
      <c r="HT45" s="902">
        <v>3.2669108842882659</v>
      </c>
      <c r="HU45" s="902">
        <v>0</v>
      </c>
      <c r="HV45" s="902">
        <v>72.252271114871633</v>
      </c>
      <c r="HW45" s="902">
        <v>24.857862396841568</v>
      </c>
      <c r="HX45" s="902">
        <v>2700</v>
      </c>
      <c r="HY45" s="909" t="s">
        <v>1063</v>
      </c>
      <c r="HZ45" s="909">
        <v>6</v>
      </c>
      <c r="IA45" s="909">
        <v>1</v>
      </c>
      <c r="IB45" s="909">
        <v>8</v>
      </c>
      <c r="IC45" s="909">
        <v>64.728713429910627</v>
      </c>
      <c r="ID45" s="910">
        <v>6244.7203181439372</v>
      </c>
      <c r="IE45" s="909">
        <v>0</v>
      </c>
      <c r="IF45" s="909">
        <v>0</v>
      </c>
      <c r="IG45" s="909">
        <v>0</v>
      </c>
      <c r="IH45" s="910">
        <v>3206.6768893435042</v>
      </c>
      <c r="II45" s="871">
        <v>3206.6768893435042</v>
      </c>
      <c r="IJ45" s="911">
        <v>188.04935441595751</v>
      </c>
      <c r="IK45" s="908">
        <v>24.37425</v>
      </c>
      <c r="IL45" s="902">
        <v>166.82081603823738</v>
      </c>
      <c r="IM45" s="902">
        <v>2.4501831632161997</v>
      </c>
      <c r="IN45" s="902">
        <v>6.4420856775017032</v>
      </c>
      <c r="IO45" s="902">
        <v>69.632602580473744</v>
      </c>
      <c r="IP45" s="902">
        <v>24.169825546738249</v>
      </c>
      <c r="IQ45" s="902">
        <v>3375</v>
      </c>
      <c r="IR45" s="909" t="s">
        <v>1063</v>
      </c>
      <c r="IS45" s="909">
        <v>4</v>
      </c>
      <c r="IT45" s="909">
        <v>1</v>
      </c>
      <c r="IU45" s="909">
        <v>6</v>
      </c>
      <c r="IV45" s="909">
        <v>64.728713429910627</v>
      </c>
      <c r="IW45" s="910">
        <v>4736.2620949813063</v>
      </c>
      <c r="IX45" s="909">
        <v>1</v>
      </c>
      <c r="IY45" s="909">
        <v>6</v>
      </c>
      <c r="IZ45" s="909">
        <v>80.647742088287629</v>
      </c>
      <c r="JA45" s="910">
        <v>3896.0974291929165</v>
      </c>
      <c r="JB45" s="871">
        <v>3896.0974291929165</v>
      </c>
      <c r="JC45" s="911">
        <v>228.47908647615421</v>
      </c>
      <c r="JD45" s="908">
        <v>24.37425</v>
      </c>
      <c r="JE45" s="902">
        <v>157.92854719751949</v>
      </c>
      <c r="JF45" s="902">
        <v>0</v>
      </c>
      <c r="JG45" s="902">
        <v>0</v>
      </c>
      <c r="JH45" s="902">
        <v>69.145609588872787</v>
      </c>
      <c r="JI45" s="902">
        <v>22.190034152754038</v>
      </c>
      <c r="JJ45" s="902">
        <v>2700</v>
      </c>
      <c r="JK45" s="909" t="s">
        <v>1064</v>
      </c>
      <c r="JL45" s="909">
        <v>4</v>
      </c>
      <c r="JM45" s="909">
        <v>0</v>
      </c>
      <c r="JN45" s="909">
        <v>0</v>
      </c>
      <c r="JO45" s="909">
        <v>0</v>
      </c>
      <c r="JP45" s="910">
        <v>2970.8394970421173</v>
      </c>
      <c r="JQ45" s="909">
        <v>0</v>
      </c>
      <c r="JR45" s="909">
        <v>0</v>
      </c>
      <c r="JS45" s="909">
        <v>0</v>
      </c>
      <c r="JT45" s="910">
        <v>3210.8812371704953</v>
      </c>
      <c r="JU45" s="871">
        <v>2970.8394970421173</v>
      </c>
      <c r="JV45" s="911">
        <v>174.21912739283567</v>
      </c>
      <c r="JW45" s="908">
        <v>36.561374999999998</v>
      </c>
      <c r="JX45" s="902">
        <v>170.1156721975195</v>
      </c>
      <c r="JY45" s="902">
        <v>0</v>
      </c>
      <c r="JZ45" s="902">
        <v>0</v>
      </c>
      <c r="KA45" s="902">
        <v>71.642585953554857</v>
      </c>
      <c r="KB45" s="902">
        <v>24.551801480754037</v>
      </c>
      <c r="KC45" s="902">
        <v>3375</v>
      </c>
      <c r="KD45" s="909" t="s">
        <v>1064</v>
      </c>
      <c r="KE45" s="909">
        <v>6</v>
      </c>
      <c r="KF45" s="909">
        <v>0</v>
      </c>
      <c r="KG45" s="909">
        <v>0</v>
      </c>
      <c r="KH45" s="909">
        <v>0</v>
      </c>
      <c r="KI45" s="910">
        <v>3902.8206723085823</v>
      </c>
      <c r="KJ45" s="909">
        <v>0</v>
      </c>
      <c r="KK45" s="909">
        <v>0</v>
      </c>
      <c r="KL45" s="909">
        <v>0</v>
      </c>
      <c r="KM45" s="910">
        <v>4369.9639871750251</v>
      </c>
      <c r="KN45" s="871">
        <v>3902.8206723085823</v>
      </c>
      <c r="KO45" s="912">
        <v>228.87335804485639</v>
      </c>
    </row>
    <row r="46" spans="1:301" ht="15" customHeight="1">
      <c r="A46" s="924" t="s">
        <v>1684</v>
      </c>
      <c r="B46" s="888" t="s">
        <v>1079</v>
      </c>
      <c r="C46" s="888">
        <v>614</v>
      </c>
      <c r="D46" s="888">
        <v>1120</v>
      </c>
      <c r="E46" s="888">
        <v>630</v>
      </c>
      <c r="F46" s="888">
        <v>565</v>
      </c>
      <c r="G46" s="888">
        <v>340</v>
      </c>
      <c r="H46" s="888">
        <v>231</v>
      </c>
      <c r="I46" s="888">
        <v>158</v>
      </c>
      <c r="J46" s="888">
        <v>35.090000000000003</v>
      </c>
      <c r="K46" s="888">
        <v>44.81</v>
      </c>
      <c r="L46" s="888">
        <v>12</v>
      </c>
      <c r="M46" s="888">
        <v>415</v>
      </c>
      <c r="N46" s="888">
        <v>6</v>
      </c>
      <c r="O46" s="884">
        <v>31.720857372836988</v>
      </c>
      <c r="P46" s="888">
        <v>6</v>
      </c>
      <c r="Q46" s="884">
        <v>22.383910867267975</v>
      </c>
      <c r="R46" s="888">
        <v>18.000000000000004</v>
      </c>
      <c r="S46" s="888">
        <v>805.79324261915042</v>
      </c>
      <c r="T46" s="906">
        <v>72.057515754417864</v>
      </c>
      <c r="U46" s="906">
        <v>120.86898639287256</v>
      </c>
      <c r="V46" s="906">
        <v>135</v>
      </c>
      <c r="W46" s="1141">
        <v>9.1197793376685095</v>
      </c>
      <c r="X46" s="902">
        <v>0</v>
      </c>
      <c r="Y46" s="902">
        <v>0</v>
      </c>
      <c r="Z46" s="902">
        <v>0</v>
      </c>
      <c r="AA46" s="902">
        <v>0</v>
      </c>
      <c r="AB46" s="970">
        <v>35.43707182873446</v>
      </c>
      <c r="AC46" s="1045">
        <v>3719.5286758483408</v>
      </c>
      <c r="AD46" s="890">
        <v>0.43792961572880762</v>
      </c>
      <c r="AE46" s="890">
        <v>0.70255106073371232</v>
      </c>
      <c r="AF46" s="890">
        <v>-0.3290537805761502</v>
      </c>
      <c r="AG46" s="890">
        <v>0.73903124839446699</v>
      </c>
      <c r="AH46" s="888"/>
      <c r="AI46" s="907">
        <v>5.2858498926466684</v>
      </c>
      <c r="AJ46" s="908">
        <v>60.828708000000006</v>
      </c>
      <c r="AK46" s="902">
        <v>196.11077133219135</v>
      </c>
      <c r="AL46" s="902">
        <v>0</v>
      </c>
      <c r="AM46" s="902">
        <v>0</v>
      </c>
      <c r="AN46" s="902">
        <v>79.977699339327131</v>
      </c>
      <c r="AO46" s="902">
        <v>30.126977311664625</v>
      </c>
      <c r="AP46" s="1222">
        <v>2200</v>
      </c>
      <c r="AQ46" s="909" t="s">
        <v>1062</v>
      </c>
      <c r="AR46" s="909">
        <v>8</v>
      </c>
      <c r="AS46" s="909">
        <v>0</v>
      </c>
      <c r="AT46" s="909">
        <v>0</v>
      </c>
      <c r="AU46" s="909">
        <v>0</v>
      </c>
      <c r="AV46" s="910">
        <v>2671.7441742726992</v>
      </c>
      <c r="AW46" s="909">
        <v>0</v>
      </c>
      <c r="AX46" s="909">
        <v>0</v>
      </c>
      <c r="AY46" s="909">
        <v>0</v>
      </c>
      <c r="AZ46" s="910">
        <v>3186.0158282543684</v>
      </c>
      <c r="BA46" s="871">
        <v>2671.7441742726992</v>
      </c>
      <c r="BB46" s="911">
        <v>156.67926157644021</v>
      </c>
      <c r="BC46" s="908">
        <v>45.621531000000004</v>
      </c>
      <c r="BD46" s="902">
        <v>180.90359433219135</v>
      </c>
      <c r="BE46" s="902">
        <v>0</v>
      </c>
      <c r="BF46" s="902">
        <v>0</v>
      </c>
      <c r="BG46" s="902">
        <v>76.991612105470864</v>
      </c>
      <c r="BH46" s="902">
        <v>27.025861345528121</v>
      </c>
      <c r="BI46" s="902">
        <v>2750</v>
      </c>
      <c r="BJ46" s="909" t="s">
        <v>1064</v>
      </c>
      <c r="BK46" s="909">
        <v>6</v>
      </c>
      <c r="BL46" s="909">
        <v>0</v>
      </c>
      <c r="BM46" s="909">
        <v>0</v>
      </c>
      <c r="BN46" s="909">
        <v>0</v>
      </c>
      <c r="BO46" s="910">
        <v>3261.2594906146387</v>
      </c>
      <c r="BP46" s="909">
        <v>0</v>
      </c>
      <c r="BQ46" s="909">
        <v>0</v>
      </c>
      <c r="BR46" s="909">
        <v>0</v>
      </c>
      <c r="BS46" s="910">
        <v>3608.2761733275102</v>
      </c>
      <c r="BT46" s="871">
        <v>3261.2594906146387</v>
      </c>
      <c r="BU46" s="911">
        <v>191.25024533374554</v>
      </c>
      <c r="BV46" s="908">
        <v>60.828708000000006</v>
      </c>
      <c r="BW46" s="902">
        <v>196.11077133219135</v>
      </c>
      <c r="BX46" s="902">
        <v>0</v>
      </c>
      <c r="BY46" s="902">
        <v>0</v>
      </c>
      <c r="BZ46" s="902">
        <v>79.977699339327131</v>
      </c>
      <c r="CA46" s="902">
        <v>30.126977311664625</v>
      </c>
      <c r="CB46" s="902">
        <v>2200</v>
      </c>
      <c r="CC46" s="909" t="s">
        <v>2874</v>
      </c>
      <c r="CD46" s="909">
        <v>8</v>
      </c>
      <c r="CE46" s="909">
        <v>0</v>
      </c>
      <c r="CF46" s="909">
        <v>0</v>
      </c>
      <c r="CG46" s="909">
        <v>0</v>
      </c>
      <c r="CH46" s="910">
        <v>2617.763980088675</v>
      </c>
      <c r="CI46" s="909">
        <v>0</v>
      </c>
      <c r="CJ46" s="909">
        <v>0</v>
      </c>
      <c r="CK46" s="909">
        <v>0</v>
      </c>
      <c r="CL46" s="910">
        <v>3121.6452366615708</v>
      </c>
      <c r="CM46" s="871">
        <v>2617.763980088675</v>
      </c>
      <c r="CN46" s="911">
        <v>153.51369765533309</v>
      </c>
      <c r="CO46" s="908">
        <v>60.828708000000006</v>
      </c>
      <c r="CP46" s="902">
        <v>200.25490415006689</v>
      </c>
      <c r="CQ46" s="902">
        <v>4.1441328178755494</v>
      </c>
      <c r="CR46" s="902">
        <v>0</v>
      </c>
      <c r="CS46" s="902">
        <v>80.712808087645328</v>
      </c>
      <c r="CT46" s="902">
        <v>30.59744399623175</v>
      </c>
      <c r="CU46" s="902">
        <v>2750</v>
      </c>
      <c r="CV46" s="909" t="s">
        <v>2874</v>
      </c>
      <c r="CW46" s="909">
        <v>8</v>
      </c>
      <c r="CX46" s="909">
        <v>1</v>
      </c>
      <c r="CY46" s="909">
        <v>10</v>
      </c>
      <c r="CZ46" s="909">
        <v>57.421368113005435</v>
      </c>
      <c r="DA46" s="910">
        <v>4396.8109194766603</v>
      </c>
      <c r="DB46" s="909">
        <v>0</v>
      </c>
      <c r="DC46" s="909">
        <v>0</v>
      </c>
      <c r="DD46" s="909">
        <v>0</v>
      </c>
      <c r="DE46" s="910">
        <v>3121.6452366615708</v>
      </c>
      <c r="DF46" s="871">
        <v>3121.6452366615708</v>
      </c>
      <c r="DG46" s="911">
        <v>183.06283786204514</v>
      </c>
      <c r="DH46" s="908">
        <v>60.828708000000006</v>
      </c>
      <c r="DI46" s="902">
        <v>196.11077133219135</v>
      </c>
      <c r="DJ46" s="902">
        <v>0</v>
      </c>
      <c r="DK46" s="902">
        <v>0</v>
      </c>
      <c r="DL46" s="902">
        <v>79.977699339327131</v>
      </c>
      <c r="DM46" s="902">
        <v>30.126977311664625</v>
      </c>
      <c r="DN46" s="902">
        <v>2200</v>
      </c>
      <c r="DO46" s="909" t="s">
        <v>2875</v>
      </c>
      <c r="DP46" s="909">
        <v>8</v>
      </c>
      <c r="DQ46" s="909">
        <v>0</v>
      </c>
      <c r="DR46" s="909">
        <v>0</v>
      </c>
      <c r="DS46" s="909">
        <v>0</v>
      </c>
      <c r="DT46" s="910">
        <v>2724.6551359888667</v>
      </c>
      <c r="DU46" s="909">
        <v>0</v>
      </c>
      <c r="DV46" s="909">
        <v>0</v>
      </c>
      <c r="DW46" s="909">
        <v>0</v>
      </c>
      <c r="DX46" s="910">
        <v>3249.1113757769003</v>
      </c>
      <c r="DY46" s="871">
        <v>2724.6551359888667</v>
      </c>
      <c r="DZ46" s="911">
        <v>159.78212243071536</v>
      </c>
      <c r="EA46" s="908">
        <v>60.828708000000006</v>
      </c>
      <c r="EB46" s="902">
        <v>200.25490415006689</v>
      </c>
      <c r="EC46" s="902">
        <v>4.1441328178755494</v>
      </c>
      <c r="ED46" s="902">
        <v>0</v>
      </c>
      <c r="EE46" s="902">
        <v>80.712808087645328</v>
      </c>
      <c r="EF46" s="902">
        <v>30.59744399623175</v>
      </c>
      <c r="EG46" s="902">
        <v>2750</v>
      </c>
      <c r="EH46" s="909" t="s">
        <v>2875</v>
      </c>
      <c r="EI46" s="909">
        <v>8</v>
      </c>
      <c r="EJ46" s="909">
        <v>1</v>
      </c>
      <c r="EK46" s="909">
        <v>10</v>
      </c>
      <c r="EL46" s="909">
        <v>57.421368113005435</v>
      </c>
      <c r="EM46" s="910">
        <v>4576.3458985779935</v>
      </c>
      <c r="EN46" s="909">
        <v>0</v>
      </c>
      <c r="EO46" s="909">
        <v>0</v>
      </c>
      <c r="EP46" s="909">
        <v>0</v>
      </c>
      <c r="EQ46" s="910">
        <v>3249.1113757769003</v>
      </c>
      <c r="ER46" s="871">
        <v>3249.1113757769003</v>
      </c>
      <c r="ES46" s="911">
        <v>190.53784267160043</v>
      </c>
      <c r="ET46" s="908">
        <v>60.828708000000006</v>
      </c>
      <c r="EU46" s="902">
        <v>196.11077133219135</v>
      </c>
      <c r="EV46" s="902">
        <v>0</v>
      </c>
      <c r="EW46" s="902">
        <v>0</v>
      </c>
      <c r="EX46" s="902">
        <v>79.977699339327131</v>
      </c>
      <c r="EY46" s="902">
        <v>30.126977311664625</v>
      </c>
      <c r="EZ46" s="902">
        <v>2200</v>
      </c>
      <c r="FA46" s="909" t="s">
        <v>3884</v>
      </c>
      <c r="FB46" s="909">
        <v>8</v>
      </c>
      <c r="FC46" s="909">
        <v>0</v>
      </c>
      <c r="FD46" s="909">
        <v>0</v>
      </c>
      <c r="FE46" s="909">
        <v>0</v>
      </c>
      <c r="FF46" s="910">
        <v>2902.2570493767298</v>
      </c>
      <c r="FG46" s="909">
        <v>0</v>
      </c>
      <c r="FH46" s="909">
        <v>0</v>
      </c>
      <c r="FI46" s="909">
        <v>0</v>
      </c>
      <c r="FJ46" s="910">
        <v>3460.8990583816649</v>
      </c>
      <c r="FK46" s="871">
        <v>2902.2570493767298</v>
      </c>
      <c r="FL46" s="911">
        <v>170.19724260282098</v>
      </c>
      <c r="FM46" s="908">
        <v>60.828708000000006</v>
      </c>
      <c r="FN46" s="902">
        <v>196.11077133219135</v>
      </c>
      <c r="FO46" s="902">
        <v>0</v>
      </c>
      <c r="FP46" s="902">
        <v>0</v>
      </c>
      <c r="FQ46" s="902">
        <v>79.977699339327131</v>
      </c>
      <c r="FR46" s="902">
        <v>30.126977311664625</v>
      </c>
      <c r="FS46" s="902">
        <v>2750</v>
      </c>
      <c r="FT46" s="909" t="s">
        <v>2877</v>
      </c>
      <c r="FU46" s="909">
        <v>8</v>
      </c>
      <c r="FV46" s="909">
        <v>0</v>
      </c>
      <c r="FW46" s="909">
        <v>0</v>
      </c>
      <c r="FX46" s="909">
        <v>0</v>
      </c>
      <c r="FY46" s="910">
        <v>3584.5209552976794</v>
      </c>
      <c r="FZ46" s="909">
        <v>0</v>
      </c>
      <c r="GA46" s="909">
        <v>0</v>
      </c>
      <c r="GB46" s="909">
        <v>0</v>
      </c>
      <c r="GC46" s="910">
        <v>4274.4887816202372</v>
      </c>
      <c r="GD46" s="871">
        <v>3584.5209552976794</v>
      </c>
      <c r="GE46" s="911">
        <v>210.20728772963466</v>
      </c>
      <c r="GF46" s="908">
        <v>45.621531000000004</v>
      </c>
      <c r="GG46" s="902">
        <v>180.90359433219135</v>
      </c>
      <c r="GH46" s="902">
        <v>0</v>
      </c>
      <c r="GI46" s="902">
        <v>0</v>
      </c>
      <c r="GJ46" s="902">
        <v>76.991612105470864</v>
      </c>
      <c r="GK46" s="902">
        <v>27.025861345528121</v>
      </c>
      <c r="GL46" s="902">
        <v>2200</v>
      </c>
      <c r="GM46" s="909" t="s">
        <v>2877</v>
      </c>
      <c r="GN46" s="909">
        <v>6</v>
      </c>
      <c r="GO46" s="909">
        <v>0</v>
      </c>
      <c r="GP46" s="909">
        <v>0</v>
      </c>
      <c r="GQ46" s="909">
        <v>0</v>
      </c>
      <c r="GR46" s="910">
        <v>2713.531919077996</v>
      </c>
      <c r="GS46" s="909">
        <v>0</v>
      </c>
      <c r="GT46" s="909">
        <v>0</v>
      </c>
      <c r="GU46" s="909">
        <v>0</v>
      </c>
      <c r="GV46" s="910">
        <v>3002.2672520693823</v>
      </c>
      <c r="GW46" s="871">
        <v>2713.531919077996</v>
      </c>
      <c r="GX46" s="911">
        <v>159.1298229221278</v>
      </c>
      <c r="GY46" s="908">
        <v>60.828708000000006</v>
      </c>
      <c r="GZ46" s="902">
        <v>196.11077133219135</v>
      </c>
      <c r="HA46" s="902">
        <v>0</v>
      </c>
      <c r="HB46" s="902">
        <v>0</v>
      </c>
      <c r="HC46" s="902">
        <v>79.977699339327131</v>
      </c>
      <c r="HD46" s="902">
        <v>30.126977311664625</v>
      </c>
      <c r="HE46" s="902">
        <v>2750</v>
      </c>
      <c r="HF46" s="909" t="s">
        <v>2877</v>
      </c>
      <c r="HG46" s="909">
        <v>8</v>
      </c>
      <c r="HH46" s="909">
        <v>0</v>
      </c>
      <c r="HI46" s="909">
        <v>0</v>
      </c>
      <c r="HJ46" s="909">
        <v>0</v>
      </c>
      <c r="HK46" s="910">
        <v>3584.5209552976794</v>
      </c>
      <c r="HL46" s="909">
        <v>0</v>
      </c>
      <c r="HM46" s="909">
        <v>0</v>
      </c>
      <c r="HN46" s="909">
        <v>0</v>
      </c>
      <c r="HO46" s="910">
        <v>4274.4887816202372</v>
      </c>
      <c r="HP46" s="871">
        <v>3584.5209552976794</v>
      </c>
      <c r="HQ46" s="911">
        <v>210.20728772963466</v>
      </c>
      <c r="HR46" s="908">
        <v>45.621531000000004</v>
      </c>
      <c r="HS46" s="902">
        <v>184.2189005864918</v>
      </c>
      <c r="HT46" s="902">
        <v>3.3153062543004395</v>
      </c>
      <c r="HU46" s="902">
        <v>0</v>
      </c>
      <c r="HV46" s="902">
        <v>77.684630567872446</v>
      </c>
      <c r="HW46" s="902">
        <v>27.402234693181821</v>
      </c>
      <c r="HX46" s="902">
        <v>2200</v>
      </c>
      <c r="HY46" s="909" t="s">
        <v>1063</v>
      </c>
      <c r="HZ46" s="909">
        <v>6</v>
      </c>
      <c r="IA46" s="909">
        <v>1</v>
      </c>
      <c r="IB46" s="909">
        <v>8</v>
      </c>
      <c r="IC46" s="909">
        <v>57.421368113005435</v>
      </c>
      <c r="ID46" s="910">
        <v>5368.0924426348802</v>
      </c>
      <c r="IE46" s="909">
        <v>0</v>
      </c>
      <c r="IF46" s="909">
        <v>0</v>
      </c>
      <c r="IG46" s="909">
        <v>0</v>
      </c>
      <c r="IH46" s="910">
        <v>2647.750839442951</v>
      </c>
      <c r="II46" s="871">
        <v>2647.750839442951</v>
      </c>
      <c r="IJ46" s="911">
        <v>155.27221893363009</v>
      </c>
      <c r="IK46" s="908">
        <v>30.414354000000003</v>
      </c>
      <c r="IL46" s="902">
        <v>173.83279809212513</v>
      </c>
      <c r="IM46" s="902">
        <v>2.4864796907253295</v>
      </c>
      <c r="IN46" s="902">
        <v>5.6499010692084459</v>
      </c>
      <c r="IO46" s="902">
        <v>74.238930456130049</v>
      </c>
      <c r="IP46" s="902">
        <v>25.770103896178156</v>
      </c>
      <c r="IQ46" s="902">
        <v>2750</v>
      </c>
      <c r="IR46" s="909" t="s">
        <v>1063</v>
      </c>
      <c r="IS46" s="909">
        <v>4</v>
      </c>
      <c r="IT46" s="909">
        <v>1</v>
      </c>
      <c r="IU46" s="909">
        <v>6</v>
      </c>
      <c r="IV46" s="909">
        <v>57.421368113005435</v>
      </c>
      <c r="IW46" s="910">
        <v>3952.5564078725597</v>
      </c>
      <c r="IX46" s="909">
        <v>1</v>
      </c>
      <c r="IY46" s="909">
        <v>6</v>
      </c>
      <c r="IZ46" s="909">
        <v>70.396267932356565</v>
      </c>
      <c r="JA46" s="910">
        <v>3719.5286758483408</v>
      </c>
      <c r="JB46" s="871">
        <v>3719.5286758483408</v>
      </c>
      <c r="JC46" s="911">
        <v>218.12455397341873</v>
      </c>
      <c r="JD46" s="908">
        <v>30.414354000000003</v>
      </c>
      <c r="JE46" s="902">
        <v>165.69641733219134</v>
      </c>
      <c r="JF46" s="902">
        <v>0</v>
      </c>
      <c r="JG46" s="902">
        <v>0</v>
      </c>
      <c r="JH46" s="902">
        <v>73.457414564417618</v>
      </c>
      <c r="JI46" s="902">
        <v>23.924745379391624</v>
      </c>
      <c r="JJ46" s="902">
        <v>2200</v>
      </c>
      <c r="JK46" s="909" t="s">
        <v>1064</v>
      </c>
      <c r="JL46" s="909">
        <v>4</v>
      </c>
      <c r="JM46" s="909">
        <v>0</v>
      </c>
      <c r="JN46" s="909">
        <v>0</v>
      </c>
      <c r="JO46" s="909">
        <v>0</v>
      </c>
      <c r="JP46" s="910">
        <v>2502.1911510053201</v>
      </c>
      <c r="JQ46" s="909">
        <v>0</v>
      </c>
      <c r="JR46" s="909">
        <v>0</v>
      </c>
      <c r="JS46" s="909">
        <v>0</v>
      </c>
      <c r="JT46" s="910">
        <v>2698.6144619472921</v>
      </c>
      <c r="JU46" s="871">
        <v>2502.1911510053201</v>
      </c>
      <c r="JV46" s="911">
        <v>146.73615297367979</v>
      </c>
      <c r="JW46" s="908">
        <v>45.621531000000004</v>
      </c>
      <c r="JX46" s="902">
        <v>180.90359433219135</v>
      </c>
      <c r="JY46" s="902">
        <v>0</v>
      </c>
      <c r="JZ46" s="902">
        <v>0</v>
      </c>
      <c r="KA46" s="902">
        <v>76.991612105470864</v>
      </c>
      <c r="KB46" s="902">
        <v>27.025861345528121</v>
      </c>
      <c r="KC46" s="902">
        <v>2750</v>
      </c>
      <c r="KD46" s="909" t="s">
        <v>1064</v>
      </c>
      <c r="KE46" s="909">
        <v>6</v>
      </c>
      <c r="KF46" s="909">
        <v>0</v>
      </c>
      <c r="KG46" s="909">
        <v>0</v>
      </c>
      <c r="KH46" s="909">
        <v>0</v>
      </c>
      <c r="KI46" s="910">
        <v>3261.2594906146387</v>
      </c>
      <c r="KJ46" s="909">
        <v>0</v>
      </c>
      <c r="KK46" s="909">
        <v>0</v>
      </c>
      <c r="KL46" s="909">
        <v>0</v>
      </c>
      <c r="KM46" s="910">
        <v>3608.2761733275102</v>
      </c>
      <c r="KN46" s="871">
        <v>3261.2594906146387</v>
      </c>
      <c r="KO46" s="912">
        <v>191.25024533374554</v>
      </c>
    </row>
    <row r="47" spans="1:301" ht="15" customHeight="1">
      <c r="A47" s="924" t="s">
        <v>1536</v>
      </c>
      <c r="B47" s="888" t="s">
        <v>1080</v>
      </c>
      <c r="C47" s="888">
        <v>716</v>
      </c>
      <c r="D47" s="888">
        <v>1120</v>
      </c>
      <c r="E47" s="888">
        <v>700</v>
      </c>
      <c r="F47" s="888">
        <v>700</v>
      </c>
      <c r="G47" s="888">
        <v>410</v>
      </c>
      <c r="H47" s="888">
        <v>289</v>
      </c>
      <c r="I47" s="888">
        <v>216</v>
      </c>
      <c r="J47" s="888">
        <v>17.68</v>
      </c>
      <c r="K47" s="888">
        <v>29.78</v>
      </c>
      <c r="L47" s="888">
        <v>8</v>
      </c>
      <c r="M47" s="888">
        <v>452</v>
      </c>
      <c r="N47" s="888">
        <v>6</v>
      </c>
      <c r="O47" s="884">
        <v>28.276878572357546</v>
      </c>
      <c r="P47" s="888">
        <v>6</v>
      </c>
      <c r="Q47" s="884">
        <v>19.326424342611332</v>
      </c>
      <c r="R47" s="888">
        <v>18.000000000000004</v>
      </c>
      <c r="S47" s="888">
        <v>855.54358465062205</v>
      </c>
      <c r="T47" s="906">
        <v>81.229975328387781</v>
      </c>
      <c r="U47" s="906">
        <v>128.33153769759329</v>
      </c>
      <c r="V47" s="906">
        <v>172.5</v>
      </c>
      <c r="W47" s="1141">
        <v>13.136410072637707</v>
      </c>
      <c r="X47" s="902">
        <v>0</v>
      </c>
      <c r="Y47" s="902">
        <v>0</v>
      </c>
      <c r="Z47" s="902">
        <v>0</v>
      </c>
      <c r="AA47" s="902">
        <v>0</v>
      </c>
      <c r="AB47" s="970">
        <v>30.984336609802622</v>
      </c>
      <c r="AC47" s="1045">
        <v>3561.4572273031672</v>
      </c>
      <c r="AD47" s="890">
        <v>0.46077025438514929</v>
      </c>
      <c r="AE47" s="890">
        <v>0.3187561337218649</v>
      </c>
      <c r="AF47" s="890">
        <v>-0.66114193503374841</v>
      </c>
      <c r="AG47" s="890">
        <v>1.0863752597290313</v>
      </c>
      <c r="AH47" s="888"/>
      <c r="AI47" s="907">
        <v>4.9616156629536725</v>
      </c>
      <c r="AJ47" s="908">
        <v>43.004184000000009</v>
      </c>
      <c r="AK47" s="902">
        <v>184.97387231599438</v>
      </c>
      <c r="AL47" s="902">
        <v>0</v>
      </c>
      <c r="AM47" s="902">
        <v>0</v>
      </c>
      <c r="AN47" s="902">
        <v>88.164813284008417</v>
      </c>
      <c r="AO47" s="902">
        <v>27.895349623365973</v>
      </c>
      <c r="AP47" s="1222">
        <v>1850</v>
      </c>
      <c r="AQ47" s="909" t="s">
        <v>1064</v>
      </c>
      <c r="AR47" s="909">
        <v>6</v>
      </c>
      <c r="AS47" s="909">
        <v>0</v>
      </c>
      <c r="AT47" s="909">
        <v>0</v>
      </c>
      <c r="AU47" s="909">
        <v>0</v>
      </c>
      <c r="AV47" s="910">
        <v>2161.6461699785264</v>
      </c>
      <c r="AW47" s="909">
        <v>0</v>
      </c>
      <c r="AX47" s="909">
        <v>0</v>
      </c>
      <c r="AY47" s="909">
        <v>0</v>
      </c>
      <c r="AZ47" s="910">
        <v>2263.1765908496245</v>
      </c>
      <c r="BA47" s="871">
        <v>2161.6461699785264</v>
      </c>
      <c r="BB47" s="911">
        <v>126.76555224228098</v>
      </c>
      <c r="BC47" s="908">
        <v>35.836820000000003</v>
      </c>
      <c r="BD47" s="902">
        <v>187.72996522083145</v>
      </c>
      <c r="BE47" s="902">
        <v>2.7915957540513308</v>
      </c>
      <c r="BF47" s="902">
        <v>7.1318611507857019</v>
      </c>
      <c r="BG47" s="902">
        <v>87.60524399266221</v>
      </c>
      <c r="BH47" s="902">
        <v>28.699589473955513</v>
      </c>
      <c r="BI47" s="902">
        <v>2312.5</v>
      </c>
      <c r="BJ47" s="909" t="s">
        <v>1062</v>
      </c>
      <c r="BK47" s="909">
        <v>5</v>
      </c>
      <c r="BL47" s="909">
        <v>1</v>
      </c>
      <c r="BM47" s="909">
        <v>8</v>
      </c>
      <c r="BN47" s="909">
        <v>40.679520605982091</v>
      </c>
      <c r="BO47" s="910">
        <v>2583.4442700059985</v>
      </c>
      <c r="BP47" s="909">
        <v>1</v>
      </c>
      <c r="BQ47" s="909">
        <v>8</v>
      </c>
      <c r="BR47" s="909">
        <v>66.527184114435599</v>
      </c>
      <c r="BS47" s="910">
        <v>2746.1502022002278</v>
      </c>
      <c r="BT47" s="871">
        <v>2583.4442700059985</v>
      </c>
      <c r="BU47" s="911">
        <v>151.50108473937718</v>
      </c>
      <c r="BV47" s="908">
        <v>28.669456000000004</v>
      </c>
      <c r="BW47" s="902">
        <v>178.08173699462213</v>
      </c>
      <c r="BX47" s="902">
        <v>2.0936968155384981</v>
      </c>
      <c r="BY47" s="902">
        <v>5.3488958630892762</v>
      </c>
      <c r="BZ47" s="902">
        <v>84.888203121441535</v>
      </c>
      <c r="CA47" s="902">
        <v>26.519602392498129</v>
      </c>
      <c r="CB47" s="902">
        <v>1850</v>
      </c>
      <c r="CC47" s="909" t="s">
        <v>2874</v>
      </c>
      <c r="CD47" s="909">
        <v>4</v>
      </c>
      <c r="CE47" s="909">
        <v>1</v>
      </c>
      <c r="CF47" s="909">
        <v>6</v>
      </c>
      <c r="CG47" s="909">
        <v>40.679520605982091</v>
      </c>
      <c r="CH47" s="910">
        <v>2164.0967629647362</v>
      </c>
      <c r="CI47" s="909">
        <v>1</v>
      </c>
      <c r="CJ47" s="909">
        <v>6</v>
      </c>
      <c r="CK47" s="909">
        <v>66.527184114435599</v>
      </c>
      <c r="CL47" s="910">
        <v>2270.497621206961</v>
      </c>
      <c r="CM47" s="871">
        <v>2164.0967629647362</v>
      </c>
      <c r="CN47" s="911">
        <v>126.90926252083273</v>
      </c>
      <c r="CO47" s="908">
        <v>43.004184000000009</v>
      </c>
      <c r="CP47" s="902">
        <v>194.89732922083144</v>
      </c>
      <c r="CQ47" s="902">
        <v>2.7915957540513308</v>
      </c>
      <c r="CR47" s="902">
        <v>7.1318611507857019</v>
      </c>
      <c r="CS47" s="902">
        <v>89.697552941307322</v>
      </c>
      <c r="CT47" s="902">
        <v>30.282731169003519</v>
      </c>
      <c r="CU47" s="902">
        <v>2312.5</v>
      </c>
      <c r="CV47" s="909" t="s">
        <v>2874</v>
      </c>
      <c r="CW47" s="909">
        <v>6</v>
      </c>
      <c r="CX47" s="909">
        <v>1</v>
      </c>
      <c r="CY47" s="909">
        <v>8</v>
      </c>
      <c r="CZ47" s="909">
        <v>40.679520605982091</v>
      </c>
      <c r="DA47" s="910">
        <v>2961.9478932382517</v>
      </c>
      <c r="DB47" s="909">
        <v>1</v>
      </c>
      <c r="DC47" s="909">
        <v>8</v>
      </c>
      <c r="DD47" s="909">
        <v>66.527184114435599</v>
      </c>
      <c r="DE47" s="910">
        <v>2954.7486555244191</v>
      </c>
      <c r="DF47" s="871">
        <v>2954.7486555244191</v>
      </c>
      <c r="DG47" s="911">
        <v>173.27551116213024</v>
      </c>
      <c r="DH47" s="908">
        <v>28.669456000000004</v>
      </c>
      <c r="DI47" s="902">
        <v>178.08173699462213</v>
      </c>
      <c r="DJ47" s="902">
        <v>2.0936968155384981</v>
      </c>
      <c r="DK47" s="902">
        <v>5.3488958630892762</v>
      </c>
      <c r="DL47" s="902">
        <v>84.888203121441535</v>
      </c>
      <c r="DM47" s="902">
        <v>26.519602392498129</v>
      </c>
      <c r="DN47" s="902">
        <v>1850</v>
      </c>
      <c r="DO47" s="909" t="s">
        <v>2875</v>
      </c>
      <c r="DP47" s="909">
        <v>4</v>
      </c>
      <c r="DQ47" s="909">
        <v>1</v>
      </c>
      <c r="DR47" s="909">
        <v>6</v>
      </c>
      <c r="DS47" s="909">
        <v>40.679520605982091</v>
      </c>
      <c r="DT47" s="910">
        <v>2252.4633255092049</v>
      </c>
      <c r="DU47" s="909">
        <v>1</v>
      </c>
      <c r="DV47" s="909">
        <v>6</v>
      </c>
      <c r="DW47" s="909">
        <v>66.527184114435599</v>
      </c>
      <c r="DX47" s="910">
        <v>2363.208849967632</v>
      </c>
      <c r="DY47" s="871">
        <v>2252.4633255092049</v>
      </c>
      <c r="DZ47" s="911">
        <v>132.09134840346954</v>
      </c>
      <c r="EA47" s="908">
        <v>35.836820000000003</v>
      </c>
      <c r="EB47" s="902">
        <v>187.72996522083145</v>
      </c>
      <c r="EC47" s="902">
        <v>2.7915957540513308</v>
      </c>
      <c r="ED47" s="902">
        <v>7.1318611507857019</v>
      </c>
      <c r="EE47" s="902">
        <v>87.60524399266221</v>
      </c>
      <c r="EF47" s="902">
        <v>28.699589473955513</v>
      </c>
      <c r="EG47" s="902">
        <v>2312.5</v>
      </c>
      <c r="EH47" s="909" t="s">
        <v>2875</v>
      </c>
      <c r="EI47" s="909">
        <v>5</v>
      </c>
      <c r="EJ47" s="909">
        <v>1</v>
      </c>
      <c r="EK47" s="909">
        <v>8</v>
      </c>
      <c r="EL47" s="909">
        <v>40.679520605982091</v>
      </c>
      <c r="EM47" s="910">
        <v>2634.6065490080109</v>
      </c>
      <c r="EN47" s="909">
        <v>1</v>
      </c>
      <c r="EO47" s="909">
        <v>8</v>
      </c>
      <c r="EP47" s="909">
        <v>66.527184114435599</v>
      </c>
      <c r="EQ47" s="910">
        <v>2800.5346936551464</v>
      </c>
      <c r="ER47" s="871">
        <v>2634.6065490080109</v>
      </c>
      <c r="ES47" s="911">
        <v>154.50139748331168</v>
      </c>
      <c r="ET47" s="908">
        <v>57.338912000000008</v>
      </c>
      <c r="EU47" s="902">
        <v>199.3086003159944</v>
      </c>
      <c r="EV47" s="902">
        <v>0</v>
      </c>
      <c r="EW47" s="902">
        <v>0</v>
      </c>
      <c r="EX47" s="902">
        <v>92.2165680859719</v>
      </c>
      <c r="EY47" s="902">
        <v>31.061633013461972</v>
      </c>
      <c r="EZ47" s="902">
        <v>1850</v>
      </c>
      <c r="FA47" s="909" t="s">
        <v>2877</v>
      </c>
      <c r="FB47" s="909">
        <v>8</v>
      </c>
      <c r="FC47" s="909">
        <v>0</v>
      </c>
      <c r="FD47" s="909">
        <v>0</v>
      </c>
      <c r="FE47" s="909">
        <v>0</v>
      </c>
      <c r="FF47" s="910">
        <v>2290.4358408137009</v>
      </c>
      <c r="FG47" s="909">
        <v>0</v>
      </c>
      <c r="FH47" s="909">
        <v>0</v>
      </c>
      <c r="FI47" s="909">
        <v>0</v>
      </c>
      <c r="FJ47" s="910">
        <v>2472.9336261242811</v>
      </c>
      <c r="FK47" s="871">
        <v>2290.4358408137009</v>
      </c>
      <c r="FL47" s="911">
        <v>134.31817300568957</v>
      </c>
      <c r="FM47" s="908">
        <v>35.836820000000003</v>
      </c>
      <c r="FN47" s="902">
        <v>187.72996522083145</v>
      </c>
      <c r="FO47" s="902">
        <v>2.7915957540513308</v>
      </c>
      <c r="FP47" s="902">
        <v>7.1318611507857019</v>
      </c>
      <c r="FQ47" s="902">
        <v>87.60524399266221</v>
      </c>
      <c r="FR47" s="902">
        <v>28.699589473955513</v>
      </c>
      <c r="FS47" s="902">
        <v>2312.5</v>
      </c>
      <c r="FT47" s="909" t="s">
        <v>3884</v>
      </c>
      <c r="FU47" s="909">
        <v>5</v>
      </c>
      <c r="FV47" s="909">
        <v>1</v>
      </c>
      <c r="FW47" s="909">
        <v>8</v>
      </c>
      <c r="FX47" s="909">
        <v>40.679520605982091</v>
      </c>
      <c r="FY47" s="910">
        <v>2806.3388016324138</v>
      </c>
      <c r="FZ47" s="909">
        <v>1</v>
      </c>
      <c r="GA47" s="909">
        <v>8</v>
      </c>
      <c r="GB47" s="909">
        <v>66.527184114435599</v>
      </c>
      <c r="GC47" s="910">
        <v>2983.0826842366164</v>
      </c>
      <c r="GD47" s="871">
        <v>2806.3388016324138</v>
      </c>
      <c r="GE47" s="911">
        <v>164.57230277025766</v>
      </c>
      <c r="GF47" s="908">
        <v>57.338912000000008</v>
      </c>
      <c r="GG47" s="902">
        <v>199.3086003159944</v>
      </c>
      <c r="GH47" s="902">
        <v>0</v>
      </c>
      <c r="GI47" s="902">
        <v>0</v>
      </c>
      <c r="GJ47" s="902">
        <v>92.2165680859719</v>
      </c>
      <c r="GK47" s="902">
        <v>31.061633013461972</v>
      </c>
      <c r="GL47" s="902">
        <v>1850</v>
      </c>
      <c r="GM47" s="909" t="s">
        <v>2877</v>
      </c>
      <c r="GN47" s="909">
        <v>8</v>
      </c>
      <c r="GO47" s="909">
        <v>0</v>
      </c>
      <c r="GP47" s="909">
        <v>0</v>
      </c>
      <c r="GQ47" s="909">
        <v>0</v>
      </c>
      <c r="GR47" s="910">
        <v>2290.4358408137009</v>
      </c>
      <c r="GS47" s="909">
        <v>0</v>
      </c>
      <c r="GT47" s="909">
        <v>0</v>
      </c>
      <c r="GU47" s="909">
        <v>0</v>
      </c>
      <c r="GV47" s="910">
        <v>2472.9336261242811</v>
      </c>
      <c r="GW47" s="871">
        <v>2290.4358408137009</v>
      </c>
      <c r="GX47" s="911">
        <v>134.31817300568957</v>
      </c>
      <c r="GY47" s="908">
        <v>28.669456000000004</v>
      </c>
      <c r="GZ47" s="902">
        <v>178.08173699462213</v>
      </c>
      <c r="HA47" s="902">
        <v>2.0936968155384981</v>
      </c>
      <c r="HB47" s="902">
        <v>5.3488958630892762</v>
      </c>
      <c r="HC47" s="902">
        <v>84.888203121441535</v>
      </c>
      <c r="HD47" s="902">
        <v>26.519602392498129</v>
      </c>
      <c r="HE47" s="902">
        <v>2312.5</v>
      </c>
      <c r="HF47" s="909" t="s">
        <v>2877</v>
      </c>
      <c r="HG47" s="909">
        <v>4</v>
      </c>
      <c r="HH47" s="909">
        <v>1</v>
      </c>
      <c r="HI47" s="909">
        <v>6</v>
      </c>
      <c r="HJ47" s="909">
        <v>40.679520605982091</v>
      </c>
      <c r="HK47" s="910">
        <v>2963.3115342492415</v>
      </c>
      <c r="HL47" s="909">
        <v>1</v>
      </c>
      <c r="HM47" s="909">
        <v>6</v>
      </c>
      <c r="HN47" s="909">
        <v>66.527184114435599</v>
      </c>
      <c r="HO47" s="910">
        <v>3109.0069097421815</v>
      </c>
      <c r="HP47" s="871">
        <v>2963.3115342492415</v>
      </c>
      <c r="HQ47" s="911">
        <v>173.77766459751257</v>
      </c>
      <c r="HR47" s="908">
        <v>28.669456000000004</v>
      </c>
      <c r="HS47" s="902">
        <v>178.08173699462213</v>
      </c>
      <c r="HT47" s="902">
        <v>2.0936968155384981</v>
      </c>
      <c r="HU47" s="902">
        <v>5.3488958630892762</v>
      </c>
      <c r="HV47" s="902">
        <v>84.888203121441535</v>
      </c>
      <c r="HW47" s="902">
        <v>26.519602392498129</v>
      </c>
      <c r="HX47" s="902">
        <v>1850</v>
      </c>
      <c r="HY47" s="909" t="s">
        <v>1063</v>
      </c>
      <c r="HZ47" s="909">
        <v>4</v>
      </c>
      <c r="IA47" s="909">
        <v>1</v>
      </c>
      <c r="IB47" s="909">
        <v>6</v>
      </c>
      <c r="IC47" s="909">
        <v>40.679520605982091</v>
      </c>
      <c r="ID47" s="910">
        <v>2613.3951256109181</v>
      </c>
      <c r="IE47" s="909">
        <v>1</v>
      </c>
      <c r="IF47" s="909">
        <v>6</v>
      </c>
      <c r="IG47" s="909">
        <v>66.527184114435599</v>
      </c>
      <c r="IH47" s="910">
        <v>2741.8863691864153</v>
      </c>
      <c r="II47" s="871">
        <v>2613.3951256109181</v>
      </c>
      <c r="IJ47" s="911">
        <v>153.25749464753719</v>
      </c>
      <c r="IK47" s="908">
        <v>28.669456000000004</v>
      </c>
      <c r="IL47" s="902">
        <v>178.08173699462213</v>
      </c>
      <c r="IM47" s="902">
        <v>2.0936968155384981</v>
      </c>
      <c r="IN47" s="902">
        <v>5.3488958630892762</v>
      </c>
      <c r="IO47" s="902">
        <v>84.888203121441535</v>
      </c>
      <c r="IP47" s="902">
        <v>26.519602392498129</v>
      </c>
      <c r="IQ47" s="902">
        <v>2312.5</v>
      </c>
      <c r="IR47" s="909" t="s">
        <v>1063</v>
      </c>
      <c r="IS47" s="909">
        <v>4</v>
      </c>
      <c r="IT47" s="909">
        <v>1</v>
      </c>
      <c r="IU47" s="909">
        <v>6</v>
      </c>
      <c r="IV47" s="909">
        <v>40.679520605982091</v>
      </c>
      <c r="IW47" s="910">
        <v>2613.3951256109181</v>
      </c>
      <c r="IX47" s="909">
        <v>1</v>
      </c>
      <c r="IY47" s="909">
        <v>6</v>
      </c>
      <c r="IZ47" s="909">
        <v>66.527184114435599</v>
      </c>
      <c r="JA47" s="910">
        <v>2741.8863691864153</v>
      </c>
      <c r="JB47" s="871">
        <v>2613.3951256109181</v>
      </c>
      <c r="JC47" s="911">
        <v>153.25749464753719</v>
      </c>
      <c r="JD47" s="908">
        <v>43.004184000000009</v>
      </c>
      <c r="JE47" s="902">
        <v>184.97387231599438</v>
      </c>
      <c r="JF47" s="902">
        <v>0</v>
      </c>
      <c r="JG47" s="902">
        <v>0</v>
      </c>
      <c r="JH47" s="902">
        <v>88.164813284008417</v>
      </c>
      <c r="JI47" s="902">
        <v>27.895349623365973</v>
      </c>
      <c r="JJ47" s="902">
        <v>1850</v>
      </c>
      <c r="JK47" s="909" t="s">
        <v>1064</v>
      </c>
      <c r="JL47" s="909">
        <v>6</v>
      </c>
      <c r="JM47" s="909">
        <v>0</v>
      </c>
      <c r="JN47" s="909">
        <v>0</v>
      </c>
      <c r="JO47" s="909">
        <v>0</v>
      </c>
      <c r="JP47" s="910">
        <v>2161.6461699785264</v>
      </c>
      <c r="JQ47" s="909">
        <v>0</v>
      </c>
      <c r="JR47" s="909">
        <v>0</v>
      </c>
      <c r="JS47" s="909">
        <v>0</v>
      </c>
      <c r="JT47" s="910">
        <v>2263.1765908496245</v>
      </c>
      <c r="JU47" s="871">
        <v>2161.6461699785264</v>
      </c>
      <c r="JV47" s="911">
        <v>126.76555224228098</v>
      </c>
      <c r="JW47" s="908">
        <v>28.669456000000004</v>
      </c>
      <c r="JX47" s="902">
        <v>178.08173699462213</v>
      </c>
      <c r="JY47" s="902">
        <v>2.0936968155384981</v>
      </c>
      <c r="JZ47" s="902">
        <v>5.3488958630892762</v>
      </c>
      <c r="KA47" s="902">
        <v>84.888203121441535</v>
      </c>
      <c r="KB47" s="902">
        <v>26.519602392498129</v>
      </c>
      <c r="KC47" s="902">
        <v>2312.5</v>
      </c>
      <c r="KD47" s="909" t="s">
        <v>1064</v>
      </c>
      <c r="KE47" s="909">
        <v>4</v>
      </c>
      <c r="KF47" s="909">
        <v>1</v>
      </c>
      <c r="KG47" s="909">
        <v>6</v>
      </c>
      <c r="KH47" s="909">
        <v>40.679520605982091</v>
      </c>
      <c r="KI47" s="910">
        <v>3561.4572273031672</v>
      </c>
      <c r="KJ47" s="909">
        <v>1</v>
      </c>
      <c r="KK47" s="909">
        <v>6</v>
      </c>
      <c r="KL47" s="909">
        <v>66.527184114435599</v>
      </c>
      <c r="KM47" s="910">
        <v>3736.5612762824253</v>
      </c>
      <c r="KN47" s="871">
        <v>3561.4572273031672</v>
      </c>
      <c r="KO47" s="912">
        <v>208.85476007890486</v>
      </c>
    </row>
    <row r="48" spans="1:301" ht="15" customHeight="1">
      <c r="A48" s="924" t="s">
        <v>1537</v>
      </c>
      <c r="B48" s="888" t="s">
        <v>1075</v>
      </c>
      <c r="C48" s="888">
        <v>437.5</v>
      </c>
      <c r="D48" s="888">
        <v>1235</v>
      </c>
      <c r="E48" s="888">
        <v>450</v>
      </c>
      <c r="F48" s="888">
        <v>356.56893224857646</v>
      </c>
      <c r="G48" s="888">
        <v>177.37828741071482</v>
      </c>
      <c r="H48" s="888">
        <v>143.31673586817988</v>
      </c>
      <c r="I48" s="888">
        <v>103</v>
      </c>
      <c r="J48" s="888">
        <v>38</v>
      </c>
      <c r="K48" s="888">
        <v>41</v>
      </c>
      <c r="L48" s="888">
        <v>10</v>
      </c>
      <c r="M48" s="888">
        <v>628.53243981884384</v>
      </c>
      <c r="N48" s="888">
        <v>6</v>
      </c>
      <c r="O48" s="884">
        <v>48.93057850552281</v>
      </c>
      <c r="P48" s="888">
        <v>6</v>
      </c>
      <c r="Q48" s="884">
        <v>32.995317578220636</v>
      </c>
      <c r="R48" s="888">
        <v>18.000000000000004</v>
      </c>
      <c r="S48" s="888">
        <v>795.78446612428831</v>
      </c>
      <c r="T48" s="906">
        <v>70.278576780738575</v>
      </c>
      <c r="U48" s="906">
        <v>119.36766991864324</v>
      </c>
      <c r="V48" s="906">
        <v>85</v>
      </c>
      <c r="W48" s="1141">
        <v>5.6003240872151032</v>
      </c>
      <c r="X48" s="902">
        <v>0</v>
      </c>
      <c r="Y48" s="902">
        <v>0</v>
      </c>
      <c r="Z48" s="902">
        <v>0</v>
      </c>
      <c r="AA48" s="902">
        <v>0</v>
      </c>
      <c r="AB48" s="970">
        <v>30.465771643279833</v>
      </c>
      <c r="AC48" s="1045">
        <v>4000</v>
      </c>
      <c r="AD48" s="890">
        <v>8.123006012348466E-2</v>
      </c>
      <c r="AE48" s="890">
        <v>0.78128562650671729</v>
      </c>
      <c r="AF48" s="890">
        <v>-0.2629170849294889</v>
      </c>
      <c r="AG48" s="890">
        <v>1.2753840584831029</v>
      </c>
      <c r="AH48" s="888"/>
      <c r="AI48" s="907">
        <v>6.0391560102803155</v>
      </c>
      <c r="AJ48" s="908">
        <v>36.459652885890321</v>
      </c>
      <c r="AK48" s="902">
        <v>194.26444983758745</v>
      </c>
      <c r="AL48" s="902">
        <v>0</v>
      </c>
      <c r="AM48" s="902">
        <v>0</v>
      </c>
      <c r="AN48" s="902">
        <v>54.537600385068529</v>
      </c>
      <c r="AO48" s="902">
        <v>32.856525848916469</v>
      </c>
      <c r="AP48" s="1222">
        <v>2800</v>
      </c>
      <c r="AQ48" s="909" t="s">
        <v>1062</v>
      </c>
      <c r="AR48" s="909">
        <v>6</v>
      </c>
      <c r="AS48" s="909">
        <v>0</v>
      </c>
      <c r="AT48" s="909">
        <v>0</v>
      </c>
      <c r="AU48" s="909">
        <v>0</v>
      </c>
      <c r="AV48" s="910">
        <v>3826.8516235579641</v>
      </c>
      <c r="AW48" s="909">
        <v>0</v>
      </c>
      <c r="AX48" s="909">
        <v>0</v>
      </c>
      <c r="AY48" s="909">
        <v>0</v>
      </c>
      <c r="AZ48" s="910">
        <v>3581.5672918856812</v>
      </c>
      <c r="BA48" s="871">
        <v>3581.5672918856812</v>
      </c>
      <c r="BB48" s="911">
        <v>231.60007472115086</v>
      </c>
      <c r="BC48" s="908">
        <v>48.612870514520424</v>
      </c>
      <c r="BD48" s="902">
        <v>206.41766746621755</v>
      </c>
      <c r="BE48" s="902">
        <v>0</v>
      </c>
      <c r="BF48" s="902">
        <v>0</v>
      </c>
      <c r="BG48" s="902">
        <v>55.545616881653054</v>
      </c>
      <c r="BH48" s="902">
        <v>35.464349995086138</v>
      </c>
      <c r="BI48" s="902">
        <v>3500</v>
      </c>
      <c r="BJ48" s="909" t="s">
        <v>1062</v>
      </c>
      <c r="BK48" s="909">
        <v>8</v>
      </c>
      <c r="BL48" s="909">
        <v>0</v>
      </c>
      <c r="BM48" s="909">
        <v>0</v>
      </c>
      <c r="BN48" s="909">
        <v>0</v>
      </c>
      <c r="BO48" s="910">
        <v>5670.7094116530552</v>
      </c>
      <c r="BP48" s="909">
        <v>0</v>
      </c>
      <c r="BQ48" s="909">
        <v>0</v>
      </c>
      <c r="BR48" s="909">
        <v>0</v>
      </c>
      <c r="BS48" s="910">
        <v>7096.4383755318822</v>
      </c>
      <c r="BT48" s="871">
        <v>4000</v>
      </c>
      <c r="BU48" s="911">
        <v>258.65779514555965</v>
      </c>
      <c r="BV48" s="908">
        <v>36.459652885890321</v>
      </c>
      <c r="BW48" s="902">
        <v>194.26444983758745</v>
      </c>
      <c r="BX48" s="902">
        <v>0</v>
      </c>
      <c r="BY48" s="902">
        <v>0</v>
      </c>
      <c r="BZ48" s="902">
        <v>54.537600385068529</v>
      </c>
      <c r="CA48" s="902">
        <v>32.856525848916469</v>
      </c>
      <c r="CB48" s="902">
        <v>2800</v>
      </c>
      <c r="CC48" s="909" t="s">
        <v>2874</v>
      </c>
      <c r="CD48" s="909">
        <v>6</v>
      </c>
      <c r="CE48" s="909">
        <v>0</v>
      </c>
      <c r="CF48" s="909">
        <v>0</v>
      </c>
      <c r="CG48" s="909">
        <v>0</v>
      </c>
      <c r="CH48" s="910">
        <v>3749.5335196233541</v>
      </c>
      <c r="CI48" s="909">
        <v>0</v>
      </c>
      <c r="CJ48" s="909">
        <v>0</v>
      </c>
      <c r="CK48" s="909">
        <v>0</v>
      </c>
      <c r="CL48" s="910">
        <v>3509.2049378246807</v>
      </c>
      <c r="CM48" s="871">
        <v>3509.2049378246807</v>
      </c>
      <c r="CN48" s="911">
        <v>226.92080298291066</v>
      </c>
      <c r="CO48" s="908">
        <v>48.612870514520424</v>
      </c>
      <c r="CP48" s="902">
        <v>206.41766746621755</v>
      </c>
      <c r="CQ48" s="902">
        <v>0</v>
      </c>
      <c r="CR48" s="902">
        <v>0</v>
      </c>
      <c r="CS48" s="902">
        <v>55.545616881653054</v>
      </c>
      <c r="CT48" s="902">
        <v>35.464349995086138</v>
      </c>
      <c r="CU48" s="902">
        <v>3500</v>
      </c>
      <c r="CV48" s="909" t="s">
        <v>2874</v>
      </c>
      <c r="CW48" s="909">
        <v>8</v>
      </c>
      <c r="CX48" s="909">
        <v>0</v>
      </c>
      <c r="CY48" s="909">
        <v>0</v>
      </c>
      <c r="CZ48" s="909">
        <v>0</v>
      </c>
      <c r="DA48" s="910">
        <v>5556.1378152592752</v>
      </c>
      <c r="DB48" s="909">
        <v>0</v>
      </c>
      <c r="DC48" s="909">
        <v>0</v>
      </c>
      <c r="DD48" s="909">
        <v>0</v>
      </c>
      <c r="DE48" s="910">
        <v>6953.0612044633053</v>
      </c>
      <c r="DF48" s="871">
        <v>4000</v>
      </c>
      <c r="DG48" s="911">
        <v>258.65779514555965</v>
      </c>
      <c r="DH48" s="908">
        <v>36.459652885890321</v>
      </c>
      <c r="DI48" s="902">
        <v>194.26444983758745</v>
      </c>
      <c r="DJ48" s="902">
        <v>0</v>
      </c>
      <c r="DK48" s="902">
        <v>0</v>
      </c>
      <c r="DL48" s="902">
        <v>54.537600385068529</v>
      </c>
      <c r="DM48" s="902">
        <v>32.856525848916469</v>
      </c>
      <c r="DN48" s="902">
        <v>2800</v>
      </c>
      <c r="DO48" s="909" t="s">
        <v>2875</v>
      </c>
      <c r="DP48" s="909">
        <v>6</v>
      </c>
      <c r="DQ48" s="909">
        <v>0</v>
      </c>
      <c r="DR48" s="909">
        <v>0</v>
      </c>
      <c r="DS48" s="909">
        <v>0</v>
      </c>
      <c r="DT48" s="910">
        <v>3902.6382208292575</v>
      </c>
      <c r="DU48" s="909">
        <v>0</v>
      </c>
      <c r="DV48" s="909">
        <v>0</v>
      </c>
      <c r="DW48" s="909">
        <v>0</v>
      </c>
      <c r="DX48" s="910">
        <v>3652.4963021141516</v>
      </c>
      <c r="DY48" s="871">
        <v>3652.4963021141516</v>
      </c>
      <c r="DZ48" s="911">
        <v>236.18666007053909</v>
      </c>
      <c r="EA48" s="908">
        <v>36.459652885890321</v>
      </c>
      <c r="EB48" s="902">
        <v>194.26444983758745</v>
      </c>
      <c r="EC48" s="902">
        <v>0</v>
      </c>
      <c r="ED48" s="902">
        <v>0</v>
      </c>
      <c r="EE48" s="902">
        <v>54.537600385068529</v>
      </c>
      <c r="EF48" s="902">
        <v>32.856525848916469</v>
      </c>
      <c r="EG48" s="902">
        <v>3500</v>
      </c>
      <c r="EH48" s="909" t="s">
        <v>2875</v>
      </c>
      <c r="EI48" s="909">
        <v>6</v>
      </c>
      <c r="EJ48" s="909">
        <v>0</v>
      </c>
      <c r="EK48" s="909">
        <v>0</v>
      </c>
      <c r="EL48" s="909">
        <v>0</v>
      </c>
      <c r="EM48" s="910">
        <v>3902.6382208292575</v>
      </c>
      <c r="EN48" s="909">
        <v>0</v>
      </c>
      <c r="EO48" s="909">
        <v>0</v>
      </c>
      <c r="EP48" s="909">
        <v>0</v>
      </c>
      <c r="EQ48" s="910">
        <v>3652.4963021141516</v>
      </c>
      <c r="ER48" s="871">
        <v>3652.4963021141516</v>
      </c>
      <c r="ES48" s="911">
        <v>236.18666007053909</v>
      </c>
      <c r="ET48" s="908">
        <v>30.383044071575263</v>
      </c>
      <c r="EU48" s="902">
        <v>188.1878410232724</v>
      </c>
      <c r="EV48" s="902">
        <v>0</v>
      </c>
      <c r="EW48" s="902">
        <v>0</v>
      </c>
      <c r="EX48" s="902">
        <v>53.984768669530879</v>
      </c>
      <c r="EY48" s="902">
        <v>31.552613775831635</v>
      </c>
      <c r="EZ48" s="902">
        <v>2800</v>
      </c>
      <c r="FA48" s="909" t="s">
        <v>3884</v>
      </c>
      <c r="FB48" s="909">
        <v>5</v>
      </c>
      <c r="FC48" s="909">
        <v>0</v>
      </c>
      <c r="FD48" s="909">
        <v>0</v>
      </c>
      <c r="FE48" s="909">
        <v>0</v>
      </c>
      <c r="FF48" s="910">
        <v>3578.2789995757385</v>
      </c>
      <c r="FG48" s="909">
        <v>0</v>
      </c>
      <c r="FH48" s="909">
        <v>0</v>
      </c>
      <c r="FI48" s="909">
        <v>0</v>
      </c>
      <c r="FJ48" s="910">
        <v>3230.0046437002766</v>
      </c>
      <c r="FK48" s="871">
        <v>3230.0046437002766</v>
      </c>
      <c r="FL48" s="911">
        <v>208.86646986235812</v>
      </c>
      <c r="FM48" s="908">
        <v>36.459652885890321</v>
      </c>
      <c r="FN48" s="902">
        <v>194.26444983758745</v>
      </c>
      <c r="FO48" s="902">
        <v>0</v>
      </c>
      <c r="FP48" s="902">
        <v>0</v>
      </c>
      <c r="FQ48" s="902">
        <v>54.537600385068529</v>
      </c>
      <c r="FR48" s="902">
        <v>32.856525848916469</v>
      </c>
      <c r="FS48" s="902">
        <v>3500</v>
      </c>
      <c r="FT48" s="909" t="s">
        <v>3884</v>
      </c>
      <c r="FU48" s="909">
        <v>6</v>
      </c>
      <c r="FV48" s="909">
        <v>0</v>
      </c>
      <c r="FW48" s="909">
        <v>0</v>
      </c>
      <c r="FX48" s="909">
        <v>0</v>
      </c>
      <c r="FY48" s="910">
        <v>4157.0249159103323</v>
      </c>
      <c r="FZ48" s="909">
        <v>0</v>
      </c>
      <c r="GA48" s="909">
        <v>0</v>
      </c>
      <c r="GB48" s="909">
        <v>0</v>
      </c>
      <c r="GC48" s="910">
        <v>3890.5779306216568</v>
      </c>
      <c r="GD48" s="871">
        <v>3890.5779306216568</v>
      </c>
      <c r="GE48" s="911">
        <v>251.58207734414296</v>
      </c>
      <c r="GF48" s="908">
        <v>24.306435257260212</v>
      </c>
      <c r="GG48" s="902">
        <v>182.11123220895735</v>
      </c>
      <c r="GH48" s="902">
        <v>0</v>
      </c>
      <c r="GI48" s="902">
        <v>0</v>
      </c>
      <c r="GJ48" s="902">
        <v>53.395043654939435</v>
      </c>
      <c r="GK48" s="902">
        <v>30.2487017027468</v>
      </c>
      <c r="GL48" s="902">
        <v>2800</v>
      </c>
      <c r="GM48" s="909" t="s">
        <v>2877</v>
      </c>
      <c r="GN48" s="909">
        <v>4</v>
      </c>
      <c r="GO48" s="909">
        <v>0</v>
      </c>
      <c r="GP48" s="909">
        <v>0</v>
      </c>
      <c r="GQ48" s="909">
        <v>0</v>
      </c>
      <c r="GR48" s="910">
        <v>3795.3171813574531</v>
      </c>
      <c r="GS48" s="909">
        <v>0</v>
      </c>
      <c r="GT48" s="909">
        <v>0</v>
      </c>
      <c r="GU48" s="909">
        <v>0</v>
      </c>
      <c r="GV48" s="910">
        <v>3353.6203389689658</v>
      </c>
      <c r="GW48" s="871">
        <v>3353.6203389689658</v>
      </c>
      <c r="GX48" s="911">
        <v>216.86001065825428</v>
      </c>
      <c r="GY48" s="908">
        <v>30.383044071575263</v>
      </c>
      <c r="GZ48" s="902">
        <v>188.1878410232724</v>
      </c>
      <c r="HA48" s="902">
        <v>0</v>
      </c>
      <c r="HB48" s="902">
        <v>0</v>
      </c>
      <c r="HC48" s="902">
        <v>53.984768669530879</v>
      </c>
      <c r="HD48" s="902">
        <v>31.552613775831635</v>
      </c>
      <c r="HE48" s="902">
        <v>3500</v>
      </c>
      <c r="HF48" s="909" t="s">
        <v>2877</v>
      </c>
      <c r="HG48" s="909">
        <v>5</v>
      </c>
      <c r="HH48" s="909">
        <v>0</v>
      </c>
      <c r="HI48" s="909">
        <v>0</v>
      </c>
      <c r="HJ48" s="909">
        <v>0</v>
      </c>
      <c r="HK48" s="910">
        <v>4419.4624527263595</v>
      </c>
      <c r="HL48" s="909">
        <v>0</v>
      </c>
      <c r="HM48" s="909">
        <v>0</v>
      </c>
      <c r="HN48" s="909">
        <v>0</v>
      </c>
      <c r="HO48" s="910">
        <v>3989.3156030196828</v>
      </c>
      <c r="HP48" s="871">
        <v>3989.3156030196828</v>
      </c>
      <c r="HQ48" s="911">
        <v>257.96689450421246</v>
      </c>
      <c r="HR48" s="908">
        <v>30.383044071575263</v>
      </c>
      <c r="HS48" s="902">
        <v>188.1878410232724</v>
      </c>
      <c r="HT48" s="902">
        <v>0</v>
      </c>
      <c r="HU48" s="902">
        <v>0</v>
      </c>
      <c r="HV48" s="902">
        <v>53.984768669530879</v>
      </c>
      <c r="HW48" s="902">
        <v>31.552613775831635</v>
      </c>
      <c r="HX48" s="902">
        <v>2800</v>
      </c>
      <c r="HY48" s="909" t="s">
        <v>1063</v>
      </c>
      <c r="HZ48" s="909">
        <v>5</v>
      </c>
      <c r="IA48" s="909">
        <v>0</v>
      </c>
      <c r="IB48" s="909">
        <v>0</v>
      </c>
      <c r="IC48" s="909">
        <v>0</v>
      </c>
      <c r="ID48" s="910">
        <v>3897.5995261671655</v>
      </c>
      <c r="IE48" s="909">
        <v>0</v>
      </c>
      <c r="IF48" s="909">
        <v>0</v>
      </c>
      <c r="IG48" s="909">
        <v>0</v>
      </c>
      <c r="IH48" s="910">
        <v>3518.2456623132512</v>
      </c>
      <c r="II48" s="871">
        <v>3518.2456623132512</v>
      </c>
      <c r="IJ48" s="911">
        <v>227.50541644859368</v>
      </c>
      <c r="IK48" s="908">
        <v>36.459652885890321</v>
      </c>
      <c r="IL48" s="902">
        <v>194.26444983758745</v>
      </c>
      <c r="IM48" s="902">
        <v>0</v>
      </c>
      <c r="IN48" s="902">
        <v>0</v>
      </c>
      <c r="IO48" s="902">
        <v>54.537600385068529</v>
      </c>
      <c r="IP48" s="902">
        <v>32.856525848916469</v>
      </c>
      <c r="IQ48" s="902">
        <v>3500</v>
      </c>
      <c r="IR48" s="909" t="s">
        <v>1063</v>
      </c>
      <c r="IS48" s="909">
        <v>6</v>
      </c>
      <c r="IT48" s="909">
        <v>0</v>
      </c>
      <c r="IU48" s="909">
        <v>0</v>
      </c>
      <c r="IV48" s="909">
        <v>0</v>
      </c>
      <c r="IW48" s="910">
        <v>4527.9919046106425</v>
      </c>
      <c r="IX48" s="909">
        <v>0</v>
      </c>
      <c r="IY48" s="909">
        <v>0</v>
      </c>
      <c r="IZ48" s="909">
        <v>0</v>
      </c>
      <c r="JA48" s="910">
        <v>4237.7675694671452</v>
      </c>
      <c r="JB48" s="871">
        <v>4000</v>
      </c>
      <c r="JC48" s="911">
        <v>258.65779514555965</v>
      </c>
      <c r="JD48" s="908">
        <v>24.306435257260212</v>
      </c>
      <c r="JE48" s="902">
        <v>182.11123220895735</v>
      </c>
      <c r="JF48" s="902">
        <v>0</v>
      </c>
      <c r="JG48" s="902">
        <v>0</v>
      </c>
      <c r="JH48" s="902">
        <v>53.395043654939435</v>
      </c>
      <c r="JI48" s="902">
        <v>30.2487017027468</v>
      </c>
      <c r="JJ48" s="902">
        <v>2800</v>
      </c>
      <c r="JK48" s="909" t="s">
        <v>1064</v>
      </c>
      <c r="JL48" s="909">
        <v>4</v>
      </c>
      <c r="JM48" s="909">
        <v>0</v>
      </c>
      <c r="JN48" s="909">
        <v>0</v>
      </c>
      <c r="JO48" s="909">
        <v>0</v>
      </c>
      <c r="JP48" s="910">
        <v>4561.4035680112538</v>
      </c>
      <c r="JQ48" s="909">
        <v>0</v>
      </c>
      <c r="JR48" s="909">
        <v>0</v>
      </c>
      <c r="JS48" s="909">
        <v>0</v>
      </c>
      <c r="JT48" s="910">
        <v>4030.550030197177</v>
      </c>
      <c r="JU48" s="871">
        <v>4000</v>
      </c>
      <c r="JV48" s="911">
        <v>258.65779514555965</v>
      </c>
      <c r="JW48" s="908">
        <v>24.306435257260212</v>
      </c>
      <c r="JX48" s="902">
        <v>182.11123220895735</v>
      </c>
      <c r="JY48" s="902">
        <v>0</v>
      </c>
      <c r="JZ48" s="902">
        <v>0</v>
      </c>
      <c r="KA48" s="902">
        <v>53.395043654939435</v>
      </c>
      <c r="KB48" s="902">
        <v>30.2487017027468</v>
      </c>
      <c r="KC48" s="902">
        <v>3500</v>
      </c>
      <c r="KD48" s="909" t="s">
        <v>1064</v>
      </c>
      <c r="KE48" s="909">
        <v>4</v>
      </c>
      <c r="KF48" s="909">
        <v>0</v>
      </c>
      <c r="KG48" s="909">
        <v>0</v>
      </c>
      <c r="KH48" s="909">
        <v>0</v>
      </c>
      <c r="KI48" s="910">
        <v>4561.4035680112538</v>
      </c>
      <c r="KJ48" s="909">
        <v>0</v>
      </c>
      <c r="KK48" s="909">
        <v>0</v>
      </c>
      <c r="KL48" s="909">
        <v>0</v>
      </c>
      <c r="KM48" s="910">
        <v>4030.550030197177</v>
      </c>
      <c r="KN48" s="871">
        <v>4000</v>
      </c>
      <c r="KO48" s="912">
        <v>258.65779514555965</v>
      </c>
    </row>
    <row r="49" spans="1:301" ht="15" customHeight="1">
      <c r="A49" s="924" t="s">
        <v>1685</v>
      </c>
      <c r="B49" s="888" t="s">
        <v>1075</v>
      </c>
      <c r="C49" s="888">
        <v>437.5</v>
      </c>
      <c r="D49" s="888">
        <v>1235</v>
      </c>
      <c r="E49" s="888">
        <v>450</v>
      </c>
      <c r="F49" s="888">
        <v>400</v>
      </c>
      <c r="G49" s="888">
        <v>300</v>
      </c>
      <c r="H49" s="888">
        <v>171</v>
      </c>
      <c r="I49" s="888">
        <v>115</v>
      </c>
      <c r="J49" s="888">
        <v>38</v>
      </c>
      <c r="K49" s="888">
        <v>41</v>
      </c>
      <c r="L49" s="888">
        <v>10</v>
      </c>
      <c r="M49" s="888">
        <v>572</v>
      </c>
      <c r="N49" s="888">
        <v>6</v>
      </c>
      <c r="O49" s="884">
        <v>48.93057850552281</v>
      </c>
      <c r="P49" s="888">
        <v>6</v>
      </c>
      <c r="Q49" s="884">
        <v>33.082043730180075</v>
      </c>
      <c r="R49" s="888">
        <v>18.000000000000004</v>
      </c>
      <c r="S49" s="888">
        <v>794.31006265057283</v>
      </c>
      <c r="T49" s="906">
        <v>70.018398324860243</v>
      </c>
      <c r="U49" s="906">
        <v>119.14650939758592</v>
      </c>
      <c r="V49" s="906">
        <v>97.5</v>
      </c>
      <c r="W49" s="1141">
        <v>6.4001192218817549</v>
      </c>
      <c r="X49" s="902">
        <v>0</v>
      </c>
      <c r="Y49" s="902">
        <v>0</v>
      </c>
      <c r="Z49" s="902">
        <v>0</v>
      </c>
      <c r="AA49" s="902">
        <v>0</v>
      </c>
      <c r="AB49" s="970">
        <v>31.961010423129355</v>
      </c>
      <c r="AC49" s="1045">
        <v>4000</v>
      </c>
      <c r="AD49" s="890">
        <v>8.123006012348466E-2</v>
      </c>
      <c r="AE49" s="890">
        <v>0.78128562650671729</v>
      </c>
      <c r="AF49" s="890">
        <v>-0.27363317971587664</v>
      </c>
      <c r="AG49" s="890">
        <v>1.2753840584831029</v>
      </c>
      <c r="AH49" s="888"/>
      <c r="AI49" s="907">
        <v>6.1268954206459068</v>
      </c>
      <c r="AJ49" s="908">
        <v>38.525916000000009</v>
      </c>
      <c r="AK49" s="902">
        <v>196.95705578244491</v>
      </c>
      <c r="AL49" s="902">
        <v>0</v>
      </c>
      <c r="AM49" s="902">
        <v>0</v>
      </c>
      <c r="AN49" s="902">
        <v>64.493816787434</v>
      </c>
      <c r="AO49" s="902">
        <v>33.272492497456049</v>
      </c>
      <c r="AP49" s="1222">
        <v>2450</v>
      </c>
      <c r="AQ49" s="909" t="s">
        <v>1062</v>
      </c>
      <c r="AR49" s="909">
        <v>6</v>
      </c>
      <c r="AS49" s="909">
        <v>0</v>
      </c>
      <c r="AT49" s="909">
        <v>0</v>
      </c>
      <c r="AU49" s="909">
        <v>0</v>
      </c>
      <c r="AV49" s="910">
        <v>3458.1641765458162</v>
      </c>
      <c r="AW49" s="909">
        <v>0</v>
      </c>
      <c r="AX49" s="909">
        <v>0</v>
      </c>
      <c r="AY49" s="909">
        <v>0</v>
      </c>
      <c r="AZ49" s="910">
        <v>3083.7617907389695</v>
      </c>
      <c r="BA49" s="871">
        <v>3083.7617907389695</v>
      </c>
      <c r="BB49" s="911">
        <v>199.40975638666615</v>
      </c>
      <c r="BC49" s="908">
        <v>51.367888000000008</v>
      </c>
      <c r="BD49" s="902">
        <v>209.79902778244491</v>
      </c>
      <c r="BE49" s="902">
        <v>0</v>
      </c>
      <c r="BF49" s="902">
        <v>0</v>
      </c>
      <c r="BG49" s="902">
        <v>65.779622634553448</v>
      </c>
      <c r="BH49" s="902">
        <v>36.028108803309173</v>
      </c>
      <c r="BI49" s="902">
        <v>3062.5</v>
      </c>
      <c r="BJ49" s="909" t="s">
        <v>1062</v>
      </c>
      <c r="BK49" s="909">
        <v>8</v>
      </c>
      <c r="BL49" s="909">
        <v>0</v>
      </c>
      <c r="BM49" s="909">
        <v>0</v>
      </c>
      <c r="BN49" s="909">
        <v>0</v>
      </c>
      <c r="BO49" s="910">
        <v>4950.2165892584817</v>
      </c>
      <c r="BP49" s="909">
        <v>0</v>
      </c>
      <c r="BQ49" s="909">
        <v>0</v>
      </c>
      <c r="BR49" s="909">
        <v>0</v>
      </c>
      <c r="BS49" s="910">
        <v>5302.7557540962061</v>
      </c>
      <c r="BT49" s="871">
        <v>4000</v>
      </c>
      <c r="BU49" s="911">
        <v>258.65779514555965</v>
      </c>
      <c r="BV49" s="908">
        <v>38.525916000000009</v>
      </c>
      <c r="BW49" s="902">
        <v>196.95705578244491</v>
      </c>
      <c r="BX49" s="902">
        <v>0</v>
      </c>
      <c r="BY49" s="902">
        <v>0</v>
      </c>
      <c r="BZ49" s="902">
        <v>64.493816787434</v>
      </c>
      <c r="CA49" s="902">
        <v>33.272492497456049</v>
      </c>
      <c r="CB49" s="902">
        <v>2450</v>
      </c>
      <c r="CC49" s="909" t="s">
        <v>2874</v>
      </c>
      <c r="CD49" s="909">
        <v>6</v>
      </c>
      <c r="CE49" s="909">
        <v>0</v>
      </c>
      <c r="CF49" s="909">
        <v>0</v>
      </c>
      <c r="CG49" s="909">
        <v>0</v>
      </c>
      <c r="CH49" s="910">
        <v>3388.2950717236845</v>
      </c>
      <c r="CI49" s="909">
        <v>0</v>
      </c>
      <c r="CJ49" s="909">
        <v>0</v>
      </c>
      <c r="CK49" s="909">
        <v>0</v>
      </c>
      <c r="CL49" s="910">
        <v>3021.4571502407166</v>
      </c>
      <c r="CM49" s="871">
        <v>3021.4571502407166</v>
      </c>
      <c r="CN49" s="911">
        <v>195.38086115201244</v>
      </c>
      <c r="CO49" s="908">
        <v>51.367888000000008</v>
      </c>
      <c r="CP49" s="902">
        <v>209.79902778244491</v>
      </c>
      <c r="CQ49" s="902">
        <v>0</v>
      </c>
      <c r="CR49" s="902">
        <v>0</v>
      </c>
      <c r="CS49" s="902">
        <v>65.779622634553448</v>
      </c>
      <c r="CT49" s="902">
        <v>36.028108803309173</v>
      </c>
      <c r="CU49" s="902">
        <v>3062.5</v>
      </c>
      <c r="CV49" s="909" t="s">
        <v>2874</v>
      </c>
      <c r="CW49" s="909">
        <v>8</v>
      </c>
      <c r="CX49" s="909">
        <v>0</v>
      </c>
      <c r="CY49" s="909">
        <v>0</v>
      </c>
      <c r="CZ49" s="909">
        <v>0</v>
      </c>
      <c r="DA49" s="910">
        <v>4850.2019039775123</v>
      </c>
      <c r="DB49" s="909">
        <v>0</v>
      </c>
      <c r="DC49" s="909">
        <v>0</v>
      </c>
      <c r="DD49" s="909">
        <v>0</v>
      </c>
      <c r="DE49" s="910">
        <v>5195.618331257253</v>
      </c>
      <c r="DF49" s="871">
        <v>4000</v>
      </c>
      <c r="DG49" s="911">
        <v>258.65779514555965</v>
      </c>
      <c r="DH49" s="908">
        <v>38.525916000000009</v>
      </c>
      <c r="DI49" s="902">
        <v>196.95705578244491</v>
      </c>
      <c r="DJ49" s="902">
        <v>0</v>
      </c>
      <c r="DK49" s="902">
        <v>0</v>
      </c>
      <c r="DL49" s="902">
        <v>64.493816787434</v>
      </c>
      <c r="DM49" s="902">
        <v>33.272492497456049</v>
      </c>
      <c r="DN49" s="902">
        <v>2450</v>
      </c>
      <c r="DO49" s="909" t="s">
        <v>2875</v>
      </c>
      <c r="DP49" s="909">
        <v>6</v>
      </c>
      <c r="DQ49" s="909">
        <v>0</v>
      </c>
      <c r="DR49" s="909">
        <v>0</v>
      </c>
      <c r="DS49" s="909">
        <v>0</v>
      </c>
      <c r="DT49" s="910">
        <v>3526.6493234829281</v>
      </c>
      <c r="DU49" s="909">
        <v>0</v>
      </c>
      <c r="DV49" s="909">
        <v>0</v>
      </c>
      <c r="DW49" s="909">
        <v>0</v>
      </c>
      <c r="DX49" s="910">
        <v>3144.8323092499672</v>
      </c>
      <c r="DY49" s="871">
        <v>3144.8323092499672</v>
      </c>
      <c r="DZ49" s="911">
        <v>203.35884780327882</v>
      </c>
      <c r="EA49" s="908">
        <v>51.367888000000008</v>
      </c>
      <c r="EB49" s="902">
        <v>209.79902778244491</v>
      </c>
      <c r="EC49" s="902">
        <v>0</v>
      </c>
      <c r="ED49" s="902">
        <v>0</v>
      </c>
      <c r="EE49" s="902">
        <v>65.779622634553448</v>
      </c>
      <c r="EF49" s="902">
        <v>36.028108803309173</v>
      </c>
      <c r="EG49" s="902">
        <v>3062.5</v>
      </c>
      <c r="EH49" s="909" t="s">
        <v>2875</v>
      </c>
      <c r="EI49" s="909">
        <v>8</v>
      </c>
      <c r="EJ49" s="909">
        <v>0</v>
      </c>
      <c r="EK49" s="909">
        <v>0</v>
      </c>
      <c r="EL49" s="909">
        <v>0</v>
      </c>
      <c r="EM49" s="910">
        <v>5048.2501970279436</v>
      </c>
      <c r="EN49" s="909">
        <v>0</v>
      </c>
      <c r="EO49" s="909">
        <v>0</v>
      </c>
      <c r="EP49" s="909">
        <v>0</v>
      </c>
      <c r="EQ49" s="910">
        <v>5407.7710131905951</v>
      </c>
      <c r="ER49" s="871">
        <v>4000</v>
      </c>
      <c r="ES49" s="911">
        <v>258.65779514555965</v>
      </c>
      <c r="ET49" s="908">
        <v>32.104930000000003</v>
      </c>
      <c r="EU49" s="902">
        <v>190.53606978244488</v>
      </c>
      <c r="EV49" s="902">
        <v>0</v>
      </c>
      <c r="EW49" s="902">
        <v>0</v>
      </c>
      <c r="EX49" s="902">
        <v>63.78591718356725</v>
      </c>
      <c r="EY49" s="902">
        <v>31.894684344529487</v>
      </c>
      <c r="EZ49" s="902">
        <v>2450</v>
      </c>
      <c r="FA49" s="909" t="s">
        <v>3884</v>
      </c>
      <c r="FB49" s="909">
        <v>5</v>
      </c>
      <c r="FC49" s="909">
        <v>0</v>
      </c>
      <c r="FD49" s="909">
        <v>0</v>
      </c>
      <c r="FE49" s="909">
        <v>0</v>
      </c>
      <c r="FF49" s="910">
        <v>3253.4723642591816</v>
      </c>
      <c r="FG49" s="909">
        <v>0</v>
      </c>
      <c r="FH49" s="909">
        <v>0</v>
      </c>
      <c r="FI49" s="909">
        <v>0</v>
      </c>
      <c r="FJ49" s="910">
        <v>2822.2590120588598</v>
      </c>
      <c r="FK49" s="871">
        <v>2822.2590120588598</v>
      </c>
      <c r="FL49" s="911">
        <v>182.49982334720752</v>
      </c>
      <c r="FM49" s="908">
        <v>51.367888000000008</v>
      </c>
      <c r="FN49" s="902">
        <v>209.79902778244491</v>
      </c>
      <c r="FO49" s="902">
        <v>0</v>
      </c>
      <c r="FP49" s="902">
        <v>0</v>
      </c>
      <c r="FQ49" s="902">
        <v>65.779622634553448</v>
      </c>
      <c r="FR49" s="902">
        <v>36.028108803309173</v>
      </c>
      <c r="FS49" s="902">
        <v>3062.5</v>
      </c>
      <c r="FT49" s="909" t="s">
        <v>3884</v>
      </c>
      <c r="FU49" s="909">
        <v>8</v>
      </c>
      <c r="FV49" s="909">
        <v>0</v>
      </c>
      <c r="FW49" s="909">
        <v>0</v>
      </c>
      <c r="FX49" s="909">
        <v>0</v>
      </c>
      <c r="FY49" s="910">
        <v>5377.3116193012702</v>
      </c>
      <c r="FZ49" s="909">
        <v>0</v>
      </c>
      <c r="GA49" s="909">
        <v>0</v>
      </c>
      <c r="GB49" s="909">
        <v>0</v>
      </c>
      <c r="GC49" s="910">
        <v>5760.2671755195952</v>
      </c>
      <c r="GD49" s="871">
        <v>4000</v>
      </c>
      <c r="GE49" s="911">
        <v>258.65779514555965</v>
      </c>
      <c r="GF49" s="908">
        <v>25.683944000000004</v>
      </c>
      <c r="GG49" s="902">
        <v>184.11508378244488</v>
      </c>
      <c r="GH49" s="902">
        <v>0</v>
      </c>
      <c r="GI49" s="902">
        <v>0</v>
      </c>
      <c r="GJ49" s="902">
        <v>63.028641794159697</v>
      </c>
      <c r="GK49" s="902">
        <v>30.516876191602925</v>
      </c>
      <c r="GL49" s="902">
        <v>2450</v>
      </c>
      <c r="GM49" s="909" t="s">
        <v>2877</v>
      </c>
      <c r="GN49" s="909">
        <v>4</v>
      </c>
      <c r="GO49" s="909">
        <v>0</v>
      </c>
      <c r="GP49" s="909">
        <v>0</v>
      </c>
      <c r="GQ49" s="909">
        <v>0</v>
      </c>
      <c r="GR49" s="910">
        <v>3464.2317468272822</v>
      </c>
      <c r="GS49" s="909">
        <v>0</v>
      </c>
      <c r="GT49" s="909">
        <v>0</v>
      </c>
      <c r="GU49" s="909">
        <v>0</v>
      </c>
      <c r="GV49" s="910">
        <v>2954.916206176842</v>
      </c>
      <c r="GW49" s="871">
        <v>2954.916206176842</v>
      </c>
      <c r="GX49" s="911">
        <v>191.078027682396</v>
      </c>
      <c r="GY49" s="908">
        <v>32.104930000000003</v>
      </c>
      <c r="GZ49" s="902">
        <v>190.53606978244488</v>
      </c>
      <c r="HA49" s="902">
        <v>0</v>
      </c>
      <c r="HB49" s="902">
        <v>0</v>
      </c>
      <c r="HC49" s="902">
        <v>63.78591718356725</v>
      </c>
      <c r="HD49" s="902">
        <v>31.894684344529487</v>
      </c>
      <c r="HE49" s="902">
        <v>3062.5</v>
      </c>
      <c r="HF49" s="909" t="s">
        <v>2877</v>
      </c>
      <c r="HG49" s="909">
        <v>5</v>
      </c>
      <c r="HH49" s="909">
        <v>0</v>
      </c>
      <c r="HI49" s="909">
        <v>0</v>
      </c>
      <c r="HJ49" s="909">
        <v>0</v>
      </c>
      <c r="HK49" s="910">
        <v>4018.3001259910479</v>
      </c>
      <c r="HL49" s="909">
        <v>0</v>
      </c>
      <c r="HM49" s="909">
        <v>0</v>
      </c>
      <c r="HN49" s="909">
        <v>0</v>
      </c>
      <c r="HO49" s="910">
        <v>3485.716943016902</v>
      </c>
      <c r="HP49" s="871">
        <v>3485.716943016902</v>
      </c>
      <c r="HQ49" s="911">
        <v>225.40196474556805</v>
      </c>
      <c r="HR49" s="908">
        <v>32.104930000000003</v>
      </c>
      <c r="HS49" s="902">
        <v>190.53606978244488</v>
      </c>
      <c r="HT49" s="902">
        <v>0</v>
      </c>
      <c r="HU49" s="902">
        <v>0</v>
      </c>
      <c r="HV49" s="902">
        <v>63.78591718356725</v>
      </c>
      <c r="HW49" s="902">
        <v>31.894684344529487</v>
      </c>
      <c r="HX49" s="902">
        <v>2450</v>
      </c>
      <c r="HY49" s="909" t="s">
        <v>1063</v>
      </c>
      <c r="HZ49" s="909">
        <v>5</v>
      </c>
      <c r="IA49" s="909">
        <v>0</v>
      </c>
      <c r="IB49" s="909">
        <v>0</v>
      </c>
      <c r="IC49" s="909">
        <v>0</v>
      </c>
      <c r="ID49" s="910">
        <v>3543.8076088639423</v>
      </c>
      <c r="IE49" s="909">
        <v>0</v>
      </c>
      <c r="IF49" s="909">
        <v>0</v>
      </c>
      <c r="IG49" s="909">
        <v>0</v>
      </c>
      <c r="IH49" s="910">
        <v>3074.1133906623413</v>
      </c>
      <c r="II49" s="871">
        <v>3074.1133906623413</v>
      </c>
      <c r="IJ49" s="911">
        <v>198.78584791404043</v>
      </c>
      <c r="IK49" s="908">
        <v>38.525916000000009</v>
      </c>
      <c r="IL49" s="902">
        <v>196.95705578244491</v>
      </c>
      <c r="IM49" s="902">
        <v>0</v>
      </c>
      <c r="IN49" s="902">
        <v>0</v>
      </c>
      <c r="IO49" s="902">
        <v>64.493816787434</v>
      </c>
      <c r="IP49" s="902">
        <v>33.272492497456049</v>
      </c>
      <c r="IQ49" s="902">
        <v>3062.5</v>
      </c>
      <c r="IR49" s="909" t="s">
        <v>1063</v>
      </c>
      <c r="IS49" s="909">
        <v>6</v>
      </c>
      <c r="IT49" s="909">
        <v>0</v>
      </c>
      <c r="IU49" s="909">
        <v>0</v>
      </c>
      <c r="IV49" s="909">
        <v>0</v>
      </c>
      <c r="IW49" s="910">
        <v>4091.7550342931581</v>
      </c>
      <c r="IX49" s="909">
        <v>0</v>
      </c>
      <c r="IY49" s="909">
        <v>0</v>
      </c>
      <c r="IZ49" s="909">
        <v>0</v>
      </c>
      <c r="JA49" s="910">
        <v>3648.7561572171767</v>
      </c>
      <c r="JB49" s="871">
        <v>3648.7561572171767</v>
      </c>
      <c r="JC49" s="911">
        <v>235.944805662395</v>
      </c>
      <c r="JD49" s="908">
        <v>25.683944000000004</v>
      </c>
      <c r="JE49" s="902">
        <v>184.11508378244488</v>
      </c>
      <c r="JF49" s="902">
        <v>0</v>
      </c>
      <c r="JG49" s="902">
        <v>0</v>
      </c>
      <c r="JH49" s="902">
        <v>63.028641794159697</v>
      </c>
      <c r="JI49" s="902">
        <v>30.516876191602925</v>
      </c>
      <c r="JJ49" s="902">
        <v>2450</v>
      </c>
      <c r="JK49" s="909" t="s">
        <v>1064</v>
      </c>
      <c r="JL49" s="909">
        <v>4</v>
      </c>
      <c r="JM49" s="909">
        <v>0</v>
      </c>
      <c r="JN49" s="909">
        <v>0</v>
      </c>
      <c r="JO49" s="909">
        <v>0</v>
      </c>
      <c r="JP49" s="910">
        <v>4163.4883977586514</v>
      </c>
      <c r="JQ49" s="909">
        <v>0</v>
      </c>
      <c r="JR49" s="909">
        <v>0</v>
      </c>
      <c r="JS49" s="909">
        <v>0</v>
      </c>
      <c r="JT49" s="910">
        <v>3551.3672986900428</v>
      </c>
      <c r="JU49" s="871">
        <v>3551.3672986900428</v>
      </c>
      <c r="JV49" s="911">
        <v>229.64720880780217</v>
      </c>
      <c r="JW49" s="908">
        <v>25.683944000000004</v>
      </c>
      <c r="JX49" s="902">
        <v>184.11508378244488</v>
      </c>
      <c r="JY49" s="902">
        <v>0</v>
      </c>
      <c r="JZ49" s="902">
        <v>0</v>
      </c>
      <c r="KA49" s="902">
        <v>63.028641794159697</v>
      </c>
      <c r="KB49" s="902">
        <v>30.516876191602925</v>
      </c>
      <c r="KC49" s="902">
        <v>3062.5</v>
      </c>
      <c r="KD49" s="909" t="s">
        <v>1064</v>
      </c>
      <c r="KE49" s="909">
        <v>4</v>
      </c>
      <c r="KF49" s="909">
        <v>0</v>
      </c>
      <c r="KG49" s="909">
        <v>0</v>
      </c>
      <c r="KH49" s="909">
        <v>0</v>
      </c>
      <c r="KI49" s="910">
        <v>4163.4883977586514</v>
      </c>
      <c r="KJ49" s="909">
        <v>0</v>
      </c>
      <c r="KK49" s="909">
        <v>0</v>
      </c>
      <c r="KL49" s="909">
        <v>0</v>
      </c>
      <c r="KM49" s="910">
        <v>3551.3672986900428</v>
      </c>
      <c r="KN49" s="871">
        <v>3551.3672986900428</v>
      </c>
      <c r="KO49" s="912">
        <v>229.64720880780217</v>
      </c>
    </row>
    <row r="50" spans="1:301" ht="15" customHeight="1">
      <c r="A50" s="924" t="s">
        <v>1538</v>
      </c>
      <c r="B50" s="888" t="s">
        <v>1073</v>
      </c>
      <c r="C50" s="888">
        <v>482.5</v>
      </c>
      <c r="D50" s="888">
        <v>1235</v>
      </c>
      <c r="E50" s="888">
        <v>500</v>
      </c>
      <c r="F50" s="888">
        <v>450</v>
      </c>
      <c r="G50" s="888">
        <v>284</v>
      </c>
      <c r="H50" s="888">
        <v>185</v>
      </c>
      <c r="I50" s="888">
        <v>133</v>
      </c>
      <c r="J50" s="888">
        <v>34.950000000000003</v>
      </c>
      <c r="K50" s="888">
        <v>48.87</v>
      </c>
      <c r="L50" s="888">
        <v>10</v>
      </c>
      <c r="M50" s="888">
        <v>540</v>
      </c>
      <c r="N50" s="888">
        <v>6</v>
      </c>
      <c r="O50" s="884">
        <v>47.173446464461868</v>
      </c>
      <c r="P50" s="888">
        <v>6</v>
      </c>
      <c r="Q50" s="884">
        <v>32.098861092190802</v>
      </c>
      <c r="R50" s="888">
        <v>18.000000000000004</v>
      </c>
      <c r="S50" s="888">
        <v>810.86777212682625</v>
      </c>
      <c r="T50" s="906">
        <v>72.967946238828077</v>
      </c>
      <c r="U50" s="906">
        <v>121.63016581902393</v>
      </c>
      <c r="V50" s="906">
        <v>110</v>
      </c>
      <c r="W50" s="1141">
        <v>7.5248194558791432</v>
      </c>
      <c r="X50" s="902">
        <v>0</v>
      </c>
      <c r="Y50" s="902">
        <v>0</v>
      </c>
      <c r="Z50" s="902">
        <v>0</v>
      </c>
      <c r="AA50" s="902">
        <v>0</v>
      </c>
      <c r="AB50" s="970">
        <v>34.306419308164756</v>
      </c>
      <c r="AC50" s="1045">
        <v>4000</v>
      </c>
      <c r="AD50" s="890">
        <v>0.38316432471779027</v>
      </c>
      <c r="AE50" s="890">
        <v>0.69890780818898146</v>
      </c>
      <c r="AF50" s="890">
        <v>-0.32508444407612519</v>
      </c>
      <c r="AG50" s="890">
        <v>1.1147847205225196</v>
      </c>
      <c r="AH50" s="888"/>
      <c r="AI50" s="907">
        <v>6.1431444527165988</v>
      </c>
      <c r="AJ50" s="908">
        <v>40.440060000000003</v>
      </c>
      <c r="AK50" s="902">
        <v>200.20513325135988</v>
      </c>
      <c r="AL50" s="902">
        <v>0</v>
      </c>
      <c r="AM50" s="902">
        <v>0</v>
      </c>
      <c r="AN50" s="902">
        <v>68.103480135578451</v>
      </c>
      <c r="AO50" s="902">
        <v>34.109808688146451</v>
      </c>
      <c r="AP50" s="1222">
        <v>2450</v>
      </c>
      <c r="AQ50" s="909" t="s">
        <v>1062</v>
      </c>
      <c r="AR50" s="909">
        <v>6</v>
      </c>
      <c r="AS50" s="909">
        <v>0</v>
      </c>
      <c r="AT50" s="909">
        <v>0</v>
      </c>
      <c r="AU50" s="909">
        <v>0</v>
      </c>
      <c r="AV50" s="910">
        <v>2820.97368819965</v>
      </c>
      <c r="AW50" s="909">
        <v>0</v>
      </c>
      <c r="AX50" s="909">
        <v>0</v>
      </c>
      <c r="AY50" s="909">
        <v>0</v>
      </c>
      <c r="AZ50" s="910">
        <v>2736.8669996395047</v>
      </c>
      <c r="BA50" s="871">
        <v>2736.8669996395047</v>
      </c>
      <c r="BB50" s="911">
        <v>176.97799593334938</v>
      </c>
      <c r="BC50" s="908">
        <v>53.920080000000006</v>
      </c>
      <c r="BD50" s="902">
        <v>213.68515325135988</v>
      </c>
      <c r="BE50" s="902">
        <v>0</v>
      </c>
      <c r="BF50" s="902">
        <v>0</v>
      </c>
      <c r="BG50" s="902">
        <v>69.64249943897363</v>
      </c>
      <c r="BH50" s="902">
        <v>37.072095739474577</v>
      </c>
      <c r="BI50" s="902">
        <v>3062.5</v>
      </c>
      <c r="BJ50" s="909" t="s">
        <v>1062</v>
      </c>
      <c r="BK50" s="909">
        <v>8</v>
      </c>
      <c r="BL50" s="909">
        <v>0</v>
      </c>
      <c r="BM50" s="909">
        <v>0</v>
      </c>
      <c r="BN50" s="909">
        <v>0</v>
      </c>
      <c r="BO50" s="910">
        <v>3891.724647370188</v>
      </c>
      <c r="BP50" s="909">
        <v>0</v>
      </c>
      <c r="BQ50" s="909">
        <v>0</v>
      </c>
      <c r="BR50" s="909">
        <v>0</v>
      </c>
      <c r="BS50" s="910">
        <v>4216.4570990088869</v>
      </c>
      <c r="BT50" s="871">
        <v>3891.724647370188</v>
      </c>
      <c r="BU50" s="911">
        <v>251.65622915060086</v>
      </c>
      <c r="BV50" s="908">
        <v>53.920080000000006</v>
      </c>
      <c r="BW50" s="902">
        <v>213.68515325135988</v>
      </c>
      <c r="BX50" s="902">
        <v>0</v>
      </c>
      <c r="BY50" s="902">
        <v>0</v>
      </c>
      <c r="BZ50" s="902">
        <v>69.64249943897363</v>
      </c>
      <c r="CA50" s="902">
        <v>37.072095739474577</v>
      </c>
      <c r="CB50" s="902">
        <v>2450</v>
      </c>
      <c r="CC50" s="909" t="s">
        <v>2874</v>
      </c>
      <c r="CD50" s="909">
        <v>8</v>
      </c>
      <c r="CE50" s="909">
        <v>0</v>
      </c>
      <c r="CF50" s="909">
        <v>0</v>
      </c>
      <c r="CG50" s="909">
        <v>0</v>
      </c>
      <c r="CH50" s="910">
        <v>3813.0958421879022</v>
      </c>
      <c r="CI50" s="909">
        <v>0</v>
      </c>
      <c r="CJ50" s="909">
        <v>0</v>
      </c>
      <c r="CK50" s="909">
        <v>0</v>
      </c>
      <c r="CL50" s="910">
        <v>4131.2673659630345</v>
      </c>
      <c r="CM50" s="871">
        <v>3813.0958421879022</v>
      </c>
      <c r="CN50" s="911">
        <v>246.5717408047559</v>
      </c>
      <c r="CO50" s="908">
        <v>53.920080000000006</v>
      </c>
      <c r="CP50" s="902">
        <v>213.68515325135988</v>
      </c>
      <c r="CQ50" s="902">
        <v>0</v>
      </c>
      <c r="CR50" s="902">
        <v>0</v>
      </c>
      <c r="CS50" s="902">
        <v>69.64249943897363</v>
      </c>
      <c r="CT50" s="902">
        <v>37.072095739474577</v>
      </c>
      <c r="CU50" s="902">
        <v>3062.5</v>
      </c>
      <c r="CV50" s="909" t="s">
        <v>2874</v>
      </c>
      <c r="CW50" s="909">
        <v>8</v>
      </c>
      <c r="CX50" s="909">
        <v>0</v>
      </c>
      <c r="CY50" s="909">
        <v>0</v>
      </c>
      <c r="CZ50" s="909">
        <v>0</v>
      </c>
      <c r="DA50" s="910">
        <v>3813.0958421879022</v>
      </c>
      <c r="DB50" s="909">
        <v>0</v>
      </c>
      <c r="DC50" s="909">
        <v>0</v>
      </c>
      <c r="DD50" s="909">
        <v>0</v>
      </c>
      <c r="DE50" s="910">
        <v>4131.2673659630345</v>
      </c>
      <c r="DF50" s="871">
        <v>3813.0958421879022</v>
      </c>
      <c r="DG50" s="911">
        <v>246.5717408047559</v>
      </c>
      <c r="DH50" s="908">
        <v>40.440060000000003</v>
      </c>
      <c r="DI50" s="902">
        <v>200.20513325135988</v>
      </c>
      <c r="DJ50" s="902">
        <v>0</v>
      </c>
      <c r="DK50" s="902">
        <v>0</v>
      </c>
      <c r="DL50" s="902">
        <v>68.103480135578451</v>
      </c>
      <c r="DM50" s="902">
        <v>34.109808688146451</v>
      </c>
      <c r="DN50" s="902">
        <v>2450</v>
      </c>
      <c r="DO50" s="909" t="s">
        <v>2875</v>
      </c>
      <c r="DP50" s="909">
        <v>6</v>
      </c>
      <c r="DQ50" s="909">
        <v>0</v>
      </c>
      <c r="DR50" s="909">
        <v>0</v>
      </c>
      <c r="DS50" s="909">
        <v>0</v>
      </c>
      <c r="DT50" s="910">
        <v>2876.839976692364</v>
      </c>
      <c r="DU50" s="909">
        <v>0</v>
      </c>
      <c r="DV50" s="909">
        <v>0</v>
      </c>
      <c r="DW50" s="909">
        <v>0</v>
      </c>
      <c r="DX50" s="910">
        <v>2791.0676474539941</v>
      </c>
      <c r="DY50" s="871">
        <v>2791.0676474539941</v>
      </c>
      <c r="DZ50" s="911">
        <v>180.48285094813858</v>
      </c>
      <c r="EA50" s="908">
        <v>53.920080000000006</v>
      </c>
      <c r="EB50" s="902">
        <v>213.68515325135988</v>
      </c>
      <c r="EC50" s="902">
        <v>0</v>
      </c>
      <c r="ED50" s="902">
        <v>0</v>
      </c>
      <c r="EE50" s="902">
        <v>69.64249943897363</v>
      </c>
      <c r="EF50" s="902">
        <v>37.072095739474577</v>
      </c>
      <c r="EG50" s="902">
        <v>3062.5</v>
      </c>
      <c r="EH50" s="909" t="s">
        <v>2875</v>
      </c>
      <c r="EI50" s="909">
        <v>8</v>
      </c>
      <c r="EJ50" s="909">
        <v>0</v>
      </c>
      <c r="EK50" s="909">
        <v>0</v>
      </c>
      <c r="EL50" s="909">
        <v>0</v>
      </c>
      <c r="EM50" s="910">
        <v>3968.7959836941163</v>
      </c>
      <c r="EN50" s="909">
        <v>0</v>
      </c>
      <c r="EO50" s="909">
        <v>0</v>
      </c>
      <c r="EP50" s="909">
        <v>0</v>
      </c>
      <c r="EQ50" s="910">
        <v>4299.9594052146276</v>
      </c>
      <c r="ER50" s="871">
        <v>3968.7959836941163</v>
      </c>
      <c r="ES50" s="911">
        <v>256.64000463121818</v>
      </c>
      <c r="ET50" s="908">
        <v>40.440060000000003</v>
      </c>
      <c r="EU50" s="902">
        <v>200.20513325135988</v>
      </c>
      <c r="EV50" s="902">
        <v>0</v>
      </c>
      <c r="EW50" s="902">
        <v>0</v>
      </c>
      <c r="EX50" s="902">
        <v>68.103480135578451</v>
      </c>
      <c r="EY50" s="902">
        <v>34.109808688146451</v>
      </c>
      <c r="EZ50" s="902">
        <v>2450</v>
      </c>
      <c r="FA50" s="909" t="s">
        <v>3884</v>
      </c>
      <c r="FB50" s="909">
        <v>6</v>
      </c>
      <c r="FC50" s="909">
        <v>0</v>
      </c>
      <c r="FD50" s="909">
        <v>0</v>
      </c>
      <c r="FE50" s="909">
        <v>0</v>
      </c>
      <c r="FF50" s="910">
        <v>3064.3617946364284</v>
      </c>
      <c r="FG50" s="909">
        <v>0</v>
      </c>
      <c r="FH50" s="909">
        <v>0</v>
      </c>
      <c r="FI50" s="909">
        <v>0</v>
      </c>
      <c r="FJ50" s="910">
        <v>2972.9985450693675</v>
      </c>
      <c r="FK50" s="871">
        <v>2972.9985450693675</v>
      </c>
      <c r="FL50" s="911">
        <v>192.24731215964985</v>
      </c>
      <c r="FM50" s="908">
        <v>53.920080000000006</v>
      </c>
      <c r="FN50" s="902">
        <v>213.68515325135988</v>
      </c>
      <c r="FO50" s="902">
        <v>0</v>
      </c>
      <c r="FP50" s="902">
        <v>0</v>
      </c>
      <c r="FQ50" s="902">
        <v>69.64249943897363</v>
      </c>
      <c r="FR50" s="902">
        <v>37.072095739474577</v>
      </c>
      <c r="FS50" s="902">
        <v>3062.5</v>
      </c>
      <c r="FT50" s="909" t="s">
        <v>3884</v>
      </c>
      <c r="FU50" s="909">
        <v>8</v>
      </c>
      <c r="FV50" s="909">
        <v>0</v>
      </c>
      <c r="FW50" s="909">
        <v>0</v>
      </c>
      <c r="FX50" s="909">
        <v>0</v>
      </c>
      <c r="FY50" s="910">
        <v>4227.4950576575902</v>
      </c>
      <c r="FZ50" s="909">
        <v>0</v>
      </c>
      <c r="GA50" s="909">
        <v>0</v>
      </c>
      <c r="GB50" s="909">
        <v>0</v>
      </c>
      <c r="GC50" s="910">
        <v>4580.2447917096388</v>
      </c>
      <c r="GD50" s="871">
        <v>4000</v>
      </c>
      <c r="GE50" s="911">
        <v>258.65779514555965</v>
      </c>
      <c r="GF50" s="908">
        <v>33.700050000000005</v>
      </c>
      <c r="GG50" s="902">
        <v>193.46512325135987</v>
      </c>
      <c r="GH50" s="902">
        <v>0</v>
      </c>
      <c r="GI50" s="902">
        <v>0</v>
      </c>
      <c r="GJ50" s="902">
        <v>67.253545092569397</v>
      </c>
      <c r="GK50" s="902">
        <v>32.628665162482385</v>
      </c>
      <c r="GL50" s="902">
        <v>2450</v>
      </c>
      <c r="GM50" s="909" t="s">
        <v>2877</v>
      </c>
      <c r="GN50" s="909">
        <v>5</v>
      </c>
      <c r="GO50" s="909">
        <v>0</v>
      </c>
      <c r="GP50" s="909">
        <v>0</v>
      </c>
      <c r="GQ50" s="909">
        <v>0</v>
      </c>
      <c r="GR50" s="910">
        <v>3301.421756122395</v>
      </c>
      <c r="GS50" s="909">
        <v>0</v>
      </c>
      <c r="GT50" s="909">
        <v>0</v>
      </c>
      <c r="GU50" s="909">
        <v>0</v>
      </c>
      <c r="GV50" s="910">
        <v>3140.7099339073602</v>
      </c>
      <c r="GW50" s="871">
        <v>3140.7099339073602</v>
      </c>
      <c r="GX50" s="911">
        <v>203.09227667405855</v>
      </c>
      <c r="GY50" s="908">
        <v>40.440060000000003</v>
      </c>
      <c r="GZ50" s="902">
        <v>200.20513325135988</v>
      </c>
      <c r="HA50" s="902">
        <v>0</v>
      </c>
      <c r="HB50" s="902">
        <v>0</v>
      </c>
      <c r="HC50" s="902">
        <v>68.103480135578451</v>
      </c>
      <c r="HD50" s="902">
        <v>34.109808688146451</v>
      </c>
      <c r="HE50" s="902">
        <v>3062.5</v>
      </c>
      <c r="HF50" s="909" t="s">
        <v>2877</v>
      </c>
      <c r="HG50" s="909">
        <v>6</v>
      </c>
      <c r="HH50" s="909">
        <v>0</v>
      </c>
      <c r="HI50" s="909">
        <v>0</v>
      </c>
      <c r="HJ50" s="909">
        <v>0</v>
      </c>
      <c r="HK50" s="910">
        <v>3784.7333577316276</v>
      </c>
      <c r="HL50" s="909">
        <v>0</v>
      </c>
      <c r="HM50" s="909">
        <v>0</v>
      </c>
      <c r="HN50" s="909">
        <v>0</v>
      </c>
      <c r="HO50" s="910">
        <v>3671.8923939418946</v>
      </c>
      <c r="HP50" s="871">
        <v>3671.8923939418946</v>
      </c>
      <c r="HQ50" s="911">
        <v>237.44089765719031</v>
      </c>
      <c r="HR50" s="908">
        <v>33.700050000000005</v>
      </c>
      <c r="HS50" s="902">
        <v>193.46512325135987</v>
      </c>
      <c r="HT50" s="902">
        <v>0</v>
      </c>
      <c r="HU50" s="902">
        <v>0</v>
      </c>
      <c r="HV50" s="902">
        <v>67.253545092569397</v>
      </c>
      <c r="HW50" s="902">
        <v>32.628665162482385</v>
      </c>
      <c r="HX50" s="902">
        <v>2450</v>
      </c>
      <c r="HY50" s="909" t="s">
        <v>1063</v>
      </c>
      <c r="HZ50" s="909">
        <v>5</v>
      </c>
      <c r="IA50" s="909">
        <v>0</v>
      </c>
      <c r="IB50" s="909">
        <v>0</v>
      </c>
      <c r="IC50" s="909">
        <v>0</v>
      </c>
      <c r="ID50" s="910">
        <v>2911.580313212663</v>
      </c>
      <c r="IE50" s="909">
        <v>0</v>
      </c>
      <c r="IF50" s="909">
        <v>0</v>
      </c>
      <c r="IG50" s="909">
        <v>0</v>
      </c>
      <c r="IH50" s="910">
        <v>2769.8458084363265</v>
      </c>
      <c r="II50" s="871">
        <v>2769.8458084363265</v>
      </c>
      <c r="IJ50" s="911">
        <v>179.11055242582762</v>
      </c>
      <c r="IK50" s="908">
        <v>26.960040000000003</v>
      </c>
      <c r="IL50" s="902">
        <v>198.85281119998766</v>
      </c>
      <c r="IM50" s="902">
        <v>2.684407518207212</v>
      </c>
      <c r="IN50" s="902">
        <v>9.4432904304205785</v>
      </c>
      <c r="IO50" s="902">
        <v>66.70285873475639</v>
      </c>
      <c r="IP50" s="902">
        <v>34.391760313154656</v>
      </c>
      <c r="IQ50" s="902">
        <v>3062.5</v>
      </c>
      <c r="IR50" s="909" t="s">
        <v>1063</v>
      </c>
      <c r="IS50" s="909">
        <v>4</v>
      </c>
      <c r="IT50" s="909">
        <v>1</v>
      </c>
      <c r="IU50" s="909">
        <v>6</v>
      </c>
      <c r="IV50" s="909">
        <v>82.200733801855634</v>
      </c>
      <c r="IW50" s="910">
        <v>5526.7334850218922</v>
      </c>
      <c r="IX50" s="909">
        <v>1</v>
      </c>
      <c r="IY50" s="909">
        <v>6</v>
      </c>
      <c r="IZ50" s="909">
        <v>108.08053165111932</v>
      </c>
      <c r="JA50" s="910">
        <v>3704.521650620165</v>
      </c>
      <c r="JB50" s="871">
        <v>3704.521650620165</v>
      </c>
      <c r="JC50" s="911">
        <v>239.55085055460029</v>
      </c>
      <c r="JD50" s="908">
        <v>26.960040000000003</v>
      </c>
      <c r="JE50" s="902">
        <v>186.72511325135986</v>
      </c>
      <c r="JF50" s="902">
        <v>0</v>
      </c>
      <c r="JG50" s="902">
        <v>0</v>
      </c>
      <c r="JH50" s="902">
        <v>66.342251718166295</v>
      </c>
      <c r="JI50" s="902">
        <v>31.147521636818325</v>
      </c>
      <c r="JJ50" s="902">
        <v>2450</v>
      </c>
      <c r="JK50" s="909" t="s">
        <v>1064</v>
      </c>
      <c r="JL50" s="909">
        <v>4</v>
      </c>
      <c r="JM50" s="909">
        <v>0</v>
      </c>
      <c r="JN50" s="909">
        <v>0</v>
      </c>
      <c r="JO50" s="909">
        <v>0</v>
      </c>
      <c r="JP50" s="910">
        <v>3436.5410760561695</v>
      </c>
      <c r="JQ50" s="909">
        <v>0</v>
      </c>
      <c r="JR50" s="909">
        <v>0</v>
      </c>
      <c r="JS50" s="909">
        <v>0</v>
      </c>
      <c r="JT50" s="910">
        <v>3228.88763315198</v>
      </c>
      <c r="JU50" s="871">
        <v>3228.88763315198</v>
      </c>
      <c r="JV50" s="911">
        <v>208.79423899096395</v>
      </c>
      <c r="JW50" s="908">
        <v>33.700050000000005</v>
      </c>
      <c r="JX50" s="902">
        <v>193.46512325135987</v>
      </c>
      <c r="JY50" s="902">
        <v>0</v>
      </c>
      <c r="JZ50" s="902">
        <v>0</v>
      </c>
      <c r="KA50" s="902">
        <v>67.253545092569397</v>
      </c>
      <c r="KB50" s="902">
        <v>32.628665162482385</v>
      </c>
      <c r="KC50" s="902">
        <v>3062.5</v>
      </c>
      <c r="KD50" s="909" t="s">
        <v>1064</v>
      </c>
      <c r="KE50" s="909">
        <v>5</v>
      </c>
      <c r="KF50" s="909">
        <v>0</v>
      </c>
      <c r="KG50" s="909">
        <v>0</v>
      </c>
      <c r="KH50" s="909">
        <v>0</v>
      </c>
      <c r="KI50" s="910">
        <v>3967.8151412105549</v>
      </c>
      <c r="KJ50" s="909">
        <v>0</v>
      </c>
      <c r="KK50" s="909">
        <v>0</v>
      </c>
      <c r="KL50" s="909">
        <v>0</v>
      </c>
      <c r="KM50" s="910">
        <v>3774.6635693540347</v>
      </c>
      <c r="KN50" s="871">
        <v>3774.6635693540347</v>
      </c>
      <c r="KO50" s="912">
        <v>244.08653906634572</v>
      </c>
    </row>
    <row r="51" spans="1:301" ht="15" customHeight="1">
      <c r="A51" s="924" t="s">
        <v>1539</v>
      </c>
      <c r="B51" s="888" t="s">
        <v>1078</v>
      </c>
      <c r="C51" s="888">
        <v>545</v>
      </c>
      <c r="D51" s="888">
        <v>1235</v>
      </c>
      <c r="E51" s="888">
        <v>560</v>
      </c>
      <c r="F51" s="888">
        <v>500</v>
      </c>
      <c r="G51" s="888">
        <v>319</v>
      </c>
      <c r="H51" s="888">
        <v>215</v>
      </c>
      <c r="I51" s="888">
        <v>152</v>
      </c>
      <c r="J51" s="888">
        <v>34.9</v>
      </c>
      <c r="K51" s="888">
        <v>42.35</v>
      </c>
      <c r="L51" s="888">
        <v>10</v>
      </c>
      <c r="M51" s="888">
        <v>520</v>
      </c>
      <c r="N51" s="888">
        <v>6</v>
      </c>
      <c r="O51" s="884">
        <v>44.820739142115009</v>
      </c>
      <c r="P51" s="888">
        <v>6</v>
      </c>
      <c r="Q51" s="884">
        <v>30.555225508477392</v>
      </c>
      <c r="R51" s="888">
        <v>18.000000000000004</v>
      </c>
      <c r="S51" s="888">
        <v>836.20282289980662</v>
      </c>
      <c r="T51" s="906">
        <v>77.598852989968307</v>
      </c>
      <c r="U51" s="906">
        <v>125.43042343497099</v>
      </c>
      <c r="V51" s="906">
        <v>122.5</v>
      </c>
      <c r="W51" s="1141">
        <v>8.911743273066671</v>
      </c>
      <c r="X51" s="902">
        <v>0</v>
      </c>
      <c r="Y51" s="902">
        <v>0</v>
      </c>
      <c r="Z51" s="902">
        <v>0</v>
      </c>
      <c r="AA51" s="902">
        <v>0</v>
      </c>
      <c r="AB51" s="970">
        <v>45.604486769194466</v>
      </c>
      <c r="AC51" s="1045">
        <v>4000</v>
      </c>
      <c r="AD51" s="890">
        <v>0.22801980946694117</v>
      </c>
      <c r="AE51" s="890">
        <v>0.69760966264445146</v>
      </c>
      <c r="AF51" s="890">
        <v>-0.32089746306405309</v>
      </c>
      <c r="AG51" s="890">
        <v>1.0538003632140107</v>
      </c>
      <c r="AH51" s="888"/>
      <c r="AI51" s="907">
        <v>6.2334698761052394</v>
      </c>
      <c r="AJ51" s="908">
        <v>59.923760000000016</v>
      </c>
      <c r="AK51" s="902">
        <v>221.81032091362741</v>
      </c>
      <c r="AL51" s="902">
        <v>0</v>
      </c>
      <c r="AM51" s="902">
        <v>0</v>
      </c>
      <c r="AN51" s="902">
        <v>78.509253639492542</v>
      </c>
      <c r="AO51" s="902">
        <v>39.230286954200466</v>
      </c>
      <c r="AP51" s="1222">
        <v>2550</v>
      </c>
      <c r="AQ51" s="909" t="s">
        <v>1062</v>
      </c>
      <c r="AR51" s="909">
        <v>8</v>
      </c>
      <c r="AS51" s="909">
        <v>0</v>
      </c>
      <c r="AT51" s="909">
        <v>0</v>
      </c>
      <c r="AU51" s="909">
        <v>0</v>
      </c>
      <c r="AV51" s="910">
        <v>3010.4593142241729</v>
      </c>
      <c r="AW51" s="909">
        <v>0</v>
      </c>
      <c r="AX51" s="909">
        <v>0</v>
      </c>
      <c r="AY51" s="909">
        <v>0</v>
      </c>
      <c r="AZ51" s="910">
        <v>3161.4666065001798</v>
      </c>
      <c r="BA51" s="871">
        <v>3010.4593142241729</v>
      </c>
      <c r="BB51" s="911">
        <v>194.66969214815953</v>
      </c>
      <c r="BC51" s="908">
        <v>44.942820000000012</v>
      </c>
      <c r="BD51" s="902">
        <v>206.8293809136274</v>
      </c>
      <c r="BE51" s="902">
        <v>0</v>
      </c>
      <c r="BF51" s="902">
        <v>0</v>
      </c>
      <c r="BG51" s="902">
        <v>76.409413520726488</v>
      </c>
      <c r="BH51" s="902">
        <v>35.817909714825468</v>
      </c>
      <c r="BI51" s="902">
        <v>3187.5</v>
      </c>
      <c r="BJ51" s="909" t="s">
        <v>1064</v>
      </c>
      <c r="BK51" s="909">
        <v>6</v>
      </c>
      <c r="BL51" s="909">
        <v>0</v>
      </c>
      <c r="BM51" s="909">
        <v>0</v>
      </c>
      <c r="BN51" s="909">
        <v>0</v>
      </c>
      <c r="BO51" s="910">
        <v>3641.0481292011063</v>
      </c>
      <c r="BP51" s="909">
        <v>0</v>
      </c>
      <c r="BQ51" s="909">
        <v>0</v>
      </c>
      <c r="BR51" s="909">
        <v>0</v>
      </c>
      <c r="BS51" s="910">
        <v>3528.3955033927887</v>
      </c>
      <c r="BT51" s="871">
        <v>3528.3955033927887</v>
      </c>
      <c r="BU51" s="911">
        <v>228.16175032727145</v>
      </c>
      <c r="BV51" s="908">
        <v>59.923760000000016</v>
      </c>
      <c r="BW51" s="902">
        <v>221.81032091362741</v>
      </c>
      <c r="BX51" s="902">
        <v>0</v>
      </c>
      <c r="BY51" s="902">
        <v>0</v>
      </c>
      <c r="BZ51" s="902">
        <v>78.509253639492542</v>
      </c>
      <c r="CA51" s="902">
        <v>39.230286954200466</v>
      </c>
      <c r="CB51" s="902">
        <v>2550</v>
      </c>
      <c r="CC51" s="909" t="s">
        <v>2874</v>
      </c>
      <c r="CD51" s="909">
        <v>8</v>
      </c>
      <c r="CE51" s="909">
        <v>0</v>
      </c>
      <c r="CF51" s="909">
        <v>0</v>
      </c>
      <c r="CG51" s="909">
        <v>0</v>
      </c>
      <c r="CH51" s="910">
        <v>2949.6356845032769</v>
      </c>
      <c r="CI51" s="909">
        <v>0</v>
      </c>
      <c r="CJ51" s="909">
        <v>0</v>
      </c>
      <c r="CK51" s="909">
        <v>0</v>
      </c>
      <c r="CL51" s="910">
        <v>3097.5920099094933</v>
      </c>
      <c r="CM51" s="871">
        <v>2949.6356845032769</v>
      </c>
      <c r="CN51" s="911">
        <v>190.73656565907032</v>
      </c>
      <c r="CO51" s="908">
        <v>29.961880000000008</v>
      </c>
      <c r="CP51" s="902">
        <v>-1181.1687304322591</v>
      </c>
      <c r="CQ51" s="902">
        <v>2.9812291899495431</v>
      </c>
      <c r="CR51" s="902">
        <v>-1375.998400535836</v>
      </c>
      <c r="CS51" s="902">
        <v>76.248323662767234</v>
      </c>
      <c r="CT51" s="902">
        <v>-418.23618654541968</v>
      </c>
      <c r="CU51" s="902">
        <v>3187.5</v>
      </c>
      <c r="CV51" s="909" t="s">
        <v>2875</v>
      </c>
      <c r="CW51" s="909">
        <v>4</v>
      </c>
      <c r="CX51" s="909">
        <v>1</v>
      </c>
      <c r="CY51" s="909">
        <v>6</v>
      </c>
      <c r="CZ51" s="909">
        <v>79.774930540658218</v>
      </c>
      <c r="DA51" s="910">
        <v>3805.5539847707505</v>
      </c>
      <c r="DB51" s="909">
        <v>1</v>
      </c>
      <c r="DC51" s="909">
        <v>-1000</v>
      </c>
      <c r="DD51" s="909">
        <v>93.92883752701708</v>
      </c>
      <c r="DE51" s="910">
        <v>-1</v>
      </c>
      <c r="DF51" s="871">
        <v>-1</v>
      </c>
      <c r="DG51" s="911">
        <v>-6.4664448786389911E-2</v>
      </c>
      <c r="DH51" s="908">
        <v>59.923760000000016</v>
      </c>
      <c r="DI51" s="902">
        <v>221.81032091362741</v>
      </c>
      <c r="DJ51" s="902">
        <v>0</v>
      </c>
      <c r="DK51" s="902">
        <v>0</v>
      </c>
      <c r="DL51" s="902">
        <v>78.509253639492542</v>
      </c>
      <c r="DM51" s="902">
        <v>39.230286954200466</v>
      </c>
      <c r="DN51" s="902">
        <v>2550</v>
      </c>
      <c r="DO51" s="909" t="s">
        <v>2875</v>
      </c>
      <c r="DP51" s="909">
        <v>8</v>
      </c>
      <c r="DQ51" s="909">
        <v>0</v>
      </c>
      <c r="DR51" s="909">
        <v>0</v>
      </c>
      <c r="DS51" s="909">
        <v>0</v>
      </c>
      <c r="DT51" s="910">
        <v>3070.0781576212421</v>
      </c>
      <c r="DU51" s="909">
        <v>0</v>
      </c>
      <c r="DV51" s="909">
        <v>0</v>
      </c>
      <c r="DW51" s="909">
        <v>0</v>
      </c>
      <c r="DX51" s="910">
        <v>3224.075983623276</v>
      </c>
      <c r="DY51" s="871">
        <v>3070.0781576212421</v>
      </c>
      <c r="DZ51" s="911">
        <v>198.52491179371313</v>
      </c>
      <c r="EA51" s="908">
        <v>29.961880000000008</v>
      </c>
      <c r="EB51" s="902">
        <v>282.89356773787046</v>
      </c>
      <c r="EC51" s="902">
        <v>2.9812291899495431</v>
      </c>
      <c r="ED51" s="902">
        <v>88.063897634293511</v>
      </c>
      <c r="EE51" s="902">
        <v>74.96317138691947</v>
      </c>
      <c r="EF51" s="902">
        <v>61.561194504094104</v>
      </c>
      <c r="EG51" s="902">
        <v>3187.5</v>
      </c>
      <c r="EH51" s="909" t="s">
        <v>3884</v>
      </c>
      <c r="EI51" s="909">
        <v>4</v>
      </c>
      <c r="EJ51" s="909">
        <v>1</v>
      </c>
      <c r="EK51" s="909">
        <v>6</v>
      </c>
      <c r="EL51" s="909">
        <v>79.774930540658218</v>
      </c>
      <c r="EM51" s="910">
        <v>4053.6124125213864</v>
      </c>
      <c r="EN51" s="909">
        <v>1</v>
      </c>
      <c r="EO51" s="909">
        <v>64</v>
      </c>
      <c r="EP51" s="909">
        <v>93.92883752701708</v>
      </c>
      <c r="EQ51" s="910">
        <v>-1</v>
      </c>
      <c r="ER51" s="871">
        <v>-1</v>
      </c>
      <c r="ES51" s="911">
        <v>-6.4664448786389911E-2</v>
      </c>
      <c r="ET51" s="908">
        <v>59.923760000000016</v>
      </c>
      <c r="EU51" s="902">
        <v>221.81032091362741</v>
      </c>
      <c r="EV51" s="902">
        <v>0</v>
      </c>
      <c r="EW51" s="902">
        <v>0</v>
      </c>
      <c r="EX51" s="902">
        <v>78.509253639492542</v>
      </c>
      <c r="EY51" s="902">
        <v>39.230286954200466</v>
      </c>
      <c r="EZ51" s="902">
        <v>2550</v>
      </c>
      <c r="FA51" s="909" t="s">
        <v>3884</v>
      </c>
      <c r="FB51" s="909">
        <v>8</v>
      </c>
      <c r="FC51" s="909">
        <v>0</v>
      </c>
      <c r="FD51" s="909">
        <v>0</v>
      </c>
      <c r="FE51" s="909">
        <v>0</v>
      </c>
      <c r="FF51" s="910">
        <v>3270.1958708106331</v>
      </c>
      <c r="FG51" s="909">
        <v>0</v>
      </c>
      <c r="FH51" s="909">
        <v>0</v>
      </c>
      <c r="FI51" s="909">
        <v>0</v>
      </c>
      <c r="FJ51" s="910">
        <v>3434.2317776671111</v>
      </c>
      <c r="FK51" s="871">
        <v>3270.1958708106331</v>
      </c>
      <c r="FL51" s="911">
        <v>211.46541340949796</v>
      </c>
      <c r="FM51" s="908">
        <v>59.923760000000016</v>
      </c>
      <c r="FN51" s="902">
        <v>221.81032091362741</v>
      </c>
      <c r="FO51" s="902">
        <v>0</v>
      </c>
      <c r="FP51" s="902">
        <v>0</v>
      </c>
      <c r="FQ51" s="902">
        <v>78.509253639492542</v>
      </c>
      <c r="FR51" s="902">
        <v>39.230286954200466</v>
      </c>
      <c r="FS51" s="902">
        <v>3187.5</v>
      </c>
      <c r="FT51" s="909" t="s">
        <v>2877</v>
      </c>
      <c r="FU51" s="909">
        <v>8</v>
      </c>
      <c r="FV51" s="909">
        <v>0</v>
      </c>
      <c r="FW51" s="909">
        <v>0</v>
      </c>
      <c r="FX51" s="909">
        <v>0</v>
      </c>
      <c r="FY51" s="910">
        <v>4038.9550020615911</v>
      </c>
      <c r="FZ51" s="909">
        <v>0</v>
      </c>
      <c r="GA51" s="909">
        <v>0</v>
      </c>
      <c r="GB51" s="909">
        <v>0</v>
      </c>
      <c r="GC51" s="910">
        <v>4241.5525444379891</v>
      </c>
      <c r="GD51" s="871">
        <v>4000</v>
      </c>
      <c r="GE51" s="911">
        <v>258.65779514555965</v>
      </c>
      <c r="GF51" s="908">
        <v>44.942820000000012</v>
      </c>
      <c r="GG51" s="902">
        <v>206.8293809136274</v>
      </c>
      <c r="GH51" s="902">
        <v>0</v>
      </c>
      <c r="GI51" s="902">
        <v>0</v>
      </c>
      <c r="GJ51" s="902">
        <v>76.409413520726488</v>
      </c>
      <c r="GK51" s="902">
        <v>35.817909714825468</v>
      </c>
      <c r="GL51" s="902">
        <v>2550</v>
      </c>
      <c r="GM51" s="909" t="s">
        <v>2877</v>
      </c>
      <c r="GN51" s="909">
        <v>6</v>
      </c>
      <c r="GO51" s="909">
        <v>0</v>
      </c>
      <c r="GP51" s="909">
        <v>0</v>
      </c>
      <c r="GQ51" s="909">
        <v>0</v>
      </c>
      <c r="GR51" s="910">
        <v>3029.5351676000359</v>
      </c>
      <c r="GS51" s="909">
        <v>0</v>
      </c>
      <c r="GT51" s="909">
        <v>0</v>
      </c>
      <c r="GU51" s="909">
        <v>0</v>
      </c>
      <c r="GV51" s="910">
        <v>2935.8025171382933</v>
      </c>
      <c r="GW51" s="871">
        <v>2935.8025171382933</v>
      </c>
      <c r="GX51" s="911">
        <v>189.84205151644377</v>
      </c>
      <c r="GY51" s="908">
        <v>59.923760000000016</v>
      </c>
      <c r="GZ51" s="902">
        <v>221.81032091362741</v>
      </c>
      <c r="HA51" s="902">
        <v>0</v>
      </c>
      <c r="HB51" s="902">
        <v>0</v>
      </c>
      <c r="HC51" s="902">
        <v>78.509253639492542</v>
      </c>
      <c r="HD51" s="902">
        <v>39.230286954200466</v>
      </c>
      <c r="HE51" s="902">
        <v>3187.5</v>
      </c>
      <c r="HF51" s="909" t="s">
        <v>2877</v>
      </c>
      <c r="HG51" s="909">
        <v>8</v>
      </c>
      <c r="HH51" s="909">
        <v>0</v>
      </c>
      <c r="HI51" s="909">
        <v>0</v>
      </c>
      <c r="HJ51" s="909">
        <v>0</v>
      </c>
      <c r="HK51" s="910">
        <v>4038.9550020615911</v>
      </c>
      <c r="HL51" s="909">
        <v>0</v>
      </c>
      <c r="HM51" s="909">
        <v>0</v>
      </c>
      <c r="HN51" s="909">
        <v>0</v>
      </c>
      <c r="HO51" s="910">
        <v>4241.5525444379891</v>
      </c>
      <c r="HP51" s="871">
        <v>4000</v>
      </c>
      <c r="HQ51" s="911">
        <v>258.65779514555965</v>
      </c>
      <c r="HR51" s="908">
        <v>29.961880000000008</v>
      </c>
      <c r="HS51" s="902">
        <v>203.08566050679195</v>
      </c>
      <c r="HT51" s="902">
        <v>2.9812291899495431</v>
      </c>
      <c r="HU51" s="902">
        <v>8.2559904032150158</v>
      </c>
      <c r="HV51" s="902">
        <v>74.555722030028548</v>
      </c>
      <c r="HW51" s="902">
        <v>35.406825988237145</v>
      </c>
      <c r="HX51" s="902">
        <v>2550</v>
      </c>
      <c r="HY51" s="909" t="s">
        <v>1063</v>
      </c>
      <c r="HZ51" s="909">
        <v>4</v>
      </c>
      <c r="IA51" s="909">
        <v>1</v>
      </c>
      <c r="IB51" s="909">
        <v>6</v>
      </c>
      <c r="IC51" s="909">
        <v>79.774930540658218</v>
      </c>
      <c r="ID51" s="910">
        <v>4415.3510165590669</v>
      </c>
      <c r="IE51" s="909">
        <v>1</v>
      </c>
      <c r="IF51" s="909">
        <v>6</v>
      </c>
      <c r="IG51" s="909">
        <v>93.92883752701708</v>
      </c>
      <c r="IH51" s="910">
        <v>3550.4606324460456</v>
      </c>
      <c r="II51" s="871">
        <v>3550.4606324460456</v>
      </c>
      <c r="IJ51" s="911">
        <v>229.58857973490086</v>
      </c>
      <c r="IK51" s="908">
        <v>29.961880000000008</v>
      </c>
      <c r="IL51" s="902">
        <v>203.08566050679195</v>
      </c>
      <c r="IM51" s="902">
        <v>2.9812291899495431</v>
      </c>
      <c r="IN51" s="902">
        <v>8.2559904032150158</v>
      </c>
      <c r="IO51" s="902">
        <v>74.555722030028548</v>
      </c>
      <c r="IP51" s="902">
        <v>35.406825988237145</v>
      </c>
      <c r="IQ51" s="902">
        <v>3187.5</v>
      </c>
      <c r="IR51" s="909" t="s">
        <v>1063</v>
      </c>
      <c r="IS51" s="909">
        <v>4</v>
      </c>
      <c r="IT51" s="909">
        <v>1</v>
      </c>
      <c r="IU51" s="909">
        <v>6</v>
      </c>
      <c r="IV51" s="909">
        <v>79.774930540658218</v>
      </c>
      <c r="IW51" s="910">
        <v>4415.3510165590669</v>
      </c>
      <c r="IX51" s="909">
        <v>1</v>
      </c>
      <c r="IY51" s="909">
        <v>6</v>
      </c>
      <c r="IZ51" s="909">
        <v>93.92883752701708</v>
      </c>
      <c r="JA51" s="910">
        <v>3550.4606324460456</v>
      </c>
      <c r="JB51" s="871">
        <v>3550.4606324460456</v>
      </c>
      <c r="JC51" s="911">
        <v>229.58857973490086</v>
      </c>
      <c r="JD51" s="908">
        <v>37.45235000000001</v>
      </c>
      <c r="JE51" s="902">
        <v>199.33891091362739</v>
      </c>
      <c r="JF51" s="902">
        <v>0</v>
      </c>
      <c r="JG51" s="902">
        <v>0</v>
      </c>
      <c r="JH51" s="902">
        <v>75.241136317655432</v>
      </c>
      <c r="JI51" s="902">
        <v>34.111721095137966</v>
      </c>
      <c r="JJ51" s="902">
        <v>2550</v>
      </c>
      <c r="JK51" s="909" t="s">
        <v>1064</v>
      </c>
      <c r="JL51" s="909">
        <v>5</v>
      </c>
      <c r="JM51" s="909">
        <v>0</v>
      </c>
      <c r="JN51" s="909">
        <v>0</v>
      </c>
      <c r="JO51" s="909">
        <v>0</v>
      </c>
      <c r="JP51" s="910">
        <v>3199.100795115417</v>
      </c>
      <c r="JQ51" s="909">
        <v>0</v>
      </c>
      <c r="JR51" s="909">
        <v>0</v>
      </c>
      <c r="JS51" s="909">
        <v>0</v>
      </c>
      <c r="JT51" s="910">
        <v>3050.7156508529674</v>
      </c>
      <c r="JU51" s="871">
        <v>3050.7156508529674</v>
      </c>
      <c r="JV51" s="911">
        <v>197.27284596641988</v>
      </c>
      <c r="JW51" s="908">
        <v>44.942820000000012</v>
      </c>
      <c r="JX51" s="902">
        <v>206.8293809136274</v>
      </c>
      <c r="JY51" s="902">
        <v>0</v>
      </c>
      <c r="JZ51" s="902">
        <v>0</v>
      </c>
      <c r="KA51" s="902">
        <v>76.409413520726488</v>
      </c>
      <c r="KB51" s="902">
        <v>35.817909714825468</v>
      </c>
      <c r="KC51" s="902">
        <v>3187.5</v>
      </c>
      <c r="KD51" s="909" t="s">
        <v>1064</v>
      </c>
      <c r="KE51" s="909">
        <v>6</v>
      </c>
      <c r="KF51" s="909">
        <v>0</v>
      </c>
      <c r="KG51" s="909">
        <v>0</v>
      </c>
      <c r="KH51" s="909">
        <v>0</v>
      </c>
      <c r="KI51" s="910">
        <v>3641.0481292011063</v>
      </c>
      <c r="KJ51" s="909">
        <v>0</v>
      </c>
      <c r="KK51" s="909">
        <v>0</v>
      </c>
      <c r="KL51" s="909">
        <v>0</v>
      </c>
      <c r="KM51" s="910">
        <v>3528.3955033927887</v>
      </c>
      <c r="KN51" s="871">
        <v>3528.3955033927887</v>
      </c>
      <c r="KO51" s="912">
        <v>228.16175032727145</v>
      </c>
    </row>
    <row r="52" spans="1:301" ht="15" customHeight="1">
      <c r="A52" s="924" t="s">
        <v>1540</v>
      </c>
      <c r="B52" s="888" t="s">
        <v>1079</v>
      </c>
      <c r="C52" s="888">
        <v>608</v>
      </c>
      <c r="D52" s="888">
        <v>1235</v>
      </c>
      <c r="E52" s="888">
        <v>630</v>
      </c>
      <c r="F52" s="888">
        <v>560</v>
      </c>
      <c r="G52" s="888">
        <v>344</v>
      </c>
      <c r="H52" s="888">
        <v>235</v>
      </c>
      <c r="I52" s="888">
        <v>159</v>
      </c>
      <c r="J52" s="888">
        <v>35.11</v>
      </c>
      <c r="K52" s="888">
        <v>46.25</v>
      </c>
      <c r="L52" s="888">
        <v>10</v>
      </c>
      <c r="M52" s="888">
        <v>498</v>
      </c>
      <c r="N52" s="888">
        <v>6</v>
      </c>
      <c r="O52" s="884">
        <v>41.739284425896557</v>
      </c>
      <c r="P52" s="888">
        <v>6</v>
      </c>
      <c r="Q52" s="884">
        <v>29.169694911946468</v>
      </c>
      <c r="R52" s="888">
        <v>18.000000000000004</v>
      </c>
      <c r="S52" s="888">
        <v>858.30634134274305</v>
      </c>
      <c r="T52" s="906">
        <v>81.755444779561088</v>
      </c>
      <c r="U52" s="906">
        <v>128.74595120141146</v>
      </c>
      <c r="V52" s="906">
        <v>135</v>
      </c>
      <c r="W52" s="1141">
        <v>10.347173479913199</v>
      </c>
      <c r="X52" s="902">
        <v>0</v>
      </c>
      <c r="Y52" s="902">
        <v>0</v>
      </c>
      <c r="Z52" s="902">
        <v>0</v>
      </c>
      <c r="AA52" s="902">
        <v>0</v>
      </c>
      <c r="AB52" s="970">
        <v>39.078896121766903</v>
      </c>
      <c r="AC52" s="1045">
        <v>3517.7868805001731</v>
      </c>
      <c r="AD52" s="890">
        <v>0.39417283128172559</v>
      </c>
      <c r="AE52" s="890">
        <v>0.70307254571432942</v>
      </c>
      <c r="AF52" s="890">
        <v>-0.34362615339724906</v>
      </c>
      <c r="AG52" s="890">
        <v>0.85726127023619103</v>
      </c>
      <c r="AH52" s="888"/>
      <c r="AI52" s="907">
        <v>6.1730888017231837</v>
      </c>
      <c r="AJ52" s="908">
        <v>38.506605000000008</v>
      </c>
      <c r="AK52" s="902">
        <v>201.51820259731733</v>
      </c>
      <c r="AL52" s="902">
        <v>0</v>
      </c>
      <c r="AM52" s="902">
        <v>0</v>
      </c>
      <c r="AN52" s="902">
        <v>78.677757249125008</v>
      </c>
      <c r="AO52" s="902">
        <v>34.925203563447319</v>
      </c>
      <c r="AP52" s="1222">
        <v>2400</v>
      </c>
      <c r="AQ52" s="909" t="s">
        <v>1064</v>
      </c>
      <c r="AR52" s="909">
        <v>5</v>
      </c>
      <c r="AS52" s="909">
        <v>0</v>
      </c>
      <c r="AT52" s="909">
        <v>0</v>
      </c>
      <c r="AU52" s="909">
        <v>0</v>
      </c>
      <c r="AV52" s="910">
        <v>2812.4499923374415</v>
      </c>
      <c r="AW52" s="909">
        <v>0</v>
      </c>
      <c r="AX52" s="909">
        <v>0</v>
      </c>
      <c r="AY52" s="909">
        <v>0</v>
      </c>
      <c r="AZ52" s="910">
        <v>2995.8057399574727</v>
      </c>
      <c r="BA52" s="871">
        <v>2812.4499923374415</v>
      </c>
      <c r="BB52" s="911">
        <v>181.8655284937872</v>
      </c>
      <c r="BC52" s="908">
        <v>46.207926000000008</v>
      </c>
      <c r="BD52" s="902">
        <v>213.18775375630301</v>
      </c>
      <c r="BE52" s="902">
        <v>3.9682301589856834</v>
      </c>
      <c r="BF52" s="902">
        <v>0</v>
      </c>
      <c r="BG52" s="902">
        <v>80.802823721778822</v>
      </c>
      <c r="BH52" s="902">
        <v>37.210564012973848</v>
      </c>
      <c r="BI52" s="902">
        <v>3000</v>
      </c>
      <c r="BJ52" s="909" t="s">
        <v>1064</v>
      </c>
      <c r="BK52" s="909">
        <v>6</v>
      </c>
      <c r="BL52" s="909">
        <v>1</v>
      </c>
      <c r="BM52" s="909">
        <v>8</v>
      </c>
      <c r="BN52" s="909">
        <v>70.217462216034889</v>
      </c>
      <c r="BO52" s="910">
        <v>7482.8429399786837</v>
      </c>
      <c r="BP52" s="909">
        <v>0</v>
      </c>
      <c r="BQ52" s="909">
        <v>0</v>
      </c>
      <c r="BR52" s="909">
        <v>0</v>
      </c>
      <c r="BS52" s="910">
        <v>3454.0780157745289</v>
      </c>
      <c r="BT52" s="871">
        <v>3454.0780157745289</v>
      </c>
      <c r="BU52" s="911">
        <v>223.3560509552473</v>
      </c>
      <c r="BV52" s="908">
        <v>61.610568000000008</v>
      </c>
      <c r="BW52" s="902">
        <v>224.62216559731732</v>
      </c>
      <c r="BX52" s="902">
        <v>0</v>
      </c>
      <c r="BY52" s="902">
        <v>0</v>
      </c>
      <c r="BZ52" s="902">
        <v>82.670896829575852</v>
      </c>
      <c r="CA52" s="902">
        <v>40.397634231585691</v>
      </c>
      <c r="CB52" s="902">
        <v>2400</v>
      </c>
      <c r="CC52" s="909" t="s">
        <v>2875</v>
      </c>
      <c r="CD52" s="909">
        <v>8</v>
      </c>
      <c r="CE52" s="909">
        <v>0</v>
      </c>
      <c r="CF52" s="909">
        <v>0</v>
      </c>
      <c r="CG52" s="909">
        <v>0</v>
      </c>
      <c r="CH52" s="910">
        <v>2654.1983922499849</v>
      </c>
      <c r="CI52" s="909">
        <v>0</v>
      </c>
      <c r="CJ52" s="909">
        <v>0</v>
      </c>
      <c r="CK52" s="909">
        <v>0</v>
      </c>
      <c r="CL52" s="910">
        <v>3103.2556255367394</v>
      </c>
      <c r="CM52" s="871">
        <v>2654.1983922499849</v>
      </c>
      <c r="CN52" s="911">
        <v>171.63227600456761</v>
      </c>
      <c r="CO52" s="908">
        <v>30.805284000000004</v>
      </c>
      <c r="CP52" s="902">
        <v>-1098.2616949661383</v>
      </c>
      <c r="CQ52" s="902">
        <v>2.9761726192392621</v>
      </c>
      <c r="CR52" s="902">
        <v>-1295.0547491826949</v>
      </c>
      <c r="CS52" s="902">
        <v>79.814362707273119</v>
      </c>
      <c r="CT52" s="902">
        <v>-394.87610014234986</v>
      </c>
      <c r="CU52" s="902">
        <v>3000</v>
      </c>
      <c r="CV52" s="909" t="s">
        <v>2875</v>
      </c>
      <c r="CW52" s="909">
        <v>4</v>
      </c>
      <c r="CX52" s="909">
        <v>1</v>
      </c>
      <c r="CY52" s="909">
        <v>6</v>
      </c>
      <c r="CZ52" s="909">
        <v>70.217462216034889</v>
      </c>
      <c r="DA52" s="910">
        <v>3332.5361744061743</v>
      </c>
      <c r="DB52" s="909">
        <v>1</v>
      </c>
      <c r="DC52" s="909">
        <v>-1000</v>
      </c>
      <c r="DD52" s="909">
        <v>88.190449968365456</v>
      </c>
      <c r="DE52" s="910">
        <v>-1</v>
      </c>
      <c r="DF52" s="871">
        <v>-1</v>
      </c>
      <c r="DG52" s="911">
        <v>-6.4664448786389911E-2</v>
      </c>
      <c r="DH52" s="908">
        <v>61.610568000000008</v>
      </c>
      <c r="DI52" s="902">
        <v>224.62216559731732</v>
      </c>
      <c r="DJ52" s="902">
        <v>0</v>
      </c>
      <c r="DK52" s="902">
        <v>0</v>
      </c>
      <c r="DL52" s="902">
        <v>82.670896829575852</v>
      </c>
      <c r="DM52" s="902">
        <v>40.397634231585691</v>
      </c>
      <c r="DN52" s="902">
        <v>2400</v>
      </c>
      <c r="DO52" s="909" t="s">
        <v>2875</v>
      </c>
      <c r="DP52" s="909">
        <v>8</v>
      </c>
      <c r="DQ52" s="909">
        <v>0</v>
      </c>
      <c r="DR52" s="909">
        <v>0</v>
      </c>
      <c r="DS52" s="909">
        <v>0</v>
      </c>
      <c r="DT52" s="910">
        <v>2654.1983922499849</v>
      </c>
      <c r="DU52" s="909">
        <v>0</v>
      </c>
      <c r="DV52" s="909">
        <v>0</v>
      </c>
      <c r="DW52" s="909">
        <v>0</v>
      </c>
      <c r="DX52" s="910">
        <v>3103.2556255367394</v>
      </c>
      <c r="DY52" s="871">
        <v>2654.1983922499849</v>
      </c>
      <c r="DZ52" s="911">
        <v>171.63227600456761</v>
      </c>
      <c r="EA52" s="908">
        <v>61.610568000000008</v>
      </c>
      <c r="EB52" s="902">
        <v>229.58245329604944</v>
      </c>
      <c r="EC52" s="902">
        <v>4.9602876987321034</v>
      </c>
      <c r="ED52" s="902">
        <v>0</v>
      </c>
      <c r="EE52" s="902">
        <v>83.423403693814933</v>
      </c>
      <c r="EF52" s="902">
        <v>40.974155348436199</v>
      </c>
      <c r="EG52" s="902">
        <v>3000</v>
      </c>
      <c r="EH52" s="909" t="s">
        <v>3884</v>
      </c>
      <c r="EI52" s="909">
        <v>8</v>
      </c>
      <c r="EJ52" s="909">
        <v>1</v>
      </c>
      <c r="EK52" s="909">
        <v>10</v>
      </c>
      <c r="EL52" s="909">
        <v>70.217462216034889</v>
      </c>
      <c r="EM52" s="910">
        <v>5051.4539912816545</v>
      </c>
      <c r="EN52" s="909">
        <v>0</v>
      </c>
      <c r="EO52" s="909">
        <v>0</v>
      </c>
      <c r="EP52" s="909">
        <v>0</v>
      </c>
      <c r="EQ52" s="910">
        <v>3305.535954356023</v>
      </c>
      <c r="ER52" s="871">
        <v>3305.535954356023</v>
      </c>
      <c r="ES52" s="911">
        <v>213.75066043202557</v>
      </c>
      <c r="ET52" s="908">
        <v>61.610568000000008</v>
      </c>
      <c r="EU52" s="902">
        <v>224.62216559731732</v>
      </c>
      <c r="EV52" s="902">
        <v>0</v>
      </c>
      <c r="EW52" s="902">
        <v>0</v>
      </c>
      <c r="EX52" s="902">
        <v>82.670896829575852</v>
      </c>
      <c r="EY52" s="902">
        <v>40.397634231585691</v>
      </c>
      <c r="EZ52" s="902">
        <v>2400</v>
      </c>
      <c r="FA52" s="909" t="s">
        <v>3884</v>
      </c>
      <c r="FB52" s="909">
        <v>8</v>
      </c>
      <c r="FC52" s="909">
        <v>0</v>
      </c>
      <c r="FD52" s="909">
        <v>0</v>
      </c>
      <c r="FE52" s="909">
        <v>0</v>
      </c>
      <c r="FF52" s="910">
        <v>2827.2077051528099</v>
      </c>
      <c r="FG52" s="909">
        <v>0</v>
      </c>
      <c r="FH52" s="909">
        <v>0</v>
      </c>
      <c r="FI52" s="909">
        <v>0</v>
      </c>
      <c r="FJ52" s="910">
        <v>3305.535954356023</v>
      </c>
      <c r="FK52" s="871">
        <v>2827.2077051528099</v>
      </c>
      <c r="FL52" s="911">
        <v>182.81982785834083</v>
      </c>
      <c r="FM52" s="908">
        <v>61.610568000000008</v>
      </c>
      <c r="FN52" s="902">
        <v>224.62216559731732</v>
      </c>
      <c r="FO52" s="902">
        <v>0</v>
      </c>
      <c r="FP52" s="902">
        <v>0</v>
      </c>
      <c r="FQ52" s="902">
        <v>82.670896829575852</v>
      </c>
      <c r="FR52" s="902">
        <v>40.397634231585691</v>
      </c>
      <c r="FS52" s="902">
        <v>3000</v>
      </c>
      <c r="FT52" s="909" t="s">
        <v>2877</v>
      </c>
      <c r="FU52" s="909">
        <v>8</v>
      </c>
      <c r="FV52" s="909">
        <v>0</v>
      </c>
      <c r="FW52" s="909">
        <v>0</v>
      </c>
      <c r="FX52" s="909">
        <v>0</v>
      </c>
      <c r="FY52" s="910">
        <v>3491.8289771320096</v>
      </c>
      <c r="FZ52" s="909">
        <v>0</v>
      </c>
      <c r="GA52" s="909">
        <v>0</v>
      </c>
      <c r="GB52" s="909">
        <v>0</v>
      </c>
      <c r="GC52" s="910">
        <v>4082.6028485049742</v>
      </c>
      <c r="GD52" s="871">
        <v>3491.8289771320096</v>
      </c>
      <c r="GE52" s="911">
        <v>225.7971960625851</v>
      </c>
      <c r="GF52" s="908">
        <v>46.207926000000008</v>
      </c>
      <c r="GG52" s="902">
        <v>209.21952359731733</v>
      </c>
      <c r="GH52" s="902">
        <v>0</v>
      </c>
      <c r="GI52" s="902">
        <v>0</v>
      </c>
      <c r="GJ52" s="902">
        <v>80.106794789330181</v>
      </c>
      <c r="GK52" s="902">
        <v>36.749347119493443</v>
      </c>
      <c r="GL52" s="902">
        <v>2400</v>
      </c>
      <c r="GM52" s="909" t="s">
        <v>2877</v>
      </c>
      <c r="GN52" s="909">
        <v>6</v>
      </c>
      <c r="GO52" s="909">
        <v>0</v>
      </c>
      <c r="GP52" s="909">
        <v>0</v>
      </c>
      <c r="GQ52" s="909">
        <v>0</v>
      </c>
      <c r="GR52" s="910">
        <v>2655.2292315063792</v>
      </c>
      <c r="GS52" s="909">
        <v>0</v>
      </c>
      <c r="GT52" s="909">
        <v>0</v>
      </c>
      <c r="GU52" s="909">
        <v>0</v>
      </c>
      <c r="GV52" s="910">
        <v>2873.9666296910723</v>
      </c>
      <c r="GW52" s="871">
        <v>2655.2292315063792</v>
      </c>
      <c r="GX52" s="911">
        <v>171.69893465686971</v>
      </c>
      <c r="GY52" s="908">
        <v>61.610568000000008</v>
      </c>
      <c r="GZ52" s="902">
        <v>224.62216559731732</v>
      </c>
      <c r="HA52" s="902">
        <v>0</v>
      </c>
      <c r="HB52" s="902">
        <v>0</v>
      </c>
      <c r="HC52" s="902">
        <v>82.670896829575852</v>
      </c>
      <c r="HD52" s="902">
        <v>40.397634231585691</v>
      </c>
      <c r="HE52" s="902">
        <v>3000</v>
      </c>
      <c r="HF52" s="909" t="s">
        <v>2877</v>
      </c>
      <c r="HG52" s="909">
        <v>8</v>
      </c>
      <c r="HH52" s="909">
        <v>0</v>
      </c>
      <c r="HI52" s="909">
        <v>0</v>
      </c>
      <c r="HJ52" s="909">
        <v>0</v>
      </c>
      <c r="HK52" s="910">
        <v>3491.8289771320096</v>
      </c>
      <c r="HL52" s="909">
        <v>0</v>
      </c>
      <c r="HM52" s="909">
        <v>0</v>
      </c>
      <c r="HN52" s="909">
        <v>0</v>
      </c>
      <c r="HO52" s="910">
        <v>4082.6028485049742</v>
      </c>
      <c r="HP52" s="871">
        <v>3491.8289771320096</v>
      </c>
      <c r="HQ52" s="911">
        <v>225.7971960625851</v>
      </c>
      <c r="HR52" s="908">
        <v>30.805284000000004</v>
      </c>
      <c r="HS52" s="902">
        <v>204.56338271165276</v>
      </c>
      <c r="HT52" s="902">
        <v>2.9761726192392621</v>
      </c>
      <c r="HU52" s="902">
        <v>7.7703284950961695</v>
      </c>
      <c r="HV52" s="902">
        <v>77.812246722031517</v>
      </c>
      <c r="HW52" s="902">
        <v>36.016911114430663</v>
      </c>
      <c r="HX52" s="902">
        <v>2400</v>
      </c>
      <c r="HY52" s="909" t="s">
        <v>1063</v>
      </c>
      <c r="HZ52" s="909">
        <v>4</v>
      </c>
      <c r="IA52" s="909">
        <v>1</v>
      </c>
      <c r="IB52" s="909">
        <v>6</v>
      </c>
      <c r="IC52" s="909">
        <v>70.217462216034889</v>
      </c>
      <c r="ID52" s="910">
        <v>3866.5374461296901</v>
      </c>
      <c r="IE52" s="909">
        <v>1</v>
      </c>
      <c r="IF52" s="909">
        <v>6</v>
      </c>
      <c r="IG52" s="909">
        <v>88.190449968365456</v>
      </c>
      <c r="IH52" s="910">
        <v>3517.7868805001731</v>
      </c>
      <c r="II52" s="871">
        <v>3517.7868805001731</v>
      </c>
      <c r="IJ52" s="911">
        <v>227.47574957553778</v>
      </c>
      <c r="IK52" s="908">
        <v>30.805284000000004</v>
      </c>
      <c r="IL52" s="902">
        <v>204.56338271165276</v>
      </c>
      <c r="IM52" s="902">
        <v>2.9761726192392621</v>
      </c>
      <c r="IN52" s="902">
        <v>7.7703284950961695</v>
      </c>
      <c r="IO52" s="902">
        <v>77.812246722031517</v>
      </c>
      <c r="IP52" s="902">
        <v>36.016911114430663</v>
      </c>
      <c r="IQ52" s="902">
        <v>3000</v>
      </c>
      <c r="IR52" s="909" t="s">
        <v>1063</v>
      </c>
      <c r="IS52" s="909">
        <v>4</v>
      </c>
      <c r="IT52" s="909">
        <v>1</v>
      </c>
      <c r="IU52" s="909">
        <v>6</v>
      </c>
      <c r="IV52" s="909">
        <v>70.217462216034889</v>
      </c>
      <c r="IW52" s="910">
        <v>3866.5374461296901</v>
      </c>
      <c r="IX52" s="909">
        <v>1</v>
      </c>
      <c r="IY52" s="909">
        <v>6</v>
      </c>
      <c r="IZ52" s="909">
        <v>88.190449968365456</v>
      </c>
      <c r="JA52" s="910">
        <v>3517.7868805001731</v>
      </c>
      <c r="JB52" s="871">
        <v>3517.7868805001731</v>
      </c>
      <c r="JC52" s="911">
        <v>227.47574957553778</v>
      </c>
      <c r="JD52" s="908">
        <v>38.506605000000008</v>
      </c>
      <c r="JE52" s="902">
        <v>201.51820259731733</v>
      </c>
      <c r="JF52" s="902">
        <v>0</v>
      </c>
      <c r="JG52" s="902">
        <v>0</v>
      </c>
      <c r="JH52" s="902">
        <v>78.677757249125008</v>
      </c>
      <c r="JI52" s="902">
        <v>34.925203563447319</v>
      </c>
      <c r="JJ52" s="902">
        <v>2400</v>
      </c>
      <c r="JK52" s="909" t="s">
        <v>1064</v>
      </c>
      <c r="JL52" s="909">
        <v>5</v>
      </c>
      <c r="JM52" s="909">
        <v>0</v>
      </c>
      <c r="JN52" s="909">
        <v>0</v>
      </c>
      <c r="JO52" s="909">
        <v>0</v>
      </c>
      <c r="JP52" s="910">
        <v>2812.4499923374415</v>
      </c>
      <c r="JQ52" s="909">
        <v>0</v>
      </c>
      <c r="JR52" s="909">
        <v>0</v>
      </c>
      <c r="JS52" s="909">
        <v>0</v>
      </c>
      <c r="JT52" s="910">
        <v>2995.8057399574727</v>
      </c>
      <c r="JU52" s="871">
        <v>2812.4499923374415</v>
      </c>
      <c r="JV52" s="911">
        <v>181.8655284937872</v>
      </c>
      <c r="JW52" s="908">
        <v>46.207926000000008</v>
      </c>
      <c r="JX52" s="902">
        <v>213.18775375630301</v>
      </c>
      <c r="JY52" s="902">
        <v>3.9682301589856834</v>
      </c>
      <c r="JZ52" s="902">
        <v>0</v>
      </c>
      <c r="KA52" s="902">
        <v>80.802823721778822</v>
      </c>
      <c r="KB52" s="902">
        <v>37.210564012973848</v>
      </c>
      <c r="KC52" s="902">
        <v>3000</v>
      </c>
      <c r="KD52" s="909" t="s">
        <v>1064</v>
      </c>
      <c r="KE52" s="909">
        <v>6</v>
      </c>
      <c r="KF52" s="909">
        <v>1</v>
      </c>
      <c r="KG52" s="909">
        <v>8</v>
      </c>
      <c r="KH52" s="909">
        <v>70.217462216034889</v>
      </c>
      <c r="KI52" s="910">
        <v>7482.8429399786837</v>
      </c>
      <c r="KJ52" s="909">
        <v>0</v>
      </c>
      <c r="KK52" s="909">
        <v>0</v>
      </c>
      <c r="KL52" s="909">
        <v>0</v>
      </c>
      <c r="KM52" s="910">
        <v>3454.0780157745289</v>
      </c>
      <c r="KN52" s="871">
        <v>3454.0780157745289</v>
      </c>
      <c r="KO52" s="912">
        <v>223.3560509552473</v>
      </c>
    </row>
    <row r="53" spans="1:301" ht="15" customHeight="1">
      <c r="A53" s="924" t="s">
        <v>1686</v>
      </c>
      <c r="B53" s="888" t="s">
        <v>1080</v>
      </c>
      <c r="C53" s="888">
        <v>680</v>
      </c>
      <c r="D53" s="888">
        <v>1235</v>
      </c>
      <c r="E53" s="888">
        <v>700</v>
      </c>
      <c r="F53" s="888">
        <v>625</v>
      </c>
      <c r="G53" s="888">
        <v>373</v>
      </c>
      <c r="H53" s="888">
        <v>256</v>
      </c>
      <c r="I53" s="888">
        <v>176</v>
      </c>
      <c r="J53" s="888">
        <v>35.049999999999997</v>
      </c>
      <c r="K53" s="888">
        <v>44.83</v>
      </c>
      <c r="L53" s="888">
        <v>12</v>
      </c>
      <c r="M53" s="888">
        <v>470</v>
      </c>
      <c r="N53" s="888">
        <v>6</v>
      </c>
      <c r="O53" s="884">
        <v>38.295305625417114</v>
      </c>
      <c r="P53" s="888">
        <v>6</v>
      </c>
      <c r="Q53" s="884">
        <v>27.204526499407574</v>
      </c>
      <c r="R53" s="888">
        <v>18.000000000000004</v>
      </c>
      <c r="S53" s="888">
        <v>888.71455352474118</v>
      </c>
      <c r="T53" s="906">
        <v>87.650950017177763</v>
      </c>
      <c r="U53" s="906">
        <v>133.30718302871117</v>
      </c>
      <c r="V53" s="906">
        <v>147.5</v>
      </c>
      <c r="W53" s="1141">
        <v>12.120482932062858</v>
      </c>
      <c r="X53" s="902">
        <v>0</v>
      </c>
      <c r="Y53" s="902">
        <v>0</v>
      </c>
      <c r="Z53" s="902">
        <v>0</v>
      </c>
      <c r="AA53" s="902">
        <v>0</v>
      </c>
      <c r="AB53" s="970">
        <v>37.239775267515057</v>
      </c>
      <c r="AC53" s="1045">
        <v>3344.7153570583328</v>
      </c>
      <c r="AD53" s="890">
        <v>0.40186478843626722</v>
      </c>
      <c r="AE53" s="890">
        <v>0.7015088575925843</v>
      </c>
      <c r="AF53" s="890">
        <v>-0.33543057886124455</v>
      </c>
      <c r="AG53" s="890">
        <v>0.7339657083511012</v>
      </c>
      <c r="AH53" s="888"/>
      <c r="AI53" s="907">
        <v>6.5017794335615324</v>
      </c>
      <c r="AJ53" s="908">
        <v>47.815920000000006</v>
      </c>
      <c r="AK53" s="902">
        <v>213.08718507406533</v>
      </c>
      <c r="AL53" s="902">
        <v>0</v>
      </c>
      <c r="AM53" s="902">
        <v>0</v>
      </c>
      <c r="AN53" s="902">
        <v>83.010124423254567</v>
      </c>
      <c r="AO53" s="902">
        <v>38.052651465226134</v>
      </c>
      <c r="AP53" s="1222">
        <v>2050</v>
      </c>
      <c r="AQ53" s="909" t="s">
        <v>1064</v>
      </c>
      <c r="AR53" s="909">
        <v>5</v>
      </c>
      <c r="AS53" s="909">
        <v>0</v>
      </c>
      <c r="AT53" s="909">
        <v>0</v>
      </c>
      <c r="AU53" s="909">
        <v>0</v>
      </c>
      <c r="AV53" s="910">
        <v>2442.6542638771366</v>
      </c>
      <c r="AW53" s="909">
        <v>0</v>
      </c>
      <c r="AX53" s="909">
        <v>0</v>
      </c>
      <c r="AY53" s="909">
        <v>0</v>
      </c>
      <c r="AZ53" s="910">
        <v>2637.5155499310749</v>
      </c>
      <c r="BA53" s="871">
        <v>2442.6542638771366</v>
      </c>
      <c r="BB53" s="911">
        <v>157.95289154934005</v>
      </c>
      <c r="BC53" s="908">
        <v>57.379104000000012</v>
      </c>
      <c r="BD53" s="902">
        <v>226.67784660176289</v>
      </c>
      <c r="BE53" s="902">
        <v>4.0274775276975632</v>
      </c>
      <c r="BF53" s="902">
        <v>0</v>
      </c>
      <c r="BG53" s="902">
        <v>85.707530368754774</v>
      </c>
      <c r="BH53" s="902">
        <v>40.988418467490241</v>
      </c>
      <c r="BI53" s="902">
        <v>2562.5</v>
      </c>
      <c r="BJ53" s="909" t="s">
        <v>1064</v>
      </c>
      <c r="BK53" s="909">
        <v>6</v>
      </c>
      <c r="BL53" s="909">
        <v>1</v>
      </c>
      <c r="BM53" s="909">
        <v>8</v>
      </c>
      <c r="BN53" s="909">
        <v>62.954745357261586</v>
      </c>
      <c r="BO53" s="910">
        <v>6373.4209438015805</v>
      </c>
      <c r="BP53" s="909">
        <v>0</v>
      </c>
      <c r="BQ53" s="909">
        <v>0</v>
      </c>
      <c r="BR53" s="909">
        <v>0</v>
      </c>
      <c r="BS53" s="910">
        <v>3021.9611304221476</v>
      </c>
      <c r="BT53" s="871">
        <v>3021.9611304221476</v>
      </c>
      <c r="BU53" s="911">
        <v>195.41345075264391</v>
      </c>
      <c r="BV53" s="908">
        <v>76.505472000000012</v>
      </c>
      <c r="BW53" s="902">
        <v>241.77673707406535</v>
      </c>
      <c r="BX53" s="902">
        <v>0</v>
      </c>
      <c r="BY53" s="902">
        <v>0</v>
      </c>
      <c r="BZ53" s="902">
        <v>88.348683419677656</v>
      </c>
      <c r="CA53" s="902">
        <v>45.180660314476143</v>
      </c>
      <c r="CB53" s="902">
        <v>2050</v>
      </c>
      <c r="CC53" s="909" t="s">
        <v>2875</v>
      </c>
      <c r="CD53" s="909">
        <v>8</v>
      </c>
      <c r="CE53" s="909">
        <v>0</v>
      </c>
      <c r="CF53" s="909">
        <v>0</v>
      </c>
      <c r="CG53" s="909">
        <v>0</v>
      </c>
      <c r="CH53" s="910">
        <v>2267.2388045086705</v>
      </c>
      <c r="CI53" s="909">
        <v>0</v>
      </c>
      <c r="CJ53" s="909">
        <v>0</v>
      </c>
      <c r="CK53" s="909">
        <v>0</v>
      </c>
      <c r="CL53" s="910">
        <v>2629.5303903999566</v>
      </c>
      <c r="CM53" s="871">
        <v>2267.2388045086705</v>
      </c>
      <c r="CN53" s="911">
        <v>146.60974756066679</v>
      </c>
      <c r="CO53" s="908">
        <v>47.815920000000006</v>
      </c>
      <c r="CP53" s="902">
        <v>228.51557787272935</v>
      </c>
      <c r="CQ53" s="902">
        <v>4.0274775276975632</v>
      </c>
      <c r="CR53" s="902">
        <v>11.400915270966458</v>
      </c>
      <c r="CS53" s="902">
        <v>84.052000271451632</v>
      </c>
      <c r="CT53" s="902">
        <v>42.449619797771433</v>
      </c>
      <c r="CU53" s="902">
        <v>2562.5</v>
      </c>
      <c r="CV53" s="909" t="s">
        <v>2874</v>
      </c>
      <c r="CW53" s="909">
        <v>5</v>
      </c>
      <c r="CX53" s="909">
        <v>1</v>
      </c>
      <c r="CY53" s="909">
        <v>8</v>
      </c>
      <c r="CZ53" s="909">
        <v>62.954745357261586</v>
      </c>
      <c r="DA53" s="910">
        <v>3265.6037670538958</v>
      </c>
      <c r="DB53" s="909">
        <v>1</v>
      </c>
      <c r="DC53" s="909">
        <v>10</v>
      </c>
      <c r="DD53" s="909">
        <v>77.283895999192239</v>
      </c>
      <c r="DE53" s="910">
        <v>2857.0404187308536</v>
      </c>
      <c r="DF53" s="871">
        <v>2857.0404187308536</v>
      </c>
      <c r="DG53" s="911">
        <v>184.7489438376673</v>
      </c>
      <c r="DH53" s="908">
        <v>76.505472000000012</v>
      </c>
      <c r="DI53" s="902">
        <v>241.77673707406535</v>
      </c>
      <c r="DJ53" s="902">
        <v>0</v>
      </c>
      <c r="DK53" s="902">
        <v>0</v>
      </c>
      <c r="DL53" s="902">
        <v>88.348683419677656</v>
      </c>
      <c r="DM53" s="902">
        <v>45.180660314476143</v>
      </c>
      <c r="DN53" s="902">
        <v>2050</v>
      </c>
      <c r="DO53" s="909" t="s">
        <v>2875</v>
      </c>
      <c r="DP53" s="909">
        <v>8</v>
      </c>
      <c r="DQ53" s="909">
        <v>0</v>
      </c>
      <c r="DR53" s="909">
        <v>0</v>
      </c>
      <c r="DS53" s="909">
        <v>0</v>
      </c>
      <c r="DT53" s="910">
        <v>2267.2388045086705</v>
      </c>
      <c r="DU53" s="909">
        <v>0</v>
      </c>
      <c r="DV53" s="909">
        <v>0</v>
      </c>
      <c r="DW53" s="909">
        <v>0</v>
      </c>
      <c r="DX53" s="910">
        <v>2629.5303903999566</v>
      </c>
      <c r="DY53" s="871">
        <v>2267.2388045086705</v>
      </c>
      <c r="DZ53" s="911">
        <v>146.60974756066679</v>
      </c>
      <c r="EA53" s="908">
        <v>38.252736000000006</v>
      </c>
      <c r="EB53" s="902">
        <v>213.38515838241835</v>
      </c>
      <c r="EC53" s="902">
        <v>3.0206081457731719</v>
      </c>
      <c r="ED53" s="902">
        <v>6.8405491625798751</v>
      </c>
      <c r="EE53" s="902">
        <v>81.790657303761435</v>
      </c>
      <c r="EF53" s="902">
        <v>38.398794122880432</v>
      </c>
      <c r="EG53" s="902">
        <v>2562.5</v>
      </c>
      <c r="EH53" s="909" t="s">
        <v>2875</v>
      </c>
      <c r="EI53" s="909">
        <v>4</v>
      </c>
      <c r="EJ53" s="909">
        <v>1</v>
      </c>
      <c r="EK53" s="909">
        <v>6</v>
      </c>
      <c r="EL53" s="909">
        <v>62.954745357261586</v>
      </c>
      <c r="EM53" s="910">
        <v>2882.7820952945945</v>
      </c>
      <c r="EN53" s="909">
        <v>1</v>
      </c>
      <c r="EO53" s="909">
        <v>6</v>
      </c>
      <c r="EP53" s="909">
        <v>77.283895999192239</v>
      </c>
      <c r="EQ53" s="910">
        <v>2904.085085266096</v>
      </c>
      <c r="ER53" s="871">
        <v>2882.7820952945945</v>
      </c>
      <c r="ES53" s="911">
        <v>186.41351516349911</v>
      </c>
      <c r="ET53" s="908">
        <v>76.505472000000012</v>
      </c>
      <c r="EU53" s="902">
        <v>241.77673707406535</v>
      </c>
      <c r="EV53" s="902">
        <v>0</v>
      </c>
      <c r="EW53" s="902">
        <v>0</v>
      </c>
      <c r="EX53" s="902">
        <v>88.348683419677656</v>
      </c>
      <c r="EY53" s="902">
        <v>45.180660314476143</v>
      </c>
      <c r="EZ53" s="902">
        <v>2050</v>
      </c>
      <c r="FA53" s="909" t="s">
        <v>3884</v>
      </c>
      <c r="FB53" s="909">
        <v>8</v>
      </c>
      <c r="FC53" s="909">
        <v>0</v>
      </c>
      <c r="FD53" s="909">
        <v>0</v>
      </c>
      <c r="FE53" s="909">
        <v>0</v>
      </c>
      <c r="FF53" s="910">
        <v>2415.0248286807941</v>
      </c>
      <c r="FG53" s="909">
        <v>0</v>
      </c>
      <c r="FH53" s="909">
        <v>0</v>
      </c>
      <c r="FI53" s="909">
        <v>0</v>
      </c>
      <c r="FJ53" s="910">
        <v>2800.9317624407804</v>
      </c>
      <c r="FK53" s="871">
        <v>2415.0248286807941</v>
      </c>
      <c r="FL53" s="911">
        <v>156.1662493520893</v>
      </c>
      <c r="FM53" s="908">
        <v>76.505472000000012</v>
      </c>
      <c r="FN53" s="902">
        <v>241.77673707406535</v>
      </c>
      <c r="FO53" s="902">
        <v>0</v>
      </c>
      <c r="FP53" s="902">
        <v>0</v>
      </c>
      <c r="FQ53" s="902">
        <v>88.348683419677656</v>
      </c>
      <c r="FR53" s="902">
        <v>45.180660314476143</v>
      </c>
      <c r="FS53" s="902">
        <v>2562.5</v>
      </c>
      <c r="FT53" s="909" t="s">
        <v>2877</v>
      </c>
      <c r="FU53" s="909">
        <v>8</v>
      </c>
      <c r="FV53" s="909">
        <v>0</v>
      </c>
      <c r="FW53" s="909">
        <v>0</v>
      </c>
      <c r="FX53" s="909">
        <v>0</v>
      </c>
      <c r="FY53" s="910">
        <v>2982.7499627676166</v>
      </c>
      <c r="FZ53" s="909">
        <v>0</v>
      </c>
      <c r="GA53" s="909">
        <v>0</v>
      </c>
      <c r="GB53" s="909">
        <v>0</v>
      </c>
      <c r="GC53" s="910">
        <v>3459.3760738677388</v>
      </c>
      <c r="GD53" s="871">
        <v>2982.7499627676166</v>
      </c>
      <c r="GE53" s="911">
        <v>192.87788220999298</v>
      </c>
      <c r="GF53" s="908">
        <v>57.379104000000012</v>
      </c>
      <c r="GG53" s="902">
        <v>222.65036907406534</v>
      </c>
      <c r="GH53" s="902">
        <v>0</v>
      </c>
      <c r="GI53" s="902">
        <v>0</v>
      </c>
      <c r="GJ53" s="902">
        <v>84.942510433063532</v>
      </c>
      <c r="GK53" s="902">
        <v>40.428654414976137</v>
      </c>
      <c r="GL53" s="902">
        <v>2050</v>
      </c>
      <c r="GM53" s="909" t="s">
        <v>2877</v>
      </c>
      <c r="GN53" s="909">
        <v>6</v>
      </c>
      <c r="GO53" s="909">
        <v>0</v>
      </c>
      <c r="GP53" s="909">
        <v>0</v>
      </c>
      <c r="GQ53" s="909">
        <v>0</v>
      </c>
      <c r="GR53" s="910">
        <v>2298.9116527542142</v>
      </c>
      <c r="GS53" s="909">
        <v>0</v>
      </c>
      <c r="GT53" s="909">
        <v>0</v>
      </c>
      <c r="GU53" s="909">
        <v>0</v>
      </c>
      <c r="GV53" s="910">
        <v>2514.4236480452705</v>
      </c>
      <c r="GW53" s="871">
        <v>2298.9116527542142</v>
      </c>
      <c r="GX53" s="911">
        <v>148.65785483395987</v>
      </c>
      <c r="GY53" s="908">
        <v>76.505472000000012</v>
      </c>
      <c r="GZ53" s="902">
        <v>241.77673707406535</v>
      </c>
      <c r="HA53" s="902">
        <v>0</v>
      </c>
      <c r="HB53" s="902">
        <v>0</v>
      </c>
      <c r="HC53" s="902">
        <v>88.348683419677656</v>
      </c>
      <c r="HD53" s="902">
        <v>45.180660314476143</v>
      </c>
      <c r="HE53" s="902">
        <v>2562.5</v>
      </c>
      <c r="HF53" s="909" t="s">
        <v>2877</v>
      </c>
      <c r="HG53" s="909">
        <v>8</v>
      </c>
      <c r="HH53" s="909">
        <v>0</v>
      </c>
      <c r="HI53" s="909">
        <v>0</v>
      </c>
      <c r="HJ53" s="909">
        <v>0</v>
      </c>
      <c r="HK53" s="910">
        <v>2982.7499627676166</v>
      </c>
      <c r="HL53" s="909">
        <v>0</v>
      </c>
      <c r="HM53" s="909">
        <v>0</v>
      </c>
      <c r="HN53" s="909">
        <v>0</v>
      </c>
      <c r="HO53" s="910">
        <v>3459.3760738677388</v>
      </c>
      <c r="HP53" s="871">
        <v>2982.7499627676166</v>
      </c>
      <c r="HQ53" s="911">
        <v>192.87788220999298</v>
      </c>
      <c r="HR53" s="908">
        <v>38.252736000000006</v>
      </c>
      <c r="HS53" s="902">
        <v>213.38515838241835</v>
      </c>
      <c r="HT53" s="902">
        <v>3.0206081457731719</v>
      </c>
      <c r="HU53" s="902">
        <v>6.8405491625798751</v>
      </c>
      <c r="HV53" s="902">
        <v>81.790657303761435</v>
      </c>
      <c r="HW53" s="902">
        <v>38.398794122880432</v>
      </c>
      <c r="HX53" s="902">
        <v>2050</v>
      </c>
      <c r="HY53" s="909" t="s">
        <v>1063</v>
      </c>
      <c r="HZ53" s="909">
        <v>4</v>
      </c>
      <c r="IA53" s="909">
        <v>1</v>
      </c>
      <c r="IB53" s="909">
        <v>6</v>
      </c>
      <c r="IC53" s="909">
        <v>62.954745357261586</v>
      </c>
      <c r="ID53" s="910">
        <v>3344.7153570583328</v>
      </c>
      <c r="IE53" s="909">
        <v>1</v>
      </c>
      <c r="IF53" s="909">
        <v>6</v>
      </c>
      <c r="IG53" s="909">
        <v>77.283895999192239</v>
      </c>
      <c r="IH53" s="910">
        <v>3369.4319104965002</v>
      </c>
      <c r="II53" s="871">
        <v>3344.7153570583328</v>
      </c>
      <c r="IJ53" s="911">
        <v>216.28417491155042</v>
      </c>
      <c r="IK53" s="908">
        <v>38.252736000000006</v>
      </c>
      <c r="IL53" s="902">
        <v>213.38515838241835</v>
      </c>
      <c r="IM53" s="902">
        <v>3.0206081457731719</v>
      </c>
      <c r="IN53" s="902">
        <v>6.8405491625798751</v>
      </c>
      <c r="IO53" s="902">
        <v>81.790657303761435</v>
      </c>
      <c r="IP53" s="902">
        <v>38.398794122880432</v>
      </c>
      <c r="IQ53" s="902">
        <v>2562.5</v>
      </c>
      <c r="IR53" s="909" t="s">
        <v>1063</v>
      </c>
      <c r="IS53" s="909">
        <v>4</v>
      </c>
      <c r="IT53" s="909">
        <v>1</v>
      </c>
      <c r="IU53" s="909">
        <v>6</v>
      </c>
      <c r="IV53" s="909">
        <v>62.954745357261586</v>
      </c>
      <c r="IW53" s="910">
        <v>3344.7153570583328</v>
      </c>
      <c r="IX53" s="909">
        <v>1</v>
      </c>
      <c r="IY53" s="909">
        <v>6</v>
      </c>
      <c r="IZ53" s="909">
        <v>77.283895999192239</v>
      </c>
      <c r="JA53" s="910">
        <v>3369.4319104965002</v>
      </c>
      <c r="JB53" s="871">
        <v>3344.7153570583328</v>
      </c>
      <c r="JC53" s="911">
        <v>216.28417491155042</v>
      </c>
      <c r="JD53" s="908">
        <v>47.815920000000006</v>
      </c>
      <c r="JE53" s="902">
        <v>213.08718507406533</v>
      </c>
      <c r="JF53" s="902">
        <v>0</v>
      </c>
      <c r="JG53" s="902">
        <v>0</v>
      </c>
      <c r="JH53" s="902">
        <v>83.010124423254567</v>
      </c>
      <c r="JI53" s="902">
        <v>38.052651465226134</v>
      </c>
      <c r="JJ53" s="902">
        <v>2050</v>
      </c>
      <c r="JK53" s="909" t="s">
        <v>1064</v>
      </c>
      <c r="JL53" s="909">
        <v>5</v>
      </c>
      <c r="JM53" s="909">
        <v>0</v>
      </c>
      <c r="JN53" s="909">
        <v>0</v>
      </c>
      <c r="JO53" s="909">
        <v>0</v>
      </c>
      <c r="JP53" s="910">
        <v>2442.6542638771366</v>
      </c>
      <c r="JQ53" s="909">
        <v>0</v>
      </c>
      <c r="JR53" s="909">
        <v>0</v>
      </c>
      <c r="JS53" s="909">
        <v>0</v>
      </c>
      <c r="JT53" s="910">
        <v>2637.5155499310749</v>
      </c>
      <c r="JU53" s="871">
        <v>2442.6542638771366</v>
      </c>
      <c r="JV53" s="911">
        <v>157.95289154934005</v>
      </c>
      <c r="JW53" s="908">
        <v>57.379104000000012</v>
      </c>
      <c r="JX53" s="902">
        <v>226.67784660176289</v>
      </c>
      <c r="JY53" s="902">
        <v>4.0274775276975632</v>
      </c>
      <c r="JZ53" s="902">
        <v>0</v>
      </c>
      <c r="KA53" s="902">
        <v>85.707530368754774</v>
      </c>
      <c r="KB53" s="902">
        <v>40.988418467490241</v>
      </c>
      <c r="KC53" s="902">
        <v>2562.5</v>
      </c>
      <c r="KD53" s="909" t="s">
        <v>1064</v>
      </c>
      <c r="KE53" s="909">
        <v>6</v>
      </c>
      <c r="KF53" s="909">
        <v>1</v>
      </c>
      <c r="KG53" s="909">
        <v>8</v>
      </c>
      <c r="KH53" s="909">
        <v>62.954745357261586</v>
      </c>
      <c r="KI53" s="910">
        <v>6373.4209438015805</v>
      </c>
      <c r="KJ53" s="909">
        <v>0</v>
      </c>
      <c r="KK53" s="909">
        <v>0</v>
      </c>
      <c r="KL53" s="909">
        <v>0</v>
      </c>
      <c r="KM53" s="910">
        <v>3021.9611304221476</v>
      </c>
      <c r="KN53" s="871">
        <v>3021.9611304221476</v>
      </c>
      <c r="KO53" s="912">
        <v>195.41345075264391</v>
      </c>
    </row>
    <row r="54" spans="1:301" ht="15" customHeight="1">
      <c r="A54" s="924" t="s">
        <v>1541</v>
      </c>
      <c r="B54" s="888" t="s">
        <v>1081</v>
      </c>
      <c r="C54" s="888">
        <v>818.5</v>
      </c>
      <c r="D54" s="888">
        <v>1235</v>
      </c>
      <c r="E54" s="888">
        <v>800</v>
      </c>
      <c r="F54" s="888">
        <v>800</v>
      </c>
      <c r="G54" s="888">
        <v>451</v>
      </c>
      <c r="H54" s="888">
        <v>324</v>
      </c>
      <c r="I54" s="888">
        <v>249</v>
      </c>
      <c r="J54" s="888">
        <v>23.11</v>
      </c>
      <c r="K54" s="888">
        <v>31.11</v>
      </c>
      <c r="L54" s="888">
        <v>8</v>
      </c>
      <c r="M54" s="888">
        <v>479</v>
      </c>
      <c r="N54" s="888">
        <v>6</v>
      </c>
      <c r="O54" s="884">
        <v>32.746467601014146</v>
      </c>
      <c r="P54" s="888">
        <v>6</v>
      </c>
      <c r="Q54" s="884">
        <v>22.481329671626035</v>
      </c>
      <c r="R54" s="888">
        <v>18.000000000000004</v>
      </c>
      <c r="S54" s="888">
        <v>957.85920564108744</v>
      </c>
      <c r="T54" s="906">
        <v>101.82054050052238</v>
      </c>
      <c r="U54" s="906">
        <v>143.67888084616311</v>
      </c>
      <c r="V54" s="906">
        <v>185</v>
      </c>
      <c r="W54" s="1141">
        <v>17.659499993059345</v>
      </c>
      <c r="X54" s="902">
        <v>0</v>
      </c>
      <c r="Y54" s="902">
        <v>0</v>
      </c>
      <c r="Z54" s="902">
        <v>0</v>
      </c>
      <c r="AA54" s="902">
        <v>0</v>
      </c>
      <c r="AB54" s="970">
        <v>38.985824897650836</v>
      </c>
      <c r="AC54" s="1045">
        <v>2964.2197925697214</v>
      </c>
      <c r="AD54" s="890">
        <v>0.34249593105165443</v>
      </c>
      <c r="AE54" s="890">
        <v>0.42674244773782455</v>
      </c>
      <c r="AF54" s="890">
        <v>-0.45721382189883258</v>
      </c>
      <c r="AG54" s="890">
        <v>0.825898254874327</v>
      </c>
      <c r="AH54" s="888"/>
      <c r="AI54" s="907">
        <v>5.9350288296067841</v>
      </c>
      <c r="AJ54" s="908">
        <v>43.091319000000006</v>
      </c>
      <c r="AK54" s="902">
        <v>228.63085754867407</v>
      </c>
      <c r="AL54" s="902">
        <v>3.618286719670524</v>
      </c>
      <c r="AM54" s="902">
        <v>7.2134140627816628</v>
      </c>
      <c r="AN54" s="902">
        <v>94.878768839814029</v>
      </c>
      <c r="AO54" s="902">
        <v>42.400499048072035</v>
      </c>
      <c r="AP54" s="1222">
        <v>1750</v>
      </c>
      <c r="AQ54" s="909" t="s">
        <v>1062</v>
      </c>
      <c r="AR54" s="909">
        <v>5</v>
      </c>
      <c r="AS54" s="909">
        <v>1</v>
      </c>
      <c r="AT54" s="909">
        <v>8</v>
      </c>
      <c r="AU54" s="909">
        <v>46.111987748288605</v>
      </c>
      <c r="AV54" s="910">
        <v>2136.8491964439895</v>
      </c>
      <c r="AW54" s="909">
        <v>1</v>
      </c>
      <c r="AX54" s="909">
        <v>8</v>
      </c>
      <c r="AY54" s="909">
        <v>60.701686934383666</v>
      </c>
      <c r="AZ54" s="910">
        <v>2218.1041856851593</v>
      </c>
      <c r="BA54" s="871">
        <v>2136.8491964439895</v>
      </c>
      <c r="BB54" s="911">
        <v>138.1781754276908</v>
      </c>
      <c r="BC54" s="908">
        <v>51.709582800000007</v>
      </c>
      <c r="BD54" s="902">
        <v>237.24912134867407</v>
      </c>
      <c r="BE54" s="902">
        <v>3.618286719670524</v>
      </c>
      <c r="BF54" s="902">
        <v>7.2134140627816628</v>
      </c>
      <c r="BG54" s="902">
        <v>97.317001164683703</v>
      </c>
      <c r="BH54" s="902">
        <v>44.765315353774611</v>
      </c>
      <c r="BI54" s="902">
        <v>2187.5</v>
      </c>
      <c r="BJ54" s="909" t="s">
        <v>1062</v>
      </c>
      <c r="BK54" s="909">
        <v>6</v>
      </c>
      <c r="BL54" s="909">
        <v>1</v>
      </c>
      <c r="BM54" s="909">
        <v>8</v>
      </c>
      <c r="BN54" s="909">
        <v>46.111987748288605</v>
      </c>
      <c r="BO54" s="910">
        <v>2475.4527592730806</v>
      </c>
      <c r="BP54" s="909">
        <v>1</v>
      </c>
      <c r="BQ54" s="909">
        <v>8</v>
      </c>
      <c r="BR54" s="909">
        <v>60.701686934383666</v>
      </c>
      <c r="BS54" s="910">
        <v>2609.7814092465519</v>
      </c>
      <c r="BT54" s="871">
        <v>2475.4527592730806</v>
      </c>
      <c r="BU54" s="911">
        <v>160.07378817514171</v>
      </c>
      <c r="BV54" s="908">
        <v>43.091319000000006</v>
      </c>
      <c r="BW54" s="902">
        <v>228.63085754867407</v>
      </c>
      <c r="BX54" s="902">
        <v>3.618286719670524</v>
      </c>
      <c r="BY54" s="902">
        <v>7.2134140627816628</v>
      </c>
      <c r="BZ54" s="902">
        <v>94.878768839814029</v>
      </c>
      <c r="CA54" s="902">
        <v>42.400499048072035</v>
      </c>
      <c r="CB54" s="902">
        <v>1750</v>
      </c>
      <c r="CC54" s="909" t="s">
        <v>2874</v>
      </c>
      <c r="CD54" s="909">
        <v>5</v>
      </c>
      <c r="CE54" s="909">
        <v>1</v>
      </c>
      <c r="CF54" s="909">
        <v>8</v>
      </c>
      <c r="CG54" s="909">
        <v>46.111987748288605</v>
      </c>
      <c r="CH54" s="910">
        <v>2093.676075425612</v>
      </c>
      <c r="CI54" s="909">
        <v>1</v>
      </c>
      <c r="CJ54" s="909">
        <v>8</v>
      </c>
      <c r="CK54" s="909">
        <v>60.701686934383666</v>
      </c>
      <c r="CL54" s="910">
        <v>2173.2893805040917</v>
      </c>
      <c r="CM54" s="871">
        <v>2093.676075425612</v>
      </c>
      <c r="CN54" s="911">
        <v>135.38640935464932</v>
      </c>
      <c r="CO54" s="908">
        <v>51.709582800000007</v>
      </c>
      <c r="CP54" s="902">
        <v>237.24912134867407</v>
      </c>
      <c r="CQ54" s="902">
        <v>3.618286719670524</v>
      </c>
      <c r="CR54" s="902">
        <v>7.2134140627816628</v>
      </c>
      <c r="CS54" s="902">
        <v>97.317001164683703</v>
      </c>
      <c r="CT54" s="902">
        <v>44.765315353774611</v>
      </c>
      <c r="CU54" s="902">
        <v>2187.5</v>
      </c>
      <c r="CV54" s="909" t="s">
        <v>2874</v>
      </c>
      <c r="CW54" s="909">
        <v>6</v>
      </c>
      <c r="CX54" s="909">
        <v>1</v>
      </c>
      <c r="CY54" s="909">
        <v>8</v>
      </c>
      <c r="CZ54" s="909">
        <v>46.111987748288605</v>
      </c>
      <c r="DA54" s="910">
        <v>2425.4384570334905</v>
      </c>
      <c r="DB54" s="909">
        <v>1</v>
      </c>
      <c r="DC54" s="909">
        <v>8</v>
      </c>
      <c r="DD54" s="909">
        <v>60.701686934383666</v>
      </c>
      <c r="DE54" s="910">
        <v>2557.0531171422631</v>
      </c>
      <c r="DF54" s="871">
        <v>2425.4384570334905</v>
      </c>
      <c r="DG54" s="911">
        <v>156.83964088938271</v>
      </c>
      <c r="DH54" s="908">
        <v>43.091319000000006</v>
      </c>
      <c r="DI54" s="902">
        <v>228.63085754867407</v>
      </c>
      <c r="DJ54" s="902">
        <v>3.618286719670524</v>
      </c>
      <c r="DK54" s="902">
        <v>7.2134140627816628</v>
      </c>
      <c r="DL54" s="902">
        <v>94.878768839814029</v>
      </c>
      <c r="DM54" s="902">
        <v>42.400499048072035</v>
      </c>
      <c r="DN54" s="902">
        <v>1750</v>
      </c>
      <c r="DO54" s="909" t="s">
        <v>2875</v>
      </c>
      <c r="DP54" s="909">
        <v>5</v>
      </c>
      <c r="DQ54" s="909">
        <v>1</v>
      </c>
      <c r="DR54" s="909">
        <v>8</v>
      </c>
      <c r="DS54" s="909">
        <v>46.111987748288605</v>
      </c>
      <c r="DT54" s="910">
        <v>2179.1671500545935</v>
      </c>
      <c r="DU54" s="909">
        <v>1</v>
      </c>
      <c r="DV54" s="909">
        <v>8</v>
      </c>
      <c r="DW54" s="909">
        <v>60.701686934383666</v>
      </c>
      <c r="DX54" s="910">
        <v>2262.0313051980916</v>
      </c>
      <c r="DY54" s="871">
        <v>2179.1671500545935</v>
      </c>
      <c r="DZ54" s="911">
        <v>140.91464257168852</v>
      </c>
      <c r="EA54" s="908">
        <v>51.709582800000007</v>
      </c>
      <c r="EB54" s="902">
        <v>237.24912134867407</v>
      </c>
      <c r="EC54" s="902">
        <v>3.618286719670524</v>
      </c>
      <c r="ED54" s="902">
        <v>7.2134140627816628</v>
      </c>
      <c r="EE54" s="902">
        <v>97.317001164683703</v>
      </c>
      <c r="EF54" s="902">
        <v>44.765315353774611</v>
      </c>
      <c r="EG54" s="902">
        <v>2187.5</v>
      </c>
      <c r="EH54" s="909" t="s">
        <v>2875</v>
      </c>
      <c r="EI54" s="909">
        <v>6</v>
      </c>
      <c r="EJ54" s="909">
        <v>1</v>
      </c>
      <c r="EK54" s="909">
        <v>8</v>
      </c>
      <c r="EL54" s="909">
        <v>46.111987748288605</v>
      </c>
      <c r="EM54" s="910">
        <v>2524.4763849021078</v>
      </c>
      <c r="EN54" s="909">
        <v>1</v>
      </c>
      <c r="EO54" s="909">
        <v>8</v>
      </c>
      <c r="EP54" s="909">
        <v>60.701686934383666</v>
      </c>
      <c r="EQ54" s="910">
        <v>2661.4652663919696</v>
      </c>
      <c r="ER54" s="871">
        <v>2524.4763849021078</v>
      </c>
      <c r="ES54" s="911">
        <v>163.2438739039531</v>
      </c>
      <c r="ET54" s="908">
        <v>68.946110400000009</v>
      </c>
      <c r="EU54" s="902">
        <v>248.17680656581007</v>
      </c>
      <c r="EV54" s="902">
        <v>4.5228583995881548</v>
      </c>
      <c r="EW54" s="902">
        <v>0</v>
      </c>
      <c r="EX54" s="902">
        <v>101.25507455297129</v>
      </c>
      <c r="EY54" s="902">
        <v>47.171055858467582</v>
      </c>
      <c r="EZ54" s="902">
        <v>1750</v>
      </c>
      <c r="FA54" s="909" t="s">
        <v>2877</v>
      </c>
      <c r="FB54" s="909">
        <v>8</v>
      </c>
      <c r="FC54" s="909">
        <v>1</v>
      </c>
      <c r="FD54" s="909">
        <v>10</v>
      </c>
      <c r="FE54" s="909">
        <v>46.111987748288605</v>
      </c>
      <c r="FF54" s="910">
        <v>4448.1669356088605</v>
      </c>
      <c r="FG54" s="909">
        <v>0</v>
      </c>
      <c r="FH54" s="909">
        <v>0</v>
      </c>
      <c r="FI54" s="909">
        <v>0</v>
      </c>
      <c r="FJ54" s="910">
        <v>1974.0635930492583</v>
      </c>
      <c r="FK54" s="871">
        <v>1974.0635930492583</v>
      </c>
      <c r="FL54" s="911">
        <v>127.65173411381062</v>
      </c>
      <c r="FM54" s="908">
        <v>51.709582800000007</v>
      </c>
      <c r="FN54" s="902">
        <v>237.24912134867407</v>
      </c>
      <c r="FO54" s="902">
        <v>3.618286719670524</v>
      </c>
      <c r="FP54" s="902">
        <v>7.2134140627816628</v>
      </c>
      <c r="FQ54" s="902">
        <v>97.317001164683703</v>
      </c>
      <c r="FR54" s="902">
        <v>44.765315353774611</v>
      </c>
      <c r="FS54" s="902">
        <v>2187.5</v>
      </c>
      <c r="FT54" s="909" t="s">
        <v>3884</v>
      </c>
      <c r="FU54" s="909">
        <v>6</v>
      </c>
      <c r="FV54" s="909">
        <v>1</v>
      </c>
      <c r="FW54" s="909">
        <v>8</v>
      </c>
      <c r="FX54" s="909">
        <v>46.111987748288605</v>
      </c>
      <c r="FY54" s="910">
        <v>2689.029994031936</v>
      </c>
      <c r="FZ54" s="909">
        <v>1</v>
      </c>
      <c r="GA54" s="909">
        <v>8</v>
      </c>
      <c r="GB54" s="909">
        <v>60.701686934383666</v>
      </c>
      <c r="GC54" s="910">
        <v>2834.9482578660463</v>
      </c>
      <c r="GD54" s="871">
        <v>2689.029994031936</v>
      </c>
      <c r="GE54" s="911">
        <v>173.8846423341445</v>
      </c>
      <c r="GF54" s="908">
        <v>68.946110400000009</v>
      </c>
      <c r="GG54" s="902">
        <v>248.17680656581007</v>
      </c>
      <c r="GH54" s="902">
        <v>4.5228583995881548</v>
      </c>
      <c r="GI54" s="902">
        <v>0</v>
      </c>
      <c r="GJ54" s="902">
        <v>101.25507455297129</v>
      </c>
      <c r="GK54" s="902">
        <v>47.171055858467582</v>
      </c>
      <c r="GL54" s="902">
        <v>1750</v>
      </c>
      <c r="GM54" s="909" t="s">
        <v>2877</v>
      </c>
      <c r="GN54" s="909">
        <v>8</v>
      </c>
      <c r="GO54" s="909">
        <v>1</v>
      </c>
      <c r="GP54" s="909">
        <v>10</v>
      </c>
      <c r="GQ54" s="909">
        <v>46.111987748288605</v>
      </c>
      <c r="GR54" s="910">
        <v>4448.1669356088605</v>
      </c>
      <c r="GS54" s="909">
        <v>0</v>
      </c>
      <c r="GT54" s="909">
        <v>0</v>
      </c>
      <c r="GU54" s="909">
        <v>0</v>
      </c>
      <c r="GV54" s="910">
        <v>1974.0635930492583</v>
      </c>
      <c r="GW54" s="871">
        <v>1974.0635930492583</v>
      </c>
      <c r="GX54" s="911">
        <v>127.65173411381062</v>
      </c>
      <c r="GY54" s="908">
        <v>34.473055200000005</v>
      </c>
      <c r="GZ54" s="902">
        <v>217.30466855306105</v>
      </c>
      <c r="HA54" s="902">
        <v>2.7137150397528926</v>
      </c>
      <c r="HB54" s="902">
        <v>5.4100605470862471</v>
      </c>
      <c r="HC54" s="902">
        <v>91.691529479004785</v>
      </c>
      <c r="HD54" s="902">
        <v>39.242791127494002</v>
      </c>
      <c r="HE54" s="902">
        <v>2187.5</v>
      </c>
      <c r="HF54" s="909" t="s">
        <v>2877</v>
      </c>
      <c r="HG54" s="909">
        <v>4</v>
      </c>
      <c r="HH54" s="909">
        <v>1</v>
      </c>
      <c r="HI54" s="909">
        <v>6</v>
      </c>
      <c r="HJ54" s="909">
        <v>46.111987748288605</v>
      </c>
      <c r="HK54" s="910">
        <v>2466.3799508920888</v>
      </c>
      <c r="HL54" s="909">
        <v>1</v>
      </c>
      <c r="HM54" s="909">
        <v>6</v>
      </c>
      <c r="HN54" s="909">
        <v>60.701686934383666</v>
      </c>
      <c r="HO54" s="910">
        <v>2535.8299943909387</v>
      </c>
      <c r="HP54" s="871">
        <v>2466.3799508920888</v>
      </c>
      <c r="HQ54" s="911">
        <v>159.48710002224033</v>
      </c>
      <c r="HR54" s="908">
        <v>34.473055200000005</v>
      </c>
      <c r="HS54" s="902">
        <v>217.30466855306105</v>
      </c>
      <c r="HT54" s="902">
        <v>2.7137150397528926</v>
      </c>
      <c r="HU54" s="902">
        <v>5.4100605470862471</v>
      </c>
      <c r="HV54" s="902">
        <v>91.691529479004785</v>
      </c>
      <c r="HW54" s="902">
        <v>39.242791127494002</v>
      </c>
      <c r="HX54" s="902">
        <v>1750</v>
      </c>
      <c r="HY54" s="909" t="s">
        <v>1063</v>
      </c>
      <c r="HZ54" s="909">
        <v>4</v>
      </c>
      <c r="IA54" s="909">
        <v>1</v>
      </c>
      <c r="IB54" s="909">
        <v>6</v>
      </c>
      <c r="IC54" s="909">
        <v>46.111987748288605</v>
      </c>
      <c r="ID54" s="910">
        <v>2175.1426628853883</v>
      </c>
      <c r="IE54" s="909">
        <v>1</v>
      </c>
      <c r="IF54" s="909">
        <v>6</v>
      </c>
      <c r="IG54" s="909">
        <v>60.701686934383666</v>
      </c>
      <c r="IH54" s="910">
        <v>2236.3918440989137</v>
      </c>
      <c r="II54" s="871">
        <v>2175.1426628853883</v>
      </c>
      <c r="IJ54" s="911">
        <v>140.65440132724399</v>
      </c>
      <c r="IK54" s="908">
        <v>43.091319000000006</v>
      </c>
      <c r="IL54" s="902">
        <v>228.63085754867407</v>
      </c>
      <c r="IM54" s="902">
        <v>3.618286719670524</v>
      </c>
      <c r="IN54" s="902">
        <v>7.2134140627816628</v>
      </c>
      <c r="IO54" s="902">
        <v>94.878768839814029</v>
      </c>
      <c r="IP54" s="902">
        <v>42.400499048072035</v>
      </c>
      <c r="IQ54" s="902">
        <v>2187.5</v>
      </c>
      <c r="IR54" s="909" t="s">
        <v>1063</v>
      </c>
      <c r="IS54" s="909">
        <v>5</v>
      </c>
      <c r="IT54" s="909">
        <v>1</v>
      </c>
      <c r="IU54" s="909">
        <v>8</v>
      </c>
      <c r="IV54" s="909">
        <v>46.111987748288605</v>
      </c>
      <c r="IW54" s="910">
        <v>2528.3540661229895</v>
      </c>
      <c r="IX54" s="909">
        <v>1</v>
      </c>
      <c r="IY54" s="909">
        <v>8</v>
      </c>
      <c r="IZ54" s="909">
        <v>60.701686934383666</v>
      </c>
      <c r="JA54" s="910">
        <v>2624.4962659481212</v>
      </c>
      <c r="JB54" s="871">
        <v>2528.3540661229895</v>
      </c>
      <c r="JC54" s="911">
        <v>163.49462202267074</v>
      </c>
      <c r="JD54" s="908">
        <v>34.473055200000005</v>
      </c>
      <c r="JE54" s="902">
        <v>217.30466855306105</v>
      </c>
      <c r="JF54" s="902">
        <v>2.7137150397528926</v>
      </c>
      <c r="JG54" s="902">
        <v>5.4100605470862471</v>
      </c>
      <c r="JH54" s="902">
        <v>91.691529479004785</v>
      </c>
      <c r="JI54" s="902">
        <v>39.242791127494002</v>
      </c>
      <c r="JJ54" s="902">
        <v>1750</v>
      </c>
      <c r="JK54" s="909" t="s">
        <v>1064</v>
      </c>
      <c r="JL54" s="909">
        <v>4</v>
      </c>
      <c r="JM54" s="909">
        <v>1</v>
      </c>
      <c r="JN54" s="909">
        <v>6</v>
      </c>
      <c r="JO54" s="909">
        <v>46.111987748288605</v>
      </c>
      <c r="JP54" s="910">
        <v>2964.2197925697214</v>
      </c>
      <c r="JQ54" s="909">
        <v>1</v>
      </c>
      <c r="JR54" s="909">
        <v>6</v>
      </c>
      <c r="JS54" s="909">
        <v>60.701686934383666</v>
      </c>
      <c r="JT54" s="910">
        <v>3047.688356878697</v>
      </c>
      <c r="JU54" s="871">
        <v>2964.2197925697214</v>
      </c>
      <c r="JV54" s="911">
        <v>191.67963896822809</v>
      </c>
      <c r="JW54" s="908">
        <v>34.473055200000005</v>
      </c>
      <c r="JX54" s="902">
        <v>217.30466855306105</v>
      </c>
      <c r="JY54" s="902">
        <v>2.7137150397528926</v>
      </c>
      <c r="JZ54" s="902">
        <v>5.4100605470862471</v>
      </c>
      <c r="KA54" s="902">
        <v>91.691529479004785</v>
      </c>
      <c r="KB54" s="902">
        <v>39.242791127494002</v>
      </c>
      <c r="KC54" s="902">
        <v>2187.5</v>
      </c>
      <c r="KD54" s="909" t="s">
        <v>1064</v>
      </c>
      <c r="KE54" s="909">
        <v>4</v>
      </c>
      <c r="KF54" s="909">
        <v>1</v>
      </c>
      <c r="KG54" s="909">
        <v>6</v>
      </c>
      <c r="KH54" s="909">
        <v>46.111987748288605</v>
      </c>
      <c r="KI54" s="910">
        <v>2964.2197925697214</v>
      </c>
      <c r="KJ54" s="909">
        <v>1</v>
      </c>
      <c r="KK54" s="909">
        <v>6</v>
      </c>
      <c r="KL54" s="909">
        <v>60.701686934383666</v>
      </c>
      <c r="KM54" s="910">
        <v>3047.688356878697</v>
      </c>
      <c r="KN54" s="871">
        <v>2964.2197925697214</v>
      </c>
      <c r="KO54" s="912">
        <v>191.67963896822809</v>
      </c>
    </row>
    <row r="55" spans="1:301" ht="15" customHeight="1">
      <c r="A55" s="924" t="s">
        <v>1542</v>
      </c>
      <c r="B55" s="888" t="s">
        <v>1078</v>
      </c>
      <c r="C55" s="888">
        <v>546</v>
      </c>
      <c r="D55" s="888">
        <v>1400</v>
      </c>
      <c r="E55" s="888">
        <v>450</v>
      </c>
      <c r="F55" s="888">
        <v>450</v>
      </c>
      <c r="G55" s="888">
        <v>208</v>
      </c>
      <c r="H55" s="888">
        <v>142</v>
      </c>
      <c r="I55" s="888">
        <v>90</v>
      </c>
      <c r="J55" s="888">
        <v>34.92</v>
      </c>
      <c r="K55" s="888">
        <v>49.08</v>
      </c>
      <c r="L55" s="888">
        <v>10</v>
      </c>
      <c r="M55" s="888">
        <v>535</v>
      </c>
      <c r="N55" s="888">
        <v>6</v>
      </c>
      <c r="O55" s="884">
        <v>65.013885519254828</v>
      </c>
      <c r="P55" s="888">
        <v>6</v>
      </c>
      <c r="Q55" s="884">
        <v>40.533459715376082</v>
      </c>
      <c r="R55" s="888">
        <v>20</v>
      </c>
      <c r="S55" s="888">
        <v>929.66213305934332</v>
      </c>
      <c r="T55" s="906">
        <v>106.57119045607588</v>
      </c>
      <c r="U55" s="906">
        <v>139.4493199589015</v>
      </c>
      <c r="V55" s="906">
        <v>110</v>
      </c>
      <c r="W55" s="1141">
        <v>9.891138614204543</v>
      </c>
      <c r="X55" s="902">
        <v>0</v>
      </c>
      <c r="Y55" s="902">
        <v>0</v>
      </c>
      <c r="Z55" s="902">
        <v>0</v>
      </c>
      <c r="AA55" s="902">
        <v>0</v>
      </c>
      <c r="AB55" s="970">
        <v>29.798147109935304</v>
      </c>
      <c r="AC55" s="1045">
        <v>4000</v>
      </c>
      <c r="AD55" s="890">
        <v>0.34319378796888306</v>
      </c>
      <c r="AE55" s="890">
        <v>0.6981287310371237</v>
      </c>
      <c r="AF55" s="890">
        <v>-0.25299842747872126</v>
      </c>
      <c r="AG55" s="890">
        <v>1.1147617139494936</v>
      </c>
      <c r="AH55" s="888"/>
      <c r="AI55" s="907">
        <v>6.9304420832772067</v>
      </c>
      <c r="AJ55" s="908">
        <v>19.486840000000004</v>
      </c>
      <c r="AK55" s="902">
        <v>241.49651430491133</v>
      </c>
      <c r="AL55" s="902">
        <v>0</v>
      </c>
      <c r="AM55" s="902">
        <v>0</v>
      </c>
      <c r="AN55" s="902">
        <v>51.126461707986749</v>
      </c>
      <c r="AO55" s="902">
        <v>48.897504631545587</v>
      </c>
      <c r="AP55" s="1222">
        <v>2350</v>
      </c>
      <c r="AQ55" s="909" t="s">
        <v>1062</v>
      </c>
      <c r="AR55" s="909">
        <v>4</v>
      </c>
      <c r="AS55" s="909">
        <v>0</v>
      </c>
      <c r="AT55" s="909">
        <v>0</v>
      </c>
      <c r="AU55" s="909">
        <v>0</v>
      </c>
      <c r="AV55" s="910">
        <v>2654.0986373442338</v>
      </c>
      <c r="AW55" s="909">
        <v>0</v>
      </c>
      <c r="AX55" s="909">
        <v>0</v>
      </c>
      <c r="AY55" s="909">
        <v>0</v>
      </c>
      <c r="AZ55" s="910">
        <v>2952.2364450520899</v>
      </c>
      <c r="BA55" s="871">
        <v>2654.0986373442338</v>
      </c>
      <c r="BB55" s="911">
        <v>194.55559155627759</v>
      </c>
      <c r="BC55" s="908">
        <v>29.230260000000008</v>
      </c>
      <c r="BD55" s="902">
        <v>251.23993430491134</v>
      </c>
      <c r="BE55" s="902">
        <v>0</v>
      </c>
      <c r="BF55" s="902">
        <v>0</v>
      </c>
      <c r="BG55" s="902">
        <v>51.89718404956389</v>
      </c>
      <c r="BH55" s="902">
        <v>51.647726206135587</v>
      </c>
      <c r="BI55" s="902">
        <v>2937.5</v>
      </c>
      <c r="BJ55" s="909" t="s">
        <v>1062</v>
      </c>
      <c r="BK55" s="909">
        <v>6</v>
      </c>
      <c r="BL55" s="909">
        <v>0</v>
      </c>
      <c r="BM55" s="909">
        <v>0</v>
      </c>
      <c r="BN55" s="909">
        <v>0</v>
      </c>
      <c r="BO55" s="910">
        <v>3619.8904259080323</v>
      </c>
      <c r="BP55" s="909">
        <v>0</v>
      </c>
      <c r="BQ55" s="909">
        <v>0</v>
      </c>
      <c r="BR55" s="909">
        <v>0</v>
      </c>
      <c r="BS55" s="910">
        <v>4386.0387644360944</v>
      </c>
      <c r="BT55" s="871">
        <v>3619.8904259080323</v>
      </c>
      <c r="BU55" s="911">
        <v>265.35182727276305</v>
      </c>
      <c r="BV55" s="908">
        <v>19.486840000000004</v>
      </c>
      <c r="BW55" s="902">
        <v>241.49651430491133</v>
      </c>
      <c r="BX55" s="902">
        <v>0</v>
      </c>
      <c r="BY55" s="902">
        <v>0</v>
      </c>
      <c r="BZ55" s="902">
        <v>51.126461707986749</v>
      </c>
      <c r="CA55" s="902">
        <v>48.897504631545587</v>
      </c>
      <c r="CB55" s="902">
        <v>2350</v>
      </c>
      <c r="CC55" s="909" t="s">
        <v>2874</v>
      </c>
      <c r="CD55" s="909">
        <v>4</v>
      </c>
      <c r="CE55" s="909">
        <v>0</v>
      </c>
      <c r="CF55" s="909">
        <v>0</v>
      </c>
      <c r="CG55" s="909">
        <v>0</v>
      </c>
      <c r="CH55" s="910">
        <v>2600.4749554038044</v>
      </c>
      <c r="CI55" s="909">
        <v>0</v>
      </c>
      <c r="CJ55" s="909">
        <v>0</v>
      </c>
      <c r="CK55" s="909">
        <v>0</v>
      </c>
      <c r="CL55" s="910">
        <v>2892.589156170307</v>
      </c>
      <c r="CM55" s="871">
        <v>2600.4749554038044</v>
      </c>
      <c r="CN55" s="911">
        <v>190.6247703672862</v>
      </c>
      <c r="CO55" s="908">
        <v>29.230260000000008</v>
      </c>
      <c r="CP55" s="902">
        <v>251.23993430491134</v>
      </c>
      <c r="CQ55" s="902">
        <v>0</v>
      </c>
      <c r="CR55" s="902">
        <v>0</v>
      </c>
      <c r="CS55" s="902">
        <v>51.89718404956389</v>
      </c>
      <c r="CT55" s="902">
        <v>51.647726206135587</v>
      </c>
      <c r="CU55" s="902">
        <v>2937.5</v>
      </c>
      <c r="CV55" s="909" t="s">
        <v>2874</v>
      </c>
      <c r="CW55" s="909">
        <v>6</v>
      </c>
      <c r="CX55" s="909">
        <v>0</v>
      </c>
      <c r="CY55" s="909">
        <v>0</v>
      </c>
      <c r="CZ55" s="909">
        <v>0</v>
      </c>
      <c r="DA55" s="910">
        <v>3546.7537873043016</v>
      </c>
      <c r="DB55" s="909">
        <v>0</v>
      </c>
      <c r="DC55" s="909">
        <v>0</v>
      </c>
      <c r="DD55" s="909">
        <v>0</v>
      </c>
      <c r="DE55" s="910">
        <v>4297.4227859742468</v>
      </c>
      <c r="DF55" s="871">
        <v>3546.7537873043016</v>
      </c>
      <c r="DG55" s="911">
        <v>259.99063165336264</v>
      </c>
      <c r="DH55" s="908">
        <v>19.486840000000004</v>
      </c>
      <c r="DI55" s="902">
        <v>241.49651430491133</v>
      </c>
      <c r="DJ55" s="902">
        <v>0</v>
      </c>
      <c r="DK55" s="902">
        <v>0</v>
      </c>
      <c r="DL55" s="902">
        <v>51.126461707986749</v>
      </c>
      <c r="DM55" s="902">
        <v>48.897504631545587</v>
      </c>
      <c r="DN55" s="902">
        <v>2350</v>
      </c>
      <c r="DO55" s="909" t="s">
        <v>2875</v>
      </c>
      <c r="DP55" s="909">
        <v>4</v>
      </c>
      <c r="DQ55" s="909">
        <v>0</v>
      </c>
      <c r="DR55" s="909">
        <v>0</v>
      </c>
      <c r="DS55" s="909">
        <v>0</v>
      </c>
      <c r="DT55" s="910">
        <v>2706.6601485636534</v>
      </c>
      <c r="DU55" s="909">
        <v>0</v>
      </c>
      <c r="DV55" s="909">
        <v>0</v>
      </c>
      <c r="DW55" s="909">
        <v>0</v>
      </c>
      <c r="DX55" s="910">
        <v>3010.7022484120798</v>
      </c>
      <c r="DY55" s="871">
        <v>2706.6601485636534</v>
      </c>
      <c r="DZ55" s="911">
        <v>198.40855156480939</v>
      </c>
      <c r="EA55" s="908">
        <v>29.230260000000008</v>
      </c>
      <c r="EB55" s="902">
        <v>251.23993430491134</v>
      </c>
      <c r="EC55" s="902">
        <v>0</v>
      </c>
      <c r="ED55" s="902">
        <v>0</v>
      </c>
      <c r="EE55" s="902">
        <v>51.89718404956389</v>
      </c>
      <c r="EF55" s="902">
        <v>51.647726206135587</v>
      </c>
      <c r="EG55" s="902">
        <v>2937.5</v>
      </c>
      <c r="EH55" s="909" t="s">
        <v>2875</v>
      </c>
      <c r="EI55" s="909">
        <v>6</v>
      </c>
      <c r="EJ55" s="909">
        <v>0</v>
      </c>
      <c r="EK55" s="909">
        <v>0</v>
      </c>
      <c r="EL55" s="909">
        <v>0</v>
      </c>
      <c r="EM55" s="910">
        <v>3691.5783837545514</v>
      </c>
      <c r="EN55" s="909">
        <v>0</v>
      </c>
      <c r="EO55" s="909">
        <v>0</v>
      </c>
      <c r="EP55" s="909">
        <v>0</v>
      </c>
      <c r="EQ55" s="910">
        <v>4472.899449446807</v>
      </c>
      <c r="ER55" s="871">
        <v>3691.5783837545514</v>
      </c>
      <c r="ES55" s="911">
        <v>270.60682904626424</v>
      </c>
      <c r="ET55" s="908">
        <v>19.486840000000004</v>
      </c>
      <c r="EU55" s="902">
        <v>241.49651430491133</v>
      </c>
      <c r="EV55" s="902">
        <v>0</v>
      </c>
      <c r="EW55" s="902">
        <v>0</v>
      </c>
      <c r="EX55" s="902">
        <v>51.126461707986749</v>
      </c>
      <c r="EY55" s="902">
        <v>48.897504631545587</v>
      </c>
      <c r="EZ55" s="902">
        <v>2350</v>
      </c>
      <c r="FA55" s="909" t="s">
        <v>3884</v>
      </c>
      <c r="FB55" s="909">
        <v>4</v>
      </c>
      <c r="FC55" s="909">
        <v>0</v>
      </c>
      <c r="FD55" s="909">
        <v>0</v>
      </c>
      <c r="FE55" s="909">
        <v>0</v>
      </c>
      <c r="FF55" s="910">
        <v>2883.0890899464025</v>
      </c>
      <c r="FG55" s="909">
        <v>0</v>
      </c>
      <c r="FH55" s="909">
        <v>0</v>
      </c>
      <c r="FI55" s="909">
        <v>0</v>
      </c>
      <c r="FJ55" s="910">
        <v>3206.9496460722116</v>
      </c>
      <c r="FK55" s="871">
        <v>2883.0890899464025</v>
      </c>
      <c r="FL55" s="911">
        <v>211.341468441145</v>
      </c>
      <c r="FM55" s="908">
        <v>24.358550000000005</v>
      </c>
      <c r="FN55" s="902">
        <v>246.36822430491134</v>
      </c>
      <c r="FO55" s="902">
        <v>0</v>
      </c>
      <c r="FP55" s="902">
        <v>0</v>
      </c>
      <c r="FQ55" s="902">
        <v>51.519443049252416</v>
      </c>
      <c r="FR55" s="902">
        <v>50.272615418840587</v>
      </c>
      <c r="FS55" s="902">
        <v>2937.5</v>
      </c>
      <c r="FT55" s="909" t="s">
        <v>3884</v>
      </c>
      <c r="FU55" s="909">
        <v>5</v>
      </c>
      <c r="FV55" s="909">
        <v>0</v>
      </c>
      <c r="FW55" s="909">
        <v>0</v>
      </c>
      <c r="FX55" s="909">
        <v>0</v>
      </c>
      <c r="FY55" s="910">
        <v>3367.7331169071072</v>
      </c>
      <c r="FZ55" s="909">
        <v>0</v>
      </c>
      <c r="GA55" s="909">
        <v>0</v>
      </c>
      <c r="GB55" s="909">
        <v>0</v>
      </c>
      <c r="GC55" s="910">
        <v>3863.379650361122</v>
      </c>
      <c r="GD55" s="871">
        <v>3367.7331169071072</v>
      </c>
      <c r="GE55" s="911">
        <v>246.86773111761656</v>
      </c>
      <c r="GF55" s="908">
        <v>19.486840000000004</v>
      </c>
      <c r="GG55" s="902">
        <v>241.49651430491133</v>
      </c>
      <c r="GH55" s="902">
        <v>0</v>
      </c>
      <c r="GI55" s="902">
        <v>0</v>
      </c>
      <c r="GJ55" s="902">
        <v>51.126461707986749</v>
      </c>
      <c r="GK55" s="902">
        <v>48.897504631545587</v>
      </c>
      <c r="GL55" s="902">
        <v>2350</v>
      </c>
      <c r="GM55" s="909" t="s">
        <v>2877</v>
      </c>
      <c r="GN55" s="909">
        <v>4</v>
      </c>
      <c r="GO55" s="909">
        <v>0</v>
      </c>
      <c r="GP55" s="909">
        <v>0</v>
      </c>
      <c r="GQ55" s="909">
        <v>0</v>
      </c>
      <c r="GR55" s="910">
        <v>3560.8469832547617</v>
      </c>
      <c r="GS55" s="909">
        <v>0</v>
      </c>
      <c r="GT55" s="909">
        <v>0</v>
      </c>
      <c r="GU55" s="909">
        <v>0</v>
      </c>
      <c r="GV55" s="910">
        <v>3960.8408260732772</v>
      </c>
      <c r="GW55" s="871">
        <v>3560.8469832547617</v>
      </c>
      <c r="GX55" s="911">
        <v>261.02371687351251</v>
      </c>
      <c r="GY55" s="908">
        <v>19.486840000000004</v>
      </c>
      <c r="GZ55" s="902">
        <v>241.49651430491133</v>
      </c>
      <c r="HA55" s="902">
        <v>0</v>
      </c>
      <c r="HB55" s="902">
        <v>0</v>
      </c>
      <c r="HC55" s="902">
        <v>51.126461707986749</v>
      </c>
      <c r="HD55" s="902">
        <v>48.897504631545587</v>
      </c>
      <c r="HE55" s="902">
        <v>2937.5</v>
      </c>
      <c r="HF55" s="909" t="s">
        <v>2877</v>
      </c>
      <c r="HG55" s="909">
        <v>4</v>
      </c>
      <c r="HH55" s="909">
        <v>0</v>
      </c>
      <c r="HI55" s="909">
        <v>0</v>
      </c>
      <c r="HJ55" s="909">
        <v>0</v>
      </c>
      <c r="HK55" s="910">
        <v>3560.8469832547617</v>
      </c>
      <c r="HL55" s="909">
        <v>0</v>
      </c>
      <c r="HM55" s="909">
        <v>0</v>
      </c>
      <c r="HN55" s="909">
        <v>0</v>
      </c>
      <c r="HO55" s="910">
        <v>3960.8408260732772</v>
      </c>
      <c r="HP55" s="871">
        <v>3560.8469832547617</v>
      </c>
      <c r="HQ55" s="911">
        <v>261.02371687351251</v>
      </c>
      <c r="HR55" s="908">
        <v>19.486840000000004</v>
      </c>
      <c r="HS55" s="902">
        <v>241.49651430491133</v>
      </c>
      <c r="HT55" s="902">
        <v>0</v>
      </c>
      <c r="HU55" s="902">
        <v>0</v>
      </c>
      <c r="HV55" s="902">
        <v>51.126461707986749</v>
      </c>
      <c r="HW55" s="902">
        <v>48.897504631545587</v>
      </c>
      <c r="HX55" s="902">
        <v>2350</v>
      </c>
      <c r="HY55" s="909" t="s">
        <v>1063</v>
      </c>
      <c r="HZ55" s="909">
        <v>4</v>
      </c>
      <c r="IA55" s="909">
        <v>0</v>
      </c>
      <c r="IB55" s="909">
        <v>0</v>
      </c>
      <c r="IC55" s="909">
        <v>0</v>
      </c>
      <c r="ID55" s="910">
        <v>3140.3718581488934</v>
      </c>
      <c r="IE55" s="909">
        <v>0</v>
      </c>
      <c r="IF55" s="909">
        <v>0</v>
      </c>
      <c r="IG55" s="909">
        <v>0</v>
      </c>
      <c r="IH55" s="910">
        <v>3493.1332695005099</v>
      </c>
      <c r="II55" s="871">
        <v>3140.3718581488934</v>
      </c>
      <c r="IJ55" s="911">
        <v>230.20128037901614</v>
      </c>
      <c r="IK55" s="908">
        <v>24.358550000000005</v>
      </c>
      <c r="IL55" s="902">
        <v>246.36822430491134</v>
      </c>
      <c r="IM55" s="902">
        <v>0</v>
      </c>
      <c r="IN55" s="902">
        <v>0</v>
      </c>
      <c r="IO55" s="902">
        <v>51.519443049252416</v>
      </c>
      <c r="IP55" s="902">
        <v>50.272615418840587</v>
      </c>
      <c r="IQ55" s="902">
        <v>2937.5</v>
      </c>
      <c r="IR55" s="909" t="s">
        <v>1063</v>
      </c>
      <c r="IS55" s="909">
        <v>5</v>
      </c>
      <c r="IT55" s="909">
        <v>0</v>
      </c>
      <c r="IU55" s="909">
        <v>0</v>
      </c>
      <c r="IV55" s="909">
        <v>0</v>
      </c>
      <c r="IW55" s="910">
        <v>3668.2648285030086</v>
      </c>
      <c r="IX55" s="909">
        <v>0</v>
      </c>
      <c r="IY55" s="909">
        <v>0</v>
      </c>
      <c r="IZ55" s="909">
        <v>0</v>
      </c>
      <c r="JA55" s="910">
        <v>4208.1421533750536</v>
      </c>
      <c r="JB55" s="871">
        <v>3668.2648285030086</v>
      </c>
      <c r="JC55" s="911">
        <v>268.89785618842706</v>
      </c>
      <c r="JD55" s="908">
        <v>19.486840000000004</v>
      </c>
      <c r="JE55" s="902">
        <v>241.49651430491133</v>
      </c>
      <c r="JF55" s="902">
        <v>0</v>
      </c>
      <c r="JG55" s="902">
        <v>0</v>
      </c>
      <c r="JH55" s="902">
        <v>51.126461707986749</v>
      </c>
      <c r="JI55" s="902">
        <v>48.897504631545587</v>
      </c>
      <c r="JJ55" s="902">
        <v>2350</v>
      </c>
      <c r="JK55" s="909" t="s">
        <v>1064</v>
      </c>
      <c r="JL55" s="909">
        <v>4</v>
      </c>
      <c r="JM55" s="909">
        <v>0</v>
      </c>
      <c r="JN55" s="909">
        <v>0</v>
      </c>
      <c r="JO55" s="909">
        <v>0</v>
      </c>
      <c r="JP55" s="910">
        <v>4279.6054607354345</v>
      </c>
      <c r="JQ55" s="909">
        <v>0</v>
      </c>
      <c r="JR55" s="909">
        <v>0</v>
      </c>
      <c r="JS55" s="909">
        <v>0</v>
      </c>
      <c r="JT55" s="910">
        <v>4760.3382307861157</v>
      </c>
      <c r="JU55" s="871">
        <v>4000</v>
      </c>
      <c r="JV55" s="911">
        <v>293.21531433504731</v>
      </c>
      <c r="JW55" s="908">
        <v>19.486840000000004</v>
      </c>
      <c r="JX55" s="902">
        <v>241.49651430491133</v>
      </c>
      <c r="JY55" s="902">
        <v>0</v>
      </c>
      <c r="JZ55" s="902">
        <v>0</v>
      </c>
      <c r="KA55" s="902">
        <v>51.126461707986749</v>
      </c>
      <c r="KB55" s="902">
        <v>48.897504631545587</v>
      </c>
      <c r="KC55" s="902">
        <v>2937.5</v>
      </c>
      <c r="KD55" s="909" t="s">
        <v>1064</v>
      </c>
      <c r="KE55" s="909">
        <v>4</v>
      </c>
      <c r="KF55" s="909">
        <v>0</v>
      </c>
      <c r="KG55" s="909">
        <v>0</v>
      </c>
      <c r="KH55" s="909">
        <v>0</v>
      </c>
      <c r="KI55" s="910">
        <v>4279.6054607354345</v>
      </c>
      <c r="KJ55" s="909">
        <v>0</v>
      </c>
      <c r="KK55" s="909">
        <v>0</v>
      </c>
      <c r="KL55" s="909">
        <v>0</v>
      </c>
      <c r="KM55" s="910">
        <v>4760.3382307861157</v>
      </c>
      <c r="KN55" s="871">
        <v>4000</v>
      </c>
      <c r="KO55" s="912">
        <v>293.21531433504731</v>
      </c>
    </row>
    <row r="56" spans="1:301" ht="15" customHeight="1">
      <c r="A56" s="924" t="s">
        <v>1543</v>
      </c>
      <c r="B56" s="888" t="s">
        <v>1078</v>
      </c>
      <c r="C56" s="888">
        <v>546</v>
      </c>
      <c r="D56" s="888">
        <v>1400</v>
      </c>
      <c r="E56" s="888">
        <v>560</v>
      </c>
      <c r="F56" s="888">
        <v>500</v>
      </c>
      <c r="G56" s="888">
        <v>311</v>
      </c>
      <c r="H56" s="888">
        <v>212</v>
      </c>
      <c r="I56" s="888">
        <v>147</v>
      </c>
      <c r="J56" s="888">
        <v>34.92</v>
      </c>
      <c r="K56" s="888">
        <v>49.08</v>
      </c>
      <c r="L56" s="888">
        <v>9</v>
      </c>
      <c r="M56" s="888">
        <v>633</v>
      </c>
      <c r="N56" s="888">
        <v>6</v>
      </c>
      <c r="O56" s="884">
        <v>60.904046155847027</v>
      </c>
      <c r="P56" s="888">
        <v>6</v>
      </c>
      <c r="Q56" s="884">
        <v>41.176156273936641</v>
      </c>
      <c r="R56" s="888">
        <v>20</v>
      </c>
      <c r="S56" s="888">
        <v>920.27054006841547</v>
      </c>
      <c r="T56" s="906">
        <v>104.42886859420732</v>
      </c>
      <c r="U56" s="906">
        <v>138.04058101026231</v>
      </c>
      <c r="V56" s="906">
        <v>122.5</v>
      </c>
      <c r="W56" s="1141">
        <v>10.793702589854398</v>
      </c>
      <c r="X56" s="902">
        <v>0</v>
      </c>
      <c r="Y56" s="902">
        <v>0</v>
      </c>
      <c r="Z56" s="902">
        <v>0</v>
      </c>
      <c r="AA56" s="902">
        <v>0</v>
      </c>
      <c r="AB56" s="970">
        <v>40.763316735747146</v>
      </c>
      <c r="AC56" s="1045">
        <v>3317.5789281966872</v>
      </c>
      <c r="AD56" s="890">
        <v>0.34319378796888306</v>
      </c>
      <c r="AE56" s="890">
        <v>0.6981287310371237</v>
      </c>
      <c r="AF56" s="890">
        <v>-0.31559570661119724</v>
      </c>
      <c r="AG56" s="890">
        <v>1.1147617139494936</v>
      </c>
      <c r="AH56" s="888"/>
      <c r="AI56" s="907">
        <v>7.7344650832772066</v>
      </c>
      <c r="AJ56" s="908">
        <v>48.165001650000008</v>
      </c>
      <c r="AK56" s="902">
        <v>265.4677752638454</v>
      </c>
      <c r="AL56" s="902">
        <v>0</v>
      </c>
      <c r="AM56" s="902">
        <v>0</v>
      </c>
      <c r="AN56" s="902">
        <v>74.758902012145327</v>
      </c>
      <c r="AO56" s="902">
        <v>56.406431434510914</v>
      </c>
      <c r="AP56" s="1222">
        <v>2000</v>
      </c>
      <c r="AQ56" s="909" t="s">
        <v>1062</v>
      </c>
      <c r="AR56" s="909">
        <v>6</v>
      </c>
      <c r="AS56" s="909">
        <v>0</v>
      </c>
      <c r="AT56" s="909">
        <v>0</v>
      </c>
      <c r="AU56" s="909">
        <v>0</v>
      </c>
      <c r="AV56" s="910">
        <v>2285.3243037639277</v>
      </c>
      <c r="AW56" s="909">
        <v>0</v>
      </c>
      <c r="AX56" s="909">
        <v>0</v>
      </c>
      <c r="AY56" s="909">
        <v>0</v>
      </c>
      <c r="AZ56" s="910">
        <v>2274.2269254324219</v>
      </c>
      <c r="BA56" s="871">
        <v>2274.2269254324219</v>
      </c>
      <c r="BB56" s="911">
        <v>166.70954070247399</v>
      </c>
      <c r="BC56" s="908">
        <v>64.22000220000001</v>
      </c>
      <c r="BD56" s="902">
        <v>281.52277581384544</v>
      </c>
      <c r="BE56" s="902">
        <v>0</v>
      </c>
      <c r="BF56" s="902">
        <v>0</v>
      </c>
      <c r="BG56" s="902">
        <v>76.540554824880005</v>
      </c>
      <c r="BH56" s="902">
        <v>60.93818813725639</v>
      </c>
      <c r="BI56" s="902">
        <v>2500</v>
      </c>
      <c r="BJ56" s="909" t="s">
        <v>1062</v>
      </c>
      <c r="BK56" s="909">
        <v>8</v>
      </c>
      <c r="BL56" s="909">
        <v>0</v>
      </c>
      <c r="BM56" s="909">
        <v>0</v>
      </c>
      <c r="BN56" s="909">
        <v>0</v>
      </c>
      <c r="BO56" s="910">
        <v>3054.0789541721947</v>
      </c>
      <c r="BP56" s="909">
        <v>0</v>
      </c>
      <c r="BQ56" s="909">
        <v>0</v>
      </c>
      <c r="BR56" s="909">
        <v>0</v>
      </c>
      <c r="BS56" s="910">
        <v>3331.7288544581929</v>
      </c>
      <c r="BT56" s="871">
        <v>3054.0789541721947</v>
      </c>
      <c r="BU56" s="911">
        <v>223.87568013791318</v>
      </c>
      <c r="BV56" s="908">
        <v>48.165001650000008</v>
      </c>
      <c r="BW56" s="902">
        <v>265.4677752638454</v>
      </c>
      <c r="BX56" s="902">
        <v>0</v>
      </c>
      <c r="BY56" s="902">
        <v>0</v>
      </c>
      <c r="BZ56" s="902">
        <v>74.758902012145327</v>
      </c>
      <c r="CA56" s="902">
        <v>56.406431434510914</v>
      </c>
      <c r="CB56" s="902">
        <v>2000</v>
      </c>
      <c r="CC56" s="909" t="s">
        <v>2874</v>
      </c>
      <c r="CD56" s="909">
        <v>6</v>
      </c>
      <c r="CE56" s="909">
        <v>0</v>
      </c>
      <c r="CF56" s="909">
        <v>0</v>
      </c>
      <c r="CG56" s="909">
        <v>0</v>
      </c>
      <c r="CH56" s="910">
        <v>2239.1513764011384</v>
      </c>
      <c r="CI56" s="909">
        <v>0</v>
      </c>
      <c r="CJ56" s="909">
        <v>0</v>
      </c>
      <c r="CK56" s="909">
        <v>0</v>
      </c>
      <c r="CL56" s="910">
        <v>2228.2782106432164</v>
      </c>
      <c r="CM56" s="871">
        <v>2228.2782106432164</v>
      </c>
      <c r="CN56" s="911">
        <v>163.3413239899219</v>
      </c>
      <c r="CO56" s="908">
        <v>64.22000220000001</v>
      </c>
      <c r="CP56" s="902">
        <v>281.52277581384544</v>
      </c>
      <c r="CQ56" s="902">
        <v>0</v>
      </c>
      <c r="CR56" s="902">
        <v>0</v>
      </c>
      <c r="CS56" s="902">
        <v>76.540554824880005</v>
      </c>
      <c r="CT56" s="902">
        <v>60.93818813725639</v>
      </c>
      <c r="CU56" s="902">
        <v>2500</v>
      </c>
      <c r="CV56" s="909" t="s">
        <v>2874</v>
      </c>
      <c r="CW56" s="909">
        <v>8</v>
      </c>
      <c r="CX56" s="909">
        <v>0</v>
      </c>
      <c r="CY56" s="909">
        <v>0</v>
      </c>
      <c r="CZ56" s="909">
        <v>0</v>
      </c>
      <c r="DA56" s="910">
        <v>2992.3740287579062</v>
      </c>
      <c r="DB56" s="909">
        <v>0</v>
      </c>
      <c r="DC56" s="909">
        <v>0</v>
      </c>
      <c r="DD56" s="909">
        <v>0</v>
      </c>
      <c r="DE56" s="910">
        <v>3264.4142618920364</v>
      </c>
      <c r="DF56" s="871">
        <v>2992.3740287579062</v>
      </c>
      <c r="DG56" s="911">
        <v>219.35247286257038</v>
      </c>
      <c r="DH56" s="908">
        <v>48.165001650000008</v>
      </c>
      <c r="DI56" s="902">
        <v>265.4677752638454</v>
      </c>
      <c r="DJ56" s="902">
        <v>0</v>
      </c>
      <c r="DK56" s="902">
        <v>0</v>
      </c>
      <c r="DL56" s="902">
        <v>74.758902012145327</v>
      </c>
      <c r="DM56" s="902">
        <v>56.406431434510914</v>
      </c>
      <c r="DN56" s="902">
        <v>2000</v>
      </c>
      <c r="DO56" s="909" t="s">
        <v>2875</v>
      </c>
      <c r="DP56" s="909">
        <v>6</v>
      </c>
      <c r="DQ56" s="909">
        <v>0</v>
      </c>
      <c r="DR56" s="909">
        <v>0</v>
      </c>
      <c r="DS56" s="909">
        <v>0</v>
      </c>
      <c r="DT56" s="910">
        <v>2330.5826439560219</v>
      </c>
      <c r="DU56" s="909">
        <v>0</v>
      </c>
      <c r="DV56" s="909">
        <v>0</v>
      </c>
      <c r="DW56" s="909">
        <v>0</v>
      </c>
      <c r="DX56" s="910">
        <v>2319.2654942236086</v>
      </c>
      <c r="DY56" s="871">
        <v>2319.2654942236086</v>
      </c>
      <c r="DZ56" s="911">
        <v>170.01104022880108</v>
      </c>
      <c r="EA56" s="908">
        <v>64.22000220000001</v>
      </c>
      <c r="EB56" s="902">
        <v>281.52277581384544</v>
      </c>
      <c r="EC56" s="902">
        <v>0</v>
      </c>
      <c r="ED56" s="902">
        <v>0</v>
      </c>
      <c r="EE56" s="902">
        <v>76.540554824880005</v>
      </c>
      <c r="EF56" s="902">
        <v>60.93818813725639</v>
      </c>
      <c r="EG56" s="902">
        <v>2500</v>
      </c>
      <c r="EH56" s="909" t="s">
        <v>2875</v>
      </c>
      <c r="EI56" s="909">
        <v>8</v>
      </c>
      <c r="EJ56" s="909">
        <v>0</v>
      </c>
      <c r="EK56" s="909">
        <v>0</v>
      </c>
      <c r="EL56" s="909">
        <v>0</v>
      </c>
      <c r="EM56" s="910">
        <v>3114.5616366754125</v>
      </c>
      <c r="EN56" s="909">
        <v>0</v>
      </c>
      <c r="EO56" s="909">
        <v>0</v>
      </c>
      <c r="EP56" s="909">
        <v>0</v>
      </c>
      <c r="EQ56" s="910">
        <v>3397.7100885764917</v>
      </c>
      <c r="ER56" s="871">
        <v>3114.5616366754125</v>
      </c>
      <c r="ES56" s="911">
        <v>228.30929232841515</v>
      </c>
      <c r="ET56" s="908">
        <v>48.165001650000008</v>
      </c>
      <c r="EU56" s="902">
        <v>265.4677752638454</v>
      </c>
      <c r="EV56" s="902">
        <v>0</v>
      </c>
      <c r="EW56" s="902">
        <v>0</v>
      </c>
      <c r="EX56" s="902">
        <v>74.758902012145327</v>
      </c>
      <c r="EY56" s="902">
        <v>56.406431434510914</v>
      </c>
      <c r="EZ56" s="902">
        <v>2000</v>
      </c>
      <c r="FA56" s="909" t="s">
        <v>3884</v>
      </c>
      <c r="FB56" s="909">
        <v>6</v>
      </c>
      <c r="FC56" s="909">
        <v>0</v>
      </c>
      <c r="FD56" s="909">
        <v>0</v>
      </c>
      <c r="FE56" s="909">
        <v>0</v>
      </c>
      <c r="FF56" s="910">
        <v>2482.4976262992504</v>
      </c>
      <c r="FG56" s="909">
        <v>0</v>
      </c>
      <c r="FH56" s="909">
        <v>0</v>
      </c>
      <c r="FI56" s="909">
        <v>0</v>
      </c>
      <c r="FJ56" s="910">
        <v>2470.4427878149563</v>
      </c>
      <c r="FK56" s="871">
        <v>2470.4427878149563</v>
      </c>
      <c r="FL56" s="911">
        <v>181.0929146439783</v>
      </c>
      <c r="FM56" s="908">
        <v>64.22000220000001</v>
      </c>
      <c r="FN56" s="902">
        <v>281.52277581384544</v>
      </c>
      <c r="FO56" s="902">
        <v>0</v>
      </c>
      <c r="FP56" s="902">
        <v>0</v>
      </c>
      <c r="FQ56" s="902">
        <v>76.540554824880005</v>
      </c>
      <c r="FR56" s="902">
        <v>60.93818813725639</v>
      </c>
      <c r="FS56" s="902">
        <v>2500</v>
      </c>
      <c r="FT56" s="909" t="s">
        <v>3884</v>
      </c>
      <c r="FU56" s="909">
        <v>8</v>
      </c>
      <c r="FV56" s="909">
        <v>0</v>
      </c>
      <c r="FW56" s="909">
        <v>0</v>
      </c>
      <c r="FX56" s="909">
        <v>0</v>
      </c>
      <c r="FY56" s="910">
        <v>3317.5789281966872</v>
      </c>
      <c r="FZ56" s="909">
        <v>0</v>
      </c>
      <c r="GA56" s="909">
        <v>0</v>
      </c>
      <c r="GB56" s="909">
        <v>0</v>
      </c>
      <c r="GC56" s="910">
        <v>3619.1839202177307</v>
      </c>
      <c r="GD56" s="871">
        <v>3317.5789281966872</v>
      </c>
      <c r="GE56" s="911">
        <v>243.1912370656303</v>
      </c>
      <c r="GF56" s="908">
        <v>32.110001100000005</v>
      </c>
      <c r="GG56" s="902">
        <v>249.41277471384541</v>
      </c>
      <c r="GH56" s="902">
        <v>0</v>
      </c>
      <c r="GI56" s="902">
        <v>0</v>
      </c>
      <c r="GJ56" s="902">
        <v>72.747874926812301</v>
      </c>
      <c r="GK56" s="902">
        <v>51.874674731765438</v>
      </c>
      <c r="GL56" s="902">
        <v>2000</v>
      </c>
      <c r="GM56" s="909" t="s">
        <v>2877</v>
      </c>
      <c r="GN56" s="909">
        <v>4</v>
      </c>
      <c r="GO56" s="909">
        <v>0</v>
      </c>
      <c r="GP56" s="909">
        <v>0</v>
      </c>
      <c r="GQ56" s="909">
        <v>0</v>
      </c>
      <c r="GR56" s="910">
        <v>2342.339059298361</v>
      </c>
      <c r="GS56" s="909">
        <v>0</v>
      </c>
      <c r="GT56" s="909">
        <v>0</v>
      </c>
      <c r="GU56" s="909">
        <v>0</v>
      </c>
      <c r="GV56" s="910">
        <v>2262.7440320331234</v>
      </c>
      <c r="GW56" s="871">
        <v>2262.7440320331234</v>
      </c>
      <c r="GX56" s="911">
        <v>165.86780065308619</v>
      </c>
      <c r="GY56" s="908">
        <v>48.165001650000008</v>
      </c>
      <c r="GZ56" s="902">
        <v>265.4677752638454</v>
      </c>
      <c r="HA56" s="902">
        <v>0</v>
      </c>
      <c r="HB56" s="902">
        <v>0</v>
      </c>
      <c r="HC56" s="902">
        <v>74.758902012145327</v>
      </c>
      <c r="HD56" s="902">
        <v>56.406431434510914</v>
      </c>
      <c r="HE56" s="902">
        <v>2500</v>
      </c>
      <c r="HF56" s="909" t="s">
        <v>2877</v>
      </c>
      <c r="HG56" s="909">
        <v>6</v>
      </c>
      <c r="HH56" s="909">
        <v>0</v>
      </c>
      <c r="HI56" s="909">
        <v>0</v>
      </c>
      <c r="HJ56" s="909">
        <v>0</v>
      </c>
      <c r="HK56" s="910">
        <v>3066.0842963091113</v>
      </c>
      <c r="HL56" s="909">
        <v>0</v>
      </c>
      <c r="HM56" s="909">
        <v>0</v>
      </c>
      <c r="HN56" s="909">
        <v>0</v>
      </c>
      <c r="HO56" s="910">
        <v>3051.1956009163446</v>
      </c>
      <c r="HP56" s="871">
        <v>3051.1956009163446</v>
      </c>
      <c r="HQ56" s="911">
        <v>223.66431930509992</v>
      </c>
      <c r="HR56" s="908">
        <v>40.137501375000006</v>
      </c>
      <c r="HS56" s="902">
        <v>257.44027498884543</v>
      </c>
      <c r="HT56" s="902">
        <v>0</v>
      </c>
      <c r="HU56" s="902">
        <v>0</v>
      </c>
      <c r="HV56" s="902">
        <v>73.784742383471553</v>
      </c>
      <c r="HW56" s="902">
        <v>54.140553083138172</v>
      </c>
      <c r="HX56" s="902">
        <v>2000</v>
      </c>
      <c r="HY56" s="909" t="s">
        <v>1063</v>
      </c>
      <c r="HZ56" s="909">
        <v>5</v>
      </c>
      <c r="IA56" s="909">
        <v>0</v>
      </c>
      <c r="IB56" s="909">
        <v>0</v>
      </c>
      <c r="IC56" s="909">
        <v>0</v>
      </c>
      <c r="ID56" s="910">
        <v>2374.5710809609532</v>
      </c>
      <c r="IE56" s="909">
        <v>0</v>
      </c>
      <c r="IF56" s="909">
        <v>0</v>
      </c>
      <c r="IG56" s="909">
        <v>0</v>
      </c>
      <c r="IH56" s="910">
        <v>2320.8481896628036</v>
      </c>
      <c r="II56" s="871">
        <v>2320.8481896628036</v>
      </c>
      <c r="IJ56" s="911">
        <v>170.12705786397615</v>
      </c>
      <c r="IK56" s="908">
        <v>32.110001100000005</v>
      </c>
      <c r="IL56" s="902">
        <v>265.01968745862149</v>
      </c>
      <c r="IM56" s="902">
        <v>3.4393915901078485</v>
      </c>
      <c r="IN56" s="902">
        <v>12.167521154668222</v>
      </c>
      <c r="IO56" s="902">
        <v>73.213948139158788</v>
      </c>
      <c r="IP56" s="902">
        <v>57.240767156902827</v>
      </c>
      <c r="IQ56" s="902">
        <v>2500</v>
      </c>
      <c r="IR56" s="909" t="s">
        <v>1063</v>
      </c>
      <c r="IS56" s="909">
        <v>4</v>
      </c>
      <c r="IT56" s="909">
        <v>1</v>
      </c>
      <c r="IU56" s="909">
        <v>6</v>
      </c>
      <c r="IV56" s="909">
        <v>93.076160242236909</v>
      </c>
      <c r="IW56" s="910">
        <v>4469.2632283218236</v>
      </c>
      <c r="IX56" s="909">
        <v>1</v>
      </c>
      <c r="IY56" s="909">
        <v>6</v>
      </c>
      <c r="IZ56" s="909">
        <v>122.86288425665474</v>
      </c>
      <c r="JA56" s="910">
        <v>3292.6206742717113</v>
      </c>
      <c r="JB56" s="871">
        <v>3292.6206742717113</v>
      </c>
      <c r="JC56" s="911">
        <v>241.36170149816385</v>
      </c>
      <c r="JD56" s="908">
        <v>32.110001100000005</v>
      </c>
      <c r="JE56" s="902">
        <v>249.41277471384541</v>
      </c>
      <c r="JF56" s="902">
        <v>0</v>
      </c>
      <c r="JG56" s="902">
        <v>0</v>
      </c>
      <c r="JH56" s="902">
        <v>72.747874926812301</v>
      </c>
      <c r="JI56" s="902">
        <v>51.874674731765438</v>
      </c>
      <c r="JJ56" s="902">
        <v>2000</v>
      </c>
      <c r="JK56" s="909" t="s">
        <v>1064</v>
      </c>
      <c r="JL56" s="909">
        <v>4</v>
      </c>
      <c r="JM56" s="909">
        <v>0</v>
      </c>
      <c r="JN56" s="909">
        <v>0</v>
      </c>
      <c r="JO56" s="909">
        <v>0</v>
      </c>
      <c r="JP56" s="910">
        <v>2815.1411942741092</v>
      </c>
      <c r="JQ56" s="909">
        <v>0</v>
      </c>
      <c r="JR56" s="909">
        <v>0</v>
      </c>
      <c r="JS56" s="909">
        <v>0</v>
      </c>
      <c r="JT56" s="910">
        <v>2719.4798769123017</v>
      </c>
      <c r="JU56" s="871">
        <v>2719.4798769123017</v>
      </c>
      <c r="JV56" s="911">
        <v>199.34828673416911</v>
      </c>
      <c r="JW56" s="908">
        <v>40.137501375000006</v>
      </c>
      <c r="JX56" s="902">
        <v>257.44027498884543</v>
      </c>
      <c r="JY56" s="902">
        <v>0</v>
      </c>
      <c r="JZ56" s="902">
        <v>0</v>
      </c>
      <c r="KA56" s="902">
        <v>73.784742383471553</v>
      </c>
      <c r="KB56" s="902">
        <v>54.140553083138172</v>
      </c>
      <c r="KC56" s="902">
        <v>2500</v>
      </c>
      <c r="KD56" s="909" t="s">
        <v>1064</v>
      </c>
      <c r="KE56" s="909">
        <v>5</v>
      </c>
      <c r="KF56" s="909">
        <v>0</v>
      </c>
      <c r="KG56" s="909">
        <v>0</v>
      </c>
      <c r="KH56" s="909">
        <v>0</v>
      </c>
      <c r="KI56" s="910">
        <v>3235.9949152538175</v>
      </c>
      <c r="KJ56" s="909">
        <v>0</v>
      </c>
      <c r="KK56" s="909">
        <v>0</v>
      </c>
      <c r="KL56" s="909">
        <v>0</v>
      </c>
      <c r="KM56" s="910">
        <v>3162.7829552241401</v>
      </c>
      <c r="KN56" s="871">
        <v>3162.7829552241401</v>
      </c>
      <c r="KO56" s="912">
        <v>231.84409959739406</v>
      </c>
    </row>
    <row r="57" spans="1:301" ht="15" customHeight="1">
      <c r="A57" s="924" t="s">
        <v>1544</v>
      </c>
      <c r="B57" s="888" t="s">
        <v>1080</v>
      </c>
      <c r="C57" s="888">
        <v>682</v>
      </c>
      <c r="D57" s="888">
        <v>1400</v>
      </c>
      <c r="E57" s="888">
        <v>700</v>
      </c>
      <c r="F57" s="888">
        <v>630</v>
      </c>
      <c r="G57" s="888">
        <v>375</v>
      </c>
      <c r="H57" s="888">
        <v>256</v>
      </c>
      <c r="I57" s="888">
        <v>174</v>
      </c>
      <c r="J57" s="888">
        <v>35.46</v>
      </c>
      <c r="K57" s="888">
        <v>46.65</v>
      </c>
      <c r="L57" s="888">
        <v>10</v>
      </c>
      <c r="M57" s="888">
        <v>563</v>
      </c>
      <c r="N57" s="888">
        <v>6</v>
      </c>
      <c r="O57" s="884">
        <v>54.378612639149132</v>
      </c>
      <c r="P57" s="888">
        <v>6</v>
      </c>
      <c r="Q57" s="884">
        <v>37.396305192992223</v>
      </c>
      <c r="R57" s="888">
        <v>20</v>
      </c>
      <c r="S57" s="888">
        <v>974.20603419150825</v>
      </c>
      <c r="T57" s="906">
        <v>117.0283721973554</v>
      </c>
      <c r="U57" s="906">
        <v>146.13090512872623</v>
      </c>
      <c r="V57" s="906">
        <v>147.5</v>
      </c>
      <c r="W57" s="1141">
        <v>14.564546633623994</v>
      </c>
      <c r="X57" s="902">
        <v>0</v>
      </c>
      <c r="Y57" s="902">
        <v>0</v>
      </c>
      <c r="Z57" s="902">
        <v>0</v>
      </c>
      <c r="AA57" s="902">
        <v>0</v>
      </c>
      <c r="AB57" s="970">
        <v>47.072557858852292</v>
      </c>
      <c r="AC57" s="1045">
        <v>3116.56265078044</v>
      </c>
      <c r="AD57" s="890">
        <v>0.34851321258044732</v>
      </c>
      <c r="AE57" s="890">
        <v>0.7122402599604194</v>
      </c>
      <c r="AF57" s="890">
        <v>-0.3164221031151806</v>
      </c>
      <c r="AG57" s="890">
        <v>0.85889087257992747</v>
      </c>
      <c r="AH57" s="888"/>
      <c r="AI57" s="907">
        <v>7.8478065303318436</v>
      </c>
      <c r="AJ57" s="908">
        <v>47.5101625</v>
      </c>
      <c r="AK57" s="902">
        <v>270.87799916312071</v>
      </c>
      <c r="AL57" s="902">
        <v>0</v>
      </c>
      <c r="AM57" s="902">
        <v>0</v>
      </c>
      <c r="AN57" s="902">
        <v>82.542080406981142</v>
      </c>
      <c r="AO57" s="902">
        <v>58.537920665692738</v>
      </c>
      <c r="AP57" s="1222">
        <v>2050</v>
      </c>
      <c r="AQ57" s="909" t="s">
        <v>1064</v>
      </c>
      <c r="AR57" s="909">
        <v>5</v>
      </c>
      <c r="AS57" s="909">
        <v>0</v>
      </c>
      <c r="AT57" s="909">
        <v>0</v>
      </c>
      <c r="AU57" s="909">
        <v>0</v>
      </c>
      <c r="AV57" s="910">
        <v>2409.1303155188489</v>
      </c>
      <c r="AW57" s="909">
        <v>0</v>
      </c>
      <c r="AX57" s="909">
        <v>0</v>
      </c>
      <c r="AY57" s="909">
        <v>0</v>
      </c>
      <c r="AZ57" s="910">
        <v>2550.4472920972566</v>
      </c>
      <c r="BA57" s="871">
        <v>2409.1303155188489</v>
      </c>
      <c r="BB57" s="911">
        <v>176.59847568473779</v>
      </c>
      <c r="BC57" s="908">
        <v>57.012195000000006</v>
      </c>
      <c r="BD57" s="902">
        <v>285.47219816487097</v>
      </c>
      <c r="BE57" s="902">
        <v>5.0921665017502287</v>
      </c>
      <c r="BF57" s="902">
        <v>0</v>
      </c>
      <c r="BG57" s="902">
        <v>84.866026237821458</v>
      </c>
      <c r="BH57" s="902">
        <v>62.16663185068343</v>
      </c>
      <c r="BI57" s="902">
        <v>2562.5</v>
      </c>
      <c r="BJ57" s="909" t="s">
        <v>1064</v>
      </c>
      <c r="BK57" s="909">
        <v>6</v>
      </c>
      <c r="BL57" s="909">
        <v>1</v>
      </c>
      <c r="BM57" s="909">
        <v>8</v>
      </c>
      <c r="BN57" s="909">
        <v>80.433051393292104</v>
      </c>
      <c r="BO57" s="910">
        <v>6266.0060418604835</v>
      </c>
      <c r="BP57" s="909">
        <v>0</v>
      </c>
      <c r="BQ57" s="909">
        <v>0</v>
      </c>
      <c r="BR57" s="909">
        <v>0</v>
      </c>
      <c r="BS57" s="910">
        <v>2924.1222907460569</v>
      </c>
      <c r="BT57" s="871">
        <v>2924.1222907460569</v>
      </c>
      <c r="BU57" s="911">
        <v>214.34935915880595</v>
      </c>
      <c r="BV57" s="908">
        <v>76.016260000000003</v>
      </c>
      <c r="BW57" s="902">
        <v>305.74930479030849</v>
      </c>
      <c r="BX57" s="902">
        <v>6.3652081271877856</v>
      </c>
      <c r="BY57" s="902">
        <v>0</v>
      </c>
      <c r="BZ57" s="902">
        <v>87.726644958620767</v>
      </c>
      <c r="CA57" s="902">
        <v>68.114598692297037</v>
      </c>
      <c r="CB57" s="902">
        <v>2050</v>
      </c>
      <c r="CC57" s="909" t="s">
        <v>2875</v>
      </c>
      <c r="CD57" s="909">
        <v>8</v>
      </c>
      <c r="CE57" s="909">
        <v>1</v>
      </c>
      <c r="CF57" s="909">
        <v>10</v>
      </c>
      <c r="CG57" s="909">
        <v>80.433051393292104</v>
      </c>
      <c r="CH57" s="910">
        <v>4249.1762796980411</v>
      </c>
      <c r="CI57" s="909">
        <v>0</v>
      </c>
      <c r="CJ57" s="909">
        <v>0</v>
      </c>
      <c r="CK57" s="909">
        <v>0</v>
      </c>
      <c r="CL57" s="910">
        <v>2552.6456308329216</v>
      </c>
      <c r="CM57" s="871">
        <v>2552.6456308329216</v>
      </c>
      <c r="CN57" s="911">
        <v>187.11869775766507</v>
      </c>
      <c r="CO57" s="908">
        <v>47.5101625</v>
      </c>
      <c r="CP57" s="902">
        <v>-1401.8124899984186</v>
      </c>
      <c r="CQ57" s="902">
        <v>5.0921665017502287</v>
      </c>
      <c r="CR57" s="902">
        <v>-1677.7826556632895</v>
      </c>
      <c r="CS57" s="902">
        <v>87.712487240869422</v>
      </c>
      <c r="CT57" s="902">
        <v>-652.94711919225847</v>
      </c>
      <c r="CU57" s="902">
        <v>2562.5</v>
      </c>
      <c r="CV57" s="909" t="s">
        <v>2875</v>
      </c>
      <c r="CW57" s="909">
        <v>5</v>
      </c>
      <c r="CX57" s="909">
        <v>1</v>
      </c>
      <c r="CY57" s="909">
        <v>8</v>
      </c>
      <c r="CZ57" s="909">
        <v>80.433051393292104</v>
      </c>
      <c r="DA57" s="910">
        <v>3346.9612512780559</v>
      </c>
      <c r="DB57" s="909">
        <v>1</v>
      </c>
      <c r="DC57" s="909">
        <v>-1000</v>
      </c>
      <c r="DD57" s="909">
        <v>100.8194265370456</v>
      </c>
      <c r="DE57" s="910">
        <v>-1</v>
      </c>
      <c r="DF57" s="871">
        <v>-1</v>
      </c>
      <c r="DG57" s="911">
        <v>-7.3303828583761846E-2</v>
      </c>
      <c r="DH57" s="908">
        <v>76.016260000000003</v>
      </c>
      <c r="DI57" s="902">
        <v>299.38409666312072</v>
      </c>
      <c r="DJ57" s="902">
        <v>0</v>
      </c>
      <c r="DK57" s="902">
        <v>0</v>
      </c>
      <c r="DL57" s="902">
        <v>86.8703927739666</v>
      </c>
      <c r="DM57" s="902">
        <v>67.179273314891489</v>
      </c>
      <c r="DN57" s="902">
        <v>2050</v>
      </c>
      <c r="DO57" s="909" t="s">
        <v>3884</v>
      </c>
      <c r="DP57" s="909">
        <v>8</v>
      </c>
      <c r="DQ57" s="909">
        <v>0</v>
      </c>
      <c r="DR57" s="909">
        <v>0</v>
      </c>
      <c r="DS57" s="909">
        <v>0</v>
      </c>
      <c r="DT57" s="910">
        <v>2375.4404445339346</v>
      </c>
      <c r="DU57" s="909">
        <v>0</v>
      </c>
      <c r="DV57" s="909">
        <v>0</v>
      </c>
      <c r="DW57" s="909">
        <v>0</v>
      </c>
      <c r="DX57" s="910">
        <v>2719.035403339878</v>
      </c>
      <c r="DY57" s="871">
        <v>2375.4404445339346</v>
      </c>
      <c r="DZ57" s="911">
        <v>174.12887915705056</v>
      </c>
      <c r="EA57" s="908">
        <v>38.008130000000001</v>
      </c>
      <c r="EB57" s="902">
        <v>295.39517934137263</v>
      </c>
      <c r="EC57" s="902">
        <v>3.8191248763126708</v>
      </c>
      <c r="ED57" s="902">
        <v>30.200087801939215</v>
      </c>
      <c r="EE57" s="902">
        <v>82.123307172547186</v>
      </c>
      <c r="EF57" s="902">
        <v>69.038864411947586</v>
      </c>
      <c r="EG57" s="902">
        <v>2562.5</v>
      </c>
      <c r="EH57" s="909" t="s">
        <v>2875</v>
      </c>
      <c r="EI57" s="909">
        <v>4</v>
      </c>
      <c r="EJ57" s="909">
        <v>1</v>
      </c>
      <c r="EK57" s="909">
        <v>6</v>
      </c>
      <c r="EL57" s="909">
        <v>80.433051393292104</v>
      </c>
      <c r="EM57" s="910">
        <v>2841.3268514854917</v>
      </c>
      <c r="EN57" s="909">
        <v>1</v>
      </c>
      <c r="EO57" s="909">
        <v>18.000000000000004</v>
      </c>
      <c r="EP57" s="909">
        <v>100.8194265370456</v>
      </c>
      <c r="EQ57" s="910">
        <v>2823.4181352719802</v>
      </c>
      <c r="ER57" s="871">
        <v>2823.4181352719802</v>
      </c>
      <c r="ES57" s="911">
        <v>206.96735900826172</v>
      </c>
      <c r="ET57" s="908">
        <v>76.016260000000003</v>
      </c>
      <c r="EU57" s="902">
        <v>299.38409666312072</v>
      </c>
      <c r="EV57" s="902">
        <v>0</v>
      </c>
      <c r="EW57" s="902">
        <v>0</v>
      </c>
      <c r="EX57" s="902">
        <v>86.8703927739666</v>
      </c>
      <c r="EY57" s="902">
        <v>67.179273314891489</v>
      </c>
      <c r="EZ57" s="902">
        <v>2050</v>
      </c>
      <c r="FA57" s="909" t="s">
        <v>3884</v>
      </c>
      <c r="FB57" s="909">
        <v>8</v>
      </c>
      <c r="FC57" s="909">
        <v>0</v>
      </c>
      <c r="FD57" s="909">
        <v>0</v>
      </c>
      <c r="FE57" s="909">
        <v>0</v>
      </c>
      <c r="FF57" s="910">
        <v>2375.4404445339346</v>
      </c>
      <c r="FG57" s="909">
        <v>0</v>
      </c>
      <c r="FH57" s="909">
        <v>0</v>
      </c>
      <c r="FI57" s="909">
        <v>0</v>
      </c>
      <c r="FJ57" s="910">
        <v>2719.035403339878</v>
      </c>
      <c r="FK57" s="871">
        <v>2375.4404445339346</v>
      </c>
      <c r="FL57" s="911">
        <v>174.12887915705056</v>
      </c>
      <c r="FM57" s="908">
        <v>76.016260000000003</v>
      </c>
      <c r="FN57" s="902">
        <v>299.38409666312072</v>
      </c>
      <c r="FO57" s="902">
        <v>0</v>
      </c>
      <c r="FP57" s="902">
        <v>0</v>
      </c>
      <c r="FQ57" s="902">
        <v>86.8703927739666</v>
      </c>
      <c r="FR57" s="902">
        <v>67.179273314891489</v>
      </c>
      <c r="FS57" s="902">
        <v>2562.5</v>
      </c>
      <c r="FT57" s="909" t="s">
        <v>2877</v>
      </c>
      <c r="FU57" s="909">
        <v>8</v>
      </c>
      <c r="FV57" s="909">
        <v>0</v>
      </c>
      <c r="FW57" s="909">
        <v>0</v>
      </c>
      <c r="FX57" s="909">
        <v>0</v>
      </c>
      <c r="FY57" s="910">
        <v>2933.8600636088072</v>
      </c>
      <c r="FZ57" s="909">
        <v>0</v>
      </c>
      <c r="GA57" s="909">
        <v>0</v>
      </c>
      <c r="GB57" s="909">
        <v>0</v>
      </c>
      <c r="GC57" s="910">
        <v>3358.2274814565958</v>
      </c>
      <c r="GD57" s="871">
        <v>2933.8600636088072</v>
      </c>
      <c r="GE57" s="911">
        <v>215.06317519152464</v>
      </c>
      <c r="GF57" s="908">
        <v>57.012195000000006</v>
      </c>
      <c r="GG57" s="902">
        <v>280.38003166312075</v>
      </c>
      <c r="GH57" s="902">
        <v>0</v>
      </c>
      <c r="GI57" s="902">
        <v>0</v>
      </c>
      <c r="GJ57" s="902">
        <v>84.08264171868764</v>
      </c>
      <c r="GK57" s="902">
        <v>61.418371548758984</v>
      </c>
      <c r="GL57" s="902">
        <v>2050</v>
      </c>
      <c r="GM57" s="909" t="s">
        <v>2877</v>
      </c>
      <c r="GN57" s="909">
        <v>6</v>
      </c>
      <c r="GO57" s="909">
        <v>0</v>
      </c>
      <c r="GP57" s="909">
        <v>0</v>
      </c>
      <c r="GQ57" s="909">
        <v>0</v>
      </c>
      <c r="GR57" s="910">
        <v>2266.1875580181741</v>
      </c>
      <c r="GS57" s="909">
        <v>0</v>
      </c>
      <c r="GT57" s="909">
        <v>0</v>
      </c>
      <c r="GU57" s="909">
        <v>0</v>
      </c>
      <c r="GV57" s="910">
        <v>2433.0168126951066</v>
      </c>
      <c r="GW57" s="871">
        <v>2266.1875580181741</v>
      </c>
      <c r="GX57" s="911">
        <v>166.12022429161806</v>
      </c>
      <c r="GY57" s="908">
        <v>76.016260000000003</v>
      </c>
      <c r="GZ57" s="902">
        <v>299.38409666312072</v>
      </c>
      <c r="HA57" s="902">
        <v>0</v>
      </c>
      <c r="HB57" s="902">
        <v>0</v>
      </c>
      <c r="HC57" s="902">
        <v>86.8703927739666</v>
      </c>
      <c r="HD57" s="902">
        <v>67.179273314891489</v>
      </c>
      <c r="HE57" s="902">
        <v>2562.5</v>
      </c>
      <c r="HF57" s="909" t="s">
        <v>2877</v>
      </c>
      <c r="HG57" s="909">
        <v>8</v>
      </c>
      <c r="HH57" s="909">
        <v>0</v>
      </c>
      <c r="HI57" s="909">
        <v>0</v>
      </c>
      <c r="HJ57" s="909">
        <v>0</v>
      </c>
      <c r="HK57" s="910">
        <v>2933.8600636088072</v>
      </c>
      <c r="HL57" s="909">
        <v>0</v>
      </c>
      <c r="HM57" s="909">
        <v>0</v>
      </c>
      <c r="HN57" s="909">
        <v>0</v>
      </c>
      <c r="HO57" s="910">
        <v>3358.2274814565958</v>
      </c>
      <c r="HP57" s="871">
        <v>2933.8600636088072</v>
      </c>
      <c r="HQ57" s="911">
        <v>215.06317519152464</v>
      </c>
      <c r="HR57" s="908">
        <v>38.008130000000001</v>
      </c>
      <c r="HS57" s="902">
        <v>275.26178747341316</v>
      </c>
      <c r="HT57" s="902">
        <v>3.8191248763126708</v>
      </c>
      <c r="HU57" s="902">
        <v>10.066695933979737</v>
      </c>
      <c r="HV57" s="902">
        <v>81.766612665053074</v>
      </c>
      <c r="HW57" s="902">
        <v>60.492064810029078</v>
      </c>
      <c r="HX57" s="902">
        <v>2050</v>
      </c>
      <c r="HY57" s="909" t="s">
        <v>1063</v>
      </c>
      <c r="HZ57" s="909">
        <v>4</v>
      </c>
      <c r="IA57" s="909">
        <v>1</v>
      </c>
      <c r="IB57" s="909">
        <v>6</v>
      </c>
      <c r="IC57" s="909">
        <v>80.433051393292104</v>
      </c>
      <c r="ID57" s="910">
        <v>3296.6173787806065</v>
      </c>
      <c r="IE57" s="909">
        <v>1</v>
      </c>
      <c r="IF57" s="909">
        <v>6</v>
      </c>
      <c r="IG57" s="909">
        <v>100.8194265370456</v>
      </c>
      <c r="IH57" s="910">
        <v>3116.56265078044</v>
      </c>
      <c r="II57" s="871">
        <v>3116.56265078044</v>
      </c>
      <c r="IJ57" s="911">
        <v>228.45597432336379</v>
      </c>
      <c r="IK57" s="908">
        <v>38.008130000000001</v>
      </c>
      <c r="IL57" s="902">
        <v>275.26178747341316</v>
      </c>
      <c r="IM57" s="902">
        <v>3.8191248763126708</v>
      </c>
      <c r="IN57" s="902">
        <v>10.066695933979737</v>
      </c>
      <c r="IO57" s="902">
        <v>81.766612665053074</v>
      </c>
      <c r="IP57" s="902">
        <v>60.492064810029078</v>
      </c>
      <c r="IQ57" s="902">
        <v>2562.5</v>
      </c>
      <c r="IR57" s="909" t="s">
        <v>1063</v>
      </c>
      <c r="IS57" s="909">
        <v>4</v>
      </c>
      <c r="IT57" s="909">
        <v>1</v>
      </c>
      <c r="IU57" s="909">
        <v>6</v>
      </c>
      <c r="IV57" s="909">
        <v>80.433051393292104</v>
      </c>
      <c r="IW57" s="910">
        <v>3296.6173787806065</v>
      </c>
      <c r="IX57" s="909">
        <v>1</v>
      </c>
      <c r="IY57" s="909">
        <v>6</v>
      </c>
      <c r="IZ57" s="909">
        <v>100.8194265370456</v>
      </c>
      <c r="JA57" s="910">
        <v>3116.56265078044</v>
      </c>
      <c r="JB57" s="871">
        <v>3116.56265078044</v>
      </c>
      <c r="JC57" s="911">
        <v>228.45597432336379</v>
      </c>
      <c r="JD57" s="908">
        <v>47.5101625</v>
      </c>
      <c r="JE57" s="902">
        <v>270.87799916312071</v>
      </c>
      <c r="JF57" s="902">
        <v>0</v>
      </c>
      <c r="JG57" s="902">
        <v>0</v>
      </c>
      <c r="JH57" s="902">
        <v>82.542080406981142</v>
      </c>
      <c r="JI57" s="902">
        <v>58.537920665692738</v>
      </c>
      <c r="JJ57" s="902">
        <v>2050</v>
      </c>
      <c r="JK57" s="909" t="s">
        <v>1064</v>
      </c>
      <c r="JL57" s="909">
        <v>5</v>
      </c>
      <c r="JM57" s="909">
        <v>0</v>
      </c>
      <c r="JN57" s="909">
        <v>0</v>
      </c>
      <c r="JO57" s="909">
        <v>0</v>
      </c>
      <c r="JP57" s="910">
        <v>2409.1303155188489</v>
      </c>
      <c r="JQ57" s="909">
        <v>0</v>
      </c>
      <c r="JR57" s="909">
        <v>0</v>
      </c>
      <c r="JS57" s="909">
        <v>0</v>
      </c>
      <c r="JT57" s="910">
        <v>2550.4472920972566</v>
      </c>
      <c r="JU57" s="871">
        <v>2409.1303155188489</v>
      </c>
      <c r="JV57" s="911">
        <v>176.59847568473779</v>
      </c>
      <c r="JW57" s="908">
        <v>57.012195000000006</v>
      </c>
      <c r="JX57" s="902">
        <v>285.47219816487097</v>
      </c>
      <c r="JY57" s="902">
        <v>5.0921665017502287</v>
      </c>
      <c r="JZ57" s="902">
        <v>0</v>
      </c>
      <c r="KA57" s="902">
        <v>84.866026237821458</v>
      </c>
      <c r="KB57" s="902">
        <v>62.16663185068343</v>
      </c>
      <c r="KC57" s="902">
        <v>2562.5</v>
      </c>
      <c r="KD57" s="909" t="s">
        <v>1064</v>
      </c>
      <c r="KE57" s="909">
        <v>6</v>
      </c>
      <c r="KF57" s="909">
        <v>1</v>
      </c>
      <c r="KG57" s="909">
        <v>8</v>
      </c>
      <c r="KH57" s="909">
        <v>80.433051393292104</v>
      </c>
      <c r="KI57" s="910">
        <v>6266.0060418604835</v>
      </c>
      <c r="KJ57" s="909">
        <v>0</v>
      </c>
      <c r="KK57" s="909">
        <v>0</v>
      </c>
      <c r="KL57" s="909">
        <v>0</v>
      </c>
      <c r="KM57" s="910">
        <v>2924.1222907460569</v>
      </c>
      <c r="KN57" s="871">
        <v>2924.1222907460569</v>
      </c>
      <c r="KO57" s="912">
        <v>214.34935915880595</v>
      </c>
    </row>
    <row r="58" spans="1:301" ht="15" customHeight="1">
      <c r="A58" s="924" t="s">
        <v>1545</v>
      </c>
      <c r="B58" s="888" t="s">
        <v>1081</v>
      </c>
      <c r="C58" s="888">
        <v>774</v>
      </c>
      <c r="D58" s="888">
        <v>1400</v>
      </c>
      <c r="E58" s="888">
        <v>800</v>
      </c>
      <c r="F58" s="888">
        <v>710</v>
      </c>
      <c r="G58" s="888">
        <v>403</v>
      </c>
      <c r="H58" s="888">
        <v>288</v>
      </c>
      <c r="I58" s="888">
        <v>205</v>
      </c>
      <c r="J58" s="888">
        <v>30</v>
      </c>
      <c r="K58" s="888">
        <v>45</v>
      </c>
      <c r="L58" s="888">
        <v>12</v>
      </c>
      <c r="M58" s="888">
        <v>530.95929586801913</v>
      </c>
      <c r="N58" s="888">
        <v>6</v>
      </c>
      <c r="O58" s="884">
        <v>48.829774614746157</v>
      </c>
      <c r="P58" s="888">
        <v>6</v>
      </c>
      <c r="Q58" s="884">
        <v>34.866761886861127</v>
      </c>
      <c r="R58" s="888">
        <v>20</v>
      </c>
      <c r="S58" s="888">
        <v>1008.6911067350828</v>
      </c>
      <c r="T58" s="906">
        <v>125.46018321779236</v>
      </c>
      <c r="U58" s="906">
        <v>151.30366601026242</v>
      </c>
      <c r="V58" s="906">
        <v>172.5</v>
      </c>
      <c r="W58" s="1141">
        <v>18.260337604277122</v>
      </c>
      <c r="X58" s="902">
        <v>473.33333333333331</v>
      </c>
      <c r="Y58" s="902">
        <v>63.414642208699036</v>
      </c>
      <c r="Z58" s="902">
        <v>6</v>
      </c>
      <c r="AA58" s="902">
        <v>8.5802746522521609</v>
      </c>
      <c r="AB58" s="970">
        <v>52.531826025991258</v>
      </c>
      <c r="AC58" s="1045">
        <v>3599.204955034927</v>
      </c>
      <c r="AD58" s="890">
        <v>0.47833151218577513</v>
      </c>
      <c r="AE58" s="890">
        <v>0.57735026918962573</v>
      </c>
      <c r="AF58" s="890">
        <v>-0.41875652022475257</v>
      </c>
      <c r="AG58" s="890">
        <v>0.8151309306953296</v>
      </c>
      <c r="AH58" s="888"/>
      <c r="AI58" s="907">
        <v>8.3576504151202151</v>
      </c>
      <c r="AJ58" s="908">
        <v>73.974204827064995</v>
      </c>
      <c r="AK58" s="902">
        <v>309.97153680299391</v>
      </c>
      <c r="AL58" s="902">
        <v>0</v>
      </c>
      <c r="AM58" s="902">
        <v>0</v>
      </c>
      <c r="AN58" s="902">
        <v>90.077542705670922</v>
      </c>
      <c r="AO58" s="902">
        <v>68.706266874431748</v>
      </c>
      <c r="AP58" s="1222">
        <v>1850</v>
      </c>
      <c r="AQ58" s="909" t="s">
        <v>1064</v>
      </c>
      <c r="AR58" s="909">
        <v>6</v>
      </c>
      <c r="AS58" s="909">
        <v>0</v>
      </c>
      <c r="AT58" s="909">
        <v>0</v>
      </c>
      <c r="AU58" s="909">
        <v>0</v>
      </c>
      <c r="AV58" s="910">
        <v>2184.524972471519</v>
      </c>
      <c r="AW58" s="909">
        <v>0</v>
      </c>
      <c r="AX58" s="909">
        <v>0</v>
      </c>
      <c r="AY58" s="909">
        <v>0</v>
      </c>
      <c r="AZ58" s="910">
        <v>2380.6807331338341</v>
      </c>
      <c r="BA58" s="871">
        <v>2184.524972471519</v>
      </c>
      <c r="BB58" s="911">
        <v>160.13404411899927</v>
      </c>
      <c r="BC58" s="908">
        <v>61.645170689220834</v>
      </c>
      <c r="BD58" s="902">
        <v>315.02083060015082</v>
      </c>
      <c r="BE58" s="902">
        <v>4.8502101442387113</v>
      </c>
      <c r="BF58" s="902">
        <v>12.528117790762336</v>
      </c>
      <c r="BG58" s="902">
        <v>89.291415138483927</v>
      </c>
      <c r="BH58" s="902">
        <v>70.994902445982618</v>
      </c>
      <c r="BI58" s="902">
        <v>2312.5</v>
      </c>
      <c r="BJ58" s="909" t="s">
        <v>1062</v>
      </c>
      <c r="BK58" s="909">
        <v>5</v>
      </c>
      <c r="BL58" s="909">
        <v>1</v>
      </c>
      <c r="BM58" s="909">
        <v>8</v>
      </c>
      <c r="BN58" s="909">
        <v>66.369911983502377</v>
      </c>
      <c r="BO58" s="910">
        <v>2611.0577001752199</v>
      </c>
      <c r="BP58" s="909">
        <v>1</v>
      </c>
      <c r="BQ58" s="909">
        <v>8</v>
      </c>
      <c r="BR58" s="909">
        <v>93.861229660577678</v>
      </c>
      <c r="BS58" s="910">
        <v>2548.2639972661491</v>
      </c>
      <c r="BT58" s="871">
        <v>2548.2639972661491</v>
      </c>
      <c r="BU58" s="911">
        <v>186.79750724176952</v>
      </c>
      <c r="BV58" s="908">
        <v>49.316136551376665</v>
      </c>
      <c r="BW58" s="902">
        <v>298.3472144785564</v>
      </c>
      <c r="BX58" s="902">
        <v>3.6376576081790337</v>
      </c>
      <c r="BY58" s="902">
        <v>9.3960883430717512</v>
      </c>
      <c r="BZ58" s="902">
        <v>86.669601752947329</v>
      </c>
      <c r="CA58" s="902">
        <v>65.492909902260877</v>
      </c>
      <c r="CB58" s="902">
        <v>1850</v>
      </c>
      <c r="CC58" s="909" t="s">
        <v>2874</v>
      </c>
      <c r="CD58" s="909">
        <v>4</v>
      </c>
      <c r="CE58" s="909">
        <v>1</v>
      </c>
      <c r="CF58" s="909">
        <v>6</v>
      </c>
      <c r="CG58" s="909">
        <v>66.369911983502377</v>
      </c>
      <c r="CH58" s="910">
        <v>2187.0339288998812</v>
      </c>
      <c r="CI58" s="909">
        <v>1</v>
      </c>
      <c r="CJ58" s="909">
        <v>6</v>
      </c>
      <c r="CK58" s="909">
        <v>93.861229660577678</v>
      </c>
      <c r="CL58" s="910">
        <v>2389.9024052343848</v>
      </c>
      <c r="CM58" s="871">
        <v>2187.0339288998812</v>
      </c>
      <c r="CN58" s="911">
        <v>160.31796023094805</v>
      </c>
      <c r="CO58" s="908">
        <v>61.645170689220834</v>
      </c>
      <c r="CP58" s="902">
        <v>321.28488949553196</v>
      </c>
      <c r="CQ58" s="902">
        <v>4.8502101442387113</v>
      </c>
      <c r="CR58" s="902">
        <v>18.792176686143502</v>
      </c>
      <c r="CS58" s="902">
        <v>89.548941577486673</v>
      </c>
      <c r="CT58" s="902">
        <v>73.680317676858166</v>
      </c>
      <c r="CU58" s="902">
        <v>2312.5</v>
      </c>
      <c r="CV58" s="909" t="s">
        <v>2874</v>
      </c>
      <c r="CW58" s="909">
        <v>5</v>
      </c>
      <c r="CX58" s="909">
        <v>1</v>
      </c>
      <c r="CY58" s="909">
        <v>8</v>
      </c>
      <c r="CZ58" s="909">
        <v>66.369911983502377</v>
      </c>
      <c r="DA58" s="910">
        <v>2558.3036217576941</v>
      </c>
      <c r="DB58" s="909">
        <v>1</v>
      </c>
      <c r="DC58" s="909">
        <v>12</v>
      </c>
      <c r="DD58" s="909">
        <v>93.861229660577678</v>
      </c>
      <c r="DE58" s="910">
        <v>2574.5352781756942</v>
      </c>
      <c r="DF58" s="871">
        <v>2558.3036217576941</v>
      </c>
      <c r="DG58" s="911">
        <v>187.53345015454309</v>
      </c>
      <c r="DH58" s="908">
        <v>98.632273102753331</v>
      </c>
      <c r="DI58" s="902">
        <v>340.69236775898059</v>
      </c>
      <c r="DJ58" s="902">
        <v>6.0627626802983894</v>
      </c>
      <c r="DK58" s="902">
        <v>0</v>
      </c>
      <c r="DL58" s="902">
        <v>94.939825668353578</v>
      </c>
      <c r="DM58" s="902">
        <v>77.671090753849924</v>
      </c>
      <c r="DN58" s="902">
        <v>1850</v>
      </c>
      <c r="DO58" s="909" t="s">
        <v>3884</v>
      </c>
      <c r="DP58" s="909">
        <v>8</v>
      </c>
      <c r="DQ58" s="909">
        <v>1</v>
      </c>
      <c r="DR58" s="909">
        <v>10</v>
      </c>
      <c r="DS58" s="909">
        <v>66.369911983502377</v>
      </c>
      <c r="DT58" s="910">
        <v>3762.8955965765608</v>
      </c>
      <c r="DU58" s="909">
        <v>0</v>
      </c>
      <c r="DV58" s="909">
        <v>0</v>
      </c>
      <c r="DW58" s="909">
        <v>0</v>
      </c>
      <c r="DX58" s="910">
        <v>2127.6342147732139</v>
      </c>
      <c r="DY58" s="871">
        <v>2127.6342147732139</v>
      </c>
      <c r="DZ58" s="911">
        <v>155.96373376868237</v>
      </c>
      <c r="EA58" s="908">
        <v>61.645170689220834</v>
      </c>
      <c r="EB58" s="902">
        <v>315.02083060015082</v>
      </c>
      <c r="EC58" s="902">
        <v>4.8502101442387113</v>
      </c>
      <c r="ED58" s="902">
        <v>12.528117790762336</v>
      </c>
      <c r="EE58" s="902">
        <v>89.291415138483927</v>
      </c>
      <c r="EF58" s="902">
        <v>70.994902445982618</v>
      </c>
      <c r="EG58" s="902">
        <v>2312.5</v>
      </c>
      <c r="EH58" s="909" t="s">
        <v>2875</v>
      </c>
      <c r="EI58" s="909">
        <v>5</v>
      </c>
      <c r="EJ58" s="909">
        <v>1</v>
      </c>
      <c r="EK58" s="909">
        <v>8</v>
      </c>
      <c r="EL58" s="909">
        <v>66.369911983502377</v>
      </c>
      <c r="EM58" s="910">
        <v>2662.7668328620289</v>
      </c>
      <c r="EN58" s="909">
        <v>1</v>
      </c>
      <c r="EO58" s="909">
        <v>8</v>
      </c>
      <c r="EP58" s="909">
        <v>93.861229660577678</v>
      </c>
      <c r="EQ58" s="910">
        <v>2598.7295695692096</v>
      </c>
      <c r="ER58" s="871">
        <v>2598.7295695692096</v>
      </c>
      <c r="ES58" s="911">
        <v>190.49682690325454</v>
      </c>
      <c r="ET58" s="908">
        <v>98.632273102753331</v>
      </c>
      <c r="EU58" s="902">
        <v>334.62960507868223</v>
      </c>
      <c r="EV58" s="902">
        <v>0</v>
      </c>
      <c r="EW58" s="902">
        <v>0</v>
      </c>
      <c r="EX58" s="902">
        <v>94.050961713961655</v>
      </c>
      <c r="EY58" s="902">
        <v>76.594000715766185</v>
      </c>
      <c r="EZ58" s="902">
        <v>1850</v>
      </c>
      <c r="FA58" s="909" t="s">
        <v>2877</v>
      </c>
      <c r="FB58" s="909">
        <v>8</v>
      </c>
      <c r="FC58" s="909">
        <v>0</v>
      </c>
      <c r="FD58" s="909">
        <v>0</v>
      </c>
      <c r="FE58" s="909">
        <v>0</v>
      </c>
      <c r="FF58" s="910">
        <v>2315.1516008956314</v>
      </c>
      <c r="FG58" s="909">
        <v>0</v>
      </c>
      <c r="FH58" s="909">
        <v>0</v>
      </c>
      <c r="FI58" s="909">
        <v>0</v>
      </c>
      <c r="FJ58" s="910">
        <v>2627.7994327555302</v>
      </c>
      <c r="FK58" s="871">
        <v>2315.1516008956314</v>
      </c>
      <c r="FL58" s="911">
        <v>169.70947609747518</v>
      </c>
      <c r="FM58" s="908">
        <v>98.632273102753331</v>
      </c>
      <c r="FN58" s="902">
        <v>340.69236775898059</v>
      </c>
      <c r="FO58" s="902">
        <v>6.0627626802983894</v>
      </c>
      <c r="FP58" s="902">
        <v>0</v>
      </c>
      <c r="FQ58" s="902">
        <v>94.939825668353578</v>
      </c>
      <c r="FR58" s="902">
        <v>77.671090753849924</v>
      </c>
      <c r="FS58" s="902">
        <v>2312.5</v>
      </c>
      <c r="FT58" s="909" t="s">
        <v>2877</v>
      </c>
      <c r="FU58" s="909">
        <v>8</v>
      </c>
      <c r="FV58" s="909">
        <v>1</v>
      </c>
      <c r="FW58" s="909">
        <v>10</v>
      </c>
      <c r="FX58" s="909">
        <v>66.369911983502377</v>
      </c>
      <c r="FY58" s="910">
        <v>4647.4788032378719</v>
      </c>
      <c r="FZ58" s="909">
        <v>0</v>
      </c>
      <c r="GA58" s="909">
        <v>0</v>
      </c>
      <c r="GB58" s="909">
        <v>0</v>
      </c>
      <c r="GC58" s="910">
        <v>2627.7994327555302</v>
      </c>
      <c r="GD58" s="871">
        <v>2627.7994327555302</v>
      </c>
      <c r="GE58" s="911">
        <v>192.62775917121797</v>
      </c>
      <c r="GF58" s="908">
        <v>98.632273102753331</v>
      </c>
      <c r="GG58" s="902">
        <v>334.62960507868223</v>
      </c>
      <c r="GH58" s="902">
        <v>0</v>
      </c>
      <c r="GI58" s="902">
        <v>0</v>
      </c>
      <c r="GJ58" s="902">
        <v>94.050961713961655</v>
      </c>
      <c r="GK58" s="902">
        <v>76.594000715766185</v>
      </c>
      <c r="GL58" s="902">
        <v>1850</v>
      </c>
      <c r="GM58" s="909" t="s">
        <v>2877</v>
      </c>
      <c r="GN58" s="909">
        <v>8</v>
      </c>
      <c r="GO58" s="909">
        <v>0</v>
      </c>
      <c r="GP58" s="909">
        <v>0</v>
      </c>
      <c r="GQ58" s="909">
        <v>0</v>
      </c>
      <c r="GR58" s="910">
        <v>2315.1516008956314</v>
      </c>
      <c r="GS58" s="909">
        <v>0</v>
      </c>
      <c r="GT58" s="909">
        <v>0</v>
      </c>
      <c r="GU58" s="909">
        <v>0</v>
      </c>
      <c r="GV58" s="910">
        <v>2627.7994327555302</v>
      </c>
      <c r="GW58" s="871">
        <v>2315.1516008956314</v>
      </c>
      <c r="GX58" s="911">
        <v>169.70947609747518</v>
      </c>
      <c r="GY58" s="908">
        <v>98.632273102753331</v>
      </c>
      <c r="GZ58" s="902">
        <v>340.69236775898059</v>
      </c>
      <c r="HA58" s="902">
        <v>6.0627626802983894</v>
      </c>
      <c r="HB58" s="902">
        <v>0</v>
      </c>
      <c r="HC58" s="902">
        <v>94.939825668353578</v>
      </c>
      <c r="HD58" s="902">
        <v>77.671090753849924</v>
      </c>
      <c r="HE58" s="902">
        <v>2312.5</v>
      </c>
      <c r="HF58" s="909" t="s">
        <v>2877</v>
      </c>
      <c r="HG58" s="909">
        <v>8</v>
      </c>
      <c r="HH58" s="909">
        <v>1</v>
      </c>
      <c r="HI58" s="909">
        <v>10</v>
      </c>
      <c r="HJ58" s="909">
        <v>66.369911983502377</v>
      </c>
      <c r="HK58" s="910">
        <v>4647.4788032378719</v>
      </c>
      <c r="HL58" s="909">
        <v>0</v>
      </c>
      <c r="HM58" s="909">
        <v>0</v>
      </c>
      <c r="HN58" s="909">
        <v>0</v>
      </c>
      <c r="HO58" s="910">
        <v>2627.7994327555302</v>
      </c>
      <c r="HP58" s="871">
        <v>2627.7994327555302</v>
      </c>
      <c r="HQ58" s="911">
        <v>192.62775917121797</v>
      </c>
      <c r="HR58" s="908">
        <v>49.316136551376665</v>
      </c>
      <c r="HS58" s="902">
        <v>298.3472144785564</v>
      </c>
      <c r="HT58" s="902">
        <v>3.6376576081790337</v>
      </c>
      <c r="HU58" s="902">
        <v>9.3960883430717512</v>
      </c>
      <c r="HV58" s="902">
        <v>86.669601752947329</v>
      </c>
      <c r="HW58" s="902">
        <v>65.492909902260877</v>
      </c>
      <c r="HX58" s="902">
        <v>1850</v>
      </c>
      <c r="HY58" s="909" t="s">
        <v>1063</v>
      </c>
      <c r="HZ58" s="909">
        <v>4</v>
      </c>
      <c r="IA58" s="909">
        <v>1</v>
      </c>
      <c r="IB58" s="909">
        <v>6</v>
      </c>
      <c r="IC58" s="909">
        <v>66.369911983502377</v>
      </c>
      <c r="ID58" s="910">
        <v>2641.0943850322551</v>
      </c>
      <c r="IE58" s="909">
        <v>1</v>
      </c>
      <c r="IF58" s="909">
        <v>6</v>
      </c>
      <c r="IG58" s="909">
        <v>93.861229660577678</v>
      </c>
      <c r="IH58" s="910">
        <v>2886.0813450729815</v>
      </c>
      <c r="II58" s="871">
        <v>2641.0943850322551</v>
      </c>
      <c r="IJ58" s="911">
        <v>193.60233007394032</v>
      </c>
      <c r="IK58" s="908">
        <v>49.316136551376665</v>
      </c>
      <c r="IL58" s="902">
        <v>298.3472144785564</v>
      </c>
      <c r="IM58" s="902">
        <v>3.6376576081790337</v>
      </c>
      <c r="IN58" s="902">
        <v>9.3960883430717512</v>
      </c>
      <c r="IO58" s="902">
        <v>86.669601752947329</v>
      </c>
      <c r="IP58" s="902">
        <v>65.492909902260877</v>
      </c>
      <c r="IQ58" s="902">
        <v>2312.5</v>
      </c>
      <c r="IR58" s="909" t="s">
        <v>1063</v>
      </c>
      <c r="IS58" s="909">
        <v>4</v>
      </c>
      <c r="IT58" s="909">
        <v>1</v>
      </c>
      <c r="IU58" s="909">
        <v>6</v>
      </c>
      <c r="IV58" s="909">
        <v>66.369911983502377</v>
      </c>
      <c r="IW58" s="910">
        <v>2641.0943850322551</v>
      </c>
      <c r="IX58" s="909">
        <v>1</v>
      </c>
      <c r="IY58" s="909">
        <v>6</v>
      </c>
      <c r="IZ58" s="909">
        <v>93.861229660577678</v>
      </c>
      <c r="JA58" s="910">
        <v>2886.0813450729815</v>
      </c>
      <c r="JB58" s="871">
        <v>2641.0943850322551</v>
      </c>
      <c r="JC58" s="911">
        <v>193.60233007394032</v>
      </c>
      <c r="JD58" s="908">
        <v>73.974204827064995</v>
      </c>
      <c r="JE58" s="902">
        <v>309.97153680299391</v>
      </c>
      <c r="JF58" s="902">
        <v>0</v>
      </c>
      <c r="JG58" s="902">
        <v>0</v>
      </c>
      <c r="JH58" s="902">
        <v>90.077542705670922</v>
      </c>
      <c r="JI58" s="902">
        <v>68.706266874431748</v>
      </c>
      <c r="JJ58" s="902">
        <v>1850</v>
      </c>
      <c r="JK58" s="909" t="s">
        <v>1064</v>
      </c>
      <c r="JL58" s="909">
        <v>6</v>
      </c>
      <c r="JM58" s="909">
        <v>0</v>
      </c>
      <c r="JN58" s="909">
        <v>0</v>
      </c>
      <c r="JO58" s="909">
        <v>0</v>
      </c>
      <c r="JP58" s="910">
        <v>2184.524972471519</v>
      </c>
      <c r="JQ58" s="909">
        <v>0</v>
      </c>
      <c r="JR58" s="909">
        <v>0</v>
      </c>
      <c r="JS58" s="909">
        <v>0</v>
      </c>
      <c r="JT58" s="910">
        <v>2380.6807331338341</v>
      </c>
      <c r="JU58" s="871">
        <v>2184.524972471519</v>
      </c>
      <c r="JV58" s="911">
        <v>160.13404411899927</v>
      </c>
      <c r="JW58" s="908">
        <v>49.316136551376665</v>
      </c>
      <c r="JX58" s="902">
        <v>298.3472144785564</v>
      </c>
      <c r="JY58" s="902">
        <v>3.6376576081790337</v>
      </c>
      <c r="JZ58" s="902">
        <v>9.3960883430717512</v>
      </c>
      <c r="KA58" s="902">
        <v>86.669601752947329</v>
      </c>
      <c r="KB58" s="902">
        <v>65.492909902260877</v>
      </c>
      <c r="KC58" s="902">
        <v>2312.5</v>
      </c>
      <c r="KD58" s="909" t="s">
        <v>1064</v>
      </c>
      <c r="KE58" s="909">
        <v>4</v>
      </c>
      <c r="KF58" s="909">
        <v>1</v>
      </c>
      <c r="KG58" s="909">
        <v>6</v>
      </c>
      <c r="KH58" s="909">
        <v>66.369911983502377</v>
      </c>
      <c r="KI58" s="910">
        <v>3599.204955034927</v>
      </c>
      <c r="KJ58" s="909">
        <v>1</v>
      </c>
      <c r="KK58" s="909">
        <v>6</v>
      </c>
      <c r="KL58" s="909">
        <v>93.861229660577678</v>
      </c>
      <c r="KM58" s="910">
        <v>3933.065905061806</v>
      </c>
      <c r="KN58" s="871">
        <v>3599.204955034927</v>
      </c>
      <c r="KO58" s="912">
        <v>263.8355030617065</v>
      </c>
    </row>
    <row r="59" spans="1:301" ht="15" customHeight="1">
      <c r="A59" s="924" t="s">
        <v>1546</v>
      </c>
      <c r="B59" s="888" t="s">
        <v>1083</v>
      </c>
      <c r="C59" s="888">
        <v>987</v>
      </c>
      <c r="D59" s="888">
        <v>1400</v>
      </c>
      <c r="E59" s="888">
        <v>900</v>
      </c>
      <c r="F59" s="888">
        <v>900</v>
      </c>
      <c r="G59" s="888">
        <v>513</v>
      </c>
      <c r="H59" s="888">
        <v>375</v>
      </c>
      <c r="I59" s="888">
        <v>277</v>
      </c>
      <c r="J59" s="888">
        <v>19.53</v>
      </c>
      <c r="K59" s="888">
        <v>30.08</v>
      </c>
      <c r="L59" s="888">
        <v>8</v>
      </c>
      <c r="M59" s="888">
        <v>542</v>
      </c>
      <c r="N59" s="888">
        <v>6</v>
      </c>
      <c r="O59" s="884">
        <v>42.541091520422789</v>
      </c>
      <c r="P59" s="888">
        <v>6</v>
      </c>
      <c r="Q59" s="884">
        <v>27.797596911056417</v>
      </c>
      <c r="R59" s="888">
        <v>20</v>
      </c>
      <c r="S59" s="888">
        <v>1099.3435636791919</v>
      </c>
      <c r="T59" s="906">
        <v>149.02406647047474</v>
      </c>
      <c r="U59" s="906">
        <v>164.90153455187877</v>
      </c>
      <c r="V59" s="906">
        <v>210</v>
      </c>
      <c r="W59" s="1141">
        <v>26.405201777737236</v>
      </c>
      <c r="X59" s="902">
        <v>0</v>
      </c>
      <c r="Y59" s="902">
        <v>0</v>
      </c>
      <c r="Z59" s="902">
        <v>0</v>
      </c>
      <c r="AA59" s="902">
        <v>0</v>
      </c>
      <c r="AB59" s="970">
        <v>48.729148170213932</v>
      </c>
      <c r="AC59" s="1045">
        <v>2403.8316249194258</v>
      </c>
      <c r="AD59" s="890">
        <v>0.42631953822766389</v>
      </c>
      <c r="AE59" s="890">
        <v>0.35470793990562921</v>
      </c>
      <c r="AF59" s="890">
        <v>-0.67299051816254984</v>
      </c>
      <c r="AG59" s="890">
        <v>0.78952696200721506</v>
      </c>
      <c r="AH59" s="888"/>
      <c r="AI59" s="907">
        <v>7.4543725141585364</v>
      </c>
      <c r="AJ59" s="908">
        <v>55.481288000000006</v>
      </c>
      <c r="AK59" s="902">
        <v>314.35933819045067</v>
      </c>
      <c r="AL59" s="902">
        <v>4.1967546628069794</v>
      </c>
      <c r="AM59" s="902">
        <v>8.9133388479524776</v>
      </c>
      <c r="AN59" s="902">
        <v>104.09494936699367</v>
      </c>
      <c r="AO59" s="902">
        <v>73.693624664227769</v>
      </c>
      <c r="AP59" s="1222">
        <v>1450</v>
      </c>
      <c r="AQ59" s="909" t="s">
        <v>1062</v>
      </c>
      <c r="AR59" s="909">
        <v>5</v>
      </c>
      <c r="AS59" s="909">
        <v>1</v>
      </c>
      <c r="AT59" s="909">
        <v>8</v>
      </c>
      <c r="AU59" s="909">
        <v>44.088639131537235</v>
      </c>
      <c r="AV59" s="910">
        <v>1725.6578832185633</v>
      </c>
      <c r="AW59" s="909">
        <v>1</v>
      </c>
      <c r="AX59" s="909">
        <v>8</v>
      </c>
      <c r="AY59" s="909">
        <v>66.101061759588461</v>
      </c>
      <c r="AZ59" s="910">
        <v>1828.34187342574</v>
      </c>
      <c r="BA59" s="871">
        <v>1725.6578832185633</v>
      </c>
      <c r="BB59" s="911">
        <v>126.49732966567086</v>
      </c>
      <c r="BC59" s="908">
        <v>88.77006080000001</v>
      </c>
      <c r="BD59" s="902">
        <v>350.92563436814049</v>
      </c>
      <c r="BE59" s="902">
        <v>5.2459433285087238</v>
      </c>
      <c r="BF59" s="902">
        <v>11.141673559940596</v>
      </c>
      <c r="BG59" s="902">
        <v>112.47457483541822</v>
      </c>
      <c r="BH59" s="902">
        <v>87.176000263890714</v>
      </c>
      <c r="BI59" s="902">
        <v>1812.5</v>
      </c>
      <c r="BJ59" s="909" t="s">
        <v>1062</v>
      </c>
      <c r="BK59" s="909">
        <v>8</v>
      </c>
      <c r="BL59" s="909">
        <v>1</v>
      </c>
      <c r="BM59" s="909">
        <v>10</v>
      </c>
      <c r="BN59" s="909">
        <v>44.088639131537235</v>
      </c>
      <c r="BO59" s="910">
        <v>2711.937440781152</v>
      </c>
      <c r="BP59" s="909">
        <v>1</v>
      </c>
      <c r="BQ59" s="909">
        <v>10</v>
      </c>
      <c r="BR59" s="909">
        <v>66.101061759588461</v>
      </c>
      <c r="BS59" s="910">
        <v>2337.5689260909812</v>
      </c>
      <c r="BT59" s="871">
        <v>2337.5689260909812</v>
      </c>
      <c r="BU59" s="911">
        <v>171.35275186090155</v>
      </c>
      <c r="BV59" s="908">
        <v>55.481288000000006</v>
      </c>
      <c r="BW59" s="902">
        <v>314.35933819045067</v>
      </c>
      <c r="BX59" s="902">
        <v>4.1967546628069794</v>
      </c>
      <c r="BY59" s="902">
        <v>8.9133388479524776</v>
      </c>
      <c r="BZ59" s="902">
        <v>104.09494936699367</v>
      </c>
      <c r="CA59" s="902">
        <v>73.693624664227769</v>
      </c>
      <c r="CB59" s="902">
        <v>1450</v>
      </c>
      <c r="CC59" s="909" t="s">
        <v>2874</v>
      </c>
      <c r="CD59" s="909">
        <v>5</v>
      </c>
      <c r="CE59" s="909">
        <v>1</v>
      </c>
      <c r="CF59" s="909">
        <v>8</v>
      </c>
      <c r="CG59" s="909">
        <v>44.088639131537235</v>
      </c>
      <c r="CH59" s="910">
        <v>1690.7925137987204</v>
      </c>
      <c r="CI59" s="909">
        <v>1</v>
      </c>
      <c r="CJ59" s="909">
        <v>8</v>
      </c>
      <c r="CK59" s="909">
        <v>66.101061759588461</v>
      </c>
      <c r="CL59" s="910">
        <v>1791.4018661029318</v>
      </c>
      <c r="CM59" s="871">
        <v>1690.7925137987204</v>
      </c>
      <c r="CN59" s="911">
        <v>123.94156460220917</v>
      </c>
      <c r="CO59" s="908">
        <v>88.77006080000001</v>
      </c>
      <c r="CP59" s="902">
        <v>350.92563436814049</v>
      </c>
      <c r="CQ59" s="902">
        <v>5.2459433285087238</v>
      </c>
      <c r="CR59" s="902">
        <v>11.141673559940596</v>
      </c>
      <c r="CS59" s="902">
        <v>112.47457483541822</v>
      </c>
      <c r="CT59" s="902">
        <v>87.176000263890714</v>
      </c>
      <c r="CU59" s="902">
        <v>1812.5</v>
      </c>
      <c r="CV59" s="909" t="s">
        <v>2874</v>
      </c>
      <c r="CW59" s="909">
        <v>8</v>
      </c>
      <c r="CX59" s="909">
        <v>1</v>
      </c>
      <c r="CY59" s="909">
        <v>10</v>
      </c>
      <c r="CZ59" s="909">
        <v>44.088639131537235</v>
      </c>
      <c r="DA59" s="910">
        <v>2657.145177705238</v>
      </c>
      <c r="DB59" s="909">
        <v>1</v>
      </c>
      <c r="DC59" s="909">
        <v>10</v>
      </c>
      <c r="DD59" s="909">
        <v>66.101061759588461</v>
      </c>
      <c r="DE59" s="910">
        <v>2290.3404430034193</v>
      </c>
      <c r="DF59" s="871">
        <v>2290.3404430034193</v>
      </c>
      <c r="DG59" s="911">
        <v>167.8907232323798</v>
      </c>
      <c r="DH59" s="908">
        <v>55.481288000000006</v>
      </c>
      <c r="DI59" s="902">
        <v>314.35933819045067</v>
      </c>
      <c r="DJ59" s="902">
        <v>4.1967546628069794</v>
      </c>
      <c r="DK59" s="902">
        <v>8.9133388479524776</v>
      </c>
      <c r="DL59" s="902">
        <v>104.09494936699367</v>
      </c>
      <c r="DM59" s="902">
        <v>73.693624664227769</v>
      </c>
      <c r="DN59" s="902">
        <v>1450</v>
      </c>
      <c r="DO59" s="909" t="s">
        <v>2875</v>
      </c>
      <c r="DP59" s="909">
        <v>5</v>
      </c>
      <c r="DQ59" s="909">
        <v>1</v>
      </c>
      <c r="DR59" s="909">
        <v>8</v>
      </c>
      <c r="DS59" s="909">
        <v>44.088639131537235</v>
      </c>
      <c r="DT59" s="910">
        <v>1759.8326440633343</v>
      </c>
      <c r="DU59" s="909">
        <v>1</v>
      </c>
      <c r="DV59" s="909">
        <v>8</v>
      </c>
      <c r="DW59" s="909">
        <v>66.101061759588461</v>
      </c>
      <c r="DX59" s="910">
        <v>1864.5501780233274</v>
      </c>
      <c r="DY59" s="871">
        <v>1759.8326440633343</v>
      </c>
      <c r="DZ59" s="911">
        <v>129.00247047652704</v>
      </c>
      <c r="EA59" s="908">
        <v>66.577545600000008</v>
      </c>
      <c r="EB59" s="902">
        <v>325.45559579045067</v>
      </c>
      <c r="EC59" s="902">
        <v>4.1967546628069794</v>
      </c>
      <c r="ED59" s="902">
        <v>8.9133388479524776</v>
      </c>
      <c r="EE59" s="902">
        <v>106.93860588707012</v>
      </c>
      <c r="EF59" s="902">
        <v>77.763411547469573</v>
      </c>
      <c r="EG59" s="902">
        <v>1812.5</v>
      </c>
      <c r="EH59" s="909" t="s">
        <v>2875</v>
      </c>
      <c r="EI59" s="909">
        <v>6</v>
      </c>
      <c r="EJ59" s="909">
        <v>1</v>
      </c>
      <c r="EK59" s="909">
        <v>8</v>
      </c>
      <c r="EL59" s="909">
        <v>44.088639131537235</v>
      </c>
      <c r="EM59" s="910">
        <v>2025.4013717801267</v>
      </c>
      <c r="EN59" s="909">
        <v>1</v>
      </c>
      <c r="EO59" s="909">
        <v>8</v>
      </c>
      <c r="EP59" s="909">
        <v>66.101061759588461</v>
      </c>
      <c r="EQ59" s="910">
        <v>2172.1914277423489</v>
      </c>
      <c r="ER59" s="871">
        <v>2025.4013717801267</v>
      </c>
      <c r="ES59" s="911">
        <v>148.46967497028649</v>
      </c>
      <c r="ET59" s="908">
        <v>88.77006080000001</v>
      </c>
      <c r="EU59" s="902">
        <v>339.78396080819988</v>
      </c>
      <c r="EV59" s="902">
        <v>5.2459433285087238</v>
      </c>
      <c r="EW59" s="902">
        <v>0</v>
      </c>
      <c r="EX59" s="902">
        <v>111.62118908185668</v>
      </c>
      <c r="EY59" s="902">
        <v>82.207772798261317</v>
      </c>
      <c r="EZ59" s="902">
        <v>1450</v>
      </c>
      <c r="FA59" s="909" t="s">
        <v>2877</v>
      </c>
      <c r="FB59" s="909">
        <v>8</v>
      </c>
      <c r="FC59" s="909">
        <v>1</v>
      </c>
      <c r="FD59" s="909">
        <v>10</v>
      </c>
      <c r="FE59" s="909">
        <v>44.088639131537235</v>
      </c>
      <c r="FF59" s="910">
        <v>3638.4458809880798</v>
      </c>
      <c r="FG59" s="909">
        <v>0</v>
      </c>
      <c r="FH59" s="909">
        <v>0</v>
      </c>
      <c r="FI59" s="909">
        <v>0</v>
      </c>
      <c r="FJ59" s="910">
        <v>1616.0082610069069</v>
      </c>
      <c r="FK59" s="871">
        <v>1616.0082610069069</v>
      </c>
      <c r="FL59" s="911">
        <v>118.45959255479336</v>
      </c>
      <c r="FM59" s="908">
        <v>66.577545600000008</v>
      </c>
      <c r="FN59" s="902">
        <v>325.45559579045067</v>
      </c>
      <c r="FO59" s="902">
        <v>4.1967546628069794</v>
      </c>
      <c r="FP59" s="902">
        <v>8.9133388479524776</v>
      </c>
      <c r="FQ59" s="902">
        <v>106.93860588707012</v>
      </c>
      <c r="FR59" s="902">
        <v>77.763411547469573</v>
      </c>
      <c r="FS59" s="902">
        <v>1812.5</v>
      </c>
      <c r="FT59" s="909" t="s">
        <v>3884</v>
      </c>
      <c r="FU59" s="909">
        <v>6</v>
      </c>
      <c r="FV59" s="909">
        <v>1</v>
      </c>
      <c r="FW59" s="909">
        <v>8</v>
      </c>
      <c r="FX59" s="909">
        <v>44.088639131537235</v>
      </c>
      <c r="FY59" s="910">
        <v>2157.4236428760987</v>
      </c>
      <c r="FZ59" s="909">
        <v>1</v>
      </c>
      <c r="GA59" s="909">
        <v>8</v>
      </c>
      <c r="GB59" s="909">
        <v>66.101061759588461</v>
      </c>
      <c r="GC59" s="910">
        <v>2313.7819537197738</v>
      </c>
      <c r="GD59" s="871">
        <v>2157.4236428760987</v>
      </c>
      <c r="GE59" s="911">
        <v>158.14741289994456</v>
      </c>
      <c r="GF59" s="908">
        <v>88.77006080000001</v>
      </c>
      <c r="GG59" s="902">
        <v>339.78396080819988</v>
      </c>
      <c r="GH59" s="902">
        <v>5.2459433285087238</v>
      </c>
      <c r="GI59" s="902">
        <v>0</v>
      </c>
      <c r="GJ59" s="902">
        <v>111.62118908185668</v>
      </c>
      <c r="GK59" s="902">
        <v>82.207772798261317</v>
      </c>
      <c r="GL59" s="902">
        <v>1450</v>
      </c>
      <c r="GM59" s="909" t="s">
        <v>2877</v>
      </c>
      <c r="GN59" s="909">
        <v>8</v>
      </c>
      <c r="GO59" s="909">
        <v>1</v>
      </c>
      <c r="GP59" s="909">
        <v>10</v>
      </c>
      <c r="GQ59" s="909">
        <v>44.088639131537235</v>
      </c>
      <c r="GR59" s="910">
        <v>3638.4458809880798</v>
      </c>
      <c r="GS59" s="909">
        <v>0</v>
      </c>
      <c r="GT59" s="909">
        <v>0</v>
      </c>
      <c r="GU59" s="909">
        <v>0</v>
      </c>
      <c r="GV59" s="910">
        <v>1616.0082610069069</v>
      </c>
      <c r="GW59" s="871">
        <v>1616.0082610069069</v>
      </c>
      <c r="GX59" s="911">
        <v>118.45959255479336</v>
      </c>
      <c r="GY59" s="908">
        <v>44.385030400000005</v>
      </c>
      <c r="GZ59" s="902">
        <v>299.98555721276074</v>
      </c>
      <c r="HA59" s="902">
        <v>3.1475659971052345</v>
      </c>
      <c r="HB59" s="902">
        <v>6.6850041359643582</v>
      </c>
      <c r="HC59" s="902">
        <v>100.46258273085019</v>
      </c>
      <c r="HD59" s="902">
        <v>68.350822831048433</v>
      </c>
      <c r="HE59" s="902">
        <v>1812.5</v>
      </c>
      <c r="HF59" s="909" t="s">
        <v>2877</v>
      </c>
      <c r="HG59" s="909">
        <v>4</v>
      </c>
      <c r="HH59" s="909">
        <v>1</v>
      </c>
      <c r="HI59" s="909">
        <v>6</v>
      </c>
      <c r="HJ59" s="909">
        <v>44.088639131537235</v>
      </c>
      <c r="HK59" s="910">
        <v>2000.1088110528249</v>
      </c>
      <c r="HL59" s="909">
        <v>1</v>
      </c>
      <c r="HM59" s="909">
        <v>6</v>
      </c>
      <c r="HN59" s="909">
        <v>66.101061759588461</v>
      </c>
      <c r="HO59" s="910">
        <v>2102.8858958070937</v>
      </c>
      <c r="HP59" s="871">
        <v>2000.1088110528249</v>
      </c>
      <c r="HQ59" s="911">
        <v>146.61563343428799</v>
      </c>
      <c r="HR59" s="908">
        <v>44.385030400000005</v>
      </c>
      <c r="HS59" s="902">
        <v>299.98555721276074</v>
      </c>
      <c r="HT59" s="902">
        <v>3.1475659971052345</v>
      </c>
      <c r="HU59" s="902">
        <v>6.6850041359643582</v>
      </c>
      <c r="HV59" s="902">
        <v>100.46258273085019</v>
      </c>
      <c r="HW59" s="902">
        <v>68.350822831048433</v>
      </c>
      <c r="HX59" s="902">
        <v>1450</v>
      </c>
      <c r="HY59" s="909" t="s">
        <v>1063</v>
      </c>
      <c r="HZ59" s="909">
        <v>4</v>
      </c>
      <c r="IA59" s="909">
        <v>1</v>
      </c>
      <c r="IB59" s="909">
        <v>6</v>
      </c>
      <c r="IC59" s="909">
        <v>44.088639131537235</v>
      </c>
      <c r="ID59" s="910">
        <v>1763.9301697049502</v>
      </c>
      <c r="IE59" s="909">
        <v>1</v>
      </c>
      <c r="IF59" s="909">
        <v>6</v>
      </c>
      <c r="IG59" s="909">
        <v>66.101061759588461</v>
      </c>
      <c r="IH59" s="910">
        <v>1854.571038616951</v>
      </c>
      <c r="II59" s="871">
        <v>1763.9301697049502</v>
      </c>
      <c r="IJ59" s="911">
        <v>129.30283479377761</v>
      </c>
      <c r="IK59" s="908">
        <v>55.481288000000006</v>
      </c>
      <c r="IL59" s="902">
        <v>314.35933819045067</v>
      </c>
      <c r="IM59" s="902">
        <v>4.1967546628069794</v>
      </c>
      <c r="IN59" s="902">
        <v>8.9133388479524776</v>
      </c>
      <c r="IO59" s="902">
        <v>104.09494936699367</v>
      </c>
      <c r="IP59" s="902">
        <v>73.693624664227769</v>
      </c>
      <c r="IQ59" s="902">
        <v>1812.5</v>
      </c>
      <c r="IR59" s="909" t="s">
        <v>1063</v>
      </c>
      <c r="IS59" s="909">
        <v>5</v>
      </c>
      <c r="IT59" s="909">
        <v>1</v>
      </c>
      <c r="IU59" s="909">
        <v>8</v>
      </c>
      <c r="IV59" s="909">
        <v>44.088639131537235</v>
      </c>
      <c r="IW59" s="910">
        <v>2041.8259430911642</v>
      </c>
      <c r="IX59" s="909">
        <v>1</v>
      </c>
      <c r="IY59" s="909">
        <v>8</v>
      </c>
      <c r="IZ59" s="909">
        <v>66.101061759588461</v>
      </c>
      <c r="JA59" s="910">
        <v>2163.3232787936995</v>
      </c>
      <c r="JB59" s="871">
        <v>2041.8259430911642</v>
      </c>
      <c r="JC59" s="911">
        <v>149.67365893023256</v>
      </c>
      <c r="JD59" s="908">
        <v>44.385030400000005</v>
      </c>
      <c r="JE59" s="902">
        <v>299.98555721276074</v>
      </c>
      <c r="JF59" s="902">
        <v>3.1475659971052345</v>
      </c>
      <c r="JG59" s="902">
        <v>6.6850041359643582</v>
      </c>
      <c r="JH59" s="902">
        <v>100.46258273085019</v>
      </c>
      <c r="JI59" s="902">
        <v>68.350822831048433</v>
      </c>
      <c r="JJ59" s="902">
        <v>1450</v>
      </c>
      <c r="JK59" s="909" t="s">
        <v>1064</v>
      </c>
      <c r="JL59" s="909">
        <v>4</v>
      </c>
      <c r="JM59" s="909">
        <v>1</v>
      </c>
      <c r="JN59" s="909">
        <v>6</v>
      </c>
      <c r="JO59" s="909">
        <v>44.088639131537235</v>
      </c>
      <c r="JP59" s="910">
        <v>2403.8316249194258</v>
      </c>
      <c r="JQ59" s="909">
        <v>1</v>
      </c>
      <c r="JR59" s="909">
        <v>6</v>
      </c>
      <c r="JS59" s="909">
        <v>66.101061759588461</v>
      </c>
      <c r="JT59" s="910">
        <v>2527.3543079275</v>
      </c>
      <c r="JU59" s="871">
        <v>2403.8316249194258</v>
      </c>
      <c r="JV59" s="911">
        <v>176.21006137731928</v>
      </c>
      <c r="JW59" s="908">
        <v>44.385030400000005</v>
      </c>
      <c r="JX59" s="902">
        <v>299.98555721276074</v>
      </c>
      <c r="JY59" s="902">
        <v>3.1475659971052345</v>
      </c>
      <c r="JZ59" s="902">
        <v>6.6850041359643582</v>
      </c>
      <c r="KA59" s="902">
        <v>100.46258273085019</v>
      </c>
      <c r="KB59" s="902">
        <v>68.350822831048433</v>
      </c>
      <c r="KC59" s="902">
        <v>1812.5</v>
      </c>
      <c r="KD59" s="909" t="s">
        <v>1064</v>
      </c>
      <c r="KE59" s="909">
        <v>4</v>
      </c>
      <c r="KF59" s="909">
        <v>1</v>
      </c>
      <c r="KG59" s="909">
        <v>6</v>
      </c>
      <c r="KH59" s="909">
        <v>44.088639131537235</v>
      </c>
      <c r="KI59" s="910">
        <v>2403.8316249194258</v>
      </c>
      <c r="KJ59" s="909">
        <v>1</v>
      </c>
      <c r="KK59" s="909">
        <v>6</v>
      </c>
      <c r="KL59" s="909">
        <v>66.101061759588461</v>
      </c>
      <c r="KM59" s="910">
        <v>2527.3543079275</v>
      </c>
      <c r="KN59" s="871">
        <v>2403.8316249194258</v>
      </c>
      <c r="KO59" s="912">
        <v>176.21006137731928</v>
      </c>
    </row>
    <row r="60" spans="1:301" ht="15" customHeight="1">
      <c r="A60" s="924" t="s">
        <v>1547</v>
      </c>
      <c r="B60" s="888" t="s">
        <v>1075</v>
      </c>
      <c r="C60" s="888">
        <v>435</v>
      </c>
      <c r="D60" s="888">
        <v>1600</v>
      </c>
      <c r="E60" s="888">
        <v>450</v>
      </c>
      <c r="F60" s="888">
        <v>352.49931151148024</v>
      </c>
      <c r="G60" s="888">
        <v>178.65105832656877</v>
      </c>
      <c r="H60" s="888">
        <v>144.74621840115489</v>
      </c>
      <c r="I60" s="888">
        <v>100</v>
      </c>
      <c r="J60" s="888">
        <v>35.799999999999997</v>
      </c>
      <c r="K60" s="888">
        <v>51.27</v>
      </c>
      <c r="L60" s="888">
        <v>12</v>
      </c>
      <c r="M60" s="888">
        <v>864.12839440824587</v>
      </c>
      <c r="N60" s="888">
        <v>6</v>
      </c>
      <c r="O60" s="884">
        <v>87.209237616866716</v>
      </c>
      <c r="P60" s="888">
        <v>6</v>
      </c>
      <c r="Q60" s="884">
        <v>59.444206415719101</v>
      </c>
      <c r="R60" s="888">
        <v>20</v>
      </c>
      <c r="S60" s="888">
        <v>976.24965575574015</v>
      </c>
      <c r="T60" s="906">
        <v>117.51987511363876</v>
      </c>
      <c r="U60" s="906">
        <v>146.43744836336103</v>
      </c>
      <c r="V60" s="906">
        <v>85</v>
      </c>
      <c r="W60" s="1141">
        <v>8.4283785433062803</v>
      </c>
      <c r="X60" s="902">
        <v>234.99954100765348</v>
      </c>
      <c r="Y60" s="902">
        <v>31.483968617342626</v>
      </c>
      <c r="Z60" s="902">
        <v>6</v>
      </c>
      <c r="AA60" s="902">
        <v>2.1149545477711871</v>
      </c>
      <c r="AB60" s="970">
        <v>53.659487132809424</v>
      </c>
      <c r="AC60" s="1045">
        <v>4000</v>
      </c>
      <c r="AD60" s="890">
        <v>0.2529240187945424</v>
      </c>
      <c r="AE60" s="890">
        <v>0.72122274633842753</v>
      </c>
      <c r="AF60" s="890">
        <v>-0.29586445653518195</v>
      </c>
      <c r="AG60" s="890">
        <v>1.4995238002187108</v>
      </c>
      <c r="AH60" s="888"/>
      <c r="AI60" s="907">
        <v>10.283149139185866</v>
      </c>
      <c r="AJ60" s="908">
        <v>59.767683495990013</v>
      </c>
      <c r="AK60" s="902">
        <v>334.48433573329203</v>
      </c>
      <c r="AL60" s="902">
        <v>0</v>
      </c>
      <c r="AM60" s="902">
        <v>0</v>
      </c>
      <c r="AN60" s="902">
        <v>55.888451211941252</v>
      </c>
      <c r="AO60" s="902">
        <v>90.772785302953451</v>
      </c>
      <c r="AP60" s="1222">
        <v>2800</v>
      </c>
      <c r="AQ60" s="909" t="s">
        <v>1062</v>
      </c>
      <c r="AR60" s="909">
        <v>6</v>
      </c>
      <c r="AS60" s="909">
        <v>0</v>
      </c>
      <c r="AT60" s="909">
        <v>0</v>
      </c>
      <c r="AU60" s="909">
        <v>0</v>
      </c>
      <c r="AV60" s="910">
        <v>3736.8324085190989</v>
      </c>
      <c r="AW60" s="909">
        <v>0</v>
      </c>
      <c r="AX60" s="909">
        <v>0</v>
      </c>
      <c r="AY60" s="909">
        <v>0</v>
      </c>
      <c r="AZ60" s="910">
        <v>3602.1410231314458</v>
      </c>
      <c r="BA60" s="871">
        <v>3602.1410231314458</v>
      </c>
      <c r="BB60" s="911">
        <v>301.77226067904456</v>
      </c>
      <c r="BC60" s="908">
        <v>59.767683495990013</v>
      </c>
      <c r="BD60" s="902">
        <v>334.48433573329203</v>
      </c>
      <c r="BE60" s="902">
        <v>0</v>
      </c>
      <c r="BF60" s="902">
        <v>0</v>
      </c>
      <c r="BG60" s="902">
        <v>55.888451211941252</v>
      </c>
      <c r="BH60" s="902">
        <v>90.772785302953451</v>
      </c>
      <c r="BI60" s="902">
        <v>3500</v>
      </c>
      <c r="BJ60" s="909" t="s">
        <v>1062</v>
      </c>
      <c r="BK60" s="909">
        <v>6</v>
      </c>
      <c r="BL60" s="909">
        <v>0</v>
      </c>
      <c r="BM60" s="909">
        <v>0</v>
      </c>
      <c r="BN60" s="909">
        <v>0</v>
      </c>
      <c r="BO60" s="910">
        <v>3736.8324085190989</v>
      </c>
      <c r="BP60" s="909">
        <v>0</v>
      </c>
      <c r="BQ60" s="909">
        <v>0</v>
      </c>
      <c r="BR60" s="909">
        <v>0</v>
      </c>
      <c r="BS60" s="910">
        <v>3602.1410231314458</v>
      </c>
      <c r="BT60" s="871">
        <v>3602.1410231314458</v>
      </c>
      <c r="BU60" s="911">
        <v>301.77226067904456</v>
      </c>
      <c r="BV60" s="908">
        <v>59.767683495990013</v>
      </c>
      <c r="BW60" s="902">
        <v>334.48433573329203</v>
      </c>
      <c r="BX60" s="902">
        <v>0</v>
      </c>
      <c r="BY60" s="902">
        <v>0</v>
      </c>
      <c r="BZ60" s="902">
        <v>55.888451211941252</v>
      </c>
      <c r="CA60" s="902">
        <v>90.772785302953451</v>
      </c>
      <c r="CB60" s="902">
        <v>2800</v>
      </c>
      <c r="CC60" s="909" t="s">
        <v>2874</v>
      </c>
      <c r="CD60" s="909">
        <v>6</v>
      </c>
      <c r="CE60" s="909">
        <v>0</v>
      </c>
      <c r="CF60" s="909">
        <v>0</v>
      </c>
      <c r="CG60" s="909">
        <v>0</v>
      </c>
      <c r="CH60" s="910">
        <v>3661.3330620669171</v>
      </c>
      <c r="CI60" s="909">
        <v>0</v>
      </c>
      <c r="CJ60" s="909">
        <v>0</v>
      </c>
      <c r="CK60" s="909">
        <v>0</v>
      </c>
      <c r="CL60" s="910">
        <v>3529.3629952875913</v>
      </c>
      <c r="CM60" s="871">
        <v>3529.3629952875913</v>
      </c>
      <c r="CN60" s="911">
        <v>295.67522287592436</v>
      </c>
      <c r="CO60" s="908">
        <v>79.690244661320023</v>
      </c>
      <c r="CP60" s="902">
        <v>354.40689689862205</v>
      </c>
      <c r="CQ60" s="902">
        <v>0</v>
      </c>
      <c r="CR60" s="902">
        <v>0</v>
      </c>
      <c r="CS60" s="902">
        <v>56.815116606836469</v>
      </c>
      <c r="CT60" s="902">
        <v>97.619235705422753</v>
      </c>
      <c r="CU60" s="902">
        <v>3500</v>
      </c>
      <c r="CV60" s="909" t="s">
        <v>2874</v>
      </c>
      <c r="CW60" s="909">
        <v>8</v>
      </c>
      <c r="CX60" s="909">
        <v>0</v>
      </c>
      <c r="CY60" s="909">
        <v>0</v>
      </c>
      <c r="CZ60" s="909">
        <v>0</v>
      </c>
      <c r="DA60" s="910">
        <v>5400.7428910634389</v>
      </c>
      <c r="DB60" s="909">
        <v>0</v>
      </c>
      <c r="DC60" s="909">
        <v>0</v>
      </c>
      <c r="DD60" s="909">
        <v>0</v>
      </c>
      <c r="DE60" s="910">
        <v>7386.6420242818849</v>
      </c>
      <c r="DF60" s="871">
        <v>4000</v>
      </c>
      <c r="DG60" s="911">
        <v>335.10321638291128</v>
      </c>
      <c r="DH60" s="908">
        <v>59.767683495990013</v>
      </c>
      <c r="DI60" s="902">
        <v>334.48433573329203</v>
      </c>
      <c r="DJ60" s="902">
        <v>0</v>
      </c>
      <c r="DK60" s="902">
        <v>0</v>
      </c>
      <c r="DL60" s="902">
        <v>55.888451211941252</v>
      </c>
      <c r="DM60" s="902">
        <v>90.772785302953451</v>
      </c>
      <c r="DN60" s="902">
        <v>2800</v>
      </c>
      <c r="DO60" s="909" t="s">
        <v>2875</v>
      </c>
      <c r="DP60" s="909">
        <v>6</v>
      </c>
      <c r="DQ60" s="909">
        <v>0</v>
      </c>
      <c r="DR60" s="909">
        <v>0</v>
      </c>
      <c r="DS60" s="909">
        <v>0</v>
      </c>
      <c r="DT60" s="910">
        <v>3810.8362740129623</v>
      </c>
      <c r="DU60" s="909">
        <v>0</v>
      </c>
      <c r="DV60" s="909">
        <v>0</v>
      </c>
      <c r="DW60" s="909">
        <v>0</v>
      </c>
      <c r="DX60" s="910">
        <v>3673.4774735320639</v>
      </c>
      <c r="DY60" s="871">
        <v>3673.4774735320639</v>
      </c>
      <c r="DZ60" s="911">
        <v>307.74852917269135</v>
      </c>
      <c r="EA60" s="908">
        <v>59.767683495990013</v>
      </c>
      <c r="EB60" s="902">
        <v>334.48433573329203</v>
      </c>
      <c r="EC60" s="902">
        <v>0</v>
      </c>
      <c r="ED60" s="902">
        <v>0</v>
      </c>
      <c r="EE60" s="902">
        <v>55.888451211941252</v>
      </c>
      <c r="EF60" s="902">
        <v>90.772785302953451</v>
      </c>
      <c r="EG60" s="902">
        <v>3500</v>
      </c>
      <c r="EH60" s="909" t="s">
        <v>2875</v>
      </c>
      <c r="EI60" s="909">
        <v>6</v>
      </c>
      <c r="EJ60" s="909">
        <v>0</v>
      </c>
      <c r="EK60" s="909">
        <v>0</v>
      </c>
      <c r="EL60" s="909">
        <v>0</v>
      </c>
      <c r="EM60" s="910">
        <v>3810.8362740129623</v>
      </c>
      <c r="EN60" s="909">
        <v>0</v>
      </c>
      <c r="EO60" s="909">
        <v>0</v>
      </c>
      <c r="EP60" s="909">
        <v>0</v>
      </c>
      <c r="EQ60" s="910">
        <v>3673.4774735320639</v>
      </c>
      <c r="ER60" s="871">
        <v>3673.4774735320639</v>
      </c>
      <c r="ES60" s="911">
        <v>307.74852917269135</v>
      </c>
      <c r="ET60" s="908">
        <v>49.806402913325016</v>
      </c>
      <c r="EU60" s="902">
        <v>324.52305515062704</v>
      </c>
      <c r="EV60" s="902">
        <v>0</v>
      </c>
      <c r="EW60" s="902">
        <v>0</v>
      </c>
      <c r="EX60" s="902">
        <v>55.382452328571134</v>
      </c>
      <c r="EY60" s="902">
        <v>87.349560101718808</v>
      </c>
      <c r="EZ60" s="902">
        <v>2800</v>
      </c>
      <c r="FA60" s="909" t="s">
        <v>3884</v>
      </c>
      <c r="FB60" s="909">
        <v>5</v>
      </c>
      <c r="FC60" s="909">
        <v>0</v>
      </c>
      <c r="FD60" s="909">
        <v>0</v>
      </c>
      <c r="FE60" s="909">
        <v>0</v>
      </c>
      <c r="FF60" s="910">
        <v>3496.8413584272794</v>
      </c>
      <c r="FG60" s="909">
        <v>0</v>
      </c>
      <c r="FH60" s="909">
        <v>0</v>
      </c>
      <c r="FI60" s="909">
        <v>0</v>
      </c>
      <c r="FJ60" s="910">
        <v>3233.7702764079345</v>
      </c>
      <c r="FK60" s="871">
        <v>3233.7702764079345</v>
      </c>
      <c r="FL60" s="911">
        <v>270.9117051669387</v>
      </c>
      <c r="FM60" s="908">
        <v>59.767683495990013</v>
      </c>
      <c r="FN60" s="902">
        <v>334.48433573329203</v>
      </c>
      <c r="FO60" s="902">
        <v>0</v>
      </c>
      <c r="FP60" s="902">
        <v>0</v>
      </c>
      <c r="FQ60" s="902">
        <v>55.888451211941252</v>
      </c>
      <c r="FR60" s="902">
        <v>90.772785302953451</v>
      </c>
      <c r="FS60" s="902">
        <v>3500</v>
      </c>
      <c r="FT60" s="909" t="s">
        <v>3884</v>
      </c>
      <c r="FU60" s="909">
        <v>6</v>
      </c>
      <c r="FV60" s="909">
        <v>0</v>
      </c>
      <c r="FW60" s="909">
        <v>0</v>
      </c>
      <c r="FX60" s="909">
        <v>0</v>
      </c>
      <c r="FY60" s="910">
        <v>4059.2390186145985</v>
      </c>
      <c r="FZ60" s="909">
        <v>0</v>
      </c>
      <c r="GA60" s="909">
        <v>0</v>
      </c>
      <c r="GB60" s="909">
        <v>0</v>
      </c>
      <c r="GC60" s="910">
        <v>3912.9267232624256</v>
      </c>
      <c r="GD60" s="871">
        <v>3912.9267232624256</v>
      </c>
      <c r="GE60" s="911">
        <v>327.80858260897111</v>
      </c>
      <c r="GF60" s="908">
        <v>39.845122330660011</v>
      </c>
      <c r="GG60" s="902">
        <v>314.561774567962</v>
      </c>
      <c r="GH60" s="902">
        <v>0</v>
      </c>
      <c r="GI60" s="902">
        <v>0</v>
      </c>
      <c r="GJ60" s="902">
        <v>54.844406341838344</v>
      </c>
      <c r="GK60" s="902">
        <v>83.926334900484164</v>
      </c>
      <c r="GL60" s="902">
        <v>2800</v>
      </c>
      <c r="GM60" s="909" t="s">
        <v>2877</v>
      </c>
      <c r="GN60" s="909">
        <v>4</v>
      </c>
      <c r="GO60" s="909">
        <v>0</v>
      </c>
      <c r="GP60" s="909">
        <v>0</v>
      </c>
      <c r="GQ60" s="909">
        <v>0</v>
      </c>
      <c r="GR60" s="910">
        <v>3710.7569434951488</v>
      </c>
      <c r="GS60" s="909">
        <v>0</v>
      </c>
      <c r="GT60" s="909">
        <v>0</v>
      </c>
      <c r="GU60" s="909">
        <v>0</v>
      </c>
      <c r="GV60" s="910">
        <v>3349.0772274568021</v>
      </c>
      <c r="GW60" s="871">
        <v>3349.0772274568021</v>
      </c>
      <c r="GX60" s="911">
        <v>280.57163770888434</v>
      </c>
      <c r="GY60" s="908">
        <v>49.806402913325016</v>
      </c>
      <c r="GZ60" s="902">
        <v>324.52305515062704</v>
      </c>
      <c r="HA60" s="902">
        <v>0</v>
      </c>
      <c r="HB60" s="902">
        <v>0</v>
      </c>
      <c r="HC60" s="902">
        <v>55.382452328571134</v>
      </c>
      <c r="HD60" s="902">
        <v>87.349560101718808</v>
      </c>
      <c r="HE60" s="902">
        <v>3500</v>
      </c>
      <c r="HF60" s="909" t="s">
        <v>2877</v>
      </c>
      <c r="HG60" s="909">
        <v>5</v>
      </c>
      <c r="HH60" s="909">
        <v>0</v>
      </c>
      <c r="HI60" s="909">
        <v>0</v>
      </c>
      <c r="HJ60" s="909">
        <v>0</v>
      </c>
      <c r="HK60" s="910">
        <v>4318.8804138923597</v>
      </c>
      <c r="HL60" s="909">
        <v>0</v>
      </c>
      <c r="HM60" s="909">
        <v>0</v>
      </c>
      <c r="HN60" s="909">
        <v>0</v>
      </c>
      <c r="HO60" s="910">
        <v>3993.9664623753183</v>
      </c>
      <c r="HP60" s="871">
        <v>3993.9664623753183</v>
      </c>
      <c r="HQ60" s="911">
        <v>334.59775191686174</v>
      </c>
      <c r="HR60" s="908">
        <v>49.806402913325016</v>
      </c>
      <c r="HS60" s="902">
        <v>324.52305515062704</v>
      </c>
      <c r="HT60" s="902">
        <v>0</v>
      </c>
      <c r="HU60" s="902">
        <v>0</v>
      </c>
      <c r="HV60" s="902">
        <v>55.382452328571134</v>
      </c>
      <c r="HW60" s="902">
        <v>87.349560101718808</v>
      </c>
      <c r="HX60" s="902">
        <v>2800</v>
      </c>
      <c r="HY60" s="909" t="s">
        <v>1063</v>
      </c>
      <c r="HZ60" s="909">
        <v>5</v>
      </c>
      <c r="IA60" s="909">
        <v>0</v>
      </c>
      <c r="IB60" s="909">
        <v>0</v>
      </c>
      <c r="IC60" s="909">
        <v>0</v>
      </c>
      <c r="ID60" s="910">
        <v>3808.8945057956303</v>
      </c>
      <c r="IE60" s="909">
        <v>0</v>
      </c>
      <c r="IF60" s="909">
        <v>0</v>
      </c>
      <c r="IG60" s="909">
        <v>0</v>
      </c>
      <c r="IH60" s="910">
        <v>3522.3473347258346</v>
      </c>
      <c r="II60" s="871">
        <v>3522.3473347258346</v>
      </c>
      <c r="IJ60" s="911">
        <v>295.0874802711005</v>
      </c>
      <c r="IK60" s="908">
        <v>59.767683495990013</v>
      </c>
      <c r="IL60" s="902">
        <v>334.48433573329203</v>
      </c>
      <c r="IM60" s="902">
        <v>0</v>
      </c>
      <c r="IN60" s="902">
        <v>0</v>
      </c>
      <c r="IO60" s="902">
        <v>55.888451211941252</v>
      </c>
      <c r="IP60" s="902">
        <v>90.772785302953451</v>
      </c>
      <c r="IQ60" s="902">
        <v>3500</v>
      </c>
      <c r="IR60" s="909" t="s">
        <v>1063</v>
      </c>
      <c r="IS60" s="909">
        <v>6</v>
      </c>
      <c r="IT60" s="909">
        <v>0</v>
      </c>
      <c r="IU60" s="909">
        <v>0</v>
      </c>
      <c r="IV60" s="909">
        <v>0</v>
      </c>
      <c r="IW60" s="910">
        <v>4421.4797329742578</v>
      </c>
      <c r="IX60" s="909">
        <v>0</v>
      </c>
      <c r="IY60" s="909">
        <v>0</v>
      </c>
      <c r="IZ60" s="909">
        <v>0</v>
      </c>
      <c r="JA60" s="910">
        <v>4262.110736564342</v>
      </c>
      <c r="JB60" s="871">
        <v>4000</v>
      </c>
      <c r="JC60" s="911">
        <v>335.10321638291128</v>
      </c>
      <c r="JD60" s="908">
        <v>39.845122330660011</v>
      </c>
      <c r="JE60" s="902">
        <v>314.561774567962</v>
      </c>
      <c r="JF60" s="902">
        <v>0</v>
      </c>
      <c r="JG60" s="902">
        <v>0</v>
      </c>
      <c r="JH60" s="902">
        <v>54.844406341838344</v>
      </c>
      <c r="JI60" s="902">
        <v>83.926334900484164</v>
      </c>
      <c r="JJ60" s="902">
        <v>2800</v>
      </c>
      <c r="JK60" s="909" t="s">
        <v>1064</v>
      </c>
      <c r="JL60" s="909">
        <v>4</v>
      </c>
      <c r="JM60" s="909">
        <v>0</v>
      </c>
      <c r="JN60" s="909">
        <v>0</v>
      </c>
      <c r="JO60" s="909">
        <v>0</v>
      </c>
      <c r="JP60" s="910">
        <v>4459.774810185263</v>
      </c>
      <c r="JQ60" s="909">
        <v>0</v>
      </c>
      <c r="JR60" s="909">
        <v>0</v>
      </c>
      <c r="JS60" s="909">
        <v>0</v>
      </c>
      <c r="JT60" s="910">
        <v>4025.0898896947583</v>
      </c>
      <c r="JU60" s="871">
        <v>4000</v>
      </c>
      <c r="JV60" s="911">
        <v>335.10321638291128</v>
      </c>
      <c r="JW60" s="908">
        <v>39.845122330660011</v>
      </c>
      <c r="JX60" s="902">
        <v>314.561774567962</v>
      </c>
      <c r="JY60" s="902">
        <v>0</v>
      </c>
      <c r="JZ60" s="902">
        <v>0</v>
      </c>
      <c r="KA60" s="902">
        <v>54.844406341838344</v>
      </c>
      <c r="KB60" s="902">
        <v>83.926334900484164</v>
      </c>
      <c r="KC60" s="902">
        <v>3500</v>
      </c>
      <c r="KD60" s="909" t="s">
        <v>1064</v>
      </c>
      <c r="KE60" s="909">
        <v>4</v>
      </c>
      <c r="KF60" s="909">
        <v>0</v>
      </c>
      <c r="KG60" s="909">
        <v>0</v>
      </c>
      <c r="KH60" s="909">
        <v>0</v>
      </c>
      <c r="KI60" s="910">
        <v>4459.774810185263</v>
      </c>
      <c r="KJ60" s="909">
        <v>0</v>
      </c>
      <c r="KK60" s="909">
        <v>0</v>
      </c>
      <c r="KL60" s="909">
        <v>0</v>
      </c>
      <c r="KM60" s="910">
        <v>4025.0898896947583</v>
      </c>
      <c r="KN60" s="871">
        <v>4000</v>
      </c>
      <c r="KO60" s="912">
        <v>335.10321638291128</v>
      </c>
    </row>
    <row r="61" spans="1:301" ht="15" customHeight="1">
      <c r="A61" s="924" t="s">
        <v>1548</v>
      </c>
      <c r="B61" s="888" t="s">
        <v>1078</v>
      </c>
      <c r="C61" s="888">
        <v>574.5</v>
      </c>
      <c r="D61" s="888">
        <v>1600</v>
      </c>
      <c r="E61" s="888">
        <v>560</v>
      </c>
      <c r="F61" s="888">
        <v>560</v>
      </c>
      <c r="G61" s="888">
        <v>339</v>
      </c>
      <c r="H61" s="888">
        <v>212</v>
      </c>
      <c r="I61" s="888">
        <v>150</v>
      </c>
      <c r="J61" s="888">
        <v>33</v>
      </c>
      <c r="K61" s="888">
        <v>38</v>
      </c>
      <c r="L61" s="888">
        <v>12</v>
      </c>
      <c r="M61" s="888">
        <v>681</v>
      </c>
      <c r="N61" s="888">
        <v>6</v>
      </c>
      <c r="O61" s="884">
        <v>83.099398253458915</v>
      </c>
      <c r="P61" s="888">
        <v>6</v>
      </c>
      <c r="Q61" s="884">
        <v>54.273344514712321</v>
      </c>
      <c r="R61" s="888">
        <v>20</v>
      </c>
      <c r="S61" s="888">
        <v>1045.3925962192391</v>
      </c>
      <c r="T61" s="906">
        <v>134.75608145032803</v>
      </c>
      <c r="U61" s="906">
        <v>156.80888943288585</v>
      </c>
      <c r="V61" s="906">
        <v>135</v>
      </c>
      <c r="W61" s="1141">
        <v>15.349559902701424</v>
      </c>
      <c r="X61" s="902">
        <v>373.33333333333331</v>
      </c>
      <c r="Y61" s="902">
        <v>50.017182587142898</v>
      </c>
      <c r="Z61" s="902">
        <v>6</v>
      </c>
      <c r="AA61" s="902">
        <v>5.3377784783699225</v>
      </c>
      <c r="AB61" s="970">
        <v>70.729245020007625</v>
      </c>
      <c r="AC61" s="1045">
        <v>3687.3102532612788</v>
      </c>
      <c r="AD61" s="890">
        <v>9.2111446037775435E-2</v>
      </c>
      <c r="AE61" s="890">
        <v>0.64940759319751062</v>
      </c>
      <c r="AF61" s="890">
        <v>-0.24396724608669773</v>
      </c>
      <c r="AG61" s="890">
        <v>1.4702890129443984</v>
      </c>
      <c r="AH61" s="888"/>
      <c r="AI61" s="907">
        <v>10.482299472832134</v>
      </c>
      <c r="AJ61" s="908">
        <v>69.667117200000007</v>
      </c>
      <c r="AK61" s="902">
        <v>362.4832797995706</v>
      </c>
      <c r="AL61" s="902">
        <v>0</v>
      </c>
      <c r="AM61" s="902">
        <v>0</v>
      </c>
      <c r="AN61" s="902">
        <v>76.366979823456717</v>
      </c>
      <c r="AO61" s="902">
        <v>98.299952695534841</v>
      </c>
      <c r="AP61" s="1222">
        <v>2500</v>
      </c>
      <c r="AQ61" s="909" t="s">
        <v>1064</v>
      </c>
      <c r="AR61" s="909">
        <v>6</v>
      </c>
      <c r="AS61" s="909">
        <v>0</v>
      </c>
      <c r="AT61" s="909">
        <v>0</v>
      </c>
      <c r="AU61" s="909">
        <v>0</v>
      </c>
      <c r="AV61" s="910">
        <v>3477.4435632581481</v>
      </c>
      <c r="AW61" s="909">
        <v>0</v>
      </c>
      <c r="AX61" s="909">
        <v>0</v>
      </c>
      <c r="AY61" s="909">
        <v>0</v>
      </c>
      <c r="AZ61" s="910">
        <v>3050.9499129701799</v>
      </c>
      <c r="BA61" s="871">
        <v>3050.9499129701799</v>
      </c>
      <c r="BB61" s="911">
        <v>255.59578221486763</v>
      </c>
      <c r="BC61" s="908">
        <v>69.667117200000007</v>
      </c>
      <c r="BD61" s="902">
        <v>383.14021948698121</v>
      </c>
      <c r="BE61" s="902">
        <v>0</v>
      </c>
      <c r="BF61" s="902">
        <v>20.656939687410642</v>
      </c>
      <c r="BG61" s="902">
        <v>76.293279339062622</v>
      </c>
      <c r="BH61" s="902">
        <v>109.45409445354929</v>
      </c>
      <c r="BI61" s="902">
        <v>3125</v>
      </c>
      <c r="BJ61" s="909" t="s">
        <v>1064</v>
      </c>
      <c r="BK61" s="909">
        <v>6</v>
      </c>
      <c r="BL61" s="909">
        <v>0</v>
      </c>
      <c r="BM61" s="909">
        <v>0</v>
      </c>
      <c r="BN61" s="909">
        <v>0</v>
      </c>
      <c r="BO61" s="910">
        <v>3477.4435632581481</v>
      </c>
      <c r="BP61" s="909">
        <v>1</v>
      </c>
      <c r="BQ61" s="909">
        <v>8</v>
      </c>
      <c r="BR61" s="909">
        <v>136.71924581992306</v>
      </c>
      <c r="BS61" s="910">
        <v>3773.084416894892</v>
      </c>
      <c r="BT61" s="871">
        <v>3477.4435632581481</v>
      </c>
      <c r="BU61" s="911">
        <v>291.32563070946429</v>
      </c>
      <c r="BV61" s="908">
        <v>92.889489600000005</v>
      </c>
      <c r="BW61" s="902">
        <v>385.70565219957058</v>
      </c>
      <c r="BX61" s="902">
        <v>0</v>
      </c>
      <c r="BY61" s="902">
        <v>0</v>
      </c>
      <c r="BZ61" s="902">
        <v>78.1511098354285</v>
      </c>
      <c r="CA61" s="902">
        <v>106.68918059056148</v>
      </c>
      <c r="CB61" s="902">
        <v>2500</v>
      </c>
      <c r="CC61" s="909" t="s">
        <v>2875</v>
      </c>
      <c r="CD61" s="909">
        <v>8</v>
      </c>
      <c r="CE61" s="909">
        <v>0</v>
      </c>
      <c r="CF61" s="909">
        <v>0</v>
      </c>
      <c r="CG61" s="909">
        <v>0</v>
      </c>
      <c r="CH61" s="910">
        <v>2927.5712008714322</v>
      </c>
      <c r="CI61" s="909">
        <v>0</v>
      </c>
      <c r="CJ61" s="909">
        <v>0</v>
      </c>
      <c r="CK61" s="909">
        <v>0</v>
      </c>
      <c r="CL61" s="910">
        <v>2802.7870236563926</v>
      </c>
      <c r="CM61" s="871">
        <v>2802.7870236563926</v>
      </c>
      <c r="CN61" s="911">
        <v>234.80573661588599</v>
      </c>
      <c r="CO61" s="908">
        <v>58.055931000000001</v>
      </c>
      <c r="CP61" s="902">
        <v>-2225.1125318782156</v>
      </c>
      <c r="CQ61" s="902">
        <v>6.1328354485441023</v>
      </c>
      <c r="CR61" s="902">
        <v>-2582.1174609263303</v>
      </c>
      <c r="CS61" s="902">
        <v>74.853635062557316</v>
      </c>
      <c r="CT61" s="902">
        <v>-1299.3984208739939</v>
      </c>
      <c r="CU61" s="902">
        <v>3125</v>
      </c>
      <c r="CV61" s="909" t="s">
        <v>2875</v>
      </c>
      <c r="CW61" s="909">
        <v>5</v>
      </c>
      <c r="CX61" s="909">
        <v>1</v>
      </c>
      <c r="CY61" s="909">
        <v>8</v>
      </c>
      <c r="CZ61" s="909">
        <v>120.94737302176924</v>
      </c>
      <c r="DA61" s="910">
        <v>4330.8977503434826</v>
      </c>
      <c r="DB61" s="909">
        <v>1</v>
      </c>
      <c r="DC61" s="909">
        <v>-1000</v>
      </c>
      <c r="DD61" s="909">
        <v>136.71924581992306</v>
      </c>
      <c r="DE61" s="910">
        <v>-1</v>
      </c>
      <c r="DF61" s="871">
        <v>-1</v>
      </c>
      <c r="DG61" s="911">
        <v>-8.377580409572781E-2</v>
      </c>
      <c r="DH61" s="908">
        <v>92.889489600000005</v>
      </c>
      <c r="DI61" s="902">
        <v>385.70565219957058</v>
      </c>
      <c r="DJ61" s="902">
        <v>0</v>
      </c>
      <c r="DK61" s="902">
        <v>0</v>
      </c>
      <c r="DL61" s="902">
        <v>78.1511098354285</v>
      </c>
      <c r="DM61" s="902">
        <v>106.68918059056148</v>
      </c>
      <c r="DN61" s="902">
        <v>2500</v>
      </c>
      <c r="DO61" s="909" t="s">
        <v>2875</v>
      </c>
      <c r="DP61" s="909">
        <v>8</v>
      </c>
      <c r="DQ61" s="909">
        <v>0</v>
      </c>
      <c r="DR61" s="909">
        <v>0</v>
      </c>
      <c r="DS61" s="909">
        <v>0</v>
      </c>
      <c r="DT61" s="910">
        <v>2927.5712008714322</v>
      </c>
      <c r="DU61" s="909">
        <v>0</v>
      </c>
      <c r="DV61" s="909">
        <v>0</v>
      </c>
      <c r="DW61" s="909">
        <v>0</v>
      </c>
      <c r="DX61" s="910">
        <v>2802.7870236563926</v>
      </c>
      <c r="DY61" s="871">
        <v>2802.7870236563926</v>
      </c>
      <c r="DZ61" s="911">
        <v>234.80573661588599</v>
      </c>
      <c r="EA61" s="908">
        <v>58.055931000000001</v>
      </c>
      <c r="EB61" s="902">
        <v>-2225.1125318782156</v>
      </c>
      <c r="EC61" s="902">
        <v>6.1328354485441023</v>
      </c>
      <c r="ED61" s="902">
        <v>-2582.1174609263303</v>
      </c>
      <c r="EE61" s="902">
        <v>74.853635062557316</v>
      </c>
      <c r="EF61" s="902">
        <v>-1299.3984208739939</v>
      </c>
      <c r="EG61" s="902">
        <v>3125</v>
      </c>
      <c r="EH61" s="909" t="s">
        <v>3884</v>
      </c>
      <c r="EI61" s="909">
        <v>5</v>
      </c>
      <c r="EJ61" s="909">
        <v>1</v>
      </c>
      <c r="EK61" s="909">
        <v>8</v>
      </c>
      <c r="EL61" s="909">
        <v>120.94737302176924</v>
      </c>
      <c r="EM61" s="910">
        <v>4613.199799138014</v>
      </c>
      <c r="EN61" s="909">
        <v>1</v>
      </c>
      <c r="EO61" s="909">
        <v>-1000</v>
      </c>
      <c r="EP61" s="909">
        <v>136.71924581992306</v>
      </c>
      <c r="EQ61" s="910">
        <v>-1</v>
      </c>
      <c r="ER61" s="871">
        <v>-1</v>
      </c>
      <c r="ES61" s="911">
        <v>-8.377580409572781E-2</v>
      </c>
      <c r="ET61" s="908">
        <v>92.889489600000005</v>
      </c>
      <c r="EU61" s="902">
        <v>385.70565219957058</v>
      </c>
      <c r="EV61" s="902">
        <v>0</v>
      </c>
      <c r="EW61" s="902">
        <v>0</v>
      </c>
      <c r="EX61" s="902">
        <v>78.1511098354285</v>
      </c>
      <c r="EY61" s="902">
        <v>106.68918059056148</v>
      </c>
      <c r="EZ61" s="902">
        <v>2500</v>
      </c>
      <c r="FA61" s="909" t="s">
        <v>3884</v>
      </c>
      <c r="FB61" s="909">
        <v>8</v>
      </c>
      <c r="FC61" s="909">
        <v>0</v>
      </c>
      <c r="FD61" s="909">
        <v>0</v>
      </c>
      <c r="FE61" s="909">
        <v>0</v>
      </c>
      <c r="FF61" s="910">
        <v>3118.3998455634764</v>
      </c>
      <c r="FG61" s="909">
        <v>0</v>
      </c>
      <c r="FH61" s="909">
        <v>0</v>
      </c>
      <c r="FI61" s="909">
        <v>0</v>
      </c>
      <c r="FJ61" s="910">
        <v>2985.4818284575836</v>
      </c>
      <c r="FK61" s="871">
        <v>2985.4818284575836</v>
      </c>
      <c r="FL61" s="911">
        <v>250.11114079221778</v>
      </c>
      <c r="FM61" s="908">
        <v>92.889489600000005</v>
      </c>
      <c r="FN61" s="902">
        <v>385.70565219957058</v>
      </c>
      <c r="FO61" s="902">
        <v>0</v>
      </c>
      <c r="FP61" s="902">
        <v>0</v>
      </c>
      <c r="FQ61" s="902">
        <v>78.1511098354285</v>
      </c>
      <c r="FR61" s="902">
        <v>106.68918059056148</v>
      </c>
      <c r="FS61" s="902">
        <v>3125</v>
      </c>
      <c r="FT61" s="909" t="s">
        <v>2877</v>
      </c>
      <c r="FU61" s="909">
        <v>8</v>
      </c>
      <c r="FV61" s="909">
        <v>0</v>
      </c>
      <c r="FW61" s="909">
        <v>0</v>
      </c>
      <c r="FX61" s="909">
        <v>0</v>
      </c>
      <c r="FY61" s="910">
        <v>3851.4746982248994</v>
      </c>
      <c r="FZ61" s="909">
        <v>0</v>
      </c>
      <c r="GA61" s="909">
        <v>0</v>
      </c>
      <c r="GB61" s="909">
        <v>0</v>
      </c>
      <c r="GC61" s="910">
        <v>3687.3102532612788</v>
      </c>
      <c r="GD61" s="871">
        <v>3687.3102532612788</v>
      </c>
      <c r="GE61" s="911">
        <v>308.90738141738541</v>
      </c>
      <c r="GF61" s="908">
        <v>92.889489600000005</v>
      </c>
      <c r="GG61" s="902">
        <v>385.70565219957058</v>
      </c>
      <c r="GH61" s="902">
        <v>0</v>
      </c>
      <c r="GI61" s="902">
        <v>0</v>
      </c>
      <c r="GJ61" s="902">
        <v>78.1511098354285</v>
      </c>
      <c r="GK61" s="902">
        <v>106.68918059056148</v>
      </c>
      <c r="GL61" s="902">
        <v>2500</v>
      </c>
      <c r="GM61" s="909" t="s">
        <v>2877</v>
      </c>
      <c r="GN61" s="909">
        <v>8</v>
      </c>
      <c r="GO61" s="909">
        <v>0</v>
      </c>
      <c r="GP61" s="909">
        <v>0</v>
      </c>
      <c r="GQ61" s="909">
        <v>0</v>
      </c>
      <c r="GR61" s="910">
        <v>3851.4746982248994</v>
      </c>
      <c r="GS61" s="909">
        <v>0</v>
      </c>
      <c r="GT61" s="909">
        <v>0</v>
      </c>
      <c r="GU61" s="909">
        <v>0</v>
      </c>
      <c r="GV61" s="910">
        <v>3687.3102532612788</v>
      </c>
      <c r="GW61" s="871">
        <v>3687.3102532612788</v>
      </c>
      <c r="GX61" s="911">
        <v>308.90738141738541</v>
      </c>
      <c r="GY61" s="908">
        <v>92.889489600000005</v>
      </c>
      <c r="GZ61" s="902">
        <v>385.70565219957058</v>
      </c>
      <c r="HA61" s="902">
        <v>0</v>
      </c>
      <c r="HB61" s="902">
        <v>0</v>
      </c>
      <c r="HC61" s="902">
        <v>78.1511098354285</v>
      </c>
      <c r="HD61" s="902">
        <v>106.68918059056148</v>
      </c>
      <c r="HE61" s="902">
        <v>3125</v>
      </c>
      <c r="HF61" s="909" t="s">
        <v>2877</v>
      </c>
      <c r="HG61" s="909">
        <v>8</v>
      </c>
      <c r="HH61" s="909">
        <v>0</v>
      </c>
      <c r="HI61" s="909">
        <v>0</v>
      </c>
      <c r="HJ61" s="909">
        <v>0</v>
      </c>
      <c r="HK61" s="910">
        <v>3851.4746982248994</v>
      </c>
      <c r="HL61" s="909">
        <v>0</v>
      </c>
      <c r="HM61" s="909">
        <v>0</v>
      </c>
      <c r="HN61" s="909">
        <v>0</v>
      </c>
      <c r="HO61" s="910">
        <v>3687.3102532612788</v>
      </c>
      <c r="HP61" s="871">
        <v>3687.3102532612788</v>
      </c>
      <c r="HQ61" s="911">
        <v>308.90738141738541</v>
      </c>
      <c r="HR61" s="908">
        <v>46.444744800000002</v>
      </c>
      <c r="HS61" s="902">
        <v>359.35323875153665</v>
      </c>
      <c r="HT61" s="902">
        <v>4.5996265864080765</v>
      </c>
      <c r="HU61" s="902">
        <v>15.492704765557981</v>
      </c>
      <c r="HV61" s="902">
        <v>74.772374973774816</v>
      </c>
      <c r="HW61" s="902">
        <v>98.849301216361496</v>
      </c>
      <c r="HX61" s="902">
        <v>2500</v>
      </c>
      <c r="HY61" s="909" t="s">
        <v>1063</v>
      </c>
      <c r="HZ61" s="909">
        <v>4</v>
      </c>
      <c r="IA61" s="909">
        <v>1</v>
      </c>
      <c r="IB61" s="909">
        <v>6</v>
      </c>
      <c r="IC61" s="909">
        <v>120.94737302176924</v>
      </c>
      <c r="ID61" s="910">
        <v>4216.5563305978794</v>
      </c>
      <c r="IE61" s="909">
        <v>1</v>
      </c>
      <c r="IF61" s="909">
        <v>6</v>
      </c>
      <c r="IG61" s="909">
        <v>136.71924581992306</v>
      </c>
      <c r="IH61" s="910">
        <v>2795.2957908469239</v>
      </c>
      <c r="II61" s="871">
        <v>2795.2957908469239</v>
      </c>
      <c r="IJ61" s="911">
        <v>234.17815256360444</v>
      </c>
      <c r="IK61" s="908">
        <v>46.444744800000002</v>
      </c>
      <c r="IL61" s="902">
        <v>-2238.2569269403516</v>
      </c>
      <c r="IM61" s="902">
        <v>4.5996265864080765</v>
      </c>
      <c r="IN61" s="902">
        <v>-2582.1174609263303</v>
      </c>
      <c r="IO61" s="902">
        <v>75.036545308722324</v>
      </c>
      <c r="IP61" s="902">
        <v>-1303.7840248539546</v>
      </c>
      <c r="IQ61" s="902">
        <v>3125</v>
      </c>
      <c r="IR61" s="909" t="s">
        <v>1063</v>
      </c>
      <c r="IS61" s="909">
        <v>4</v>
      </c>
      <c r="IT61" s="909">
        <v>1</v>
      </c>
      <c r="IU61" s="909">
        <v>6</v>
      </c>
      <c r="IV61" s="909">
        <v>120.94737302176924</v>
      </c>
      <c r="IW61" s="910">
        <v>4216.5563305978794</v>
      </c>
      <c r="IX61" s="909">
        <v>1</v>
      </c>
      <c r="IY61" s="909">
        <v>-1000</v>
      </c>
      <c r="IZ61" s="909">
        <v>136.71924581992306</v>
      </c>
      <c r="JA61" s="910">
        <v>-1</v>
      </c>
      <c r="JB61" s="871">
        <v>-1</v>
      </c>
      <c r="JC61" s="911">
        <v>-8.377580409572781E-2</v>
      </c>
      <c r="JD61" s="908">
        <v>69.667117200000007</v>
      </c>
      <c r="JE61" s="902">
        <v>362.4832797995706</v>
      </c>
      <c r="JF61" s="902">
        <v>0</v>
      </c>
      <c r="JG61" s="902">
        <v>0</v>
      </c>
      <c r="JH61" s="902">
        <v>76.366979823456717</v>
      </c>
      <c r="JI61" s="902">
        <v>98.299952695534841</v>
      </c>
      <c r="JJ61" s="902">
        <v>2500</v>
      </c>
      <c r="JK61" s="909" t="s">
        <v>1064</v>
      </c>
      <c r="JL61" s="909">
        <v>6</v>
      </c>
      <c r="JM61" s="909">
        <v>0</v>
      </c>
      <c r="JN61" s="909">
        <v>0</v>
      </c>
      <c r="JO61" s="909">
        <v>0</v>
      </c>
      <c r="JP61" s="910">
        <v>3477.4435632581481</v>
      </c>
      <c r="JQ61" s="909">
        <v>0</v>
      </c>
      <c r="JR61" s="909">
        <v>0</v>
      </c>
      <c r="JS61" s="909">
        <v>0</v>
      </c>
      <c r="JT61" s="910">
        <v>3050.9499129701799</v>
      </c>
      <c r="JU61" s="871">
        <v>3050.9499129701799</v>
      </c>
      <c r="JV61" s="911">
        <v>255.59578221486763</v>
      </c>
      <c r="JW61" s="908">
        <v>69.667117200000007</v>
      </c>
      <c r="JX61" s="902">
        <v>383.14021948698121</v>
      </c>
      <c r="JY61" s="902">
        <v>0</v>
      </c>
      <c r="JZ61" s="902">
        <v>20.656939687410642</v>
      </c>
      <c r="KA61" s="902">
        <v>76.293279339062622</v>
      </c>
      <c r="KB61" s="902">
        <v>109.45409445354929</v>
      </c>
      <c r="KC61" s="902">
        <v>3125</v>
      </c>
      <c r="KD61" s="909" t="s">
        <v>1064</v>
      </c>
      <c r="KE61" s="909">
        <v>6</v>
      </c>
      <c r="KF61" s="909">
        <v>0</v>
      </c>
      <c r="KG61" s="909">
        <v>0</v>
      </c>
      <c r="KH61" s="909">
        <v>0</v>
      </c>
      <c r="KI61" s="910">
        <v>3477.4435632581481</v>
      </c>
      <c r="KJ61" s="909">
        <v>1</v>
      </c>
      <c r="KK61" s="909">
        <v>8</v>
      </c>
      <c r="KL61" s="909">
        <v>136.71924581992306</v>
      </c>
      <c r="KM61" s="910">
        <v>3773.084416894892</v>
      </c>
      <c r="KN61" s="871">
        <v>3477.4435632581481</v>
      </c>
      <c r="KO61" s="912">
        <v>291.32563070946429</v>
      </c>
    </row>
    <row r="62" spans="1:301" ht="15" customHeight="1">
      <c r="A62" s="924" t="s">
        <v>1549</v>
      </c>
      <c r="B62" s="888" t="s">
        <v>1080</v>
      </c>
      <c r="C62" s="888">
        <v>721</v>
      </c>
      <c r="D62" s="888">
        <v>1600</v>
      </c>
      <c r="E62" s="888">
        <v>700</v>
      </c>
      <c r="F62" s="888">
        <v>630</v>
      </c>
      <c r="G62" s="888">
        <v>365</v>
      </c>
      <c r="H62" s="888">
        <v>253</v>
      </c>
      <c r="I62" s="888">
        <v>185</v>
      </c>
      <c r="J62" s="888">
        <v>36</v>
      </c>
      <c r="K62" s="888">
        <v>49.7</v>
      </c>
      <c r="L62" s="888">
        <v>12</v>
      </c>
      <c r="M62" s="888">
        <v>681</v>
      </c>
      <c r="N62" s="888">
        <v>6</v>
      </c>
      <c r="O62" s="884">
        <v>76.573964736761013</v>
      </c>
      <c r="P62" s="888">
        <v>6</v>
      </c>
      <c r="Q62" s="884">
        <v>49.125683587934731</v>
      </c>
      <c r="R62" s="888">
        <v>20</v>
      </c>
      <c r="S62" s="888">
        <v>1109.9553078519668</v>
      </c>
      <c r="T62" s="906">
        <v>151.91495120625333</v>
      </c>
      <c r="U62" s="906">
        <v>166.49329617779503</v>
      </c>
      <c r="V62" s="906">
        <v>147.5</v>
      </c>
      <c r="W62" s="1141">
        <v>18.906290411840747</v>
      </c>
      <c r="X62" s="902">
        <v>420</v>
      </c>
      <c r="Y62" s="902">
        <v>56.269330410535765</v>
      </c>
      <c r="Z62" s="902">
        <v>6</v>
      </c>
      <c r="AA62" s="902">
        <v>6.7556258866869339</v>
      </c>
      <c r="AB62" s="970">
        <v>65.938712293519131</v>
      </c>
      <c r="AC62" s="1045">
        <v>3755.8199865072952</v>
      </c>
      <c r="AD62" s="890">
        <v>0.34986698905933239</v>
      </c>
      <c r="AE62" s="890">
        <v>0.7265425280053609</v>
      </c>
      <c r="AF62" s="890">
        <v>-0.21310856071109702</v>
      </c>
      <c r="AG62" s="890">
        <v>0.90549989586878465</v>
      </c>
      <c r="AH62" s="888"/>
      <c r="AI62" s="907">
        <v>10.805248859872489</v>
      </c>
      <c r="AJ62" s="908">
        <v>70.244468999999995</v>
      </c>
      <c r="AK62" s="902">
        <v>373.52098482947673</v>
      </c>
      <c r="AL62" s="902">
        <v>0</v>
      </c>
      <c r="AM62" s="902">
        <v>0</v>
      </c>
      <c r="AN62" s="902">
        <v>84.359573999729562</v>
      </c>
      <c r="AO62" s="902">
        <v>103.06600630720121</v>
      </c>
      <c r="AP62" s="1222">
        <v>2050</v>
      </c>
      <c r="AQ62" s="909" t="s">
        <v>1064</v>
      </c>
      <c r="AR62" s="909">
        <v>5</v>
      </c>
      <c r="AS62" s="909">
        <v>0</v>
      </c>
      <c r="AT62" s="909">
        <v>0</v>
      </c>
      <c r="AU62" s="909">
        <v>0</v>
      </c>
      <c r="AV62" s="910">
        <v>2292.8431118741655</v>
      </c>
      <c r="AW62" s="909">
        <v>0</v>
      </c>
      <c r="AX62" s="909">
        <v>0</v>
      </c>
      <c r="AY62" s="909">
        <v>0</v>
      </c>
      <c r="AZ62" s="910">
        <v>2294.8275179098073</v>
      </c>
      <c r="BA62" s="871">
        <v>2292.8431118741655</v>
      </c>
      <c r="BB62" s="911">
        <v>192.08477536260904</v>
      </c>
      <c r="BC62" s="908">
        <v>56.1955752</v>
      </c>
      <c r="BD62" s="902">
        <v>378.50936243348843</v>
      </c>
      <c r="BE62" s="902">
        <v>4.8011801141129764</v>
      </c>
      <c r="BF62" s="902">
        <v>14.236091289898686</v>
      </c>
      <c r="BG62" s="902">
        <v>83.63617116284091</v>
      </c>
      <c r="BH62" s="902">
        <v>106.26790709892151</v>
      </c>
      <c r="BI62" s="902">
        <v>2562.5</v>
      </c>
      <c r="BJ62" s="909" t="s">
        <v>1064</v>
      </c>
      <c r="BK62" s="909">
        <v>4</v>
      </c>
      <c r="BL62" s="909">
        <v>1</v>
      </c>
      <c r="BM62" s="909">
        <v>6</v>
      </c>
      <c r="BN62" s="909">
        <v>96.458406456269955</v>
      </c>
      <c r="BO62" s="910">
        <v>4271.0003960777594</v>
      </c>
      <c r="BP62" s="909">
        <v>1</v>
      </c>
      <c r="BQ62" s="909">
        <v>6</v>
      </c>
      <c r="BR62" s="909">
        <v>125.1575663904306</v>
      </c>
      <c r="BS62" s="910">
        <v>3755.8199865072952</v>
      </c>
      <c r="BT62" s="871">
        <v>3755.8199865072952</v>
      </c>
      <c r="BU62" s="911">
        <v>255.51620249196986</v>
      </c>
      <c r="BV62" s="908">
        <v>56.1955752</v>
      </c>
      <c r="BW62" s="902">
        <v>378.50936243348843</v>
      </c>
      <c r="BX62" s="902">
        <v>4.8011801141129764</v>
      </c>
      <c r="BY62" s="902">
        <v>14.236091289898686</v>
      </c>
      <c r="BZ62" s="902">
        <v>83.63617116284091</v>
      </c>
      <c r="CA62" s="902">
        <v>106.26790709892151</v>
      </c>
      <c r="CB62" s="902">
        <v>2050</v>
      </c>
      <c r="CC62" s="909" t="s">
        <v>2874</v>
      </c>
      <c r="CD62" s="909">
        <v>4</v>
      </c>
      <c r="CE62" s="909">
        <v>1</v>
      </c>
      <c r="CF62" s="909">
        <v>6</v>
      </c>
      <c r="CG62" s="909">
        <v>96.458406456269955</v>
      </c>
      <c r="CH62" s="910">
        <v>2595.2461427627268</v>
      </c>
      <c r="CI62" s="909">
        <v>1</v>
      </c>
      <c r="CJ62" s="909">
        <v>6</v>
      </c>
      <c r="CK62" s="909">
        <v>125.1575663904306</v>
      </c>
      <c r="CL62" s="910">
        <v>2282.2000536093506</v>
      </c>
      <c r="CM62" s="871">
        <v>2282.2000536093506</v>
      </c>
      <c r="CN62" s="911">
        <v>191.19314459843648</v>
      </c>
      <c r="CO62" s="908">
        <v>70.244468999999995</v>
      </c>
      <c r="CP62" s="902">
        <v>-1992.75932333482</v>
      </c>
      <c r="CQ62" s="902">
        <v>6.4015734854839694</v>
      </c>
      <c r="CR62" s="902">
        <v>-2372.6818816497807</v>
      </c>
      <c r="CS62" s="902">
        <v>93.916611833144955</v>
      </c>
      <c r="CT62" s="902">
        <v>-1195.3821298881858</v>
      </c>
      <c r="CU62" s="902">
        <v>2562.5</v>
      </c>
      <c r="CV62" s="909" t="s">
        <v>2875</v>
      </c>
      <c r="CW62" s="909">
        <v>5</v>
      </c>
      <c r="CX62" s="909">
        <v>1</v>
      </c>
      <c r="CY62" s="909">
        <v>8</v>
      </c>
      <c r="CZ62" s="909">
        <v>96.458406456269955</v>
      </c>
      <c r="DA62" s="910">
        <v>3177.0810397147598</v>
      </c>
      <c r="DB62" s="909">
        <v>1</v>
      </c>
      <c r="DC62" s="909">
        <v>-1000</v>
      </c>
      <c r="DD62" s="909">
        <v>125.1575663904306</v>
      </c>
      <c r="DE62" s="910">
        <v>-1</v>
      </c>
      <c r="DF62" s="871">
        <v>-1</v>
      </c>
      <c r="DG62" s="911">
        <v>-8.377580409572781E-2</v>
      </c>
      <c r="DH62" s="908">
        <v>112.3911504</v>
      </c>
      <c r="DI62" s="902">
        <v>423.66963308633171</v>
      </c>
      <c r="DJ62" s="902">
        <v>8.0019668568549616</v>
      </c>
      <c r="DK62" s="902">
        <v>0</v>
      </c>
      <c r="DL62" s="902">
        <v>89.347624206412561</v>
      </c>
      <c r="DM62" s="902">
        <v>120.64705907909574</v>
      </c>
      <c r="DN62" s="902">
        <v>2050</v>
      </c>
      <c r="DO62" s="909" t="s">
        <v>3884</v>
      </c>
      <c r="DP62" s="909">
        <v>8</v>
      </c>
      <c r="DQ62" s="909">
        <v>1</v>
      </c>
      <c r="DR62" s="909">
        <v>10</v>
      </c>
      <c r="DS62" s="909">
        <v>96.458406456269955</v>
      </c>
      <c r="DT62" s="910">
        <v>4177.2539528023863</v>
      </c>
      <c r="DU62" s="909">
        <v>0</v>
      </c>
      <c r="DV62" s="909">
        <v>0</v>
      </c>
      <c r="DW62" s="909">
        <v>0</v>
      </c>
      <c r="DX62" s="910">
        <v>2398.4570821940974</v>
      </c>
      <c r="DY62" s="871">
        <v>2398.4570821940974</v>
      </c>
      <c r="DZ62" s="911">
        <v>200.93267064990366</v>
      </c>
      <c r="EA62" s="908">
        <v>56.1955752</v>
      </c>
      <c r="EB62" s="902">
        <v>-2008.4086105061911</v>
      </c>
      <c r="EC62" s="902">
        <v>4.8011801141129764</v>
      </c>
      <c r="ED62" s="902">
        <v>-2372.6818816497807</v>
      </c>
      <c r="EE62" s="902">
        <v>94.17049781818406</v>
      </c>
      <c r="EF62" s="902">
        <v>-1201.0617583990588</v>
      </c>
      <c r="EG62" s="902">
        <v>2562.5</v>
      </c>
      <c r="EH62" s="909" t="s">
        <v>3884</v>
      </c>
      <c r="EI62" s="909">
        <v>4</v>
      </c>
      <c r="EJ62" s="909">
        <v>1</v>
      </c>
      <c r="EK62" s="909">
        <v>6</v>
      </c>
      <c r="EL62" s="909">
        <v>96.458406456269955</v>
      </c>
      <c r="EM62" s="910">
        <v>2877.2920209734671</v>
      </c>
      <c r="EN62" s="909">
        <v>1</v>
      </c>
      <c r="EO62" s="909">
        <v>-1000</v>
      </c>
      <c r="EP62" s="909">
        <v>125.1575663904306</v>
      </c>
      <c r="EQ62" s="910">
        <v>-1</v>
      </c>
      <c r="ER62" s="871">
        <v>-1</v>
      </c>
      <c r="ES62" s="911">
        <v>-8.377580409572781E-2</v>
      </c>
      <c r="ET62" s="908">
        <v>112.3911504</v>
      </c>
      <c r="EU62" s="902">
        <v>415.66766622947677</v>
      </c>
      <c r="EV62" s="902">
        <v>0</v>
      </c>
      <c r="EW62" s="902">
        <v>0</v>
      </c>
      <c r="EX62" s="902">
        <v>88.632408412866596</v>
      </c>
      <c r="EY62" s="902">
        <v>119.29164098090838</v>
      </c>
      <c r="EZ62" s="902">
        <v>2050</v>
      </c>
      <c r="FA62" s="909" t="s">
        <v>2877</v>
      </c>
      <c r="FB62" s="909">
        <v>8</v>
      </c>
      <c r="FC62" s="909">
        <v>0</v>
      </c>
      <c r="FD62" s="909">
        <v>0</v>
      </c>
      <c r="FE62" s="909">
        <v>0</v>
      </c>
      <c r="FF62" s="910">
        <v>2779.9114583552764</v>
      </c>
      <c r="FG62" s="909">
        <v>0</v>
      </c>
      <c r="FH62" s="909">
        <v>0</v>
      </c>
      <c r="FI62" s="909">
        <v>0</v>
      </c>
      <c r="FJ62" s="910">
        <v>2962.2874629086264</v>
      </c>
      <c r="FK62" s="871">
        <v>2779.9114583552764</v>
      </c>
      <c r="FL62" s="911">
        <v>232.88931773864067</v>
      </c>
      <c r="FM62" s="908">
        <v>112.3911504</v>
      </c>
      <c r="FN62" s="902">
        <v>423.66963308633171</v>
      </c>
      <c r="FO62" s="902">
        <v>8.0019668568549616</v>
      </c>
      <c r="FP62" s="902">
        <v>0</v>
      </c>
      <c r="FQ62" s="902">
        <v>89.347624206412561</v>
      </c>
      <c r="FR62" s="902">
        <v>120.64705907909574</v>
      </c>
      <c r="FS62" s="902">
        <v>2562.5</v>
      </c>
      <c r="FT62" s="909" t="s">
        <v>2877</v>
      </c>
      <c r="FU62" s="909">
        <v>8</v>
      </c>
      <c r="FV62" s="909">
        <v>1</v>
      </c>
      <c r="FW62" s="909">
        <v>10</v>
      </c>
      <c r="FX62" s="909">
        <v>96.458406456269955</v>
      </c>
      <c r="FY62" s="910">
        <v>5159.2447101251137</v>
      </c>
      <c r="FZ62" s="909">
        <v>0</v>
      </c>
      <c r="GA62" s="909">
        <v>0</v>
      </c>
      <c r="GB62" s="909">
        <v>0</v>
      </c>
      <c r="GC62" s="910">
        <v>2962.2874629086264</v>
      </c>
      <c r="GD62" s="871">
        <v>2962.2874629086264</v>
      </c>
      <c r="GE62" s="911">
        <v>248.16801416786365</v>
      </c>
      <c r="GF62" s="908">
        <v>112.3911504</v>
      </c>
      <c r="GG62" s="902">
        <v>415.66766622947677</v>
      </c>
      <c r="GH62" s="902">
        <v>0</v>
      </c>
      <c r="GI62" s="902">
        <v>0</v>
      </c>
      <c r="GJ62" s="902">
        <v>88.632408412866596</v>
      </c>
      <c r="GK62" s="902">
        <v>119.29164098090838</v>
      </c>
      <c r="GL62" s="902">
        <v>2050</v>
      </c>
      <c r="GM62" s="909" t="s">
        <v>2877</v>
      </c>
      <c r="GN62" s="909">
        <v>8</v>
      </c>
      <c r="GO62" s="909">
        <v>0</v>
      </c>
      <c r="GP62" s="909">
        <v>0</v>
      </c>
      <c r="GQ62" s="909">
        <v>0</v>
      </c>
      <c r="GR62" s="910">
        <v>2779.9114583552764</v>
      </c>
      <c r="GS62" s="909">
        <v>0</v>
      </c>
      <c r="GT62" s="909">
        <v>0</v>
      </c>
      <c r="GU62" s="909">
        <v>0</v>
      </c>
      <c r="GV62" s="910">
        <v>2962.2874629086264</v>
      </c>
      <c r="GW62" s="871">
        <v>2779.9114583552764</v>
      </c>
      <c r="GX62" s="911">
        <v>232.88931773864067</v>
      </c>
      <c r="GY62" s="908">
        <v>112.3911504</v>
      </c>
      <c r="GZ62" s="902">
        <v>423.66963308633171</v>
      </c>
      <c r="HA62" s="902">
        <v>8.0019668568549616</v>
      </c>
      <c r="HB62" s="902">
        <v>0</v>
      </c>
      <c r="HC62" s="902">
        <v>89.347624206412561</v>
      </c>
      <c r="HD62" s="902">
        <v>120.64705907909574</v>
      </c>
      <c r="HE62" s="902">
        <v>2562.5</v>
      </c>
      <c r="HF62" s="909" t="s">
        <v>2877</v>
      </c>
      <c r="HG62" s="909">
        <v>8</v>
      </c>
      <c r="HH62" s="909">
        <v>1</v>
      </c>
      <c r="HI62" s="909">
        <v>10</v>
      </c>
      <c r="HJ62" s="909">
        <v>96.458406456269955</v>
      </c>
      <c r="HK62" s="910">
        <v>5159.2447101251137</v>
      </c>
      <c r="HL62" s="909">
        <v>0</v>
      </c>
      <c r="HM62" s="909">
        <v>0</v>
      </c>
      <c r="HN62" s="909">
        <v>0</v>
      </c>
      <c r="HO62" s="910">
        <v>2962.2874629086264</v>
      </c>
      <c r="HP62" s="871">
        <v>2962.2874629086264</v>
      </c>
      <c r="HQ62" s="911">
        <v>248.16801416786365</v>
      </c>
      <c r="HR62" s="908">
        <v>56.1955752</v>
      </c>
      <c r="HS62" s="902">
        <v>378.50936243348843</v>
      </c>
      <c r="HT62" s="902">
        <v>4.8011801141129764</v>
      </c>
      <c r="HU62" s="902">
        <v>14.236091289898686</v>
      </c>
      <c r="HV62" s="902">
        <v>83.63617116284091</v>
      </c>
      <c r="HW62" s="902">
        <v>106.26790709892151</v>
      </c>
      <c r="HX62" s="902">
        <v>2050</v>
      </c>
      <c r="HY62" s="909" t="s">
        <v>1063</v>
      </c>
      <c r="HZ62" s="909">
        <v>4</v>
      </c>
      <c r="IA62" s="909">
        <v>1</v>
      </c>
      <c r="IB62" s="909">
        <v>6</v>
      </c>
      <c r="IC62" s="909">
        <v>96.458406456269955</v>
      </c>
      <c r="ID62" s="910">
        <v>3134.0574669891357</v>
      </c>
      <c r="IE62" s="909">
        <v>1</v>
      </c>
      <c r="IF62" s="909">
        <v>6</v>
      </c>
      <c r="IG62" s="909">
        <v>125.1575663904306</v>
      </c>
      <c r="IH62" s="910">
        <v>2756.0183989189022</v>
      </c>
      <c r="II62" s="871">
        <v>2756.0183989189022</v>
      </c>
      <c r="IJ62" s="911">
        <v>230.88765747205142</v>
      </c>
      <c r="IK62" s="908">
        <v>56.1955752</v>
      </c>
      <c r="IL62" s="902">
        <v>388.00008996008756</v>
      </c>
      <c r="IM62" s="902">
        <v>4.8011801141129764</v>
      </c>
      <c r="IN62" s="902">
        <v>23.726818816497808</v>
      </c>
      <c r="IO62" s="902">
        <v>83.85298602065329</v>
      </c>
      <c r="IP62" s="902">
        <v>111.46603698161726</v>
      </c>
      <c r="IQ62" s="902">
        <v>2562.5</v>
      </c>
      <c r="IR62" s="909" t="s">
        <v>1063</v>
      </c>
      <c r="IS62" s="909">
        <v>4</v>
      </c>
      <c r="IT62" s="909">
        <v>1</v>
      </c>
      <c r="IU62" s="909">
        <v>6</v>
      </c>
      <c r="IV62" s="909">
        <v>96.458406456269955</v>
      </c>
      <c r="IW62" s="910">
        <v>3134.0574669891357</v>
      </c>
      <c r="IX62" s="909">
        <v>1</v>
      </c>
      <c r="IY62" s="909">
        <v>10</v>
      </c>
      <c r="IZ62" s="909">
        <v>125.1575663904306</v>
      </c>
      <c r="JA62" s="910">
        <v>2842.1317817150998</v>
      </c>
      <c r="JB62" s="871">
        <v>2842.1317817150998</v>
      </c>
      <c r="JC62" s="911">
        <v>238.10187535920605</v>
      </c>
      <c r="JD62" s="908">
        <v>70.244468999999995</v>
      </c>
      <c r="JE62" s="902">
        <v>373.52098482947673</v>
      </c>
      <c r="JF62" s="902">
        <v>0</v>
      </c>
      <c r="JG62" s="902">
        <v>0</v>
      </c>
      <c r="JH62" s="902">
        <v>84.359573999729562</v>
      </c>
      <c r="JI62" s="902">
        <v>103.06600630720121</v>
      </c>
      <c r="JJ62" s="902">
        <v>2050</v>
      </c>
      <c r="JK62" s="909" t="s">
        <v>1064</v>
      </c>
      <c r="JL62" s="909">
        <v>5</v>
      </c>
      <c r="JM62" s="909">
        <v>0</v>
      </c>
      <c r="JN62" s="909">
        <v>0</v>
      </c>
      <c r="JO62" s="909">
        <v>0</v>
      </c>
      <c r="JP62" s="910">
        <v>2292.8431118741655</v>
      </c>
      <c r="JQ62" s="909">
        <v>0</v>
      </c>
      <c r="JR62" s="909">
        <v>0</v>
      </c>
      <c r="JS62" s="909">
        <v>0</v>
      </c>
      <c r="JT62" s="910">
        <v>2294.8275179098073</v>
      </c>
      <c r="JU62" s="871">
        <v>2292.8431118741655</v>
      </c>
      <c r="JV62" s="911">
        <v>192.08477536260904</v>
      </c>
      <c r="JW62" s="908">
        <v>56.1955752</v>
      </c>
      <c r="JX62" s="902">
        <v>378.50936243348843</v>
      </c>
      <c r="JY62" s="902">
        <v>4.8011801141129764</v>
      </c>
      <c r="JZ62" s="902">
        <v>14.236091289898686</v>
      </c>
      <c r="KA62" s="902">
        <v>83.63617116284091</v>
      </c>
      <c r="KB62" s="902">
        <v>106.26790709892151</v>
      </c>
      <c r="KC62" s="902">
        <v>2562.5</v>
      </c>
      <c r="KD62" s="909" t="s">
        <v>1064</v>
      </c>
      <c r="KE62" s="909">
        <v>4</v>
      </c>
      <c r="KF62" s="909">
        <v>1</v>
      </c>
      <c r="KG62" s="909">
        <v>6</v>
      </c>
      <c r="KH62" s="909">
        <v>96.458406456269955</v>
      </c>
      <c r="KI62" s="910">
        <v>4271.0003960777594</v>
      </c>
      <c r="KJ62" s="909">
        <v>1</v>
      </c>
      <c r="KK62" s="909">
        <v>6</v>
      </c>
      <c r="KL62" s="909">
        <v>125.1575663904306</v>
      </c>
      <c r="KM62" s="910">
        <v>3755.8199865072952</v>
      </c>
      <c r="KN62" s="871">
        <v>3755.8199865072952</v>
      </c>
      <c r="KO62" s="912">
        <v>314.64683940845424</v>
      </c>
    </row>
    <row r="63" spans="1:301" ht="15" customHeight="1">
      <c r="A63" s="924" t="s">
        <v>1550</v>
      </c>
      <c r="B63" s="888" t="s">
        <v>1080</v>
      </c>
      <c r="C63" s="888">
        <v>721.5</v>
      </c>
      <c r="D63" s="888">
        <v>1600</v>
      </c>
      <c r="E63" s="888">
        <v>800</v>
      </c>
      <c r="F63" s="888">
        <v>705</v>
      </c>
      <c r="G63" s="888">
        <v>417</v>
      </c>
      <c r="H63" s="888">
        <v>294</v>
      </c>
      <c r="I63" s="888">
        <v>201.4</v>
      </c>
      <c r="J63" s="888">
        <v>34.83</v>
      </c>
      <c r="K63" s="888">
        <v>46.52</v>
      </c>
      <c r="L63" s="888">
        <v>12</v>
      </c>
      <c r="M63" s="888">
        <v>652</v>
      </c>
      <c r="N63" s="888">
        <v>6</v>
      </c>
      <c r="O63" s="884">
        <v>71.025126712358045</v>
      </c>
      <c r="P63" s="888">
        <v>6</v>
      </c>
      <c r="Q63" s="884">
        <v>49.437011705187047</v>
      </c>
      <c r="R63" s="888">
        <v>20</v>
      </c>
      <c r="S63" s="888">
        <v>1106.1576514975025</v>
      </c>
      <c r="T63" s="906">
        <v>150.87719081541226</v>
      </c>
      <c r="U63" s="906">
        <v>165.92364772462537</v>
      </c>
      <c r="V63" s="906">
        <v>172.5</v>
      </c>
      <c r="W63" s="1141">
        <v>21.959703631961961</v>
      </c>
      <c r="X63" s="902">
        <v>470</v>
      </c>
      <c r="Y63" s="902">
        <v>62.968060221313834</v>
      </c>
      <c r="Z63" s="902">
        <v>6</v>
      </c>
      <c r="AA63" s="902">
        <v>8.459851237920315</v>
      </c>
      <c r="AB63" s="970">
        <v>62.178193615716253</v>
      </c>
      <c r="AC63" s="1045">
        <v>3643.9410931830234</v>
      </c>
      <c r="AD63" s="890">
        <v>0.2852622099381264</v>
      </c>
      <c r="AE63" s="890">
        <v>0.69579491153429651</v>
      </c>
      <c r="AF63" s="890">
        <v>-0.2412228376305027</v>
      </c>
      <c r="AG63" s="890">
        <v>0.96995503923655702</v>
      </c>
      <c r="AH63" s="888"/>
      <c r="AI63" s="907">
        <v>11.100789523021785</v>
      </c>
      <c r="AJ63" s="908">
        <v>76.066688400000004</v>
      </c>
      <c r="AK63" s="902">
        <v>377.82557250283969</v>
      </c>
      <c r="AL63" s="902">
        <v>0</v>
      </c>
      <c r="AM63" s="902">
        <v>0</v>
      </c>
      <c r="AN63" s="902">
        <v>94.966171302754674</v>
      </c>
      <c r="AO63" s="902">
        <v>104.3921885945918</v>
      </c>
      <c r="AP63" s="1222">
        <v>1700</v>
      </c>
      <c r="AQ63" s="909" t="s">
        <v>1064</v>
      </c>
      <c r="AR63" s="909">
        <v>5</v>
      </c>
      <c r="AS63" s="909">
        <v>0</v>
      </c>
      <c r="AT63" s="909">
        <v>0</v>
      </c>
      <c r="AU63" s="909">
        <v>0</v>
      </c>
      <c r="AV63" s="910">
        <v>1967.5504288812706</v>
      </c>
      <c r="AW63" s="909">
        <v>0</v>
      </c>
      <c r="AX63" s="909">
        <v>0</v>
      </c>
      <c r="AY63" s="909">
        <v>0</v>
      </c>
      <c r="AZ63" s="910">
        <v>2024.8169135365479</v>
      </c>
      <c r="BA63" s="871">
        <v>1967.5504288812706</v>
      </c>
      <c r="BB63" s="911">
        <v>164.83311927842257</v>
      </c>
      <c r="BC63" s="908">
        <v>76.066688400000004</v>
      </c>
      <c r="BD63" s="902">
        <v>407.82215139129221</v>
      </c>
      <c r="BE63" s="902">
        <v>6.4775538391257612</v>
      </c>
      <c r="BF63" s="902">
        <v>23.519025049326746</v>
      </c>
      <c r="BG63" s="902">
        <v>96.123308025199478</v>
      </c>
      <c r="BH63" s="902">
        <v>118.39380392036821</v>
      </c>
      <c r="BI63" s="902">
        <v>2125</v>
      </c>
      <c r="BJ63" s="909" t="s">
        <v>1062</v>
      </c>
      <c r="BK63" s="909">
        <v>5</v>
      </c>
      <c r="BL63" s="909">
        <v>1</v>
      </c>
      <c r="BM63" s="909">
        <v>8</v>
      </c>
      <c r="BN63" s="909">
        <v>97.614604079229423</v>
      </c>
      <c r="BO63" s="910">
        <v>2637.1087076659342</v>
      </c>
      <c r="BP63" s="909">
        <v>1</v>
      </c>
      <c r="BQ63" s="909">
        <v>10</v>
      </c>
      <c r="BR63" s="909">
        <v>124.01540039803612</v>
      </c>
      <c r="BS63" s="910">
        <v>2346.1626519221882</v>
      </c>
      <c r="BT63" s="871">
        <v>2346.1626519221882</v>
      </c>
      <c r="BU63" s="911">
        <v>196.55166270414648</v>
      </c>
      <c r="BV63" s="908">
        <v>121.70670144000002</v>
      </c>
      <c r="BW63" s="902">
        <v>431.56252784174688</v>
      </c>
      <c r="BX63" s="902">
        <v>8.0969422989072015</v>
      </c>
      <c r="BY63" s="902">
        <v>0</v>
      </c>
      <c r="BZ63" s="902">
        <v>101.44527768578514</v>
      </c>
      <c r="CA63" s="902">
        <v>123.34424770280695</v>
      </c>
      <c r="CB63" s="902">
        <v>1700</v>
      </c>
      <c r="CC63" s="909" t="s">
        <v>2875</v>
      </c>
      <c r="CD63" s="909">
        <v>8</v>
      </c>
      <c r="CE63" s="909">
        <v>1</v>
      </c>
      <c r="CF63" s="909">
        <v>10</v>
      </c>
      <c r="CG63" s="909">
        <v>97.614604079229423</v>
      </c>
      <c r="CH63" s="910">
        <v>3821.9404146520819</v>
      </c>
      <c r="CI63" s="909">
        <v>0</v>
      </c>
      <c r="CJ63" s="909">
        <v>0</v>
      </c>
      <c r="CK63" s="909">
        <v>0</v>
      </c>
      <c r="CL63" s="910">
        <v>1940.113388665555</v>
      </c>
      <c r="CM63" s="871">
        <v>1940.113388665555</v>
      </c>
      <c r="CN63" s="911">
        <v>162.53455917234416</v>
      </c>
      <c r="CO63" s="908">
        <v>76.066688400000004</v>
      </c>
      <c r="CP63" s="902">
        <v>417.22976141102293</v>
      </c>
      <c r="CQ63" s="902">
        <v>6.4775538391257612</v>
      </c>
      <c r="CR63" s="902">
        <v>32.926635069057447</v>
      </c>
      <c r="CS63" s="902">
        <v>96.226502325466427</v>
      </c>
      <c r="CT63" s="902">
        <v>123.5536671864712</v>
      </c>
      <c r="CU63" s="902">
        <v>2125</v>
      </c>
      <c r="CV63" s="909" t="s">
        <v>2874</v>
      </c>
      <c r="CW63" s="909">
        <v>5</v>
      </c>
      <c r="CX63" s="909">
        <v>1</v>
      </c>
      <c r="CY63" s="909">
        <v>8</v>
      </c>
      <c r="CZ63" s="909">
        <v>97.614604079229423</v>
      </c>
      <c r="DA63" s="910">
        <v>2583.8282920127635</v>
      </c>
      <c r="DB63" s="909">
        <v>1</v>
      </c>
      <c r="DC63" s="909">
        <v>14</v>
      </c>
      <c r="DD63" s="909">
        <v>124.01540039803612</v>
      </c>
      <c r="DE63" s="910">
        <v>2344.0298166699813</v>
      </c>
      <c r="DF63" s="871">
        <v>2344.0298166699813</v>
      </c>
      <c r="DG63" s="911">
        <v>196.37298271588915</v>
      </c>
      <c r="DH63" s="908">
        <v>121.70670144000002</v>
      </c>
      <c r="DI63" s="902">
        <v>423.46558554283968</v>
      </c>
      <c r="DJ63" s="902">
        <v>0</v>
      </c>
      <c r="DK63" s="902">
        <v>0</v>
      </c>
      <c r="DL63" s="902">
        <v>100.57424124123416</v>
      </c>
      <c r="DM63" s="902">
        <v>121.96680125215826</v>
      </c>
      <c r="DN63" s="902">
        <v>1700</v>
      </c>
      <c r="DO63" s="909" t="s">
        <v>3884</v>
      </c>
      <c r="DP63" s="909">
        <v>8</v>
      </c>
      <c r="DQ63" s="909">
        <v>0</v>
      </c>
      <c r="DR63" s="909">
        <v>0</v>
      </c>
      <c r="DS63" s="909">
        <v>0</v>
      </c>
      <c r="DT63" s="910">
        <v>1888.0099899619363</v>
      </c>
      <c r="DU63" s="909">
        <v>0</v>
      </c>
      <c r="DV63" s="909">
        <v>0</v>
      </c>
      <c r="DW63" s="909">
        <v>0</v>
      </c>
      <c r="DX63" s="910">
        <v>2066.5763106937989</v>
      </c>
      <c r="DY63" s="871">
        <v>1888.0099899619363</v>
      </c>
      <c r="DZ63" s="911">
        <v>158.16955504982823</v>
      </c>
      <c r="EA63" s="908">
        <v>76.066688400000004</v>
      </c>
      <c r="EB63" s="902">
        <v>403.11834638142687</v>
      </c>
      <c r="EC63" s="902">
        <v>6.4775538391257612</v>
      </c>
      <c r="ED63" s="902">
        <v>18.815220039461398</v>
      </c>
      <c r="EE63" s="902">
        <v>96.069904683890599</v>
      </c>
      <c r="EF63" s="902">
        <v>115.81387228731673</v>
      </c>
      <c r="EG63" s="902">
        <v>2125</v>
      </c>
      <c r="EH63" s="909" t="s">
        <v>2875</v>
      </c>
      <c r="EI63" s="909">
        <v>5</v>
      </c>
      <c r="EJ63" s="909">
        <v>1</v>
      </c>
      <c r="EK63" s="909">
        <v>8</v>
      </c>
      <c r="EL63" s="909">
        <v>97.614604079229423</v>
      </c>
      <c r="EM63" s="910">
        <v>2689.3337519708102</v>
      </c>
      <c r="EN63" s="909">
        <v>1</v>
      </c>
      <c r="EO63" s="909">
        <v>8</v>
      </c>
      <c r="EP63" s="909">
        <v>124.01540039803612</v>
      </c>
      <c r="EQ63" s="910">
        <v>2353.5623534221736</v>
      </c>
      <c r="ER63" s="871">
        <v>2353.5623534221736</v>
      </c>
      <c r="ES63" s="911">
        <v>197.17157864737612</v>
      </c>
      <c r="ET63" s="908">
        <v>121.70670144000002</v>
      </c>
      <c r="EU63" s="902">
        <v>423.46558554283968</v>
      </c>
      <c r="EV63" s="902">
        <v>0</v>
      </c>
      <c r="EW63" s="902">
        <v>0</v>
      </c>
      <c r="EX63" s="902">
        <v>100.57424124123416</v>
      </c>
      <c r="EY63" s="902">
        <v>121.96680125215826</v>
      </c>
      <c r="EZ63" s="902">
        <v>1700</v>
      </c>
      <c r="FA63" s="909" t="s">
        <v>3884</v>
      </c>
      <c r="FB63" s="909">
        <v>8</v>
      </c>
      <c r="FC63" s="909">
        <v>0</v>
      </c>
      <c r="FD63" s="909">
        <v>0</v>
      </c>
      <c r="FE63" s="909">
        <v>0</v>
      </c>
      <c r="FF63" s="910">
        <v>1888.0099899619363</v>
      </c>
      <c r="FG63" s="909">
        <v>0</v>
      </c>
      <c r="FH63" s="909">
        <v>0</v>
      </c>
      <c r="FI63" s="909">
        <v>0</v>
      </c>
      <c r="FJ63" s="910">
        <v>2066.5763106937989</v>
      </c>
      <c r="FK63" s="871">
        <v>1888.0099899619363</v>
      </c>
      <c r="FL63" s="911">
        <v>158.16955504982823</v>
      </c>
      <c r="FM63" s="908">
        <v>121.70670144000002</v>
      </c>
      <c r="FN63" s="902">
        <v>431.56252784174688</v>
      </c>
      <c r="FO63" s="902">
        <v>8.0969422989072015</v>
      </c>
      <c r="FP63" s="902">
        <v>0</v>
      </c>
      <c r="FQ63" s="902">
        <v>101.44527768578514</v>
      </c>
      <c r="FR63" s="902">
        <v>123.34424770280695</v>
      </c>
      <c r="FS63" s="902">
        <v>2125</v>
      </c>
      <c r="FT63" s="909" t="s">
        <v>2877</v>
      </c>
      <c r="FU63" s="909">
        <v>8</v>
      </c>
      <c r="FV63" s="909">
        <v>1</v>
      </c>
      <c r="FW63" s="909">
        <v>10</v>
      </c>
      <c r="FX63" s="909">
        <v>97.614604079229423</v>
      </c>
      <c r="FY63" s="910">
        <v>5028.0952349763611</v>
      </c>
      <c r="FZ63" s="909">
        <v>0</v>
      </c>
      <c r="GA63" s="909">
        <v>0</v>
      </c>
      <c r="GB63" s="909">
        <v>0</v>
      </c>
      <c r="GC63" s="910">
        <v>2552.3880088410901</v>
      </c>
      <c r="GD63" s="871">
        <v>2552.3880088410901</v>
      </c>
      <c r="GE63" s="911">
        <v>213.82835780495597</v>
      </c>
      <c r="GF63" s="908">
        <v>121.70670144000002</v>
      </c>
      <c r="GG63" s="902">
        <v>423.46558554283968</v>
      </c>
      <c r="GH63" s="902">
        <v>0</v>
      </c>
      <c r="GI63" s="902">
        <v>0</v>
      </c>
      <c r="GJ63" s="902">
        <v>100.57424124123416</v>
      </c>
      <c r="GK63" s="902">
        <v>121.96680125215826</v>
      </c>
      <c r="GL63" s="902">
        <v>1700</v>
      </c>
      <c r="GM63" s="909" t="s">
        <v>2877</v>
      </c>
      <c r="GN63" s="909">
        <v>8</v>
      </c>
      <c r="GO63" s="909">
        <v>0</v>
      </c>
      <c r="GP63" s="909">
        <v>0</v>
      </c>
      <c r="GQ63" s="909">
        <v>0</v>
      </c>
      <c r="GR63" s="910">
        <v>2331.8442362930227</v>
      </c>
      <c r="GS63" s="909">
        <v>0</v>
      </c>
      <c r="GT63" s="909">
        <v>0</v>
      </c>
      <c r="GU63" s="909">
        <v>0</v>
      </c>
      <c r="GV63" s="910">
        <v>2552.3880088410901</v>
      </c>
      <c r="GW63" s="871">
        <v>2331.8442362930227</v>
      </c>
      <c r="GX63" s="911">
        <v>195.35212592143631</v>
      </c>
      <c r="GY63" s="908">
        <v>121.70670144000002</v>
      </c>
      <c r="GZ63" s="902">
        <v>431.56252784174688</v>
      </c>
      <c r="HA63" s="902">
        <v>8.0969422989072015</v>
      </c>
      <c r="HB63" s="902">
        <v>0</v>
      </c>
      <c r="HC63" s="902">
        <v>101.44527768578514</v>
      </c>
      <c r="HD63" s="902">
        <v>123.34424770280695</v>
      </c>
      <c r="HE63" s="902">
        <v>2125</v>
      </c>
      <c r="HF63" s="909" t="s">
        <v>2877</v>
      </c>
      <c r="HG63" s="909">
        <v>8</v>
      </c>
      <c r="HH63" s="909">
        <v>1</v>
      </c>
      <c r="HI63" s="909">
        <v>10</v>
      </c>
      <c r="HJ63" s="909">
        <v>97.614604079229423</v>
      </c>
      <c r="HK63" s="910">
        <v>5028.0952349763611</v>
      </c>
      <c r="HL63" s="909">
        <v>0</v>
      </c>
      <c r="HM63" s="909">
        <v>0</v>
      </c>
      <c r="HN63" s="909">
        <v>0</v>
      </c>
      <c r="HO63" s="910">
        <v>2552.3880088410901</v>
      </c>
      <c r="HP63" s="871">
        <v>2552.3880088410901</v>
      </c>
      <c r="HQ63" s="911">
        <v>213.82835780495597</v>
      </c>
      <c r="HR63" s="908">
        <v>60.853350720000009</v>
      </c>
      <c r="HS63" s="902">
        <v>381.58181523178007</v>
      </c>
      <c r="HT63" s="902">
        <v>4.8581653793443209</v>
      </c>
      <c r="HU63" s="902">
        <v>14.111415029596047</v>
      </c>
      <c r="HV63" s="902">
        <v>93.766148642111901</v>
      </c>
      <c r="HW63" s="902">
        <v>107.10024714494668</v>
      </c>
      <c r="HX63" s="902">
        <v>1700</v>
      </c>
      <c r="HY63" s="909" t="s">
        <v>1063</v>
      </c>
      <c r="HZ63" s="909">
        <v>4</v>
      </c>
      <c r="IA63" s="909">
        <v>1</v>
      </c>
      <c r="IB63" s="909">
        <v>6</v>
      </c>
      <c r="IC63" s="909">
        <v>97.614604079229423</v>
      </c>
      <c r="ID63" s="910">
        <v>2673.9217357241582</v>
      </c>
      <c r="IE63" s="909">
        <v>1</v>
      </c>
      <c r="IF63" s="909">
        <v>6</v>
      </c>
      <c r="IG63" s="909">
        <v>124.01540039803612</v>
      </c>
      <c r="IH63" s="910">
        <v>2716.0727288725825</v>
      </c>
      <c r="II63" s="871">
        <v>2673.9217357241582</v>
      </c>
      <c r="IJ63" s="911">
        <v>224.00994349933555</v>
      </c>
      <c r="IK63" s="908">
        <v>60.853350720000009</v>
      </c>
      <c r="IL63" s="902">
        <v>381.58181523178007</v>
      </c>
      <c r="IM63" s="902">
        <v>4.8581653793443209</v>
      </c>
      <c r="IN63" s="902">
        <v>14.111415029596047</v>
      </c>
      <c r="IO63" s="902">
        <v>93.766148642111901</v>
      </c>
      <c r="IP63" s="902">
        <v>107.10024714494668</v>
      </c>
      <c r="IQ63" s="902">
        <v>2125</v>
      </c>
      <c r="IR63" s="909" t="s">
        <v>1063</v>
      </c>
      <c r="IS63" s="909">
        <v>4</v>
      </c>
      <c r="IT63" s="909">
        <v>1</v>
      </c>
      <c r="IU63" s="909">
        <v>6</v>
      </c>
      <c r="IV63" s="909">
        <v>97.614604079229423</v>
      </c>
      <c r="IW63" s="910">
        <v>2673.9217357241582</v>
      </c>
      <c r="IX63" s="909">
        <v>1</v>
      </c>
      <c r="IY63" s="909">
        <v>6</v>
      </c>
      <c r="IZ63" s="909">
        <v>124.01540039803612</v>
      </c>
      <c r="JA63" s="910">
        <v>2716.0727288725825</v>
      </c>
      <c r="JB63" s="871">
        <v>2673.9217357241582</v>
      </c>
      <c r="JC63" s="911">
        <v>224.00994349933555</v>
      </c>
      <c r="JD63" s="908">
        <v>76.066688400000004</v>
      </c>
      <c r="JE63" s="902">
        <v>377.82557250283969</v>
      </c>
      <c r="JF63" s="902">
        <v>0</v>
      </c>
      <c r="JG63" s="902">
        <v>0</v>
      </c>
      <c r="JH63" s="902">
        <v>94.966171302754674</v>
      </c>
      <c r="JI63" s="902">
        <v>104.3921885945918</v>
      </c>
      <c r="JJ63" s="902">
        <v>1700</v>
      </c>
      <c r="JK63" s="909" t="s">
        <v>1064</v>
      </c>
      <c r="JL63" s="909">
        <v>5</v>
      </c>
      <c r="JM63" s="909">
        <v>0</v>
      </c>
      <c r="JN63" s="909">
        <v>0</v>
      </c>
      <c r="JO63" s="909">
        <v>0</v>
      </c>
      <c r="JP63" s="910">
        <v>1967.5504288812706</v>
      </c>
      <c r="JQ63" s="909">
        <v>0</v>
      </c>
      <c r="JR63" s="909">
        <v>0</v>
      </c>
      <c r="JS63" s="909">
        <v>0</v>
      </c>
      <c r="JT63" s="910">
        <v>2024.8169135365479</v>
      </c>
      <c r="JU63" s="871">
        <v>1967.5504288812706</v>
      </c>
      <c r="JV63" s="911">
        <v>164.83311927842257</v>
      </c>
      <c r="JW63" s="908">
        <v>60.853350720000009</v>
      </c>
      <c r="JX63" s="902">
        <v>381.58181523178007</v>
      </c>
      <c r="JY63" s="902">
        <v>4.8581653793443209</v>
      </c>
      <c r="JZ63" s="902">
        <v>14.111415029596047</v>
      </c>
      <c r="KA63" s="902">
        <v>93.766148642111901</v>
      </c>
      <c r="KB63" s="902">
        <v>107.10024714494668</v>
      </c>
      <c r="KC63" s="902">
        <v>2125</v>
      </c>
      <c r="KD63" s="909" t="s">
        <v>1064</v>
      </c>
      <c r="KE63" s="909">
        <v>4</v>
      </c>
      <c r="KF63" s="909">
        <v>1</v>
      </c>
      <c r="KG63" s="909">
        <v>6</v>
      </c>
      <c r="KH63" s="909">
        <v>97.614604079229423</v>
      </c>
      <c r="KI63" s="910">
        <v>3643.9410931830234</v>
      </c>
      <c r="KJ63" s="909">
        <v>1</v>
      </c>
      <c r="KK63" s="909">
        <v>6</v>
      </c>
      <c r="KL63" s="909">
        <v>124.01540039803612</v>
      </c>
      <c r="KM63" s="910">
        <v>3701.3832142443653</v>
      </c>
      <c r="KN63" s="871">
        <v>3643.9410931830234</v>
      </c>
      <c r="KO63" s="912">
        <v>305.27409515887319</v>
      </c>
    </row>
    <row r="64" spans="1:301" ht="15" customHeight="1">
      <c r="A64" s="924" t="s">
        <v>1551</v>
      </c>
      <c r="B64" s="888" t="s">
        <v>1082</v>
      </c>
      <c r="C64" s="888">
        <v>874</v>
      </c>
      <c r="D64" s="888">
        <v>1600</v>
      </c>
      <c r="E64" s="888">
        <v>890</v>
      </c>
      <c r="F64" s="888">
        <v>800</v>
      </c>
      <c r="G64" s="888">
        <v>465</v>
      </c>
      <c r="H64" s="888">
        <v>330</v>
      </c>
      <c r="I64" s="888">
        <v>233</v>
      </c>
      <c r="J64" s="888">
        <v>34.68</v>
      </c>
      <c r="K64" s="888">
        <v>44.87</v>
      </c>
      <c r="L64" s="888">
        <v>12</v>
      </c>
      <c r="M64" s="888">
        <v>610</v>
      </c>
      <c r="N64" s="888">
        <v>6</v>
      </c>
      <c r="O64" s="884">
        <v>65.398604955613436</v>
      </c>
      <c r="P64" s="888">
        <v>6</v>
      </c>
      <c r="Q64" s="884">
        <v>45.8277213861519</v>
      </c>
      <c r="R64" s="888">
        <v>20</v>
      </c>
      <c r="S64" s="888">
        <v>1149.4144441669318</v>
      </c>
      <c r="T64" s="906">
        <v>162.90815854552943</v>
      </c>
      <c r="U64" s="906">
        <v>172.41216662503976</v>
      </c>
      <c r="V64" s="906">
        <v>185</v>
      </c>
      <c r="W64" s="1141">
        <v>25.428945372966229</v>
      </c>
      <c r="X64" s="902">
        <v>533.33333333333326</v>
      </c>
      <c r="Y64" s="902">
        <v>71.453117981632715</v>
      </c>
      <c r="Z64" s="902">
        <v>6</v>
      </c>
      <c r="AA64" s="902">
        <v>10.893425466061062</v>
      </c>
      <c r="AB64" s="970">
        <v>66.401693222011431</v>
      </c>
      <c r="AC64" s="1045">
        <v>2990.3752104045175</v>
      </c>
      <c r="AD64" s="890">
        <v>0.31622484423414265</v>
      </c>
      <c r="AE64" s="890">
        <v>0.69191652277805815</v>
      </c>
      <c r="AF64" s="890">
        <v>-0.33674765543649254</v>
      </c>
      <c r="AG64" s="890">
        <v>0.74956480639478673</v>
      </c>
      <c r="AH64" s="888"/>
      <c r="AI64" s="907">
        <v>10.963743578263093</v>
      </c>
      <c r="AJ64" s="908">
        <v>97.053318000000004</v>
      </c>
      <c r="AK64" s="902">
        <v>407.51017372632202</v>
      </c>
      <c r="AL64" s="902">
        <v>0</v>
      </c>
      <c r="AM64" s="902">
        <v>0</v>
      </c>
      <c r="AN64" s="902">
        <v>103.31831356379043</v>
      </c>
      <c r="AO64" s="902">
        <v>117.25069387474579</v>
      </c>
      <c r="AP64" s="1222">
        <v>1550</v>
      </c>
      <c r="AQ64" s="909" t="s">
        <v>1064</v>
      </c>
      <c r="AR64" s="909">
        <v>6</v>
      </c>
      <c r="AS64" s="909">
        <v>0</v>
      </c>
      <c r="AT64" s="909">
        <v>0</v>
      </c>
      <c r="AU64" s="909">
        <v>0</v>
      </c>
      <c r="AV64" s="910">
        <v>1817.1512551057026</v>
      </c>
      <c r="AW64" s="909">
        <v>0</v>
      </c>
      <c r="AX64" s="909">
        <v>0</v>
      </c>
      <c r="AY64" s="909">
        <v>0</v>
      </c>
      <c r="AZ64" s="910">
        <v>1923.2701597591076</v>
      </c>
      <c r="BA64" s="871">
        <v>1817.1512551057026</v>
      </c>
      <c r="BB64" s="911">
        <v>152.23330756004125</v>
      </c>
      <c r="BC64" s="908">
        <v>80.877765000000011</v>
      </c>
      <c r="BD64" s="902">
        <v>413.59587204942079</v>
      </c>
      <c r="BE64" s="902">
        <v>6.7338175409611756</v>
      </c>
      <c r="BF64" s="902">
        <v>15.527433782137551</v>
      </c>
      <c r="BG64" s="902">
        <v>102.40509264393124</v>
      </c>
      <c r="BH64" s="902">
        <v>120.83527873037076</v>
      </c>
      <c r="BI64" s="902">
        <v>1937.5</v>
      </c>
      <c r="BJ64" s="909" t="s">
        <v>1062</v>
      </c>
      <c r="BK64" s="909">
        <v>5</v>
      </c>
      <c r="BL64" s="909">
        <v>1</v>
      </c>
      <c r="BM64" s="909">
        <v>8</v>
      </c>
      <c r="BN64" s="909">
        <v>81.945005087880276</v>
      </c>
      <c r="BO64" s="910">
        <v>2154.3896480341996</v>
      </c>
      <c r="BP64" s="909">
        <v>1</v>
      </c>
      <c r="BQ64" s="909">
        <v>8</v>
      </c>
      <c r="BR64" s="909">
        <v>101.60458816897381</v>
      </c>
      <c r="BS64" s="910">
        <v>2213.041826714124</v>
      </c>
      <c r="BT64" s="871">
        <v>2154.3896480341996</v>
      </c>
      <c r="BU64" s="911">
        <v>180.48572509957711</v>
      </c>
      <c r="BV64" s="908">
        <v>64.702212000000003</v>
      </c>
      <c r="BW64" s="902">
        <v>391.85500621864611</v>
      </c>
      <c r="BX64" s="902">
        <v>5.0503631557208815</v>
      </c>
      <c r="BY64" s="902">
        <v>11.645575336603164</v>
      </c>
      <c r="BZ64" s="902">
        <v>99.412666033831087</v>
      </c>
      <c r="CA64" s="902">
        <v>111.53826807842889</v>
      </c>
      <c r="CB64" s="902">
        <v>1550</v>
      </c>
      <c r="CC64" s="909" t="s">
        <v>2874</v>
      </c>
      <c r="CD64" s="909">
        <v>4</v>
      </c>
      <c r="CE64" s="909">
        <v>1</v>
      </c>
      <c r="CF64" s="909">
        <v>6</v>
      </c>
      <c r="CG64" s="909">
        <v>81.945005087880276</v>
      </c>
      <c r="CH64" s="910">
        <v>1817.0824187582421</v>
      </c>
      <c r="CI64" s="909">
        <v>1</v>
      </c>
      <c r="CJ64" s="909">
        <v>6</v>
      </c>
      <c r="CK64" s="909">
        <v>101.60458816897381</v>
      </c>
      <c r="CL64" s="910">
        <v>1927.8398872233565</v>
      </c>
      <c r="CM64" s="871">
        <v>1817.0824187582421</v>
      </c>
      <c r="CN64" s="911">
        <v>152.22754073968176</v>
      </c>
      <c r="CO64" s="908">
        <v>97.053318000000004</v>
      </c>
      <c r="CP64" s="902">
        <v>433.65328349495513</v>
      </c>
      <c r="CQ64" s="902">
        <v>6.7338175409611756</v>
      </c>
      <c r="CR64" s="902">
        <v>19.409292227671937</v>
      </c>
      <c r="CS64" s="902">
        <v>104.86609482527362</v>
      </c>
      <c r="CT64" s="902">
        <v>129.7448651509481</v>
      </c>
      <c r="CU64" s="902">
        <v>1937.5</v>
      </c>
      <c r="CV64" s="909" t="s">
        <v>2874</v>
      </c>
      <c r="CW64" s="909">
        <v>6</v>
      </c>
      <c r="CX64" s="909">
        <v>1</v>
      </c>
      <c r="CY64" s="909">
        <v>8</v>
      </c>
      <c r="CZ64" s="909">
        <v>81.945005087880276</v>
      </c>
      <c r="DA64" s="910">
        <v>2442.989520159681</v>
      </c>
      <c r="DB64" s="909">
        <v>1</v>
      </c>
      <c r="DC64" s="909">
        <v>10</v>
      </c>
      <c r="DD64" s="909">
        <v>101.60458816897381</v>
      </c>
      <c r="DE64" s="910">
        <v>2176.0653669377648</v>
      </c>
      <c r="DF64" s="871">
        <v>2176.0653669377648</v>
      </c>
      <c r="DG64" s="911">
        <v>182.30162588007624</v>
      </c>
      <c r="DH64" s="908">
        <v>64.702212000000003</v>
      </c>
      <c r="DI64" s="902">
        <v>391.85500621864611</v>
      </c>
      <c r="DJ64" s="902">
        <v>5.0503631557208815</v>
      </c>
      <c r="DK64" s="902">
        <v>11.645575336603164</v>
      </c>
      <c r="DL64" s="902">
        <v>99.412666033831087</v>
      </c>
      <c r="DM64" s="902">
        <v>111.53826807842889</v>
      </c>
      <c r="DN64" s="902">
        <v>1550</v>
      </c>
      <c r="DO64" s="909" t="s">
        <v>2875</v>
      </c>
      <c r="DP64" s="909">
        <v>4</v>
      </c>
      <c r="DQ64" s="909">
        <v>1</v>
      </c>
      <c r="DR64" s="909">
        <v>6</v>
      </c>
      <c r="DS64" s="909">
        <v>81.945005087880276</v>
      </c>
      <c r="DT64" s="910">
        <v>1891.2793446783567</v>
      </c>
      <c r="DU64" s="909">
        <v>1</v>
      </c>
      <c r="DV64" s="909">
        <v>6</v>
      </c>
      <c r="DW64" s="909">
        <v>101.60458816897381</v>
      </c>
      <c r="DX64" s="910">
        <v>2006.5593728237427</v>
      </c>
      <c r="DY64" s="871">
        <v>1891.2793446783567</v>
      </c>
      <c r="DZ64" s="911">
        <v>158.44344787007049</v>
      </c>
      <c r="EA64" s="908">
        <v>80.877765000000011</v>
      </c>
      <c r="EB64" s="902">
        <v>413.59587204942079</v>
      </c>
      <c r="EC64" s="902">
        <v>6.7338175409611756</v>
      </c>
      <c r="ED64" s="902">
        <v>15.527433782137551</v>
      </c>
      <c r="EE64" s="902">
        <v>102.40509264393124</v>
      </c>
      <c r="EF64" s="902">
        <v>120.83527873037076</v>
      </c>
      <c r="EG64" s="902">
        <v>1937.5</v>
      </c>
      <c r="EH64" s="909" t="s">
        <v>2875</v>
      </c>
      <c r="EI64" s="909">
        <v>5</v>
      </c>
      <c r="EJ64" s="909">
        <v>1</v>
      </c>
      <c r="EK64" s="909">
        <v>8</v>
      </c>
      <c r="EL64" s="909">
        <v>81.945005087880276</v>
      </c>
      <c r="EM64" s="910">
        <v>2197.0549710417349</v>
      </c>
      <c r="EN64" s="909">
        <v>1</v>
      </c>
      <c r="EO64" s="909">
        <v>8</v>
      </c>
      <c r="EP64" s="909">
        <v>101.60458816897381</v>
      </c>
      <c r="EQ64" s="910">
        <v>2256.8686917624686</v>
      </c>
      <c r="ER64" s="871">
        <v>2197.0549710417349</v>
      </c>
      <c r="ES64" s="911">
        <v>184.06004684153734</v>
      </c>
      <c r="ET64" s="908">
        <v>129.40442400000001</v>
      </c>
      <c r="EU64" s="902">
        <v>439.86127972632204</v>
      </c>
      <c r="EV64" s="902">
        <v>0</v>
      </c>
      <c r="EW64" s="902">
        <v>0</v>
      </c>
      <c r="EX64" s="902">
        <v>107.85490468496877</v>
      </c>
      <c r="EY64" s="902">
        <v>130.69207697560279</v>
      </c>
      <c r="EZ64" s="902">
        <v>1550</v>
      </c>
      <c r="FA64" s="909" t="s">
        <v>2877</v>
      </c>
      <c r="FB64" s="909">
        <v>8</v>
      </c>
      <c r="FC64" s="909">
        <v>0</v>
      </c>
      <c r="FD64" s="909">
        <v>0</v>
      </c>
      <c r="FE64" s="909">
        <v>0</v>
      </c>
      <c r="FF64" s="910">
        <v>1895.5388307472811</v>
      </c>
      <c r="FG64" s="909">
        <v>0</v>
      </c>
      <c r="FH64" s="909">
        <v>0</v>
      </c>
      <c r="FI64" s="909">
        <v>0</v>
      </c>
      <c r="FJ64" s="910">
        <v>2074.3288033161016</v>
      </c>
      <c r="FK64" s="871">
        <v>1895.5388307472811</v>
      </c>
      <c r="FL64" s="911">
        <v>158.80028974052917</v>
      </c>
      <c r="FM64" s="908">
        <v>80.877765000000011</v>
      </c>
      <c r="FN64" s="902">
        <v>413.59587204942079</v>
      </c>
      <c r="FO64" s="902">
        <v>6.7338175409611756</v>
      </c>
      <c r="FP64" s="902">
        <v>15.527433782137551</v>
      </c>
      <c r="FQ64" s="902">
        <v>102.40509264393124</v>
      </c>
      <c r="FR64" s="902">
        <v>120.83527873037076</v>
      </c>
      <c r="FS64" s="902">
        <v>1937.5</v>
      </c>
      <c r="FT64" s="909" t="s">
        <v>3884</v>
      </c>
      <c r="FU64" s="909">
        <v>5</v>
      </c>
      <c r="FV64" s="909">
        <v>1</v>
      </c>
      <c r="FW64" s="909">
        <v>8</v>
      </c>
      <c r="FX64" s="909">
        <v>81.945005087880276</v>
      </c>
      <c r="FY64" s="910">
        <v>2340.2661839109601</v>
      </c>
      <c r="FZ64" s="909">
        <v>1</v>
      </c>
      <c r="GA64" s="909">
        <v>8</v>
      </c>
      <c r="GB64" s="909">
        <v>101.60458816897381</v>
      </c>
      <c r="GC64" s="910">
        <v>2403.9787581440278</v>
      </c>
      <c r="GD64" s="871">
        <v>2340.2661839109601</v>
      </c>
      <c r="GE64" s="911">
        <v>196.0576813551811</v>
      </c>
      <c r="GF64" s="908">
        <v>129.40442400000001</v>
      </c>
      <c r="GG64" s="902">
        <v>439.86127972632204</v>
      </c>
      <c r="GH64" s="902">
        <v>0</v>
      </c>
      <c r="GI64" s="902">
        <v>0</v>
      </c>
      <c r="GJ64" s="902">
        <v>107.85490468496877</v>
      </c>
      <c r="GK64" s="902">
        <v>130.69207697560279</v>
      </c>
      <c r="GL64" s="902">
        <v>1550</v>
      </c>
      <c r="GM64" s="909" t="s">
        <v>2877</v>
      </c>
      <c r="GN64" s="909">
        <v>8</v>
      </c>
      <c r="GO64" s="909">
        <v>0</v>
      </c>
      <c r="GP64" s="909">
        <v>0</v>
      </c>
      <c r="GQ64" s="909">
        <v>0</v>
      </c>
      <c r="GR64" s="910">
        <v>1895.5388307472811</v>
      </c>
      <c r="GS64" s="909">
        <v>0</v>
      </c>
      <c r="GT64" s="909">
        <v>0</v>
      </c>
      <c r="GU64" s="909">
        <v>0</v>
      </c>
      <c r="GV64" s="910">
        <v>2074.3288033161016</v>
      </c>
      <c r="GW64" s="871">
        <v>1895.5388307472811</v>
      </c>
      <c r="GX64" s="911">
        <v>158.80028974052917</v>
      </c>
      <c r="GY64" s="908">
        <v>64.702212000000003</v>
      </c>
      <c r="GZ64" s="902">
        <v>391.85500621864611</v>
      </c>
      <c r="HA64" s="902">
        <v>5.0503631557208815</v>
      </c>
      <c r="HB64" s="902">
        <v>11.645575336603164</v>
      </c>
      <c r="HC64" s="902">
        <v>99.412666033831087</v>
      </c>
      <c r="HD64" s="902">
        <v>111.53826807842889</v>
      </c>
      <c r="HE64" s="902">
        <v>1937.5</v>
      </c>
      <c r="HF64" s="909" t="s">
        <v>2877</v>
      </c>
      <c r="HG64" s="909">
        <v>4</v>
      </c>
      <c r="HH64" s="909">
        <v>1</v>
      </c>
      <c r="HI64" s="909">
        <v>6</v>
      </c>
      <c r="HJ64" s="909">
        <v>81.945005087880276</v>
      </c>
      <c r="HK64" s="910">
        <v>2488.142573999844</v>
      </c>
      <c r="HL64" s="909">
        <v>1</v>
      </c>
      <c r="HM64" s="909">
        <v>6</v>
      </c>
      <c r="HN64" s="909">
        <v>101.60458816897381</v>
      </c>
      <c r="HO64" s="910">
        <v>2639.8034837261193</v>
      </c>
      <c r="HP64" s="871">
        <v>2488.142573999844</v>
      </c>
      <c r="HQ64" s="911">
        <v>208.44614484165089</v>
      </c>
      <c r="HR64" s="908">
        <v>64.702212000000003</v>
      </c>
      <c r="HS64" s="902">
        <v>391.85500621864611</v>
      </c>
      <c r="HT64" s="902">
        <v>5.0503631557208815</v>
      </c>
      <c r="HU64" s="902">
        <v>11.645575336603164</v>
      </c>
      <c r="HV64" s="902">
        <v>99.412666033831087</v>
      </c>
      <c r="HW64" s="902">
        <v>111.53826807842889</v>
      </c>
      <c r="HX64" s="902">
        <v>1550</v>
      </c>
      <c r="HY64" s="909" t="s">
        <v>1063</v>
      </c>
      <c r="HZ64" s="909">
        <v>4</v>
      </c>
      <c r="IA64" s="909">
        <v>1</v>
      </c>
      <c r="IB64" s="909">
        <v>6</v>
      </c>
      <c r="IC64" s="909">
        <v>81.945005087880276</v>
      </c>
      <c r="ID64" s="910">
        <v>2194.3354924252371</v>
      </c>
      <c r="IE64" s="909">
        <v>1</v>
      </c>
      <c r="IF64" s="909">
        <v>6</v>
      </c>
      <c r="IG64" s="909">
        <v>101.60458816897381</v>
      </c>
      <c r="IH64" s="910">
        <v>2328.0878426737518</v>
      </c>
      <c r="II64" s="871">
        <v>2194.3354924252371</v>
      </c>
      <c r="IJ64" s="911">
        <v>183.83222033371911</v>
      </c>
      <c r="IK64" s="908">
        <v>64.702212000000003</v>
      </c>
      <c r="IL64" s="902">
        <v>391.85500621864611</v>
      </c>
      <c r="IM64" s="902">
        <v>5.0503631557208815</v>
      </c>
      <c r="IN64" s="902">
        <v>11.645575336603164</v>
      </c>
      <c r="IO64" s="902">
        <v>99.412666033831087</v>
      </c>
      <c r="IP64" s="902">
        <v>111.53826807842889</v>
      </c>
      <c r="IQ64" s="902">
        <v>1937.5</v>
      </c>
      <c r="IR64" s="909" t="s">
        <v>1063</v>
      </c>
      <c r="IS64" s="909">
        <v>4</v>
      </c>
      <c r="IT64" s="909">
        <v>1</v>
      </c>
      <c r="IU64" s="909">
        <v>6</v>
      </c>
      <c r="IV64" s="909">
        <v>81.945005087880276</v>
      </c>
      <c r="IW64" s="910">
        <v>2194.3354924252371</v>
      </c>
      <c r="IX64" s="909">
        <v>1</v>
      </c>
      <c r="IY64" s="909">
        <v>6</v>
      </c>
      <c r="IZ64" s="909">
        <v>101.60458816897381</v>
      </c>
      <c r="JA64" s="910">
        <v>2328.0878426737518</v>
      </c>
      <c r="JB64" s="871">
        <v>2194.3354924252371</v>
      </c>
      <c r="JC64" s="911">
        <v>183.83222033371911</v>
      </c>
      <c r="JD64" s="908">
        <v>97.053318000000004</v>
      </c>
      <c r="JE64" s="902">
        <v>407.51017372632202</v>
      </c>
      <c r="JF64" s="902">
        <v>0</v>
      </c>
      <c r="JG64" s="902">
        <v>0</v>
      </c>
      <c r="JH64" s="902">
        <v>103.31831356379043</v>
      </c>
      <c r="JI64" s="902">
        <v>117.25069387474579</v>
      </c>
      <c r="JJ64" s="902">
        <v>1550</v>
      </c>
      <c r="JK64" s="909" t="s">
        <v>1064</v>
      </c>
      <c r="JL64" s="909">
        <v>6</v>
      </c>
      <c r="JM64" s="909">
        <v>0</v>
      </c>
      <c r="JN64" s="909">
        <v>0</v>
      </c>
      <c r="JO64" s="909">
        <v>0</v>
      </c>
      <c r="JP64" s="910">
        <v>1817.1512551057026</v>
      </c>
      <c r="JQ64" s="909">
        <v>0</v>
      </c>
      <c r="JR64" s="909">
        <v>0</v>
      </c>
      <c r="JS64" s="909">
        <v>0</v>
      </c>
      <c r="JT64" s="910">
        <v>1923.2701597591076</v>
      </c>
      <c r="JU64" s="871">
        <v>1817.1512551057026</v>
      </c>
      <c r="JV64" s="911">
        <v>152.23330756004125</v>
      </c>
      <c r="JW64" s="908">
        <v>64.702212000000003</v>
      </c>
      <c r="JX64" s="902">
        <v>391.85500621864611</v>
      </c>
      <c r="JY64" s="902">
        <v>5.0503631557208815</v>
      </c>
      <c r="JZ64" s="902">
        <v>11.645575336603164</v>
      </c>
      <c r="KA64" s="902">
        <v>99.412666033831087</v>
      </c>
      <c r="KB64" s="902">
        <v>111.53826807842889</v>
      </c>
      <c r="KC64" s="902">
        <v>1937.5</v>
      </c>
      <c r="KD64" s="909" t="s">
        <v>1064</v>
      </c>
      <c r="KE64" s="909">
        <v>4</v>
      </c>
      <c r="KF64" s="909">
        <v>1</v>
      </c>
      <c r="KG64" s="909">
        <v>6</v>
      </c>
      <c r="KH64" s="909">
        <v>81.945005087880276</v>
      </c>
      <c r="KI64" s="910">
        <v>2990.3752104045175</v>
      </c>
      <c r="KJ64" s="909">
        <v>1</v>
      </c>
      <c r="KK64" s="909">
        <v>6</v>
      </c>
      <c r="KL64" s="909">
        <v>101.60458816897381</v>
      </c>
      <c r="KM64" s="910">
        <v>3172.6489392409976</v>
      </c>
      <c r="KN64" s="871">
        <v>2990.3752104045175</v>
      </c>
      <c r="KO64" s="912">
        <v>250.5210877995697</v>
      </c>
    </row>
    <row r="65" spans="1:301" ht="15" customHeight="1">
      <c r="A65" s="924" t="s">
        <v>1552</v>
      </c>
      <c r="B65" s="888" t="s">
        <v>1083</v>
      </c>
      <c r="C65" s="888">
        <v>1000</v>
      </c>
      <c r="D65" s="888">
        <v>1600</v>
      </c>
      <c r="E65" s="888">
        <v>1000</v>
      </c>
      <c r="F65" s="888">
        <v>814.12091966822868</v>
      </c>
      <c r="G65" s="888">
        <v>616.38278029872845</v>
      </c>
      <c r="H65" s="888">
        <v>531.6352569169195</v>
      </c>
      <c r="I65" s="888">
        <v>500</v>
      </c>
      <c r="J65" s="888">
        <v>22</v>
      </c>
      <c r="K65" s="888">
        <v>32</v>
      </c>
      <c r="L65" s="888">
        <v>12</v>
      </c>
      <c r="M65" s="888">
        <v>687.60210352378431</v>
      </c>
      <c r="N65" s="888">
        <v>6</v>
      </c>
      <c r="O65" s="884">
        <v>57.707915453790903</v>
      </c>
      <c r="P65" s="888">
        <v>6</v>
      </c>
      <c r="Q65" s="884">
        <v>40.802642280305719</v>
      </c>
      <c r="R65" s="888">
        <v>20</v>
      </c>
      <c r="S65" s="888">
        <v>1207.0604598341145</v>
      </c>
      <c r="T65" s="906">
        <v>179.65842223168337</v>
      </c>
      <c r="U65" s="906">
        <v>181.05906897511716</v>
      </c>
      <c r="V65" s="906">
        <v>197.5</v>
      </c>
      <c r="W65" s="1141">
        <v>29.938391767201605</v>
      </c>
      <c r="X65" s="902">
        <v>542.74727977881912</v>
      </c>
      <c r="Y65" s="902">
        <v>72.714347655461594</v>
      </c>
      <c r="Z65" s="902">
        <v>6</v>
      </c>
      <c r="AA65" s="902">
        <v>11.281382420064556</v>
      </c>
      <c r="AB65" s="970">
        <v>71.119191578384928</v>
      </c>
      <c r="AC65" s="1045">
        <v>1317.9428117667201</v>
      </c>
      <c r="AD65" s="890">
        <v>0.28292532624686551</v>
      </c>
      <c r="AE65" s="890">
        <v>0.40402622583515679</v>
      </c>
      <c r="AF65" s="890">
        <v>-0.5444250636789697</v>
      </c>
      <c r="AG65" s="890">
        <v>0.96134169227786193</v>
      </c>
      <c r="AH65" s="888"/>
      <c r="AI65" s="907">
        <v>14.983935739099458</v>
      </c>
      <c r="AJ65" s="908">
        <v>200.46360225219055</v>
      </c>
      <c r="AK65" s="902">
        <v>533.82067438768706</v>
      </c>
      <c r="AL65" s="902">
        <v>0</v>
      </c>
      <c r="AM65" s="902">
        <v>13.968317982450364</v>
      </c>
      <c r="AN65" s="902">
        <v>173.73618757115216</v>
      </c>
      <c r="AO65" s="902">
        <v>176.48964517064022</v>
      </c>
      <c r="AP65" s="1222">
        <v>750</v>
      </c>
      <c r="AQ65" s="909" t="s">
        <v>1064</v>
      </c>
      <c r="AR65" s="909">
        <v>6</v>
      </c>
      <c r="AS65" s="909">
        <v>0</v>
      </c>
      <c r="AT65" s="909">
        <v>0</v>
      </c>
      <c r="AU65" s="909">
        <v>0</v>
      </c>
      <c r="AV65" s="910">
        <v>871.95111198402662</v>
      </c>
      <c r="AW65" s="909">
        <v>1</v>
      </c>
      <c r="AX65" s="909">
        <v>8</v>
      </c>
      <c r="AY65" s="909">
        <v>91.093400196131938</v>
      </c>
      <c r="AZ65" s="910">
        <v>1624.7703598929081</v>
      </c>
      <c r="BA65" s="871">
        <v>871.95111198402662</v>
      </c>
      <c r="BB65" s="911">
        <v>73.048405538625829</v>
      </c>
      <c r="BC65" s="908">
        <v>267.28480300292074</v>
      </c>
      <c r="BD65" s="902">
        <v>611.81868935227669</v>
      </c>
      <c r="BE65" s="902">
        <v>7.6847347182468191</v>
      </c>
      <c r="BF65" s="902">
        <v>17.460397478062955</v>
      </c>
      <c r="BG65" s="902">
        <v>185.38495429291635</v>
      </c>
      <c r="BH65" s="902">
        <v>210.40456115424894</v>
      </c>
      <c r="BI65" s="902">
        <v>937.5</v>
      </c>
      <c r="BJ65" s="909" t="s">
        <v>1062</v>
      </c>
      <c r="BK65" s="909">
        <v>8</v>
      </c>
      <c r="BL65" s="909">
        <v>1</v>
      </c>
      <c r="BM65" s="909">
        <v>10</v>
      </c>
      <c r="BN65" s="909">
        <v>64.395070406665013</v>
      </c>
      <c r="BO65" s="910">
        <v>1448.321451377881</v>
      </c>
      <c r="BP65" s="909">
        <v>1</v>
      </c>
      <c r="BQ65" s="909">
        <v>10</v>
      </c>
      <c r="BR65" s="909">
        <v>91.093400196131938</v>
      </c>
      <c r="BS65" s="910">
        <v>1292.3492528842014</v>
      </c>
      <c r="BT65" s="871">
        <v>1292.3492528842014</v>
      </c>
      <c r="BU65" s="911">
        <v>108.26759783288706</v>
      </c>
      <c r="BV65" s="908">
        <v>167.05300187682548</v>
      </c>
      <c r="BW65" s="902">
        <v>506.55786178691949</v>
      </c>
      <c r="BX65" s="902">
        <v>6.1477877745974556</v>
      </c>
      <c r="BY65" s="902">
        <v>13.968317982450364</v>
      </c>
      <c r="BZ65" s="902">
        <v>168.7803883302447</v>
      </c>
      <c r="CA65" s="902">
        <v>163.36956515346202</v>
      </c>
      <c r="CB65" s="902">
        <v>750</v>
      </c>
      <c r="CC65" s="909" t="s">
        <v>2874</v>
      </c>
      <c r="CD65" s="909">
        <v>5</v>
      </c>
      <c r="CE65" s="909">
        <v>1</v>
      </c>
      <c r="CF65" s="909">
        <v>8</v>
      </c>
      <c r="CG65" s="909">
        <v>64.395070406665013</v>
      </c>
      <c r="CH65" s="910">
        <v>991.02520094820068</v>
      </c>
      <c r="CI65" s="909">
        <v>1</v>
      </c>
      <c r="CJ65" s="909">
        <v>8</v>
      </c>
      <c r="CK65" s="909">
        <v>91.093400196131938</v>
      </c>
      <c r="CL65" s="910">
        <v>875.24688915813294</v>
      </c>
      <c r="CM65" s="871">
        <v>875.24688915813294</v>
      </c>
      <c r="CN65" s="911">
        <v>73.324511921506939</v>
      </c>
      <c r="CO65" s="908">
        <v>267.28480300292074</v>
      </c>
      <c r="CP65" s="902">
        <v>611.81868935227669</v>
      </c>
      <c r="CQ65" s="902">
        <v>7.6847347182468191</v>
      </c>
      <c r="CR65" s="902">
        <v>17.460397478062955</v>
      </c>
      <c r="CS65" s="902">
        <v>185.38495429291635</v>
      </c>
      <c r="CT65" s="902">
        <v>210.40456115424894</v>
      </c>
      <c r="CU65" s="902">
        <v>937.5</v>
      </c>
      <c r="CV65" s="909" t="s">
        <v>2874</v>
      </c>
      <c r="CW65" s="909">
        <v>8</v>
      </c>
      <c r="CX65" s="909">
        <v>1</v>
      </c>
      <c r="CY65" s="909">
        <v>10</v>
      </c>
      <c r="CZ65" s="909">
        <v>64.395070406665013</v>
      </c>
      <c r="DA65" s="910">
        <v>1419.0594157611861</v>
      </c>
      <c r="DB65" s="909">
        <v>1</v>
      </c>
      <c r="DC65" s="909">
        <v>10</v>
      </c>
      <c r="DD65" s="909">
        <v>91.093400196131938</v>
      </c>
      <c r="DE65" s="910">
        <v>1266.2384956133421</v>
      </c>
      <c r="DF65" s="871">
        <v>1266.2384956133421</v>
      </c>
      <c r="DG65" s="911">
        <v>106.08014814697246</v>
      </c>
      <c r="DH65" s="908">
        <v>167.05300187682548</v>
      </c>
      <c r="DI65" s="902">
        <v>506.55786178691949</v>
      </c>
      <c r="DJ65" s="902">
        <v>6.1477877745974556</v>
      </c>
      <c r="DK65" s="902">
        <v>13.968317982450364</v>
      </c>
      <c r="DL65" s="902">
        <v>168.7803883302447</v>
      </c>
      <c r="DM65" s="902">
        <v>163.36956515346202</v>
      </c>
      <c r="DN65" s="902">
        <v>750</v>
      </c>
      <c r="DO65" s="909" t="s">
        <v>2875</v>
      </c>
      <c r="DP65" s="909">
        <v>5</v>
      </c>
      <c r="DQ65" s="909">
        <v>1</v>
      </c>
      <c r="DR65" s="909">
        <v>8</v>
      </c>
      <c r="DS65" s="909">
        <v>64.395070406665013</v>
      </c>
      <c r="DT65" s="910">
        <v>1031.4917327139806</v>
      </c>
      <c r="DU65" s="909">
        <v>1</v>
      </c>
      <c r="DV65" s="909">
        <v>8</v>
      </c>
      <c r="DW65" s="909">
        <v>91.093400196131938</v>
      </c>
      <c r="DX65" s="910">
        <v>910.98584514949414</v>
      </c>
      <c r="DY65" s="871">
        <v>910.98584514949414</v>
      </c>
      <c r="DZ65" s="911">
        <v>76.318571697225053</v>
      </c>
      <c r="EA65" s="908">
        <v>267.28480300292074</v>
      </c>
      <c r="EB65" s="902">
        <v>611.81868935227669</v>
      </c>
      <c r="EC65" s="902">
        <v>7.6847347182468191</v>
      </c>
      <c r="ED65" s="902">
        <v>17.460397478062955</v>
      </c>
      <c r="EE65" s="902">
        <v>185.38495429291635</v>
      </c>
      <c r="EF65" s="902">
        <v>210.40456115424894</v>
      </c>
      <c r="EG65" s="902">
        <v>937.5</v>
      </c>
      <c r="EH65" s="909" t="s">
        <v>2875</v>
      </c>
      <c r="EI65" s="909">
        <v>8</v>
      </c>
      <c r="EJ65" s="909">
        <v>1</v>
      </c>
      <c r="EK65" s="909">
        <v>10</v>
      </c>
      <c r="EL65" s="909">
        <v>64.395070406665013</v>
      </c>
      <c r="EM65" s="910">
        <v>1477.0038685061934</v>
      </c>
      <c r="EN65" s="909">
        <v>1</v>
      </c>
      <c r="EO65" s="909">
        <v>10</v>
      </c>
      <c r="EP65" s="909">
        <v>91.093400196131938</v>
      </c>
      <c r="EQ65" s="910">
        <v>1317.9428117667201</v>
      </c>
      <c r="ER65" s="871">
        <v>1317.9428117667201</v>
      </c>
      <c r="ES65" s="911">
        <v>110.41171880794143</v>
      </c>
      <c r="ET65" s="908">
        <v>267.28480300292074</v>
      </c>
      <c r="EU65" s="902">
        <v>604.13395463402992</v>
      </c>
      <c r="EV65" s="902">
        <v>0</v>
      </c>
      <c r="EW65" s="902">
        <v>17.460397478062955</v>
      </c>
      <c r="EX65" s="902">
        <v>184.36183059841085</v>
      </c>
      <c r="EY65" s="902">
        <v>208.22001471692485</v>
      </c>
      <c r="EZ65" s="902">
        <v>750</v>
      </c>
      <c r="FA65" s="909" t="s">
        <v>2877</v>
      </c>
      <c r="FB65" s="909">
        <v>8</v>
      </c>
      <c r="FC65" s="909">
        <v>0</v>
      </c>
      <c r="FD65" s="909">
        <v>0</v>
      </c>
      <c r="FE65" s="909">
        <v>0</v>
      </c>
      <c r="FF65" s="910">
        <v>873.41472440895268</v>
      </c>
      <c r="FG65" s="909">
        <v>1</v>
      </c>
      <c r="FH65" s="909">
        <v>10</v>
      </c>
      <c r="FI65" s="909">
        <v>91.093400196131938</v>
      </c>
      <c r="FJ65" s="910">
        <v>1733.8684680721447</v>
      </c>
      <c r="FK65" s="871">
        <v>873.41472440895268</v>
      </c>
      <c r="FL65" s="911">
        <v>73.171020846408524</v>
      </c>
      <c r="FM65" s="908">
        <v>200.46360225219055</v>
      </c>
      <c r="FN65" s="902">
        <v>539.96846216228448</v>
      </c>
      <c r="FO65" s="902">
        <v>6.1477877745974556</v>
      </c>
      <c r="FP65" s="902">
        <v>13.968317982450364</v>
      </c>
      <c r="FQ65" s="902">
        <v>174.78457686834815</v>
      </c>
      <c r="FR65" s="902">
        <v>178.2372823204995</v>
      </c>
      <c r="FS65" s="902">
        <v>937.5</v>
      </c>
      <c r="FT65" s="909" t="s">
        <v>3884</v>
      </c>
      <c r="FU65" s="909">
        <v>6</v>
      </c>
      <c r="FV65" s="909">
        <v>1</v>
      </c>
      <c r="FW65" s="909">
        <v>8</v>
      </c>
      <c r="FX65" s="909">
        <v>64.395070406665013</v>
      </c>
      <c r="FY65" s="910">
        <v>1236.8597257279278</v>
      </c>
      <c r="FZ65" s="909">
        <v>1</v>
      </c>
      <c r="GA65" s="909">
        <v>8</v>
      </c>
      <c r="GB65" s="909">
        <v>91.093400196131938</v>
      </c>
      <c r="GC65" s="910">
        <v>1094.5769981027065</v>
      </c>
      <c r="GD65" s="871">
        <v>1094.5769981027065</v>
      </c>
      <c r="GE65" s="911">
        <v>91.699068160742172</v>
      </c>
      <c r="GF65" s="908">
        <v>267.28480300292074</v>
      </c>
      <c r="GG65" s="902">
        <v>604.13395463402992</v>
      </c>
      <c r="GH65" s="902">
        <v>0</v>
      </c>
      <c r="GI65" s="902">
        <v>17.460397478062955</v>
      </c>
      <c r="GJ65" s="902">
        <v>184.36183059841085</v>
      </c>
      <c r="GK65" s="902">
        <v>208.22001471692485</v>
      </c>
      <c r="GL65" s="902">
        <v>750</v>
      </c>
      <c r="GM65" s="909" t="s">
        <v>2877</v>
      </c>
      <c r="GN65" s="909">
        <v>8</v>
      </c>
      <c r="GO65" s="909">
        <v>0</v>
      </c>
      <c r="GP65" s="909">
        <v>0</v>
      </c>
      <c r="GQ65" s="909">
        <v>0</v>
      </c>
      <c r="GR65" s="910">
        <v>873.41472440895268</v>
      </c>
      <c r="GS65" s="909">
        <v>1</v>
      </c>
      <c r="GT65" s="909">
        <v>10</v>
      </c>
      <c r="GU65" s="909">
        <v>91.093400196131938</v>
      </c>
      <c r="GV65" s="910">
        <v>1733.8684680721447</v>
      </c>
      <c r="GW65" s="871">
        <v>873.41472440895268</v>
      </c>
      <c r="GX65" s="911">
        <v>73.171020846408524</v>
      </c>
      <c r="GY65" s="908">
        <v>133.64240150146037</v>
      </c>
      <c r="GZ65" s="902">
        <v>468.11823497229244</v>
      </c>
      <c r="HA65" s="902">
        <v>4.6108408309480922</v>
      </c>
      <c r="HB65" s="902">
        <v>10.476238486837772</v>
      </c>
      <c r="HC65" s="902">
        <v>160.9301517722553</v>
      </c>
      <c r="HD65" s="902">
        <v>146.07000348674995</v>
      </c>
      <c r="HE65" s="902">
        <v>937.5</v>
      </c>
      <c r="HF65" s="909" t="s">
        <v>2877</v>
      </c>
      <c r="HG65" s="909">
        <v>4</v>
      </c>
      <c r="HH65" s="909">
        <v>1</v>
      </c>
      <c r="HI65" s="909">
        <v>6</v>
      </c>
      <c r="HJ65" s="909">
        <v>64.395070406665013</v>
      </c>
      <c r="HK65" s="910">
        <v>1189.8308632677922</v>
      </c>
      <c r="HL65" s="909">
        <v>1</v>
      </c>
      <c r="HM65" s="909">
        <v>6</v>
      </c>
      <c r="HN65" s="909">
        <v>91.093400196131938</v>
      </c>
      <c r="HO65" s="910">
        <v>1049.3517768525401</v>
      </c>
      <c r="HP65" s="871">
        <v>1049.3517768525401</v>
      </c>
      <c r="HQ65" s="911">
        <v>87.91028888510229</v>
      </c>
      <c r="HR65" s="908">
        <v>133.64240150146037</v>
      </c>
      <c r="HS65" s="902">
        <v>468.11823497229244</v>
      </c>
      <c r="HT65" s="902">
        <v>4.6108408309480922</v>
      </c>
      <c r="HU65" s="902">
        <v>10.476238486837772</v>
      </c>
      <c r="HV65" s="902">
        <v>160.9301517722553</v>
      </c>
      <c r="HW65" s="902">
        <v>146.07000348674995</v>
      </c>
      <c r="HX65" s="902">
        <v>750</v>
      </c>
      <c r="HY65" s="909" t="s">
        <v>1063</v>
      </c>
      <c r="HZ65" s="909">
        <v>4</v>
      </c>
      <c r="IA65" s="909">
        <v>1</v>
      </c>
      <c r="IB65" s="909">
        <v>6</v>
      </c>
      <c r="IC65" s="909">
        <v>64.395070406665013</v>
      </c>
      <c r="ID65" s="910">
        <v>1049.3321888119583</v>
      </c>
      <c r="IE65" s="909">
        <v>1</v>
      </c>
      <c r="IF65" s="909">
        <v>6</v>
      </c>
      <c r="IG65" s="909">
        <v>91.093400196131938</v>
      </c>
      <c r="IH65" s="910">
        <v>925.44127979185498</v>
      </c>
      <c r="II65" s="871">
        <v>925.44127979185498</v>
      </c>
      <c r="IJ65" s="911">
        <v>77.529587357942077</v>
      </c>
      <c r="IK65" s="908">
        <v>167.05300187682548</v>
      </c>
      <c r="IL65" s="902">
        <v>506.55786178691949</v>
      </c>
      <c r="IM65" s="902">
        <v>6.1477877745974556</v>
      </c>
      <c r="IN65" s="902">
        <v>13.968317982450364</v>
      </c>
      <c r="IO65" s="902">
        <v>168.7803883302447</v>
      </c>
      <c r="IP65" s="902">
        <v>163.36956515346202</v>
      </c>
      <c r="IQ65" s="902">
        <v>937.5</v>
      </c>
      <c r="IR65" s="909" t="s">
        <v>1063</v>
      </c>
      <c r="IS65" s="909">
        <v>5</v>
      </c>
      <c r="IT65" s="909">
        <v>1</v>
      </c>
      <c r="IU65" s="909">
        <v>8</v>
      </c>
      <c r="IV65" s="909">
        <v>64.395070406665013</v>
      </c>
      <c r="IW65" s="910">
        <v>1196.7766293257059</v>
      </c>
      <c r="IX65" s="909">
        <v>1</v>
      </c>
      <c r="IY65" s="909">
        <v>8</v>
      </c>
      <c r="IZ65" s="909">
        <v>91.093400196131938</v>
      </c>
      <c r="JA65" s="910">
        <v>1056.9610347267342</v>
      </c>
      <c r="JB65" s="871">
        <v>1056.9610347267342</v>
      </c>
      <c r="JC65" s="911">
        <v>88.547760582084649</v>
      </c>
      <c r="JD65" s="908">
        <v>200.46360225219055</v>
      </c>
      <c r="JE65" s="902">
        <v>533.82067438768706</v>
      </c>
      <c r="JF65" s="902">
        <v>0</v>
      </c>
      <c r="JG65" s="902">
        <v>13.968317982450364</v>
      </c>
      <c r="JH65" s="902">
        <v>173.73618757115216</v>
      </c>
      <c r="JI65" s="902">
        <v>176.48964517064022</v>
      </c>
      <c r="JJ65" s="902">
        <v>750</v>
      </c>
      <c r="JK65" s="909" t="s">
        <v>1064</v>
      </c>
      <c r="JL65" s="909">
        <v>6</v>
      </c>
      <c r="JM65" s="909">
        <v>0</v>
      </c>
      <c r="JN65" s="909">
        <v>0</v>
      </c>
      <c r="JO65" s="909">
        <v>0</v>
      </c>
      <c r="JP65" s="910">
        <v>871.95111198402662</v>
      </c>
      <c r="JQ65" s="909">
        <v>1</v>
      </c>
      <c r="JR65" s="909">
        <v>8</v>
      </c>
      <c r="JS65" s="909">
        <v>91.093400196131938</v>
      </c>
      <c r="JT65" s="910">
        <v>1624.7703598929081</v>
      </c>
      <c r="JU65" s="871">
        <v>871.95111198402662</v>
      </c>
      <c r="JV65" s="911">
        <v>73.048405538625829</v>
      </c>
      <c r="JW65" s="908">
        <v>133.64240150146037</v>
      </c>
      <c r="JX65" s="902">
        <v>468.11823497229244</v>
      </c>
      <c r="JY65" s="902">
        <v>4.6108408309480922</v>
      </c>
      <c r="JZ65" s="902">
        <v>10.476238486837772</v>
      </c>
      <c r="KA65" s="902">
        <v>160.9301517722553</v>
      </c>
      <c r="KB65" s="902">
        <v>146.07000348674995</v>
      </c>
      <c r="KC65" s="902">
        <v>937.5</v>
      </c>
      <c r="KD65" s="909" t="s">
        <v>1064</v>
      </c>
      <c r="KE65" s="909">
        <v>4</v>
      </c>
      <c r="KF65" s="909">
        <v>1</v>
      </c>
      <c r="KG65" s="909">
        <v>6</v>
      </c>
      <c r="KH65" s="909">
        <v>64.395070406665013</v>
      </c>
      <c r="KI65" s="910">
        <v>1429.9987288805357</v>
      </c>
      <c r="KJ65" s="909">
        <v>1</v>
      </c>
      <c r="KK65" s="909">
        <v>6</v>
      </c>
      <c r="KL65" s="909">
        <v>91.093400196131938</v>
      </c>
      <c r="KM65" s="910">
        <v>1261.1638791470264</v>
      </c>
      <c r="KN65" s="871">
        <v>1261.1638791470264</v>
      </c>
      <c r="KO65" s="912">
        <v>105.65501807202943</v>
      </c>
    </row>
    <row r="66" spans="1:301" ht="15" customHeight="1">
      <c r="A66" s="924" t="s">
        <v>1553</v>
      </c>
      <c r="B66" s="888" t="s">
        <v>1078</v>
      </c>
      <c r="C66" s="888">
        <v>574</v>
      </c>
      <c r="D66" s="888">
        <v>1800</v>
      </c>
      <c r="E66" s="888">
        <v>560</v>
      </c>
      <c r="F66" s="888">
        <v>490.33251091043707</v>
      </c>
      <c r="G66" s="888">
        <v>1269</v>
      </c>
      <c r="H66" s="888">
        <v>212</v>
      </c>
      <c r="I66" s="888">
        <v>150</v>
      </c>
      <c r="J66" s="888">
        <v>33.54</v>
      </c>
      <c r="K66" s="888">
        <v>51.28</v>
      </c>
      <c r="L66" s="888">
        <v>12</v>
      </c>
      <c r="M66" s="888">
        <v>801</v>
      </c>
      <c r="N66" s="888">
        <v>6</v>
      </c>
      <c r="O66" s="884">
        <v>108.2541306307524</v>
      </c>
      <c r="P66" s="888">
        <v>6</v>
      </c>
      <c r="Q66" s="884">
        <v>71.343047289553539</v>
      </c>
      <c r="R66" s="888">
        <v>22</v>
      </c>
      <c r="S66" s="888">
        <v>1145.1662554552183</v>
      </c>
      <c r="T66" s="906">
        <v>177.8767981376858</v>
      </c>
      <c r="U66" s="906">
        <v>171.77493831828275</v>
      </c>
      <c r="V66" s="906">
        <v>122.5</v>
      </c>
      <c r="W66" s="1141">
        <v>16.713849711374877</v>
      </c>
      <c r="X66" s="902">
        <v>326.88834060695802</v>
      </c>
      <c r="Y66" s="902">
        <v>43.794733440392086</v>
      </c>
      <c r="Z66" s="902">
        <v>6</v>
      </c>
      <c r="AA66" s="902">
        <v>4.0922849968432455</v>
      </c>
      <c r="AB66" s="970">
        <v>116.31299995702065</v>
      </c>
      <c r="AC66" s="1045">
        <v>3846.2967251603168</v>
      </c>
      <c r="AD66" s="890">
        <v>0.27039974210523143</v>
      </c>
      <c r="AE66" s="890">
        <v>0.66289000345508231</v>
      </c>
      <c r="AF66" s="890">
        <v>-0.24179085331954864</v>
      </c>
      <c r="AG66" s="890">
        <v>1.3792546687592264</v>
      </c>
      <c r="AH66" s="888"/>
      <c r="AI66" s="907">
        <v>13.140764507063857</v>
      </c>
      <c r="AJ66" s="908">
        <v>81.943261200000009</v>
      </c>
      <c r="AK66" s="902">
        <v>490.93067999536373</v>
      </c>
      <c r="AL66" s="902">
        <v>0</v>
      </c>
      <c r="AM66" s="902">
        <v>30.707308029153811</v>
      </c>
      <c r="AN66" s="902">
        <v>75.821126039549853</v>
      </c>
      <c r="AO66" s="902">
        <v>174.79866696499664</v>
      </c>
      <c r="AP66" s="1222">
        <v>3050</v>
      </c>
      <c r="AQ66" s="909" t="s">
        <v>1064</v>
      </c>
      <c r="AR66" s="909">
        <v>6</v>
      </c>
      <c r="AS66" s="909">
        <v>0</v>
      </c>
      <c r="AT66" s="909">
        <v>0</v>
      </c>
      <c r="AU66" s="909">
        <v>0</v>
      </c>
      <c r="AV66" s="910">
        <v>3475.3777176300669</v>
      </c>
      <c r="AW66" s="909">
        <v>1</v>
      </c>
      <c r="AX66" s="909">
        <v>8</v>
      </c>
      <c r="AY66" s="909">
        <v>182.15445069194308</v>
      </c>
      <c r="AZ66" s="910">
        <v>3569.2301383283602</v>
      </c>
      <c r="BA66" s="871">
        <v>3475.3777176300669</v>
      </c>
      <c r="BB66" s="911">
        <v>327.5466331846884</v>
      </c>
      <c r="BC66" s="908">
        <v>54.628840800000006</v>
      </c>
      <c r="BD66" s="902">
        <v>-3400.6420337890631</v>
      </c>
      <c r="BE66" s="902">
        <v>4.8625182889529901</v>
      </c>
      <c r="BF66" s="902">
        <v>-3838.4135036442262</v>
      </c>
      <c r="BG66" s="902">
        <v>75.086128736154578</v>
      </c>
      <c r="BH66" s="902">
        <v>-2400.6448339927615</v>
      </c>
      <c r="BI66" s="902">
        <v>3600</v>
      </c>
      <c r="BJ66" s="909" t="s">
        <v>1064</v>
      </c>
      <c r="BK66" s="909">
        <v>4</v>
      </c>
      <c r="BL66" s="909">
        <v>1</v>
      </c>
      <c r="BM66" s="909">
        <v>6</v>
      </c>
      <c r="BN66" s="909">
        <v>128.99543103309097</v>
      </c>
      <c r="BO66" s="910">
        <v>5742.521163223777</v>
      </c>
      <c r="BP66" s="909">
        <v>1</v>
      </c>
      <c r="BQ66" s="909">
        <v>-1000</v>
      </c>
      <c r="BR66" s="909">
        <v>182.15445069194308</v>
      </c>
      <c r="BS66" s="910">
        <v>-1</v>
      </c>
      <c r="BT66" s="871">
        <v>-1</v>
      </c>
      <c r="BU66" s="911">
        <v>-9.4247779607693788E-2</v>
      </c>
      <c r="BV66" s="908">
        <v>54.628840800000006</v>
      </c>
      <c r="BW66" s="902">
        <v>-3400.6420337890631</v>
      </c>
      <c r="BX66" s="902">
        <v>4.8625182889529901</v>
      </c>
      <c r="BY66" s="902">
        <v>-3838.4135036442262</v>
      </c>
      <c r="BZ66" s="902">
        <v>75.086128736154578</v>
      </c>
      <c r="CA66" s="902">
        <v>-2400.6448339927615</v>
      </c>
      <c r="CB66" s="902">
        <v>3050</v>
      </c>
      <c r="CC66" s="909" t="s">
        <v>2875</v>
      </c>
      <c r="CD66" s="909">
        <v>4</v>
      </c>
      <c r="CE66" s="909">
        <v>1</v>
      </c>
      <c r="CF66" s="909">
        <v>6</v>
      </c>
      <c r="CG66" s="909">
        <v>128.99543103309097</v>
      </c>
      <c r="CH66" s="910">
        <v>3631.8892775013369</v>
      </c>
      <c r="CI66" s="909">
        <v>1</v>
      </c>
      <c r="CJ66" s="909">
        <v>-1000</v>
      </c>
      <c r="CK66" s="909">
        <v>182.15445069194308</v>
      </c>
      <c r="CL66" s="910">
        <v>-1</v>
      </c>
      <c r="CM66" s="871">
        <v>-1</v>
      </c>
      <c r="CN66" s="911">
        <v>-9.4247779607693788E-2</v>
      </c>
      <c r="CO66" s="908">
        <v>68.286051000000015</v>
      </c>
      <c r="CP66" s="902">
        <v>-3385.3639841594122</v>
      </c>
      <c r="CQ66" s="902">
        <v>6.4833577186039868</v>
      </c>
      <c r="CR66" s="902">
        <v>-3838.4135036442262</v>
      </c>
      <c r="CS66" s="902">
        <v>74.946615330321805</v>
      </c>
      <c r="CT66" s="902">
        <v>-2394.3442001133171</v>
      </c>
      <c r="CU66" s="902">
        <v>3600</v>
      </c>
      <c r="CV66" s="909" t="s">
        <v>2875</v>
      </c>
      <c r="CW66" s="909">
        <v>5</v>
      </c>
      <c r="CX66" s="909">
        <v>1</v>
      </c>
      <c r="CY66" s="909">
        <v>8</v>
      </c>
      <c r="CZ66" s="909">
        <v>128.99543103309097</v>
      </c>
      <c r="DA66" s="910">
        <v>4326.7935591061078</v>
      </c>
      <c r="DB66" s="909">
        <v>1</v>
      </c>
      <c r="DC66" s="909">
        <v>-1000</v>
      </c>
      <c r="DD66" s="909">
        <v>182.15445069194308</v>
      </c>
      <c r="DE66" s="910">
        <v>-1</v>
      </c>
      <c r="DF66" s="871">
        <v>-1</v>
      </c>
      <c r="DG66" s="911">
        <v>-9.4247779607693788E-2</v>
      </c>
      <c r="DH66" s="908">
        <v>54.628840800000006</v>
      </c>
      <c r="DI66" s="902">
        <v>-3400.6420337890631</v>
      </c>
      <c r="DJ66" s="902">
        <v>4.8625182889529901</v>
      </c>
      <c r="DK66" s="902">
        <v>-3838.4135036442262</v>
      </c>
      <c r="DL66" s="902">
        <v>75.086128736154578</v>
      </c>
      <c r="DM66" s="902">
        <v>-2400.6448339927615</v>
      </c>
      <c r="DN66" s="902">
        <v>3050</v>
      </c>
      <c r="DO66" s="909" t="s">
        <v>3884</v>
      </c>
      <c r="DP66" s="909">
        <v>4</v>
      </c>
      <c r="DQ66" s="909">
        <v>1</v>
      </c>
      <c r="DR66" s="909">
        <v>6</v>
      </c>
      <c r="DS66" s="909">
        <v>128.99543103309097</v>
      </c>
      <c r="DT66" s="910">
        <v>3868.6276728957318</v>
      </c>
      <c r="DU66" s="909">
        <v>1</v>
      </c>
      <c r="DV66" s="909">
        <v>-1000</v>
      </c>
      <c r="DW66" s="909">
        <v>182.15445069194308</v>
      </c>
      <c r="DX66" s="910">
        <v>-1</v>
      </c>
      <c r="DY66" s="871">
        <v>-1</v>
      </c>
      <c r="DZ66" s="911">
        <v>-9.4247779607693788E-2</v>
      </c>
      <c r="EA66" s="908">
        <v>68.286051000000015</v>
      </c>
      <c r="EB66" s="902">
        <v>-3385.3639841594122</v>
      </c>
      <c r="EC66" s="902">
        <v>6.4833577186039868</v>
      </c>
      <c r="ED66" s="902">
        <v>-3838.4135036442262</v>
      </c>
      <c r="EE66" s="902">
        <v>74.946615330321805</v>
      </c>
      <c r="EF66" s="902">
        <v>-2394.3442001133171</v>
      </c>
      <c r="EG66" s="902">
        <v>3600</v>
      </c>
      <c r="EH66" s="909" t="s">
        <v>3884</v>
      </c>
      <c r="EI66" s="909">
        <v>5</v>
      </c>
      <c r="EJ66" s="909">
        <v>1</v>
      </c>
      <c r="EK66" s="909">
        <v>8</v>
      </c>
      <c r="EL66" s="909">
        <v>128.99543103309097</v>
      </c>
      <c r="EM66" s="910">
        <v>4608.8280833221907</v>
      </c>
      <c r="EN66" s="909">
        <v>1</v>
      </c>
      <c r="EO66" s="909">
        <v>-1000</v>
      </c>
      <c r="EP66" s="909">
        <v>182.15445069194308</v>
      </c>
      <c r="EQ66" s="910">
        <v>-1</v>
      </c>
      <c r="ER66" s="871">
        <v>-1</v>
      </c>
      <c r="ES66" s="911">
        <v>-9.4247779607693788E-2</v>
      </c>
      <c r="ET66" s="908">
        <v>109.25768160000001</v>
      </c>
      <c r="EU66" s="902">
        <v>487.53779236620994</v>
      </c>
      <c r="EV66" s="902">
        <v>0</v>
      </c>
      <c r="EW66" s="902">
        <v>0</v>
      </c>
      <c r="EX66" s="902">
        <v>77.563622793818809</v>
      </c>
      <c r="EY66" s="902">
        <v>166.63770602893121</v>
      </c>
      <c r="EZ66" s="902">
        <v>3050</v>
      </c>
      <c r="FA66" s="909" t="s">
        <v>2877</v>
      </c>
      <c r="FB66" s="909">
        <v>8</v>
      </c>
      <c r="FC66" s="909">
        <v>0</v>
      </c>
      <c r="FD66" s="909">
        <v>0</v>
      </c>
      <c r="FE66" s="909">
        <v>0</v>
      </c>
      <c r="FF66" s="910">
        <v>3846.2967251603168</v>
      </c>
      <c r="FG66" s="909">
        <v>0</v>
      </c>
      <c r="FH66" s="909">
        <v>0</v>
      </c>
      <c r="FI66" s="909">
        <v>0</v>
      </c>
      <c r="FJ66" s="910">
        <v>3901.940240322122</v>
      </c>
      <c r="FK66" s="871">
        <v>3846.2967251603168</v>
      </c>
      <c r="FL66" s="911">
        <v>362.50492605870392</v>
      </c>
      <c r="FM66" s="908">
        <v>109.25768160000001</v>
      </c>
      <c r="FN66" s="902">
        <v>487.53779236620994</v>
      </c>
      <c r="FO66" s="902">
        <v>0</v>
      </c>
      <c r="FP66" s="902">
        <v>0</v>
      </c>
      <c r="FQ66" s="902">
        <v>77.563622793818809</v>
      </c>
      <c r="FR66" s="902">
        <v>166.63770602893121</v>
      </c>
      <c r="FS66" s="902">
        <v>3600</v>
      </c>
      <c r="FT66" s="909" t="s">
        <v>2877</v>
      </c>
      <c r="FU66" s="909">
        <v>8</v>
      </c>
      <c r="FV66" s="909">
        <v>0</v>
      </c>
      <c r="FW66" s="909">
        <v>0</v>
      </c>
      <c r="FX66" s="909">
        <v>0</v>
      </c>
      <c r="FY66" s="910">
        <v>3846.2967251603168</v>
      </c>
      <c r="FZ66" s="909">
        <v>0</v>
      </c>
      <c r="GA66" s="909">
        <v>0</v>
      </c>
      <c r="GB66" s="909">
        <v>0</v>
      </c>
      <c r="GC66" s="910">
        <v>3901.940240322122</v>
      </c>
      <c r="GD66" s="871">
        <v>3846.2967251603168</v>
      </c>
      <c r="GE66" s="911">
        <v>362.50492605870392</v>
      </c>
      <c r="GF66" s="908">
        <v>109.25768160000001</v>
      </c>
      <c r="GG66" s="902">
        <v>487.53779236620994</v>
      </c>
      <c r="GH66" s="902">
        <v>0</v>
      </c>
      <c r="GI66" s="902">
        <v>0</v>
      </c>
      <c r="GJ66" s="902">
        <v>77.563622793818809</v>
      </c>
      <c r="GK66" s="902">
        <v>166.63770602893121</v>
      </c>
      <c r="GL66" s="902">
        <v>3050</v>
      </c>
      <c r="GM66" s="909" t="s">
        <v>2877</v>
      </c>
      <c r="GN66" s="909">
        <v>8</v>
      </c>
      <c r="GO66" s="909">
        <v>0</v>
      </c>
      <c r="GP66" s="909">
        <v>0</v>
      </c>
      <c r="GQ66" s="909">
        <v>0</v>
      </c>
      <c r="GR66" s="910">
        <v>3846.2967251603168</v>
      </c>
      <c r="GS66" s="909">
        <v>0</v>
      </c>
      <c r="GT66" s="909">
        <v>0</v>
      </c>
      <c r="GU66" s="909">
        <v>0</v>
      </c>
      <c r="GV66" s="910">
        <v>3901.940240322122</v>
      </c>
      <c r="GW66" s="871">
        <v>3846.2967251603168</v>
      </c>
      <c r="GX66" s="911">
        <v>362.50492605870392</v>
      </c>
      <c r="GY66" s="908">
        <v>109.25768160000001</v>
      </c>
      <c r="GZ66" s="902">
        <v>487.53779236620994</v>
      </c>
      <c r="HA66" s="902">
        <v>0</v>
      </c>
      <c r="HB66" s="902">
        <v>0</v>
      </c>
      <c r="HC66" s="902">
        <v>77.563622793818809</v>
      </c>
      <c r="HD66" s="902">
        <v>166.63770602893121</v>
      </c>
      <c r="HE66" s="902">
        <v>3600</v>
      </c>
      <c r="HF66" s="909" t="s">
        <v>2877</v>
      </c>
      <c r="HG66" s="909">
        <v>8</v>
      </c>
      <c r="HH66" s="909">
        <v>0</v>
      </c>
      <c r="HI66" s="909">
        <v>0</v>
      </c>
      <c r="HJ66" s="909">
        <v>0</v>
      </c>
      <c r="HK66" s="910">
        <v>3846.2967251603168</v>
      </c>
      <c r="HL66" s="909">
        <v>0</v>
      </c>
      <c r="HM66" s="909">
        <v>0</v>
      </c>
      <c r="HN66" s="909">
        <v>0</v>
      </c>
      <c r="HO66" s="910">
        <v>3901.940240322122</v>
      </c>
      <c r="HP66" s="871">
        <v>3846.2967251603168</v>
      </c>
      <c r="HQ66" s="911">
        <v>362.50492605870392</v>
      </c>
      <c r="HR66" s="908">
        <v>54.628840800000006</v>
      </c>
      <c r="HS66" s="902">
        <v>-3400.6420337890631</v>
      </c>
      <c r="HT66" s="902">
        <v>4.8625182889529901</v>
      </c>
      <c r="HU66" s="902">
        <v>-3838.4135036442262</v>
      </c>
      <c r="HV66" s="902">
        <v>75.086128736154578</v>
      </c>
      <c r="HW66" s="902">
        <v>-2400.6448339927615</v>
      </c>
      <c r="HX66" s="902">
        <v>3050</v>
      </c>
      <c r="HY66" s="909" t="s">
        <v>1063</v>
      </c>
      <c r="HZ66" s="909">
        <v>4</v>
      </c>
      <c r="IA66" s="909">
        <v>1</v>
      </c>
      <c r="IB66" s="909">
        <v>6</v>
      </c>
      <c r="IC66" s="909">
        <v>128.99543103309097</v>
      </c>
      <c r="ID66" s="910">
        <v>4213.8585019735374</v>
      </c>
      <c r="IE66" s="909">
        <v>1</v>
      </c>
      <c r="IF66" s="909">
        <v>-1000</v>
      </c>
      <c r="IG66" s="909">
        <v>182.15445069194308</v>
      </c>
      <c r="IH66" s="910">
        <v>-1</v>
      </c>
      <c r="II66" s="871">
        <v>-1</v>
      </c>
      <c r="IJ66" s="911">
        <v>-9.4247779607693788E-2</v>
      </c>
      <c r="IK66" s="908">
        <v>68.286051000000015</v>
      </c>
      <c r="IL66" s="902">
        <v>-3385.3639841594122</v>
      </c>
      <c r="IM66" s="902">
        <v>6.4833577186039868</v>
      </c>
      <c r="IN66" s="902">
        <v>-3838.4135036442262</v>
      </c>
      <c r="IO66" s="902">
        <v>74.946615330321805</v>
      </c>
      <c r="IP66" s="902">
        <v>-2394.3442001133171</v>
      </c>
      <c r="IQ66" s="902">
        <v>3600</v>
      </c>
      <c r="IR66" s="909" t="s">
        <v>1063</v>
      </c>
      <c r="IS66" s="909">
        <v>5</v>
      </c>
      <c r="IT66" s="909">
        <v>1</v>
      </c>
      <c r="IU66" s="909">
        <v>8</v>
      </c>
      <c r="IV66" s="909">
        <v>128.99543103309097</v>
      </c>
      <c r="IW66" s="910">
        <v>5020.1133438371744</v>
      </c>
      <c r="IX66" s="909">
        <v>1</v>
      </c>
      <c r="IY66" s="909">
        <v>-1000</v>
      </c>
      <c r="IZ66" s="909">
        <v>182.15445069194308</v>
      </c>
      <c r="JA66" s="910">
        <v>-1</v>
      </c>
      <c r="JB66" s="871">
        <v>-1</v>
      </c>
      <c r="JC66" s="911">
        <v>-9.4247779607693788E-2</v>
      </c>
      <c r="JD66" s="908">
        <v>81.943261200000009</v>
      </c>
      <c r="JE66" s="902">
        <v>490.93067999536373</v>
      </c>
      <c r="JF66" s="902">
        <v>0</v>
      </c>
      <c r="JG66" s="902">
        <v>30.707308029153811</v>
      </c>
      <c r="JH66" s="902">
        <v>75.821126039549853</v>
      </c>
      <c r="JI66" s="902">
        <v>174.79866696499664</v>
      </c>
      <c r="JJ66" s="902">
        <v>3050</v>
      </c>
      <c r="JK66" s="909" t="s">
        <v>1064</v>
      </c>
      <c r="JL66" s="909">
        <v>6</v>
      </c>
      <c r="JM66" s="909">
        <v>0</v>
      </c>
      <c r="JN66" s="909">
        <v>0</v>
      </c>
      <c r="JO66" s="909">
        <v>0</v>
      </c>
      <c r="JP66" s="910">
        <v>3475.3777176300669</v>
      </c>
      <c r="JQ66" s="909">
        <v>1</v>
      </c>
      <c r="JR66" s="909">
        <v>8</v>
      </c>
      <c r="JS66" s="909">
        <v>182.15445069194308</v>
      </c>
      <c r="JT66" s="910">
        <v>3569.2301383283602</v>
      </c>
      <c r="JU66" s="871">
        <v>3475.3777176300669</v>
      </c>
      <c r="JV66" s="911">
        <v>327.5466331846884</v>
      </c>
      <c r="JW66" s="908">
        <v>54.628840800000006</v>
      </c>
      <c r="JX66" s="902">
        <v>-3400.6420337890631</v>
      </c>
      <c r="JY66" s="902">
        <v>4.8625182889529901</v>
      </c>
      <c r="JZ66" s="902">
        <v>-3838.4135036442262</v>
      </c>
      <c r="KA66" s="902">
        <v>75.086128736154578</v>
      </c>
      <c r="KB66" s="902">
        <v>-2400.6448339927615</v>
      </c>
      <c r="KC66" s="902">
        <v>3600</v>
      </c>
      <c r="KD66" s="909" t="s">
        <v>1064</v>
      </c>
      <c r="KE66" s="909">
        <v>4</v>
      </c>
      <c r="KF66" s="909">
        <v>1</v>
      </c>
      <c r="KG66" s="909">
        <v>6</v>
      </c>
      <c r="KH66" s="909">
        <v>128.99543103309097</v>
      </c>
      <c r="KI66" s="910">
        <v>5742.521163223777</v>
      </c>
      <c r="KJ66" s="909">
        <v>1</v>
      </c>
      <c r="KK66" s="909">
        <v>-1000</v>
      </c>
      <c r="KL66" s="909">
        <v>182.15445069194308</v>
      </c>
      <c r="KM66" s="910">
        <v>-1</v>
      </c>
      <c r="KN66" s="871">
        <v>-1</v>
      </c>
      <c r="KO66" s="912">
        <v>-9.4247779607693788E-2</v>
      </c>
    </row>
    <row r="67" spans="1:301" ht="15" customHeight="1">
      <c r="A67" s="924" t="s">
        <v>1554</v>
      </c>
      <c r="B67" s="888" t="s">
        <v>1080</v>
      </c>
      <c r="C67" s="888">
        <v>682.5</v>
      </c>
      <c r="D67" s="888">
        <v>1800</v>
      </c>
      <c r="E67" s="888">
        <v>700</v>
      </c>
      <c r="F67" s="888">
        <v>554.41871333579718</v>
      </c>
      <c r="G67" s="888">
        <v>303.7576530920735</v>
      </c>
      <c r="H67" s="888">
        <v>249.2329517766342</v>
      </c>
      <c r="I67" s="888">
        <v>195</v>
      </c>
      <c r="J67" s="888">
        <v>36.5</v>
      </c>
      <c r="K67" s="888">
        <v>49.5</v>
      </c>
      <c r="L67" s="888">
        <v>12</v>
      </c>
      <c r="M67" s="888">
        <v>832.24144245852744</v>
      </c>
      <c r="N67" s="888">
        <v>6</v>
      </c>
      <c r="O67" s="884">
        <v>101.72869711405448</v>
      </c>
      <c r="P67" s="888">
        <v>6</v>
      </c>
      <c r="Q67" s="884">
        <v>68.590227432952972</v>
      </c>
      <c r="R67" s="888">
        <v>22</v>
      </c>
      <c r="S67" s="888">
        <v>1177.2093566678986</v>
      </c>
      <c r="T67" s="906">
        <v>187.97047094522119</v>
      </c>
      <c r="U67" s="906">
        <v>176.58140350018479</v>
      </c>
      <c r="V67" s="906">
        <v>135</v>
      </c>
      <c r="W67" s="1141">
        <v>19.464555869185546</v>
      </c>
      <c r="X67" s="902">
        <v>369.61247555719808</v>
      </c>
      <c r="Y67" s="902">
        <v>49.518682169009651</v>
      </c>
      <c r="Z67" s="902">
        <v>6</v>
      </c>
      <c r="AA67" s="902">
        <v>5.2319098667704393</v>
      </c>
      <c r="AB67" s="970">
        <v>100.72268378633578</v>
      </c>
      <c r="AC67" s="1045">
        <v>3428.8906272973809</v>
      </c>
      <c r="AD67" s="890">
        <v>0.25049947782461679</v>
      </c>
      <c r="AE67" s="890">
        <v>0.73996107502848762</v>
      </c>
      <c r="AF67" s="890">
        <v>-0.28710718520785683</v>
      </c>
      <c r="AG67" s="890">
        <v>1.1021126654201545</v>
      </c>
      <c r="AH67" s="888"/>
      <c r="AI67" s="907">
        <v>13.883582322023171</v>
      </c>
      <c r="AJ67" s="908">
        <v>104.47978390946766</v>
      </c>
      <c r="AK67" s="902">
        <v>514.32333861296252</v>
      </c>
      <c r="AL67" s="902">
        <v>0</v>
      </c>
      <c r="AM67" s="902">
        <v>26.857693475310228</v>
      </c>
      <c r="AN67" s="902">
        <v>86.928804735353935</v>
      </c>
      <c r="AO67" s="902">
        <v>186.40716290682812</v>
      </c>
      <c r="AP67" s="1222">
        <v>2200</v>
      </c>
      <c r="AQ67" s="909" t="s">
        <v>1064</v>
      </c>
      <c r="AR67" s="909">
        <v>6</v>
      </c>
      <c r="AS67" s="909">
        <v>0</v>
      </c>
      <c r="AT67" s="909">
        <v>0</v>
      </c>
      <c r="AU67" s="909">
        <v>0</v>
      </c>
      <c r="AV67" s="910">
        <v>2563.956120418462</v>
      </c>
      <c r="AW67" s="909">
        <v>1</v>
      </c>
      <c r="AX67" s="909">
        <v>8</v>
      </c>
      <c r="AY67" s="909">
        <v>158.21033941625979</v>
      </c>
      <c r="AZ67" s="910">
        <v>3398.609191017279</v>
      </c>
      <c r="BA67" s="871">
        <v>2563.956120418462</v>
      </c>
      <c r="BB67" s="911">
        <v>241.64717136099679</v>
      </c>
      <c r="BC67" s="908">
        <v>69.653189272978437</v>
      </c>
      <c r="BD67" s="902">
        <v>478.46487799117557</v>
      </c>
      <c r="BE67" s="902">
        <v>5.6825573835298657</v>
      </c>
      <c r="BF67" s="902">
        <v>20.143270106482671</v>
      </c>
      <c r="BG67" s="902">
        <v>84.484841915156736</v>
      </c>
      <c r="BH67" s="902">
        <v>166.65318354878929</v>
      </c>
      <c r="BI67" s="902">
        <v>2750</v>
      </c>
      <c r="BJ67" s="909" t="s">
        <v>1064</v>
      </c>
      <c r="BK67" s="909">
        <v>4</v>
      </c>
      <c r="BL67" s="909">
        <v>1</v>
      </c>
      <c r="BM67" s="909">
        <v>6</v>
      </c>
      <c r="BN67" s="909">
        <v>123.75904351328433</v>
      </c>
      <c r="BO67" s="910">
        <v>4226.5672973814162</v>
      </c>
      <c r="BP67" s="909">
        <v>1</v>
      </c>
      <c r="BQ67" s="909">
        <v>6</v>
      </c>
      <c r="BR67" s="909">
        <v>158.21033941625979</v>
      </c>
      <c r="BS67" s="910">
        <v>3428.8906272973809</v>
      </c>
      <c r="BT67" s="871">
        <v>3428.8906272973809</v>
      </c>
      <c r="BU67" s="911">
        <v>323.16532814041045</v>
      </c>
      <c r="BV67" s="908">
        <v>69.653189272978437</v>
      </c>
      <c r="BW67" s="902">
        <v>-2898.8900765290855</v>
      </c>
      <c r="BX67" s="902">
        <v>5.6825573835298657</v>
      </c>
      <c r="BY67" s="902">
        <v>-3357.2116844137786</v>
      </c>
      <c r="BZ67" s="902">
        <v>99.648165629155727</v>
      </c>
      <c r="CA67" s="902">
        <v>-2130.3735643084938</v>
      </c>
      <c r="CB67" s="902">
        <v>2200</v>
      </c>
      <c r="CC67" s="909" t="s">
        <v>2875</v>
      </c>
      <c r="CD67" s="909">
        <v>4</v>
      </c>
      <c r="CE67" s="909">
        <v>1</v>
      </c>
      <c r="CF67" s="909">
        <v>6</v>
      </c>
      <c r="CG67" s="909">
        <v>123.75904351328433</v>
      </c>
      <c r="CH67" s="910">
        <v>2673.1158687414995</v>
      </c>
      <c r="CI67" s="909">
        <v>1</v>
      </c>
      <c r="CJ67" s="909">
        <v>-1000</v>
      </c>
      <c r="CK67" s="909">
        <v>158.21033941625979</v>
      </c>
      <c r="CL67" s="910">
        <v>-1</v>
      </c>
      <c r="CM67" s="871">
        <v>-1</v>
      </c>
      <c r="CN67" s="911">
        <v>-9.4247779607693788E-2</v>
      </c>
      <c r="CO67" s="908">
        <v>104.47978390946766</v>
      </c>
      <c r="CP67" s="902">
        <v>-2862.1692960980863</v>
      </c>
      <c r="CQ67" s="902">
        <v>7.5767431780398198</v>
      </c>
      <c r="CR67" s="902">
        <v>-3357.2116844137786</v>
      </c>
      <c r="CS67" s="902">
        <v>99.327829637846733</v>
      </c>
      <c r="CT67" s="902">
        <v>-2113.9259042247304</v>
      </c>
      <c r="CU67" s="902">
        <v>2750</v>
      </c>
      <c r="CV67" s="909" t="s">
        <v>2875</v>
      </c>
      <c r="CW67" s="909">
        <v>6</v>
      </c>
      <c r="CX67" s="909">
        <v>1</v>
      </c>
      <c r="CY67" s="909">
        <v>8</v>
      </c>
      <c r="CZ67" s="909">
        <v>123.75904351328433</v>
      </c>
      <c r="DA67" s="910">
        <v>3690.3851383085766</v>
      </c>
      <c r="DB67" s="909">
        <v>1</v>
      </c>
      <c r="DC67" s="909">
        <v>-1000</v>
      </c>
      <c r="DD67" s="909">
        <v>158.21033941625979</v>
      </c>
      <c r="DE67" s="910">
        <v>-1</v>
      </c>
      <c r="DF67" s="871">
        <v>-1</v>
      </c>
      <c r="DG67" s="911">
        <v>-9.4247779607693788E-2</v>
      </c>
      <c r="DH67" s="908">
        <v>69.653189272978437</v>
      </c>
      <c r="DI67" s="902">
        <v>512.03699483531341</v>
      </c>
      <c r="DJ67" s="902">
        <v>5.6825573835298657</v>
      </c>
      <c r="DK67" s="902">
        <v>53.715386950620456</v>
      </c>
      <c r="DL67" s="902">
        <v>85.338191209009651</v>
      </c>
      <c r="DM67" s="902">
        <v>189.48645142013405</v>
      </c>
      <c r="DN67" s="902">
        <v>2200</v>
      </c>
      <c r="DO67" s="909" t="s">
        <v>3884</v>
      </c>
      <c r="DP67" s="909">
        <v>4</v>
      </c>
      <c r="DQ67" s="909">
        <v>1</v>
      </c>
      <c r="DR67" s="909">
        <v>6</v>
      </c>
      <c r="DS67" s="909">
        <v>123.75904351328433</v>
      </c>
      <c r="DT67" s="910">
        <v>2847.358284497227</v>
      </c>
      <c r="DU67" s="909">
        <v>1</v>
      </c>
      <c r="DV67" s="909">
        <v>16</v>
      </c>
      <c r="DW67" s="909">
        <v>158.21033941625979</v>
      </c>
      <c r="DX67" s="910">
        <v>2420.8458486650507</v>
      </c>
      <c r="DY67" s="871">
        <v>2420.8458486650507</v>
      </c>
      <c r="DZ67" s="911">
        <v>228.15934600918413</v>
      </c>
      <c r="EA67" s="908">
        <v>87.066486591223054</v>
      </c>
      <c r="EB67" s="902">
        <v>-2879.5825934163313</v>
      </c>
      <c r="EC67" s="902">
        <v>7.5767431780398198</v>
      </c>
      <c r="ED67" s="902">
        <v>-3357.2116844137786</v>
      </c>
      <c r="EE67" s="902">
        <v>99.480754133550434</v>
      </c>
      <c r="EF67" s="902">
        <v>-2121.9921924791129</v>
      </c>
      <c r="EG67" s="902">
        <v>2750</v>
      </c>
      <c r="EH67" s="909" t="s">
        <v>3884</v>
      </c>
      <c r="EI67" s="909">
        <v>5</v>
      </c>
      <c r="EJ67" s="909">
        <v>1</v>
      </c>
      <c r="EK67" s="909">
        <v>8</v>
      </c>
      <c r="EL67" s="909">
        <v>123.75904351328433</v>
      </c>
      <c r="EM67" s="910">
        <v>3341.2987010015463</v>
      </c>
      <c r="EN67" s="909">
        <v>1</v>
      </c>
      <c r="EO67" s="909">
        <v>-1000</v>
      </c>
      <c r="EP67" s="909">
        <v>158.21033941625979</v>
      </c>
      <c r="EQ67" s="910">
        <v>-1</v>
      </c>
      <c r="ER67" s="871">
        <v>-1</v>
      </c>
      <c r="ES67" s="911">
        <v>-9.4247779607693788E-2</v>
      </c>
      <c r="ET67" s="908">
        <v>139.30637854595687</v>
      </c>
      <c r="EU67" s="902">
        <v>522.29223977414154</v>
      </c>
      <c r="EV67" s="902">
        <v>0</v>
      </c>
      <c r="EW67" s="902">
        <v>0</v>
      </c>
      <c r="EX67" s="902">
        <v>88.898229600630231</v>
      </c>
      <c r="EY67" s="902">
        <v>184.2731251185171</v>
      </c>
      <c r="EZ67" s="902">
        <v>2200</v>
      </c>
      <c r="FA67" s="909" t="s">
        <v>2877</v>
      </c>
      <c r="FB67" s="909">
        <v>8</v>
      </c>
      <c r="FC67" s="909">
        <v>0</v>
      </c>
      <c r="FD67" s="909">
        <v>0</v>
      </c>
      <c r="FE67" s="909">
        <v>0</v>
      </c>
      <c r="FF67" s="910">
        <v>2737.3132547802916</v>
      </c>
      <c r="FG67" s="909">
        <v>0</v>
      </c>
      <c r="FH67" s="909">
        <v>0</v>
      </c>
      <c r="FI67" s="909">
        <v>0</v>
      </c>
      <c r="FJ67" s="910">
        <v>2589.1561625835348</v>
      </c>
      <c r="FK67" s="871">
        <v>2589.1561625835348</v>
      </c>
      <c r="FL67" s="911">
        <v>244.02221938107516</v>
      </c>
      <c r="FM67" s="908">
        <v>69.653189272978437</v>
      </c>
      <c r="FN67" s="902">
        <v>552.3235350482787</v>
      </c>
      <c r="FO67" s="902">
        <v>5.6825573835298657</v>
      </c>
      <c r="FP67" s="902">
        <v>94.00192716358579</v>
      </c>
      <c r="FQ67" s="902">
        <v>86.225274897880169</v>
      </c>
      <c r="FR67" s="902">
        <v>216.88637286574777</v>
      </c>
      <c r="FS67" s="902">
        <v>2750</v>
      </c>
      <c r="FT67" s="909" t="s">
        <v>2877</v>
      </c>
      <c r="FU67" s="909">
        <v>4</v>
      </c>
      <c r="FV67" s="909">
        <v>1</v>
      </c>
      <c r="FW67" s="909">
        <v>6</v>
      </c>
      <c r="FX67" s="909">
        <v>123.75904351328433</v>
      </c>
      <c r="FY67" s="910">
        <v>3516.7165638249121</v>
      </c>
      <c r="FZ67" s="909">
        <v>1</v>
      </c>
      <c r="GA67" s="909">
        <v>28</v>
      </c>
      <c r="GB67" s="909">
        <v>158.21033941625979</v>
      </c>
      <c r="GC67" s="910">
        <v>-1</v>
      </c>
      <c r="GD67" s="871">
        <v>-1</v>
      </c>
      <c r="GE67" s="911">
        <v>-9.4247779607693788E-2</v>
      </c>
      <c r="GF67" s="908">
        <v>139.30637854595687</v>
      </c>
      <c r="GG67" s="902">
        <v>522.29223977414154</v>
      </c>
      <c r="GH67" s="902">
        <v>0</v>
      </c>
      <c r="GI67" s="902">
        <v>0</v>
      </c>
      <c r="GJ67" s="902">
        <v>88.898229600630231</v>
      </c>
      <c r="GK67" s="902">
        <v>184.2731251185171</v>
      </c>
      <c r="GL67" s="902">
        <v>2200</v>
      </c>
      <c r="GM67" s="909" t="s">
        <v>2877</v>
      </c>
      <c r="GN67" s="909">
        <v>8</v>
      </c>
      <c r="GO67" s="909">
        <v>0</v>
      </c>
      <c r="GP67" s="909">
        <v>0</v>
      </c>
      <c r="GQ67" s="909">
        <v>0</v>
      </c>
      <c r="GR67" s="910">
        <v>2737.3132547802916</v>
      </c>
      <c r="GS67" s="909">
        <v>0</v>
      </c>
      <c r="GT67" s="909">
        <v>0</v>
      </c>
      <c r="GU67" s="909">
        <v>0</v>
      </c>
      <c r="GV67" s="910">
        <v>2589.1561625835348</v>
      </c>
      <c r="GW67" s="871">
        <v>2589.1561625835348</v>
      </c>
      <c r="GX67" s="911">
        <v>244.02221938107516</v>
      </c>
      <c r="GY67" s="908">
        <v>69.653189272978437</v>
      </c>
      <c r="GZ67" s="902">
        <v>552.3235350482787</v>
      </c>
      <c r="HA67" s="902">
        <v>5.6825573835298657</v>
      </c>
      <c r="HB67" s="902">
        <v>94.00192716358579</v>
      </c>
      <c r="HC67" s="902">
        <v>86.225274897880169</v>
      </c>
      <c r="HD67" s="902">
        <v>216.88637286574777</v>
      </c>
      <c r="HE67" s="902">
        <v>2750</v>
      </c>
      <c r="HF67" s="909" t="s">
        <v>2877</v>
      </c>
      <c r="HG67" s="909">
        <v>4</v>
      </c>
      <c r="HH67" s="909">
        <v>1</v>
      </c>
      <c r="HI67" s="909">
        <v>6</v>
      </c>
      <c r="HJ67" s="909">
        <v>123.75904351328433</v>
      </c>
      <c r="HK67" s="910">
        <v>3516.7165638249121</v>
      </c>
      <c r="HL67" s="909">
        <v>1</v>
      </c>
      <c r="HM67" s="909">
        <v>28</v>
      </c>
      <c r="HN67" s="909">
        <v>158.21033941625979</v>
      </c>
      <c r="HO67" s="910">
        <v>-1</v>
      </c>
      <c r="HP67" s="871">
        <v>-1</v>
      </c>
      <c r="HQ67" s="911">
        <v>-9.4247779607693788E-2</v>
      </c>
      <c r="HR67" s="908">
        <v>69.653189272978437</v>
      </c>
      <c r="HS67" s="902">
        <v>478.46487799117557</v>
      </c>
      <c r="HT67" s="902">
        <v>5.6825573835298657</v>
      </c>
      <c r="HU67" s="902">
        <v>20.143270106482671</v>
      </c>
      <c r="HV67" s="902">
        <v>84.484841915156736</v>
      </c>
      <c r="HW67" s="902">
        <v>166.65318354878929</v>
      </c>
      <c r="HX67" s="902">
        <v>2200</v>
      </c>
      <c r="HY67" s="909" t="s">
        <v>1063</v>
      </c>
      <c r="HZ67" s="909">
        <v>4</v>
      </c>
      <c r="IA67" s="909">
        <v>1</v>
      </c>
      <c r="IB67" s="909">
        <v>6</v>
      </c>
      <c r="IC67" s="909">
        <v>123.75904351328433</v>
      </c>
      <c r="ID67" s="910">
        <v>3101.4524864607738</v>
      </c>
      <c r="IE67" s="909">
        <v>1</v>
      </c>
      <c r="IF67" s="909">
        <v>6</v>
      </c>
      <c r="IG67" s="909">
        <v>158.21033941625979</v>
      </c>
      <c r="IH67" s="910">
        <v>2516.1178359616256</v>
      </c>
      <c r="II67" s="871">
        <v>2516.1178359616256</v>
      </c>
      <c r="IJ67" s="911">
        <v>237.13851927069874</v>
      </c>
      <c r="IK67" s="908">
        <v>87.066486591223054</v>
      </c>
      <c r="IL67" s="902">
        <v>-2879.5825934163313</v>
      </c>
      <c r="IM67" s="902">
        <v>7.5767431780398198</v>
      </c>
      <c r="IN67" s="902">
        <v>-3357.2116844137786</v>
      </c>
      <c r="IO67" s="902">
        <v>99.480754133550434</v>
      </c>
      <c r="IP67" s="902">
        <v>-2121.9921924791129</v>
      </c>
      <c r="IQ67" s="902">
        <v>2750</v>
      </c>
      <c r="IR67" s="909" t="s">
        <v>1063</v>
      </c>
      <c r="IS67" s="909">
        <v>5</v>
      </c>
      <c r="IT67" s="909">
        <v>1</v>
      </c>
      <c r="IU67" s="909">
        <v>8</v>
      </c>
      <c r="IV67" s="909">
        <v>123.75904351328433</v>
      </c>
      <c r="IW67" s="910">
        <v>3639.4714429340697</v>
      </c>
      <c r="IX67" s="909">
        <v>1</v>
      </c>
      <c r="IY67" s="909">
        <v>-1000</v>
      </c>
      <c r="IZ67" s="909">
        <v>158.21033941625979</v>
      </c>
      <c r="JA67" s="910">
        <v>-1</v>
      </c>
      <c r="JB67" s="871">
        <v>-1</v>
      </c>
      <c r="JC67" s="911">
        <v>-9.4247779607693788E-2</v>
      </c>
      <c r="JD67" s="908">
        <v>104.47978390946766</v>
      </c>
      <c r="JE67" s="902">
        <v>514.32333861296252</v>
      </c>
      <c r="JF67" s="902">
        <v>0</v>
      </c>
      <c r="JG67" s="902">
        <v>26.857693475310228</v>
      </c>
      <c r="JH67" s="902">
        <v>86.928804735353935</v>
      </c>
      <c r="JI67" s="902">
        <v>186.40716290682812</v>
      </c>
      <c r="JJ67" s="902">
        <v>2200</v>
      </c>
      <c r="JK67" s="909" t="s">
        <v>1064</v>
      </c>
      <c r="JL67" s="909">
        <v>6</v>
      </c>
      <c r="JM67" s="909">
        <v>0</v>
      </c>
      <c r="JN67" s="909">
        <v>0</v>
      </c>
      <c r="JO67" s="909">
        <v>0</v>
      </c>
      <c r="JP67" s="910">
        <v>2563.956120418462</v>
      </c>
      <c r="JQ67" s="909">
        <v>1</v>
      </c>
      <c r="JR67" s="909">
        <v>8</v>
      </c>
      <c r="JS67" s="909">
        <v>158.21033941625979</v>
      </c>
      <c r="JT67" s="910">
        <v>3398.609191017279</v>
      </c>
      <c r="JU67" s="871">
        <v>2563.956120418462</v>
      </c>
      <c r="JV67" s="911">
        <v>241.64717136099679</v>
      </c>
      <c r="JW67" s="908">
        <v>69.653189272978437</v>
      </c>
      <c r="JX67" s="902">
        <v>478.46487799117557</v>
      </c>
      <c r="JY67" s="902">
        <v>5.6825573835298657</v>
      </c>
      <c r="JZ67" s="902">
        <v>20.143270106482671</v>
      </c>
      <c r="KA67" s="902">
        <v>84.484841915156736</v>
      </c>
      <c r="KB67" s="902">
        <v>166.65318354878929</v>
      </c>
      <c r="KC67" s="902">
        <v>2750</v>
      </c>
      <c r="KD67" s="909" t="s">
        <v>1064</v>
      </c>
      <c r="KE67" s="909">
        <v>4</v>
      </c>
      <c r="KF67" s="909">
        <v>1</v>
      </c>
      <c r="KG67" s="909">
        <v>6</v>
      </c>
      <c r="KH67" s="909">
        <v>123.75904351328433</v>
      </c>
      <c r="KI67" s="910">
        <v>4226.5672973814162</v>
      </c>
      <c r="KJ67" s="909">
        <v>1</v>
      </c>
      <c r="KK67" s="909">
        <v>6</v>
      </c>
      <c r="KL67" s="909">
        <v>158.21033941625979</v>
      </c>
      <c r="KM67" s="910">
        <v>3428.8906272973809</v>
      </c>
      <c r="KN67" s="871">
        <v>3428.8906272973809</v>
      </c>
      <c r="KO67" s="912">
        <v>323.16532814041045</v>
      </c>
    </row>
    <row r="68" spans="1:301" ht="15" customHeight="1">
      <c r="A68" s="924" t="s">
        <v>1555</v>
      </c>
      <c r="B68" s="888" t="s">
        <v>1081</v>
      </c>
      <c r="C68" s="888">
        <v>779</v>
      </c>
      <c r="D68" s="888">
        <v>1800</v>
      </c>
      <c r="E68" s="888">
        <v>800</v>
      </c>
      <c r="F68" s="888">
        <v>630.8204133660538</v>
      </c>
      <c r="G68" s="888">
        <v>362</v>
      </c>
      <c r="H68" s="888">
        <v>290</v>
      </c>
      <c r="I68" s="888">
        <v>208</v>
      </c>
      <c r="J68" s="888">
        <v>33.700000000000003</v>
      </c>
      <c r="K68" s="888">
        <v>49</v>
      </c>
      <c r="L68" s="888">
        <v>12</v>
      </c>
      <c r="M68" s="888">
        <v>761</v>
      </c>
      <c r="N68" s="888">
        <v>6</v>
      </c>
      <c r="O68" s="884">
        <v>96.179859089651529</v>
      </c>
      <c r="P68" s="888">
        <v>6</v>
      </c>
      <c r="Q68" s="884">
        <v>65.209131724135048</v>
      </c>
      <c r="R68" s="888">
        <v>22</v>
      </c>
      <c r="S68" s="888">
        <v>1215.4102066830271</v>
      </c>
      <c r="T68" s="906">
        <v>200.36782187755355</v>
      </c>
      <c r="U68" s="906">
        <v>182.31153100245407</v>
      </c>
      <c r="V68" s="906">
        <v>147.5</v>
      </c>
      <c r="W68" s="1141">
        <v>22.669455983731737</v>
      </c>
      <c r="X68" s="902">
        <v>420.54694224403585</v>
      </c>
      <c r="Y68" s="902">
        <v>56.342606776833705</v>
      </c>
      <c r="Z68" s="902">
        <v>6</v>
      </c>
      <c r="AA68" s="902">
        <v>6.7732322820973199</v>
      </c>
      <c r="AB68" s="970">
        <v>76.092534086376943</v>
      </c>
      <c r="AC68" s="1045">
        <v>3368.8099552978565</v>
      </c>
      <c r="AD68" s="890">
        <v>0.3095856962017518</v>
      </c>
      <c r="AE68" s="890">
        <v>0.66691709637442997</v>
      </c>
      <c r="AF68" s="890">
        <v>-0.32763415727851269</v>
      </c>
      <c r="AG68" s="890">
        <v>1.0152374596012936</v>
      </c>
      <c r="AH68" s="888"/>
      <c r="AI68" s="907">
        <v>13.773272583882388</v>
      </c>
      <c r="AJ68" s="908">
        <v>89.249319000000014</v>
      </c>
      <c r="AK68" s="902">
        <v>480.44881995716912</v>
      </c>
      <c r="AL68" s="902">
        <v>0</v>
      </c>
      <c r="AM68" s="902">
        <v>0</v>
      </c>
      <c r="AN68" s="902">
        <v>93.861541779172256</v>
      </c>
      <c r="AO68" s="902">
        <v>165.16217529544673</v>
      </c>
      <c r="AP68" s="1222">
        <v>1650</v>
      </c>
      <c r="AQ68" s="909" t="s">
        <v>1064</v>
      </c>
      <c r="AR68" s="909">
        <v>5</v>
      </c>
      <c r="AS68" s="909">
        <v>0</v>
      </c>
      <c r="AT68" s="909">
        <v>0</v>
      </c>
      <c r="AU68" s="909">
        <v>0</v>
      </c>
      <c r="AV68" s="910">
        <v>1900.1718339296988</v>
      </c>
      <c r="AW68" s="909">
        <v>0</v>
      </c>
      <c r="AX68" s="909">
        <v>0</v>
      </c>
      <c r="AY68" s="909">
        <v>0</v>
      </c>
      <c r="AZ68" s="910">
        <v>1886.8244553854581</v>
      </c>
      <c r="BA68" s="871">
        <v>1886.8244553854581</v>
      </c>
      <c r="BB68" s="911">
        <v>177.82901542957552</v>
      </c>
      <c r="BC68" s="908">
        <v>71.399455200000006</v>
      </c>
      <c r="BD68" s="902">
        <v>487.50121331136961</v>
      </c>
      <c r="BE68" s="902">
        <v>5.8720445594837694</v>
      </c>
      <c r="BF68" s="902">
        <v>19.030212594716716</v>
      </c>
      <c r="BG68" s="902">
        <v>93.000846088524256</v>
      </c>
      <c r="BH68" s="902">
        <v>170.82848272222273</v>
      </c>
      <c r="BI68" s="902">
        <v>2062.5</v>
      </c>
      <c r="BJ68" s="909" t="s">
        <v>1064</v>
      </c>
      <c r="BK68" s="909">
        <v>4</v>
      </c>
      <c r="BL68" s="909">
        <v>1</v>
      </c>
      <c r="BM68" s="909">
        <v>6</v>
      </c>
      <c r="BN68" s="909">
        <v>109.594398746341</v>
      </c>
      <c r="BO68" s="910">
        <v>3520.4778494142747</v>
      </c>
      <c r="BP68" s="909">
        <v>1</v>
      </c>
      <c r="BQ68" s="909">
        <v>6</v>
      </c>
      <c r="BR68" s="909">
        <v>149.07231393320603</v>
      </c>
      <c r="BS68" s="910">
        <v>3368.8099552978565</v>
      </c>
      <c r="BT68" s="871">
        <v>3368.8099552978565</v>
      </c>
      <c r="BU68" s="911">
        <v>317.50285820711719</v>
      </c>
      <c r="BV68" s="908">
        <v>71.399455200000006</v>
      </c>
      <c r="BW68" s="902">
        <v>487.50121331136961</v>
      </c>
      <c r="BX68" s="902">
        <v>5.8720445594837694</v>
      </c>
      <c r="BY68" s="902">
        <v>19.030212594716716</v>
      </c>
      <c r="BZ68" s="902">
        <v>93.000846088524256</v>
      </c>
      <c r="CA68" s="902">
        <v>170.82848272222273</v>
      </c>
      <c r="CB68" s="902">
        <v>1650</v>
      </c>
      <c r="CC68" s="909" t="s">
        <v>2874</v>
      </c>
      <c r="CD68" s="909">
        <v>4</v>
      </c>
      <c r="CE68" s="909">
        <v>1</v>
      </c>
      <c r="CF68" s="909">
        <v>6</v>
      </c>
      <c r="CG68" s="909">
        <v>109.594398746341</v>
      </c>
      <c r="CH68" s="910">
        <v>2139.1959054329127</v>
      </c>
      <c r="CI68" s="909">
        <v>1</v>
      </c>
      <c r="CJ68" s="909">
        <v>6</v>
      </c>
      <c r="CK68" s="909">
        <v>149.07231393320603</v>
      </c>
      <c r="CL68" s="910">
        <v>2047.0358771721044</v>
      </c>
      <c r="CM68" s="871">
        <v>2047.0358771721044</v>
      </c>
      <c r="CN68" s="911">
        <v>192.92858620075864</v>
      </c>
      <c r="CO68" s="908">
        <v>89.249319000000014</v>
      </c>
      <c r="CP68" s="902">
        <v>596.11608407320887</v>
      </c>
      <c r="CQ68" s="902">
        <v>7.8293927459783594</v>
      </c>
      <c r="CR68" s="902">
        <v>107.83787137006138</v>
      </c>
      <c r="CS68" s="902">
        <v>96.367249756613077</v>
      </c>
      <c r="CT68" s="902">
        <v>240.81002240914236</v>
      </c>
      <c r="CU68" s="902">
        <v>2062.5</v>
      </c>
      <c r="CV68" s="909" t="s">
        <v>2875</v>
      </c>
      <c r="CW68" s="909">
        <v>5</v>
      </c>
      <c r="CX68" s="909">
        <v>1</v>
      </c>
      <c r="CY68" s="909">
        <v>8</v>
      </c>
      <c r="CZ68" s="909">
        <v>109.594398746341</v>
      </c>
      <c r="DA68" s="910">
        <v>2599.5291558923209</v>
      </c>
      <c r="DB68" s="909">
        <v>1</v>
      </c>
      <c r="DC68" s="909">
        <v>34</v>
      </c>
      <c r="DD68" s="909">
        <v>149.07231393320603</v>
      </c>
      <c r="DE68" s="910">
        <v>-1</v>
      </c>
      <c r="DF68" s="871">
        <v>-1</v>
      </c>
      <c r="DG68" s="911">
        <v>-9.4247779607693788E-2</v>
      </c>
      <c r="DH68" s="908">
        <v>142.79891040000001</v>
      </c>
      <c r="DI68" s="902">
        <v>533.99841135716906</v>
      </c>
      <c r="DJ68" s="902">
        <v>0</v>
      </c>
      <c r="DK68" s="902">
        <v>0</v>
      </c>
      <c r="DL68" s="902">
        <v>98.989728463457496</v>
      </c>
      <c r="DM68" s="902">
        <v>190.91177076179264</v>
      </c>
      <c r="DN68" s="902">
        <v>1650</v>
      </c>
      <c r="DO68" s="909" t="s">
        <v>3884</v>
      </c>
      <c r="DP68" s="909">
        <v>8</v>
      </c>
      <c r="DQ68" s="909">
        <v>0</v>
      </c>
      <c r="DR68" s="909">
        <v>0</v>
      </c>
      <c r="DS68" s="909">
        <v>0</v>
      </c>
      <c r="DT68" s="910">
        <v>1826.0018625148202</v>
      </c>
      <c r="DU68" s="909">
        <v>0</v>
      </c>
      <c r="DV68" s="909">
        <v>0</v>
      </c>
      <c r="DW68" s="909">
        <v>0</v>
      </c>
      <c r="DX68" s="910">
        <v>1910.2885297312837</v>
      </c>
      <c r="DY68" s="871">
        <v>1826.0018625148202</v>
      </c>
      <c r="DZ68" s="911">
        <v>172.09662110153516</v>
      </c>
      <c r="EA68" s="908">
        <v>71.399455200000006</v>
      </c>
      <c r="EB68" s="902">
        <v>487.50121331136961</v>
      </c>
      <c r="EC68" s="902">
        <v>5.8720445594837694</v>
      </c>
      <c r="ED68" s="902">
        <v>19.030212594716716</v>
      </c>
      <c r="EE68" s="902">
        <v>93.000846088524256</v>
      </c>
      <c r="EF68" s="902">
        <v>170.82848272222273</v>
      </c>
      <c r="EG68" s="902">
        <v>2062.5</v>
      </c>
      <c r="EH68" s="909" t="s">
        <v>3884</v>
      </c>
      <c r="EI68" s="909">
        <v>4</v>
      </c>
      <c r="EJ68" s="909">
        <v>1</v>
      </c>
      <c r="EK68" s="909">
        <v>6</v>
      </c>
      <c r="EL68" s="909">
        <v>109.594398746341</v>
      </c>
      <c r="EM68" s="910">
        <v>2371.6792055172427</v>
      </c>
      <c r="EN68" s="909">
        <v>1</v>
      </c>
      <c r="EO68" s="909">
        <v>6</v>
      </c>
      <c r="EP68" s="909">
        <v>149.07231393320603</v>
      </c>
      <c r="EQ68" s="910">
        <v>2269.5034197271557</v>
      </c>
      <c r="ER68" s="871">
        <v>2269.5034197271557</v>
      </c>
      <c r="ES68" s="911">
        <v>213.89565812135237</v>
      </c>
      <c r="ET68" s="908">
        <v>142.79891040000001</v>
      </c>
      <c r="EU68" s="902">
        <v>533.99841135716906</v>
      </c>
      <c r="EV68" s="902">
        <v>0</v>
      </c>
      <c r="EW68" s="902">
        <v>0</v>
      </c>
      <c r="EX68" s="902">
        <v>98.989728463457496</v>
      </c>
      <c r="EY68" s="902">
        <v>190.91177076179264</v>
      </c>
      <c r="EZ68" s="902">
        <v>1650</v>
      </c>
      <c r="FA68" s="909" t="s">
        <v>3884</v>
      </c>
      <c r="FB68" s="909">
        <v>8</v>
      </c>
      <c r="FC68" s="909">
        <v>0</v>
      </c>
      <c r="FD68" s="909">
        <v>0</v>
      </c>
      <c r="FE68" s="909">
        <v>0</v>
      </c>
      <c r="FF68" s="910">
        <v>1826.0018625148202</v>
      </c>
      <c r="FG68" s="909">
        <v>0</v>
      </c>
      <c r="FH68" s="909">
        <v>0</v>
      </c>
      <c r="FI68" s="909">
        <v>0</v>
      </c>
      <c r="FJ68" s="910">
        <v>1910.2885297312837</v>
      </c>
      <c r="FK68" s="871">
        <v>1826.0018625148202</v>
      </c>
      <c r="FL68" s="911">
        <v>172.09662110153516</v>
      </c>
      <c r="FM68" s="908">
        <v>142.79891040000001</v>
      </c>
      <c r="FN68" s="902">
        <v>543.78515228964204</v>
      </c>
      <c r="FO68" s="902">
        <v>9.7867409324729504</v>
      </c>
      <c r="FP68" s="902">
        <v>0</v>
      </c>
      <c r="FQ68" s="902">
        <v>99.817795588616931</v>
      </c>
      <c r="FR68" s="902">
        <v>192.87306040581808</v>
      </c>
      <c r="FS68" s="902">
        <v>2062.5</v>
      </c>
      <c r="FT68" s="909" t="s">
        <v>2877</v>
      </c>
      <c r="FU68" s="909">
        <v>8</v>
      </c>
      <c r="FV68" s="909">
        <v>1</v>
      </c>
      <c r="FW68" s="909">
        <v>10</v>
      </c>
      <c r="FX68" s="909">
        <v>109.594398746341</v>
      </c>
      <c r="FY68" s="910">
        <v>4690.6359608772145</v>
      </c>
      <c r="FZ68" s="909">
        <v>0</v>
      </c>
      <c r="GA68" s="909">
        <v>0</v>
      </c>
      <c r="GB68" s="909">
        <v>0</v>
      </c>
      <c r="GC68" s="910">
        <v>2359.36002531447</v>
      </c>
      <c r="GD68" s="871">
        <v>2359.36002531447</v>
      </c>
      <c r="GE68" s="911">
        <v>222.36444368104102</v>
      </c>
      <c r="GF68" s="908">
        <v>142.79891040000001</v>
      </c>
      <c r="GG68" s="902">
        <v>533.99841135716906</v>
      </c>
      <c r="GH68" s="902">
        <v>0</v>
      </c>
      <c r="GI68" s="902">
        <v>0</v>
      </c>
      <c r="GJ68" s="902">
        <v>98.989728463457496</v>
      </c>
      <c r="GK68" s="902">
        <v>190.91177076179264</v>
      </c>
      <c r="GL68" s="902">
        <v>1650</v>
      </c>
      <c r="GM68" s="909" t="s">
        <v>2877</v>
      </c>
      <c r="GN68" s="909">
        <v>8</v>
      </c>
      <c r="GO68" s="909">
        <v>0</v>
      </c>
      <c r="GP68" s="909">
        <v>0</v>
      </c>
      <c r="GQ68" s="909">
        <v>0</v>
      </c>
      <c r="GR68" s="910">
        <v>2255.2592100698325</v>
      </c>
      <c r="GS68" s="909">
        <v>0</v>
      </c>
      <c r="GT68" s="909">
        <v>0</v>
      </c>
      <c r="GU68" s="909">
        <v>0</v>
      </c>
      <c r="GV68" s="910">
        <v>2359.36002531447</v>
      </c>
      <c r="GW68" s="871">
        <v>2255.2592100698325</v>
      </c>
      <c r="GX68" s="911">
        <v>212.55317298888318</v>
      </c>
      <c r="GY68" s="908">
        <v>142.79891040000001</v>
      </c>
      <c r="GZ68" s="902">
        <v>543.78515228964204</v>
      </c>
      <c r="HA68" s="902">
        <v>9.7867409324729504</v>
      </c>
      <c r="HB68" s="902">
        <v>0</v>
      </c>
      <c r="HC68" s="902">
        <v>99.817795588616931</v>
      </c>
      <c r="HD68" s="902">
        <v>192.87306040581808</v>
      </c>
      <c r="HE68" s="902">
        <v>2062.5</v>
      </c>
      <c r="HF68" s="909" t="s">
        <v>2877</v>
      </c>
      <c r="HG68" s="909">
        <v>8</v>
      </c>
      <c r="HH68" s="909">
        <v>1</v>
      </c>
      <c r="HI68" s="909">
        <v>10</v>
      </c>
      <c r="HJ68" s="909">
        <v>109.594398746341</v>
      </c>
      <c r="HK68" s="910">
        <v>4690.6359608772145</v>
      </c>
      <c r="HL68" s="909">
        <v>0</v>
      </c>
      <c r="HM68" s="909">
        <v>0</v>
      </c>
      <c r="HN68" s="909">
        <v>0</v>
      </c>
      <c r="HO68" s="910">
        <v>2359.36002531447</v>
      </c>
      <c r="HP68" s="871">
        <v>2359.36002531447</v>
      </c>
      <c r="HQ68" s="911">
        <v>222.36444368104102</v>
      </c>
      <c r="HR68" s="908">
        <v>71.399455200000006</v>
      </c>
      <c r="HS68" s="902">
        <v>487.50121331136961</v>
      </c>
      <c r="HT68" s="902">
        <v>5.8720445594837694</v>
      </c>
      <c r="HU68" s="902">
        <v>19.030212594716716</v>
      </c>
      <c r="HV68" s="902">
        <v>93.000846088524256</v>
      </c>
      <c r="HW68" s="902">
        <v>170.82848272222273</v>
      </c>
      <c r="HX68" s="902">
        <v>1650</v>
      </c>
      <c r="HY68" s="909" t="s">
        <v>1063</v>
      </c>
      <c r="HZ68" s="909">
        <v>4</v>
      </c>
      <c r="IA68" s="909">
        <v>1</v>
      </c>
      <c r="IB68" s="909">
        <v>6</v>
      </c>
      <c r="IC68" s="909">
        <v>109.594398746341</v>
      </c>
      <c r="ID68" s="910">
        <v>2583.3244832894616</v>
      </c>
      <c r="IE68" s="909">
        <v>1</v>
      </c>
      <c r="IF68" s="909">
        <v>6</v>
      </c>
      <c r="IG68" s="909">
        <v>149.07231393320603</v>
      </c>
      <c r="IH68" s="910">
        <v>2472.0306757556104</v>
      </c>
      <c r="II68" s="871">
        <v>2472.0306757556104</v>
      </c>
      <c r="IJ68" s="911">
        <v>232.98340231207311</v>
      </c>
      <c r="IK68" s="908">
        <v>71.399455200000006</v>
      </c>
      <c r="IL68" s="902">
        <v>487.50121331136961</v>
      </c>
      <c r="IM68" s="902">
        <v>5.8720445594837694</v>
      </c>
      <c r="IN68" s="902">
        <v>19.030212594716716</v>
      </c>
      <c r="IO68" s="902">
        <v>93.000846088524256</v>
      </c>
      <c r="IP68" s="902">
        <v>170.82848272222273</v>
      </c>
      <c r="IQ68" s="902">
        <v>2062.5</v>
      </c>
      <c r="IR68" s="909" t="s">
        <v>1063</v>
      </c>
      <c r="IS68" s="909">
        <v>4</v>
      </c>
      <c r="IT68" s="909">
        <v>1</v>
      </c>
      <c r="IU68" s="909">
        <v>6</v>
      </c>
      <c r="IV68" s="909">
        <v>109.594398746341</v>
      </c>
      <c r="IW68" s="910">
        <v>2583.3244832894616</v>
      </c>
      <c r="IX68" s="909">
        <v>1</v>
      </c>
      <c r="IY68" s="909">
        <v>6</v>
      </c>
      <c r="IZ68" s="909">
        <v>149.07231393320603</v>
      </c>
      <c r="JA68" s="910">
        <v>2472.0306757556104</v>
      </c>
      <c r="JB68" s="871">
        <v>2472.0306757556104</v>
      </c>
      <c r="JC68" s="911">
        <v>232.98340231207311</v>
      </c>
      <c r="JD68" s="908">
        <v>89.249319000000014</v>
      </c>
      <c r="JE68" s="902">
        <v>480.44881995716912</v>
      </c>
      <c r="JF68" s="902">
        <v>0</v>
      </c>
      <c r="JG68" s="902">
        <v>0</v>
      </c>
      <c r="JH68" s="902">
        <v>93.861541779172256</v>
      </c>
      <c r="JI68" s="902">
        <v>165.16217529544673</v>
      </c>
      <c r="JJ68" s="902">
        <v>1650</v>
      </c>
      <c r="JK68" s="909" t="s">
        <v>1064</v>
      </c>
      <c r="JL68" s="909">
        <v>5</v>
      </c>
      <c r="JM68" s="909">
        <v>0</v>
      </c>
      <c r="JN68" s="909">
        <v>0</v>
      </c>
      <c r="JO68" s="909">
        <v>0</v>
      </c>
      <c r="JP68" s="910">
        <v>1900.1718339296988</v>
      </c>
      <c r="JQ68" s="909">
        <v>0</v>
      </c>
      <c r="JR68" s="909">
        <v>0</v>
      </c>
      <c r="JS68" s="909">
        <v>0</v>
      </c>
      <c r="JT68" s="910">
        <v>1886.8244553854581</v>
      </c>
      <c r="JU68" s="871">
        <v>1886.8244553854581</v>
      </c>
      <c r="JV68" s="911">
        <v>177.82901542957552</v>
      </c>
      <c r="JW68" s="908">
        <v>71.399455200000006</v>
      </c>
      <c r="JX68" s="902">
        <v>487.50121331136961</v>
      </c>
      <c r="JY68" s="902">
        <v>5.8720445594837694</v>
      </c>
      <c r="JZ68" s="902">
        <v>19.030212594716716</v>
      </c>
      <c r="KA68" s="902">
        <v>93.000846088524256</v>
      </c>
      <c r="KB68" s="902">
        <v>170.82848272222273</v>
      </c>
      <c r="KC68" s="902">
        <v>2062.5</v>
      </c>
      <c r="KD68" s="909" t="s">
        <v>1064</v>
      </c>
      <c r="KE68" s="909">
        <v>4</v>
      </c>
      <c r="KF68" s="909">
        <v>1</v>
      </c>
      <c r="KG68" s="909">
        <v>6</v>
      </c>
      <c r="KH68" s="909">
        <v>109.594398746341</v>
      </c>
      <c r="KI68" s="910">
        <v>3520.4778494142747</v>
      </c>
      <c r="KJ68" s="909">
        <v>1</v>
      </c>
      <c r="KK68" s="909">
        <v>6</v>
      </c>
      <c r="KL68" s="909">
        <v>149.07231393320603</v>
      </c>
      <c r="KM68" s="910">
        <v>3368.8099552978565</v>
      </c>
      <c r="KN68" s="871">
        <v>3368.8099552978565</v>
      </c>
      <c r="KO68" s="912">
        <v>317.50285820711719</v>
      </c>
    </row>
    <row r="69" spans="1:301" ht="15" customHeight="1">
      <c r="A69" s="924" t="s">
        <v>1556</v>
      </c>
      <c r="B69" s="888" t="s">
        <v>1082</v>
      </c>
      <c r="C69" s="888">
        <v>871.5</v>
      </c>
      <c r="D69" s="888">
        <v>1800</v>
      </c>
      <c r="E69" s="888">
        <v>900</v>
      </c>
      <c r="F69" s="888">
        <v>695.86547705766793</v>
      </c>
      <c r="G69" s="888">
        <v>420</v>
      </c>
      <c r="H69" s="888">
        <v>331</v>
      </c>
      <c r="I69" s="888">
        <v>229</v>
      </c>
      <c r="J69" s="888">
        <v>35.06</v>
      </c>
      <c r="K69" s="888">
        <v>46.43</v>
      </c>
      <c r="L69" s="888">
        <v>12</v>
      </c>
      <c r="M69" s="888">
        <v>737</v>
      </c>
      <c r="N69" s="888">
        <v>6</v>
      </c>
      <c r="O69" s="884">
        <v>89.891175995328155</v>
      </c>
      <c r="P69" s="888">
        <v>6</v>
      </c>
      <c r="Q69" s="884">
        <v>62.245528801548666</v>
      </c>
      <c r="R69" s="888">
        <v>22</v>
      </c>
      <c r="S69" s="888">
        <v>1247.9327385288339</v>
      </c>
      <c r="T69" s="906">
        <v>211.23436592703695</v>
      </c>
      <c r="U69" s="906">
        <v>187.18991077932506</v>
      </c>
      <c r="V69" s="906">
        <v>160</v>
      </c>
      <c r="W69" s="1141">
        <v>25.924217636499986</v>
      </c>
      <c r="X69" s="902">
        <v>463.91031803844527</v>
      </c>
      <c r="Y69" s="902">
        <v>62.152197539433352</v>
      </c>
      <c r="Z69" s="902">
        <v>6</v>
      </c>
      <c r="AA69" s="902">
        <v>8.2420467642508584</v>
      </c>
      <c r="AB69" s="970">
        <v>85.387743910818529</v>
      </c>
      <c r="AC69" s="1045">
        <v>2960.8136494965997</v>
      </c>
      <c r="AD69" s="890">
        <v>0.27007016699577463</v>
      </c>
      <c r="AE69" s="890">
        <v>0.70176931262376241</v>
      </c>
      <c r="AF69" s="890">
        <v>-0.33192047321497087</v>
      </c>
      <c r="AG69" s="890">
        <v>0.87689852613387309</v>
      </c>
      <c r="AH69" s="888"/>
      <c r="AI69" s="907">
        <v>13.938361145175204</v>
      </c>
      <c r="AJ69" s="908">
        <v>116.63467200000002</v>
      </c>
      <c r="AK69" s="902">
        <v>514.17200712466456</v>
      </c>
      <c r="AL69" s="902">
        <v>0</v>
      </c>
      <c r="AM69" s="902">
        <v>0</v>
      </c>
      <c r="AN69" s="902">
        <v>104.82367652352251</v>
      </c>
      <c r="AO69" s="902">
        <v>182.48631093564904</v>
      </c>
      <c r="AP69" s="1222">
        <v>1550</v>
      </c>
      <c r="AQ69" s="909" t="s">
        <v>1064</v>
      </c>
      <c r="AR69" s="909">
        <v>6</v>
      </c>
      <c r="AS69" s="909">
        <v>0</v>
      </c>
      <c r="AT69" s="909">
        <v>0</v>
      </c>
      <c r="AU69" s="909">
        <v>0</v>
      </c>
      <c r="AV69" s="910">
        <v>1799.3676326046957</v>
      </c>
      <c r="AW69" s="909">
        <v>0</v>
      </c>
      <c r="AX69" s="909">
        <v>0</v>
      </c>
      <c r="AY69" s="909">
        <v>0</v>
      </c>
      <c r="AZ69" s="910">
        <v>1874.9476657196865</v>
      </c>
      <c r="BA69" s="871">
        <v>1799.3676326046957</v>
      </c>
      <c r="BB69" s="911">
        <v>169.58640407094512</v>
      </c>
      <c r="BC69" s="908">
        <v>97.195560000000029</v>
      </c>
      <c r="BD69" s="902">
        <v>559.08335408017308</v>
      </c>
      <c r="BE69" s="902">
        <v>8.3864311054176444</v>
      </c>
      <c r="BF69" s="902">
        <v>55.964027850090716</v>
      </c>
      <c r="BG69" s="902">
        <v>104.59274493921464</v>
      </c>
      <c r="BH69" s="902">
        <v>214.00489807861149</v>
      </c>
      <c r="BI69" s="902">
        <v>1937.5</v>
      </c>
      <c r="BJ69" s="909" t="s">
        <v>1062</v>
      </c>
      <c r="BK69" s="909">
        <v>5</v>
      </c>
      <c r="BL69" s="909">
        <v>1</v>
      </c>
      <c r="BM69" s="909">
        <v>8</v>
      </c>
      <c r="BN69" s="909">
        <v>103.72306208672528</v>
      </c>
      <c r="BO69" s="910">
        <v>2131.8760985675744</v>
      </c>
      <c r="BP69" s="909">
        <v>1</v>
      </c>
      <c r="BQ69" s="909">
        <v>20</v>
      </c>
      <c r="BR69" s="909">
        <v>130.82577596519474</v>
      </c>
      <c r="BS69" s="910">
        <v>2135.6220018681543</v>
      </c>
      <c r="BT69" s="871">
        <v>2131.8760985675744</v>
      </c>
      <c r="BU69" s="911">
        <v>200.92458868870685</v>
      </c>
      <c r="BV69" s="908">
        <v>77.75644800000002</v>
      </c>
      <c r="BW69" s="902">
        <v>498.37281480875504</v>
      </c>
      <c r="BX69" s="902">
        <v>6.2898233290632337</v>
      </c>
      <c r="BY69" s="902">
        <v>16.789208355027217</v>
      </c>
      <c r="BZ69" s="902">
        <v>101.1820522699403</v>
      </c>
      <c r="CA69" s="902">
        <v>176.3281069424421</v>
      </c>
      <c r="CB69" s="902">
        <v>1550</v>
      </c>
      <c r="CC69" s="909" t="s">
        <v>2874</v>
      </c>
      <c r="CD69" s="909">
        <v>4</v>
      </c>
      <c r="CE69" s="909">
        <v>1</v>
      </c>
      <c r="CF69" s="909">
        <v>6</v>
      </c>
      <c r="CG69" s="909">
        <v>103.72306208672528</v>
      </c>
      <c r="CH69" s="910">
        <v>1799.119524867745</v>
      </c>
      <c r="CI69" s="909">
        <v>1</v>
      </c>
      <c r="CJ69" s="909">
        <v>6</v>
      </c>
      <c r="CK69" s="909">
        <v>130.82577596519474</v>
      </c>
      <c r="CL69" s="910">
        <v>1879.7581927934468</v>
      </c>
      <c r="CM69" s="871">
        <v>1799.119524867745</v>
      </c>
      <c r="CN69" s="911">
        <v>169.563020467634</v>
      </c>
      <c r="CO69" s="908">
        <v>97.195560000000029</v>
      </c>
      <c r="CP69" s="902">
        <v>542.29414572514588</v>
      </c>
      <c r="CQ69" s="902">
        <v>8.3864311054176444</v>
      </c>
      <c r="CR69" s="902">
        <v>39.174819495063502</v>
      </c>
      <c r="CS69" s="902">
        <v>104.28602031245418</v>
      </c>
      <c r="CT69" s="902">
        <v>202.23877752969253</v>
      </c>
      <c r="CU69" s="902">
        <v>1937.5</v>
      </c>
      <c r="CV69" s="909" t="s">
        <v>2875</v>
      </c>
      <c r="CW69" s="909">
        <v>5</v>
      </c>
      <c r="CX69" s="909">
        <v>1</v>
      </c>
      <c r="CY69" s="909">
        <v>8</v>
      </c>
      <c r="CZ69" s="909">
        <v>103.72306208672528</v>
      </c>
      <c r="DA69" s="910">
        <v>2174.0955654316231</v>
      </c>
      <c r="DB69" s="909">
        <v>1</v>
      </c>
      <c r="DC69" s="909">
        <v>14</v>
      </c>
      <c r="DD69" s="909">
        <v>130.82577596519474</v>
      </c>
      <c r="DE69" s="910">
        <v>2145.5839736948351</v>
      </c>
      <c r="DF69" s="871">
        <v>2145.5839736948351</v>
      </c>
      <c r="DG69" s="911">
        <v>202.2165254825907</v>
      </c>
      <c r="DH69" s="908">
        <v>77.75644800000002</v>
      </c>
      <c r="DI69" s="902">
        <v>498.37281480875504</v>
      </c>
      <c r="DJ69" s="902">
        <v>6.2898233290632337</v>
      </c>
      <c r="DK69" s="902">
        <v>16.789208355027217</v>
      </c>
      <c r="DL69" s="902">
        <v>101.1820522699403</v>
      </c>
      <c r="DM69" s="902">
        <v>176.3281069424421</v>
      </c>
      <c r="DN69" s="902">
        <v>1550</v>
      </c>
      <c r="DO69" s="909" t="s">
        <v>2875</v>
      </c>
      <c r="DP69" s="909">
        <v>4</v>
      </c>
      <c r="DQ69" s="909">
        <v>1</v>
      </c>
      <c r="DR69" s="909">
        <v>6</v>
      </c>
      <c r="DS69" s="909">
        <v>103.72306208672528</v>
      </c>
      <c r="DT69" s="910">
        <v>1872.5829719464239</v>
      </c>
      <c r="DU69" s="909">
        <v>1</v>
      </c>
      <c r="DV69" s="909">
        <v>6</v>
      </c>
      <c r="DW69" s="909">
        <v>130.82577596519474</v>
      </c>
      <c r="DX69" s="910">
        <v>1956.5143585780111</v>
      </c>
      <c r="DY69" s="871">
        <v>1872.5829719464239</v>
      </c>
      <c r="DZ69" s="911">
        <v>176.4867872371268</v>
      </c>
      <c r="EA69" s="908">
        <v>97.195560000000029</v>
      </c>
      <c r="EB69" s="902">
        <v>542.29414572514588</v>
      </c>
      <c r="EC69" s="902">
        <v>8.3864311054176444</v>
      </c>
      <c r="ED69" s="902">
        <v>39.174819495063502</v>
      </c>
      <c r="EE69" s="902">
        <v>104.28602031245418</v>
      </c>
      <c r="EF69" s="902">
        <v>202.23877752969253</v>
      </c>
      <c r="EG69" s="902">
        <v>1937.5</v>
      </c>
      <c r="EH69" s="909" t="s">
        <v>2875</v>
      </c>
      <c r="EI69" s="909">
        <v>5</v>
      </c>
      <c r="EJ69" s="909">
        <v>1</v>
      </c>
      <c r="EK69" s="909">
        <v>8</v>
      </c>
      <c r="EL69" s="909">
        <v>103.72306208672528</v>
      </c>
      <c r="EM69" s="910">
        <v>2174.0955654316231</v>
      </c>
      <c r="EN69" s="909">
        <v>1</v>
      </c>
      <c r="EO69" s="909">
        <v>14</v>
      </c>
      <c r="EP69" s="909">
        <v>130.82577596519474</v>
      </c>
      <c r="EQ69" s="910">
        <v>2145.5839736948351</v>
      </c>
      <c r="ER69" s="871">
        <v>2145.5839736948351</v>
      </c>
      <c r="ES69" s="911">
        <v>202.2165254825907</v>
      </c>
      <c r="ET69" s="908">
        <v>155.51289600000004</v>
      </c>
      <c r="EU69" s="902">
        <v>553.05023112466461</v>
      </c>
      <c r="EV69" s="902">
        <v>0</v>
      </c>
      <c r="EW69" s="902">
        <v>0</v>
      </c>
      <c r="EX69" s="902">
        <v>109.08908961415226</v>
      </c>
      <c r="EY69" s="902">
        <v>201.92305257892957</v>
      </c>
      <c r="EZ69" s="902">
        <v>1550</v>
      </c>
      <c r="FA69" s="909" t="s">
        <v>2877</v>
      </c>
      <c r="FB69" s="909">
        <v>8</v>
      </c>
      <c r="FC69" s="909">
        <v>0</v>
      </c>
      <c r="FD69" s="909">
        <v>0</v>
      </c>
      <c r="FE69" s="909">
        <v>0</v>
      </c>
      <c r="FF69" s="910">
        <v>1874.5695986736046</v>
      </c>
      <c r="FG69" s="909">
        <v>0</v>
      </c>
      <c r="FH69" s="909">
        <v>0</v>
      </c>
      <c r="FI69" s="909">
        <v>0</v>
      </c>
      <c r="FJ69" s="910">
        <v>2027.9228763738681</v>
      </c>
      <c r="FK69" s="871">
        <v>1874.5695986736046</v>
      </c>
      <c r="FL69" s="911">
        <v>176.67402239507288</v>
      </c>
      <c r="FM69" s="908">
        <v>97.195560000000029</v>
      </c>
      <c r="FN69" s="902">
        <v>525.50493737011857</v>
      </c>
      <c r="FO69" s="902">
        <v>8.3864311054176444</v>
      </c>
      <c r="FP69" s="902">
        <v>22.385611140036286</v>
      </c>
      <c r="FQ69" s="902">
        <v>103.9596967692989</v>
      </c>
      <c r="FR69" s="902">
        <v>190.47265698077354</v>
      </c>
      <c r="FS69" s="902">
        <v>1937.5</v>
      </c>
      <c r="FT69" s="909" t="s">
        <v>3884</v>
      </c>
      <c r="FU69" s="909">
        <v>5</v>
      </c>
      <c r="FV69" s="909">
        <v>1</v>
      </c>
      <c r="FW69" s="909">
        <v>8</v>
      </c>
      <c r="FX69" s="909">
        <v>103.72306208672528</v>
      </c>
      <c r="FY69" s="910">
        <v>2315.8102093175876</v>
      </c>
      <c r="FZ69" s="909">
        <v>1</v>
      </c>
      <c r="GA69" s="909">
        <v>8</v>
      </c>
      <c r="GB69" s="909">
        <v>130.82577596519474</v>
      </c>
      <c r="GC69" s="910">
        <v>2205.6336610264616</v>
      </c>
      <c r="GD69" s="871">
        <v>2205.6336610264616</v>
      </c>
      <c r="GE69" s="911">
        <v>207.87607517973274</v>
      </c>
      <c r="GF69" s="908">
        <v>155.51289600000004</v>
      </c>
      <c r="GG69" s="902">
        <v>553.05023112466461</v>
      </c>
      <c r="GH69" s="902">
        <v>0</v>
      </c>
      <c r="GI69" s="902">
        <v>0</v>
      </c>
      <c r="GJ69" s="902">
        <v>109.08908961415226</v>
      </c>
      <c r="GK69" s="902">
        <v>201.92305257892957</v>
      </c>
      <c r="GL69" s="902">
        <v>1550</v>
      </c>
      <c r="GM69" s="909" t="s">
        <v>2877</v>
      </c>
      <c r="GN69" s="909">
        <v>8</v>
      </c>
      <c r="GO69" s="909">
        <v>0</v>
      </c>
      <c r="GP69" s="909">
        <v>0</v>
      </c>
      <c r="GQ69" s="909">
        <v>0</v>
      </c>
      <c r="GR69" s="910">
        <v>1874.5695986736046</v>
      </c>
      <c r="GS69" s="909">
        <v>0</v>
      </c>
      <c r="GT69" s="909">
        <v>0</v>
      </c>
      <c r="GU69" s="909">
        <v>0</v>
      </c>
      <c r="GV69" s="910">
        <v>2027.9228763738681</v>
      </c>
      <c r="GW69" s="871">
        <v>1874.5695986736046</v>
      </c>
      <c r="GX69" s="911">
        <v>176.67402239507288</v>
      </c>
      <c r="GY69" s="908">
        <v>77.75644800000002</v>
      </c>
      <c r="GZ69" s="902">
        <v>498.37281480875504</v>
      </c>
      <c r="HA69" s="902">
        <v>6.2898233290632337</v>
      </c>
      <c r="HB69" s="902">
        <v>16.789208355027217</v>
      </c>
      <c r="HC69" s="902">
        <v>101.1820522699403</v>
      </c>
      <c r="HD69" s="902">
        <v>176.3281069424421</v>
      </c>
      <c r="HE69" s="902">
        <v>1937.5</v>
      </c>
      <c r="HF69" s="909" t="s">
        <v>2877</v>
      </c>
      <c r="HG69" s="909">
        <v>4</v>
      </c>
      <c r="HH69" s="909">
        <v>1</v>
      </c>
      <c r="HI69" s="909">
        <v>6</v>
      </c>
      <c r="HJ69" s="909">
        <v>103.72306208672528</v>
      </c>
      <c r="HK69" s="910">
        <v>2463.5458685451017</v>
      </c>
      <c r="HL69" s="909">
        <v>1</v>
      </c>
      <c r="HM69" s="909">
        <v>6</v>
      </c>
      <c r="HN69" s="909">
        <v>130.82577596519474</v>
      </c>
      <c r="HO69" s="910">
        <v>2573.9649121202897</v>
      </c>
      <c r="HP69" s="871">
        <v>2463.5458685451017</v>
      </c>
      <c r="HQ69" s="911">
        <v>232.18372807208334</v>
      </c>
      <c r="HR69" s="908">
        <v>77.75644800000002</v>
      </c>
      <c r="HS69" s="902">
        <v>498.37281480875504</v>
      </c>
      <c r="HT69" s="902">
        <v>6.2898233290632337</v>
      </c>
      <c r="HU69" s="902">
        <v>16.789208355027217</v>
      </c>
      <c r="HV69" s="902">
        <v>101.1820522699403</v>
      </c>
      <c r="HW69" s="902">
        <v>176.3281069424421</v>
      </c>
      <c r="HX69" s="902">
        <v>1550</v>
      </c>
      <c r="HY69" s="909" t="s">
        <v>1063</v>
      </c>
      <c r="HZ69" s="909">
        <v>4</v>
      </c>
      <c r="IA69" s="909">
        <v>1</v>
      </c>
      <c r="IB69" s="909">
        <v>6</v>
      </c>
      <c r="IC69" s="909">
        <v>103.72306208672528</v>
      </c>
      <c r="ID69" s="910">
        <v>2172.6432371903193</v>
      </c>
      <c r="IE69" s="909">
        <v>1</v>
      </c>
      <c r="IF69" s="909">
        <v>6</v>
      </c>
      <c r="IG69" s="909">
        <v>130.82577596519474</v>
      </c>
      <c r="IH69" s="910">
        <v>2270.02368029217</v>
      </c>
      <c r="II69" s="871">
        <v>2172.6432371903193</v>
      </c>
      <c r="IJ69" s="911">
        <v>204.7668009848596</v>
      </c>
      <c r="IK69" s="908">
        <v>77.75644800000002</v>
      </c>
      <c r="IL69" s="902">
        <v>498.37281480875504</v>
      </c>
      <c r="IM69" s="902">
        <v>6.2898233290632337</v>
      </c>
      <c r="IN69" s="902">
        <v>16.789208355027217</v>
      </c>
      <c r="IO69" s="902">
        <v>101.1820522699403</v>
      </c>
      <c r="IP69" s="902">
        <v>176.3281069424421</v>
      </c>
      <c r="IQ69" s="902">
        <v>1937.5</v>
      </c>
      <c r="IR69" s="909" t="s">
        <v>1063</v>
      </c>
      <c r="IS69" s="909">
        <v>4</v>
      </c>
      <c r="IT69" s="909">
        <v>1</v>
      </c>
      <c r="IU69" s="909">
        <v>6</v>
      </c>
      <c r="IV69" s="909">
        <v>103.72306208672528</v>
      </c>
      <c r="IW69" s="910">
        <v>2172.6432371903193</v>
      </c>
      <c r="IX69" s="909">
        <v>1</v>
      </c>
      <c r="IY69" s="909">
        <v>6</v>
      </c>
      <c r="IZ69" s="909">
        <v>130.82577596519474</v>
      </c>
      <c r="JA69" s="910">
        <v>2270.02368029217</v>
      </c>
      <c r="JB69" s="871">
        <v>2172.6432371903193</v>
      </c>
      <c r="JC69" s="911">
        <v>204.7668009848596</v>
      </c>
      <c r="JD69" s="908">
        <v>116.63467200000002</v>
      </c>
      <c r="JE69" s="902">
        <v>514.17200712466456</v>
      </c>
      <c r="JF69" s="902">
        <v>0</v>
      </c>
      <c r="JG69" s="902">
        <v>0</v>
      </c>
      <c r="JH69" s="902">
        <v>104.82367652352251</v>
      </c>
      <c r="JI69" s="902">
        <v>182.48631093564904</v>
      </c>
      <c r="JJ69" s="902">
        <v>1550</v>
      </c>
      <c r="JK69" s="909" t="s">
        <v>1064</v>
      </c>
      <c r="JL69" s="909">
        <v>6</v>
      </c>
      <c r="JM69" s="909">
        <v>0</v>
      </c>
      <c r="JN69" s="909">
        <v>0</v>
      </c>
      <c r="JO69" s="909">
        <v>0</v>
      </c>
      <c r="JP69" s="910">
        <v>1799.3676326046957</v>
      </c>
      <c r="JQ69" s="909">
        <v>0</v>
      </c>
      <c r="JR69" s="909">
        <v>0</v>
      </c>
      <c r="JS69" s="909">
        <v>0</v>
      </c>
      <c r="JT69" s="910">
        <v>1874.9476657196865</v>
      </c>
      <c r="JU69" s="871">
        <v>1799.3676326046957</v>
      </c>
      <c r="JV69" s="911">
        <v>169.58640407094512</v>
      </c>
      <c r="JW69" s="908">
        <v>77.75644800000002</v>
      </c>
      <c r="JX69" s="902">
        <v>498.37281480875504</v>
      </c>
      <c r="JY69" s="902">
        <v>6.2898233290632337</v>
      </c>
      <c r="JZ69" s="902">
        <v>16.789208355027217</v>
      </c>
      <c r="KA69" s="902">
        <v>101.1820522699403</v>
      </c>
      <c r="KB69" s="902">
        <v>176.3281069424421</v>
      </c>
      <c r="KC69" s="902">
        <v>1937.5</v>
      </c>
      <c r="KD69" s="909" t="s">
        <v>1064</v>
      </c>
      <c r="KE69" s="909">
        <v>4</v>
      </c>
      <c r="KF69" s="909">
        <v>1</v>
      </c>
      <c r="KG69" s="909">
        <v>6</v>
      </c>
      <c r="KH69" s="909">
        <v>103.72306208672528</v>
      </c>
      <c r="KI69" s="910">
        <v>2960.8136494965997</v>
      </c>
      <c r="KJ69" s="909">
        <v>1</v>
      </c>
      <c r="KK69" s="909">
        <v>6</v>
      </c>
      <c r="KL69" s="909">
        <v>130.82577596519474</v>
      </c>
      <c r="KM69" s="910">
        <v>3093.5208239649551</v>
      </c>
      <c r="KN69" s="871">
        <v>2960.8136494965997</v>
      </c>
      <c r="KO69" s="912">
        <v>279.05011229720708</v>
      </c>
    </row>
    <row r="70" spans="1:301" ht="15" customHeight="1">
      <c r="A70" s="924" t="s">
        <v>1557</v>
      </c>
      <c r="B70" s="888" t="s">
        <v>1083</v>
      </c>
      <c r="C70" s="888">
        <v>973</v>
      </c>
      <c r="D70" s="888">
        <v>1800</v>
      </c>
      <c r="E70" s="888">
        <v>1000</v>
      </c>
      <c r="F70" s="888">
        <v>782.23549855241902</v>
      </c>
      <c r="G70" s="888">
        <v>449</v>
      </c>
      <c r="H70" s="888">
        <v>367</v>
      </c>
      <c r="I70" s="888">
        <v>268</v>
      </c>
      <c r="J70" s="888">
        <v>35.049999999999997</v>
      </c>
      <c r="K70" s="888">
        <v>45.12</v>
      </c>
      <c r="L70" s="888">
        <v>12</v>
      </c>
      <c r="M70" s="888">
        <v>668</v>
      </c>
      <c r="N70" s="888">
        <v>6</v>
      </c>
      <c r="O70" s="884">
        <v>82.862647831084388</v>
      </c>
      <c r="P70" s="888">
        <v>6</v>
      </c>
      <c r="Q70" s="884">
        <v>58.189368061016388</v>
      </c>
      <c r="R70" s="888">
        <v>22</v>
      </c>
      <c r="S70" s="888">
        <v>1291.1177492762097</v>
      </c>
      <c r="T70" s="906">
        <v>226.10695530898863</v>
      </c>
      <c r="U70" s="906">
        <v>193.66766239143143</v>
      </c>
      <c r="V70" s="906">
        <v>185</v>
      </c>
      <c r="W70" s="1141">
        <v>32.085347777511309</v>
      </c>
      <c r="X70" s="902">
        <v>521.49033236827927</v>
      </c>
      <c r="Y70" s="902">
        <v>69.866456709359099</v>
      </c>
      <c r="Z70" s="902">
        <v>6</v>
      </c>
      <c r="AA70" s="902">
        <v>10.415006222568456</v>
      </c>
      <c r="AB70" s="970">
        <v>77.484158173277208</v>
      </c>
      <c r="AC70" s="1045">
        <v>2496.7424142934815</v>
      </c>
      <c r="AD70" s="890">
        <v>0.27643136846090716</v>
      </c>
      <c r="AE70" s="890">
        <v>0.7015088575925843</v>
      </c>
      <c r="AF70" s="890">
        <v>-0.32323299331070982</v>
      </c>
      <c r="AG70" s="890">
        <v>0.75404251885708584</v>
      </c>
      <c r="AH70" s="888"/>
      <c r="AI70" s="907">
        <v>13.781801761960725</v>
      </c>
      <c r="AJ70" s="908">
        <v>119.87326800000002</v>
      </c>
      <c r="AK70" s="902">
        <v>529.53259320116922</v>
      </c>
      <c r="AL70" s="902">
        <v>0</v>
      </c>
      <c r="AM70" s="902">
        <v>0</v>
      </c>
      <c r="AN70" s="902">
        <v>110.28746153593541</v>
      </c>
      <c r="AO70" s="902">
        <v>189.81227112315818</v>
      </c>
      <c r="AP70" s="1222">
        <v>1300</v>
      </c>
      <c r="AQ70" s="909" t="s">
        <v>1064</v>
      </c>
      <c r="AR70" s="909">
        <v>6</v>
      </c>
      <c r="AS70" s="909">
        <v>0</v>
      </c>
      <c r="AT70" s="909">
        <v>0</v>
      </c>
      <c r="AU70" s="909">
        <v>0</v>
      </c>
      <c r="AV70" s="910">
        <v>1518.5462830954534</v>
      </c>
      <c r="AW70" s="909">
        <v>0</v>
      </c>
      <c r="AX70" s="909">
        <v>0</v>
      </c>
      <c r="AY70" s="909">
        <v>0</v>
      </c>
      <c r="AZ70" s="910">
        <v>1554.5164242379556</v>
      </c>
      <c r="BA70" s="871">
        <v>1518.5462830954534</v>
      </c>
      <c r="BB70" s="911">
        <v>143.11961541326289</v>
      </c>
      <c r="BC70" s="908">
        <v>99.89439000000003</v>
      </c>
      <c r="BD70" s="902">
        <v>537.93411391420284</v>
      </c>
      <c r="BE70" s="902">
        <v>8.5459152750048322</v>
      </c>
      <c r="BF70" s="902">
        <v>19.834483438028805</v>
      </c>
      <c r="BG70" s="902">
        <v>109.60576044589949</v>
      </c>
      <c r="BH70" s="902">
        <v>195.94335293792003</v>
      </c>
      <c r="BI70" s="902">
        <v>1625</v>
      </c>
      <c r="BJ70" s="909" t="s">
        <v>1062</v>
      </c>
      <c r="BK70" s="909">
        <v>5</v>
      </c>
      <c r="BL70" s="909">
        <v>1</v>
      </c>
      <c r="BM70" s="909">
        <v>8</v>
      </c>
      <c r="BN70" s="909">
        <v>93.531574076715074</v>
      </c>
      <c r="BO70" s="910">
        <v>1789.7333880293902</v>
      </c>
      <c r="BP70" s="909">
        <v>1</v>
      </c>
      <c r="BQ70" s="909">
        <v>8</v>
      </c>
      <c r="BR70" s="909">
        <v>115.403470514506</v>
      </c>
      <c r="BS70" s="910">
        <v>1855.788669140371</v>
      </c>
      <c r="BT70" s="871">
        <v>1789.7333880293902</v>
      </c>
      <c r="BU70" s="911">
        <v>168.67839791152511</v>
      </c>
      <c r="BV70" s="908">
        <v>79.915512000000021</v>
      </c>
      <c r="BW70" s="902">
        <v>510.86013623594442</v>
      </c>
      <c r="BX70" s="902">
        <v>6.4094364562536246</v>
      </c>
      <c r="BY70" s="902">
        <v>14.875862578521604</v>
      </c>
      <c r="BZ70" s="902">
        <v>106.17006614290273</v>
      </c>
      <c r="CA70" s="902">
        <v>181.34087187328234</v>
      </c>
      <c r="CB70" s="902">
        <v>1300</v>
      </c>
      <c r="CC70" s="909" t="s">
        <v>2874</v>
      </c>
      <c r="CD70" s="909">
        <v>4</v>
      </c>
      <c r="CE70" s="909">
        <v>1</v>
      </c>
      <c r="CF70" s="909">
        <v>6</v>
      </c>
      <c r="CG70" s="909">
        <v>93.531574076715074</v>
      </c>
      <c r="CH70" s="910">
        <v>1517.1295994535158</v>
      </c>
      <c r="CI70" s="909">
        <v>1</v>
      </c>
      <c r="CJ70" s="909">
        <v>6</v>
      </c>
      <c r="CK70" s="909">
        <v>115.403470514506</v>
      </c>
      <c r="CL70" s="910">
        <v>1556.0310487636789</v>
      </c>
      <c r="CM70" s="871">
        <v>1517.1295994535158</v>
      </c>
      <c r="CN70" s="911">
        <v>142.98609612560369</v>
      </c>
      <c r="CO70" s="908">
        <v>119.87326800000002</v>
      </c>
      <c r="CP70" s="902">
        <v>557.91299191420285</v>
      </c>
      <c r="CQ70" s="902">
        <v>8.5459152750048322</v>
      </c>
      <c r="CR70" s="902">
        <v>19.834483438028805</v>
      </c>
      <c r="CS70" s="902">
        <v>112.25191498675159</v>
      </c>
      <c r="CT70" s="902">
        <v>206.39912142667777</v>
      </c>
      <c r="CU70" s="902">
        <v>1625</v>
      </c>
      <c r="CV70" s="909" t="s">
        <v>2874</v>
      </c>
      <c r="CW70" s="909">
        <v>6</v>
      </c>
      <c r="CX70" s="909">
        <v>1</v>
      </c>
      <c r="CY70" s="909">
        <v>8</v>
      </c>
      <c r="CZ70" s="909">
        <v>93.531574076715074</v>
      </c>
      <c r="DA70" s="910">
        <v>2013.6380771616182</v>
      </c>
      <c r="DB70" s="909">
        <v>1</v>
      </c>
      <c r="DC70" s="909">
        <v>8</v>
      </c>
      <c r="DD70" s="909">
        <v>115.403470514506</v>
      </c>
      <c r="DE70" s="910">
        <v>1895.4077800184218</v>
      </c>
      <c r="DF70" s="871">
        <v>1895.4077800184218</v>
      </c>
      <c r="DG70" s="911">
        <v>178.63797471788439</v>
      </c>
      <c r="DH70" s="908">
        <v>79.915512000000021</v>
      </c>
      <c r="DI70" s="902">
        <v>510.86013623594442</v>
      </c>
      <c r="DJ70" s="902">
        <v>6.4094364562536246</v>
      </c>
      <c r="DK70" s="902">
        <v>14.875862578521604</v>
      </c>
      <c r="DL70" s="902">
        <v>106.17006614290273</v>
      </c>
      <c r="DM70" s="902">
        <v>181.34087187328234</v>
      </c>
      <c r="DN70" s="902">
        <v>1300</v>
      </c>
      <c r="DO70" s="909" t="s">
        <v>2875</v>
      </c>
      <c r="DP70" s="909">
        <v>4</v>
      </c>
      <c r="DQ70" s="909">
        <v>1</v>
      </c>
      <c r="DR70" s="909">
        <v>6</v>
      </c>
      <c r="DS70" s="909">
        <v>93.531574076715074</v>
      </c>
      <c r="DT70" s="910">
        <v>1579.0785519830283</v>
      </c>
      <c r="DU70" s="909">
        <v>1</v>
      </c>
      <c r="DV70" s="909">
        <v>6</v>
      </c>
      <c r="DW70" s="909">
        <v>115.403470514506</v>
      </c>
      <c r="DX70" s="910">
        <v>1619.5684641624889</v>
      </c>
      <c r="DY70" s="871">
        <v>1579.0785519830283</v>
      </c>
      <c r="DZ70" s="911">
        <v>148.8246473505327</v>
      </c>
      <c r="EA70" s="908">
        <v>99.89439000000003</v>
      </c>
      <c r="EB70" s="902">
        <v>537.93411391420284</v>
      </c>
      <c r="EC70" s="902">
        <v>8.5459152750048322</v>
      </c>
      <c r="ED70" s="902">
        <v>19.834483438028805</v>
      </c>
      <c r="EE70" s="902">
        <v>109.60576044589949</v>
      </c>
      <c r="EF70" s="902">
        <v>195.94335293792003</v>
      </c>
      <c r="EG70" s="902">
        <v>1625</v>
      </c>
      <c r="EH70" s="909" t="s">
        <v>2875</v>
      </c>
      <c r="EI70" s="909">
        <v>5</v>
      </c>
      <c r="EJ70" s="909">
        <v>1</v>
      </c>
      <c r="EK70" s="909">
        <v>8</v>
      </c>
      <c r="EL70" s="909">
        <v>93.531574076715074</v>
      </c>
      <c r="EM70" s="910">
        <v>1825.1770939380781</v>
      </c>
      <c r="EN70" s="909">
        <v>1</v>
      </c>
      <c r="EO70" s="909">
        <v>8</v>
      </c>
      <c r="EP70" s="909">
        <v>115.403470514506</v>
      </c>
      <c r="EQ70" s="910">
        <v>1892.5405274102272</v>
      </c>
      <c r="ER70" s="871">
        <v>1825.1770939380781</v>
      </c>
      <c r="ES70" s="911">
        <v>172.01888849448702</v>
      </c>
      <c r="ET70" s="908">
        <v>159.83102400000004</v>
      </c>
      <c r="EU70" s="902">
        <v>569.49034920116924</v>
      </c>
      <c r="EV70" s="902">
        <v>0</v>
      </c>
      <c r="EW70" s="902">
        <v>0</v>
      </c>
      <c r="EX70" s="902">
        <v>115.42435060208238</v>
      </c>
      <c r="EY70" s="902">
        <v>210.72380810067369</v>
      </c>
      <c r="EZ70" s="902">
        <v>1300</v>
      </c>
      <c r="FA70" s="909" t="s">
        <v>2877</v>
      </c>
      <c r="FB70" s="909">
        <v>8</v>
      </c>
      <c r="FC70" s="909">
        <v>0</v>
      </c>
      <c r="FD70" s="909">
        <v>0</v>
      </c>
      <c r="FE70" s="909">
        <v>0</v>
      </c>
      <c r="FF70" s="910">
        <v>1566.2571936784552</v>
      </c>
      <c r="FG70" s="909">
        <v>0</v>
      </c>
      <c r="FH70" s="909">
        <v>0</v>
      </c>
      <c r="FI70" s="909">
        <v>0</v>
      </c>
      <c r="FJ70" s="910">
        <v>1643.5359885491378</v>
      </c>
      <c r="FK70" s="871">
        <v>1566.2571936784552</v>
      </c>
      <c r="FL70" s="911">
        <v>147.61626279877203</v>
      </c>
      <c r="FM70" s="908">
        <v>99.89439000000003</v>
      </c>
      <c r="FN70" s="902">
        <v>537.93411391420284</v>
      </c>
      <c r="FO70" s="902">
        <v>8.5459152750048322</v>
      </c>
      <c r="FP70" s="902">
        <v>19.834483438028805</v>
      </c>
      <c r="FQ70" s="902">
        <v>109.60576044589949</v>
      </c>
      <c r="FR70" s="902">
        <v>195.94335293792003</v>
      </c>
      <c r="FS70" s="902">
        <v>1625</v>
      </c>
      <c r="FT70" s="909" t="s">
        <v>3884</v>
      </c>
      <c r="FU70" s="909">
        <v>5</v>
      </c>
      <c r="FV70" s="909">
        <v>1</v>
      </c>
      <c r="FW70" s="909">
        <v>8</v>
      </c>
      <c r="FX70" s="909">
        <v>93.531574076715074</v>
      </c>
      <c r="FY70" s="910">
        <v>1944.1480931935321</v>
      </c>
      <c r="FZ70" s="909">
        <v>1</v>
      </c>
      <c r="GA70" s="909">
        <v>8</v>
      </c>
      <c r="GB70" s="909">
        <v>115.403470514506</v>
      </c>
      <c r="GC70" s="910">
        <v>2015.9024950928435</v>
      </c>
      <c r="GD70" s="871">
        <v>1944.1480931935321</v>
      </c>
      <c r="GE70" s="911">
        <v>183.23164101202212</v>
      </c>
      <c r="GF70" s="908">
        <v>159.83102400000004</v>
      </c>
      <c r="GG70" s="902">
        <v>569.49034920116924</v>
      </c>
      <c r="GH70" s="902">
        <v>0</v>
      </c>
      <c r="GI70" s="902">
        <v>0</v>
      </c>
      <c r="GJ70" s="902">
        <v>115.42435060208238</v>
      </c>
      <c r="GK70" s="902">
        <v>210.72380810067369</v>
      </c>
      <c r="GL70" s="902">
        <v>1300</v>
      </c>
      <c r="GM70" s="909" t="s">
        <v>2877</v>
      </c>
      <c r="GN70" s="909">
        <v>8</v>
      </c>
      <c r="GO70" s="909">
        <v>0</v>
      </c>
      <c r="GP70" s="909">
        <v>0</v>
      </c>
      <c r="GQ70" s="909">
        <v>0</v>
      </c>
      <c r="GR70" s="910">
        <v>1566.2571936784552</v>
      </c>
      <c r="GS70" s="909">
        <v>0</v>
      </c>
      <c r="GT70" s="909">
        <v>0</v>
      </c>
      <c r="GU70" s="909">
        <v>0</v>
      </c>
      <c r="GV70" s="910">
        <v>1643.5359885491378</v>
      </c>
      <c r="GW70" s="871">
        <v>1566.2571936784552</v>
      </c>
      <c r="GX70" s="911">
        <v>147.61626279877203</v>
      </c>
      <c r="GY70" s="908">
        <v>79.915512000000021</v>
      </c>
      <c r="GZ70" s="902">
        <v>510.86013623594442</v>
      </c>
      <c r="HA70" s="902">
        <v>6.4094364562536246</v>
      </c>
      <c r="HB70" s="902">
        <v>14.875862578521604</v>
      </c>
      <c r="HC70" s="902">
        <v>106.17006614290273</v>
      </c>
      <c r="HD70" s="902">
        <v>181.34087187328234</v>
      </c>
      <c r="HE70" s="902">
        <v>1625</v>
      </c>
      <c r="HF70" s="909" t="s">
        <v>2877</v>
      </c>
      <c r="HG70" s="909">
        <v>4</v>
      </c>
      <c r="HH70" s="909">
        <v>1</v>
      </c>
      <c r="HI70" s="909">
        <v>6</v>
      </c>
      <c r="HJ70" s="909">
        <v>93.531574076715074</v>
      </c>
      <c r="HK70" s="910">
        <v>2077.41526069867</v>
      </c>
      <c r="HL70" s="909">
        <v>1</v>
      </c>
      <c r="HM70" s="909">
        <v>6</v>
      </c>
      <c r="HN70" s="909">
        <v>115.403470514506</v>
      </c>
      <c r="HO70" s="910">
        <v>2130.68326396572</v>
      </c>
      <c r="HP70" s="871">
        <v>2077.41526069867</v>
      </c>
      <c r="HQ70" s="911">
        <v>195.79177564398799</v>
      </c>
      <c r="HR70" s="908">
        <v>79.915512000000021</v>
      </c>
      <c r="HS70" s="902">
        <v>510.86013623594442</v>
      </c>
      <c r="HT70" s="902">
        <v>6.4094364562536246</v>
      </c>
      <c r="HU70" s="902">
        <v>14.875862578521604</v>
      </c>
      <c r="HV70" s="902">
        <v>106.17006614290273</v>
      </c>
      <c r="HW70" s="902">
        <v>181.34087187328234</v>
      </c>
      <c r="HX70" s="902">
        <v>1300</v>
      </c>
      <c r="HY70" s="909" t="s">
        <v>1063</v>
      </c>
      <c r="HZ70" s="909">
        <v>4</v>
      </c>
      <c r="IA70" s="909">
        <v>1</v>
      </c>
      <c r="IB70" s="909">
        <v>6</v>
      </c>
      <c r="IC70" s="909">
        <v>93.531574076715074</v>
      </c>
      <c r="ID70" s="910">
        <v>1832.1080498730312</v>
      </c>
      <c r="IE70" s="909">
        <v>1</v>
      </c>
      <c r="IF70" s="909">
        <v>6</v>
      </c>
      <c r="IG70" s="909">
        <v>115.403470514506</v>
      </c>
      <c r="IH70" s="910">
        <v>1879.0860130335618</v>
      </c>
      <c r="II70" s="871">
        <v>1832.1080498730312</v>
      </c>
      <c r="IJ70" s="911">
        <v>172.67211570191512</v>
      </c>
      <c r="IK70" s="908">
        <v>79.915512000000021</v>
      </c>
      <c r="IL70" s="902">
        <v>510.86013623594442</v>
      </c>
      <c r="IM70" s="902">
        <v>6.4094364562536246</v>
      </c>
      <c r="IN70" s="902">
        <v>14.875862578521604</v>
      </c>
      <c r="IO70" s="902">
        <v>106.17006614290273</v>
      </c>
      <c r="IP70" s="902">
        <v>181.34087187328234</v>
      </c>
      <c r="IQ70" s="902">
        <v>1625</v>
      </c>
      <c r="IR70" s="909" t="s">
        <v>1063</v>
      </c>
      <c r="IS70" s="909">
        <v>4</v>
      </c>
      <c r="IT70" s="909">
        <v>1</v>
      </c>
      <c r="IU70" s="909">
        <v>6</v>
      </c>
      <c r="IV70" s="909">
        <v>93.531574076715074</v>
      </c>
      <c r="IW70" s="910">
        <v>1832.1080498730312</v>
      </c>
      <c r="IX70" s="909">
        <v>1</v>
      </c>
      <c r="IY70" s="909">
        <v>6</v>
      </c>
      <c r="IZ70" s="909">
        <v>115.403470514506</v>
      </c>
      <c r="JA70" s="910">
        <v>1879.0860130335618</v>
      </c>
      <c r="JB70" s="871">
        <v>1832.1080498730312</v>
      </c>
      <c r="JC70" s="911">
        <v>172.67211570191512</v>
      </c>
      <c r="JD70" s="908">
        <v>119.87326800000002</v>
      </c>
      <c r="JE70" s="902">
        <v>529.53259320116922</v>
      </c>
      <c r="JF70" s="902">
        <v>0</v>
      </c>
      <c r="JG70" s="902">
        <v>0</v>
      </c>
      <c r="JH70" s="902">
        <v>110.28746153593541</v>
      </c>
      <c r="JI70" s="902">
        <v>189.81227112315818</v>
      </c>
      <c r="JJ70" s="902">
        <v>1300</v>
      </c>
      <c r="JK70" s="909" t="s">
        <v>1064</v>
      </c>
      <c r="JL70" s="909">
        <v>6</v>
      </c>
      <c r="JM70" s="909">
        <v>0</v>
      </c>
      <c r="JN70" s="909">
        <v>0</v>
      </c>
      <c r="JO70" s="909">
        <v>0</v>
      </c>
      <c r="JP70" s="910">
        <v>1518.5462830954534</v>
      </c>
      <c r="JQ70" s="909">
        <v>0</v>
      </c>
      <c r="JR70" s="909">
        <v>0</v>
      </c>
      <c r="JS70" s="909">
        <v>0</v>
      </c>
      <c r="JT70" s="910">
        <v>1554.5164242379556</v>
      </c>
      <c r="JU70" s="871">
        <v>1518.5462830954534</v>
      </c>
      <c r="JV70" s="911">
        <v>143.11961541326289</v>
      </c>
      <c r="JW70" s="908">
        <v>79.915512000000021</v>
      </c>
      <c r="JX70" s="902">
        <v>510.86013623594442</v>
      </c>
      <c r="JY70" s="902">
        <v>6.4094364562536246</v>
      </c>
      <c r="JZ70" s="902">
        <v>14.875862578521604</v>
      </c>
      <c r="KA70" s="902">
        <v>106.17006614290273</v>
      </c>
      <c r="KB70" s="902">
        <v>181.34087187328234</v>
      </c>
      <c r="KC70" s="902">
        <v>1625</v>
      </c>
      <c r="KD70" s="909" t="s">
        <v>1064</v>
      </c>
      <c r="KE70" s="909">
        <v>4</v>
      </c>
      <c r="KF70" s="909">
        <v>1</v>
      </c>
      <c r="KG70" s="909">
        <v>6</v>
      </c>
      <c r="KH70" s="909">
        <v>93.531574076715074</v>
      </c>
      <c r="KI70" s="910">
        <v>2496.7424142934815</v>
      </c>
      <c r="KJ70" s="909">
        <v>1</v>
      </c>
      <c r="KK70" s="909">
        <v>6</v>
      </c>
      <c r="KL70" s="909">
        <v>115.403470514506</v>
      </c>
      <c r="KM70" s="910">
        <v>2560.762586667126</v>
      </c>
      <c r="KN70" s="871">
        <v>2496.7424142934815</v>
      </c>
      <c r="KO70" s="912">
        <v>235.31242879951336</v>
      </c>
    </row>
    <row r="71" spans="1:301" ht="15" customHeight="1">
      <c r="A71" s="924" t="s">
        <v>1558</v>
      </c>
      <c r="B71" s="888" t="s">
        <v>1084</v>
      </c>
      <c r="C71" s="888">
        <v>1126.5</v>
      </c>
      <c r="D71" s="888">
        <v>1800</v>
      </c>
      <c r="E71" s="888">
        <v>1120</v>
      </c>
      <c r="F71" s="888">
        <v>928.74096758399003</v>
      </c>
      <c r="G71" s="888">
        <v>506.62799530184145</v>
      </c>
      <c r="H71" s="888">
        <v>455</v>
      </c>
      <c r="I71" s="888">
        <v>340</v>
      </c>
      <c r="J71" s="888">
        <v>16.82</v>
      </c>
      <c r="K71" s="888">
        <v>29.93</v>
      </c>
      <c r="L71" s="888">
        <v>12</v>
      </c>
      <c r="M71" s="888">
        <v>774</v>
      </c>
      <c r="N71" s="888">
        <v>6</v>
      </c>
      <c r="O71" s="884">
        <v>73.451818541696952</v>
      </c>
      <c r="P71" s="888">
        <v>6</v>
      </c>
      <c r="Q71" s="884">
        <v>50.993569266487867</v>
      </c>
      <c r="R71" s="888">
        <v>22</v>
      </c>
      <c r="S71" s="888">
        <v>1364.370483791995</v>
      </c>
      <c r="T71" s="906">
        <v>252.49155088892653</v>
      </c>
      <c r="U71" s="906">
        <v>204.65557256879924</v>
      </c>
      <c r="V71" s="906">
        <v>222.5</v>
      </c>
      <c r="W71" s="1141">
        <v>43.092130453557559</v>
      </c>
      <c r="X71" s="902">
        <v>619.16064505599331</v>
      </c>
      <c r="Y71" s="902">
        <v>82.951797413943211</v>
      </c>
      <c r="Z71" s="902">
        <v>6</v>
      </c>
      <c r="AA71" s="902">
        <v>14.681610510141315</v>
      </c>
      <c r="AB71" s="970">
        <v>101.1719097663796</v>
      </c>
      <c r="AC71" s="1045">
        <v>1928.8759241769219</v>
      </c>
      <c r="AD71" s="890">
        <v>0.28960600313197232</v>
      </c>
      <c r="AE71" s="890">
        <v>0.30229872525299156</v>
      </c>
      <c r="AF71" s="890">
        <v>-0.70539734865355619</v>
      </c>
      <c r="AG71" s="890">
        <v>1.172195053928101</v>
      </c>
      <c r="AH71" s="888"/>
      <c r="AI71" s="907">
        <v>15.569376124636472</v>
      </c>
      <c r="AJ71" s="908">
        <v>173.89225800000003</v>
      </c>
      <c r="AK71" s="902">
        <v>635.35572502551497</v>
      </c>
      <c r="AL71" s="902">
        <v>7.1368445048373124</v>
      </c>
      <c r="AM71" s="902">
        <v>19.615942859867324</v>
      </c>
      <c r="AN71" s="902">
        <v>135.78649788658979</v>
      </c>
      <c r="AO71" s="902">
        <v>247.79687750598939</v>
      </c>
      <c r="AP71" s="1222">
        <v>1150</v>
      </c>
      <c r="AQ71" s="909" t="s">
        <v>1062</v>
      </c>
      <c r="AR71" s="909">
        <v>6</v>
      </c>
      <c r="AS71" s="909">
        <v>1</v>
      </c>
      <c r="AT71" s="909">
        <v>8</v>
      </c>
      <c r="AU71" s="909">
        <v>66.166944435299868</v>
      </c>
      <c r="AV71" s="910">
        <v>1389.7584234086557</v>
      </c>
      <c r="AW71" s="909">
        <v>1</v>
      </c>
      <c r="AX71" s="909">
        <v>8</v>
      </c>
      <c r="AY71" s="909">
        <v>114.08888983015085</v>
      </c>
      <c r="AZ71" s="910">
        <v>1463.1404905122643</v>
      </c>
      <c r="BA71" s="871">
        <v>1389.7584234086557</v>
      </c>
      <c r="BB71" s="911">
        <v>130.98164559735497</v>
      </c>
      <c r="BC71" s="908">
        <v>231.85634400000004</v>
      </c>
      <c r="BD71" s="902">
        <v>700.00800786669106</v>
      </c>
      <c r="BE71" s="902">
        <v>8.9210556310466416</v>
      </c>
      <c r="BF71" s="902">
        <v>24.519928574834157</v>
      </c>
      <c r="BG71" s="902">
        <v>143.85427430759316</v>
      </c>
      <c r="BH71" s="902">
        <v>284.60394737230575</v>
      </c>
      <c r="BI71" s="902">
        <v>1437.5</v>
      </c>
      <c r="BJ71" s="909" t="s">
        <v>1062</v>
      </c>
      <c r="BK71" s="909">
        <v>8</v>
      </c>
      <c r="BL71" s="909">
        <v>1</v>
      </c>
      <c r="BM71" s="909">
        <v>10</v>
      </c>
      <c r="BN71" s="909">
        <v>66.166944435299868</v>
      </c>
      <c r="BO71" s="910">
        <v>1837.9385843541368</v>
      </c>
      <c r="BP71" s="909">
        <v>1</v>
      </c>
      <c r="BQ71" s="909">
        <v>10</v>
      </c>
      <c r="BR71" s="909">
        <v>114.08888983015085</v>
      </c>
      <c r="BS71" s="910">
        <v>1775.674216872445</v>
      </c>
      <c r="BT71" s="871">
        <v>1775.674216872445</v>
      </c>
      <c r="BU71" s="911">
        <v>167.35335224685846</v>
      </c>
      <c r="BV71" s="908">
        <v>173.89225800000003</v>
      </c>
      <c r="BW71" s="902">
        <v>635.35572502551497</v>
      </c>
      <c r="BX71" s="902">
        <v>7.1368445048373124</v>
      </c>
      <c r="BY71" s="902">
        <v>19.615942859867324</v>
      </c>
      <c r="BZ71" s="902">
        <v>135.78649788658979</v>
      </c>
      <c r="CA71" s="902">
        <v>247.79687750598939</v>
      </c>
      <c r="CB71" s="902">
        <v>1150</v>
      </c>
      <c r="CC71" s="909" t="s">
        <v>2874</v>
      </c>
      <c r="CD71" s="909">
        <v>6</v>
      </c>
      <c r="CE71" s="909">
        <v>1</v>
      </c>
      <c r="CF71" s="909">
        <v>8</v>
      </c>
      <c r="CG71" s="909">
        <v>66.166944435299868</v>
      </c>
      <c r="CH71" s="910">
        <v>1361.6796012344091</v>
      </c>
      <c r="CI71" s="909">
        <v>1</v>
      </c>
      <c r="CJ71" s="909">
        <v>8</v>
      </c>
      <c r="CK71" s="909">
        <v>114.08888983015085</v>
      </c>
      <c r="CL71" s="910">
        <v>1433.5790495042156</v>
      </c>
      <c r="CM71" s="871">
        <v>1361.6796012344091</v>
      </c>
      <c r="CN71" s="911">
        <v>128.33527895343295</v>
      </c>
      <c r="CO71" s="908">
        <v>231.85634400000004</v>
      </c>
      <c r="CP71" s="902">
        <v>700.00800786669106</v>
      </c>
      <c r="CQ71" s="902">
        <v>8.9210556310466416</v>
      </c>
      <c r="CR71" s="902">
        <v>24.519928574834157</v>
      </c>
      <c r="CS71" s="902">
        <v>143.85427430759316</v>
      </c>
      <c r="CT71" s="902">
        <v>284.60394737230575</v>
      </c>
      <c r="CU71" s="902">
        <v>1437.5</v>
      </c>
      <c r="CV71" s="909" t="s">
        <v>2874</v>
      </c>
      <c r="CW71" s="909">
        <v>8</v>
      </c>
      <c r="CX71" s="909">
        <v>1</v>
      </c>
      <c r="CY71" s="909">
        <v>10</v>
      </c>
      <c r="CZ71" s="909">
        <v>66.166944435299868</v>
      </c>
      <c r="DA71" s="910">
        <v>1800.8046840963573</v>
      </c>
      <c r="DB71" s="909">
        <v>1</v>
      </c>
      <c r="DC71" s="909">
        <v>10</v>
      </c>
      <c r="DD71" s="909">
        <v>114.08888983015085</v>
      </c>
      <c r="DE71" s="910">
        <v>1739.7983123014428</v>
      </c>
      <c r="DF71" s="871">
        <v>1739.7983123014428</v>
      </c>
      <c r="DG71" s="911">
        <v>163.97212789962398</v>
      </c>
      <c r="DH71" s="908">
        <v>173.89225800000003</v>
      </c>
      <c r="DI71" s="902">
        <v>635.35572502551497</v>
      </c>
      <c r="DJ71" s="902">
        <v>7.1368445048373124</v>
      </c>
      <c r="DK71" s="902">
        <v>19.615942859867324</v>
      </c>
      <c r="DL71" s="902">
        <v>135.78649788658979</v>
      </c>
      <c r="DM71" s="902">
        <v>247.79687750598939</v>
      </c>
      <c r="DN71" s="902">
        <v>1150</v>
      </c>
      <c r="DO71" s="909" t="s">
        <v>2875</v>
      </c>
      <c r="DP71" s="909">
        <v>6</v>
      </c>
      <c r="DQ71" s="909">
        <v>1</v>
      </c>
      <c r="DR71" s="909">
        <v>8</v>
      </c>
      <c r="DS71" s="909">
        <v>66.166944435299868</v>
      </c>
      <c r="DT71" s="910">
        <v>1417.2810640281355</v>
      </c>
      <c r="DU71" s="909">
        <v>1</v>
      </c>
      <c r="DV71" s="909">
        <v>8</v>
      </c>
      <c r="DW71" s="909">
        <v>114.08888983015085</v>
      </c>
      <c r="DX71" s="910">
        <v>1492.1163824499506</v>
      </c>
      <c r="DY71" s="871">
        <v>1417.2810640281355</v>
      </c>
      <c r="DZ71" s="911">
        <v>133.57559336468145</v>
      </c>
      <c r="EA71" s="908">
        <v>231.85634400000004</v>
      </c>
      <c r="EB71" s="902">
        <v>700.00800786669106</v>
      </c>
      <c r="EC71" s="902">
        <v>8.9210556310466416</v>
      </c>
      <c r="ED71" s="902">
        <v>24.519928574834157</v>
      </c>
      <c r="EE71" s="902">
        <v>143.85427430759316</v>
      </c>
      <c r="EF71" s="902">
        <v>284.60394737230575</v>
      </c>
      <c r="EG71" s="902">
        <v>1437.5</v>
      </c>
      <c r="EH71" s="909" t="s">
        <v>2875</v>
      </c>
      <c r="EI71" s="909">
        <v>8</v>
      </c>
      <c r="EJ71" s="909">
        <v>1</v>
      </c>
      <c r="EK71" s="909">
        <v>10</v>
      </c>
      <c r="EL71" s="909">
        <v>66.166944435299868</v>
      </c>
      <c r="EM71" s="910">
        <v>1874.3369412813686</v>
      </c>
      <c r="EN71" s="909">
        <v>1</v>
      </c>
      <c r="EO71" s="909">
        <v>10</v>
      </c>
      <c r="EP71" s="909">
        <v>114.08888983015085</v>
      </c>
      <c r="EQ71" s="910">
        <v>1810.8394963232367</v>
      </c>
      <c r="ER71" s="871">
        <v>1810.8394963232367</v>
      </c>
      <c r="ES71" s="911">
        <v>170.66760175437966</v>
      </c>
      <c r="ET71" s="908">
        <v>144.91021500000002</v>
      </c>
      <c r="EU71" s="902">
        <v>606.37368202551488</v>
      </c>
      <c r="EV71" s="902">
        <v>7.1368445048373124</v>
      </c>
      <c r="EW71" s="902">
        <v>19.615942859867324</v>
      </c>
      <c r="EX71" s="902">
        <v>131.4029886072085</v>
      </c>
      <c r="EY71" s="902">
        <v>231.46186536891477</v>
      </c>
      <c r="EZ71" s="902">
        <v>1150</v>
      </c>
      <c r="FA71" s="909" t="s">
        <v>3884</v>
      </c>
      <c r="FB71" s="909">
        <v>5</v>
      </c>
      <c r="FC71" s="909">
        <v>1</v>
      </c>
      <c r="FD71" s="909">
        <v>8</v>
      </c>
      <c r="FE71" s="909">
        <v>66.166944435299868</v>
      </c>
      <c r="FF71" s="910">
        <v>1328.802808178634</v>
      </c>
      <c r="FG71" s="909">
        <v>1</v>
      </c>
      <c r="FH71" s="909">
        <v>8</v>
      </c>
      <c r="FI71" s="909">
        <v>114.08888983015085</v>
      </c>
      <c r="FJ71" s="910">
        <v>1384.3673774912661</v>
      </c>
      <c r="FK71" s="871">
        <v>1328.802808178634</v>
      </c>
      <c r="FL71" s="911">
        <v>125.2367142073045</v>
      </c>
      <c r="FM71" s="908">
        <v>231.85634400000004</v>
      </c>
      <c r="FN71" s="902">
        <v>700.00800786669106</v>
      </c>
      <c r="FO71" s="902">
        <v>8.9210556310466416</v>
      </c>
      <c r="FP71" s="902">
        <v>24.519928574834157</v>
      </c>
      <c r="FQ71" s="902">
        <v>143.85427430759316</v>
      </c>
      <c r="FR71" s="902">
        <v>284.60394737230575</v>
      </c>
      <c r="FS71" s="902">
        <v>1437.5</v>
      </c>
      <c r="FT71" s="909" t="s">
        <v>3884</v>
      </c>
      <c r="FU71" s="909">
        <v>8</v>
      </c>
      <c r="FV71" s="909">
        <v>1</v>
      </c>
      <c r="FW71" s="909">
        <v>10</v>
      </c>
      <c r="FX71" s="909">
        <v>66.166944435299868</v>
      </c>
      <c r="FY71" s="910">
        <v>1996.5123398146261</v>
      </c>
      <c r="FZ71" s="909">
        <v>1</v>
      </c>
      <c r="GA71" s="909">
        <v>10</v>
      </c>
      <c r="GB71" s="909">
        <v>114.08888983015085</v>
      </c>
      <c r="GC71" s="910">
        <v>1928.8759241769219</v>
      </c>
      <c r="GD71" s="871">
        <v>1928.8759241769219</v>
      </c>
      <c r="GE71" s="911">
        <v>181.79227299241322</v>
      </c>
      <c r="GF71" s="908">
        <v>115.92817200000002</v>
      </c>
      <c r="GG71" s="902">
        <v>570.70344218433866</v>
      </c>
      <c r="GH71" s="902">
        <v>5.3526333786279841</v>
      </c>
      <c r="GI71" s="902">
        <v>14.711957144900495</v>
      </c>
      <c r="GJ71" s="902">
        <v>125.89080130770665</v>
      </c>
      <c r="GK71" s="902">
        <v>210.98980763967296</v>
      </c>
      <c r="GL71" s="902">
        <v>1150</v>
      </c>
      <c r="GM71" s="909" t="s">
        <v>2877</v>
      </c>
      <c r="GN71" s="909">
        <v>4</v>
      </c>
      <c r="GO71" s="909">
        <v>1</v>
      </c>
      <c r="GP71" s="909">
        <v>6</v>
      </c>
      <c r="GQ71" s="909">
        <v>66.166944435299868</v>
      </c>
      <c r="GR71" s="910">
        <v>1429.9606029586973</v>
      </c>
      <c r="GS71" s="909">
        <v>1</v>
      </c>
      <c r="GT71" s="909">
        <v>6</v>
      </c>
      <c r="GU71" s="909">
        <v>114.08888983015085</v>
      </c>
      <c r="GV71" s="910">
        <v>1479.4439139893557</v>
      </c>
      <c r="GW71" s="871">
        <v>1429.9606029586973</v>
      </c>
      <c r="GX71" s="911">
        <v>134.77061175533623</v>
      </c>
      <c r="GY71" s="908">
        <v>144.91021500000002</v>
      </c>
      <c r="GZ71" s="902">
        <v>606.37368202551488</v>
      </c>
      <c r="HA71" s="902">
        <v>7.1368445048373124</v>
      </c>
      <c r="HB71" s="902">
        <v>19.615942859867324</v>
      </c>
      <c r="HC71" s="902">
        <v>131.4029886072085</v>
      </c>
      <c r="HD71" s="902">
        <v>231.46186536891477</v>
      </c>
      <c r="HE71" s="902">
        <v>1437.5</v>
      </c>
      <c r="HF71" s="909" t="s">
        <v>2877</v>
      </c>
      <c r="HG71" s="909">
        <v>5</v>
      </c>
      <c r="HH71" s="909">
        <v>1</v>
      </c>
      <c r="HI71" s="909">
        <v>8</v>
      </c>
      <c r="HJ71" s="909">
        <v>66.166944435299868</v>
      </c>
      <c r="HK71" s="910">
        <v>1641.1783761185495</v>
      </c>
      <c r="HL71" s="909">
        <v>1</v>
      </c>
      <c r="HM71" s="909">
        <v>8</v>
      </c>
      <c r="HN71" s="909">
        <v>114.08888983015085</v>
      </c>
      <c r="HO71" s="910">
        <v>1709.8050896331201</v>
      </c>
      <c r="HP71" s="871">
        <v>1641.1783761185495</v>
      </c>
      <c r="HQ71" s="911">
        <v>154.67741788933384</v>
      </c>
      <c r="HR71" s="908">
        <v>144.91021500000002</v>
      </c>
      <c r="HS71" s="902">
        <v>606.37368202551488</v>
      </c>
      <c r="HT71" s="902">
        <v>7.1368445048373124</v>
      </c>
      <c r="HU71" s="902">
        <v>19.615942859867324</v>
      </c>
      <c r="HV71" s="902">
        <v>131.4029886072085</v>
      </c>
      <c r="HW71" s="902">
        <v>231.46186536891477</v>
      </c>
      <c r="HX71" s="902">
        <v>1150</v>
      </c>
      <c r="HY71" s="909" t="s">
        <v>1063</v>
      </c>
      <c r="HZ71" s="909">
        <v>5</v>
      </c>
      <c r="IA71" s="909">
        <v>1</v>
      </c>
      <c r="IB71" s="909">
        <v>8</v>
      </c>
      <c r="IC71" s="909">
        <v>66.166944435299868</v>
      </c>
      <c r="ID71" s="910">
        <v>1447.3832801021695</v>
      </c>
      <c r="IE71" s="909">
        <v>1</v>
      </c>
      <c r="IF71" s="909">
        <v>8</v>
      </c>
      <c r="IG71" s="909">
        <v>114.08888983015085</v>
      </c>
      <c r="IH71" s="910">
        <v>1507.9063525205793</v>
      </c>
      <c r="II71" s="871">
        <v>1447.3832801021695</v>
      </c>
      <c r="IJ71" s="911">
        <v>136.4126603909302</v>
      </c>
      <c r="IK71" s="908">
        <v>173.89225800000003</v>
      </c>
      <c r="IL71" s="902">
        <v>635.35572502551497</v>
      </c>
      <c r="IM71" s="902">
        <v>7.1368445048373124</v>
      </c>
      <c r="IN71" s="902">
        <v>19.615942859867324</v>
      </c>
      <c r="IO71" s="902">
        <v>135.78649788658979</v>
      </c>
      <c r="IP71" s="902">
        <v>247.79687750598939</v>
      </c>
      <c r="IQ71" s="902">
        <v>1437.5</v>
      </c>
      <c r="IR71" s="909" t="s">
        <v>1063</v>
      </c>
      <c r="IS71" s="909">
        <v>6</v>
      </c>
      <c r="IT71" s="909">
        <v>1</v>
      </c>
      <c r="IU71" s="909">
        <v>8</v>
      </c>
      <c r="IV71" s="909">
        <v>66.166944435299868</v>
      </c>
      <c r="IW71" s="910">
        <v>1644.3843424240686</v>
      </c>
      <c r="IX71" s="909">
        <v>1</v>
      </c>
      <c r="IY71" s="909">
        <v>8</v>
      </c>
      <c r="IZ71" s="909">
        <v>114.08888983015085</v>
      </c>
      <c r="JA71" s="910">
        <v>1731.2111751508123</v>
      </c>
      <c r="JB71" s="871">
        <v>1644.3843424240686</v>
      </c>
      <c r="JC71" s="911">
        <v>154.97957309512609</v>
      </c>
      <c r="JD71" s="908">
        <v>115.92817200000002</v>
      </c>
      <c r="JE71" s="902">
        <v>570.70344218433866</v>
      </c>
      <c r="JF71" s="902">
        <v>5.3526333786279841</v>
      </c>
      <c r="JG71" s="902">
        <v>14.711957144900495</v>
      </c>
      <c r="JH71" s="902">
        <v>125.89080130770665</v>
      </c>
      <c r="JI71" s="902">
        <v>210.98980763967296</v>
      </c>
      <c r="JJ71" s="902">
        <v>1150</v>
      </c>
      <c r="JK71" s="909" t="s">
        <v>1064</v>
      </c>
      <c r="JL71" s="909">
        <v>4</v>
      </c>
      <c r="JM71" s="909">
        <v>1</v>
      </c>
      <c r="JN71" s="909">
        <v>6</v>
      </c>
      <c r="JO71" s="909">
        <v>66.166944435299868</v>
      </c>
      <c r="JP71" s="910">
        <v>1718.5987586203287</v>
      </c>
      <c r="JQ71" s="909">
        <v>1</v>
      </c>
      <c r="JR71" s="909">
        <v>6</v>
      </c>
      <c r="JS71" s="909">
        <v>114.08888983015085</v>
      </c>
      <c r="JT71" s="910">
        <v>1778.0702970205862</v>
      </c>
      <c r="JU71" s="871">
        <v>1718.5987586203287</v>
      </c>
      <c r="JV71" s="911">
        <v>161.97411703650488</v>
      </c>
      <c r="JW71" s="908">
        <v>115.92817200000002</v>
      </c>
      <c r="JX71" s="902">
        <v>570.70344218433866</v>
      </c>
      <c r="JY71" s="902">
        <v>5.3526333786279841</v>
      </c>
      <c r="JZ71" s="902">
        <v>14.711957144900495</v>
      </c>
      <c r="KA71" s="902">
        <v>125.89080130770665</v>
      </c>
      <c r="KB71" s="902">
        <v>210.98980763967296</v>
      </c>
      <c r="KC71" s="902">
        <v>1437.5</v>
      </c>
      <c r="KD71" s="909" t="s">
        <v>1064</v>
      </c>
      <c r="KE71" s="909">
        <v>4</v>
      </c>
      <c r="KF71" s="909">
        <v>1</v>
      </c>
      <c r="KG71" s="909">
        <v>6</v>
      </c>
      <c r="KH71" s="909">
        <v>66.166944435299868</v>
      </c>
      <c r="KI71" s="910">
        <v>1718.5987586203287</v>
      </c>
      <c r="KJ71" s="909">
        <v>1</v>
      </c>
      <c r="KK71" s="909">
        <v>6</v>
      </c>
      <c r="KL71" s="909">
        <v>114.08888983015085</v>
      </c>
      <c r="KM71" s="910">
        <v>1778.0702970205857</v>
      </c>
      <c r="KN71" s="871">
        <v>1718.5987586203287</v>
      </c>
      <c r="KO71" s="912">
        <v>161.97411703650488</v>
      </c>
    </row>
    <row r="72" spans="1:301" ht="15" customHeight="1">
      <c r="A72" s="924" t="s">
        <v>1559</v>
      </c>
      <c r="B72" s="888" t="s">
        <v>1078</v>
      </c>
      <c r="C72" s="888">
        <v>577.5</v>
      </c>
      <c r="D72" s="888">
        <v>1980</v>
      </c>
      <c r="E72" s="888">
        <v>560</v>
      </c>
      <c r="F72" s="888">
        <v>496.32260826422504</v>
      </c>
      <c r="G72" s="888">
        <v>250.03311182380949</v>
      </c>
      <c r="H72" s="888">
        <v>203.58760484812865</v>
      </c>
      <c r="I72" s="888">
        <v>150</v>
      </c>
      <c r="J72" s="888">
        <v>38</v>
      </c>
      <c r="K72" s="888">
        <v>52</v>
      </c>
      <c r="L72" s="888">
        <v>12</v>
      </c>
      <c r="M72" s="888">
        <v>1007.9889764683711</v>
      </c>
      <c r="N72" s="888">
        <v>6</v>
      </c>
      <c r="O72" s="884">
        <v>133.42365990944427</v>
      </c>
      <c r="P72" s="888">
        <v>6</v>
      </c>
      <c r="Q72" s="884">
        <v>88.313699975857617</v>
      </c>
      <c r="R72" s="888">
        <v>22</v>
      </c>
      <c r="S72" s="888">
        <v>1238.1613041321125</v>
      </c>
      <c r="T72" s="906">
        <v>207.93934564310769</v>
      </c>
      <c r="U72" s="906">
        <v>185.72419561981687</v>
      </c>
      <c r="V72" s="906">
        <v>122.5</v>
      </c>
      <c r="W72" s="1141">
        <v>19.538618912345985</v>
      </c>
      <c r="X72" s="902">
        <v>330.88173884281667</v>
      </c>
      <c r="Y72" s="902">
        <v>44.329747356569186</v>
      </c>
      <c r="Z72" s="902">
        <v>6</v>
      </c>
      <c r="AA72" s="902">
        <v>4.1928816997063336</v>
      </c>
      <c r="AB72" s="970">
        <v>82.414946991502362</v>
      </c>
      <c r="AC72" s="1045">
        <v>3036.2456880536483</v>
      </c>
      <c r="AD72" s="890">
        <v>0.20919237943096525</v>
      </c>
      <c r="AE72" s="890">
        <v>0.78128562650671729</v>
      </c>
      <c r="AF72" s="890">
        <v>-0.19601880215771755</v>
      </c>
      <c r="AG72" s="890">
        <v>1.3277671010560492</v>
      </c>
      <c r="AH72" s="888"/>
      <c r="AI72" s="907">
        <v>16.069378341503501</v>
      </c>
      <c r="AJ72" s="908">
        <v>134.29619529776303</v>
      </c>
      <c r="AK72" s="902">
        <v>587.70440143822498</v>
      </c>
      <c r="AL72" s="902">
        <v>0</v>
      </c>
      <c r="AM72" s="902">
        <v>0</v>
      </c>
      <c r="AN72" s="902">
        <v>76.017590842868671</v>
      </c>
      <c r="AO72" s="902">
        <v>242.13150735744</v>
      </c>
      <c r="AP72" s="1222">
        <v>1800</v>
      </c>
      <c r="AQ72" s="909" t="s">
        <v>1062</v>
      </c>
      <c r="AR72" s="909">
        <v>8</v>
      </c>
      <c r="AS72" s="909">
        <v>0</v>
      </c>
      <c r="AT72" s="909">
        <v>0</v>
      </c>
      <c r="AU72" s="909">
        <v>0</v>
      </c>
      <c r="AV72" s="910">
        <v>2915.9659348209293</v>
      </c>
      <c r="AW72" s="909">
        <v>0</v>
      </c>
      <c r="AX72" s="909">
        <v>0</v>
      </c>
      <c r="AY72" s="909">
        <v>0</v>
      </c>
      <c r="AZ72" s="910">
        <v>2795.0907141254197</v>
      </c>
      <c r="BA72" s="871">
        <v>2795.0907141254197</v>
      </c>
      <c r="BB72" s="911">
        <v>289.77420296924441</v>
      </c>
      <c r="BC72" s="908">
        <v>134.29619529776303</v>
      </c>
      <c r="BD72" s="902">
        <v>587.70440143822498</v>
      </c>
      <c r="BE72" s="902">
        <v>0</v>
      </c>
      <c r="BF72" s="902">
        <v>0</v>
      </c>
      <c r="BG72" s="902">
        <v>76.017590842868671</v>
      </c>
      <c r="BH72" s="902">
        <v>242.13150735744</v>
      </c>
      <c r="BI72" s="902">
        <v>2250</v>
      </c>
      <c r="BJ72" s="909" t="s">
        <v>1062</v>
      </c>
      <c r="BK72" s="909">
        <v>8</v>
      </c>
      <c r="BL72" s="909">
        <v>0</v>
      </c>
      <c r="BM72" s="909">
        <v>0</v>
      </c>
      <c r="BN72" s="909">
        <v>0</v>
      </c>
      <c r="BO72" s="910">
        <v>2915.9659348209293</v>
      </c>
      <c r="BP72" s="909">
        <v>0</v>
      </c>
      <c r="BQ72" s="909">
        <v>0</v>
      </c>
      <c r="BR72" s="909">
        <v>0</v>
      </c>
      <c r="BS72" s="910">
        <v>2795.0907141254197</v>
      </c>
      <c r="BT72" s="871">
        <v>2795.0907141254197</v>
      </c>
      <c r="BU72" s="911">
        <v>289.77420296924441</v>
      </c>
      <c r="BV72" s="908">
        <v>134.29619529776303</v>
      </c>
      <c r="BW72" s="902">
        <v>587.70440143822498</v>
      </c>
      <c r="BX72" s="902">
        <v>0</v>
      </c>
      <c r="BY72" s="902">
        <v>0</v>
      </c>
      <c r="BZ72" s="902">
        <v>76.017590842868671</v>
      </c>
      <c r="CA72" s="902">
        <v>242.13150735744</v>
      </c>
      <c r="CB72" s="902">
        <v>1800</v>
      </c>
      <c r="CC72" s="909" t="s">
        <v>2874</v>
      </c>
      <c r="CD72" s="909">
        <v>8</v>
      </c>
      <c r="CE72" s="909">
        <v>0</v>
      </c>
      <c r="CF72" s="909">
        <v>0</v>
      </c>
      <c r="CG72" s="909">
        <v>0</v>
      </c>
      <c r="CH72" s="910">
        <v>2857.0514590596113</v>
      </c>
      <c r="CI72" s="909">
        <v>0</v>
      </c>
      <c r="CJ72" s="909">
        <v>0</v>
      </c>
      <c r="CK72" s="909">
        <v>0</v>
      </c>
      <c r="CL72" s="910">
        <v>2738.6184137594892</v>
      </c>
      <c r="CM72" s="871">
        <v>2738.6184137594892</v>
      </c>
      <c r="CN72" s="911">
        <v>283.91957515853397</v>
      </c>
      <c r="CO72" s="908">
        <v>134.29619529776303</v>
      </c>
      <c r="CP72" s="902">
        <v>587.70440143822498</v>
      </c>
      <c r="CQ72" s="902">
        <v>0</v>
      </c>
      <c r="CR72" s="902">
        <v>0</v>
      </c>
      <c r="CS72" s="902">
        <v>76.017590842868671</v>
      </c>
      <c r="CT72" s="902">
        <v>242.13150735744</v>
      </c>
      <c r="CU72" s="902">
        <v>2250</v>
      </c>
      <c r="CV72" s="909" t="s">
        <v>2874</v>
      </c>
      <c r="CW72" s="909">
        <v>8</v>
      </c>
      <c r="CX72" s="909">
        <v>0</v>
      </c>
      <c r="CY72" s="909">
        <v>0</v>
      </c>
      <c r="CZ72" s="909">
        <v>0</v>
      </c>
      <c r="DA72" s="910">
        <v>2857.0514590596113</v>
      </c>
      <c r="DB72" s="909">
        <v>0</v>
      </c>
      <c r="DC72" s="909">
        <v>0</v>
      </c>
      <c r="DD72" s="909">
        <v>0</v>
      </c>
      <c r="DE72" s="910">
        <v>2738.6184137594892</v>
      </c>
      <c r="DF72" s="871">
        <v>2738.6184137594892</v>
      </c>
      <c r="DG72" s="911">
        <v>283.91957515853397</v>
      </c>
      <c r="DH72" s="908">
        <v>134.29619529776303</v>
      </c>
      <c r="DI72" s="902">
        <v>587.70440143822498</v>
      </c>
      <c r="DJ72" s="902">
        <v>0</v>
      </c>
      <c r="DK72" s="902">
        <v>0</v>
      </c>
      <c r="DL72" s="902">
        <v>76.017590842868671</v>
      </c>
      <c r="DM72" s="902">
        <v>242.13150735744</v>
      </c>
      <c r="DN72" s="902">
        <v>1800</v>
      </c>
      <c r="DO72" s="909" t="s">
        <v>2875</v>
      </c>
      <c r="DP72" s="909">
        <v>8</v>
      </c>
      <c r="DQ72" s="909">
        <v>0</v>
      </c>
      <c r="DR72" s="909">
        <v>0</v>
      </c>
      <c r="DS72" s="909">
        <v>0</v>
      </c>
      <c r="DT72" s="910">
        <v>2973.7134405247498</v>
      </c>
      <c r="DU72" s="909">
        <v>0</v>
      </c>
      <c r="DV72" s="909">
        <v>0</v>
      </c>
      <c r="DW72" s="909">
        <v>0</v>
      </c>
      <c r="DX72" s="910">
        <v>2850.4444187175009</v>
      </c>
      <c r="DY72" s="871">
        <v>2850.4444187175009</v>
      </c>
      <c r="DZ72" s="911">
        <v>295.51286309519469</v>
      </c>
      <c r="EA72" s="908">
        <v>134.29619529776303</v>
      </c>
      <c r="EB72" s="902">
        <v>587.70440143822498</v>
      </c>
      <c r="EC72" s="902">
        <v>0</v>
      </c>
      <c r="ED72" s="902">
        <v>0</v>
      </c>
      <c r="EE72" s="902">
        <v>76.017590842868671</v>
      </c>
      <c r="EF72" s="902">
        <v>242.13150735744</v>
      </c>
      <c r="EG72" s="902">
        <v>2250</v>
      </c>
      <c r="EH72" s="909" t="s">
        <v>2875</v>
      </c>
      <c r="EI72" s="909">
        <v>8</v>
      </c>
      <c r="EJ72" s="909">
        <v>0</v>
      </c>
      <c r="EK72" s="909">
        <v>0</v>
      </c>
      <c r="EL72" s="909">
        <v>0</v>
      </c>
      <c r="EM72" s="910">
        <v>2973.7134405247502</v>
      </c>
      <c r="EN72" s="909">
        <v>0</v>
      </c>
      <c r="EO72" s="909">
        <v>0</v>
      </c>
      <c r="EP72" s="909">
        <v>0</v>
      </c>
      <c r="EQ72" s="910">
        <v>2850.4444187175009</v>
      </c>
      <c r="ER72" s="871">
        <v>2850.4444187175009</v>
      </c>
      <c r="ES72" s="911">
        <v>295.51286309519469</v>
      </c>
      <c r="ET72" s="908">
        <v>100.72214647332228</v>
      </c>
      <c r="EU72" s="902">
        <v>554.13035261378423</v>
      </c>
      <c r="EV72" s="902">
        <v>0</v>
      </c>
      <c r="EW72" s="902">
        <v>0</v>
      </c>
      <c r="EX72" s="902">
        <v>74.455843174555412</v>
      </c>
      <c r="EY72" s="902">
        <v>224.27890034092829</v>
      </c>
      <c r="EZ72" s="902">
        <v>1800</v>
      </c>
      <c r="FA72" s="909" t="s">
        <v>3884</v>
      </c>
      <c r="FB72" s="909">
        <v>6</v>
      </c>
      <c r="FC72" s="909">
        <v>0</v>
      </c>
      <c r="FD72" s="909">
        <v>0</v>
      </c>
      <c r="FE72" s="909">
        <v>0</v>
      </c>
      <c r="FF72" s="910">
        <v>2384.3304192638475</v>
      </c>
      <c r="FG72" s="909">
        <v>0</v>
      </c>
      <c r="FH72" s="909">
        <v>0</v>
      </c>
      <c r="FI72" s="909">
        <v>0</v>
      </c>
      <c r="FJ72" s="910">
        <v>2090.3157194824253</v>
      </c>
      <c r="FK72" s="871">
        <v>2090.3157194824253</v>
      </c>
      <c r="FL72" s="911">
        <v>216.70837676430526</v>
      </c>
      <c r="FM72" s="908">
        <v>134.29619529776303</v>
      </c>
      <c r="FN72" s="902">
        <v>587.70440143822498</v>
      </c>
      <c r="FO72" s="902">
        <v>0</v>
      </c>
      <c r="FP72" s="902">
        <v>0</v>
      </c>
      <c r="FQ72" s="902">
        <v>76.017590842868671</v>
      </c>
      <c r="FR72" s="902">
        <v>242.13150735744</v>
      </c>
      <c r="FS72" s="902">
        <v>2250</v>
      </c>
      <c r="FT72" s="909" t="s">
        <v>3884</v>
      </c>
      <c r="FU72" s="909">
        <v>8</v>
      </c>
      <c r="FV72" s="909">
        <v>0</v>
      </c>
      <c r="FW72" s="909">
        <v>0</v>
      </c>
      <c r="FX72" s="909">
        <v>0</v>
      </c>
      <c r="FY72" s="910">
        <v>3167.54978697772</v>
      </c>
      <c r="FZ72" s="909">
        <v>0</v>
      </c>
      <c r="GA72" s="909">
        <v>0</v>
      </c>
      <c r="GB72" s="909">
        <v>0</v>
      </c>
      <c r="GC72" s="910">
        <v>3036.2456880536483</v>
      </c>
      <c r="GD72" s="871">
        <v>3036.2456880536483</v>
      </c>
      <c r="GE72" s="911">
        <v>314.77535588673993</v>
      </c>
      <c r="GF72" s="908">
        <v>83.935122061101893</v>
      </c>
      <c r="GG72" s="902">
        <v>537.34332820156385</v>
      </c>
      <c r="GH72" s="902">
        <v>0</v>
      </c>
      <c r="GI72" s="902">
        <v>0</v>
      </c>
      <c r="GJ72" s="902">
        <v>73.601784018675019</v>
      </c>
      <c r="GK72" s="902">
        <v>215.35259683267242</v>
      </c>
      <c r="GL72" s="902">
        <v>1800</v>
      </c>
      <c r="GM72" s="909" t="s">
        <v>2877</v>
      </c>
      <c r="GN72" s="909">
        <v>5</v>
      </c>
      <c r="GO72" s="909">
        <v>0</v>
      </c>
      <c r="GP72" s="909">
        <v>0</v>
      </c>
      <c r="GQ72" s="909">
        <v>0</v>
      </c>
      <c r="GR72" s="910">
        <v>2589.4223276225343</v>
      </c>
      <c r="GS72" s="909">
        <v>0</v>
      </c>
      <c r="GT72" s="909">
        <v>0</v>
      </c>
      <c r="GU72" s="909">
        <v>0</v>
      </c>
      <c r="GV72" s="910">
        <v>2230.0410639118572</v>
      </c>
      <c r="GW72" s="871">
        <v>2230.0410639118572</v>
      </c>
      <c r="GX72" s="911">
        <v>231.19406057843889</v>
      </c>
      <c r="GY72" s="908">
        <v>100.72214647332228</v>
      </c>
      <c r="GZ72" s="902">
        <v>554.13035261378423</v>
      </c>
      <c r="HA72" s="902">
        <v>0</v>
      </c>
      <c r="HB72" s="902">
        <v>0</v>
      </c>
      <c r="HC72" s="902">
        <v>74.455843174555412</v>
      </c>
      <c r="HD72" s="902">
        <v>224.27890034092829</v>
      </c>
      <c r="HE72" s="902">
        <v>2250</v>
      </c>
      <c r="HF72" s="909" t="s">
        <v>2877</v>
      </c>
      <c r="HG72" s="909">
        <v>6</v>
      </c>
      <c r="HH72" s="909">
        <v>0</v>
      </c>
      <c r="HI72" s="909">
        <v>0</v>
      </c>
      <c r="HJ72" s="909">
        <v>0</v>
      </c>
      <c r="HK72" s="910">
        <v>2944.8398976377343</v>
      </c>
      <c r="HL72" s="909">
        <v>0</v>
      </c>
      <c r="HM72" s="909">
        <v>0</v>
      </c>
      <c r="HN72" s="909">
        <v>0</v>
      </c>
      <c r="HO72" s="910">
        <v>2581.7080886346707</v>
      </c>
      <c r="HP72" s="871">
        <v>2581.7080886346707</v>
      </c>
      <c r="HQ72" s="911">
        <v>267.65228044394496</v>
      </c>
      <c r="HR72" s="908">
        <v>100.72214647332228</v>
      </c>
      <c r="HS72" s="902">
        <v>554.13035261378423</v>
      </c>
      <c r="HT72" s="902">
        <v>0</v>
      </c>
      <c r="HU72" s="902">
        <v>0</v>
      </c>
      <c r="HV72" s="902">
        <v>74.455843174555412</v>
      </c>
      <c r="HW72" s="902">
        <v>224.27890034092829</v>
      </c>
      <c r="HX72" s="902">
        <v>1800</v>
      </c>
      <c r="HY72" s="909" t="s">
        <v>1063</v>
      </c>
      <c r="HZ72" s="909">
        <v>6</v>
      </c>
      <c r="IA72" s="909">
        <v>0</v>
      </c>
      <c r="IB72" s="909">
        <v>0</v>
      </c>
      <c r="IC72" s="909">
        <v>0</v>
      </c>
      <c r="ID72" s="910">
        <v>2597.1046733498333</v>
      </c>
      <c r="IE72" s="909">
        <v>0</v>
      </c>
      <c r="IF72" s="909">
        <v>0</v>
      </c>
      <c r="IG72" s="909">
        <v>0</v>
      </c>
      <c r="IH72" s="910">
        <v>2276.8525200970798</v>
      </c>
      <c r="II72" s="871">
        <v>2276.8525200970798</v>
      </c>
      <c r="IJ72" s="911">
        <v>236.04712396466496</v>
      </c>
      <c r="IK72" s="908">
        <v>100.72214647332228</v>
      </c>
      <c r="IL72" s="902">
        <v>646.23248776954949</v>
      </c>
      <c r="IM72" s="902">
        <v>0</v>
      </c>
      <c r="IN72" s="902">
        <v>92.102135155765225</v>
      </c>
      <c r="IO72" s="902">
        <v>74.533397315567427</v>
      </c>
      <c r="IP72" s="902">
        <v>298.25768831503416</v>
      </c>
      <c r="IQ72" s="902">
        <v>2250</v>
      </c>
      <c r="IR72" s="909" t="s">
        <v>1063</v>
      </c>
      <c r="IS72" s="909">
        <v>6</v>
      </c>
      <c r="IT72" s="909">
        <v>0</v>
      </c>
      <c r="IU72" s="909">
        <v>0</v>
      </c>
      <c r="IV72" s="909">
        <v>0</v>
      </c>
      <c r="IW72" s="910">
        <v>2597.1046733501171</v>
      </c>
      <c r="IX72" s="909">
        <v>1</v>
      </c>
      <c r="IY72" s="909">
        <v>20</v>
      </c>
      <c r="IZ72" s="909">
        <v>198.57653824352738</v>
      </c>
      <c r="JA72" s="910">
        <v>2481.4885452455828</v>
      </c>
      <c r="JB72" s="871">
        <v>2481.4885452455828</v>
      </c>
      <c r="JC72" s="911">
        <v>257.26226406245462</v>
      </c>
      <c r="JD72" s="908">
        <v>67.148097648881517</v>
      </c>
      <c r="JE72" s="902">
        <v>520.55630378934347</v>
      </c>
      <c r="JF72" s="902">
        <v>0</v>
      </c>
      <c r="JG72" s="902">
        <v>0</v>
      </c>
      <c r="JH72" s="902">
        <v>72.692641054204159</v>
      </c>
      <c r="JI72" s="902">
        <v>206.42629332441658</v>
      </c>
      <c r="JJ72" s="902">
        <v>1800</v>
      </c>
      <c r="JK72" s="909" t="s">
        <v>1064</v>
      </c>
      <c r="JL72" s="909">
        <v>4</v>
      </c>
      <c r="JM72" s="909">
        <v>0</v>
      </c>
      <c r="JN72" s="909">
        <v>0</v>
      </c>
      <c r="JO72" s="909">
        <v>0</v>
      </c>
      <c r="JP72" s="910">
        <v>2709.7312754259042</v>
      </c>
      <c r="JQ72" s="909">
        <v>0</v>
      </c>
      <c r="JR72" s="909">
        <v>0</v>
      </c>
      <c r="JS72" s="909">
        <v>0</v>
      </c>
      <c r="JT72" s="910">
        <v>2306.7161562559659</v>
      </c>
      <c r="JU72" s="871">
        <v>2306.7161562559659</v>
      </c>
      <c r="JV72" s="911">
        <v>239.14316350355071</v>
      </c>
      <c r="JW72" s="908">
        <v>83.935122061101893</v>
      </c>
      <c r="JX72" s="902">
        <v>537.34332820156385</v>
      </c>
      <c r="JY72" s="902">
        <v>0</v>
      </c>
      <c r="JZ72" s="902">
        <v>0</v>
      </c>
      <c r="KA72" s="902">
        <v>73.601784018675019</v>
      </c>
      <c r="KB72" s="902">
        <v>215.35259683267242</v>
      </c>
      <c r="KC72" s="902">
        <v>2250</v>
      </c>
      <c r="KD72" s="909" t="s">
        <v>1064</v>
      </c>
      <c r="KE72" s="909">
        <v>5</v>
      </c>
      <c r="KF72" s="909">
        <v>0</v>
      </c>
      <c r="KG72" s="909">
        <v>0</v>
      </c>
      <c r="KH72" s="909">
        <v>0</v>
      </c>
      <c r="KI72" s="910">
        <v>3112.0983253581198</v>
      </c>
      <c r="KJ72" s="909">
        <v>0</v>
      </c>
      <c r="KK72" s="909">
        <v>0</v>
      </c>
      <c r="KL72" s="909">
        <v>0</v>
      </c>
      <c r="KM72" s="910">
        <v>2680.1758007748226</v>
      </c>
      <c r="KN72" s="871">
        <v>2680.1758007748226</v>
      </c>
      <c r="KO72" s="912">
        <v>277.86067999942969</v>
      </c>
    </row>
    <row r="73" spans="1:301" ht="15" customHeight="1">
      <c r="A73" s="924" t="s">
        <v>1560</v>
      </c>
      <c r="B73" s="888" t="s">
        <v>1080</v>
      </c>
      <c r="C73" s="888">
        <v>721</v>
      </c>
      <c r="D73" s="888">
        <v>1980</v>
      </c>
      <c r="E73" s="888">
        <v>700</v>
      </c>
      <c r="F73" s="888">
        <v>620.6806230479873</v>
      </c>
      <c r="G73" s="888">
        <v>301.37385020147832</v>
      </c>
      <c r="H73" s="888">
        <v>243.69532630908583</v>
      </c>
      <c r="I73" s="888">
        <v>185</v>
      </c>
      <c r="J73" s="888">
        <v>34.08</v>
      </c>
      <c r="K73" s="888">
        <v>45.15</v>
      </c>
      <c r="L73" s="888">
        <v>12</v>
      </c>
      <c r="M73" s="888">
        <v>1001.876396615011</v>
      </c>
      <c r="N73" s="888">
        <v>6</v>
      </c>
      <c r="O73" s="884">
        <v>126.89822639274638</v>
      </c>
      <c r="P73" s="888">
        <v>6</v>
      </c>
      <c r="Q73" s="884">
        <v>82.474786798953929</v>
      </c>
      <c r="R73" s="888">
        <v>22</v>
      </c>
      <c r="S73" s="888">
        <v>1300.3403115239935</v>
      </c>
      <c r="T73" s="906">
        <v>229.34869395842122</v>
      </c>
      <c r="U73" s="906">
        <v>195.051046728599</v>
      </c>
      <c r="V73" s="906">
        <v>147.5</v>
      </c>
      <c r="W73" s="1141">
        <v>25.948328797994673</v>
      </c>
      <c r="X73" s="902">
        <v>413.78708203199153</v>
      </c>
      <c r="Y73" s="902">
        <v>55.436957234451427</v>
      </c>
      <c r="Z73" s="902">
        <v>6</v>
      </c>
      <c r="AA73" s="902">
        <v>6.5572367935918123</v>
      </c>
      <c r="AB73" s="970">
        <v>93.164367734113242</v>
      </c>
      <c r="AC73" s="1045">
        <v>2550.1378134180068</v>
      </c>
      <c r="AD73" s="890">
        <v>0.17205720574032859</v>
      </c>
      <c r="AE73" s="890">
        <v>0.67654194305478299</v>
      </c>
      <c r="AF73" s="890">
        <v>-0.22431483543126632</v>
      </c>
      <c r="AG73" s="890">
        <v>1.2871382700484362</v>
      </c>
      <c r="AH73" s="888"/>
      <c r="AI73" s="907">
        <v>16.65373225103496</v>
      </c>
      <c r="AJ73" s="908">
        <v>121.37662334990556</v>
      </c>
      <c r="AK73" s="902">
        <v>592.60389609161359</v>
      </c>
      <c r="AL73" s="902">
        <v>0</v>
      </c>
      <c r="AM73" s="902">
        <v>0</v>
      </c>
      <c r="AN73" s="902">
        <v>85.351562502085201</v>
      </c>
      <c r="AO73" s="902">
        <v>243.79098785546665</v>
      </c>
      <c r="AP73" s="1222">
        <v>1800</v>
      </c>
      <c r="AQ73" s="909" t="s">
        <v>1064</v>
      </c>
      <c r="AR73" s="909">
        <v>6</v>
      </c>
      <c r="AS73" s="909">
        <v>0</v>
      </c>
      <c r="AT73" s="909">
        <v>0</v>
      </c>
      <c r="AU73" s="909">
        <v>0</v>
      </c>
      <c r="AV73" s="910">
        <v>2520.0364398654128</v>
      </c>
      <c r="AW73" s="909">
        <v>0</v>
      </c>
      <c r="AX73" s="909">
        <v>0</v>
      </c>
      <c r="AY73" s="909">
        <v>0</v>
      </c>
      <c r="AZ73" s="910">
        <v>2257.3144099354527</v>
      </c>
      <c r="BA73" s="871">
        <v>2257.3144099354527</v>
      </c>
      <c r="BB73" s="911">
        <v>234.02155811415471</v>
      </c>
      <c r="BC73" s="908">
        <v>121.37662334990556</v>
      </c>
      <c r="BD73" s="902">
        <v>625.73175911318174</v>
      </c>
      <c r="BE73" s="902">
        <v>0</v>
      </c>
      <c r="BF73" s="902">
        <v>33.127863021568139</v>
      </c>
      <c r="BG73" s="902">
        <v>85.73001933250849</v>
      </c>
      <c r="BH73" s="902">
        <v>270.95815668752982</v>
      </c>
      <c r="BI73" s="902">
        <v>2250</v>
      </c>
      <c r="BJ73" s="909" t="s">
        <v>1064</v>
      </c>
      <c r="BK73" s="909">
        <v>6</v>
      </c>
      <c r="BL73" s="909">
        <v>0</v>
      </c>
      <c r="BM73" s="909">
        <v>0</v>
      </c>
      <c r="BN73" s="909">
        <v>0</v>
      </c>
      <c r="BO73" s="910">
        <v>2520.0364398654133</v>
      </c>
      <c r="BP73" s="909">
        <v>1</v>
      </c>
      <c r="BQ73" s="909">
        <v>8</v>
      </c>
      <c r="BR73" s="909">
        <v>177.57145972206825</v>
      </c>
      <c r="BS73" s="910">
        <v>3116.6863366219304</v>
      </c>
      <c r="BT73" s="871">
        <v>2520.0364398654133</v>
      </c>
      <c r="BU73" s="911">
        <v>261.25862288657203</v>
      </c>
      <c r="BV73" s="908">
        <v>161.83549779987408</v>
      </c>
      <c r="BW73" s="902">
        <v>682.75456507393426</v>
      </c>
      <c r="BX73" s="902">
        <v>0</v>
      </c>
      <c r="BY73" s="902">
        <v>49.691794532352205</v>
      </c>
      <c r="BZ73" s="902">
        <v>88.034532247423456</v>
      </c>
      <c r="CA73" s="902">
        <v>306.99763524688672</v>
      </c>
      <c r="CB73" s="902">
        <v>1800</v>
      </c>
      <c r="CC73" s="909" t="s">
        <v>2875</v>
      </c>
      <c r="CD73" s="909">
        <v>8</v>
      </c>
      <c r="CE73" s="909">
        <v>0</v>
      </c>
      <c r="CF73" s="909">
        <v>0</v>
      </c>
      <c r="CG73" s="909">
        <v>0</v>
      </c>
      <c r="CH73" s="910">
        <v>2051.7267068494148</v>
      </c>
      <c r="CI73" s="909">
        <v>1</v>
      </c>
      <c r="CJ73" s="909">
        <v>12</v>
      </c>
      <c r="CK73" s="909">
        <v>177.57145972206825</v>
      </c>
      <c r="CL73" s="910">
        <v>1987.8987338357767</v>
      </c>
      <c r="CM73" s="871">
        <v>1987.8987338357767</v>
      </c>
      <c r="CN73" s="911">
        <v>206.09054592386462</v>
      </c>
      <c r="CO73" s="908">
        <v>101.14718612492129</v>
      </c>
      <c r="CP73" s="902">
        <v>-3559.5977485626054</v>
      </c>
      <c r="CQ73" s="902">
        <v>9.0106702667827303</v>
      </c>
      <c r="CR73" s="902">
        <v>-4140.9828776960176</v>
      </c>
      <c r="CS73" s="902">
        <v>93.782570905033822</v>
      </c>
      <c r="CT73" s="902">
        <v>-3161.6173806456673</v>
      </c>
      <c r="CU73" s="902">
        <v>2250</v>
      </c>
      <c r="CV73" s="909" t="s">
        <v>2875</v>
      </c>
      <c r="CW73" s="909">
        <v>5</v>
      </c>
      <c r="CX73" s="909">
        <v>1</v>
      </c>
      <c r="CY73" s="909">
        <v>8</v>
      </c>
      <c r="CZ73" s="909">
        <v>140.35033787694928</v>
      </c>
      <c r="DA73" s="910">
        <v>3088.1184681405439</v>
      </c>
      <c r="DB73" s="909">
        <v>1</v>
      </c>
      <c r="DC73" s="909">
        <v>-1000</v>
      </c>
      <c r="DD73" s="909">
        <v>177.57145972206825</v>
      </c>
      <c r="DE73" s="910">
        <v>-1</v>
      </c>
      <c r="DF73" s="871">
        <v>-1</v>
      </c>
      <c r="DG73" s="911">
        <v>-0.10367255756846318</v>
      </c>
      <c r="DH73" s="908">
        <v>161.83549779987408</v>
      </c>
      <c r="DI73" s="902">
        <v>633.06277054158204</v>
      </c>
      <c r="DJ73" s="902">
        <v>0</v>
      </c>
      <c r="DK73" s="902">
        <v>0</v>
      </c>
      <c r="DL73" s="902">
        <v>87.684018654810757</v>
      </c>
      <c r="DM73" s="902">
        <v>266.24688199879199</v>
      </c>
      <c r="DN73" s="902">
        <v>1800</v>
      </c>
      <c r="DO73" s="909" t="s">
        <v>3884</v>
      </c>
      <c r="DP73" s="909">
        <v>8</v>
      </c>
      <c r="DQ73" s="909">
        <v>0</v>
      </c>
      <c r="DR73" s="909">
        <v>0</v>
      </c>
      <c r="DS73" s="909">
        <v>0</v>
      </c>
      <c r="DT73" s="910">
        <v>2185.4649491951518</v>
      </c>
      <c r="DU73" s="909">
        <v>0</v>
      </c>
      <c r="DV73" s="909">
        <v>0</v>
      </c>
      <c r="DW73" s="909">
        <v>0</v>
      </c>
      <c r="DX73" s="910">
        <v>2064.7544087965684</v>
      </c>
      <c r="DY73" s="871">
        <v>2064.7544087965684</v>
      </c>
      <c r="DZ73" s="911">
        <v>214.05837031070041</v>
      </c>
      <c r="EA73" s="908">
        <v>80.917748899937038</v>
      </c>
      <c r="EB73" s="902">
        <v>-3582.0798533542857</v>
      </c>
      <c r="EC73" s="902">
        <v>6.7580027000870482</v>
      </c>
      <c r="ED73" s="902">
        <v>-4140.9828776960176</v>
      </c>
      <c r="EE73" s="902">
        <v>93.958715036592125</v>
      </c>
      <c r="EF73" s="902">
        <v>-3173.2742483619354</v>
      </c>
      <c r="EG73" s="902">
        <v>2250</v>
      </c>
      <c r="EH73" s="909" t="s">
        <v>3884</v>
      </c>
      <c r="EI73" s="909">
        <v>4</v>
      </c>
      <c r="EJ73" s="909">
        <v>1</v>
      </c>
      <c r="EK73" s="909">
        <v>6</v>
      </c>
      <c r="EL73" s="909">
        <v>140.35033787694928</v>
      </c>
      <c r="EM73" s="910">
        <v>2799.2220861827614</v>
      </c>
      <c r="EN73" s="909">
        <v>1</v>
      </c>
      <c r="EO73" s="909">
        <v>-1000</v>
      </c>
      <c r="EP73" s="909">
        <v>177.57145972206825</v>
      </c>
      <c r="EQ73" s="910">
        <v>-1</v>
      </c>
      <c r="ER73" s="871">
        <v>-1</v>
      </c>
      <c r="ES73" s="911">
        <v>-0.10367255756846318</v>
      </c>
      <c r="ET73" s="908">
        <v>161.83549779987408</v>
      </c>
      <c r="EU73" s="902">
        <v>633.06277054158204</v>
      </c>
      <c r="EV73" s="902">
        <v>0</v>
      </c>
      <c r="EW73" s="902">
        <v>0</v>
      </c>
      <c r="EX73" s="902">
        <v>87.684018654810757</v>
      </c>
      <c r="EY73" s="902">
        <v>266.24688199879199</v>
      </c>
      <c r="EZ73" s="902">
        <v>1800</v>
      </c>
      <c r="FA73" s="909" t="s">
        <v>3884</v>
      </c>
      <c r="FB73" s="909">
        <v>8</v>
      </c>
      <c r="FC73" s="909">
        <v>0</v>
      </c>
      <c r="FD73" s="909">
        <v>0</v>
      </c>
      <c r="FE73" s="909">
        <v>0</v>
      </c>
      <c r="FF73" s="910">
        <v>2185.4649491951518</v>
      </c>
      <c r="FG73" s="909">
        <v>0</v>
      </c>
      <c r="FH73" s="909">
        <v>0</v>
      </c>
      <c r="FI73" s="909">
        <v>0</v>
      </c>
      <c r="FJ73" s="910">
        <v>2064.7544087965684</v>
      </c>
      <c r="FK73" s="871">
        <v>2064.7544087965684</v>
      </c>
      <c r="FL73" s="911">
        <v>214.05837031070041</v>
      </c>
      <c r="FM73" s="908">
        <v>161.83549779987408</v>
      </c>
      <c r="FN73" s="902">
        <v>633.06277054158204</v>
      </c>
      <c r="FO73" s="902">
        <v>0</v>
      </c>
      <c r="FP73" s="902">
        <v>0</v>
      </c>
      <c r="FQ73" s="902">
        <v>87.684018654810757</v>
      </c>
      <c r="FR73" s="902">
        <v>266.24688199879199</v>
      </c>
      <c r="FS73" s="902">
        <v>2250</v>
      </c>
      <c r="FT73" s="909" t="s">
        <v>2877</v>
      </c>
      <c r="FU73" s="909">
        <v>8</v>
      </c>
      <c r="FV73" s="909">
        <v>0</v>
      </c>
      <c r="FW73" s="909">
        <v>0</v>
      </c>
      <c r="FX73" s="909">
        <v>0</v>
      </c>
      <c r="FY73" s="910">
        <v>2699.2250425030225</v>
      </c>
      <c r="FZ73" s="909">
        <v>0</v>
      </c>
      <c r="GA73" s="909">
        <v>0</v>
      </c>
      <c r="GB73" s="909">
        <v>0</v>
      </c>
      <c r="GC73" s="910">
        <v>2550.1378134180068</v>
      </c>
      <c r="GD73" s="871">
        <v>2550.1378134180068</v>
      </c>
      <c r="GE73" s="911">
        <v>264.37930926909314</v>
      </c>
      <c r="GF73" s="908">
        <v>161.83549779987408</v>
      </c>
      <c r="GG73" s="902">
        <v>633.06277054158204</v>
      </c>
      <c r="GH73" s="902">
        <v>0</v>
      </c>
      <c r="GI73" s="902">
        <v>0</v>
      </c>
      <c r="GJ73" s="902">
        <v>87.684018654810757</v>
      </c>
      <c r="GK73" s="902">
        <v>266.24688199879199</v>
      </c>
      <c r="GL73" s="902">
        <v>1800</v>
      </c>
      <c r="GM73" s="909" t="s">
        <v>2877</v>
      </c>
      <c r="GN73" s="909">
        <v>8</v>
      </c>
      <c r="GO73" s="909">
        <v>0</v>
      </c>
      <c r="GP73" s="909">
        <v>0</v>
      </c>
      <c r="GQ73" s="909">
        <v>0</v>
      </c>
      <c r="GR73" s="910">
        <v>2699.2250425030225</v>
      </c>
      <c r="GS73" s="909">
        <v>0</v>
      </c>
      <c r="GT73" s="909">
        <v>0</v>
      </c>
      <c r="GU73" s="909">
        <v>0</v>
      </c>
      <c r="GV73" s="910">
        <v>2550.1378134180068</v>
      </c>
      <c r="GW73" s="871">
        <v>2550.1378134180068</v>
      </c>
      <c r="GX73" s="911">
        <v>264.37930926909314</v>
      </c>
      <c r="GY73" s="908">
        <v>161.83549779987408</v>
      </c>
      <c r="GZ73" s="902">
        <v>633.06277054158204</v>
      </c>
      <c r="HA73" s="902">
        <v>0</v>
      </c>
      <c r="HB73" s="902">
        <v>0</v>
      </c>
      <c r="HC73" s="902">
        <v>87.684018654810757</v>
      </c>
      <c r="HD73" s="902">
        <v>266.24688199879199</v>
      </c>
      <c r="HE73" s="902">
        <v>2250</v>
      </c>
      <c r="HF73" s="909" t="s">
        <v>2877</v>
      </c>
      <c r="HG73" s="909">
        <v>8</v>
      </c>
      <c r="HH73" s="909">
        <v>0</v>
      </c>
      <c r="HI73" s="909">
        <v>0</v>
      </c>
      <c r="HJ73" s="909">
        <v>0</v>
      </c>
      <c r="HK73" s="910">
        <v>2699.2250425030225</v>
      </c>
      <c r="HL73" s="909">
        <v>0</v>
      </c>
      <c r="HM73" s="909">
        <v>0</v>
      </c>
      <c r="HN73" s="909">
        <v>0</v>
      </c>
      <c r="HO73" s="910">
        <v>2550.1378134180068</v>
      </c>
      <c r="HP73" s="871">
        <v>2550.1378134180068</v>
      </c>
      <c r="HQ73" s="911">
        <v>264.37930926909314</v>
      </c>
      <c r="HR73" s="908">
        <v>80.917748899937038</v>
      </c>
      <c r="HS73" s="902">
        <v>583.74892160790819</v>
      </c>
      <c r="HT73" s="902">
        <v>6.7580027000870482</v>
      </c>
      <c r="HU73" s="902">
        <v>24.845897266176102</v>
      </c>
      <c r="HV73" s="902">
        <v>83.548833580764452</v>
      </c>
      <c r="HW73" s="902">
        <v>242.9972322700055</v>
      </c>
      <c r="HX73" s="902">
        <v>1800</v>
      </c>
      <c r="HY73" s="909" t="s">
        <v>1063</v>
      </c>
      <c r="HZ73" s="909">
        <v>4</v>
      </c>
      <c r="IA73" s="909">
        <v>1</v>
      </c>
      <c r="IB73" s="909">
        <v>6</v>
      </c>
      <c r="IC73" s="909">
        <v>140.35033787694928</v>
      </c>
      <c r="ID73" s="910">
        <v>3049.0206822989985</v>
      </c>
      <c r="IE73" s="909">
        <v>1</v>
      </c>
      <c r="IF73" s="909">
        <v>6</v>
      </c>
      <c r="IG73" s="909">
        <v>177.57145972206825</v>
      </c>
      <c r="IH73" s="910">
        <v>2306.437047111559</v>
      </c>
      <c r="II73" s="871">
        <v>2306.437047111559</v>
      </c>
      <c r="IJ73" s="911">
        <v>239.11422754470931</v>
      </c>
      <c r="IK73" s="908">
        <v>80.917748899937038</v>
      </c>
      <c r="IL73" s="902">
        <v>1262.8701135500551</v>
      </c>
      <c r="IM73" s="902">
        <v>6.7580027000870482</v>
      </c>
      <c r="IN73" s="902">
        <v>703.96708920832293</v>
      </c>
      <c r="IO73" s="902">
        <v>88.362413966173449</v>
      </c>
      <c r="IP73" s="902">
        <v>799.92419332730003</v>
      </c>
      <c r="IQ73" s="902">
        <v>2250</v>
      </c>
      <c r="IR73" s="909" t="s">
        <v>1063</v>
      </c>
      <c r="IS73" s="909">
        <v>4</v>
      </c>
      <c r="IT73" s="909">
        <v>1</v>
      </c>
      <c r="IU73" s="909">
        <v>6</v>
      </c>
      <c r="IV73" s="909">
        <v>140.35033787694928</v>
      </c>
      <c r="IW73" s="910">
        <v>3049.0206822989985</v>
      </c>
      <c r="IX73" s="909">
        <v>1</v>
      </c>
      <c r="IY73" s="909">
        <v>170</v>
      </c>
      <c r="IZ73" s="909">
        <v>177.57145972206825</v>
      </c>
      <c r="JA73" s="910">
        <v>-1</v>
      </c>
      <c r="JB73" s="871">
        <v>-1</v>
      </c>
      <c r="JC73" s="911">
        <v>-0.10367255756846318</v>
      </c>
      <c r="JD73" s="908">
        <v>121.37662334990556</v>
      </c>
      <c r="JE73" s="902">
        <v>592.60389609161359</v>
      </c>
      <c r="JF73" s="902">
        <v>0</v>
      </c>
      <c r="JG73" s="902">
        <v>0</v>
      </c>
      <c r="JH73" s="902">
        <v>85.351562502085201</v>
      </c>
      <c r="JI73" s="902">
        <v>243.79098785546665</v>
      </c>
      <c r="JJ73" s="902">
        <v>1800</v>
      </c>
      <c r="JK73" s="909" t="s">
        <v>1064</v>
      </c>
      <c r="JL73" s="909">
        <v>6</v>
      </c>
      <c r="JM73" s="909">
        <v>0</v>
      </c>
      <c r="JN73" s="909">
        <v>0</v>
      </c>
      <c r="JO73" s="909">
        <v>0</v>
      </c>
      <c r="JP73" s="910">
        <v>2520.0364398654128</v>
      </c>
      <c r="JQ73" s="909">
        <v>0</v>
      </c>
      <c r="JR73" s="909">
        <v>0</v>
      </c>
      <c r="JS73" s="909">
        <v>0</v>
      </c>
      <c r="JT73" s="910">
        <v>2257.3144099354527</v>
      </c>
      <c r="JU73" s="871">
        <v>2257.3144099354527</v>
      </c>
      <c r="JV73" s="911">
        <v>234.02155811415471</v>
      </c>
      <c r="JW73" s="908">
        <v>121.37662334990556</v>
      </c>
      <c r="JX73" s="902">
        <v>625.73175911318174</v>
      </c>
      <c r="JY73" s="902">
        <v>0</v>
      </c>
      <c r="JZ73" s="902">
        <v>33.127863021568139</v>
      </c>
      <c r="KA73" s="902">
        <v>85.73001933250849</v>
      </c>
      <c r="KB73" s="902">
        <v>270.95815668752982</v>
      </c>
      <c r="KC73" s="902">
        <v>2250</v>
      </c>
      <c r="KD73" s="909" t="s">
        <v>1064</v>
      </c>
      <c r="KE73" s="909">
        <v>6</v>
      </c>
      <c r="KF73" s="909">
        <v>0</v>
      </c>
      <c r="KG73" s="909">
        <v>0</v>
      </c>
      <c r="KH73" s="909">
        <v>0</v>
      </c>
      <c r="KI73" s="910">
        <v>2520.0364398654133</v>
      </c>
      <c r="KJ73" s="909">
        <v>1</v>
      </c>
      <c r="KK73" s="909">
        <v>8</v>
      </c>
      <c r="KL73" s="909">
        <v>177.57145972206825</v>
      </c>
      <c r="KM73" s="910">
        <v>3116.6863366219304</v>
      </c>
      <c r="KN73" s="871">
        <v>2520.0364398654133</v>
      </c>
      <c r="KO73" s="912">
        <v>261.25862288657203</v>
      </c>
    </row>
    <row r="74" spans="1:301" ht="15" customHeight="1">
      <c r="A74" s="924" t="s">
        <v>1561</v>
      </c>
      <c r="B74" s="888" t="s">
        <v>1082</v>
      </c>
      <c r="C74" s="888">
        <v>881</v>
      </c>
      <c r="D74" s="888">
        <v>1980</v>
      </c>
      <c r="E74" s="888">
        <v>900</v>
      </c>
      <c r="F74" s="888">
        <v>717.79592360180652</v>
      </c>
      <c r="G74" s="888">
        <v>372.17891447350576</v>
      </c>
      <c r="H74" s="888">
        <v>302.77861037296844</v>
      </c>
      <c r="I74" s="888">
        <v>230</v>
      </c>
      <c r="J74" s="888">
        <v>34.93</v>
      </c>
      <c r="K74" s="888">
        <v>48.06</v>
      </c>
      <c r="L74" s="888">
        <v>12</v>
      </c>
      <c r="M74" s="888">
        <v>843.77133514242735</v>
      </c>
      <c r="N74" s="888">
        <v>6</v>
      </c>
      <c r="O74" s="884">
        <v>115.06070527402002</v>
      </c>
      <c r="P74" s="888">
        <v>6</v>
      </c>
      <c r="Q74" s="884">
        <v>77.716074248987738</v>
      </c>
      <c r="R74" s="888">
        <v>22</v>
      </c>
      <c r="S74" s="888">
        <v>1348.8979618009034</v>
      </c>
      <c r="T74" s="906">
        <v>246.79730664163057</v>
      </c>
      <c r="U74" s="906">
        <v>202.33469427013551</v>
      </c>
      <c r="V74" s="906">
        <v>172.5</v>
      </c>
      <c r="W74" s="1141">
        <v>32.655069763732797</v>
      </c>
      <c r="X74" s="902">
        <v>478.53061573453766</v>
      </c>
      <c r="Y74" s="902">
        <v>64.110946019818627</v>
      </c>
      <c r="Z74" s="902">
        <v>6</v>
      </c>
      <c r="AA74" s="902">
        <v>8.7697349451914697</v>
      </c>
      <c r="AB74" s="970">
        <v>95.247071739471593</v>
      </c>
      <c r="AC74" s="1045">
        <v>2966.4299843265876</v>
      </c>
      <c r="AD74" s="890">
        <v>0.25716111892954335</v>
      </c>
      <c r="AE74" s="890">
        <v>0.69838836010707595</v>
      </c>
      <c r="AF74" s="890">
        <v>-0.3024376603990061</v>
      </c>
      <c r="AG74" s="890">
        <v>0.96438733551714861</v>
      </c>
      <c r="AH74" s="888"/>
      <c r="AI74" s="907">
        <v>16.491628824248689</v>
      </c>
      <c r="AJ74" s="908">
        <v>127.04094206518874</v>
      </c>
      <c r="AK74" s="902">
        <v>608.03983293875126</v>
      </c>
      <c r="AL74" s="902">
        <v>0</v>
      </c>
      <c r="AM74" s="902">
        <v>0</v>
      </c>
      <c r="AN74" s="902">
        <v>98.868681801820145</v>
      </c>
      <c r="AO74" s="902">
        <v>254.76067837853535</v>
      </c>
      <c r="AP74" s="1222">
        <v>1550</v>
      </c>
      <c r="AQ74" s="909" t="s">
        <v>1064</v>
      </c>
      <c r="AR74" s="909">
        <v>6</v>
      </c>
      <c r="AS74" s="909">
        <v>0</v>
      </c>
      <c r="AT74" s="909">
        <v>0</v>
      </c>
      <c r="AU74" s="909">
        <v>0</v>
      </c>
      <c r="AV74" s="910">
        <v>1802.6741978965265</v>
      </c>
      <c r="AW74" s="909">
        <v>0</v>
      </c>
      <c r="AX74" s="909">
        <v>0</v>
      </c>
      <c r="AY74" s="909">
        <v>0</v>
      </c>
      <c r="AZ74" s="910">
        <v>1806.5114158998938</v>
      </c>
      <c r="BA74" s="871">
        <v>1802.6741978965265</v>
      </c>
      <c r="BB74" s="911">
        <v>186.88784455861085</v>
      </c>
      <c r="BC74" s="908">
        <v>84.693961376792501</v>
      </c>
      <c r="BD74" s="902">
        <v>595.10043606454201</v>
      </c>
      <c r="BE74" s="902">
        <v>7.3328828780844049</v>
      </c>
      <c r="BF74" s="902">
        <v>22.074700936102541</v>
      </c>
      <c r="BG74" s="902">
        <v>96.37688692241187</v>
      </c>
      <c r="BH74" s="902">
        <v>250.2446096137908</v>
      </c>
      <c r="BI74" s="902">
        <v>1937.5</v>
      </c>
      <c r="BJ74" s="909" t="s">
        <v>1064</v>
      </c>
      <c r="BK74" s="909">
        <v>4</v>
      </c>
      <c r="BL74" s="909">
        <v>1</v>
      </c>
      <c r="BM74" s="909">
        <v>6</v>
      </c>
      <c r="BN74" s="909">
        <v>120.78064062564894</v>
      </c>
      <c r="BO74" s="910">
        <v>2966.4299843265876</v>
      </c>
      <c r="BP74" s="909">
        <v>1</v>
      </c>
      <c r="BQ74" s="909">
        <v>6</v>
      </c>
      <c r="BR74" s="909">
        <v>156.90879957911642</v>
      </c>
      <c r="BS74" s="910">
        <v>2980.4632686430014</v>
      </c>
      <c r="BT74" s="871">
        <v>2966.4299843265876</v>
      </c>
      <c r="BU74" s="911">
        <v>307.53738332291346</v>
      </c>
      <c r="BV74" s="908">
        <v>84.693961376792501</v>
      </c>
      <c r="BW74" s="902">
        <v>595.10043606454201</v>
      </c>
      <c r="BX74" s="902">
        <v>7.3328828780844049</v>
      </c>
      <c r="BY74" s="902">
        <v>22.074700936102541</v>
      </c>
      <c r="BZ74" s="902">
        <v>96.37688692241187</v>
      </c>
      <c r="CA74" s="902">
        <v>250.2446096137908</v>
      </c>
      <c r="CB74" s="902">
        <v>1550</v>
      </c>
      <c r="CC74" s="909" t="s">
        <v>2874</v>
      </c>
      <c r="CD74" s="909">
        <v>4</v>
      </c>
      <c r="CE74" s="909">
        <v>1</v>
      </c>
      <c r="CF74" s="909">
        <v>6</v>
      </c>
      <c r="CG74" s="909">
        <v>120.78064062564894</v>
      </c>
      <c r="CH74" s="910">
        <v>1802.5322548964648</v>
      </c>
      <c r="CI74" s="909">
        <v>1</v>
      </c>
      <c r="CJ74" s="909">
        <v>6</v>
      </c>
      <c r="CK74" s="909">
        <v>156.90879957911642</v>
      </c>
      <c r="CL74" s="910">
        <v>1811.059490580978</v>
      </c>
      <c r="CM74" s="871">
        <v>1802.5322548964648</v>
      </c>
      <c r="CN74" s="911">
        <v>186.87312896476547</v>
      </c>
      <c r="CO74" s="908">
        <v>105.86745172099063</v>
      </c>
      <c r="CP74" s="902">
        <v>-3082.4733029184245</v>
      </c>
      <c r="CQ74" s="902">
        <v>9.7771771707792059</v>
      </c>
      <c r="CR74" s="902">
        <v>-3679.1168226837567</v>
      </c>
      <c r="CS74" s="902">
        <v>118.31655360346259</v>
      </c>
      <c r="CT74" s="902">
        <v>-2834.8610441748342</v>
      </c>
      <c r="CU74" s="902">
        <v>1937.5</v>
      </c>
      <c r="CV74" s="909" t="s">
        <v>2875</v>
      </c>
      <c r="CW74" s="909">
        <v>5</v>
      </c>
      <c r="CX74" s="909">
        <v>1</v>
      </c>
      <c r="CY74" s="909">
        <v>8</v>
      </c>
      <c r="CZ74" s="909">
        <v>120.78064062564894</v>
      </c>
      <c r="DA74" s="910">
        <v>2178.9538543456924</v>
      </c>
      <c r="DB74" s="909">
        <v>1</v>
      </c>
      <c r="DC74" s="909">
        <v>-1000</v>
      </c>
      <c r="DD74" s="909">
        <v>156.90879957911642</v>
      </c>
      <c r="DE74" s="910">
        <v>-1</v>
      </c>
      <c r="DF74" s="871">
        <v>-1</v>
      </c>
      <c r="DG74" s="911">
        <v>-0.10367255756846318</v>
      </c>
      <c r="DH74" s="908">
        <v>84.693961376792501</v>
      </c>
      <c r="DI74" s="902">
        <v>595.10043606454201</v>
      </c>
      <c r="DJ74" s="902">
        <v>7.3328828780844049</v>
      </c>
      <c r="DK74" s="902">
        <v>22.074700936102541</v>
      </c>
      <c r="DL74" s="902">
        <v>96.37688692241187</v>
      </c>
      <c r="DM74" s="902">
        <v>250.2446096137908</v>
      </c>
      <c r="DN74" s="902">
        <v>1550</v>
      </c>
      <c r="DO74" s="909" t="s">
        <v>2875</v>
      </c>
      <c r="DP74" s="909">
        <v>4</v>
      </c>
      <c r="DQ74" s="909">
        <v>1</v>
      </c>
      <c r="DR74" s="909">
        <v>6</v>
      </c>
      <c r="DS74" s="909">
        <v>120.78064062564894</v>
      </c>
      <c r="DT74" s="910">
        <v>1876.1350539794958</v>
      </c>
      <c r="DU74" s="909">
        <v>1</v>
      </c>
      <c r="DV74" s="909">
        <v>6</v>
      </c>
      <c r="DW74" s="909">
        <v>156.90879957911642</v>
      </c>
      <c r="DX74" s="910">
        <v>1885.0104822764381</v>
      </c>
      <c r="DY74" s="871">
        <v>1876.1350539794958</v>
      </c>
      <c r="DZ74" s="911">
        <v>194.50371938990105</v>
      </c>
      <c r="EA74" s="908">
        <v>105.86745172099063</v>
      </c>
      <c r="EB74" s="902">
        <v>655.50938892827253</v>
      </c>
      <c r="EC74" s="902">
        <v>9.7771771707792059</v>
      </c>
      <c r="ED74" s="902">
        <v>58.865869162940108</v>
      </c>
      <c r="EE74" s="902">
        <v>99.404208218762733</v>
      </c>
      <c r="EF74" s="902">
        <v>294.09389990184121</v>
      </c>
      <c r="EG74" s="902">
        <v>1937.5</v>
      </c>
      <c r="EH74" s="909" t="s">
        <v>3884</v>
      </c>
      <c r="EI74" s="909">
        <v>5</v>
      </c>
      <c r="EJ74" s="909">
        <v>1</v>
      </c>
      <c r="EK74" s="909">
        <v>8</v>
      </c>
      <c r="EL74" s="909">
        <v>120.78064062564894</v>
      </c>
      <c r="EM74" s="910">
        <v>2320.9851773575883</v>
      </c>
      <c r="EN74" s="909">
        <v>1</v>
      </c>
      <c r="EO74" s="909">
        <v>16</v>
      </c>
      <c r="EP74" s="909">
        <v>156.90879957911642</v>
      </c>
      <c r="EQ74" s="910">
        <v>2132.730282745249</v>
      </c>
      <c r="ER74" s="871">
        <v>2132.730282745249</v>
      </c>
      <c r="ES74" s="911">
        <v>221.10560301591158</v>
      </c>
      <c r="ET74" s="908">
        <v>169.387922753585</v>
      </c>
      <c r="EU74" s="902">
        <v>650.3868136271476</v>
      </c>
      <c r="EV74" s="902">
        <v>0</v>
      </c>
      <c r="EW74" s="902">
        <v>0</v>
      </c>
      <c r="EX74" s="902">
        <v>102.28832343294324</v>
      </c>
      <c r="EY74" s="902">
        <v>279.62132562464473</v>
      </c>
      <c r="EZ74" s="902">
        <v>1550</v>
      </c>
      <c r="FA74" s="909" t="s">
        <v>2877</v>
      </c>
      <c r="FB74" s="909">
        <v>8</v>
      </c>
      <c r="FC74" s="909">
        <v>0</v>
      </c>
      <c r="FD74" s="909">
        <v>0</v>
      </c>
      <c r="FE74" s="909">
        <v>0</v>
      </c>
      <c r="FF74" s="910">
        <v>1879.4453871707274</v>
      </c>
      <c r="FG74" s="909">
        <v>0</v>
      </c>
      <c r="FH74" s="909">
        <v>0</v>
      </c>
      <c r="FI74" s="909">
        <v>0</v>
      </c>
      <c r="FJ74" s="910">
        <v>1952.5005160806463</v>
      </c>
      <c r="FK74" s="871">
        <v>1879.4453871707274</v>
      </c>
      <c r="FL74" s="911">
        <v>194.84691009823979</v>
      </c>
      <c r="FM74" s="908">
        <v>105.86745172099063</v>
      </c>
      <c r="FN74" s="902">
        <v>655.50938892827253</v>
      </c>
      <c r="FO74" s="902">
        <v>9.7771771707792059</v>
      </c>
      <c r="FP74" s="902">
        <v>58.865869162940108</v>
      </c>
      <c r="FQ74" s="902">
        <v>99.404208218762733</v>
      </c>
      <c r="FR74" s="902">
        <v>294.09389990184121</v>
      </c>
      <c r="FS74" s="902">
        <v>1937.5</v>
      </c>
      <c r="FT74" s="909" t="s">
        <v>3884</v>
      </c>
      <c r="FU74" s="909">
        <v>5</v>
      </c>
      <c r="FV74" s="909">
        <v>1</v>
      </c>
      <c r="FW74" s="909">
        <v>8</v>
      </c>
      <c r="FX74" s="909">
        <v>120.78064062564894</v>
      </c>
      <c r="FY74" s="910">
        <v>2320.9851773575883</v>
      </c>
      <c r="FZ74" s="909">
        <v>1</v>
      </c>
      <c r="GA74" s="909">
        <v>16</v>
      </c>
      <c r="GB74" s="909">
        <v>156.90879957911642</v>
      </c>
      <c r="GC74" s="910">
        <v>2132.730282745249</v>
      </c>
      <c r="GD74" s="871">
        <v>2132.730282745249</v>
      </c>
      <c r="GE74" s="911">
        <v>221.10560301591158</v>
      </c>
      <c r="GF74" s="908">
        <v>169.387922753585</v>
      </c>
      <c r="GG74" s="902">
        <v>650.3868136271476</v>
      </c>
      <c r="GH74" s="902">
        <v>0</v>
      </c>
      <c r="GI74" s="902">
        <v>0</v>
      </c>
      <c r="GJ74" s="902">
        <v>102.28832343294324</v>
      </c>
      <c r="GK74" s="902">
        <v>279.62132562464473</v>
      </c>
      <c r="GL74" s="902">
        <v>1550</v>
      </c>
      <c r="GM74" s="909" t="s">
        <v>2877</v>
      </c>
      <c r="GN74" s="909">
        <v>8</v>
      </c>
      <c r="GO74" s="909">
        <v>0</v>
      </c>
      <c r="GP74" s="909">
        <v>0</v>
      </c>
      <c r="GQ74" s="909">
        <v>0</v>
      </c>
      <c r="GR74" s="910">
        <v>1879.4453871707274</v>
      </c>
      <c r="GS74" s="909">
        <v>0</v>
      </c>
      <c r="GT74" s="909">
        <v>0</v>
      </c>
      <c r="GU74" s="909">
        <v>0</v>
      </c>
      <c r="GV74" s="910">
        <v>1952.5005160806463</v>
      </c>
      <c r="GW74" s="871">
        <v>1879.4453871707274</v>
      </c>
      <c r="GX74" s="911">
        <v>194.84691009823979</v>
      </c>
      <c r="GY74" s="908">
        <v>84.693961376792501</v>
      </c>
      <c r="GZ74" s="902">
        <v>595.10043606454201</v>
      </c>
      <c r="HA74" s="902">
        <v>7.3328828780844049</v>
      </c>
      <c r="HB74" s="902">
        <v>22.074700936102541</v>
      </c>
      <c r="HC74" s="902">
        <v>96.37688692241187</v>
      </c>
      <c r="HD74" s="902">
        <v>250.2446096137908</v>
      </c>
      <c r="HE74" s="902">
        <v>1937.5</v>
      </c>
      <c r="HF74" s="909" t="s">
        <v>2877</v>
      </c>
      <c r="HG74" s="909">
        <v>4</v>
      </c>
      <c r="HH74" s="909">
        <v>1</v>
      </c>
      <c r="HI74" s="909">
        <v>6</v>
      </c>
      <c r="HJ74" s="909">
        <v>120.78064062564894</v>
      </c>
      <c r="HK74" s="910">
        <v>2468.2189415936141</v>
      </c>
      <c r="HL74" s="909">
        <v>1</v>
      </c>
      <c r="HM74" s="909">
        <v>6</v>
      </c>
      <c r="HN74" s="909">
        <v>156.90879957911642</v>
      </c>
      <c r="HO74" s="910">
        <v>2479.8953399375414</v>
      </c>
      <c r="HP74" s="871">
        <v>2468.2189415936141</v>
      </c>
      <c r="HQ74" s="911">
        <v>255.88657031393524</v>
      </c>
      <c r="HR74" s="908">
        <v>84.693961376792501</v>
      </c>
      <c r="HS74" s="902">
        <v>595.10043606454201</v>
      </c>
      <c r="HT74" s="902">
        <v>7.3328828780844049</v>
      </c>
      <c r="HU74" s="902">
        <v>22.074700936102541</v>
      </c>
      <c r="HV74" s="902">
        <v>96.37688692241187</v>
      </c>
      <c r="HW74" s="902">
        <v>250.2446096137908</v>
      </c>
      <c r="HX74" s="902">
        <v>1550</v>
      </c>
      <c r="HY74" s="909" t="s">
        <v>1063</v>
      </c>
      <c r="HZ74" s="909">
        <v>4</v>
      </c>
      <c r="IA74" s="909">
        <v>1</v>
      </c>
      <c r="IB74" s="909">
        <v>6</v>
      </c>
      <c r="IC74" s="909">
        <v>120.78064062564894</v>
      </c>
      <c r="ID74" s="910">
        <v>2176.7645002385871</v>
      </c>
      <c r="IE74" s="909">
        <v>1</v>
      </c>
      <c r="IF74" s="909">
        <v>6</v>
      </c>
      <c r="IG74" s="909">
        <v>156.90879957911642</v>
      </c>
      <c r="IH74" s="910">
        <v>2187.0621156475727</v>
      </c>
      <c r="II74" s="871">
        <v>2176.7645002385871</v>
      </c>
      <c r="IJ74" s="911">
        <v>225.67074296397189</v>
      </c>
      <c r="IK74" s="908">
        <v>84.693961376792501</v>
      </c>
      <c r="IL74" s="902">
        <v>595.10043606454201</v>
      </c>
      <c r="IM74" s="902">
        <v>7.3328828780844049</v>
      </c>
      <c r="IN74" s="902">
        <v>22.074700936102541</v>
      </c>
      <c r="IO74" s="902">
        <v>96.37688692241187</v>
      </c>
      <c r="IP74" s="902">
        <v>250.2446096137908</v>
      </c>
      <c r="IQ74" s="902">
        <v>1937.5</v>
      </c>
      <c r="IR74" s="909" t="s">
        <v>1063</v>
      </c>
      <c r="IS74" s="909">
        <v>4</v>
      </c>
      <c r="IT74" s="909">
        <v>1</v>
      </c>
      <c r="IU74" s="909">
        <v>6</v>
      </c>
      <c r="IV74" s="909">
        <v>120.78064062564894</v>
      </c>
      <c r="IW74" s="910">
        <v>2176.7645002385871</v>
      </c>
      <c r="IX74" s="909">
        <v>1</v>
      </c>
      <c r="IY74" s="909">
        <v>6</v>
      </c>
      <c r="IZ74" s="909">
        <v>156.90879957911642</v>
      </c>
      <c r="JA74" s="910">
        <v>2187.0621156475727</v>
      </c>
      <c r="JB74" s="871">
        <v>2176.7645002385871</v>
      </c>
      <c r="JC74" s="911">
        <v>225.67074296397189</v>
      </c>
      <c r="JD74" s="908">
        <v>127.04094206518874</v>
      </c>
      <c r="JE74" s="902">
        <v>608.03983293875126</v>
      </c>
      <c r="JF74" s="902">
        <v>0</v>
      </c>
      <c r="JG74" s="902">
        <v>0</v>
      </c>
      <c r="JH74" s="902">
        <v>98.868681801820145</v>
      </c>
      <c r="JI74" s="902">
        <v>254.76067837853535</v>
      </c>
      <c r="JJ74" s="902">
        <v>1550</v>
      </c>
      <c r="JK74" s="909" t="s">
        <v>1064</v>
      </c>
      <c r="JL74" s="909">
        <v>6</v>
      </c>
      <c r="JM74" s="909">
        <v>0</v>
      </c>
      <c r="JN74" s="909">
        <v>0</v>
      </c>
      <c r="JO74" s="909">
        <v>0</v>
      </c>
      <c r="JP74" s="910">
        <v>1802.6741978965265</v>
      </c>
      <c r="JQ74" s="909">
        <v>0</v>
      </c>
      <c r="JR74" s="909">
        <v>0</v>
      </c>
      <c r="JS74" s="909">
        <v>0</v>
      </c>
      <c r="JT74" s="910">
        <v>1806.5114158998938</v>
      </c>
      <c r="JU74" s="871">
        <v>1802.6741978965265</v>
      </c>
      <c r="JV74" s="911">
        <v>186.88784455861085</v>
      </c>
      <c r="JW74" s="908">
        <v>84.693961376792501</v>
      </c>
      <c r="JX74" s="902">
        <v>595.10043606454201</v>
      </c>
      <c r="JY74" s="902">
        <v>7.3328828780844049</v>
      </c>
      <c r="JZ74" s="902">
        <v>22.074700936102541</v>
      </c>
      <c r="KA74" s="902">
        <v>96.37688692241187</v>
      </c>
      <c r="KB74" s="902">
        <v>250.2446096137908</v>
      </c>
      <c r="KC74" s="902">
        <v>1937.5</v>
      </c>
      <c r="KD74" s="909" t="s">
        <v>1064</v>
      </c>
      <c r="KE74" s="909">
        <v>4</v>
      </c>
      <c r="KF74" s="909">
        <v>1</v>
      </c>
      <c r="KG74" s="909">
        <v>6</v>
      </c>
      <c r="KH74" s="909">
        <v>120.78064062564894</v>
      </c>
      <c r="KI74" s="910">
        <v>2966.4299843265876</v>
      </c>
      <c r="KJ74" s="909">
        <v>1</v>
      </c>
      <c r="KK74" s="909">
        <v>6</v>
      </c>
      <c r="KL74" s="909">
        <v>156.90879957911642</v>
      </c>
      <c r="KM74" s="910">
        <v>2980.4632686430014</v>
      </c>
      <c r="KN74" s="871">
        <v>2966.4299843265876</v>
      </c>
      <c r="KO74" s="912">
        <v>307.53738332291346</v>
      </c>
    </row>
    <row r="75" spans="1:301" ht="15" customHeight="1">
      <c r="A75" s="924" t="s">
        <v>1562</v>
      </c>
      <c r="B75" s="888" t="s">
        <v>1083</v>
      </c>
      <c r="C75" s="888">
        <v>952</v>
      </c>
      <c r="D75" s="888">
        <v>1980</v>
      </c>
      <c r="E75" s="888">
        <v>1000</v>
      </c>
      <c r="F75" s="888">
        <v>749.12888895398396</v>
      </c>
      <c r="G75" s="888">
        <v>422.09156579474592</v>
      </c>
      <c r="H75" s="888">
        <v>371</v>
      </c>
      <c r="I75" s="888">
        <v>277</v>
      </c>
      <c r="J75" s="888">
        <v>34.32</v>
      </c>
      <c r="K75" s="888">
        <v>46.54</v>
      </c>
      <c r="L75" s="888">
        <v>12</v>
      </c>
      <c r="M75" s="888">
        <v>798</v>
      </c>
      <c r="N75" s="888">
        <v>6</v>
      </c>
      <c r="O75" s="884">
        <v>108.03217710977627</v>
      </c>
      <c r="P75" s="888">
        <v>6</v>
      </c>
      <c r="Q75" s="884">
        <v>76.143518320195483</v>
      </c>
      <c r="R75" s="888">
        <v>22</v>
      </c>
      <c r="S75" s="888">
        <v>1364.5644444769921</v>
      </c>
      <c r="T75" s="906">
        <v>252.56334504720218</v>
      </c>
      <c r="U75" s="906">
        <v>204.6846666715488</v>
      </c>
      <c r="V75" s="906">
        <v>172.5</v>
      </c>
      <c r="W75" s="1141">
        <v>33.418005101060906</v>
      </c>
      <c r="X75" s="902">
        <v>499.41925930265597</v>
      </c>
      <c r="Y75" s="902">
        <v>66.909493607348068</v>
      </c>
      <c r="Z75" s="902">
        <v>6</v>
      </c>
      <c r="AA75" s="902">
        <v>9.552071900136351</v>
      </c>
      <c r="AB75" s="970">
        <v>106.60496799504556</v>
      </c>
      <c r="AC75" s="1045">
        <v>2383.6434670925505</v>
      </c>
      <c r="AD75" s="890">
        <v>0.25637060942852491</v>
      </c>
      <c r="AE75" s="890">
        <v>0.68266536918217413</v>
      </c>
      <c r="AF75" s="890">
        <v>-0.36495885953317142</v>
      </c>
      <c r="AG75" s="890">
        <v>0.89912972421774251</v>
      </c>
      <c r="AH75" s="888"/>
      <c r="AI75" s="907">
        <v>17.097928844973904</v>
      </c>
      <c r="AJ75" s="908">
        <v>146.1335904</v>
      </c>
      <c r="AK75" s="902">
        <v>653.38746027638774</v>
      </c>
      <c r="AL75" s="902">
        <v>0</v>
      </c>
      <c r="AM75" s="902">
        <v>27.544752398016644</v>
      </c>
      <c r="AN75" s="902">
        <v>118.17055585778654</v>
      </c>
      <c r="AO75" s="902">
        <v>292.03173250020768</v>
      </c>
      <c r="AP75" s="1222">
        <v>1350</v>
      </c>
      <c r="AQ75" s="909" t="s">
        <v>1064</v>
      </c>
      <c r="AR75" s="909">
        <v>6</v>
      </c>
      <c r="AS75" s="909">
        <v>0</v>
      </c>
      <c r="AT75" s="909">
        <v>0</v>
      </c>
      <c r="AU75" s="909">
        <v>0</v>
      </c>
      <c r="AV75" s="910">
        <v>1489.4926213789602</v>
      </c>
      <c r="AW75" s="909">
        <v>1</v>
      </c>
      <c r="AX75" s="909">
        <v>8</v>
      </c>
      <c r="AY75" s="909">
        <v>146.43966471363311</v>
      </c>
      <c r="AZ75" s="910">
        <v>2921.3310570962053</v>
      </c>
      <c r="BA75" s="871">
        <v>1489.4926213789602</v>
      </c>
      <c r="BB75" s="911">
        <v>154.41950953771138</v>
      </c>
      <c r="BC75" s="908">
        <v>146.1335904</v>
      </c>
      <c r="BD75" s="902">
        <v>677.20388380047575</v>
      </c>
      <c r="BE75" s="902">
        <v>10.044047325079665</v>
      </c>
      <c r="BF75" s="902">
        <v>41.317128597024968</v>
      </c>
      <c r="BG75" s="902">
        <v>119.58260457583663</v>
      </c>
      <c r="BH75" s="902">
        <v>306.56560143607584</v>
      </c>
      <c r="BI75" s="902">
        <v>1687.5</v>
      </c>
      <c r="BJ75" s="909" t="s">
        <v>1062</v>
      </c>
      <c r="BK75" s="909">
        <v>6</v>
      </c>
      <c r="BL75" s="909">
        <v>1</v>
      </c>
      <c r="BM75" s="909">
        <v>8</v>
      </c>
      <c r="BN75" s="909">
        <v>113.74836032996119</v>
      </c>
      <c r="BO75" s="910">
        <v>2010.7873486982262</v>
      </c>
      <c r="BP75" s="909">
        <v>1</v>
      </c>
      <c r="BQ75" s="909">
        <v>12</v>
      </c>
      <c r="BR75" s="909">
        <v>146.43966471363311</v>
      </c>
      <c r="BS75" s="910">
        <v>1873.8897024984333</v>
      </c>
      <c r="BT75" s="871">
        <v>1873.8897024984333</v>
      </c>
      <c r="BU75" s="911">
        <v>194.27093805921916</v>
      </c>
      <c r="BV75" s="908">
        <v>121.77799200000001</v>
      </c>
      <c r="BW75" s="902">
        <v>639.07590920146743</v>
      </c>
      <c r="BX75" s="902">
        <v>10.044047325079665</v>
      </c>
      <c r="BY75" s="902">
        <v>27.544752398016644</v>
      </c>
      <c r="BZ75" s="902">
        <v>116.662771313238</v>
      </c>
      <c r="CA75" s="902">
        <v>280.22162004740414</v>
      </c>
      <c r="CB75" s="902">
        <v>1350</v>
      </c>
      <c r="CC75" s="909" t="s">
        <v>2874</v>
      </c>
      <c r="CD75" s="909">
        <v>5</v>
      </c>
      <c r="CE75" s="909">
        <v>1</v>
      </c>
      <c r="CF75" s="909">
        <v>8</v>
      </c>
      <c r="CG75" s="909">
        <v>113.74836032996119</v>
      </c>
      <c r="CH75" s="910">
        <v>1718.1462114035858</v>
      </c>
      <c r="CI75" s="909">
        <v>1</v>
      </c>
      <c r="CJ75" s="909">
        <v>8</v>
      </c>
      <c r="CK75" s="909">
        <v>146.43966471363311</v>
      </c>
      <c r="CL75" s="910">
        <v>1689.5388753685379</v>
      </c>
      <c r="CM75" s="871">
        <v>1689.5388753685379</v>
      </c>
      <c r="CN75" s="911">
        <v>175.15881632080126</v>
      </c>
      <c r="CO75" s="908">
        <v>146.1335904</v>
      </c>
      <c r="CP75" s="902">
        <v>690.97625999948411</v>
      </c>
      <c r="CQ75" s="902">
        <v>10.044047325079665</v>
      </c>
      <c r="CR75" s="902">
        <v>55.089504796033289</v>
      </c>
      <c r="CS75" s="902">
        <v>119.95966164938524</v>
      </c>
      <c r="CT75" s="902">
        <v>318.21492479728835</v>
      </c>
      <c r="CU75" s="902">
        <v>1687.5</v>
      </c>
      <c r="CV75" s="909" t="s">
        <v>2874</v>
      </c>
      <c r="CW75" s="909">
        <v>6</v>
      </c>
      <c r="CX75" s="909">
        <v>1</v>
      </c>
      <c r="CY75" s="909">
        <v>8</v>
      </c>
      <c r="CZ75" s="909">
        <v>113.74836032996119</v>
      </c>
      <c r="DA75" s="910">
        <v>1970.1611942217946</v>
      </c>
      <c r="DB75" s="909">
        <v>1</v>
      </c>
      <c r="DC75" s="909">
        <v>16</v>
      </c>
      <c r="DD75" s="909">
        <v>146.43966471363311</v>
      </c>
      <c r="DE75" s="910">
        <v>1868.92865094438</v>
      </c>
      <c r="DF75" s="871">
        <v>1868.92865094438</v>
      </c>
      <c r="DG75" s="911">
        <v>193.75661315638146</v>
      </c>
      <c r="DH75" s="908">
        <v>97.422393600000007</v>
      </c>
      <c r="DI75" s="902">
        <v>605.32311087069343</v>
      </c>
      <c r="DJ75" s="902">
        <v>7.5330354938097486</v>
      </c>
      <c r="DK75" s="902">
        <v>20.658564298512484</v>
      </c>
      <c r="DL75" s="902">
        <v>113.35908404122807</v>
      </c>
      <c r="DM75" s="902">
        <v>258.98116394567478</v>
      </c>
      <c r="DN75" s="902">
        <v>1350</v>
      </c>
      <c r="DO75" s="909" t="s">
        <v>2875</v>
      </c>
      <c r="DP75" s="909">
        <v>4</v>
      </c>
      <c r="DQ75" s="909">
        <v>1</v>
      </c>
      <c r="DR75" s="909">
        <v>6</v>
      </c>
      <c r="DS75" s="909">
        <v>113.74836032996119</v>
      </c>
      <c r="DT75" s="910">
        <v>1548.6066941701292</v>
      </c>
      <c r="DU75" s="909">
        <v>1</v>
      </c>
      <c r="DV75" s="909">
        <v>6</v>
      </c>
      <c r="DW75" s="909">
        <v>146.43966471363311</v>
      </c>
      <c r="DX75" s="910">
        <v>1507.5484971611907</v>
      </c>
      <c r="DY75" s="871">
        <v>1507.5484971611907</v>
      </c>
      <c r="DZ75" s="911">
        <v>156.2914083591937</v>
      </c>
      <c r="EA75" s="908">
        <v>146.1335904</v>
      </c>
      <c r="EB75" s="902">
        <v>670.31769570097163</v>
      </c>
      <c r="EC75" s="902">
        <v>10.044047325079665</v>
      </c>
      <c r="ED75" s="902">
        <v>34.430940497520808</v>
      </c>
      <c r="EE75" s="902">
        <v>119.38826576592757</v>
      </c>
      <c r="EF75" s="902">
        <v>300.74093975546958</v>
      </c>
      <c r="EG75" s="902">
        <v>1687.5</v>
      </c>
      <c r="EH75" s="909" t="s">
        <v>2875</v>
      </c>
      <c r="EI75" s="909">
        <v>6</v>
      </c>
      <c r="EJ75" s="909">
        <v>1</v>
      </c>
      <c r="EK75" s="909">
        <v>8</v>
      </c>
      <c r="EL75" s="909">
        <v>113.74836032996119</v>
      </c>
      <c r="EM75" s="910">
        <v>2050.6087857395505</v>
      </c>
      <c r="EN75" s="909">
        <v>1</v>
      </c>
      <c r="EO75" s="909">
        <v>10</v>
      </c>
      <c r="EP75" s="909">
        <v>146.43966471363311</v>
      </c>
      <c r="EQ75" s="910">
        <v>1884.8708942166695</v>
      </c>
      <c r="ER75" s="871">
        <v>1884.8708942166695</v>
      </c>
      <c r="ES75" s="911">
        <v>195.40938628979836</v>
      </c>
      <c r="ET75" s="908">
        <v>194.84478720000001</v>
      </c>
      <c r="EU75" s="902">
        <v>674.55390467837117</v>
      </c>
      <c r="EV75" s="902">
        <v>0</v>
      </c>
      <c r="EW75" s="902">
        <v>0</v>
      </c>
      <c r="EX75" s="902">
        <v>122.20244757154981</v>
      </c>
      <c r="EY75" s="902">
        <v>298.12240183270109</v>
      </c>
      <c r="EZ75" s="902">
        <v>1350</v>
      </c>
      <c r="FA75" s="909" t="s">
        <v>2877</v>
      </c>
      <c r="FB75" s="909">
        <v>8</v>
      </c>
      <c r="FC75" s="909">
        <v>0</v>
      </c>
      <c r="FD75" s="909">
        <v>0</v>
      </c>
      <c r="FE75" s="909">
        <v>0</v>
      </c>
      <c r="FF75" s="910">
        <v>1533.1316449772935</v>
      </c>
      <c r="FG75" s="909">
        <v>0</v>
      </c>
      <c r="FH75" s="909">
        <v>0</v>
      </c>
      <c r="FI75" s="909">
        <v>0</v>
      </c>
      <c r="FJ75" s="910">
        <v>1524.1185306050118</v>
      </c>
      <c r="FK75" s="871">
        <v>1524.1185306050118</v>
      </c>
      <c r="FL75" s="911">
        <v>158.00926610530959</v>
      </c>
      <c r="FM75" s="908">
        <v>121.77799200000001</v>
      </c>
      <c r="FN75" s="902">
        <v>639.07590920146743</v>
      </c>
      <c r="FO75" s="902">
        <v>10.044047325079665</v>
      </c>
      <c r="FP75" s="902">
        <v>27.544752398016644</v>
      </c>
      <c r="FQ75" s="902">
        <v>116.662771313238</v>
      </c>
      <c r="FR75" s="902">
        <v>280.22162004740414</v>
      </c>
      <c r="FS75" s="902">
        <v>1687.5</v>
      </c>
      <c r="FT75" s="909" t="s">
        <v>3884</v>
      </c>
      <c r="FU75" s="909">
        <v>5</v>
      </c>
      <c r="FV75" s="909">
        <v>1</v>
      </c>
      <c r="FW75" s="909">
        <v>8</v>
      </c>
      <c r="FX75" s="909">
        <v>113.74836032996119</v>
      </c>
      <c r="FY75" s="910">
        <v>1904.8707186077356</v>
      </c>
      <c r="FZ75" s="909">
        <v>1</v>
      </c>
      <c r="GA75" s="909">
        <v>8</v>
      </c>
      <c r="GB75" s="909">
        <v>146.43966471363311</v>
      </c>
      <c r="GC75" s="910">
        <v>1873.1543976200142</v>
      </c>
      <c r="GD75" s="871">
        <v>1873.1543976200142</v>
      </c>
      <c r="GE75" s="911">
        <v>194.1947071218809</v>
      </c>
      <c r="GF75" s="908">
        <v>194.84478720000001</v>
      </c>
      <c r="GG75" s="902">
        <v>674.55390467837117</v>
      </c>
      <c r="GH75" s="902">
        <v>0</v>
      </c>
      <c r="GI75" s="902">
        <v>0</v>
      </c>
      <c r="GJ75" s="902">
        <v>122.20244757154981</v>
      </c>
      <c r="GK75" s="902">
        <v>298.12240183270109</v>
      </c>
      <c r="GL75" s="902">
        <v>1350</v>
      </c>
      <c r="GM75" s="909" t="s">
        <v>2877</v>
      </c>
      <c r="GN75" s="909">
        <v>8</v>
      </c>
      <c r="GO75" s="909">
        <v>0</v>
      </c>
      <c r="GP75" s="909">
        <v>0</v>
      </c>
      <c r="GQ75" s="909">
        <v>0</v>
      </c>
      <c r="GR75" s="910">
        <v>1533.1316449772935</v>
      </c>
      <c r="GS75" s="909">
        <v>0</v>
      </c>
      <c r="GT75" s="909">
        <v>0</v>
      </c>
      <c r="GU75" s="909">
        <v>0</v>
      </c>
      <c r="GV75" s="910">
        <v>1524.1185306050118</v>
      </c>
      <c r="GW75" s="871">
        <v>1524.1185306050118</v>
      </c>
      <c r="GX75" s="911">
        <v>158.00926610530959</v>
      </c>
      <c r="GY75" s="908">
        <v>97.422393600000007</v>
      </c>
      <c r="GZ75" s="902">
        <v>605.32311087069343</v>
      </c>
      <c r="HA75" s="902">
        <v>7.5330354938097486</v>
      </c>
      <c r="HB75" s="902">
        <v>20.658564298512484</v>
      </c>
      <c r="HC75" s="902">
        <v>113.35908404122807</v>
      </c>
      <c r="HD75" s="902">
        <v>258.98116394567478</v>
      </c>
      <c r="HE75" s="902">
        <v>1687.5</v>
      </c>
      <c r="HF75" s="909" t="s">
        <v>2877</v>
      </c>
      <c r="HG75" s="909">
        <v>4</v>
      </c>
      <c r="HH75" s="909">
        <v>1</v>
      </c>
      <c r="HI75" s="909">
        <v>6</v>
      </c>
      <c r="HJ75" s="909">
        <v>113.74836032996119</v>
      </c>
      <c r="HK75" s="910">
        <v>2037.3268798116899</v>
      </c>
      <c r="HL75" s="909">
        <v>1</v>
      </c>
      <c r="HM75" s="909">
        <v>6</v>
      </c>
      <c r="HN75" s="909">
        <v>146.43966471363311</v>
      </c>
      <c r="HO75" s="910">
        <v>1983.3112483908349</v>
      </c>
      <c r="HP75" s="871">
        <v>1983.3112483908349</v>
      </c>
      <c r="HQ75" s="911">
        <v>205.61494957497942</v>
      </c>
      <c r="HR75" s="908">
        <v>97.422393600000007</v>
      </c>
      <c r="HS75" s="902">
        <v>605.32311087069343</v>
      </c>
      <c r="HT75" s="902">
        <v>7.5330354938097486</v>
      </c>
      <c r="HU75" s="902">
        <v>20.658564298512484</v>
      </c>
      <c r="HV75" s="902">
        <v>113.35908404122807</v>
      </c>
      <c r="HW75" s="902">
        <v>258.98116394567478</v>
      </c>
      <c r="HX75" s="902">
        <v>1350</v>
      </c>
      <c r="HY75" s="909" t="s">
        <v>1063</v>
      </c>
      <c r="HZ75" s="909">
        <v>4</v>
      </c>
      <c r="IA75" s="909">
        <v>1</v>
      </c>
      <c r="IB75" s="909">
        <v>6</v>
      </c>
      <c r="IC75" s="909">
        <v>113.74836032996119</v>
      </c>
      <c r="ID75" s="910">
        <v>1796.753421109637</v>
      </c>
      <c r="IE75" s="909">
        <v>1</v>
      </c>
      <c r="IF75" s="909">
        <v>6</v>
      </c>
      <c r="IG75" s="909">
        <v>146.43966471363311</v>
      </c>
      <c r="IH75" s="910">
        <v>1749.1161118930677</v>
      </c>
      <c r="II75" s="871">
        <v>1749.1161118930677</v>
      </c>
      <c r="IJ75" s="911">
        <v>181.33534080416055</v>
      </c>
      <c r="IK75" s="908">
        <v>121.77799200000001</v>
      </c>
      <c r="IL75" s="902">
        <v>639.07590920146743</v>
      </c>
      <c r="IM75" s="902">
        <v>10.044047325079665</v>
      </c>
      <c r="IN75" s="902">
        <v>27.544752398016644</v>
      </c>
      <c r="IO75" s="902">
        <v>116.662771313238</v>
      </c>
      <c r="IP75" s="902">
        <v>280.22162004740414</v>
      </c>
      <c r="IQ75" s="902">
        <v>1687.5</v>
      </c>
      <c r="IR75" s="909" t="s">
        <v>1063</v>
      </c>
      <c r="IS75" s="909">
        <v>5</v>
      </c>
      <c r="IT75" s="909">
        <v>1</v>
      </c>
      <c r="IU75" s="909">
        <v>8</v>
      </c>
      <c r="IV75" s="909">
        <v>113.74836032996119</v>
      </c>
      <c r="IW75" s="910">
        <v>2074.8586712035317</v>
      </c>
      <c r="IX75" s="909">
        <v>1</v>
      </c>
      <c r="IY75" s="909">
        <v>8</v>
      </c>
      <c r="IZ75" s="909">
        <v>146.43966471363311</v>
      </c>
      <c r="JA75" s="910">
        <v>2040.312030858224</v>
      </c>
      <c r="JB75" s="871">
        <v>2040.312030858224</v>
      </c>
      <c r="JC75" s="911">
        <v>211.52436647677726</v>
      </c>
      <c r="JD75" s="908">
        <v>146.1335904</v>
      </c>
      <c r="JE75" s="902">
        <v>653.38746027638774</v>
      </c>
      <c r="JF75" s="902">
        <v>0</v>
      </c>
      <c r="JG75" s="902">
        <v>27.544752398016644</v>
      </c>
      <c r="JH75" s="902">
        <v>118.17055585778654</v>
      </c>
      <c r="JI75" s="902">
        <v>292.03173250020768</v>
      </c>
      <c r="JJ75" s="902">
        <v>1350</v>
      </c>
      <c r="JK75" s="909" t="s">
        <v>1064</v>
      </c>
      <c r="JL75" s="909">
        <v>6</v>
      </c>
      <c r="JM75" s="909">
        <v>0</v>
      </c>
      <c r="JN75" s="909">
        <v>0</v>
      </c>
      <c r="JO75" s="909">
        <v>0</v>
      </c>
      <c r="JP75" s="910">
        <v>1489.4926213789602</v>
      </c>
      <c r="JQ75" s="909">
        <v>1</v>
      </c>
      <c r="JR75" s="909">
        <v>8</v>
      </c>
      <c r="JS75" s="909">
        <v>146.43966471363311</v>
      </c>
      <c r="JT75" s="910">
        <v>2921.3310570962053</v>
      </c>
      <c r="JU75" s="871">
        <v>1489.4926213789602</v>
      </c>
      <c r="JV75" s="911">
        <v>154.41950953771138</v>
      </c>
      <c r="JW75" s="908">
        <v>97.422393600000007</v>
      </c>
      <c r="JX75" s="902">
        <v>605.32311087069343</v>
      </c>
      <c r="JY75" s="902">
        <v>7.5330354938097486</v>
      </c>
      <c r="JZ75" s="902">
        <v>20.658564298512484</v>
      </c>
      <c r="KA75" s="902">
        <v>113.35908404122807</v>
      </c>
      <c r="KB75" s="902">
        <v>258.98116394567478</v>
      </c>
      <c r="KC75" s="902">
        <v>1687.5</v>
      </c>
      <c r="KD75" s="909" t="s">
        <v>1064</v>
      </c>
      <c r="KE75" s="909">
        <v>4</v>
      </c>
      <c r="KF75" s="909">
        <v>1</v>
      </c>
      <c r="KG75" s="909">
        <v>6</v>
      </c>
      <c r="KH75" s="909">
        <v>113.74836032996119</v>
      </c>
      <c r="KI75" s="910">
        <v>2448.5621766807021</v>
      </c>
      <c r="KJ75" s="909">
        <v>1</v>
      </c>
      <c r="KK75" s="909">
        <v>6</v>
      </c>
      <c r="KL75" s="909">
        <v>146.43966471363311</v>
      </c>
      <c r="KM75" s="910">
        <v>2383.6434670925505</v>
      </c>
      <c r="KN75" s="871">
        <v>2383.6434670925505</v>
      </c>
      <c r="KO75" s="912">
        <v>247.11841456484362</v>
      </c>
    </row>
    <row r="76" spans="1:301" ht="15" customHeight="1">
      <c r="A76" s="924" t="s">
        <v>1687</v>
      </c>
      <c r="B76" s="888" t="s">
        <v>1084</v>
      </c>
      <c r="C76" s="888">
        <v>1061</v>
      </c>
      <c r="D76" s="888">
        <v>1980</v>
      </c>
      <c r="E76" s="888">
        <v>1120</v>
      </c>
      <c r="F76" s="888">
        <v>818</v>
      </c>
      <c r="G76" s="888">
        <v>511</v>
      </c>
      <c r="H76" s="888">
        <v>416</v>
      </c>
      <c r="I76" s="888">
        <v>290</v>
      </c>
      <c r="J76" s="888">
        <v>35.26</v>
      </c>
      <c r="K76" s="888">
        <v>45.29</v>
      </c>
      <c r="L76" s="888">
        <v>12</v>
      </c>
      <c r="M76" s="888">
        <v>743</v>
      </c>
      <c r="N76" s="888">
        <v>6</v>
      </c>
      <c r="O76" s="884">
        <v>98.62134782038882</v>
      </c>
      <c r="P76" s="888">
        <v>6</v>
      </c>
      <c r="Q76" s="884">
        <v>72.620924139959541</v>
      </c>
      <c r="R76" s="888">
        <v>22</v>
      </c>
      <c r="S76" s="888">
        <v>1399.0215538237808</v>
      </c>
      <c r="T76" s="906">
        <v>265.47952370806735</v>
      </c>
      <c r="U76" s="906">
        <v>209.85323307356711</v>
      </c>
      <c r="V76" s="906">
        <v>197.5</v>
      </c>
      <c r="W76" s="1141">
        <v>40.217885232195144</v>
      </c>
      <c r="X76" s="902">
        <v>545.33333333333326</v>
      </c>
      <c r="Y76" s="902">
        <v>73.060813136219451</v>
      </c>
      <c r="Z76" s="902">
        <v>6</v>
      </c>
      <c r="AA76" s="902">
        <v>11.389144408676007</v>
      </c>
      <c r="AB76" s="970">
        <v>89.211331105827597</v>
      </c>
      <c r="AC76" s="1045">
        <v>2137.6743036610828</v>
      </c>
      <c r="AD76" s="890">
        <v>0.24849659912631414</v>
      </c>
      <c r="AE76" s="890">
        <v>0.70699186578603546</v>
      </c>
      <c r="AF76" s="890">
        <v>-0.38350331221494455</v>
      </c>
      <c r="AG76" s="890">
        <v>0.76026220771476616</v>
      </c>
      <c r="AH76" s="888"/>
      <c r="AI76" s="907">
        <v>16.842717427337547</v>
      </c>
      <c r="AJ76" s="908">
        <v>148.24009080000002</v>
      </c>
      <c r="AK76" s="902">
        <v>636.56891610928687</v>
      </c>
      <c r="AL76" s="902">
        <v>0</v>
      </c>
      <c r="AM76" s="902">
        <v>0</v>
      </c>
      <c r="AN76" s="902">
        <v>124.70939335286738</v>
      </c>
      <c r="AO76" s="902">
        <v>276.02802270977099</v>
      </c>
      <c r="AP76" s="1222">
        <v>1100</v>
      </c>
      <c r="AQ76" s="909" t="s">
        <v>1064</v>
      </c>
      <c r="AR76" s="909">
        <v>6</v>
      </c>
      <c r="AS76" s="909">
        <v>0</v>
      </c>
      <c r="AT76" s="909">
        <v>0</v>
      </c>
      <c r="AU76" s="909">
        <v>0</v>
      </c>
      <c r="AV76" s="910">
        <v>1301.0736549846822</v>
      </c>
      <c r="AW76" s="909">
        <v>0</v>
      </c>
      <c r="AX76" s="909">
        <v>0</v>
      </c>
      <c r="AY76" s="909">
        <v>0</v>
      </c>
      <c r="AZ76" s="910">
        <v>1360.8246392167332</v>
      </c>
      <c r="BA76" s="871">
        <v>1301.0736549846822</v>
      </c>
      <c r="BB76" s="911">
        <v>134.88563339721026</v>
      </c>
      <c r="BC76" s="908">
        <v>123.53340900000003</v>
      </c>
      <c r="BD76" s="902">
        <v>646.49127573766714</v>
      </c>
      <c r="BE76" s="902">
        <v>10.374942593468026</v>
      </c>
      <c r="BF76" s="902">
        <v>24.254098834912131</v>
      </c>
      <c r="BG76" s="902">
        <v>123.624198702746</v>
      </c>
      <c r="BH76" s="902">
        <v>284.88351112572985</v>
      </c>
      <c r="BI76" s="902">
        <v>1375</v>
      </c>
      <c r="BJ76" s="909" t="s">
        <v>1062</v>
      </c>
      <c r="BK76" s="909">
        <v>5</v>
      </c>
      <c r="BL76" s="909">
        <v>1</v>
      </c>
      <c r="BM76" s="909">
        <v>8</v>
      </c>
      <c r="BN76" s="909">
        <v>104.24816680984186</v>
      </c>
      <c r="BO76" s="910">
        <v>1526.4736909015221</v>
      </c>
      <c r="BP76" s="909">
        <v>1</v>
      </c>
      <c r="BQ76" s="909">
        <v>8</v>
      </c>
      <c r="BR76" s="909">
        <v>128.33590835061563</v>
      </c>
      <c r="BS76" s="910">
        <v>1616.8074607463586</v>
      </c>
      <c r="BT76" s="871">
        <v>1526.4736909015221</v>
      </c>
      <c r="BU76" s="911">
        <v>158.2534315967325</v>
      </c>
      <c r="BV76" s="908">
        <v>98.826727200000022</v>
      </c>
      <c r="BW76" s="902">
        <v>613.1273335805721</v>
      </c>
      <c r="BX76" s="902">
        <v>7.7812069451010197</v>
      </c>
      <c r="BY76" s="902">
        <v>18.190574126184099</v>
      </c>
      <c r="BZ76" s="902">
        <v>119.65584308714935</v>
      </c>
      <c r="CA76" s="902">
        <v>263.18949747934988</v>
      </c>
      <c r="CB76" s="902">
        <v>1100</v>
      </c>
      <c r="CC76" s="909" t="s">
        <v>2874</v>
      </c>
      <c r="CD76" s="909">
        <v>4</v>
      </c>
      <c r="CE76" s="909">
        <v>1</v>
      </c>
      <c r="CF76" s="909">
        <v>6</v>
      </c>
      <c r="CG76" s="909">
        <v>104.24816680984186</v>
      </c>
      <c r="CH76" s="910">
        <v>1298.9441527924457</v>
      </c>
      <c r="CI76" s="909">
        <v>1</v>
      </c>
      <c r="CJ76" s="909">
        <v>6</v>
      </c>
      <c r="CK76" s="909">
        <v>128.33590835061563</v>
      </c>
      <c r="CL76" s="910">
        <v>1361.2016837984368</v>
      </c>
      <c r="CM76" s="871">
        <v>1298.9441527924457</v>
      </c>
      <c r="CN76" s="911">
        <v>134.66486245859346</v>
      </c>
      <c r="CO76" s="908">
        <v>148.24009080000002</v>
      </c>
      <c r="CP76" s="902">
        <v>671.19795753766709</v>
      </c>
      <c r="CQ76" s="902">
        <v>10.374942593468026</v>
      </c>
      <c r="CR76" s="902">
        <v>24.254098834912131</v>
      </c>
      <c r="CS76" s="902">
        <v>126.73005748980032</v>
      </c>
      <c r="CT76" s="902">
        <v>300.46762435964212</v>
      </c>
      <c r="CU76" s="902">
        <v>1375</v>
      </c>
      <c r="CV76" s="909" t="s">
        <v>2874</v>
      </c>
      <c r="CW76" s="909">
        <v>6</v>
      </c>
      <c r="CX76" s="909">
        <v>1</v>
      </c>
      <c r="CY76" s="909">
        <v>8</v>
      </c>
      <c r="CZ76" s="909">
        <v>104.24816680984186</v>
      </c>
      <c r="DA76" s="910">
        <v>1707.4313758782143</v>
      </c>
      <c r="DB76" s="909">
        <v>1</v>
      </c>
      <c r="DC76" s="909">
        <v>8</v>
      </c>
      <c r="DD76" s="909">
        <v>128.33590835061563</v>
      </c>
      <c r="DE76" s="910">
        <v>1726.4535334446975</v>
      </c>
      <c r="DF76" s="871">
        <v>1707.4313758782143</v>
      </c>
      <c r="DG76" s="911">
        <v>177.01377760993446</v>
      </c>
      <c r="DH76" s="908">
        <v>98.826727200000022</v>
      </c>
      <c r="DI76" s="902">
        <v>613.1273335805721</v>
      </c>
      <c r="DJ76" s="902">
        <v>7.7812069451010197</v>
      </c>
      <c r="DK76" s="902">
        <v>18.190574126184099</v>
      </c>
      <c r="DL76" s="902">
        <v>119.65584308714935</v>
      </c>
      <c r="DM76" s="902">
        <v>263.18949747934988</v>
      </c>
      <c r="DN76" s="902">
        <v>1100</v>
      </c>
      <c r="DO76" s="909" t="s">
        <v>2875</v>
      </c>
      <c r="DP76" s="909">
        <v>4</v>
      </c>
      <c r="DQ76" s="909">
        <v>1</v>
      </c>
      <c r="DR76" s="909">
        <v>6</v>
      </c>
      <c r="DS76" s="909">
        <v>104.24816680984186</v>
      </c>
      <c r="DT76" s="910">
        <v>1351.9839390366878</v>
      </c>
      <c r="DU76" s="909">
        <v>1</v>
      </c>
      <c r="DV76" s="909">
        <v>6</v>
      </c>
      <c r="DW76" s="909">
        <v>128.33590835061563</v>
      </c>
      <c r="DX76" s="910">
        <v>1416.7836317896279</v>
      </c>
      <c r="DY76" s="871">
        <v>1351.9839390366878</v>
      </c>
      <c r="DZ76" s="911">
        <v>140.16363275141865</v>
      </c>
      <c r="EA76" s="908">
        <v>123.53340900000003</v>
      </c>
      <c r="EB76" s="902">
        <v>646.49127573766714</v>
      </c>
      <c r="EC76" s="902">
        <v>10.374942593468026</v>
      </c>
      <c r="ED76" s="902">
        <v>24.254098834912131</v>
      </c>
      <c r="EE76" s="902">
        <v>123.624198702746</v>
      </c>
      <c r="EF76" s="902">
        <v>284.88351112572985</v>
      </c>
      <c r="EG76" s="902">
        <v>1375</v>
      </c>
      <c r="EH76" s="909" t="s">
        <v>2875</v>
      </c>
      <c r="EI76" s="909">
        <v>5</v>
      </c>
      <c r="EJ76" s="909">
        <v>1</v>
      </c>
      <c r="EK76" s="909">
        <v>8</v>
      </c>
      <c r="EL76" s="909">
        <v>104.24816680984186</v>
      </c>
      <c r="EM76" s="910">
        <v>1556.7038273785724</v>
      </c>
      <c r="EN76" s="909">
        <v>1</v>
      </c>
      <c r="EO76" s="909">
        <v>8</v>
      </c>
      <c r="EP76" s="909">
        <v>128.33590835061563</v>
      </c>
      <c r="EQ76" s="910">
        <v>1648.8265584136166</v>
      </c>
      <c r="ER76" s="871">
        <v>1556.7038273785724</v>
      </c>
      <c r="ES76" s="911">
        <v>161.38746716095201</v>
      </c>
      <c r="ET76" s="908">
        <v>197.65345440000004</v>
      </c>
      <c r="EU76" s="902">
        <v>685.98227970928701</v>
      </c>
      <c r="EV76" s="902">
        <v>0</v>
      </c>
      <c r="EW76" s="902">
        <v>0</v>
      </c>
      <c r="EX76" s="902">
        <v>130.70906586986521</v>
      </c>
      <c r="EY76" s="902">
        <v>307.1962491775954</v>
      </c>
      <c r="EZ76" s="902">
        <v>1100</v>
      </c>
      <c r="FA76" s="909" t="s">
        <v>2877</v>
      </c>
      <c r="FB76" s="909">
        <v>8</v>
      </c>
      <c r="FC76" s="909">
        <v>0</v>
      </c>
      <c r="FD76" s="909">
        <v>0</v>
      </c>
      <c r="FE76" s="909">
        <v>0</v>
      </c>
      <c r="FF76" s="910">
        <v>1330.5714797521155</v>
      </c>
      <c r="FG76" s="909">
        <v>0</v>
      </c>
      <c r="FH76" s="909">
        <v>0</v>
      </c>
      <c r="FI76" s="909">
        <v>0</v>
      </c>
      <c r="FJ76" s="910">
        <v>1425.3684336953204</v>
      </c>
      <c r="FK76" s="871">
        <v>1330.5714797521155</v>
      </c>
      <c r="FL76" s="911">
        <v>137.94374833355644</v>
      </c>
      <c r="FM76" s="908">
        <v>123.53340900000003</v>
      </c>
      <c r="FN76" s="902">
        <v>646.49127573766714</v>
      </c>
      <c r="FO76" s="902">
        <v>10.374942593468026</v>
      </c>
      <c r="FP76" s="902">
        <v>24.254098834912131</v>
      </c>
      <c r="FQ76" s="902">
        <v>123.624198702746</v>
      </c>
      <c r="FR76" s="902">
        <v>284.88351112572985</v>
      </c>
      <c r="FS76" s="902">
        <v>1375</v>
      </c>
      <c r="FT76" s="909" t="s">
        <v>3884</v>
      </c>
      <c r="FU76" s="909">
        <v>5</v>
      </c>
      <c r="FV76" s="909">
        <v>1</v>
      </c>
      <c r="FW76" s="909">
        <v>8</v>
      </c>
      <c r="FX76" s="909">
        <v>104.24816680984186</v>
      </c>
      <c r="FY76" s="910">
        <v>1658.174862985544</v>
      </c>
      <c r="FZ76" s="909">
        <v>1</v>
      </c>
      <c r="GA76" s="909">
        <v>8</v>
      </c>
      <c r="GB76" s="909">
        <v>128.33590835061563</v>
      </c>
      <c r="GC76" s="910">
        <v>1756.3024542622504</v>
      </c>
      <c r="GD76" s="871">
        <v>1658.174862985544</v>
      </c>
      <c r="GE76" s="911">
        <v>171.90722894144736</v>
      </c>
      <c r="GF76" s="908">
        <v>197.65345440000004</v>
      </c>
      <c r="GG76" s="902">
        <v>685.98227970928701</v>
      </c>
      <c r="GH76" s="902">
        <v>0</v>
      </c>
      <c r="GI76" s="902">
        <v>0</v>
      </c>
      <c r="GJ76" s="902">
        <v>130.70906586986521</v>
      </c>
      <c r="GK76" s="902">
        <v>307.1962491775954</v>
      </c>
      <c r="GL76" s="902">
        <v>1100</v>
      </c>
      <c r="GM76" s="909" t="s">
        <v>2877</v>
      </c>
      <c r="GN76" s="909">
        <v>8</v>
      </c>
      <c r="GO76" s="909">
        <v>0</v>
      </c>
      <c r="GP76" s="909">
        <v>0</v>
      </c>
      <c r="GQ76" s="909">
        <v>0</v>
      </c>
      <c r="GR76" s="910">
        <v>1330.5714797521155</v>
      </c>
      <c r="GS76" s="909">
        <v>0</v>
      </c>
      <c r="GT76" s="909">
        <v>0</v>
      </c>
      <c r="GU76" s="909">
        <v>0</v>
      </c>
      <c r="GV76" s="910">
        <v>1425.3684336953204</v>
      </c>
      <c r="GW76" s="871">
        <v>1330.5714797521155</v>
      </c>
      <c r="GX76" s="911">
        <v>137.94374833355644</v>
      </c>
      <c r="GY76" s="908">
        <v>98.826727200000022</v>
      </c>
      <c r="GZ76" s="902">
        <v>613.1273335805721</v>
      </c>
      <c r="HA76" s="902">
        <v>7.7812069451010197</v>
      </c>
      <c r="HB76" s="902">
        <v>18.190574126184099</v>
      </c>
      <c r="HC76" s="902">
        <v>119.65584308714935</v>
      </c>
      <c r="HD76" s="902">
        <v>263.18949747934988</v>
      </c>
      <c r="HE76" s="902">
        <v>1375</v>
      </c>
      <c r="HF76" s="909" t="s">
        <v>2877</v>
      </c>
      <c r="HG76" s="909">
        <v>4</v>
      </c>
      <c r="HH76" s="909">
        <v>1</v>
      </c>
      <c r="HI76" s="909">
        <v>6</v>
      </c>
      <c r="HJ76" s="909">
        <v>104.24816680984186</v>
      </c>
      <c r="HK76" s="910">
        <v>1778.6525335596493</v>
      </c>
      <c r="HL76" s="909">
        <v>1</v>
      </c>
      <c r="HM76" s="909">
        <v>6</v>
      </c>
      <c r="HN76" s="909">
        <v>128.33590835061563</v>
      </c>
      <c r="HO76" s="910">
        <v>1863.9021688238415</v>
      </c>
      <c r="HP76" s="871">
        <v>1778.6525335596493</v>
      </c>
      <c r="HQ76" s="911">
        <v>184.39745717975563</v>
      </c>
      <c r="HR76" s="908">
        <v>98.826727200000022</v>
      </c>
      <c r="HS76" s="902">
        <v>613.1273335805721</v>
      </c>
      <c r="HT76" s="902">
        <v>7.7812069451010197</v>
      </c>
      <c r="HU76" s="902">
        <v>18.190574126184099</v>
      </c>
      <c r="HV76" s="902">
        <v>119.65584308714935</v>
      </c>
      <c r="HW76" s="902">
        <v>263.18949747934988</v>
      </c>
      <c r="HX76" s="902">
        <v>1100</v>
      </c>
      <c r="HY76" s="909" t="s">
        <v>1063</v>
      </c>
      <c r="HZ76" s="909">
        <v>4</v>
      </c>
      <c r="IA76" s="909">
        <v>1</v>
      </c>
      <c r="IB76" s="909">
        <v>6</v>
      </c>
      <c r="IC76" s="909">
        <v>104.24816680984186</v>
      </c>
      <c r="ID76" s="910">
        <v>1568.6240908645991</v>
      </c>
      <c r="IE76" s="909">
        <v>1</v>
      </c>
      <c r="IF76" s="909">
        <v>6</v>
      </c>
      <c r="IG76" s="909">
        <v>128.33590835061563</v>
      </c>
      <c r="IH76" s="910">
        <v>1643.807202289215</v>
      </c>
      <c r="II76" s="871">
        <v>1568.6240908645991</v>
      </c>
      <c r="IJ76" s="911">
        <v>162.62327136343839</v>
      </c>
      <c r="IK76" s="908">
        <v>98.826727200000022</v>
      </c>
      <c r="IL76" s="902">
        <v>613.1273335805721</v>
      </c>
      <c r="IM76" s="902">
        <v>7.7812069451010197</v>
      </c>
      <c r="IN76" s="902">
        <v>18.190574126184099</v>
      </c>
      <c r="IO76" s="902">
        <v>119.65584308714935</v>
      </c>
      <c r="IP76" s="902">
        <v>263.18949747934988</v>
      </c>
      <c r="IQ76" s="902">
        <v>1375</v>
      </c>
      <c r="IR76" s="909" t="s">
        <v>1063</v>
      </c>
      <c r="IS76" s="909">
        <v>4</v>
      </c>
      <c r="IT76" s="909">
        <v>1</v>
      </c>
      <c r="IU76" s="909">
        <v>6</v>
      </c>
      <c r="IV76" s="909">
        <v>104.24816680984186</v>
      </c>
      <c r="IW76" s="910">
        <v>1568.6240908645991</v>
      </c>
      <c r="IX76" s="909">
        <v>1</v>
      </c>
      <c r="IY76" s="909">
        <v>6</v>
      </c>
      <c r="IZ76" s="909">
        <v>128.33590835061563</v>
      </c>
      <c r="JA76" s="910">
        <v>1643.807202289215</v>
      </c>
      <c r="JB76" s="871">
        <v>1568.6240908645991</v>
      </c>
      <c r="JC76" s="911">
        <v>162.62327136343839</v>
      </c>
      <c r="JD76" s="908">
        <v>148.24009080000002</v>
      </c>
      <c r="JE76" s="902">
        <v>636.56891610928687</v>
      </c>
      <c r="JF76" s="902">
        <v>0</v>
      </c>
      <c r="JG76" s="902">
        <v>0</v>
      </c>
      <c r="JH76" s="902">
        <v>124.70939335286738</v>
      </c>
      <c r="JI76" s="902">
        <v>276.02802270977099</v>
      </c>
      <c r="JJ76" s="902">
        <v>1100</v>
      </c>
      <c r="JK76" s="909" t="s">
        <v>1064</v>
      </c>
      <c r="JL76" s="909">
        <v>6</v>
      </c>
      <c r="JM76" s="909">
        <v>0</v>
      </c>
      <c r="JN76" s="909">
        <v>0</v>
      </c>
      <c r="JO76" s="909">
        <v>0</v>
      </c>
      <c r="JP76" s="910">
        <v>1301.0736549846822</v>
      </c>
      <c r="JQ76" s="909">
        <v>0</v>
      </c>
      <c r="JR76" s="909">
        <v>0</v>
      </c>
      <c r="JS76" s="909">
        <v>0</v>
      </c>
      <c r="JT76" s="910">
        <v>1360.8246392167332</v>
      </c>
      <c r="JU76" s="871">
        <v>1301.0736549846822</v>
      </c>
      <c r="JV76" s="911">
        <v>134.88563339721026</v>
      </c>
      <c r="JW76" s="908">
        <v>98.826727200000022</v>
      </c>
      <c r="JX76" s="902">
        <v>613.1273335805721</v>
      </c>
      <c r="JY76" s="902">
        <v>7.7812069451010197</v>
      </c>
      <c r="JZ76" s="902">
        <v>18.190574126184099</v>
      </c>
      <c r="KA76" s="902">
        <v>119.65584308714935</v>
      </c>
      <c r="KB76" s="902">
        <v>263.18949747934988</v>
      </c>
      <c r="KC76" s="902">
        <v>1375</v>
      </c>
      <c r="KD76" s="909" t="s">
        <v>1064</v>
      </c>
      <c r="KE76" s="909">
        <v>4</v>
      </c>
      <c r="KF76" s="909">
        <v>1</v>
      </c>
      <c r="KG76" s="909">
        <v>6</v>
      </c>
      <c r="KH76" s="909">
        <v>104.24816680984186</v>
      </c>
      <c r="KI76" s="910">
        <v>2137.6743036610828</v>
      </c>
      <c r="KJ76" s="909">
        <v>1</v>
      </c>
      <c r="KK76" s="909">
        <v>6</v>
      </c>
      <c r="KL76" s="909">
        <v>128.33590835061563</v>
      </c>
      <c r="KM76" s="910">
        <v>2240.131614047632</v>
      </c>
      <c r="KN76" s="871">
        <v>2137.6743036610828</v>
      </c>
      <c r="KO76" s="912">
        <v>221.61816230892802</v>
      </c>
    </row>
    <row r="77" spans="1:301" ht="15" customHeight="1">
      <c r="A77" s="1396" t="s">
        <v>1563</v>
      </c>
      <c r="B77" s="888" t="s">
        <v>1073</v>
      </c>
      <c r="C77" s="888">
        <v>196</v>
      </c>
      <c r="D77" s="888">
        <v>424</v>
      </c>
      <c r="E77" s="888">
        <v>190</v>
      </c>
      <c r="F77" s="888">
        <v>164.85552522190969</v>
      </c>
      <c r="G77" s="888">
        <v>95.368361296691802</v>
      </c>
      <c r="H77" s="888">
        <v>79.374293306458014</v>
      </c>
      <c r="I77" s="888">
        <v>60</v>
      </c>
      <c r="J77" s="888">
        <v>30</v>
      </c>
      <c r="K77" s="888">
        <v>40</v>
      </c>
      <c r="L77" s="888">
        <v>8</v>
      </c>
      <c r="M77" s="888">
        <v>202.012031611613</v>
      </c>
      <c r="N77" s="888">
        <v>4</v>
      </c>
      <c r="O77" s="884">
        <v>3.5432660088627621</v>
      </c>
      <c r="P77" s="888">
        <v>4</v>
      </c>
      <c r="Q77" s="884">
        <v>2.2956971450102688</v>
      </c>
      <c r="R77" s="888">
        <v>13.000000000000002</v>
      </c>
      <c r="S77" s="888">
        <v>294.4277626109548</v>
      </c>
      <c r="T77" s="906">
        <v>6.9480095684676204</v>
      </c>
      <c r="U77" s="906">
        <v>44.164164391643219</v>
      </c>
      <c r="V77" s="906">
        <v>47.5</v>
      </c>
      <c r="W77" s="1141">
        <v>0.42840491690190968</v>
      </c>
      <c r="X77" s="902">
        <v>0</v>
      </c>
      <c r="Y77" s="902">
        <v>0</v>
      </c>
      <c r="Z77" s="902">
        <v>0</v>
      </c>
      <c r="AA77" s="902">
        <v>0</v>
      </c>
      <c r="AB77" s="970">
        <v>1.6505256631350707</v>
      </c>
      <c r="AC77" s="1045">
        <v>4000</v>
      </c>
      <c r="AD77" s="890">
        <v>0.82166956468900199</v>
      </c>
      <c r="AE77" s="890">
        <v>0.57735026918962573</v>
      </c>
      <c r="AF77" s="890">
        <v>-0.30651603949488604</v>
      </c>
      <c r="AG77" s="890">
        <v>1.1499181940205816</v>
      </c>
      <c r="AH77" s="888"/>
      <c r="AI77" s="907">
        <v>0.72968152236376915</v>
      </c>
      <c r="AJ77" s="908">
        <v>2.6522277664844736</v>
      </c>
      <c r="AK77" s="902">
        <v>15.867605405727035</v>
      </c>
      <c r="AL77" s="902">
        <v>0</v>
      </c>
      <c r="AM77" s="902">
        <v>0</v>
      </c>
      <c r="AN77" s="902">
        <v>28.134784652311975</v>
      </c>
      <c r="AO77" s="902">
        <v>0.31970349581608415</v>
      </c>
      <c r="AP77" s="1222">
        <v>3600</v>
      </c>
      <c r="AQ77" s="909" t="s">
        <v>1062</v>
      </c>
      <c r="AR77" s="909">
        <v>3</v>
      </c>
      <c r="AS77" s="909">
        <v>0</v>
      </c>
      <c r="AT77" s="909">
        <v>0</v>
      </c>
      <c r="AU77" s="909">
        <v>0</v>
      </c>
      <c r="AV77" s="910">
        <v>6597.892884357102</v>
      </c>
      <c r="AW77" s="909">
        <v>0</v>
      </c>
      <c r="AX77" s="909">
        <v>0</v>
      </c>
      <c r="AY77" s="909">
        <v>0</v>
      </c>
      <c r="AZ77" s="910">
        <v>6664.3387133651431</v>
      </c>
      <c r="BA77" s="871">
        <v>4000</v>
      </c>
      <c r="BB77" s="911">
        <v>88.80235234147149</v>
      </c>
      <c r="BC77" s="908">
        <v>2.6522277664844736</v>
      </c>
      <c r="BD77" s="902">
        <v>15.867605405727035</v>
      </c>
      <c r="BE77" s="902">
        <v>0</v>
      </c>
      <c r="BF77" s="902">
        <v>0</v>
      </c>
      <c r="BG77" s="902">
        <v>28.134784652311975</v>
      </c>
      <c r="BH77" s="902">
        <v>0.31970349581608415</v>
      </c>
      <c r="BI77" s="902">
        <v>3600</v>
      </c>
      <c r="BJ77" s="909" t="s">
        <v>1062</v>
      </c>
      <c r="BK77" s="909">
        <v>3</v>
      </c>
      <c r="BL77" s="909">
        <v>0</v>
      </c>
      <c r="BM77" s="909">
        <v>0</v>
      </c>
      <c r="BN77" s="909">
        <v>0</v>
      </c>
      <c r="BO77" s="910">
        <v>6597.892884357102</v>
      </c>
      <c r="BP77" s="909">
        <v>0</v>
      </c>
      <c r="BQ77" s="909">
        <v>0</v>
      </c>
      <c r="BR77" s="909">
        <v>0</v>
      </c>
      <c r="BS77" s="910">
        <v>6664.3387133651431</v>
      </c>
      <c r="BT77" s="871">
        <v>4000</v>
      </c>
      <c r="BU77" s="911">
        <v>88.80235234147149</v>
      </c>
      <c r="BV77" s="908">
        <v>2.6522277664844736</v>
      </c>
      <c r="BW77" s="902">
        <v>15.867605405727035</v>
      </c>
      <c r="BX77" s="902">
        <v>0</v>
      </c>
      <c r="BY77" s="902">
        <v>0</v>
      </c>
      <c r="BZ77" s="902">
        <v>28.134784652311975</v>
      </c>
      <c r="CA77" s="902">
        <v>0.31970349581608415</v>
      </c>
      <c r="CB77" s="902">
        <v>3600</v>
      </c>
      <c r="CC77" s="909" t="s">
        <v>2874</v>
      </c>
      <c r="CD77" s="909">
        <v>3</v>
      </c>
      <c r="CE77" s="909">
        <v>0</v>
      </c>
      <c r="CF77" s="909">
        <v>0</v>
      </c>
      <c r="CG77" s="909">
        <v>0</v>
      </c>
      <c r="CH77" s="910">
        <v>6464.5883776859346</v>
      </c>
      <c r="CI77" s="909">
        <v>0</v>
      </c>
      <c r="CJ77" s="909">
        <v>0</v>
      </c>
      <c r="CK77" s="909">
        <v>0</v>
      </c>
      <c r="CL77" s="910">
        <v>6529.6917283283037</v>
      </c>
      <c r="CM77" s="871">
        <v>4000</v>
      </c>
      <c r="CN77" s="911">
        <v>88.80235234147149</v>
      </c>
      <c r="CO77" s="908">
        <v>2.6522277664844736</v>
      </c>
      <c r="CP77" s="902">
        <v>15.867605405727035</v>
      </c>
      <c r="CQ77" s="902">
        <v>0</v>
      </c>
      <c r="CR77" s="902">
        <v>0</v>
      </c>
      <c r="CS77" s="902">
        <v>28.134784652311975</v>
      </c>
      <c r="CT77" s="902">
        <v>0.31970349581608415</v>
      </c>
      <c r="CU77" s="902">
        <v>3600</v>
      </c>
      <c r="CV77" s="909" t="s">
        <v>2874</v>
      </c>
      <c r="CW77" s="909">
        <v>3</v>
      </c>
      <c r="CX77" s="909">
        <v>0</v>
      </c>
      <c r="CY77" s="909">
        <v>0</v>
      </c>
      <c r="CZ77" s="909">
        <v>0</v>
      </c>
      <c r="DA77" s="910">
        <v>6464.5883776859346</v>
      </c>
      <c r="DB77" s="909">
        <v>0</v>
      </c>
      <c r="DC77" s="909">
        <v>0</v>
      </c>
      <c r="DD77" s="909">
        <v>0</v>
      </c>
      <c r="DE77" s="910">
        <v>6529.6917283283037</v>
      </c>
      <c r="DF77" s="871">
        <v>4000</v>
      </c>
      <c r="DG77" s="911">
        <v>88.80235234147149</v>
      </c>
      <c r="DH77" s="908">
        <v>1.7681518443229824</v>
      </c>
      <c r="DI77" s="902">
        <v>14.983529483565544</v>
      </c>
      <c r="DJ77" s="902">
        <v>0</v>
      </c>
      <c r="DK77" s="902">
        <v>0</v>
      </c>
      <c r="DL77" s="902">
        <v>27.453158530755889</v>
      </c>
      <c r="DM77" s="902">
        <v>0.29559120911505166</v>
      </c>
      <c r="DN77" s="902">
        <v>3600</v>
      </c>
      <c r="DO77" s="909" t="s">
        <v>2875</v>
      </c>
      <c r="DP77" s="909">
        <v>2</v>
      </c>
      <c r="DQ77" s="909">
        <v>0</v>
      </c>
      <c r="DR77" s="909">
        <v>0</v>
      </c>
      <c r="DS77" s="909">
        <v>0</v>
      </c>
      <c r="DT77" s="910">
        <v>5167.6499786553759</v>
      </c>
      <c r="DU77" s="909">
        <v>0</v>
      </c>
      <c r="DV77" s="909">
        <v>0</v>
      </c>
      <c r="DW77" s="909">
        <v>0</v>
      </c>
      <c r="DX77" s="910">
        <v>5088.7298171837183</v>
      </c>
      <c r="DY77" s="871">
        <v>4000</v>
      </c>
      <c r="DZ77" s="911">
        <v>88.80235234147149</v>
      </c>
      <c r="EA77" s="908">
        <v>1.7681518443229824</v>
      </c>
      <c r="EB77" s="902">
        <v>14.983529483565544</v>
      </c>
      <c r="EC77" s="902">
        <v>0</v>
      </c>
      <c r="ED77" s="902">
        <v>0</v>
      </c>
      <c r="EE77" s="902">
        <v>27.453158530755889</v>
      </c>
      <c r="EF77" s="902">
        <v>0.29559120911505166</v>
      </c>
      <c r="EG77" s="902">
        <v>3600</v>
      </c>
      <c r="EH77" s="909" t="s">
        <v>2875</v>
      </c>
      <c r="EI77" s="909">
        <v>2</v>
      </c>
      <c r="EJ77" s="909">
        <v>0</v>
      </c>
      <c r="EK77" s="909">
        <v>0</v>
      </c>
      <c r="EL77" s="909">
        <v>0</v>
      </c>
      <c r="EM77" s="910">
        <v>5167.6499786553759</v>
      </c>
      <c r="EN77" s="909">
        <v>0</v>
      </c>
      <c r="EO77" s="909">
        <v>0</v>
      </c>
      <c r="EP77" s="909">
        <v>0</v>
      </c>
      <c r="EQ77" s="910">
        <v>5088.7298171837183</v>
      </c>
      <c r="ER77" s="871">
        <v>4000</v>
      </c>
      <c r="ES77" s="911">
        <v>88.80235234147149</v>
      </c>
      <c r="ET77" s="908">
        <v>1.7681518443229824</v>
      </c>
      <c r="EU77" s="902">
        <v>14.983529483565544</v>
      </c>
      <c r="EV77" s="902">
        <v>0</v>
      </c>
      <c r="EW77" s="902">
        <v>0</v>
      </c>
      <c r="EX77" s="902">
        <v>27.453158530755889</v>
      </c>
      <c r="EY77" s="902">
        <v>0.29559120911505166</v>
      </c>
      <c r="EZ77" s="902">
        <v>3600</v>
      </c>
      <c r="FA77" s="909" t="s">
        <v>3884</v>
      </c>
      <c r="FB77" s="909">
        <v>2</v>
      </c>
      <c r="FC77" s="909">
        <v>0</v>
      </c>
      <c r="FD77" s="909">
        <v>0</v>
      </c>
      <c r="FE77" s="909">
        <v>0</v>
      </c>
      <c r="FF77" s="910">
        <v>5504.4942683437475</v>
      </c>
      <c r="FG77" s="909">
        <v>0</v>
      </c>
      <c r="FH77" s="909">
        <v>0</v>
      </c>
      <c r="FI77" s="909">
        <v>0</v>
      </c>
      <c r="FJ77" s="910">
        <v>5420.4298331997625</v>
      </c>
      <c r="FK77" s="871">
        <v>4000</v>
      </c>
      <c r="FL77" s="911">
        <v>88.80235234147149</v>
      </c>
      <c r="FM77" s="908">
        <v>1.7681518443229824</v>
      </c>
      <c r="FN77" s="902">
        <v>14.983529483565544</v>
      </c>
      <c r="FO77" s="902">
        <v>0</v>
      </c>
      <c r="FP77" s="902">
        <v>0</v>
      </c>
      <c r="FQ77" s="902">
        <v>27.453158530755889</v>
      </c>
      <c r="FR77" s="902">
        <v>0.29559120911505166</v>
      </c>
      <c r="FS77" s="902">
        <v>3600</v>
      </c>
      <c r="FT77" s="909" t="s">
        <v>3884</v>
      </c>
      <c r="FU77" s="909">
        <v>2</v>
      </c>
      <c r="FV77" s="909">
        <v>0</v>
      </c>
      <c r="FW77" s="909">
        <v>0</v>
      </c>
      <c r="FX77" s="909">
        <v>0</v>
      </c>
      <c r="FY77" s="910">
        <v>5504.4942683437475</v>
      </c>
      <c r="FZ77" s="909">
        <v>0</v>
      </c>
      <c r="GA77" s="909">
        <v>0</v>
      </c>
      <c r="GB77" s="909">
        <v>0</v>
      </c>
      <c r="GC77" s="910">
        <v>5420.4298331997625</v>
      </c>
      <c r="GD77" s="871">
        <v>4000</v>
      </c>
      <c r="GE77" s="911">
        <v>88.80235234147149</v>
      </c>
      <c r="GF77" s="908">
        <v>1.7681518443229824</v>
      </c>
      <c r="GG77" s="902">
        <v>14.983529483565544</v>
      </c>
      <c r="GH77" s="902">
        <v>0</v>
      </c>
      <c r="GI77" s="902">
        <v>0</v>
      </c>
      <c r="GJ77" s="902">
        <v>27.453158530755889</v>
      </c>
      <c r="GK77" s="902">
        <v>0.29559120911505166</v>
      </c>
      <c r="GL77" s="902">
        <v>3600</v>
      </c>
      <c r="GM77" s="909" t="s">
        <v>2877</v>
      </c>
      <c r="GN77" s="909">
        <v>2</v>
      </c>
      <c r="GO77" s="909">
        <v>0</v>
      </c>
      <c r="GP77" s="909">
        <v>0</v>
      </c>
      <c r="GQ77" s="909">
        <v>0</v>
      </c>
      <c r="GR77" s="910">
        <v>6798.4932821272432</v>
      </c>
      <c r="GS77" s="909">
        <v>0</v>
      </c>
      <c r="GT77" s="909">
        <v>0</v>
      </c>
      <c r="GU77" s="909">
        <v>0</v>
      </c>
      <c r="GV77" s="910">
        <v>6694.666941371659</v>
      </c>
      <c r="GW77" s="871">
        <v>4000</v>
      </c>
      <c r="GX77" s="911">
        <v>88.80235234147149</v>
      </c>
      <c r="GY77" s="908">
        <v>1.7681518443229824</v>
      </c>
      <c r="GZ77" s="902">
        <v>14.983529483565544</v>
      </c>
      <c r="HA77" s="902">
        <v>0</v>
      </c>
      <c r="HB77" s="902">
        <v>0</v>
      </c>
      <c r="HC77" s="902">
        <v>27.453158530755889</v>
      </c>
      <c r="HD77" s="902">
        <v>0.29559120911505166</v>
      </c>
      <c r="HE77" s="902">
        <v>3600</v>
      </c>
      <c r="HF77" s="909" t="s">
        <v>2877</v>
      </c>
      <c r="HG77" s="909">
        <v>2</v>
      </c>
      <c r="HH77" s="909">
        <v>0</v>
      </c>
      <c r="HI77" s="909">
        <v>0</v>
      </c>
      <c r="HJ77" s="909">
        <v>0</v>
      </c>
      <c r="HK77" s="910">
        <v>6798.4932821272432</v>
      </c>
      <c r="HL77" s="909">
        <v>0</v>
      </c>
      <c r="HM77" s="909">
        <v>0</v>
      </c>
      <c r="HN77" s="909">
        <v>0</v>
      </c>
      <c r="HO77" s="910">
        <v>6694.666941371659</v>
      </c>
      <c r="HP77" s="871">
        <v>4000</v>
      </c>
      <c r="HQ77" s="911">
        <v>88.80235234147149</v>
      </c>
      <c r="HR77" s="908">
        <v>1.7681518443229824</v>
      </c>
      <c r="HS77" s="902">
        <v>14.983529483565544</v>
      </c>
      <c r="HT77" s="902">
        <v>0</v>
      </c>
      <c r="HU77" s="902">
        <v>0</v>
      </c>
      <c r="HV77" s="902">
        <v>27.453158530755889</v>
      </c>
      <c r="HW77" s="902">
        <v>0.29559120911505166</v>
      </c>
      <c r="HX77" s="902">
        <v>3600</v>
      </c>
      <c r="HY77" s="909" t="s">
        <v>1063</v>
      </c>
      <c r="HZ77" s="909">
        <v>2</v>
      </c>
      <c r="IA77" s="909">
        <v>0</v>
      </c>
      <c r="IB77" s="909">
        <v>0</v>
      </c>
      <c r="IC77" s="909">
        <v>0</v>
      </c>
      <c r="ID77" s="910">
        <v>5995.707504817321</v>
      </c>
      <c r="IE77" s="909">
        <v>0</v>
      </c>
      <c r="IF77" s="909">
        <v>0</v>
      </c>
      <c r="IG77" s="909">
        <v>0</v>
      </c>
      <c r="IH77" s="910">
        <v>5904.1412790916129</v>
      </c>
      <c r="II77" s="871">
        <v>4000</v>
      </c>
      <c r="IJ77" s="911">
        <v>88.80235234147149</v>
      </c>
      <c r="IK77" s="908">
        <v>1.7681518443229824</v>
      </c>
      <c r="IL77" s="902">
        <v>14.983529483565544</v>
      </c>
      <c r="IM77" s="902">
        <v>0</v>
      </c>
      <c r="IN77" s="902">
        <v>0</v>
      </c>
      <c r="IO77" s="902">
        <v>27.453158530755889</v>
      </c>
      <c r="IP77" s="902">
        <v>0.29559120911505166</v>
      </c>
      <c r="IQ77" s="902">
        <v>3600</v>
      </c>
      <c r="IR77" s="909" t="s">
        <v>1063</v>
      </c>
      <c r="IS77" s="909">
        <v>2</v>
      </c>
      <c r="IT77" s="909">
        <v>0</v>
      </c>
      <c r="IU77" s="909">
        <v>0</v>
      </c>
      <c r="IV77" s="909">
        <v>0</v>
      </c>
      <c r="IW77" s="910">
        <v>5995.707504817321</v>
      </c>
      <c r="IX77" s="909">
        <v>0</v>
      </c>
      <c r="IY77" s="909">
        <v>0</v>
      </c>
      <c r="IZ77" s="909">
        <v>0</v>
      </c>
      <c r="JA77" s="910">
        <v>5904.1412790916129</v>
      </c>
      <c r="JB77" s="871">
        <v>4000</v>
      </c>
      <c r="JC77" s="911">
        <v>88.80235234147149</v>
      </c>
      <c r="JD77" s="908">
        <v>1.7681518443229824</v>
      </c>
      <c r="JE77" s="902">
        <v>14.983529483565544</v>
      </c>
      <c r="JF77" s="902">
        <v>0</v>
      </c>
      <c r="JG77" s="902">
        <v>0</v>
      </c>
      <c r="JH77" s="902">
        <v>27.453158530755889</v>
      </c>
      <c r="JI77" s="902">
        <v>0.29559120911505166</v>
      </c>
      <c r="JJ77" s="902">
        <v>3600</v>
      </c>
      <c r="JK77" s="909" t="s">
        <v>1064</v>
      </c>
      <c r="JL77" s="909">
        <v>2</v>
      </c>
      <c r="JM77" s="909">
        <v>0</v>
      </c>
      <c r="JN77" s="909">
        <v>0</v>
      </c>
      <c r="JO77" s="909">
        <v>0</v>
      </c>
      <c r="JP77" s="910">
        <v>8170.772041535748</v>
      </c>
      <c r="JQ77" s="909">
        <v>0</v>
      </c>
      <c r="JR77" s="909">
        <v>0</v>
      </c>
      <c r="JS77" s="909">
        <v>0</v>
      </c>
      <c r="JT77" s="910">
        <v>8045.9883097563979</v>
      </c>
      <c r="JU77" s="871">
        <v>4000</v>
      </c>
      <c r="JV77" s="911">
        <v>88.80235234147149</v>
      </c>
      <c r="JW77" s="908">
        <v>1.7681518443229824</v>
      </c>
      <c r="JX77" s="902">
        <v>14.983529483565544</v>
      </c>
      <c r="JY77" s="902">
        <v>0</v>
      </c>
      <c r="JZ77" s="902">
        <v>0</v>
      </c>
      <c r="KA77" s="902">
        <v>27.453158530755889</v>
      </c>
      <c r="KB77" s="902">
        <v>0.29559120911505166</v>
      </c>
      <c r="KC77" s="902">
        <v>3600</v>
      </c>
      <c r="KD77" s="909" t="s">
        <v>1064</v>
      </c>
      <c r="KE77" s="909">
        <v>2</v>
      </c>
      <c r="KF77" s="909">
        <v>0</v>
      </c>
      <c r="KG77" s="909">
        <v>0</v>
      </c>
      <c r="KH77" s="909">
        <v>0</v>
      </c>
      <c r="KI77" s="910">
        <v>8170.772041535748</v>
      </c>
      <c r="KJ77" s="909">
        <v>0</v>
      </c>
      <c r="KK77" s="909">
        <v>0</v>
      </c>
      <c r="KL77" s="909">
        <v>0</v>
      </c>
      <c r="KM77" s="910">
        <v>8045.9883097563979</v>
      </c>
      <c r="KN77" s="871">
        <v>4000</v>
      </c>
      <c r="KO77" s="912">
        <v>88.80235234147149</v>
      </c>
    </row>
    <row r="78" spans="1:301" ht="15" customHeight="1">
      <c r="A78" s="1396" t="s">
        <v>2333</v>
      </c>
      <c r="B78" s="888" t="s">
        <v>1073</v>
      </c>
      <c r="C78" s="888">
        <v>161.30443921969373</v>
      </c>
      <c r="D78" s="888">
        <v>503.17683610488763</v>
      </c>
      <c r="E78" s="888">
        <v>160</v>
      </c>
      <c r="F78" s="888">
        <v>132.47282403195285</v>
      </c>
      <c r="G78" s="888">
        <v>71.043031894208724</v>
      </c>
      <c r="H78" s="888">
        <v>57.695380530161323</v>
      </c>
      <c r="I78" s="888">
        <v>31.249845382303715</v>
      </c>
      <c r="J78" s="888">
        <v>43.09831179967739</v>
      </c>
      <c r="K78" s="888">
        <v>67.042955691664034</v>
      </c>
      <c r="L78" s="888">
        <v>8</v>
      </c>
      <c r="M78" s="888">
        <v>212.18641203683597</v>
      </c>
      <c r="N78" s="888">
        <v>4</v>
      </c>
      <c r="O78" s="884">
        <v>5.6126355649845285</v>
      </c>
      <c r="P78" s="888">
        <v>4</v>
      </c>
      <c r="Q78" s="884">
        <v>3.752846996774156</v>
      </c>
      <c r="R78" s="888">
        <v>13.000000000000002</v>
      </c>
      <c r="S78" s="888">
        <v>317.82483006842023</v>
      </c>
      <c r="T78" s="906">
        <v>8.0961498405962757</v>
      </c>
      <c r="U78" s="906">
        <v>47.673724510263035</v>
      </c>
      <c r="V78" s="906">
        <v>35</v>
      </c>
      <c r="W78" s="1141">
        <v>0.36782988458478272</v>
      </c>
      <c r="X78" s="902">
        <v>0</v>
      </c>
      <c r="Y78" s="902">
        <v>0</v>
      </c>
      <c r="Z78" s="902">
        <v>0</v>
      </c>
      <c r="AA78" s="902">
        <v>0</v>
      </c>
      <c r="AB78" s="970">
        <v>1.6329478065103515</v>
      </c>
      <c r="AC78" s="1045">
        <v>4000</v>
      </c>
      <c r="AD78" s="890">
        <v>2.0457068929797755</v>
      </c>
      <c r="AE78" s="890">
        <v>0.93572818413205239</v>
      </c>
      <c r="AF78" s="890">
        <v>-0.21728955951908763</v>
      </c>
      <c r="AG78" s="890">
        <v>0.88504448284192083</v>
      </c>
      <c r="AH78" s="888"/>
      <c r="AI78" s="907">
        <v>0.90552319961636962</v>
      </c>
      <c r="AJ78" s="908">
        <v>1.7778336189629806</v>
      </c>
      <c r="AK78" s="902">
        <v>19.607295905902721</v>
      </c>
      <c r="AL78" s="902">
        <v>0</v>
      </c>
      <c r="AM78" s="902">
        <v>0</v>
      </c>
      <c r="AN78" s="902">
        <v>22.526167368458136</v>
      </c>
      <c r="AO78" s="902">
        <v>0.52602267277634374</v>
      </c>
      <c r="AP78" s="1222">
        <v>3600</v>
      </c>
      <c r="AQ78" s="909" t="s">
        <v>1062</v>
      </c>
      <c r="AR78" s="909">
        <v>3</v>
      </c>
      <c r="AS78" s="909">
        <v>0</v>
      </c>
      <c r="AT78" s="909">
        <v>0</v>
      </c>
      <c r="AU78" s="909">
        <v>0</v>
      </c>
      <c r="AV78" s="910">
        <v>11617.877974681229</v>
      </c>
      <c r="AW78" s="909">
        <v>0</v>
      </c>
      <c r="AX78" s="909">
        <v>0</v>
      </c>
      <c r="AY78" s="909">
        <v>0</v>
      </c>
      <c r="AZ78" s="910">
        <v>21457.558003368536</v>
      </c>
      <c r="BA78" s="871">
        <v>4000</v>
      </c>
      <c r="BB78" s="911">
        <v>105.38511011757802</v>
      </c>
      <c r="BC78" s="908">
        <v>1.7778336189629806</v>
      </c>
      <c r="BD78" s="902">
        <v>19.607295905902721</v>
      </c>
      <c r="BE78" s="902">
        <v>0</v>
      </c>
      <c r="BF78" s="902">
        <v>0</v>
      </c>
      <c r="BG78" s="902">
        <v>22.526167368458136</v>
      </c>
      <c r="BH78" s="902">
        <v>0.52602267277634374</v>
      </c>
      <c r="BI78" s="902">
        <v>3600</v>
      </c>
      <c r="BJ78" s="909" t="s">
        <v>1062</v>
      </c>
      <c r="BK78" s="909">
        <v>3</v>
      </c>
      <c r="BL78" s="909">
        <v>0</v>
      </c>
      <c r="BM78" s="909">
        <v>0</v>
      </c>
      <c r="BN78" s="909">
        <v>0</v>
      </c>
      <c r="BO78" s="910">
        <v>11617.877974681229</v>
      </c>
      <c r="BP78" s="909">
        <v>0</v>
      </c>
      <c r="BQ78" s="909">
        <v>0</v>
      </c>
      <c r="BR78" s="909">
        <v>0</v>
      </c>
      <c r="BS78" s="910">
        <v>21457.558003368536</v>
      </c>
      <c r="BT78" s="871">
        <v>4000</v>
      </c>
      <c r="BU78" s="911">
        <v>105.38511011757802</v>
      </c>
      <c r="BV78" s="908">
        <v>1.7778336189629806</v>
      </c>
      <c r="BW78" s="902">
        <v>19.607295905902721</v>
      </c>
      <c r="BX78" s="902">
        <v>0</v>
      </c>
      <c r="BY78" s="902">
        <v>0</v>
      </c>
      <c r="BZ78" s="902">
        <v>22.526167368458136</v>
      </c>
      <c r="CA78" s="902">
        <v>0.52602267277634374</v>
      </c>
      <c r="CB78" s="902">
        <v>3600</v>
      </c>
      <c r="CC78" s="909" t="s">
        <v>2874</v>
      </c>
      <c r="CD78" s="909">
        <v>3</v>
      </c>
      <c r="CE78" s="909">
        <v>0</v>
      </c>
      <c r="CF78" s="909">
        <v>0</v>
      </c>
      <c r="CG78" s="909">
        <v>0</v>
      </c>
      <c r="CH78" s="910">
        <v>11383.149172755309</v>
      </c>
      <c r="CI78" s="909">
        <v>0</v>
      </c>
      <c r="CJ78" s="909">
        <v>0</v>
      </c>
      <c r="CK78" s="909">
        <v>0</v>
      </c>
      <c r="CL78" s="910">
        <v>21024.027293770534</v>
      </c>
      <c r="CM78" s="871">
        <v>4000</v>
      </c>
      <c r="CN78" s="911">
        <v>105.38511011757802</v>
      </c>
      <c r="CO78" s="908">
        <v>1.7778336189629806</v>
      </c>
      <c r="CP78" s="902">
        <v>19.607295905902721</v>
      </c>
      <c r="CQ78" s="902">
        <v>0</v>
      </c>
      <c r="CR78" s="902">
        <v>0</v>
      </c>
      <c r="CS78" s="902">
        <v>22.526167368458136</v>
      </c>
      <c r="CT78" s="902">
        <v>0.52602267277634374</v>
      </c>
      <c r="CU78" s="902">
        <v>3600</v>
      </c>
      <c r="CV78" s="909" t="s">
        <v>2874</v>
      </c>
      <c r="CW78" s="909">
        <v>3</v>
      </c>
      <c r="CX78" s="909">
        <v>0</v>
      </c>
      <c r="CY78" s="909">
        <v>0</v>
      </c>
      <c r="CZ78" s="909">
        <v>0</v>
      </c>
      <c r="DA78" s="910">
        <v>11383.149172755309</v>
      </c>
      <c r="DB78" s="909">
        <v>0</v>
      </c>
      <c r="DC78" s="909">
        <v>0</v>
      </c>
      <c r="DD78" s="909">
        <v>0</v>
      </c>
      <c r="DE78" s="910">
        <v>21024.027293770534</v>
      </c>
      <c r="DF78" s="871">
        <v>4000</v>
      </c>
      <c r="DG78" s="911">
        <v>105.38511011757802</v>
      </c>
      <c r="DH78" s="908">
        <v>1.185222412641987</v>
      </c>
      <c r="DI78" s="902">
        <v>19.014684699581728</v>
      </c>
      <c r="DJ78" s="902">
        <v>0</v>
      </c>
      <c r="DK78" s="902">
        <v>0</v>
      </c>
      <c r="DL78" s="902">
        <v>22.329150937802531</v>
      </c>
      <c r="DM78" s="902">
        <v>0.50534009347614439</v>
      </c>
      <c r="DN78" s="902">
        <v>3600</v>
      </c>
      <c r="DO78" s="909" t="s">
        <v>2875</v>
      </c>
      <c r="DP78" s="909">
        <v>2</v>
      </c>
      <c r="DQ78" s="909">
        <v>0</v>
      </c>
      <c r="DR78" s="909">
        <v>0</v>
      </c>
      <c r="DS78" s="909">
        <v>0</v>
      </c>
      <c r="DT78" s="910">
        <v>8831.2374177571837</v>
      </c>
      <c r="DU78" s="909">
        <v>0</v>
      </c>
      <c r="DV78" s="909">
        <v>0</v>
      </c>
      <c r="DW78" s="909">
        <v>0</v>
      </c>
      <c r="DX78" s="910">
        <v>14214.933020821038</v>
      </c>
      <c r="DY78" s="871">
        <v>4000</v>
      </c>
      <c r="DZ78" s="911">
        <v>105.38511011757802</v>
      </c>
      <c r="EA78" s="908">
        <v>1.185222412641987</v>
      </c>
      <c r="EB78" s="902">
        <v>19.014684699581728</v>
      </c>
      <c r="EC78" s="902">
        <v>0</v>
      </c>
      <c r="ED78" s="902">
        <v>0</v>
      </c>
      <c r="EE78" s="902">
        <v>22.329150937802531</v>
      </c>
      <c r="EF78" s="902">
        <v>0.50534009347614439</v>
      </c>
      <c r="EG78" s="902">
        <v>3600</v>
      </c>
      <c r="EH78" s="909" t="s">
        <v>2875</v>
      </c>
      <c r="EI78" s="909">
        <v>2</v>
      </c>
      <c r="EJ78" s="909">
        <v>0</v>
      </c>
      <c r="EK78" s="909">
        <v>0</v>
      </c>
      <c r="EL78" s="909">
        <v>0</v>
      </c>
      <c r="EM78" s="910">
        <v>8831.2374177571837</v>
      </c>
      <c r="EN78" s="909">
        <v>0</v>
      </c>
      <c r="EO78" s="909">
        <v>0</v>
      </c>
      <c r="EP78" s="909">
        <v>0</v>
      </c>
      <c r="EQ78" s="910">
        <v>14214.933020821038</v>
      </c>
      <c r="ER78" s="871">
        <v>4000</v>
      </c>
      <c r="ES78" s="911">
        <v>105.38511011757802</v>
      </c>
      <c r="ET78" s="908">
        <v>1.185222412641987</v>
      </c>
      <c r="EU78" s="902">
        <v>19.014684699581728</v>
      </c>
      <c r="EV78" s="902">
        <v>0</v>
      </c>
      <c r="EW78" s="902">
        <v>0</v>
      </c>
      <c r="EX78" s="902">
        <v>22.329150937802531</v>
      </c>
      <c r="EY78" s="902">
        <v>0.50534009347614439</v>
      </c>
      <c r="EZ78" s="902">
        <v>3600</v>
      </c>
      <c r="FA78" s="909" t="s">
        <v>3884</v>
      </c>
      <c r="FB78" s="909">
        <v>2</v>
      </c>
      <c r="FC78" s="909">
        <v>0</v>
      </c>
      <c r="FD78" s="909">
        <v>0</v>
      </c>
      <c r="FE78" s="909">
        <v>0</v>
      </c>
      <c r="FF78" s="910">
        <v>9406.8862924566729</v>
      </c>
      <c r="FG78" s="909">
        <v>0</v>
      </c>
      <c r="FH78" s="909">
        <v>0</v>
      </c>
      <c r="FI78" s="909">
        <v>0</v>
      </c>
      <c r="FJ78" s="910">
        <v>15141.508744049908</v>
      </c>
      <c r="FK78" s="871">
        <v>4000</v>
      </c>
      <c r="FL78" s="911">
        <v>105.38511011757802</v>
      </c>
      <c r="FM78" s="908">
        <v>1.185222412641987</v>
      </c>
      <c r="FN78" s="902">
        <v>19.014684699581728</v>
      </c>
      <c r="FO78" s="902">
        <v>0</v>
      </c>
      <c r="FP78" s="902">
        <v>0</v>
      </c>
      <c r="FQ78" s="902">
        <v>22.329150937802531</v>
      </c>
      <c r="FR78" s="902">
        <v>0.50534009347614439</v>
      </c>
      <c r="FS78" s="902">
        <v>3600</v>
      </c>
      <c r="FT78" s="909" t="s">
        <v>3884</v>
      </c>
      <c r="FU78" s="909">
        <v>2</v>
      </c>
      <c r="FV78" s="909">
        <v>0</v>
      </c>
      <c r="FW78" s="909">
        <v>0</v>
      </c>
      <c r="FX78" s="909">
        <v>0</v>
      </c>
      <c r="FY78" s="910">
        <v>9406.8862924566729</v>
      </c>
      <c r="FZ78" s="909">
        <v>0</v>
      </c>
      <c r="GA78" s="909">
        <v>0</v>
      </c>
      <c r="GB78" s="909">
        <v>0</v>
      </c>
      <c r="GC78" s="910">
        <v>15141.508744049908</v>
      </c>
      <c r="GD78" s="871">
        <v>4000</v>
      </c>
      <c r="GE78" s="911">
        <v>105.38511011757802</v>
      </c>
      <c r="GF78" s="908">
        <v>1.185222412641987</v>
      </c>
      <c r="GG78" s="902">
        <v>19.014684699581728</v>
      </c>
      <c r="GH78" s="902">
        <v>0</v>
      </c>
      <c r="GI78" s="902">
        <v>0</v>
      </c>
      <c r="GJ78" s="902">
        <v>22.329150937802531</v>
      </c>
      <c r="GK78" s="902">
        <v>0.50534009347614439</v>
      </c>
      <c r="GL78" s="902">
        <v>3600</v>
      </c>
      <c r="GM78" s="909" t="s">
        <v>2877</v>
      </c>
      <c r="GN78" s="909">
        <v>2</v>
      </c>
      <c r="GO78" s="909">
        <v>0</v>
      </c>
      <c r="GP78" s="909">
        <v>0</v>
      </c>
      <c r="GQ78" s="909">
        <v>0</v>
      </c>
      <c r="GR78" s="910">
        <v>11618.261396472359</v>
      </c>
      <c r="GS78" s="909">
        <v>0</v>
      </c>
      <c r="GT78" s="909">
        <v>0</v>
      </c>
      <c r="GU78" s="909">
        <v>0</v>
      </c>
      <c r="GV78" s="910">
        <v>18700.981499735077</v>
      </c>
      <c r="GW78" s="871">
        <v>4000</v>
      </c>
      <c r="GX78" s="911">
        <v>105.38511011757802</v>
      </c>
      <c r="GY78" s="908">
        <v>1.185222412641987</v>
      </c>
      <c r="GZ78" s="902">
        <v>19.014684699581728</v>
      </c>
      <c r="HA78" s="902">
        <v>0</v>
      </c>
      <c r="HB78" s="902">
        <v>0</v>
      </c>
      <c r="HC78" s="902">
        <v>22.329150937802531</v>
      </c>
      <c r="HD78" s="902">
        <v>0.50534009347614439</v>
      </c>
      <c r="HE78" s="902">
        <v>3600</v>
      </c>
      <c r="HF78" s="909" t="s">
        <v>2877</v>
      </c>
      <c r="HG78" s="909">
        <v>2</v>
      </c>
      <c r="HH78" s="909">
        <v>0</v>
      </c>
      <c r="HI78" s="909">
        <v>0</v>
      </c>
      <c r="HJ78" s="909">
        <v>0</v>
      </c>
      <c r="HK78" s="910">
        <v>11618.261396472359</v>
      </c>
      <c r="HL78" s="909">
        <v>0</v>
      </c>
      <c r="HM78" s="909">
        <v>0</v>
      </c>
      <c r="HN78" s="909">
        <v>0</v>
      </c>
      <c r="HO78" s="910">
        <v>18700.981499735077</v>
      </c>
      <c r="HP78" s="871">
        <v>4000</v>
      </c>
      <c r="HQ78" s="911">
        <v>105.38511011757802</v>
      </c>
      <c r="HR78" s="908">
        <v>1.185222412641987</v>
      </c>
      <c r="HS78" s="902">
        <v>19.014684699581728</v>
      </c>
      <c r="HT78" s="902">
        <v>0</v>
      </c>
      <c r="HU78" s="902">
        <v>0</v>
      </c>
      <c r="HV78" s="902">
        <v>22.329150937802531</v>
      </c>
      <c r="HW78" s="902">
        <v>0.50534009347614439</v>
      </c>
      <c r="HX78" s="902">
        <v>3600</v>
      </c>
      <c r="HY78" s="909" t="s">
        <v>1063</v>
      </c>
      <c r="HZ78" s="909">
        <v>2</v>
      </c>
      <c r="IA78" s="909">
        <v>0</v>
      </c>
      <c r="IB78" s="909">
        <v>0</v>
      </c>
      <c r="IC78" s="909">
        <v>0</v>
      </c>
      <c r="ID78" s="910">
        <v>10246.343440669289</v>
      </c>
      <c r="IE78" s="909">
        <v>0</v>
      </c>
      <c r="IF78" s="909">
        <v>0</v>
      </c>
      <c r="IG78" s="909">
        <v>0</v>
      </c>
      <c r="IH78" s="910">
        <v>16492.715440372915</v>
      </c>
      <c r="II78" s="871">
        <v>4000</v>
      </c>
      <c r="IJ78" s="911">
        <v>105.38511011757802</v>
      </c>
      <c r="IK78" s="908">
        <v>1.185222412641987</v>
      </c>
      <c r="IL78" s="902">
        <v>19.014684699581728</v>
      </c>
      <c r="IM78" s="902">
        <v>0</v>
      </c>
      <c r="IN78" s="902">
        <v>0</v>
      </c>
      <c r="IO78" s="902">
        <v>22.329150937802531</v>
      </c>
      <c r="IP78" s="902">
        <v>0.50534009347614439</v>
      </c>
      <c r="IQ78" s="902">
        <v>3600</v>
      </c>
      <c r="IR78" s="909" t="s">
        <v>1063</v>
      </c>
      <c r="IS78" s="909">
        <v>2</v>
      </c>
      <c r="IT78" s="909">
        <v>0</v>
      </c>
      <c r="IU78" s="909">
        <v>0</v>
      </c>
      <c r="IV78" s="909">
        <v>0</v>
      </c>
      <c r="IW78" s="910">
        <v>10246.343440669289</v>
      </c>
      <c r="IX78" s="909">
        <v>0</v>
      </c>
      <c r="IY78" s="909">
        <v>0</v>
      </c>
      <c r="IZ78" s="909">
        <v>0</v>
      </c>
      <c r="JA78" s="910">
        <v>16492.715440372915</v>
      </c>
      <c r="JB78" s="871">
        <v>4000</v>
      </c>
      <c r="JC78" s="911">
        <v>105.38511011757802</v>
      </c>
      <c r="JD78" s="908">
        <v>1.185222412641987</v>
      </c>
      <c r="JE78" s="902">
        <v>19.014684699581728</v>
      </c>
      <c r="JF78" s="902">
        <v>0</v>
      </c>
      <c r="JG78" s="902">
        <v>0</v>
      </c>
      <c r="JH78" s="902">
        <v>22.329150937802531</v>
      </c>
      <c r="JI78" s="902">
        <v>0.50534009347614439</v>
      </c>
      <c r="JJ78" s="902">
        <v>3600</v>
      </c>
      <c r="JK78" s="909" t="s">
        <v>1064</v>
      </c>
      <c r="JL78" s="909">
        <v>2</v>
      </c>
      <c r="JM78" s="909">
        <v>0</v>
      </c>
      <c r="JN78" s="909">
        <v>0</v>
      </c>
      <c r="JO78" s="909">
        <v>0</v>
      </c>
      <c r="JP78" s="910">
        <v>13963.412398908313</v>
      </c>
      <c r="JQ78" s="909">
        <v>0</v>
      </c>
      <c r="JR78" s="909">
        <v>0</v>
      </c>
      <c r="JS78" s="909">
        <v>0</v>
      </c>
      <c r="JT78" s="910">
        <v>22475.782566266091</v>
      </c>
      <c r="JU78" s="871">
        <v>4000</v>
      </c>
      <c r="JV78" s="911">
        <v>105.38511011757802</v>
      </c>
      <c r="JW78" s="908">
        <v>1.185222412641987</v>
      </c>
      <c r="JX78" s="902">
        <v>19.014684699581728</v>
      </c>
      <c r="JY78" s="902">
        <v>0</v>
      </c>
      <c r="JZ78" s="902">
        <v>0</v>
      </c>
      <c r="KA78" s="902">
        <v>22.329150937802531</v>
      </c>
      <c r="KB78" s="902">
        <v>0.50534009347614439</v>
      </c>
      <c r="KC78" s="902">
        <v>3600</v>
      </c>
      <c r="KD78" s="909" t="s">
        <v>1064</v>
      </c>
      <c r="KE78" s="909">
        <v>2</v>
      </c>
      <c r="KF78" s="909">
        <v>0</v>
      </c>
      <c r="KG78" s="909">
        <v>0</v>
      </c>
      <c r="KH78" s="909">
        <v>0</v>
      </c>
      <c r="KI78" s="910">
        <v>13963.412398908313</v>
      </c>
      <c r="KJ78" s="909">
        <v>0</v>
      </c>
      <c r="KK78" s="909">
        <v>0</v>
      </c>
      <c r="KL78" s="909">
        <v>0</v>
      </c>
      <c r="KM78" s="910">
        <v>22475.782566266091</v>
      </c>
      <c r="KN78" s="871">
        <v>4000</v>
      </c>
      <c r="KO78" s="912">
        <v>105.38511011757802</v>
      </c>
    </row>
    <row r="79" spans="1:301" ht="15" customHeight="1">
      <c r="A79" s="1396" t="s">
        <v>1564</v>
      </c>
      <c r="B79" s="888" t="s">
        <v>1084</v>
      </c>
      <c r="C79" s="888">
        <v>1412</v>
      </c>
      <c r="D79" s="888">
        <v>2009</v>
      </c>
      <c r="E79" s="888">
        <v>1120</v>
      </c>
      <c r="F79" s="888">
        <v>1208.6200304675888</v>
      </c>
      <c r="G79" s="888">
        <v>824.40810817806289</v>
      </c>
      <c r="H79" s="888">
        <v>680.16953085443004</v>
      </c>
      <c r="I79" s="888">
        <v>633</v>
      </c>
      <c r="J79" s="888">
        <v>19.100000000000001</v>
      </c>
      <c r="K79" s="888">
        <v>29.1</v>
      </c>
      <c r="L79" s="888">
        <v>18</v>
      </c>
      <c r="M79" s="888">
        <v>769.98206095032492</v>
      </c>
      <c r="N79" s="888">
        <v>8</v>
      </c>
      <c r="O79" s="884">
        <v>137.20086492941587</v>
      </c>
      <c r="P79" s="888">
        <v>8</v>
      </c>
      <c r="Q79" s="884">
        <v>71.410405219225325</v>
      </c>
      <c r="R79" s="888">
        <v>25</v>
      </c>
      <c r="S79" s="888">
        <v>1608.8100152337943</v>
      </c>
      <c r="T79" s="906">
        <v>398.94136486687569</v>
      </c>
      <c r="U79" s="906">
        <v>241.32150228506913</v>
      </c>
      <c r="V79" s="906">
        <v>285</v>
      </c>
      <c r="W79" s="1141">
        <v>76.746345066265192</v>
      </c>
      <c r="X79" s="902">
        <v>805.74668697839252</v>
      </c>
      <c r="Y79" s="902">
        <v>107.94958703995644</v>
      </c>
      <c r="Z79" s="902">
        <v>8</v>
      </c>
      <c r="AA79" s="902">
        <v>33.151471018513099</v>
      </c>
      <c r="AB79" s="970">
        <v>335.94541283848713</v>
      </c>
      <c r="AC79" s="1045">
        <v>1745.9504398150314</v>
      </c>
      <c r="AD79" s="890">
        <v>0.2774733294581111</v>
      </c>
      <c r="AE79" s="890">
        <v>0.34628104733407428</v>
      </c>
      <c r="AF79" s="890">
        <v>-0.48898182544269037</v>
      </c>
      <c r="AG79" s="890">
        <v>0.82177657644221103</v>
      </c>
      <c r="AH79" s="888"/>
      <c r="AI79" s="907">
        <v>27.748062338524356</v>
      </c>
      <c r="AJ79" s="908">
        <v>428.61248856147881</v>
      </c>
      <c r="AK79" s="902">
        <v>1199.4601214036095</v>
      </c>
      <c r="AL79" s="902">
        <v>17.15558318262153</v>
      </c>
      <c r="AM79" s="902">
        <v>36.241598559213763</v>
      </c>
      <c r="AN79" s="902">
        <v>228.75904396518271</v>
      </c>
      <c r="AO79" s="902">
        <v>647.34899307238618</v>
      </c>
      <c r="AP79" s="1222">
        <v>1200</v>
      </c>
      <c r="AQ79" s="909" t="s">
        <v>1064</v>
      </c>
      <c r="AR79" s="909">
        <v>6</v>
      </c>
      <c r="AS79" s="909">
        <v>2</v>
      </c>
      <c r="AT79" s="909">
        <v>8</v>
      </c>
      <c r="AU79" s="909">
        <v>62.987978058941422</v>
      </c>
      <c r="AV79" s="910">
        <v>1792.6833316554491</v>
      </c>
      <c r="AW79" s="909">
        <v>2</v>
      </c>
      <c r="AX79" s="909">
        <v>8</v>
      </c>
      <c r="AY79" s="909">
        <v>93.617379632884891</v>
      </c>
      <c r="AZ79" s="910">
        <v>1692.7306336163022</v>
      </c>
      <c r="BA79" s="871">
        <v>1692.7306336163022</v>
      </c>
      <c r="BB79" s="911">
        <v>178.060017954307</v>
      </c>
      <c r="BC79" s="908">
        <v>428.61248856147881</v>
      </c>
      <c r="BD79" s="902">
        <v>1199.4601214036095</v>
      </c>
      <c r="BE79" s="902">
        <v>17.15558318262153</v>
      </c>
      <c r="BF79" s="902">
        <v>36.241598559213763</v>
      </c>
      <c r="BG79" s="902">
        <v>228.75904396518271</v>
      </c>
      <c r="BH79" s="902">
        <v>647.34899307238618</v>
      </c>
      <c r="BI79" s="902">
        <v>1500</v>
      </c>
      <c r="BJ79" s="909" t="s">
        <v>1064</v>
      </c>
      <c r="BK79" s="909">
        <v>6</v>
      </c>
      <c r="BL79" s="909">
        <v>2</v>
      </c>
      <c r="BM79" s="909">
        <v>8</v>
      </c>
      <c r="BN79" s="909">
        <v>62.987978058941422</v>
      </c>
      <c r="BO79" s="910">
        <v>1792.6833316554489</v>
      </c>
      <c r="BP79" s="909">
        <v>2</v>
      </c>
      <c r="BQ79" s="909">
        <v>8</v>
      </c>
      <c r="BR79" s="909">
        <v>93.617379632884891</v>
      </c>
      <c r="BS79" s="910">
        <v>1692.7306336163608</v>
      </c>
      <c r="BT79" s="871">
        <v>1692.7306336163608</v>
      </c>
      <c r="BU79" s="911">
        <v>178.06001795431317</v>
      </c>
      <c r="BV79" s="908">
        <v>571.48331808197179</v>
      </c>
      <c r="BW79" s="902">
        <v>1355.6802463595611</v>
      </c>
      <c r="BX79" s="902">
        <v>21.444478978276916</v>
      </c>
      <c r="BY79" s="902">
        <v>45.301998199017198</v>
      </c>
      <c r="BZ79" s="902">
        <v>241.42990109654252</v>
      </c>
      <c r="CA79" s="902">
        <v>765.70153128744676</v>
      </c>
      <c r="CB79" s="902">
        <v>1200</v>
      </c>
      <c r="CC79" s="909" t="s">
        <v>2875</v>
      </c>
      <c r="CD79" s="909">
        <v>8</v>
      </c>
      <c r="CE79" s="909">
        <v>2</v>
      </c>
      <c r="CF79" s="909">
        <v>10</v>
      </c>
      <c r="CG79" s="909">
        <v>62.987978058941422</v>
      </c>
      <c r="CH79" s="910">
        <v>1396.8115498124237</v>
      </c>
      <c r="CI79" s="909">
        <v>2</v>
      </c>
      <c r="CJ79" s="909">
        <v>10</v>
      </c>
      <c r="CK79" s="909">
        <v>93.617379632884891</v>
      </c>
      <c r="CL79" s="910">
        <v>1327.1265232787539</v>
      </c>
      <c r="CM79" s="871">
        <v>1327.1265232787539</v>
      </c>
      <c r="CN79" s="911">
        <v>139.60175817094407</v>
      </c>
      <c r="CO79" s="908">
        <v>571.48331808197179</v>
      </c>
      <c r="CP79" s="902">
        <v>1537.826166932226</v>
      </c>
      <c r="CQ79" s="902">
        <v>45.03340585438152</v>
      </c>
      <c r="CR79" s="902">
        <v>203.85899189557745</v>
      </c>
      <c r="CS79" s="902">
        <v>250.68325618003098</v>
      </c>
      <c r="CT79" s="902">
        <v>924.32642831800058</v>
      </c>
      <c r="CU79" s="902">
        <v>1500</v>
      </c>
      <c r="CV79" s="909" t="s">
        <v>2874</v>
      </c>
      <c r="CW79" s="909">
        <v>8</v>
      </c>
      <c r="CX79" s="909">
        <v>3</v>
      </c>
      <c r="CY79" s="909">
        <v>14</v>
      </c>
      <c r="CZ79" s="909">
        <v>62.987978058941422</v>
      </c>
      <c r="DA79" s="910">
        <v>1702.1522842788611</v>
      </c>
      <c r="DB79" s="909">
        <v>3</v>
      </c>
      <c r="DC79" s="909">
        <v>30</v>
      </c>
      <c r="DD79" s="909">
        <v>93.617379632884891</v>
      </c>
      <c r="DE79" s="910">
        <v>1655.2125390349772</v>
      </c>
      <c r="DF79" s="871">
        <v>1655.2125390349772</v>
      </c>
      <c r="DG79" s="911">
        <v>174.11345229164741</v>
      </c>
      <c r="DH79" s="908">
        <v>571.48331808197179</v>
      </c>
      <c r="DI79" s="902">
        <v>1355.6802463595611</v>
      </c>
      <c r="DJ79" s="902">
        <v>21.444478978276916</v>
      </c>
      <c r="DK79" s="902">
        <v>45.301998199017198</v>
      </c>
      <c r="DL79" s="902">
        <v>241.42990109654252</v>
      </c>
      <c r="DM79" s="902">
        <v>765.70153128744676</v>
      </c>
      <c r="DN79" s="902">
        <v>1200</v>
      </c>
      <c r="DO79" s="909" t="s">
        <v>2875</v>
      </c>
      <c r="DP79" s="909">
        <v>8</v>
      </c>
      <c r="DQ79" s="909">
        <v>2</v>
      </c>
      <c r="DR79" s="909">
        <v>10</v>
      </c>
      <c r="DS79" s="909">
        <v>62.987978058941422</v>
      </c>
      <c r="DT79" s="910">
        <v>1396.8115498124237</v>
      </c>
      <c r="DU79" s="909">
        <v>2</v>
      </c>
      <c r="DV79" s="909">
        <v>10</v>
      </c>
      <c r="DW79" s="909">
        <v>93.617379632884891</v>
      </c>
      <c r="DX79" s="910">
        <v>1327.1265232787539</v>
      </c>
      <c r="DY79" s="871">
        <v>1327.1265232787539</v>
      </c>
      <c r="DZ79" s="911">
        <v>139.60175817094407</v>
      </c>
      <c r="EA79" s="908">
        <v>571.48331808197179</v>
      </c>
      <c r="EB79" s="902">
        <v>1477.0304253999223</v>
      </c>
      <c r="EC79" s="902">
        <v>38.600062160898446</v>
      </c>
      <c r="ED79" s="902">
        <v>149.49659405675678</v>
      </c>
      <c r="EE79" s="902">
        <v>247.87146125943846</v>
      </c>
      <c r="EF79" s="902">
        <v>870.84215329844676</v>
      </c>
      <c r="EG79" s="902">
        <v>1500</v>
      </c>
      <c r="EH79" s="909" t="s">
        <v>2875</v>
      </c>
      <c r="EI79" s="909">
        <v>8</v>
      </c>
      <c r="EJ79" s="909">
        <v>3</v>
      </c>
      <c r="EK79" s="909">
        <v>12</v>
      </c>
      <c r="EL79" s="909">
        <v>62.987978058941422</v>
      </c>
      <c r="EM79" s="910">
        <v>1704.5127806129774</v>
      </c>
      <c r="EN79" s="909">
        <v>3</v>
      </c>
      <c r="EO79" s="909">
        <v>22</v>
      </c>
      <c r="EP79" s="909">
        <v>93.617379632884891</v>
      </c>
      <c r="EQ79" s="910">
        <v>1667.7216205107561</v>
      </c>
      <c r="ER79" s="871">
        <v>1667.7216205107561</v>
      </c>
      <c r="ES79" s="911">
        <v>175.42929500633298</v>
      </c>
      <c r="ET79" s="908">
        <v>571.48331808197179</v>
      </c>
      <c r="EU79" s="902">
        <v>1355.6802463595611</v>
      </c>
      <c r="EV79" s="902">
        <v>21.444478978276916</v>
      </c>
      <c r="EW79" s="902">
        <v>45.301998199017198</v>
      </c>
      <c r="EX79" s="902">
        <v>241.42990109654252</v>
      </c>
      <c r="EY79" s="902">
        <v>765.70153128744676</v>
      </c>
      <c r="EZ79" s="902">
        <v>1200</v>
      </c>
      <c r="FA79" s="909" t="s">
        <v>3884</v>
      </c>
      <c r="FB79" s="909">
        <v>8</v>
      </c>
      <c r="FC79" s="909">
        <v>2</v>
      </c>
      <c r="FD79" s="909">
        <v>10</v>
      </c>
      <c r="FE79" s="909">
        <v>62.987978058941422</v>
      </c>
      <c r="FF79" s="910">
        <v>1487.8602849760825</v>
      </c>
      <c r="FG79" s="909">
        <v>2</v>
      </c>
      <c r="FH79" s="909">
        <v>10</v>
      </c>
      <c r="FI79" s="909">
        <v>93.617379632884891</v>
      </c>
      <c r="FJ79" s="910">
        <v>1413.6329610032278</v>
      </c>
      <c r="FK79" s="871">
        <v>1413.6329610032278</v>
      </c>
      <c r="FL79" s="911">
        <v>148.70145634411159</v>
      </c>
      <c r="FM79" s="908">
        <v>571.48331808197179</v>
      </c>
      <c r="FN79" s="902">
        <v>1355.6802463595611</v>
      </c>
      <c r="FO79" s="902">
        <v>21.444478978276916</v>
      </c>
      <c r="FP79" s="902">
        <v>45.301998199017198</v>
      </c>
      <c r="FQ79" s="902">
        <v>241.42990109654252</v>
      </c>
      <c r="FR79" s="902">
        <v>765.70153128744676</v>
      </c>
      <c r="FS79" s="902">
        <v>1500</v>
      </c>
      <c r="FT79" s="909" t="s">
        <v>2877</v>
      </c>
      <c r="FU79" s="909">
        <v>8</v>
      </c>
      <c r="FV79" s="909">
        <v>2</v>
      </c>
      <c r="FW79" s="909">
        <v>10</v>
      </c>
      <c r="FX79" s="909">
        <v>62.987978058941422</v>
      </c>
      <c r="FY79" s="910">
        <v>1837.6271568354991</v>
      </c>
      <c r="FZ79" s="909">
        <v>2</v>
      </c>
      <c r="GA79" s="909">
        <v>10</v>
      </c>
      <c r="GB79" s="909">
        <v>93.617379632884891</v>
      </c>
      <c r="GC79" s="910">
        <v>1745.9504398150314</v>
      </c>
      <c r="GD79" s="871">
        <v>1745.9504398150314</v>
      </c>
      <c r="GE79" s="911">
        <v>183.65826226978058</v>
      </c>
      <c r="GF79" s="908">
        <v>428.61248856147881</v>
      </c>
      <c r="GG79" s="902">
        <v>1199.4601214036095</v>
      </c>
      <c r="GH79" s="902">
        <v>17.15558318262153</v>
      </c>
      <c r="GI79" s="902">
        <v>36.241598559213763</v>
      </c>
      <c r="GJ79" s="902">
        <v>228.75904396518271</v>
      </c>
      <c r="GK79" s="902">
        <v>647.34899307238618</v>
      </c>
      <c r="GL79" s="902">
        <v>1200</v>
      </c>
      <c r="GM79" s="909" t="s">
        <v>2877</v>
      </c>
      <c r="GN79" s="909">
        <v>6</v>
      </c>
      <c r="GO79" s="909">
        <v>2</v>
      </c>
      <c r="GP79" s="909">
        <v>8</v>
      </c>
      <c r="GQ79" s="909">
        <v>62.987978058941422</v>
      </c>
      <c r="GR79" s="910">
        <v>1491.6026937584631</v>
      </c>
      <c r="GS79" s="909">
        <v>2</v>
      </c>
      <c r="GT79" s="909">
        <v>8</v>
      </c>
      <c r="GU79" s="909">
        <v>93.617379632884891</v>
      </c>
      <c r="GV79" s="910">
        <v>1408.4370219351783</v>
      </c>
      <c r="GW79" s="871">
        <v>1408.4370219351783</v>
      </c>
      <c r="GX79" s="911">
        <v>148.15489034868807</v>
      </c>
      <c r="GY79" s="908">
        <v>571.48331808197179</v>
      </c>
      <c r="GZ79" s="902">
        <v>1355.6802463595611</v>
      </c>
      <c r="HA79" s="902">
        <v>21.444478978276916</v>
      </c>
      <c r="HB79" s="902">
        <v>45.301998199017198</v>
      </c>
      <c r="HC79" s="902">
        <v>241.42990109654252</v>
      </c>
      <c r="HD79" s="902">
        <v>765.70153128744676</v>
      </c>
      <c r="HE79" s="902">
        <v>1500</v>
      </c>
      <c r="HF79" s="909" t="s">
        <v>2877</v>
      </c>
      <c r="HG79" s="909">
        <v>8</v>
      </c>
      <c r="HH79" s="909">
        <v>2</v>
      </c>
      <c r="HI79" s="909">
        <v>10</v>
      </c>
      <c r="HJ79" s="909">
        <v>62.987978058941422</v>
      </c>
      <c r="HK79" s="910">
        <v>1837.6271568354991</v>
      </c>
      <c r="HL79" s="909">
        <v>2</v>
      </c>
      <c r="HM79" s="909">
        <v>10</v>
      </c>
      <c r="HN79" s="909">
        <v>93.617379632884891</v>
      </c>
      <c r="HO79" s="910">
        <v>1745.9504398150314</v>
      </c>
      <c r="HP79" s="871">
        <v>1745.9504398150314</v>
      </c>
      <c r="HQ79" s="911">
        <v>183.65826226978058</v>
      </c>
      <c r="HR79" s="908">
        <v>428.61248856147881</v>
      </c>
      <c r="HS79" s="902">
        <v>1226.1587122745273</v>
      </c>
      <c r="HT79" s="902">
        <v>25.733374773932297</v>
      </c>
      <c r="HU79" s="902">
        <v>54.362397838820648</v>
      </c>
      <c r="HV79" s="902">
        <v>230.83452168669291</v>
      </c>
      <c r="HW79" s="902">
        <v>668.68254459915568</v>
      </c>
      <c r="HX79" s="902">
        <v>1200</v>
      </c>
      <c r="HY79" s="909" t="s">
        <v>1063</v>
      </c>
      <c r="HZ79" s="909">
        <v>6</v>
      </c>
      <c r="IA79" s="909">
        <v>3</v>
      </c>
      <c r="IB79" s="909">
        <v>8</v>
      </c>
      <c r="IC79" s="909">
        <v>62.987978058941422</v>
      </c>
      <c r="ID79" s="910">
        <v>1818.6072587249175</v>
      </c>
      <c r="IE79" s="909">
        <v>3</v>
      </c>
      <c r="IF79" s="909">
        <v>8</v>
      </c>
      <c r="IG79" s="909">
        <v>93.617379632884891</v>
      </c>
      <c r="IH79" s="910">
        <v>1722.8470857620946</v>
      </c>
      <c r="II79" s="871">
        <v>1722.8470857620946</v>
      </c>
      <c r="IJ79" s="911">
        <v>181.22799749180933</v>
      </c>
      <c r="IK79" s="908">
        <v>428.61248856147881</v>
      </c>
      <c r="IL79" s="902">
        <v>1226.1587122745273</v>
      </c>
      <c r="IM79" s="902">
        <v>25.733374773932297</v>
      </c>
      <c r="IN79" s="902">
        <v>54.362397838820648</v>
      </c>
      <c r="IO79" s="902">
        <v>230.83452168669291</v>
      </c>
      <c r="IP79" s="902">
        <v>668.68254459915568</v>
      </c>
      <c r="IQ79" s="902">
        <v>1500</v>
      </c>
      <c r="IR79" s="909" t="s">
        <v>1063</v>
      </c>
      <c r="IS79" s="909">
        <v>6</v>
      </c>
      <c r="IT79" s="909">
        <v>3</v>
      </c>
      <c r="IU79" s="909">
        <v>8</v>
      </c>
      <c r="IV79" s="909">
        <v>62.987978058941422</v>
      </c>
      <c r="IW79" s="910">
        <v>1818.6072587249178</v>
      </c>
      <c r="IX79" s="909">
        <v>3</v>
      </c>
      <c r="IY79" s="909">
        <v>8</v>
      </c>
      <c r="IZ79" s="909">
        <v>93.617379632884891</v>
      </c>
      <c r="JA79" s="910">
        <v>1722.8470857621387</v>
      </c>
      <c r="JB79" s="871">
        <v>1722.8470857621387</v>
      </c>
      <c r="JC79" s="911">
        <v>181.22799749181397</v>
      </c>
      <c r="JD79" s="908">
        <v>428.61248856147881</v>
      </c>
      <c r="JE79" s="902">
        <v>1199.4601214036095</v>
      </c>
      <c r="JF79" s="902">
        <v>17.15558318262153</v>
      </c>
      <c r="JG79" s="902">
        <v>36.241598559213763</v>
      </c>
      <c r="JH79" s="902">
        <v>228.75904396518271</v>
      </c>
      <c r="JI79" s="902">
        <v>647.34899307238618</v>
      </c>
      <c r="JJ79" s="902">
        <v>1200</v>
      </c>
      <c r="JK79" s="909" t="s">
        <v>1064</v>
      </c>
      <c r="JL79" s="909">
        <v>6</v>
      </c>
      <c r="JM79" s="909">
        <v>2</v>
      </c>
      <c r="JN79" s="909">
        <v>8</v>
      </c>
      <c r="JO79" s="909">
        <v>62.987978058941422</v>
      </c>
      <c r="JP79" s="910">
        <v>1792.6833316554491</v>
      </c>
      <c r="JQ79" s="909">
        <v>2</v>
      </c>
      <c r="JR79" s="909">
        <v>8</v>
      </c>
      <c r="JS79" s="909">
        <v>93.617379632884891</v>
      </c>
      <c r="JT79" s="910">
        <v>1692.7306336163022</v>
      </c>
      <c r="JU79" s="871">
        <v>1692.7306336163022</v>
      </c>
      <c r="JV79" s="911">
        <v>178.060017954307</v>
      </c>
      <c r="JW79" s="908">
        <v>428.61248856147881</v>
      </c>
      <c r="JX79" s="902">
        <v>1199.4601214036095</v>
      </c>
      <c r="JY79" s="902">
        <v>17.15558318262153</v>
      </c>
      <c r="JZ79" s="902">
        <v>36.241598559213763</v>
      </c>
      <c r="KA79" s="902">
        <v>228.75904396518271</v>
      </c>
      <c r="KB79" s="902">
        <v>647.34899307238618</v>
      </c>
      <c r="KC79" s="902">
        <v>1500</v>
      </c>
      <c r="KD79" s="909" t="s">
        <v>1064</v>
      </c>
      <c r="KE79" s="909">
        <v>6</v>
      </c>
      <c r="KF79" s="909">
        <v>2</v>
      </c>
      <c r="KG79" s="909">
        <v>8</v>
      </c>
      <c r="KH79" s="909">
        <v>62.987978058941422</v>
      </c>
      <c r="KI79" s="910">
        <v>1792.6833316554489</v>
      </c>
      <c r="KJ79" s="909">
        <v>2</v>
      </c>
      <c r="KK79" s="909">
        <v>8</v>
      </c>
      <c r="KL79" s="909">
        <v>93.617379632884891</v>
      </c>
      <c r="KM79" s="910">
        <v>1692.7306336163608</v>
      </c>
      <c r="KN79" s="871">
        <v>1692.7306336163608</v>
      </c>
      <c r="KO79" s="912">
        <v>178.06001795431317</v>
      </c>
    </row>
    <row r="80" spans="1:301" ht="15" customHeight="1">
      <c r="A80" s="1396" t="s">
        <v>1565</v>
      </c>
      <c r="B80" s="888" t="s">
        <v>1074</v>
      </c>
      <c r="C80" s="888">
        <v>370</v>
      </c>
      <c r="D80" s="888">
        <v>1140</v>
      </c>
      <c r="E80" s="888">
        <v>355</v>
      </c>
      <c r="F80" s="888">
        <v>318.44782934167978</v>
      </c>
      <c r="G80" s="888">
        <v>170.80828781170572</v>
      </c>
      <c r="H80" s="888">
        <v>140.83846972325225</v>
      </c>
      <c r="I80" s="888">
        <v>100</v>
      </c>
      <c r="J80" s="888">
        <v>38.799999999999997</v>
      </c>
      <c r="K80" s="888">
        <v>48.8</v>
      </c>
      <c r="L80" s="888">
        <v>15</v>
      </c>
      <c r="M80" s="888">
        <v>561.9725398845751</v>
      </c>
      <c r="N80" s="888">
        <v>6</v>
      </c>
      <c r="O80" s="884">
        <v>43.413183896591455</v>
      </c>
      <c r="P80" s="888">
        <v>6</v>
      </c>
      <c r="Q80" s="884">
        <v>28.403853826688987</v>
      </c>
      <c r="R80" s="888">
        <v>18.000000000000004</v>
      </c>
      <c r="S80" s="888">
        <v>729.2239146708398</v>
      </c>
      <c r="T80" s="906">
        <v>59.013836450215109</v>
      </c>
      <c r="U80" s="906">
        <v>109.38358720062597</v>
      </c>
      <c r="V80" s="906">
        <v>85</v>
      </c>
      <c r="W80" s="1141">
        <v>4.7026650921265158</v>
      </c>
      <c r="X80" s="902">
        <v>0</v>
      </c>
      <c r="Y80" s="902">
        <v>0</v>
      </c>
      <c r="Z80" s="902">
        <v>0</v>
      </c>
      <c r="AA80" s="902">
        <v>0</v>
      </c>
      <c r="AB80" s="970">
        <v>26.9968630469617</v>
      </c>
      <c r="AC80" s="1045">
        <v>4000</v>
      </c>
      <c r="AD80" s="890">
        <v>0.28501936756690804</v>
      </c>
      <c r="AE80" s="890">
        <v>0.80402064259702355</v>
      </c>
      <c r="AF80" s="890">
        <v>-0.18833845823871462</v>
      </c>
      <c r="AG80" s="890">
        <v>1.2314929895679161</v>
      </c>
      <c r="AH80" s="888"/>
      <c r="AI80" s="907">
        <v>5.8979408934514295</v>
      </c>
      <c r="AJ80" s="908">
        <v>39.842068547943001</v>
      </c>
      <c r="AK80" s="902">
        <v>175.37560781356507</v>
      </c>
      <c r="AL80" s="902">
        <v>0</v>
      </c>
      <c r="AM80" s="902">
        <v>0</v>
      </c>
      <c r="AN80" s="902">
        <v>55.515666320929427</v>
      </c>
      <c r="AO80" s="902">
        <v>25.315448544864484</v>
      </c>
      <c r="AP80" s="1222">
        <v>2700</v>
      </c>
      <c r="AQ80" s="909" t="s">
        <v>1062</v>
      </c>
      <c r="AR80" s="909">
        <v>5</v>
      </c>
      <c r="AS80" s="909">
        <v>0</v>
      </c>
      <c r="AT80" s="909">
        <v>0</v>
      </c>
      <c r="AU80" s="909">
        <v>0</v>
      </c>
      <c r="AV80" s="910">
        <v>3675.3583245356513</v>
      </c>
      <c r="AW80" s="909">
        <v>0</v>
      </c>
      <c r="AX80" s="909">
        <v>0</v>
      </c>
      <c r="AY80" s="909">
        <v>0</v>
      </c>
      <c r="AZ80" s="910">
        <v>3437.1739505692121</v>
      </c>
      <c r="BA80" s="871">
        <v>3437.1739505692121</v>
      </c>
      <c r="BB80" s="911">
        <v>205.16580821215044</v>
      </c>
      <c r="BC80" s="908">
        <v>47.810482257531596</v>
      </c>
      <c r="BD80" s="902">
        <v>183.34402152315366</v>
      </c>
      <c r="BE80" s="902">
        <v>0</v>
      </c>
      <c r="BF80" s="902">
        <v>0</v>
      </c>
      <c r="BG80" s="902">
        <v>56.163398376193008</v>
      </c>
      <c r="BH80" s="902">
        <v>26.746276831592489</v>
      </c>
      <c r="BI80" s="902">
        <v>3375</v>
      </c>
      <c r="BJ80" s="909" t="s">
        <v>1062</v>
      </c>
      <c r="BK80" s="909">
        <v>6</v>
      </c>
      <c r="BL80" s="909">
        <v>0</v>
      </c>
      <c r="BM80" s="909">
        <v>0</v>
      </c>
      <c r="BN80" s="909">
        <v>0</v>
      </c>
      <c r="BO80" s="910">
        <v>4275.8197451540855</v>
      </c>
      <c r="BP80" s="909">
        <v>0</v>
      </c>
      <c r="BQ80" s="909">
        <v>0</v>
      </c>
      <c r="BR80" s="909">
        <v>0</v>
      </c>
      <c r="BS80" s="910">
        <v>4159.0492379141215</v>
      </c>
      <c r="BT80" s="871">
        <v>4000</v>
      </c>
      <c r="BU80" s="911">
        <v>238.76104167282429</v>
      </c>
      <c r="BV80" s="908">
        <v>39.842068547943001</v>
      </c>
      <c r="BW80" s="902">
        <v>175.37560781356507</v>
      </c>
      <c r="BX80" s="902">
        <v>0</v>
      </c>
      <c r="BY80" s="902">
        <v>0</v>
      </c>
      <c r="BZ80" s="902">
        <v>55.515666320929427</v>
      </c>
      <c r="CA80" s="902">
        <v>25.315448544864484</v>
      </c>
      <c r="CB80" s="902">
        <v>2700</v>
      </c>
      <c r="CC80" s="909" t="s">
        <v>2874</v>
      </c>
      <c r="CD80" s="909">
        <v>5</v>
      </c>
      <c r="CE80" s="909">
        <v>0</v>
      </c>
      <c r="CF80" s="909">
        <v>0</v>
      </c>
      <c r="CG80" s="909">
        <v>0</v>
      </c>
      <c r="CH80" s="910">
        <v>3601.1010068011387</v>
      </c>
      <c r="CI80" s="909">
        <v>0</v>
      </c>
      <c r="CJ80" s="909">
        <v>0</v>
      </c>
      <c r="CK80" s="909">
        <v>0</v>
      </c>
      <c r="CL80" s="910">
        <v>3367.7289344323285</v>
      </c>
      <c r="CM80" s="871">
        <v>3367.7289344323285</v>
      </c>
      <c r="CN80" s="911">
        <v>201.02061711419336</v>
      </c>
      <c r="CO80" s="908">
        <v>47.810482257531596</v>
      </c>
      <c r="CP80" s="902">
        <v>183.34402152315366</v>
      </c>
      <c r="CQ80" s="902">
        <v>0</v>
      </c>
      <c r="CR80" s="902">
        <v>0</v>
      </c>
      <c r="CS80" s="902">
        <v>56.163398376193008</v>
      </c>
      <c r="CT80" s="902">
        <v>26.746276831592489</v>
      </c>
      <c r="CU80" s="902">
        <v>3375</v>
      </c>
      <c r="CV80" s="909" t="s">
        <v>2874</v>
      </c>
      <c r="CW80" s="909">
        <v>6</v>
      </c>
      <c r="CX80" s="909">
        <v>0</v>
      </c>
      <c r="CY80" s="909">
        <v>0</v>
      </c>
      <c r="CZ80" s="909">
        <v>0</v>
      </c>
      <c r="DA80" s="910">
        <v>4189.4306430978859</v>
      </c>
      <c r="DB80" s="909">
        <v>0</v>
      </c>
      <c r="DC80" s="909">
        <v>0</v>
      </c>
      <c r="DD80" s="909">
        <v>0</v>
      </c>
      <c r="DE80" s="910">
        <v>4075.0193792003342</v>
      </c>
      <c r="DF80" s="871">
        <v>4000</v>
      </c>
      <c r="DG80" s="911">
        <v>238.76104167282429</v>
      </c>
      <c r="DH80" s="908">
        <v>39.842068547943001</v>
      </c>
      <c r="DI80" s="902">
        <v>175.37560781356507</v>
      </c>
      <c r="DJ80" s="902">
        <v>0</v>
      </c>
      <c r="DK80" s="902">
        <v>0</v>
      </c>
      <c r="DL80" s="902">
        <v>55.515666320929427</v>
      </c>
      <c r="DM80" s="902">
        <v>25.315448544864484</v>
      </c>
      <c r="DN80" s="902">
        <v>2700</v>
      </c>
      <c r="DO80" s="909" t="s">
        <v>2875</v>
      </c>
      <c r="DP80" s="909">
        <v>5</v>
      </c>
      <c r="DQ80" s="909">
        <v>0</v>
      </c>
      <c r="DR80" s="909">
        <v>0</v>
      </c>
      <c r="DS80" s="909">
        <v>0</v>
      </c>
      <c r="DT80" s="910">
        <v>3748.1447632505947</v>
      </c>
      <c r="DU80" s="909">
        <v>0</v>
      </c>
      <c r="DV80" s="909">
        <v>0</v>
      </c>
      <c r="DW80" s="909">
        <v>0</v>
      </c>
      <c r="DX80" s="910">
        <v>3505.2434091130435</v>
      </c>
      <c r="DY80" s="871">
        <v>3505.2434091130435</v>
      </c>
      <c r="DZ80" s="911">
        <v>209.228891919158</v>
      </c>
      <c r="EA80" s="908">
        <v>47.810482257531596</v>
      </c>
      <c r="EB80" s="902">
        <v>183.34402152315366</v>
      </c>
      <c r="EC80" s="902">
        <v>0</v>
      </c>
      <c r="ED80" s="902">
        <v>0</v>
      </c>
      <c r="EE80" s="902">
        <v>56.163398376193008</v>
      </c>
      <c r="EF80" s="902">
        <v>26.746276831592489</v>
      </c>
      <c r="EG80" s="902">
        <v>3375</v>
      </c>
      <c r="EH80" s="909" t="s">
        <v>2875</v>
      </c>
      <c r="EI80" s="909">
        <v>6</v>
      </c>
      <c r="EJ80" s="909">
        <v>0</v>
      </c>
      <c r="EK80" s="909">
        <v>0</v>
      </c>
      <c r="EL80" s="909">
        <v>0</v>
      </c>
      <c r="EM80" s="910">
        <v>4360.4976634292016</v>
      </c>
      <c r="EN80" s="909">
        <v>0</v>
      </c>
      <c r="EO80" s="909">
        <v>0</v>
      </c>
      <c r="EP80" s="909">
        <v>0</v>
      </c>
      <c r="EQ80" s="910">
        <v>4241.4146444234621</v>
      </c>
      <c r="ER80" s="871">
        <v>4000</v>
      </c>
      <c r="ES80" s="911">
        <v>238.76104167282429</v>
      </c>
      <c r="ET80" s="908">
        <v>31.873654838354398</v>
      </c>
      <c r="EU80" s="902">
        <v>167.40719410397645</v>
      </c>
      <c r="EV80" s="902">
        <v>0</v>
      </c>
      <c r="EW80" s="902">
        <v>0</v>
      </c>
      <c r="EX80" s="902">
        <v>54.806271479703426</v>
      </c>
      <c r="EY80" s="902">
        <v>23.884620258136479</v>
      </c>
      <c r="EZ80" s="902">
        <v>2700</v>
      </c>
      <c r="FA80" s="909" t="s">
        <v>3884</v>
      </c>
      <c r="FB80" s="909">
        <v>4</v>
      </c>
      <c r="FC80" s="909">
        <v>0</v>
      </c>
      <c r="FD80" s="909">
        <v>0</v>
      </c>
      <c r="FE80" s="909">
        <v>0</v>
      </c>
      <c r="FF80" s="910">
        <v>3425.6105785490045</v>
      </c>
      <c r="FG80" s="909">
        <v>0</v>
      </c>
      <c r="FH80" s="909">
        <v>0</v>
      </c>
      <c r="FI80" s="909">
        <v>0</v>
      </c>
      <c r="FJ80" s="910">
        <v>3130.8572299379248</v>
      </c>
      <c r="FK80" s="871">
        <v>3130.8572299379248</v>
      </c>
      <c r="FL80" s="911">
        <v>186.881683387218</v>
      </c>
      <c r="FM80" s="908">
        <v>39.842068547943001</v>
      </c>
      <c r="FN80" s="902">
        <v>175.37560781356507</v>
      </c>
      <c r="FO80" s="902">
        <v>0</v>
      </c>
      <c r="FP80" s="902">
        <v>0</v>
      </c>
      <c r="FQ80" s="902">
        <v>55.515666320929427</v>
      </c>
      <c r="FR80" s="902">
        <v>25.315448544864484</v>
      </c>
      <c r="FS80" s="902">
        <v>3375</v>
      </c>
      <c r="FT80" s="909" t="s">
        <v>3884</v>
      </c>
      <c r="FU80" s="909">
        <v>5</v>
      </c>
      <c r="FV80" s="909">
        <v>0</v>
      </c>
      <c r="FW80" s="909">
        <v>0</v>
      </c>
      <c r="FX80" s="909">
        <v>0</v>
      </c>
      <c r="FY80" s="910">
        <v>3992.4610705936193</v>
      </c>
      <c r="FZ80" s="909">
        <v>0</v>
      </c>
      <c r="GA80" s="909">
        <v>0</v>
      </c>
      <c r="GB80" s="909">
        <v>0</v>
      </c>
      <c r="GC80" s="910">
        <v>3733.726613510481</v>
      </c>
      <c r="GD80" s="871">
        <v>3733.726613510481</v>
      </c>
      <c r="GE80" s="911">
        <v>222.86711389082726</v>
      </c>
      <c r="GF80" s="908">
        <v>31.873654838354398</v>
      </c>
      <c r="GG80" s="902">
        <v>167.40719410397645</v>
      </c>
      <c r="GH80" s="902">
        <v>0</v>
      </c>
      <c r="GI80" s="902">
        <v>0</v>
      </c>
      <c r="GJ80" s="902">
        <v>54.806271479703426</v>
      </c>
      <c r="GK80" s="902">
        <v>23.884620258136479</v>
      </c>
      <c r="GL80" s="902">
        <v>2700</v>
      </c>
      <c r="GM80" s="909" t="s">
        <v>2877</v>
      </c>
      <c r="GN80" s="909">
        <v>4</v>
      </c>
      <c r="GO80" s="909">
        <v>0</v>
      </c>
      <c r="GP80" s="909">
        <v>0</v>
      </c>
      <c r="GQ80" s="909">
        <v>0</v>
      </c>
      <c r="GR80" s="910">
        <v>4230.9046699075043</v>
      </c>
      <c r="GS80" s="909">
        <v>0</v>
      </c>
      <c r="GT80" s="909">
        <v>0</v>
      </c>
      <c r="GU80" s="909">
        <v>0</v>
      </c>
      <c r="GV80" s="910">
        <v>3866.8605701785896</v>
      </c>
      <c r="GW80" s="871">
        <v>3866.8605701785896</v>
      </c>
      <c r="GX80" s="911">
        <v>230.81391443485282</v>
      </c>
      <c r="GY80" s="908">
        <v>31.873654838354398</v>
      </c>
      <c r="GZ80" s="902">
        <v>167.40719410397645</v>
      </c>
      <c r="HA80" s="902">
        <v>0</v>
      </c>
      <c r="HB80" s="902">
        <v>0</v>
      </c>
      <c r="HC80" s="902">
        <v>54.806271479703426</v>
      </c>
      <c r="HD80" s="902">
        <v>23.884620258136479</v>
      </c>
      <c r="HE80" s="902">
        <v>3375</v>
      </c>
      <c r="HF80" s="909" t="s">
        <v>2877</v>
      </c>
      <c r="HG80" s="909">
        <v>4</v>
      </c>
      <c r="HH80" s="909">
        <v>0</v>
      </c>
      <c r="HI80" s="909">
        <v>0</v>
      </c>
      <c r="HJ80" s="909">
        <v>0</v>
      </c>
      <c r="HK80" s="910">
        <v>4230.9046699075043</v>
      </c>
      <c r="HL80" s="909">
        <v>0</v>
      </c>
      <c r="HM80" s="909">
        <v>0</v>
      </c>
      <c r="HN80" s="909">
        <v>0</v>
      </c>
      <c r="HO80" s="910">
        <v>3866.8605701785896</v>
      </c>
      <c r="HP80" s="871">
        <v>3866.8605701785896</v>
      </c>
      <c r="HQ80" s="911">
        <v>230.81391443485282</v>
      </c>
      <c r="HR80" s="908">
        <v>31.873654838354398</v>
      </c>
      <c r="HS80" s="902">
        <v>167.40719410397645</v>
      </c>
      <c r="HT80" s="902">
        <v>0</v>
      </c>
      <c r="HU80" s="902">
        <v>0</v>
      </c>
      <c r="HV80" s="902">
        <v>54.806271479703426</v>
      </c>
      <c r="HW80" s="902">
        <v>23.884620258136479</v>
      </c>
      <c r="HX80" s="902">
        <v>2700</v>
      </c>
      <c r="HY80" s="909" t="s">
        <v>1063</v>
      </c>
      <c r="HZ80" s="909">
        <v>4</v>
      </c>
      <c r="IA80" s="909">
        <v>0</v>
      </c>
      <c r="IB80" s="909">
        <v>0</v>
      </c>
      <c r="IC80" s="909">
        <v>0</v>
      </c>
      <c r="ID80" s="910">
        <v>3731.3071924656924</v>
      </c>
      <c r="IE80" s="909">
        <v>0</v>
      </c>
      <c r="IF80" s="909">
        <v>0</v>
      </c>
      <c r="IG80" s="909">
        <v>0</v>
      </c>
      <c r="IH80" s="910">
        <v>3410.2504744179919</v>
      </c>
      <c r="II80" s="871">
        <v>3410.2504744179919</v>
      </c>
      <c r="IJ80" s="911">
        <v>203.55873890932074</v>
      </c>
      <c r="IK80" s="908">
        <v>39.842068547943001</v>
      </c>
      <c r="IL80" s="902">
        <v>175.37560781356507</v>
      </c>
      <c r="IM80" s="902">
        <v>0</v>
      </c>
      <c r="IN80" s="902">
        <v>0</v>
      </c>
      <c r="IO80" s="902">
        <v>55.515666320929427</v>
      </c>
      <c r="IP80" s="902">
        <v>25.315448544864484</v>
      </c>
      <c r="IQ80" s="902">
        <v>3375</v>
      </c>
      <c r="IR80" s="909" t="s">
        <v>1063</v>
      </c>
      <c r="IS80" s="909">
        <v>5</v>
      </c>
      <c r="IT80" s="909">
        <v>0</v>
      </c>
      <c r="IU80" s="909">
        <v>0</v>
      </c>
      <c r="IV80" s="909">
        <v>0</v>
      </c>
      <c r="IW80" s="910">
        <v>4348.74261588645</v>
      </c>
      <c r="IX80" s="909">
        <v>0</v>
      </c>
      <c r="IY80" s="909">
        <v>0</v>
      </c>
      <c r="IZ80" s="909">
        <v>0</v>
      </c>
      <c r="JA80" s="910">
        <v>4066.919063991832</v>
      </c>
      <c r="JB80" s="871">
        <v>4000</v>
      </c>
      <c r="JC80" s="911">
        <v>238.76104167282429</v>
      </c>
      <c r="JD80" s="908">
        <v>31.873654838354398</v>
      </c>
      <c r="JE80" s="902">
        <v>167.40719410397645</v>
      </c>
      <c r="JF80" s="902">
        <v>0</v>
      </c>
      <c r="JG80" s="902">
        <v>0</v>
      </c>
      <c r="JH80" s="902">
        <v>54.806271479703426</v>
      </c>
      <c r="JI80" s="902">
        <v>23.884620258136479</v>
      </c>
      <c r="JJ80" s="902">
        <v>2700</v>
      </c>
      <c r="JK80" s="909" t="s">
        <v>1064</v>
      </c>
      <c r="JL80" s="909">
        <v>4</v>
      </c>
      <c r="JM80" s="909">
        <v>0</v>
      </c>
      <c r="JN80" s="909">
        <v>0</v>
      </c>
      <c r="JO80" s="909">
        <v>0</v>
      </c>
      <c r="JP80" s="910">
        <v>5084.9145763171828</v>
      </c>
      <c r="JQ80" s="909">
        <v>0</v>
      </c>
      <c r="JR80" s="909">
        <v>0</v>
      </c>
      <c r="JS80" s="909">
        <v>0</v>
      </c>
      <c r="JT80" s="910">
        <v>4647.3880202829405</v>
      </c>
      <c r="JU80" s="871">
        <v>4000</v>
      </c>
      <c r="JV80" s="911">
        <v>238.76104167282429</v>
      </c>
      <c r="JW80" s="908">
        <v>31.873654838354398</v>
      </c>
      <c r="JX80" s="902">
        <v>167.40719410397645</v>
      </c>
      <c r="JY80" s="902">
        <v>0</v>
      </c>
      <c r="JZ80" s="902">
        <v>0</v>
      </c>
      <c r="KA80" s="902">
        <v>54.806271479703426</v>
      </c>
      <c r="KB80" s="902">
        <v>23.884620258136479</v>
      </c>
      <c r="KC80" s="902">
        <v>3375</v>
      </c>
      <c r="KD80" s="909" t="s">
        <v>1064</v>
      </c>
      <c r="KE80" s="909">
        <v>4</v>
      </c>
      <c r="KF80" s="909">
        <v>0</v>
      </c>
      <c r="KG80" s="909">
        <v>0</v>
      </c>
      <c r="KH80" s="909">
        <v>0</v>
      </c>
      <c r="KI80" s="910">
        <v>5084.9145763171828</v>
      </c>
      <c r="KJ80" s="909">
        <v>0</v>
      </c>
      <c r="KK80" s="909">
        <v>0</v>
      </c>
      <c r="KL80" s="909">
        <v>0</v>
      </c>
      <c r="KM80" s="910">
        <v>4647.3880202829405</v>
      </c>
      <c r="KN80" s="871">
        <v>4000</v>
      </c>
      <c r="KO80" s="912">
        <v>238.76104167282429</v>
      </c>
    </row>
    <row r="81" spans="1:301" ht="15" customHeight="1">
      <c r="A81" s="1396" t="s">
        <v>2337</v>
      </c>
      <c r="B81" s="888" t="s">
        <v>1073</v>
      </c>
      <c r="C81" s="888">
        <v>235.2964682384623</v>
      </c>
      <c r="D81" s="888">
        <v>1023.6641316086194</v>
      </c>
      <c r="E81" s="888">
        <v>225</v>
      </c>
      <c r="F81" s="888">
        <v>200.73670078679453</v>
      </c>
      <c r="G81" s="888">
        <v>95.384021676137166</v>
      </c>
      <c r="H81" s="888">
        <v>75.840906295711605</v>
      </c>
      <c r="I81" s="888">
        <v>35</v>
      </c>
      <c r="J81" s="888">
        <v>52.253350539518145</v>
      </c>
      <c r="K81" s="888">
        <v>81.236627485007375</v>
      </c>
      <c r="L81" s="888">
        <v>16</v>
      </c>
      <c r="M81" s="888">
        <v>432.38158056612093</v>
      </c>
      <c r="N81" s="888">
        <v>6</v>
      </c>
      <c r="O81" s="884">
        <v>36.891015106886016</v>
      </c>
      <c r="P81" s="888">
        <v>6</v>
      </c>
      <c r="Q81" s="884">
        <v>24.899445312382479</v>
      </c>
      <c r="R81" s="888">
        <v>18.000000000000004</v>
      </c>
      <c r="S81" s="888">
        <v>612.200416197707</v>
      </c>
      <c r="T81" s="906">
        <v>41.592907883218629</v>
      </c>
      <c r="U81" s="906">
        <v>91.830062429656053</v>
      </c>
      <c r="V81" s="906">
        <v>60</v>
      </c>
      <c r="W81" s="1141">
        <v>2.3396010684310475</v>
      </c>
      <c r="X81" s="902">
        <v>0</v>
      </c>
      <c r="Y81" s="902">
        <v>0</v>
      </c>
      <c r="Z81" s="902">
        <v>0</v>
      </c>
      <c r="AA81" s="902">
        <v>0</v>
      </c>
      <c r="AB81" s="970">
        <v>13.95153982205108</v>
      </c>
      <c r="AC81" s="1045">
        <v>4000</v>
      </c>
      <c r="AD81" s="890">
        <v>1.8485546565568431</v>
      </c>
      <c r="AE81" s="890">
        <v>1.2916739285793799</v>
      </c>
      <c r="AF81" s="890">
        <v>-0.12610007057200595</v>
      </c>
      <c r="AG81" s="890">
        <v>0.72774599822850849</v>
      </c>
      <c r="AH81" s="888"/>
      <c r="AI81" s="907">
        <v>3.97188086162899</v>
      </c>
      <c r="AJ81" s="908">
        <v>12.0389022433869</v>
      </c>
      <c r="AK81" s="902">
        <v>117.76187161430508</v>
      </c>
      <c r="AL81" s="902">
        <v>0</v>
      </c>
      <c r="AM81" s="902">
        <v>0</v>
      </c>
      <c r="AN81" s="902">
        <v>32.044252826121379</v>
      </c>
      <c r="AO81" s="902">
        <v>13.10246029283026</v>
      </c>
      <c r="AP81" s="1222">
        <v>3600</v>
      </c>
      <c r="AQ81" s="909" t="s">
        <v>1062</v>
      </c>
      <c r="AR81" s="909">
        <v>4</v>
      </c>
      <c r="AS81" s="909">
        <v>0</v>
      </c>
      <c r="AT81" s="909">
        <v>0</v>
      </c>
      <c r="AU81" s="909">
        <v>0</v>
      </c>
      <c r="AV81" s="910">
        <v>9165.0372424407815</v>
      </c>
      <c r="AW81" s="909">
        <v>0</v>
      </c>
      <c r="AX81" s="909">
        <v>0</v>
      </c>
      <c r="AY81" s="909">
        <v>0</v>
      </c>
      <c r="AZ81" s="910">
        <v>27478.50621584542</v>
      </c>
      <c r="BA81" s="871">
        <v>4000</v>
      </c>
      <c r="BB81" s="911">
        <v>214.39571437366757</v>
      </c>
      <c r="BC81" s="908">
        <v>12.0389022433869</v>
      </c>
      <c r="BD81" s="902">
        <v>117.76187161430508</v>
      </c>
      <c r="BE81" s="902">
        <v>0</v>
      </c>
      <c r="BF81" s="902">
        <v>0</v>
      </c>
      <c r="BG81" s="902">
        <v>32.044252826121379</v>
      </c>
      <c r="BH81" s="902">
        <v>13.10246029283026</v>
      </c>
      <c r="BI81" s="902">
        <v>3600</v>
      </c>
      <c r="BJ81" s="909" t="s">
        <v>1062</v>
      </c>
      <c r="BK81" s="909">
        <v>4</v>
      </c>
      <c r="BL81" s="909">
        <v>0</v>
      </c>
      <c r="BM81" s="909">
        <v>0</v>
      </c>
      <c r="BN81" s="909">
        <v>0</v>
      </c>
      <c r="BO81" s="910">
        <v>9165.0372424407815</v>
      </c>
      <c r="BP81" s="909">
        <v>0</v>
      </c>
      <c r="BQ81" s="909">
        <v>0</v>
      </c>
      <c r="BR81" s="909">
        <v>0</v>
      </c>
      <c r="BS81" s="910">
        <v>27478.50621584542</v>
      </c>
      <c r="BT81" s="871">
        <v>4000</v>
      </c>
      <c r="BU81" s="911">
        <v>214.39571437366757</v>
      </c>
      <c r="BV81" s="908">
        <v>12.0389022433869</v>
      </c>
      <c r="BW81" s="902">
        <v>117.76187161430508</v>
      </c>
      <c r="BX81" s="902">
        <v>0</v>
      </c>
      <c r="BY81" s="902">
        <v>0</v>
      </c>
      <c r="BZ81" s="902">
        <v>32.044252826121379</v>
      </c>
      <c r="CA81" s="902">
        <v>13.10246029283026</v>
      </c>
      <c r="CB81" s="902">
        <v>3600</v>
      </c>
      <c r="CC81" s="909" t="s">
        <v>2874</v>
      </c>
      <c r="CD81" s="909">
        <v>4</v>
      </c>
      <c r="CE81" s="909">
        <v>0</v>
      </c>
      <c r="CF81" s="909">
        <v>0</v>
      </c>
      <c r="CG81" s="909">
        <v>0</v>
      </c>
      <c r="CH81" s="910">
        <v>8979.8658870338077</v>
      </c>
      <c r="CI81" s="909">
        <v>0</v>
      </c>
      <c r="CJ81" s="909">
        <v>0</v>
      </c>
      <c r="CK81" s="909">
        <v>0</v>
      </c>
      <c r="CL81" s="910">
        <v>26923.327649086852</v>
      </c>
      <c r="CM81" s="871">
        <v>4000</v>
      </c>
      <c r="CN81" s="911">
        <v>214.39571437366757</v>
      </c>
      <c r="CO81" s="908">
        <v>12.0389022433869</v>
      </c>
      <c r="CP81" s="902">
        <v>117.76187161430508</v>
      </c>
      <c r="CQ81" s="902">
        <v>0</v>
      </c>
      <c r="CR81" s="902">
        <v>0</v>
      </c>
      <c r="CS81" s="902">
        <v>32.044252826121379</v>
      </c>
      <c r="CT81" s="902">
        <v>13.10246029283026</v>
      </c>
      <c r="CU81" s="902">
        <v>3600</v>
      </c>
      <c r="CV81" s="909" t="s">
        <v>2874</v>
      </c>
      <c r="CW81" s="909">
        <v>4</v>
      </c>
      <c r="CX81" s="909">
        <v>0</v>
      </c>
      <c r="CY81" s="909">
        <v>0</v>
      </c>
      <c r="CZ81" s="909">
        <v>0</v>
      </c>
      <c r="DA81" s="910">
        <v>8979.8658870338077</v>
      </c>
      <c r="DB81" s="909">
        <v>0</v>
      </c>
      <c r="DC81" s="909">
        <v>0</v>
      </c>
      <c r="DD81" s="909">
        <v>0</v>
      </c>
      <c r="DE81" s="910">
        <v>26923.327649086852</v>
      </c>
      <c r="DF81" s="871">
        <v>4000</v>
      </c>
      <c r="DG81" s="911">
        <v>214.39571437366757</v>
      </c>
      <c r="DH81" s="908">
        <v>12.0389022433869</v>
      </c>
      <c r="DI81" s="902">
        <v>117.76187161430508</v>
      </c>
      <c r="DJ81" s="902">
        <v>0</v>
      </c>
      <c r="DK81" s="902">
        <v>0</v>
      </c>
      <c r="DL81" s="902">
        <v>32.044252826121379</v>
      </c>
      <c r="DM81" s="902">
        <v>13.10246029283026</v>
      </c>
      <c r="DN81" s="902">
        <v>3600</v>
      </c>
      <c r="DO81" s="909" t="s">
        <v>2875</v>
      </c>
      <c r="DP81" s="909">
        <v>4</v>
      </c>
      <c r="DQ81" s="909">
        <v>0</v>
      </c>
      <c r="DR81" s="909">
        <v>0</v>
      </c>
      <c r="DS81" s="909">
        <v>0</v>
      </c>
      <c r="DT81" s="910">
        <v>9346.5407484020325</v>
      </c>
      <c r="DU81" s="909">
        <v>0</v>
      </c>
      <c r="DV81" s="909">
        <v>0</v>
      </c>
      <c r="DW81" s="909">
        <v>0</v>
      </c>
      <c r="DX81" s="910">
        <v>28022.687879795267</v>
      </c>
      <c r="DY81" s="871">
        <v>4000</v>
      </c>
      <c r="DZ81" s="911">
        <v>214.39571437366757</v>
      </c>
      <c r="EA81" s="908">
        <v>12.0389022433869</v>
      </c>
      <c r="EB81" s="902">
        <v>117.76187161430508</v>
      </c>
      <c r="EC81" s="902">
        <v>0</v>
      </c>
      <c r="ED81" s="902">
        <v>0</v>
      </c>
      <c r="EE81" s="902">
        <v>32.044252826121379</v>
      </c>
      <c r="EF81" s="902">
        <v>13.10246029283026</v>
      </c>
      <c r="EG81" s="902">
        <v>3600</v>
      </c>
      <c r="EH81" s="909" t="s">
        <v>2875</v>
      </c>
      <c r="EI81" s="909">
        <v>4</v>
      </c>
      <c r="EJ81" s="909">
        <v>0</v>
      </c>
      <c r="EK81" s="909">
        <v>0</v>
      </c>
      <c r="EL81" s="909">
        <v>0</v>
      </c>
      <c r="EM81" s="910">
        <v>9346.5407484020325</v>
      </c>
      <c r="EN81" s="909">
        <v>0</v>
      </c>
      <c r="EO81" s="909">
        <v>0</v>
      </c>
      <c r="EP81" s="909">
        <v>0</v>
      </c>
      <c r="EQ81" s="910">
        <v>28022.687879795267</v>
      </c>
      <c r="ER81" s="871">
        <v>4000</v>
      </c>
      <c r="ES81" s="911">
        <v>214.39571437366757</v>
      </c>
      <c r="ET81" s="908">
        <v>12.0389022433869</v>
      </c>
      <c r="EU81" s="902">
        <v>117.76187161430508</v>
      </c>
      <c r="EV81" s="902">
        <v>0</v>
      </c>
      <c r="EW81" s="902">
        <v>0</v>
      </c>
      <c r="EX81" s="902">
        <v>32.044252826121379</v>
      </c>
      <c r="EY81" s="902">
        <v>13.10246029283026</v>
      </c>
      <c r="EZ81" s="902">
        <v>3600</v>
      </c>
      <c r="FA81" s="909" t="s">
        <v>3884</v>
      </c>
      <c r="FB81" s="909">
        <v>4</v>
      </c>
      <c r="FC81" s="909">
        <v>0</v>
      </c>
      <c r="FD81" s="909">
        <v>0</v>
      </c>
      <c r="FE81" s="909">
        <v>0</v>
      </c>
      <c r="FF81" s="910">
        <v>9955.778775830915</v>
      </c>
      <c r="FG81" s="909">
        <v>0</v>
      </c>
      <c r="FH81" s="909">
        <v>0</v>
      </c>
      <c r="FI81" s="909">
        <v>0</v>
      </c>
      <c r="FJ81" s="910">
        <v>29849.298124880945</v>
      </c>
      <c r="FK81" s="871">
        <v>4000</v>
      </c>
      <c r="FL81" s="911">
        <v>214.39571437366757</v>
      </c>
      <c r="FM81" s="908">
        <v>12.0389022433869</v>
      </c>
      <c r="FN81" s="902">
        <v>117.76187161430508</v>
      </c>
      <c r="FO81" s="902">
        <v>0</v>
      </c>
      <c r="FP81" s="902">
        <v>0</v>
      </c>
      <c r="FQ81" s="902">
        <v>32.044252826121379</v>
      </c>
      <c r="FR81" s="902">
        <v>13.10246029283026</v>
      </c>
      <c r="FS81" s="902">
        <v>3600</v>
      </c>
      <c r="FT81" s="909" t="s">
        <v>3884</v>
      </c>
      <c r="FU81" s="909">
        <v>4</v>
      </c>
      <c r="FV81" s="909">
        <v>0</v>
      </c>
      <c r="FW81" s="909">
        <v>0</v>
      </c>
      <c r="FX81" s="909">
        <v>0</v>
      </c>
      <c r="FY81" s="910">
        <v>9955.778775830915</v>
      </c>
      <c r="FZ81" s="909">
        <v>0</v>
      </c>
      <c r="GA81" s="909">
        <v>0</v>
      </c>
      <c r="GB81" s="909">
        <v>0</v>
      </c>
      <c r="GC81" s="910">
        <v>29849.298124880945</v>
      </c>
      <c r="GD81" s="871">
        <v>4000</v>
      </c>
      <c r="GE81" s="911">
        <v>214.39571437366757</v>
      </c>
      <c r="GF81" s="908">
        <v>12.0389022433869</v>
      </c>
      <c r="GG81" s="902">
        <v>117.76187161430508</v>
      </c>
      <c r="GH81" s="902">
        <v>0</v>
      </c>
      <c r="GI81" s="902">
        <v>0</v>
      </c>
      <c r="GJ81" s="902">
        <v>32.044252826121379</v>
      </c>
      <c r="GK81" s="902">
        <v>13.10246029283026</v>
      </c>
      <c r="GL81" s="902">
        <v>3600</v>
      </c>
      <c r="GM81" s="909" t="s">
        <v>2877</v>
      </c>
      <c r="GN81" s="909">
        <v>4</v>
      </c>
      <c r="GO81" s="909">
        <v>0</v>
      </c>
      <c r="GP81" s="909">
        <v>0</v>
      </c>
      <c r="GQ81" s="909">
        <v>0</v>
      </c>
      <c r="GR81" s="910">
        <v>12296.187774248885</v>
      </c>
      <c r="GS81" s="909">
        <v>0</v>
      </c>
      <c r="GT81" s="909">
        <v>0</v>
      </c>
      <c r="GU81" s="909">
        <v>0</v>
      </c>
      <c r="GV81" s="910">
        <v>36866.284691268505</v>
      </c>
      <c r="GW81" s="871">
        <v>4000</v>
      </c>
      <c r="GX81" s="911">
        <v>214.39571437366757</v>
      </c>
      <c r="GY81" s="908">
        <v>12.0389022433869</v>
      </c>
      <c r="GZ81" s="902">
        <v>117.76187161430508</v>
      </c>
      <c r="HA81" s="902">
        <v>0</v>
      </c>
      <c r="HB81" s="902">
        <v>0</v>
      </c>
      <c r="HC81" s="902">
        <v>32.044252826121379</v>
      </c>
      <c r="HD81" s="902">
        <v>13.10246029283026</v>
      </c>
      <c r="HE81" s="902">
        <v>3600</v>
      </c>
      <c r="HF81" s="909" t="s">
        <v>2877</v>
      </c>
      <c r="HG81" s="909">
        <v>4</v>
      </c>
      <c r="HH81" s="909">
        <v>0</v>
      </c>
      <c r="HI81" s="909">
        <v>0</v>
      </c>
      <c r="HJ81" s="909">
        <v>0</v>
      </c>
      <c r="HK81" s="910">
        <v>12296.187774248885</v>
      </c>
      <c r="HL81" s="909">
        <v>0</v>
      </c>
      <c r="HM81" s="909">
        <v>0</v>
      </c>
      <c r="HN81" s="909">
        <v>0</v>
      </c>
      <c r="HO81" s="910">
        <v>36866.284691268505</v>
      </c>
      <c r="HP81" s="871">
        <v>4000</v>
      </c>
      <c r="HQ81" s="911">
        <v>214.39571437366757</v>
      </c>
      <c r="HR81" s="908">
        <v>12.0389022433869</v>
      </c>
      <c r="HS81" s="902">
        <v>117.76187161430508</v>
      </c>
      <c r="HT81" s="902">
        <v>0</v>
      </c>
      <c r="HU81" s="902">
        <v>0</v>
      </c>
      <c r="HV81" s="902">
        <v>32.044252826121379</v>
      </c>
      <c r="HW81" s="902">
        <v>13.10246029283026</v>
      </c>
      <c r="HX81" s="902">
        <v>3600</v>
      </c>
      <c r="HY81" s="909" t="s">
        <v>1063</v>
      </c>
      <c r="HZ81" s="909">
        <v>4</v>
      </c>
      <c r="IA81" s="909">
        <v>0</v>
      </c>
      <c r="IB81" s="909">
        <v>0</v>
      </c>
      <c r="IC81" s="909">
        <v>0</v>
      </c>
      <c r="ID81" s="910">
        <v>10844.218308271797</v>
      </c>
      <c r="IE81" s="909">
        <v>0</v>
      </c>
      <c r="IF81" s="909">
        <v>0</v>
      </c>
      <c r="IG81" s="909">
        <v>0</v>
      </c>
      <c r="IH81" s="910">
        <v>32513.007018668031</v>
      </c>
      <c r="II81" s="871">
        <v>4000</v>
      </c>
      <c r="IJ81" s="911">
        <v>214.39571437366757</v>
      </c>
      <c r="IK81" s="908">
        <v>12.0389022433869</v>
      </c>
      <c r="IL81" s="902">
        <v>117.76187161430508</v>
      </c>
      <c r="IM81" s="902">
        <v>0</v>
      </c>
      <c r="IN81" s="902">
        <v>0</v>
      </c>
      <c r="IO81" s="902">
        <v>32.044252826121379</v>
      </c>
      <c r="IP81" s="902">
        <v>13.10246029283026</v>
      </c>
      <c r="IQ81" s="902">
        <v>3600</v>
      </c>
      <c r="IR81" s="909" t="s">
        <v>1063</v>
      </c>
      <c r="IS81" s="909">
        <v>4</v>
      </c>
      <c r="IT81" s="909">
        <v>0</v>
      </c>
      <c r="IU81" s="909">
        <v>0</v>
      </c>
      <c r="IV81" s="909">
        <v>0</v>
      </c>
      <c r="IW81" s="910">
        <v>10844.218308271797</v>
      </c>
      <c r="IX81" s="909">
        <v>0</v>
      </c>
      <c r="IY81" s="909">
        <v>0</v>
      </c>
      <c r="IZ81" s="909">
        <v>0</v>
      </c>
      <c r="JA81" s="910">
        <v>32513.007018668031</v>
      </c>
      <c r="JB81" s="871">
        <v>4000</v>
      </c>
      <c r="JC81" s="911">
        <v>214.39571437366757</v>
      </c>
      <c r="JD81" s="908">
        <v>12.0389022433869</v>
      </c>
      <c r="JE81" s="902">
        <v>117.76187161430508</v>
      </c>
      <c r="JF81" s="902">
        <v>0</v>
      </c>
      <c r="JG81" s="902">
        <v>0</v>
      </c>
      <c r="JH81" s="902">
        <v>32.044252826121379</v>
      </c>
      <c r="JI81" s="902">
        <v>13.10246029283026</v>
      </c>
      <c r="JJ81" s="902">
        <v>3600</v>
      </c>
      <c r="JK81" s="909" t="s">
        <v>1064</v>
      </c>
      <c r="JL81" s="909">
        <v>4</v>
      </c>
      <c r="JM81" s="909">
        <v>0</v>
      </c>
      <c r="JN81" s="909">
        <v>0</v>
      </c>
      <c r="JO81" s="909">
        <v>0</v>
      </c>
      <c r="JP81" s="910">
        <v>14778.178504262591</v>
      </c>
      <c r="JQ81" s="909">
        <v>0</v>
      </c>
      <c r="JR81" s="909">
        <v>0</v>
      </c>
      <c r="JS81" s="909">
        <v>0</v>
      </c>
      <c r="JT81" s="910">
        <v>44307.759930073902</v>
      </c>
      <c r="JU81" s="871">
        <v>4000</v>
      </c>
      <c r="JV81" s="911">
        <v>214.39571437366757</v>
      </c>
      <c r="JW81" s="908">
        <v>12.0389022433869</v>
      </c>
      <c r="JX81" s="902">
        <v>117.76187161430508</v>
      </c>
      <c r="JY81" s="902">
        <v>0</v>
      </c>
      <c r="JZ81" s="902">
        <v>0</v>
      </c>
      <c r="KA81" s="902">
        <v>32.044252826121379</v>
      </c>
      <c r="KB81" s="902">
        <v>13.10246029283026</v>
      </c>
      <c r="KC81" s="902">
        <v>3600</v>
      </c>
      <c r="KD81" s="909" t="s">
        <v>1064</v>
      </c>
      <c r="KE81" s="909">
        <v>4</v>
      </c>
      <c r="KF81" s="909">
        <v>0</v>
      </c>
      <c r="KG81" s="909">
        <v>0</v>
      </c>
      <c r="KH81" s="909">
        <v>0</v>
      </c>
      <c r="KI81" s="910">
        <v>14778.178504262591</v>
      </c>
      <c r="KJ81" s="909">
        <v>0</v>
      </c>
      <c r="KK81" s="909">
        <v>0</v>
      </c>
      <c r="KL81" s="909">
        <v>0</v>
      </c>
      <c r="KM81" s="910">
        <v>44307.759930073902</v>
      </c>
      <c r="KN81" s="871">
        <v>4000</v>
      </c>
      <c r="KO81" s="912">
        <v>214.39571437366757</v>
      </c>
    </row>
    <row r="82" spans="1:301" ht="15" customHeight="1">
      <c r="A82" s="1396" t="s">
        <v>2339</v>
      </c>
      <c r="B82" s="888" t="s">
        <v>1073</v>
      </c>
      <c r="C82" s="888">
        <v>191</v>
      </c>
      <c r="D82" s="888">
        <v>1070</v>
      </c>
      <c r="E82" s="888">
        <v>190</v>
      </c>
      <c r="F82" s="888">
        <v>160.55790536280358</v>
      </c>
      <c r="G82" s="888">
        <v>74.401109333046989</v>
      </c>
      <c r="H82" s="888">
        <v>59.477790137365574</v>
      </c>
      <c r="I82" s="888">
        <v>31</v>
      </c>
      <c r="J82" s="888">
        <v>58.20982100753271</v>
      </c>
      <c r="K82" s="888">
        <v>85</v>
      </c>
      <c r="L82" s="888">
        <v>16</v>
      </c>
      <c r="M82" s="888">
        <v>465.21785954476854</v>
      </c>
      <c r="N82" s="888">
        <v>6</v>
      </c>
      <c r="O82" s="884">
        <v>41.017010676386768</v>
      </c>
      <c r="P82" s="888">
        <v>6</v>
      </c>
      <c r="Q82" s="884">
        <v>28.348340591909952</v>
      </c>
      <c r="R82" s="888">
        <v>18.000000000000004</v>
      </c>
      <c r="S82" s="888">
        <v>615.27895268140185</v>
      </c>
      <c r="T82" s="906">
        <v>42.01227130704941</v>
      </c>
      <c r="U82" s="906">
        <v>92.291842902210277</v>
      </c>
      <c r="V82" s="906">
        <v>47.5</v>
      </c>
      <c r="W82" s="1141">
        <v>1.8708589566420439</v>
      </c>
      <c r="X82" s="902">
        <v>0</v>
      </c>
      <c r="Y82" s="902">
        <v>0</v>
      </c>
      <c r="Z82" s="902">
        <v>0</v>
      </c>
      <c r="AA82" s="902">
        <v>0</v>
      </c>
      <c r="AB82" s="970">
        <v>11.891270566003465</v>
      </c>
      <c r="AC82" s="1045">
        <v>4000</v>
      </c>
      <c r="AD82" s="890">
        <v>2.1554414142563849</v>
      </c>
      <c r="AE82" s="890">
        <v>1.6134523457246996</v>
      </c>
      <c r="AF82" s="890">
        <v>-0.10984050792750309</v>
      </c>
      <c r="AG82" s="890">
        <v>0.67289966497078557</v>
      </c>
      <c r="AH82" s="888"/>
      <c r="AI82" s="907">
        <v>4.2129753501218854</v>
      </c>
      <c r="AJ82" s="908">
        <v>10.573481226648351</v>
      </c>
      <c r="AK82" s="902">
        <v>123.82196275863652</v>
      </c>
      <c r="AL82" s="902">
        <v>0</v>
      </c>
      <c r="AM82" s="902">
        <v>0</v>
      </c>
      <c r="AN82" s="902">
        <v>26.341313712652511</v>
      </c>
      <c r="AO82" s="902">
        <v>15.00308800551775</v>
      </c>
      <c r="AP82" s="1222">
        <v>3550</v>
      </c>
      <c r="AQ82" s="909" t="s">
        <v>1062</v>
      </c>
      <c r="AR82" s="909">
        <v>4</v>
      </c>
      <c r="AS82" s="909">
        <v>0</v>
      </c>
      <c r="AT82" s="909">
        <v>0</v>
      </c>
      <c r="AU82" s="909">
        <v>0</v>
      </c>
      <c r="AV82" s="910">
        <v>14974.934229283566</v>
      </c>
      <c r="AW82" s="909">
        <v>0</v>
      </c>
      <c r="AX82" s="909">
        <v>0</v>
      </c>
      <c r="AY82" s="909">
        <v>0</v>
      </c>
      <c r="AZ82" s="910">
        <v>45904.024364851888</v>
      </c>
      <c r="BA82" s="871">
        <v>4000</v>
      </c>
      <c r="BB82" s="911">
        <v>224.10027595607193</v>
      </c>
      <c r="BC82" s="908">
        <v>10.573481226648351</v>
      </c>
      <c r="BD82" s="902">
        <v>123.82196275863652</v>
      </c>
      <c r="BE82" s="902">
        <v>0</v>
      </c>
      <c r="BF82" s="902">
        <v>0</v>
      </c>
      <c r="BG82" s="902">
        <v>26.341313712652511</v>
      </c>
      <c r="BH82" s="902">
        <v>15.00308800551775</v>
      </c>
      <c r="BI82" s="902">
        <v>3600</v>
      </c>
      <c r="BJ82" s="909" t="s">
        <v>1062</v>
      </c>
      <c r="BK82" s="909">
        <v>4</v>
      </c>
      <c r="BL82" s="909">
        <v>0</v>
      </c>
      <c r="BM82" s="909">
        <v>0</v>
      </c>
      <c r="BN82" s="909">
        <v>0</v>
      </c>
      <c r="BO82" s="910">
        <v>14974.934229283566</v>
      </c>
      <c r="BP82" s="909">
        <v>0</v>
      </c>
      <c r="BQ82" s="909">
        <v>0</v>
      </c>
      <c r="BR82" s="909">
        <v>0</v>
      </c>
      <c r="BS82" s="910">
        <v>45904.024364851888</v>
      </c>
      <c r="BT82" s="871">
        <v>4000</v>
      </c>
      <c r="BU82" s="911">
        <v>224.10027595607193</v>
      </c>
      <c r="BV82" s="908">
        <v>10.573481226648351</v>
      </c>
      <c r="BW82" s="902">
        <v>123.82196275863652</v>
      </c>
      <c r="BX82" s="902">
        <v>0</v>
      </c>
      <c r="BY82" s="902">
        <v>0</v>
      </c>
      <c r="BZ82" s="902">
        <v>26.341313712652511</v>
      </c>
      <c r="CA82" s="902">
        <v>15.00308800551775</v>
      </c>
      <c r="CB82" s="902">
        <v>3550</v>
      </c>
      <c r="CC82" s="909" t="s">
        <v>2874</v>
      </c>
      <c r="CD82" s="909">
        <v>4</v>
      </c>
      <c r="CE82" s="909">
        <v>0</v>
      </c>
      <c r="CF82" s="909">
        <v>0</v>
      </c>
      <c r="CG82" s="909">
        <v>0</v>
      </c>
      <c r="CH82" s="910">
        <v>14672.379117393126</v>
      </c>
      <c r="CI82" s="909">
        <v>0</v>
      </c>
      <c r="CJ82" s="909">
        <v>0</v>
      </c>
      <c r="CK82" s="909">
        <v>0</v>
      </c>
      <c r="CL82" s="910">
        <v>44976.57473366952</v>
      </c>
      <c r="CM82" s="871">
        <v>4000</v>
      </c>
      <c r="CN82" s="911">
        <v>224.10027595607193</v>
      </c>
      <c r="CO82" s="908">
        <v>10.573481226648351</v>
      </c>
      <c r="CP82" s="902">
        <v>123.82196275863652</v>
      </c>
      <c r="CQ82" s="902">
        <v>0</v>
      </c>
      <c r="CR82" s="902">
        <v>0</v>
      </c>
      <c r="CS82" s="902">
        <v>26.341313712652511</v>
      </c>
      <c r="CT82" s="902">
        <v>15.00308800551775</v>
      </c>
      <c r="CU82" s="902">
        <v>3600</v>
      </c>
      <c r="CV82" s="909" t="s">
        <v>2874</v>
      </c>
      <c r="CW82" s="909">
        <v>4</v>
      </c>
      <c r="CX82" s="909">
        <v>0</v>
      </c>
      <c r="CY82" s="909">
        <v>0</v>
      </c>
      <c r="CZ82" s="909">
        <v>0</v>
      </c>
      <c r="DA82" s="910">
        <v>14672.379117393126</v>
      </c>
      <c r="DB82" s="909">
        <v>0</v>
      </c>
      <c r="DC82" s="909">
        <v>0</v>
      </c>
      <c r="DD82" s="909">
        <v>0</v>
      </c>
      <c r="DE82" s="910">
        <v>44976.57473366952</v>
      </c>
      <c r="DF82" s="871">
        <v>4000</v>
      </c>
      <c r="DG82" s="911">
        <v>224.10027595607193</v>
      </c>
      <c r="DH82" s="908">
        <v>10.573481226648351</v>
      </c>
      <c r="DI82" s="902">
        <v>123.82196275863652</v>
      </c>
      <c r="DJ82" s="902">
        <v>0</v>
      </c>
      <c r="DK82" s="902">
        <v>0</v>
      </c>
      <c r="DL82" s="902">
        <v>26.341313712652511</v>
      </c>
      <c r="DM82" s="902">
        <v>15.00308800551775</v>
      </c>
      <c r="DN82" s="902">
        <v>3550</v>
      </c>
      <c r="DO82" s="909" t="s">
        <v>2875</v>
      </c>
      <c r="DP82" s="909">
        <v>4</v>
      </c>
      <c r="DQ82" s="909">
        <v>0</v>
      </c>
      <c r="DR82" s="909">
        <v>0</v>
      </c>
      <c r="DS82" s="909">
        <v>0</v>
      </c>
      <c r="DT82" s="910">
        <v>15271.496369977087</v>
      </c>
      <c r="DU82" s="909">
        <v>0</v>
      </c>
      <c r="DV82" s="909">
        <v>0</v>
      </c>
      <c r="DW82" s="909">
        <v>0</v>
      </c>
      <c r="DX82" s="910">
        <v>46813.103197763674</v>
      </c>
      <c r="DY82" s="871">
        <v>4000</v>
      </c>
      <c r="DZ82" s="911">
        <v>224.10027595607193</v>
      </c>
      <c r="EA82" s="908">
        <v>10.573481226648351</v>
      </c>
      <c r="EB82" s="902">
        <v>123.82196275863652</v>
      </c>
      <c r="EC82" s="902">
        <v>0</v>
      </c>
      <c r="ED82" s="902">
        <v>0</v>
      </c>
      <c r="EE82" s="902">
        <v>26.341313712652511</v>
      </c>
      <c r="EF82" s="902">
        <v>15.00308800551775</v>
      </c>
      <c r="EG82" s="902">
        <v>3600</v>
      </c>
      <c r="EH82" s="909" t="s">
        <v>2875</v>
      </c>
      <c r="EI82" s="909">
        <v>4</v>
      </c>
      <c r="EJ82" s="909">
        <v>0</v>
      </c>
      <c r="EK82" s="909">
        <v>0</v>
      </c>
      <c r="EL82" s="909">
        <v>0</v>
      </c>
      <c r="EM82" s="910">
        <v>15271.496369977087</v>
      </c>
      <c r="EN82" s="909">
        <v>0</v>
      </c>
      <c r="EO82" s="909">
        <v>0</v>
      </c>
      <c r="EP82" s="909">
        <v>0</v>
      </c>
      <c r="EQ82" s="910">
        <v>46813.103197763674</v>
      </c>
      <c r="ER82" s="871">
        <v>4000</v>
      </c>
      <c r="ES82" s="911">
        <v>224.10027595607193</v>
      </c>
      <c r="ET82" s="908">
        <v>10.573481226648351</v>
      </c>
      <c r="EU82" s="902">
        <v>123.82196275863652</v>
      </c>
      <c r="EV82" s="902">
        <v>0</v>
      </c>
      <c r="EW82" s="902">
        <v>0</v>
      </c>
      <c r="EX82" s="902">
        <v>26.341313712652511</v>
      </c>
      <c r="EY82" s="902">
        <v>15.00308800551775</v>
      </c>
      <c r="EZ82" s="902">
        <v>3550</v>
      </c>
      <c r="FA82" s="909" t="s">
        <v>3884</v>
      </c>
      <c r="FB82" s="909">
        <v>4</v>
      </c>
      <c r="FC82" s="909">
        <v>0</v>
      </c>
      <c r="FD82" s="909">
        <v>0</v>
      </c>
      <c r="FE82" s="909">
        <v>0</v>
      </c>
      <c r="FF82" s="910">
        <v>16266.942340286785</v>
      </c>
      <c r="FG82" s="909">
        <v>0</v>
      </c>
      <c r="FH82" s="909">
        <v>0</v>
      </c>
      <c r="FI82" s="909">
        <v>0</v>
      </c>
      <c r="FJ82" s="910">
        <v>49864.53403380925</v>
      </c>
      <c r="FK82" s="871">
        <v>4000</v>
      </c>
      <c r="FL82" s="911">
        <v>224.10027595607193</v>
      </c>
      <c r="FM82" s="908">
        <v>10.573481226648351</v>
      </c>
      <c r="FN82" s="902">
        <v>123.82196275863652</v>
      </c>
      <c r="FO82" s="902">
        <v>0</v>
      </c>
      <c r="FP82" s="902">
        <v>0</v>
      </c>
      <c r="FQ82" s="902">
        <v>26.341313712652511</v>
      </c>
      <c r="FR82" s="902">
        <v>15.00308800551775</v>
      </c>
      <c r="FS82" s="902">
        <v>3600</v>
      </c>
      <c r="FT82" s="909" t="s">
        <v>3884</v>
      </c>
      <c r="FU82" s="909">
        <v>4</v>
      </c>
      <c r="FV82" s="909">
        <v>0</v>
      </c>
      <c r="FW82" s="909">
        <v>0</v>
      </c>
      <c r="FX82" s="909">
        <v>0</v>
      </c>
      <c r="FY82" s="910">
        <v>16266.942340286785</v>
      </c>
      <c r="FZ82" s="909">
        <v>0</v>
      </c>
      <c r="GA82" s="909">
        <v>0</v>
      </c>
      <c r="GB82" s="909">
        <v>0</v>
      </c>
      <c r="GC82" s="910">
        <v>49864.53403380925</v>
      </c>
      <c r="GD82" s="871">
        <v>4000</v>
      </c>
      <c r="GE82" s="911">
        <v>224.10027595607193</v>
      </c>
      <c r="GF82" s="908">
        <v>10.573481226648351</v>
      </c>
      <c r="GG82" s="902">
        <v>123.82196275863652</v>
      </c>
      <c r="GH82" s="902">
        <v>0</v>
      </c>
      <c r="GI82" s="902">
        <v>0</v>
      </c>
      <c r="GJ82" s="902">
        <v>26.341313712652511</v>
      </c>
      <c r="GK82" s="902">
        <v>15.00308800551775</v>
      </c>
      <c r="GL82" s="902">
        <v>3550</v>
      </c>
      <c r="GM82" s="909" t="s">
        <v>2877</v>
      </c>
      <c r="GN82" s="909">
        <v>4</v>
      </c>
      <c r="GO82" s="909">
        <v>0</v>
      </c>
      <c r="GP82" s="909">
        <v>0</v>
      </c>
      <c r="GQ82" s="909">
        <v>0</v>
      </c>
      <c r="GR82" s="910">
        <v>20090.982537159889</v>
      </c>
      <c r="GS82" s="909">
        <v>0</v>
      </c>
      <c r="GT82" s="909">
        <v>0</v>
      </c>
      <c r="GU82" s="909">
        <v>0</v>
      </c>
      <c r="GV82" s="910">
        <v>61586.711352369275</v>
      </c>
      <c r="GW82" s="871">
        <v>4000</v>
      </c>
      <c r="GX82" s="911">
        <v>224.10027595607193</v>
      </c>
      <c r="GY82" s="908">
        <v>10.573481226648351</v>
      </c>
      <c r="GZ82" s="902">
        <v>123.82196275863652</v>
      </c>
      <c r="HA82" s="902">
        <v>0</v>
      </c>
      <c r="HB82" s="902">
        <v>0</v>
      </c>
      <c r="HC82" s="902">
        <v>26.341313712652511</v>
      </c>
      <c r="HD82" s="902">
        <v>15.00308800551775</v>
      </c>
      <c r="HE82" s="902">
        <v>3600</v>
      </c>
      <c r="HF82" s="909" t="s">
        <v>2877</v>
      </c>
      <c r="HG82" s="909">
        <v>4</v>
      </c>
      <c r="HH82" s="909">
        <v>0</v>
      </c>
      <c r="HI82" s="909">
        <v>0</v>
      </c>
      <c r="HJ82" s="909">
        <v>0</v>
      </c>
      <c r="HK82" s="910">
        <v>20090.982537159889</v>
      </c>
      <c r="HL82" s="909">
        <v>0</v>
      </c>
      <c r="HM82" s="909">
        <v>0</v>
      </c>
      <c r="HN82" s="909">
        <v>0</v>
      </c>
      <c r="HO82" s="910">
        <v>61586.711352369275</v>
      </c>
      <c r="HP82" s="871">
        <v>4000</v>
      </c>
      <c r="HQ82" s="911">
        <v>224.10027595607193</v>
      </c>
      <c r="HR82" s="908">
        <v>10.573481226648351</v>
      </c>
      <c r="HS82" s="902">
        <v>123.82196275863652</v>
      </c>
      <c r="HT82" s="902">
        <v>0</v>
      </c>
      <c r="HU82" s="902">
        <v>0</v>
      </c>
      <c r="HV82" s="902">
        <v>26.341313712652511</v>
      </c>
      <c r="HW82" s="902">
        <v>15.00308800551775</v>
      </c>
      <c r="HX82" s="902">
        <v>3550</v>
      </c>
      <c r="HY82" s="909" t="s">
        <v>1063</v>
      </c>
      <c r="HZ82" s="909">
        <v>4</v>
      </c>
      <c r="IA82" s="909">
        <v>0</v>
      </c>
      <c r="IB82" s="909">
        <v>0</v>
      </c>
      <c r="IC82" s="909">
        <v>0</v>
      </c>
      <c r="ID82" s="910">
        <v>17718.581129422193</v>
      </c>
      <c r="IE82" s="909">
        <v>0</v>
      </c>
      <c r="IF82" s="909">
        <v>0</v>
      </c>
      <c r="IG82" s="909">
        <v>0</v>
      </c>
      <c r="IH82" s="910">
        <v>54314.374101562484</v>
      </c>
      <c r="II82" s="871">
        <v>4000</v>
      </c>
      <c r="IJ82" s="911">
        <v>224.10027595607193</v>
      </c>
      <c r="IK82" s="908">
        <v>10.573481226648351</v>
      </c>
      <c r="IL82" s="902">
        <v>123.82196275863652</v>
      </c>
      <c r="IM82" s="902">
        <v>0</v>
      </c>
      <c r="IN82" s="902">
        <v>0</v>
      </c>
      <c r="IO82" s="902">
        <v>26.341313712652511</v>
      </c>
      <c r="IP82" s="902">
        <v>15.00308800551775</v>
      </c>
      <c r="IQ82" s="902">
        <v>3600</v>
      </c>
      <c r="IR82" s="909" t="s">
        <v>1063</v>
      </c>
      <c r="IS82" s="909">
        <v>4</v>
      </c>
      <c r="IT82" s="909">
        <v>0</v>
      </c>
      <c r="IU82" s="909">
        <v>0</v>
      </c>
      <c r="IV82" s="909">
        <v>0</v>
      </c>
      <c r="IW82" s="910">
        <v>17718.581129422193</v>
      </c>
      <c r="IX82" s="909">
        <v>0</v>
      </c>
      <c r="IY82" s="909">
        <v>0</v>
      </c>
      <c r="IZ82" s="909">
        <v>0</v>
      </c>
      <c r="JA82" s="910">
        <v>54314.374101562484</v>
      </c>
      <c r="JB82" s="871">
        <v>4000</v>
      </c>
      <c r="JC82" s="911">
        <v>224.10027595607193</v>
      </c>
      <c r="JD82" s="908">
        <v>10.573481226648351</v>
      </c>
      <c r="JE82" s="902">
        <v>123.82196275863652</v>
      </c>
      <c r="JF82" s="902">
        <v>0</v>
      </c>
      <c r="JG82" s="902">
        <v>0</v>
      </c>
      <c r="JH82" s="902">
        <v>26.341313712652511</v>
      </c>
      <c r="JI82" s="902">
        <v>15.00308800551775</v>
      </c>
      <c r="JJ82" s="902">
        <v>3550</v>
      </c>
      <c r="JK82" s="909" t="s">
        <v>1064</v>
      </c>
      <c r="JL82" s="909">
        <v>4</v>
      </c>
      <c r="JM82" s="909">
        <v>0</v>
      </c>
      <c r="JN82" s="909">
        <v>0</v>
      </c>
      <c r="JO82" s="909">
        <v>0</v>
      </c>
      <c r="JP82" s="910">
        <v>24146.355904060518</v>
      </c>
      <c r="JQ82" s="909">
        <v>0</v>
      </c>
      <c r="JR82" s="909">
        <v>0</v>
      </c>
      <c r="JS82" s="909">
        <v>0</v>
      </c>
      <c r="JT82" s="910">
        <v>74018.015222722519</v>
      </c>
      <c r="JU82" s="871">
        <v>4000</v>
      </c>
      <c r="JV82" s="911">
        <v>224.10027595607193</v>
      </c>
      <c r="JW82" s="908">
        <v>10.573481226648351</v>
      </c>
      <c r="JX82" s="902">
        <v>123.82196275863652</v>
      </c>
      <c r="JY82" s="902">
        <v>0</v>
      </c>
      <c r="JZ82" s="902">
        <v>0</v>
      </c>
      <c r="KA82" s="902">
        <v>26.341313712652511</v>
      </c>
      <c r="KB82" s="902">
        <v>15.00308800551775</v>
      </c>
      <c r="KC82" s="902">
        <v>3600</v>
      </c>
      <c r="KD82" s="909" t="s">
        <v>1064</v>
      </c>
      <c r="KE82" s="909">
        <v>4</v>
      </c>
      <c r="KF82" s="909">
        <v>0</v>
      </c>
      <c r="KG82" s="909">
        <v>0</v>
      </c>
      <c r="KH82" s="909">
        <v>0</v>
      </c>
      <c r="KI82" s="910">
        <v>24146.355904060518</v>
      </c>
      <c r="KJ82" s="909">
        <v>0</v>
      </c>
      <c r="KK82" s="909">
        <v>0</v>
      </c>
      <c r="KL82" s="909">
        <v>0</v>
      </c>
      <c r="KM82" s="910">
        <v>74018.015222722519</v>
      </c>
      <c r="KN82" s="871">
        <v>4000</v>
      </c>
      <c r="KO82" s="912">
        <v>224.10027595607193</v>
      </c>
    </row>
    <row r="83" spans="1:301" ht="15" customHeight="1">
      <c r="A83" s="1396" t="s">
        <v>1566</v>
      </c>
      <c r="B83" s="888" t="s">
        <v>1076</v>
      </c>
      <c r="C83" s="888">
        <v>335</v>
      </c>
      <c r="D83" s="888">
        <v>1020.9999999999999</v>
      </c>
      <c r="E83" s="888">
        <v>315</v>
      </c>
      <c r="F83" s="888">
        <v>293.79601868231651</v>
      </c>
      <c r="G83" s="888">
        <v>147.4875486692109</v>
      </c>
      <c r="H83" s="888">
        <v>120.3678201961102</v>
      </c>
      <c r="I83" s="888">
        <v>82</v>
      </c>
      <c r="J83" s="888">
        <v>39.99</v>
      </c>
      <c r="K83" s="888">
        <v>50</v>
      </c>
      <c r="L83" s="888">
        <v>16</v>
      </c>
      <c r="M83" s="888">
        <v>489.73709098494322</v>
      </c>
      <c r="N83" s="888">
        <v>6</v>
      </c>
      <c r="O83" s="884">
        <v>34.891685373501815</v>
      </c>
      <c r="P83" s="888">
        <v>6</v>
      </c>
      <c r="Q83" s="884">
        <v>22.575220270496278</v>
      </c>
      <c r="R83" s="888">
        <v>18.000000000000004</v>
      </c>
      <c r="S83" s="888">
        <v>657.39800934115817</v>
      </c>
      <c r="T83" s="906">
        <v>47.961064368444333</v>
      </c>
      <c r="U83" s="906">
        <v>98.609701401173723</v>
      </c>
      <c r="V83" s="906">
        <v>72.5</v>
      </c>
      <c r="W83" s="1141">
        <v>3.2598535937926996</v>
      </c>
      <c r="X83" s="902">
        <v>0</v>
      </c>
      <c r="Y83" s="902">
        <v>0</v>
      </c>
      <c r="Z83" s="902">
        <v>0</v>
      </c>
      <c r="AA83" s="902">
        <v>0</v>
      </c>
      <c r="AB83" s="970">
        <v>24.391442377846044</v>
      </c>
      <c r="AC83" s="1045">
        <v>4000</v>
      </c>
      <c r="AD83" s="890">
        <v>0.33488994309993636</v>
      </c>
      <c r="AE83" s="890">
        <v>0.83880225522834062</v>
      </c>
      <c r="AF83" s="890">
        <v>-0.15776459761553796</v>
      </c>
      <c r="AG83" s="890">
        <v>1.168546629272831</v>
      </c>
      <c r="AH83" s="888"/>
      <c r="AI83" s="907">
        <v>4.6843548107751518</v>
      </c>
      <c r="AJ83" s="908">
        <v>31.119606657547418</v>
      </c>
      <c r="AK83" s="902">
        <v>139.80743026378252</v>
      </c>
      <c r="AL83" s="902">
        <v>0</v>
      </c>
      <c r="AM83" s="902">
        <v>0</v>
      </c>
      <c r="AN83" s="902">
        <v>47.853541410646997</v>
      </c>
      <c r="AO83" s="902">
        <v>16.223069384745624</v>
      </c>
      <c r="AP83" s="1222">
        <v>3550</v>
      </c>
      <c r="AQ83" s="909" t="s">
        <v>1062</v>
      </c>
      <c r="AR83" s="909">
        <v>5</v>
      </c>
      <c r="AS83" s="909">
        <v>0</v>
      </c>
      <c r="AT83" s="909">
        <v>0</v>
      </c>
      <c r="AU83" s="909">
        <v>0</v>
      </c>
      <c r="AV83" s="910">
        <v>4686.8842134529341</v>
      </c>
      <c r="AW83" s="909">
        <v>0</v>
      </c>
      <c r="AX83" s="909">
        <v>0</v>
      </c>
      <c r="AY83" s="909">
        <v>0</v>
      </c>
      <c r="AZ83" s="910">
        <v>4751.7003273010232</v>
      </c>
      <c r="BA83" s="871">
        <v>4000</v>
      </c>
      <c r="BB83" s="911">
        <v>213.83773995434521</v>
      </c>
      <c r="BC83" s="908">
        <v>31.119606657547418</v>
      </c>
      <c r="BD83" s="902">
        <v>139.80743026378252</v>
      </c>
      <c r="BE83" s="902">
        <v>0</v>
      </c>
      <c r="BF83" s="902">
        <v>0</v>
      </c>
      <c r="BG83" s="902">
        <v>47.853541410646997</v>
      </c>
      <c r="BH83" s="902">
        <v>16.223069384745624</v>
      </c>
      <c r="BI83" s="902">
        <v>3600</v>
      </c>
      <c r="BJ83" s="909" t="s">
        <v>1062</v>
      </c>
      <c r="BK83" s="909">
        <v>5</v>
      </c>
      <c r="BL83" s="909">
        <v>0</v>
      </c>
      <c r="BM83" s="909">
        <v>0</v>
      </c>
      <c r="BN83" s="909">
        <v>0</v>
      </c>
      <c r="BO83" s="910">
        <v>4686.8842134529341</v>
      </c>
      <c r="BP83" s="909">
        <v>0</v>
      </c>
      <c r="BQ83" s="909">
        <v>0</v>
      </c>
      <c r="BR83" s="909">
        <v>0</v>
      </c>
      <c r="BS83" s="910">
        <v>4751.7003273010232</v>
      </c>
      <c r="BT83" s="871">
        <v>4000</v>
      </c>
      <c r="BU83" s="911">
        <v>213.83773995434521</v>
      </c>
      <c r="BV83" s="908">
        <v>31.119606657547418</v>
      </c>
      <c r="BW83" s="902">
        <v>139.80743026378252</v>
      </c>
      <c r="BX83" s="902">
        <v>0</v>
      </c>
      <c r="BY83" s="902">
        <v>0</v>
      </c>
      <c r="BZ83" s="902">
        <v>47.853541410646997</v>
      </c>
      <c r="CA83" s="902">
        <v>16.223069384745624</v>
      </c>
      <c r="CB83" s="902">
        <v>3550</v>
      </c>
      <c r="CC83" s="909" t="s">
        <v>2874</v>
      </c>
      <c r="CD83" s="909">
        <v>5</v>
      </c>
      <c r="CE83" s="909">
        <v>0</v>
      </c>
      <c r="CF83" s="909">
        <v>0</v>
      </c>
      <c r="CG83" s="909">
        <v>0</v>
      </c>
      <c r="CH83" s="910">
        <v>4592.1899225861462</v>
      </c>
      <c r="CI83" s="909">
        <v>0</v>
      </c>
      <c r="CJ83" s="909">
        <v>0</v>
      </c>
      <c r="CK83" s="909">
        <v>0</v>
      </c>
      <c r="CL83" s="910">
        <v>4655.696485001331</v>
      </c>
      <c r="CM83" s="871">
        <v>4000</v>
      </c>
      <c r="CN83" s="911">
        <v>213.83773995434521</v>
      </c>
      <c r="CO83" s="908">
        <v>31.119606657547418</v>
      </c>
      <c r="CP83" s="902">
        <v>139.80743026378252</v>
      </c>
      <c r="CQ83" s="902">
        <v>0</v>
      </c>
      <c r="CR83" s="902">
        <v>0</v>
      </c>
      <c r="CS83" s="902">
        <v>47.853541410646997</v>
      </c>
      <c r="CT83" s="902">
        <v>16.223069384745624</v>
      </c>
      <c r="CU83" s="902">
        <v>3600</v>
      </c>
      <c r="CV83" s="909" t="s">
        <v>2874</v>
      </c>
      <c r="CW83" s="909">
        <v>5</v>
      </c>
      <c r="CX83" s="909">
        <v>0</v>
      </c>
      <c r="CY83" s="909">
        <v>0</v>
      </c>
      <c r="CZ83" s="909">
        <v>0</v>
      </c>
      <c r="DA83" s="910">
        <v>4592.1899225861462</v>
      </c>
      <c r="DB83" s="909">
        <v>0</v>
      </c>
      <c r="DC83" s="909">
        <v>0</v>
      </c>
      <c r="DD83" s="909">
        <v>0</v>
      </c>
      <c r="DE83" s="910">
        <v>4655.696485001331</v>
      </c>
      <c r="DF83" s="871">
        <v>4000</v>
      </c>
      <c r="DG83" s="911">
        <v>213.83773995434521</v>
      </c>
      <c r="DH83" s="908">
        <v>24.895685326037935</v>
      </c>
      <c r="DI83" s="902">
        <v>133.58350893227305</v>
      </c>
      <c r="DJ83" s="902">
        <v>0</v>
      </c>
      <c r="DK83" s="902">
        <v>0</v>
      </c>
      <c r="DL83" s="902">
        <v>47.279045012758203</v>
      </c>
      <c r="DM83" s="902">
        <v>15.324750591224532</v>
      </c>
      <c r="DN83" s="902">
        <v>3550</v>
      </c>
      <c r="DO83" s="909" t="s">
        <v>2875</v>
      </c>
      <c r="DP83" s="909">
        <v>4</v>
      </c>
      <c r="DQ83" s="909">
        <v>0</v>
      </c>
      <c r="DR83" s="909">
        <v>0</v>
      </c>
      <c r="DS83" s="909">
        <v>0</v>
      </c>
      <c r="DT83" s="910">
        <v>4064.2505346834232</v>
      </c>
      <c r="DU83" s="909">
        <v>0</v>
      </c>
      <c r="DV83" s="909">
        <v>0</v>
      </c>
      <c r="DW83" s="909">
        <v>0</v>
      </c>
      <c r="DX83" s="910">
        <v>3979.5322821204231</v>
      </c>
      <c r="DY83" s="871">
        <v>3979.5322821204231</v>
      </c>
      <c r="DZ83" s="911">
        <v>212.74354732099724</v>
      </c>
      <c r="EA83" s="908">
        <v>24.895685326037935</v>
      </c>
      <c r="EB83" s="902">
        <v>133.58350893227305</v>
      </c>
      <c r="EC83" s="902">
        <v>0</v>
      </c>
      <c r="ED83" s="902">
        <v>0</v>
      </c>
      <c r="EE83" s="902">
        <v>47.279045012758203</v>
      </c>
      <c r="EF83" s="902">
        <v>15.324750591224532</v>
      </c>
      <c r="EG83" s="902">
        <v>3600</v>
      </c>
      <c r="EH83" s="909" t="s">
        <v>2875</v>
      </c>
      <c r="EI83" s="909">
        <v>4</v>
      </c>
      <c r="EJ83" s="909">
        <v>0</v>
      </c>
      <c r="EK83" s="909">
        <v>0</v>
      </c>
      <c r="EL83" s="909">
        <v>0</v>
      </c>
      <c r="EM83" s="910">
        <v>4064.2505346834232</v>
      </c>
      <c r="EN83" s="909">
        <v>0</v>
      </c>
      <c r="EO83" s="909">
        <v>0</v>
      </c>
      <c r="EP83" s="909">
        <v>0</v>
      </c>
      <c r="EQ83" s="910">
        <v>3979.5322821204231</v>
      </c>
      <c r="ER83" s="871">
        <v>3979.5322821204231</v>
      </c>
      <c r="ES83" s="911">
        <v>212.74354732099724</v>
      </c>
      <c r="ET83" s="908">
        <v>24.895685326037935</v>
      </c>
      <c r="EU83" s="902">
        <v>133.58350893227305</v>
      </c>
      <c r="EV83" s="902">
        <v>0</v>
      </c>
      <c r="EW83" s="902">
        <v>0</v>
      </c>
      <c r="EX83" s="902">
        <v>47.279045012758203</v>
      </c>
      <c r="EY83" s="902">
        <v>15.324750591224532</v>
      </c>
      <c r="EZ83" s="902">
        <v>3550</v>
      </c>
      <c r="FA83" s="909" t="s">
        <v>3884</v>
      </c>
      <c r="FB83" s="909">
        <v>4</v>
      </c>
      <c r="FC83" s="909">
        <v>0</v>
      </c>
      <c r="FD83" s="909">
        <v>0</v>
      </c>
      <c r="FE83" s="909">
        <v>0</v>
      </c>
      <c r="FF83" s="910">
        <v>4329.1716477862201</v>
      </c>
      <c r="FG83" s="909">
        <v>0</v>
      </c>
      <c r="FH83" s="909">
        <v>0</v>
      </c>
      <c r="FI83" s="909">
        <v>0</v>
      </c>
      <c r="FJ83" s="910">
        <v>4238.9311830520992</v>
      </c>
      <c r="FK83" s="871">
        <v>4000</v>
      </c>
      <c r="FL83" s="911">
        <v>213.83773995434521</v>
      </c>
      <c r="FM83" s="908">
        <v>24.895685326037935</v>
      </c>
      <c r="FN83" s="902">
        <v>133.58350893227305</v>
      </c>
      <c r="FO83" s="902">
        <v>0</v>
      </c>
      <c r="FP83" s="902">
        <v>0</v>
      </c>
      <c r="FQ83" s="902">
        <v>47.279045012758203</v>
      </c>
      <c r="FR83" s="902">
        <v>15.324750591224532</v>
      </c>
      <c r="FS83" s="902">
        <v>3600</v>
      </c>
      <c r="FT83" s="909" t="s">
        <v>3884</v>
      </c>
      <c r="FU83" s="909">
        <v>4</v>
      </c>
      <c r="FV83" s="909">
        <v>0</v>
      </c>
      <c r="FW83" s="909">
        <v>0</v>
      </c>
      <c r="FX83" s="909">
        <v>0</v>
      </c>
      <c r="FY83" s="910">
        <v>4329.1716477862201</v>
      </c>
      <c r="FZ83" s="909">
        <v>0</v>
      </c>
      <c r="GA83" s="909">
        <v>0</v>
      </c>
      <c r="GB83" s="909">
        <v>0</v>
      </c>
      <c r="GC83" s="910">
        <v>4238.9311830520992</v>
      </c>
      <c r="GD83" s="871">
        <v>4000</v>
      </c>
      <c r="GE83" s="911">
        <v>213.83773995434521</v>
      </c>
      <c r="GF83" s="908">
        <v>24.895685326037935</v>
      </c>
      <c r="GG83" s="902">
        <v>133.58350893227305</v>
      </c>
      <c r="GH83" s="902">
        <v>0</v>
      </c>
      <c r="GI83" s="902">
        <v>0</v>
      </c>
      <c r="GJ83" s="902">
        <v>47.279045012758203</v>
      </c>
      <c r="GK83" s="902">
        <v>15.324750591224532</v>
      </c>
      <c r="GL83" s="902">
        <v>3550</v>
      </c>
      <c r="GM83" s="909" t="s">
        <v>2877</v>
      </c>
      <c r="GN83" s="909">
        <v>4</v>
      </c>
      <c r="GO83" s="909">
        <v>0</v>
      </c>
      <c r="GP83" s="909">
        <v>0</v>
      </c>
      <c r="GQ83" s="909">
        <v>0</v>
      </c>
      <c r="GR83" s="910">
        <v>5346.8752858754669</v>
      </c>
      <c r="GS83" s="909">
        <v>0</v>
      </c>
      <c r="GT83" s="909">
        <v>0</v>
      </c>
      <c r="GU83" s="909">
        <v>0</v>
      </c>
      <c r="GV83" s="910">
        <v>5235.4210516873809</v>
      </c>
      <c r="GW83" s="871">
        <v>4000</v>
      </c>
      <c r="GX83" s="911">
        <v>213.83773995434521</v>
      </c>
      <c r="GY83" s="908">
        <v>24.895685326037935</v>
      </c>
      <c r="GZ83" s="902">
        <v>133.58350893227305</v>
      </c>
      <c r="HA83" s="902">
        <v>0</v>
      </c>
      <c r="HB83" s="902">
        <v>0</v>
      </c>
      <c r="HC83" s="902">
        <v>47.279045012758203</v>
      </c>
      <c r="HD83" s="902">
        <v>15.324750591224532</v>
      </c>
      <c r="HE83" s="902">
        <v>3600</v>
      </c>
      <c r="HF83" s="909" t="s">
        <v>2877</v>
      </c>
      <c r="HG83" s="909">
        <v>4</v>
      </c>
      <c r="HH83" s="909">
        <v>0</v>
      </c>
      <c r="HI83" s="909">
        <v>0</v>
      </c>
      <c r="HJ83" s="909">
        <v>0</v>
      </c>
      <c r="HK83" s="910">
        <v>5346.8752858754669</v>
      </c>
      <c r="HL83" s="909">
        <v>0</v>
      </c>
      <c r="HM83" s="909">
        <v>0</v>
      </c>
      <c r="HN83" s="909">
        <v>0</v>
      </c>
      <c r="HO83" s="910">
        <v>5235.4210516873809</v>
      </c>
      <c r="HP83" s="871">
        <v>4000</v>
      </c>
      <c r="HQ83" s="911">
        <v>213.83773995434521</v>
      </c>
      <c r="HR83" s="908">
        <v>24.895685326037935</v>
      </c>
      <c r="HS83" s="902">
        <v>133.58350893227305</v>
      </c>
      <c r="HT83" s="902">
        <v>0</v>
      </c>
      <c r="HU83" s="902">
        <v>0</v>
      </c>
      <c r="HV83" s="902">
        <v>47.279045012758203</v>
      </c>
      <c r="HW83" s="902">
        <v>15.324750591224532</v>
      </c>
      <c r="HX83" s="902">
        <v>3550</v>
      </c>
      <c r="HY83" s="909" t="s">
        <v>1063</v>
      </c>
      <c r="HZ83" s="909">
        <v>4</v>
      </c>
      <c r="IA83" s="909">
        <v>0</v>
      </c>
      <c r="IB83" s="909">
        <v>0</v>
      </c>
      <c r="IC83" s="909">
        <v>0</v>
      </c>
      <c r="ID83" s="910">
        <v>4715.5007659012899</v>
      </c>
      <c r="IE83" s="909">
        <v>0</v>
      </c>
      <c r="IF83" s="909">
        <v>0</v>
      </c>
      <c r="IG83" s="909">
        <v>0</v>
      </c>
      <c r="IH83" s="910">
        <v>4617.2073704923478</v>
      </c>
      <c r="II83" s="871">
        <v>4000</v>
      </c>
      <c r="IJ83" s="911">
        <v>213.83773995434521</v>
      </c>
      <c r="IK83" s="908">
        <v>24.895685326037935</v>
      </c>
      <c r="IL83" s="902">
        <v>133.58350893227305</v>
      </c>
      <c r="IM83" s="902">
        <v>0</v>
      </c>
      <c r="IN83" s="902">
        <v>0</v>
      </c>
      <c r="IO83" s="902">
        <v>47.279045012758203</v>
      </c>
      <c r="IP83" s="902">
        <v>15.324750591224532</v>
      </c>
      <c r="IQ83" s="902">
        <v>3600</v>
      </c>
      <c r="IR83" s="909" t="s">
        <v>1063</v>
      </c>
      <c r="IS83" s="909">
        <v>4</v>
      </c>
      <c r="IT83" s="909">
        <v>0</v>
      </c>
      <c r="IU83" s="909">
        <v>0</v>
      </c>
      <c r="IV83" s="909">
        <v>0</v>
      </c>
      <c r="IW83" s="910">
        <v>4715.5007659012899</v>
      </c>
      <c r="IX83" s="909">
        <v>0</v>
      </c>
      <c r="IY83" s="909">
        <v>0</v>
      </c>
      <c r="IZ83" s="909">
        <v>0</v>
      </c>
      <c r="JA83" s="910">
        <v>4617.2073704923478</v>
      </c>
      <c r="JB83" s="871">
        <v>4000</v>
      </c>
      <c r="JC83" s="911">
        <v>213.83773995434521</v>
      </c>
      <c r="JD83" s="908">
        <v>24.895685326037935</v>
      </c>
      <c r="JE83" s="902">
        <v>133.58350893227305</v>
      </c>
      <c r="JF83" s="902">
        <v>0</v>
      </c>
      <c r="JG83" s="902">
        <v>0</v>
      </c>
      <c r="JH83" s="902">
        <v>47.279045012758203</v>
      </c>
      <c r="JI83" s="902">
        <v>15.324750591224532</v>
      </c>
      <c r="JJ83" s="902">
        <v>3550</v>
      </c>
      <c r="JK83" s="909" t="s">
        <v>1064</v>
      </c>
      <c r="JL83" s="909">
        <v>4</v>
      </c>
      <c r="JM83" s="909">
        <v>0</v>
      </c>
      <c r="JN83" s="909">
        <v>0</v>
      </c>
      <c r="JO83" s="909">
        <v>0</v>
      </c>
      <c r="JP83" s="910">
        <v>6426.1443355783895</v>
      </c>
      <c r="JQ83" s="909">
        <v>0</v>
      </c>
      <c r="JR83" s="909">
        <v>0</v>
      </c>
      <c r="JS83" s="909">
        <v>0</v>
      </c>
      <c r="JT83" s="910">
        <v>6292.1930168341514</v>
      </c>
      <c r="JU83" s="871">
        <v>4000</v>
      </c>
      <c r="JV83" s="911">
        <v>213.83773995434521</v>
      </c>
      <c r="JW83" s="908">
        <v>24.895685326037935</v>
      </c>
      <c r="JX83" s="902">
        <v>133.58350893227305</v>
      </c>
      <c r="JY83" s="902">
        <v>0</v>
      </c>
      <c r="JZ83" s="902">
        <v>0</v>
      </c>
      <c r="KA83" s="902">
        <v>47.279045012758203</v>
      </c>
      <c r="KB83" s="902">
        <v>15.324750591224532</v>
      </c>
      <c r="KC83" s="902">
        <v>3600</v>
      </c>
      <c r="KD83" s="909" t="s">
        <v>1064</v>
      </c>
      <c r="KE83" s="909">
        <v>4</v>
      </c>
      <c r="KF83" s="909">
        <v>0</v>
      </c>
      <c r="KG83" s="909">
        <v>0</v>
      </c>
      <c r="KH83" s="909">
        <v>0</v>
      </c>
      <c r="KI83" s="910">
        <v>6426.1443355783895</v>
      </c>
      <c r="KJ83" s="909">
        <v>0</v>
      </c>
      <c r="KK83" s="909">
        <v>0</v>
      </c>
      <c r="KL83" s="909">
        <v>0</v>
      </c>
      <c r="KM83" s="910">
        <v>6292.1930168341514</v>
      </c>
      <c r="KN83" s="871">
        <v>4000</v>
      </c>
      <c r="KO83" s="912">
        <v>213.83773995434521</v>
      </c>
    </row>
    <row r="84" spans="1:301" ht="15" customHeight="1">
      <c r="A84" s="1396" t="s">
        <v>2341</v>
      </c>
      <c r="B84" s="888" t="s">
        <v>1073</v>
      </c>
      <c r="C84" s="888">
        <v>220.31769407996018</v>
      </c>
      <c r="D84" s="888">
        <v>603</v>
      </c>
      <c r="E84" s="888">
        <v>225</v>
      </c>
      <c r="F84" s="888">
        <v>177.29647790298318</v>
      </c>
      <c r="G84" s="888">
        <v>100.04596427285884</v>
      </c>
      <c r="H84" s="888">
        <v>82.447509035567023</v>
      </c>
      <c r="I84" s="888">
        <v>57.671967144017238</v>
      </c>
      <c r="J84" s="888">
        <v>40.580563085294642</v>
      </c>
      <c r="K84" s="888">
        <v>62.828080609356924</v>
      </c>
      <c r="L84" s="888">
        <v>10</v>
      </c>
      <c r="M84" s="888">
        <v>248.73106164118255</v>
      </c>
      <c r="N84" s="888">
        <v>4</v>
      </c>
      <c r="O84" s="884">
        <v>7.7186556454655104</v>
      </c>
      <c r="P84" s="888">
        <v>4</v>
      </c>
      <c r="Q84" s="884">
        <v>5.213277634235304</v>
      </c>
      <c r="R84" s="888">
        <v>13.000000000000002</v>
      </c>
      <c r="S84" s="888">
        <v>390.14823895149158</v>
      </c>
      <c r="T84" s="906">
        <v>12.200066341842845</v>
      </c>
      <c r="U84" s="906">
        <v>58.522235842723731</v>
      </c>
      <c r="V84" s="906">
        <v>47.5</v>
      </c>
      <c r="W84" s="1141">
        <v>0.75223966747180016</v>
      </c>
      <c r="X84" s="902">
        <v>0</v>
      </c>
      <c r="Y84" s="902">
        <v>0</v>
      </c>
      <c r="Z84" s="902">
        <v>0</v>
      </c>
      <c r="AA84" s="902">
        <v>0</v>
      </c>
      <c r="AB84" s="970">
        <v>3.3085401358276827</v>
      </c>
      <c r="AC84" s="1045">
        <v>4000</v>
      </c>
      <c r="AD84" s="890">
        <v>1.5501715144102786</v>
      </c>
      <c r="AE84" s="890">
        <v>0.85651538054033016</v>
      </c>
      <c r="AF84" s="890">
        <v>-0.26391529742259223</v>
      </c>
      <c r="AG84" s="890">
        <v>0.87314462395419357</v>
      </c>
      <c r="AH84" s="888"/>
      <c r="AI84" s="907">
        <v>1.414585748704777</v>
      </c>
      <c r="AJ84" s="908">
        <v>4.1038307793603295</v>
      </c>
      <c r="AK84" s="902">
        <v>29.988070068375791</v>
      </c>
      <c r="AL84" s="902">
        <v>0</v>
      </c>
      <c r="AM84" s="902">
        <v>0</v>
      </c>
      <c r="AN84" s="902">
        <v>30.450506491869909</v>
      </c>
      <c r="AO84" s="902">
        <v>1.1793621248387731</v>
      </c>
      <c r="AP84" s="1222">
        <v>3528</v>
      </c>
      <c r="AQ84" s="909" t="s">
        <v>1062</v>
      </c>
      <c r="AR84" s="909">
        <v>3</v>
      </c>
      <c r="AS84" s="909">
        <v>0</v>
      </c>
      <c r="AT84" s="909">
        <v>0</v>
      </c>
      <c r="AU84" s="909">
        <v>0</v>
      </c>
      <c r="AV84" s="910">
        <v>6359.1800888756552</v>
      </c>
      <c r="AW84" s="909">
        <v>0</v>
      </c>
      <c r="AX84" s="909">
        <v>0</v>
      </c>
      <c r="AY84" s="909">
        <v>0</v>
      </c>
      <c r="AZ84" s="910">
        <v>7602.0267538589669</v>
      </c>
      <c r="BA84" s="871">
        <v>4000</v>
      </c>
      <c r="BB84" s="911">
        <v>126.29202467430969</v>
      </c>
      <c r="BC84" s="908">
        <v>4.1038307793603295</v>
      </c>
      <c r="BD84" s="902">
        <v>29.988070068375791</v>
      </c>
      <c r="BE84" s="902">
        <v>0</v>
      </c>
      <c r="BF84" s="902">
        <v>0</v>
      </c>
      <c r="BG84" s="902">
        <v>30.450506491869909</v>
      </c>
      <c r="BH84" s="902">
        <v>1.1793621248387731</v>
      </c>
      <c r="BI84" s="902">
        <v>3600</v>
      </c>
      <c r="BJ84" s="909" t="s">
        <v>1062</v>
      </c>
      <c r="BK84" s="909">
        <v>3</v>
      </c>
      <c r="BL84" s="909">
        <v>0</v>
      </c>
      <c r="BM84" s="909">
        <v>0</v>
      </c>
      <c r="BN84" s="909">
        <v>0</v>
      </c>
      <c r="BO84" s="910">
        <v>6359.1800888756552</v>
      </c>
      <c r="BP84" s="909">
        <v>0</v>
      </c>
      <c r="BQ84" s="909">
        <v>0</v>
      </c>
      <c r="BR84" s="909">
        <v>0</v>
      </c>
      <c r="BS84" s="910">
        <v>7602.0267538589669</v>
      </c>
      <c r="BT84" s="871">
        <v>4000</v>
      </c>
      <c r="BU84" s="911">
        <v>126.29202467430969</v>
      </c>
      <c r="BV84" s="908">
        <v>4.1038307793603295</v>
      </c>
      <c r="BW84" s="902">
        <v>29.988070068375791</v>
      </c>
      <c r="BX84" s="902">
        <v>0</v>
      </c>
      <c r="BY84" s="902">
        <v>0</v>
      </c>
      <c r="BZ84" s="902">
        <v>30.450506491869909</v>
      </c>
      <c r="CA84" s="902">
        <v>1.1793621248387731</v>
      </c>
      <c r="CB84" s="902">
        <v>3528</v>
      </c>
      <c r="CC84" s="909" t="s">
        <v>2874</v>
      </c>
      <c r="CD84" s="909">
        <v>3</v>
      </c>
      <c r="CE84" s="909">
        <v>0</v>
      </c>
      <c r="CF84" s="909">
        <v>0</v>
      </c>
      <c r="CG84" s="909">
        <v>0</v>
      </c>
      <c r="CH84" s="910">
        <v>6230.6985600847738</v>
      </c>
      <c r="CI84" s="909">
        <v>0</v>
      </c>
      <c r="CJ84" s="909">
        <v>0</v>
      </c>
      <c r="CK84" s="909">
        <v>0</v>
      </c>
      <c r="CL84" s="910">
        <v>7448.4346231763366</v>
      </c>
      <c r="CM84" s="871">
        <v>4000</v>
      </c>
      <c r="CN84" s="911">
        <v>126.29202467430969</v>
      </c>
      <c r="CO84" s="908">
        <v>4.1038307793603295</v>
      </c>
      <c r="CP84" s="902">
        <v>29.988070068375791</v>
      </c>
      <c r="CQ84" s="902">
        <v>0</v>
      </c>
      <c r="CR84" s="902">
        <v>0</v>
      </c>
      <c r="CS84" s="902">
        <v>30.450506491869909</v>
      </c>
      <c r="CT84" s="902">
        <v>1.1793621248387731</v>
      </c>
      <c r="CU84" s="902">
        <v>3600</v>
      </c>
      <c r="CV84" s="909" t="s">
        <v>2874</v>
      </c>
      <c r="CW84" s="909">
        <v>3</v>
      </c>
      <c r="CX84" s="909">
        <v>0</v>
      </c>
      <c r="CY84" s="909">
        <v>0</v>
      </c>
      <c r="CZ84" s="909">
        <v>0</v>
      </c>
      <c r="DA84" s="910">
        <v>6230.6985600847738</v>
      </c>
      <c r="DB84" s="909">
        <v>0</v>
      </c>
      <c r="DC84" s="909">
        <v>0</v>
      </c>
      <c r="DD84" s="909">
        <v>0</v>
      </c>
      <c r="DE84" s="910">
        <v>7448.4346231763366</v>
      </c>
      <c r="DF84" s="871">
        <v>4000</v>
      </c>
      <c r="DG84" s="911">
        <v>126.29202467430969</v>
      </c>
      <c r="DH84" s="908">
        <v>2.7358871862402196</v>
      </c>
      <c r="DI84" s="902">
        <v>28.620126475255681</v>
      </c>
      <c r="DJ84" s="902">
        <v>0</v>
      </c>
      <c r="DK84" s="902">
        <v>0</v>
      </c>
      <c r="DL84" s="902">
        <v>29.93558229588902</v>
      </c>
      <c r="DM84" s="902">
        <v>1.1088875712813384</v>
      </c>
      <c r="DN84" s="902">
        <v>3528</v>
      </c>
      <c r="DO84" s="909" t="s">
        <v>2875</v>
      </c>
      <c r="DP84" s="909">
        <v>2</v>
      </c>
      <c r="DQ84" s="909">
        <v>0</v>
      </c>
      <c r="DR84" s="909">
        <v>0</v>
      </c>
      <c r="DS84" s="909">
        <v>0</v>
      </c>
      <c r="DT84" s="910">
        <v>4994.2426112598041</v>
      </c>
      <c r="DU84" s="909">
        <v>0</v>
      </c>
      <c r="DV84" s="909">
        <v>0</v>
      </c>
      <c r="DW84" s="909">
        <v>0</v>
      </c>
      <c r="DX84" s="910">
        <v>5778.3414899814825</v>
      </c>
      <c r="DY84" s="871">
        <v>4000</v>
      </c>
      <c r="DZ84" s="911">
        <v>126.29202467430969</v>
      </c>
      <c r="EA84" s="908">
        <v>2.7358871862402196</v>
      </c>
      <c r="EB84" s="902">
        <v>28.620126475255681</v>
      </c>
      <c r="EC84" s="902">
        <v>0</v>
      </c>
      <c r="ED84" s="902">
        <v>0</v>
      </c>
      <c r="EE84" s="902">
        <v>29.93558229588902</v>
      </c>
      <c r="EF84" s="902">
        <v>1.1088875712813384</v>
      </c>
      <c r="EG84" s="902">
        <v>3600</v>
      </c>
      <c r="EH84" s="909" t="s">
        <v>2875</v>
      </c>
      <c r="EI84" s="909">
        <v>2</v>
      </c>
      <c r="EJ84" s="909">
        <v>0</v>
      </c>
      <c r="EK84" s="909">
        <v>0</v>
      </c>
      <c r="EL84" s="909">
        <v>0</v>
      </c>
      <c r="EM84" s="910">
        <v>4994.2426112598041</v>
      </c>
      <c r="EN84" s="909">
        <v>0</v>
      </c>
      <c r="EO84" s="909">
        <v>0</v>
      </c>
      <c r="EP84" s="909">
        <v>0</v>
      </c>
      <c r="EQ84" s="910">
        <v>5778.3414899814825</v>
      </c>
      <c r="ER84" s="871">
        <v>4000</v>
      </c>
      <c r="ES84" s="911">
        <v>126.29202467430969</v>
      </c>
      <c r="ET84" s="908">
        <v>2.7358871862402196</v>
      </c>
      <c r="EU84" s="902">
        <v>28.620126475255681</v>
      </c>
      <c r="EV84" s="902">
        <v>0</v>
      </c>
      <c r="EW84" s="902">
        <v>0</v>
      </c>
      <c r="EX84" s="902">
        <v>29.93558229588902</v>
      </c>
      <c r="EY84" s="902">
        <v>1.1088875712813384</v>
      </c>
      <c r="EZ84" s="902">
        <v>3528</v>
      </c>
      <c r="FA84" s="909" t="s">
        <v>3884</v>
      </c>
      <c r="FB84" s="909">
        <v>2</v>
      </c>
      <c r="FC84" s="909">
        <v>0</v>
      </c>
      <c r="FD84" s="909">
        <v>0</v>
      </c>
      <c r="FE84" s="909">
        <v>0</v>
      </c>
      <c r="FF84" s="910">
        <v>5319.7836428447135</v>
      </c>
      <c r="FG84" s="909">
        <v>0</v>
      </c>
      <c r="FH84" s="909">
        <v>0</v>
      </c>
      <c r="FI84" s="909">
        <v>0</v>
      </c>
      <c r="FJ84" s="910">
        <v>6154.9926453053049</v>
      </c>
      <c r="FK84" s="871">
        <v>4000</v>
      </c>
      <c r="FL84" s="911">
        <v>126.29202467430969</v>
      </c>
      <c r="FM84" s="908">
        <v>2.7358871862402196</v>
      </c>
      <c r="FN84" s="902">
        <v>28.620126475255681</v>
      </c>
      <c r="FO84" s="902">
        <v>0</v>
      </c>
      <c r="FP84" s="902">
        <v>0</v>
      </c>
      <c r="FQ84" s="902">
        <v>29.93558229588902</v>
      </c>
      <c r="FR84" s="902">
        <v>1.1088875712813384</v>
      </c>
      <c r="FS84" s="902">
        <v>3600</v>
      </c>
      <c r="FT84" s="909" t="s">
        <v>3884</v>
      </c>
      <c r="FU84" s="909">
        <v>2</v>
      </c>
      <c r="FV84" s="909">
        <v>0</v>
      </c>
      <c r="FW84" s="909">
        <v>0</v>
      </c>
      <c r="FX84" s="909">
        <v>0</v>
      </c>
      <c r="FY84" s="910">
        <v>5319.7836428447135</v>
      </c>
      <c r="FZ84" s="909">
        <v>0</v>
      </c>
      <c r="GA84" s="909">
        <v>0</v>
      </c>
      <c r="GB84" s="909">
        <v>0</v>
      </c>
      <c r="GC84" s="910">
        <v>6154.9926453053049</v>
      </c>
      <c r="GD84" s="871">
        <v>4000</v>
      </c>
      <c r="GE84" s="911">
        <v>126.29202467430969</v>
      </c>
      <c r="GF84" s="908">
        <v>2.7358871862402196</v>
      </c>
      <c r="GG84" s="902">
        <v>28.620126475255681</v>
      </c>
      <c r="GH84" s="902">
        <v>0</v>
      </c>
      <c r="GI84" s="902">
        <v>0</v>
      </c>
      <c r="GJ84" s="902">
        <v>29.93558229588902</v>
      </c>
      <c r="GK84" s="902">
        <v>1.1088875712813384</v>
      </c>
      <c r="GL84" s="902">
        <v>3528</v>
      </c>
      <c r="GM84" s="909" t="s">
        <v>2877</v>
      </c>
      <c r="GN84" s="909">
        <v>2</v>
      </c>
      <c r="GO84" s="909">
        <v>0</v>
      </c>
      <c r="GP84" s="909">
        <v>0</v>
      </c>
      <c r="GQ84" s="909">
        <v>0</v>
      </c>
      <c r="GR84" s="910">
        <v>6570.3607988554322</v>
      </c>
      <c r="GS84" s="909">
        <v>0</v>
      </c>
      <c r="GT84" s="909">
        <v>0</v>
      </c>
      <c r="GU84" s="909">
        <v>0</v>
      </c>
      <c r="GV84" s="910">
        <v>7601.9111131241807</v>
      </c>
      <c r="GW84" s="871">
        <v>4000</v>
      </c>
      <c r="GX84" s="911">
        <v>126.29202467430969</v>
      </c>
      <c r="GY84" s="908">
        <v>2.7358871862402196</v>
      </c>
      <c r="GZ84" s="902">
        <v>28.620126475255681</v>
      </c>
      <c r="HA84" s="902">
        <v>0</v>
      </c>
      <c r="HB84" s="902">
        <v>0</v>
      </c>
      <c r="HC84" s="902">
        <v>29.93558229588902</v>
      </c>
      <c r="HD84" s="902">
        <v>1.1088875712813384</v>
      </c>
      <c r="HE84" s="902">
        <v>3600</v>
      </c>
      <c r="HF84" s="909" t="s">
        <v>2877</v>
      </c>
      <c r="HG84" s="909">
        <v>2</v>
      </c>
      <c r="HH84" s="909">
        <v>0</v>
      </c>
      <c r="HI84" s="909">
        <v>0</v>
      </c>
      <c r="HJ84" s="909">
        <v>0</v>
      </c>
      <c r="HK84" s="910">
        <v>6570.3607988554322</v>
      </c>
      <c r="HL84" s="909">
        <v>0</v>
      </c>
      <c r="HM84" s="909">
        <v>0</v>
      </c>
      <c r="HN84" s="909">
        <v>0</v>
      </c>
      <c r="HO84" s="910">
        <v>7601.9111131241807</v>
      </c>
      <c r="HP84" s="871">
        <v>4000</v>
      </c>
      <c r="HQ84" s="911">
        <v>126.29202467430969</v>
      </c>
      <c r="HR84" s="908">
        <v>2.7358871862402196</v>
      </c>
      <c r="HS84" s="902">
        <v>28.620126475255681</v>
      </c>
      <c r="HT84" s="902">
        <v>0</v>
      </c>
      <c r="HU84" s="902">
        <v>0</v>
      </c>
      <c r="HV84" s="902">
        <v>29.93558229588902</v>
      </c>
      <c r="HW84" s="902">
        <v>1.1088875712813384</v>
      </c>
      <c r="HX84" s="902">
        <v>3528</v>
      </c>
      <c r="HY84" s="909" t="s">
        <v>1063</v>
      </c>
      <c r="HZ84" s="909">
        <v>2</v>
      </c>
      <c r="IA84" s="909">
        <v>0</v>
      </c>
      <c r="IB84" s="909">
        <v>0</v>
      </c>
      <c r="IC84" s="909">
        <v>0</v>
      </c>
      <c r="ID84" s="910">
        <v>5794.513565913051</v>
      </c>
      <c r="IE84" s="909">
        <v>0</v>
      </c>
      <c r="IF84" s="909">
        <v>0</v>
      </c>
      <c r="IG84" s="909">
        <v>0</v>
      </c>
      <c r="IH84" s="910">
        <v>6704.2554313815936</v>
      </c>
      <c r="II84" s="871">
        <v>4000</v>
      </c>
      <c r="IJ84" s="911">
        <v>126.29202467430969</v>
      </c>
      <c r="IK84" s="908">
        <v>2.7358871862402196</v>
      </c>
      <c r="IL84" s="902">
        <v>28.620126475255681</v>
      </c>
      <c r="IM84" s="902">
        <v>0</v>
      </c>
      <c r="IN84" s="902">
        <v>0</v>
      </c>
      <c r="IO84" s="902">
        <v>29.93558229588902</v>
      </c>
      <c r="IP84" s="902">
        <v>1.1088875712813384</v>
      </c>
      <c r="IQ84" s="902">
        <v>3600</v>
      </c>
      <c r="IR84" s="909" t="s">
        <v>1063</v>
      </c>
      <c r="IS84" s="909">
        <v>2</v>
      </c>
      <c r="IT84" s="909">
        <v>0</v>
      </c>
      <c r="IU84" s="909">
        <v>0</v>
      </c>
      <c r="IV84" s="909">
        <v>0</v>
      </c>
      <c r="IW84" s="910">
        <v>5794.513565913051</v>
      </c>
      <c r="IX84" s="909">
        <v>0</v>
      </c>
      <c r="IY84" s="909">
        <v>0</v>
      </c>
      <c r="IZ84" s="909">
        <v>0</v>
      </c>
      <c r="JA84" s="910">
        <v>6704.2554313815936</v>
      </c>
      <c r="JB84" s="871">
        <v>4000</v>
      </c>
      <c r="JC84" s="911">
        <v>126.29202467430969</v>
      </c>
      <c r="JD84" s="908">
        <v>2.7358871862402196</v>
      </c>
      <c r="JE84" s="902">
        <v>28.620126475255681</v>
      </c>
      <c r="JF84" s="902">
        <v>0</v>
      </c>
      <c r="JG84" s="902">
        <v>0</v>
      </c>
      <c r="JH84" s="902">
        <v>29.93558229588902</v>
      </c>
      <c r="JI84" s="902">
        <v>1.1088875712813384</v>
      </c>
      <c r="JJ84" s="902">
        <v>3528</v>
      </c>
      <c r="JK84" s="909" t="s">
        <v>1064</v>
      </c>
      <c r="JL84" s="909">
        <v>2</v>
      </c>
      <c r="JM84" s="909">
        <v>0</v>
      </c>
      <c r="JN84" s="909">
        <v>0</v>
      </c>
      <c r="JO84" s="909">
        <v>0</v>
      </c>
      <c r="JP84" s="910">
        <v>7896.5909195239328</v>
      </c>
      <c r="JQ84" s="909">
        <v>0</v>
      </c>
      <c r="JR84" s="909">
        <v>0</v>
      </c>
      <c r="JS84" s="909">
        <v>0</v>
      </c>
      <c r="JT84" s="910">
        <v>9136.3601032962542</v>
      </c>
      <c r="JU84" s="871">
        <v>4000</v>
      </c>
      <c r="JV84" s="911">
        <v>126.29202467430969</v>
      </c>
      <c r="JW84" s="908">
        <v>2.7358871862402196</v>
      </c>
      <c r="JX84" s="902">
        <v>28.620126475255681</v>
      </c>
      <c r="JY84" s="902">
        <v>0</v>
      </c>
      <c r="JZ84" s="902">
        <v>0</v>
      </c>
      <c r="KA84" s="902">
        <v>29.93558229588902</v>
      </c>
      <c r="KB84" s="902">
        <v>1.1088875712813384</v>
      </c>
      <c r="KC84" s="902">
        <v>3600</v>
      </c>
      <c r="KD84" s="909" t="s">
        <v>1064</v>
      </c>
      <c r="KE84" s="909">
        <v>2</v>
      </c>
      <c r="KF84" s="909">
        <v>0</v>
      </c>
      <c r="KG84" s="909">
        <v>0</v>
      </c>
      <c r="KH84" s="909">
        <v>0</v>
      </c>
      <c r="KI84" s="910">
        <v>7896.5909195239328</v>
      </c>
      <c r="KJ84" s="909">
        <v>0</v>
      </c>
      <c r="KK84" s="909">
        <v>0</v>
      </c>
      <c r="KL84" s="909">
        <v>0</v>
      </c>
      <c r="KM84" s="910">
        <v>9136.3601032962542</v>
      </c>
      <c r="KN84" s="871">
        <v>4000</v>
      </c>
      <c r="KO84" s="912">
        <v>126.29202467430969</v>
      </c>
    </row>
    <row r="85" spans="1:301" ht="15" customHeight="1">
      <c r="A85" s="1396" t="s">
        <v>1567</v>
      </c>
      <c r="B85" s="888" t="s">
        <v>1073</v>
      </c>
      <c r="C85" s="888">
        <v>1273</v>
      </c>
      <c r="D85" s="888">
        <v>1788</v>
      </c>
      <c r="E85" s="888">
        <v>0</v>
      </c>
      <c r="F85" s="888">
        <v>0</v>
      </c>
      <c r="G85" s="888">
        <v>658</v>
      </c>
      <c r="H85" s="888">
        <v>633</v>
      </c>
      <c r="I85" s="888">
        <v>566</v>
      </c>
      <c r="J85" s="888">
        <v>19.2</v>
      </c>
      <c r="K85" s="888">
        <v>29.2</v>
      </c>
      <c r="L85" s="888">
        <v>18</v>
      </c>
      <c r="M85" s="888">
        <v>628.16670140941312</v>
      </c>
      <c r="N85" s="888">
        <v>6</v>
      </c>
      <c r="O85" s="884">
        <v>118.26216286057958</v>
      </c>
      <c r="P85" s="888">
        <v>6</v>
      </c>
      <c r="Q85" s="884">
        <v>31.610389255834498</v>
      </c>
      <c r="R85" s="888">
        <v>22</v>
      </c>
      <c r="S85" s="888">
        <v>1530.5</v>
      </c>
      <c r="T85" s="906">
        <v>317.72316988406527</v>
      </c>
      <c r="U85" s="906">
        <v>229.57499999999999</v>
      </c>
      <c r="V85" s="906">
        <v>10</v>
      </c>
      <c r="W85" s="1141">
        <v>2.4370811326334549</v>
      </c>
      <c r="X85" s="902">
        <v>0</v>
      </c>
      <c r="Y85" s="902">
        <v>0</v>
      </c>
      <c r="Z85" s="902">
        <v>6</v>
      </c>
      <c r="AA85" s="902">
        <v>0</v>
      </c>
      <c r="AB85" s="970">
        <v>344.46456562542721</v>
      </c>
      <c r="AC85" s="1045">
        <v>2086.8486338718121</v>
      </c>
      <c r="AD85" s="890">
        <v>0</v>
      </c>
      <c r="AE85" s="890">
        <v>0</v>
      </c>
      <c r="AF85" s="890">
        <v>0</v>
      </c>
      <c r="AG85" s="890">
        <v>0</v>
      </c>
      <c r="AH85" s="888"/>
      <c r="AI85" s="907">
        <v>21.055068533491315</v>
      </c>
      <c r="AJ85" s="908">
        <v>425.69274374428386</v>
      </c>
      <c r="AK85" s="902">
        <v>957.893126883185</v>
      </c>
      <c r="AL85" s="902">
        <v>15.884824194338346</v>
      </c>
      <c r="AM85" s="902">
        <v>46.282755811449988</v>
      </c>
      <c r="AN85" s="902">
        <v>241.48752526577621</v>
      </c>
      <c r="AO85" s="902">
        <v>459.45880811355067</v>
      </c>
      <c r="AP85" s="1222">
        <v>1450</v>
      </c>
      <c r="AQ85" s="909" t="s">
        <v>1062</v>
      </c>
      <c r="AR85" s="909">
        <v>8</v>
      </c>
      <c r="AS85" s="909">
        <v>2</v>
      </c>
      <c r="AT85" s="909">
        <v>10</v>
      </c>
      <c r="AU85" s="909">
        <v>51.645769171337641</v>
      </c>
      <c r="AV85" s="910">
        <v>1647.5120863339464</v>
      </c>
      <c r="AW85" s="909">
        <v>2</v>
      </c>
      <c r="AX85" s="909">
        <v>14</v>
      </c>
      <c r="AY85" s="909">
        <v>76.614298207974599</v>
      </c>
      <c r="AZ85" s="910">
        <v>1640.4299913805</v>
      </c>
      <c r="BA85" s="871">
        <v>1640.4299913805</v>
      </c>
      <c r="BB85" s="911">
        <v>153.5761717275505</v>
      </c>
      <c r="BC85" s="908">
        <v>319.26955780821288</v>
      </c>
      <c r="BD85" s="902">
        <v>828.45750933191061</v>
      </c>
      <c r="BE85" s="902">
        <v>12.707859355470678</v>
      </c>
      <c r="BF85" s="902">
        <v>26.447289035114277</v>
      </c>
      <c r="BG85" s="902">
        <v>230.56988887237776</v>
      </c>
      <c r="BH85" s="902">
        <v>379.42385278390509</v>
      </c>
      <c r="BI85" s="902">
        <v>1812.5</v>
      </c>
      <c r="BJ85" s="909" t="s">
        <v>1064</v>
      </c>
      <c r="BK85" s="909">
        <v>6</v>
      </c>
      <c r="BL85" s="909">
        <v>2</v>
      </c>
      <c r="BM85" s="909">
        <v>8</v>
      </c>
      <c r="BN85" s="909">
        <v>51.645769171337641</v>
      </c>
      <c r="BO85" s="910">
        <v>2090.1647501170355</v>
      </c>
      <c r="BP85" s="909">
        <v>2</v>
      </c>
      <c r="BQ85" s="909">
        <v>8</v>
      </c>
      <c r="BR85" s="909">
        <v>76.614298207974599</v>
      </c>
      <c r="BS85" s="910">
        <v>2086.8486338718121</v>
      </c>
      <c r="BT85" s="871">
        <v>2086.8486338718121</v>
      </c>
      <c r="BU85" s="911">
        <v>195.36964445230231</v>
      </c>
      <c r="BV85" s="908">
        <v>425.69274374428386</v>
      </c>
      <c r="BW85" s="902">
        <v>957.893126883185</v>
      </c>
      <c r="BX85" s="902">
        <v>15.884824194338346</v>
      </c>
      <c r="BY85" s="902">
        <v>46.282755811449988</v>
      </c>
      <c r="BZ85" s="902">
        <v>241.48752526577621</v>
      </c>
      <c r="CA85" s="902">
        <v>459.45880811355067</v>
      </c>
      <c r="CB85" s="902">
        <v>1450</v>
      </c>
      <c r="CC85" s="909" t="s">
        <v>2874</v>
      </c>
      <c r="CD85" s="909">
        <v>8</v>
      </c>
      <c r="CE85" s="909">
        <v>2</v>
      </c>
      <c r="CF85" s="909">
        <v>10</v>
      </c>
      <c r="CG85" s="909">
        <v>51.645769171337641</v>
      </c>
      <c r="CH85" s="910">
        <v>1614.2255826345263</v>
      </c>
      <c r="CI85" s="909">
        <v>2</v>
      </c>
      <c r="CJ85" s="909">
        <v>14</v>
      </c>
      <c r="CK85" s="909">
        <v>76.614298207974599</v>
      </c>
      <c r="CL85" s="910">
        <v>1607.2865750561732</v>
      </c>
      <c r="CM85" s="871">
        <v>1607.2865750561732</v>
      </c>
      <c r="CN85" s="911">
        <v>150.4733029530172</v>
      </c>
      <c r="CO85" s="908">
        <v>425.69274374428386</v>
      </c>
      <c r="CP85" s="902">
        <v>1191.710193036173</v>
      </c>
      <c r="CQ85" s="902">
        <v>38.123578066412037</v>
      </c>
      <c r="CR85" s="902">
        <v>257.86106809236429</v>
      </c>
      <c r="CS85" s="902">
        <v>250.25754617093722</v>
      </c>
      <c r="CT85" s="902">
        <v>624.45943519910827</v>
      </c>
      <c r="CU85" s="902">
        <v>1812.5</v>
      </c>
      <c r="CV85" s="909" t="s">
        <v>2875</v>
      </c>
      <c r="CW85" s="909">
        <v>8</v>
      </c>
      <c r="CX85" s="909">
        <v>3</v>
      </c>
      <c r="CY85" s="909">
        <v>16</v>
      </c>
      <c r="CZ85" s="909">
        <v>51.645769171337641</v>
      </c>
      <c r="DA85" s="910">
        <v>2023.638149349963</v>
      </c>
      <c r="DB85" s="909">
        <v>3</v>
      </c>
      <c r="DC85" s="909">
        <v>52.000000000000007</v>
      </c>
      <c r="DD85" s="909">
        <v>76.614298207974599</v>
      </c>
      <c r="DE85" s="910">
        <v>1997.8990398898518</v>
      </c>
      <c r="DF85" s="871">
        <v>1997.8990398898518</v>
      </c>
      <c r="DG85" s="911">
        <v>187.04223140069536</v>
      </c>
      <c r="DH85" s="908">
        <v>425.69274374428386</v>
      </c>
      <c r="DI85" s="902">
        <v>951.2813046244064</v>
      </c>
      <c r="DJ85" s="902">
        <v>15.884824194338346</v>
      </c>
      <c r="DK85" s="902">
        <v>39.670933552671421</v>
      </c>
      <c r="DL85" s="902">
        <v>241.19899536076238</v>
      </c>
      <c r="DM85" s="902">
        <v>454.60786161387665</v>
      </c>
      <c r="DN85" s="902">
        <v>1450</v>
      </c>
      <c r="DO85" s="909" t="s">
        <v>2875</v>
      </c>
      <c r="DP85" s="909">
        <v>8</v>
      </c>
      <c r="DQ85" s="909">
        <v>2</v>
      </c>
      <c r="DR85" s="909">
        <v>10</v>
      </c>
      <c r="DS85" s="909">
        <v>51.645769171337641</v>
      </c>
      <c r="DT85" s="910">
        <v>1680.1392554193508</v>
      </c>
      <c r="DU85" s="909">
        <v>2</v>
      </c>
      <c r="DV85" s="909">
        <v>12</v>
      </c>
      <c r="DW85" s="909">
        <v>76.614298207974599</v>
      </c>
      <c r="DX85" s="910">
        <v>1622.2164859809729</v>
      </c>
      <c r="DY85" s="871">
        <v>1622.2164859809729</v>
      </c>
      <c r="DZ85" s="911">
        <v>151.87103316772422</v>
      </c>
      <c r="EA85" s="908">
        <v>425.69274374428386</v>
      </c>
      <c r="EB85" s="902">
        <v>1191.710193036173</v>
      </c>
      <c r="EC85" s="902">
        <v>38.123578066412037</v>
      </c>
      <c r="ED85" s="902">
        <v>257.86106809236429</v>
      </c>
      <c r="EE85" s="902">
        <v>250.25754617093722</v>
      </c>
      <c r="EF85" s="902">
        <v>624.45943519910827</v>
      </c>
      <c r="EG85" s="902">
        <v>1812.5</v>
      </c>
      <c r="EH85" s="909" t="s">
        <v>2875</v>
      </c>
      <c r="EI85" s="909">
        <v>8</v>
      </c>
      <c r="EJ85" s="909">
        <v>3</v>
      </c>
      <c r="EK85" s="909">
        <v>16</v>
      </c>
      <c r="EL85" s="909">
        <v>51.645769171337641</v>
      </c>
      <c r="EM85" s="910">
        <v>2023.638149349963</v>
      </c>
      <c r="EN85" s="909">
        <v>3</v>
      </c>
      <c r="EO85" s="909">
        <v>52.000000000000007</v>
      </c>
      <c r="EP85" s="909">
        <v>76.614298207974599</v>
      </c>
      <c r="EQ85" s="910">
        <v>1997.8990398898518</v>
      </c>
      <c r="ER85" s="871">
        <v>1997.8990398898518</v>
      </c>
      <c r="ES85" s="911">
        <v>187.04223140069536</v>
      </c>
      <c r="ET85" s="908">
        <v>425.69274374428386</v>
      </c>
      <c r="EU85" s="902">
        <v>944.66948236562791</v>
      </c>
      <c r="EV85" s="902">
        <v>15.884824194338346</v>
      </c>
      <c r="EW85" s="902">
        <v>33.059111293892848</v>
      </c>
      <c r="EX85" s="902">
        <v>240.90642656493242</v>
      </c>
      <c r="EY85" s="902">
        <v>449.75691511420257</v>
      </c>
      <c r="EZ85" s="902">
        <v>1450</v>
      </c>
      <c r="FA85" s="909" t="s">
        <v>3884</v>
      </c>
      <c r="FB85" s="909">
        <v>8</v>
      </c>
      <c r="FC85" s="909">
        <v>2</v>
      </c>
      <c r="FD85" s="909">
        <v>10</v>
      </c>
      <c r="FE85" s="909">
        <v>51.645769171337641</v>
      </c>
      <c r="FF85" s="910">
        <v>1789.6562150444959</v>
      </c>
      <c r="FG85" s="909">
        <v>2</v>
      </c>
      <c r="FH85" s="909">
        <v>10</v>
      </c>
      <c r="FI85" s="909">
        <v>76.614298207974599</v>
      </c>
      <c r="FJ85" s="910">
        <v>1659.9849067114424</v>
      </c>
      <c r="FK85" s="871">
        <v>1659.9849067114424</v>
      </c>
      <c r="FL85" s="911">
        <v>155.40689236223923</v>
      </c>
      <c r="FM85" s="908">
        <v>425.69274374428386</v>
      </c>
      <c r="FN85" s="902">
        <v>944.66948236562791</v>
      </c>
      <c r="FO85" s="902">
        <v>15.884824194338346</v>
      </c>
      <c r="FP85" s="902">
        <v>33.059111293892848</v>
      </c>
      <c r="FQ85" s="902">
        <v>240.90642656493242</v>
      </c>
      <c r="FR85" s="902">
        <v>449.75691511420257</v>
      </c>
      <c r="FS85" s="902">
        <v>1812.5</v>
      </c>
      <c r="FT85" s="909" t="s">
        <v>2877</v>
      </c>
      <c r="FU85" s="909">
        <v>8</v>
      </c>
      <c r="FV85" s="909">
        <v>2</v>
      </c>
      <c r="FW85" s="909">
        <v>10</v>
      </c>
      <c r="FX85" s="909">
        <v>51.645769171337641</v>
      </c>
      <c r="FY85" s="910">
        <v>2210.3694112771236</v>
      </c>
      <c r="FZ85" s="909">
        <v>2</v>
      </c>
      <c r="GA85" s="909">
        <v>10</v>
      </c>
      <c r="GB85" s="909">
        <v>76.614298207974599</v>
      </c>
      <c r="GC85" s="910">
        <v>2050.214912859929</v>
      </c>
      <c r="GD85" s="871">
        <v>2050.214912859929</v>
      </c>
      <c r="GE85" s="911">
        <v>191.94001523392549</v>
      </c>
      <c r="GF85" s="908">
        <v>319.26955780821288</v>
      </c>
      <c r="GG85" s="902">
        <v>828.45750933191061</v>
      </c>
      <c r="GH85" s="902">
        <v>12.707859355470678</v>
      </c>
      <c r="GI85" s="902">
        <v>26.447289035114277</v>
      </c>
      <c r="GJ85" s="902">
        <v>230.56988887237776</v>
      </c>
      <c r="GK85" s="902">
        <v>379.42385278390509</v>
      </c>
      <c r="GL85" s="902">
        <v>1450</v>
      </c>
      <c r="GM85" s="909" t="s">
        <v>2877</v>
      </c>
      <c r="GN85" s="909">
        <v>6</v>
      </c>
      <c r="GO85" s="909">
        <v>2</v>
      </c>
      <c r="GP85" s="909">
        <v>8</v>
      </c>
      <c r="GQ85" s="909">
        <v>51.645769171337641</v>
      </c>
      <c r="GR85" s="910">
        <v>1739.122195549465</v>
      </c>
      <c r="GS85" s="909">
        <v>2</v>
      </c>
      <c r="GT85" s="909">
        <v>8</v>
      </c>
      <c r="GU85" s="909">
        <v>76.614298207974599</v>
      </c>
      <c r="GV85" s="910">
        <v>1736.3630200515684</v>
      </c>
      <c r="GW85" s="871">
        <v>1736.3630200515684</v>
      </c>
      <c r="GX85" s="911">
        <v>162.557370171218</v>
      </c>
      <c r="GY85" s="908">
        <v>425.69274374428386</v>
      </c>
      <c r="GZ85" s="902">
        <v>944.66948236562791</v>
      </c>
      <c r="HA85" s="902">
        <v>15.884824194338346</v>
      </c>
      <c r="HB85" s="902">
        <v>33.059111293892848</v>
      </c>
      <c r="HC85" s="902">
        <v>240.90642656493242</v>
      </c>
      <c r="HD85" s="902">
        <v>449.75691511420257</v>
      </c>
      <c r="HE85" s="902">
        <v>1812.5</v>
      </c>
      <c r="HF85" s="909" t="s">
        <v>2877</v>
      </c>
      <c r="HG85" s="909">
        <v>8</v>
      </c>
      <c r="HH85" s="909">
        <v>2</v>
      </c>
      <c r="HI85" s="909">
        <v>10</v>
      </c>
      <c r="HJ85" s="909">
        <v>51.645769171337641</v>
      </c>
      <c r="HK85" s="910">
        <v>2210.3694112771236</v>
      </c>
      <c r="HL85" s="909">
        <v>2</v>
      </c>
      <c r="HM85" s="909">
        <v>10</v>
      </c>
      <c r="HN85" s="909">
        <v>76.614298207974599</v>
      </c>
      <c r="HO85" s="910">
        <v>2050.214912859929</v>
      </c>
      <c r="HP85" s="871">
        <v>2050.214912859929</v>
      </c>
      <c r="HQ85" s="911">
        <v>191.94001523392549</v>
      </c>
      <c r="HR85" s="908">
        <v>212.84637187214193</v>
      </c>
      <c r="HS85" s="902">
        <v>726.92871694466282</v>
      </c>
      <c r="HT85" s="902">
        <v>14.296341774904514</v>
      </c>
      <c r="HU85" s="902">
        <v>29.753200164503564</v>
      </c>
      <c r="HV85" s="902">
        <v>218.41583823525505</v>
      </c>
      <c r="HW85" s="902">
        <v>318.46085429511606</v>
      </c>
      <c r="HX85" s="902">
        <v>1450</v>
      </c>
      <c r="HY85" s="909" t="s">
        <v>1063</v>
      </c>
      <c r="HZ85" s="909">
        <v>4</v>
      </c>
      <c r="IA85" s="909">
        <v>3</v>
      </c>
      <c r="IB85" s="909">
        <v>6</v>
      </c>
      <c r="IC85" s="909">
        <v>51.645769171337641</v>
      </c>
      <c r="ID85" s="910">
        <v>1607.1205735628332</v>
      </c>
      <c r="IE85" s="909">
        <v>3</v>
      </c>
      <c r="IF85" s="909">
        <v>6</v>
      </c>
      <c r="IG85" s="909">
        <v>76.614298207974599</v>
      </c>
      <c r="IH85" s="910">
        <v>1595.4996028847024</v>
      </c>
      <c r="II85" s="871">
        <v>1595.4996028847024</v>
      </c>
      <c r="IJ85" s="911">
        <v>149.36981297059481</v>
      </c>
      <c r="IK85" s="908">
        <v>319.26955780821288</v>
      </c>
      <c r="IL85" s="902">
        <v>857.95281691537093</v>
      </c>
      <c r="IM85" s="902">
        <v>19.061789033206018</v>
      </c>
      <c r="IN85" s="902">
        <v>49.588666940839275</v>
      </c>
      <c r="IO85" s="902">
        <v>232.62046655434585</v>
      </c>
      <c r="IP85" s="902">
        <v>399.19369098876075</v>
      </c>
      <c r="IQ85" s="902">
        <v>1812.5</v>
      </c>
      <c r="IR85" s="909" t="s">
        <v>1063</v>
      </c>
      <c r="IS85" s="909">
        <v>6</v>
      </c>
      <c r="IT85" s="909">
        <v>3</v>
      </c>
      <c r="IU85" s="909">
        <v>8</v>
      </c>
      <c r="IV85" s="909">
        <v>51.645769171337641</v>
      </c>
      <c r="IW85" s="910">
        <v>2121.0497476102678</v>
      </c>
      <c r="IX85" s="909">
        <v>3</v>
      </c>
      <c r="IY85" s="909">
        <v>10</v>
      </c>
      <c r="IZ85" s="909">
        <v>76.614298207974599</v>
      </c>
      <c r="JA85" s="910">
        <v>2002.9781286844168</v>
      </c>
      <c r="JB85" s="871">
        <v>2002.9781286844168</v>
      </c>
      <c r="JC85" s="911">
        <v>187.51773295640461</v>
      </c>
      <c r="JD85" s="908">
        <v>266.05796484017742</v>
      </c>
      <c r="JE85" s="902">
        <v>775.24591636387515</v>
      </c>
      <c r="JF85" s="902">
        <v>12.707859355470678</v>
      </c>
      <c r="JG85" s="902">
        <v>26.447289035114277</v>
      </c>
      <c r="JH85" s="902">
        <v>224.67178866893866</v>
      </c>
      <c r="JI85" s="902">
        <v>347.38067623259252</v>
      </c>
      <c r="JJ85" s="902">
        <v>1450</v>
      </c>
      <c r="JK85" s="909" t="s">
        <v>1064</v>
      </c>
      <c r="JL85" s="909">
        <v>5</v>
      </c>
      <c r="JM85" s="909">
        <v>2</v>
      </c>
      <c r="JN85" s="909">
        <v>8</v>
      </c>
      <c r="JO85" s="909">
        <v>51.645769171337641</v>
      </c>
      <c r="JP85" s="910">
        <v>1840.8385483196007</v>
      </c>
      <c r="JQ85" s="909">
        <v>2</v>
      </c>
      <c r="JR85" s="909">
        <v>8</v>
      </c>
      <c r="JS85" s="909">
        <v>76.614298207974599</v>
      </c>
      <c r="JT85" s="910">
        <v>1828.2221663648813</v>
      </c>
      <c r="JU85" s="871">
        <v>1828.2221663648813</v>
      </c>
      <c r="JV85" s="911">
        <v>171.15717394406144</v>
      </c>
      <c r="JW85" s="908">
        <v>319.26955780821288</v>
      </c>
      <c r="JX85" s="902">
        <v>828.45750933191061</v>
      </c>
      <c r="JY85" s="902">
        <v>12.707859355470678</v>
      </c>
      <c r="JZ85" s="902">
        <v>26.447289035114277</v>
      </c>
      <c r="KA85" s="902">
        <v>230.56988887237776</v>
      </c>
      <c r="KB85" s="902">
        <v>379.42385278390509</v>
      </c>
      <c r="KC85" s="902">
        <v>1812.5</v>
      </c>
      <c r="KD85" s="909" t="s">
        <v>1064</v>
      </c>
      <c r="KE85" s="909">
        <v>6</v>
      </c>
      <c r="KF85" s="909">
        <v>2</v>
      </c>
      <c r="KG85" s="909">
        <v>8</v>
      </c>
      <c r="KH85" s="909">
        <v>51.645769171337641</v>
      </c>
      <c r="KI85" s="910">
        <v>2090.1647501170355</v>
      </c>
      <c r="KJ85" s="909">
        <v>2</v>
      </c>
      <c r="KK85" s="909">
        <v>8</v>
      </c>
      <c r="KL85" s="909">
        <v>76.614298207974599</v>
      </c>
      <c r="KM85" s="910">
        <v>2086.8486338718121</v>
      </c>
      <c r="KN85" s="871">
        <v>2086.8486338718121</v>
      </c>
      <c r="KO85" s="912">
        <v>195.36964445230231</v>
      </c>
    </row>
    <row r="86" spans="1:301" ht="15" customHeight="1">
      <c r="A86" s="1396" t="s">
        <v>1568</v>
      </c>
      <c r="B86" s="888" t="s">
        <v>1073</v>
      </c>
      <c r="C86" s="888">
        <v>242</v>
      </c>
      <c r="D86" s="888">
        <v>723</v>
      </c>
      <c r="E86" s="888">
        <v>0</v>
      </c>
      <c r="F86" s="888">
        <v>0</v>
      </c>
      <c r="G86" s="888">
        <v>123</v>
      </c>
      <c r="H86" s="888">
        <v>98</v>
      </c>
      <c r="I86" s="888">
        <v>62</v>
      </c>
      <c r="J86" s="888">
        <v>38</v>
      </c>
      <c r="K86" s="888">
        <v>48</v>
      </c>
      <c r="L86" s="888">
        <v>10</v>
      </c>
      <c r="M86" s="888">
        <v>352.64014414632982</v>
      </c>
      <c r="N86" s="888">
        <v>5</v>
      </c>
      <c r="O86" s="884">
        <v>16.114103064767452</v>
      </c>
      <c r="P86" s="888">
        <v>5</v>
      </c>
      <c r="Q86" s="884">
        <v>8.9374132185526491</v>
      </c>
      <c r="R86" s="888">
        <v>13.000000000000002</v>
      </c>
      <c r="S86" s="888">
        <v>482.5</v>
      </c>
      <c r="T86" s="906">
        <v>18.659393600158488</v>
      </c>
      <c r="U86" s="906">
        <v>72.375</v>
      </c>
      <c r="V86" s="906">
        <v>10</v>
      </c>
      <c r="W86" s="1141">
        <v>0.24221328230974959</v>
      </c>
      <c r="X86" s="902">
        <v>0</v>
      </c>
      <c r="Y86" s="902">
        <v>0</v>
      </c>
      <c r="Z86" s="902">
        <v>0</v>
      </c>
      <c r="AA86" s="902">
        <v>0</v>
      </c>
      <c r="AB86" s="970">
        <v>7.5775569524062121</v>
      </c>
      <c r="AC86" s="1045">
        <v>4000</v>
      </c>
      <c r="AD86" s="890">
        <v>0</v>
      </c>
      <c r="AE86" s="890">
        <v>0</v>
      </c>
      <c r="AF86" s="890">
        <v>0</v>
      </c>
      <c r="AG86" s="890">
        <v>0</v>
      </c>
      <c r="AH86" s="888"/>
      <c r="AI86" s="907">
        <v>2.1144337007700504</v>
      </c>
      <c r="AJ86" s="908">
        <v>6.6437403157168546</v>
      </c>
      <c r="AK86" s="902">
        <v>50.596863481505196</v>
      </c>
      <c r="AL86" s="902">
        <v>0</v>
      </c>
      <c r="AM86" s="902">
        <v>0</v>
      </c>
      <c r="AN86" s="902">
        <v>40.507768518605502</v>
      </c>
      <c r="AO86" s="902">
        <v>2.9227278627557749</v>
      </c>
      <c r="AP86" s="1222">
        <v>3600</v>
      </c>
      <c r="AQ86" s="909" t="s">
        <v>1062</v>
      </c>
      <c r="AR86" s="909">
        <v>3</v>
      </c>
      <c r="AS86" s="909">
        <v>0</v>
      </c>
      <c r="AT86" s="909">
        <v>0</v>
      </c>
      <c r="AU86" s="909">
        <v>0</v>
      </c>
      <c r="AV86" s="910">
        <v>4852.2704563246589</v>
      </c>
      <c r="AW86" s="909">
        <v>0</v>
      </c>
      <c r="AX86" s="909">
        <v>0</v>
      </c>
      <c r="AY86" s="909">
        <v>0</v>
      </c>
      <c r="AZ86" s="910">
        <v>5166.8692075593817</v>
      </c>
      <c r="BA86" s="871">
        <v>4000</v>
      </c>
      <c r="BB86" s="911">
        <v>151.42476590302803</v>
      </c>
      <c r="BC86" s="908">
        <v>6.6437403157168546</v>
      </c>
      <c r="BD86" s="902">
        <v>50.596863481505196</v>
      </c>
      <c r="BE86" s="902">
        <v>0</v>
      </c>
      <c r="BF86" s="902">
        <v>0</v>
      </c>
      <c r="BG86" s="902">
        <v>40.507768518605502</v>
      </c>
      <c r="BH86" s="902">
        <v>2.9227278627557749</v>
      </c>
      <c r="BI86" s="902">
        <v>3600</v>
      </c>
      <c r="BJ86" s="909" t="s">
        <v>1062</v>
      </c>
      <c r="BK86" s="909">
        <v>3</v>
      </c>
      <c r="BL86" s="909">
        <v>0</v>
      </c>
      <c r="BM86" s="909">
        <v>0</v>
      </c>
      <c r="BN86" s="909">
        <v>0</v>
      </c>
      <c r="BO86" s="910">
        <v>4852.2704563246589</v>
      </c>
      <c r="BP86" s="909">
        <v>0</v>
      </c>
      <c r="BQ86" s="909">
        <v>0</v>
      </c>
      <c r="BR86" s="909">
        <v>0</v>
      </c>
      <c r="BS86" s="910">
        <v>5166.8692075593817</v>
      </c>
      <c r="BT86" s="871">
        <v>4000</v>
      </c>
      <c r="BU86" s="911">
        <v>151.42476590302803</v>
      </c>
      <c r="BV86" s="908">
        <v>6.6437403157168546</v>
      </c>
      <c r="BW86" s="902">
        <v>50.596863481505196</v>
      </c>
      <c r="BX86" s="902">
        <v>0</v>
      </c>
      <c r="BY86" s="902">
        <v>0</v>
      </c>
      <c r="BZ86" s="902">
        <v>40.507768518605502</v>
      </c>
      <c r="CA86" s="902">
        <v>2.9227278627557749</v>
      </c>
      <c r="CB86" s="902">
        <v>3600</v>
      </c>
      <c r="CC86" s="909" t="s">
        <v>2874</v>
      </c>
      <c r="CD86" s="909">
        <v>3</v>
      </c>
      <c r="CE86" s="909">
        <v>0</v>
      </c>
      <c r="CF86" s="909">
        <v>0</v>
      </c>
      <c r="CG86" s="909">
        <v>0</v>
      </c>
      <c r="CH86" s="910">
        <v>4754.2346847908411</v>
      </c>
      <c r="CI86" s="909">
        <v>0</v>
      </c>
      <c r="CJ86" s="909">
        <v>0</v>
      </c>
      <c r="CK86" s="909">
        <v>0</v>
      </c>
      <c r="CL86" s="910">
        <v>5062.4772504875818</v>
      </c>
      <c r="CM86" s="871">
        <v>4000</v>
      </c>
      <c r="CN86" s="911">
        <v>151.42476590302803</v>
      </c>
      <c r="CO86" s="908">
        <v>6.6437403157168546</v>
      </c>
      <c r="CP86" s="902">
        <v>50.596863481505196</v>
      </c>
      <c r="CQ86" s="902">
        <v>0</v>
      </c>
      <c r="CR86" s="902">
        <v>0</v>
      </c>
      <c r="CS86" s="902">
        <v>40.507768518605502</v>
      </c>
      <c r="CT86" s="902">
        <v>2.9227278627557749</v>
      </c>
      <c r="CU86" s="902">
        <v>3600</v>
      </c>
      <c r="CV86" s="909" t="s">
        <v>2874</v>
      </c>
      <c r="CW86" s="909">
        <v>3</v>
      </c>
      <c r="CX86" s="909">
        <v>0</v>
      </c>
      <c r="CY86" s="909">
        <v>0</v>
      </c>
      <c r="CZ86" s="909">
        <v>0</v>
      </c>
      <c r="DA86" s="910">
        <v>4754.2346847908411</v>
      </c>
      <c r="DB86" s="909">
        <v>0</v>
      </c>
      <c r="DC86" s="909">
        <v>0</v>
      </c>
      <c r="DD86" s="909">
        <v>0</v>
      </c>
      <c r="DE86" s="910">
        <v>5062.4772504875818</v>
      </c>
      <c r="DF86" s="871">
        <v>4000</v>
      </c>
      <c r="DG86" s="911">
        <v>151.42476590302803</v>
      </c>
      <c r="DH86" s="908">
        <v>6.6437403157168546</v>
      </c>
      <c r="DI86" s="902">
        <v>50.596863481505196</v>
      </c>
      <c r="DJ86" s="902">
        <v>0</v>
      </c>
      <c r="DK86" s="902">
        <v>0</v>
      </c>
      <c r="DL86" s="902">
        <v>40.507768518605502</v>
      </c>
      <c r="DM86" s="902">
        <v>2.9227278627557749</v>
      </c>
      <c r="DN86" s="902">
        <v>3600</v>
      </c>
      <c r="DO86" s="909" t="s">
        <v>2875</v>
      </c>
      <c r="DP86" s="909">
        <v>3</v>
      </c>
      <c r="DQ86" s="909">
        <v>0</v>
      </c>
      <c r="DR86" s="909">
        <v>0</v>
      </c>
      <c r="DS86" s="909">
        <v>0</v>
      </c>
      <c r="DT86" s="910">
        <v>4948.3643484058412</v>
      </c>
      <c r="DU86" s="909">
        <v>0</v>
      </c>
      <c r="DV86" s="909">
        <v>0</v>
      </c>
      <c r="DW86" s="909">
        <v>0</v>
      </c>
      <c r="DX86" s="910">
        <v>5269.1933827053936</v>
      </c>
      <c r="DY86" s="871">
        <v>4000</v>
      </c>
      <c r="DZ86" s="911">
        <v>151.42476590302803</v>
      </c>
      <c r="EA86" s="908">
        <v>6.6437403157168546</v>
      </c>
      <c r="EB86" s="902">
        <v>50.596863481505196</v>
      </c>
      <c r="EC86" s="902">
        <v>0</v>
      </c>
      <c r="ED86" s="902">
        <v>0</v>
      </c>
      <c r="EE86" s="902">
        <v>40.507768518605502</v>
      </c>
      <c r="EF86" s="902">
        <v>2.9227278627557749</v>
      </c>
      <c r="EG86" s="902">
        <v>3600</v>
      </c>
      <c r="EH86" s="909" t="s">
        <v>2875</v>
      </c>
      <c r="EI86" s="909">
        <v>3</v>
      </c>
      <c r="EJ86" s="909">
        <v>0</v>
      </c>
      <c r="EK86" s="909">
        <v>0</v>
      </c>
      <c r="EL86" s="909">
        <v>0</v>
      </c>
      <c r="EM86" s="910">
        <v>4948.3643484058412</v>
      </c>
      <c r="EN86" s="909">
        <v>0</v>
      </c>
      <c r="EO86" s="909">
        <v>0</v>
      </c>
      <c r="EP86" s="909">
        <v>0</v>
      </c>
      <c r="EQ86" s="910">
        <v>5269.1933827053936</v>
      </c>
      <c r="ER86" s="871">
        <v>4000</v>
      </c>
      <c r="ES86" s="911">
        <v>151.42476590302803</v>
      </c>
      <c r="ET86" s="908">
        <v>6.6437403157168546</v>
      </c>
      <c r="EU86" s="902">
        <v>50.596863481505196</v>
      </c>
      <c r="EV86" s="902">
        <v>0</v>
      </c>
      <c r="EW86" s="902">
        <v>0</v>
      </c>
      <c r="EX86" s="902">
        <v>40.507768518605502</v>
      </c>
      <c r="EY86" s="902">
        <v>2.9227278627557749</v>
      </c>
      <c r="EZ86" s="902">
        <v>3600</v>
      </c>
      <c r="FA86" s="909" t="s">
        <v>3884</v>
      </c>
      <c r="FB86" s="909">
        <v>3</v>
      </c>
      <c r="FC86" s="909">
        <v>0</v>
      </c>
      <c r="FD86" s="909">
        <v>0</v>
      </c>
      <c r="FE86" s="909">
        <v>0</v>
      </c>
      <c r="FF86" s="910">
        <v>5270.9148850990659</v>
      </c>
      <c r="FG86" s="909">
        <v>0</v>
      </c>
      <c r="FH86" s="909">
        <v>0</v>
      </c>
      <c r="FI86" s="909">
        <v>0</v>
      </c>
      <c r="FJ86" s="910">
        <v>5612.6566028459156</v>
      </c>
      <c r="FK86" s="871">
        <v>4000</v>
      </c>
      <c r="FL86" s="911">
        <v>151.42476590302803</v>
      </c>
      <c r="FM86" s="908">
        <v>6.6437403157168546</v>
      </c>
      <c r="FN86" s="902">
        <v>50.596863481505196</v>
      </c>
      <c r="FO86" s="902">
        <v>0</v>
      </c>
      <c r="FP86" s="902">
        <v>0</v>
      </c>
      <c r="FQ86" s="902">
        <v>40.507768518605502</v>
      </c>
      <c r="FR86" s="902">
        <v>2.9227278627557749</v>
      </c>
      <c r="FS86" s="902">
        <v>3600</v>
      </c>
      <c r="FT86" s="909" t="s">
        <v>3884</v>
      </c>
      <c r="FU86" s="909">
        <v>3</v>
      </c>
      <c r="FV86" s="909">
        <v>0</v>
      </c>
      <c r="FW86" s="909">
        <v>0</v>
      </c>
      <c r="FX86" s="909">
        <v>0</v>
      </c>
      <c r="FY86" s="910">
        <v>5270.9148850990659</v>
      </c>
      <c r="FZ86" s="909">
        <v>0</v>
      </c>
      <c r="GA86" s="909">
        <v>0</v>
      </c>
      <c r="GB86" s="909">
        <v>0</v>
      </c>
      <c r="GC86" s="910">
        <v>5612.6566028459156</v>
      </c>
      <c r="GD86" s="871">
        <v>4000</v>
      </c>
      <c r="GE86" s="911">
        <v>151.42476590302803</v>
      </c>
      <c r="GF86" s="908">
        <v>6.6437403157168546</v>
      </c>
      <c r="GG86" s="902">
        <v>50.596863481505196</v>
      </c>
      <c r="GH86" s="902">
        <v>0</v>
      </c>
      <c r="GI86" s="902">
        <v>0</v>
      </c>
      <c r="GJ86" s="902">
        <v>40.507768518605502</v>
      </c>
      <c r="GK86" s="902">
        <v>2.9227278627557749</v>
      </c>
      <c r="GL86" s="902">
        <v>3600</v>
      </c>
      <c r="GM86" s="909" t="s">
        <v>2877</v>
      </c>
      <c r="GN86" s="909">
        <v>3</v>
      </c>
      <c r="GO86" s="909">
        <v>0</v>
      </c>
      <c r="GP86" s="909">
        <v>0</v>
      </c>
      <c r="GQ86" s="909">
        <v>0</v>
      </c>
      <c r="GR86" s="910">
        <v>6510.0039513335159</v>
      </c>
      <c r="GS86" s="909">
        <v>0</v>
      </c>
      <c r="GT86" s="909">
        <v>0</v>
      </c>
      <c r="GU86" s="909">
        <v>0</v>
      </c>
      <c r="GV86" s="910">
        <v>6932.082467371949</v>
      </c>
      <c r="GW86" s="871">
        <v>4000</v>
      </c>
      <c r="GX86" s="911">
        <v>151.42476590302803</v>
      </c>
      <c r="GY86" s="908">
        <v>6.6437403157168546</v>
      </c>
      <c r="GZ86" s="902">
        <v>50.596863481505196</v>
      </c>
      <c r="HA86" s="902">
        <v>0</v>
      </c>
      <c r="HB86" s="902">
        <v>0</v>
      </c>
      <c r="HC86" s="902">
        <v>40.507768518605502</v>
      </c>
      <c r="HD86" s="902">
        <v>2.9227278627557749</v>
      </c>
      <c r="HE86" s="902">
        <v>3600</v>
      </c>
      <c r="HF86" s="909" t="s">
        <v>2877</v>
      </c>
      <c r="HG86" s="909">
        <v>3</v>
      </c>
      <c r="HH86" s="909">
        <v>0</v>
      </c>
      <c r="HI86" s="909">
        <v>0</v>
      </c>
      <c r="HJ86" s="909">
        <v>0</v>
      </c>
      <c r="HK86" s="910">
        <v>6510.0039513335159</v>
      </c>
      <c r="HL86" s="909">
        <v>0</v>
      </c>
      <c r="HM86" s="909">
        <v>0</v>
      </c>
      <c r="HN86" s="909">
        <v>0</v>
      </c>
      <c r="HO86" s="910">
        <v>6932.082467371949</v>
      </c>
      <c r="HP86" s="871">
        <v>4000</v>
      </c>
      <c r="HQ86" s="911">
        <v>151.42476590302803</v>
      </c>
      <c r="HR86" s="908">
        <v>6.6437403157168546</v>
      </c>
      <c r="HS86" s="902">
        <v>50.596863481505196</v>
      </c>
      <c r="HT86" s="902">
        <v>0</v>
      </c>
      <c r="HU86" s="902">
        <v>0</v>
      </c>
      <c r="HV86" s="902">
        <v>40.507768518605502</v>
      </c>
      <c r="HW86" s="902">
        <v>2.9227278627557749</v>
      </c>
      <c r="HX86" s="902">
        <v>3600</v>
      </c>
      <c r="HY86" s="909" t="s">
        <v>1063</v>
      </c>
      <c r="HZ86" s="909">
        <v>3</v>
      </c>
      <c r="IA86" s="909">
        <v>0</v>
      </c>
      <c r="IB86" s="909">
        <v>0</v>
      </c>
      <c r="IC86" s="909">
        <v>0</v>
      </c>
      <c r="ID86" s="910">
        <v>5741.2838297587723</v>
      </c>
      <c r="IE86" s="909">
        <v>0</v>
      </c>
      <c r="IF86" s="909">
        <v>0</v>
      </c>
      <c r="IG86" s="909">
        <v>0</v>
      </c>
      <c r="IH86" s="910">
        <v>6113.5220921523978</v>
      </c>
      <c r="II86" s="871">
        <v>4000</v>
      </c>
      <c r="IJ86" s="911">
        <v>151.42476590302803</v>
      </c>
      <c r="IK86" s="908">
        <v>6.6437403157168546</v>
      </c>
      <c r="IL86" s="902">
        <v>50.596863481505196</v>
      </c>
      <c r="IM86" s="902">
        <v>0</v>
      </c>
      <c r="IN86" s="902">
        <v>0</v>
      </c>
      <c r="IO86" s="902">
        <v>40.507768518605502</v>
      </c>
      <c r="IP86" s="902">
        <v>2.9227278627557749</v>
      </c>
      <c r="IQ86" s="902">
        <v>3600</v>
      </c>
      <c r="IR86" s="909" t="s">
        <v>1063</v>
      </c>
      <c r="IS86" s="909">
        <v>3</v>
      </c>
      <c r="IT86" s="909">
        <v>0</v>
      </c>
      <c r="IU86" s="909">
        <v>0</v>
      </c>
      <c r="IV86" s="909">
        <v>0</v>
      </c>
      <c r="IW86" s="910">
        <v>5741.2838297587723</v>
      </c>
      <c r="IX86" s="909">
        <v>0</v>
      </c>
      <c r="IY86" s="909">
        <v>0</v>
      </c>
      <c r="IZ86" s="909">
        <v>0</v>
      </c>
      <c r="JA86" s="910">
        <v>6113.5220921523978</v>
      </c>
      <c r="JB86" s="871">
        <v>4000</v>
      </c>
      <c r="JC86" s="911">
        <v>151.42476590302803</v>
      </c>
      <c r="JD86" s="908">
        <v>6.6437403157168546</v>
      </c>
      <c r="JE86" s="902">
        <v>50.596863481505196</v>
      </c>
      <c r="JF86" s="902">
        <v>0</v>
      </c>
      <c r="JG86" s="902">
        <v>0</v>
      </c>
      <c r="JH86" s="902">
        <v>40.507768518605502</v>
      </c>
      <c r="JI86" s="902">
        <v>2.9227278627557749</v>
      </c>
      <c r="JJ86" s="902">
        <v>3600</v>
      </c>
      <c r="JK86" s="909" t="s">
        <v>1064</v>
      </c>
      <c r="JL86" s="909">
        <v>3</v>
      </c>
      <c r="JM86" s="909">
        <v>0</v>
      </c>
      <c r="JN86" s="909">
        <v>0</v>
      </c>
      <c r="JO86" s="909">
        <v>0</v>
      </c>
      <c r="JP86" s="910">
        <v>7824.0510166687245</v>
      </c>
      <c r="JQ86" s="909">
        <v>0</v>
      </c>
      <c r="JR86" s="909">
        <v>0</v>
      </c>
      <c r="JS86" s="909">
        <v>0</v>
      </c>
      <c r="JT86" s="910">
        <v>8331.3262606181615</v>
      </c>
      <c r="JU86" s="871">
        <v>4000</v>
      </c>
      <c r="JV86" s="911">
        <v>151.42476590302803</v>
      </c>
      <c r="JW86" s="908">
        <v>6.6437403157168546</v>
      </c>
      <c r="JX86" s="902">
        <v>50.596863481505196</v>
      </c>
      <c r="JY86" s="902">
        <v>0</v>
      </c>
      <c r="JZ86" s="902">
        <v>0</v>
      </c>
      <c r="KA86" s="902">
        <v>40.507768518605502</v>
      </c>
      <c r="KB86" s="902">
        <v>2.9227278627557749</v>
      </c>
      <c r="KC86" s="902">
        <v>3600</v>
      </c>
      <c r="KD86" s="909" t="s">
        <v>1064</v>
      </c>
      <c r="KE86" s="909">
        <v>3</v>
      </c>
      <c r="KF86" s="909">
        <v>0</v>
      </c>
      <c r="KG86" s="909">
        <v>0</v>
      </c>
      <c r="KH86" s="909">
        <v>0</v>
      </c>
      <c r="KI86" s="910">
        <v>7824.0510166687245</v>
      </c>
      <c r="KJ86" s="909">
        <v>0</v>
      </c>
      <c r="KK86" s="909">
        <v>0</v>
      </c>
      <c r="KL86" s="909">
        <v>0</v>
      </c>
      <c r="KM86" s="910">
        <v>8331.3262606181615</v>
      </c>
      <c r="KN86" s="871">
        <v>4000</v>
      </c>
      <c r="KO86" s="912">
        <v>151.42476590302803</v>
      </c>
    </row>
    <row r="87" spans="1:301" ht="15" customHeight="1">
      <c r="A87" s="1396" t="s">
        <v>1569</v>
      </c>
      <c r="B87" s="888" t="s">
        <v>1073</v>
      </c>
      <c r="C87" s="888">
        <v>236</v>
      </c>
      <c r="D87" s="888">
        <v>842</v>
      </c>
      <c r="E87" s="888">
        <v>0</v>
      </c>
      <c r="F87" s="888">
        <v>0</v>
      </c>
      <c r="G87" s="888">
        <v>113</v>
      </c>
      <c r="H87" s="888">
        <v>88</v>
      </c>
      <c r="I87" s="888">
        <v>62</v>
      </c>
      <c r="J87" s="888">
        <v>42</v>
      </c>
      <c r="K87" s="888">
        <v>52</v>
      </c>
      <c r="L87" s="888">
        <v>8</v>
      </c>
      <c r="M87" s="888">
        <v>414.30022071287436</v>
      </c>
      <c r="N87" s="888">
        <v>5</v>
      </c>
      <c r="O87" s="884">
        <v>21.85514667296016</v>
      </c>
      <c r="P87" s="888">
        <v>5</v>
      </c>
      <c r="Q87" s="884">
        <v>12.89929127469585</v>
      </c>
      <c r="R87" s="888">
        <v>14</v>
      </c>
      <c r="S87" s="888">
        <v>539</v>
      </c>
      <c r="T87" s="906">
        <v>25.07639511514007</v>
      </c>
      <c r="U87" s="906">
        <v>80.849999999999994</v>
      </c>
      <c r="V87" s="906">
        <v>10</v>
      </c>
      <c r="W87" s="1141">
        <v>0.30226011969142047</v>
      </c>
      <c r="X87" s="902">
        <v>0</v>
      </c>
      <c r="Y87" s="902">
        <v>0</v>
      </c>
      <c r="Z87" s="902">
        <v>0</v>
      </c>
      <c r="AA87" s="902">
        <v>0</v>
      </c>
      <c r="AB87" s="970">
        <v>8.8366586382443373</v>
      </c>
      <c r="AC87" s="1045">
        <v>4000</v>
      </c>
      <c r="AD87" s="890">
        <v>0</v>
      </c>
      <c r="AE87" s="890">
        <v>0</v>
      </c>
      <c r="AF87" s="890">
        <v>0</v>
      </c>
      <c r="AG87" s="890">
        <v>0</v>
      </c>
      <c r="AH87" s="888"/>
      <c r="AI87" s="907">
        <v>2.6369492866979147</v>
      </c>
      <c r="AJ87" s="908">
        <v>5.8540621186729158</v>
      </c>
      <c r="AK87" s="902">
        <v>65.987155301160414</v>
      </c>
      <c r="AL87" s="902">
        <v>0</v>
      </c>
      <c r="AM87" s="902">
        <v>0</v>
      </c>
      <c r="AN87" s="902">
        <v>36.221078543618447</v>
      </c>
      <c r="AO87" s="902">
        <v>5.0185933588059939</v>
      </c>
      <c r="AP87" s="1222">
        <v>3600</v>
      </c>
      <c r="AQ87" s="909" t="s">
        <v>1062</v>
      </c>
      <c r="AR87" s="909">
        <v>3</v>
      </c>
      <c r="AS87" s="909">
        <v>0</v>
      </c>
      <c r="AT87" s="909">
        <v>0</v>
      </c>
      <c r="AU87" s="909">
        <v>0</v>
      </c>
      <c r="AV87" s="910">
        <v>5709.6629267039361</v>
      </c>
      <c r="AW87" s="909">
        <v>0</v>
      </c>
      <c r="AX87" s="909">
        <v>0</v>
      </c>
      <c r="AY87" s="909">
        <v>0</v>
      </c>
      <c r="AZ87" s="910">
        <v>4991.4305091221713</v>
      </c>
      <c r="BA87" s="871">
        <v>4000</v>
      </c>
      <c r="BB87" s="911">
        <v>176.34806762150706</v>
      </c>
      <c r="BC87" s="908">
        <v>5.8540621186729158</v>
      </c>
      <c r="BD87" s="902">
        <v>65.987155301160414</v>
      </c>
      <c r="BE87" s="902">
        <v>0</v>
      </c>
      <c r="BF87" s="902">
        <v>0</v>
      </c>
      <c r="BG87" s="902">
        <v>36.221078543618447</v>
      </c>
      <c r="BH87" s="902">
        <v>5.0185933588059939</v>
      </c>
      <c r="BI87" s="902">
        <v>3600</v>
      </c>
      <c r="BJ87" s="909" t="s">
        <v>1062</v>
      </c>
      <c r="BK87" s="909">
        <v>3</v>
      </c>
      <c r="BL87" s="909">
        <v>0</v>
      </c>
      <c r="BM87" s="909">
        <v>0</v>
      </c>
      <c r="BN87" s="909">
        <v>0</v>
      </c>
      <c r="BO87" s="910">
        <v>5709.6629267039361</v>
      </c>
      <c r="BP87" s="909">
        <v>0</v>
      </c>
      <c r="BQ87" s="909">
        <v>0</v>
      </c>
      <c r="BR87" s="909">
        <v>0</v>
      </c>
      <c r="BS87" s="910">
        <v>4991.4305091221713</v>
      </c>
      <c r="BT87" s="871">
        <v>4000</v>
      </c>
      <c r="BU87" s="911">
        <v>176.34806762150706</v>
      </c>
      <c r="BV87" s="908">
        <v>5.8540621186729158</v>
      </c>
      <c r="BW87" s="902">
        <v>65.987155301160414</v>
      </c>
      <c r="BX87" s="902">
        <v>0</v>
      </c>
      <c r="BY87" s="902">
        <v>0</v>
      </c>
      <c r="BZ87" s="902">
        <v>36.221078543618447</v>
      </c>
      <c r="CA87" s="902">
        <v>5.0185933588059939</v>
      </c>
      <c r="CB87" s="902">
        <v>3600</v>
      </c>
      <c r="CC87" s="909" t="s">
        <v>2874</v>
      </c>
      <c r="CD87" s="909">
        <v>3</v>
      </c>
      <c r="CE87" s="909">
        <v>0</v>
      </c>
      <c r="CF87" s="909">
        <v>0</v>
      </c>
      <c r="CG87" s="909">
        <v>0</v>
      </c>
      <c r="CH87" s="910">
        <v>5594.3043094842697</v>
      </c>
      <c r="CI87" s="909">
        <v>0</v>
      </c>
      <c r="CJ87" s="909">
        <v>0</v>
      </c>
      <c r="CK87" s="909">
        <v>0</v>
      </c>
      <c r="CL87" s="910">
        <v>4890.5831335639105</v>
      </c>
      <c r="CM87" s="871">
        <v>4000</v>
      </c>
      <c r="CN87" s="911">
        <v>176.34806762150706</v>
      </c>
      <c r="CO87" s="908">
        <v>5.8540621186729158</v>
      </c>
      <c r="CP87" s="902">
        <v>65.987155301160414</v>
      </c>
      <c r="CQ87" s="902">
        <v>0</v>
      </c>
      <c r="CR87" s="902">
        <v>0</v>
      </c>
      <c r="CS87" s="902">
        <v>36.221078543618447</v>
      </c>
      <c r="CT87" s="902">
        <v>5.0185933588059939</v>
      </c>
      <c r="CU87" s="902">
        <v>3600</v>
      </c>
      <c r="CV87" s="909" t="s">
        <v>2874</v>
      </c>
      <c r="CW87" s="909">
        <v>3</v>
      </c>
      <c r="CX87" s="909">
        <v>0</v>
      </c>
      <c r="CY87" s="909">
        <v>0</v>
      </c>
      <c r="CZ87" s="909">
        <v>0</v>
      </c>
      <c r="DA87" s="910">
        <v>5594.3043094842697</v>
      </c>
      <c r="DB87" s="909">
        <v>0</v>
      </c>
      <c r="DC87" s="909">
        <v>0</v>
      </c>
      <c r="DD87" s="909">
        <v>0</v>
      </c>
      <c r="DE87" s="910">
        <v>4890.5831335639105</v>
      </c>
      <c r="DF87" s="871">
        <v>4000</v>
      </c>
      <c r="DG87" s="911">
        <v>176.34806762150706</v>
      </c>
      <c r="DH87" s="908">
        <v>5.8540621186729158</v>
      </c>
      <c r="DI87" s="902">
        <v>65.987155301160414</v>
      </c>
      <c r="DJ87" s="902">
        <v>0</v>
      </c>
      <c r="DK87" s="902">
        <v>0</v>
      </c>
      <c r="DL87" s="902">
        <v>36.221078543618447</v>
      </c>
      <c r="DM87" s="902">
        <v>5.0185933588059939</v>
      </c>
      <c r="DN87" s="902">
        <v>3600</v>
      </c>
      <c r="DO87" s="909" t="s">
        <v>2875</v>
      </c>
      <c r="DP87" s="909">
        <v>3</v>
      </c>
      <c r="DQ87" s="909">
        <v>0</v>
      </c>
      <c r="DR87" s="909">
        <v>0</v>
      </c>
      <c r="DS87" s="909">
        <v>0</v>
      </c>
      <c r="DT87" s="910">
        <v>5822.736535860131</v>
      </c>
      <c r="DU87" s="909">
        <v>0</v>
      </c>
      <c r="DV87" s="909">
        <v>0</v>
      </c>
      <c r="DW87" s="909">
        <v>0</v>
      </c>
      <c r="DX87" s="910">
        <v>5090.2803133512652</v>
      </c>
      <c r="DY87" s="871">
        <v>4000</v>
      </c>
      <c r="DZ87" s="911">
        <v>176.34806762150706</v>
      </c>
      <c r="EA87" s="908">
        <v>5.8540621186729158</v>
      </c>
      <c r="EB87" s="902">
        <v>65.987155301160414</v>
      </c>
      <c r="EC87" s="902">
        <v>0</v>
      </c>
      <c r="ED87" s="902">
        <v>0</v>
      </c>
      <c r="EE87" s="902">
        <v>36.221078543618447</v>
      </c>
      <c r="EF87" s="902">
        <v>5.0185933588059939</v>
      </c>
      <c r="EG87" s="902">
        <v>3600</v>
      </c>
      <c r="EH87" s="909" t="s">
        <v>2875</v>
      </c>
      <c r="EI87" s="909">
        <v>3</v>
      </c>
      <c r="EJ87" s="909">
        <v>0</v>
      </c>
      <c r="EK87" s="909">
        <v>0</v>
      </c>
      <c r="EL87" s="909">
        <v>0</v>
      </c>
      <c r="EM87" s="910">
        <v>5822.736535860131</v>
      </c>
      <c r="EN87" s="909">
        <v>0</v>
      </c>
      <c r="EO87" s="909">
        <v>0</v>
      </c>
      <c r="EP87" s="909">
        <v>0</v>
      </c>
      <c r="EQ87" s="910">
        <v>5090.2803133512652</v>
      </c>
      <c r="ER87" s="871">
        <v>4000</v>
      </c>
      <c r="ES87" s="911">
        <v>176.34806762150706</v>
      </c>
      <c r="ET87" s="908">
        <v>5.8540621186729158</v>
      </c>
      <c r="EU87" s="902">
        <v>65.987155301160414</v>
      </c>
      <c r="EV87" s="902">
        <v>0</v>
      </c>
      <c r="EW87" s="902">
        <v>0</v>
      </c>
      <c r="EX87" s="902">
        <v>36.221078543618447</v>
      </c>
      <c r="EY87" s="902">
        <v>5.0185933588059939</v>
      </c>
      <c r="EZ87" s="902">
        <v>3600</v>
      </c>
      <c r="FA87" s="909" t="s">
        <v>3884</v>
      </c>
      <c r="FB87" s="909">
        <v>3</v>
      </c>
      <c r="FC87" s="909">
        <v>0</v>
      </c>
      <c r="FD87" s="909">
        <v>0</v>
      </c>
      <c r="FE87" s="909">
        <v>0</v>
      </c>
      <c r="FF87" s="910">
        <v>6202.2815051528642</v>
      </c>
      <c r="FG87" s="909">
        <v>0</v>
      </c>
      <c r="FH87" s="909">
        <v>0</v>
      </c>
      <c r="FI87" s="909">
        <v>0</v>
      </c>
      <c r="FJ87" s="910">
        <v>5422.0813957673899</v>
      </c>
      <c r="FK87" s="871">
        <v>4000</v>
      </c>
      <c r="FL87" s="911">
        <v>176.34806762150706</v>
      </c>
      <c r="FM87" s="908">
        <v>5.8540621186729158</v>
      </c>
      <c r="FN87" s="902">
        <v>65.987155301160414</v>
      </c>
      <c r="FO87" s="902">
        <v>0</v>
      </c>
      <c r="FP87" s="902">
        <v>0</v>
      </c>
      <c r="FQ87" s="902">
        <v>36.221078543618447</v>
      </c>
      <c r="FR87" s="902">
        <v>5.0185933588059939</v>
      </c>
      <c r="FS87" s="902">
        <v>3600</v>
      </c>
      <c r="FT87" s="909" t="s">
        <v>3884</v>
      </c>
      <c r="FU87" s="909">
        <v>3</v>
      </c>
      <c r="FV87" s="909">
        <v>0</v>
      </c>
      <c r="FW87" s="909">
        <v>0</v>
      </c>
      <c r="FX87" s="909">
        <v>0</v>
      </c>
      <c r="FY87" s="910">
        <v>6202.2815051528642</v>
      </c>
      <c r="FZ87" s="909">
        <v>0</v>
      </c>
      <c r="GA87" s="909">
        <v>0</v>
      </c>
      <c r="GB87" s="909">
        <v>0</v>
      </c>
      <c r="GC87" s="910">
        <v>5422.0813957673899</v>
      </c>
      <c r="GD87" s="871">
        <v>4000</v>
      </c>
      <c r="GE87" s="911">
        <v>176.34806762150706</v>
      </c>
      <c r="GF87" s="908">
        <v>5.8540621186729158</v>
      </c>
      <c r="GG87" s="902">
        <v>65.987155301160414</v>
      </c>
      <c r="GH87" s="902">
        <v>0</v>
      </c>
      <c r="GI87" s="902">
        <v>0</v>
      </c>
      <c r="GJ87" s="902">
        <v>36.221078543618447</v>
      </c>
      <c r="GK87" s="902">
        <v>5.0185933588059939</v>
      </c>
      <c r="GL87" s="902">
        <v>3600</v>
      </c>
      <c r="GM87" s="909" t="s">
        <v>2877</v>
      </c>
      <c r="GN87" s="909">
        <v>3</v>
      </c>
      <c r="GO87" s="909">
        <v>0</v>
      </c>
      <c r="GP87" s="909">
        <v>0</v>
      </c>
      <c r="GQ87" s="909">
        <v>0</v>
      </c>
      <c r="GR87" s="910">
        <v>7660.3166596322399</v>
      </c>
      <c r="GS87" s="909">
        <v>0</v>
      </c>
      <c r="GT87" s="909">
        <v>0</v>
      </c>
      <c r="GU87" s="909">
        <v>0</v>
      </c>
      <c r="GV87" s="910">
        <v>6696.7067540181361</v>
      </c>
      <c r="GW87" s="871">
        <v>4000</v>
      </c>
      <c r="GX87" s="911">
        <v>176.34806762150706</v>
      </c>
      <c r="GY87" s="908">
        <v>5.8540621186729158</v>
      </c>
      <c r="GZ87" s="902">
        <v>65.987155301160414</v>
      </c>
      <c r="HA87" s="902">
        <v>0</v>
      </c>
      <c r="HB87" s="902">
        <v>0</v>
      </c>
      <c r="HC87" s="902">
        <v>36.221078543618447</v>
      </c>
      <c r="HD87" s="902">
        <v>5.0185933588059939</v>
      </c>
      <c r="HE87" s="902">
        <v>3600</v>
      </c>
      <c r="HF87" s="909" t="s">
        <v>2877</v>
      </c>
      <c r="HG87" s="909">
        <v>3</v>
      </c>
      <c r="HH87" s="909">
        <v>0</v>
      </c>
      <c r="HI87" s="909">
        <v>0</v>
      </c>
      <c r="HJ87" s="909">
        <v>0</v>
      </c>
      <c r="HK87" s="910">
        <v>7660.3166596322399</v>
      </c>
      <c r="HL87" s="909">
        <v>0</v>
      </c>
      <c r="HM87" s="909">
        <v>0</v>
      </c>
      <c r="HN87" s="909">
        <v>0</v>
      </c>
      <c r="HO87" s="910">
        <v>6696.7067540181361</v>
      </c>
      <c r="HP87" s="871">
        <v>4000</v>
      </c>
      <c r="HQ87" s="911">
        <v>176.34806762150706</v>
      </c>
      <c r="HR87" s="908">
        <v>5.8540621186729158</v>
      </c>
      <c r="HS87" s="902">
        <v>65.987155301160414</v>
      </c>
      <c r="HT87" s="902">
        <v>0</v>
      </c>
      <c r="HU87" s="902">
        <v>0</v>
      </c>
      <c r="HV87" s="902">
        <v>36.221078543618447</v>
      </c>
      <c r="HW87" s="902">
        <v>5.0185933588059939</v>
      </c>
      <c r="HX87" s="902">
        <v>3600</v>
      </c>
      <c r="HY87" s="909" t="s">
        <v>1063</v>
      </c>
      <c r="HZ87" s="909">
        <v>3</v>
      </c>
      <c r="IA87" s="909">
        <v>0</v>
      </c>
      <c r="IB87" s="909">
        <v>0</v>
      </c>
      <c r="IC87" s="909">
        <v>0</v>
      </c>
      <c r="ID87" s="910">
        <v>6755.7642817973083</v>
      </c>
      <c r="IE87" s="909">
        <v>0</v>
      </c>
      <c r="IF87" s="909">
        <v>0</v>
      </c>
      <c r="IG87" s="909">
        <v>0</v>
      </c>
      <c r="IH87" s="910">
        <v>5905.9402247528606</v>
      </c>
      <c r="II87" s="871">
        <v>4000</v>
      </c>
      <c r="IJ87" s="911">
        <v>176.34806762150706</v>
      </c>
      <c r="IK87" s="908">
        <v>5.8540621186729158</v>
      </c>
      <c r="IL87" s="902">
        <v>65.987155301160414</v>
      </c>
      <c r="IM87" s="902">
        <v>0</v>
      </c>
      <c r="IN87" s="902">
        <v>0</v>
      </c>
      <c r="IO87" s="902">
        <v>36.221078543618447</v>
      </c>
      <c r="IP87" s="902">
        <v>5.0185933588059939</v>
      </c>
      <c r="IQ87" s="902">
        <v>3600</v>
      </c>
      <c r="IR87" s="909" t="s">
        <v>1063</v>
      </c>
      <c r="IS87" s="909">
        <v>3</v>
      </c>
      <c r="IT87" s="909">
        <v>0</v>
      </c>
      <c r="IU87" s="909">
        <v>0</v>
      </c>
      <c r="IV87" s="909">
        <v>0</v>
      </c>
      <c r="IW87" s="910">
        <v>6755.7642817973083</v>
      </c>
      <c r="IX87" s="909">
        <v>0</v>
      </c>
      <c r="IY87" s="909">
        <v>0</v>
      </c>
      <c r="IZ87" s="909">
        <v>0</v>
      </c>
      <c r="JA87" s="910">
        <v>5905.9402247528606</v>
      </c>
      <c r="JB87" s="871">
        <v>4000</v>
      </c>
      <c r="JC87" s="911">
        <v>176.34806762150706</v>
      </c>
      <c r="JD87" s="908">
        <v>5.8540621186729158</v>
      </c>
      <c r="JE87" s="902">
        <v>65.987155301160414</v>
      </c>
      <c r="JF87" s="902">
        <v>0</v>
      </c>
      <c r="JG87" s="902">
        <v>0</v>
      </c>
      <c r="JH87" s="902">
        <v>36.221078543618447</v>
      </c>
      <c r="JI87" s="902">
        <v>5.0185933588059939</v>
      </c>
      <c r="JJ87" s="902">
        <v>3600</v>
      </c>
      <c r="JK87" s="909" t="s">
        <v>1064</v>
      </c>
      <c r="JL87" s="909">
        <v>3</v>
      </c>
      <c r="JM87" s="909">
        <v>0</v>
      </c>
      <c r="JN87" s="909">
        <v>0</v>
      </c>
      <c r="JO87" s="909">
        <v>0</v>
      </c>
      <c r="JP87" s="910">
        <v>9206.5548341983558</v>
      </c>
      <c r="JQ87" s="909">
        <v>0</v>
      </c>
      <c r="JR87" s="909">
        <v>0</v>
      </c>
      <c r="JS87" s="909">
        <v>0</v>
      </c>
      <c r="JT87" s="910">
        <v>8048.4398594528002</v>
      </c>
      <c r="JU87" s="871">
        <v>4000</v>
      </c>
      <c r="JV87" s="911">
        <v>176.34806762150706</v>
      </c>
      <c r="JW87" s="908">
        <v>5.8540621186729158</v>
      </c>
      <c r="JX87" s="902">
        <v>65.987155301160414</v>
      </c>
      <c r="JY87" s="902">
        <v>0</v>
      </c>
      <c r="JZ87" s="902">
        <v>0</v>
      </c>
      <c r="KA87" s="902">
        <v>36.221078543618447</v>
      </c>
      <c r="KB87" s="902">
        <v>5.0185933588059939</v>
      </c>
      <c r="KC87" s="902">
        <v>3600</v>
      </c>
      <c r="KD87" s="909" t="s">
        <v>1064</v>
      </c>
      <c r="KE87" s="909">
        <v>3</v>
      </c>
      <c r="KF87" s="909">
        <v>0</v>
      </c>
      <c r="KG87" s="909">
        <v>0</v>
      </c>
      <c r="KH87" s="909">
        <v>0</v>
      </c>
      <c r="KI87" s="910">
        <v>9206.5548341983558</v>
      </c>
      <c r="KJ87" s="909">
        <v>0</v>
      </c>
      <c r="KK87" s="909">
        <v>0</v>
      </c>
      <c r="KL87" s="909">
        <v>0</v>
      </c>
      <c r="KM87" s="910">
        <v>8048.4398594528002</v>
      </c>
      <c r="KN87" s="871">
        <v>4000</v>
      </c>
      <c r="KO87" s="912">
        <v>176.34806762150706</v>
      </c>
    </row>
    <row r="88" spans="1:301" ht="15" customHeight="1">
      <c r="A88" s="1396" t="s">
        <v>2346</v>
      </c>
      <c r="B88" s="888" t="s">
        <v>1073</v>
      </c>
      <c r="C88" s="888">
        <v>271.87541298516823</v>
      </c>
      <c r="D88" s="888">
        <v>903</v>
      </c>
      <c r="E88" s="888">
        <v>280</v>
      </c>
      <c r="F88" s="888">
        <v>218.16039433791846</v>
      </c>
      <c r="G88" s="888">
        <v>117.66728438727455</v>
      </c>
      <c r="H88" s="888">
        <v>96.251856522057722</v>
      </c>
      <c r="I88" s="888">
        <v>64</v>
      </c>
      <c r="J88" s="888">
        <v>44.359661470256277</v>
      </c>
      <c r="K88" s="888">
        <v>69.755891651842049</v>
      </c>
      <c r="L88" s="888">
        <v>12</v>
      </c>
      <c r="M88" s="888">
        <v>382.45188175877689</v>
      </c>
      <c r="N88" s="888">
        <v>6</v>
      </c>
      <c r="O88" s="884">
        <v>27.263623756848069</v>
      </c>
      <c r="P88" s="888">
        <v>6</v>
      </c>
      <c r="Q88" s="884">
        <v>18.538994945085946</v>
      </c>
      <c r="R88" s="888">
        <v>18.000000000000004</v>
      </c>
      <c r="S88" s="888">
        <v>560.58019716895922</v>
      </c>
      <c r="T88" s="906">
        <v>34.874464457550239</v>
      </c>
      <c r="U88" s="906">
        <v>84.087029575343877</v>
      </c>
      <c r="V88" s="906">
        <v>60</v>
      </c>
      <c r="W88" s="1141">
        <v>1.9616886257372006</v>
      </c>
      <c r="X88" s="902">
        <v>0</v>
      </c>
      <c r="Y88" s="902">
        <v>0</v>
      </c>
      <c r="Z88" s="902">
        <v>0</v>
      </c>
      <c r="AA88" s="902">
        <v>0</v>
      </c>
      <c r="AB88" s="970">
        <v>11.116755233886396</v>
      </c>
      <c r="AC88" s="1045">
        <v>4000</v>
      </c>
      <c r="AD88" s="890">
        <v>1.2505567045432751</v>
      </c>
      <c r="AE88" s="890">
        <v>0.97789410412164601</v>
      </c>
      <c r="AF88" s="890">
        <v>-0.23309507693951337</v>
      </c>
      <c r="AG88" s="890">
        <v>0.87457838023673884</v>
      </c>
      <c r="AH88" s="888"/>
      <c r="AI88" s="907">
        <v>3.1810390544829499</v>
      </c>
      <c r="AJ88" s="908">
        <v>11.546776777086199</v>
      </c>
      <c r="AK88" s="902">
        <v>94.185548562307645</v>
      </c>
      <c r="AL88" s="902">
        <v>0</v>
      </c>
      <c r="AM88" s="902">
        <v>0</v>
      </c>
      <c r="AN88" s="902">
        <v>38.309609401213109</v>
      </c>
      <c r="AO88" s="902">
        <v>8.3174204592463994</v>
      </c>
      <c r="AP88" s="1222">
        <v>3000</v>
      </c>
      <c r="AQ88" s="909" t="s">
        <v>1062</v>
      </c>
      <c r="AR88" s="909">
        <v>4</v>
      </c>
      <c r="AS88" s="909">
        <v>0</v>
      </c>
      <c r="AT88" s="909">
        <v>0</v>
      </c>
      <c r="AU88" s="909">
        <v>0</v>
      </c>
      <c r="AV88" s="910">
        <v>5923.5083756361264</v>
      </c>
      <c r="AW88" s="909">
        <v>0</v>
      </c>
      <c r="AX88" s="909">
        <v>0</v>
      </c>
      <c r="AY88" s="909">
        <v>0</v>
      </c>
      <c r="AZ88" s="910">
        <v>7715.7409346457216</v>
      </c>
      <c r="BA88" s="871">
        <v>4000</v>
      </c>
      <c r="BB88" s="911">
        <v>189.12387774610553</v>
      </c>
      <c r="BC88" s="908">
        <v>11.546776777086199</v>
      </c>
      <c r="BD88" s="902">
        <v>94.185548562307645</v>
      </c>
      <c r="BE88" s="902">
        <v>0</v>
      </c>
      <c r="BF88" s="902">
        <v>0</v>
      </c>
      <c r="BG88" s="902">
        <v>38.309609401213109</v>
      </c>
      <c r="BH88" s="902">
        <v>8.3174204592463994</v>
      </c>
      <c r="BI88" s="902">
        <v>3600</v>
      </c>
      <c r="BJ88" s="909" t="s">
        <v>1062</v>
      </c>
      <c r="BK88" s="909">
        <v>4</v>
      </c>
      <c r="BL88" s="909">
        <v>0</v>
      </c>
      <c r="BM88" s="909">
        <v>0</v>
      </c>
      <c r="BN88" s="909">
        <v>0</v>
      </c>
      <c r="BO88" s="910">
        <v>5923.5083756361264</v>
      </c>
      <c r="BP88" s="909">
        <v>0</v>
      </c>
      <c r="BQ88" s="909">
        <v>0</v>
      </c>
      <c r="BR88" s="909">
        <v>0</v>
      </c>
      <c r="BS88" s="910">
        <v>7715.7409346457216</v>
      </c>
      <c r="BT88" s="871">
        <v>4000</v>
      </c>
      <c r="BU88" s="911">
        <v>189.12387774610553</v>
      </c>
      <c r="BV88" s="908">
        <v>11.546776777086199</v>
      </c>
      <c r="BW88" s="902">
        <v>94.185548562307645</v>
      </c>
      <c r="BX88" s="902">
        <v>0</v>
      </c>
      <c r="BY88" s="902">
        <v>0</v>
      </c>
      <c r="BZ88" s="902">
        <v>38.309609401213109</v>
      </c>
      <c r="CA88" s="902">
        <v>8.3174204592463994</v>
      </c>
      <c r="CB88" s="902">
        <v>3000</v>
      </c>
      <c r="CC88" s="909" t="s">
        <v>2874</v>
      </c>
      <c r="CD88" s="909">
        <v>4</v>
      </c>
      <c r="CE88" s="909">
        <v>0</v>
      </c>
      <c r="CF88" s="909">
        <v>0</v>
      </c>
      <c r="CG88" s="909">
        <v>0</v>
      </c>
      <c r="CH88" s="910">
        <v>5803.8292029643744</v>
      </c>
      <c r="CI88" s="909">
        <v>0</v>
      </c>
      <c r="CJ88" s="909">
        <v>0</v>
      </c>
      <c r="CK88" s="909">
        <v>0</v>
      </c>
      <c r="CL88" s="910">
        <v>7559.851310954793</v>
      </c>
      <c r="CM88" s="871">
        <v>4000</v>
      </c>
      <c r="CN88" s="911">
        <v>189.12387774610553</v>
      </c>
      <c r="CO88" s="908">
        <v>11.546776777086199</v>
      </c>
      <c r="CP88" s="902">
        <v>94.185548562307645</v>
      </c>
      <c r="CQ88" s="902">
        <v>0</v>
      </c>
      <c r="CR88" s="902">
        <v>0</v>
      </c>
      <c r="CS88" s="902">
        <v>38.309609401213109</v>
      </c>
      <c r="CT88" s="902">
        <v>8.3174204592463994</v>
      </c>
      <c r="CU88" s="902">
        <v>3600</v>
      </c>
      <c r="CV88" s="909" t="s">
        <v>2874</v>
      </c>
      <c r="CW88" s="909">
        <v>4</v>
      </c>
      <c r="CX88" s="909">
        <v>0</v>
      </c>
      <c r="CY88" s="909">
        <v>0</v>
      </c>
      <c r="CZ88" s="909">
        <v>0</v>
      </c>
      <c r="DA88" s="910">
        <v>5803.8292029643744</v>
      </c>
      <c r="DB88" s="909">
        <v>0</v>
      </c>
      <c r="DC88" s="909">
        <v>0</v>
      </c>
      <c r="DD88" s="909">
        <v>0</v>
      </c>
      <c r="DE88" s="910">
        <v>7559.851310954793</v>
      </c>
      <c r="DF88" s="871">
        <v>4000</v>
      </c>
      <c r="DG88" s="911">
        <v>189.12387774610553</v>
      </c>
      <c r="DH88" s="908">
        <v>11.546776777086199</v>
      </c>
      <c r="DI88" s="902">
        <v>94.185548562307645</v>
      </c>
      <c r="DJ88" s="902">
        <v>0</v>
      </c>
      <c r="DK88" s="902">
        <v>0</v>
      </c>
      <c r="DL88" s="902">
        <v>38.309609401213109</v>
      </c>
      <c r="DM88" s="902">
        <v>8.3174204592463994</v>
      </c>
      <c r="DN88" s="902">
        <v>3000</v>
      </c>
      <c r="DO88" s="909" t="s">
        <v>2875</v>
      </c>
      <c r="DP88" s="909">
        <v>4</v>
      </c>
      <c r="DQ88" s="909">
        <v>0</v>
      </c>
      <c r="DR88" s="909">
        <v>0</v>
      </c>
      <c r="DS88" s="909">
        <v>0</v>
      </c>
      <c r="DT88" s="910">
        <v>6040.8169592597815</v>
      </c>
      <c r="DU88" s="909">
        <v>0</v>
      </c>
      <c r="DV88" s="909">
        <v>0</v>
      </c>
      <c r="DW88" s="909">
        <v>0</v>
      </c>
      <c r="DX88" s="910">
        <v>7868.5427175170325</v>
      </c>
      <c r="DY88" s="871">
        <v>4000</v>
      </c>
      <c r="DZ88" s="911">
        <v>189.12387774610553</v>
      </c>
      <c r="EA88" s="908">
        <v>11.546776777086199</v>
      </c>
      <c r="EB88" s="902">
        <v>94.185548562307645</v>
      </c>
      <c r="EC88" s="902">
        <v>0</v>
      </c>
      <c r="ED88" s="902">
        <v>0</v>
      </c>
      <c r="EE88" s="902">
        <v>38.309609401213109</v>
      </c>
      <c r="EF88" s="902">
        <v>8.3174204592463994</v>
      </c>
      <c r="EG88" s="902">
        <v>3600</v>
      </c>
      <c r="EH88" s="909" t="s">
        <v>2875</v>
      </c>
      <c r="EI88" s="909">
        <v>4</v>
      </c>
      <c r="EJ88" s="909">
        <v>0</v>
      </c>
      <c r="EK88" s="909">
        <v>0</v>
      </c>
      <c r="EL88" s="909">
        <v>0</v>
      </c>
      <c r="EM88" s="910">
        <v>6040.8169592597815</v>
      </c>
      <c r="EN88" s="909">
        <v>0</v>
      </c>
      <c r="EO88" s="909">
        <v>0</v>
      </c>
      <c r="EP88" s="909">
        <v>0</v>
      </c>
      <c r="EQ88" s="910">
        <v>7868.5427175170325</v>
      </c>
      <c r="ER88" s="871">
        <v>4000</v>
      </c>
      <c r="ES88" s="911">
        <v>189.12387774610553</v>
      </c>
      <c r="ET88" s="908">
        <v>11.546776777086199</v>
      </c>
      <c r="EU88" s="902">
        <v>94.185548562307645</v>
      </c>
      <c r="EV88" s="902">
        <v>0</v>
      </c>
      <c r="EW88" s="902">
        <v>0</v>
      </c>
      <c r="EX88" s="902">
        <v>38.309609401213109</v>
      </c>
      <c r="EY88" s="902">
        <v>8.3174204592463994</v>
      </c>
      <c r="EZ88" s="902">
        <v>3000</v>
      </c>
      <c r="FA88" s="909" t="s">
        <v>3884</v>
      </c>
      <c r="FB88" s="909">
        <v>4</v>
      </c>
      <c r="FC88" s="909">
        <v>0</v>
      </c>
      <c r="FD88" s="909">
        <v>0</v>
      </c>
      <c r="FE88" s="909">
        <v>0</v>
      </c>
      <c r="FF88" s="910">
        <v>6434.57712223212</v>
      </c>
      <c r="FG88" s="909">
        <v>0</v>
      </c>
      <c r="FH88" s="909">
        <v>0</v>
      </c>
      <c r="FI88" s="909">
        <v>0</v>
      </c>
      <c r="FJ88" s="910">
        <v>8381.4400100024468</v>
      </c>
      <c r="FK88" s="871">
        <v>4000</v>
      </c>
      <c r="FL88" s="911">
        <v>189.12387774610553</v>
      </c>
      <c r="FM88" s="908">
        <v>11.546776777086199</v>
      </c>
      <c r="FN88" s="902">
        <v>94.185548562307645</v>
      </c>
      <c r="FO88" s="902">
        <v>0</v>
      </c>
      <c r="FP88" s="902">
        <v>0</v>
      </c>
      <c r="FQ88" s="902">
        <v>38.309609401213109</v>
      </c>
      <c r="FR88" s="902">
        <v>8.3174204592463994</v>
      </c>
      <c r="FS88" s="902">
        <v>3600</v>
      </c>
      <c r="FT88" s="909" t="s">
        <v>3884</v>
      </c>
      <c r="FU88" s="909">
        <v>4</v>
      </c>
      <c r="FV88" s="909">
        <v>0</v>
      </c>
      <c r="FW88" s="909">
        <v>0</v>
      </c>
      <c r="FX88" s="909">
        <v>0</v>
      </c>
      <c r="FY88" s="910">
        <v>6434.57712223212</v>
      </c>
      <c r="FZ88" s="909">
        <v>0</v>
      </c>
      <c r="GA88" s="909">
        <v>0</v>
      </c>
      <c r="GB88" s="909">
        <v>0</v>
      </c>
      <c r="GC88" s="910">
        <v>8381.4400100024468</v>
      </c>
      <c r="GD88" s="871">
        <v>4000</v>
      </c>
      <c r="GE88" s="911">
        <v>189.12387774610553</v>
      </c>
      <c r="GF88" s="908">
        <v>11.546776777086199</v>
      </c>
      <c r="GG88" s="902">
        <v>94.185548562307645</v>
      </c>
      <c r="GH88" s="902">
        <v>0</v>
      </c>
      <c r="GI88" s="902">
        <v>0</v>
      </c>
      <c r="GJ88" s="902">
        <v>38.309609401213109</v>
      </c>
      <c r="GK88" s="902">
        <v>8.3174204592463994</v>
      </c>
      <c r="GL88" s="902">
        <v>3000</v>
      </c>
      <c r="GM88" s="909" t="s">
        <v>2877</v>
      </c>
      <c r="GN88" s="909">
        <v>4</v>
      </c>
      <c r="GO88" s="909">
        <v>0</v>
      </c>
      <c r="GP88" s="909">
        <v>0</v>
      </c>
      <c r="GQ88" s="909">
        <v>0</v>
      </c>
      <c r="GR88" s="910">
        <v>7947.2204359270409</v>
      </c>
      <c r="GS88" s="909">
        <v>0</v>
      </c>
      <c r="GT88" s="909">
        <v>0</v>
      </c>
      <c r="GU88" s="909">
        <v>0</v>
      </c>
      <c r="GV88" s="910">
        <v>10351.752735987357</v>
      </c>
      <c r="GW88" s="871">
        <v>4000</v>
      </c>
      <c r="GX88" s="911">
        <v>189.12387774610553</v>
      </c>
      <c r="GY88" s="908">
        <v>11.546776777086199</v>
      </c>
      <c r="GZ88" s="902">
        <v>94.185548562307645</v>
      </c>
      <c r="HA88" s="902">
        <v>0</v>
      </c>
      <c r="HB88" s="902">
        <v>0</v>
      </c>
      <c r="HC88" s="902">
        <v>38.309609401213109</v>
      </c>
      <c r="HD88" s="902">
        <v>8.3174204592463994</v>
      </c>
      <c r="HE88" s="902">
        <v>3600</v>
      </c>
      <c r="HF88" s="909" t="s">
        <v>2877</v>
      </c>
      <c r="HG88" s="909">
        <v>4</v>
      </c>
      <c r="HH88" s="909">
        <v>0</v>
      </c>
      <c r="HI88" s="909">
        <v>0</v>
      </c>
      <c r="HJ88" s="909">
        <v>0</v>
      </c>
      <c r="HK88" s="910">
        <v>7947.2204359270409</v>
      </c>
      <c r="HL88" s="909">
        <v>0</v>
      </c>
      <c r="HM88" s="909">
        <v>0</v>
      </c>
      <c r="HN88" s="909">
        <v>0</v>
      </c>
      <c r="HO88" s="910">
        <v>10351.752735987357</v>
      </c>
      <c r="HP88" s="871">
        <v>4000</v>
      </c>
      <c r="HQ88" s="911">
        <v>189.12387774610553</v>
      </c>
      <c r="HR88" s="908">
        <v>11.546776777086199</v>
      </c>
      <c r="HS88" s="902">
        <v>94.185548562307645</v>
      </c>
      <c r="HT88" s="902">
        <v>0</v>
      </c>
      <c r="HU88" s="902">
        <v>0</v>
      </c>
      <c r="HV88" s="902">
        <v>38.309609401213109</v>
      </c>
      <c r="HW88" s="902">
        <v>8.3174204592463994</v>
      </c>
      <c r="HX88" s="902">
        <v>3000</v>
      </c>
      <c r="HY88" s="909" t="s">
        <v>1063</v>
      </c>
      <c r="HZ88" s="909">
        <v>4</v>
      </c>
      <c r="IA88" s="909">
        <v>0</v>
      </c>
      <c r="IB88" s="909">
        <v>0</v>
      </c>
      <c r="IC88" s="909">
        <v>0</v>
      </c>
      <c r="ID88" s="910">
        <v>7008.7896292244268</v>
      </c>
      <c r="IE88" s="909">
        <v>0</v>
      </c>
      <c r="IF88" s="909">
        <v>0</v>
      </c>
      <c r="IG88" s="909">
        <v>0</v>
      </c>
      <c r="IH88" s="910">
        <v>9129.3877910183364</v>
      </c>
      <c r="II88" s="871">
        <v>4000</v>
      </c>
      <c r="IJ88" s="911">
        <v>189.12387774610553</v>
      </c>
      <c r="IK88" s="908">
        <v>11.546776777086199</v>
      </c>
      <c r="IL88" s="902">
        <v>94.185548562307645</v>
      </c>
      <c r="IM88" s="902">
        <v>0</v>
      </c>
      <c r="IN88" s="902">
        <v>0</v>
      </c>
      <c r="IO88" s="902">
        <v>38.309609401213109</v>
      </c>
      <c r="IP88" s="902">
        <v>8.3174204592463994</v>
      </c>
      <c r="IQ88" s="902">
        <v>3600</v>
      </c>
      <c r="IR88" s="909" t="s">
        <v>1063</v>
      </c>
      <c r="IS88" s="909">
        <v>4</v>
      </c>
      <c r="IT88" s="909">
        <v>0</v>
      </c>
      <c r="IU88" s="909">
        <v>0</v>
      </c>
      <c r="IV88" s="909">
        <v>0</v>
      </c>
      <c r="IW88" s="910">
        <v>7008.7896292244268</v>
      </c>
      <c r="IX88" s="909">
        <v>0</v>
      </c>
      <c r="IY88" s="909">
        <v>0</v>
      </c>
      <c r="IZ88" s="909">
        <v>0</v>
      </c>
      <c r="JA88" s="910">
        <v>9129.3877910183364</v>
      </c>
      <c r="JB88" s="871">
        <v>4000</v>
      </c>
      <c r="JC88" s="911">
        <v>189.12387774610553</v>
      </c>
      <c r="JD88" s="908">
        <v>11.546776777086199</v>
      </c>
      <c r="JE88" s="902">
        <v>94.185548562307645</v>
      </c>
      <c r="JF88" s="902">
        <v>0</v>
      </c>
      <c r="JG88" s="902">
        <v>0</v>
      </c>
      <c r="JH88" s="902">
        <v>38.309609401213109</v>
      </c>
      <c r="JI88" s="902">
        <v>8.3174204592463994</v>
      </c>
      <c r="JJ88" s="902">
        <v>3000</v>
      </c>
      <c r="JK88" s="909" t="s">
        <v>1064</v>
      </c>
      <c r="JL88" s="909">
        <v>4</v>
      </c>
      <c r="JM88" s="909">
        <v>0</v>
      </c>
      <c r="JN88" s="909">
        <v>0</v>
      </c>
      <c r="JO88" s="909">
        <v>0</v>
      </c>
      <c r="JP88" s="910">
        <v>9551.3702597167448</v>
      </c>
      <c r="JQ88" s="909">
        <v>0</v>
      </c>
      <c r="JR88" s="909">
        <v>0</v>
      </c>
      <c r="JS88" s="909">
        <v>0</v>
      </c>
      <c r="JT88" s="910">
        <v>12441.258426842349</v>
      </c>
      <c r="JU88" s="871">
        <v>4000</v>
      </c>
      <c r="JV88" s="911">
        <v>189.12387774610553</v>
      </c>
      <c r="JW88" s="908">
        <v>11.546776777086199</v>
      </c>
      <c r="JX88" s="902">
        <v>94.185548562307645</v>
      </c>
      <c r="JY88" s="902">
        <v>0</v>
      </c>
      <c r="JZ88" s="902">
        <v>0</v>
      </c>
      <c r="KA88" s="902">
        <v>38.309609401213109</v>
      </c>
      <c r="KB88" s="902">
        <v>8.3174204592463994</v>
      </c>
      <c r="KC88" s="902">
        <v>3600</v>
      </c>
      <c r="KD88" s="909" t="s">
        <v>1064</v>
      </c>
      <c r="KE88" s="909">
        <v>4</v>
      </c>
      <c r="KF88" s="909">
        <v>0</v>
      </c>
      <c r="KG88" s="909">
        <v>0</v>
      </c>
      <c r="KH88" s="909">
        <v>0</v>
      </c>
      <c r="KI88" s="910">
        <v>9551.3702597167448</v>
      </c>
      <c r="KJ88" s="909">
        <v>0</v>
      </c>
      <c r="KK88" s="909">
        <v>0</v>
      </c>
      <c r="KL88" s="909">
        <v>0</v>
      </c>
      <c r="KM88" s="910">
        <v>12441.258426842349</v>
      </c>
      <c r="KN88" s="871">
        <v>4000</v>
      </c>
      <c r="KO88" s="912">
        <v>189.12387774610553</v>
      </c>
    </row>
    <row r="89" spans="1:301" ht="15" customHeight="1">
      <c r="A89" s="1396" t="s">
        <v>2348</v>
      </c>
      <c r="B89" s="888" t="s">
        <v>1073</v>
      </c>
      <c r="C89" s="888">
        <v>258.4020582737362</v>
      </c>
      <c r="D89" s="888">
        <v>937</v>
      </c>
      <c r="E89" s="888">
        <v>250</v>
      </c>
      <c r="F89" s="888">
        <v>220.99495584268831</v>
      </c>
      <c r="G89" s="888">
        <v>114.72118162068971</v>
      </c>
      <c r="H89" s="888">
        <v>93.910364274571734</v>
      </c>
      <c r="I89" s="888">
        <v>60.764009605790491</v>
      </c>
      <c r="J89" s="888">
        <v>48.413722825307509</v>
      </c>
      <c r="K89" s="888">
        <v>75.305820187831998</v>
      </c>
      <c r="L89" s="888">
        <v>16</v>
      </c>
      <c r="M89" s="888">
        <v>389.20862681903844</v>
      </c>
      <c r="N89" s="888">
        <v>6</v>
      </c>
      <c r="O89" s="884">
        <v>30.166035966145785</v>
      </c>
      <c r="P89" s="888">
        <v>6</v>
      </c>
      <c r="Q89" s="884">
        <v>20.076839793510441</v>
      </c>
      <c r="R89" s="888">
        <v>18.000000000000004</v>
      </c>
      <c r="S89" s="888">
        <v>578.99747792134417</v>
      </c>
      <c r="T89" s="906">
        <v>37.203636048409741</v>
      </c>
      <c r="U89" s="906">
        <v>86.849621688201623</v>
      </c>
      <c r="V89" s="906">
        <v>60</v>
      </c>
      <c r="W89" s="1141">
        <v>2.0927045277230474</v>
      </c>
      <c r="X89" s="902">
        <v>0</v>
      </c>
      <c r="Y89" s="902">
        <v>0</v>
      </c>
      <c r="Z89" s="902">
        <v>0</v>
      </c>
      <c r="AA89" s="902">
        <v>0</v>
      </c>
      <c r="AB89" s="970">
        <v>14.380769104343463</v>
      </c>
      <c r="AC89" s="1045">
        <v>4000</v>
      </c>
      <c r="AD89" s="890">
        <v>1.5517899767066914</v>
      </c>
      <c r="AE89" s="890">
        <v>1.1268706058405957</v>
      </c>
      <c r="AF89" s="890">
        <v>-0.14243962417550859</v>
      </c>
      <c r="AG89" s="890">
        <v>0.77910565246186503</v>
      </c>
      <c r="AH89" s="888"/>
      <c r="AI89" s="907">
        <v>3.6165459497990331</v>
      </c>
      <c r="AJ89" s="908">
        <v>15.12239088631207</v>
      </c>
      <c r="AK89" s="902">
        <v>104.66160722210108</v>
      </c>
      <c r="AL89" s="902">
        <v>0</v>
      </c>
      <c r="AM89" s="902">
        <v>0</v>
      </c>
      <c r="AN89" s="902">
        <v>38.226265872990218</v>
      </c>
      <c r="AO89" s="902">
        <v>9.9357997930500819</v>
      </c>
      <c r="AP89" s="1222">
        <v>3500</v>
      </c>
      <c r="AQ89" s="909" t="s">
        <v>1062</v>
      </c>
      <c r="AR89" s="909">
        <v>4</v>
      </c>
      <c r="AS89" s="909">
        <v>0</v>
      </c>
      <c r="AT89" s="909">
        <v>0</v>
      </c>
      <c r="AU89" s="909">
        <v>0</v>
      </c>
      <c r="AV89" s="910">
        <v>6491.2898638447023</v>
      </c>
      <c r="AW89" s="909">
        <v>0</v>
      </c>
      <c r="AX89" s="909">
        <v>0</v>
      </c>
      <c r="AY89" s="909">
        <v>0</v>
      </c>
      <c r="AZ89" s="910">
        <v>9470.0731967539759</v>
      </c>
      <c r="BA89" s="871">
        <v>4000</v>
      </c>
      <c r="BB89" s="911">
        <v>196.24482109424241</v>
      </c>
      <c r="BC89" s="908">
        <v>15.12239088631207</v>
      </c>
      <c r="BD89" s="902">
        <v>104.66160722210108</v>
      </c>
      <c r="BE89" s="902">
        <v>0</v>
      </c>
      <c r="BF89" s="902">
        <v>0</v>
      </c>
      <c r="BG89" s="902">
        <v>38.226265872990218</v>
      </c>
      <c r="BH89" s="902">
        <v>9.9357997930500819</v>
      </c>
      <c r="BI89" s="902">
        <v>3600</v>
      </c>
      <c r="BJ89" s="909" t="s">
        <v>1062</v>
      </c>
      <c r="BK89" s="909">
        <v>4</v>
      </c>
      <c r="BL89" s="909">
        <v>0</v>
      </c>
      <c r="BM89" s="909">
        <v>0</v>
      </c>
      <c r="BN89" s="909">
        <v>0</v>
      </c>
      <c r="BO89" s="910">
        <v>6491.2898638447023</v>
      </c>
      <c r="BP89" s="909">
        <v>0</v>
      </c>
      <c r="BQ89" s="909">
        <v>0</v>
      </c>
      <c r="BR89" s="909">
        <v>0</v>
      </c>
      <c r="BS89" s="910">
        <v>9470.0731967539759</v>
      </c>
      <c r="BT89" s="871">
        <v>4000</v>
      </c>
      <c r="BU89" s="911">
        <v>196.24482109424241</v>
      </c>
      <c r="BV89" s="908">
        <v>15.12239088631207</v>
      </c>
      <c r="BW89" s="902">
        <v>104.66160722210108</v>
      </c>
      <c r="BX89" s="902">
        <v>0</v>
      </c>
      <c r="BY89" s="902">
        <v>0</v>
      </c>
      <c r="BZ89" s="902">
        <v>38.226265872990218</v>
      </c>
      <c r="CA89" s="902">
        <v>9.9357997930500819</v>
      </c>
      <c r="CB89" s="902">
        <v>3500</v>
      </c>
      <c r="CC89" s="909" t="s">
        <v>2874</v>
      </c>
      <c r="CD89" s="909">
        <v>4</v>
      </c>
      <c r="CE89" s="909">
        <v>0</v>
      </c>
      <c r="CF89" s="909">
        <v>0</v>
      </c>
      <c r="CG89" s="909">
        <v>0</v>
      </c>
      <c r="CH89" s="910">
        <v>6360.1391755680033</v>
      </c>
      <c r="CI89" s="909">
        <v>0</v>
      </c>
      <c r="CJ89" s="909">
        <v>0</v>
      </c>
      <c r="CK89" s="909">
        <v>0</v>
      </c>
      <c r="CL89" s="910">
        <v>9278.7388635419084</v>
      </c>
      <c r="CM89" s="871">
        <v>4000</v>
      </c>
      <c r="CN89" s="911">
        <v>196.24482109424241</v>
      </c>
      <c r="CO89" s="908">
        <v>15.12239088631207</v>
      </c>
      <c r="CP89" s="902">
        <v>104.66160722210108</v>
      </c>
      <c r="CQ89" s="902">
        <v>0</v>
      </c>
      <c r="CR89" s="902">
        <v>0</v>
      </c>
      <c r="CS89" s="902">
        <v>38.226265872990218</v>
      </c>
      <c r="CT89" s="902">
        <v>9.9357997930500819</v>
      </c>
      <c r="CU89" s="902">
        <v>3600</v>
      </c>
      <c r="CV89" s="909" t="s">
        <v>2874</v>
      </c>
      <c r="CW89" s="909">
        <v>4</v>
      </c>
      <c r="CX89" s="909">
        <v>0</v>
      </c>
      <c r="CY89" s="909">
        <v>0</v>
      </c>
      <c r="CZ89" s="909">
        <v>0</v>
      </c>
      <c r="DA89" s="910">
        <v>6360.1391755680033</v>
      </c>
      <c r="DB89" s="909">
        <v>0</v>
      </c>
      <c r="DC89" s="909">
        <v>0</v>
      </c>
      <c r="DD89" s="909">
        <v>0</v>
      </c>
      <c r="DE89" s="910">
        <v>9278.7388635419084</v>
      </c>
      <c r="DF89" s="871">
        <v>4000</v>
      </c>
      <c r="DG89" s="911">
        <v>196.24482109424241</v>
      </c>
      <c r="DH89" s="908">
        <v>15.12239088631207</v>
      </c>
      <c r="DI89" s="902">
        <v>104.66160722210108</v>
      </c>
      <c r="DJ89" s="902">
        <v>0</v>
      </c>
      <c r="DK89" s="902">
        <v>0</v>
      </c>
      <c r="DL89" s="902">
        <v>38.226265872990218</v>
      </c>
      <c r="DM89" s="902">
        <v>9.9357997930500819</v>
      </c>
      <c r="DN89" s="902">
        <v>3500</v>
      </c>
      <c r="DO89" s="909" t="s">
        <v>2875</v>
      </c>
      <c r="DP89" s="909">
        <v>4</v>
      </c>
      <c r="DQ89" s="909">
        <v>0</v>
      </c>
      <c r="DR89" s="909">
        <v>0</v>
      </c>
      <c r="DS89" s="909">
        <v>0</v>
      </c>
      <c r="DT89" s="910">
        <v>6619.8427368262364</v>
      </c>
      <c r="DU89" s="909">
        <v>0</v>
      </c>
      <c r="DV89" s="909">
        <v>0</v>
      </c>
      <c r="DW89" s="909">
        <v>0</v>
      </c>
      <c r="DX89" s="910">
        <v>9657.6176050801096</v>
      </c>
      <c r="DY89" s="871">
        <v>4000</v>
      </c>
      <c r="DZ89" s="911">
        <v>196.24482109424241</v>
      </c>
      <c r="EA89" s="908">
        <v>15.12239088631207</v>
      </c>
      <c r="EB89" s="902">
        <v>104.66160722210108</v>
      </c>
      <c r="EC89" s="902">
        <v>0</v>
      </c>
      <c r="ED89" s="902">
        <v>0</v>
      </c>
      <c r="EE89" s="902">
        <v>38.226265872990218</v>
      </c>
      <c r="EF89" s="902">
        <v>9.9357997930500819</v>
      </c>
      <c r="EG89" s="902">
        <v>3600</v>
      </c>
      <c r="EH89" s="909" t="s">
        <v>2875</v>
      </c>
      <c r="EI89" s="909">
        <v>4</v>
      </c>
      <c r="EJ89" s="909">
        <v>0</v>
      </c>
      <c r="EK89" s="909">
        <v>0</v>
      </c>
      <c r="EL89" s="909">
        <v>0</v>
      </c>
      <c r="EM89" s="910">
        <v>6619.8427368262364</v>
      </c>
      <c r="EN89" s="909">
        <v>0</v>
      </c>
      <c r="EO89" s="909">
        <v>0</v>
      </c>
      <c r="EP89" s="909">
        <v>0</v>
      </c>
      <c r="EQ89" s="910">
        <v>9657.6176050801096</v>
      </c>
      <c r="ER89" s="871">
        <v>4000</v>
      </c>
      <c r="ES89" s="911">
        <v>196.24482109424241</v>
      </c>
      <c r="ET89" s="908">
        <v>15.12239088631207</v>
      </c>
      <c r="EU89" s="902">
        <v>104.66160722210108</v>
      </c>
      <c r="EV89" s="902">
        <v>0</v>
      </c>
      <c r="EW89" s="902">
        <v>0</v>
      </c>
      <c r="EX89" s="902">
        <v>38.226265872990218</v>
      </c>
      <c r="EY89" s="902">
        <v>9.9357997930500819</v>
      </c>
      <c r="EZ89" s="902">
        <v>3500</v>
      </c>
      <c r="FA89" s="909" t="s">
        <v>3884</v>
      </c>
      <c r="FB89" s="909">
        <v>4</v>
      </c>
      <c r="FC89" s="909">
        <v>0</v>
      </c>
      <c r="FD89" s="909">
        <v>0</v>
      </c>
      <c r="FE89" s="909">
        <v>0</v>
      </c>
      <c r="FF89" s="910">
        <v>7051.3456895697909</v>
      </c>
      <c r="FG89" s="909">
        <v>0</v>
      </c>
      <c r="FH89" s="909">
        <v>0</v>
      </c>
      <c r="FI89" s="909">
        <v>0</v>
      </c>
      <c r="FJ89" s="910">
        <v>10287.132637193719</v>
      </c>
      <c r="FK89" s="871">
        <v>4000</v>
      </c>
      <c r="FL89" s="911">
        <v>196.24482109424241</v>
      </c>
      <c r="FM89" s="908">
        <v>15.12239088631207</v>
      </c>
      <c r="FN89" s="902">
        <v>104.66160722210108</v>
      </c>
      <c r="FO89" s="902">
        <v>0</v>
      </c>
      <c r="FP89" s="902">
        <v>0</v>
      </c>
      <c r="FQ89" s="902">
        <v>38.226265872990218</v>
      </c>
      <c r="FR89" s="902">
        <v>9.9357997930500819</v>
      </c>
      <c r="FS89" s="902">
        <v>3600</v>
      </c>
      <c r="FT89" s="909" t="s">
        <v>3884</v>
      </c>
      <c r="FU89" s="909">
        <v>4</v>
      </c>
      <c r="FV89" s="909">
        <v>0</v>
      </c>
      <c r="FW89" s="909">
        <v>0</v>
      </c>
      <c r="FX89" s="909">
        <v>0</v>
      </c>
      <c r="FY89" s="910">
        <v>7051.3456895697909</v>
      </c>
      <c r="FZ89" s="909">
        <v>0</v>
      </c>
      <c r="GA89" s="909">
        <v>0</v>
      </c>
      <c r="GB89" s="909">
        <v>0</v>
      </c>
      <c r="GC89" s="910">
        <v>10287.132637193719</v>
      </c>
      <c r="GD89" s="871">
        <v>4000</v>
      </c>
      <c r="GE89" s="911">
        <v>196.24482109424241</v>
      </c>
      <c r="GF89" s="908">
        <v>15.12239088631207</v>
      </c>
      <c r="GG89" s="902">
        <v>104.66160722210108</v>
      </c>
      <c r="GH89" s="902">
        <v>0</v>
      </c>
      <c r="GI89" s="902">
        <v>0</v>
      </c>
      <c r="GJ89" s="902">
        <v>38.226265872990218</v>
      </c>
      <c r="GK89" s="902">
        <v>9.9357997930500819</v>
      </c>
      <c r="GL89" s="902">
        <v>3500</v>
      </c>
      <c r="GM89" s="909" t="s">
        <v>2877</v>
      </c>
      <c r="GN89" s="909">
        <v>4</v>
      </c>
      <c r="GO89" s="909">
        <v>0</v>
      </c>
      <c r="GP89" s="909">
        <v>0</v>
      </c>
      <c r="GQ89" s="909">
        <v>0</v>
      </c>
      <c r="GR89" s="910">
        <v>8708.9792383272652</v>
      </c>
      <c r="GS89" s="909">
        <v>0</v>
      </c>
      <c r="GT89" s="909">
        <v>0</v>
      </c>
      <c r="GU89" s="909">
        <v>0</v>
      </c>
      <c r="GV89" s="910">
        <v>12705.436451904383</v>
      </c>
      <c r="GW89" s="871">
        <v>4000</v>
      </c>
      <c r="GX89" s="911">
        <v>196.24482109424241</v>
      </c>
      <c r="GY89" s="908">
        <v>15.12239088631207</v>
      </c>
      <c r="GZ89" s="902">
        <v>104.66160722210108</v>
      </c>
      <c r="HA89" s="902">
        <v>0</v>
      </c>
      <c r="HB89" s="902">
        <v>0</v>
      </c>
      <c r="HC89" s="902">
        <v>38.226265872990218</v>
      </c>
      <c r="HD89" s="902">
        <v>9.9357997930500819</v>
      </c>
      <c r="HE89" s="902">
        <v>3600</v>
      </c>
      <c r="HF89" s="909" t="s">
        <v>2877</v>
      </c>
      <c r="HG89" s="909">
        <v>4</v>
      </c>
      <c r="HH89" s="909">
        <v>0</v>
      </c>
      <c r="HI89" s="909">
        <v>0</v>
      </c>
      <c r="HJ89" s="909">
        <v>0</v>
      </c>
      <c r="HK89" s="910">
        <v>8708.9792383272652</v>
      </c>
      <c r="HL89" s="909">
        <v>0</v>
      </c>
      <c r="HM89" s="909">
        <v>0</v>
      </c>
      <c r="HN89" s="909">
        <v>0</v>
      </c>
      <c r="HO89" s="910">
        <v>12705.436451904383</v>
      </c>
      <c r="HP89" s="871">
        <v>4000</v>
      </c>
      <c r="HQ89" s="911">
        <v>196.24482109424241</v>
      </c>
      <c r="HR89" s="908">
        <v>15.12239088631207</v>
      </c>
      <c r="HS89" s="902">
        <v>104.66160722210108</v>
      </c>
      <c r="HT89" s="902">
        <v>0</v>
      </c>
      <c r="HU89" s="902">
        <v>0</v>
      </c>
      <c r="HV89" s="902">
        <v>38.226265872990218</v>
      </c>
      <c r="HW89" s="902">
        <v>9.9357997930500819</v>
      </c>
      <c r="HX89" s="902">
        <v>3500</v>
      </c>
      <c r="HY89" s="909" t="s">
        <v>1063</v>
      </c>
      <c r="HZ89" s="909">
        <v>4</v>
      </c>
      <c r="IA89" s="909">
        <v>0</v>
      </c>
      <c r="IB89" s="909">
        <v>0</v>
      </c>
      <c r="IC89" s="909">
        <v>0</v>
      </c>
      <c r="ID89" s="910">
        <v>7680.5977459462201</v>
      </c>
      <c r="IE89" s="909">
        <v>0</v>
      </c>
      <c r="IF89" s="909">
        <v>0</v>
      </c>
      <c r="IG89" s="909">
        <v>0</v>
      </c>
      <c r="IH89" s="910">
        <v>11205.141716757953</v>
      </c>
      <c r="II89" s="871">
        <v>4000</v>
      </c>
      <c r="IJ89" s="911">
        <v>196.24482109424241</v>
      </c>
      <c r="IK89" s="908">
        <v>15.12239088631207</v>
      </c>
      <c r="IL89" s="902">
        <v>104.66160722210108</v>
      </c>
      <c r="IM89" s="902">
        <v>0</v>
      </c>
      <c r="IN89" s="902">
        <v>0</v>
      </c>
      <c r="IO89" s="902">
        <v>38.226265872990218</v>
      </c>
      <c r="IP89" s="902">
        <v>9.9357997930500819</v>
      </c>
      <c r="IQ89" s="902">
        <v>3600</v>
      </c>
      <c r="IR89" s="909" t="s">
        <v>1063</v>
      </c>
      <c r="IS89" s="909">
        <v>4</v>
      </c>
      <c r="IT89" s="909">
        <v>0</v>
      </c>
      <c r="IU89" s="909">
        <v>0</v>
      </c>
      <c r="IV89" s="909">
        <v>0</v>
      </c>
      <c r="IW89" s="910">
        <v>7680.5977459462201</v>
      </c>
      <c r="IX89" s="909">
        <v>0</v>
      </c>
      <c r="IY89" s="909">
        <v>0</v>
      </c>
      <c r="IZ89" s="909">
        <v>0</v>
      </c>
      <c r="JA89" s="910">
        <v>11205.141716757953</v>
      </c>
      <c r="JB89" s="871">
        <v>4000</v>
      </c>
      <c r="JC89" s="911">
        <v>196.24482109424241</v>
      </c>
      <c r="JD89" s="908">
        <v>15.12239088631207</v>
      </c>
      <c r="JE89" s="902">
        <v>104.66160722210108</v>
      </c>
      <c r="JF89" s="902">
        <v>0</v>
      </c>
      <c r="JG89" s="902">
        <v>0</v>
      </c>
      <c r="JH89" s="902">
        <v>38.226265872990218</v>
      </c>
      <c r="JI89" s="902">
        <v>9.9357997930500819</v>
      </c>
      <c r="JJ89" s="902">
        <v>3500</v>
      </c>
      <c r="JK89" s="909" t="s">
        <v>1064</v>
      </c>
      <c r="JL89" s="909">
        <v>4</v>
      </c>
      <c r="JM89" s="909">
        <v>0</v>
      </c>
      <c r="JN89" s="909">
        <v>0</v>
      </c>
      <c r="JO89" s="909">
        <v>0</v>
      </c>
      <c r="JP89" s="910">
        <v>10466.890400246757</v>
      </c>
      <c r="JQ89" s="909">
        <v>0</v>
      </c>
      <c r="JR89" s="909">
        <v>0</v>
      </c>
      <c r="JS89" s="909">
        <v>0</v>
      </c>
      <c r="JT89" s="910">
        <v>15270.034201496836</v>
      </c>
      <c r="JU89" s="871">
        <v>4000</v>
      </c>
      <c r="JV89" s="911">
        <v>196.24482109424241</v>
      </c>
      <c r="JW89" s="908">
        <v>15.12239088631207</v>
      </c>
      <c r="JX89" s="902">
        <v>104.66160722210108</v>
      </c>
      <c r="JY89" s="902">
        <v>0</v>
      </c>
      <c r="JZ89" s="902">
        <v>0</v>
      </c>
      <c r="KA89" s="902">
        <v>38.226265872990218</v>
      </c>
      <c r="KB89" s="902">
        <v>9.9357997930500819</v>
      </c>
      <c r="KC89" s="902">
        <v>3600</v>
      </c>
      <c r="KD89" s="909" t="s">
        <v>1064</v>
      </c>
      <c r="KE89" s="909">
        <v>4</v>
      </c>
      <c r="KF89" s="909">
        <v>0</v>
      </c>
      <c r="KG89" s="909">
        <v>0</v>
      </c>
      <c r="KH89" s="909">
        <v>0</v>
      </c>
      <c r="KI89" s="910">
        <v>10466.890400246757</v>
      </c>
      <c r="KJ89" s="909">
        <v>0</v>
      </c>
      <c r="KK89" s="909">
        <v>0</v>
      </c>
      <c r="KL89" s="909">
        <v>0</v>
      </c>
      <c r="KM89" s="910">
        <v>15270.034201496836</v>
      </c>
      <c r="KN89" s="871">
        <v>4000</v>
      </c>
      <c r="KO89" s="912">
        <v>196.24482109424241</v>
      </c>
    </row>
    <row r="90" spans="1:301" ht="15" customHeight="1">
      <c r="A90" s="1396" t="s">
        <v>2349</v>
      </c>
      <c r="B90" s="888" t="s">
        <v>1073</v>
      </c>
      <c r="C90" s="888">
        <v>221</v>
      </c>
      <c r="D90" s="888">
        <v>481</v>
      </c>
      <c r="E90" s="888">
        <v>225</v>
      </c>
      <c r="F90" s="888">
        <v>177.3947991690622</v>
      </c>
      <c r="G90" s="888">
        <v>108.02143910949975</v>
      </c>
      <c r="H90" s="888">
        <v>90.064582765330258</v>
      </c>
      <c r="I90" s="888">
        <v>70.28996381275968</v>
      </c>
      <c r="J90" s="888">
        <v>35.235782755402447</v>
      </c>
      <c r="K90" s="888">
        <v>52.320931437378036</v>
      </c>
      <c r="L90" s="888">
        <v>10</v>
      </c>
      <c r="M90" s="888">
        <v>192.29481104617889</v>
      </c>
      <c r="N90" s="888">
        <v>4</v>
      </c>
      <c r="O90" s="884">
        <v>4.4572212852377584</v>
      </c>
      <c r="P90" s="888">
        <v>4</v>
      </c>
      <c r="Q90" s="884">
        <v>3.0331199499119048</v>
      </c>
      <c r="R90" s="888">
        <v>13.000000000000002</v>
      </c>
      <c r="S90" s="888">
        <v>329.19739958453107</v>
      </c>
      <c r="T90" s="906">
        <v>8.6859171451536987</v>
      </c>
      <c r="U90" s="906">
        <v>49.37960993767966</v>
      </c>
      <c r="V90" s="906">
        <v>47.5</v>
      </c>
      <c r="W90" s="1141">
        <v>0.5355619585894047</v>
      </c>
      <c r="X90" s="902">
        <v>0</v>
      </c>
      <c r="Y90" s="902">
        <v>0</v>
      </c>
      <c r="Z90" s="902">
        <v>0</v>
      </c>
      <c r="AA90" s="902">
        <v>0</v>
      </c>
      <c r="AB90" s="970">
        <v>2.2879769476475222</v>
      </c>
      <c r="AC90" s="1045">
        <v>4000</v>
      </c>
      <c r="AD90" s="890">
        <v>1.4719991100794516</v>
      </c>
      <c r="AE90" s="890">
        <v>0.70635811783156988</v>
      </c>
      <c r="AF90" s="890">
        <v>-0.32596240908534724</v>
      </c>
      <c r="AG90" s="890">
        <v>0.8663127694136179</v>
      </c>
      <c r="AH90" s="888"/>
      <c r="AI90" s="907">
        <v>0.95847622687649348</v>
      </c>
      <c r="AJ90" s="908">
        <v>3.6308621368776235</v>
      </c>
      <c r="AK90" s="902">
        <v>20.342682475770392</v>
      </c>
      <c r="AL90" s="902">
        <v>0</v>
      </c>
      <c r="AM90" s="902">
        <v>0</v>
      </c>
      <c r="AN90" s="902">
        <v>31.47019158796677</v>
      </c>
      <c r="AO90" s="902">
        <v>0.53074967781941274</v>
      </c>
      <c r="AP90" s="1222">
        <v>3480</v>
      </c>
      <c r="AQ90" s="909" t="s">
        <v>1062</v>
      </c>
      <c r="AR90" s="909">
        <v>3</v>
      </c>
      <c r="AS90" s="909">
        <v>0</v>
      </c>
      <c r="AT90" s="909">
        <v>0</v>
      </c>
      <c r="AU90" s="909">
        <v>0</v>
      </c>
      <c r="AV90" s="910">
        <v>5532.6871029071308</v>
      </c>
      <c r="AW90" s="909">
        <v>0</v>
      </c>
      <c r="AX90" s="909">
        <v>0</v>
      </c>
      <c r="AY90" s="909">
        <v>0</v>
      </c>
      <c r="AZ90" s="910">
        <v>5783.15703605003</v>
      </c>
      <c r="BA90" s="871">
        <v>4000</v>
      </c>
      <c r="BB90" s="911">
        <v>100.7404044251127</v>
      </c>
      <c r="BC90" s="908">
        <v>3.6308621368776235</v>
      </c>
      <c r="BD90" s="902">
        <v>20.342682475770392</v>
      </c>
      <c r="BE90" s="902">
        <v>0</v>
      </c>
      <c r="BF90" s="902">
        <v>0</v>
      </c>
      <c r="BG90" s="902">
        <v>31.47019158796677</v>
      </c>
      <c r="BH90" s="902">
        <v>0.53074967781941274</v>
      </c>
      <c r="BI90" s="902">
        <v>3600</v>
      </c>
      <c r="BJ90" s="909" t="s">
        <v>1062</v>
      </c>
      <c r="BK90" s="909">
        <v>3</v>
      </c>
      <c r="BL90" s="909">
        <v>0</v>
      </c>
      <c r="BM90" s="909">
        <v>0</v>
      </c>
      <c r="BN90" s="909">
        <v>0</v>
      </c>
      <c r="BO90" s="910">
        <v>5532.6871029071308</v>
      </c>
      <c r="BP90" s="909">
        <v>0</v>
      </c>
      <c r="BQ90" s="909">
        <v>0</v>
      </c>
      <c r="BR90" s="909">
        <v>0</v>
      </c>
      <c r="BS90" s="910">
        <v>5783.15703605003</v>
      </c>
      <c r="BT90" s="871">
        <v>4000</v>
      </c>
      <c r="BU90" s="911">
        <v>100.7404044251127</v>
      </c>
      <c r="BV90" s="908">
        <v>3.6308621368776235</v>
      </c>
      <c r="BW90" s="902">
        <v>20.342682475770392</v>
      </c>
      <c r="BX90" s="902">
        <v>0</v>
      </c>
      <c r="BY90" s="902">
        <v>0</v>
      </c>
      <c r="BZ90" s="902">
        <v>31.47019158796677</v>
      </c>
      <c r="CA90" s="902">
        <v>0.53074967781941274</v>
      </c>
      <c r="CB90" s="902">
        <v>3480</v>
      </c>
      <c r="CC90" s="909" t="s">
        <v>2874</v>
      </c>
      <c r="CD90" s="909">
        <v>3</v>
      </c>
      <c r="CE90" s="909">
        <v>0</v>
      </c>
      <c r="CF90" s="909">
        <v>0</v>
      </c>
      <c r="CG90" s="909">
        <v>0</v>
      </c>
      <c r="CH90" s="910">
        <v>5420.9041234399183</v>
      </c>
      <c r="CI90" s="909">
        <v>0</v>
      </c>
      <c r="CJ90" s="909">
        <v>0</v>
      </c>
      <c r="CK90" s="909">
        <v>0</v>
      </c>
      <c r="CL90" s="910">
        <v>5666.3135362835665</v>
      </c>
      <c r="CM90" s="871">
        <v>4000</v>
      </c>
      <c r="CN90" s="911">
        <v>100.7404044251127</v>
      </c>
      <c r="CO90" s="908">
        <v>3.6308621368776235</v>
      </c>
      <c r="CP90" s="902">
        <v>20.342682475770392</v>
      </c>
      <c r="CQ90" s="902">
        <v>0</v>
      </c>
      <c r="CR90" s="902">
        <v>0</v>
      </c>
      <c r="CS90" s="902">
        <v>31.47019158796677</v>
      </c>
      <c r="CT90" s="902">
        <v>0.53074967781941274</v>
      </c>
      <c r="CU90" s="902">
        <v>3600</v>
      </c>
      <c r="CV90" s="909" t="s">
        <v>2874</v>
      </c>
      <c r="CW90" s="909">
        <v>3</v>
      </c>
      <c r="CX90" s="909">
        <v>0</v>
      </c>
      <c r="CY90" s="909">
        <v>0</v>
      </c>
      <c r="CZ90" s="909">
        <v>0</v>
      </c>
      <c r="DA90" s="910">
        <v>5420.9041234399183</v>
      </c>
      <c r="DB90" s="909">
        <v>0</v>
      </c>
      <c r="DC90" s="909">
        <v>0</v>
      </c>
      <c r="DD90" s="909">
        <v>0</v>
      </c>
      <c r="DE90" s="910">
        <v>5666.3135362835665</v>
      </c>
      <c r="DF90" s="871">
        <v>4000</v>
      </c>
      <c r="DG90" s="911">
        <v>100.7404044251127</v>
      </c>
      <c r="DH90" s="908">
        <v>2.4205747579184158</v>
      </c>
      <c r="DI90" s="902">
        <v>19.132395096811184</v>
      </c>
      <c r="DJ90" s="902">
        <v>0</v>
      </c>
      <c r="DK90" s="902">
        <v>0</v>
      </c>
      <c r="DL90" s="902">
        <v>30.612272956731498</v>
      </c>
      <c r="DM90" s="902">
        <v>0.48835905979952171</v>
      </c>
      <c r="DN90" s="902">
        <v>3480</v>
      </c>
      <c r="DO90" s="909" t="s">
        <v>2875</v>
      </c>
      <c r="DP90" s="909">
        <v>2</v>
      </c>
      <c r="DQ90" s="909">
        <v>0</v>
      </c>
      <c r="DR90" s="909">
        <v>0</v>
      </c>
      <c r="DS90" s="909">
        <v>0</v>
      </c>
      <c r="DT90" s="910">
        <v>4370.4174377155696</v>
      </c>
      <c r="DU90" s="909">
        <v>0</v>
      </c>
      <c r="DV90" s="909">
        <v>0</v>
      </c>
      <c r="DW90" s="909">
        <v>0</v>
      </c>
      <c r="DX90" s="910">
        <v>4485.5560601930119</v>
      </c>
      <c r="DY90" s="871">
        <v>4000</v>
      </c>
      <c r="DZ90" s="911">
        <v>100.7404044251127</v>
      </c>
      <c r="EA90" s="908">
        <v>2.4205747579184158</v>
      </c>
      <c r="EB90" s="902">
        <v>19.132395096811184</v>
      </c>
      <c r="EC90" s="902">
        <v>0</v>
      </c>
      <c r="ED90" s="902">
        <v>0</v>
      </c>
      <c r="EE90" s="902">
        <v>30.612272956731498</v>
      </c>
      <c r="EF90" s="902">
        <v>0.48835905979952171</v>
      </c>
      <c r="EG90" s="902">
        <v>3600</v>
      </c>
      <c r="EH90" s="909" t="s">
        <v>2875</v>
      </c>
      <c r="EI90" s="909">
        <v>2</v>
      </c>
      <c r="EJ90" s="909">
        <v>0</v>
      </c>
      <c r="EK90" s="909">
        <v>0</v>
      </c>
      <c r="EL90" s="909">
        <v>0</v>
      </c>
      <c r="EM90" s="910">
        <v>4370.4174377155696</v>
      </c>
      <c r="EN90" s="909">
        <v>0</v>
      </c>
      <c r="EO90" s="909">
        <v>0</v>
      </c>
      <c r="EP90" s="909">
        <v>0</v>
      </c>
      <c r="EQ90" s="910">
        <v>4485.5560601930119</v>
      </c>
      <c r="ER90" s="871">
        <v>4000</v>
      </c>
      <c r="ES90" s="911">
        <v>100.7404044251127</v>
      </c>
      <c r="ET90" s="908">
        <v>2.4205747579184158</v>
      </c>
      <c r="EU90" s="902">
        <v>19.132395096811184</v>
      </c>
      <c r="EV90" s="902">
        <v>0</v>
      </c>
      <c r="EW90" s="902">
        <v>0</v>
      </c>
      <c r="EX90" s="902">
        <v>30.612272956731498</v>
      </c>
      <c r="EY90" s="902">
        <v>0.48835905979952171</v>
      </c>
      <c r="EZ90" s="902">
        <v>3480</v>
      </c>
      <c r="FA90" s="909" t="s">
        <v>3884</v>
      </c>
      <c r="FB90" s="909">
        <v>2</v>
      </c>
      <c r="FC90" s="909">
        <v>0</v>
      </c>
      <c r="FD90" s="909">
        <v>0</v>
      </c>
      <c r="FE90" s="909">
        <v>0</v>
      </c>
      <c r="FF90" s="910">
        <v>4655.2955087013361</v>
      </c>
      <c r="FG90" s="909">
        <v>0</v>
      </c>
      <c r="FH90" s="909">
        <v>0</v>
      </c>
      <c r="FI90" s="909">
        <v>0</v>
      </c>
      <c r="FJ90" s="910">
        <v>4777.9392423345862</v>
      </c>
      <c r="FK90" s="871">
        <v>4000</v>
      </c>
      <c r="FL90" s="911">
        <v>100.7404044251127</v>
      </c>
      <c r="FM90" s="908">
        <v>2.4205747579184158</v>
      </c>
      <c r="FN90" s="902">
        <v>19.132395096811184</v>
      </c>
      <c r="FO90" s="902">
        <v>0</v>
      </c>
      <c r="FP90" s="902">
        <v>0</v>
      </c>
      <c r="FQ90" s="902">
        <v>30.612272956731498</v>
      </c>
      <c r="FR90" s="902">
        <v>0.48835905979952171</v>
      </c>
      <c r="FS90" s="902">
        <v>3600</v>
      </c>
      <c r="FT90" s="909" t="s">
        <v>3884</v>
      </c>
      <c r="FU90" s="909">
        <v>2</v>
      </c>
      <c r="FV90" s="909">
        <v>0</v>
      </c>
      <c r="FW90" s="909">
        <v>0</v>
      </c>
      <c r="FX90" s="909">
        <v>0</v>
      </c>
      <c r="FY90" s="910">
        <v>4655.2955087013361</v>
      </c>
      <c r="FZ90" s="909">
        <v>0</v>
      </c>
      <c r="GA90" s="909">
        <v>0</v>
      </c>
      <c r="GB90" s="909">
        <v>0</v>
      </c>
      <c r="GC90" s="910">
        <v>4777.9392423345862</v>
      </c>
      <c r="GD90" s="871">
        <v>4000</v>
      </c>
      <c r="GE90" s="911">
        <v>100.7404044251127</v>
      </c>
      <c r="GF90" s="908">
        <v>2.4205747579184158</v>
      </c>
      <c r="GG90" s="902">
        <v>19.132395096811184</v>
      </c>
      <c r="GH90" s="902">
        <v>0</v>
      </c>
      <c r="GI90" s="902">
        <v>0</v>
      </c>
      <c r="GJ90" s="902">
        <v>30.612272956731498</v>
      </c>
      <c r="GK90" s="902">
        <v>0.48835905979952171</v>
      </c>
      <c r="GL90" s="902">
        <v>3480</v>
      </c>
      <c r="GM90" s="909" t="s">
        <v>2877</v>
      </c>
      <c r="GN90" s="909">
        <v>2</v>
      </c>
      <c r="GO90" s="909">
        <v>0</v>
      </c>
      <c r="GP90" s="909">
        <v>0</v>
      </c>
      <c r="GQ90" s="909">
        <v>0</v>
      </c>
      <c r="GR90" s="910">
        <v>5749.6644922015785</v>
      </c>
      <c r="GS90" s="909">
        <v>0</v>
      </c>
      <c r="GT90" s="909">
        <v>0</v>
      </c>
      <c r="GU90" s="909">
        <v>0</v>
      </c>
      <c r="GV90" s="910">
        <v>5901.1393704652864</v>
      </c>
      <c r="GW90" s="871">
        <v>4000</v>
      </c>
      <c r="GX90" s="911">
        <v>100.7404044251127</v>
      </c>
      <c r="GY90" s="908">
        <v>2.4205747579184158</v>
      </c>
      <c r="GZ90" s="902">
        <v>19.132395096811184</v>
      </c>
      <c r="HA90" s="902">
        <v>0</v>
      </c>
      <c r="HB90" s="902">
        <v>0</v>
      </c>
      <c r="HC90" s="902">
        <v>30.612272956731498</v>
      </c>
      <c r="HD90" s="902">
        <v>0.48835905979952171</v>
      </c>
      <c r="HE90" s="902">
        <v>3600</v>
      </c>
      <c r="HF90" s="909" t="s">
        <v>2877</v>
      </c>
      <c r="HG90" s="909">
        <v>2</v>
      </c>
      <c r="HH90" s="909">
        <v>0</v>
      </c>
      <c r="HI90" s="909">
        <v>0</v>
      </c>
      <c r="HJ90" s="909">
        <v>0</v>
      </c>
      <c r="HK90" s="910">
        <v>5749.6644922015785</v>
      </c>
      <c r="HL90" s="909">
        <v>0</v>
      </c>
      <c r="HM90" s="909">
        <v>0</v>
      </c>
      <c r="HN90" s="909">
        <v>0</v>
      </c>
      <c r="HO90" s="910">
        <v>5901.1393704652864</v>
      </c>
      <c r="HP90" s="871">
        <v>4000</v>
      </c>
      <c r="HQ90" s="911">
        <v>100.7404044251127</v>
      </c>
      <c r="HR90" s="908">
        <v>2.4205747579184158</v>
      </c>
      <c r="HS90" s="902">
        <v>19.132395096811184</v>
      </c>
      <c r="HT90" s="902">
        <v>0</v>
      </c>
      <c r="HU90" s="902">
        <v>0</v>
      </c>
      <c r="HV90" s="902">
        <v>30.612272956731498</v>
      </c>
      <c r="HW90" s="902">
        <v>0.48835905979952171</v>
      </c>
      <c r="HX90" s="902">
        <v>3480</v>
      </c>
      <c r="HY90" s="909" t="s">
        <v>1063</v>
      </c>
      <c r="HZ90" s="909">
        <v>2</v>
      </c>
      <c r="IA90" s="909">
        <v>0</v>
      </c>
      <c r="IB90" s="909">
        <v>0</v>
      </c>
      <c r="IC90" s="909">
        <v>0</v>
      </c>
      <c r="ID90" s="910">
        <v>5070.7274561412833</v>
      </c>
      <c r="IE90" s="909">
        <v>0</v>
      </c>
      <c r="IF90" s="909">
        <v>0</v>
      </c>
      <c r="IG90" s="909">
        <v>0</v>
      </c>
      <c r="IH90" s="910">
        <v>5204.315742061136</v>
      </c>
      <c r="II90" s="871">
        <v>4000</v>
      </c>
      <c r="IJ90" s="911">
        <v>100.7404044251127</v>
      </c>
      <c r="IK90" s="908">
        <v>2.4205747579184158</v>
      </c>
      <c r="IL90" s="902">
        <v>19.132395096811184</v>
      </c>
      <c r="IM90" s="902">
        <v>0</v>
      </c>
      <c r="IN90" s="902">
        <v>0</v>
      </c>
      <c r="IO90" s="902">
        <v>30.612272956731498</v>
      </c>
      <c r="IP90" s="902">
        <v>0.48835905979952171</v>
      </c>
      <c r="IQ90" s="902">
        <v>3600</v>
      </c>
      <c r="IR90" s="909" t="s">
        <v>1063</v>
      </c>
      <c r="IS90" s="909">
        <v>2</v>
      </c>
      <c r="IT90" s="909">
        <v>0</v>
      </c>
      <c r="IU90" s="909">
        <v>0</v>
      </c>
      <c r="IV90" s="909">
        <v>0</v>
      </c>
      <c r="IW90" s="910">
        <v>5070.7274561412833</v>
      </c>
      <c r="IX90" s="909">
        <v>0</v>
      </c>
      <c r="IY90" s="909">
        <v>0</v>
      </c>
      <c r="IZ90" s="909">
        <v>0</v>
      </c>
      <c r="JA90" s="910">
        <v>5204.315742061136</v>
      </c>
      <c r="JB90" s="871">
        <v>4000</v>
      </c>
      <c r="JC90" s="911">
        <v>100.7404044251127</v>
      </c>
      <c r="JD90" s="908">
        <v>2.4205747579184158</v>
      </c>
      <c r="JE90" s="902">
        <v>19.132395096811184</v>
      </c>
      <c r="JF90" s="902">
        <v>0</v>
      </c>
      <c r="JG90" s="902">
        <v>0</v>
      </c>
      <c r="JH90" s="902">
        <v>30.612272956731498</v>
      </c>
      <c r="JI90" s="902">
        <v>0.48835905979952171</v>
      </c>
      <c r="JJ90" s="902">
        <v>3480</v>
      </c>
      <c r="JK90" s="909" t="s">
        <v>1064</v>
      </c>
      <c r="JL90" s="909">
        <v>2</v>
      </c>
      <c r="JM90" s="909">
        <v>0</v>
      </c>
      <c r="JN90" s="909">
        <v>0</v>
      </c>
      <c r="JO90" s="909">
        <v>0</v>
      </c>
      <c r="JP90" s="910">
        <v>6910.2367144491354</v>
      </c>
      <c r="JQ90" s="909">
        <v>0</v>
      </c>
      <c r="JR90" s="909">
        <v>0</v>
      </c>
      <c r="JS90" s="909">
        <v>0</v>
      </c>
      <c r="JT90" s="910">
        <v>7092.2868612906268</v>
      </c>
      <c r="JU90" s="871">
        <v>4000</v>
      </c>
      <c r="JV90" s="911">
        <v>100.7404044251127</v>
      </c>
      <c r="JW90" s="908">
        <v>2.4205747579184158</v>
      </c>
      <c r="JX90" s="902">
        <v>19.132395096811184</v>
      </c>
      <c r="JY90" s="902">
        <v>0</v>
      </c>
      <c r="JZ90" s="902">
        <v>0</v>
      </c>
      <c r="KA90" s="902">
        <v>30.612272956731498</v>
      </c>
      <c r="KB90" s="902">
        <v>0.48835905979952171</v>
      </c>
      <c r="KC90" s="902">
        <v>3600</v>
      </c>
      <c r="KD90" s="909" t="s">
        <v>1064</v>
      </c>
      <c r="KE90" s="909">
        <v>2</v>
      </c>
      <c r="KF90" s="909">
        <v>0</v>
      </c>
      <c r="KG90" s="909">
        <v>0</v>
      </c>
      <c r="KH90" s="909">
        <v>0</v>
      </c>
      <c r="KI90" s="910">
        <v>6910.2367144491354</v>
      </c>
      <c r="KJ90" s="909">
        <v>0</v>
      </c>
      <c r="KK90" s="909">
        <v>0</v>
      </c>
      <c r="KL90" s="909">
        <v>0</v>
      </c>
      <c r="KM90" s="910">
        <v>7092.2868612906268</v>
      </c>
      <c r="KN90" s="871">
        <v>4000</v>
      </c>
      <c r="KO90" s="912">
        <v>100.7404044251127</v>
      </c>
    </row>
    <row r="91" spans="1:301" ht="15" customHeight="1">
      <c r="A91" s="1396" t="s">
        <v>2351</v>
      </c>
      <c r="B91" s="888" t="s">
        <v>1074</v>
      </c>
      <c r="C91" s="888">
        <v>355.12666424333946</v>
      </c>
      <c r="D91" s="888">
        <v>638</v>
      </c>
      <c r="E91" s="888">
        <v>355</v>
      </c>
      <c r="F91" s="888">
        <v>291.57357518945429</v>
      </c>
      <c r="G91" s="888">
        <v>183.28920281722259</v>
      </c>
      <c r="H91" s="888">
        <v>154.0081730148259</v>
      </c>
      <c r="I91" s="888">
        <v>134.04894840072134</v>
      </c>
      <c r="J91" s="888">
        <v>25.866912704330069</v>
      </c>
      <c r="K91" s="888">
        <v>36.459282805542969</v>
      </c>
      <c r="L91" s="888">
        <v>9</v>
      </c>
      <c r="M91" s="888">
        <v>280.57070866786336</v>
      </c>
      <c r="N91" s="888">
        <v>4</v>
      </c>
      <c r="O91" s="884">
        <v>6.9303507234653283</v>
      </c>
      <c r="P91" s="888">
        <v>4</v>
      </c>
      <c r="Q91" s="884">
        <v>4.7107721606912012</v>
      </c>
      <c r="R91" s="888">
        <v>13.000000000000002</v>
      </c>
      <c r="S91" s="888">
        <v>464.78678759472712</v>
      </c>
      <c r="T91" s="906">
        <v>17.314519280493695</v>
      </c>
      <c r="U91" s="906">
        <v>69.718018139209065</v>
      </c>
      <c r="V91" s="906">
        <v>72.5</v>
      </c>
      <c r="W91" s="1141">
        <v>1.6294793986329996</v>
      </c>
      <c r="X91" s="902">
        <v>0</v>
      </c>
      <c r="Y91" s="902">
        <v>0</v>
      </c>
      <c r="Z91" s="902">
        <v>0</v>
      </c>
      <c r="AA91" s="902">
        <v>0</v>
      </c>
      <c r="AB91" s="970">
        <v>7.7783315859432074</v>
      </c>
      <c r="AC91" s="1045">
        <v>4000</v>
      </c>
      <c r="AD91" s="890">
        <v>0.66888969731684444</v>
      </c>
      <c r="AE91" s="890">
        <v>0.48486046820515211</v>
      </c>
      <c r="AF91" s="890">
        <v>-0.42532317986639762</v>
      </c>
      <c r="AG91" s="890">
        <v>1.011040783532652</v>
      </c>
      <c r="AH91" s="888"/>
      <c r="AI91" s="907">
        <v>1.808049059786347</v>
      </c>
      <c r="AJ91" s="908">
        <v>17.129881807250975</v>
      </c>
      <c r="AK91" s="902">
        <v>47.715003370534198</v>
      </c>
      <c r="AL91" s="902">
        <v>0</v>
      </c>
      <c r="AM91" s="902">
        <v>0</v>
      </c>
      <c r="AN91" s="902">
        <v>53.80773174692284</v>
      </c>
      <c r="AO91" s="902">
        <v>2.4378560916699197</v>
      </c>
      <c r="AP91" s="1222">
        <v>2950</v>
      </c>
      <c r="AQ91" s="909" t="s">
        <v>1062</v>
      </c>
      <c r="AR91" s="909">
        <v>6</v>
      </c>
      <c r="AS91" s="909">
        <v>0</v>
      </c>
      <c r="AT91" s="909">
        <v>0</v>
      </c>
      <c r="AU91" s="909">
        <v>0</v>
      </c>
      <c r="AV91" s="910">
        <v>4282.5199058920289</v>
      </c>
      <c r="AW91" s="909">
        <v>0</v>
      </c>
      <c r="AX91" s="909">
        <v>0</v>
      </c>
      <c r="AY91" s="909">
        <v>0</v>
      </c>
      <c r="AZ91" s="910">
        <v>4198.8996116765766</v>
      </c>
      <c r="BA91" s="871">
        <v>4000</v>
      </c>
      <c r="BB91" s="911">
        <v>133.62240753268586</v>
      </c>
      <c r="BC91" s="908">
        <v>17.129881807250975</v>
      </c>
      <c r="BD91" s="902">
        <v>47.715003370534198</v>
      </c>
      <c r="BE91" s="902">
        <v>0</v>
      </c>
      <c r="BF91" s="902">
        <v>0</v>
      </c>
      <c r="BG91" s="902">
        <v>53.80773174692284</v>
      </c>
      <c r="BH91" s="902">
        <v>2.4378560916699197</v>
      </c>
      <c r="BI91" s="902">
        <v>3600</v>
      </c>
      <c r="BJ91" s="909" t="s">
        <v>1062</v>
      </c>
      <c r="BK91" s="909">
        <v>6</v>
      </c>
      <c r="BL91" s="909">
        <v>0</v>
      </c>
      <c r="BM91" s="909">
        <v>0</v>
      </c>
      <c r="BN91" s="909">
        <v>0</v>
      </c>
      <c r="BO91" s="910">
        <v>4282.5199058920289</v>
      </c>
      <c r="BP91" s="909">
        <v>0</v>
      </c>
      <c r="BQ91" s="909">
        <v>0</v>
      </c>
      <c r="BR91" s="909">
        <v>0</v>
      </c>
      <c r="BS91" s="910">
        <v>4198.8996116765766</v>
      </c>
      <c r="BT91" s="871">
        <v>4000</v>
      </c>
      <c r="BU91" s="911">
        <v>133.62240753268586</v>
      </c>
      <c r="BV91" s="908">
        <v>17.129881807250975</v>
      </c>
      <c r="BW91" s="902">
        <v>47.715003370534198</v>
      </c>
      <c r="BX91" s="902">
        <v>0</v>
      </c>
      <c r="BY91" s="902">
        <v>0</v>
      </c>
      <c r="BZ91" s="902">
        <v>53.80773174692284</v>
      </c>
      <c r="CA91" s="902">
        <v>2.4378560916699197</v>
      </c>
      <c r="CB91" s="902">
        <v>2950</v>
      </c>
      <c r="CC91" s="909" t="s">
        <v>2874</v>
      </c>
      <c r="CD91" s="909">
        <v>6</v>
      </c>
      <c r="CE91" s="909">
        <v>0</v>
      </c>
      <c r="CF91" s="909">
        <v>0</v>
      </c>
      <c r="CG91" s="909">
        <v>0</v>
      </c>
      <c r="CH91" s="910">
        <v>4195.9954330989221</v>
      </c>
      <c r="CI91" s="909">
        <v>0</v>
      </c>
      <c r="CJ91" s="909">
        <v>0</v>
      </c>
      <c r="CK91" s="909">
        <v>0</v>
      </c>
      <c r="CL91" s="910">
        <v>4114.0646119112171</v>
      </c>
      <c r="CM91" s="871">
        <v>4000</v>
      </c>
      <c r="CN91" s="911">
        <v>133.62240753268586</v>
      </c>
      <c r="CO91" s="908">
        <v>17.129881807250975</v>
      </c>
      <c r="CP91" s="902">
        <v>47.715003370534198</v>
      </c>
      <c r="CQ91" s="902">
        <v>0</v>
      </c>
      <c r="CR91" s="902">
        <v>0</v>
      </c>
      <c r="CS91" s="902">
        <v>53.80773174692284</v>
      </c>
      <c r="CT91" s="902">
        <v>2.4378560916699197</v>
      </c>
      <c r="CU91" s="902">
        <v>3600</v>
      </c>
      <c r="CV91" s="909" t="s">
        <v>2874</v>
      </c>
      <c r="CW91" s="909">
        <v>6</v>
      </c>
      <c r="CX91" s="909">
        <v>0</v>
      </c>
      <c r="CY91" s="909">
        <v>0</v>
      </c>
      <c r="CZ91" s="909">
        <v>0</v>
      </c>
      <c r="DA91" s="910">
        <v>4195.9954330989221</v>
      </c>
      <c r="DB91" s="909">
        <v>0</v>
      </c>
      <c r="DC91" s="909">
        <v>0</v>
      </c>
      <c r="DD91" s="909">
        <v>0</v>
      </c>
      <c r="DE91" s="910">
        <v>4114.0646119112171</v>
      </c>
      <c r="DF91" s="871">
        <v>4000</v>
      </c>
      <c r="DG91" s="911">
        <v>133.62240753268586</v>
      </c>
      <c r="DH91" s="908">
        <v>17.129881807250975</v>
      </c>
      <c r="DI91" s="902">
        <v>47.715003370534198</v>
      </c>
      <c r="DJ91" s="902">
        <v>0</v>
      </c>
      <c r="DK91" s="902">
        <v>0</v>
      </c>
      <c r="DL91" s="902">
        <v>53.80773174692284</v>
      </c>
      <c r="DM91" s="902">
        <v>2.4378560916699197</v>
      </c>
      <c r="DN91" s="902">
        <v>2950</v>
      </c>
      <c r="DO91" s="909" t="s">
        <v>2875</v>
      </c>
      <c r="DP91" s="909">
        <v>6</v>
      </c>
      <c r="DQ91" s="909">
        <v>0</v>
      </c>
      <c r="DR91" s="909">
        <v>0</v>
      </c>
      <c r="DS91" s="909">
        <v>0</v>
      </c>
      <c r="DT91" s="910">
        <v>4367.3305134985985</v>
      </c>
      <c r="DU91" s="909">
        <v>0</v>
      </c>
      <c r="DV91" s="909">
        <v>0</v>
      </c>
      <c r="DW91" s="909">
        <v>0</v>
      </c>
      <c r="DX91" s="910">
        <v>4282.0542111112063</v>
      </c>
      <c r="DY91" s="871">
        <v>4000</v>
      </c>
      <c r="DZ91" s="911">
        <v>133.62240753268586</v>
      </c>
      <c r="EA91" s="908">
        <v>17.129881807250975</v>
      </c>
      <c r="EB91" s="902">
        <v>47.715003370534198</v>
      </c>
      <c r="EC91" s="902">
        <v>0</v>
      </c>
      <c r="ED91" s="902">
        <v>0</v>
      </c>
      <c r="EE91" s="902">
        <v>53.80773174692284</v>
      </c>
      <c r="EF91" s="902">
        <v>2.4378560916699197</v>
      </c>
      <c r="EG91" s="902">
        <v>3600</v>
      </c>
      <c r="EH91" s="909" t="s">
        <v>2875</v>
      </c>
      <c r="EI91" s="909">
        <v>6</v>
      </c>
      <c r="EJ91" s="909">
        <v>0</v>
      </c>
      <c r="EK91" s="909">
        <v>0</v>
      </c>
      <c r="EL91" s="909">
        <v>0</v>
      </c>
      <c r="EM91" s="910">
        <v>4367.3305134985985</v>
      </c>
      <c r="EN91" s="909">
        <v>0</v>
      </c>
      <c r="EO91" s="909">
        <v>0</v>
      </c>
      <c r="EP91" s="909">
        <v>0</v>
      </c>
      <c r="EQ91" s="910">
        <v>4282.0542111112063</v>
      </c>
      <c r="ER91" s="871">
        <v>4000</v>
      </c>
      <c r="ES91" s="911">
        <v>133.62240753268586</v>
      </c>
      <c r="ET91" s="908">
        <v>14.274901506042479</v>
      </c>
      <c r="EU91" s="902">
        <v>44.860023069325706</v>
      </c>
      <c r="EV91" s="902">
        <v>0</v>
      </c>
      <c r="EW91" s="902">
        <v>0</v>
      </c>
      <c r="EX91" s="902">
        <v>52.331470002725766</v>
      </c>
      <c r="EY91" s="902">
        <v>2.2475863050483387</v>
      </c>
      <c r="EZ91" s="902">
        <v>2950</v>
      </c>
      <c r="FA91" s="909" t="s">
        <v>3884</v>
      </c>
      <c r="FB91" s="909">
        <v>5</v>
      </c>
      <c r="FC91" s="909">
        <v>0</v>
      </c>
      <c r="FD91" s="909">
        <v>0</v>
      </c>
      <c r="FE91" s="909">
        <v>0</v>
      </c>
      <c r="FF91" s="910">
        <v>3648.2183147711776</v>
      </c>
      <c r="FG91" s="909">
        <v>0</v>
      </c>
      <c r="FH91" s="909">
        <v>0</v>
      </c>
      <c r="FI91" s="909">
        <v>0</v>
      </c>
      <c r="FJ91" s="910">
        <v>3427.3662550664667</v>
      </c>
      <c r="FK91" s="871">
        <v>3427.3662550664667</v>
      </c>
      <c r="FL91" s="911">
        <v>114.4932326245667</v>
      </c>
      <c r="FM91" s="908">
        <v>17.129881807250975</v>
      </c>
      <c r="FN91" s="902">
        <v>47.715003370534198</v>
      </c>
      <c r="FO91" s="902">
        <v>0</v>
      </c>
      <c r="FP91" s="902">
        <v>0</v>
      </c>
      <c r="FQ91" s="902">
        <v>53.80773174692284</v>
      </c>
      <c r="FR91" s="902">
        <v>2.4378560916699197</v>
      </c>
      <c r="FS91" s="902">
        <v>3600</v>
      </c>
      <c r="FT91" s="909" t="s">
        <v>3884</v>
      </c>
      <c r="FU91" s="909">
        <v>6</v>
      </c>
      <c r="FV91" s="909">
        <v>0</v>
      </c>
      <c r="FW91" s="909">
        <v>0</v>
      </c>
      <c r="FX91" s="909">
        <v>0</v>
      </c>
      <c r="FY91" s="910">
        <v>4652.0073686900523</v>
      </c>
      <c r="FZ91" s="909">
        <v>0</v>
      </c>
      <c r="GA91" s="909">
        <v>0</v>
      </c>
      <c r="GB91" s="909">
        <v>0</v>
      </c>
      <c r="GC91" s="910">
        <v>4561.1724786228469</v>
      </c>
      <c r="GD91" s="871">
        <v>4000</v>
      </c>
      <c r="GE91" s="911">
        <v>133.62240753268586</v>
      </c>
      <c r="GF91" s="908">
        <v>11.419921204833983</v>
      </c>
      <c r="GG91" s="902">
        <v>42.005042768117207</v>
      </c>
      <c r="GH91" s="902">
        <v>0</v>
      </c>
      <c r="GI91" s="902">
        <v>0</v>
      </c>
      <c r="GJ91" s="902">
        <v>50.654532438609806</v>
      </c>
      <c r="GK91" s="902">
        <v>2.0573165184267577</v>
      </c>
      <c r="GL91" s="902">
        <v>2950</v>
      </c>
      <c r="GM91" s="909" t="s">
        <v>2877</v>
      </c>
      <c r="GN91" s="909">
        <v>4</v>
      </c>
      <c r="GO91" s="909">
        <v>0</v>
      </c>
      <c r="GP91" s="909">
        <v>0</v>
      </c>
      <c r="GQ91" s="909">
        <v>0</v>
      </c>
      <c r="GR91" s="910">
        <v>3727.8110929623181</v>
      </c>
      <c r="GS91" s="909">
        <v>0</v>
      </c>
      <c r="GT91" s="909">
        <v>0</v>
      </c>
      <c r="GU91" s="909">
        <v>0</v>
      </c>
      <c r="GV91" s="910">
        <v>3445.4023953083502</v>
      </c>
      <c r="GW91" s="871">
        <v>3445.4023953083502</v>
      </c>
      <c r="GX91" s="911">
        <v>115.09574074499612</v>
      </c>
      <c r="GY91" s="908">
        <v>14.274901506042479</v>
      </c>
      <c r="GZ91" s="902">
        <v>44.860023069325706</v>
      </c>
      <c r="HA91" s="902">
        <v>0</v>
      </c>
      <c r="HB91" s="902">
        <v>0</v>
      </c>
      <c r="HC91" s="902">
        <v>52.331470002725766</v>
      </c>
      <c r="HD91" s="902">
        <v>2.2475863050483387</v>
      </c>
      <c r="HE91" s="902">
        <v>3600</v>
      </c>
      <c r="HF91" s="909" t="s">
        <v>2877</v>
      </c>
      <c r="HG91" s="909">
        <v>5</v>
      </c>
      <c r="HH91" s="909">
        <v>0</v>
      </c>
      <c r="HI91" s="909">
        <v>0</v>
      </c>
      <c r="HJ91" s="909">
        <v>0</v>
      </c>
      <c r="HK91" s="910">
        <v>4505.8431339175922</v>
      </c>
      <c r="HL91" s="909">
        <v>0</v>
      </c>
      <c r="HM91" s="909">
        <v>0</v>
      </c>
      <c r="HN91" s="909">
        <v>0</v>
      </c>
      <c r="HO91" s="910">
        <v>4233.0730716647677</v>
      </c>
      <c r="HP91" s="871">
        <v>4000</v>
      </c>
      <c r="HQ91" s="911">
        <v>133.62240753268586</v>
      </c>
      <c r="HR91" s="908">
        <v>14.274901506042479</v>
      </c>
      <c r="HS91" s="902">
        <v>44.860023069325706</v>
      </c>
      <c r="HT91" s="902">
        <v>0</v>
      </c>
      <c r="HU91" s="902">
        <v>0</v>
      </c>
      <c r="HV91" s="902">
        <v>52.331470002725766</v>
      </c>
      <c r="HW91" s="902">
        <v>2.2475863050483387</v>
      </c>
      <c r="HX91" s="902">
        <v>2950</v>
      </c>
      <c r="HY91" s="909" t="s">
        <v>1063</v>
      </c>
      <c r="HZ91" s="909">
        <v>5</v>
      </c>
      <c r="IA91" s="909">
        <v>0</v>
      </c>
      <c r="IB91" s="909">
        <v>0</v>
      </c>
      <c r="IC91" s="909">
        <v>0</v>
      </c>
      <c r="ID91" s="910">
        <v>3973.7801263379511</v>
      </c>
      <c r="IE91" s="909">
        <v>0</v>
      </c>
      <c r="IF91" s="909">
        <v>0</v>
      </c>
      <c r="IG91" s="909">
        <v>0</v>
      </c>
      <c r="IH91" s="910">
        <v>3733.2195430630904</v>
      </c>
      <c r="II91" s="871">
        <v>3733.2195430630904</v>
      </c>
      <c r="IJ91" s="911">
        <v>124.71044579804089</v>
      </c>
      <c r="IK91" s="908">
        <v>14.274901506042479</v>
      </c>
      <c r="IL91" s="902">
        <v>44.860023069325706</v>
      </c>
      <c r="IM91" s="902">
        <v>0</v>
      </c>
      <c r="IN91" s="902">
        <v>0</v>
      </c>
      <c r="IO91" s="902">
        <v>52.331470002725766</v>
      </c>
      <c r="IP91" s="902">
        <v>2.2475863050483387</v>
      </c>
      <c r="IQ91" s="902">
        <v>3600</v>
      </c>
      <c r="IR91" s="909" t="s">
        <v>1063</v>
      </c>
      <c r="IS91" s="909">
        <v>5</v>
      </c>
      <c r="IT91" s="909">
        <v>0</v>
      </c>
      <c r="IU91" s="909">
        <v>0</v>
      </c>
      <c r="IV91" s="909">
        <v>0</v>
      </c>
      <c r="IW91" s="910">
        <v>3973.7801263379511</v>
      </c>
      <c r="IX91" s="909">
        <v>0</v>
      </c>
      <c r="IY91" s="909">
        <v>0</v>
      </c>
      <c r="IZ91" s="909">
        <v>0</v>
      </c>
      <c r="JA91" s="910">
        <v>3733.2195430630904</v>
      </c>
      <c r="JB91" s="871">
        <v>3733.2195430630904</v>
      </c>
      <c r="JC91" s="911">
        <v>124.71044579804089</v>
      </c>
      <c r="JD91" s="908">
        <v>8.5649409036254873</v>
      </c>
      <c r="JE91" s="902">
        <v>39.150062466908707</v>
      </c>
      <c r="JF91" s="902">
        <v>0</v>
      </c>
      <c r="JG91" s="902">
        <v>0</v>
      </c>
      <c r="JH91" s="902">
        <v>48.733016786479077</v>
      </c>
      <c r="JI91" s="902">
        <v>1.8670467318051764</v>
      </c>
      <c r="JJ91" s="902">
        <v>2950</v>
      </c>
      <c r="JK91" s="909" t="s">
        <v>1064</v>
      </c>
      <c r="JL91" s="909">
        <v>3</v>
      </c>
      <c r="JM91" s="909">
        <v>0</v>
      </c>
      <c r="JN91" s="909">
        <v>0</v>
      </c>
      <c r="JO91" s="909">
        <v>0</v>
      </c>
      <c r="JP91" s="910">
        <v>3710.5935255403501</v>
      </c>
      <c r="JQ91" s="909">
        <v>0</v>
      </c>
      <c r="JR91" s="909">
        <v>0</v>
      </c>
      <c r="JS91" s="909">
        <v>0</v>
      </c>
      <c r="JT91" s="910">
        <v>3402.0325592156178</v>
      </c>
      <c r="JU91" s="871">
        <v>3402.0325592156178</v>
      </c>
      <c r="JV91" s="911">
        <v>113.64694526674388</v>
      </c>
      <c r="JW91" s="908">
        <v>11.419921204833983</v>
      </c>
      <c r="JX91" s="902">
        <v>42.005042768117207</v>
      </c>
      <c r="JY91" s="902">
        <v>0</v>
      </c>
      <c r="JZ91" s="902">
        <v>0</v>
      </c>
      <c r="KA91" s="902">
        <v>50.654532438609806</v>
      </c>
      <c r="KB91" s="902">
        <v>2.0573165184267577</v>
      </c>
      <c r="KC91" s="902">
        <v>3600</v>
      </c>
      <c r="KD91" s="909" t="s">
        <v>1064</v>
      </c>
      <c r="KE91" s="909">
        <v>4</v>
      </c>
      <c r="KF91" s="909">
        <v>0</v>
      </c>
      <c r="KG91" s="909">
        <v>0</v>
      </c>
      <c r="KH91" s="909">
        <v>0</v>
      </c>
      <c r="KI91" s="910">
        <v>4480.2713469730325</v>
      </c>
      <c r="KJ91" s="909">
        <v>0</v>
      </c>
      <c r="KK91" s="909">
        <v>0</v>
      </c>
      <c r="KL91" s="909">
        <v>0</v>
      </c>
      <c r="KM91" s="910">
        <v>4140.8583336302345</v>
      </c>
      <c r="KN91" s="871">
        <v>4000</v>
      </c>
      <c r="KO91" s="912">
        <v>133.62240753268586</v>
      </c>
    </row>
    <row r="92" spans="1:301" ht="15" customHeight="1">
      <c r="A92" s="1396" t="s">
        <v>2353</v>
      </c>
      <c r="B92" s="888" t="s">
        <v>1073</v>
      </c>
      <c r="C92" s="888">
        <v>246.34507149933427</v>
      </c>
      <c r="D92" s="888">
        <v>784</v>
      </c>
      <c r="E92" s="888">
        <v>250</v>
      </c>
      <c r="F92" s="888">
        <v>200.760348064781</v>
      </c>
      <c r="G92" s="888">
        <v>107.6547041790775</v>
      </c>
      <c r="H92" s="888">
        <v>88.081250156811777</v>
      </c>
      <c r="I92" s="888">
        <v>59</v>
      </c>
      <c r="J92" s="888">
        <v>43.209228908929859</v>
      </c>
      <c r="K92" s="888">
        <v>68.046406243465213</v>
      </c>
      <c r="L92" s="888">
        <v>10</v>
      </c>
      <c r="M92" s="888">
        <v>331.62741560022869</v>
      </c>
      <c r="N92" s="888">
        <v>5</v>
      </c>
      <c r="O92" s="884">
        <v>17.021245601123599</v>
      </c>
      <c r="P92" s="888">
        <v>5</v>
      </c>
      <c r="Q92" s="884">
        <v>11.474311574784826</v>
      </c>
      <c r="R92" s="888">
        <v>13.000000000000002</v>
      </c>
      <c r="S92" s="888">
        <v>492.38017403239053</v>
      </c>
      <c r="T92" s="906">
        <v>19.431396129400163</v>
      </c>
      <c r="U92" s="906">
        <v>73.857026104858576</v>
      </c>
      <c r="V92" s="906">
        <v>60</v>
      </c>
      <c r="W92" s="1141">
        <v>1.5134068139244357</v>
      </c>
      <c r="X92" s="902">
        <v>0</v>
      </c>
      <c r="Y92" s="902">
        <v>0</v>
      </c>
      <c r="Z92" s="902">
        <v>0</v>
      </c>
      <c r="AA92" s="902">
        <v>0</v>
      </c>
      <c r="AB92" s="970">
        <v>7.2190119829866033</v>
      </c>
      <c r="AC92" s="1045">
        <v>4000</v>
      </c>
      <c r="AD92" s="890">
        <v>1.3629038305730332</v>
      </c>
      <c r="AE92" s="890">
        <v>0.93936566850738923</v>
      </c>
      <c r="AF92" s="890">
        <v>-0.22527905162026593</v>
      </c>
      <c r="AG92" s="890">
        <v>0.88659718582402813</v>
      </c>
      <c r="AH92" s="888"/>
      <c r="AI92" s="907">
        <v>2.3234353430331063</v>
      </c>
      <c r="AJ92" s="908">
        <v>5.7433945912668101</v>
      </c>
      <c r="AK92" s="902">
        <v>55.183754710499827</v>
      </c>
      <c r="AL92" s="902">
        <v>0</v>
      </c>
      <c r="AM92" s="902">
        <v>0</v>
      </c>
      <c r="AN92" s="902">
        <v>35.38337230012192</v>
      </c>
      <c r="AO92" s="902">
        <v>3.7437841594535506</v>
      </c>
      <c r="AP92" s="1222">
        <v>3600</v>
      </c>
      <c r="AQ92" s="909" t="s">
        <v>1062</v>
      </c>
      <c r="AR92" s="909">
        <v>3</v>
      </c>
      <c r="AS92" s="909">
        <v>0</v>
      </c>
      <c r="AT92" s="909">
        <v>0</v>
      </c>
      <c r="AU92" s="909">
        <v>0</v>
      </c>
      <c r="AV92" s="910">
        <v>5637.1097526735739</v>
      </c>
      <c r="AW92" s="909">
        <v>0</v>
      </c>
      <c r="AX92" s="909">
        <v>0</v>
      </c>
      <c r="AY92" s="909">
        <v>0</v>
      </c>
      <c r="AZ92" s="910">
        <v>7048.2962910017113</v>
      </c>
      <c r="BA92" s="871">
        <v>4000</v>
      </c>
      <c r="BB92" s="911">
        <v>164.20057602762651</v>
      </c>
      <c r="BC92" s="908">
        <v>5.7433945912668101</v>
      </c>
      <c r="BD92" s="902">
        <v>55.183754710499827</v>
      </c>
      <c r="BE92" s="902">
        <v>0</v>
      </c>
      <c r="BF92" s="902">
        <v>0</v>
      </c>
      <c r="BG92" s="902">
        <v>35.38337230012192</v>
      </c>
      <c r="BH92" s="902">
        <v>3.7437841594535506</v>
      </c>
      <c r="BI92" s="902">
        <v>3600</v>
      </c>
      <c r="BJ92" s="909" t="s">
        <v>1062</v>
      </c>
      <c r="BK92" s="909">
        <v>3</v>
      </c>
      <c r="BL92" s="909">
        <v>0</v>
      </c>
      <c r="BM92" s="909">
        <v>0</v>
      </c>
      <c r="BN92" s="909">
        <v>0</v>
      </c>
      <c r="BO92" s="910">
        <v>5637.1097526735739</v>
      </c>
      <c r="BP92" s="909">
        <v>0</v>
      </c>
      <c r="BQ92" s="909">
        <v>0</v>
      </c>
      <c r="BR92" s="909">
        <v>0</v>
      </c>
      <c r="BS92" s="910">
        <v>7048.2962910017113</v>
      </c>
      <c r="BT92" s="871">
        <v>4000</v>
      </c>
      <c r="BU92" s="911">
        <v>164.20057602762651</v>
      </c>
      <c r="BV92" s="908">
        <v>5.7433945912668101</v>
      </c>
      <c r="BW92" s="902">
        <v>55.183754710499827</v>
      </c>
      <c r="BX92" s="902">
        <v>0</v>
      </c>
      <c r="BY92" s="902">
        <v>0</v>
      </c>
      <c r="BZ92" s="902">
        <v>35.38337230012192</v>
      </c>
      <c r="CA92" s="902">
        <v>3.7437841594535506</v>
      </c>
      <c r="CB92" s="902">
        <v>3600</v>
      </c>
      <c r="CC92" s="909" t="s">
        <v>2874</v>
      </c>
      <c r="CD92" s="909">
        <v>3</v>
      </c>
      <c r="CE92" s="909">
        <v>0</v>
      </c>
      <c r="CF92" s="909">
        <v>0</v>
      </c>
      <c r="CG92" s="909">
        <v>0</v>
      </c>
      <c r="CH92" s="910">
        <v>5523.2170072467752</v>
      </c>
      <c r="CI92" s="909">
        <v>0</v>
      </c>
      <c r="CJ92" s="909">
        <v>0</v>
      </c>
      <c r="CK92" s="909">
        <v>0</v>
      </c>
      <c r="CL92" s="910">
        <v>6905.891787562161</v>
      </c>
      <c r="CM92" s="871">
        <v>4000</v>
      </c>
      <c r="CN92" s="911">
        <v>164.20057602762651</v>
      </c>
      <c r="CO92" s="908">
        <v>5.7433945912668101</v>
      </c>
      <c r="CP92" s="902">
        <v>55.183754710499827</v>
      </c>
      <c r="CQ92" s="902">
        <v>0</v>
      </c>
      <c r="CR92" s="902">
        <v>0</v>
      </c>
      <c r="CS92" s="902">
        <v>35.38337230012192</v>
      </c>
      <c r="CT92" s="902">
        <v>3.7437841594535506</v>
      </c>
      <c r="CU92" s="902">
        <v>3600</v>
      </c>
      <c r="CV92" s="909" t="s">
        <v>2874</v>
      </c>
      <c r="CW92" s="909">
        <v>3</v>
      </c>
      <c r="CX92" s="909">
        <v>0</v>
      </c>
      <c r="CY92" s="909">
        <v>0</v>
      </c>
      <c r="CZ92" s="909">
        <v>0</v>
      </c>
      <c r="DA92" s="910">
        <v>5523.2170072467752</v>
      </c>
      <c r="DB92" s="909">
        <v>0</v>
      </c>
      <c r="DC92" s="909">
        <v>0</v>
      </c>
      <c r="DD92" s="909">
        <v>0</v>
      </c>
      <c r="DE92" s="910">
        <v>6905.891787562161</v>
      </c>
      <c r="DF92" s="871">
        <v>4000</v>
      </c>
      <c r="DG92" s="911">
        <v>164.20057602762651</v>
      </c>
      <c r="DH92" s="908">
        <v>5.7433945912668101</v>
      </c>
      <c r="DI92" s="902">
        <v>55.183754710499827</v>
      </c>
      <c r="DJ92" s="902">
        <v>0</v>
      </c>
      <c r="DK92" s="902">
        <v>0</v>
      </c>
      <c r="DL92" s="902">
        <v>35.38337230012192</v>
      </c>
      <c r="DM92" s="902">
        <v>3.7437841594535506</v>
      </c>
      <c r="DN92" s="902">
        <v>3600</v>
      </c>
      <c r="DO92" s="909" t="s">
        <v>2875</v>
      </c>
      <c r="DP92" s="909">
        <v>3</v>
      </c>
      <c r="DQ92" s="909">
        <v>0</v>
      </c>
      <c r="DR92" s="909">
        <v>0</v>
      </c>
      <c r="DS92" s="909">
        <v>0</v>
      </c>
      <c r="DT92" s="910">
        <v>5748.7465258293487</v>
      </c>
      <c r="DU92" s="909">
        <v>0</v>
      </c>
      <c r="DV92" s="909">
        <v>0</v>
      </c>
      <c r="DW92" s="909">
        <v>0</v>
      </c>
      <c r="DX92" s="910">
        <v>7187.8800650802723</v>
      </c>
      <c r="DY92" s="871">
        <v>4000</v>
      </c>
      <c r="DZ92" s="911">
        <v>164.20057602762651</v>
      </c>
      <c r="EA92" s="908">
        <v>5.7433945912668101</v>
      </c>
      <c r="EB92" s="902">
        <v>55.183754710499827</v>
      </c>
      <c r="EC92" s="902">
        <v>0</v>
      </c>
      <c r="ED92" s="902">
        <v>0</v>
      </c>
      <c r="EE92" s="902">
        <v>35.38337230012192</v>
      </c>
      <c r="EF92" s="902">
        <v>3.7437841594535506</v>
      </c>
      <c r="EG92" s="902">
        <v>3600</v>
      </c>
      <c r="EH92" s="909" t="s">
        <v>2875</v>
      </c>
      <c r="EI92" s="909">
        <v>3</v>
      </c>
      <c r="EJ92" s="909">
        <v>0</v>
      </c>
      <c r="EK92" s="909">
        <v>0</v>
      </c>
      <c r="EL92" s="909">
        <v>0</v>
      </c>
      <c r="EM92" s="910">
        <v>5748.7465258293487</v>
      </c>
      <c r="EN92" s="909">
        <v>0</v>
      </c>
      <c r="EO92" s="909">
        <v>0</v>
      </c>
      <c r="EP92" s="909">
        <v>0</v>
      </c>
      <c r="EQ92" s="910">
        <v>7187.8800650802723</v>
      </c>
      <c r="ER92" s="871">
        <v>4000</v>
      </c>
      <c r="ES92" s="911">
        <v>164.20057602762651</v>
      </c>
      <c r="ET92" s="908">
        <v>5.7433945912668101</v>
      </c>
      <c r="EU92" s="902">
        <v>55.183754710499827</v>
      </c>
      <c r="EV92" s="902">
        <v>0</v>
      </c>
      <c r="EW92" s="902">
        <v>0</v>
      </c>
      <c r="EX92" s="902">
        <v>35.38337230012192</v>
      </c>
      <c r="EY92" s="902">
        <v>3.7437841594535506</v>
      </c>
      <c r="EZ92" s="902">
        <v>3600</v>
      </c>
      <c r="FA92" s="909" t="s">
        <v>3884</v>
      </c>
      <c r="FB92" s="909">
        <v>3</v>
      </c>
      <c r="FC92" s="909">
        <v>0</v>
      </c>
      <c r="FD92" s="909">
        <v>0</v>
      </c>
      <c r="FE92" s="909">
        <v>0</v>
      </c>
      <c r="FF92" s="910">
        <v>6123.4685848096969</v>
      </c>
      <c r="FG92" s="909">
        <v>0</v>
      </c>
      <c r="FH92" s="909">
        <v>0</v>
      </c>
      <c r="FI92" s="909">
        <v>0</v>
      </c>
      <c r="FJ92" s="910">
        <v>7656.4095446092215</v>
      </c>
      <c r="FK92" s="871">
        <v>4000</v>
      </c>
      <c r="FL92" s="911">
        <v>164.20057602762651</v>
      </c>
      <c r="FM92" s="908">
        <v>5.7433945912668101</v>
      </c>
      <c r="FN92" s="902">
        <v>55.183754710499827</v>
      </c>
      <c r="FO92" s="902">
        <v>0</v>
      </c>
      <c r="FP92" s="902">
        <v>0</v>
      </c>
      <c r="FQ92" s="902">
        <v>35.38337230012192</v>
      </c>
      <c r="FR92" s="902">
        <v>3.7437841594535506</v>
      </c>
      <c r="FS92" s="902">
        <v>3600</v>
      </c>
      <c r="FT92" s="909" t="s">
        <v>3884</v>
      </c>
      <c r="FU92" s="909">
        <v>3</v>
      </c>
      <c r="FV92" s="909">
        <v>0</v>
      </c>
      <c r="FW92" s="909">
        <v>0</v>
      </c>
      <c r="FX92" s="909">
        <v>0</v>
      </c>
      <c r="FY92" s="910">
        <v>6123.4685848096969</v>
      </c>
      <c r="FZ92" s="909">
        <v>0</v>
      </c>
      <c r="GA92" s="909">
        <v>0</v>
      </c>
      <c r="GB92" s="909">
        <v>0</v>
      </c>
      <c r="GC92" s="910">
        <v>7656.4095446092215</v>
      </c>
      <c r="GD92" s="871">
        <v>4000</v>
      </c>
      <c r="GE92" s="911">
        <v>164.20057602762651</v>
      </c>
      <c r="GF92" s="908">
        <v>5.7433945912668101</v>
      </c>
      <c r="GG92" s="902">
        <v>55.183754710499827</v>
      </c>
      <c r="GH92" s="902">
        <v>0</v>
      </c>
      <c r="GI92" s="902">
        <v>0</v>
      </c>
      <c r="GJ92" s="902">
        <v>35.38337230012192</v>
      </c>
      <c r="GK92" s="902">
        <v>3.7437841594535506</v>
      </c>
      <c r="GL92" s="902">
        <v>3600</v>
      </c>
      <c r="GM92" s="909" t="s">
        <v>2877</v>
      </c>
      <c r="GN92" s="909">
        <v>3</v>
      </c>
      <c r="GO92" s="909">
        <v>0</v>
      </c>
      <c r="GP92" s="909">
        <v>0</v>
      </c>
      <c r="GQ92" s="909">
        <v>0</v>
      </c>
      <c r="GR92" s="910">
        <v>7562.9763621630809</v>
      </c>
      <c r="GS92" s="909">
        <v>0</v>
      </c>
      <c r="GT92" s="909">
        <v>0</v>
      </c>
      <c r="GU92" s="909">
        <v>0</v>
      </c>
      <c r="GV92" s="910">
        <v>9456.281779343677</v>
      </c>
      <c r="GW92" s="871">
        <v>4000</v>
      </c>
      <c r="GX92" s="911">
        <v>164.20057602762651</v>
      </c>
      <c r="GY92" s="908">
        <v>5.7433945912668101</v>
      </c>
      <c r="GZ92" s="902">
        <v>55.183754710499827</v>
      </c>
      <c r="HA92" s="902">
        <v>0</v>
      </c>
      <c r="HB92" s="902">
        <v>0</v>
      </c>
      <c r="HC92" s="902">
        <v>35.38337230012192</v>
      </c>
      <c r="HD92" s="902">
        <v>3.7437841594535506</v>
      </c>
      <c r="HE92" s="902">
        <v>3600</v>
      </c>
      <c r="HF92" s="909" t="s">
        <v>2877</v>
      </c>
      <c r="HG92" s="909">
        <v>3</v>
      </c>
      <c r="HH92" s="909">
        <v>0</v>
      </c>
      <c r="HI92" s="909">
        <v>0</v>
      </c>
      <c r="HJ92" s="909">
        <v>0</v>
      </c>
      <c r="HK92" s="910">
        <v>7562.9763621630809</v>
      </c>
      <c r="HL92" s="909">
        <v>0</v>
      </c>
      <c r="HM92" s="909">
        <v>0</v>
      </c>
      <c r="HN92" s="909">
        <v>0</v>
      </c>
      <c r="HO92" s="910">
        <v>9456.281779343677</v>
      </c>
      <c r="HP92" s="871">
        <v>4000</v>
      </c>
      <c r="HQ92" s="911">
        <v>164.20057602762651</v>
      </c>
      <c r="HR92" s="908">
        <v>5.7433945912668101</v>
      </c>
      <c r="HS92" s="902">
        <v>55.183754710499827</v>
      </c>
      <c r="HT92" s="902">
        <v>0</v>
      </c>
      <c r="HU92" s="902">
        <v>0</v>
      </c>
      <c r="HV92" s="902">
        <v>35.38337230012192</v>
      </c>
      <c r="HW92" s="902">
        <v>3.7437841594535506</v>
      </c>
      <c r="HX92" s="902">
        <v>3600</v>
      </c>
      <c r="HY92" s="909" t="s">
        <v>1063</v>
      </c>
      <c r="HZ92" s="909">
        <v>3</v>
      </c>
      <c r="IA92" s="909">
        <v>0</v>
      </c>
      <c r="IB92" s="909">
        <v>0</v>
      </c>
      <c r="IC92" s="909">
        <v>0</v>
      </c>
      <c r="ID92" s="910">
        <v>6669.9182085811599</v>
      </c>
      <c r="IE92" s="909">
        <v>0</v>
      </c>
      <c r="IF92" s="909">
        <v>0</v>
      </c>
      <c r="IG92" s="909">
        <v>0</v>
      </c>
      <c r="IH92" s="910">
        <v>8339.6566384982434</v>
      </c>
      <c r="II92" s="871">
        <v>4000</v>
      </c>
      <c r="IJ92" s="911">
        <v>164.20057602762651</v>
      </c>
      <c r="IK92" s="908">
        <v>5.7433945912668101</v>
      </c>
      <c r="IL92" s="902">
        <v>55.183754710499827</v>
      </c>
      <c r="IM92" s="902">
        <v>0</v>
      </c>
      <c r="IN92" s="902">
        <v>0</v>
      </c>
      <c r="IO92" s="902">
        <v>35.38337230012192</v>
      </c>
      <c r="IP92" s="902">
        <v>3.7437841594535506</v>
      </c>
      <c r="IQ92" s="902">
        <v>3600</v>
      </c>
      <c r="IR92" s="909" t="s">
        <v>1063</v>
      </c>
      <c r="IS92" s="909">
        <v>3</v>
      </c>
      <c r="IT92" s="909">
        <v>0</v>
      </c>
      <c r="IU92" s="909">
        <v>0</v>
      </c>
      <c r="IV92" s="909">
        <v>0</v>
      </c>
      <c r="IW92" s="910">
        <v>6669.9182085811599</v>
      </c>
      <c r="IX92" s="909">
        <v>0</v>
      </c>
      <c r="IY92" s="909">
        <v>0</v>
      </c>
      <c r="IZ92" s="909">
        <v>0</v>
      </c>
      <c r="JA92" s="910">
        <v>8339.6566384982434</v>
      </c>
      <c r="JB92" s="871">
        <v>4000</v>
      </c>
      <c r="JC92" s="911">
        <v>164.20057602762651</v>
      </c>
      <c r="JD92" s="908">
        <v>5.7433945912668101</v>
      </c>
      <c r="JE92" s="902">
        <v>55.183754710499827</v>
      </c>
      <c r="JF92" s="902">
        <v>0</v>
      </c>
      <c r="JG92" s="902">
        <v>0</v>
      </c>
      <c r="JH92" s="902">
        <v>35.38337230012192</v>
      </c>
      <c r="JI92" s="902">
        <v>3.7437841594535506</v>
      </c>
      <c r="JJ92" s="902">
        <v>3600</v>
      </c>
      <c r="JK92" s="909" t="s">
        <v>1064</v>
      </c>
      <c r="JL92" s="909">
        <v>3</v>
      </c>
      <c r="JM92" s="909">
        <v>0</v>
      </c>
      <c r="JN92" s="909">
        <v>0</v>
      </c>
      <c r="JO92" s="909">
        <v>0</v>
      </c>
      <c r="JP92" s="910">
        <v>9089.5663563003673</v>
      </c>
      <c r="JQ92" s="909">
        <v>0</v>
      </c>
      <c r="JR92" s="909">
        <v>0</v>
      </c>
      <c r="JS92" s="909">
        <v>0</v>
      </c>
      <c r="JT92" s="910">
        <v>11365.036276886496</v>
      </c>
      <c r="JU92" s="871">
        <v>4000</v>
      </c>
      <c r="JV92" s="911">
        <v>164.20057602762651</v>
      </c>
      <c r="JW92" s="908">
        <v>5.7433945912668101</v>
      </c>
      <c r="JX92" s="902">
        <v>55.183754710499827</v>
      </c>
      <c r="JY92" s="902">
        <v>0</v>
      </c>
      <c r="JZ92" s="902">
        <v>0</v>
      </c>
      <c r="KA92" s="902">
        <v>35.38337230012192</v>
      </c>
      <c r="KB92" s="902">
        <v>3.7437841594535506</v>
      </c>
      <c r="KC92" s="902">
        <v>3600</v>
      </c>
      <c r="KD92" s="909" t="s">
        <v>1064</v>
      </c>
      <c r="KE92" s="909">
        <v>3</v>
      </c>
      <c r="KF92" s="909">
        <v>0</v>
      </c>
      <c r="KG92" s="909">
        <v>0</v>
      </c>
      <c r="KH92" s="909">
        <v>0</v>
      </c>
      <c r="KI92" s="910">
        <v>9089.5663563003673</v>
      </c>
      <c r="KJ92" s="909">
        <v>0</v>
      </c>
      <c r="KK92" s="909">
        <v>0</v>
      </c>
      <c r="KL92" s="909">
        <v>0</v>
      </c>
      <c r="KM92" s="910">
        <v>11365.036276886496</v>
      </c>
      <c r="KN92" s="871">
        <v>4000</v>
      </c>
      <c r="KO92" s="912">
        <v>164.20057602762651</v>
      </c>
    </row>
    <row r="93" spans="1:301" ht="15" customHeight="1">
      <c r="A93" s="1396" t="s">
        <v>2354</v>
      </c>
      <c r="B93" s="888" t="s">
        <v>1074</v>
      </c>
      <c r="C93" s="888">
        <v>340.45340501926489</v>
      </c>
      <c r="D93" s="888">
        <v>1061.8314830731099</v>
      </c>
      <c r="E93" s="888">
        <v>355</v>
      </c>
      <c r="F93" s="888">
        <v>269.53958135968043</v>
      </c>
      <c r="G93" s="888">
        <v>147.7378175636392</v>
      </c>
      <c r="H93" s="888">
        <v>121.05772560645465</v>
      </c>
      <c r="I93" s="888">
        <v>82.113490607440696</v>
      </c>
      <c r="J93" s="888">
        <v>42.642793235119498</v>
      </c>
      <c r="K93" s="888">
        <v>66.462605185997276</v>
      </c>
      <c r="L93" s="888">
        <v>16</v>
      </c>
      <c r="M93" s="888">
        <v>451.13078442860626</v>
      </c>
      <c r="N93" s="888">
        <v>6</v>
      </c>
      <c r="O93" s="884">
        <v>37.046302820088783</v>
      </c>
      <c r="P93" s="888">
        <v>6</v>
      </c>
      <c r="Q93" s="884">
        <v>25.315606902541287</v>
      </c>
      <c r="R93" s="888">
        <v>18.000000000000004</v>
      </c>
      <c r="S93" s="888">
        <v>665.68553221639513</v>
      </c>
      <c r="T93" s="906">
        <v>49.177933993150191</v>
      </c>
      <c r="U93" s="906">
        <v>99.852829832459264</v>
      </c>
      <c r="V93" s="906">
        <v>72.5</v>
      </c>
      <c r="W93" s="1141">
        <v>3.3425627010969263</v>
      </c>
      <c r="X93" s="902">
        <v>0</v>
      </c>
      <c r="Y93" s="902">
        <v>0</v>
      </c>
      <c r="Z93" s="902">
        <v>0</v>
      </c>
      <c r="AA93" s="902">
        <v>0</v>
      </c>
      <c r="AB93" s="970">
        <v>20.08195880263294</v>
      </c>
      <c r="AC93" s="1045">
        <v>4000</v>
      </c>
      <c r="AD93" s="890">
        <v>0.94124245638479254</v>
      </c>
      <c r="AE93" s="890">
        <v>0.92092650780238505</v>
      </c>
      <c r="AF93" s="890">
        <v>-0.26315390240544156</v>
      </c>
      <c r="AG93" s="890">
        <v>0.90245324639165336</v>
      </c>
      <c r="AH93" s="888"/>
      <c r="AI93" s="907">
        <v>4.8265420071883183</v>
      </c>
      <c r="AJ93" s="908">
        <v>23.024185684144811</v>
      </c>
      <c r="AK93" s="902">
        <v>137.906592101022</v>
      </c>
      <c r="AL93" s="902">
        <v>0</v>
      </c>
      <c r="AM93" s="902">
        <v>0</v>
      </c>
      <c r="AN93" s="902">
        <v>47.264492314809381</v>
      </c>
      <c r="AO93" s="902">
        <v>17.077494549484744</v>
      </c>
      <c r="AP93" s="1222">
        <v>3000</v>
      </c>
      <c r="AQ93" s="909" t="s">
        <v>1062</v>
      </c>
      <c r="AR93" s="909">
        <v>4</v>
      </c>
      <c r="AS93" s="909">
        <v>0</v>
      </c>
      <c r="AT93" s="909">
        <v>0</v>
      </c>
      <c r="AU93" s="909">
        <v>0</v>
      </c>
      <c r="AV93" s="910">
        <v>4008.5827139039361</v>
      </c>
      <c r="AW93" s="909">
        <v>0</v>
      </c>
      <c r="AX93" s="909">
        <v>0</v>
      </c>
      <c r="AY93" s="909">
        <v>0</v>
      </c>
      <c r="AZ93" s="910">
        <v>4846.5237855045179</v>
      </c>
      <c r="BA93" s="871">
        <v>4000</v>
      </c>
      <c r="BB93" s="911">
        <v>222.38946577152245</v>
      </c>
      <c r="BC93" s="908">
        <v>23.024185684144811</v>
      </c>
      <c r="BD93" s="902">
        <v>137.906592101022</v>
      </c>
      <c r="BE93" s="902">
        <v>0</v>
      </c>
      <c r="BF93" s="902">
        <v>0</v>
      </c>
      <c r="BG93" s="902">
        <v>47.264492314809381</v>
      </c>
      <c r="BH93" s="902">
        <v>17.077494549484744</v>
      </c>
      <c r="BI93" s="902">
        <v>3600</v>
      </c>
      <c r="BJ93" s="909" t="s">
        <v>1062</v>
      </c>
      <c r="BK93" s="909">
        <v>4</v>
      </c>
      <c r="BL93" s="909">
        <v>0</v>
      </c>
      <c r="BM93" s="909">
        <v>0</v>
      </c>
      <c r="BN93" s="909">
        <v>0</v>
      </c>
      <c r="BO93" s="910">
        <v>4008.5827139039361</v>
      </c>
      <c r="BP93" s="909">
        <v>0</v>
      </c>
      <c r="BQ93" s="909">
        <v>0</v>
      </c>
      <c r="BR93" s="909">
        <v>0</v>
      </c>
      <c r="BS93" s="910">
        <v>4846.5237855045179</v>
      </c>
      <c r="BT93" s="871">
        <v>4000</v>
      </c>
      <c r="BU93" s="911">
        <v>222.38946577152245</v>
      </c>
      <c r="BV93" s="908">
        <v>23.024185684144811</v>
      </c>
      <c r="BW93" s="902">
        <v>137.906592101022</v>
      </c>
      <c r="BX93" s="902">
        <v>0</v>
      </c>
      <c r="BY93" s="902">
        <v>0</v>
      </c>
      <c r="BZ93" s="902">
        <v>47.264492314809381</v>
      </c>
      <c r="CA93" s="902">
        <v>17.077494549484744</v>
      </c>
      <c r="CB93" s="902">
        <v>3000</v>
      </c>
      <c r="CC93" s="909" t="s">
        <v>2874</v>
      </c>
      <c r="CD93" s="909">
        <v>4</v>
      </c>
      <c r="CE93" s="909">
        <v>0</v>
      </c>
      <c r="CF93" s="909">
        <v>0</v>
      </c>
      <c r="CG93" s="909">
        <v>0</v>
      </c>
      <c r="CH93" s="910">
        <v>3927.5928963222591</v>
      </c>
      <c r="CI93" s="909">
        <v>0</v>
      </c>
      <c r="CJ93" s="909">
        <v>0</v>
      </c>
      <c r="CK93" s="909">
        <v>0</v>
      </c>
      <c r="CL93" s="910">
        <v>4748.6041202992064</v>
      </c>
      <c r="CM93" s="871">
        <v>3927.5928963222591</v>
      </c>
      <c r="CN93" s="911">
        <v>218.36382149528345</v>
      </c>
      <c r="CO93" s="908">
        <v>23.024185684144811</v>
      </c>
      <c r="CP93" s="902">
        <v>137.906592101022</v>
      </c>
      <c r="CQ93" s="902">
        <v>0</v>
      </c>
      <c r="CR93" s="902">
        <v>0</v>
      </c>
      <c r="CS93" s="902">
        <v>47.264492314809381</v>
      </c>
      <c r="CT93" s="902">
        <v>17.077494549484744</v>
      </c>
      <c r="CU93" s="902">
        <v>3600</v>
      </c>
      <c r="CV93" s="909" t="s">
        <v>2874</v>
      </c>
      <c r="CW93" s="909">
        <v>4</v>
      </c>
      <c r="CX93" s="909">
        <v>0</v>
      </c>
      <c r="CY93" s="909">
        <v>0</v>
      </c>
      <c r="CZ93" s="909">
        <v>0</v>
      </c>
      <c r="DA93" s="910">
        <v>3927.5928963222591</v>
      </c>
      <c r="DB93" s="909">
        <v>0</v>
      </c>
      <c r="DC93" s="909">
        <v>0</v>
      </c>
      <c r="DD93" s="909">
        <v>0</v>
      </c>
      <c r="DE93" s="910">
        <v>4748.6041202992064</v>
      </c>
      <c r="DF93" s="871">
        <v>3927.5928963222591</v>
      </c>
      <c r="DG93" s="911">
        <v>218.36382149528345</v>
      </c>
      <c r="DH93" s="908">
        <v>23.024185684144811</v>
      </c>
      <c r="DI93" s="902">
        <v>137.906592101022</v>
      </c>
      <c r="DJ93" s="902">
        <v>0</v>
      </c>
      <c r="DK93" s="902">
        <v>0</v>
      </c>
      <c r="DL93" s="902">
        <v>47.264492314809381</v>
      </c>
      <c r="DM93" s="902">
        <v>17.077494549484744</v>
      </c>
      <c r="DN93" s="902">
        <v>3000</v>
      </c>
      <c r="DO93" s="909" t="s">
        <v>2875</v>
      </c>
      <c r="DP93" s="909">
        <v>4</v>
      </c>
      <c r="DQ93" s="909">
        <v>0</v>
      </c>
      <c r="DR93" s="909">
        <v>0</v>
      </c>
      <c r="DS93" s="909">
        <v>0</v>
      </c>
      <c r="DT93" s="910">
        <v>4087.9682960093778</v>
      </c>
      <c r="DU93" s="909">
        <v>0</v>
      </c>
      <c r="DV93" s="909">
        <v>0</v>
      </c>
      <c r="DW93" s="909">
        <v>0</v>
      </c>
      <c r="DX93" s="910">
        <v>4942.5038710758208</v>
      </c>
      <c r="DY93" s="871">
        <v>4000</v>
      </c>
      <c r="DZ93" s="911">
        <v>222.38946577152245</v>
      </c>
      <c r="EA93" s="908">
        <v>23.024185684144811</v>
      </c>
      <c r="EB93" s="902">
        <v>137.906592101022</v>
      </c>
      <c r="EC93" s="902">
        <v>0</v>
      </c>
      <c r="ED93" s="902">
        <v>0</v>
      </c>
      <c r="EE93" s="902">
        <v>47.264492314809381</v>
      </c>
      <c r="EF93" s="902">
        <v>17.077494549484744</v>
      </c>
      <c r="EG93" s="902">
        <v>3600</v>
      </c>
      <c r="EH93" s="909" t="s">
        <v>2875</v>
      </c>
      <c r="EI93" s="909">
        <v>4</v>
      </c>
      <c r="EJ93" s="909">
        <v>0</v>
      </c>
      <c r="EK93" s="909">
        <v>0</v>
      </c>
      <c r="EL93" s="909">
        <v>0</v>
      </c>
      <c r="EM93" s="910">
        <v>4087.9682960093778</v>
      </c>
      <c r="EN93" s="909">
        <v>0</v>
      </c>
      <c r="EO93" s="909">
        <v>0</v>
      </c>
      <c r="EP93" s="909">
        <v>0</v>
      </c>
      <c r="EQ93" s="910">
        <v>4942.5038710758208</v>
      </c>
      <c r="ER93" s="871">
        <v>4000</v>
      </c>
      <c r="ES93" s="911">
        <v>222.38946577152245</v>
      </c>
      <c r="ET93" s="908">
        <v>23.024185684144811</v>
      </c>
      <c r="EU93" s="902">
        <v>137.906592101022</v>
      </c>
      <c r="EV93" s="902">
        <v>0</v>
      </c>
      <c r="EW93" s="902">
        <v>0</v>
      </c>
      <c r="EX93" s="902">
        <v>47.264492314809381</v>
      </c>
      <c r="EY93" s="902">
        <v>17.077494549484744</v>
      </c>
      <c r="EZ93" s="902">
        <v>3000</v>
      </c>
      <c r="FA93" s="909" t="s">
        <v>3884</v>
      </c>
      <c r="FB93" s="909">
        <v>4</v>
      </c>
      <c r="FC93" s="909">
        <v>0</v>
      </c>
      <c r="FD93" s="909">
        <v>0</v>
      </c>
      <c r="FE93" s="909">
        <v>0</v>
      </c>
      <c r="FF93" s="910">
        <v>4354.4354101958097</v>
      </c>
      <c r="FG93" s="909">
        <v>0</v>
      </c>
      <c r="FH93" s="909">
        <v>0</v>
      </c>
      <c r="FI93" s="909">
        <v>0</v>
      </c>
      <c r="FJ93" s="910">
        <v>5264.6724027316295</v>
      </c>
      <c r="FK93" s="871">
        <v>4000</v>
      </c>
      <c r="FL93" s="911">
        <v>222.38946577152245</v>
      </c>
      <c r="FM93" s="908">
        <v>23.024185684144811</v>
      </c>
      <c r="FN93" s="902">
        <v>137.906592101022</v>
      </c>
      <c r="FO93" s="902">
        <v>0</v>
      </c>
      <c r="FP93" s="902">
        <v>0</v>
      </c>
      <c r="FQ93" s="902">
        <v>47.264492314809381</v>
      </c>
      <c r="FR93" s="902">
        <v>17.077494549484744</v>
      </c>
      <c r="FS93" s="902">
        <v>3600</v>
      </c>
      <c r="FT93" s="909" t="s">
        <v>3884</v>
      </c>
      <c r="FU93" s="909">
        <v>4</v>
      </c>
      <c r="FV93" s="909">
        <v>0</v>
      </c>
      <c r="FW93" s="909">
        <v>0</v>
      </c>
      <c r="FX93" s="909">
        <v>0</v>
      </c>
      <c r="FY93" s="910">
        <v>4354.4354101958097</v>
      </c>
      <c r="FZ93" s="909">
        <v>0</v>
      </c>
      <c r="GA93" s="909">
        <v>0</v>
      </c>
      <c r="GB93" s="909">
        <v>0</v>
      </c>
      <c r="GC93" s="910">
        <v>5264.6724027316295</v>
      </c>
      <c r="GD93" s="871">
        <v>4000</v>
      </c>
      <c r="GE93" s="911">
        <v>222.38946577152245</v>
      </c>
      <c r="GF93" s="908">
        <v>23.024185684144811</v>
      </c>
      <c r="GG93" s="902">
        <v>137.906592101022</v>
      </c>
      <c r="GH93" s="902">
        <v>0</v>
      </c>
      <c r="GI93" s="902">
        <v>0</v>
      </c>
      <c r="GJ93" s="902">
        <v>47.264492314809381</v>
      </c>
      <c r="GK93" s="902">
        <v>17.077494549484744</v>
      </c>
      <c r="GL93" s="902">
        <v>3000</v>
      </c>
      <c r="GM93" s="909" t="s">
        <v>2877</v>
      </c>
      <c r="GN93" s="909">
        <v>4</v>
      </c>
      <c r="GO93" s="909">
        <v>0</v>
      </c>
      <c r="GP93" s="909">
        <v>0</v>
      </c>
      <c r="GQ93" s="909">
        <v>0</v>
      </c>
      <c r="GR93" s="910">
        <v>5378.0780650318757</v>
      </c>
      <c r="GS93" s="909">
        <v>0</v>
      </c>
      <c r="GT93" s="909">
        <v>0</v>
      </c>
      <c r="GU93" s="909">
        <v>0</v>
      </c>
      <c r="GV93" s="910">
        <v>6502.2939833746268</v>
      </c>
      <c r="GW93" s="871">
        <v>4000</v>
      </c>
      <c r="GX93" s="911">
        <v>222.38946577152245</v>
      </c>
      <c r="GY93" s="908">
        <v>23.024185684144811</v>
      </c>
      <c r="GZ93" s="902">
        <v>137.906592101022</v>
      </c>
      <c r="HA93" s="902">
        <v>0</v>
      </c>
      <c r="HB93" s="902">
        <v>0</v>
      </c>
      <c r="HC93" s="902">
        <v>47.264492314809381</v>
      </c>
      <c r="HD93" s="902">
        <v>17.077494549484744</v>
      </c>
      <c r="HE93" s="902">
        <v>3600</v>
      </c>
      <c r="HF93" s="909" t="s">
        <v>2877</v>
      </c>
      <c r="HG93" s="909">
        <v>4</v>
      </c>
      <c r="HH93" s="909">
        <v>0</v>
      </c>
      <c r="HI93" s="909">
        <v>0</v>
      </c>
      <c r="HJ93" s="909">
        <v>0</v>
      </c>
      <c r="HK93" s="910">
        <v>5378.0780650318757</v>
      </c>
      <c r="HL93" s="909">
        <v>0</v>
      </c>
      <c r="HM93" s="909">
        <v>0</v>
      </c>
      <c r="HN93" s="909">
        <v>0</v>
      </c>
      <c r="HO93" s="910">
        <v>6502.2939833746268</v>
      </c>
      <c r="HP93" s="871">
        <v>4000</v>
      </c>
      <c r="HQ93" s="911">
        <v>222.38946577152245</v>
      </c>
      <c r="HR93" s="908">
        <v>23.024185684144811</v>
      </c>
      <c r="HS93" s="902">
        <v>137.906592101022</v>
      </c>
      <c r="HT93" s="902">
        <v>0</v>
      </c>
      <c r="HU93" s="902">
        <v>0</v>
      </c>
      <c r="HV93" s="902">
        <v>47.264492314809381</v>
      </c>
      <c r="HW93" s="902">
        <v>17.077494549484744</v>
      </c>
      <c r="HX93" s="902">
        <v>3000</v>
      </c>
      <c r="HY93" s="909" t="s">
        <v>1063</v>
      </c>
      <c r="HZ93" s="909">
        <v>4</v>
      </c>
      <c r="IA93" s="909">
        <v>0</v>
      </c>
      <c r="IB93" s="909">
        <v>0</v>
      </c>
      <c r="IC93" s="909">
        <v>0</v>
      </c>
      <c r="ID93" s="910">
        <v>4743.019030521933</v>
      </c>
      <c r="IE93" s="909">
        <v>0</v>
      </c>
      <c r="IF93" s="909">
        <v>0</v>
      </c>
      <c r="IG93" s="909">
        <v>0</v>
      </c>
      <c r="IH93" s="910">
        <v>5734.4842771469393</v>
      </c>
      <c r="II93" s="871">
        <v>4000</v>
      </c>
      <c r="IJ93" s="911">
        <v>222.38946577152245</v>
      </c>
      <c r="IK93" s="908">
        <v>23.024185684144811</v>
      </c>
      <c r="IL93" s="902">
        <v>137.906592101022</v>
      </c>
      <c r="IM93" s="902">
        <v>0</v>
      </c>
      <c r="IN93" s="902">
        <v>0</v>
      </c>
      <c r="IO93" s="902">
        <v>47.264492314809381</v>
      </c>
      <c r="IP93" s="902">
        <v>17.077494549484744</v>
      </c>
      <c r="IQ93" s="902">
        <v>3600</v>
      </c>
      <c r="IR93" s="909" t="s">
        <v>1063</v>
      </c>
      <c r="IS93" s="909">
        <v>4</v>
      </c>
      <c r="IT93" s="909">
        <v>0</v>
      </c>
      <c r="IU93" s="909">
        <v>0</v>
      </c>
      <c r="IV93" s="909">
        <v>0</v>
      </c>
      <c r="IW93" s="910">
        <v>4743.019030521933</v>
      </c>
      <c r="IX93" s="909">
        <v>0</v>
      </c>
      <c r="IY93" s="909">
        <v>0</v>
      </c>
      <c r="IZ93" s="909">
        <v>0</v>
      </c>
      <c r="JA93" s="910">
        <v>5734.4842771469393</v>
      </c>
      <c r="JB93" s="871">
        <v>4000</v>
      </c>
      <c r="JC93" s="911">
        <v>222.38946577152245</v>
      </c>
      <c r="JD93" s="908">
        <v>23.024185684144811</v>
      </c>
      <c r="JE93" s="902">
        <v>137.906592101022</v>
      </c>
      <c r="JF93" s="902">
        <v>0</v>
      </c>
      <c r="JG93" s="902">
        <v>0</v>
      </c>
      <c r="JH93" s="902">
        <v>47.264492314809381</v>
      </c>
      <c r="JI93" s="902">
        <v>17.077494549484744</v>
      </c>
      <c r="JJ93" s="902">
        <v>3000</v>
      </c>
      <c r="JK93" s="909" t="s">
        <v>1064</v>
      </c>
      <c r="JL93" s="909">
        <v>4</v>
      </c>
      <c r="JM93" s="909">
        <v>0</v>
      </c>
      <c r="JN93" s="909">
        <v>0</v>
      </c>
      <c r="JO93" s="909">
        <v>0</v>
      </c>
      <c r="JP93" s="910">
        <v>6463.6454089735271</v>
      </c>
      <c r="JQ93" s="909">
        <v>0</v>
      </c>
      <c r="JR93" s="909">
        <v>0</v>
      </c>
      <c r="JS93" s="909">
        <v>0</v>
      </c>
      <c r="JT93" s="910">
        <v>7814.7847883994054</v>
      </c>
      <c r="JU93" s="871">
        <v>4000</v>
      </c>
      <c r="JV93" s="911">
        <v>222.38946577152245</v>
      </c>
      <c r="JW93" s="908">
        <v>23.024185684144811</v>
      </c>
      <c r="JX93" s="902">
        <v>137.906592101022</v>
      </c>
      <c r="JY93" s="902">
        <v>0</v>
      </c>
      <c r="JZ93" s="902">
        <v>0</v>
      </c>
      <c r="KA93" s="902">
        <v>47.264492314809381</v>
      </c>
      <c r="KB93" s="902">
        <v>17.077494549484744</v>
      </c>
      <c r="KC93" s="902">
        <v>3600</v>
      </c>
      <c r="KD93" s="909" t="s">
        <v>1064</v>
      </c>
      <c r="KE93" s="909">
        <v>4</v>
      </c>
      <c r="KF93" s="909">
        <v>0</v>
      </c>
      <c r="KG93" s="909">
        <v>0</v>
      </c>
      <c r="KH93" s="909">
        <v>0</v>
      </c>
      <c r="KI93" s="910">
        <v>6463.6454089735271</v>
      </c>
      <c r="KJ93" s="909">
        <v>0</v>
      </c>
      <c r="KK93" s="909">
        <v>0</v>
      </c>
      <c r="KL93" s="909">
        <v>0</v>
      </c>
      <c r="KM93" s="910">
        <v>7814.7847883994054</v>
      </c>
      <c r="KN93" s="871">
        <v>4000</v>
      </c>
      <c r="KO93" s="912">
        <v>222.38946577152245</v>
      </c>
    </row>
    <row r="94" spans="1:301" ht="15" customHeight="1">
      <c r="A94" s="1396" t="s">
        <v>2356</v>
      </c>
      <c r="B94" s="888" t="s">
        <v>1076</v>
      </c>
      <c r="C94" s="888">
        <v>322.74183366372904</v>
      </c>
      <c r="D94" s="888">
        <v>503.8804688895604</v>
      </c>
      <c r="E94" s="888">
        <v>315</v>
      </c>
      <c r="F94" s="888">
        <v>271.18923832581487</v>
      </c>
      <c r="G94" s="888">
        <v>176.23971272588005</v>
      </c>
      <c r="H94" s="888">
        <v>149.4578273981962</v>
      </c>
      <c r="I94" s="888">
        <v>138.11759470018654</v>
      </c>
      <c r="J94" s="888">
        <v>23.054889496098394</v>
      </c>
      <c r="K94" s="888">
        <v>31.191043136840392</v>
      </c>
      <c r="L94" s="888">
        <v>8</v>
      </c>
      <c r="M94" s="888">
        <v>203.92752240328656</v>
      </c>
      <c r="N94" s="888">
        <v>4</v>
      </c>
      <c r="O94" s="884">
        <v>3.8144075603313148</v>
      </c>
      <c r="P94" s="888">
        <v>4</v>
      </c>
      <c r="Q94" s="884">
        <v>2.5577002444901278</v>
      </c>
      <c r="R94" s="888">
        <v>13.000000000000002</v>
      </c>
      <c r="S94" s="888">
        <v>387.53485360768764</v>
      </c>
      <c r="T94" s="906">
        <v>12.03717087495942</v>
      </c>
      <c r="U94" s="906">
        <v>58.130228041153146</v>
      </c>
      <c r="V94" s="906">
        <v>72.5</v>
      </c>
      <c r="W94" s="1141">
        <v>1.1328250955640895</v>
      </c>
      <c r="X94" s="902">
        <v>0</v>
      </c>
      <c r="Y94" s="902">
        <v>0</v>
      </c>
      <c r="Z94" s="902">
        <v>0</v>
      </c>
      <c r="AA94" s="902">
        <v>0</v>
      </c>
      <c r="AB94" s="970">
        <v>4.1602166063982171</v>
      </c>
      <c r="AC94" s="1045">
        <v>4000</v>
      </c>
      <c r="AD94" s="890">
        <v>0.79134594949925841</v>
      </c>
      <c r="AE94" s="890">
        <v>0.42560589073159993</v>
      </c>
      <c r="AF94" s="890">
        <v>-0.42949765791568628</v>
      </c>
      <c r="AG94" s="890">
        <v>0.89585050636525787</v>
      </c>
      <c r="AH94" s="888"/>
      <c r="AI94" s="907">
        <v>1.1031749244360751</v>
      </c>
      <c r="AJ94" s="908">
        <v>9.2071933032186006</v>
      </c>
      <c r="AK94" s="902">
        <v>28.749297078563551</v>
      </c>
      <c r="AL94" s="902">
        <v>0</v>
      </c>
      <c r="AM94" s="902">
        <v>0</v>
      </c>
      <c r="AN94" s="902">
        <v>48.090168523348225</v>
      </c>
      <c r="AO94" s="902">
        <v>0.93561839605251573</v>
      </c>
      <c r="AP94" s="1222">
        <v>2930</v>
      </c>
      <c r="AQ94" s="909" t="s">
        <v>1062</v>
      </c>
      <c r="AR94" s="909">
        <v>5</v>
      </c>
      <c r="AS94" s="909">
        <v>0</v>
      </c>
      <c r="AT94" s="909">
        <v>0</v>
      </c>
      <c r="AU94" s="909">
        <v>0</v>
      </c>
      <c r="AV94" s="910">
        <v>3615.4083139598611</v>
      </c>
      <c r="AW94" s="909">
        <v>0</v>
      </c>
      <c r="AX94" s="909">
        <v>0</v>
      </c>
      <c r="AY94" s="909">
        <v>0</v>
      </c>
      <c r="AZ94" s="910">
        <v>3313.5041309981339</v>
      </c>
      <c r="BA94" s="871">
        <v>3313.5041309981339</v>
      </c>
      <c r="BB94" s="911">
        <v>87.420575968267272</v>
      </c>
      <c r="BC94" s="908">
        <v>11.04863196386232</v>
      </c>
      <c r="BD94" s="902">
        <v>30.590735739207272</v>
      </c>
      <c r="BE94" s="902">
        <v>0</v>
      </c>
      <c r="BF94" s="902">
        <v>0</v>
      </c>
      <c r="BG94" s="902">
        <v>49.693713323834722</v>
      </c>
      <c r="BH94" s="902">
        <v>1.0180360846826524</v>
      </c>
      <c r="BI94" s="902">
        <v>3600</v>
      </c>
      <c r="BJ94" s="909" t="s">
        <v>1062</v>
      </c>
      <c r="BK94" s="909">
        <v>6</v>
      </c>
      <c r="BL94" s="909">
        <v>0</v>
      </c>
      <c r="BM94" s="909">
        <v>0</v>
      </c>
      <c r="BN94" s="909">
        <v>0</v>
      </c>
      <c r="BO94" s="910">
        <v>4647.1527099636032</v>
      </c>
      <c r="BP94" s="909">
        <v>0</v>
      </c>
      <c r="BQ94" s="909">
        <v>0</v>
      </c>
      <c r="BR94" s="909">
        <v>0</v>
      </c>
      <c r="BS94" s="910">
        <v>4363.2641840482875</v>
      </c>
      <c r="BT94" s="871">
        <v>4000</v>
      </c>
      <c r="BU94" s="911">
        <v>105.53247862338822</v>
      </c>
      <c r="BV94" s="908">
        <v>9.2071933032186006</v>
      </c>
      <c r="BW94" s="902">
        <v>28.749297078563551</v>
      </c>
      <c r="BX94" s="902">
        <v>0</v>
      </c>
      <c r="BY94" s="902">
        <v>0</v>
      </c>
      <c r="BZ94" s="902">
        <v>48.090168523348225</v>
      </c>
      <c r="CA94" s="902">
        <v>0.93561839605251573</v>
      </c>
      <c r="CB94" s="902">
        <v>2930</v>
      </c>
      <c r="CC94" s="909" t="s">
        <v>2874</v>
      </c>
      <c r="CD94" s="909">
        <v>5</v>
      </c>
      <c r="CE94" s="909">
        <v>0</v>
      </c>
      <c r="CF94" s="909">
        <v>0</v>
      </c>
      <c r="CG94" s="909">
        <v>0</v>
      </c>
      <c r="CH94" s="910">
        <v>3542.3622324070816</v>
      </c>
      <c r="CI94" s="909">
        <v>0</v>
      </c>
      <c r="CJ94" s="909">
        <v>0</v>
      </c>
      <c r="CK94" s="909">
        <v>0</v>
      </c>
      <c r="CL94" s="910">
        <v>3246.5577526198467</v>
      </c>
      <c r="CM94" s="871">
        <v>3246.5577526198467</v>
      </c>
      <c r="CN94" s="911">
        <v>85.654321656987321</v>
      </c>
      <c r="CO94" s="908">
        <v>11.04863196386232</v>
      </c>
      <c r="CP94" s="902">
        <v>30.590735739207272</v>
      </c>
      <c r="CQ94" s="902">
        <v>0</v>
      </c>
      <c r="CR94" s="902">
        <v>0</v>
      </c>
      <c r="CS94" s="902">
        <v>49.693713323834722</v>
      </c>
      <c r="CT94" s="902">
        <v>1.0180360846826524</v>
      </c>
      <c r="CU94" s="902">
        <v>3600</v>
      </c>
      <c r="CV94" s="909" t="s">
        <v>2874</v>
      </c>
      <c r="CW94" s="909">
        <v>6</v>
      </c>
      <c r="CX94" s="909">
        <v>0</v>
      </c>
      <c r="CY94" s="909">
        <v>0</v>
      </c>
      <c r="CZ94" s="909">
        <v>0</v>
      </c>
      <c r="DA94" s="910">
        <v>4553.2611584811593</v>
      </c>
      <c r="DB94" s="909">
        <v>0</v>
      </c>
      <c r="DC94" s="909">
        <v>0</v>
      </c>
      <c r="DD94" s="909">
        <v>0</v>
      </c>
      <c r="DE94" s="910">
        <v>4275.1083455517974</v>
      </c>
      <c r="DF94" s="871">
        <v>4000</v>
      </c>
      <c r="DG94" s="911">
        <v>105.53247862338822</v>
      </c>
      <c r="DH94" s="908">
        <v>9.2071933032186006</v>
      </c>
      <c r="DI94" s="902">
        <v>28.749297078563551</v>
      </c>
      <c r="DJ94" s="902">
        <v>0</v>
      </c>
      <c r="DK94" s="902">
        <v>0</v>
      </c>
      <c r="DL94" s="902">
        <v>48.090168523348225</v>
      </c>
      <c r="DM94" s="902">
        <v>0.93561839605251573</v>
      </c>
      <c r="DN94" s="902">
        <v>2930</v>
      </c>
      <c r="DO94" s="909" t="s">
        <v>2875</v>
      </c>
      <c r="DP94" s="909">
        <v>5</v>
      </c>
      <c r="DQ94" s="909">
        <v>0</v>
      </c>
      <c r="DR94" s="909">
        <v>0</v>
      </c>
      <c r="DS94" s="909">
        <v>0</v>
      </c>
      <c r="DT94" s="910">
        <v>3687.0075084973851</v>
      </c>
      <c r="DU94" s="909">
        <v>0</v>
      </c>
      <c r="DV94" s="909">
        <v>0</v>
      </c>
      <c r="DW94" s="909">
        <v>0</v>
      </c>
      <c r="DX94" s="910">
        <v>3379.1244444659574</v>
      </c>
      <c r="DY94" s="871">
        <v>3379.1244444659574</v>
      </c>
      <c r="DZ94" s="911">
        <v>89.151844550343043</v>
      </c>
      <c r="EA94" s="908">
        <v>11.04863196386232</v>
      </c>
      <c r="EB94" s="902">
        <v>30.590735739207272</v>
      </c>
      <c r="EC94" s="902">
        <v>0</v>
      </c>
      <c r="ED94" s="902">
        <v>0</v>
      </c>
      <c r="EE94" s="902">
        <v>49.693713323834722</v>
      </c>
      <c r="EF94" s="902">
        <v>1.0180360846826524</v>
      </c>
      <c r="EG94" s="902">
        <v>3600</v>
      </c>
      <c r="EH94" s="909" t="s">
        <v>2875</v>
      </c>
      <c r="EI94" s="909">
        <v>6</v>
      </c>
      <c r="EJ94" s="909">
        <v>0</v>
      </c>
      <c r="EK94" s="909">
        <v>0</v>
      </c>
      <c r="EL94" s="909">
        <v>0</v>
      </c>
      <c r="EM94" s="910">
        <v>4739.1844701500031</v>
      </c>
      <c r="EN94" s="909">
        <v>0</v>
      </c>
      <c r="EO94" s="909">
        <v>0</v>
      </c>
      <c r="EP94" s="909">
        <v>0</v>
      </c>
      <c r="EQ94" s="910">
        <v>4449.6738434845438</v>
      </c>
      <c r="ER94" s="871">
        <v>4000</v>
      </c>
      <c r="ES94" s="911">
        <v>105.53247862338822</v>
      </c>
      <c r="ET94" s="908">
        <v>9.2071933032186006</v>
      </c>
      <c r="EU94" s="902">
        <v>28.749297078563551</v>
      </c>
      <c r="EV94" s="902">
        <v>0</v>
      </c>
      <c r="EW94" s="902">
        <v>0</v>
      </c>
      <c r="EX94" s="902">
        <v>48.090168523348225</v>
      </c>
      <c r="EY94" s="902">
        <v>0.93561839605251573</v>
      </c>
      <c r="EZ94" s="902">
        <v>2930</v>
      </c>
      <c r="FA94" s="909" t="s">
        <v>3884</v>
      </c>
      <c r="FB94" s="909">
        <v>5</v>
      </c>
      <c r="FC94" s="909">
        <v>0</v>
      </c>
      <c r="FD94" s="909">
        <v>0</v>
      </c>
      <c r="FE94" s="909">
        <v>0</v>
      </c>
      <c r="FF94" s="910">
        <v>3927.3386900606242</v>
      </c>
      <c r="FG94" s="909">
        <v>0</v>
      </c>
      <c r="FH94" s="909">
        <v>0</v>
      </c>
      <c r="FI94" s="909">
        <v>0</v>
      </c>
      <c r="FJ94" s="910">
        <v>3599.3868031717857</v>
      </c>
      <c r="FK94" s="871">
        <v>3599.3868031717857</v>
      </c>
      <c r="FL94" s="911">
        <v>94.963052715758039</v>
      </c>
      <c r="FM94" s="908">
        <v>11.04863196386232</v>
      </c>
      <c r="FN94" s="902">
        <v>30.590735739207272</v>
      </c>
      <c r="FO94" s="902">
        <v>0</v>
      </c>
      <c r="FP94" s="902">
        <v>0</v>
      </c>
      <c r="FQ94" s="902">
        <v>49.693713323834722</v>
      </c>
      <c r="FR94" s="902">
        <v>1.0180360846826524</v>
      </c>
      <c r="FS94" s="902">
        <v>3600</v>
      </c>
      <c r="FT94" s="909" t="s">
        <v>3884</v>
      </c>
      <c r="FU94" s="909">
        <v>6</v>
      </c>
      <c r="FV94" s="909">
        <v>0</v>
      </c>
      <c r="FW94" s="909">
        <v>0</v>
      </c>
      <c r="FX94" s="909">
        <v>0</v>
      </c>
      <c r="FY94" s="910">
        <v>5048.0999797420864</v>
      </c>
      <c r="FZ94" s="909">
        <v>0</v>
      </c>
      <c r="GA94" s="909">
        <v>0</v>
      </c>
      <c r="GB94" s="909">
        <v>0</v>
      </c>
      <c r="GC94" s="910">
        <v>4739.7181056432364</v>
      </c>
      <c r="GD94" s="871">
        <v>4000</v>
      </c>
      <c r="GE94" s="911">
        <v>105.53247862338822</v>
      </c>
      <c r="GF94" s="908">
        <v>7.3657546425748803</v>
      </c>
      <c r="GG94" s="902">
        <v>26.907858417919833</v>
      </c>
      <c r="GH94" s="902">
        <v>0</v>
      </c>
      <c r="GI94" s="902">
        <v>0</v>
      </c>
      <c r="GJ94" s="902">
        <v>46.267146621129726</v>
      </c>
      <c r="GK94" s="902">
        <v>0.85320070742237908</v>
      </c>
      <c r="GL94" s="902">
        <v>2930</v>
      </c>
      <c r="GM94" s="909" t="s">
        <v>2877</v>
      </c>
      <c r="GN94" s="909">
        <v>4</v>
      </c>
      <c r="GO94" s="909">
        <v>0</v>
      </c>
      <c r="GP94" s="909">
        <v>0</v>
      </c>
      <c r="GQ94" s="909">
        <v>0</v>
      </c>
      <c r="GR94" s="910">
        <v>4000.1819968916711</v>
      </c>
      <c r="GS94" s="909">
        <v>0</v>
      </c>
      <c r="GT94" s="909">
        <v>0</v>
      </c>
      <c r="GU94" s="909">
        <v>0</v>
      </c>
      <c r="GV94" s="910">
        <v>3632.3341542152948</v>
      </c>
      <c r="GW94" s="871">
        <v>3632.3341542152948</v>
      </c>
      <c r="GX94" s="911">
        <v>95.832306620682132</v>
      </c>
      <c r="GY94" s="908">
        <v>7.3657546425748803</v>
      </c>
      <c r="GZ94" s="902">
        <v>26.907858417919833</v>
      </c>
      <c r="HA94" s="902">
        <v>0</v>
      </c>
      <c r="HB94" s="902">
        <v>0</v>
      </c>
      <c r="HC94" s="902">
        <v>46.267146621129726</v>
      </c>
      <c r="HD94" s="902">
        <v>0.85320070742237908</v>
      </c>
      <c r="HE94" s="902">
        <v>3600</v>
      </c>
      <c r="HF94" s="909" t="s">
        <v>2877</v>
      </c>
      <c r="HG94" s="909">
        <v>4</v>
      </c>
      <c r="HH94" s="909">
        <v>0</v>
      </c>
      <c r="HI94" s="909">
        <v>0</v>
      </c>
      <c r="HJ94" s="909">
        <v>0</v>
      </c>
      <c r="HK94" s="910">
        <v>4000.1819968916711</v>
      </c>
      <c r="HL94" s="909">
        <v>0</v>
      </c>
      <c r="HM94" s="909">
        <v>0</v>
      </c>
      <c r="HN94" s="909">
        <v>0</v>
      </c>
      <c r="HO94" s="910">
        <v>3632.3341542152948</v>
      </c>
      <c r="HP94" s="871">
        <v>3632.3341542152948</v>
      </c>
      <c r="HQ94" s="911">
        <v>95.832306620682132</v>
      </c>
      <c r="HR94" s="908">
        <v>9.2071933032186006</v>
      </c>
      <c r="HS94" s="902">
        <v>28.749297078563551</v>
      </c>
      <c r="HT94" s="902">
        <v>0</v>
      </c>
      <c r="HU94" s="902">
        <v>0</v>
      </c>
      <c r="HV94" s="902">
        <v>48.090168523348225</v>
      </c>
      <c r="HW94" s="902">
        <v>0.93561839605251573</v>
      </c>
      <c r="HX94" s="902">
        <v>2930</v>
      </c>
      <c r="HY94" s="909" t="s">
        <v>1063</v>
      </c>
      <c r="HZ94" s="909">
        <v>5</v>
      </c>
      <c r="IA94" s="909">
        <v>0</v>
      </c>
      <c r="IB94" s="909">
        <v>0</v>
      </c>
      <c r="IC94" s="909">
        <v>0</v>
      </c>
      <c r="ID94" s="910">
        <v>4277.8088067736408</v>
      </c>
      <c r="IE94" s="909">
        <v>0</v>
      </c>
      <c r="IF94" s="909">
        <v>0</v>
      </c>
      <c r="IG94" s="909">
        <v>0</v>
      </c>
      <c r="IH94" s="910">
        <v>3920.5909601230242</v>
      </c>
      <c r="II94" s="871">
        <v>3920.5909601230242</v>
      </c>
      <c r="IJ94" s="911">
        <v>103.43742042255803</v>
      </c>
      <c r="IK94" s="908">
        <v>9.2071933032186006</v>
      </c>
      <c r="IL94" s="902">
        <v>28.749297078563551</v>
      </c>
      <c r="IM94" s="902">
        <v>0</v>
      </c>
      <c r="IN94" s="902">
        <v>0</v>
      </c>
      <c r="IO94" s="902">
        <v>48.090168523348225</v>
      </c>
      <c r="IP94" s="902">
        <v>0.93561839605251573</v>
      </c>
      <c r="IQ94" s="902">
        <v>3600</v>
      </c>
      <c r="IR94" s="909" t="s">
        <v>1063</v>
      </c>
      <c r="IS94" s="909">
        <v>5</v>
      </c>
      <c r="IT94" s="909">
        <v>0</v>
      </c>
      <c r="IU94" s="909">
        <v>0</v>
      </c>
      <c r="IV94" s="909">
        <v>0</v>
      </c>
      <c r="IW94" s="910">
        <v>4277.8088067736408</v>
      </c>
      <c r="IX94" s="909">
        <v>0</v>
      </c>
      <c r="IY94" s="909">
        <v>0</v>
      </c>
      <c r="IZ94" s="909">
        <v>0</v>
      </c>
      <c r="JA94" s="910">
        <v>3920.5909601230242</v>
      </c>
      <c r="JB94" s="871">
        <v>3920.5909601230242</v>
      </c>
      <c r="JC94" s="911">
        <v>103.43742042255803</v>
      </c>
      <c r="JD94" s="908">
        <v>5.52431598193116</v>
      </c>
      <c r="JE94" s="902">
        <v>25.066419757276112</v>
      </c>
      <c r="JF94" s="902">
        <v>0</v>
      </c>
      <c r="JG94" s="902">
        <v>0</v>
      </c>
      <c r="JH94" s="902">
        <v>44.176277691497518</v>
      </c>
      <c r="JI94" s="902">
        <v>0.77078301879224242</v>
      </c>
      <c r="JJ94" s="902">
        <v>2930</v>
      </c>
      <c r="JK94" s="909" t="s">
        <v>1064</v>
      </c>
      <c r="JL94" s="909">
        <v>3</v>
      </c>
      <c r="JM94" s="909">
        <v>0</v>
      </c>
      <c r="JN94" s="909">
        <v>0</v>
      </c>
      <c r="JO94" s="909">
        <v>0</v>
      </c>
      <c r="JP94" s="910">
        <v>3975.3060658111503</v>
      </c>
      <c r="JQ94" s="909">
        <v>0</v>
      </c>
      <c r="JR94" s="909">
        <v>0</v>
      </c>
      <c r="JS94" s="909">
        <v>0</v>
      </c>
      <c r="JT94" s="910">
        <v>3593.307963197477</v>
      </c>
      <c r="JU94" s="871">
        <v>3593.307963197477</v>
      </c>
      <c r="JV94" s="911">
        <v>94.802673953347096</v>
      </c>
      <c r="JW94" s="908">
        <v>7.3657546425748803</v>
      </c>
      <c r="JX94" s="902">
        <v>26.907858417919833</v>
      </c>
      <c r="JY94" s="902">
        <v>0</v>
      </c>
      <c r="JZ94" s="902">
        <v>0</v>
      </c>
      <c r="KA94" s="902">
        <v>46.267146621129726</v>
      </c>
      <c r="KB94" s="902">
        <v>0.85320070742237908</v>
      </c>
      <c r="KC94" s="902">
        <v>3600</v>
      </c>
      <c r="KD94" s="909" t="s">
        <v>1064</v>
      </c>
      <c r="KE94" s="909">
        <v>4</v>
      </c>
      <c r="KF94" s="909">
        <v>0</v>
      </c>
      <c r="KG94" s="909">
        <v>0</v>
      </c>
      <c r="KH94" s="909">
        <v>0</v>
      </c>
      <c r="KI94" s="910">
        <v>4807.620433660285</v>
      </c>
      <c r="KJ94" s="909">
        <v>0</v>
      </c>
      <c r="KK94" s="909">
        <v>0</v>
      </c>
      <c r="KL94" s="909">
        <v>0</v>
      </c>
      <c r="KM94" s="910">
        <v>4365.5223475474559</v>
      </c>
      <c r="KN94" s="871">
        <v>4000</v>
      </c>
      <c r="KO94" s="912">
        <v>105.53247862338822</v>
      </c>
    </row>
    <row r="95" spans="1:301" ht="15" customHeight="1">
      <c r="A95" s="1396" t="s">
        <v>2358</v>
      </c>
      <c r="B95" s="888" t="s">
        <v>1073</v>
      </c>
      <c r="C95" s="888">
        <v>140.43601051719867</v>
      </c>
      <c r="D95" s="888">
        <v>1029</v>
      </c>
      <c r="E95" s="888">
        <v>140</v>
      </c>
      <c r="F95" s="888">
        <v>118.62309666585847</v>
      </c>
      <c r="G95" s="888">
        <v>54.010818872094696</v>
      </c>
      <c r="H95" s="888">
        <v>43.040419767072187</v>
      </c>
      <c r="I95" s="888">
        <v>24.994341893716555</v>
      </c>
      <c r="J95" s="888">
        <v>59.257083744893812</v>
      </c>
      <c r="K95" s="888">
        <v>85</v>
      </c>
      <c r="L95" s="888">
        <v>13</v>
      </c>
      <c r="M95" s="888">
        <v>469.43714065462729</v>
      </c>
      <c r="N95" s="888">
        <v>6</v>
      </c>
      <c r="O95" s="884">
        <v>38.443866515457131</v>
      </c>
      <c r="P95" s="888">
        <v>6</v>
      </c>
      <c r="Q95" s="884">
        <v>26.988856654492821</v>
      </c>
      <c r="R95" s="888">
        <v>18.000000000000004</v>
      </c>
      <c r="S95" s="888">
        <v>573.81154833292908</v>
      </c>
      <c r="T95" s="906">
        <v>36.54017408845889</v>
      </c>
      <c r="U95" s="906">
        <v>86.071732249939359</v>
      </c>
      <c r="V95" s="906">
        <v>35</v>
      </c>
      <c r="W95" s="1141">
        <v>1.1989744622775571</v>
      </c>
      <c r="X95" s="902">
        <v>0</v>
      </c>
      <c r="Y95" s="902">
        <v>0</v>
      </c>
      <c r="Z95" s="902">
        <v>0</v>
      </c>
      <c r="AA95" s="902">
        <v>0</v>
      </c>
      <c r="AB95" s="970">
        <v>8.1145758252459039</v>
      </c>
      <c r="AC95" s="1045">
        <v>4000</v>
      </c>
      <c r="AD95" s="890">
        <v>1.9264817407379029</v>
      </c>
      <c r="AE95" s="890">
        <v>1.6813219130137229</v>
      </c>
      <c r="AF95" s="890">
        <v>-0.10166815135339984</v>
      </c>
      <c r="AG95" s="890">
        <v>0.78494903365768598</v>
      </c>
      <c r="AH95" s="888"/>
      <c r="AI95" s="907">
        <v>3.7106620045857817</v>
      </c>
      <c r="AJ95" s="908">
        <v>6.5185547761465026</v>
      </c>
      <c r="AK95" s="902">
        <v>109.6904264968329</v>
      </c>
      <c r="AL95" s="902">
        <v>0</v>
      </c>
      <c r="AM95" s="902">
        <v>0</v>
      </c>
      <c r="AN95" s="902">
        <v>20.291023384144605</v>
      </c>
      <c r="AO95" s="902">
        <v>12.248071593954849</v>
      </c>
      <c r="AP95" s="1222">
        <v>3550</v>
      </c>
      <c r="AQ95" s="909" t="s">
        <v>1062</v>
      </c>
      <c r="AR95" s="909">
        <v>4</v>
      </c>
      <c r="AS95" s="909">
        <v>0</v>
      </c>
      <c r="AT95" s="909">
        <v>0</v>
      </c>
      <c r="AU95" s="909">
        <v>0</v>
      </c>
      <c r="AV95" s="910">
        <v>28281.350594069736</v>
      </c>
      <c r="AW95" s="909">
        <v>0</v>
      </c>
      <c r="AX95" s="909">
        <v>0</v>
      </c>
      <c r="AY95" s="909">
        <v>0</v>
      </c>
      <c r="AZ95" s="910">
        <v>93599.971615875955</v>
      </c>
      <c r="BA95" s="871">
        <v>4000</v>
      </c>
      <c r="BB95" s="911">
        <v>215.5132560362598</v>
      </c>
      <c r="BC95" s="908">
        <v>6.5185547761465026</v>
      </c>
      <c r="BD95" s="902">
        <v>109.6904264968329</v>
      </c>
      <c r="BE95" s="902">
        <v>0</v>
      </c>
      <c r="BF95" s="902">
        <v>0</v>
      </c>
      <c r="BG95" s="902">
        <v>20.291023384144605</v>
      </c>
      <c r="BH95" s="902">
        <v>12.248071593954849</v>
      </c>
      <c r="BI95" s="902">
        <v>3600</v>
      </c>
      <c r="BJ95" s="909" t="s">
        <v>1062</v>
      </c>
      <c r="BK95" s="909">
        <v>4</v>
      </c>
      <c r="BL95" s="909">
        <v>0</v>
      </c>
      <c r="BM95" s="909">
        <v>0</v>
      </c>
      <c r="BN95" s="909">
        <v>0</v>
      </c>
      <c r="BO95" s="910">
        <v>28281.350594069736</v>
      </c>
      <c r="BP95" s="909">
        <v>0</v>
      </c>
      <c r="BQ95" s="909">
        <v>0</v>
      </c>
      <c r="BR95" s="909">
        <v>0</v>
      </c>
      <c r="BS95" s="910">
        <v>93599.971615875955</v>
      </c>
      <c r="BT95" s="871">
        <v>4000</v>
      </c>
      <c r="BU95" s="911">
        <v>215.5132560362598</v>
      </c>
      <c r="BV95" s="908">
        <v>6.5185547761465026</v>
      </c>
      <c r="BW95" s="902">
        <v>109.6904264968329</v>
      </c>
      <c r="BX95" s="902">
        <v>0</v>
      </c>
      <c r="BY95" s="902">
        <v>0</v>
      </c>
      <c r="BZ95" s="902">
        <v>20.291023384144605</v>
      </c>
      <c r="CA95" s="902">
        <v>12.248071593954849</v>
      </c>
      <c r="CB95" s="902">
        <v>3550</v>
      </c>
      <c r="CC95" s="909" t="s">
        <v>2874</v>
      </c>
      <c r="CD95" s="909">
        <v>4</v>
      </c>
      <c r="CE95" s="909">
        <v>0</v>
      </c>
      <c r="CF95" s="909">
        <v>0</v>
      </c>
      <c r="CG95" s="909">
        <v>0</v>
      </c>
      <c r="CH95" s="910">
        <v>27709.951276891512</v>
      </c>
      <c r="CI95" s="909">
        <v>0</v>
      </c>
      <c r="CJ95" s="909">
        <v>0</v>
      </c>
      <c r="CK95" s="909">
        <v>0</v>
      </c>
      <c r="CL95" s="910">
        <v>91708.868159154052</v>
      </c>
      <c r="CM95" s="871">
        <v>4000</v>
      </c>
      <c r="CN95" s="911">
        <v>215.5132560362598</v>
      </c>
      <c r="CO95" s="908">
        <v>6.5185547761465026</v>
      </c>
      <c r="CP95" s="902">
        <v>109.6904264968329</v>
      </c>
      <c r="CQ95" s="902">
        <v>0</v>
      </c>
      <c r="CR95" s="902">
        <v>0</v>
      </c>
      <c r="CS95" s="902">
        <v>20.291023384144605</v>
      </c>
      <c r="CT95" s="902">
        <v>12.248071593954849</v>
      </c>
      <c r="CU95" s="902">
        <v>3600</v>
      </c>
      <c r="CV95" s="909" t="s">
        <v>2874</v>
      </c>
      <c r="CW95" s="909">
        <v>4</v>
      </c>
      <c r="CX95" s="909">
        <v>0</v>
      </c>
      <c r="CY95" s="909">
        <v>0</v>
      </c>
      <c r="CZ95" s="909">
        <v>0</v>
      </c>
      <c r="DA95" s="910">
        <v>27709.951276891512</v>
      </c>
      <c r="DB95" s="909">
        <v>0</v>
      </c>
      <c r="DC95" s="909">
        <v>0</v>
      </c>
      <c r="DD95" s="909">
        <v>0</v>
      </c>
      <c r="DE95" s="910">
        <v>91708.868159154052</v>
      </c>
      <c r="DF95" s="871">
        <v>4000</v>
      </c>
      <c r="DG95" s="911">
        <v>215.5132560362598</v>
      </c>
      <c r="DH95" s="908">
        <v>6.5185547761465026</v>
      </c>
      <c r="DI95" s="902">
        <v>109.6904264968329</v>
      </c>
      <c r="DJ95" s="902">
        <v>0</v>
      </c>
      <c r="DK95" s="902">
        <v>0</v>
      </c>
      <c r="DL95" s="902">
        <v>20.291023384144605</v>
      </c>
      <c r="DM95" s="902">
        <v>12.248071593954849</v>
      </c>
      <c r="DN95" s="902">
        <v>3550</v>
      </c>
      <c r="DO95" s="909" t="s">
        <v>2875</v>
      </c>
      <c r="DP95" s="909">
        <v>4</v>
      </c>
      <c r="DQ95" s="909">
        <v>0</v>
      </c>
      <c r="DR95" s="909">
        <v>0</v>
      </c>
      <c r="DS95" s="909">
        <v>0</v>
      </c>
      <c r="DT95" s="910">
        <v>28841.431709984103</v>
      </c>
      <c r="DU95" s="909">
        <v>0</v>
      </c>
      <c r="DV95" s="909">
        <v>0</v>
      </c>
      <c r="DW95" s="909">
        <v>0</v>
      </c>
      <c r="DX95" s="910">
        <v>95453.616348216572</v>
      </c>
      <c r="DY95" s="871">
        <v>4000</v>
      </c>
      <c r="DZ95" s="911">
        <v>215.5132560362598</v>
      </c>
      <c r="EA95" s="908">
        <v>6.5185547761465026</v>
      </c>
      <c r="EB95" s="902">
        <v>109.6904264968329</v>
      </c>
      <c r="EC95" s="902">
        <v>0</v>
      </c>
      <c r="ED95" s="902">
        <v>0</v>
      </c>
      <c r="EE95" s="902">
        <v>20.291023384144605</v>
      </c>
      <c r="EF95" s="902">
        <v>12.248071593954849</v>
      </c>
      <c r="EG95" s="902">
        <v>3600</v>
      </c>
      <c r="EH95" s="909" t="s">
        <v>2875</v>
      </c>
      <c r="EI95" s="909">
        <v>4</v>
      </c>
      <c r="EJ95" s="909">
        <v>0</v>
      </c>
      <c r="EK95" s="909">
        <v>0</v>
      </c>
      <c r="EL95" s="909">
        <v>0</v>
      </c>
      <c r="EM95" s="910">
        <v>28841.431709984103</v>
      </c>
      <c r="EN95" s="909">
        <v>0</v>
      </c>
      <c r="EO95" s="909">
        <v>0</v>
      </c>
      <c r="EP95" s="909">
        <v>0</v>
      </c>
      <c r="EQ95" s="910">
        <v>95453.616348216572</v>
      </c>
      <c r="ER95" s="871">
        <v>4000</v>
      </c>
      <c r="ES95" s="911">
        <v>215.5132560362598</v>
      </c>
      <c r="ET95" s="908">
        <v>6.5185547761465026</v>
      </c>
      <c r="EU95" s="902">
        <v>109.6904264968329</v>
      </c>
      <c r="EV95" s="902">
        <v>0</v>
      </c>
      <c r="EW95" s="902">
        <v>0</v>
      </c>
      <c r="EX95" s="902">
        <v>20.291023384144605</v>
      </c>
      <c r="EY95" s="902">
        <v>12.248071593954849</v>
      </c>
      <c r="EZ95" s="902">
        <v>3550</v>
      </c>
      <c r="FA95" s="909" t="s">
        <v>3884</v>
      </c>
      <c r="FB95" s="909">
        <v>4</v>
      </c>
      <c r="FC95" s="909">
        <v>0</v>
      </c>
      <c r="FD95" s="909">
        <v>0</v>
      </c>
      <c r="FE95" s="909">
        <v>0</v>
      </c>
      <c r="FF95" s="910">
        <v>30721.410349805439</v>
      </c>
      <c r="FG95" s="909">
        <v>0</v>
      </c>
      <c r="FH95" s="909">
        <v>0</v>
      </c>
      <c r="FI95" s="909">
        <v>0</v>
      </c>
      <c r="FJ95" s="910">
        <v>101675.59456458327</v>
      </c>
      <c r="FK95" s="871">
        <v>4000</v>
      </c>
      <c r="FL95" s="911">
        <v>215.5132560362598</v>
      </c>
      <c r="FM95" s="908">
        <v>6.5185547761465026</v>
      </c>
      <c r="FN95" s="902">
        <v>109.6904264968329</v>
      </c>
      <c r="FO95" s="902">
        <v>0</v>
      </c>
      <c r="FP95" s="902">
        <v>0</v>
      </c>
      <c r="FQ95" s="902">
        <v>20.291023384144605</v>
      </c>
      <c r="FR95" s="902">
        <v>12.248071593954849</v>
      </c>
      <c r="FS95" s="902">
        <v>3600</v>
      </c>
      <c r="FT95" s="909" t="s">
        <v>3884</v>
      </c>
      <c r="FU95" s="909">
        <v>4</v>
      </c>
      <c r="FV95" s="909">
        <v>0</v>
      </c>
      <c r="FW95" s="909">
        <v>0</v>
      </c>
      <c r="FX95" s="909">
        <v>0</v>
      </c>
      <c r="FY95" s="910">
        <v>30721.410349805439</v>
      </c>
      <c r="FZ95" s="909">
        <v>0</v>
      </c>
      <c r="GA95" s="909">
        <v>0</v>
      </c>
      <c r="GB95" s="909">
        <v>0</v>
      </c>
      <c r="GC95" s="910">
        <v>101675.59456458327</v>
      </c>
      <c r="GD95" s="871">
        <v>4000</v>
      </c>
      <c r="GE95" s="911">
        <v>215.5132560362598</v>
      </c>
      <c r="GF95" s="908">
        <v>6.5185547761465026</v>
      </c>
      <c r="GG95" s="902">
        <v>109.6904264968329</v>
      </c>
      <c r="GH95" s="902">
        <v>0</v>
      </c>
      <c r="GI95" s="902">
        <v>0</v>
      </c>
      <c r="GJ95" s="902">
        <v>20.291023384144605</v>
      </c>
      <c r="GK95" s="902">
        <v>12.248071593954849</v>
      </c>
      <c r="GL95" s="902">
        <v>3550</v>
      </c>
      <c r="GM95" s="909" t="s">
        <v>2877</v>
      </c>
      <c r="GN95" s="909">
        <v>4</v>
      </c>
      <c r="GO95" s="909">
        <v>0</v>
      </c>
      <c r="GP95" s="909">
        <v>0</v>
      </c>
      <c r="GQ95" s="909">
        <v>0</v>
      </c>
      <c r="GR95" s="910">
        <v>37943.413454306406</v>
      </c>
      <c r="GS95" s="909">
        <v>0</v>
      </c>
      <c r="GT95" s="909">
        <v>0</v>
      </c>
      <c r="GU95" s="909">
        <v>0</v>
      </c>
      <c r="GV95" s="910">
        <v>125577.53953508969</v>
      </c>
      <c r="GW95" s="871">
        <v>4000</v>
      </c>
      <c r="GX95" s="911">
        <v>215.5132560362598</v>
      </c>
      <c r="GY95" s="908">
        <v>6.5185547761465026</v>
      </c>
      <c r="GZ95" s="902">
        <v>109.6904264968329</v>
      </c>
      <c r="HA95" s="902">
        <v>0</v>
      </c>
      <c r="HB95" s="902">
        <v>0</v>
      </c>
      <c r="HC95" s="902">
        <v>20.291023384144605</v>
      </c>
      <c r="HD95" s="902">
        <v>12.248071593954849</v>
      </c>
      <c r="HE95" s="902">
        <v>3600</v>
      </c>
      <c r="HF95" s="909" t="s">
        <v>2877</v>
      </c>
      <c r="HG95" s="909">
        <v>4</v>
      </c>
      <c r="HH95" s="909">
        <v>0</v>
      </c>
      <c r="HI95" s="909">
        <v>0</v>
      </c>
      <c r="HJ95" s="909">
        <v>0</v>
      </c>
      <c r="HK95" s="910">
        <v>37943.413454306406</v>
      </c>
      <c r="HL95" s="909">
        <v>0</v>
      </c>
      <c r="HM95" s="909">
        <v>0</v>
      </c>
      <c r="HN95" s="909">
        <v>0</v>
      </c>
      <c r="HO95" s="910">
        <v>125577.53953508969</v>
      </c>
      <c r="HP95" s="871">
        <v>4000</v>
      </c>
      <c r="HQ95" s="911">
        <v>215.5132560362598</v>
      </c>
      <c r="HR95" s="908">
        <v>6.5185547761465026</v>
      </c>
      <c r="HS95" s="902">
        <v>109.6904264968329</v>
      </c>
      <c r="HT95" s="902">
        <v>0</v>
      </c>
      <c r="HU95" s="902">
        <v>0</v>
      </c>
      <c r="HV95" s="902">
        <v>20.291023384144605</v>
      </c>
      <c r="HW95" s="902">
        <v>12.248071593954849</v>
      </c>
      <c r="HX95" s="902">
        <v>3550</v>
      </c>
      <c r="HY95" s="909" t="s">
        <v>1063</v>
      </c>
      <c r="HZ95" s="909">
        <v>4</v>
      </c>
      <c r="IA95" s="909">
        <v>0</v>
      </c>
      <c r="IB95" s="909">
        <v>0</v>
      </c>
      <c r="IC95" s="909">
        <v>0</v>
      </c>
      <c r="ID95" s="910">
        <v>33462.945297665668</v>
      </c>
      <c r="IE95" s="909">
        <v>0</v>
      </c>
      <c r="IF95" s="909">
        <v>0</v>
      </c>
      <c r="IG95" s="909">
        <v>0</v>
      </c>
      <c r="IH95" s="910">
        <v>110748.97995507649</v>
      </c>
      <c r="II95" s="871">
        <v>4000</v>
      </c>
      <c r="IJ95" s="911">
        <v>215.5132560362598</v>
      </c>
      <c r="IK95" s="908">
        <v>6.5185547761465026</v>
      </c>
      <c r="IL95" s="902">
        <v>109.6904264968329</v>
      </c>
      <c r="IM95" s="902">
        <v>0</v>
      </c>
      <c r="IN95" s="902">
        <v>0</v>
      </c>
      <c r="IO95" s="902">
        <v>20.291023384144605</v>
      </c>
      <c r="IP95" s="902">
        <v>12.248071593954849</v>
      </c>
      <c r="IQ95" s="902">
        <v>3600</v>
      </c>
      <c r="IR95" s="909" t="s">
        <v>1063</v>
      </c>
      <c r="IS95" s="909">
        <v>4</v>
      </c>
      <c r="IT95" s="909">
        <v>0</v>
      </c>
      <c r="IU95" s="909">
        <v>0</v>
      </c>
      <c r="IV95" s="909">
        <v>0</v>
      </c>
      <c r="IW95" s="910">
        <v>33462.945297665668</v>
      </c>
      <c r="IX95" s="909">
        <v>0</v>
      </c>
      <c r="IY95" s="909">
        <v>0</v>
      </c>
      <c r="IZ95" s="909">
        <v>0</v>
      </c>
      <c r="JA95" s="910">
        <v>110748.97995507649</v>
      </c>
      <c r="JB95" s="871">
        <v>4000</v>
      </c>
      <c r="JC95" s="911">
        <v>215.5132560362598</v>
      </c>
      <c r="JD95" s="908">
        <v>6.5185547761465026</v>
      </c>
      <c r="JE95" s="902">
        <v>109.6904264968329</v>
      </c>
      <c r="JF95" s="902">
        <v>0</v>
      </c>
      <c r="JG95" s="902">
        <v>0</v>
      </c>
      <c r="JH95" s="902">
        <v>20.291023384144605</v>
      </c>
      <c r="JI95" s="902">
        <v>12.248071593954849</v>
      </c>
      <c r="JJ95" s="902">
        <v>3550</v>
      </c>
      <c r="JK95" s="909" t="s">
        <v>1064</v>
      </c>
      <c r="JL95" s="909">
        <v>4</v>
      </c>
      <c r="JM95" s="909">
        <v>0</v>
      </c>
      <c r="JN95" s="909">
        <v>0</v>
      </c>
      <c r="JO95" s="909">
        <v>0</v>
      </c>
      <c r="JP95" s="910">
        <v>45602.307591877325</v>
      </c>
      <c r="JQ95" s="909">
        <v>0</v>
      </c>
      <c r="JR95" s="909">
        <v>0</v>
      </c>
      <c r="JS95" s="909">
        <v>0</v>
      </c>
      <c r="JT95" s="910">
        <v>150925.41928012436</v>
      </c>
      <c r="JU95" s="871">
        <v>4000</v>
      </c>
      <c r="JV95" s="911">
        <v>215.5132560362598</v>
      </c>
      <c r="JW95" s="908">
        <v>6.5185547761465026</v>
      </c>
      <c r="JX95" s="902">
        <v>109.6904264968329</v>
      </c>
      <c r="JY95" s="902">
        <v>0</v>
      </c>
      <c r="JZ95" s="902">
        <v>0</v>
      </c>
      <c r="KA95" s="902">
        <v>20.291023384144605</v>
      </c>
      <c r="KB95" s="902">
        <v>12.248071593954849</v>
      </c>
      <c r="KC95" s="902">
        <v>3600</v>
      </c>
      <c r="KD95" s="909" t="s">
        <v>1064</v>
      </c>
      <c r="KE95" s="909">
        <v>4</v>
      </c>
      <c r="KF95" s="909">
        <v>0</v>
      </c>
      <c r="KG95" s="909">
        <v>0</v>
      </c>
      <c r="KH95" s="909">
        <v>0</v>
      </c>
      <c r="KI95" s="910">
        <v>45602.307591877325</v>
      </c>
      <c r="KJ95" s="909">
        <v>0</v>
      </c>
      <c r="KK95" s="909">
        <v>0</v>
      </c>
      <c r="KL95" s="909">
        <v>0</v>
      </c>
      <c r="KM95" s="910">
        <v>150925.41928012436</v>
      </c>
      <c r="KN95" s="871">
        <v>4000</v>
      </c>
      <c r="KO95" s="912">
        <v>215.5132560362598</v>
      </c>
    </row>
    <row r="96" spans="1:301" ht="15" customHeight="1">
      <c r="A96" s="1396" t="s">
        <v>2359</v>
      </c>
      <c r="B96" s="888" t="s">
        <v>1073</v>
      </c>
      <c r="C96" s="888">
        <v>247.26209328909496</v>
      </c>
      <c r="D96" s="888">
        <v>882.37318573221876</v>
      </c>
      <c r="E96" s="888">
        <v>250</v>
      </c>
      <c r="F96" s="888">
        <v>199.82419538701083</v>
      </c>
      <c r="G96" s="888">
        <v>100.2940914782051</v>
      </c>
      <c r="H96" s="888">
        <v>81.166915476089358</v>
      </c>
      <c r="I96" s="888">
        <v>31.363041939930287</v>
      </c>
      <c r="J96" s="888">
        <v>47.784077912037183</v>
      </c>
      <c r="K96" s="888">
        <v>74.30708263143228</v>
      </c>
      <c r="L96" s="888">
        <v>15</v>
      </c>
      <c r="M96" s="888">
        <v>367.47636718809349</v>
      </c>
      <c r="N96" s="888">
        <v>5</v>
      </c>
      <c r="O96" s="884">
        <v>22.074585919840199</v>
      </c>
      <c r="P96" s="888">
        <v>5</v>
      </c>
      <c r="Q96" s="884">
        <v>14.97553224239627</v>
      </c>
      <c r="R96" s="888">
        <v>18.000000000000004</v>
      </c>
      <c r="S96" s="888">
        <v>541.09869055961474</v>
      </c>
      <c r="T96" s="906">
        <v>32.492640769301872</v>
      </c>
      <c r="U96" s="906">
        <v>81.164803583942202</v>
      </c>
      <c r="V96" s="906">
        <v>60</v>
      </c>
      <c r="W96" s="1141">
        <v>1.8277110432732293</v>
      </c>
      <c r="X96" s="902">
        <v>0</v>
      </c>
      <c r="Y96" s="902">
        <v>0</v>
      </c>
      <c r="Z96" s="902">
        <v>0</v>
      </c>
      <c r="AA96" s="902">
        <v>0</v>
      </c>
      <c r="AB96" s="970">
        <v>9.1424800063149529</v>
      </c>
      <c r="AC96" s="1045">
        <v>4000</v>
      </c>
      <c r="AD96" s="890">
        <v>1.5693489228039728</v>
      </c>
      <c r="AE96" s="890">
        <v>1.1022306472979864</v>
      </c>
      <c r="AF96" s="890">
        <v>-0.20000887835004783</v>
      </c>
      <c r="AG96" s="890">
        <v>0.79481272376694223</v>
      </c>
      <c r="AH96" s="888"/>
      <c r="AI96" s="907">
        <v>2.9702341711050622</v>
      </c>
      <c r="AJ96" s="908">
        <v>7.3038146538576969</v>
      </c>
      <c r="AK96" s="902">
        <v>78.67428462866927</v>
      </c>
      <c r="AL96" s="902">
        <v>0</v>
      </c>
      <c r="AM96" s="902">
        <v>0</v>
      </c>
      <c r="AN96" s="902">
        <v>31.431414258878124</v>
      </c>
      <c r="AO96" s="902">
        <v>6.2821876252081337</v>
      </c>
      <c r="AP96" s="1222">
        <v>3600</v>
      </c>
      <c r="AQ96" s="909" t="s">
        <v>1062</v>
      </c>
      <c r="AR96" s="909">
        <v>3</v>
      </c>
      <c r="AS96" s="909">
        <v>0</v>
      </c>
      <c r="AT96" s="909">
        <v>0</v>
      </c>
      <c r="AU96" s="909">
        <v>0</v>
      </c>
      <c r="AV96" s="910">
        <v>6431.1676724613208</v>
      </c>
      <c r="AW96" s="909">
        <v>0</v>
      </c>
      <c r="AX96" s="909">
        <v>0</v>
      </c>
      <c r="AY96" s="909">
        <v>0</v>
      </c>
      <c r="AZ96" s="910">
        <v>18411.18825612203</v>
      </c>
      <c r="BA96" s="871">
        <v>4000</v>
      </c>
      <c r="BB96" s="911">
        <v>184.80380786806401</v>
      </c>
      <c r="BC96" s="908">
        <v>7.3038146538576969</v>
      </c>
      <c r="BD96" s="902">
        <v>78.67428462866927</v>
      </c>
      <c r="BE96" s="902">
        <v>0</v>
      </c>
      <c r="BF96" s="902">
        <v>0</v>
      </c>
      <c r="BG96" s="902">
        <v>31.431414258878124</v>
      </c>
      <c r="BH96" s="902">
        <v>6.2821876252081337</v>
      </c>
      <c r="BI96" s="902">
        <v>3600</v>
      </c>
      <c r="BJ96" s="909" t="s">
        <v>1062</v>
      </c>
      <c r="BK96" s="909">
        <v>3</v>
      </c>
      <c r="BL96" s="909">
        <v>0</v>
      </c>
      <c r="BM96" s="909">
        <v>0</v>
      </c>
      <c r="BN96" s="909">
        <v>0</v>
      </c>
      <c r="BO96" s="910">
        <v>6431.1676724613208</v>
      </c>
      <c r="BP96" s="909">
        <v>0</v>
      </c>
      <c r="BQ96" s="909">
        <v>0</v>
      </c>
      <c r="BR96" s="909">
        <v>0</v>
      </c>
      <c r="BS96" s="910">
        <v>18411.18825612203</v>
      </c>
      <c r="BT96" s="871">
        <v>4000</v>
      </c>
      <c r="BU96" s="911">
        <v>184.80380786806401</v>
      </c>
      <c r="BV96" s="908">
        <v>7.3038146538576969</v>
      </c>
      <c r="BW96" s="902">
        <v>78.67428462866927</v>
      </c>
      <c r="BX96" s="902">
        <v>0</v>
      </c>
      <c r="BY96" s="902">
        <v>0</v>
      </c>
      <c r="BZ96" s="902">
        <v>31.431414258878124</v>
      </c>
      <c r="CA96" s="902">
        <v>6.2821876252081337</v>
      </c>
      <c r="CB96" s="902">
        <v>3600</v>
      </c>
      <c r="CC96" s="909" t="s">
        <v>2874</v>
      </c>
      <c r="CD96" s="909">
        <v>3</v>
      </c>
      <c r="CE96" s="909">
        <v>0</v>
      </c>
      <c r="CF96" s="909">
        <v>0</v>
      </c>
      <c r="CG96" s="909">
        <v>0</v>
      </c>
      <c r="CH96" s="910">
        <v>6301.2316991251091</v>
      </c>
      <c r="CI96" s="909">
        <v>0</v>
      </c>
      <c r="CJ96" s="909">
        <v>0</v>
      </c>
      <c r="CK96" s="909">
        <v>0</v>
      </c>
      <c r="CL96" s="910">
        <v>18039.206714328411</v>
      </c>
      <c r="CM96" s="871">
        <v>4000</v>
      </c>
      <c r="CN96" s="911">
        <v>184.80380786806401</v>
      </c>
      <c r="CO96" s="908">
        <v>7.3038146538576969</v>
      </c>
      <c r="CP96" s="902">
        <v>78.67428462866927</v>
      </c>
      <c r="CQ96" s="902">
        <v>0</v>
      </c>
      <c r="CR96" s="902">
        <v>0</v>
      </c>
      <c r="CS96" s="902">
        <v>31.431414258878124</v>
      </c>
      <c r="CT96" s="902">
        <v>6.2821876252081337</v>
      </c>
      <c r="CU96" s="902">
        <v>3600</v>
      </c>
      <c r="CV96" s="909" t="s">
        <v>2874</v>
      </c>
      <c r="CW96" s="909">
        <v>3</v>
      </c>
      <c r="CX96" s="909">
        <v>0</v>
      </c>
      <c r="CY96" s="909">
        <v>0</v>
      </c>
      <c r="CZ96" s="909">
        <v>0</v>
      </c>
      <c r="DA96" s="910">
        <v>6301.2316991251091</v>
      </c>
      <c r="DB96" s="909">
        <v>0</v>
      </c>
      <c r="DC96" s="909">
        <v>0</v>
      </c>
      <c r="DD96" s="909">
        <v>0</v>
      </c>
      <c r="DE96" s="910">
        <v>18039.206714328411</v>
      </c>
      <c r="DF96" s="871">
        <v>4000</v>
      </c>
      <c r="DG96" s="911">
        <v>184.80380786806401</v>
      </c>
      <c r="DH96" s="908">
        <v>7.3038146538576969</v>
      </c>
      <c r="DI96" s="902">
        <v>78.67428462866927</v>
      </c>
      <c r="DJ96" s="902">
        <v>0</v>
      </c>
      <c r="DK96" s="902">
        <v>0</v>
      </c>
      <c r="DL96" s="902">
        <v>31.431414258878124</v>
      </c>
      <c r="DM96" s="902">
        <v>6.2821876252081337</v>
      </c>
      <c r="DN96" s="902">
        <v>3600</v>
      </c>
      <c r="DO96" s="909" t="s">
        <v>2875</v>
      </c>
      <c r="DP96" s="909">
        <v>3</v>
      </c>
      <c r="DQ96" s="909">
        <v>0</v>
      </c>
      <c r="DR96" s="909">
        <v>0</v>
      </c>
      <c r="DS96" s="909">
        <v>0</v>
      </c>
      <c r="DT96" s="910">
        <v>6558.5298914134737</v>
      </c>
      <c r="DU96" s="909">
        <v>0</v>
      </c>
      <c r="DV96" s="909">
        <v>0</v>
      </c>
      <c r="DW96" s="909">
        <v>0</v>
      </c>
      <c r="DX96" s="910">
        <v>18775.80163727931</v>
      </c>
      <c r="DY96" s="871">
        <v>4000</v>
      </c>
      <c r="DZ96" s="911">
        <v>184.80380786806401</v>
      </c>
      <c r="EA96" s="908">
        <v>7.3038146538576969</v>
      </c>
      <c r="EB96" s="902">
        <v>78.67428462866927</v>
      </c>
      <c r="EC96" s="902">
        <v>0</v>
      </c>
      <c r="ED96" s="902">
        <v>0</v>
      </c>
      <c r="EE96" s="902">
        <v>31.431414258878124</v>
      </c>
      <c r="EF96" s="902">
        <v>6.2821876252081337</v>
      </c>
      <c r="EG96" s="902">
        <v>3600</v>
      </c>
      <c r="EH96" s="909" t="s">
        <v>2875</v>
      </c>
      <c r="EI96" s="909">
        <v>3</v>
      </c>
      <c r="EJ96" s="909">
        <v>0</v>
      </c>
      <c r="EK96" s="909">
        <v>0</v>
      </c>
      <c r="EL96" s="909">
        <v>0</v>
      </c>
      <c r="EM96" s="910">
        <v>6558.5298914134737</v>
      </c>
      <c r="EN96" s="909">
        <v>0</v>
      </c>
      <c r="EO96" s="909">
        <v>0</v>
      </c>
      <c r="EP96" s="909">
        <v>0</v>
      </c>
      <c r="EQ96" s="910">
        <v>18775.80163727931</v>
      </c>
      <c r="ER96" s="871">
        <v>4000</v>
      </c>
      <c r="ES96" s="911">
        <v>184.80380786806401</v>
      </c>
      <c r="ET96" s="908">
        <v>7.3038146538576969</v>
      </c>
      <c r="EU96" s="902">
        <v>78.67428462866927</v>
      </c>
      <c r="EV96" s="902">
        <v>0</v>
      </c>
      <c r="EW96" s="902">
        <v>0</v>
      </c>
      <c r="EX96" s="902">
        <v>31.431414258878124</v>
      </c>
      <c r="EY96" s="902">
        <v>6.2821876252081337</v>
      </c>
      <c r="EZ96" s="902">
        <v>3600</v>
      </c>
      <c r="FA96" s="909" t="s">
        <v>3884</v>
      </c>
      <c r="FB96" s="909">
        <v>3</v>
      </c>
      <c r="FC96" s="909">
        <v>0</v>
      </c>
      <c r="FD96" s="909">
        <v>0</v>
      </c>
      <c r="FE96" s="909">
        <v>0</v>
      </c>
      <c r="FF96" s="910">
        <v>6986.0362728050341</v>
      </c>
      <c r="FG96" s="909">
        <v>0</v>
      </c>
      <c r="FH96" s="909">
        <v>0</v>
      </c>
      <c r="FI96" s="909">
        <v>0</v>
      </c>
      <c r="FJ96" s="910">
        <v>19999.669660841693</v>
      </c>
      <c r="FK96" s="871">
        <v>4000</v>
      </c>
      <c r="FL96" s="911">
        <v>184.80380786806401</v>
      </c>
      <c r="FM96" s="908">
        <v>7.3038146538576969</v>
      </c>
      <c r="FN96" s="902">
        <v>78.67428462866927</v>
      </c>
      <c r="FO96" s="902">
        <v>0</v>
      </c>
      <c r="FP96" s="902">
        <v>0</v>
      </c>
      <c r="FQ96" s="902">
        <v>31.431414258878124</v>
      </c>
      <c r="FR96" s="902">
        <v>6.2821876252081337</v>
      </c>
      <c r="FS96" s="902">
        <v>3600</v>
      </c>
      <c r="FT96" s="909" t="s">
        <v>3884</v>
      </c>
      <c r="FU96" s="909">
        <v>3</v>
      </c>
      <c r="FV96" s="909">
        <v>0</v>
      </c>
      <c r="FW96" s="909">
        <v>0</v>
      </c>
      <c r="FX96" s="909">
        <v>0</v>
      </c>
      <c r="FY96" s="910">
        <v>6986.0362728050341</v>
      </c>
      <c r="FZ96" s="909">
        <v>0</v>
      </c>
      <c r="GA96" s="909">
        <v>0</v>
      </c>
      <c r="GB96" s="909">
        <v>0</v>
      </c>
      <c r="GC96" s="910">
        <v>19999.669660841693</v>
      </c>
      <c r="GD96" s="871">
        <v>4000</v>
      </c>
      <c r="GE96" s="911">
        <v>184.80380786806401</v>
      </c>
      <c r="GF96" s="908">
        <v>7.3038146538576969</v>
      </c>
      <c r="GG96" s="902">
        <v>78.67428462866927</v>
      </c>
      <c r="GH96" s="902">
        <v>0</v>
      </c>
      <c r="GI96" s="902">
        <v>0</v>
      </c>
      <c r="GJ96" s="902">
        <v>31.431414258878124</v>
      </c>
      <c r="GK96" s="902">
        <v>6.2821876252081337</v>
      </c>
      <c r="GL96" s="902">
        <v>3600</v>
      </c>
      <c r="GM96" s="909" t="s">
        <v>2877</v>
      </c>
      <c r="GN96" s="909">
        <v>3</v>
      </c>
      <c r="GO96" s="909">
        <v>0</v>
      </c>
      <c r="GP96" s="909">
        <v>0</v>
      </c>
      <c r="GQ96" s="909">
        <v>0</v>
      </c>
      <c r="GR96" s="910">
        <v>8628.3168541935702</v>
      </c>
      <c r="GS96" s="909">
        <v>0</v>
      </c>
      <c r="GT96" s="909">
        <v>0</v>
      </c>
      <c r="GU96" s="909">
        <v>0</v>
      </c>
      <c r="GV96" s="910">
        <v>24701.201092340805</v>
      </c>
      <c r="GW96" s="871">
        <v>4000</v>
      </c>
      <c r="GX96" s="911">
        <v>184.80380786806401</v>
      </c>
      <c r="GY96" s="908">
        <v>7.3038146538576969</v>
      </c>
      <c r="GZ96" s="902">
        <v>78.67428462866927</v>
      </c>
      <c r="HA96" s="902">
        <v>0</v>
      </c>
      <c r="HB96" s="902">
        <v>0</v>
      </c>
      <c r="HC96" s="902">
        <v>31.431414258878124</v>
      </c>
      <c r="HD96" s="902">
        <v>6.2821876252081337</v>
      </c>
      <c r="HE96" s="902">
        <v>3600</v>
      </c>
      <c r="HF96" s="909" t="s">
        <v>2877</v>
      </c>
      <c r="HG96" s="909">
        <v>3</v>
      </c>
      <c r="HH96" s="909">
        <v>0</v>
      </c>
      <c r="HI96" s="909">
        <v>0</v>
      </c>
      <c r="HJ96" s="909">
        <v>0</v>
      </c>
      <c r="HK96" s="910">
        <v>8628.3168541935702</v>
      </c>
      <c r="HL96" s="909">
        <v>0</v>
      </c>
      <c r="HM96" s="909">
        <v>0</v>
      </c>
      <c r="HN96" s="909">
        <v>0</v>
      </c>
      <c r="HO96" s="910">
        <v>24701.201092340805</v>
      </c>
      <c r="HP96" s="871">
        <v>4000</v>
      </c>
      <c r="HQ96" s="911">
        <v>184.80380786806401</v>
      </c>
      <c r="HR96" s="908">
        <v>7.3038146538576969</v>
      </c>
      <c r="HS96" s="902">
        <v>78.67428462866927</v>
      </c>
      <c r="HT96" s="902">
        <v>0</v>
      </c>
      <c r="HU96" s="902">
        <v>0</v>
      </c>
      <c r="HV96" s="902">
        <v>31.431414258878124</v>
      </c>
      <c r="HW96" s="902">
        <v>6.2821876252081337</v>
      </c>
      <c r="HX96" s="902">
        <v>3600</v>
      </c>
      <c r="HY96" s="909" t="s">
        <v>1063</v>
      </c>
      <c r="HZ96" s="909">
        <v>3</v>
      </c>
      <c r="IA96" s="909">
        <v>0</v>
      </c>
      <c r="IB96" s="909">
        <v>0</v>
      </c>
      <c r="IC96" s="909">
        <v>0</v>
      </c>
      <c r="ID96" s="910">
        <v>7609.4602097544484</v>
      </c>
      <c r="IE96" s="909">
        <v>0</v>
      </c>
      <c r="IF96" s="909">
        <v>0</v>
      </c>
      <c r="IG96" s="909">
        <v>0</v>
      </c>
      <c r="IH96" s="910">
        <v>21784.411724976919</v>
      </c>
      <c r="II96" s="871">
        <v>4000</v>
      </c>
      <c r="IJ96" s="911">
        <v>184.80380786806401</v>
      </c>
      <c r="IK96" s="908">
        <v>7.3038146538576969</v>
      </c>
      <c r="IL96" s="902">
        <v>78.67428462866927</v>
      </c>
      <c r="IM96" s="902">
        <v>0</v>
      </c>
      <c r="IN96" s="902">
        <v>0</v>
      </c>
      <c r="IO96" s="902">
        <v>31.431414258878124</v>
      </c>
      <c r="IP96" s="902">
        <v>6.2821876252081337</v>
      </c>
      <c r="IQ96" s="902">
        <v>3600</v>
      </c>
      <c r="IR96" s="909" t="s">
        <v>1063</v>
      </c>
      <c r="IS96" s="909">
        <v>3</v>
      </c>
      <c r="IT96" s="909">
        <v>0</v>
      </c>
      <c r="IU96" s="909">
        <v>0</v>
      </c>
      <c r="IV96" s="909">
        <v>0</v>
      </c>
      <c r="IW96" s="910">
        <v>7609.4602097544484</v>
      </c>
      <c r="IX96" s="909">
        <v>0</v>
      </c>
      <c r="IY96" s="909">
        <v>0</v>
      </c>
      <c r="IZ96" s="909">
        <v>0</v>
      </c>
      <c r="JA96" s="910">
        <v>21784.411724976919</v>
      </c>
      <c r="JB96" s="871">
        <v>4000</v>
      </c>
      <c r="JC96" s="911">
        <v>184.80380786806401</v>
      </c>
      <c r="JD96" s="908">
        <v>7.3038146538576969</v>
      </c>
      <c r="JE96" s="902">
        <v>78.67428462866927</v>
      </c>
      <c r="JF96" s="902">
        <v>0</v>
      </c>
      <c r="JG96" s="902">
        <v>0</v>
      </c>
      <c r="JH96" s="902">
        <v>31.431414258878124</v>
      </c>
      <c r="JI96" s="902">
        <v>6.2821876252081337</v>
      </c>
      <c r="JJ96" s="902">
        <v>3600</v>
      </c>
      <c r="JK96" s="909" t="s">
        <v>1064</v>
      </c>
      <c r="JL96" s="909">
        <v>3</v>
      </c>
      <c r="JM96" s="909">
        <v>0</v>
      </c>
      <c r="JN96" s="909">
        <v>0</v>
      </c>
      <c r="JO96" s="909">
        <v>0</v>
      </c>
      <c r="JP96" s="910">
        <v>10369.946279581687</v>
      </c>
      <c r="JQ96" s="909">
        <v>0</v>
      </c>
      <c r="JR96" s="909">
        <v>0</v>
      </c>
      <c r="JS96" s="909">
        <v>0</v>
      </c>
      <c r="JT96" s="910">
        <v>29687.149034660615</v>
      </c>
      <c r="JU96" s="871">
        <v>4000</v>
      </c>
      <c r="JV96" s="911">
        <v>184.80380786806401</v>
      </c>
      <c r="JW96" s="908">
        <v>7.3038146538576969</v>
      </c>
      <c r="JX96" s="902">
        <v>78.67428462866927</v>
      </c>
      <c r="JY96" s="902">
        <v>0</v>
      </c>
      <c r="JZ96" s="902">
        <v>0</v>
      </c>
      <c r="KA96" s="902">
        <v>31.431414258878124</v>
      </c>
      <c r="KB96" s="902">
        <v>6.2821876252081337</v>
      </c>
      <c r="KC96" s="902">
        <v>3600</v>
      </c>
      <c r="KD96" s="909" t="s">
        <v>1064</v>
      </c>
      <c r="KE96" s="909">
        <v>3</v>
      </c>
      <c r="KF96" s="909">
        <v>0</v>
      </c>
      <c r="KG96" s="909">
        <v>0</v>
      </c>
      <c r="KH96" s="909">
        <v>0</v>
      </c>
      <c r="KI96" s="910">
        <v>10369.946279581687</v>
      </c>
      <c r="KJ96" s="909">
        <v>0</v>
      </c>
      <c r="KK96" s="909">
        <v>0</v>
      </c>
      <c r="KL96" s="909">
        <v>0</v>
      </c>
      <c r="KM96" s="910">
        <v>29687.149034660615</v>
      </c>
      <c r="KN96" s="871">
        <v>4000</v>
      </c>
      <c r="KO96" s="912">
        <v>184.80380786806401</v>
      </c>
    </row>
    <row r="97" spans="1:301" ht="15" customHeight="1">
      <c r="A97" s="1396" t="s">
        <v>2524</v>
      </c>
      <c r="B97" s="888" t="s">
        <v>1073</v>
      </c>
      <c r="C97" s="888">
        <v>206.446632025154</v>
      </c>
      <c r="D97" s="888">
        <v>943.36942459380805</v>
      </c>
      <c r="E97" s="888">
        <v>205</v>
      </c>
      <c r="F97" s="888">
        <v>172.67485990007901</v>
      </c>
      <c r="G97" s="888">
        <v>88.218538485124711</v>
      </c>
      <c r="H97" s="888">
        <v>71.764635468240897</v>
      </c>
      <c r="I97" s="888">
        <v>44.06688916891823</v>
      </c>
      <c r="J97" s="888">
        <v>54.523177537074915</v>
      </c>
      <c r="K97" s="888">
        <v>84.276371281631995</v>
      </c>
      <c r="L97" s="888">
        <v>16</v>
      </c>
      <c r="M97" s="888">
        <v>395.68122389851823</v>
      </c>
      <c r="N97" s="888">
        <v>6</v>
      </c>
      <c r="O97" s="884">
        <v>31.366503814158662</v>
      </c>
      <c r="P97" s="888">
        <v>6</v>
      </c>
      <c r="Q97" s="884">
        <v>21.402133125418761</v>
      </c>
      <c r="R97" s="888">
        <v>18.000000000000004</v>
      </c>
      <c r="S97" s="888">
        <v>558.02214224694353</v>
      </c>
      <c r="T97" s="906">
        <v>34.556910425730393</v>
      </c>
      <c r="U97" s="906">
        <v>83.70332133704153</v>
      </c>
      <c r="V97" s="906">
        <v>47.5</v>
      </c>
      <c r="W97" s="1141">
        <v>1.5388624173958065</v>
      </c>
      <c r="X97" s="902">
        <v>0</v>
      </c>
      <c r="Y97" s="902">
        <v>0</v>
      </c>
      <c r="Z97" s="902">
        <v>0</v>
      </c>
      <c r="AA97" s="902">
        <v>0</v>
      </c>
      <c r="AB97" s="970">
        <v>11.056137706816404</v>
      </c>
      <c r="AC97" s="1045">
        <v>4000</v>
      </c>
      <c r="AD97" s="890">
        <v>2.482891663912226</v>
      </c>
      <c r="AE97" s="890">
        <v>1.4031485755844615</v>
      </c>
      <c r="AF97" s="890">
        <v>-0.13122873155020923</v>
      </c>
      <c r="AG97" s="890">
        <v>0.65548625245919778</v>
      </c>
      <c r="AH97" s="888"/>
      <c r="AI97" s="907">
        <v>3.4622174899297908</v>
      </c>
      <c r="AJ97" s="908">
        <v>11.51308868993698</v>
      </c>
      <c r="AK97" s="902">
        <v>100.3774984726406</v>
      </c>
      <c r="AL97" s="902">
        <v>0</v>
      </c>
      <c r="AM97" s="902">
        <v>0</v>
      </c>
      <c r="AN97" s="902">
        <v>30.64320829901008</v>
      </c>
      <c r="AO97" s="902">
        <v>9.5551422971170545</v>
      </c>
      <c r="AP97" s="1222">
        <v>3500</v>
      </c>
      <c r="AQ97" s="909" t="s">
        <v>1062</v>
      </c>
      <c r="AR97" s="909">
        <v>4</v>
      </c>
      <c r="AS97" s="909">
        <v>0</v>
      </c>
      <c r="AT97" s="909">
        <v>0</v>
      </c>
      <c r="AU97" s="909">
        <v>0</v>
      </c>
      <c r="AV97" s="910">
        <v>10764.799706804824</v>
      </c>
      <c r="AW97" s="909">
        <v>0</v>
      </c>
      <c r="AX97" s="909">
        <v>0</v>
      </c>
      <c r="AY97" s="909">
        <v>0</v>
      </c>
      <c r="AZ97" s="910">
        <v>23805.880313498023</v>
      </c>
      <c r="BA97" s="871">
        <v>4000</v>
      </c>
      <c r="BB97" s="911">
        <v>197.57883026167582</v>
      </c>
      <c r="BC97" s="908">
        <v>11.51308868993698</v>
      </c>
      <c r="BD97" s="902">
        <v>100.3774984726406</v>
      </c>
      <c r="BE97" s="902">
        <v>0</v>
      </c>
      <c r="BF97" s="902">
        <v>0</v>
      </c>
      <c r="BG97" s="902">
        <v>30.64320829901008</v>
      </c>
      <c r="BH97" s="902">
        <v>9.5551422971170545</v>
      </c>
      <c r="BI97" s="902">
        <v>3600</v>
      </c>
      <c r="BJ97" s="909" t="s">
        <v>1062</v>
      </c>
      <c r="BK97" s="909">
        <v>4</v>
      </c>
      <c r="BL97" s="909">
        <v>0</v>
      </c>
      <c r="BM97" s="909">
        <v>0</v>
      </c>
      <c r="BN97" s="909">
        <v>0</v>
      </c>
      <c r="BO97" s="910">
        <v>10764.799706804824</v>
      </c>
      <c r="BP97" s="909">
        <v>0</v>
      </c>
      <c r="BQ97" s="909">
        <v>0</v>
      </c>
      <c r="BR97" s="909">
        <v>0</v>
      </c>
      <c r="BS97" s="910">
        <v>23805.880313498023</v>
      </c>
      <c r="BT97" s="871">
        <v>4000</v>
      </c>
      <c r="BU97" s="911">
        <v>197.57883026167582</v>
      </c>
      <c r="BV97" s="908">
        <v>11.51308868993698</v>
      </c>
      <c r="BW97" s="902">
        <v>100.3774984726406</v>
      </c>
      <c r="BX97" s="902">
        <v>0</v>
      </c>
      <c r="BY97" s="902">
        <v>0</v>
      </c>
      <c r="BZ97" s="902">
        <v>30.64320829901008</v>
      </c>
      <c r="CA97" s="902">
        <v>9.5551422971170545</v>
      </c>
      <c r="CB97" s="902">
        <v>3500</v>
      </c>
      <c r="CC97" s="909" t="s">
        <v>2874</v>
      </c>
      <c r="CD97" s="909">
        <v>4</v>
      </c>
      <c r="CE97" s="909">
        <v>0</v>
      </c>
      <c r="CF97" s="909">
        <v>0</v>
      </c>
      <c r="CG97" s="909">
        <v>0</v>
      </c>
      <c r="CH97" s="910">
        <v>10547.306585973514</v>
      </c>
      <c r="CI97" s="909">
        <v>0</v>
      </c>
      <c r="CJ97" s="909">
        <v>0</v>
      </c>
      <c r="CK97" s="909">
        <v>0</v>
      </c>
      <c r="CL97" s="910">
        <v>23324.903858334957</v>
      </c>
      <c r="CM97" s="871">
        <v>4000</v>
      </c>
      <c r="CN97" s="911">
        <v>197.57883026167582</v>
      </c>
      <c r="CO97" s="908">
        <v>11.51308868993698</v>
      </c>
      <c r="CP97" s="902">
        <v>100.3774984726406</v>
      </c>
      <c r="CQ97" s="902">
        <v>0</v>
      </c>
      <c r="CR97" s="902">
        <v>0</v>
      </c>
      <c r="CS97" s="902">
        <v>30.64320829901008</v>
      </c>
      <c r="CT97" s="902">
        <v>9.5551422971170545</v>
      </c>
      <c r="CU97" s="902">
        <v>3600</v>
      </c>
      <c r="CV97" s="909" t="s">
        <v>2874</v>
      </c>
      <c r="CW97" s="909">
        <v>4</v>
      </c>
      <c r="CX97" s="909">
        <v>0</v>
      </c>
      <c r="CY97" s="909">
        <v>0</v>
      </c>
      <c r="CZ97" s="909">
        <v>0</v>
      </c>
      <c r="DA97" s="910">
        <v>10547.306585973514</v>
      </c>
      <c r="DB97" s="909">
        <v>0</v>
      </c>
      <c r="DC97" s="909">
        <v>0</v>
      </c>
      <c r="DD97" s="909">
        <v>0</v>
      </c>
      <c r="DE97" s="910">
        <v>23324.903858334957</v>
      </c>
      <c r="DF97" s="871">
        <v>4000</v>
      </c>
      <c r="DG97" s="911">
        <v>197.57883026167582</v>
      </c>
      <c r="DH97" s="908">
        <v>11.51308868993698</v>
      </c>
      <c r="DI97" s="902">
        <v>100.3774984726406</v>
      </c>
      <c r="DJ97" s="902">
        <v>0</v>
      </c>
      <c r="DK97" s="902">
        <v>0</v>
      </c>
      <c r="DL97" s="902">
        <v>30.64320829901008</v>
      </c>
      <c r="DM97" s="902">
        <v>9.5551422971170545</v>
      </c>
      <c r="DN97" s="902">
        <v>3500</v>
      </c>
      <c r="DO97" s="909" t="s">
        <v>2875</v>
      </c>
      <c r="DP97" s="909">
        <v>4</v>
      </c>
      <c r="DQ97" s="909">
        <v>0</v>
      </c>
      <c r="DR97" s="909">
        <v>0</v>
      </c>
      <c r="DS97" s="909">
        <v>0</v>
      </c>
      <c r="DT97" s="910">
        <v>10977.984752983142</v>
      </c>
      <c r="DU97" s="909">
        <v>0</v>
      </c>
      <c r="DV97" s="909">
        <v>0</v>
      </c>
      <c r="DW97" s="909">
        <v>0</v>
      </c>
      <c r="DX97" s="910">
        <v>24277.32965135614</v>
      </c>
      <c r="DY97" s="871">
        <v>4000</v>
      </c>
      <c r="DZ97" s="911">
        <v>197.57883026167582</v>
      </c>
      <c r="EA97" s="908">
        <v>11.51308868993698</v>
      </c>
      <c r="EB97" s="902">
        <v>100.3774984726406</v>
      </c>
      <c r="EC97" s="902">
        <v>0</v>
      </c>
      <c r="ED97" s="902">
        <v>0</v>
      </c>
      <c r="EE97" s="902">
        <v>30.64320829901008</v>
      </c>
      <c r="EF97" s="902">
        <v>9.5551422971170545</v>
      </c>
      <c r="EG97" s="902">
        <v>3600</v>
      </c>
      <c r="EH97" s="909" t="s">
        <v>2875</v>
      </c>
      <c r="EI97" s="909">
        <v>4</v>
      </c>
      <c r="EJ97" s="909">
        <v>0</v>
      </c>
      <c r="EK97" s="909">
        <v>0</v>
      </c>
      <c r="EL97" s="909">
        <v>0</v>
      </c>
      <c r="EM97" s="910">
        <v>10977.984752983142</v>
      </c>
      <c r="EN97" s="909">
        <v>0</v>
      </c>
      <c r="EO97" s="909">
        <v>0</v>
      </c>
      <c r="EP97" s="909">
        <v>0</v>
      </c>
      <c r="EQ97" s="910">
        <v>24277.32965135614</v>
      </c>
      <c r="ER97" s="871">
        <v>4000</v>
      </c>
      <c r="ES97" s="911">
        <v>197.57883026167582</v>
      </c>
      <c r="ET97" s="908">
        <v>11.51308868993698</v>
      </c>
      <c r="EU97" s="902">
        <v>100.3774984726406</v>
      </c>
      <c r="EV97" s="902">
        <v>0</v>
      </c>
      <c r="EW97" s="902">
        <v>0</v>
      </c>
      <c r="EX97" s="902">
        <v>30.64320829901008</v>
      </c>
      <c r="EY97" s="902">
        <v>9.5551422971170545</v>
      </c>
      <c r="EZ97" s="902">
        <v>3500</v>
      </c>
      <c r="FA97" s="909" t="s">
        <v>3884</v>
      </c>
      <c r="FB97" s="909">
        <v>4</v>
      </c>
      <c r="FC97" s="909">
        <v>0</v>
      </c>
      <c r="FD97" s="909">
        <v>0</v>
      </c>
      <c r="FE97" s="909">
        <v>0</v>
      </c>
      <c r="FF97" s="910">
        <v>11693.56562467573</v>
      </c>
      <c r="FG97" s="909">
        <v>0</v>
      </c>
      <c r="FH97" s="909">
        <v>0</v>
      </c>
      <c r="FI97" s="909">
        <v>0</v>
      </c>
      <c r="FJ97" s="910">
        <v>25859.805224531356</v>
      </c>
      <c r="FK97" s="871">
        <v>4000</v>
      </c>
      <c r="FL97" s="911">
        <v>197.57883026167582</v>
      </c>
      <c r="FM97" s="908">
        <v>11.51308868993698</v>
      </c>
      <c r="FN97" s="902">
        <v>100.3774984726406</v>
      </c>
      <c r="FO97" s="902">
        <v>0</v>
      </c>
      <c r="FP97" s="902">
        <v>0</v>
      </c>
      <c r="FQ97" s="902">
        <v>30.64320829901008</v>
      </c>
      <c r="FR97" s="902">
        <v>9.5551422971170545</v>
      </c>
      <c r="FS97" s="902">
        <v>3600</v>
      </c>
      <c r="FT97" s="909" t="s">
        <v>3884</v>
      </c>
      <c r="FU97" s="909">
        <v>4</v>
      </c>
      <c r="FV97" s="909">
        <v>0</v>
      </c>
      <c r="FW97" s="909">
        <v>0</v>
      </c>
      <c r="FX97" s="909">
        <v>0</v>
      </c>
      <c r="FY97" s="910">
        <v>11693.56562467573</v>
      </c>
      <c r="FZ97" s="909">
        <v>0</v>
      </c>
      <c r="GA97" s="909">
        <v>0</v>
      </c>
      <c r="GB97" s="909">
        <v>0</v>
      </c>
      <c r="GC97" s="910">
        <v>25859.805224531356</v>
      </c>
      <c r="GD97" s="871">
        <v>4000</v>
      </c>
      <c r="GE97" s="911">
        <v>197.57883026167582</v>
      </c>
      <c r="GF97" s="908">
        <v>11.51308868993698</v>
      </c>
      <c r="GG97" s="902">
        <v>100.3774984726406</v>
      </c>
      <c r="GH97" s="902">
        <v>0</v>
      </c>
      <c r="GI97" s="902">
        <v>0</v>
      </c>
      <c r="GJ97" s="902">
        <v>30.64320829901008</v>
      </c>
      <c r="GK97" s="902">
        <v>9.5551422971170545</v>
      </c>
      <c r="GL97" s="902">
        <v>3500</v>
      </c>
      <c r="GM97" s="909" t="s">
        <v>2877</v>
      </c>
      <c r="GN97" s="909">
        <v>4</v>
      </c>
      <c r="GO97" s="909">
        <v>0</v>
      </c>
      <c r="GP97" s="909">
        <v>0</v>
      </c>
      <c r="GQ97" s="909">
        <v>0</v>
      </c>
      <c r="GR97" s="910">
        <v>14442.494345151237</v>
      </c>
      <c r="GS97" s="909">
        <v>0</v>
      </c>
      <c r="GT97" s="909">
        <v>0</v>
      </c>
      <c r="GU97" s="909">
        <v>0</v>
      </c>
      <c r="GV97" s="910">
        <v>31938.939987123347</v>
      </c>
      <c r="GW97" s="871">
        <v>4000</v>
      </c>
      <c r="GX97" s="911">
        <v>197.57883026167582</v>
      </c>
      <c r="GY97" s="908">
        <v>11.51308868993698</v>
      </c>
      <c r="GZ97" s="902">
        <v>100.3774984726406</v>
      </c>
      <c r="HA97" s="902">
        <v>0</v>
      </c>
      <c r="HB97" s="902">
        <v>0</v>
      </c>
      <c r="HC97" s="902">
        <v>30.64320829901008</v>
      </c>
      <c r="HD97" s="902">
        <v>9.5551422971170545</v>
      </c>
      <c r="HE97" s="902">
        <v>3600</v>
      </c>
      <c r="HF97" s="909" t="s">
        <v>2877</v>
      </c>
      <c r="HG97" s="909">
        <v>4</v>
      </c>
      <c r="HH97" s="909">
        <v>0</v>
      </c>
      <c r="HI97" s="909">
        <v>0</v>
      </c>
      <c r="HJ97" s="909">
        <v>0</v>
      </c>
      <c r="HK97" s="910">
        <v>14442.494345151237</v>
      </c>
      <c r="HL97" s="909">
        <v>0</v>
      </c>
      <c r="HM97" s="909">
        <v>0</v>
      </c>
      <c r="HN97" s="909">
        <v>0</v>
      </c>
      <c r="HO97" s="910">
        <v>31938.939987123347</v>
      </c>
      <c r="HP97" s="871">
        <v>4000</v>
      </c>
      <c r="HQ97" s="911">
        <v>197.57883026167582</v>
      </c>
      <c r="HR97" s="908">
        <v>11.51308868993698</v>
      </c>
      <c r="HS97" s="902">
        <v>100.3774984726406</v>
      </c>
      <c r="HT97" s="902">
        <v>0</v>
      </c>
      <c r="HU97" s="902">
        <v>0</v>
      </c>
      <c r="HV97" s="902">
        <v>30.64320829901008</v>
      </c>
      <c r="HW97" s="902">
        <v>9.5551422971170545</v>
      </c>
      <c r="HX97" s="902">
        <v>3500</v>
      </c>
      <c r="HY97" s="909" t="s">
        <v>1063</v>
      </c>
      <c r="HZ97" s="909">
        <v>4</v>
      </c>
      <c r="IA97" s="909">
        <v>0</v>
      </c>
      <c r="IB97" s="909">
        <v>0</v>
      </c>
      <c r="IC97" s="909">
        <v>0</v>
      </c>
      <c r="ID97" s="910">
        <v>12737.082782908947</v>
      </c>
      <c r="IE97" s="909">
        <v>0</v>
      </c>
      <c r="IF97" s="909">
        <v>0</v>
      </c>
      <c r="IG97" s="909">
        <v>0</v>
      </c>
      <c r="IH97" s="910">
        <v>28167.497448314956</v>
      </c>
      <c r="II97" s="871">
        <v>4000</v>
      </c>
      <c r="IJ97" s="911">
        <v>197.57883026167582</v>
      </c>
      <c r="IK97" s="908">
        <v>11.51308868993698</v>
      </c>
      <c r="IL97" s="902">
        <v>100.3774984726406</v>
      </c>
      <c r="IM97" s="902">
        <v>0</v>
      </c>
      <c r="IN97" s="902">
        <v>0</v>
      </c>
      <c r="IO97" s="902">
        <v>30.64320829901008</v>
      </c>
      <c r="IP97" s="902">
        <v>9.5551422971170545</v>
      </c>
      <c r="IQ97" s="902">
        <v>3600</v>
      </c>
      <c r="IR97" s="909" t="s">
        <v>1063</v>
      </c>
      <c r="IS97" s="909">
        <v>4</v>
      </c>
      <c r="IT97" s="909">
        <v>0</v>
      </c>
      <c r="IU97" s="909">
        <v>0</v>
      </c>
      <c r="IV97" s="909">
        <v>0</v>
      </c>
      <c r="IW97" s="910">
        <v>12737.082782908947</v>
      </c>
      <c r="IX97" s="909">
        <v>0</v>
      </c>
      <c r="IY97" s="909">
        <v>0</v>
      </c>
      <c r="IZ97" s="909">
        <v>0</v>
      </c>
      <c r="JA97" s="910">
        <v>28167.497448314956</v>
      </c>
      <c r="JB97" s="871">
        <v>4000</v>
      </c>
      <c r="JC97" s="911">
        <v>197.57883026167582</v>
      </c>
      <c r="JD97" s="908">
        <v>11.51308868993698</v>
      </c>
      <c r="JE97" s="902">
        <v>100.3774984726406</v>
      </c>
      <c r="JF97" s="902">
        <v>0</v>
      </c>
      <c r="JG97" s="902">
        <v>0</v>
      </c>
      <c r="JH97" s="902">
        <v>30.64320829901008</v>
      </c>
      <c r="JI97" s="902">
        <v>9.5551422971170545</v>
      </c>
      <c r="JJ97" s="902">
        <v>3500</v>
      </c>
      <c r="JK97" s="909" t="s">
        <v>1064</v>
      </c>
      <c r="JL97" s="909">
        <v>4</v>
      </c>
      <c r="JM97" s="909">
        <v>0</v>
      </c>
      <c r="JN97" s="909">
        <v>0</v>
      </c>
      <c r="JO97" s="909">
        <v>0</v>
      </c>
      <c r="JP97" s="910">
        <v>17357.717969013836</v>
      </c>
      <c r="JQ97" s="909">
        <v>0</v>
      </c>
      <c r="JR97" s="909">
        <v>0</v>
      </c>
      <c r="JS97" s="909">
        <v>0</v>
      </c>
      <c r="JT97" s="910">
        <v>38385.828602513466</v>
      </c>
      <c r="JU97" s="871">
        <v>4000</v>
      </c>
      <c r="JV97" s="911">
        <v>197.57883026167582</v>
      </c>
      <c r="JW97" s="908">
        <v>11.51308868993698</v>
      </c>
      <c r="JX97" s="902">
        <v>100.3774984726406</v>
      </c>
      <c r="JY97" s="902">
        <v>0</v>
      </c>
      <c r="JZ97" s="902">
        <v>0</v>
      </c>
      <c r="KA97" s="902">
        <v>30.64320829901008</v>
      </c>
      <c r="KB97" s="902">
        <v>9.5551422971170545</v>
      </c>
      <c r="KC97" s="902">
        <v>3600</v>
      </c>
      <c r="KD97" s="909" t="s">
        <v>1064</v>
      </c>
      <c r="KE97" s="909">
        <v>4</v>
      </c>
      <c r="KF97" s="909">
        <v>0</v>
      </c>
      <c r="KG97" s="909">
        <v>0</v>
      </c>
      <c r="KH97" s="909">
        <v>0</v>
      </c>
      <c r="KI97" s="910">
        <v>17357.717969013836</v>
      </c>
      <c r="KJ97" s="909">
        <v>0</v>
      </c>
      <c r="KK97" s="909">
        <v>0</v>
      </c>
      <c r="KL97" s="909">
        <v>0</v>
      </c>
      <c r="KM97" s="910">
        <v>38385.828602513466</v>
      </c>
      <c r="KN97" s="871">
        <v>4000</v>
      </c>
      <c r="KO97" s="912">
        <v>197.57883026167582</v>
      </c>
    </row>
    <row r="98" spans="1:301" ht="15" customHeight="1">
      <c r="A98" s="1396" t="s">
        <v>2361</v>
      </c>
      <c r="B98" s="888" t="s">
        <v>1074</v>
      </c>
      <c r="C98" s="888">
        <v>340.45340501926489</v>
      </c>
      <c r="D98" s="888">
        <v>1061.8314830731099</v>
      </c>
      <c r="E98" s="888">
        <v>355</v>
      </c>
      <c r="F98" s="888">
        <v>269.10638840793621</v>
      </c>
      <c r="G98" s="888">
        <v>147.13414971018003</v>
      </c>
      <c r="H98" s="888">
        <v>120.51485366722737</v>
      </c>
      <c r="I98" s="888">
        <v>80</v>
      </c>
      <c r="J98" s="888">
        <v>43.548274457934014</v>
      </c>
      <c r="K98" s="888">
        <v>68.085310417491641</v>
      </c>
      <c r="L98" s="888">
        <v>16</v>
      </c>
      <c r="M98" s="888">
        <v>443.76783061375869</v>
      </c>
      <c r="N98" s="888">
        <v>6</v>
      </c>
      <c r="O98" s="884">
        <v>37.046302820088783</v>
      </c>
      <c r="P98" s="888">
        <v>6</v>
      </c>
      <c r="Q98" s="884">
        <v>25.32627263360741</v>
      </c>
      <c r="R98" s="888">
        <v>18.000000000000004</v>
      </c>
      <c r="S98" s="888">
        <v>665.46893574052297</v>
      </c>
      <c r="T98" s="906">
        <v>49.145936799951812</v>
      </c>
      <c r="U98" s="906">
        <v>99.820340361078436</v>
      </c>
      <c r="V98" s="906">
        <v>72.5</v>
      </c>
      <c r="W98" s="1141">
        <v>3.3403878918717238</v>
      </c>
      <c r="X98" s="902">
        <v>0</v>
      </c>
      <c r="Y98" s="902">
        <v>0</v>
      </c>
      <c r="Z98" s="902">
        <v>0</v>
      </c>
      <c r="AA98" s="902">
        <v>0</v>
      </c>
      <c r="AB98" s="970">
        <v>19.874971970158697</v>
      </c>
      <c r="AC98" s="1045">
        <v>4000</v>
      </c>
      <c r="AD98" s="890">
        <v>1.0250387409279054</v>
      </c>
      <c r="AE98" s="890">
        <v>0.95056713978561325</v>
      </c>
      <c r="AF98" s="890">
        <v>-0.25729909202157303</v>
      </c>
      <c r="AG98" s="890">
        <v>0.86153382644976961</v>
      </c>
      <c r="AH98" s="888"/>
      <c r="AI98" s="907">
        <v>4.7837460307699535</v>
      </c>
      <c r="AJ98" s="908">
        <v>22.352288854376486</v>
      </c>
      <c r="AK98" s="902">
        <v>137.21118899989622</v>
      </c>
      <c r="AL98" s="902">
        <v>0</v>
      </c>
      <c r="AM98" s="902">
        <v>0</v>
      </c>
      <c r="AN98" s="902">
        <v>47.014405535592289</v>
      </c>
      <c r="AO98" s="902">
        <v>16.970703014162428</v>
      </c>
      <c r="AP98" s="1222">
        <v>3000</v>
      </c>
      <c r="AQ98" s="909" t="s">
        <v>1062</v>
      </c>
      <c r="AR98" s="909">
        <v>4</v>
      </c>
      <c r="AS98" s="909">
        <v>0</v>
      </c>
      <c r="AT98" s="909">
        <v>0</v>
      </c>
      <c r="AU98" s="909">
        <v>0</v>
      </c>
      <c r="AV98" s="910">
        <v>4058.9064622372389</v>
      </c>
      <c r="AW98" s="909">
        <v>0</v>
      </c>
      <c r="AX98" s="909">
        <v>0</v>
      </c>
      <c r="AY98" s="909">
        <v>0</v>
      </c>
      <c r="AZ98" s="910">
        <v>5174.7796573980495</v>
      </c>
      <c r="BA98" s="871">
        <v>4000</v>
      </c>
      <c r="BB98" s="911">
        <v>222.38946577152245</v>
      </c>
      <c r="BC98" s="908">
        <v>22.352288854376486</v>
      </c>
      <c r="BD98" s="902">
        <v>137.21118899989622</v>
      </c>
      <c r="BE98" s="902">
        <v>0</v>
      </c>
      <c r="BF98" s="902">
        <v>0</v>
      </c>
      <c r="BG98" s="902">
        <v>47.014405535592289</v>
      </c>
      <c r="BH98" s="902">
        <v>16.970703014162428</v>
      </c>
      <c r="BI98" s="902">
        <v>3600</v>
      </c>
      <c r="BJ98" s="909" t="s">
        <v>1062</v>
      </c>
      <c r="BK98" s="909">
        <v>4</v>
      </c>
      <c r="BL98" s="909">
        <v>0</v>
      </c>
      <c r="BM98" s="909">
        <v>0</v>
      </c>
      <c r="BN98" s="909">
        <v>0</v>
      </c>
      <c r="BO98" s="910">
        <v>4058.9064622372389</v>
      </c>
      <c r="BP98" s="909">
        <v>0</v>
      </c>
      <c r="BQ98" s="909">
        <v>0</v>
      </c>
      <c r="BR98" s="909">
        <v>0</v>
      </c>
      <c r="BS98" s="910">
        <v>5174.7796573980495</v>
      </c>
      <c r="BT98" s="871">
        <v>4000</v>
      </c>
      <c r="BU98" s="911">
        <v>222.38946577152245</v>
      </c>
      <c r="BV98" s="908">
        <v>22.352288854376486</v>
      </c>
      <c r="BW98" s="902">
        <v>137.21118899989622</v>
      </c>
      <c r="BX98" s="902">
        <v>0</v>
      </c>
      <c r="BY98" s="902">
        <v>0</v>
      </c>
      <c r="BZ98" s="902">
        <v>47.014405535592289</v>
      </c>
      <c r="CA98" s="902">
        <v>16.970703014162428</v>
      </c>
      <c r="CB98" s="902">
        <v>3000</v>
      </c>
      <c r="CC98" s="909" t="s">
        <v>2874</v>
      </c>
      <c r="CD98" s="909">
        <v>4</v>
      </c>
      <c r="CE98" s="909">
        <v>0</v>
      </c>
      <c r="CF98" s="909">
        <v>0</v>
      </c>
      <c r="CG98" s="909">
        <v>0</v>
      </c>
      <c r="CH98" s="910">
        <v>3976.8998984665886</v>
      </c>
      <c r="CI98" s="909">
        <v>0</v>
      </c>
      <c r="CJ98" s="909">
        <v>0</v>
      </c>
      <c r="CK98" s="909">
        <v>0</v>
      </c>
      <c r="CL98" s="910">
        <v>5070.2278767838297</v>
      </c>
      <c r="CM98" s="871">
        <v>3976.8998984665886</v>
      </c>
      <c r="CN98" s="911">
        <v>221.10516096170164</v>
      </c>
      <c r="CO98" s="908">
        <v>22.352288854376486</v>
      </c>
      <c r="CP98" s="902">
        <v>137.21118899989622</v>
      </c>
      <c r="CQ98" s="902">
        <v>0</v>
      </c>
      <c r="CR98" s="902">
        <v>0</v>
      </c>
      <c r="CS98" s="902">
        <v>47.014405535592289</v>
      </c>
      <c r="CT98" s="902">
        <v>16.970703014162428</v>
      </c>
      <c r="CU98" s="902">
        <v>3600</v>
      </c>
      <c r="CV98" s="909" t="s">
        <v>2874</v>
      </c>
      <c r="CW98" s="909">
        <v>4</v>
      </c>
      <c r="CX98" s="909">
        <v>0</v>
      </c>
      <c r="CY98" s="909">
        <v>0</v>
      </c>
      <c r="CZ98" s="909">
        <v>0</v>
      </c>
      <c r="DA98" s="910">
        <v>3976.8998984665886</v>
      </c>
      <c r="DB98" s="909">
        <v>0</v>
      </c>
      <c r="DC98" s="909">
        <v>0</v>
      </c>
      <c r="DD98" s="909">
        <v>0</v>
      </c>
      <c r="DE98" s="910">
        <v>5070.2278767838297</v>
      </c>
      <c r="DF98" s="871">
        <v>3976.8998984665886</v>
      </c>
      <c r="DG98" s="911">
        <v>221.10516096170164</v>
      </c>
      <c r="DH98" s="908">
        <v>22.352288854376486</v>
      </c>
      <c r="DI98" s="902">
        <v>137.21118899989622</v>
      </c>
      <c r="DJ98" s="902">
        <v>0</v>
      </c>
      <c r="DK98" s="902">
        <v>0</v>
      </c>
      <c r="DL98" s="902">
        <v>47.014405535592289</v>
      </c>
      <c r="DM98" s="902">
        <v>16.970703014162428</v>
      </c>
      <c r="DN98" s="902">
        <v>3000</v>
      </c>
      <c r="DO98" s="909" t="s">
        <v>2875</v>
      </c>
      <c r="DP98" s="909">
        <v>4</v>
      </c>
      <c r="DQ98" s="909">
        <v>0</v>
      </c>
      <c r="DR98" s="909">
        <v>0</v>
      </c>
      <c r="DS98" s="909">
        <v>0</v>
      </c>
      <c r="DT98" s="910">
        <v>4139.2886509591071</v>
      </c>
      <c r="DU98" s="909">
        <v>0</v>
      </c>
      <c r="DV98" s="909">
        <v>0</v>
      </c>
      <c r="DW98" s="909">
        <v>0</v>
      </c>
      <c r="DX98" s="910">
        <v>5277.2604903231286</v>
      </c>
      <c r="DY98" s="871">
        <v>4000</v>
      </c>
      <c r="DZ98" s="911">
        <v>222.38946577152245</v>
      </c>
      <c r="EA98" s="908">
        <v>22.352288854376486</v>
      </c>
      <c r="EB98" s="902">
        <v>137.21118899989622</v>
      </c>
      <c r="EC98" s="902">
        <v>0</v>
      </c>
      <c r="ED98" s="902">
        <v>0</v>
      </c>
      <c r="EE98" s="902">
        <v>47.014405535592289</v>
      </c>
      <c r="EF98" s="902">
        <v>16.970703014162428</v>
      </c>
      <c r="EG98" s="902">
        <v>3600</v>
      </c>
      <c r="EH98" s="909" t="s">
        <v>2875</v>
      </c>
      <c r="EI98" s="909">
        <v>4</v>
      </c>
      <c r="EJ98" s="909">
        <v>0</v>
      </c>
      <c r="EK98" s="909">
        <v>0</v>
      </c>
      <c r="EL98" s="909">
        <v>0</v>
      </c>
      <c r="EM98" s="910">
        <v>4139.2886509591071</v>
      </c>
      <c r="EN98" s="909">
        <v>0</v>
      </c>
      <c r="EO98" s="909">
        <v>0</v>
      </c>
      <c r="EP98" s="909">
        <v>0</v>
      </c>
      <c r="EQ98" s="910">
        <v>5277.2604903231286</v>
      </c>
      <c r="ER98" s="871">
        <v>4000</v>
      </c>
      <c r="ES98" s="911">
        <v>222.38946577152245</v>
      </c>
      <c r="ET98" s="908">
        <v>22.352288854376486</v>
      </c>
      <c r="EU98" s="902">
        <v>137.21118899989622</v>
      </c>
      <c r="EV98" s="902">
        <v>0</v>
      </c>
      <c r="EW98" s="902">
        <v>0</v>
      </c>
      <c r="EX98" s="902">
        <v>47.014405535592289</v>
      </c>
      <c r="EY98" s="902">
        <v>16.970703014162428</v>
      </c>
      <c r="EZ98" s="902">
        <v>3000</v>
      </c>
      <c r="FA98" s="909" t="s">
        <v>3884</v>
      </c>
      <c r="FB98" s="909">
        <v>4</v>
      </c>
      <c r="FC98" s="909">
        <v>0</v>
      </c>
      <c r="FD98" s="909">
        <v>0</v>
      </c>
      <c r="FE98" s="909">
        <v>0</v>
      </c>
      <c r="FF98" s="910">
        <v>4409.1009933597152</v>
      </c>
      <c r="FG98" s="909">
        <v>0</v>
      </c>
      <c r="FH98" s="909">
        <v>0</v>
      </c>
      <c r="FI98" s="909">
        <v>0</v>
      </c>
      <c r="FJ98" s="910">
        <v>5621.2495508643278</v>
      </c>
      <c r="FK98" s="871">
        <v>4000</v>
      </c>
      <c r="FL98" s="911">
        <v>222.38946577152245</v>
      </c>
      <c r="FM98" s="908">
        <v>22.352288854376486</v>
      </c>
      <c r="FN98" s="902">
        <v>137.21118899989622</v>
      </c>
      <c r="FO98" s="902">
        <v>0</v>
      </c>
      <c r="FP98" s="902">
        <v>0</v>
      </c>
      <c r="FQ98" s="902">
        <v>47.014405535592289</v>
      </c>
      <c r="FR98" s="902">
        <v>16.970703014162428</v>
      </c>
      <c r="FS98" s="902">
        <v>3600</v>
      </c>
      <c r="FT98" s="909" t="s">
        <v>3884</v>
      </c>
      <c r="FU98" s="909">
        <v>4</v>
      </c>
      <c r="FV98" s="909">
        <v>0</v>
      </c>
      <c r="FW98" s="909">
        <v>0</v>
      </c>
      <c r="FX98" s="909">
        <v>0</v>
      </c>
      <c r="FY98" s="910">
        <v>4409.1009933597152</v>
      </c>
      <c r="FZ98" s="909">
        <v>0</v>
      </c>
      <c r="GA98" s="909">
        <v>0</v>
      </c>
      <c r="GB98" s="909">
        <v>0</v>
      </c>
      <c r="GC98" s="910">
        <v>5621.2495508643278</v>
      </c>
      <c r="GD98" s="871">
        <v>4000</v>
      </c>
      <c r="GE98" s="911">
        <v>222.38946577152245</v>
      </c>
      <c r="GF98" s="908">
        <v>22.352288854376486</v>
      </c>
      <c r="GG98" s="902">
        <v>137.21118899989622</v>
      </c>
      <c r="GH98" s="902">
        <v>0</v>
      </c>
      <c r="GI98" s="902">
        <v>0</v>
      </c>
      <c r="GJ98" s="902">
        <v>47.014405535592289</v>
      </c>
      <c r="GK98" s="902">
        <v>16.970703014162428</v>
      </c>
      <c r="GL98" s="902">
        <v>3000</v>
      </c>
      <c r="GM98" s="909" t="s">
        <v>2877</v>
      </c>
      <c r="GN98" s="909">
        <v>4</v>
      </c>
      <c r="GO98" s="909">
        <v>0</v>
      </c>
      <c r="GP98" s="909">
        <v>0</v>
      </c>
      <c r="GQ98" s="909">
        <v>0</v>
      </c>
      <c r="GR98" s="910">
        <v>5445.5944583253886</v>
      </c>
      <c r="GS98" s="909">
        <v>0</v>
      </c>
      <c r="GT98" s="909">
        <v>0</v>
      </c>
      <c r="GU98" s="909">
        <v>0</v>
      </c>
      <c r="GV98" s="910">
        <v>6942.6954495150676</v>
      </c>
      <c r="GW98" s="871">
        <v>4000</v>
      </c>
      <c r="GX98" s="911">
        <v>222.38946577152245</v>
      </c>
      <c r="GY98" s="908">
        <v>22.352288854376486</v>
      </c>
      <c r="GZ98" s="902">
        <v>137.21118899989622</v>
      </c>
      <c r="HA98" s="902">
        <v>0</v>
      </c>
      <c r="HB98" s="902">
        <v>0</v>
      </c>
      <c r="HC98" s="902">
        <v>47.014405535592289</v>
      </c>
      <c r="HD98" s="902">
        <v>16.970703014162428</v>
      </c>
      <c r="HE98" s="902">
        <v>3600</v>
      </c>
      <c r="HF98" s="909" t="s">
        <v>2877</v>
      </c>
      <c r="HG98" s="909">
        <v>4</v>
      </c>
      <c r="HH98" s="909">
        <v>0</v>
      </c>
      <c r="HI98" s="909">
        <v>0</v>
      </c>
      <c r="HJ98" s="909">
        <v>0</v>
      </c>
      <c r="HK98" s="910">
        <v>5445.5944583253886</v>
      </c>
      <c r="HL98" s="909">
        <v>0</v>
      </c>
      <c r="HM98" s="909">
        <v>0</v>
      </c>
      <c r="HN98" s="909">
        <v>0</v>
      </c>
      <c r="HO98" s="910">
        <v>6942.6954495150676</v>
      </c>
      <c r="HP98" s="871">
        <v>4000</v>
      </c>
      <c r="HQ98" s="911">
        <v>222.38946577152245</v>
      </c>
      <c r="HR98" s="908">
        <v>22.352288854376486</v>
      </c>
      <c r="HS98" s="902">
        <v>137.21118899989622</v>
      </c>
      <c r="HT98" s="902">
        <v>0</v>
      </c>
      <c r="HU98" s="902">
        <v>0</v>
      </c>
      <c r="HV98" s="902">
        <v>47.014405535592289</v>
      </c>
      <c r="HW98" s="902">
        <v>16.970703014162428</v>
      </c>
      <c r="HX98" s="902">
        <v>3000</v>
      </c>
      <c r="HY98" s="909" t="s">
        <v>1063</v>
      </c>
      <c r="HZ98" s="909">
        <v>4</v>
      </c>
      <c r="IA98" s="909">
        <v>0</v>
      </c>
      <c r="IB98" s="909">
        <v>0</v>
      </c>
      <c r="IC98" s="909">
        <v>0</v>
      </c>
      <c r="ID98" s="910">
        <v>4802.5628925468218</v>
      </c>
      <c r="IE98" s="909">
        <v>0</v>
      </c>
      <c r="IF98" s="909">
        <v>0</v>
      </c>
      <c r="IG98" s="909">
        <v>0</v>
      </c>
      <c r="IH98" s="910">
        <v>6122.8818626255534</v>
      </c>
      <c r="II98" s="871">
        <v>4000</v>
      </c>
      <c r="IJ98" s="911">
        <v>222.38946577152245</v>
      </c>
      <c r="IK98" s="908">
        <v>22.352288854376486</v>
      </c>
      <c r="IL98" s="902">
        <v>137.21118899989622</v>
      </c>
      <c r="IM98" s="902">
        <v>0</v>
      </c>
      <c r="IN98" s="902">
        <v>0</v>
      </c>
      <c r="IO98" s="902">
        <v>47.014405535592289</v>
      </c>
      <c r="IP98" s="902">
        <v>16.970703014162428</v>
      </c>
      <c r="IQ98" s="902">
        <v>3600</v>
      </c>
      <c r="IR98" s="909" t="s">
        <v>1063</v>
      </c>
      <c r="IS98" s="909">
        <v>4</v>
      </c>
      <c r="IT98" s="909">
        <v>0</v>
      </c>
      <c r="IU98" s="909">
        <v>0</v>
      </c>
      <c r="IV98" s="909">
        <v>0</v>
      </c>
      <c r="IW98" s="910">
        <v>4802.5628925468218</v>
      </c>
      <c r="IX98" s="909">
        <v>0</v>
      </c>
      <c r="IY98" s="909">
        <v>0</v>
      </c>
      <c r="IZ98" s="909">
        <v>0</v>
      </c>
      <c r="JA98" s="910">
        <v>6122.8818626255534</v>
      </c>
      <c r="JB98" s="871">
        <v>4000</v>
      </c>
      <c r="JC98" s="911">
        <v>222.38946577152245</v>
      </c>
      <c r="JD98" s="908">
        <v>22.352288854376486</v>
      </c>
      <c r="JE98" s="902">
        <v>137.21118899989622</v>
      </c>
      <c r="JF98" s="902">
        <v>0</v>
      </c>
      <c r="JG98" s="902">
        <v>0</v>
      </c>
      <c r="JH98" s="902">
        <v>47.014405535592289</v>
      </c>
      <c r="JI98" s="902">
        <v>16.970703014162428</v>
      </c>
      <c r="JJ98" s="902">
        <v>3000</v>
      </c>
      <c r="JK98" s="909" t="s">
        <v>1064</v>
      </c>
      <c r="JL98" s="909">
        <v>4</v>
      </c>
      <c r="JM98" s="909">
        <v>0</v>
      </c>
      <c r="JN98" s="909">
        <v>0</v>
      </c>
      <c r="JO98" s="909">
        <v>0</v>
      </c>
      <c r="JP98" s="910">
        <v>6544.7900149582465</v>
      </c>
      <c r="JQ98" s="909">
        <v>0</v>
      </c>
      <c r="JR98" s="909">
        <v>0</v>
      </c>
      <c r="JS98" s="909">
        <v>0</v>
      </c>
      <c r="JT98" s="910">
        <v>8344.081477719028</v>
      </c>
      <c r="JU98" s="871">
        <v>4000</v>
      </c>
      <c r="JV98" s="911">
        <v>222.38946577152245</v>
      </c>
      <c r="JW98" s="908">
        <v>22.352288854376486</v>
      </c>
      <c r="JX98" s="902">
        <v>137.21118899989622</v>
      </c>
      <c r="JY98" s="902">
        <v>0</v>
      </c>
      <c r="JZ98" s="902">
        <v>0</v>
      </c>
      <c r="KA98" s="902">
        <v>47.014405535592289</v>
      </c>
      <c r="KB98" s="902">
        <v>16.970703014162428</v>
      </c>
      <c r="KC98" s="902">
        <v>3600</v>
      </c>
      <c r="KD98" s="909" t="s">
        <v>1064</v>
      </c>
      <c r="KE98" s="909">
        <v>4</v>
      </c>
      <c r="KF98" s="909">
        <v>0</v>
      </c>
      <c r="KG98" s="909">
        <v>0</v>
      </c>
      <c r="KH98" s="909">
        <v>0</v>
      </c>
      <c r="KI98" s="910">
        <v>6544.7900149582465</v>
      </c>
      <c r="KJ98" s="909">
        <v>0</v>
      </c>
      <c r="KK98" s="909">
        <v>0</v>
      </c>
      <c r="KL98" s="909">
        <v>0</v>
      </c>
      <c r="KM98" s="910">
        <v>8344.081477719028</v>
      </c>
      <c r="KN98" s="871">
        <v>4000</v>
      </c>
      <c r="KO98" s="912">
        <v>222.38946577152245</v>
      </c>
    </row>
    <row r="99" spans="1:301" ht="15" customHeight="1">
      <c r="A99" s="1396" t="s">
        <v>2362</v>
      </c>
      <c r="B99" s="888" t="s">
        <v>1083</v>
      </c>
      <c r="C99" s="888">
        <v>959.9189122822313</v>
      </c>
      <c r="D99" s="888">
        <v>1313.3628033018342</v>
      </c>
      <c r="E99" s="888">
        <v>1000</v>
      </c>
      <c r="F99" s="888">
        <v>741.16534330391539</v>
      </c>
      <c r="G99" s="888">
        <v>530.64723842525768</v>
      </c>
      <c r="H99" s="888">
        <v>450.91358269404958</v>
      </c>
      <c r="I99" s="888">
        <v>427.21950678848214</v>
      </c>
      <c r="J99" s="888">
        <v>19.827370461139253</v>
      </c>
      <c r="K99" s="888">
        <v>28.289368330100821</v>
      </c>
      <c r="L99" s="888">
        <v>16</v>
      </c>
      <c r="M99" s="888">
        <v>472.27351731901649</v>
      </c>
      <c r="N99" s="888">
        <v>6</v>
      </c>
      <c r="O99" s="884">
        <v>26.816492954563206</v>
      </c>
      <c r="P99" s="888">
        <v>6</v>
      </c>
      <c r="Q99" s="884">
        <v>24.771876492218226</v>
      </c>
      <c r="R99" s="888">
        <v>20</v>
      </c>
      <c r="S99" s="888">
        <v>1027.2640733028747</v>
      </c>
      <c r="T99" s="906">
        <v>130.12289986121598</v>
      </c>
      <c r="U99" s="906">
        <v>154.0896109954312</v>
      </c>
      <c r="V99" s="906">
        <v>172.5</v>
      </c>
      <c r="W99" s="1141">
        <v>18.938981440737919</v>
      </c>
      <c r="X99" s="902">
        <v>494.11022886927691</v>
      </c>
      <c r="Y99" s="902">
        <v>66.198218398739982</v>
      </c>
      <c r="Z99" s="902">
        <v>6</v>
      </c>
      <c r="AA99" s="902">
        <v>9.3500664965409754</v>
      </c>
      <c r="AB99" s="970">
        <v>97.392074109444891</v>
      </c>
      <c r="AC99" s="1045">
        <v>2825.4211611910837</v>
      </c>
      <c r="AD99" s="890">
        <v>0.41071308156715203</v>
      </c>
      <c r="AE99" s="890">
        <v>0.36056186876835633</v>
      </c>
      <c r="AF99" s="890">
        <v>-0.81936882673936395</v>
      </c>
      <c r="AG99" s="890">
        <v>0.72377182222896475</v>
      </c>
      <c r="AH99" s="888"/>
      <c r="AI99" s="907">
        <v>10.607104516904439</v>
      </c>
      <c r="AJ99" s="908">
        <v>156.26612027166814</v>
      </c>
      <c r="AK99" s="902">
        <v>377.07455554086039</v>
      </c>
      <c r="AL99" s="902">
        <v>3.713062189560381</v>
      </c>
      <c r="AM99" s="902">
        <v>7.0950558343554819</v>
      </c>
      <c r="AN99" s="902">
        <v>140.54090118567012</v>
      </c>
      <c r="AO99" s="902">
        <v>90.624518586875212</v>
      </c>
      <c r="AP99" s="1222">
        <v>1800</v>
      </c>
      <c r="AQ99" s="909" t="s">
        <v>1064</v>
      </c>
      <c r="AR99" s="909">
        <v>6</v>
      </c>
      <c r="AS99" s="909">
        <v>1</v>
      </c>
      <c r="AT99" s="909">
        <v>8</v>
      </c>
      <c r="AU99" s="909">
        <v>40.047300079087904</v>
      </c>
      <c r="AV99" s="910">
        <v>2236.7317411267609</v>
      </c>
      <c r="AW99" s="909">
        <v>1</v>
      </c>
      <c r="AX99" s="909">
        <v>8</v>
      </c>
      <c r="AY99" s="909">
        <v>55.955535608363284</v>
      </c>
      <c r="AZ99" s="910">
        <v>2101.3721752968022</v>
      </c>
      <c r="BA99" s="871">
        <v>2101.3721752968022</v>
      </c>
      <c r="BB99" s="911">
        <v>144.50614378838094</v>
      </c>
      <c r="BC99" s="908">
        <v>208.35482702889087</v>
      </c>
      <c r="BD99" s="902">
        <v>477.46872486093912</v>
      </c>
      <c r="BE99" s="902">
        <v>12.995717663461335</v>
      </c>
      <c r="BF99" s="902">
        <v>46.117862923310632</v>
      </c>
      <c r="BG99" s="902">
        <v>157.42735920564931</v>
      </c>
      <c r="BH99" s="902">
        <v>125.63449376477419</v>
      </c>
      <c r="BI99" s="902">
        <v>2250</v>
      </c>
      <c r="BJ99" s="909" t="s">
        <v>1062</v>
      </c>
      <c r="BK99" s="909">
        <v>8</v>
      </c>
      <c r="BL99" s="909">
        <v>2</v>
      </c>
      <c r="BM99" s="909">
        <v>14</v>
      </c>
      <c r="BN99" s="909">
        <v>40.047300079087904</v>
      </c>
      <c r="BO99" s="910">
        <v>2522.5809047705302</v>
      </c>
      <c r="BP99" s="909">
        <v>2</v>
      </c>
      <c r="BQ99" s="909">
        <v>26.000000000000004</v>
      </c>
      <c r="BR99" s="909">
        <v>55.955535608363284</v>
      </c>
      <c r="BS99" s="910">
        <v>2486.0459255594087</v>
      </c>
      <c r="BT99" s="871">
        <v>2486.0459255594087</v>
      </c>
      <c r="BU99" s="911">
        <v>170.959201899904</v>
      </c>
      <c r="BV99" s="908">
        <v>156.26612027166814</v>
      </c>
      <c r="BW99" s="902">
        <v>387.88267356477627</v>
      </c>
      <c r="BX99" s="902">
        <v>7.4261243791207621</v>
      </c>
      <c r="BY99" s="902">
        <v>14.190111668710964</v>
      </c>
      <c r="BZ99" s="902">
        <v>142.69032838116931</v>
      </c>
      <c r="CA99" s="902">
        <v>94.364214209612271</v>
      </c>
      <c r="CB99" s="902">
        <v>1800</v>
      </c>
      <c r="CC99" s="909" t="s">
        <v>2874</v>
      </c>
      <c r="CD99" s="909">
        <v>6</v>
      </c>
      <c r="CE99" s="909">
        <v>2</v>
      </c>
      <c r="CF99" s="909">
        <v>8</v>
      </c>
      <c r="CG99" s="909">
        <v>40.047300079087904</v>
      </c>
      <c r="CH99" s="910">
        <v>2185.1798314956282</v>
      </c>
      <c r="CI99" s="909">
        <v>2</v>
      </c>
      <c r="CJ99" s="909">
        <v>8</v>
      </c>
      <c r="CK99" s="909">
        <v>55.955535608363284</v>
      </c>
      <c r="CL99" s="910">
        <v>2063.395872582395</v>
      </c>
      <c r="CM99" s="871">
        <v>2063.395872582395</v>
      </c>
      <c r="CN99" s="911">
        <v>141.89460780008125</v>
      </c>
      <c r="CO99" s="908">
        <v>208.35482702889087</v>
      </c>
      <c r="CP99" s="902">
        <v>489.96783970725255</v>
      </c>
      <c r="CQ99" s="902">
        <v>14.852248758241524</v>
      </c>
      <c r="CR99" s="902">
        <v>56.760446674843855</v>
      </c>
      <c r="CS99" s="902">
        <v>158.90546558927883</v>
      </c>
      <c r="CT99" s="902">
        <v>130.31434563871645</v>
      </c>
      <c r="CU99" s="902">
        <v>2250</v>
      </c>
      <c r="CV99" s="909" t="s">
        <v>2874</v>
      </c>
      <c r="CW99" s="909">
        <v>8</v>
      </c>
      <c r="CX99" s="909">
        <v>2</v>
      </c>
      <c r="CY99" s="909">
        <v>16</v>
      </c>
      <c r="CZ99" s="909">
        <v>40.047300079087904</v>
      </c>
      <c r="DA99" s="910">
        <v>2551.8624844764731</v>
      </c>
      <c r="DB99" s="909">
        <v>2</v>
      </c>
      <c r="DC99" s="909">
        <v>32</v>
      </c>
      <c r="DD99" s="909">
        <v>55.955535608363284</v>
      </c>
      <c r="DE99" s="910">
        <v>2490.5916675165317</v>
      </c>
      <c r="DF99" s="871">
        <v>2490.5916675165317</v>
      </c>
      <c r="DG99" s="911">
        <v>171.27180128072911</v>
      </c>
      <c r="DH99" s="908">
        <v>156.26612027166814</v>
      </c>
      <c r="DI99" s="902">
        <v>387.88267356477627</v>
      </c>
      <c r="DJ99" s="902">
        <v>7.4261243791207621</v>
      </c>
      <c r="DK99" s="902">
        <v>14.190111668710964</v>
      </c>
      <c r="DL99" s="902">
        <v>142.69032838116931</v>
      </c>
      <c r="DM99" s="902">
        <v>94.364214209612271</v>
      </c>
      <c r="DN99" s="902">
        <v>1800</v>
      </c>
      <c r="DO99" s="909" t="s">
        <v>2875</v>
      </c>
      <c r="DP99" s="909">
        <v>6</v>
      </c>
      <c r="DQ99" s="909">
        <v>2</v>
      </c>
      <c r="DR99" s="909">
        <v>8</v>
      </c>
      <c r="DS99" s="909">
        <v>40.047300079087904</v>
      </c>
      <c r="DT99" s="910">
        <v>2274.4072789717916</v>
      </c>
      <c r="DU99" s="909">
        <v>2</v>
      </c>
      <c r="DV99" s="909">
        <v>8</v>
      </c>
      <c r="DW99" s="909">
        <v>55.955535608363284</v>
      </c>
      <c r="DX99" s="910">
        <v>2147.6505156967623</v>
      </c>
      <c r="DY99" s="871">
        <v>2147.6505156967623</v>
      </c>
      <c r="DZ99" s="911">
        <v>147.68859028250554</v>
      </c>
      <c r="EA99" s="908">
        <v>208.35482702889087</v>
      </c>
      <c r="EB99" s="902">
        <v>470.37366902658368</v>
      </c>
      <c r="EC99" s="902">
        <v>12.995717663461335</v>
      </c>
      <c r="ED99" s="902">
        <v>39.022807088955147</v>
      </c>
      <c r="EE99" s="902">
        <v>156.57991120861166</v>
      </c>
      <c r="EF99" s="902">
        <v>122.82448970220047</v>
      </c>
      <c r="EG99" s="902">
        <v>2250</v>
      </c>
      <c r="EH99" s="909" t="s">
        <v>2875</v>
      </c>
      <c r="EI99" s="909">
        <v>8</v>
      </c>
      <c r="EJ99" s="909">
        <v>2</v>
      </c>
      <c r="EK99" s="909">
        <v>14</v>
      </c>
      <c r="EL99" s="909">
        <v>40.047300079087904</v>
      </c>
      <c r="EM99" s="910">
        <v>2572.5378516082951</v>
      </c>
      <c r="EN99" s="909">
        <v>2</v>
      </c>
      <c r="EO99" s="909">
        <v>22</v>
      </c>
      <c r="EP99" s="909">
        <v>55.955535608363284</v>
      </c>
      <c r="EQ99" s="910">
        <v>2483.4409872859542</v>
      </c>
      <c r="ER99" s="871">
        <v>2483.4409872859542</v>
      </c>
      <c r="ES99" s="911">
        <v>170.78006676661877</v>
      </c>
      <c r="ET99" s="908">
        <v>208.35482702889087</v>
      </c>
      <c r="EU99" s="902">
        <v>431.865291804062</v>
      </c>
      <c r="EV99" s="902">
        <v>4.6413277369504762</v>
      </c>
      <c r="EW99" s="902">
        <v>8.8688197929443522</v>
      </c>
      <c r="EX99" s="902">
        <v>151.26551921204876</v>
      </c>
      <c r="EY99" s="902">
        <v>108.79016642589467</v>
      </c>
      <c r="EZ99" s="902">
        <v>1800</v>
      </c>
      <c r="FA99" s="909" t="s">
        <v>2877</v>
      </c>
      <c r="FB99" s="909">
        <v>8</v>
      </c>
      <c r="FC99" s="909">
        <v>1</v>
      </c>
      <c r="FD99" s="909">
        <v>10</v>
      </c>
      <c r="FE99" s="909">
        <v>40.047300079087904</v>
      </c>
      <c r="FF99" s="910">
        <v>2425.5627886721168</v>
      </c>
      <c r="FG99" s="909">
        <v>1</v>
      </c>
      <c r="FH99" s="909">
        <v>10</v>
      </c>
      <c r="FI99" s="909">
        <v>55.955535608363284</v>
      </c>
      <c r="FJ99" s="910">
        <v>2300.8945834352417</v>
      </c>
      <c r="FK99" s="871">
        <v>2300.8945834352417</v>
      </c>
      <c r="FL99" s="911">
        <v>158.22680409710756</v>
      </c>
      <c r="FM99" s="908">
        <v>208.35482702889087</v>
      </c>
      <c r="FN99" s="902">
        <v>456.01802308549003</v>
      </c>
      <c r="FO99" s="902">
        <v>9.2826554739009524</v>
      </c>
      <c r="FP99" s="902">
        <v>28.380223337421928</v>
      </c>
      <c r="FQ99" s="902">
        <v>154.68812411358195</v>
      </c>
      <c r="FR99" s="902">
        <v>117.67979204817657</v>
      </c>
      <c r="FS99" s="902">
        <v>2250</v>
      </c>
      <c r="FT99" s="909" t="s">
        <v>3884</v>
      </c>
      <c r="FU99" s="909">
        <v>8</v>
      </c>
      <c r="FV99" s="909">
        <v>2</v>
      </c>
      <c r="FW99" s="909">
        <v>10</v>
      </c>
      <c r="FX99" s="909">
        <v>40.047300079087904</v>
      </c>
      <c r="FY99" s="910">
        <v>2503.4585496355526</v>
      </c>
      <c r="FZ99" s="909">
        <v>2</v>
      </c>
      <c r="GA99" s="909">
        <v>16</v>
      </c>
      <c r="GB99" s="909">
        <v>55.955535608363284</v>
      </c>
      <c r="GC99" s="910">
        <v>2523.7521370209051</v>
      </c>
      <c r="GD99" s="871">
        <v>2503.4585496355526</v>
      </c>
      <c r="GE99" s="911">
        <v>172.15662479721865</v>
      </c>
      <c r="GF99" s="908">
        <v>208.35482702889087</v>
      </c>
      <c r="GG99" s="902">
        <v>431.865291804062</v>
      </c>
      <c r="GH99" s="902">
        <v>4.6413277369504762</v>
      </c>
      <c r="GI99" s="902">
        <v>8.8688197929443522</v>
      </c>
      <c r="GJ99" s="902">
        <v>151.26551921204876</v>
      </c>
      <c r="GK99" s="902">
        <v>108.79016642589467</v>
      </c>
      <c r="GL99" s="902">
        <v>1800</v>
      </c>
      <c r="GM99" s="909" t="s">
        <v>2877</v>
      </c>
      <c r="GN99" s="909">
        <v>8</v>
      </c>
      <c r="GO99" s="909">
        <v>1</v>
      </c>
      <c r="GP99" s="909">
        <v>10</v>
      </c>
      <c r="GQ99" s="909">
        <v>40.047300079087904</v>
      </c>
      <c r="GR99" s="910">
        <v>2425.5627886721168</v>
      </c>
      <c r="GS99" s="909">
        <v>1</v>
      </c>
      <c r="GT99" s="909">
        <v>10</v>
      </c>
      <c r="GU99" s="909">
        <v>55.955535608363284</v>
      </c>
      <c r="GV99" s="910">
        <v>2300.8945834352417</v>
      </c>
      <c r="GW99" s="871">
        <v>2300.8945834352417</v>
      </c>
      <c r="GX99" s="911">
        <v>158.22680409710756</v>
      </c>
      <c r="GY99" s="908">
        <v>156.26612027166814</v>
      </c>
      <c r="GZ99" s="902">
        <v>387.88267356477627</v>
      </c>
      <c r="HA99" s="902">
        <v>7.4261243791207621</v>
      </c>
      <c r="HB99" s="902">
        <v>14.190111668710964</v>
      </c>
      <c r="HC99" s="902">
        <v>142.69032838116931</v>
      </c>
      <c r="HD99" s="902">
        <v>94.364214209612271</v>
      </c>
      <c r="HE99" s="902">
        <v>2250</v>
      </c>
      <c r="HF99" s="909" t="s">
        <v>2877</v>
      </c>
      <c r="HG99" s="909">
        <v>6</v>
      </c>
      <c r="HH99" s="909">
        <v>2</v>
      </c>
      <c r="HI99" s="909">
        <v>8</v>
      </c>
      <c r="HJ99" s="909">
        <v>40.047300079087904</v>
      </c>
      <c r="HK99" s="910">
        <v>2992.1807147887334</v>
      </c>
      <c r="HL99" s="909">
        <v>2</v>
      </c>
      <c r="HM99" s="909">
        <v>8</v>
      </c>
      <c r="HN99" s="909">
        <v>55.955535608363284</v>
      </c>
      <c r="HO99" s="910">
        <v>2825.4211611910837</v>
      </c>
      <c r="HP99" s="871">
        <v>2825.4211611910837</v>
      </c>
      <c r="HQ99" s="911">
        <v>194.2971937011325</v>
      </c>
      <c r="HR99" s="908">
        <v>130.22176689305678</v>
      </c>
      <c r="HS99" s="902">
        <v>361.83832018616488</v>
      </c>
      <c r="HT99" s="902">
        <v>7.4261243791207621</v>
      </c>
      <c r="HU99" s="902">
        <v>14.190111668710964</v>
      </c>
      <c r="HV99" s="902">
        <v>136.73297425606879</v>
      </c>
      <c r="HW99" s="902">
        <v>85.748852242944679</v>
      </c>
      <c r="HX99" s="902">
        <v>1800</v>
      </c>
      <c r="HY99" s="909" t="s">
        <v>1063</v>
      </c>
      <c r="HZ99" s="909">
        <v>5</v>
      </c>
      <c r="IA99" s="909">
        <v>2</v>
      </c>
      <c r="IB99" s="909">
        <v>8</v>
      </c>
      <c r="IC99" s="909">
        <v>40.047300079087904</v>
      </c>
      <c r="ID99" s="910">
        <v>2279.7437188840036</v>
      </c>
      <c r="IE99" s="909">
        <v>2</v>
      </c>
      <c r="IF99" s="909">
        <v>8</v>
      </c>
      <c r="IG99" s="909">
        <v>55.955535608363284</v>
      </c>
      <c r="IH99" s="910">
        <v>2143.7857307398076</v>
      </c>
      <c r="II99" s="871">
        <v>2143.7857307398076</v>
      </c>
      <c r="IJ99" s="911">
        <v>147.4228186227937</v>
      </c>
      <c r="IK99" s="908">
        <v>156.26612027166814</v>
      </c>
      <c r="IL99" s="902">
        <v>387.88267356477627</v>
      </c>
      <c r="IM99" s="902">
        <v>7.4261243791207621</v>
      </c>
      <c r="IN99" s="902">
        <v>14.190111668710964</v>
      </c>
      <c r="IO99" s="902">
        <v>142.69032838116931</v>
      </c>
      <c r="IP99" s="902">
        <v>94.364214209612271</v>
      </c>
      <c r="IQ99" s="902">
        <v>2250</v>
      </c>
      <c r="IR99" s="909" t="s">
        <v>1063</v>
      </c>
      <c r="IS99" s="909">
        <v>6</v>
      </c>
      <c r="IT99" s="909">
        <v>2</v>
      </c>
      <c r="IU99" s="909">
        <v>8</v>
      </c>
      <c r="IV99" s="909">
        <v>40.047300079087904</v>
      </c>
      <c r="IW99" s="910">
        <v>2638.8553496981585</v>
      </c>
      <c r="IX99" s="909">
        <v>2</v>
      </c>
      <c r="IY99" s="909">
        <v>8</v>
      </c>
      <c r="IZ99" s="909">
        <v>55.955535608363284</v>
      </c>
      <c r="JA99" s="910">
        <v>2491.787247176982</v>
      </c>
      <c r="JB99" s="871">
        <v>2491.787247176982</v>
      </c>
      <c r="JC99" s="911">
        <v>171.35401832364732</v>
      </c>
      <c r="JD99" s="908">
        <v>156.26612027166814</v>
      </c>
      <c r="JE99" s="902">
        <v>377.07455554086039</v>
      </c>
      <c r="JF99" s="902">
        <v>3.713062189560381</v>
      </c>
      <c r="JG99" s="902">
        <v>7.0950558343554819</v>
      </c>
      <c r="JH99" s="902">
        <v>140.54090118567012</v>
      </c>
      <c r="JI99" s="902">
        <v>90.624518586875212</v>
      </c>
      <c r="JJ99" s="902">
        <v>1800</v>
      </c>
      <c r="JK99" s="909" t="s">
        <v>1064</v>
      </c>
      <c r="JL99" s="909">
        <v>6</v>
      </c>
      <c r="JM99" s="909">
        <v>1</v>
      </c>
      <c r="JN99" s="909">
        <v>8</v>
      </c>
      <c r="JO99" s="909">
        <v>40.047300079087904</v>
      </c>
      <c r="JP99" s="910">
        <v>2236.7317411267609</v>
      </c>
      <c r="JQ99" s="909">
        <v>1</v>
      </c>
      <c r="JR99" s="909">
        <v>8</v>
      </c>
      <c r="JS99" s="909">
        <v>55.955535608363284</v>
      </c>
      <c r="JT99" s="910">
        <v>2101.3721752968022</v>
      </c>
      <c r="JU99" s="871">
        <v>2101.3721752968022</v>
      </c>
      <c r="JV99" s="911">
        <v>144.50614378838094</v>
      </c>
      <c r="JW99" s="908">
        <v>104.17741351444543</v>
      </c>
      <c r="JX99" s="902">
        <v>330.38990779559555</v>
      </c>
      <c r="JY99" s="902">
        <v>5.5695932843405718</v>
      </c>
      <c r="JZ99" s="902">
        <v>10.642583751533223</v>
      </c>
      <c r="KA99" s="902">
        <v>128.41493721551637</v>
      </c>
      <c r="KB99" s="902">
        <v>75.263642464908557</v>
      </c>
      <c r="KC99" s="902">
        <v>2250</v>
      </c>
      <c r="KD99" s="909" t="s">
        <v>1064</v>
      </c>
      <c r="KE99" s="909">
        <v>4</v>
      </c>
      <c r="KF99" s="909">
        <v>2</v>
      </c>
      <c r="KG99" s="909">
        <v>6</v>
      </c>
      <c r="KH99" s="909">
        <v>40.047300079087904</v>
      </c>
      <c r="KI99" s="910">
        <v>2674.1176278214093</v>
      </c>
      <c r="KJ99" s="909">
        <v>2</v>
      </c>
      <c r="KK99" s="909">
        <v>6</v>
      </c>
      <c r="KL99" s="909">
        <v>55.955535608363284</v>
      </c>
      <c r="KM99" s="910">
        <v>2508.0979525267394</v>
      </c>
      <c r="KN99" s="871">
        <v>2508.0979525267394</v>
      </c>
      <c r="KO99" s="912">
        <v>172.47566500778552</v>
      </c>
    </row>
    <row r="100" spans="1:301" ht="15" customHeight="1">
      <c r="A100" s="1396" t="s">
        <v>2364</v>
      </c>
      <c r="B100" s="888" t="s">
        <v>1073</v>
      </c>
      <c r="C100" s="888">
        <v>1281.299585874696</v>
      </c>
      <c r="D100" s="888">
        <v>1597.3232237317586</v>
      </c>
      <c r="E100" s="888">
        <v>1190</v>
      </c>
      <c r="F100" s="888">
        <v>1060.688135815494</v>
      </c>
      <c r="G100" s="888">
        <v>755.858220132528</v>
      </c>
      <c r="H100" s="888">
        <v>640.91415085583014</v>
      </c>
      <c r="I100" s="888">
        <v>623</v>
      </c>
      <c r="J100" s="888">
        <v>15.395487590753447</v>
      </c>
      <c r="K100" s="888">
        <v>32.638452129455366</v>
      </c>
      <c r="L100" s="888">
        <v>15</v>
      </c>
      <c r="M100" s="888">
        <v>546.70748897986891</v>
      </c>
      <c r="N100" s="888">
        <v>6</v>
      </c>
      <c r="O100" s="884">
        <v>41.998839872392267</v>
      </c>
      <c r="P100" s="888">
        <v>6</v>
      </c>
      <c r="Q100" s="884">
        <v>29.045776773779693</v>
      </c>
      <c r="R100" s="888">
        <v>20</v>
      </c>
      <c r="S100" s="888">
        <v>1329.0056797736263</v>
      </c>
      <c r="T100" s="906">
        <v>217.79264424775414</v>
      </c>
      <c r="U100" s="906">
        <v>199.35085196604393</v>
      </c>
      <c r="V100" s="906">
        <v>247.5</v>
      </c>
      <c r="W100" s="1141">
        <v>45.481229537050524</v>
      </c>
      <c r="X100" s="902">
        <v>707.12542387699591</v>
      </c>
      <c r="Y100" s="902">
        <v>94.736843137678193</v>
      </c>
      <c r="Z100" s="902">
        <v>6</v>
      </c>
      <c r="AA100" s="902">
        <v>19.149609161279685</v>
      </c>
      <c r="AB100" s="970">
        <v>233.34737030299516</v>
      </c>
      <c r="AC100" s="1045">
        <v>2142.7015469706917</v>
      </c>
      <c r="AD100" s="890">
        <v>0.84077233048118694</v>
      </c>
      <c r="AE100" s="890">
        <v>0.27536116101008584</v>
      </c>
      <c r="AF100" s="890">
        <v>-1.0347051350214653</v>
      </c>
      <c r="AG100" s="890">
        <v>0.54004725612896221</v>
      </c>
      <c r="AH100" s="888"/>
      <c r="AI100" s="907">
        <v>15.801638488855918</v>
      </c>
      <c r="AJ100" s="908">
        <v>325.45691723094217</v>
      </c>
      <c r="AK100" s="902">
        <v>720.85690997413644</v>
      </c>
      <c r="AL100" s="902">
        <v>13.563922073864179</v>
      </c>
      <c r="AM100" s="902">
        <v>28.367971077073804</v>
      </c>
      <c r="AN100" s="902">
        <v>212.51978169998196</v>
      </c>
      <c r="AO100" s="902">
        <v>278.76708861504625</v>
      </c>
      <c r="AP100" s="1222">
        <v>1492</v>
      </c>
      <c r="AQ100" s="909" t="s">
        <v>1062</v>
      </c>
      <c r="AR100" s="909">
        <v>8</v>
      </c>
      <c r="AS100" s="909">
        <v>2</v>
      </c>
      <c r="AT100" s="909">
        <v>12</v>
      </c>
      <c r="AU100" s="909">
        <v>36.285001736307272</v>
      </c>
      <c r="AV100" s="910">
        <v>1659.0793441388194</v>
      </c>
      <c r="AW100" s="909">
        <v>2</v>
      </c>
      <c r="AX100" s="909">
        <v>10</v>
      </c>
      <c r="AY100" s="909">
        <v>73.714764011897358</v>
      </c>
      <c r="AZ100" s="910">
        <v>1651.297447554062</v>
      </c>
      <c r="BA100" s="871">
        <v>1651.297447554062</v>
      </c>
      <c r="BB100" s="911">
        <v>138.10733275728401</v>
      </c>
      <c r="BC100" s="908">
        <v>325.45691723094217</v>
      </c>
      <c r="BD100" s="902">
        <v>801.32971575754641</v>
      </c>
      <c r="BE100" s="902">
        <v>37.3007857031265</v>
      </c>
      <c r="BF100" s="902">
        <v>85.103913231221426</v>
      </c>
      <c r="BG100" s="902">
        <v>222.72510492810574</v>
      </c>
      <c r="BH100" s="902">
        <v>322.08040645820267</v>
      </c>
      <c r="BI100" s="902">
        <v>1865</v>
      </c>
      <c r="BJ100" s="909" t="s">
        <v>1062</v>
      </c>
      <c r="BK100" s="909">
        <v>8</v>
      </c>
      <c r="BL100" s="909">
        <v>3</v>
      </c>
      <c r="BM100" s="909">
        <v>22</v>
      </c>
      <c r="BN100" s="909">
        <v>36.285001736307272</v>
      </c>
      <c r="BO100" s="910">
        <v>2073.8937191230393</v>
      </c>
      <c r="BP100" s="909">
        <v>3</v>
      </c>
      <c r="BQ100" s="909">
        <v>20</v>
      </c>
      <c r="BR100" s="909">
        <v>73.714764011897358</v>
      </c>
      <c r="BS100" s="910">
        <v>2054.8584363758732</v>
      </c>
      <c r="BT100" s="871">
        <v>2054.8584363758732</v>
      </c>
      <c r="BU100" s="911">
        <v>171.85941773363271</v>
      </c>
      <c r="BV100" s="908">
        <v>325.45691723094217</v>
      </c>
      <c r="BW100" s="902">
        <v>720.85690997413644</v>
      </c>
      <c r="BX100" s="902">
        <v>13.563922073864179</v>
      </c>
      <c r="BY100" s="902">
        <v>28.367971077073804</v>
      </c>
      <c r="BZ100" s="902">
        <v>212.51978169998196</v>
      </c>
      <c r="CA100" s="902">
        <v>278.76708861504625</v>
      </c>
      <c r="CB100" s="902">
        <v>1492</v>
      </c>
      <c r="CC100" s="909" t="s">
        <v>2875</v>
      </c>
      <c r="CD100" s="909">
        <v>8</v>
      </c>
      <c r="CE100" s="909">
        <v>2</v>
      </c>
      <c r="CF100" s="909">
        <v>12</v>
      </c>
      <c r="CG100" s="909">
        <v>36.285001736307272</v>
      </c>
      <c r="CH100" s="910">
        <v>1691.9355900725118</v>
      </c>
      <c r="CI100" s="909">
        <v>2</v>
      </c>
      <c r="CJ100" s="909">
        <v>10</v>
      </c>
      <c r="CK100" s="909">
        <v>73.714764011897358</v>
      </c>
      <c r="CL100" s="910">
        <v>1683.9995815648244</v>
      </c>
      <c r="CM100" s="871">
        <v>1683.9995815648244</v>
      </c>
      <c r="CN100" s="911">
        <v>140.84239693992868</v>
      </c>
      <c r="CO100" s="908">
        <v>325.45691723094217</v>
      </c>
      <c r="CP100" s="902">
        <v>821.74147892225665</v>
      </c>
      <c r="CQ100" s="902">
        <v>40.691766221592538</v>
      </c>
      <c r="CR100" s="902">
        <v>102.12469587746571</v>
      </c>
      <c r="CS100" s="902">
        <v>224.96720350620654</v>
      </c>
      <c r="CT100" s="902">
        <v>333.45429277625192</v>
      </c>
      <c r="CU100" s="902">
        <v>1865</v>
      </c>
      <c r="CV100" s="909" t="s">
        <v>2874</v>
      </c>
      <c r="CW100" s="909">
        <v>8</v>
      </c>
      <c r="CX100" s="909">
        <v>3</v>
      </c>
      <c r="CY100" s="909">
        <v>24</v>
      </c>
      <c r="CZ100" s="909">
        <v>36.285001736307272</v>
      </c>
      <c r="DA100" s="910">
        <v>2066.0304381911365</v>
      </c>
      <c r="DB100" s="909">
        <v>3</v>
      </c>
      <c r="DC100" s="909">
        <v>24</v>
      </c>
      <c r="DD100" s="909">
        <v>73.714764011897358</v>
      </c>
      <c r="DE100" s="910">
        <v>2054.1234740605896</v>
      </c>
      <c r="DF100" s="871">
        <v>2054.1234740605896</v>
      </c>
      <c r="DG100" s="911">
        <v>171.79794868383115</v>
      </c>
      <c r="DH100" s="908">
        <v>325.45691723094217</v>
      </c>
      <c r="DI100" s="902">
        <v>720.85690997413644</v>
      </c>
      <c r="DJ100" s="902">
        <v>13.563922073864179</v>
      </c>
      <c r="DK100" s="902">
        <v>28.367971077073804</v>
      </c>
      <c r="DL100" s="902">
        <v>212.51978169998196</v>
      </c>
      <c r="DM100" s="902">
        <v>278.76708861504625</v>
      </c>
      <c r="DN100" s="902">
        <v>1492</v>
      </c>
      <c r="DO100" s="909" t="s">
        <v>2875</v>
      </c>
      <c r="DP100" s="909">
        <v>8</v>
      </c>
      <c r="DQ100" s="909">
        <v>2</v>
      </c>
      <c r="DR100" s="909">
        <v>12</v>
      </c>
      <c r="DS100" s="909">
        <v>36.285001736307272</v>
      </c>
      <c r="DT100" s="910">
        <v>1691.9355900725118</v>
      </c>
      <c r="DU100" s="909">
        <v>2</v>
      </c>
      <c r="DV100" s="909">
        <v>10</v>
      </c>
      <c r="DW100" s="909">
        <v>73.714764011897358</v>
      </c>
      <c r="DX100" s="910">
        <v>1683.9995815648244</v>
      </c>
      <c r="DY100" s="871">
        <v>1683.9995815648244</v>
      </c>
      <c r="DZ100" s="911">
        <v>140.84239693992868</v>
      </c>
      <c r="EA100" s="908">
        <v>325.45691723094217</v>
      </c>
      <c r="EB100" s="902">
        <v>789.42834391595818</v>
      </c>
      <c r="EC100" s="902">
        <v>33.909805184660449</v>
      </c>
      <c r="ED100" s="902">
        <v>76.593521908099291</v>
      </c>
      <c r="EE100" s="902">
        <v>221.34826520211439</v>
      </c>
      <c r="EF100" s="902">
        <v>315.65705010149725</v>
      </c>
      <c r="EG100" s="902">
        <v>1865</v>
      </c>
      <c r="EH100" s="909" t="s">
        <v>2875</v>
      </c>
      <c r="EI100" s="909">
        <v>8</v>
      </c>
      <c r="EJ100" s="909">
        <v>3</v>
      </c>
      <c r="EK100" s="909">
        <v>20</v>
      </c>
      <c r="EL100" s="909">
        <v>36.285001736307272</v>
      </c>
      <c r="EM100" s="910">
        <v>2074.6775335792222</v>
      </c>
      <c r="EN100" s="909">
        <v>3</v>
      </c>
      <c r="EO100" s="909">
        <v>18.000000000000004</v>
      </c>
      <c r="EP100" s="909">
        <v>73.714764011897358</v>
      </c>
      <c r="EQ100" s="910">
        <v>2068.6201555698053</v>
      </c>
      <c r="ER100" s="871">
        <v>2068.6201555698053</v>
      </c>
      <c r="ES100" s="911">
        <v>173.0103880417646</v>
      </c>
      <c r="ET100" s="908">
        <v>325.45691723094217</v>
      </c>
      <c r="EU100" s="902">
        <v>718.59625629515904</v>
      </c>
      <c r="EV100" s="902">
        <v>11.303268394886818</v>
      </c>
      <c r="EW100" s="902">
        <v>28.367971077073804</v>
      </c>
      <c r="EX100" s="902">
        <v>212.18021850573027</v>
      </c>
      <c r="EY100" s="902">
        <v>277.78520435147198</v>
      </c>
      <c r="EZ100" s="902">
        <v>1492</v>
      </c>
      <c r="FA100" s="909" t="s">
        <v>3884</v>
      </c>
      <c r="FB100" s="909">
        <v>8</v>
      </c>
      <c r="FC100" s="909">
        <v>2</v>
      </c>
      <c r="FD100" s="909">
        <v>10</v>
      </c>
      <c r="FE100" s="909">
        <v>36.285001736307272</v>
      </c>
      <c r="FF100" s="910">
        <v>1734.8679912765863</v>
      </c>
      <c r="FG100" s="909">
        <v>2</v>
      </c>
      <c r="FH100" s="909">
        <v>10</v>
      </c>
      <c r="FI100" s="909">
        <v>73.714764011897358</v>
      </c>
      <c r="FJ100" s="910">
        <v>1793.7681698458978</v>
      </c>
      <c r="FK100" s="871">
        <v>1734.8679912765863</v>
      </c>
      <c r="FL100" s="911">
        <v>145.09680937016779</v>
      </c>
      <c r="FM100" s="908">
        <v>325.45691723094217</v>
      </c>
      <c r="FN100" s="902">
        <v>718.59625629515904</v>
      </c>
      <c r="FO100" s="902">
        <v>11.303268394886818</v>
      </c>
      <c r="FP100" s="902">
        <v>28.367971077073804</v>
      </c>
      <c r="FQ100" s="902">
        <v>212.18021850573027</v>
      </c>
      <c r="FR100" s="902">
        <v>277.78520435147198</v>
      </c>
      <c r="FS100" s="902">
        <v>1865</v>
      </c>
      <c r="FT100" s="909" t="s">
        <v>2877</v>
      </c>
      <c r="FU100" s="909">
        <v>8</v>
      </c>
      <c r="FV100" s="909">
        <v>2</v>
      </c>
      <c r="FW100" s="909">
        <v>10</v>
      </c>
      <c r="FX100" s="909">
        <v>36.285001736307272</v>
      </c>
      <c r="FY100" s="910">
        <v>2142.7015469706917</v>
      </c>
      <c r="FZ100" s="909">
        <v>2</v>
      </c>
      <c r="GA100" s="909">
        <v>10</v>
      </c>
      <c r="GB100" s="909">
        <v>73.714764011897358</v>
      </c>
      <c r="GC100" s="910">
        <v>2215.448006281666</v>
      </c>
      <c r="GD100" s="871">
        <v>2142.7015469706917</v>
      </c>
      <c r="GE100" s="911">
        <v>179.20623324729041</v>
      </c>
      <c r="GF100" s="908">
        <v>244.09268792320663</v>
      </c>
      <c r="GG100" s="902">
        <v>629.29777909303152</v>
      </c>
      <c r="GH100" s="902">
        <v>9.042614715909453</v>
      </c>
      <c r="GI100" s="902">
        <v>22.694376861659045</v>
      </c>
      <c r="GJ100" s="902">
        <v>196.89629418946944</v>
      </c>
      <c r="GK100" s="902">
        <v>230.85620998746043</v>
      </c>
      <c r="GL100" s="902">
        <v>1492</v>
      </c>
      <c r="GM100" s="909" t="s">
        <v>2877</v>
      </c>
      <c r="GN100" s="909">
        <v>6</v>
      </c>
      <c r="GO100" s="909">
        <v>2</v>
      </c>
      <c r="GP100" s="909">
        <v>8</v>
      </c>
      <c r="GQ100" s="909">
        <v>36.285001736307272</v>
      </c>
      <c r="GR100" s="910">
        <v>1691.4924545774686</v>
      </c>
      <c r="GS100" s="909">
        <v>2</v>
      </c>
      <c r="GT100" s="909">
        <v>8</v>
      </c>
      <c r="GU100" s="909">
        <v>73.714764011897358</v>
      </c>
      <c r="GV100" s="910">
        <v>1674.3596475058455</v>
      </c>
      <c r="GW100" s="871">
        <v>1674.3596475058455</v>
      </c>
      <c r="GX100" s="911">
        <v>140.03615480419856</v>
      </c>
      <c r="GY100" s="908">
        <v>325.45691723094217</v>
      </c>
      <c r="GZ100" s="902">
        <v>718.59625629515904</v>
      </c>
      <c r="HA100" s="902">
        <v>11.303268394886818</v>
      </c>
      <c r="HB100" s="902">
        <v>28.367971077073804</v>
      </c>
      <c r="HC100" s="902">
        <v>212.18021850573027</v>
      </c>
      <c r="HD100" s="902">
        <v>277.78520435147198</v>
      </c>
      <c r="HE100" s="902">
        <v>1865</v>
      </c>
      <c r="HF100" s="909" t="s">
        <v>2877</v>
      </c>
      <c r="HG100" s="909">
        <v>8</v>
      </c>
      <c r="HH100" s="909">
        <v>2</v>
      </c>
      <c r="HI100" s="909">
        <v>10</v>
      </c>
      <c r="HJ100" s="909">
        <v>36.285001736307272</v>
      </c>
      <c r="HK100" s="910">
        <v>2142.7015469706917</v>
      </c>
      <c r="HL100" s="909">
        <v>2</v>
      </c>
      <c r="HM100" s="909">
        <v>10</v>
      </c>
      <c r="HN100" s="909">
        <v>73.714764011897358</v>
      </c>
      <c r="HO100" s="910">
        <v>2215.448006281666</v>
      </c>
      <c r="HP100" s="871">
        <v>2142.7015469706917</v>
      </c>
      <c r="HQ100" s="911">
        <v>179.20623324729041</v>
      </c>
      <c r="HR100" s="908">
        <v>203.41057326933884</v>
      </c>
      <c r="HS100" s="902">
        <v>604.48416022794788</v>
      </c>
      <c r="HT100" s="902">
        <v>13.56392207386418</v>
      </c>
      <c r="HU100" s="902">
        <v>34.041565292488571</v>
      </c>
      <c r="HV100" s="902">
        <v>191.65607788041353</v>
      </c>
      <c r="HW100" s="902">
        <v>218.09730673329693</v>
      </c>
      <c r="HX100" s="902">
        <v>1492</v>
      </c>
      <c r="HY100" s="909" t="s">
        <v>1063</v>
      </c>
      <c r="HZ100" s="909">
        <v>5</v>
      </c>
      <c r="IA100" s="909">
        <v>3</v>
      </c>
      <c r="IB100" s="909">
        <v>8</v>
      </c>
      <c r="IC100" s="909">
        <v>36.285001736307272</v>
      </c>
      <c r="ID100" s="910">
        <v>1811.8970333954067</v>
      </c>
      <c r="IE100" s="909">
        <v>3</v>
      </c>
      <c r="IF100" s="909">
        <v>8</v>
      </c>
      <c r="IG100" s="909">
        <v>73.714764011897358</v>
      </c>
      <c r="IH100" s="910">
        <v>1793.3672119505313</v>
      </c>
      <c r="II100" s="871">
        <v>1793.3672119505313</v>
      </c>
      <c r="IJ100" s="911">
        <v>149.9894296231848</v>
      </c>
      <c r="IK100" s="908">
        <v>244.09268792320663</v>
      </c>
      <c r="IL100" s="902">
        <v>645.16627488181575</v>
      </c>
      <c r="IM100" s="902">
        <v>13.56392207386418</v>
      </c>
      <c r="IN100" s="902">
        <v>34.041565292488571</v>
      </c>
      <c r="IO100" s="902">
        <v>199.77785540314574</v>
      </c>
      <c r="IP100" s="902">
        <v>239.42068512973427</v>
      </c>
      <c r="IQ100" s="902">
        <v>1865</v>
      </c>
      <c r="IR100" s="909" t="s">
        <v>1063</v>
      </c>
      <c r="IS100" s="909">
        <v>6</v>
      </c>
      <c r="IT100" s="909">
        <v>3</v>
      </c>
      <c r="IU100" s="909">
        <v>8</v>
      </c>
      <c r="IV100" s="909">
        <v>36.285001736307272</v>
      </c>
      <c r="IW100" s="910">
        <v>2061.668789816626</v>
      </c>
      <c r="IX100" s="909">
        <v>3</v>
      </c>
      <c r="IY100" s="909">
        <v>8</v>
      </c>
      <c r="IZ100" s="909">
        <v>73.714764011897358</v>
      </c>
      <c r="JA100" s="910">
        <v>2070.6075378251699</v>
      </c>
      <c r="JB100" s="871">
        <v>2061.668789816626</v>
      </c>
      <c r="JC100" s="911">
        <v>172.42900605960631</v>
      </c>
      <c r="JD100" s="908">
        <v>203.41057326933884</v>
      </c>
      <c r="JE100" s="902">
        <v>588.61566443916365</v>
      </c>
      <c r="JF100" s="902">
        <v>9.042614715909453</v>
      </c>
      <c r="JG100" s="902">
        <v>22.694376861659045</v>
      </c>
      <c r="JH100" s="902">
        <v>188.35640275818483</v>
      </c>
      <c r="JI100" s="902">
        <v>209.5328315910231</v>
      </c>
      <c r="JJ100" s="902">
        <v>1492</v>
      </c>
      <c r="JK100" s="909" t="s">
        <v>1064</v>
      </c>
      <c r="JL100" s="909">
        <v>5</v>
      </c>
      <c r="JM100" s="909">
        <v>2</v>
      </c>
      <c r="JN100" s="909">
        <v>8</v>
      </c>
      <c r="JO100" s="909">
        <v>36.285001736307272</v>
      </c>
      <c r="JP100" s="910">
        <v>1791.3835072170448</v>
      </c>
      <c r="JQ100" s="909">
        <v>2</v>
      </c>
      <c r="JR100" s="909">
        <v>8</v>
      </c>
      <c r="JS100" s="909">
        <v>73.714764011897358</v>
      </c>
      <c r="JT100" s="910">
        <v>1771.0456054659903</v>
      </c>
      <c r="JU100" s="871">
        <v>1771.0456054659903</v>
      </c>
      <c r="JV100" s="911">
        <v>148.1225475911173</v>
      </c>
      <c r="JW100" s="908">
        <v>162.72845861547108</v>
      </c>
      <c r="JX100" s="902">
        <v>551.9006737324919</v>
      </c>
      <c r="JY100" s="902">
        <v>10.172941555398134</v>
      </c>
      <c r="JZ100" s="902">
        <v>25.531173969366428</v>
      </c>
      <c r="KA100" s="902">
        <v>179.52241394982036</v>
      </c>
      <c r="KB100" s="902">
        <v>190.35057198015426</v>
      </c>
      <c r="KC100" s="902">
        <v>1865</v>
      </c>
      <c r="KD100" s="909" t="s">
        <v>1064</v>
      </c>
      <c r="KE100" s="909">
        <v>4</v>
      </c>
      <c r="KF100" s="909">
        <v>3</v>
      </c>
      <c r="KG100" s="909">
        <v>6</v>
      </c>
      <c r="KH100" s="909">
        <v>36.285001736307272</v>
      </c>
      <c r="KI100" s="910">
        <v>2131.378505750552</v>
      </c>
      <c r="KJ100" s="909">
        <v>3</v>
      </c>
      <c r="KK100" s="909">
        <v>6</v>
      </c>
      <c r="KL100" s="909">
        <v>73.714764011897358</v>
      </c>
      <c r="KM100" s="910">
        <v>2106.9945840329428</v>
      </c>
      <c r="KN100" s="871">
        <v>2106.9945840329428</v>
      </c>
      <c r="KO100" s="912">
        <v>176.21985824895185</v>
      </c>
    </row>
    <row r="101" spans="1:301" ht="15" customHeight="1">
      <c r="A101" s="1396" t="s">
        <v>2412</v>
      </c>
      <c r="B101" s="888" t="s">
        <v>1084</v>
      </c>
      <c r="C101" s="888">
        <v>1115.9031347936052</v>
      </c>
      <c r="D101" s="888">
        <v>1455.4976241292961</v>
      </c>
      <c r="E101" s="888">
        <v>1120</v>
      </c>
      <c r="F101" s="888">
        <v>903.85735866933885</v>
      </c>
      <c r="G101" s="888">
        <v>648.81472596764172</v>
      </c>
      <c r="H101" s="888">
        <v>555.08260425150206</v>
      </c>
      <c r="I101" s="888">
        <v>537.11138472675384</v>
      </c>
      <c r="J101" s="888">
        <v>17.849920852480309</v>
      </c>
      <c r="K101" s="888">
        <v>28.895364003328858</v>
      </c>
      <c r="L101" s="888">
        <v>14</v>
      </c>
      <c r="M101" s="888">
        <v>492.70374472371321</v>
      </c>
      <c r="N101" s="888">
        <v>6</v>
      </c>
      <c r="O101" s="884">
        <v>31.964019804783138</v>
      </c>
      <c r="P101" s="888">
        <v>6</v>
      </c>
      <c r="Q101" s="884">
        <v>26.887240529691788</v>
      </c>
      <c r="R101" s="888">
        <v>20</v>
      </c>
      <c r="S101" s="888">
        <v>1179.6774913993177</v>
      </c>
      <c r="T101" s="906">
        <v>171.59954020166202</v>
      </c>
      <c r="U101" s="906">
        <v>176.95162370989763</v>
      </c>
      <c r="V101" s="906">
        <v>210</v>
      </c>
      <c r="W101" s="1141">
        <v>30.405293529481987</v>
      </c>
      <c r="X101" s="902">
        <v>602.5715724462259</v>
      </c>
      <c r="Y101" s="902">
        <v>80.72928310945899</v>
      </c>
      <c r="Z101" s="902">
        <v>6</v>
      </c>
      <c r="AA101" s="902">
        <v>13.905425690042906</v>
      </c>
      <c r="AB101" s="970">
        <v>148.18957922728339</v>
      </c>
      <c r="AC101" s="1045">
        <v>2583.7041774593426</v>
      </c>
      <c r="AD101" s="890">
        <v>0.53708322392200936</v>
      </c>
      <c r="AE101" s="890">
        <v>0.3220262421283856</v>
      </c>
      <c r="AF101" s="890">
        <v>-0.79502526412746499</v>
      </c>
      <c r="AG101" s="890">
        <v>0.64295733038064973</v>
      </c>
      <c r="AH101" s="888"/>
      <c r="AI101" s="907">
        <v>12.233155105492955</v>
      </c>
      <c r="AJ101" s="908">
        <v>236.56109883976563</v>
      </c>
      <c r="AK101" s="902">
        <v>542.46510064946176</v>
      </c>
      <c r="AL101" s="902">
        <v>10.214743155466149</v>
      </c>
      <c r="AM101" s="902">
        <v>20.927738898568069</v>
      </c>
      <c r="AN101" s="902">
        <v>179.55795430315342</v>
      </c>
      <c r="AO101" s="902">
        <v>168.83733756791395</v>
      </c>
      <c r="AP101" s="1222">
        <v>1490</v>
      </c>
      <c r="AQ101" s="909" t="s">
        <v>1062</v>
      </c>
      <c r="AR101" s="909">
        <v>8</v>
      </c>
      <c r="AS101" s="909">
        <v>2</v>
      </c>
      <c r="AT101" s="909">
        <v>10</v>
      </c>
      <c r="AU101" s="909">
        <v>37.756474670975393</v>
      </c>
      <c r="AV101" s="910">
        <v>1962.1804011981487</v>
      </c>
      <c r="AW101" s="909">
        <v>2</v>
      </c>
      <c r="AX101" s="909">
        <v>10</v>
      </c>
      <c r="AY101" s="909">
        <v>59.520034411110828</v>
      </c>
      <c r="AZ101" s="910">
        <v>1925.7793915164232</v>
      </c>
      <c r="BA101" s="871">
        <v>1925.7793915164232</v>
      </c>
      <c r="BB101" s="911">
        <v>146.76302614798956</v>
      </c>
      <c r="BC101" s="908">
        <v>236.56109883976563</v>
      </c>
      <c r="BD101" s="902">
        <v>552.87914483998225</v>
      </c>
      <c r="BE101" s="902">
        <v>12.257691786559379</v>
      </c>
      <c r="BF101" s="902">
        <v>29.298834457995298</v>
      </c>
      <c r="BG101" s="902">
        <v>181.26752053476207</v>
      </c>
      <c r="BH101" s="902">
        <v>173.60353553906484</v>
      </c>
      <c r="BI101" s="902">
        <v>1862.5</v>
      </c>
      <c r="BJ101" s="909" t="s">
        <v>1062</v>
      </c>
      <c r="BK101" s="909">
        <v>8</v>
      </c>
      <c r="BL101" s="909">
        <v>2</v>
      </c>
      <c r="BM101" s="909">
        <v>12</v>
      </c>
      <c r="BN101" s="909">
        <v>37.756474670975393</v>
      </c>
      <c r="BO101" s="910">
        <v>2065.8876172167979</v>
      </c>
      <c r="BP101" s="909">
        <v>2</v>
      </c>
      <c r="BQ101" s="909">
        <v>14</v>
      </c>
      <c r="BR101" s="909">
        <v>59.520034411110828</v>
      </c>
      <c r="BS101" s="910">
        <v>2056.1513494886349</v>
      </c>
      <c r="BT101" s="871">
        <v>2056.1513494886349</v>
      </c>
      <c r="BU101" s="911">
        <v>156.69863100549804</v>
      </c>
      <c r="BV101" s="908">
        <v>236.56109883976563</v>
      </c>
      <c r="BW101" s="902">
        <v>542.46510064946176</v>
      </c>
      <c r="BX101" s="902">
        <v>10.214743155466149</v>
      </c>
      <c r="BY101" s="902">
        <v>20.927738898568069</v>
      </c>
      <c r="BZ101" s="902">
        <v>179.55795430315342</v>
      </c>
      <c r="CA101" s="902">
        <v>168.83733756791395</v>
      </c>
      <c r="CB101" s="902">
        <v>1490</v>
      </c>
      <c r="CC101" s="909" t="s">
        <v>2874</v>
      </c>
      <c r="CD101" s="909">
        <v>8</v>
      </c>
      <c r="CE101" s="909">
        <v>2</v>
      </c>
      <c r="CF101" s="909">
        <v>10</v>
      </c>
      <c r="CG101" s="909">
        <v>37.756474670975393</v>
      </c>
      <c r="CH101" s="910">
        <v>1922.5363064900189</v>
      </c>
      <c r="CI101" s="909">
        <v>2</v>
      </c>
      <c r="CJ101" s="909">
        <v>10</v>
      </c>
      <c r="CK101" s="909">
        <v>59.520034411110828</v>
      </c>
      <c r="CL101" s="910">
        <v>1886.8707465530838</v>
      </c>
      <c r="CM101" s="871">
        <v>1886.8707465530838</v>
      </c>
      <c r="CN101" s="911">
        <v>143.79781086772795</v>
      </c>
      <c r="CO101" s="908">
        <v>236.56109883976563</v>
      </c>
      <c r="CP101" s="902">
        <v>552.87914483998225</v>
      </c>
      <c r="CQ101" s="902">
        <v>12.257691786559379</v>
      </c>
      <c r="CR101" s="902">
        <v>29.298834457995298</v>
      </c>
      <c r="CS101" s="902">
        <v>181.26752053476207</v>
      </c>
      <c r="CT101" s="902">
        <v>173.60353553906484</v>
      </c>
      <c r="CU101" s="902">
        <v>1862.5</v>
      </c>
      <c r="CV101" s="909" t="s">
        <v>2875</v>
      </c>
      <c r="CW101" s="909">
        <v>8</v>
      </c>
      <c r="CX101" s="909">
        <v>2</v>
      </c>
      <c r="CY101" s="909">
        <v>12</v>
      </c>
      <c r="CZ101" s="909">
        <v>37.756474670975393</v>
      </c>
      <c r="DA101" s="910">
        <v>2106.8002546156313</v>
      </c>
      <c r="DB101" s="909">
        <v>2</v>
      </c>
      <c r="DC101" s="909">
        <v>14</v>
      </c>
      <c r="DD101" s="909">
        <v>59.520034411110828</v>
      </c>
      <c r="DE101" s="910">
        <v>2096.8711707885373</v>
      </c>
      <c r="DF101" s="871">
        <v>2096.8711707885373</v>
      </c>
      <c r="DG101" s="911">
        <v>159.80187545006194</v>
      </c>
      <c r="DH101" s="908">
        <v>236.56109883976563</v>
      </c>
      <c r="DI101" s="902">
        <v>542.46510064946176</v>
      </c>
      <c r="DJ101" s="902">
        <v>10.214743155466149</v>
      </c>
      <c r="DK101" s="902">
        <v>20.927738898568069</v>
      </c>
      <c r="DL101" s="902">
        <v>179.55795430315342</v>
      </c>
      <c r="DM101" s="902">
        <v>168.83733756791395</v>
      </c>
      <c r="DN101" s="902">
        <v>1490</v>
      </c>
      <c r="DO101" s="909" t="s">
        <v>2875</v>
      </c>
      <c r="DP101" s="909">
        <v>8</v>
      </c>
      <c r="DQ101" s="909">
        <v>2</v>
      </c>
      <c r="DR101" s="909">
        <v>10</v>
      </c>
      <c r="DS101" s="909">
        <v>37.756474670975393</v>
      </c>
      <c r="DT101" s="910">
        <v>2001.0392309797362</v>
      </c>
      <c r="DU101" s="909">
        <v>2</v>
      </c>
      <c r="DV101" s="909">
        <v>10</v>
      </c>
      <c r="DW101" s="909">
        <v>59.520034411110828</v>
      </c>
      <c r="DX101" s="910">
        <v>1963.9173392434166</v>
      </c>
      <c r="DY101" s="871">
        <v>1963.9173392434166</v>
      </c>
      <c r="DZ101" s="911">
        <v>149.66950684050542</v>
      </c>
      <c r="EA101" s="908">
        <v>236.56109883976563</v>
      </c>
      <c r="EB101" s="902">
        <v>552.87914483998225</v>
      </c>
      <c r="EC101" s="902">
        <v>12.257691786559379</v>
      </c>
      <c r="ED101" s="902">
        <v>29.298834457995298</v>
      </c>
      <c r="EE101" s="902">
        <v>181.26752053476207</v>
      </c>
      <c r="EF101" s="902">
        <v>173.60353553906484</v>
      </c>
      <c r="EG101" s="902">
        <v>1862.5</v>
      </c>
      <c r="EH101" s="909" t="s">
        <v>2875</v>
      </c>
      <c r="EI101" s="909">
        <v>8</v>
      </c>
      <c r="EJ101" s="909">
        <v>2</v>
      </c>
      <c r="EK101" s="909">
        <v>12</v>
      </c>
      <c r="EL101" s="909">
        <v>37.756474670975393</v>
      </c>
      <c r="EM101" s="910">
        <v>2106.8002546156313</v>
      </c>
      <c r="EN101" s="909">
        <v>2</v>
      </c>
      <c r="EO101" s="909">
        <v>14</v>
      </c>
      <c r="EP101" s="909">
        <v>59.520034411110828</v>
      </c>
      <c r="EQ101" s="910">
        <v>2096.8711707885373</v>
      </c>
      <c r="ER101" s="871">
        <v>2096.8711707885373</v>
      </c>
      <c r="ES101" s="911">
        <v>159.80187545006194</v>
      </c>
      <c r="ET101" s="908">
        <v>236.56109883976563</v>
      </c>
      <c r="EU101" s="902">
        <v>537.35772907172873</v>
      </c>
      <c r="EV101" s="902">
        <v>5.1073715777330744</v>
      </c>
      <c r="EW101" s="902">
        <v>20.927738898568069</v>
      </c>
      <c r="EX101" s="902">
        <v>178.62666153729936</v>
      </c>
      <c r="EY101" s="902">
        <v>167.13612821786467</v>
      </c>
      <c r="EZ101" s="902">
        <v>1490</v>
      </c>
      <c r="FA101" s="909" t="s">
        <v>2877</v>
      </c>
      <c r="FB101" s="909">
        <v>8</v>
      </c>
      <c r="FC101" s="909">
        <v>1</v>
      </c>
      <c r="FD101" s="909">
        <v>10</v>
      </c>
      <c r="FE101" s="909">
        <v>37.756474670975393</v>
      </c>
      <c r="FF101" s="910">
        <v>1721.7155426888401</v>
      </c>
      <c r="FG101" s="909">
        <v>2</v>
      </c>
      <c r="FH101" s="909">
        <v>10</v>
      </c>
      <c r="FI101" s="909">
        <v>59.520034411110828</v>
      </c>
      <c r="FJ101" s="910">
        <v>2583.7041774593426</v>
      </c>
      <c r="FK101" s="871">
        <v>1721.7155426888401</v>
      </c>
      <c r="FL101" s="911">
        <v>131.21138606227908</v>
      </c>
      <c r="FM101" s="908">
        <v>236.56109883976563</v>
      </c>
      <c r="FN101" s="902">
        <v>542.46510064946176</v>
      </c>
      <c r="FO101" s="902">
        <v>10.214743155466149</v>
      </c>
      <c r="FP101" s="902">
        <v>20.927738898568069</v>
      </c>
      <c r="FQ101" s="902">
        <v>179.55795430315342</v>
      </c>
      <c r="FR101" s="902">
        <v>168.83733756791395</v>
      </c>
      <c r="FS101" s="902">
        <v>1862.5</v>
      </c>
      <c r="FT101" s="909" t="s">
        <v>3884</v>
      </c>
      <c r="FU101" s="909">
        <v>8</v>
      </c>
      <c r="FV101" s="909">
        <v>2</v>
      </c>
      <c r="FW101" s="909">
        <v>10</v>
      </c>
      <c r="FX101" s="909">
        <v>37.756474670975393</v>
      </c>
      <c r="FY101" s="910">
        <v>2131.4734982350665</v>
      </c>
      <c r="FZ101" s="909">
        <v>2</v>
      </c>
      <c r="GA101" s="909">
        <v>10</v>
      </c>
      <c r="GB101" s="909">
        <v>59.520034411110828</v>
      </c>
      <c r="GC101" s="910">
        <v>2091.9318804520026</v>
      </c>
      <c r="GD101" s="871">
        <v>2091.9318804520026</v>
      </c>
      <c r="GE101" s="911">
        <v>159.42545372698885</v>
      </c>
      <c r="GF101" s="908">
        <v>236.56109883976563</v>
      </c>
      <c r="GG101" s="902">
        <v>537.35772907172873</v>
      </c>
      <c r="GH101" s="902">
        <v>5.1073715777330744</v>
      </c>
      <c r="GI101" s="902">
        <v>20.927738898568069</v>
      </c>
      <c r="GJ101" s="902">
        <v>178.62666153729936</v>
      </c>
      <c r="GK101" s="902">
        <v>167.13612821786467</v>
      </c>
      <c r="GL101" s="902">
        <v>1490</v>
      </c>
      <c r="GM101" s="909" t="s">
        <v>2877</v>
      </c>
      <c r="GN101" s="909">
        <v>8</v>
      </c>
      <c r="GO101" s="909">
        <v>1</v>
      </c>
      <c r="GP101" s="909">
        <v>10</v>
      </c>
      <c r="GQ101" s="909">
        <v>37.756474670975393</v>
      </c>
      <c r="GR101" s="910">
        <v>1721.7155426888401</v>
      </c>
      <c r="GS101" s="909">
        <v>2</v>
      </c>
      <c r="GT101" s="909">
        <v>10</v>
      </c>
      <c r="GU101" s="909">
        <v>59.520034411110828</v>
      </c>
      <c r="GV101" s="910">
        <v>2583.7041774593426</v>
      </c>
      <c r="GW101" s="871">
        <v>1721.7155426888401</v>
      </c>
      <c r="GX101" s="911">
        <v>131.21138606227908</v>
      </c>
      <c r="GY101" s="908">
        <v>236.56109883976563</v>
      </c>
      <c r="GZ101" s="902">
        <v>542.46510064946176</v>
      </c>
      <c r="HA101" s="902">
        <v>10.214743155466149</v>
      </c>
      <c r="HB101" s="902">
        <v>20.927738898568069</v>
      </c>
      <c r="HC101" s="902">
        <v>179.55795430315342</v>
      </c>
      <c r="HD101" s="902">
        <v>168.83733756791395</v>
      </c>
      <c r="HE101" s="902">
        <v>1862.5</v>
      </c>
      <c r="HF101" s="909" t="s">
        <v>2877</v>
      </c>
      <c r="HG101" s="909">
        <v>8</v>
      </c>
      <c r="HH101" s="909">
        <v>2</v>
      </c>
      <c r="HI101" s="909">
        <v>10</v>
      </c>
      <c r="HJ101" s="909">
        <v>37.756474670975393</v>
      </c>
      <c r="HK101" s="910">
        <v>2632.5412567181224</v>
      </c>
      <c r="HL101" s="909">
        <v>2</v>
      </c>
      <c r="HM101" s="909">
        <v>10</v>
      </c>
      <c r="HN101" s="909">
        <v>59.520034411110828</v>
      </c>
      <c r="HO101" s="910">
        <v>2583.7041774593426</v>
      </c>
      <c r="HP101" s="871">
        <v>2583.7041774593426</v>
      </c>
      <c r="HQ101" s="911">
        <v>196.90326183029029</v>
      </c>
      <c r="HR101" s="908">
        <v>177.42082412982421</v>
      </c>
      <c r="HS101" s="902">
        <v>477.09632952871345</v>
      </c>
      <c r="HT101" s="902">
        <v>8.1717945243729186</v>
      </c>
      <c r="HU101" s="902">
        <v>16.742191118854457</v>
      </c>
      <c r="HV101" s="902">
        <v>166.21171593498218</v>
      </c>
      <c r="HW101" s="902">
        <v>141.24763181854649</v>
      </c>
      <c r="HX101" s="902">
        <v>1490</v>
      </c>
      <c r="HY101" s="909" t="s">
        <v>1063</v>
      </c>
      <c r="HZ101" s="909">
        <v>6</v>
      </c>
      <c r="IA101" s="909">
        <v>2</v>
      </c>
      <c r="IB101" s="909">
        <v>8</v>
      </c>
      <c r="IC101" s="909">
        <v>37.756474670975393</v>
      </c>
      <c r="ID101" s="910">
        <v>1898.884910336039</v>
      </c>
      <c r="IE101" s="909">
        <v>2</v>
      </c>
      <c r="IF101" s="909">
        <v>8</v>
      </c>
      <c r="IG101" s="909">
        <v>59.520034411110828</v>
      </c>
      <c r="IH101" s="910">
        <v>1801.7942060868043</v>
      </c>
      <c r="II101" s="871">
        <v>1801.7942060868043</v>
      </c>
      <c r="IJ101" s="911">
        <v>137.3141551655028</v>
      </c>
      <c r="IK101" s="908">
        <v>147.85068677485353</v>
      </c>
      <c r="IL101" s="902">
        <v>459.98318499535651</v>
      </c>
      <c r="IM101" s="902">
        <v>12.257691786559379</v>
      </c>
      <c r="IN101" s="902">
        <v>25.113286678281685</v>
      </c>
      <c r="IO101" s="902">
        <v>161.90630051567291</v>
      </c>
      <c r="IP101" s="902">
        <v>134.26113108282607</v>
      </c>
      <c r="IQ101" s="902">
        <v>1862.5</v>
      </c>
      <c r="IR101" s="909" t="s">
        <v>1063</v>
      </c>
      <c r="IS101" s="909">
        <v>5</v>
      </c>
      <c r="IT101" s="909">
        <v>3</v>
      </c>
      <c r="IU101" s="909">
        <v>8</v>
      </c>
      <c r="IV101" s="909">
        <v>37.756474670975393</v>
      </c>
      <c r="IW101" s="910">
        <v>2305.0944315163142</v>
      </c>
      <c r="IX101" s="909">
        <v>3</v>
      </c>
      <c r="IY101" s="909">
        <v>8</v>
      </c>
      <c r="IZ101" s="909">
        <v>59.520034411110828</v>
      </c>
      <c r="JA101" s="910">
        <v>2186.8957463980064</v>
      </c>
      <c r="JB101" s="871">
        <v>2186.8957463980064</v>
      </c>
      <c r="JC101" s="911">
        <v>166.66261931425421</v>
      </c>
      <c r="JD101" s="908">
        <v>118.28054941988282</v>
      </c>
      <c r="JE101" s="902">
        <v>411.72755840796526</v>
      </c>
      <c r="JF101" s="902">
        <v>6.1288458932796894</v>
      </c>
      <c r="JG101" s="902">
        <v>12.556643339140843</v>
      </c>
      <c r="JH101" s="902">
        <v>148.62759169594355</v>
      </c>
      <c r="JI101" s="902">
        <v>113.65792606917908</v>
      </c>
      <c r="JJ101" s="902">
        <v>1490</v>
      </c>
      <c r="JK101" s="909" t="s">
        <v>1064</v>
      </c>
      <c r="JL101" s="909">
        <v>4</v>
      </c>
      <c r="JM101" s="909">
        <v>2</v>
      </c>
      <c r="JN101" s="909">
        <v>6</v>
      </c>
      <c r="JO101" s="909">
        <v>37.756474670975393</v>
      </c>
      <c r="JP101" s="910">
        <v>1965.7605626883064</v>
      </c>
      <c r="JQ101" s="909">
        <v>2</v>
      </c>
      <c r="JR101" s="909">
        <v>6</v>
      </c>
      <c r="JS101" s="909">
        <v>59.520034411110828</v>
      </c>
      <c r="JT101" s="910">
        <v>1859.7450110435352</v>
      </c>
      <c r="JU101" s="871">
        <v>1859.7450110435352</v>
      </c>
      <c r="JV101" s="911">
        <v>141.73056731563213</v>
      </c>
      <c r="JW101" s="908">
        <v>147.85068677485353</v>
      </c>
      <c r="JX101" s="902">
        <v>447.5261921737428</v>
      </c>
      <c r="JY101" s="902">
        <v>8.1717945243729186</v>
      </c>
      <c r="JZ101" s="902">
        <v>16.742191118854457</v>
      </c>
      <c r="KA101" s="902">
        <v>158.85565228350541</v>
      </c>
      <c r="KB101" s="902">
        <v>128.81444937165546</v>
      </c>
      <c r="KC101" s="902">
        <v>1862.5</v>
      </c>
      <c r="KD101" s="909" t="s">
        <v>1064</v>
      </c>
      <c r="KE101" s="909">
        <v>5</v>
      </c>
      <c r="KF101" s="909">
        <v>2</v>
      </c>
      <c r="KG101" s="909">
        <v>8</v>
      </c>
      <c r="KH101" s="909">
        <v>37.756474670975393</v>
      </c>
      <c r="KI101" s="910">
        <v>2264.7442104922734</v>
      </c>
      <c r="KJ101" s="909">
        <v>2</v>
      </c>
      <c r="KK101" s="909">
        <v>8</v>
      </c>
      <c r="KL101" s="909">
        <v>59.520034411110828</v>
      </c>
      <c r="KM101" s="910">
        <v>2145.1214263570855</v>
      </c>
      <c r="KN101" s="871">
        <v>2145.1214263570855</v>
      </c>
      <c r="KO101" s="912">
        <v>163.47901186083118</v>
      </c>
    </row>
    <row r="102" spans="1:301" ht="15" customHeight="1">
      <c r="A102" s="1396" t="s">
        <v>2527</v>
      </c>
      <c r="B102" s="888" t="s">
        <v>1073</v>
      </c>
      <c r="C102" s="888">
        <v>150</v>
      </c>
      <c r="D102" s="888">
        <v>744.25813931036839</v>
      </c>
      <c r="E102" s="888">
        <v>150</v>
      </c>
      <c r="F102" s="888">
        <v>124.12821371849967</v>
      </c>
      <c r="G102" s="888">
        <v>64.208696767228815</v>
      </c>
      <c r="H102" s="888">
        <v>52.295545174568041</v>
      </c>
      <c r="I102" s="888">
        <v>29.542676662794939</v>
      </c>
      <c r="J102" s="888">
        <v>52.228277459146454</v>
      </c>
      <c r="K102" s="888">
        <v>81.279201136315208</v>
      </c>
      <c r="L102" s="888">
        <v>10</v>
      </c>
      <c r="M102" s="888">
        <v>326.40196195918071</v>
      </c>
      <c r="N102" s="888">
        <v>5</v>
      </c>
      <c r="O102" s="884">
        <v>16.382024945730493</v>
      </c>
      <c r="P102" s="888">
        <v>5</v>
      </c>
      <c r="Q102" s="884">
        <v>11.264032167141096</v>
      </c>
      <c r="R102" s="888">
        <v>13.000000000000002</v>
      </c>
      <c r="S102" s="888">
        <v>434.19317651443407</v>
      </c>
      <c r="T102" s="906">
        <v>15.110153582263392</v>
      </c>
      <c r="U102" s="906">
        <v>65.128976477165111</v>
      </c>
      <c r="V102" s="906">
        <v>35</v>
      </c>
      <c r="W102" s="1141">
        <v>0.68649495842494723</v>
      </c>
      <c r="X102" s="902">
        <v>0</v>
      </c>
      <c r="Y102" s="902">
        <v>0</v>
      </c>
      <c r="Z102" s="902">
        <v>0</v>
      </c>
      <c r="AA102" s="902">
        <v>0</v>
      </c>
      <c r="AB102" s="970">
        <v>3.9167074518179379</v>
      </c>
      <c r="AC102" s="1045">
        <v>4000</v>
      </c>
      <c r="AD102" s="890">
        <v>2.3110728646275538</v>
      </c>
      <c r="AE102" s="890">
        <v>1.2905068660880776</v>
      </c>
      <c r="AF102" s="890">
        <v>-0.15018135641928579</v>
      </c>
      <c r="AG102" s="890">
        <v>0.81011413500687901</v>
      </c>
      <c r="AH102" s="888"/>
      <c r="AI102" s="907">
        <v>1.9719702060159707</v>
      </c>
      <c r="AJ102" s="908">
        <v>3.1453563891312406</v>
      </c>
      <c r="AK102" s="902">
        <v>46.588062042691163</v>
      </c>
      <c r="AL102" s="902">
        <v>0</v>
      </c>
      <c r="AM102" s="902">
        <v>0</v>
      </c>
      <c r="AN102" s="902">
        <v>23.12482387992636</v>
      </c>
      <c r="AO102" s="902">
        <v>2.8084388488747942</v>
      </c>
      <c r="AP102" s="1222">
        <v>3540</v>
      </c>
      <c r="AQ102" s="909" t="s">
        <v>1062</v>
      </c>
      <c r="AR102" s="909">
        <v>3</v>
      </c>
      <c r="AS102" s="909">
        <v>0</v>
      </c>
      <c r="AT102" s="909">
        <v>0</v>
      </c>
      <c r="AU102" s="909">
        <v>0</v>
      </c>
      <c r="AV102" s="910">
        <v>14610.340577730187</v>
      </c>
      <c r="AW102" s="909">
        <v>0</v>
      </c>
      <c r="AX102" s="909">
        <v>0</v>
      </c>
      <c r="AY102" s="909">
        <v>0</v>
      </c>
      <c r="AZ102" s="910">
        <v>29489.725257823979</v>
      </c>
      <c r="BA102" s="871">
        <v>4000</v>
      </c>
      <c r="BB102" s="911">
        <v>155.87706018879081</v>
      </c>
      <c r="BC102" s="908">
        <v>3.1453563891312406</v>
      </c>
      <c r="BD102" s="902">
        <v>46.588062042691163</v>
      </c>
      <c r="BE102" s="902">
        <v>0</v>
      </c>
      <c r="BF102" s="902">
        <v>0</v>
      </c>
      <c r="BG102" s="902">
        <v>23.12482387992636</v>
      </c>
      <c r="BH102" s="902">
        <v>2.8084388488747942</v>
      </c>
      <c r="BI102" s="902">
        <v>3600</v>
      </c>
      <c r="BJ102" s="909" t="s">
        <v>1062</v>
      </c>
      <c r="BK102" s="909">
        <v>3</v>
      </c>
      <c r="BL102" s="909">
        <v>0</v>
      </c>
      <c r="BM102" s="909">
        <v>0</v>
      </c>
      <c r="BN102" s="909">
        <v>0</v>
      </c>
      <c r="BO102" s="910">
        <v>14610.340577730187</v>
      </c>
      <c r="BP102" s="909">
        <v>0</v>
      </c>
      <c r="BQ102" s="909">
        <v>0</v>
      </c>
      <c r="BR102" s="909">
        <v>0</v>
      </c>
      <c r="BS102" s="910">
        <v>29489.725257823979</v>
      </c>
      <c r="BT102" s="871">
        <v>4000</v>
      </c>
      <c r="BU102" s="911">
        <v>155.87706018879081</v>
      </c>
      <c r="BV102" s="908">
        <v>3.1453563891312406</v>
      </c>
      <c r="BW102" s="902">
        <v>46.588062042691163</v>
      </c>
      <c r="BX102" s="902">
        <v>0</v>
      </c>
      <c r="BY102" s="902">
        <v>0</v>
      </c>
      <c r="BZ102" s="902">
        <v>23.12482387992636</v>
      </c>
      <c r="CA102" s="902">
        <v>2.8084388488747942</v>
      </c>
      <c r="CB102" s="902">
        <v>3540</v>
      </c>
      <c r="CC102" s="909" t="s">
        <v>2874</v>
      </c>
      <c r="CD102" s="909">
        <v>3</v>
      </c>
      <c r="CE102" s="909">
        <v>0</v>
      </c>
      <c r="CF102" s="909">
        <v>0</v>
      </c>
      <c r="CG102" s="909">
        <v>0</v>
      </c>
      <c r="CH102" s="910">
        <v>14315.151753487578</v>
      </c>
      <c r="CI102" s="909">
        <v>0</v>
      </c>
      <c r="CJ102" s="909">
        <v>0</v>
      </c>
      <c r="CK102" s="909">
        <v>0</v>
      </c>
      <c r="CL102" s="910">
        <v>28893.911814613537</v>
      </c>
      <c r="CM102" s="871">
        <v>4000</v>
      </c>
      <c r="CN102" s="911">
        <v>155.87706018879081</v>
      </c>
      <c r="CO102" s="908">
        <v>3.1453563891312406</v>
      </c>
      <c r="CP102" s="902">
        <v>46.588062042691163</v>
      </c>
      <c r="CQ102" s="902">
        <v>0</v>
      </c>
      <c r="CR102" s="902">
        <v>0</v>
      </c>
      <c r="CS102" s="902">
        <v>23.12482387992636</v>
      </c>
      <c r="CT102" s="902">
        <v>2.8084388488747942</v>
      </c>
      <c r="CU102" s="902">
        <v>3600</v>
      </c>
      <c r="CV102" s="909" t="s">
        <v>2874</v>
      </c>
      <c r="CW102" s="909">
        <v>3</v>
      </c>
      <c r="CX102" s="909">
        <v>0</v>
      </c>
      <c r="CY102" s="909">
        <v>0</v>
      </c>
      <c r="CZ102" s="909">
        <v>0</v>
      </c>
      <c r="DA102" s="910">
        <v>14315.151753487578</v>
      </c>
      <c r="DB102" s="909">
        <v>0</v>
      </c>
      <c r="DC102" s="909">
        <v>0</v>
      </c>
      <c r="DD102" s="909">
        <v>0</v>
      </c>
      <c r="DE102" s="910">
        <v>28893.911814613537</v>
      </c>
      <c r="DF102" s="871">
        <v>4000</v>
      </c>
      <c r="DG102" s="911">
        <v>155.87706018879081</v>
      </c>
      <c r="DH102" s="908">
        <v>3.1453563891312406</v>
      </c>
      <c r="DI102" s="902">
        <v>46.588062042691163</v>
      </c>
      <c r="DJ102" s="902">
        <v>0</v>
      </c>
      <c r="DK102" s="902">
        <v>0</v>
      </c>
      <c r="DL102" s="902">
        <v>23.12482387992636</v>
      </c>
      <c r="DM102" s="902">
        <v>2.8084388488747942</v>
      </c>
      <c r="DN102" s="902">
        <v>3540</v>
      </c>
      <c r="DO102" s="909" t="s">
        <v>2875</v>
      </c>
      <c r="DP102" s="909">
        <v>3</v>
      </c>
      <c r="DQ102" s="909">
        <v>0</v>
      </c>
      <c r="DR102" s="909">
        <v>0</v>
      </c>
      <c r="DS102" s="909">
        <v>0</v>
      </c>
      <c r="DT102" s="910">
        <v>14899.682341216543</v>
      </c>
      <c r="DU102" s="909">
        <v>0</v>
      </c>
      <c r="DV102" s="909">
        <v>0</v>
      </c>
      <c r="DW102" s="909">
        <v>0</v>
      </c>
      <c r="DX102" s="910">
        <v>30073.736908026905</v>
      </c>
      <c r="DY102" s="871">
        <v>4000</v>
      </c>
      <c r="DZ102" s="911">
        <v>155.87706018879081</v>
      </c>
      <c r="EA102" s="908">
        <v>3.1453563891312406</v>
      </c>
      <c r="EB102" s="902">
        <v>46.588062042691163</v>
      </c>
      <c r="EC102" s="902">
        <v>0</v>
      </c>
      <c r="ED102" s="902">
        <v>0</v>
      </c>
      <c r="EE102" s="902">
        <v>23.12482387992636</v>
      </c>
      <c r="EF102" s="902">
        <v>2.8084388488747942</v>
      </c>
      <c r="EG102" s="902">
        <v>3600</v>
      </c>
      <c r="EH102" s="909" t="s">
        <v>2875</v>
      </c>
      <c r="EI102" s="909">
        <v>3</v>
      </c>
      <c r="EJ102" s="909">
        <v>0</v>
      </c>
      <c r="EK102" s="909">
        <v>0</v>
      </c>
      <c r="EL102" s="909">
        <v>0</v>
      </c>
      <c r="EM102" s="910">
        <v>14899.682341216543</v>
      </c>
      <c r="EN102" s="909">
        <v>0</v>
      </c>
      <c r="EO102" s="909">
        <v>0</v>
      </c>
      <c r="EP102" s="909">
        <v>0</v>
      </c>
      <c r="EQ102" s="910">
        <v>30073.736908026905</v>
      </c>
      <c r="ER102" s="871">
        <v>4000</v>
      </c>
      <c r="ES102" s="911">
        <v>155.87706018879081</v>
      </c>
      <c r="ET102" s="908">
        <v>3.1453563891312406</v>
      </c>
      <c r="EU102" s="902">
        <v>46.588062042691163</v>
      </c>
      <c r="EV102" s="902">
        <v>0</v>
      </c>
      <c r="EW102" s="902">
        <v>0</v>
      </c>
      <c r="EX102" s="902">
        <v>23.12482387992636</v>
      </c>
      <c r="EY102" s="902">
        <v>2.8084388488747942</v>
      </c>
      <c r="EZ102" s="902">
        <v>3540</v>
      </c>
      <c r="FA102" s="909" t="s">
        <v>3884</v>
      </c>
      <c r="FB102" s="909">
        <v>3</v>
      </c>
      <c r="FC102" s="909">
        <v>0</v>
      </c>
      <c r="FD102" s="909">
        <v>0</v>
      </c>
      <c r="FE102" s="909">
        <v>0</v>
      </c>
      <c r="FF102" s="910">
        <v>15870.892259755838</v>
      </c>
      <c r="FG102" s="909">
        <v>0</v>
      </c>
      <c r="FH102" s="909">
        <v>0</v>
      </c>
      <c r="FI102" s="909">
        <v>0</v>
      </c>
      <c r="FJ102" s="910">
        <v>32034.041222154465</v>
      </c>
      <c r="FK102" s="871">
        <v>4000</v>
      </c>
      <c r="FL102" s="911">
        <v>155.87706018879081</v>
      </c>
      <c r="FM102" s="908">
        <v>3.1453563891312406</v>
      </c>
      <c r="FN102" s="902">
        <v>46.588062042691163</v>
      </c>
      <c r="FO102" s="902">
        <v>0</v>
      </c>
      <c r="FP102" s="902">
        <v>0</v>
      </c>
      <c r="FQ102" s="902">
        <v>23.12482387992636</v>
      </c>
      <c r="FR102" s="902">
        <v>2.8084388488747942</v>
      </c>
      <c r="FS102" s="902">
        <v>3600</v>
      </c>
      <c r="FT102" s="909" t="s">
        <v>3884</v>
      </c>
      <c r="FU102" s="909">
        <v>3</v>
      </c>
      <c r="FV102" s="909">
        <v>0</v>
      </c>
      <c r="FW102" s="909">
        <v>0</v>
      </c>
      <c r="FX102" s="909">
        <v>0</v>
      </c>
      <c r="FY102" s="910">
        <v>15870.892259755838</v>
      </c>
      <c r="FZ102" s="909">
        <v>0</v>
      </c>
      <c r="GA102" s="909">
        <v>0</v>
      </c>
      <c r="GB102" s="909">
        <v>0</v>
      </c>
      <c r="GC102" s="910">
        <v>32034.041222154465</v>
      </c>
      <c r="GD102" s="871">
        <v>4000</v>
      </c>
      <c r="GE102" s="911">
        <v>155.87706018879081</v>
      </c>
      <c r="GF102" s="908">
        <v>3.1453563891312406</v>
      </c>
      <c r="GG102" s="902">
        <v>46.588062042691163</v>
      </c>
      <c r="GH102" s="902">
        <v>0</v>
      </c>
      <c r="GI102" s="902">
        <v>0</v>
      </c>
      <c r="GJ102" s="902">
        <v>23.12482387992636</v>
      </c>
      <c r="GK102" s="902">
        <v>2.8084388488747942</v>
      </c>
      <c r="GL102" s="902">
        <v>3540</v>
      </c>
      <c r="GM102" s="909" t="s">
        <v>2877</v>
      </c>
      <c r="GN102" s="909">
        <v>3</v>
      </c>
      <c r="GO102" s="909">
        <v>0</v>
      </c>
      <c r="GP102" s="909">
        <v>0</v>
      </c>
      <c r="GQ102" s="909">
        <v>0</v>
      </c>
      <c r="GR102" s="910">
        <v>19601.828823736952</v>
      </c>
      <c r="GS102" s="909">
        <v>0</v>
      </c>
      <c r="GT102" s="909">
        <v>0</v>
      </c>
      <c r="GU102" s="909">
        <v>0</v>
      </c>
      <c r="GV102" s="910">
        <v>39564.618188572153</v>
      </c>
      <c r="GW102" s="871">
        <v>4000</v>
      </c>
      <c r="GX102" s="911">
        <v>155.87706018879081</v>
      </c>
      <c r="GY102" s="908">
        <v>3.1453563891312406</v>
      </c>
      <c r="GZ102" s="902">
        <v>46.588062042691163</v>
      </c>
      <c r="HA102" s="902">
        <v>0</v>
      </c>
      <c r="HB102" s="902">
        <v>0</v>
      </c>
      <c r="HC102" s="902">
        <v>23.12482387992636</v>
      </c>
      <c r="HD102" s="902">
        <v>2.8084388488747942</v>
      </c>
      <c r="HE102" s="902">
        <v>3600</v>
      </c>
      <c r="HF102" s="909" t="s">
        <v>2877</v>
      </c>
      <c r="HG102" s="909">
        <v>3</v>
      </c>
      <c r="HH102" s="909">
        <v>0</v>
      </c>
      <c r="HI102" s="909">
        <v>0</v>
      </c>
      <c r="HJ102" s="909">
        <v>0</v>
      </c>
      <c r="HK102" s="910">
        <v>19601.828823736952</v>
      </c>
      <c r="HL102" s="909">
        <v>0</v>
      </c>
      <c r="HM102" s="909">
        <v>0</v>
      </c>
      <c r="HN102" s="909">
        <v>0</v>
      </c>
      <c r="HO102" s="910">
        <v>39564.618188572153</v>
      </c>
      <c r="HP102" s="871">
        <v>4000</v>
      </c>
      <c r="HQ102" s="911">
        <v>155.87706018879081</v>
      </c>
      <c r="HR102" s="908">
        <v>3.1453563891312406</v>
      </c>
      <c r="HS102" s="902">
        <v>46.588062042691163</v>
      </c>
      <c r="HT102" s="902">
        <v>0</v>
      </c>
      <c r="HU102" s="902">
        <v>0</v>
      </c>
      <c r="HV102" s="902">
        <v>23.12482387992636</v>
      </c>
      <c r="HW102" s="902">
        <v>2.8084388488747942</v>
      </c>
      <c r="HX102" s="902">
        <v>3540</v>
      </c>
      <c r="HY102" s="909" t="s">
        <v>1063</v>
      </c>
      <c r="HZ102" s="909">
        <v>3</v>
      </c>
      <c r="IA102" s="909">
        <v>0</v>
      </c>
      <c r="IB102" s="909">
        <v>0</v>
      </c>
      <c r="IC102" s="909">
        <v>0</v>
      </c>
      <c r="ID102" s="910">
        <v>17287.188103221906</v>
      </c>
      <c r="IE102" s="909">
        <v>0</v>
      </c>
      <c r="IF102" s="909">
        <v>0</v>
      </c>
      <c r="IG102" s="909">
        <v>0</v>
      </c>
      <c r="IH102" s="910">
        <v>34892.713481394923</v>
      </c>
      <c r="II102" s="871">
        <v>4000</v>
      </c>
      <c r="IJ102" s="911">
        <v>155.87706018879081</v>
      </c>
      <c r="IK102" s="908">
        <v>3.1453563891312406</v>
      </c>
      <c r="IL102" s="902">
        <v>46.588062042691163</v>
      </c>
      <c r="IM102" s="902">
        <v>0</v>
      </c>
      <c r="IN102" s="902">
        <v>0</v>
      </c>
      <c r="IO102" s="902">
        <v>23.12482387992636</v>
      </c>
      <c r="IP102" s="902">
        <v>2.8084388488747942</v>
      </c>
      <c r="IQ102" s="902">
        <v>3600</v>
      </c>
      <c r="IR102" s="909" t="s">
        <v>1063</v>
      </c>
      <c r="IS102" s="909">
        <v>3</v>
      </c>
      <c r="IT102" s="909">
        <v>0</v>
      </c>
      <c r="IU102" s="909">
        <v>0</v>
      </c>
      <c r="IV102" s="909">
        <v>0</v>
      </c>
      <c r="IW102" s="910">
        <v>17287.188103221906</v>
      </c>
      <c r="IX102" s="909">
        <v>0</v>
      </c>
      <c r="IY102" s="909">
        <v>0</v>
      </c>
      <c r="IZ102" s="909">
        <v>0</v>
      </c>
      <c r="JA102" s="910">
        <v>34892.713481394923</v>
      </c>
      <c r="JB102" s="871">
        <v>4000</v>
      </c>
      <c r="JC102" s="911">
        <v>155.87706018879081</v>
      </c>
      <c r="JD102" s="908">
        <v>3.1453563891312406</v>
      </c>
      <c r="JE102" s="902">
        <v>46.588062042691163</v>
      </c>
      <c r="JF102" s="902">
        <v>0</v>
      </c>
      <c r="JG102" s="902">
        <v>0</v>
      </c>
      <c r="JH102" s="902">
        <v>23.12482387992636</v>
      </c>
      <c r="JI102" s="902">
        <v>2.8084388488747942</v>
      </c>
      <c r="JJ102" s="902">
        <v>3540</v>
      </c>
      <c r="JK102" s="909" t="s">
        <v>1064</v>
      </c>
      <c r="JL102" s="909">
        <v>3</v>
      </c>
      <c r="JM102" s="909">
        <v>0</v>
      </c>
      <c r="JN102" s="909">
        <v>0</v>
      </c>
      <c r="JO102" s="909">
        <v>0</v>
      </c>
      <c r="JP102" s="910">
        <v>23558.466305617188</v>
      </c>
      <c r="JQ102" s="909">
        <v>0</v>
      </c>
      <c r="JR102" s="909">
        <v>0</v>
      </c>
      <c r="JS102" s="909">
        <v>0</v>
      </c>
      <c r="JT102" s="910">
        <v>47550.753191017364</v>
      </c>
      <c r="JU102" s="871">
        <v>4000</v>
      </c>
      <c r="JV102" s="911">
        <v>155.87706018879081</v>
      </c>
      <c r="JW102" s="908">
        <v>3.1453563891312406</v>
      </c>
      <c r="JX102" s="902">
        <v>46.588062042691163</v>
      </c>
      <c r="JY102" s="902">
        <v>0</v>
      </c>
      <c r="JZ102" s="902">
        <v>0</v>
      </c>
      <c r="KA102" s="902">
        <v>23.12482387992636</v>
      </c>
      <c r="KB102" s="902">
        <v>2.8084388488747942</v>
      </c>
      <c r="KC102" s="902">
        <v>3600</v>
      </c>
      <c r="KD102" s="909" t="s">
        <v>1064</v>
      </c>
      <c r="KE102" s="909">
        <v>3</v>
      </c>
      <c r="KF102" s="909">
        <v>0</v>
      </c>
      <c r="KG102" s="909">
        <v>0</v>
      </c>
      <c r="KH102" s="909">
        <v>0</v>
      </c>
      <c r="KI102" s="910">
        <v>23558.466305617188</v>
      </c>
      <c r="KJ102" s="909">
        <v>0</v>
      </c>
      <c r="KK102" s="909">
        <v>0</v>
      </c>
      <c r="KL102" s="909">
        <v>0</v>
      </c>
      <c r="KM102" s="910">
        <v>47550.753191017364</v>
      </c>
      <c r="KN102" s="871">
        <v>4000</v>
      </c>
      <c r="KO102" s="912">
        <v>155.87706018879081</v>
      </c>
    </row>
    <row r="103" spans="1:301" ht="15" customHeight="1">
      <c r="A103" s="1396" t="s">
        <v>2574</v>
      </c>
      <c r="B103" s="888" t="s">
        <v>1073</v>
      </c>
      <c r="C103" s="888">
        <v>181.97800738851205</v>
      </c>
      <c r="D103" s="888">
        <v>960</v>
      </c>
      <c r="E103" s="888">
        <v>175.00000000000003</v>
      </c>
      <c r="F103" s="888">
        <v>157.43907609383865</v>
      </c>
      <c r="G103" s="888">
        <v>73.975257856293922</v>
      </c>
      <c r="H103" s="888">
        <v>59.499709317121834</v>
      </c>
      <c r="I103" s="888">
        <v>31.828764656351218</v>
      </c>
      <c r="J103" s="888">
        <v>50</v>
      </c>
      <c r="K103" s="888">
        <v>60</v>
      </c>
      <c r="L103" s="888">
        <v>16</v>
      </c>
      <c r="M103" s="888">
        <v>478.00487731423198</v>
      </c>
      <c r="N103" s="888">
        <v>6</v>
      </c>
      <c r="O103" s="884">
        <v>32.959173058616258</v>
      </c>
      <c r="P103" s="888">
        <v>6</v>
      </c>
      <c r="Q103" s="884">
        <v>22.544280707656604</v>
      </c>
      <c r="R103" s="888">
        <v>18.000000000000004</v>
      </c>
      <c r="S103" s="888">
        <v>558.7195380469193</v>
      </c>
      <c r="T103" s="906">
        <v>34.643340342825773</v>
      </c>
      <c r="U103" s="906">
        <v>83.807930707037897</v>
      </c>
      <c r="V103" s="906">
        <v>47.5</v>
      </c>
      <c r="W103" s="1141">
        <v>1.5427112496414603</v>
      </c>
      <c r="X103" s="902">
        <v>0</v>
      </c>
      <c r="Y103" s="902">
        <v>0</v>
      </c>
      <c r="Z103" s="902">
        <v>0</v>
      </c>
      <c r="AA103" s="902">
        <v>0</v>
      </c>
      <c r="AB103" s="970">
        <v>9.9947616661416809</v>
      </c>
      <c r="AC103" s="1045">
        <v>4000</v>
      </c>
      <c r="AD103" s="890">
        <v>0.3801987994215823</v>
      </c>
      <c r="AE103" s="890">
        <v>1.19175359259421</v>
      </c>
      <c r="AF103" s="890">
        <v>-0.12201891011004899</v>
      </c>
      <c r="AG103" s="890">
        <v>1.2413996970762275</v>
      </c>
      <c r="AH103" s="888"/>
      <c r="AI103" s="907">
        <v>3.5417606019240768</v>
      </c>
      <c r="AJ103" s="908">
        <v>10.966250546442888</v>
      </c>
      <c r="AK103" s="902">
        <v>102.65575590518299</v>
      </c>
      <c r="AL103" s="902">
        <v>0</v>
      </c>
      <c r="AM103" s="902">
        <v>0</v>
      </c>
      <c r="AN103" s="902">
        <v>26.334303905089815</v>
      </c>
      <c r="AO103" s="902">
        <v>10.060391304157294</v>
      </c>
      <c r="AP103" s="1222">
        <v>3600</v>
      </c>
      <c r="AQ103" s="909" t="s">
        <v>1062</v>
      </c>
      <c r="AR103" s="909">
        <v>4</v>
      </c>
      <c r="AS103" s="909">
        <v>0</v>
      </c>
      <c r="AT103" s="909">
        <v>0</v>
      </c>
      <c r="AU103" s="909">
        <v>0</v>
      </c>
      <c r="AV103" s="910">
        <v>13881.990520124988</v>
      </c>
      <c r="AW103" s="909">
        <v>0</v>
      </c>
      <c r="AX103" s="909">
        <v>0</v>
      </c>
      <c r="AY103" s="909">
        <v>0</v>
      </c>
      <c r="AZ103" s="910">
        <v>19055.647289539495</v>
      </c>
      <c r="BA103" s="871">
        <v>4000</v>
      </c>
      <c r="BB103" s="911">
        <v>201.06192982974673</v>
      </c>
      <c r="BC103" s="908">
        <v>10.966250546442888</v>
      </c>
      <c r="BD103" s="902">
        <v>102.65575590518299</v>
      </c>
      <c r="BE103" s="902">
        <v>0</v>
      </c>
      <c r="BF103" s="902">
        <v>0</v>
      </c>
      <c r="BG103" s="902">
        <v>26.334303905089815</v>
      </c>
      <c r="BH103" s="902">
        <v>10.060391304157294</v>
      </c>
      <c r="BI103" s="902">
        <v>3600</v>
      </c>
      <c r="BJ103" s="909" t="s">
        <v>1062</v>
      </c>
      <c r="BK103" s="909">
        <v>4</v>
      </c>
      <c r="BL103" s="909">
        <v>0</v>
      </c>
      <c r="BM103" s="909">
        <v>0</v>
      </c>
      <c r="BN103" s="909">
        <v>0</v>
      </c>
      <c r="BO103" s="910">
        <v>13881.990520124988</v>
      </c>
      <c r="BP103" s="909">
        <v>0</v>
      </c>
      <c r="BQ103" s="909">
        <v>0</v>
      </c>
      <c r="BR103" s="909">
        <v>0</v>
      </c>
      <c r="BS103" s="910">
        <v>19055.647289539495</v>
      </c>
      <c r="BT103" s="871">
        <v>4000</v>
      </c>
      <c r="BU103" s="911">
        <v>201.06192982974673</v>
      </c>
      <c r="BV103" s="908">
        <v>10.966250546442888</v>
      </c>
      <c r="BW103" s="902">
        <v>102.65575590518299</v>
      </c>
      <c r="BX103" s="902">
        <v>0</v>
      </c>
      <c r="BY103" s="902">
        <v>0</v>
      </c>
      <c r="BZ103" s="902">
        <v>26.334303905089815</v>
      </c>
      <c r="CA103" s="902">
        <v>10.060391304157294</v>
      </c>
      <c r="CB103" s="902">
        <v>3600</v>
      </c>
      <c r="CC103" s="909" t="s">
        <v>2874</v>
      </c>
      <c r="CD103" s="909">
        <v>4</v>
      </c>
      <c r="CE103" s="909">
        <v>0</v>
      </c>
      <c r="CF103" s="909">
        <v>0</v>
      </c>
      <c r="CG103" s="909">
        <v>0</v>
      </c>
      <c r="CH103" s="910">
        <v>13601.517355383785</v>
      </c>
      <c r="CI103" s="909">
        <v>0</v>
      </c>
      <c r="CJ103" s="909">
        <v>0</v>
      </c>
      <c r="CK103" s="909">
        <v>0</v>
      </c>
      <c r="CL103" s="910">
        <v>18670.645031128421</v>
      </c>
      <c r="CM103" s="871">
        <v>4000</v>
      </c>
      <c r="CN103" s="911">
        <v>201.06192982974673</v>
      </c>
      <c r="CO103" s="908">
        <v>10.966250546442888</v>
      </c>
      <c r="CP103" s="902">
        <v>102.65575590518299</v>
      </c>
      <c r="CQ103" s="902">
        <v>0</v>
      </c>
      <c r="CR103" s="902">
        <v>0</v>
      </c>
      <c r="CS103" s="902">
        <v>26.334303905089815</v>
      </c>
      <c r="CT103" s="902">
        <v>10.060391304157294</v>
      </c>
      <c r="CU103" s="902">
        <v>3600</v>
      </c>
      <c r="CV103" s="909" t="s">
        <v>2874</v>
      </c>
      <c r="CW103" s="909">
        <v>4</v>
      </c>
      <c r="CX103" s="909">
        <v>0</v>
      </c>
      <c r="CY103" s="909">
        <v>0</v>
      </c>
      <c r="CZ103" s="909">
        <v>0</v>
      </c>
      <c r="DA103" s="910">
        <v>13601.517355383785</v>
      </c>
      <c r="DB103" s="909">
        <v>0</v>
      </c>
      <c r="DC103" s="909">
        <v>0</v>
      </c>
      <c r="DD103" s="909">
        <v>0</v>
      </c>
      <c r="DE103" s="910">
        <v>18670.645031128421</v>
      </c>
      <c r="DF103" s="871">
        <v>4000</v>
      </c>
      <c r="DG103" s="911">
        <v>201.06192982974673</v>
      </c>
      <c r="DH103" s="908">
        <v>10.966250546442888</v>
      </c>
      <c r="DI103" s="902">
        <v>102.65575590518299</v>
      </c>
      <c r="DJ103" s="902">
        <v>0</v>
      </c>
      <c r="DK103" s="902">
        <v>0</v>
      </c>
      <c r="DL103" s="902">
        <v>26.334303905089815</v>
      </c>
      <c r="DM103" s="902">
        <v>10.060391304157294</v>
      </c>
      <c r="DN103" s="902">
        <v>3600</v>
      </c>
      <c r="DO103" s="909" t="s">
        <v>2875</v>
      </c>
      <c r="DP103" s="909">
        <v>4</v>
      </c>
      <c r="DQ103" s="909">
        <v>0</v>
      </c>
      <c r="DR103" s="909">
        <v>0</v>
      </c>
      <c r="DS103" s="909">
        <v>0</v>
      </c>
      <c r="DT103" s="910">
        <v>14156.908109925469</v>
      </c>
      <c r="DU103" s="909">
        <v>0</v>
      </c>
      <c r="DV103" s="909">
        <v>0</v>
      </c>
      <c r="DW103" s="909">
        <v>0</v>
      </c>
      <c r="DX103" s="910">
        <v>19433.023474700665</v>
      </c>
      <c r="DY103" s="871">
        <v>4000</v>
      </c>
      <c r="DZ103" s="911">
        <v>201.06192982974673</v>
      </c>
      <c r="EA103" s="908">
        <v>10.966250546442888</v>
      </c>
      <c r="EB103" s="902">
        <v>102.65575590518299</v>
      </c>
      <c r="EC103" s="902">
        <v>0</v>
      </c>
      <c r="ED103" s="902">
        <v>0</v>
      </c>
      <c r="EE103" s="902">
        <v>26.334303905089815</v>
      </c>
      <c r="EF103" s="902">
        <v>10.060391304157294</v>
      </c>
      <c r="EG103" s="902">
        <v>3600</v>
      </c>
      <c r="EH103" s="909" t="s">
        <v>2875</v>
      </c>
      <c r="EI103" s="909">
        <v>4</v>
      </c>
      <c r="EJ103" s="909">
        <v>0</v>
      </c>
      <c r="EK103" s="909">
        <v>0</v>
      </c>
      <c r="EL103" s="909">
        <v>0</v>
      </c>
      <c r="EM103" s="910">
        <v>14156.908109925469</v>
      </c>
      <c r="EN103" s="909">
        <v>0</v>
      </c>
      <c r="EO103" s="909">
        <v>0</v>
      </c>
      <c r="EP103" s="909">
        <v>0</v>
      </c>
      <c r="EQ103" s="910">
        <v>19433.023474700665</v>
      </c>
      <c r="ER103" s="871">
        <v>4000</v>
      </c>
      <c r="ES103" s="911">
        <v>201.06192982974673</v>
      </c>
      <c r="ET103" s="908">
        <v>10.966250546442888</v>
      </c>
      <c r="EU103" s="902">
        <v>102.65575590518299</v>
      </c>
      <c r="EV103" s="902">
        <v>0</v>
      </c>
      <c r="EW103" s="902">
        <v>0</v>
      </c>
      <c r="EX103" s="902">
        <v>26.334303905089815</v>
      </c>
      <c r="EY103" s="902">
        <v>10.060391304157294</v>
      </c>
      <c r="EZ103" s="902">
        <v>3600</v>
      </c>
      <c r="FA103" s="909" t="s">
        <v>3884</v>
      </c>
      <c r="FB103" s="909">
        <v>4</v>
      </c>
      <c r="FC103" s="909">
        <v>0</v>
      </c>
      <c r="FD103" s="909">
        <v>0</v>
      </c>
      <c r="FE103" s="909">
        <v>0</v>
      </c>
      <c r="FF103" s="910">
        <v>15079.701580104003</v>
      </c>
      <c r="FG103" s="909">
        <v>0</v>
      </c>
      <c r="FH103" s="909">
        <v>0</v>
      </c>
      <c r="FI103" s="909">
        <v>0</v>
      </c>
      <c r="FJ103" s="910">
        <v>20699.731362400176</v>
      </c>
      <c r="FK103" s="871">
        <v>4000</v>
      </c>
      <c r="FL103" s="911">
        <v>201.06192982974673</v>
      </c>
      <c r="FM103" s="908">
        <v>10.966250546442888</v>
      </c>
      <c r="FN103" s="902">
        <v>102.65575590518299</v>
      </c>
      <c r="FO103" s="902">
        <v>0</v>
      </c>
      <c r="FP103" s="902">
        <v>0</v>
      </c>
      <c r="FQ103" s="902">
        <v>26.334303905089815</v>
      </c>
      <c r="FR103" s="902">
        <v>10.060391304157294</v>
      </c>
      <c r="FS103" s="902">
        <v>3600</v>
      </c>
      <c r="FT103" s="909" t="s">
        <v>3884</v>
      </c>
      <c r="FU103" s="909">
        <v>4</v>
      </c>
      <c r="FV103" s="909">
        <v>0</v>
      </c>
      <c r="FW103" s="909">
        <v>0</v>
      </c>
      <c r="FX103" s="909">
        <v>0</v>
      </c>
      <c r="FY103" s="910">
        <v>15079.701580104003</v>
      </c>
      <c r="FZ103" s="909">
        <v>0</v>
      </c>
      <c r="GA103" s="909">
        <v>0</v>
      </c>
      <c r="GB103" s="909">
        <v>0</v>
      </c>
      <c r="GC103" s="910">
        <v>20699.731362400176</v>
      </c>
      <c r="GD103" s="871">
        <v>4000</v>
      </c>
      <c r="GE103" s="911">
        <v>201.06192982974673</v>
      </c>
      <c r="GF103" s="908">
        <v>10.966250546442888</v>
      </c>
      <c r="GG103" s="902">
        <v>102.65575590518299</v>
      </c>
      <c r="GH103" s="902">
        <v>0</v>
      </c>
      <c r="GI103" s="902">
        <v>0</v>
      </c>
      <c r="GJ103" s="902">
        <v>26.334303905089815</v>
      </c>
      <c r="GK103" s="902">
        <v>10.060391304157294</v>
      </c>
      <c r="GL103" s="902">
        <v>3600</v>
      </c>
      <c r="GM103" s="909" t="s">
        <v>2877</v>
      </c>
      <c r="GN103" s="909">
        <v>4</v>
      </c>
      <c r="GO103" s="909">
        <v>0</v>
      </c>
      <c r="GP103" s="909">
        <v>0</v>
      </c>
      <c r="GQ103" s="909">
        <v>0</v>
      </c>
      <c r="GR103" s="910">
        <v>18624.644679604276</v>
      </c>
      <c r="GS103" s="909">
        <v>0</v>
      </c>
      <c r="GT103" s="909">
        <v>0</v>
      </c>
      <c r="GU103" s="909">
        <v>0</v>
      </c>
      <c r="GV103" s="910">
        <v>25565.833616801945</v>
      </c>
      <c r="GW103" s="871">
        <v>4000</v>
      </c>
      <c r="GX103" s="911">
        <v>201.06192982974673</v>
      </c>
      <c r="GY103" s="908">
        <v>10.966250546442888</v>
      </c>
      <c r="GZ103" s="902">
        <v>102.65575590518299</v>
      </c>
      <c r="HA103" s="902">
        <v>0</v>
      </c>
      <c r="HB103" s="902">
        <v>0</v>
      </c>
      <c r="HC103" s="902">
        <v>26.334303905089815</v>
      </c>
      <c r="HD103" s="902">
        <v>10.060391304157294</v>
      </c>
      <c r="HE103" s="902">
        <v>3600</v>
      </c>
      <c r="HF103" s="909" t="s">
        <v>2877</v>
      </c>
      <c r="HG103" s="909">
        <v>4</v>
      </c>
      <c r="HH103" s="909">
        <v>0</v>
      </c>
      <c r="HI103" s="909">
        <v>0</v>
      </c>
      <c r="HJ103" s="909">
        <v>0</v>
      </c>
      <c r="HK103" s="910">
        <v>18624.644679604276</v>
      </c>
      <c r="HL103" s="909">
        <v>0</v>
      </c>
      <c r="HM103" s="909">
        <v>0</v>
      </c>
      <c r="HN103" s="909">
        <v>0</v>
      </c>
      <c r="HO103" s="910">
        <v>25565.833616801945</v>
      </c>
      <c r="HP103" s="871">
        <v>4000</v>
      </c>
      <c r="HQ103" s="911">
        <v>201.06192982974673</v>
      </c>
      <c r="HR103" s="908">
        <v>10.966250546442888</v>
      </c>
      <c r="HS103" s="902">
        <v>102.65575590518299</v>
      </c>
      <c r="HT103" s="902">
        <v>0</v>
      </c>
      <c r="HU103" s="902">
        <v>0</v>
      </c>
      <c r="HV103" s="902">
        <v>26.334303905089815</v>
      </c>
      <c r="HW103" s="902">
        <v>10.060391304157294</v>
      </c>
      <c r="HX103" s="902">
        <v>3600</v>
      </c>
      <c r="HY103" s="909" t="s">
        <v>1063</v>
      </c>
      <c r="HZ103" s="909">
        <v>4</v>
      </c>
      <c r="IA103" s="909">
        <v>0</v>
      </c>
      <c r="IB103" s="909">
        <v>0</v>
      </c>
      <c r="IC103" s="909">
        <v>0</v>
      </c>
      <c r="ID103" s="910">
        <v>16425.392693058391</v>
      </c>
      <c r="IE103" s="909">
        <v>0</v>
      </c>
      <c r="IF103" s="909">
        <v>0</v>
      </c>
      <c r="IG103" s="909">
        <v>0</v>
      </c>
      <c r="IH103" s="910">
        <v>22546.945936704313</v>
      </c>
      <c r="II103" s="871">
        <v>4000</v>
      </c>
      <c r="IJ103" s="911">
        <v>201.06192982974673</v>
      </c>
      <c r="IK103" s="908">
        <v>10.966250546442888</v>
      </c>
      <c r="IL103" s="902">
        <v>102.65575590518299</v>
      </c>
      <c r="IM103" s="902">
        <v>0</v>
      </c>
      <c r="IN103" s="902">
        <v>0</v>
      </c>
      <c r="IO103" s="902">
        <v>26.334303905089815</v>
      </c>
      <c r="IP103" s="902">
        <v>10.060391304157294</v>
      </c>
      <c r="IQ103" s="902">
        <v>3600</v>
      </c>
      <c r="IR103" s="909" t="s">
        <v>1063</v>
      </c>
      <c r="IS103" s="909">
        <v>4</v>
      </c>
      <c r="IT103" s="909">
        <v>0</v>
      </c>
      <c r="IU103" s="909">
        <v>0</v>
      </c>
      <c r="IV103" s="909">
        <v>0</v>
      </c>
      <c r="IW103" s="910">
        <v>16425.392693058391</v>
      </c>
      <c r="IX103" s="909">
        <v>0</v>
      </c>
      <c r="IY103" s="909">
        <v>0</v>
      </c>
      <c r="IZ103" s="909">
        <v>0</v>
      </c>
      <c r="JA103" s="910">
        <v>22546.945936704313</v>
      </c>
      <c r="JB103" s="871">
        <v>4000</v>
      </c>
      <c r="JC103" s="911">
        <v>201.06192982974673</v>
      </c>
      <c r="JD103" s="908">
        <v>10.966250546442888</v>
      </c>
      <c r="JE103" s="902">
        <v>102.65575590518299</v>
      </c>
      <c r="JF103" s="902">
        <v>0</v>
      </c>
      <c r="JG103" s="902">
        <v>0</v>
      </c>
      <c r="JH103" s="902">
        <v>26.334303905089815</v>
      </c>
      <c r="JI103" s="902">
        <v>10.060391304157294</v>
      </c>
      <c r="JJ103" s="902">
        <v>3600</v>
      </c>
      <c r="JK103" s="909" t="s">
        <v>1064</v>
      </c>
      <c r="JL103" s="909">
        <v>4</v>
      </c>
      <c r="JM103" s="909">
        <v>0</v>
      </c>
      <c r="JN103" s="909">
        <v>0</v>
      </c>
      <c r="JO103" s="909">
        <v>0</v>
      </c>
      <c r="JP103" s="910">
        <v>22384.037126536943</v>
      </c>
      <c r="JQ103" s="909">
        <v>0</v>
      </c>
      <c r="JR103" s="909">
        <v>0</v>
      </c>
      <c r="JS103" s="909">
        <v>0</v>
      </c>
      <c r="JT103" s="910">
        <v>30726.308001786801</v>
      </c>
      <c r="JU103" s="871">
        <v>4000</v>
      </c>
      <c r="JV103" s="911">
        <v>201.06192982974673</v>
      </c>
      <c r="JW103" s="908">
        <v>10.966250546442888</v>
      </c>
      <c r="JX103" s="902">
        <v>102.65575590518299</v>
      </c>
      <c r="JY103" s="902">
        <v>0</v>
      </c>
      <c r="JZ103" s="902">
        <v>0</v>
      </c>
      <c r="KA103" s="902">
        <v>26.334303905089815</v>
      </c>
      <c r="KB103" s="902">
        <v>10.060391304157294</v>
      </c>
      <c r="KC103" s="902">
        <v>3600</v>
      </c>
      <c r="KD103" s="909" t="s">
        <v>1064</v>
      </c>
      <c r="KE103" s="909">
        <v>4</v>
      </c>
      <c r="KF103" s="909">
        <v>0</v>
      </c>
      <c r="KG103" s="909">
        <v>0</v>
      </c>
      <c r="KH103" s="909">
        <v>0</v>
      </c>
      <c r="KI103" s="910">
        <v>22384.037126536943</v>
      </c>
      <c r="KJ103" s="909">
        <v>0</v>
      </c>
      <c r="KK103" s="909">
        <v>0</v>
      </c>
      <c r="KL103" s="909">
        <v>0</v>
      </c>
      <c r="KM103" s="910">
        <v>30726.308001786801</v>
      </c>
      <c r="KN103" s="871">
        <v>4000</v>
      </c>
      <c r="KO103" s="912">
        <v>201.06192982974673</v>
      </c>
    </row>
    <row r="104" spans="1:301" ht="15" customHeight="1">
      <c r="A104" s="1396" t="s">
        <v>2629</v>
      </c>
      <c r="B104" s="888" t="s">
        <v>1073</v>
      </c>
      <c r="C104" s="888">
        <v>493.77019812656329</v>
      </c>
      <c r="D104" s="888">
        <v>902.66455597486822</v>
      </c>
      <c r="E104" s="888">
        <v>500</v>
      </c>
      <c r="F104" s="888">
        <v>399.35160089210405</v>
      </c>
      <c r="G104" s="888">
        <v>245.62209388218321</v>
      </c>
      <c r="H104" s="888">
        <v>205.27314943952703</v>
      </c>
      <c r="I104" s="888">
        <v>172.9510416124148</v>
      </c>
      <c r="J104" s="888">
        <v>28.400185354789979</v>
      </c>
      <c r="K104" s="888">
        <v>40.077778413539846</v>
      </c>
      <c r="L104" s="888">
        <v>15</v>
      </c>
      <c r="M104" s="888">
        <v>372.75284796369067</v>
      </c>
      <c r="N104" s="888">
        <v>6</v>
      </c>
      <c r="O104" s="884">
        <v>20.893346871676101</v>
      </c>
      <c r="P104" s="888">
        <v>6</v>
      </c>
      <c r="Q104" s="884">
        <v>14.46366713042411</v>
      </c>
      <c r="R104" s="888">
        <v>18.000000000000004</v>
      </c>
      <c r="S104" s="888">
        <v>651.00807843348605</v>
      </c>
      <c r="T104" s="906">
        <v>47.033229345770842</v>
      </c>
      <c r="U104" s="906">
        <v>97.651211765022907</v>
      </c>
      <c r="V104" s="906">
        <v>97.5</v>
      </c>
      <c r="W104" s="1141">
        <v>4.2991311198868658</v>
      </c>
      <c r="X104" s="902">
        <v>0</v>
      </c>
      <c r="Y104" s="902">
        <v>0</v>
      </c>
      <c r="Z104" s="902">
        <v>0</v>
      </c>
      <c r="AA104" s="902">
        <v>0</v>
      </c>
      <c r="AB104" s="970">
        <v>36.951880942693762</v>
      </c>
      <c r="AC104" s="1045">
        <v>4000</v>
      </c>
      <c r="AD104" s="890">
        <v>0.54061360440209627</v>
      </c>
      <c r="AE104" s="890">
        <v>0.54070216380858971</v>
      </c>
      <c r="AF104" s="890">
        <v>-0.41194906032923106</v>
      </c>
      <c r="AG104" s="890">
        <v>0.92637259799265537</v>
      </c>
      <c r="AH104" s="888"/>
      <c r="AI104" s="907">
        <v>4.2915679339957675</v>
      </c>
      <c r="AJ104" s="908">
        <v>41.502207502855839</v>
      </c>
      <c r="AK104" s="902">
        <v>136.70964543966008</v>
      </c>
      <c r="AL104" s="902">
        <v>2.0620012895555275</v>
      </c>
      <c r="AM104" s="902">
        <v>6.4560621794907966</v>
      </c>
      <c r="AN104" s="902">
        <v>73.108874653975718</v>
      </c>
      <c r="AO104" s="902">
        <v>14.305950171348094</v>
      </c>
      <c r="AP104" s="1222">
        <v>3600</v>
      </c>
      <c r="AQ104" s="909" t="s">
        <v>1062</v>
      </c>
      <c r="AR104" s="909">
        <v>5</v>
      </c>
      <c r="AS104" s="909">
        <v>1</v>
      </c>
      <c r="AT104" s="909">
        <v>8</v>
      </c>
      <c r="AU104" s="909">
        <v>44.322834809094019</v>
      </c>
      <c r="AV104" s="910">
        <v>4374.9826469964073</v>
      </c>
      <c r="AW104" s="909">
        <v>1</v>
      </c>
      <c r="AX104" s="909">
        <v>10</v>
      </c>
      <c r="AY104" s="909">
        <v>59.997078977480221</v>
      </c>
      <c r="AZ104" s="910">
        <v>3821.3050941365073</v>
      </c>
      <c r="BA104" s="871">
        <v>3821.3050941365073</v>
      </c>
      <c r="BB104" s="911">
        <v>180.6078926942067</v>
      </c>
      <c r="BC104" s="908">
        <v>41.502207502855839</v>
      </c>
      <c r="BD104" s="902">
        <v>136.70964543966008</v>
      </c>
      <c r="BE104" s="902">
        <v>2.0620012895555275</v>
      </c>
      <c r="BF104" s="902">
        <v>6.4560621794907966</v>
      </c>
      <c r="BG104" s="902">
        <v>73.108874653975718</v>
      </c>
      <c r="BH104" s="902">
        <v>14.305950171348094</v>
      </c>
      <c r="BI104" s="902">
        <v>3600</v>
      </c>
      <c r="BJ104" s="909" t="s">
        <v>1062</v>
      </c>
      <c r="BK104" s="909">
        <v>5</v>
      </c>
      <c r="BL104" s="909">
        <v>1</v>
      </c>
      <c r="BM104" s="909">
        <v>8</v>
      </c>
      <c r="BN104" s="909">
        <v>44.322834809094019</v>
      </c>
      <c r="BO104" s="910">
        <v>4374.9826469964073</v>
      </c>
      <c r="BP104" s="909">
        <v>1</v>
      </c>
      <c r="BQ104" s="909">
        <v>10</v>
      </c>
      <c r="BR104" s="909">
        <v>59.997078977480221</v>
      </c>
      <c r="BS104" s="910">
        <v>3821.3050941365073</v>
      </c>
      <c r="BT104" s="871">
        <v>3821.3050941365073</v>
      </c>
      <c r="BU104" s="911">
        <v>180.6078926942067</v>
      </c>
      <c r="BV104" s="908">
        <v>41.502207502855839</v>
      </c>
      <c r="BW104" s="902">
        <v>138.00085787555824</v>
      </c>
      <c r="BX104" s="902">
        <v>2.0620012895555275</v>
      </c>
      <c r="BY104" s="902">
        <v>7.7472746153889567</v>
      </c>
      <c r="BZ104" s="902">
        <v>73.233940396346512</v>
      </c>
      <c r="CA104" s="902">
        <v>14.53633091734787</v>
      </c>
      <c r="CB104" s="902">
        <v>3600</v>
      </c>
      <c r="CC104" s="909" t="s">
        <v>2874</v>
      </c>
      <c r="CD104" s="909">
        <v>5</v>
      </c>
      <c r="CE104" s="909">
        <v>1</v>
      </c>
      <c r="CF104" s="909">
        <v>8</v>
      </c>
      <c r="CG104" s="909">
        <v>44.322834809094019</v>
      </c>
      <c r="CH104" s="910">
        <v>4286.5900474688387</v>
      </c>
      <c r="CI104" s="909">
        <v>1</v>
      </c>
      <c r="CJ104" s="909">
        <v>12</v>
      </c>
      <c r="CK104" s="909">
        <v>59.997078977480221</v>
      </c>
      <c r="CL104" s="910">
        <v>3817.9820887647747</v>
      </c>
      <c r="CM104" s="871">
        <v>3817.9820887647747</v>
      </c>
      <c r="CN104" s="911">
        <v>180.45083614341698</v>
      </c>
      <c r="CO104" s="908">
        <v>41.502207502855839</v>
      </c>
      <c r="CP104" s="902">
        <v>138.00085787555824</v>
      </c>
      <c r="CQ104" s="902">
        <v>2.0620012895555275</v>
      </c>
      <c r="CR104" s="902">
        <v>7.7472746153889567</v>
      </c>
      <c r="CS104" s="902">
        <v>73.233940396346512</v>
      </c>
      <c r="CT104" s="902">
        <v>14.53633091734787</v>
      </c>
      <c r="CU104" s="902">
        <v>3600</v>
      </c>
      <c r="CV104" s="909" t="s">
        <v>2874</v>
      </c>
      <c r="CW104" s="909">
        <v>5</v>
      </c>
      <c r="CX104" s="909">
        <v>1</v>
      </c>
      <c r="CY104" s="909">
        <v>8</v>
      </c>
      <c r="CZ104" s="909">
        <v>44.322834809094019</v>
      </c>
      <c r="DA104" s="910">
        <v>4286.5900474688387</v>
      </c>
      <c r="DB104" s="909">
        <v>1</v>
      </c>
      <c r="DC104" s="909">
        <v>12</v>
      </c>
      <c r="DD104" s="909">
        <v>59.997078977480221</v>
      </c>
      <c r="DE104" s="910">
        <v>3817.9820887647747</v>
      </c>
      <c r="DF104" s="871">
        <v>3817.9820887647747</v>
      </c>
      <c r="DG104" s="911">
        <v>180.45083614341698</v>
      </c>
      <c r="DH104" s="908">
        <v>41.502207502855839</v>
      </c>
      <c r="DI104" s="902">
        <v>135.41843300376192</v>
      </c>
      <c r="DJ104" s="902">
        <v>2.0620012895555275</v>
      </c>
      <c r="DK104" s="902">
        <v>5.1648497435926375</v>
      </c>
      <c r="DL104" s="902">
        <v>72.981423912188362</v>
      </c>
      <c r="DM104" s="902">
        <v>14.07556942534832</v>
      </c>
      <c r="DN104" s="902">
        <v>3600</v>
      </c>
      <c r="DO104" s="909" t="s">
        <v>2875</v>
      </c>
      <c r="DP104" s="909">
        <v>5</v>
      </c>
      <c r="DQ104" s="909">
        <v>1</v>
      </c>
      <c r="DR104" s="909">
        <v>8</v>
      </c>
      <c r="DS104" s="909">
        <v>44.322834809094019</v>
      </c>
      <c r="DT104" s="910">
        <v>4461.6243777328991</v>
      </c>
      <c r="DU104" s="909">
        <v>1</v>
      </c>
      <c r="DV104" s="909">
        <v>8</v>
      </c>
      <c r="DW104" s="909">
        <v>59.997078977480221</v>
      </c>
      <c r="DX104" s="910">
        <v>3789.5686557687377</v>
      </c>
      <c r="DY104" s="871">
        <v>3789.5686557687377</v>
      </c>
      <c r="DZ104" s="911">
        <v>179.1079205344287</v>
      </c>
      <c r="EA104" s="908">
        <v>41.502207502855839</v>
      </c>
      <c r="EB104" s="902">
        <v>135.41843300376192</v>
      </c>
      <c r="EC104" s="902">
        <v>2.0620012895555275</v>
      </c>
      <c r="ED104" s="902">
        <v>5.1648497435926375</v>
      </c>
      <c r="EE104" s="902">
        <v>72.981423912188362</v>
      </c>
      <c r="EF104" s="902">
        <v>14.07556942534832</v>
      </c>
      <c r="EG104" s="902">
        <v>3600</v>
      </c>
      <c r="EH104" s="909" t="s">
        <v>2875</v>
      </c>
      <c r="EI104" s="909">
        <v>5</v>
      </c>
      <c r="EJ104" s="909">
        <v>1</v>
      </c>
      <c r="EK104" s="909">
        <v>8</v>
      </c>
      <c r="EL104" s="909">
        <v>44.322834809094019</v>
      </c>
      <c r="EM104" s="910">
        <v>4461.6243777328991</v>
      </c>
      <c r="EN104" s="909">
        <v>1</v>
      </c>
      <c r="EO104" s="909">
        <v>8</v>
      </c>
      <c r="EP104" s="909">
        <v>59.997078977480221</v>
      </c>
      <c r="EQ104" s="910">
        <v>3789.5686557687377</v>
      </c>
      <c r="ER104" s="871">
        <v>3789.5686557687377</v>
      </c>
      <c r="ES104" s="911">
        <v>179.1079205344287</v>
      </c>
      <c r="ET104" s="908">
        <v>66.403532004569342</v>
      </c>
      <c r="EU104" s="902">
        <v>153.09290647232729</v>
      </c>
      <c r="EV104" s="902">
        <v>0</v>
      </c>
      <c r="EW104" s="902">
        <v>0</v>
      </c>
      <c r="EX104" s="902">
        <v>76.95031185949658</v>
      </c>
      <c r="EY104" s="902">
        <v>16.298879729803495</v>
      </c>
      <c r="EZ104" s="902">
        <v>3600</v>
      </c>
      <c r="FA104" s="909" t="s">
        <v>2877</v>
      </c>
      <c r="FB104" s="909">
        <v>8</v>
      </c>
      <c r="FC104" s="909">
        <v>0</v>
      </c>
      <c r="FD104" s="909">
        <v>0</v>
      </c>
      <c r="FE104" s="909">
        <v>0</v>
      </c>
      <c r="FF104" s="910">
        <v>3960.0541348083616</v>
      </c>
      <c r="FG104" s="909">
        <v>0</v>
      </c>
      <c r="FH104" s="909">
        <v>0</v>
      </c>
      <c r="FI104" s="909">
        <v>0</v>
      </c>
      <c r="FJ104" s="910">
        <v>3996.6878165220305</v>
      </c>
      <c r="FK104" s="871">
        <v>3960.0541348083616</v>
      </c>
      <c r="FL104" s="911">
        <v>187.16564488403776</v>
      </c>
      <c r="FM104" s="908">
        <v>66.403532004569342</v>
      </c>
      <c r="FN104" s="902">
        <v>153.09290647232729</v>
      </c>
      <c r="FO104" s="902">
        <v>0</v>
      </c>
      <c r="FP104" s="902">
        <v>0</v>
      </c>
      <c r="FQ104" s="902">
        <v>76.95031185949658</v>
      </c>
      <c r="FR104" s="902">
        <v>16.298879729803495</v>
      </c>
      <c r="FS104" s="902">
        <v>3600</v>
      </c>
      <c r="FT104" s="909" t="s">
        <v>2877</v>
      </c>
      <c r="FU104" s="909">
        <v>8</v>
      </c>
      <c r="FV104" s="909">
        <v>0</v>
      </c>
      <c r="FW104" s="909">
        <v>0</v>
      </c>
      <c r="FX104" s="909">
        <v>0</v>
      </c>
      <c r="FY104" s="910">
        <v>3960.0541348083616</v>
      </c>
      <c r="FZ104" s="909">
        <v>0</v>
      </c>
      <c r="GA104" s="909">
        <v>0</v>
      </c>
      <c r="GB104" s="909">
        <v>0</v>
      </c>
      <c r="GC104" s="910">
        <v>3996.6878165220305</v>
      </c>
      <c r="GD104" s="871">
        <v>3960.0541348083616</v>
      </c>
      <c r="GE104" s="911">
        <v>187.16564488403776</v>
      </c>
      <c r="GF104" s="908">
        <v>66.403532004569342</v>
      </c>
      <c r="GG104" s="902">
        <v>153.09290647232729</v>
      </c>
      <c r="GH104" s="902">
        <v>0</v>
      </c>
      <c r="GI104" s="902">
        <v>0</v>
      </c>
      <c r="GJ104" s="902">
        <v>76.95031185949658</v>
      </c>
      <c r="GK104" s="902">
        <v>16.298879729803495</v>
      </c>
      <c r="GL104" s="902">
        <v>3600</v>
      </c>
      <c r="GM104" s="909" t="s">
        <v>2877</v>
      </c>
      <c r="GN104" s="909">
        <v>8</v>
      </c>
      <c r="GO104" s="909">
        <v>0</v>
      </c>
      <c r="GP104" s="909">
        <v>0</v>
      </c>
      <c r="GQ104" s="909">
        <v>0</v>
      </c>
      <c r="GR104" s="910">
        <v>3960.0541348083616</v>
      </c>
      <c r="GS104" s="909">
        <v>0</v>
      </c>
      <c r="GT104" s="909">
        <v>0</v>
      </c>
      <c r="GU104" s="909">
        <v>0</v>
      </c>
      <c r="GV104" s="910">
        <v>3996.6878165220305</v>
      </c>
      <c r="GW104" s="871">
        <v>3960.0541348083616</v>
      </c>
      <c r="GX104" s="911">
        <v>187.16564488403776</v>
      </c>
      <c r="GY104" s="908">
        <v>66.403532004569342</v>
      </c>
      <c r="GZ104" s="902">
        <v>153.09290647232729</v>
      </c>
      <c r="HA104" s="902">
        <v>0</v>
      </c>
      <c r="HB104" s="902">
        <v>0</v>
      </c>
      <c r="HC104" s="902">
        <v>76.95031185949658</v>
      </c>
      <c r="HD104" s="902">
        <v>16.298879729803495</v>
      </c>
      <c r="HE104" s="902">
        <v>3600</v>
      </c>
      <c r="HF104" s="909" t="s">
        <v>2877</v>
      </c>
      <c r="HG104" s="909">
        <v>8</v>
      </c>
      <c r="HH104" s="909">
        <v>0</v>
      </c>
      <c r="HI104" s="909">
        <v>0</v>
      </c>
      <c r="HJ104" s="909">
        <v>0</v>
      </c>
      <c r="HK104" s="910">
        <v>3960.0541348083616</v>
      </c>
      <c r="HL104" s="909">
        <v>0</v>
      </c>
      <c r="HM104" s="909">
        <v>0</v>
      </c>
      <c r="HN104" s="909">
        <v>0</v>
      </c>
      <c r="HO104" s="910">
        <v>3996.6878165220305</v>
      </c>
      <c r="HP104" s="871">
        <v>3960.0541348083616</v>
      </c>
      <c r="HQ104" s="911">
        <v>187.16564488403776</v>
      </c>
      <c r="HR104" s="908">
        <v>33.201766002284671</v>
      </c>
      <c r="HS104" s="902">
        <v>125.31127874490373</v>
      </c>
      <c r="HT104" s="902">
        <v>1.5465009671666456</v>
      </c>
      <c r="HU104" s="902">
        <v>3.8736373076944783</v>
      </c>
      <c r="HV104" s="902">
        <v>70.756070912965171</v>
      </c>
      <c r="HW104" s="902">
        <v>12.709251788698873</v>
      </c>
      <c r="HX104" s="902">
        <v>3600</v>
      </c>
      <c r="HY104" s="909" t="s">
        <v>1063</v>
      </c>
      <c r="HZ104" s="909">
        <v>4</v>
      </c>
      <c r="IA104" s="909">
        <v>1</v>
      </c>
      <c r="IB104" s="909">
        <v>6</v>
      </c>
      <c r="IC104" s="909">
        <v>44.322834809094019</v>
      </c>
      <c r="ID104" s="910">
        <v>4350.3862814490558</v>
      </c>
      <c r="IE104" s="909">
        <v>1</v>
      </c>
      <c r="IF104" s="909">
        <v>6</v>
      </c>
      <c r="IG104" s="909">
        <v>59.997078977480221</v>
      </c>
      <c r="IH104" s="910">
        <v>4221.4548974108047</v>
      </c>
      <c r="II104" s="871">
        <v>4000</v>
      </c>
      <c r="IJ104" s="911">
        <v>189.05362251376926</v>
      </c>
      <c r="IK104" s="908">
        <v>33.201766002284671</v>
      </c>
      <c r="IL104" s="902">
        <v>125.31127874490373</v>
      </c>
      <c r="IM104" s="902">
        <v>1.5465009671666456</v>
      </c>
      <c r="IN104" s="902">
        <v>3.8736373076944783</v>
      </c>
      <c r="IO104" s="902">
        <v>70.756070912965171</v>
      </c>
      <c r="IP104" s="902">
        <v>12.709251788698873</v>
      </c>
      <c r="IQ104" s="902">
        <v>3600</v>
      </c>
      <c r="IR104" s="909" t="s">
        <v>1063</v>
      </c>
      <c r="IS104" s="909">
        <v>4</v>
      </c>
      <c r="IT104" s="909">
        <v>1</v>
      </c>
      <c r="IU104" s="909">
        <v>6</v>
      </c>
      <c r="IV104" s="909">
        <v>44.322834809094019</v>
      </c>
      <c r="IW104" s="910">
        <v>4350.3862814490558</v>
      </c>
      <c r="IX104" s="909">
        <v>1</v>
      </c>
      <c r="IY104" s="909">
        <v>6</v>
      </c>
      <c r="IZ104" s="909">
        <v>59.997078977480221</v>
      </c>
      <c r="JA104" s="910">
        <v>4221.4548974108047</v>
      </c>
      <c r="JB104" s="871">
        <v>4000</v>
      </c>
      <c r="JC104" s="911">
        <v>189.05362251376926</v>
      </c>
      <c r="JD104" s="908">
        <v>33.201766002284671</v>
      </c>
      <c r="JE104" s="902">
        <v>125.31127874490373</v>
      </c>
      <c r="JF104" s="902">
        <v>1.5465009671666456</v>
      </c>
      <c r="JG104" s="902">
        <v>3.8736373076944783</v>
      </c>
      <c r="JH104" s="902">
        <v>70.756070912965171</v>
      </c>
      <c r="JI104" s="902">
        <v>12.709251788698873</v>
      </c>
      <c r="JJ104" s="902">
        <v>3600</v>
      </c>
      <c r="JK104" s="909" t="s">
        <v>1064</v>
      </c>
      <c r="JL104" s="909">
        <v>4</v>
      </c>
      <c r="JM104" s="909">
        <v>1</v>
      </c>
      <c r="JN104" s="909">
        <v>6</v>
      </c>
      <c r="JO104" s="909">
        <v>44.322834809094019</v>
      </c>
      <c r="JP104" s="910">
        <v>5928.5771645439254</v>
      </c>
      <c r="JQ104" s="909">
        <v>1</v>
      </c>
      <c r="JR104" s="909">
        <v>6</v>
      </c>
      <c r="JS104" s="909">
        <v>59.997078977480221</v>
      </c>
      <c r="JT104" s="910">
        <v>5752.8733052195967</v>
      </c>
      <c r="JU104" s="871">
        <v>4000</v>
      </c>
      <c r="JV104" s="911">
        <v>189.05362251376926</v>
      </c>
      <c r="JW104" s="908">
        <v>33.201766002284671</v>
      </c>
      <c r="JX104" s="902">
        <v>125.31127874490373</v>
      </c>
      <c r="JY104" s="902">
        <v>1.5465009671666456</v>
      </c>
      <c r="JZ104" s="902">
        <v>3.8736373076944783</v>
      </c>
      <c r="KA104" s="902">
        <v>70.756070912965171</v>
      </c>
      <c r="KB104" s="902">
        <v>12.709251788698873</v>
      </c>
      <c r="KC104" s="902">
        <v>3600</v>
      </c>
      <c r="KD104" s="909" t="s">
        <v>1064</v>
      </c>
      <c r="KE104" s="909">
        <v>4</v>
      </c>
      <c r="KF104" s="909">
        <v>1</v>
      </c>
      <c r="KG104" s="909">
        <v>6</v>
      </c>
      <c r="KH104" s="909">
        <v>44.322834809094019</v>
      </c>
      <c r="KI104" s="910">
        <v>5928.5771645439254</v>
      </c>
      <c r="KJ104" s="909">
        <v>1</v>
      </c>
      <c r="KK104" s="909">
        <v>6</v>
      </c>
      <c r="KL104" s="909">
        <v>59.997078977480221</v>
      </c>
      <c r="KM104" s="910">
        <v>5752.8733052195967</v>
      </c>
      <c r="KN104" s="871">
        <v>4000</v>
      </c>
      <c r="KO104" s="912">
        <v>189.05362251376926</v>
      </c>
    </row>
    <row r="105" spans="1:301" ht="15" customHeight="1">
      <c r="A105" s="1396" t="s">
        <v>2689</v>
      </c>
      <c r="B105" s="888" t="s">
        <v>1074</v>
      </c>
      <c r="C105" s="888">
        <v>346.07530818333657</v>
      </c>
      <c r="D105" s="888">
        <v>612.46675632521169</v>
      </c>
      <c r="E105" s="888">
        <v>355</v>
      </c>
      <c r="F105" s="888">
        <v>275.2563626499558</v>
      </c>
      <c r="G105" s="888">
        <v>179.82315057911748</v>
      </c>
      <c r="H105" s="888">
        <v>151.32809937091497</v>
      </c>
      <c r="I105" s="888">
        <v>132.13739193390663</v>
      </c>
      <c r="J105" s="888">
        <v>27.373523877547701</v>
      </c>
      <c r="K105" s="888">
        <v>38.568716490810331</v>
      </c>
      <c r="L105" s="888">
        <v>9</v>
      </c>
      <c r="M105" s="888">
        <v>251.78914386792167</v>
      </c>
      <c r="N105" s="888">
        <v>4</v>
      </c>
      <c r="O105" s="884">
        <v>6.1429466270446431</v>
      </c>
      <c r="P105" s="888">
        <v>4</v>
      </c>
      <c r="Q105" s="884">
        <v>4.3922738282562666</v>
      </c>
      <c r="R105" s="888">
        <v>13.000000000000002</v>
      </c>
      <c r="S105" s="888">
        <v>443.86155948758375</v>
      </c>
      <c r="T105" s="906">
        <v>15.790575547540001</v>
      </c>
      <c r="U105" s="906">
        <v>66.579233923137565</v>
      </c>
      <c r="V105" s="906">
        <v>72.5</v>
      </c>
      <c r="W105" s="1141">
        <v>1.4860601747264208</v>
      </c>
      <c r="X105" s="902">
        <v>0</v>
      </c>
      <c r="Y105" s="902">
        <v>0</v>
      </c>
      <c r="Z105" s="902">
        <v>0</v>
      </c>
      <c r="AA105" s="902">
        <v>0</v>
      </c>
      <c r="AB105" s="970">
        <v>8.2798102344902027</v>
      </c>
      <c r="AC105" s="1045">
        <v>4000</v>
      </c>
      <c r="AD105" s="890">
        <v>0.78263036343381132</v>
      </c>
      <c r="AE105" s="890">
        <v>0.51776465135453864</v>
      </c>
      <c r="AF105" s="890">
        <v>-0.46720237132895343</v>
      </c>
      <c r="AG105" s="890">
        <v>0.9177350837564493</v>
      </c>
      <c r="AH105" s="888"/>
      <c r="AI105" s="907">
        <v>1.6326906648234023</v>
      </c>
      <c r="AJ105" s="908">
        <v>15.127620398140472</v>
      </c>
      <c r="AK105" s="902">
        <v>42.939476575707801</v>
      </c>
      <c r="AL105" s="902">
        <v>0</v>
      </c>
      <c r="AM105" s="902">
        <v>0</v>
      </c>
      <c r="AN105" s="902">
        <v>52.155047235754978</v>
      </c>
      <c r="AO105" s="902">
        <v>2.0235983716874353</v>
      </c>
      <c r="AP105" s="1222">
        <v>3600</v>
      </c>
      <c r="AQ105" s="909" t="s">
        <v>1062</v>
      </c>
      <c r="AR105" s="909">
        <v>6</v>
      </c>
      <c r="AS105" s="909">
        <v>0</v>
      </c>
      <c r="AT105" s="909">
        <v>0</v>
      </c>
      <c r="AU105" s="909">
        <v>0</v>
      </c>
      <c r="AV105" s="910">
        <v>4483.0917880082725</v>
      </c>
      <c r="AW105" s="909">
        <v>0</v>
      </c>
      <c r="AX105" s="909">
        <v>0</v>
      </c>
      <c r="AY105" s="909">
        <v>0</v>
      </c>
      <c r="AZ105" s="910">
        <v>4451.60084466848</v>
      </c>
      <c r="BA105" s="871">
        <v>4000</v>
      </c>
      <c r="BB105" s="911">
        <v>128.27473748261701</v>
      </c>
      <c r="BC105" s="908">
        <v>15.127620398140472</v>
      </c>
      <c r="BD105" s="902">
        <v>42.939476575707801</v>
      </c>
      <c r="BE105" s="902">
        <v>0</v>
      </c>
      <c r="BF105" s="902">
        <v>0</v>
      </c>
      <c r="BG105" s="902">
        <v>52.155047235754978</v>
      </c>
      <c r="BH105" s="902">
        <v>2.0235983716874353</v>
      </c>
      <c r="BI105" s="902">
        <v>3600</v>
      </c>
      <c r="BJ105" s="909" t="s">
        <v>1062</v>
      </c>
      <c r="BK105" s="909">
        <v>6</v>
      </c>
      <c r="BL105" s="909">
        <v>0</v>
      </c>
      <c r="BM105" s="909">
        <v>0</v>
      </c>
      <c r="BN105" s="909">
        <v>0</v>
      </c>
      <c r="BO105" s="910">
        <v>4483.0917880082725</v>
      </c>
      <c r="BP105" s="909">
        <v>0</v>
      </c>
      <c r="BQ105" s="909">
        <v>0</v>
      </c>
      <c r="BR105" s="909">
        <v>0</v>
      </c>
      <c r="BS105" s="910">
        <v>4451.60084466848</v>
      </c>
      <c r="BT105" s="871">
        <v>4000</v>
      </c>
      <c r="BU105" s="911">
        <v>128.27473748261701</v>
      </c>
      <c r="BV105" s="908">
        <v>15.127620398140472</v>
      </c>
      <c r="BW105" s="902">
        <v>42.939476575707801</v>
      </c>
      <c r="BX105" s="902">
        <v>0</v>
      </c>
      <c r="BY105" s="902">
        <v>0</v>
      </c>
      <c r="BZ105" s="902">
        <v>52.155047235754978</v>
      </c>
      <c r="CA105" s="902">
        <v>2.0235983716874353</v>
      </c>
      <c r="CB105" s="902">
        <v>3600</v>
      </c>
      <c r="CC105" s="909" t="s">
        <v>2874</v>
      </c>
      <c r="CD105" s="909">
        <v>6</v>
      </c>
      <c r="CE105" s="909">
        <v>0</v>
      </c>
      <c r="CF105" s="909">
        <v>0</v>
      </c>
      <c r="CG105" s="909">
        <v>0</v>
      </c>
      <c r="CH105" s="910">
        <v>4392.5149402727047</v>
      </c>
      <c r="CI105" s="909">
        <v>0</v>
      </c>
      <c r="CJ105" s="909">
        <v>0</v>
      </c>
      <c r="CK105" s="909">
        <v>0</v>
      </c>
      <c r="CL105" s="910">
        <v>4361.660243192151</v>
      </c>
      <c r="CM105" s="871">
        <v>4000</v>
      </c>
      <c r="CN105" s="911">
        <v>128.27473748261701</v>
      </c>
      <c r="CO105" s="908">
        <v>15.127620398140472</v>
      </c>
      <c r="CP105" s="902">
        <v>42.939476575707801</v>
      </c>
      <c r="CQ105" s="902">
        <v>0</v>
      </c>
      <c r="CR105" s="902">
        <v>0</v>
      </c>
      <c r="CS105" s="902">
        <v>52.155047235754978</v>
      </c>
      <c r="CT105" s="902">
        <v>2.0235983716874353</v>
      </c>
      <c r="CU105" s="902">
        <v>3600</v>
      </c>
      <c r="CV105" s="909" t="s">
        <v>2874</v>
      </c>
      <c r="CW105" s="909">
        <v>6</v>
      </c>
      <c r="CX105" s="909">
        <v>0</v>
      </c>
      <c r="CY105" s="909">
        <v>0</v>
      </c>
      <c r="CZ105" s="909">
        <v>0</v>
      </c>
      <c r="DA105" s="910">
        <v>4392.5149402727047</v>
      </c>
      <c r="DB105" s="909">
        <v>0</v>
      </c>
      <c r="DC105" s="909">
        <v>0</v>
      </c>
      <c r="DD105" s="909">
        <v>0</v>
      </c>
      <c r="DE105" s="910">
        <v>4361.660243192151</v>
      </c>
      <c r="DF105" s="871">
        <v>4000</v>
      </c>
      <c r="DG105" s="911">
        <v>128.27473748261701</v>
      </c>
      <c r="DH105" s="908">
        <v>15.127620398140472</v>
      </c>
      <c r="DI105" s="902">
        <v>42.939476575707801</v>
      </c>
      <c r="DJ105" s="902">
        <v>0</v>
      </c>
      <c r="DK105" s="902">
        <v>0</v>
      </c>
      <c r="DL105" s="902">
        <v>52.155047235754978</v>
      </c>
      <c r="DM105" s="902">
        <v>2.0235983716874353</v>
      </c>
      <c r="DN105" s="902">
        <v>3600</v>
      </c>
      <c r="DO105" s="909" t="s">
        <v>2875</v>
      </c>
      <c r="DP105" s="909">
        <v>6</v>
      </c>
      <c r="DQ105" s="909">
        <v>0</v>
      </c>
      <c r="DR105" s="909">
        <v>0</v>
      </c>
      <c r="DS105" s="909">
        <v>0</v>
      </c>
      <c r="DT105" s="910">
        <v>4571.8745016563498</v>
      </c>
      <c r="DU105" s="909">
        <v>0</v>
      </c>
      <c r="DV105" s="909">
        <v>0</v>
      </c>
      <c r="DW105" s="909">
        <v>0</v>
      </c>
      <c r="DX105" s="910">
        <v>4539.7599147381434</v>
      </c>
      <c r="DY105" s="871">
        <v>4000</v>
      </c>
      <c r="DZ105" s="911">
        <v>128.27473748261701</v>
      </c>
      <c r="EA105" s="908">
        <v>15.127620398140472</v>
      </c>
      <c r="EB105" s="902">
        <v>42.939476575707801</v>
      </c>
      <c r="EC105" s="902">
        <v>0</v>
      </c>
      <c r="ED105" s="902">
        <v>0</v>
      </c>
      <c r="EE105" s="902">
        <v>52.155047235754978</v>
      </c>
      <c r="EF105" s="902">
        <v>2.0235983716874353</v>
      </c>
      <c r="EG105" s="902">
        <v>3600</v>
      </c>
      <c r="EH105" s="909" t="s">
        <v>2875</v>
      </c>
      <c r="EI105" s="909">
        <v>6</v>
      </c>
      <c r="EJ105" s="909">
        <v>0</v>
      </c>
      <c r="EK105" s="909">
        <v>0</v>
      </c>
      <c r="EL105" s="909">
        <v>0</v>
      </c>
      <c r="EM105" s="910">
        <v>4571.8745016563498</v>
      </c>
      <c r="EN105" s="909">
        <v>0</v>
      </c>
      <c r="EO105" s="909">
        <v>0</v>
      </c>
      <c r="EP105" s="909">
        <v>0</v>
      </c>
      <c r="EQ105" s="910">
        <v>4539.7599147381434</v>
      </c>
      <c r="ER105" s="871">
        <v>4000</v>
      </c>
      <c r="ES105" s="911">
        <v>128.27473748261701</v>
      </c>
      <c r="ET105" s="908">
        <v>15.127620398140472</v>
      </c>
      <c r="EU105" s="902">
        <v>42.939476575707801</v>
      </c>
      <c r="EV105" s="902">
        <v>0</v>
      </c>
      <c r="EW105" s="902">
        <v>0</v>
      </c>
      <c r="EX105" s="902">
        <v>52.155047235754978</v>
      </c>
      <c r="EY105" s="902">
        <v>2.0235983716874353</v>
      </c>
      <c r="EZ105" s="902">
        <v>3600</v>
      </c>
      <c r="FA105" s="909" t="s">
        <v>3884</v>
      </c>
      <c r="FB105" s="909">
        <v>6</v>
      </c>
      <c r="FC105" s="909">
        <v>0</v>
      </c>
      <c r="FD105" s="909">
        <v>0</v>
      </c>
      <c r="FE105" s="909">
        <v>0</v>
      </c>
      <c r="FF105" s="910">
        <v>4869.8842015036153</v>
      </c>
      <c r="FG105" s="909">
        <v>0</v>
      </c>
      <c r="FH105" s="909">
        <v>0</v>
      </c>
      <c r="FI105" s="909">
        <v>0</v>
      </c>
      <c r="FJ105" s="910">
        <v>4835.676281007517</v>
      </c>
      <c r="FK105" s="871">
        <v>4000</v>
      </c>
      <c r="FL105" s="911">
        <v>128.27473748261701</v>
      </c>
      <c r="FM105" s="908">
        <v>15.127620398140472</v>
      </c>
      <c r="FN105" s="902">
        <v>42.939476575707801</v>
      </c>
      <c r="FO105" s="902">
        <v>0</v>
      </c>
      <c r="FP105" s="902">
        <v>0</v>
      </c>
      <c r="FQ105" s="902">
        <v>52.155047235754978</v>
      </c>
      <c r="FR105" s="902">
        <v>2.0235983716874353</v>
      </c>
      <c r="FS105" s="902">
        <v>3600</v>
      </c>
      <c r="FT105" s="909" t="s">
        <v>3884</v>
      </c>
      <c r="FU105" s="909">
        <v>6</v>
      </c>
      <c r="FV105" s="909">
        <v>0</v>
      </c>
      <c r="FW105" s="909">
        <v>0</v>
      </c>
      <c r="FX105" s="909">
        <v>0</v>
      </c>
      <c r="FY105" s="910">
        <v>4869.8842015036153</v>
      </c>
      <c r="FZ105" s="909">
        <v>0</v>
      </c>
      <c r="GA105" s="909">
        <v>0</v>
      </c>
      <c r="GB105" s="909">
        <v>0</v>
      </c>
      <c r="GC105" s="910">
        <v>4835.676281007517</v>
      </c>
      <c r="GD105" s="871">
        <v>4000</v>
      </c>
      <c r="GE105" s="911">
        <v>128.27473748261701</v>
      </c>
      <c r="GF105" s="908">
        <v>12.606350331783727</v>
      </c>
      <c r="GG105" s="902">
        <v>40.418206509351059</v>
      </c>
      <c r="GH105" s="902">
        <v>0</v>
      </c>
      <c r="GI105" s="902">
        <v>0</v>
      </c>
      <c r="GJ105" s="902">
        <v>50.688565932270386</v>
      </c>
      <c r="GK105" s="902">
        <v>1.8676314561443079</v>
      </c>
      <c r="GL105" s="902">
        <v>3600</v>
      </c>
      <c r="GM105" s="909" t="s">
        <v>2877</v>
      </c>
      <c r="GN105" s="909">
        <v>5</v>
      </c>
      <c r="GO105" s="909">
        <v>0</v>
      </c>
      <c r="GP105" s="909">
        <v>0</v>
      </c>
      <c r="GQ105" s="909">
        <v>0</v>
      </c>
      <c r="GR105" s="910">
        <v>4695.1999416876688</v>
      </c>
      <c r="GS105" s="909">
        <v>0</v>
      </c>
      <c r="GT105" s="909">
        <v>0</v>
      </c>
      <c r="GU105" s="909">
        <v>0</v>
      </c>
      <c r="GV105" s="910">
        <v>4463.6441539376565</v>
      </c>
      <c r="GW105" s="871">
        <v>4000</v>
      </c>
      <c r="GX105" s="911">
        <v>128.27473748261701</v>
      </c>
      <c r="GY105" s="908">
        <v>12.606350331783727</v>
      </c>
      <c r="GZ105" s="902">
        <v>40.418206509351059</v>
      </c>
      <c r="HA105" s="902">
        <v>0</v>
      </c>
      <c r="HB105" s="902">
        <v>0</v>
      </c>
      <c r="HC105" s="902">
        <v>50.688565932270386</v>
      </c>
      <c r="HD105" s="902">
        <v>1.8676314561443079</v>
      </c>
      <c r="HE105" s="902">
        <v>3600</v>
      </c>
      <c r="HF105" s="909" t="s">
        <v>2877</v>
      </c>
      <c r="HG105" s="909">
        <v>5</v>
      </c>
      <c r="HH105" s="909">
        <v>0</v>
      </c>
      <c r="HI105" s="909">
        <v>0</v>
      </c>
      <c r="HJ105" s="909">
        <v>0</v>
      </c>
      <c r="HK105" s="910">
        <v>4695.1999416876688</v>
      </c>
      <c r="HL105" s="909">
        <v>0</v>
      </c>
      <c r="HM105" s="909">
        <v>0</v>
      </c>
      <c r="HN105" s="909">
        <v>0</v>
      </c>
      <c r="HO105" s="910">
        <v>4463.6441539376565</v>
      </c>
      <c r="HP105" s="871">
        <v>4000</v>
      </c>
      <c r="HQ105" s="911">
        <v>128.27473748261701</v>
      </c>
      <c r="HR105" s="908">
        <v>12.606350331783727</v>
      </c>
      <c r="HS105" s="902">
        <v>40.418206509351059</v>
      </c>
      <c r="HT105" s="902">
        <v>0</v>
      </c>
      <c r="HU105" s="902">
        <v>0</v>
      </c>
      <c r="HV105" s="902">
        <v>50.688565932270386</v>
      </c>
      <c r="HW105" s="902">
        <v>1.8676314561443079</v>
      </c>
      <c r="HX105" s="902">
        <v>3600</v>
      </c>
      <c r="HY105" s="909" t="s">
        <v>1063</v>
      </c>
      <c r="HZ105" s="909">
        <v>5</v>
      </c>
      <c r="IA105" s="909">
        <v>0</v>
      </c>
      <c r="IB105" s="909">
        <v>0</v>
      </c>
      <c r="IC105" s="909">
        <v>0</v>
      </c>
      <c r="ID105" s="910">
        <v>4140.7771338101802</v>
      </c>
      <c r="IE105" s="909">
        <v>0</v>
      </c>
      <c r="IF105" s="909">
        <v>0</v>
      </c>
      <c r="IG105" s="909">
        <v>0</v>
      </c>
      <c r="IH105" s="910">
        <v>3936.5641241354497</v>
      </c>
      <c r="II105" s="871">
        <v>3936.5641241354497</v>
      </c>
      <c r="IJ105" s="911">
        <v>126.24043240174073</v>
      </c>
      <c r="IK105" s="908">
        <v>12.606350331783727</v>
      </c>
      <c r="IL105" s="902">
        <v>40.418206509351059</v>
      </c>
      <c r="IM105" s="902">
        <v>0</v>
      </c>
      <c r="IN105" s="902">
        <v>0</v>
      </c>
      <c r="IO105" s="902">
        <v>50.688565932270386</v>
      </c>
      <c r="IP105" s="902">
        <v>1.8676314561443079</v>
      </c>
      <c r="IQ105" s="902">
        <v>3600</v>
      </c>
      <c r="IR105" s="909" t="s">
        <v>1063</v>
      </c>
      <c r="IS105" s="909">
        <v>5</v>
      </c>
      <c r="IT105" s="909">
        <v>0</v>
      </c>
      <c r="IU105" s="909">
        <v>0</v>
      </c>
      <c r="IV105" s="909">
        <v>0</v>
      </c>
      <c r="IW105" s="910">
        <v>4140.7771338101802</v>
      </c>
      <c r="IX105" s="909">
        <v>0</v>
      </c>
      <c r="IY105" s="909">
        <v>0</v>
      </c>
      <c r="IZ105" s="909">
        <v>0</v>
      </c>
      <c r="JA105" s="910">
        <v>3936.5641241354497</v>
      </c>
      <c r="JB105" s="871">
        <v>3936.5641241354497</v>
      </c>
      <c r="JC105" s="911">
        <v>126.24043240174073</v>
      </c>
      <c r="JD105" s="908">
        <v>10.085080265426981</v>
      </c>
      <c r="JE105" s="902">
        <v>37.896936442994317</v>
      </c>
      <c r="JF105" s="902">
        <v>0</v>
      </c>
      <c r="JG105" s="902">
        <v>0</v>
      </c>
      <c r="JH105" s="902">
        <v>49.026955641570211</v>
      </c>
      <c r="JI105" s="902">
        <v>1.7116645406011806</v>
      </c>
      <c r="JJ105" s="902">
        <v>3600</v>
      </c>
      <c r="JK105" s="909" t="s">
        <v>1064</v>
      </c>
      <c r="JL105" s="909">
        <v>4</v>
      </c>
      <c r="JM105" s="909">
        <v>0</v>
      </c>
      <c r="JN105" s="909">
        <v>0</v>
      </c>
      <c r="JO105" s="909">
        <v>0</v>
      </c>
      <c r="JP105" s="910">
        <v>4659.8968525832188</v>
      </c>
      <c r="JQ105" s="909">
        <v>0</v>
      </c>
      <c r="JR105" s="909">
        <v>0</v>
      </c>
      <c r="JS105" s="909">
        <v>0</v>
      </c>
      <c r="JT105" s="910">
        <v>4357.9800742125099</v>
      </c>
      <c r="JU105" s="871">
        <v>4000</v>
      </c>
      <c r="JV105" s="911">
        <v>128.27473748261701</v>
      </c>
      <c r="JW105" s="908">
        <v>10.085080265426981</v>
      </c>
      <c r="JX105" s="902">
        <v>37.896936442994317</v>
      </c>
      <c r="JY105" s="902">
        <v>0</v>
      </c>
      <c r="JZ105" s="902">
        <v>0</v>
      </c>
      <c r="KA105" s="902">
        <v>49.026955641570211</v>
      </c>
      <c r="KB105" s="902">
        <v>1.7116645406011806</v>
      </c>
      <c r="KC105" s="902">
        <v>3600</v>
      </c>
      <c r="KD105" s="909" t="s">
        <v>1064</v>
      </c>
      <c r="KE105" s="909">
        <v>4</v>
      </c>
      <c r="KF105" s="909">
        <v>0</v>
      </c>
      <c r="KG105" s="909">
        <v>0</v>
      </c>
      <c r="KH105" s="909">
        <v>0</v>
      </c>
      <c r="KI105" s="910">
        <v>4659.8968525832188</v>
      </c>
      <c r="KJ105" s="909">
        <v>0</v>
      </c>
      <c r="KK105" s="909">
        <v>0</v>
      </c>
      <c r="KL105" s="909">
        <v>0</v>
      </c>
      <c r="KM105" s="910">
        <v>4357.9800742125099</v>
      </c>
      <c r="KN105" s="871">
        <v>4000</v>
      </c>
      <c r="KO105" s="912">
        <v>128.27473748261701</v>
      </c>
    </row>
    <row r="106" spans="1:301" ht="15" customHeight="1">
      <c r="A106" s="924" t="s">
        <v>1570</v>
      </c>
      <c r="B106" s="888" t="s">
        <v>1073</v>
      </c>
      <c r="C106" s="888">
        <v>150</v>
      </c>
      <c r="D106" s="888">
        <v>262</v>
      </c>
      <c r="E106" s="888">
        <v>106</v>
      </c>
      <c r="F106" s="888">
        <v>150</v>
      </c>
      <c r="G106" s="888">
        <v>34</v>
      </c>
      <c r="H106" s="888">
        <v>20</v>
      </c>
      <c r="I106" s="888">
        <v>20</v>
      </c>
      <c r="J106" s="888">
        <v>34.83</v>
      </c>
      <c r="K106" s="888">
        <v>60.2</v>
      </c>
      <c r="L106" s="888">
        <v>12</v>
      </c>
      <c r="M106" s="888">
        <v>70</v>
      </c>
      <c r="N106" s="888">
        <v>2</v>
      </c>
      <c r="O106" s="884">
        <v>0.70788376289983523</v>
      </c>
      <c r="P106" s="888">
        <v>2</v>
      </c>
      <c r="Q106" s="884">
        <v>0.35991488312530506</v>
      </c>
      <c r="R106" s="888">
        <v>10</v>
      </c>
      <c r="S106" s="888">
        <v>198.63434031080513</v>
      </c>
      <c r="T106" s="906">
        <v>2.4325859993414483</v>
      </c>
      <c r="U106" s="906">
        <v>29.795151046620767</v>
      </c>
      <c r="V106" s="906">
        <v>47.5</v>
      </c>
      <c r="W106" s="1141">
        <v>0.19498697150971295</v>
      </c>
      <c r="X106" s="902">
        <v>0</v>
      </c>
      <c r="Y106" s="902">
        <v>0</v>
      </c>
      <c r="Z106" s="902">
        <v>0</v>
      </c>
      <c r="AA106" s="902">
        <v>0</v>
      </c>
      <c r="AB106" s="970">
        <v>0.13039063818264909</v>
      </c>
      <c r="AC106" s="1045">
        <v>4000</v>
      </c>
      <c r="AD106" s="890">
        <v>5.9274907665245058</v>
      </c>
      <c r="AE106" s="890">
        <v>0.69579491153429651</v>
      </c>
      <c r="AF106" s="890">
        <v>-0.13478220291003354</v>
      </c>
      <c r="AG106" s="890">
        <v>0.53830751674433264</v>
      </c>
      <c r="AH106" s="888"/>
      <c r="AI106" s="907">
        <v>0.21390856876013264</v>
      </c>
      <c r="AJ106" s="908">
        <v>0.3956400000000001</v>
      </c>
      <c r="AK106" s="902">
        <v>4.0910116168763011</v>
      </c>
      <c r="AL106" s="902">
        <v>0</v>
      </c>
      <c r="AM106" s="902">
        <v>0</v>
      </c>
      <c r="AN106" s="902">
        <v>8.620816564220311</v>
      </c>
      <c r="AO106" s="902">
        <v>2.8436470676162839E-2</v>
      </c>
      <c r="AP106" s="1222">
        <v>3600</v>
      </c>
      <c r="AQ106" s="909" t="s">
        <v>1062</v>
      </c>
      <c r="AR106" s="909">
        <v>3</v>
      </c>
      <c r="AS106" s="909">
        <v>0</v>
      </c>
      <c r="AT106" s="909">
        <v>0</v>
      </c>
      <c r="AU106" s="909">
        <v>0</v>
      </c>
      <c r="AV106" s="910">
        <v>49468.779296864785</v>
      </c>
      <c r="AW106" s="909">
        <v>0</v>
      </c>
      <c r="AX106" s="909">
        <v>0</v>
      </c>
      <c r="AY106" s="909">
        <v>0</v>
      </c>
      <c r="AZ106" s="910">
        <v>80844.313252280641</v>
      </c>
      <c r="BA106" s="871">
        <v>4000</v>
      </c>
      <c r="BB106" s="911">
        <v>54.873151682701724</v>
      </c>
      <c r="BC106" s="908">
        <v>0.3956400000000001</v>
      </c>
      <c r="BD106" s="902">
        <v>4.0910116168763011</v>
      </c>
      <c r="BE106" s="902">
        <v>0</v>
      </c>
      <c r="BF106" s="902">
        <v>0</v>
      </c>
      <c r="BG106" s="902">
        <v>8.620816564220311</v>
      </c>
      <c r="BH106" s="902">
        <v>2.8436470676162839E-2</v>
      </c>
      <c r="BI106" s="902">
        <v>3600</v>
      </c>
      <c r="BJ106" s="909" t="s">
        <v>1062</v>
      </c>
      <c r="BK106" s="909">
        <v>3</v>
      </c>
      <c r="BL106" s="909">
        <v>0</v>
      </c>
      <c r="BM106" s="909">
        <v>0</v>
      </c>
      <c r="BN106" s="909">
        <v>0</v>
      </c>
      <c r="BO106" s="910">
        <v>49468.779296864785</v>
      </c>
      <c r="BP106" s="909">
        <v>0</v>
      </c>
      <c r="BQ106" s="909">
        <v>0</v>
      </c>
      <c r="BR106" s="909">
        <v>0</v>
      </c>
      <c r="BS106" s="910">
        <v>80844.313252280641</v>
      </c>
      <c r="BT106" s="871">
        <v>4000</v>
      </c>
      <c r="BU106" s="911">
        <v>54.873151682701724</v>
      </c>
      <c r="BV106" s="908">
        <v>0.26376000000000005</v>
      </c>
      <c r="BW106" s="902">
        <v>3.9591316168763013</v>
      </c>
      <c r="BX106" s="902">
        <v>0</v>
      </c>
      <c r="BY106" s="902">
        <v>0</v>
      </c>
      <c r="BZ106" s="902">
        <v>8.574875502110805</v>
      </c>
      <c r="CA106" s="902">
        <v>2.6933961836162836E-2</v>
      </c>
      <c r="CB106" s="902">
        <v>3600</v>
      </c>
      <c r="CC106" s="909" t="s">
        <v>2874</v>
      </c>
      <c r="CD106" s="909">
        <v>2</v>
      </c>
      <c r="CE106" s="909">
        <v>0</v>
      </c>
      <c r="CF106" s="909">
        <v>0</v>
      </c>
      <c r="CG106" s="909">
        <v>0</v>
      </c>
      <c r="CH106" s="910">
        <v>28666.906809826542</v>
      </c>
      <c r="CI106" s="909">
        <v>0</v>
      </c>
      <c r="CJ106" s="909">
        <v>0</v>
      </c>
      <c r="CK106" s="909">
        <v>0</v>
      </c>
      <c r="CL106" s="910">
        <v>27983.687743236918</v>
      </c>
      <c r="CM106" s="871">
        <v>4000</v>
      </c>
      <c r="CN106" s="911">
        <v>54.873151682701724</v>
      </c>
      <c r="CO106" s="908">
        <v>0.26376000000000005</v>
      </c>
      <c r="CP106" s="902">
        <v>3.9591316168763013</v>
      </c>
      <c r="CQ106" s="902">
        <v>0</v>
      </c>
      <c r="CR106" s="902">
        <v>0</v>
      </c>
      <c r="CS106" s="902">
        <v>8.574875502110805</v>
      </c>
      <c r="CT106" s="902">
        <v>2.6933961836162836E-2</v>
      </c>
      <c r="CU106" s="902">
        <v>3600</v>
      </c>
      <c r="CV106" s="909" t="s">
        <v>2874</v>
      </c>
      <c r="CW106" s="909">
        <v>2</v>
      </c>
      <c r="CX106" s="909">
        <v>0</v>
      </c>
      <c r="CY106" s="909">
        <v>0</v>
      </c>
      <c r="CZ106" s="909">
        <v>0</v>
      </c>
      <c r="DA106" s="910">
        <v>28666.906809826542</v>
      </c>
      <c r="DB106" s="909">
        <v>0</v>
      </c>
      <c r="DC106" s="909">
        <v>0</v>
      </c>
      <c r="DD106" s="909">
        <v>0</v>
      </c>
      <c r="DE106" s="910">
        <v>27983.687743236918</v>
      </c>
      <c r="DF106" s="871">
        <v>4000</v>
      </c>
      <c r="DG106" s="911">
        <v>54.873151682701724</v>
      </c>
      <c r="DH106" s="908">
        <v>0.26376000000000005</v>
      </c>
      <c r="DI106" s="902">
        <v>3.9591316168763013</v>
      </c>
      <c r="DJ106" s="902">
        <v>0</v>
      </c>
      <c r="DK106" s="902">
        <v>0</v>
      </c>
      <c r="DL106" s="902">
        <v>8.574875502110805</v>
      </c>
      <c r="DM106" s="902">
        <v>2.6933961836162836E-2</v>
      </c>
      <c r="DN106" s="902">
        <v>3600</v>
      </c>
      <c r="DO106" s="909" t="s">
        <v>2876</v>
      </c>
      <c r="DP106" s="909">
        <v>2</v>
      </c>
      <c r="DQ106" s="909">
        <v>0</v>
      </c>
      <c r="DR106" s="909">
        <v>0</v>
      </c>
      <c r="DS106" s="909">
        <v>0</v>
      </c>
      <c r="DT106" s="910">
        <v>30646.212463130167</v>
      </c>
      <c r="DU106" s="909">
        <v>0</v>
      </c>
      <c r="DV106" s="909">
        <v>0</v>
      </c>
      <c r="DW106" s="909">
        <v>0</v>
      </c>
      <c r="DX106" s="910">
        <v>29915.82055818809</v>
      </c>
      <c r="DY106" s="871">
        <v>4000</v>
      </c>
      <c r="DZ106" s="911">
        <v>54.873151682701724</v>
      </c>
      <c r="EA106" s="908">
        <v>0.26376000000000005</v>
      </c>
      <c r="EB106" s="902">
        <v>3.9591316168763013</v>
      </c>
      <c r="EC106" s="902">
        <v>0</v>
      </c>
      <c r="ED106" s="902">
        <v>0</v>
      </c>
      <c r="EE106" s="902">
        <v>8.574875502110805</v>
      </c>
      <c r="EF106" s="902">
        <v>2.6933961836162836E-2</v>
      </c>
      <c r="EG106" s="902">
        <v>3600</v>
      </c>
      <c r="EH106" s="909" t="s">
        <v>2876</v>
      </c>
      <c r="EI106" s="909">
        <v>2</v>
      </c>
      <c r="EJ106" s="909">
        <v>0</v>
      </c>
      <c r="EK106" s="909">
        <v>0</v>
      </c>
      <c r="EL106" s="909">
        <v>0</v>
      </c>
      <c r="EM106" s="910">
        <v>30646.212463130167</v>
      </c>
      <c r="EN106" s="909">
        <v>0</v>
      </c>
      <c r="EO106" s="909">
        <v>0</v>
      </c>
      <c r="EP106" s="909">
        <v>0</v>
      </c>
      <c r="EQ106" s="910">
        <v>29915.82055818809</v>
      </c>
      <c r="ER106" s="871">
        <v>4000</v>
      </c>
      <c r="ES106" s="911">
        <v>54.873151682701724</v>
      </c>
      <c r="ET106" s="908">
        <v>0.26376000000000005</v>
      </c>
      <c r="EU106" s="902">
        <v>3.9591316168763013</v>
      </c>
      <c r="EV106" s="902">
        <v>0</v>
      </c>
      <c r="EW106" s="902">
        <v>0</v>
      </c>
      <c r="EX106" s="902">
        <v>8.574875502110805</v>
      </c>
      <c r="EY106" s="902">
        <v>2.6933961836162836E-2</v>
      </c>
      <c r="EZ106" s="902">
        <v>3600</v>
      </c>
      <c r="FA106" s="909" t="s">
        <v>3889</v>
      </c>
      <c r="FB106" s="909">
        <v>2</v>
      </c>
      <c r="FC106" s="909">
        <v>0</v>
      </c>
      <c r="FD106" s="909">
        <v>0</v>
      </c>
      <c r="FE106" s="909">
        <v>0</v>
      </c>
      <c r="FF106" s="910">
        <v>31278.159618163067</v>
      </c>
      <c r="FG106" s="909">
        <v>0</v>
      </c>
      <c r="FH106" s="909">
        <v>0</v>
      </c>
      <c r="FI106" s="909">
        <v>0</v>
      </c>
      <c r="FJ106" s="910">
        <v>30532.706501759938</v>
      </c>
      <c r="FK106" s="871">
        <v>4000</v>
      </c>
      <c r="FL106" s="911">
        <v>54.873151682701724</v>
      </c>
      <c r="FM106" s="908">
        <v>0.26376000000000005</v>
      </c>
      <c r="FN106" s="902">
        <v>3.9591316168763013</v>
      </c>
      <c r="FO106" s="902">
        <v>0</v>
      </c>
      <c r="FP106" s="902">
        <v>0</v>
      </c>
      <c r="FQ106" s="902">
        <v>8.574875502110805</v>
      </c>
      <c r="FR106" s="902">
        <v>2.6933961836162836E-2</v>
      </c>
      <c r="FS106" s="902">
        <v>3600</v>
      </c>
      <c r="FT106" s="909" t="s">
        <v>3889</v>
      </c>
      <c r="FU106" s="909">
        <v>2</v>
      </c>
      <c r="FV106" s="909">
        <v>0</v>
      </c>
      <c r="FW106" s="909">
        <v>0</v>
      </c>
      <c r="FX106" s="909">
        <v>0</v>
      </c>
      <c r="FY106" s="910">
        <v>31278.159618163067</v>
      </c>
      <c r="FZ106" s="909">
        <v>0</v>
      </c>
      <c r="GA106" s="909">
        <v>0</v>
      </c>
      <c r="GB106" s="909">
        <v>0</v>
      </c>
      <c r="GC106" s="910">
        <v>30532.706501759938</v>
      </c>
      <c r="GD106" s="871">
        <v>4000</v>
      </c>
      <c r="GE106" s="911">
        <v>54.873151682701724</v>
      </c>
      <c r="GF106" s="908">
        <v>0.26376000000000005</v>
      </c>
      <c r="GG106" s="902">
        <v>3.9591316168763013</v>
      </c>
      <c r="GH106" s="902">
        <v>0</v>
      </c>
      <c r="GI106" s="902">
        <v>0</v>
      </c>
      <c r="GJ106" s="902">
        <v>8.574875502110805</v>
      </c>
      <c r="GK106" s="902">
        <v>2.6933961836162836E-2</v>
      </c>
      <c r="GL106" s="902">
        <v>3600</v>
      </c>
      <c r="GM106" s="909" t="s">
        <v>2877</v>
      </c>
      <c r="GN106" s="909">
        <v>2</v>
      </c>
      <c r="GO106" s="909">
        <v>0</v>
      </c>
      <c r="GP106" s="909">
        <v>0</v>
      </c>
      <c r="GQ106" s="909">
        <v>0</v>
      </c>
      <c r="GR106" s="910">
        <v>41964.05467038088</v>
      </c>
      <c r="GS106" s="909">
        <v>0</v>
      </c>
      <c r="GT106" s="909">
        <v>0</v>
      </c>
      <c r="GU106" s="909">
        <v>0</v>
      </c>
      <c r="GV106" s="910">
        <v>40963.924364990999</v>
      </c>
      <c r="GW106" s="871">
        <v>4000</v>
      </c>
      <c r="GX106" s="911">
        <v>54.873151682701724</v>
      </c>
      <c r="GY106" s="908">
        <v>0.26376000000000005</v>
      </c>
      <c r="GZ106" s="902">
        <v>3.9591316168763013</v>
      </c>
      <c r="HA106" s="902">
        <v>0</v>
      </c>
      <c r="HB106" s="902">
        <v>0</v>
      </c>
      <c r="HC106" s="902">
        <v>8.574875502110805</v>
      </c>
      <c r="HD106" s="902">
        <v>2.6933961836162836E-2</v>
      </c>
      <c r="HE106" s="902">
        <v>3600</v>
      </c>
      <c r="HF106" s="909" t="s">
        <v>2877</v>
      </c>
      <c r="HG106" s="909">
        <v>2</v>
      </c>
      <c r="HH106" s="909">
        <v>0</v>
      </c>
      <c r="HI106" s="909">
        <v>0</v>
      </c>
      <c r="HJ106" s="909">
        <v>0</v>
      </c>
      <c r="HK106" s="910">
        <v>41964.05467038088</v>
      </c>
      <c r="HL106" s="909">
        <v>0</v>
      </c>
      <c r="HM106" s="909">
        <v>0</v>
      </c>
      <c r="HN106" s="909">
        <v>0</v>
      </c>
      <c r="HO106" s="910">
        <v>40963.924364990999</v>
      </c>
      <c r="HP106" s="871">
        <v>4000</v>
      </c>
      <c r="HQ106" s="911">
        <v>54.873151682701724</v>
      </c>
      <c r="HR106" s="908">
        <v>0.26376000000000005</v>
      </c>
      <c r="HS106" s="902">
        <v>3.9591316168763013</v>
      </c>
      <c r="HT106" s="902">
        <v>0</v>
      </c>
      <c r="HU106" s="902">
        <v>0</v>
      </c>
      <c r="HV106" s="902">
        <v>8.574875502110805</v>
      </c>
      <c r="HW106" s="902">
        <v>2.6933961836162836E-2</v>
      </c>
      <c r="HX106" s="902">
        <v>3600</v>
      </c>
      <c r="HY106" s="909" t="s">
        <v>1063</v>
      </c>
      <c r="HZ106" s="909">
        <v>2</v>
      </c>
      <c r="IA106" s="909">
        <v>0</v>
      </c>
      <c r="IB106" s="909">
        <v>0</v>
      </c>
      <c r="IC106" s="909">
        <v>0</v>
      </c>
      <c r="ID106" s="910">
        <v>37008.817553907786</v>
      </c>
      <c r="IE106" s="909">
        <v>0</v>
      </c>
      <c r="IF106" s="909">
        <v>0</v>
      </c>
      <c r="IG106" s="909">
        <v>0</v>
      </c>
      <c r="IH106" s="910">
        <v>36126.785531672795</v>
      </c>
      <c r="II106" s="871">
        <v>4000</v>
      </c>
      <c r="IJ106" s="911">
        <v>54.873151682701724</v>
      </c>
      <c r="IK106" s="908">
        <v>0.26376000000000005</v>
      </c>
      <c r="IL106" s="902">
        <v>3.9591316168763013</v>
      </c>
      <c r="IM106" s="902">
        <v>0</v>
      </c>
      <c r="IN106" s="902">
        <v>0</v>
      </c>
      <c r="IO106" s="902">
        <v>8.574875502110805</v>
      </c>
      <c r="IP106" s="902">
        <v>2.6933961836162836E-2</v>
      </c>
      <c r="IQ106" s="902">
        <v>3600</v>
      </c>
      <c r="IR106" s="909" t="s">
        <v>1063</v>
      </c>
      <c r="IS106" s="909">
        <v>2</v>
      </c>
      <c r="IT106" s="909">
        <v>0</v>
      </c>
      <c r="IU106" s="909">
        <v>0</v>
      </c>
      <c r="IV106" s="909">
        <v>0</v>
      </c>
      <c r="IW106" s="910">
        <v>37008.817553907786</v>
      </c>
      <c r="IX106" s="909">
        <v>0</v>
      </c>
      <c r="IY106" s="909">
        <v>0</v>
      </c>
      <c r="IZ106" s="909">
        <v>0</v>
      </c>
      <c r="JA106" s="910">
        <v>36126.785531672795</v>
      </c>
      <c r="JB106" s="871">
        <v>4000</v>
      </c>
      <c r="JC106" s="911">
        <v>54.873151682701724</v>
      </c>
      <c r="JD106" s="908">
        <v>0.26376000000000005</v>
      </c>
      <c r="JE106" s="902">
        <v>3.9591316168763013</v>
      </c>
      <c r="JF106" s="902">
        <v>0</v>
      </c>
      <c r="JG106" s="902">
        <v>0</v>
      </c>
      <c r="JH106" s="902">
        <v>8.574875502110805</v>
      </c>
      <c r="JI106" s="902">
        <v>2.6933961836162836E-2</v>
      </c>
      <c r="JJ106" s="902">
        <v>3600</v>
      </c>
      <c r="JK106" s="909" t="s">
        <v>1064</v>
      </c>
      <c r="JL106" s="909">
        <v>2</v>
      </c>
      <c r="JM106" s="909">
        <v>0</v>
      </c>
      <c r="JN106" s="909">
        <v>0</v>
      </c>
      <c r="JO106" s="909">
        <v>0</v>
      </c>
      <c r="JP106" s="910">
        <v>50434.516946810785</v>
      </c>
      <c r="JQ106" s="909">
        <v>0</v>
      </c>
      <c r="JR106" s="909">
        <v>0</v>
      </c>
      <c r="JS106" s="909">
        <v>0</v>
      </c>
      <c r="JT106" s="910">
        <v>49232.509914067894</v>
      </c>
      <c r="JU106" s="871">
        <v>4000</v>
      </c>
      <c r="JV106" s="911">
        <v>54.873151682701724</v>
      </c>
      <c r="JW106" s="908">
        <v>0.26376000000000005</v>
      </c>
      <c r="JX106" s="902">
        <v>3.9591316168763013</v>
      </c>
      <c r="JY106" s="902">
        <v>0</v>
      </c>
      <c r="JZ106" s="902">
        <v>0</v>
      </c>
      <c r="KA106" s="902">
        <v>8.574875502110805</v>
      </c>
      <c r="KB106" s="902">
        <v>2.6933961836162836E-2</v>
      </c>
      <c r="KC106" s="902">
        <v>3600</v>
      </c>
      <c r="KD106" s="909" t="s">
        <v>1064</v>
      </c>
      <c r="KE106" s="909">
        <v>2</v>
      </c>
      <c r="KF106" s="909">
        <v>0</v>
      </c>
      <c r="KG106" s="909">
        <v>0</v>
      </c>
      <c r="KH106" s="909">
        <v>0</v>
      </c>
      <c r="KI106" s="910">
        <v>50434.516946810785</v>
      </c>
      <c r="KJ106" s="909">
        <v>0</v>
      </c>
      <c r="KK106" s="909">
        <v>0</v>
      </c>
      <c r="KL106" s="909">
        <v>0</v>
      </c>
      <c r="KM106" s="910">
        <v>49232.509914067894</v>
      </c>
      <c r="KN106" s="871">
        <v>4000</v>
      </c>
      <c r="KO106" s="912">
        <v>54.873151682701724</v>
      </c>
    </row>
    <row r="107" spans="1:301" ht="15" customHeight="1">
      <c r="A107" s="924" t="s">
        <v>1571</v>
      </c>
      <c r="B107" s="888" t="s">
        <v>1073</v>
      </c>
      <c r="C107" s="888">
        <v>150</v>
      </c>
      <c r="D107" s="888">
        <v>327</v>
      </c>
      <c r="E107" s="888">
        <v>106</v>
      </c>
      <c r="F107" s="888">
        <v>140</v>
      </c>
      <c r="G107" s="888">
        <v>34</v>
      </c>
      <c r="H107" s="888">
        <v>20</v>
      </c>
      <c r="I107" s="888">
        <v>20</v>
      </c>
      <c r="J107" s="888">
        <v>31.8</v>
      </c>
      <c r="K107" s="888">
        <v>67.25</v>
      </c>
      <c r="L107" s="888">
        <v>12</v>
      </c>
      <c r="M107" s="888">
        <v>112</v>
      </c>
      <c r="N107" s="888">
        <v>2</v>
      </c>
      <c r="O107" s="884">
        <v>1.1799665712648748</v>
      </c>
      <c r="P107" s="888">
        <v>2</v>
      </c>
      <c r="Q107" s="884">
        <v>0.68716067158435212</v>
      </c>
      <c r="R107" s="888">
        <v>10</v>
      </c>
      <c r="S107" s="888">
        <v>226.27771102452576</v>
      </c>
      <c r="T107" s="906">
        <v>3.1567710988714111</v>
      </c>
      <c r="U107" s="906">
        <v>33.941656653678862</v>
      </c>
      <c r="V107" s="906">
        <v>47.5</v>
      </c>
      <c r="W107" s="1141">
        <v>0.25303493339391153</v>
      </c>
      <c r="X107" s="902">
        <v>0</v>
      </c>
      <c r="Y107" s="902">
        <v>0</v>
      </c>
      <c r="Z107" s="902">
        <v>0</v>
      </c>
      <c r="AA107" s="902">
        <v>0</v>
      </c>
      <c r="AB107" s="970">
        <v>0.19376834938099899</v>
      </c>
      <c r="AC107" s="1045">
        <v>4000</v>
      </c>
      <c r="AD107" s="890">
        <v>4.2587971427321767</v>
      </c>
      <c r="AE107" s="890">
        <v>0.62002626901608415</v>
      </c>
      <c r="AF107" s="890">
        <v>-0.15684459291016381</v>
      </c>
      <c r="AG107" s="890">
        <v>0.83058365505817888</v>
      </c>
      <c r="AH107" s="888"/>
      <c r="AI107" s="907">
        <v>0.35434444350281791</v>
      </c>
      <c r="AJ107" s="908">
        <v>0.63302400000000003</v>
      </c>
      <c r="AK107" s="902">
        <v>5.9099572751145502</v>
      </c>
      <c r="AL107" s="902">
        <v>0</v>
      </c>
      <c r="AM107" s="902">
        <v>0</v>
      </c>
      <c r="AN107" s="902">
        <v>8.8681127154727974</v>
      </c>
      <c r="AO107" s="902">
        <v>6.1456910401791902E-2</v>
      </c>
      <c r="AP107" s="1222">
        <v>3600</v>
      </c>
      <c r="AQ107" s="909" t="s">
        <v>1062</v>
      </c>
      <c r="AR107" s="909">
        <v>3</v>
      </c>
      <c r="AS107" s="909">
        <v>0</v>
      </c>
      <c r="AT107" s="909">
        <v>0</v>
      </c>
      <c r="AU107" s="909">
        <v>0</v>
      </c>
      <c r="AV107" s="910">
        <v>52244.412395734777</v>
      </c>
      <c r="AW107" s="909">
        <v>0</v>
      </c>
      <c r="AX107" s="909">
        <v>0</v>
      </c>
      <c r="AY107" s="909">
        <v>0</v>
      </c>
      <c r="AZ107" s="910">
        <v>81972.474548533413</v>
      </c>
      <c r="BA107" s="871">
        <v>4000</v>
      </c>
      <c r="BB107" s="911">
        <v>68.486719848257493</v>
      </c>
      <c r="BC107" s="908">
        <v>0.63302400000000003</v>
      </c>
      <c r="BD107" s="902">
        <v>5.9099572751145502</v>
      </c>
      <c r="BE107" s="902">
        <v>0</v>
      </c>
      <c r="BF107" s="902">
        <v>0</v>
      </c>
      <c r="BG107" s="902">
        <v>8.8681127154727974</v>
      </c>
      <c r="BH107" s="902">
        <v>6.1456910401791902E-2</v>
      </c>
      <c r="BI107" s="902">
        <v>3600</v>
      </c>
      <c r="BJ107" s="909" t="s">
        <v>1062</v>
      </c>
      <c r="BK107" s="909">
        <v>3</v>
      </c>
      <c r="BL107" s="909">
        <v>0</v>
      </c>
      <c r="BM107" s="909">
        <v>0</v>
      </c>
      <c r="BN107" s="909">
        <v>0</v>
      </c>
      <c r="BO107" s="910">
        <v>52244.412395734777</v>
      </c>
      <c r="BP107" s="909">
        <v>0</v>
      </c>
      <c r="BQ107" s="909">
        <v>0</v>
      </c>
      <c r="BR107" s="909">
        <v>0</v>
      </c>
      <c r="BS107" s="910">
        <v>81972.474548533413</v>
      </c>
      <c r="BT107" s="871">
        <v>4000</v>
      </c>
      <c r="BU107" s="911">
        <v>68.486719848257493</v>
      </c>
      <c r="BV107" s="908">
        <v>0.42201600000000006</v>
      </c>
      <c r="BW107" s="902">
        <v>5.6989492751145505</v>
      </c>
      <c r="BX107" s="902">
        <v>0</v>
      </c>
      <c r="BY107" s="902">
        <v>0</v>
      </c>
      <c r="BZ107" s="902">
        <v>8.8262037142510366</v>
      </c>
      <c r="CA107" s="902">
        <v>5.8043091097791905E-2</v>
      </c>
      <c r="CB107" s="902">
        <v>3600</v>
      </c>
      <c r="CC107" s="909" t="s">
        <v>2874</v>
      </c>
      <c r="CD107" s="909">
        <v>2</v>
      </c>
      <c r="CE107" s="909">
        <v>0</v>
      </c>
      <c r="CF107" s="909">
        <v>0</v>
      </c>
      <c r="CG107" s="909">
        <v>0</v>
      </c>
      <c r="CH107" s="910">
        <v>29161.668702514118</v>
      </c>
      <c r="CI107" s="909">
        <v>0</v>
      </c>
      <c r="CJ107" s="909">
        <v>0</v>
      </c>
      <c r="CK107" s="909">
        <v>0</v>
      </c>
      <c r="CL107" s="910">
        <v>28374.192803744761</v>
      </c>
      <c r="CM107" s="871">
        <v>4000</v>
      </c>
      <c r="CN107" s="911">
        <v>68.486719848257493</v>
      </c>
      <c r="CO107" s="908">
        <v>0.42201600000000006</v>
      </c>
      <c r="CP107" s="902">
        <v>5.6989492751145505</v>
      </c>
      <c r="CQ107" s="902">
        <v>0</v>
      </c>
      <c r="CR107" s="902">
        <v>0</v>
      </c>
      <c r="CS107" s="902">
        <v>8.8262037142510366</v>
      </c>
      <c r="CT107" s="902">
        <v>5.8043091097791905E-2</v>
      </c>
      <c r="CU107" s="902">
        <v>3600</v>
      </c>
      <c r="CV107" s="909" t="s">
        <v>2874</v>
      </c>
      <c r="CW107" s="909">
        <v>2</v>
      </c>
      <c r="CX107" s="909">
        <v>0</v>
      </c>
      <c r="CY107" s="909">
        <v>0</v>
      </c>
      <c r="CZ107" s="909">
        <v>0</v>
      </c>
      <c r="DA107" s="910">
        <v>29161.668702514118</v>
      </c>
      <c r="DB107" s="909">
        <v>0</v>
      </c>
      <c r="DC107" s="909">
        <v>0</v>
      </c>
      <c r="DD107" s="909">
        <v>0</v>
      </c>
      <c r="DE107" s="910">
        <v>28374.192803744761</v>
      </c>
      <c r="DF107" s="871">
        <v>4000</v>
      </c>
      <c r="DG107" s="911">
        <v>68.486719848257493</v>
      </c>
      <c r="DH107" s="908">
        <v>0.42201600000000006</v>
      </c>
      <c r="DI107" s="902">
        <v>5.6989492751145505</v>
      </c>
      <c r="DJ107" s="902">
        <v>0</v>
      </c>
      <c r="DK107" s="902">
        <v>0</v>
      </c>
      <c r="DL107" s="902">
        <v>8.8262037142510366</v>
      </c>
      <c r="DM107" s="902">
        <v>5.8043091097791905E-2</v>
      </c>
      <c r="DN107" s="902">
        <v>3600</v>
      </c>
      <c r="DO107" s="909" t="s">
        <v>2876</v>
      </c>
      <c r="DP107" s="909">
        <v>2</v>
      </c>
      <c r="DQ107" s="909">
        <v>0</v>
      </c>
      <c r="DR107" s="909">
        <v>0</v>
      </c>
      <c r="DS107" s="909">
        <v>0</v>
      </c>
      <c r="DT107" s="910">
        <v>31175.135174701547</v>
      </c>
      <c r="DU107" s="909">
        <v>0</v>
      </c>
      <c r="DV107" s="909">
        <v>0</v>
      </c>
      <c r="DW107" s="909">
        <v>0</v>
      </c>
      <c r="DX107" s="910">
        <v>30333.288027966355</v>
      </c>
      <c r="DY107" s="871">
        <v>4000</v>
      </c>
      <c r="DZ107" s="911">
        <v>68.486719848257493</v>
      </c>
      <c r="EA107" s="908">
        <v>0.42201600000000006</v>
      </c>
      <c r="EB107" s="902">
        <v>5.6989492751145505</v>
      </c>
      <c r="EC107" s="902">
        <v>0</v>
      </c>
      <c r="ED107" s="902">
        <v>0</v>
      </c>
      <c r="EE107" s="902">
        <v>8.8262037142510366</v>
      </c>
      <c r="EF107" s="902">
        <v>5.8043091097791905E-2</v>
      </c>
      <c r="EG107" s="902">
        <v>3600</v>
      </c>
      <c r="EH107" s="909" t="s">
        <v>2876</v>
      </c>
      <c r="EI107" s="909">
        <v>2</v>
      </c>
      <c r="EJ107" s="909">
        <v>0</v>
      </c>
      <c r="EK107" s="909">
        <v>0</v>
      </c>
      <c r="EL107" s="909">
        <v>0</v>
      </c>
      <c r="EM107" s="910">
        <v>31175.135174701547</v>
      </c>
      <c r="EN107" s="909">
        <v>0</v>
      </c>
      <c r="EO107" s="909">
        <v>0</v>
      </c>
      <c r="EP107" s="909">
        <v>0</v>
      </c>
      <c r="EQ107" s="910">
        <v>30333.288027966355</v>
      </c>
      <c r="ER107" s="871">
        <v>4000</v>
      </c>
      <c r="ES107" s="911">
        <v>68.486719848257493</v>
      </c>
      <c r="ET107" s="908">
        <v>0.42201600000000006</v>
      </c>
      <c r="EU107" s="902">
        <v>5.6989492751145505</v>
      </c>
      <c r="EV107" s="902">
        <v>0</v>
      </c>
      <c r="EW107" s="902">
        <v>0</v>
      </c>
      <c r="EX107" s="902">
        <v>8.8262037142510366</v>
      </c>
      <c r="EY107" s="902">
        <v>5.8043091097791905E-2</v>
      </c>
      <c r="EZ107" s="902">
        <v>3600</v>
      </c>
      <c r="FA107" s="909" t="s">
        <v>3889</v>
      </c>
      <c r="FB107" s="909">
        <v>2</v>
      </c>
      <c r="FC107" s="909">
        <v>0</v>
      </c>
      <c r="FD107" s="909">
        <v>0</v>
      </c>
      <c r="FE107" s="909">
        <v>0</v>
      </c>
      <c r="FF107" s="910">
        <v>31817.989100129365</v>
      </c>
      <c r="FG107" s="909">
        <v>0</v>
      </c>
      <c r="FH107" s="909">
        <v>0</v>
      </c>
      <c r="FI107" s="909">
        <v>0</v>
      </c>
      <c r="FJ107" s="910">
        <v>30958.782453913071</v>
      </c>
      <c r="FK107" s="871">
        <v>4000</v>
      </c>
      <c r="FL107" s="911">
        <v>68.486719848257493</v>
      </c>
      <c r="FM107" s="908">
        <v>0.42201600000000006</v>
      </c>
      <c r="FN107" s="902">
        <v>5.6989492751145505</v>
      </c>
      <c r="FO107" s="902">
        <v>0</v>
      </c>
      <c r="FP107" s="902">
        <v>0</v>
      </c>
      <c r="FQ107" s="902">
        <v>8.8262037142510366</v>
      </c>
      <c r="FR107" s="902">
        <v>5.8043091097791905E-2</v>
      </c>
      <c r="FS107" s="902">
        <v>3600</v>
      </c>
      <c r="FT107" s="909" t="s">
        <v>3889</v>
      </c>
      <c r="FU107" s="909">
        <v>2</v>
      </c>
      <c r="FV107" s="909">
        <v>0</v>
      </c>
      <c r="FW107" s="909">
        <v>0</v>
      </c>
      <c r="FX107" s="909">
        <v>0</v>
      </c>
      <c r="FY107" s="910">
        <v>31817.989100129365</v>
      </c>
      <c r="FZ107" s="909">
        <v>0</v>
      </c>
      <c r="GA107" s="909">
        <v>0</v>
      </c>
      <c r="GB107" s="909">
        <v>0</v>
      </c>
      <c r="GC107" s="910">
        <v>30958.782453913071</v>
      </c>
      <c r="GD107" s="871">
        <v>4000</v>
      </c>
      <c r="GE107" s="911">
        <v>68.486719848257493</v>
      </c>
      <c r="GF107" s="908">
        <v>0.42201600000000006</v>
      </c>
      <c r="GG107" s="902">
        <v>5.6989492751145505</v>
      </c>
      <c r="GH107" s="902">
        <v>0</v>
      </c>
      <c r="GI107" s="902">
        <v>0</v>
      </c>
      <c r="GJ107" s="902">
        <v>8.8262037142510366</v>
      </c>
      <c r="GK107" s="902">
        <v>5.8043091097791905E-2</v>
      </c>
      <c r="GL107" s="902">
        <v>3600</v>
      </c>
      <c r="GM107" s="909" t="s">
        <v>2877</v>
      </c>
      <c r="GN107" s="909">
        <v>2</v>
      </c>
      <c r="GO107" s="909">
        <v>0</v>
      </c>
      <c r="GP107" s="909">
        <v>0</v>
      </c>
      <c r="GQ107" s="909">
        <v>0</v>
      </c>
      <c r="GR107" s="910">
        <v>42688.311921093307</v>
      </c>
      <c r="GS107" s="909">
        <v>0</v>
      </c>
      <c r="GT107" s="909">
        <v>0</v>
      </c>
      <c r="GU107" s="909">
        <v>0</v>
      </c>
      <c r="GV107" s="910">
        <v>41535.565240546435</v>
      </c>
      <c r="GW107" s="871">
        <v>4000</v>
      </c>
      <c r="GX107" s="911">
        <v>68.486719848257493</v>
      </c>
      <c r="GY107" s="908">
        <v>0.42201600000000006</v>
      </c>
      <c r="GZ107" s="902">
        <v>5.6989492751145505</v>
      </c>
      <c r="HA107" s="902">
        <v>0</v>
      </c>
      <c r="HB107" s="902">
        <v>0</v>
      </c>
      <c r="HC107" s="902">
        <v>8.8262037142510366</v>
      </c>
      <c r="HD107" s="902">
        <v>5.8043091097791905E-2</v>
      </c>
      <c r="HE107" s="902">
        <v>3600</v>
      </c>
      <c r="HF107" s="909" t="s">
        <v>2877</v>
      </c>
      <c r="HG107" s="909">
        <v>2</v>
      </c>
      <c r="HH107" s="909">
        <v>0</v>
      </c>
      <c r="HI107" s="909">
        <v>0</v>
      </c>
      <c r="HJ107" s="909">
        <v>0</v>
      </c>
      <c r="HK107" s="910">
        <v>42688.311921093307</v>
      </c>
      <c r="HL107" s="909">
        <v>0</v>
      </c>
      <c r="HM107" s="909">
        <v>0</v>
      </c>
      <c r="HN107" s="909">
        <v>0</v>
      </c>
      <c r="HO107" s="910">
        <v>41535.565240546435</v>
      </c>
      <c r="HP107" s="871">
        <v>4000</v>
      </c>
      <c r="HQ107" s="911">
        <v>68.486719848257493</v>
      </c>
      <c r="HR107" s="908">
        <v>0.42201600000000006</v>
      </c>
      <c r="HS107" s="902">
        <v>5.6989492751145505</v>
      </c>
      <c r="HT107" s="902">
        <v>0</v>
      </c>
      <c r="HU107" s="902">
        <v>0</v>
      </c>
      <c r="HV107" s="902">
        <v>8.8262037142510366</v>
      </c>
      <c r="HW107" s="902">
        <v>5.8043091097791905E-2</v>
      </c>
      <c r="HX107" s="902">
        <v>3600</v>
      </c>
      <c r="HY107" s="909" t="s">
        <v>1063</v>
      </c>
      <c r="HZ107" s="909">
        <v>2</v>
      </c>
      <c r="IA107" s="909">
        <v>0</v>
      </c>
      <c r="IB107" s="909">
        <v>0</v>
      </c>
      <c r="IC107" s="909">
        <v>0</v>
      </c>
      <c r="ID107" s="910">
        <v>37647.552410815304</v>
      </c>
      <c r="IE107" s="909">
        <v>0</v>
      </c>
      <c r="IF107" s="909">
        <v>0</v>
      </c>
      <c r="IG107" s="909">
        <v>0</v>
      </c>
      <c r="IH107" s="910">
        <v>36630.925396990089</v>
      </c>
      <c r="II107" s="871">
        <v>4000</v>
      </c>
      <c r="IJ107" s="911">
        <v>68.486719848257493</v>
      </c>
      <c r="IK107" s="908">
        <v>0.42201600000000006</v>
      </c>
      <c r="IL107" s="902">
        <v>5.6989492751145505</v>
      </c>
      <c r="IM107" s="902">
        <v>0</v>
      </c>
      <c r="IN107" s="902">
        <v>0</v>
      </c>
      <c r="IO107" s="902">
        <v>8.8262037142510366</v>
      </c>
      <c r="IP107" s="902">
        <v>5.8043091097791905E-2</v>
      </c>
      <c r="IQ107" s="902">
        <v>3600</v>
      </c>
      <c r="IR107" s="909" t="s">
        <v>1063</v>
      </c>
      <c r="IS107" s="909">
        <v>2</v>
      </c>
      <c r="IT107" s="909">
        <v>0</v>
      </c>
      <c r="IU107" s="909">
        <v>0</v>
      </c>
      <c r="IV107" s="909">
        <v>0</v>
      </c>
      <c r="IW107" s="910">
        <v>37647.552410815304</v>
      </c>
      <c r="IX107" s="909">
        <v>0</v>
      </c>
      <c r="IY107" s="909">
        <v>0</v>
      </c>
      <c r="IZ107" s="909">
        <v>0</v>
      </c>
      <c r="JA107" s="910">
        <v>36630.925396990089</v>
      </c>
      <c r="JB107" s="871">
        <v>4000</v>
      </c>
      <c r="JC107" s="911">
        <v>68.486719848257493</v>
      </c>
      <c r="JD107" s="908">
        <v>0.42201600000000006</v>
      </c>
      <c r="JE107" s="902">
        <v>5.6989492751145505</v>
      </c>
      <c r="JF107" s="902">
        <v>0</v>
      </c>
      <c r="JG107" s="902">
        <v>0</v>
      </c>
      <c r="JH107" s="902">
        <v>8.8262037142510366</v>
      </c>
      <c r="JI107" s="902">
        <v>5.8043091097791905E-2</v>
      </c>
      <c r="JJ107" s="902">
        <v>3600</v>
      </c>
      <c r="JK107" s="909" t="s">
        <v>1064</v>
      </c>
      <c r="JL107" s="909">
        <v>2</v>
      </c>
      <c r="JM107" s="909">
        <v>0</v>
      </c>
      <c r="JN107" s="909">
        <v>0</v>
      </c>
      <c r="JO107" s="909">
        <v>0</v>
      </c>
      <c r="JP107" s="910">
        <v>51304.965831559355</v>
      </c>
      <c r="JQ107" s="909">
        <v>0</v>
      </c>
      <c r="JR107" s="909">
        <v>0</v>
      </c>
      <c r="JS107" s="909">
        <v>0</v>
      </c>
      <c r="JT107" s="910">
        <v>49919.536743407421</v>
      </c>
      <c r="JU107" s="871">
        <v>4000</v>
      </c>
      <c r="JV107" s="911">
        <v>68.486719848257493</v>
      </c>
      <c r="JW107" s="908">
        <v>0.42201600000000006</v>
      </c>
      <c r="JX107" s="902">
        <v>5.6989492751145505</v>
      </c>
      <c r="JY107" s="902">
        <v>0</v>
      </c>
      <c r="JZ107" s="902">
        <v>0</v>
      </c>
      <c r="KA107" s="902">
        <v>8.8262037142510366</v>
      </c>
      <c r="KB107" s="902">
        <v>5.8043091097791905E-2</v>
      </c>
      <c r="KC107" s="902">
        <v>3600</v>
      </c>
      <c r="KD107" s="909" t="s">
        <v>1064</v>
      </c>
      <c r="KE107" s="909">
        <v>2</v>
      </c>
      <c r="KF107" s="909">
        <v>0</v>
      </c>
      <c r="KG107" s="909">
        <v>0</v>
      </c>
      <c r="KH107" s="909">
        <v>0</v>
      </c>
      <c r="KI107" s="910">
        <v>51304.965831559355</v>
      </c>
      <c r="KJ107" s="909">
        <v>0</v>
      </c>
      <c r="KK107" s="909">
        <v>0</v>
      </c>
      <c r="KL107" s="909">
        <v>0</v>
      </c>
      <c r="KM107" s="910">
        <v>49919.536743407421</v>
      </c>
      <c r="KN107" s="871">
        <v>4000</v>
      </c>
      <c r="KO107" s="912">
        <v>68.486719848257493</v>
      </c>
    </row>
    <row r="108" spans="1:301" ht="15" customHeight="1">
      <c r="A108" s="924" t="s">
        <v>1572</v>
      </c>
      <c r="B108" s="888" t="s">
        <v>1073</v>
      </c>
      <c r="C108" s="888">
        <v>150</v>
      </c>
      <c r="D108" s="888">
        <v>325</v>
      </c>
      <c r="E108" s="888">
        <v>106</v>
      </c>
      <c r="F108" s="888">
        <v>150</v>
      </c>
      <c r="G108" s="888">
        <v>39</v>
      </c>
      <c r="H108" s="888">
        <v>25</v>
      </c>
      <c r="I108" s="888">
        <v>25</v>
      </c>
      <c r="J108" s="888">
        <v>26.5</v>
      </c>
      <c r="K108" s="888">
        <v>64.3</v>
      </c>
      <c r="L108" s="888">
        <v>12</v>
      </c>
      <c r="M108" s="888">
        <v>117.5</v>
      </c>
      <c r="N108" s="888">
        <v>2</v>
      </c>
      <c r="O108" s="884">
        <v>1.1638872717452715</v>
      </c>
      <c r="P108" s="888">
        <v>2</v>
      </c>
      <c r="Q108" s="884">
        <v>0.64936303289638431</v>
      </c>
      <c r="R108" s="888">
        <v>10</v>
      </c>
      <c r="S108" s="888">
        <v>230.13673692667757</v>
      </c>
      <c r="T108" s="906">
        <v>3.2653627947132335</v>
      </c>
      <c r="U108" s="906">
        <v>34.520510539001634</v>
      </c>
      <c r="V108" s="906">
        <v>47.5</v>
      </c>
      <c r="W108" s="1141">
        <v>0.26173923651373265</v>
      </c>
      <c r="X108" s="902">
        <v>0</v>
      </c>
      <c r="Y108" s="902">
        <v>0</v>
      </c>
      <c r="Z108" s="902">
        <v>0</v>
      </c>
      <c r="AA108" s="902">
        <v>0</v>
      </c>
      <c r="AB108" s="970">
        <v>0.2316871421174399</v>
      </c>
      <c r="AC108" s="1045">
        <v>4000</v>
      </c>
      <c r="AD108" s="890">
        <v>3.9949988913310319</v>
      </c>
      <c r="AE108" s="890">
        <v>0.49858160805343149</v>
      </c>
      <c r="AF108" s="890">
        <v>-0.22025672991253289</v>
      </c>
      <c r="AG108" s="890">
        <v>0.91162571233737433</v>
      </c>
      <c r="AH108" s="888"/>
      <c r="AI108" s="907">
        <v>0.36698780668253678</v>
      </c>
      <c r="AJ108" s="908">
        <v>0.83013750000000008</v>
      </c>
      <c r="AK108" s="902">
        <v>6.1704898358686222</v>
      </c>
      <c r="AL108" s="902">
        <v>0</v>
      </c>
      <c r="AM108" s="902">
        <v>0</v>
      </c>
      <c r="AN108" s="902">
        <v>10.155820053866748</v>
      </c>
      <c r="AO108" s="902">
        <v>6.4787333720102522E-2</v>
      </c>
      <c r="AP108" s="1222">
        <v>3600</v>
      </c>
      <c r="AQ108" s="909" t="s">
        <v>1062</v>
      </c>
      <c r="AR108" s="909">
        <v>3</v>
      </c>
      <c r="AS108" s="909">
        <v>0</v>
      </c>
      <c r="AT108" s="909">
        <v>0</v>
      </c>
      <c r="AU108" s="909">
        <v>0</v>
      </c>
      <c r="AV108" s="910">
        <v>31791.657435721791</v>
      </c>
      <c r="AW108" s="909">
        <v>0</v>
      </c>
      <c r="AX108" s="909">
        <v>0</v>
      </c>
      <c r="AY108" s="909">
        <v>0</v>
      </c>
      <c r="AZ108" s="910">
        <v>38938.410575162387</v>
      </c>
      <c r="BA108" s="871">
        <v>4000</v>
      </c>
      <c r="BB108" s="911">
        <v>68.067840827778852</v>
      </c>
      <c r="BC108" s="908">
        <v>0.83013750000000008</v>
      </c>
      <c r="BD108" s="902">
        <v>6.1704898358686222</v>
      </c>
      <c r="BE108" s="902">
        <v>0</v>
      </c>
      <c r="BF108" s="902">
        <v>0</v>
      </c>
      <c r="BG108" s="902">
        <v>10.155820053866748</v>
      </c>
      <c r="BH108" s="902">
        <v>6.4787333720102522E-2</v>
      </c>
      <c r="BI108" s="902">
        <v>3600</v>
      </c>
      <c r="BJ108" s="909" t="s">
        <v>1062</v>
      </c>
      <c r="BK108" s="909">
        <v>3</v>
      </c>
      <c r="BL108" s="909">
        <v>0</v>
      </c>
      <c r="BM108" s="909">
        <v>0</v>
      </c>
      <c r="BN108" s="909">
        <v>0</v>
      </c>
      <c r="BO108" s="910">
        <v>31791.657435721791</v>
      </c>
      <c r="BP108" s="909">
        <v>0</v>
      </c>
      <c r="BQ108" s="909">
        <v>0</v>
      </c>
      <c r="BR108" s="909">
        <v>0</v>
      </c>
      <c r="BS108" s="910">
        <v>38938.410575162387</v>
      </c>
      <c r="BT108" s="871">
        <v>4000</v>
      </c>
      <c r="BU108" s="911">
        <v>68.067840827778852</v>
      </c>
      <c r="BV108" s="908">
        <v>0.55342500000000006</v>
      </c>
      <c r="BW108" s="902">
        <v>5.8937773358686218</v>
      </c>
      <c r="BX108" s="902">
        <v>0</v>
      </c>
      <c r="BY108" s="902">
        <v>0</v>
      </c>
      <c r="BZ108" s="902">
        <v>10.04576094298098</v>
      </c>
      <c r="CA108" s="902">
        <v>6.0355610087290013E-2</v>
      </c>
      <c r="CB108" s="902">
        <v>3600</v>
      </c>
      <c r="CC108" s="909" t="s">
        <v>2874</v>
      </c>
      <c r="CD108" s="909">
        <v>2</v>
      </c>
      <c r="CE108" s="909">
        <v>0</v>
      </c>
      <c r="CF108" s="909">
        <v>0</v>
      </c>
      <c r="CG108" s="909">
        <v>0</v>
      </c>
      <c r="CH108" s="910">
        <v>19733.996812000485</v>
      </c>
      <c r="CI108" s="909">
        <v>0</v>
      </c>
      <c r="CJ108" s="909">
        <v>0</v>
      </c>
      <c r="CK108" s="909">
        <v>0</v>
      </c>
      <c r="CL108" s="910">
        <v>19259.294320343528</v>
      </c>
      <c r="CM108" s="871">
        <v>4000</v>
      </c>
      <c r="CN108" s="911">
        <v>68.067840827778852</v>
      </c>
      <c r="CO108" s="908">
        <v>0.55342500000000006</v>
      </c>
      <c r="CP108" s="902">
        <v>5.8937773358686218</v>
      </c>
      <c r="CQ108" s="902">
        <v>0</v>
      </c>
      <c r="CR108" s="902">
        <v>0</v>
      </c>
      <c r="CS108" s="902">
        <v>10.04576094298098</v>
      </c>
      <c r="CT108" s="902">
        <v>6.0355610087290013E-2</v>
      </c>
      <c r="CU108" s="902">
        <v>3600</v>
      </c>
      <c r="CV108" s="909" t="s">
        <v>2874</v>
      </c>
      <c r="CW108" s="909">
        <v>2</v>
      </c>
      <c r="CX108" s="909">
        <v>0</v>
      </c>
      <c r="CY108" s="909">
        <v>0</v>
      </c>
      <c r="CZ108" s="909">
        <v>0</v>
      </c>
      <c r="DA108" s="910">
        <v>19733.996812000485</v>
      </c>
      <c r="DB108" s="909">
        <v>0</v>
      </c>
      <c r="DC108" s="909">
        <v>0</v>
      </c>
      <c r="DD108" s="909">
        <v>0</v>
      </c>
      <c r="DE108" s="910">
        <v>19259.294320343528</v>
      </c>
      <c r="DF108" s="871">
        <v>4000</v>
      </c>
      <c r="DG108" s="911">
        <v>68.067840827778852</v>
      </c>
      <c r="DH108" s="908">
        <v>0.55342500000000006</v>
      </c>
      <c r="DI108" s="902">
        <v>5.8937773358686218</v>
      </c>
      <c r="DJ108" s="902">
        <v>0</v>
      </c>
      <c r="DK108" s="902">
        <v>0</v>
      </c>
      <c r="DL108" s="902">
        <v>10.04576094298098</v>
      </c>
      <c r="DM108" s="902">
        <v>6.0355610087290013E-2</v>
      </c>
      <c r="DN108" s="902">
        <v>3600</v>
      </c>
      <c r="DO108" s="909" t="s">
        <v>2876</v>
      </c>
      <c r="DP108" s="909">
        <v>2</v>
      </c>
      <c r="DQ108" s="909">
        <v>0</v>
      </c>
      <c r="DR108" s="909">
        <v>0</v>
      </c>
      <c r="DS108" s="909">
        <v>0</v>
      </c>
      <c r="DT108" s="910">
        <v>21096.529983480275</v>
      </c>
      <c r="DU108" s="909">
        <v>0</v>
      </c>
      <c r="DV108" s="909">
        <v>0</v>
      </c>
      <c r="DW108" s="909">
        <v>0</v>
      </c>
      <c r="DX108" s="910">
        <v>20589.051673646351</v>
      </c>
      <c r="DY108" s="871">
        <v>4000</v>
      </c>
      <c r="DZ108" s="911">
        <v>68.067840827778852</v>
      </c>
      <c r="EA108" s="908">
        <v>0.55342500000000006</v>
      </c>
      <c r="EB108" s="902">
        <v>5.8937773358686218</v>
      </c>
      <c r="EC108" s="902">
        <v>0</v>
      </c>
      <c r="ED108" s="902">
        <v>0</v>
      </c>
      <c r="EE108" s="902">
        <v>10.04576094298098</v>
      </c>
      <c r="EF108" s="902">
        <v>6.0355610087290013E-2</v>
      </c>
      <c r="EG108" s="902">
        <v>3600</v>
      </c>
      <c r="EH108" s="909" t="s">
        <v>2876</v>
      </c>
      <c r="EI108" s="909">
        <v>2</v>
      </c>
      <c r="EJ108" s="909">
        <v>0</v>
      </c>
      <c r="EK108" s="909">
        <v>0</v>
      </c>
      <c r="EL108" s="909">
        <v>0</v>
      </c>
      <c r="EM108" s="910">
        <v>21096.529983480275</v>
      </c>
      <c r="EN108" s="909">
        <v>0</v>
      </c>
      <c r="EO108" s="909">
        <v>0</v>
      </c>
      <c r="EP108" s="909">
        <v>0</v>
      </c>
      <c r="EQ108" s="910">
        <v>20589.051673646351</v>
      </c>
      <c r="ER108" s="871">
        <v>4000</v>
      </c>
      <c r="ES108" s="911">
        <v>68.067840827778852</v>
      </c>
      <c r="ET108" s="908">
        <v>0.55342500000000006</v>
      </c>
      <c r="EU108" s="902">
        <v>5.8937773358686218</v>
      </c>
      <c r="EV108" s="902">
        <v>0</v>
      </c>
      <c r="EW108" s="902">
        <v>0</v>
      </c>
      <c r="EX108" s="902">
        <v>10.04576094298098</v>
      </c>
      <c r="EY108" s="902">
        <v>6.0355610087290013E-2</v>
      </c>
      <c r="EZ108" s="902">
        <v>3600</v>
      </c>
      <c r="FA108" s="909" t="s">
        <v>3889</v>
      </c>
      <c r="FB108" s="909">
        <v>2</v>
      </c>
      <c r="FC108" s="909">
        <v>0</v>
      </c>
      <c r="FD108" s="909">
        <v>0</v>
      </c>
      <c r="FE108" s="909">
        <v>0</v>
      </c>
      <c r="FF108" s="910">
        <v>21531.555751182619</v>
      </c>
      <c r="FG108" s="909">
        <v>0</v>
      </c>
      <c r="FH108" s="909">
        <v>0</v>
      </c>
      <c r="FI108" s="909">
        <v>0</v>
      </c>
      <c r="FJ108" s="910">
        <v>21013.612870093519</v>
      </c>
      <c r="FK108" s="871">
        <v>4000</v>
      </c>
      <c r="FL108" s="911">
        <v>68.067840827778852</v>
      </c>
      <c r="FM108" s="908">
        <v>0.55342500000000006</v>
      </c>
      <c r="FN108" s="902">
        <v>5.8937773358686218</v>
      </c>
      <c r="FO108" s="902">
        <v>0</v>
      </c>
      <c r="FP108" s="902">
        <v>0</v>
      </c>
      <c r="FQ108" s="902">
        <v>10.04576094298098</v>
      </c>
      <c r="FR108" s="902">
        <v>6.0355610087290013E-2</v>
      </c>
      <c r="FS108" s="902">
        <v>3600</v>
      </c>
      <c r="FT108" s="909" t="s">
        <v>3889</v>
      </c>
      <c r="FU108" s="909">
        <v>2</v>
      </c>
      <c r="FV108" s="909">
        <v>0</v>
      </c>
      <c r="FW108" s="909">
        <v>0</v>
      </c>
      <c r="FX108" s="909">
        <v>0</v>
      </c>
      <c r="FY108" s="910">
        <v>21531.555751182619</v>
      </c>
      <c r="FZ108" s="909">
        <v>0</v>
      </c>
      <c r="GA108" s="909">
        <v>0</v>
      </c>
      <c r="GB108" s="909">
        <v>0</v>
      </c>
      <c r="GC108" s="910">
        <v>21013.612870093519</v>
      </c>
      <c r="GD108" s="871">
        <v>4000</v>
      </c>
      <c r="GE108" s="911">
        <v>68.067840827778852</v>
      </c>
      <c r="GF108" s="908">
        <v>0.55342500000000006</v>
      </c>
      <c r="GG108" s="902">
        <v>5.8937773358686218</v>
      </c>
      <c r="GH108" s="902">
        <v>0</v>
      </c>
      <c r="GI108" s="902">
        <v>0</v>
      </c>
      <c r="GJ108" s="902">
        <v>10.04576094298098</v>
      </c>
      <c r="GK108" s="902">
        <v>6.0355610087290013E-2</v>
      </c>
      <c r="GL108" s="902">
        <v>3600</v>
      </c>
      <c r="GM108" s="909" t="s">
        <v>2877</v>
      </c>
      <c r="GN108" s="909">
        <v>2</v>
      </c>
      <c r="GO108" s="909">
        <v>0</v>
      </c>
      <c r="GP108" s="909">
        <v>0</v>
      </c>
      <c r="GQ108" s="909">
        <v>0</v>
      </c>
      <c r="GR108" s="910">
        <v>28887.613392591837</v>
      </c>
      <c r="GS108" s="909">
        <v>0</v>
      </c>
      <c r="GT108" s="909">
        <v>0</v>
      </c>
      <c r="GU108" s="909">
        <v>0</v>
      </c>
      <c r="GV108" s="910">
        <v>28192.720098240501</v>
      </c>
      <c r="GW108" s="871">
        <v>4000</v>
      </c>
      <c r="GX108" s="911">
        <v>68.067840827778852</v>
      </c>
      <c r="GY108" s="908">
        <v>0.55342500000000006</v>
      </c>
      <c r="GZ108" s="902">
        <v>5.8937773358686218</v>
      </c>
      <c r="HA108" s="902">
        <v>0</v>
      </c>
      <c r="HB108" s="902">
        <v>0</v>
      </c>
      <c r="HC108" s="902">
        <v>10.04576094298098</v>
      </c>
      <c r="HD108" s="902">
        <v>6.0355610087290013E-2</v>
      </c>
      <c r="HE108" s="902">
        <v>3600</v>
      </c>
      <c r="HF108" s="909" t="s">
        <v>2877</v>
      </c>
      <c r="HG108" s="909">
        <v>2</v>
      </c>
      <c r="HH108" s="909">
        <v>0</v>
      </c>
      <c r="HI108" s="909">
        <v>0</v>
      </c>
      <c r="HJ108" s="909">
        <v>0</v>
      </c>
      <c r="HK108" s="910">
        <v>28887.613392591837</v>
      </c>
      <c r="HL108" s="909">
        <v>0</v>
      </c>
      <c r="HM108" s="909">
        <v>0</v>
      </c>
      <c r="HN108" s="909">
        <v>0</v>
      </c>
      <c r="HO108" s="910">
        <v>28192.720098240501</v>
      </c>
      <c r="HP108" s="871">
        <v>4000</v>
      </c>
      <c r="HQ108" s="911">
        <v>68.067840827778852</v>
      </c>
      <c r="HR108" s="908">
        <v>0.55342500000000006</v>
      </c>
      <c r="HS108" s="902">
        <v>5.8937773358686218</v>
      </c>
      <c r="HT108" s="902">
        <v>0</v>
      </c>
      <c r="HU108" s="902">
        <v>0</v>
      </c>
      <c r="HV108" s="902">
        <v>10.04576094298098</v>
      </c>
      <c r="HW108" s="902">
        <v>6.0355610087290013E-2</v>
      </c>
      <c r="HX108" s="902">
        <v>3600</v>
      </c>
      <c r="HY108" s="909" t="s">
        <v>1063</v>
      </c>
      <c r="HZ108" s="909">
        <v>2</v>
      </c>
      <c r="IA108" s="909">
        <v>0</v>
      </c>
      <c r="IB108" s="909">
        <v>0</v>
      </c>
      <c r="IC108" s="909">
        <v>0</v>
      </c>
      <c r="ID108" s="910">
        <v>25476.480335662913</v>
      </c>
      <c r="IE108" s="909">
        <v>0</v>
      </c>
      <c r="IF108" s="909">
        <v>0</v>
      </c>
      <c r="IG108" s="909">
        <v>0</v>
      </c>
      <c r="IH108" s="910">
        <v>24863.64205413255</v>
      </c>
      <c r="II108" s="871">
        <v>4000</v>
      </c>
      <c r="IJ108" s="911">
        <v>68.067840827778852</v>
      </c>
      <c r="IK108" s="908">
        <v>0.55342500000000006</v>
      </c>
      <c r="IL108" s="902">
        <v>5.8937773358686218</v>
      </c>
      <c r="IM108" s="902">
        <v>0</v>
      </c>
      <c r="IN108" s="902">
        <v>0</v>
      </c>
      <c r="IO108" s="902">
        <v>10.04576094298098</v>
      </c>
      <c r="IP108" s="902">
        <v>6.0355610087290013E-2</v>
      </c>
      <c r="IQ108" s="902">
        <v>3600</v>
      </c>
      <c r="IR108" s="909" t="s">
        <v>1063</v>
      </c>
      <c r="IS108" s="909">
        <v>2</v>
      </c>
      <c r="IT108" s="909">
        <v>0</v>
      </c>
      <c r="IU108" s="909">
        <v>0</v>
      </c>
      <c r="IV108" s="909">
        <v>0</v>
      </c>
      <c r="IW108" s="910">
        <v>25476.480335662913</v>
      </c>
      <c r="IX108" s="909">
        <v>0</v>
      </c>
      <c r="IY108" s="909">
        <v>0</v>
      </c>
      <c r="IZ108" s="909">
        <v>0</v>
      </c>
      <c r="JA108" s="910">
        <v>24863.64205413255</v>
      </c>
      <c r="JB108" s="871">
        <v>4000</v>
      </c>
      <c r="JC108" s="911">
        <v>68.067840827778852</v>
      </c>
      <c r="JD108" s="908">
        <v>0.55342500000000006</v>
      </c>
      <c r="JE108" s="902">
        <v>5.8937773358686218</v>
      </c>
      <c r="JF108" s="902">
        <v>0</v>
      </c>
      <c r="JG108" s="902">
        <v>0</v>
      </c>
      <c r="JH108" s="902">
        <v>10.04576094298098</v>
      </c>
      <c r="JI108" s="902">
        <v>6.0355610087290013E-2</v>
      </c>
      <c r="JJ108" s="902">
        <v>3600</v>
      </c>
      <c r="JK108" s="909" t="s">
        <v>1064</v>
      </c>
      <c r="JL108" s="909">
        <v>2</v>
      </c>
      <c r="JM108" s="909">
        <v>0</v>
      </c>
      <c r="JN108" s="909">
        <v>0</v>
      </c>
      <c r="JO108" s="909">
        <v>0</v>
      </c>
      <c r="JP108" s="910">
        <v>34718.590437595121</v>
      </c>
      <c r="JQ108" s="909">
        <v>0</v>
      </c>
      <c r="JR108" s="909">
        <v>0</v>
      </c>
      <c r="JS108" s="909">
        <v>0</v>
      </c>
      <c r="JT108" s="910">
        <v>33883.432636337078</v>
      </c>
      <c r="JU108" s="871">
        <v>4000</v>
      </c>
      <c r="JV108" s="911">
        <v>68.067840827778852</v>
      </c>
      <c r="JW108" s="908">
        <v>0.55342500000000006</v>
      </c>
      <c r="JX108" s="902">
        <v>5.8937773358686218</v>
      </c>
      <c r="JY108" s="902">
        <v>0</v>
      </c>
      <c r="JZ108" s="902">
        <v>0</v>
      </c>
      <c r="KA108" s="902">
        <v>10.04576094298098</v>
      </c>
      <c r="KB108" s="902">
        <v>6.0355610087290013E-2</v>
      </c>
      <c r="KC108" s="902">
        <v>3600</v>
      </c>
      <c r="KD108" s="909" t="s">
        <v>1064</v>
      </c>
      <c r="KE108" s="909">
        <v>2</v>
      </c>
      <c r="KF108" s="909">
        <v>0</v>
      </c>
      <c r="KG108" s="909">
        <v>0</v>
      </c>
      <c r="KH108" s="909">
        <v>0</v>
      </c>
      <c r="KI108" s="910">
        <v>34718.590437595121</v>
      </c>
      <c r="KJ108" s="909">
        <v>0</v>
      </c>
      <c r="KK108" s="909">
        <v>0</v>
      </c>
      <c r="KL108" s="909">
        <v>0</v>
      </c>
      <c r="KM108" s="910">
        <v>33883.432636337078</v>
      </c>
      <c r="KN108" s="871">
        <v>4000</v>
      </c>
      <c r="KO108" s="912">
        <v>68.067840827778852</v>
      </c>
    </row>
    <row r="109" spans="1:301" ht="15" customHeight="1">
      <c r="A109" s="924" t="s">
        <v>1573</v>
      </c>
      <c r="B109" s="888" t="s">
        <v>1073</v>
      </c>
      <c r="C109" s="888">
        <v>117</v>
      </c>
      <c r="D109" s="888">
        <v>325</v>
      </c>
      <c r="E109" s="888">
        <v>131</v>
      </c>
      <c r="F109" s="888">
        <v>117</v>
      </c>
      <c r="G109" s="888">
        <v>44</v>
      </c>
      <c r="H109" s="888">
        <v>30</v>
      </c>
      <c r="I109" s="888">
        <v>30</v>
      </c>
      <c r="J109" s="888">
        <v>26.5</v>
      </c>
      <c r="K109" s="888">
        <v>64.3</v>
      </c>
      <c r="L109" s="888">
        <v>12</v>
      </c>
      <c r="M109" s="888">
        <v>112</v>
      </c>
      <c r="N109" s="888">
        <v>2</v>
      </c>
      <c r="O109" s="884">
        <v>1.0908275710906323</v>
      </c>
      <c r="P109" s="888">
        <v>2</v>
      </c>
      <c r="Q109" s="884">
        <v>0.6542294717324586</v>
      </c>
      <c r="R109" s="888">
        <v>10</v>
      </c>
      <c r="S109" s="888">
        <v>229.27768956812329</v>
      </c>
      <c r="T109" s="906">
        <v>3.241030600532862</v>
      </c>
      <c r="U109" s="906">
        <v>34.391653435218494</v>
      </c>
      <c r="V109" s="906">
        <v>35</v>
      </c>
      <c r="W109" s="1141">
        <v>0.19142336984397215</v>
      </c>
      <c r="X109" s="902">
        <v>0</v>
      </c>
      <c r="Y109" s="902">
        <v>0</v>
      </c>
      <c r="Z109" s="902">
        <v>0</v>
      </c>
      <c r="AA109" s="902">
        <v>0</v>
      </c>
      <c r="AB109" s="970">
        <v>0.24836415937429204</v>
      </c>
      <c r="AC109" s="1045">
        <v>4000</v>
      </c>
      <c r="AD109" s="890">
        <v>3.9949988913310319</v>
      </c>
      <c r="AE109" s="890">
        <v>0.49858160805343149</v>
      </c>
      <c r="AF109" s="890">
        <v>-0.24932516240336286</v>
      </c>
      <c r="AG109" s="890">
        <v>0.91162571233737433</v>
      </c>
      <c r="AH109" s="888"/>
      <c r="AI109" s="907">
        <v>0.39096809311792657</v>
      </c>
      <c r="AJ109" s="908">
        <v>0.94953600000000005</v>
      </c>
      <c r="AK109" s="902">
        <v>6.1270470131999248</v>
      </c>
      <c r="AL109" s="902">
        <v>0</v>
      </c>
      <c r="AM109" s="902">
        <v>0</v>
      </c>
      <c r="AN109" s="902">
        <v>10.964035110985897</v>
      </c>
      <c r="AO109" s="902">
        <v>6.5137665061576117E-2</v>
      </c>
      <c r="AP109" s="1222">
        <v>3600</v>
      </c>
      <c r="AQ109" s="909" t="s">
        <v>1062</v>
      </c>
      <c r="AR109" s="909">
        <v>3</v>
      </c>
      <c r="AS109" s="909">
        <v>0</v>
      </c>
      <c r="AT109" s="909">
        <v>0</v>
      </c>
      <c r="AU109" s="909">
        <v>0</v>
      </c>
      <c r="AV109" s="910">
        <v>24198.43249492384</v>
      </c>
      <c r="AW109" s="909">
        <v>0</v>
      </c>
      <c r="AX109" s="909">
        <v>0</v>
      </c>
      <c r="AY109" s="909">
        <v>0</v>
      </c>
      <c r="AZ109" s="910">
        <v>27172.194555009104</v>
      </c>
      <c r="BA109" s="871">
        <v>4000</v>
      </c>
      <c r="BB109" s="911">
        <v>68.067840827778852</v>
      </c>
      <c r="BC109" s="908">
        <v>0.94953600000000005</v>
      </c>
      <c r="BD109" s="902">
        <v>6.1270470131999248</v>
      </c>
      <c r="BE109" s="902">
        <v>0</v>
      </c>
      <c r="BF109" s="902">
        <v>0</v>
      </c>
      <c r="BG109" s="902">
        <v>10.964035110985897</v>
      </c>
      <c r="BH109" s="902">
        <v>6.5137665061576117E-2</v>
      </c>
      <c r="BI109" s="902">
        <v>3600</v>
      </c>
      <c r="BJ109" s="909" t="s">
        <v>1062</v>
      </c>
      <c r="BK109" s="909">
        <v>3</v>
      </c>
      <c r="BL109" s="909">
        <v>0</v>
      </c>
      <c r="BM109" s="909">
        <v>0</v>
      </c>
      <c r="BN109" s="909">
        <v>0</v>
      </c>
      <c r="BO109" s="910">
        <v>24198.43249492384</v>
      </c>
      <c r="BP109" s="909">
        <v>0</v>
      </c>
      <c r="BQ109" s="909">
        <v>0</v>
      </c>
      <c r="BR109" s="909">
        <v>0</v>
      </c>
      <c r="BS109" s="910">
        <v>27172.194555009104</v>
      </c>
      <c r="BT109" s="871">
        <v>4000</v>
      </c>
      <c r="BU109" s="911">
        <v>68.067840827778852</v>
      </c>
      <c r="BV109" s="908">
        <v>0.63302400000000003</v>
      </c>
      <c r="BW109" s="902">
        <v>5.8105350131999245</v>
      </c>
      <c r="BX109" s="902">
        <v>0</v>
      </c>
      <c r="BY109" s="902">
        <v>0</v>
      </c>
      <c r="BZ109" s="902">
        <v>10.744187658720373</v>
      </c>
      <c r="CA109" s="902">
        <v>6.0417125965576121E-2</v>
      </c>
      <c r="CB109" s="902">
        <v>3600</v>
      </c>
      <c r="CC109" s="909" t="s">
        <v>2874</v>
      </c>
      <c r="CD109" s="909">
        <v>2</v>
      </c>
      <c r="CE109" s="909">
        <v>0</v>
      </c>
      <c r="CF109" s="909">
        <v>0</v>
      </c>
      <c r="CG109" s="909">
        <v>0</v>
      </c>
      <c r="CH109" s="910">
        <v>15446.582356571156</v>
      </c>
      <c r="CI109" s="909">
        <v>0</v>
      </c>
      <c r="CJ109" s="909">
        <v>0</v>
      </c>
      <c r="CK109" s="909">
        <v>0</v>
      </c>
      <c r="CL109" s="910">
        <v>15075.013880025812</v>
      </c>
      <c r="CM109" s="871">
        <v>4000</v>
      </c>
      <c r="CN109" s="911">
        <v>68.067840827778852</v>
      </c>
      <c r="CO109" s="908">
        <v>0.63302400000000003</v>
      </c>
      <c r="CP109" s="902">
        <v>5.8105350131999245</v>
      </c>
      <c r="CQ109" s="902">
        <v>0</v>
      </c>
      <c r="CR109" s="902">
        <v>0</v>
      </c>
      <c r="CS109" s="902">
        <v>10.744187658720373</v>
      </c>
      <c r="CT109" s="902">
        <v>6.0417125965576121E-2</v>
      </c>
      <c r="CU109" s="902">
        <v>3600</v>
      </c>
      <c r="CV109" s="909" t="s">
        <v>2874</v>
      </c>
      <c r="CW109" s="909">
        <v>2</v>
      </c>
      <c r="CX109" s="909">
        <v>0</v>
      </c>
      <c r="CY109" s="909">
        <v>0</v>
      </c>
      <c r="CZ109" s="909">
        <v>0</v>
      </c>
      <c r="DA109" s="910">
        <v>15446.582356571156</v>
      </c>
      <c r="DB109" s="909">
        <v>0</v>
      </c>
      <c r="DC109" s="909">
        <v>0</v>
      </c>
      <c r="DD109" s="909">
        <v>0</v>
      </c>
      <c r="DE109" s="910">
        <v>15075.013880025812</v>
      </c>
      <c r="DF109" s="871">
        <v>4000</v>
      </c>
      <c r="DG109" s="911">
        <v>68.067840827778852</v>
      </c>
      <c r="DH109" s="908">
        <v>0.63302400000000003</v>
      </c>
      <c r="DI109" s="902">
        <v>5.8105350131999245</v>
      </c>
      <c r="DJ109" s="902">
        <v>0</v>
      </c>
      <c r="DK109" s="902">
        <v>0</v>
      </c>
      <c r="DL109" s="902">
        <v>10.744187658720373</v>
      </c>
      <c r="DM109" s="902">
        <v>6.0417125965576121E-2</v>
      </c>
      <c r="DN109" s="902">
        <v>3600</v>
      </c>
      <c r="DO109" s="909" t="s">
        <v>2876</v>
      </c>
      <c r="DP109" s="909">
        <v>2</v>
      </c>
      <c r="DQ109" s="909">
        <v>0</v>
      </c>
      <c r="DR109" s="909">
        <v>0</v>
      </c>
      <c r="DS109" s="909">
        <v>0</v>
      </c>
      <c r="DT109" s="910">
        <v>16513.091135673196</v>
      </c>
      <c r="DU109" s="909">
        <v>0</v>
      </c>
      <c r="DV109" s="909">
        <v>0</v>
      </c>
      <c r="DW109" s="909">
        <v>0</v>
      </c>
      <c r="DX109" s="910">
        <v>16115.867725654296</v>
      </c>
      <c r="DY109" s="871">
        <v>4000</v>
      </c>
      <c r="DZ109" s="911">
        <v>68.067840827778852</v>
      </c>
      <c r="EA109" s="908">
        <v>0.63302400000000003</v>
      </c>
      <c r="EB109" s="902">
        <v>5.8105350131999245</v>
      </c>
      <c r="EC109" s="902">
        <v>0</v>
      </c>
      <c r="ED109" s="902">
        <v>0</v>
      </c>
      <c r="EE109" s="902">
        <v>10.744187658720373</v>
      </c>
      <c r="EF109" s="902">
        <v>6.0417125965576121E-2</v>
      </c>
      <c r="EG109" s="902">
        <v>3600</v>
      </c>
      <c r="EH109" s="909" t="s">
        <v>2876</v>
      </c>
      <c r="EI109" s="909">
        <v>2</v>
      </c>
      <c r="EJ109" s="909">
        <v>0</v>
      </c>
      <c r="EK109" s="909">
        <v>0</v>
      </c>
      <c r="EL109" s="909">
        <v>0</v>
      </c>
      <c r="EM109" s="910">
        <v>16513.091135673196</v>
      </c>
      <c r="EN109" s="909">
        <v>0</v>
      </c>
      <c r="EO109" s="909">
        <v>0</v>
      </c>
      <c r="EP109" s="909">
        <v>0</v>
      </c>
      <c r="EQ109" s="910">
        <v>16115.867725654296</v>
      </c>
      <c r="ER109" s="871">
        <v>4000</v>
      </c>
      <c r="ES109" s="911">
        <v>68.067840827778852</v>
      </c>
      <c r="ET109" s="908">
        <v>0.63302400000000003</v>
      </c>
      <c r="EU109" s="902">
        <v>5.8105350131999245</v>
      </c>
      <c r="EV109" s="902">
        <v>0</v>
      </c>
      <c r="EW109" s="902">
        <v>0</v>
      </c>
      <c r="EX109" s="902">
        <v>10.744187658720373</v>
      </c>
      <c r="EY109" s="902">
        <v>6.0417125965576121E-2</v>
      </c>
      <c r="EZ109" s="902">
        <v>3600</v>
      </c>
      <c r="FA109" s="909" t="s">
        <v>3889</v>
      </c>
      <c r="FB109" s="909">
        <v>2</v>
      </c>
      <c r="FC109" s="909">
        <v>0</v>
      </c>
      <c r="FD109" s="909">
        <v>0</v>
      </c>
      <c r="FE109" s="909">
        <v>0</v>
      </c>
      <c r="FF109" s="910">
        <v>16853.603066010302</v>
      </c>
      <c r="FG109" s="909">
        <v>0</v>
      </c>
      <c r="FH109" s="909">
        <v>0</v>
      </c>
      <c r="FI109" s="909">
        <v>0</v>
      </c>
      <c r="FJ109" s="910">
        <v>16448.188620846733</v>
      </c>
      <c r="FK109" s="871">
        <v>4000</v>
      </c>
      <c r="FL109" s="911">
        <v>68.067840827778852</v>
      </c>
      <c r="FM109" s="908">
        <v>0.63302400000000003</v>
      </c>
      <c r="FN109" s="902">
        <v>5.8105350131999245</v>
      </c>
      <c r="FO109" s="902">
        <v>0</v>
      </c>
      <c r="FP109" s="902">
        <v>0</v>
      </c>
      <c r="FQ109" s="902">
        <v>10.744187658720373</v>
      </c>
      <c r="FR109" s="902">
        <v>6.0417125965576121E-2</v>
      </c>
      <c r="FS109" s="902">
        <v>3600</v>
      </c>
      <c r="FT109" s="909" t="s">
        <v>3889</v>
      </c>
      <c r="FU109" s="909">
        <v>2</v>
      </c>
      <c r="FV109" s="909">
        <v>0</v>
      </c>
      <c r="FW109" s="909">
        <v>0</v>
      </c>
      <c r="FX109" s="909">
        <v>0</v>
      </c>
      <c r="FY109" s="910">
        <v>16853.603066010302</v>
      </c>
      <c r="FZ109" s="909">
        <v>0</v>
      </c>
      <c r="GA109" s="909">
        <v>0</v>
      </c>
      <c r="GB109" s="909">
        <v>0</v>
      </c>
      <c r="GC109" s="910">
        <v>16448.188620846733</v>
      </c>
      <c r="GD109" s="871">
        <v>4000</v>
      </c>
      <c r="GE109" s="911">
        <v>68.067840827778852</v>
      </c>
      <c r="GF109" s="908">
        <v>0.63302400000000003</v>
      </c>
      <c r="GG109" s="902">
        <v>5.8105350131999245</v>
      </c>
      <c r="GH109" s="902">
        <v>0</v>
      </c>
      <c r="GI109" s="902">
        <v>0</v>
      </c>
      <c r="GJ109" s="902">
        <v>10.744187658720373</v>
      </c>
      <c r="GK109" s="902">
        <v>6.0417125965576121E-2</v>
      </c>
      <c r="GL109" s="902">
        <v>3600</v>
      </c>
      <c r="GM109" s="909" t="s">
        <v>2877</v>
      </c>
      <c r="GN109" s="909">
        <v>2</v>
      </c>
      <c r="GO109" s="909">
        <v>0</v>
      </c>
      <c r="GP109" s="909">
        <v>0</v>
      </c>
      <c r="GQ109" s="909">
        <v>0</v>
      </c>
      <c r="GR109" s="910">
        <v>22611.481272855533</v>
      </c>
      <c r="GS109" s="909">
        <v>0</v>
      </c>
      <c r="GT109" s="909">
        <v>0</v>
      </c>
      <c r="GU109" s="909">
        <v>0</v>
      </c>
      <c r="GV109" s="910">
        <v>22067.560717776698</v>
      </c>
      <c r="GW109" s="871">
        <v>4000</v>
      </c>
      <c r="GX109" s="911">
        <v>68.067840827778852</v>
      </c>
      <c r="GY109" s="908">
        <v>0.63302400000000003</v>
      </c>
      <c r="GZ109" s="902">
        <v>5.8105350131999245</v>
      </c>
      <c r="HA109" s="902">
        <v>0</v>
      </c>
      <c r="HB109" s="902">
        <v>0</v>
      </c>
      <c r="HC109" s="902">
        <v>10.744187658720373</v>
      </c>
      <c r="HD109" s="902">
        <v>6.0417125965576121E-2</v>
      </c>
      <c r="HE109" s="902">
        <v>3600</v>
      </c>
      <c r="HF109" s="909" t="s">
        <v>2877</v>
      </c>
      <c r="HG109" s="909">
        <v>2</v>
      </c>
      <c r="HH109" s="909">
        <v>0</v>
      </c>
      <c r="HI109" s="909">
        <v>0</v>
      </c>
      <c r="HJ109" s="909">
        <v>0</v>
      </c>
      <c r="HK109" s="910">
        <v>22611.481272855533</v>
      </c>
      <c r="HL109" s="909">
        <v>0</v>
      </c>
      <c r="HM109" s="909">
        <v>0</v>
      </c>
      <c r="HN109" s="909">
        <v>0</v>
      </c>
      <c r="HO109" s="910">
        <v>22067.560717776698</v>
      </c>
      <c r="HP109" s="871">
        <v>4000</v>
      </c>
      <c r="HQ109" s="911">
        <v>68.067840827778852</v>
      </c>
      <c r="HR109" s="908">
        <v>0.63302400000000003</v>
      </c>
      <c r="HS109" s="902">
        <v>5.8105350131999245</v>
      </c>
      <c r="HT109" s="902">
        <v>0</v>
      </c>
      <c r="HU109" s="902">
        <v>0</v>
      </c>
      <c r="HV109" s="902">
        <v>10.744187658720373</v>
      </c>
      <c r="HW109" s="902">
        <v>6.0417125965576121E-2</v>
      </c>
      <c r="HX109" s="902">
        <v>3600</v>
      </c>
      <c r="HY109" s="909" t="s">
        <v>1063</v>
      </c>
      <c r="HZ109" s="909">
        <v>2</v>
      </c>
      <c r="IA109" s="909">
        <v>0</v>
      </c>
      <c r="IB109" s="909">
        <v>0</v>
      </c>
      <c r="IC109" s="909">
        <v>0</v>
      </c>
      <c r="ID109" s="910">
        <v>19941.452074273533</v>
      </c>
      <c r="IE109" s="909">
        <v>0</v>
      </c>
      <c r="IF109" s="909">
        <v>0</v>
      </c>
      <c r="IG109" s="909">
        <v>0</v>
      </c>
      <c r="IH109" s="910">
        <v>19461.759233684981</v>
      </c>
      <c r="II109" s="871">
        <v>4000</v>
      </c>
      <c r="IJ109" s="911">
        <v>68.067840827778852</v>
      </c>
      <c r="IK109" s="908">
        <v>0.63302400000000003</v>
      </c>
      <c r="IL109" s="902">
        <v>5.8105350131999245</v>
      </c>
      <c r="IM109" s="902">
        <v>0</v>
      </c>
      <c r="IN109" s="902">
        <v>0</v>
      </c>
      <c r="IO109" s="902">
        <v>10.744187658720373</v>
      </c>
      <c r="IP109" s="902">
        <v>6.0417125965576121E-2</v>
      </c>
      <c r="IQ109" s="902">
        <v>3600</v>
      </c>
      <c r="IR109" s="909" t="s">
        <v>1063</v>
      </c>
      <c r="IS109" s="909">
        <v>2</v>
      </c>
      <c r="IT109" s="909">
        <v>0</v>
      </c>
      <c r="IU109" s="909">
        <v>0</v>
      </c>
      <c r="IV109" s="909">
        <v>0</v>
      </c>
      <c r="IW109" s="910">
        <v>19941.452074273533</v>
      </c>
      <c r="IX109" s="909">
        <v>0</v>
      </c>
      <c r="IY109" s="909">
        <v>0</v>
      </c>
      <c r="IZ109" s="909">
        <v>0</v>
      </c>
      <c r="JA109" s="910">
        <v>19461.759233684981</v>
      </c>
      <c r="JB109" s="871">
        <v>4000</v>
      </c>
      <c r="JC109" s="911">
        <v>68.067840827778852</v>
      </c>
      <c r="JD109" s="908">
        <v>0.63302400000000003</v>
      </c>
      <c r="JE109" s="902">
        <v>5.8105350131999245</v>
      </c>
      <c r="JF109" s="902">
        <v>0</v>
      </c>
      <c r="JG109" s="902">
        <v>0</v>
      </c>
      <c r="JH109" s="902">
        <v>10.744187658720373</v>
      </c>
      <c r="JI109" s="902">
        <v>6.0417125965576121E-2</v>
      </c>
      <c r="JJ109" s="902">
        <v>3600</v>
      </c>
      <c r="JK109" s="909" t="s">
        <v>1064</v>
      </c>
      <c r="JL109" s="909">
        <v>2</v>
      </c>
      <c r="JM109" s="909">
        <v>0</v>
      </c>
      <c r="JN109" s="909">
        <v>0</v>
      </c>
      <c r="JO109" s="909">
        <v>0</v>
      </c>
      <c r="JP109" s="910">
        <v>27175.618381181492</v>
      </c>
      <c r="JQ109" s="909">
        <v>0</v>
      </c>
      <c r="JR109" s="909">
        <v>0</v>
      </c>
      <c r="JS109" s="909">
        <v>0</v>
      </c>
      <c r="JT109" s="910">
        <v>26521.907230787354</v>
      </c>
      <c r="JU109" s="871">
        <v>4000</v>
      </c>
      <c r="JV109" s="911">
        <v>68.067840827778852</v>
      </c>
      <c r="JW109" s="908">
        <v>0.63302400000000003</v>
      </c>
      <c r="JX109" s="902">
        <v>5.8105350131999245</v>
      </c>
      <c r="JY109" s="902">
        <v>0</v>
      </c>
      <c r="JZ109" s="902">
        <v>0</v>
      </c>
      <c r="KA109" s="902">
        <v>10.744187658720373</v>
      </c>
      <c r="KB109" s="902">
        <v>6.0417125965576121E-2</v>
      </c>
      <c r="KC109" s="902">
        <v>3600</v>
      </c>
      <c r="KD109" s="909" t="s">
        <v>1064</v>
      </c>
      <c r="KE109" s="909">
        <v>2</v>
      </c>
      <c r="KF109" s="909">
        <v>0</v>
      </c>
      <c r="KG109" s="909">
        <v>0</v>
      </c>
      <c r="KH109" s="909">
        <v>0</v>
      </c>
      <c r="KI109" s="910">
        <v>27175.618381181492</v>
      </c>
      <c r="KJ109" s="909">
        <v>0</v>
      </c>
      <c r="KK109" s="909">
        <v>0</v>
      </c>
      <c r="KL109" s="909">
        <v>0</v>
      </c>
      <c r="KM109" s="910">
        <v>26521.907230787354</v>
      </c>
      <c r="KN109" s="871">
        <v>4000</v>
      </c>
      <c r="KO109" s="912">
        <v>68.067840827778852</v>
      </c>
    </row>
    <row r="110" spans="1:301" ht="15" customHeight="1">
      <c r="A110" s="924" t="s">
        <v>1574</v>
      </c>
      <c r="B110" s="888" t="s">
        <v>1073</v>
      </c>
      <c r="C110" s="888">
        <v>150</v>
      </c>
      <c r="D110" s="888">
        <v>392</v>
      </c>
      <c r="E110" s="888">
        <v>106</v>
      </c>
      <c r="F110" s="888">
        <v>150</v>
      </c>
      <c r="G110" s="888">
        <v>34</v>
      </c>
      <c r="H110" s="888">
        <v>20</v>
      </c>
      <c r="I110" s="888">
        <v>20</v>
      </c>
      <c r="J110" s="888">
        <v>36.299999999999997</v>
      </c>
      <c r="K110" s="888">
        <v>71</v>
      </c>
      <c r="L110" s="888">
        <v>16</v>
      </c>
      <c r="M110" s="888">
        <v>140</v>
      </c>
      <c r="N110" s="888">
        <v>2</v>
      </c>
      <c r="O110" s="884">
        <v>1.7562442269770366</v>
      </c>
      <c r="P110" s="888">
        <v>2</v>
      </c>
      <c r="Q110" s="884">
        <v>1.0377675425046269</v>
      </c>
      <c r="R110" s="888">
        <v>10</v>
      </c>
      <c r="S110" s="888">
        <v>263.6343403108051</v>
      </c>
      <c r="T110" s="906">
        <v>4.2851250228308473</v>
      </c>
      <c r="U110" s="906">
        <v>39.545151046620767</v>
      </c>
      <c r="V110" s="906">
        <v>47.5</v>
      </c>
      <c r="W110" s="1141">
        <v>0.34347955261128515</v>
      </c>
      <c r="X110" s="902">
        <v>0</v>
      </c>
      <c r="Y110" s="902">
        <v>0</v>
      </c>
      <c r="Z110" s="902">
        <v>0</v>
      </c>
      <c r="AA110" s="902">
        <v>0</v>
      </c>
      <c r="AB110" s="970">
        <v>0.28207907165421753</v>
      </c>
      <c r="AC110" s="1045">
        <v>4000</v>
      </c>
      <c r="AD110" s="890">
        <v>3.7663740353229072</v>
      </c>
      <c r="AE110" s="890">
        <v>0.73457302819491621</v>
      </c>
      <c r="AF110" s="890">
        <v>-0.12481764620040277</v>
      </c>
      <c r="AG110" s="890">
        <v>0.80529364887095889</v>
      </c>
      <c r="AH110" s="888"/>
      <c r="AI110" s="907">
        <v>0.53700677616833692</v>
      </c>
      <c r="AJ110" s="908">
        <v>1.0550400000000002</v>
      </c>
      <c r="AK110" s="902">
        <v>8.4776563449237958</v>
      </c>
      <c r="AL110" s="902">
        <v>0</v>
      </c>
      <c r="AM110" s="902">
        <v>0</v>
      </c>
      <c r="AN110" s="902">
        <v>8.9996944280953191</v>
      </c>
      <c r="AO110" s="902">
        <v>0.12561120015979091</v>
      </c>
      <c r="AP110" s="1222">
        <v>3600</v>
      </c>
      <c r="AQ110" s="909" t="s">
        <v>1062</v>
      </c>
      <c r="AR110" s="909">
        <v>3</v>
      </c>
      <c r="AS110" s="909">
        <v>0</v>
      </c>
      <c r="AT110" s="909">
        <v>0</v>
      </c>
      <c r="AU110" s="909">
        <v>0</v>
      </c>
      <c r="AV110" s="910">
        <v>49924.643062533505</v>
      </c>
      <c r="AW110" s="909">
        <v>0</v>
      </c>
      <c r="AX110" s="909">
        <v>0</v>
      </c>
      <c r="AY110" s="909">
        <v>0</v>
      </c>
      <c r="AZ110" s="910">
        <v>81554.83343341024</v>
      </c>
      <c r="BA110" s="871">
        <v>4000</v>
      </c>
      <c r="BB110" s="911">
        <v>82.100288013813255</v>
      </c>
      <c r="BC110" s="908">
        <v>1.0550400000000002</v>
      </c>
      <c r="BD110" s="902">
        <v>8.4776563449237958</v>
      </c>
      <c r="BE110" s="902">
        <v>0</v>
      </c>
      <c r="BF110" s="902">
        <v>0</v>
      </c>
      <c r="BG110" s="902">
        <v>8.9996944280953191</v>
      </c>
      <c r="BH110" s="902">
        <v>0.12561120015979091</v>
      </c>
      <c r="BI110" s="902">
        <v>3600</v>
      </c>
      <c r="BJ110" s="909" t="s">
        <v>1062</v>
      </c>
      <c r="BK110" s="909">
        <v>3</v>
      </c>
      <c r="BL110" s="909">
        <v>0</v>
      </c>
      <c r="BM110" s="909">
        <v>0</v>
      </c>
      <c r="BN110" s="909">
        <v>0</v>
      </c>
      <c r="BO110" s="910">
        <v>49924.643062533505</v>
      </c>
      <c r="BP110" s="909">
        <v>0</v>
      </c>
      <c r="BQ110" s="909">
        <v>0</v>
      </c>
      <c r="BR110" s="909">
        <v>0</v>
      </c>
      <c r="BS110" s="910">
        <v>81554.83343341024</v>
      </c>
      <c r="BT110" s="871">
        <v>4000</v>
      </c>
      <c r="BU110" s="911">
        <v>82.100288013813255</v>
      </c>
      <c r="BV110" s="908">
        <v>0.7033600000000001</v>
      </c>
      <c r="BW110" s="902">
        <v>8.1259763449237958</v>
      </c>
      <c r="BX110" s="902">
        <v>0</v>
      </c>
      <c r="BY110" s="902">
        <v>0</v>
      </c>
      <c r="BZ110" s="902">
        <v>8.9564027116793348</v>
      </c>
      <c r="CA110" s="902">
        <v>0.11786703071979091</v>
      </c>
      <c r="CB110" s="902">
        <v>3600</v>
      </c>
      <c r="CC110" s="909" t="s">
        <v>2874</v>
      </c>
      <c r="CD110" s="909">
        <v>2</v>
      </c>
      <c r="CE110" s="909">
        <v>0</v>
      </c>
      <c r="CF110" s="909">
        <v>0</v>
      </c>
      <c r="CG110" s="909">
        <v>0</v>
      </c>
      <c r="CH110" s="910">
        <v>28931.077550928319</v>
      </c>
      <c r="CI110" s="909">
        <v>0</v>
      </c>
      <c r="CJ110" s="909">
        <v>0</v>
      </c>
      <c r="CK110" s="909">
        <v>0</v>
      </c>
      <c r="CL110" s="910">
        <v>28229.629283020069</v>
      </c>
      <c r="CM110" s="871">
        <v>4000</v>
      </c>
      <c r="CN110" s="911">
        <v>82.100288013813255</v>
      </c>
      <c r="CO110" s="908">
        <v>0.7033600000000001</v>
      </c>
      <c r="CP110" s="902">
        <v>8.1259763449237958</v>
      </c>
      <c r="CQ110" s="902">
        <v>0</v>
      </c>
      <c r="CR110" s="902">
        <v>0</v>
      </c>
      <c r="CS110" s="902">
        <v>8.9564027116793348</v>
      </c>
      <c r="CT110" s="902">
        <v>0.11786703071979091</v>
      </c>
      <c r="CU110" s="902">
        <v>3600</v>
      </c>
      <c r="CV110" s="909" t="s">
        <v>2874</v>
      </c>
      <c r="CW110" s="909">
        <v>2</v>
      </c>
      <c r="CX110" s="909">
        <v>0</v>
      </c>
      <c r="CY110" s="909">
        <v>0</v>
      </c>
      <c r="CZ110" s="909">
        <v>0</v>
      </c>
      <c r="DA110" s="910">
        <v>28931.077550928319</v>
      </c>
      <c r="DB110" s="909">
        <v>0</v>
      </c>
      <c r="DC110" s="909">
        <v>0</v>
      </c>
      <c r="DD110" s="909">
        <v>0</v>
      </c>
      <c r="DE110" s="910">
        <v>28229.629283020069</v>
      </c>
      <c r="DF110" s="871">
        <v>4000</v>
      </c>
      <c r="DG110" s="911">
        <v>82.100288013813255</v>
      </c>
      <c r="DH110" s="908">
        <v>0.7033600000000001</v>
      </c>
      <c r="DI110" s="902">
        <v>8.1259763449237958</v>
      </c>
      <c r="DJ110" s="902">
        <v>0</v>
      </c>
      <c r="DK110" s="902">
        <v>0</v>
      </c>
      <c r="DL110" s="902">
        <v>8.9564027116793348</v>
      </c>
      <c r="DM110" s="902">
        <v>0.11786703071979091</v>
      </c>
      <c r="DN110" s="902">
        <v>3600</v>
      </c>
      <c r="DO110" s="909" t="s">
        <v>2876</v>
      </c>
      <c r="DP110" s="909">
        <v>2</v>
      </c>
      <c r="DQ110" s="909">
        <v>0</v>
      </c>
      <c r="DR110" s="909">
        <v>0</v>
      </c>
      <c r="DS110" s="909">
        <v>0</v>
      </c>
      <c r="DT110" s="910">
        <v>30928.622864508561</v>
      </c>
      <c r="DU110" s="909">
        <v>0</v>
      </c>
      <c r="DV110" s="909">
        <v>0</v>
      </c>
      <c r="DW110" s="909">
        <v>0</v>
      </c>
      <c r="DX110" s="910">
        <v>30178.743123629556</v>
      </c>
      <c r="DY110" s="871">
        <v>4000</v>
      </c>
      <c r="DZ110" s="911">
        <v>82.100288013813255</v>
      </c>
      <c r="EA110" s="908">
        <v>0.7033600000000001</v>
      </c>
      <c r="EB110" s="902">
        <v>8.1259763449237958</v>
      </c>
      <c r="EC110" s="902">
        <v>0</v>
      </c>
      <c r="ED110" s="902">
        <v>0</v>
      </c>
      <c r="EE110" s="902">
        <v>8.9564027116793348</v>
      </c>
      <c r="EF110" s="902">
        <v>0.11786703071979091</v>
      </c>
      <c r="EG110" s="902">
        <v>3600</v>
      </c>
      <c r="EH110" s="909" t="s">
        <v>2876</v>
      </c>
      <c r="EI110" s="909">
        <v>2</v>
      </c>
      <c r="EJ110" s="909">
        <v>0</v>
      </c>
      <c r="EK110" s="909">
        <v>0</v>
      </c>
      <c r="EL110" s="909">
        <v>0</v>
      </c>
      <c r="EM110" s="910">
        <v>30928.622864508561</v>
      </c>
      <c r="EN110" s="909">
        <v>0</v>
      </c>
      <c r="EO110" s="909">
        <v>0</v>
      </c>
      <c r="EP110" s="909">
        <v>0</v>
      </c>
      <c r="EQ110" s="910">
        <v>30178.743123629556</v>
      </c>
      <c r="ER110" s="871">
        <v>4000</v>
      </c>
      <c r="ES110" s="911">
        <v>82.100288013813255</v>
      </c>
      <c r="ET110" s="908">
        <v>0.7033600000000001</v>
      </c>
      <c r="EU110" s="902">
        <v>8.1259763449237958</v>
      </c>
      <c r="EV110" s="902">
        <v>0</v>
      </c>
      <c r="EW110" s="902">
        <v>0</v>
      </c>
      <c r="EX110" s="902">
        <v>8.9564027116793348</v>
      </c>
      <c r="EY110" s="902">
        <v>0.11786703071979091</v>
      </c>
      <c r="EZ110" s="902">
        <v>3600</v>
      </c>
      <c r="FA110" s="909" t="s">
        <v>3889</v>
      </c>
      <c r="FB110" s="909">
        <v>2</v>
      </c>
      <c r="FC110" s="909">
        <v>0</v>
      </c>
      <c r="FD110" s="909">
        <v>0</v>
      </c>
      <c r="FE110" s="909">
        <v>0</v>
      </c>
      <c r="FF110" s="910">
        <v>31566.393527092914</v>
      </c>
      <c r="FG110" s="909">
        <v>0</v>
      </c>
      <c r="FH110" s="909">
        <v>0</v>
      </c>
      <c r="FI110" s="909">
        <v>0</v>
      </c>
      <c r="FJ110" s="910">
        <v>30801.050721424563</v>
      </c>
      <c r="FK110" s="871">
        <v>4000</v>
      </c>
      <c r="FL110" s="911">
        <v>82.100288013813255</v>
      </c>
      <c r="FM110" s="908">
        <v>0.7033600000000001</v>
      </c>
      <c r="FN110" s="902">
        <v>8.1259763449237958</v>
      </c>
      <c r="FO110" s="902">
        <v>0</v>
      </c>
      <c r="FP110" s="902">
        <v>0</v>
      </c>
      <c r="FQ110" s="902">
        <v>8.9564027116793348</v>
      </c>
      <c r="FR110" s="902">
        <v>0.11786703071979091</v>
      </c>
      <c r="FS110" s="902">
        <v>3600</v>
      </c>
      <c r="FT110" s="909" t="s">
        <v>3889</v>
      </c>
      <c r="FU110" s="909">
        <v>2</v>
      </c>
      <c r="FV110" s="909">
        <v>0</v>
      </c>
      <c r="FW110" s="909">
        <v>0</v>
      </c>
      <c r="FX110" s="909">
        <v>0</v>
      </c>
      <c r="FY110" s="910">
        <v>31566.393527092914</v>
      </c>
      <c r="FZ110" s="909">
        <v>0</v>
      </c>
      <c r="GA110" s="909">
        <v>0</v>
      </c>
      <c r="GB110" s="909">
        <v>0</v>
      </c>
      <c r="GC110" s="910">
        <v>30801.050721424563</v>
      </c>
      <c r="GD110" s="871">
        <v>4000</v>
      </c>
      <c r="GE110" s="911">
        <v>82.100288013813255</v>
      </c>
      <c r="GF110" s="908">
        <v>0.7033600000000001</v>
      </c>
      <c r="GG110" s="902">
        <v>8.1259763449237958</v>
      </c>
      <c r="GH110" s="902">
        <v>0</v>
      </c>
      <c r="GI110" s="902">
        <v>0</v>
      </c>
      <c r="GJ110" s="902">
        <v>8.9564027116793348</v>
      </c>
      <c r="GK110" s="902">
        <v>0.11786703071979091</v>
      </c>
      <c r="GL110" s="902">
        <v>3600</v>
      </c>
      <c r="GM110" s="909" t="s">
        <v>2877</v>
      </c>
      <c r="GN110" s="909">
        <v>2</v>
      </c>
      <c r="GO110" s="909">
        <v>0</v>
      </c>
      <c r="GP110" s="909">
        <v>0</v>
      </c>
      <c r="GQ110" s="909">
        <v>0</v>
      </c>
      <c r="GR110" s="910">
        <v>42350.761038653465</v>
      </c>
      <c r="GS110" s="909">
        <v>0</v>
      </c>
      <c r="GT110" s="909">
        <v>0</v>
      </c>
      <c r="GU110" s="909">
        <v>0</v>
      </c>
      <c r="GV110" s="910">
        <v>41323.94591491454</v>
      </c>
      <c r="GW110" s="871">
        <v>4000</v>
      </c>
      <c r="GX110" s="911">
        <v>82.100288013813255</v>
      </c>
      <c r="GY110" s="908">
        <v>0.7033600000000001</v>
      </c>
      <c r="GZ110" s="902">
        <v>8.1259763449237958</v>
      </c>
      <c r="HA110" s="902">
        <v>0</v>
      </c>
      <c r="HB110" s="902">
        <v>0</v>
      </c>
      <c r="HC110" s="902">
        <v>8.9564027116793348</v>
      </c>
      <c r="HD110" s="902">
        <v>0.11786703071979091</v>
      </c>
      <c r="HE110" s="902">
        <v>3600</v>
      </c>
      <c r="HF110" s="909" t="s">
        <v>2877</v>
      </c>
      <c r="HG110" s="909">
        <v>2</v>
      </c>
      <c r="HH110" s="909">
        <v>0</v>
      </c>
      <c r="HI110" s="909">
        <v>0</v>
      </c>
      <c r="HJ110" s="909">
        <v>0</v>
      </c>
      <c r="HK110" s="910">
        <v>42350.761038653465</v>
      </c>
      <c r="HL110" s="909">
        <v>0</v>
      </c>
      <c r="HM110" s="909">
        <v>0</v>
      </c>
      <c r="HN110" s="909">
        <v>0</v>
      </c>
      <c r="HO110" s="910">
        <v>41323.94591491454</v>
      </c>
      <c r="HP110" s="871">
        <v>4000</v>
      </c>
      <c r="HQ110" s="911">
        <v>82.100288013813255</v>
      </c>
      <c r="HR110" s="908">
        <v>0.7033600000000001</v>
      </c>
      <c r="HS110" s="902">
        <v>8.1259763449237958</v>
      </c>
      <c r="HT110" s="902">
        <v>0</v>
      </c>
      <c r="HU110" s="902">
        <v>0</v>
      </c>
      <c r="HV110" s="902">
        <v>8.9564027116793348</v>
      </c>
      <c r="HW110" s="902">
        <v>0.11786703071979091</v>
      </c>
      <c r="HX110" s="902">
        <v>3600</v>
      </c>
      <c r="HY110" s="909" t="s">
        <v>1063</v>
      </c>
      <c r="HZ110" s="909">
        <v>2</v>
      </c>
      <c r="IA110" s="909">
        <v>0</v>
      </c>
      <c r="IB110" s="909">
        <v>0</v>
      </c>
      <c r="IC110" s="909">
        <v>0</v>
      </c>
      <c r="ID110" s="910">
        <v>37349.860514188549</v>
      </c>
      <c r="IE110" s="909">
        <v>0</v>
      </c>
      <c r="IF110" s="909">
        <v>0</v>
      </c>
      <c r="IG110" s="909">
        <v>0</v>
      </c>
      <c r="IH110" s="910">
        <v>36444.294694245415</v>
      </c>
      <c r="II110" s="871">
        <v>4000</v>
      </c>
      <c r="IJ110" s="911">
        <v>82.100288013813255</v>
      </c>
      <c r="IK110" s="908">
        <v>0.7033600000000001</v>
      </c>
      <c r="IL110" s="902">
        <v>8.1259763449237958</v>
      </c>
      <c r="IM110" s="902">
        <v>0</v>
      </c>
      <c r="IN110" s="902">
        <v>0</v>
      </c>
      <c r="IO110" s="902">
        <v>8.9564027116793348</v>
      </c>
      <c r="IP110" s="902">
        <v>0.11786703071979091</v>
      </c>
      <c r="IQ110" s="902">
        <v>3600</v>
      </c>
      <c r="IR110" s="909" t="s">
        <v>1063</v>
      </c>
      <c r="IS110" s="909">
        <v>2</v>
      </c>
      <c r="IT110" s="909">
        <v>0</v>
      </c>
      <c r="IU110" s="909">
        <v>0</v>
      </c>
      <c r="IV110" s="909">
        <v>0</v>
      </c>
      <c r="IW110" s="910">
        <v>37349.860514188549</v>
      </c>
      <c r="IX110" s="909">
        <v>0</v>
      </c>
      <c r="IY110" s="909">
        <v>0</v>
      </c>
      <c r="IZ110" s="909">
        <v>0</v>
      </c>
      <c r="JA110" s="910">
        <v>36444.294694245415</v>
      </c>
      <c r="JB110" s="871">
        <v>4000</v>
      </c>
      <c r="JC110" s="911">
        <v>82.100288013813255</v>
      </c>
      <c r="JD110" s="908">
        <v>0.7033600000000001</v>
      </c>
      <c r="JE110" s="902">
        <v>8.1259763449237958</v>
      </c>
      <c r="JF110" s="902">
        <v>0</v>
      </c>
      <c r="JG110" s="902">
        <v>0</v>
      </c>
      <c r="JH110" s="902">
        <v>8.9564027116793348</v>
      </c>
      <c r="JI110" s="902">
        <v>0.11786703071979091</v>
      </c>
      <c r="JJ110" s="902">
        <v>3600</v>
      </c>
      <c r="JK110" s="909" t="s">
        <v>1064</v>
      </c>
      <c r="JL110" s="909">
        <v>2</v>
      </c>
      <c r="JM110" s="909">
        <v>0</v>
      </c>
      <c r="JN110" s="909">
        <v>0</v>
      </c>
      <c r="JO110" s="909">
        <v>0</v>
      </c>
      <c r="JP110" s="910">
        <v>50899.280159929192</v>
      </c>
      <c r="JQ110" s="909">
        <v>0</v>
      </c>
      <c r="JR110" s="909">
        <v>0</v>
      </c>
      <c r="JS110" s="909">
        <v>0</v>
      </c>
      <c r="JT110" s="910">
        <v>49665.201966909211</v>
      </c>
      <c r="JU110" s="871">
        <v>4000</v>
      </c>
      <c r="JV110" s="911">
        <v>82.100288013813255</v>
      </c>
      <c r="JW110" s="908">
        <v>0.7033600000000001</v>
      </c>
      <c r="JX110" s="902">
        <v>8.1259763449237958</v>
      </c>
      <c r="JY110" s="902">
        <v>0</v>
      </c>
      <c r="JZ110" s="902">
        <v>0</v>
      </c>
      <c r="KA110" s="902">
        <v>8.9564027116793348</v>
      </c>
      <c r="KB110" s="902">
        <v>0.11786703071979091</v>
      </c>
      <c r="KC110" s="902">
        <v>3600</v>
      </c>
      <c r="KD110" s="909" t="s">
        <v>1064</v>
      </c>
      <c r="KE110" s="909">
        <v>2</v>
      </c>
      <c r="KF110" s="909">
        <v>0</v>
      </c>
      <c r="KG110" s="909">
        <v>0</v>
      </c>
      <c r="KH110" s="909">
        <v>0</v>
      </c>
      <c r="KI110" s="910">
        <v>50899.280159929192</v>
      </c>
      <c r="KJ110" s="909">
        <v>0</v>
      </c>
      <c r="KK110" s="909">
        <v>0</v>
      </c>
      <c r="KL110" s="909">
        <v>0</v>
      </c>
      <c r="KM110" s="910">
        <v>49665.201966909211</v>
      </c>
      <c r="KN110" s="871">
        <v>4000</v>
      </c>
      <c r="KO110" s="912">
        <v>82.100288013813255</v>
      </c>
    </row>
    <row r="111" spans="1:301" ht="15" customHeight="1">
      <c r="A111" s="924" t="s">
        <v>1575</v>
      </c>
      <c r="B111" s="888" t="s">
        <v>1073</v>
      </c>
      <c r="C111" s="888">
        <v>190</v>
      </c>
      <c r="D111" s="888">
        <v>402</v>
      </c>
      <c r="E111" s="888">
        <v>170</v>
      </c>
      <c r="F111" s="888">
        <v>190</v>
      </c>
      <c r="G111" s="888">
        <v>54</v>
      </c>
      <c r="H111" s="888">
        <v>40</v>
      </c>
      <c r="I111" s="888">
        <v>40</v>
      </c>
      <c r="J111" s="888">
        <v>28.5</v>
      </c>
      <c r="K111" s="888">
        <v>64.400000000000006</v>
      </c>
      <c r="L111" s="888">
        <v>16</v>
      </c>
      <c r="M111" s="888">
        <v>135</v>
      </c>
      <c r="N111" s="888">
        <v>2</v>
      </c>
      <c r="O111" s="884">
        <v>1.6363400026452712</v>
      </c>
      <c r="P111" s="888">
        <v>2</v>
      </c>
      <c r="Q111" s="884">
        <v>0.99624242878398617</v>
      </c>
      <c r="R111" s="888">
        <v>10</v>
      </c>
      <c r="S111" s="888">
        <v>284.27217866398922</v>
      </c>
      <c r="T111" s="906">
        <v>4.9822814126980468</v>
      </c>
      <c r="U111" s="906">
        <v>42.640826799598379</v>
      </c>
      <c r="V111" s="906">
        <v>47.5</v>
      </c>
      <c r="W111" s="1141">
        <v>0.3993609944865778</v>
      </c>
      <c r="X111" s="902">
        <v>0</v>
      </c>
      <c r="Y111" s="902">
        <v>0</v>
      </c>
      <c r="Z111" s="902">
        <v>0</v>
      </c>
      <c r="AA111" s="902">
        <v>0</v>
      </c>
      <c r="AB111" s="970">
        <v>0.52329662926235199</v>
      </c>
      <c r="AC111" s="1045">
        <v>4000</v>
      </c>
      <c r="AD111" s="890">
        <v>3.4422351949486294</v>
      </c>
      <c r="AE111" s="890">
        <v>0.54295569963843682</v>
      </c>
      <c r="AF111" s="890">
        <v>-0.23679540482187442</v>
      </c>
      <c r="AG111" s="890">
        <v>0.82314062486097195</v>
      </c>
      <c r="AH111" s="888"/>
      <c r="AI111" s="907">
        <v>0.62378819179342915</v>
      </c>
      <c r="AJ111" s="908">
        <v>2.0347200000000001</v>
      </c>
      <c r="AK111" s="902">
        <v>10.048944838613883</v>
      </c>
      <c r="AL111" s="902">
        <v>0</v>
      </c>
      <c r="AM111" s="902">
        <v>0</v>
      </c>
      <c r="AN111" s="902">
        <v>14.085107987981047</v>
      </c>
      <c r="AO111" s="902">
        <v>0.16976586084836889</v>
      </c>
      <c r="AP111" s="1222">
        <v>3600</v>
      </c>
      <c r="AQ111" s="909" t="s">
        <v>1062</v>
      </c>
      <c r="AR111" s="909">
        <v>3</v>
      </c>
      <c r="AS111" s="909">
        <v>0</v>
      </c>
      <c r="AT111" s="909">
        <v>0</v>
      </c>
      <c r="AU111" s="909">
        <v>0</v>
      </c>
      <c r="AV111" s="910">
        <v>14262.177404358756</v>
      </c>
      <c r="AW111" s="909">
        <v>0</v>
      </c>
      <c r="AX111" s="909">
        <v>0</v>
      </c>
      <c r="AY111" s="909">
        <v>0</v>
      </c>
      <c r="AZ111" s="910">
        <v>15600.113831733699</v>
      </c>
      <c r="BA111" s="871">
        <v>4000</v>
      </c>
      <c r="BB111" s="911">
        <v>84.194683116206463</v>
      </c>
      <c r="BC111" s="908">
        <v>2.0347200000000001</v>
      </c>
      <c r="BD111" s="902">
        <v>10.048944838613883</v>
      </c>
      <c r="BE111" s="902">
        <v>0</v>
      </c>
      <c r="BF111" s="902">
        <v>0</v>
      </c>
      <c r="BG111" s="902">
        <v>14.085107987981047</v>
      </c>
      <c r="BH111" s="902">
        <v>0.16976586084836889</v>
      </c>
      <c r="BI111" s="902">
        <v>3600</v>
      </c>
      <c r="BJ111" s="909" t="s">
        <v>1062</v>
      </c>
      <c r="BK111" s="909">
        <v>3</v>
      </c>
      <c r="BL111" s="909">
        <v>0</v>
      </c>
      <c r="BM111" s="909">
        <v>0</v>
      </c>
      <c r="BN111" s="909">
        <v>0</v>
      </c>
      <c r="BO111" s="910">
        <v>14262.177404358756</v>
      </c>
      <c r="BP111" s="909">
        <v>0</v>
      </c>
      <c r="BQ111" s="909">
        <v>0</v>
      </c>
      <c r="BR111" s="909">
        <v>0</v>
      </c>
      <c r="BS111" s="910">
        <v>15600.113831733699</v>
      </c>
      <c r="BT111" s="871">
        <v>4000</v>
      </c>
      <c r="BU111" s="911">
        <v>84.194683116206463</v>
      </c>
      <c r="BV111" s="908">
        <v>1.3564800000000001</v>
      </c>
      <c r="BW111" s="902">
        <v>9.3707048386138823</v>
      </c>
      <c r="BX111" s="902">
        <v>0</v>
      </c>
      <c r="BY111" s="902">
        <v>0</v>
      </c>
      <c r="BZ111" s="902">
        <v>13.656995436436294</v>
      </c>
      <c r="CA111" s="902">
        <v>0.1530045157283689</v>
      </c>
      <c r="CB111" s="902">
        <v>3600</v>
      </c>
      <c r="CC111" s="909" t="s">
        <v>2874</v>
      </c>
      <c r="CD111" s="909">
        <v>2</v>
      </c>
      <c r="CE111" s="909">
        <v>0</v>
      </c>
      <c r="CF111" s="909">
        <v>0</v>
      </c>
      <c r="CG111" s="909">
        <v>0</v>
      </c>
      <c r="CH111" s="910">
        <v>9677.5248065395845</v>
      </c>
      <c r="CI111" s="909">
        <v>0</v>
      </c>
      <c r="CJ111" s="909">
        <v>0</v>
      </c>
      <c r="CK111" s="909">
        <v>0</v>
      </c>
      <c r="CL111" s="910">
        <v>9512.0774840574013</v>
      </c>
      <c r="CM111" s="871">
        <v>4000</v>
      </c>
      <c r="CN111" s="911">
        <v>84.194683116206463</v>
      </c>
      <c r="CO111" s="908">
        <v>1.3564800000000001</v>
      </c>
      <c r="CP111" s="902">
        <v>9.3707048386138823</v>
      </c>
      <c r="CQ111" s="902">
        <v>0</v>
      </c>
      <c r="CR111" s="902">
        <v>0</v>
      </c>
      <c r="CS111" s="902">
        <v>13.656995436436294</v>
      </c>
      <c r="CT111" s="902">
        <v>0.1530045157283689</v>
      </c>
      <c r="CU111" s="902">
        <v>3600</v>
      </c>
      <c r="CV111" s="909" t="s">
        <v>2874</v>
      </c>
      <c r="CW111" s="909">
        <v>2</v>
      </c>
      <c r="CX111" s="909">
        <v>0</v>
      </c>
      <c r="CY111" s="909">
        <v>0</v>
      </c>
      <c r="CZ111" s="909">
        <v>0</v>
      </c>
      <c r="DA111" s="910">
        <v>9677.5248065395845</v>
      </c>
      <c r="DB111" s="909">
        <v>0</v>
      </c>
      <c r="DC111" s="909">
        <v>0</v>
      </c>
      <c r="DD111" s="909">
        <v>0</v>
      </c>
      <c r="DE111" s="910">
        <v>9512.0774840574013</v>
      </c>
      <c r="DF111" s="871">
        <v>4000</v>
      </c>
      <c r="DG111" s="911">
        <v>84.194683116206463</v>
      </c>
      <c r="DH111" s="908">
        <v>1.3564800000000001</v>
      </c>
      <c r="DI111" s="902">
        <v>9.3707048386138823</v>
      </c>
      <c r="DJ111" s="902">
        <v>0</v>
      </c>
      <c r="DK111" s="902">
        <v>0</v>
      </c>
      <c r="DL111" s="902">
        <v>13.656995436436294</v>
      </c>
      <c r="DM111" s="902">
        <v>0.1530045157283689</v>
      </c>
      <c r="DN111" s="902">
        <v>3600</v>
      </c>
      <c r="DO111" s="909" t="s">
        <v>2876</v>
      </c>
      <c r="DP111" s="909">
        <v>2</v>
      </c>
      <c r="DQ111" s="909">
        <v>0</v>
      </c>
      <c r="DR111" s="909">
        <v>0</v>
      </c>
      <c r="DS111" s="909">
        <v>0</v>
      </c>
      <c r="DT111" s="910">
        <v>10345.709193726785</v>
      </c>
      <c r="DU111" s="909">
        <v>0</v>
      </c>
      <c r="DV111" s="909">
        <v>0</v>
      </c>
      <c r="DW111" s="909">
        <v>0</v>
      </c>
      <c r="DX111" s="910">
        <v>10168.838566222888</v>
      </c>
      <c r="DY111" s="871">
        <v>4000</v>
      </c>
      <c r="DZ111" s="911">
        <v>84.194683116206463</v>
      </c>
      <c r="EA111" s="908">
        <v>1.3564800000000001</v>
      </c>
      <c r="EB111" s="902">
        <v>9.3707048386138823</v>
      </c>
      <c r="EC111" s="902">
        <v>0</v>
      </c>
      <c r="ED111" s="902">
        <v>0</v>
      </c>
      <c r="EE111" s="902">
        <v>13.656995436436294</v>
      </c>
      <c r="EF111" s="902">
        <v>0.1530045157283689</v>
      </c>
      <c r="EG111" s="902">
        <v>3600</v>
      </c>
      <c r="EH111" s="909" t="s">
        <v>2876</v>
      </c>
      <c r="EI111" s="909">
        <v>2</v>
      </c>
      <c r="EJ111" s="909">
        <v>0</v>
      </c>
      <c r="EK111" s="909">
        <v>0</v>
      </c>
      <c r="EL111" s="909">
        <v>0</v>
      </c>
      <c r="EM111" s="910">
        <v>10345.709193726785</v>
      </c>
      <c r="EN111" s="909">
        <v>0</v>
      </c>
      <c r="EO111" s="909">
        <v>0</v>
      </c>
      <c r="EP111" s="909">
        <v>0</v>
      </c>
      <c r="EQ111" s="910">
        <v>10168.838566222888</v>
      </c>
      <c r="ER111" s="871">
        <v>4000</v>
      </c>
      <c r="ES111" s="911">
        <v>84.194683116206463</v>
      </c>
      <c r="ET111" s="908">
        <v>1.3564800000000001</v>
      </c>
      <c r="EU111" s="902">
        <v>9.3707048386138823</v>
      </c>
      <c r="EV111" s="902">
        <v>0</v>
      </c>
      <c r="EW111" s="902">
        <v>0</v>
      </c>
      <c r="EX111" s="902">
        <v>13.656995436436294</v>
      </c>
      <c r="EY111" s="902">
        <v>0.1530045157283689</v>
      </c>
      <c r="EZ111" s="902">
        <v>3600</v>
      </c>
      <c r="FA111" s="909" t="s">
        <v>3889</v>
      </c>
      <c r="FB111" s="909">
        <v>2</v>
      </c>
      <c r="FC111" s="909">
        <v>0</v>
      </c>
      <c r="FD111" s="909">
        <v>0</v>
      </c>
      <c r="FE111" s="909">
        <v>0</v>
      </c>
      <c r="FF111" s="910">
        <v>10559.045229947762</v>
      </c>
      <c r="FG111" s="909">
        <v>0</v>
      </c>
      <c r="FH111" s="909">
        <v>0</v>
      </c>
      <c r="FI111" s="909">
        <v>0</v>
      </c>
      <c r="FJ111" s="910">
        <v>10378.527401649677</v>
      </c>
      <c r="FK111" s="871">
        <v>4000</v>
      </c>
      <c r="FL111" s="911">
        <v>84.194683116206463</v>
      </c>
      <c r="FM111" s="908">
        <v>1.3564800000000001</v>
      </c>
      <c r="FN111" s="902">
        <v>9.3707048386138823</v>
      </c>
      <c r="FO111" s="902">
        <v>0</v>
      </c>
      <c r="FP111" s="902">
        <v>0</v>
      </c>
      <c r="FQ111" s="902">
        <v>13.656995436436294</v>
      </c>
      <c r="FR111" s="902">
        <v>0.1530045157283689</v>
      </c>
      <c r="FS111" s="902">
        <v>3600</v>
      </c>
      <c r="FT111" s="909" t="s">
        <v>3889</v>
      </c>
      <c r="FU111" s="909">
        <v>2</v>
      </c>
      <c r="FV111" s="909">
        <v>0</v>
      </c>
      <c r="FW111" s="909">
        <v>0</v>
      </c>
      <c r="FX111" s="909">
        <v>0</v>
      </c>
      <c r="FY111" s="910">
        <v>10559.045229947762</v>
      </c>
      <c r="FZ111" s="909">
        <v>0</v>
      </c>
      <c r="GA111" s="909">
        <v>0</v>
      </c>
      <c r="GB111" s="909">
        <v>0</v>
      </c>
      <c r="GC111" s="910">
        <v>10378.527401649677</v>
      </c>
      <c r="GD111" s="871">
        <v>4000</v>
      </c>
      <c r="GE111" s="911">
        <v>84.194683116206463</v>
      </c>
      <c r="GF111" s="908">
        <v>1.3564800000000001</v>
      </c>
      <c r="GG111" s="902">
        <v>9.3707048386138823</v>
      </c>
      <c r="GH111" s="902">
        <v>0</v>
      </c>
      <c r="GI111" s="902">
        <v>0</v>
      </c>
      <c r="GJ111" s="902">
        <v>13.656995436436294</v>
      </c>
      <c r="GK111" s="902">
        <v>0.1530045157283689</v>
      </c>
      <c r="GL111" s="902">
        <v>3600</v>
      </c>
      <c r="GM111" s="909" t="s">
        <v>2877</v>
      </c>
      <c r="GN111" s="909">
        <v>2</v>
      </c>
      <c r="GO111" s="909">
        <v>0</v>
      </c>
      <c r="GP111" s="909">
        <v>0</v>
      </c>
      <c r="GQ111" s="909">
        <v>0</v>
      </c>
      <c r="GR111" s="910">
        <v>14166.445746994856</v>
      </c>
      <c r="GS111" s="909">
        <v>0</v>
      </c>
      <c r="GT111" s="909">
        <v>0</v>
      </c>
      <c r="GU111" s="909">
        <v>0</v>
      </c>
      <c r="GV111" s="910">
        <v>13924.255665875573</v>
      </c>
      <c r="GW111" s="871">
        <v>4000</v>
      </c>
      <c r="GX111" s="911">
        <v>84.194683116206463</v>
      </c>
      <c r="GY111" s="908">
        <v>1.3564800000000001</v>
      </c>
      <c r="GZ111" s="902">
        <v>9.3707048386138823</v>
      </c>
      <c r="HA111" s="902">
        <v>0</v>
      </c>
      <c r="HB111" s="902">
        <v>0</v>
      </c>
      <c r="HC111" s="902">
        <v>13.656995436436294</v>
      </c>
      <c r="HD111" s="902">
        <v>0.1530045157283689</v>
      </c>
      <c r="HE111" s="902">
        <v>3600</v>
      </c>
      <c r="HF111" s="909" t="s">
        <v>2877</v>
      </c>
      <c r="HG111" s="909">
        <v>2</v>
      </c>
      <c r="HH111" s="909">
        <v>0</v>
      </c>
      <c r="HI111" s="909">
        <v>0</v>
      </c>
      <c r="HJ111" s="909">
        <v>0</v>
      </c>
      <c r="HK111" s="910">
        <v>14166.445746994856</v>
      </c>
      <c r="HL111" s="909">
        <v>0</v>
      </c>
      <c r="HM111" s="909">
        <v>0</v>
      </c>
      <c r="HN111" s="909">
        <v>0</v>
      </c>
      <c r="HO111" s="910">
        <v>13924.255665875573</v>
      </c>
      <c r="HP111" s="871">
        <v>4000</v>
      </c>
      <c r="HQ111" s="911">
        <v>84.194683116206463</v>
      </c>
      <c r="HR111" s="908">
        <v>1.3564800000000001</v>
      </c>
      <c r="HS111" s="902">
        <v>9.3707048386138823</v>
      </c>
      <c r="HT111" s="902">
        <v>0</v>
      </c>
      <c r="HU111" s="902">
        <v>0</v>
      </c>
      <c r="HV111" s="902">
        <v>13.656995436436294</v>
      </c>
      <c r="HW111" s="902">
        <v>0.1530045157283689</v>
      </c>
      <c r="HX111" s="902">
        <v>3600</v>
      </c>
      <c r="HY111" s="909" t="s">
        <v>1063</v>
      </c>
      <c r="HZ111" s="909">
        <v>2</v>
      </c>
      <c r="IA111" s="909">
        <v>0</v>
      </c>
      <c r="IB111" s="909">
        <v>0</v>
      </c>
      <c r="IC111" s="909">
        <v>0</v>
      </c>
      <c r="ID111" s="910">
        <v>12493.630802745469</v>
      </c>
      <c r="IE111" s="909">
        <v>0</v>
      </c>
      <c r="IF111" s="909">
        <v>0</v>
      </c>
      <c r="IG111" s="909">
        <v>0</v>
      </c>
      <c r="IH111" s="910">
        <v>12280.03922786287</v>
      </c>
      <c r="II111" s="871">
        <v>4000</v>
      </c>
      <c r="IJ111" s="911">
        <v>84.194683116206463</v>
      </c>
      <c r="IK111" s="908">
        <v>1.3564800000000001</v>
      </c>
      <c r="IL111" s="902">
        <v>9.3707048386138823</v>
      </c>
      <c r="IM111" s="902">
        <v>0</v>
      </c>
      <c r="IN111" s="902">
        <v>0</v>
      </c>
      <c r="IO111" s="902">
        <v>13.656995436436294</v>
      </c>
      <c r="IP111" s="902">
        <v>0.1530045157283689</v>
      </c>
      <c r="IQ111" s="902">
        <v>3600</v>
      </c>
      <c r="IR111" s="909" t="s">
        <v>1063</v>
      </c>
      <c r="IS111" s="909">
        <v>2</v>
      </c>
      <c r="IT111" s="909">
        <v>0</v>
      </c>
      <c r="IU111" s="909">
        <v>0</v>
      </c>
      <c r="IV111" s="909">
        <v>0</v>
      </c>
      <c r="IW111" s="910">
        <v>12493.630802745469</v>
      </c>
      <c r="IX111" s="909">
        <v>0</v>
      </c>
      <c r="IY111" s="909">
        <v>0</v>
      </c>
      <c r="IZ111" s="909">
        <v>0</v>
      </c>
      <c r="JA111" s="910">
        <v>12280.03922786287</v>
      </c>
      <c r="JB111" s="871">
        <v>4000</v>
      </c>
      <c r="JC111" s="911">
        <v>84.194683116206463</v>
      </c>
      <c r="JD111" s="908">
        <v>1.3564800000000001</v>
      </c>
      <c r="JE111" s="902">
        <v>9.3707048386138823</v>
      </c>
      <c r="JF111" s="902">
        <v>0</v>
      </c>
      <c r="JG111" s="902">
        <v>0</v>
      </c>
      <c r="JH111" s="902">
        <v>13.656995436436294</v>
      </c>
      <c r="JI111" s="902">
        <v>0.1530045157283689</v>
      </c>
      <c r="JJ111" s="902">
        <v>3600</v>
      </c>
      <c r="JK111" s="909" t="s">
        <v>1064</v>
      </c>
      <c r="JL111" s="909">
        <v>2</v>
      </c>
      <c r="JM111" s="909">
        <v>0</v>
      </c>
      <c r="JN111" s="909">
        <v>0</v>
      </c>
      <c r="JO111" s="909">
        <v>0</v>
      </c>
      <c r="JP111" s="910">
        <v>17025.948843956237</v>
      </c>
      <c r="JQ111" s="909">
        <v>0</v>
      </c>
      <c r="JR111" s="909">
        <v>0</v>
      </c>
      <c r="JS111" s="909">
        <v>0</v>
      </c>
      <c r="JT111" s="910">
        <v>16734.872591994794</v>
      </c>
      <c r="JU111" s="871">
        <v>4000</v>
      </c>
      <c r="JV111" s="911">
        <v>84.194683116206463</v>
      </c>
      <c r="JW111" s="908">
        <v>1.3564800000000001</v>
      </c>
      <c r="JX111" s="902">
        <v>9.3707048386138823</v>
      </c>
      <c r="JY111" s="902">
        <v>0</v>
      </c>
      <c r="JZ111" s="902">
        <v>0</v>
      </c>
      <c r="KA111" s="902">
        <v>13.656995436436294</v>
      </c>
      <c r="KB111" s="902">
        <v>0.1530045157283689</v>
      </c>
      <c r="KC111" s="902">
        <v>3600</v>
      </c>
      <c r="KD111" s="909" t="s">
        <v>1064</v>
      </c>
      <c r="KE111" s="909">
        <v>2</v>
      </c>
      <c r="KF111" s="909">
        <v>0</v>
      </c>
      <c r="KG111" s="909">
        <v>0</v>
      </c>
      <c r="KH111" s="909">
        <v>0</v>
      </c>
      <c r="KI111" s="910">
        <v>17025.948843956237</v>
      </c>
      <c r="KJ111" s="909">
        <v>0</v>
      </c>
      <c r="KK111" s="909">
        <v>0</v>
      </c>
      <c r="KL111" s="909">
        <v>0</v>
      </c>
      <c r="KM111" s="910">
        <v>16734.872591994794</v>
      </c>
      <c r="KN111" s="871">
        <v>4000</v>
      </c>
      <c r="KO111" s="912">
        <v>84.194683116206463</v>
      </c>
    </row>
    <row r="112" spans="1:301" ht="15" customHeight="1">
      <c r="A112" s="924" t="s">
        <v>1576</v>
      </c>
      <c r="B112" s="888" t="s">
        <v>1073</v>
      </c>
      <c r="C112" s="888">
        <v>235</v>
      </c>
      <c r="D112" s="888">
        <v>402</v>
      </c>
      <c r="E112" s="888">
        <v>210</v>
      </c>
      <c r="F112" s="888">
        <v>235</v>
      </c>
      <c r="G112" s="888">
        <v>74</v>
      </c>
      <c r="H112" s="888">
        <v>60</v>
      </c>
      <c r="I112" s="888">
        <v>60</v>
      </c>
      <c r="J112" s="888">
        <v>13.25</v>
      </c>
      <c r="K112" s="888">
        <v>54</v>
      </c>
      <c r="L112" s="888">
        <v>16</v>
      </c>
      <c r="M112" s="888">
        <v>100</v>
      </c>
      <c r="N112" s="888">
        <v>2</v>
      </c>
      <c r="O112" s="884">
        <v>1.4489125849321041</v>
      </c>
      <c r="P112" s="888">
        <v>2</v>
      </c>
      <c r="Q112" s="884">
        <v>0.84186778944056739</v>
      </c>
      <c r="R112" s="888">
        <v>10</v>
      </c>
      <c r="S112" s="888">
        <v>305.49984509524091</v>
      </c>
      <c r="T112" s="906">
        <v>5.7541546094151403</v>
      </c>
      <c r="U112" s="906">
        <v>45.824976764286134</v>
      </c>
      <c r="V112" s="906">
        <v>60</v>
      </c>
      <c r="W112" s="1141">
        <v>0.58260815420328294</v>
      </c>
      <c r="X112" s="902">
        <v>0</v>
      </c>
      <c r="Y112" s="902">
        <v>0</v>
      </c>
      <c r="Z112" s="902">
        <v>0</v>
      </c>
      <c r="AA112" s="902">
        <v>0</v>
      </c>
      <c r="AB112" s="970">
        <v>0.7462687817925836</v>
      </c>
      <c r="AC112" s="1045">
        <v>4000</v>
      </c>
      <c r="AD112" s="890">
        <v>2.9308487341445835</v>
      </c>
      <c r="AE112" s="890">
        <v>0.23546874348332675</v>
      </c>
      <c r="AF112" s="890">
        <v>-0.53784257787951595</v>
      </c>
      <c r="AG112" s="890">
        <v>1.1144341410922984</v>
      </c>
      <c r="AH112" s="888"/>
      <c r="AI112" s="907">
        <v>0.61294671204347684</v>
      </c>
      <c r="AJ112" s="908">
        <v>2.2608000000000001</v>
      </c>
      <c r="AK112" s="902">
        <v>10.888343137991095</v>
      </c>
      <c r="AL112" s="902">
        <v>0</v>
      </c>
      <c r="AM112" s="902">
        <v>0</v>
      </c>
      <c r="AN112" s="902">
        <v>18.538141019293995</v>
      </c>
      <c r="AO112" s="902">
        <v>0.1924888893767655</v>
      </c>
      <c r="AP112" s="1222">
        <v>3600</v>
      </c>
      <c r="AQ112" s="909" t="s">
        <v>1062</v>
      </c>
      <c r="AR112" s="909">
        <v>3</v>
      </c>
      <c r="AS112" s="909">
        <v>0</v>
      </c>
      <c r="AT112" s="909">
        <v>0</v>
      </c>
      <c r="AU112" s="909">
        <v>0</v>
      </c>
      <c r="AV112" s="910">
        <v>7589.8036269229488</v>
      </c>
      <c r="AW112" s="909">
        <v>0</v>
      </c>
      <c r="AX112" s="909">
        <v>0</v>
      </c>
      <c r="AY112" s="909">
        <v>0</v>
      </c>
      <c r="AZ112" s="910">
        <v>7832.9911368288367</v>
      </c>
      <c r="BA112" s="871">
        <v>4000</v>
      </c>
      <c r="BB112" s="911">
        <v>84.194683116206463</v>
      </c>
      <c r="BC112" s="908">
        <v>2.2608000000000001</v>
      </c>
      <c r="BD112" s="902">
        <v>10.888343137991095</v>
      </c>
      <c r="BE112" s="902">
        <v>0</v>
      </c>
      <c r="BF112" s="902">
        <v>0</v>
      </c>
      <c r="BG112" s="902">
        <v>18.538141019293995</v>
      </c>
      <c r="BH112" s="902">
        <v>0.1924888893767655</v>
      </c>
      <c r="BI112" s="902">
        <v>3600</v>
      </c>
      <c r="BJ112" s="909" t="s">
        <v>1062</v>
      </c>
      <c r="BK112" s="909">
        <v>3</v>
      </c>
      <c r="BL112" s="909">
        <v>0</v>
      </c>
      <c r="BM112" s="909">
        <v>0</v>
      </c>
      <c r="BN112" s="909">
        <v>0</v>
      </c>
      <c r="BO112" s="910">
        <v>7589.8036269229488</v>
      </c>
      <c r="BP112" s="909">
        <v>0</v>
      </c>
      <c r="BQ112" s="909">
        <v>0</v>
      </c>
      <c r="BR112" s="909">
        <v>0</v>
      </c>
      <c r="BS112" s="910">
        <v>7832.9911368288367</v>
      </c>
      <c r="BT112" s="871">
        <v>4000</v>
      </c>
      <c r="BU112" s="911">
        <v>84.194683116206463</v>
      </c>
      <c r="BV112" s="908">
        <v>1.5072000000000001</v>
      </c>
      <c r="BW112" s="902">
        <v>10.134743137991094</v>
      </c>
      <c r="BX112" s="902">
        <v>0</v>
      </c>
      <c r="BY112" s="902">
        <v>0</v>
      </c>
      <c r="BZ112" s="902">
        <v>17.685859238665444</v>
      </c>
      <c r="CA112" s="902">
        <v>0.17206359757676548</v>
      </c>
      <c r="CB112" s="902">
        <v>3600</v>
      </c>
      <c r="CC112" s="909" t="s">
        <v>2874</v>
      </c>
      <c r="CD112" s="909">
        <v>2</v>
      </c>
      <c r="CE112" s="909">
        <v>0</v>
      </c>
      <c r="CF112" s="909">
        <v>0</v>
      </c>
      <c r="CG112" s="909">
        <v>0</v>
      </c>
      <c r="CH112" s="910">
        <v>5169.9763638001332</v>
      </c>
      <c r="CI112" s="909">
        <v>0</v>
      </c>
      <c r="CJ112" s="909">
        <v>0</v>
      </c>
      <c r="CK112" s="909">
        <v>0</v>
      </c>
      <c r="CL112" s="910">
        <v>5099.4600554451308</v>
      </c>
      <c r="CM112" s="871">
        <v>4000</v>
      </c>
      <c r="CN112" s="911">
        <v>84.194683116206463</v>
      </c>
      <c r="CO112" s="908">
        <v>1.5072000000000001</v>
      </c>
      <c r="CP112" s="902">
        <v>10.134743137991094</v>
      </c>
      <c r="CQ112" s="902">
        <v>0</v>
      </c>
      <c r="CR112" s="902">
        <v>0</v>
      </c>
      <c r="CS112" s="902">
        <v>17.685859238665444</v>
      </c>
      <c r="CT112" s="902">
        <v>0.17206359757676548</v>
      </c>
      <c r="CU112" s="902">
        <v>3600</v>
      </c>
      <c r="CV112" s="909" t="s">
        <v>2874</v>
      </c>
      <c r="CW112" s="909">
        <v>2</v>
      </c>
      <c r="CX112" s="909">
        <v>0</v>
      </c>
      <c r="CY112" s="909">
        <v>0</v>
      </c>
      <c r="CZ112" s="909">
        <v>0</v>
      </c>
      <c r="DA112" s="910">
        <v>5169.9763638001332</v>
      </c>
      <c r="DB112" s="909">
        <v>0</v>
      </c>
      <c r="DC112" s="909">
        <v>0</v>
      </c>
      <c r="DD112" s="909">
        <v>0</v>
      </c>
      <c r="DE112" s="910">
        <v>5099.4600554451308</v>
      </c>
      <c r="DF112" s="871">
        <v>4000</v>
      </c>
      <c r="DG112" s="911">
        <v>84.194683116206463</v>
      </c>
      <c r="DH112" s="908">
        <v>1.5072000000000001</v>
      </c>
      <c r="DI112" s="902">
        <v>10.134743137991094</v>
      </c>
      <c r="DJ112" s="902">
        <v>0</v>
      </c>
      <c r="DK112" s="902">
        <v>0</v>
      </c>
      <c r="DL112" s="902">
        <v>17.685859238665444</v>
      </c>
      <c r="DM112" s="902">
        <v>0.17206359757676548</v>
      </c>
      <c r="DN112" s="902">
        <v>3600</v>
      </c>
      <c r="DO112" s="909" t="s">
        <v>2876</v>
      </c>
      <c r="DP112" s="909">
        <v>2</v>
      </c>
      <c r="DQ112" s="909">
        <v>0</v>
      </c>
      <c r="DR112" s="909">
        <v>0</v>
      </c>
      <c r="DS112" s="909">
        <v>0</v>
      </c>
      <c r="DT112" s="910">
        <v>5526.93721458659</v>
      </c>
      <c r="DU112" s="909">
        <v>0</v>
      </c>
      <c r="DV112" s="909">
        <v>0</v>
      </c>
      <c r="DW112" s="909">
        <v>0</v>
      </c>
      <c r="DX112" s="910">
        <v>5451.5521100035576</v>
      </c>
      <c r="DY112" s="871">
        <v>4000</v>
      </c>
      <c r="DZ112" s="911">
        <v>84.194683116206463</v>
      </c>
      <c r="EA112" s="908">
        <v>1.5072000000000001</v>
      </c>
      <c r="EB112" s="902">
        <v>10.134743137991094</v>
      </c>
      <c r="EC112" s="902">
        <v>0</v>
      </c>
      <c r="ED112" s="902">
        <v>0</v>
      </c>
      <c r="EE112" s="902">
        <v>17.685859238665444</v>
      </c>
      <c r="EF112" s="902">
        <v>0.17206359757676548</v>
      </c>
      <c r="EG112" s="902">
        <v>3600</v>
      </c>
      <c r="EH112" s="909" t="s">
        <v>2876</v>
      </c>
      <c r="EI112" s="909">
        <v>2</v>
      </c>
      <c r="EJ112" s="909">
        <v>0</v>
      </c>
      <c r="EK112" s="909">
        <v>0</v>
      </c>
      <c r="EL112" s="909">
        <v>0</v>
      </c>
      <c r="EM112" s="910">
        <v>5526.93721458659</v>
      </c>
      <c r="EN112" s="909">
        <v>0</v>
      </c>
      <c r="EO112" s="909">
        <v>0</v>
      </c>
      <c r="EP112" s="909">
        <v>0</v>
      </c>
      <c r="EQ112" s="910">
        <v>5451.5521100035576</v>
      </c>
      <c r="ER112" s="871">
        <v>4000</v>
      </c>
      <c r="ES112" s="911">
        <v>84.194683116206463</v>
      </c>
      <c r="ET112" s="908">
        <v>1.5072000000000001</v>
      </c>
      <c r="EU112" s="902">
        <v>10.134743137991094</v>
      </c>
      <c r="EV112" s="902">
        <v>0</v>
      </c>
      <c r="EW112" s="902">
        <v>0</v>
      </c>
      <c r="EX112" s="902">
        <v>17.685859238665444</v>
      </c>
      <c r="EY112" s="902">
        <v>0.17206359757676548</v>
      </c>
      <c r="EZ112" s="902">
        <v>3600</v>
      </c>
      <c r="FA112" s="909" t="s">
        <v>3889</v>
      </c>
      <c r="FB112" s="909">
        <v>2</v>
      </c>
      <c r="FC112" s="909">
        <v>0</v>
      </c>
      <c r="FD112" s="909">
        <v>0</v>
      </c>
      <c r="FE112" s="909">
        <v>0</v>
      </c>
      <c r="FF112" s="910">
        <v>5640.9066733854588</v>
      </c>
      <c r="FG112" s="909">
        <v>0</v>
      </c>
      <c r="FH112" s="909">
        <v>0</v>
      </c>
      <c r="FI112" s="909">
        <v>0</v>
      </c>
      <c r="FJ112" s="910">
        <v>5563.967073206938</v>
      </c>
      <c r="FK112" s="871">
        <v>4000</v>
      </c>
      <c r="FL112" s="911">
        <v>84.194683116206463</v>
      </c>
      <c r="FM112" s="908">
        <v>1.5072000000000001</v>
      </c>
      <c r="FN112" s="902">
        <v>10.134743137991094</v>
      </c>
      <c r="FO112" s="902">
        <v>0</v>
      </c>
      <c r="FP112" s="902">
        <v>0</v>
      </c>
      <c r="FQ112" s="902">
        <v>17.685859238665444</v>
      </c>
      <c r="FR112" s="902">
        <v>0.17206359757676548</v>
      </c>
      <c r="FS112" s="902">
        <v>3600</v>
      </c>
      <c r="FT112" s="909" t="s">
        <v>3889</v>
      </c>
      <c r="FU112" s="909">
        <v>2</v>
      </c>
      <c r="FV112" s="909">
        <v>0</v>
      </c>
      <c r="FW112" s="909">
        <v>0</v>
      </c>
      <c r="FX112" s="909">
        <v>0</v>
      </c>
      <c r="FY112" s="910">
        <v>5640.9066733854588</v>
      </c>
      <c r="FZ112" s="909">
        <v>0</v>
      </c>
      <c r="GA112" s="909">
        <v>0</v>
      </c>
      <c r="GB112" s="909">
        <v>0</v>
      </c>
      <c r="GC112" s="910">
        <v>5563.967073206938</v>
      </c>
      <c r="GD112" s="871">
        <v>4000</v>
      </c>
      <c r="GE112" s="911">
        <v>84.194683116206463</v>
      </c>
      <c r="GF112" s="908">
        <v>1.5072000000000001</v>
      </c>
      <c r="GG112" s="902">
        <v>10.134743137991094</v>
      </c>
      <c r="GH112" s="902">
        <v>0</v>
      </c>
      <c r="GI112" s="902">
        <v>0</v>
      </c>
      <c r="GJ112" s="902">
        <v>17.685859238665444</v>
      </c>
      <c r="GK112" s="902">
        <v>0.17206359757676548</v>
      </c>
      <c r="GL112" s="902">
        <v>3600</v>
      </c>
      <c r="GM112" s="909" t="s">
        <v>2877</v>
      </c>
      <c r="GN112" s="909">
        <v>2</v>
      </c>
      <c r="GO112" s="909">
        <v>0</v>
      </c>
      <c r="GP112" s="909">
        <v>0</v>
      </c>
      <c r="GQ112" s="909">
        <v>0</v>
      </c>
      <c r="GR112" s="910">
        <v>7568.0704658621253</v>
      </c>
      <c r="GS112" s="909">
        <v>0</v>
      </c>
      <c r="GT112" s="909">
        <v>0</v>
      </c>
      <c r="GU112" s="909">
        <v>0</v>
      </c>
      <c r="GV112" s="910">
        <v>7464.8451601605539</v>
      </c>
      <c r="GW112" s="871">
        <v>4000</v>
      </c>
      <c r="GX112" s="911">
        <v>84.194683116206463</v>
      </c>
      <c r="GY112" s="908">
        <v>1.5072000000000001</v>
      </c>
      <c r="GZ112" s="902">
        <v>10.134743137991094</v>
      </c>
      <c r="HA112" s="902">
        <v>0</v>
      </c>
      <c r="HB112" s="902">
        <v>0</v>
      </c>
      <c r="HC112" s="902">
        <v>17.685859238665444</v>
      </c>
      <c r="HD112" s="902">
        <v>0.17206359757676548</v>
      </c>
      <c r="HE112" s="902">
        <v>3600</v>
      </c>
      <c r="HF112" s="909" t="s">
        <v>2877</v>
      </c>
      <c r="HG112" s="909">
        <v>2</v>
      </c>
      <c r="HH112" s="909">
        <v>0</v>
      </c>
      <c r="HI112" s="909">
        <v>0</v>
      </c>
      <c r="HJ112" s="909">
        <v>0</v>
      </c>
      <c r="HK112" s="910">
        <v>7568.0704658621253</v>
      </c>
      <c r="HL112" s="909">
        <v>0</v>
      </c>
      <c r="HM112" s="909">
        <v>0</v>
      </c>
      <c r="HN112" s="909">
        <v>0</v>
      </c>
      <c r="HO112" s="910">
        <v>7464.8451601605539</v>
      </c>
      <c r="HP112" s="871">
        <v>4000</v>
      </c>
      <c r="HQ112" s="911">
        <v>84.194683116206463</v>
      </c>
      <c r="HR112" s="908">
        <v>1.5072000000000001</v>
      </c>
      <c r="HS112" s="902">
        <v>10.134743137991094</v>
      </c>
      <c r="HT112" s="902">
        <v>0</v>
      </c>
      <c r="HU112" s="902">
        <v>0</v>
      </c>
      <c r="HV112" s="902">
        <v>17.685859238665444</v>
      </c>
      <c r="HW112" s="902">
        <v>0.17206359757676548</v>
      </c>
      <c r="HX112" s="902">
        <v>3600</v>
      </c>
      <c r="HY112" s="909" t="s">
        <v>1063</v>
      </c>
      <c r="HZ112" s="909">
        <v>2</v>
      </c>
      <c r="IA112" s="909">
        <v>0</v>
      </c>
      <c r="IB112" s="909">
        <v>0</v>
      </c>
      <c r="IC112" s="909">
        <v>0</v>
      </c>
      <c r="ID112" s="910">
        <v>6674.4107857612926</v>
      </c>
      <c r="IE112" s="909">
        <v>0</v>
      </c>
      <c r="IF112" s="909">
        <v>0</v>
      </c>
      <c r="IG112" s="909">
        <v>0</v>
      </c>
      <c r="IH112" s="910">
        <v>6583.3746231296482</v>
      </c>
      <c r="II112" s="871">
        <v>4000</v>
      </c>
      <c r="IJ112" s="911">
        <v>84.194683116206463</v>
      </c>
      <c r="IK112" s="908">
        <v>1.5072000000000001</v>
      </c>
      <c r="IL112" s="902">
        <v>10.134743137991094</v>
      </c>
      <c r="IM112" s="902">
        <v>0</v>
      </c>
      <c r="IN112" s="902">
        <v>0</v>
      </c>
      <c r="IO112" s="902">
        <v>17.685859238665444</v>
      </c>
      <c r="IP112" s="902">
        <v>0.17206359757676548</v>
      </c>
      <c r="IQ112" s="902">
        <v>3600</v>
      </c>
      <c r="IR112" s="909" t="s">
        <v>1063</v>
      </c>
      <c r="IS112" s="909">
        <v>2</v>
      </c>
      <c r="IT112" s="909">
        <v>0</v>
      </c>
      <c r="IU112" s="909">
        <v>0</v>
      </c>
      <c r="IV112" s="909">
        <v>0</v>
      </c>
      <c r="IW112" s="910">
        <v>6674.4107857612926</v>
      </c>
      <c r="IX112" s="909">
        <v>0</v>
      </c>
      <c r="IY112" s="909">
        <v>0</v>
      </c>
      <c r="IZ112" s="909">
        <v>0</v>
      </c>
      <c r="JA112" s="910">
        <v>6583.3746231296482</v>
      </c>
      <c r="JB112" s="871">
        <v>4000</v>
      </c>
      <c r="JC112" s="911">
        <v>84.194683116206463</v>
      </c>
      <c r="JD112" s="908">
        <v>1.5072000000000001</v>
      </c>
      <c r="JE112" s="902">
        <v>10.134743137991094</v>
      </c>
      <c r="JF112" s="902">
        <v>0</v>
      </c>
      <c r="JG112" s="902">
        <v>0</v>
      </c>
      <c r="JH112" s="902">
        <v>17.685859238665444</v>
      </c>
      <c r="JI112" s="902">
        <v>0.17206359757676548</v>
      </c>
      <c r="JJ112" s="902">
        <v>3600</v>
      </c>
      <c r="JK112" s="909" t="s">
        <v>1064</v>
      </c>
      <c r="JL112" s="909">
        <v>2</v>
      </c>
      <c r="JM112" s="909">
        <v>0</v>
      </c>
      <c r="JN112" s="909">
        <v>0</v>
      </c>
      <c r="JO112" s="909">
        <v>0</v>
      </c>
      <c r="JP112" s="910">
        <v>9095.6887069968925</v>
      </c>
      <c r="JQ112" s="909">
        <v>0</v>
      </c>
      <c r="JR112" s="909">
        <v>0</v>
      </c>
      <c r="JS112" s="909">
        <v>0</v>
      </c>
      <c r="JT112" s="910">
        <v>8971.6273294526218</v>
      </c>
      <c r="JU112" s="871">
        <v>4000</v>
      </c>
      <c r="JV112" s="911">
        <v>84.194683116206463</v>
      </c>
      <c r="JW112" s="908">
        <v>1.5072000000000001</v>
      </c>
      <c r="JX112" s="902">
        <v>10.134743137991094</v>
      </c>
      <c r="JY112" s="902">
        <v>0</v>
      </c>
      <c r="JZ112" s="902">
        <v>0</v>
      </c>
      <c r="KA112" s="902">
        <v>17.685859238665444</v>
      </c>
      <c r="KB112" s="902">
        <v>0.17206359757676548</v>
      </c>
      <c r="KC112" s="902">
        <v>3600</v>
      </c>
      <c r="KD112" s="909" t="s">
        <v>1064</v>
      </c>
      <c r="KE112" s="909">
        <v>2</v>
      </c>
      <c r="KF112" s="909">
        <v>0</v>
      </c>
      <c r="KG112" s="909">
        <v>0</v>
      </c>
      <c r="KH112" s="909">
        <v>0</v>
      </c>
      <c r="KI112" s="910">
        <v>9095.6887069968925</v>
      </c>
      <c r="KJ112" s="909">
        <v>0</v>
      </c>
      <c r="KK112" s="909">
        <v>0</v>
      </c>
      <c r="KL112" s="909">
        <v>0</v>
      </c>
      <c r="KM112" s="910">
        <v>8971.6273294526218</v>
      </c>
      <c r="KN112" s="871">
        <v>4000</v>
      </c>
      <c r="KO112" s="912">
        <v>84.194683116206463</v>
      </c>
    </row>
    <row r="113" spans="1:301" ht="15" customHeight="1">
      <c r="A113" s="924" t="s">
        <v>1577</v>
      </c>
      <c r="B113" s="888" t="s">
        <v>1073</v>
      </c>
      <c r="C113" s="888">
        <v>285</v>
      </c>
      <c r="D113" s="888">
        <v>427</v>
      </c>
      <c r="E113" s="888">
        <v>260</v>
      </c>
      <c r="F113" s="888">
        <v>285</v>
      </c>
      <c r="G113" s="888">
        <v>74</v>
      </c>
      <c r="H113" s="888">
        <v>60</v>
      </c>
      <c r="I113" s="888">
        <v>60</v>
      </c>
      <c r="J113" s="888">
        <v>31.3</v>
      </c>
      <c r="K113" s="888">
        <v>54</v>
      </c>
      <c r="L113" s="888">
        <v>16</v>
      </c>
      <c r="M113" s="888">
        <v>98</v>
      </c>
      <c r="N113" s="888">
        <v>2</v>
      </c>
      <c r="O113" s="884">
        <v>1.4146947504482859</v>
      </c>
      <c r="P113" s="888">
        <v>2</v>
      </c>
      <c r="Q113" s="884">
        <v>0.82185869353804719</v>
      </c>
      <c r="R113" s="888">
        <v>13.000000000000002</v>
      </c>
      <c r="S113" s="888">
        <v>340.11447222479433</v>
      </c>
      <c r="T113" s="906">
        <v>9.2715664319669209</v>
      </c>
      <c r="U113" s="906">
        <v>51.017170833719149</v>
      </c>
      <c r="V113" s="906">
        <v>72.5</v>
      </c>
      <c r="W113" s="1141">
        <v>0.87255246589304059</v>
      </c>
      <c r="X113" s="902">
        <v>0</v>
      </c>
      <c r="Y113" s="902">
        <v>0</v>
      </c>
      <c r="Z113" s="902">
        <v>0</v>
      </c>
      <c r="AA113" s="902">
        <v>0</v>
      </c>
      <c r="AB113" s="970">
        <v>0.90235008241369508</v>
      </c>
      <c r="AC113" s="1045">
        <v>4000</v>
      </c>
      <c r="AD113" s="890">
        <v>3.7646255947654033</v>
      </c>
      <c r="AE113" s="890">
        <v>0.60800953019440529</v>
      </c>
      <c r="AF113" s="890">
        <v>-0.1998804253895313</v>
      </c>
      <c r="AG113" s="890">
        <v>0.45850224959572622</v>
      </c>
      <c r="AH113" s="888"/>
      <c r="AI113" s="907">
        <v>0.63337551529245784</v>
      </c>
      <c r="AJ113" s="908">
        <v>2.2155840000000002</v>
      </c>
      <c r="AK113" s="902">
        <v>14.596256341846294</v>
      </c>
      <c r="AL113" s="902">
        <v>0</v>
      </c>
      <c r="AM113" s="902">
        <v>0</v>
      </c>
      <c r="AN113" s="902">
        <v>16.721155527881798</v>
      </c>
      <c r="AO113" s="902">
        <v>0.28186671297134219</v>
      </c>
      <c r="AP113" s="1222">
        <v>3600</v>
      </c>
      <c r="AQ113" s="909" t="s">
        <v>1062</v>
      </c>
      <c r="AR113" s="909">
        <v>3</v>
      </c>
      <c r="AS113" s="909">
        <v>0</v>
      </c>
      <c r="AT113" s="909">
        <v>0</v>
      </c>
      <c r="AU113" s="909">
        <v>0</v>
      </c>
      <c r="AV113" s="910">
        <v>7100.5745510204815</v>
      </c>
      <c r="AW113" s="909">
        <v>0</v>
      </c>
      <c r="AX113" s="909">
        <v>0</v>
      </c>
      <c r="AY113" s="909">
        <v>0</v>
      </c>
      <c r="AZ113" s="910">
        <v>7599.1176050993545</v>
      </c>
      <c r="BA113" s="871">
        <v>4000</v>
      </c>
      <c r="BB113" s="911">
        <v>89.430670872189452</v>
      </c>
      <c r="BC113" s="908">
        <v>2.2155840000000002</v>
      </c>
      <c r="BD113" s="902">
        <v>14.596256341846294</v>
      </c>
      <c r="BE113" s="902">
        <v>0</v>
      </c>
      <c r="BF113" s="902">
        <v>0</v>
      </c>
      <c r="BG113" s="902">
        <v>16.721155527881798</v>
      </c>
      <c r="BH113" s="902">
        <v>0.28186671297134219</v>
      </c>
      <c r="BI113" s="902">
        <v>3600</v>
      </c>
      <c r="BJ113" s="909" t="s">
        <v>1062</v>
      </c>
      <c r="BK113" s="909">
        <v>3</v>
      </c>
      <c r="BL113" s="909">
        <v>0</v>
      </c>
      <c r="BM113" s="909">
        <v>0</v>
      </c>
      <c r="BN113" s="909">
        <v>0</v>
      </c>
      <c r="BO113" s="910">
        <v>7100.5745510204815</v>
      </c>
      <c r="BP113" s="909">
        <v>0</v>
      </c>
      <c r="BQ113" s="909">
        <v>0</v>
      </c>
      <c r="BR113" s="909">
        <v>0</v>
      </c>
      <c r="BS113" s="910">
        <v>7599.1176050993545</v>
      </c>
      <c r="BT113" s="871">
        <v>4000</v>
      </c>
      <c r="BU113" s="911">
        <v>89.430670872189452</v>
      </c>
      <c r="BV113" s="908">
        <v>1.4770560000000001</v>
      </c>
      <c r="BW113" s="902">
        <v>13.857728341846293</v>
      </c>
      <c r="BX113" s="902">
        <v>0</v>
      </c>
      <c r="BY113" s="902">
        <v>0</v>
      </c>
      <c r="BZ113" s="902">
        <v>16.01347832362525</v>
      </c>
      <c r="CA113" s="902">
        <v>0.2575364619073422</v>
      </c>
      <c r="CB113" s="902">
        <v>3600</v>
      </c>
      <c r="CC113" s="909" t="s">
        <v>2874</v>
      </c>
      <c r="CD113" s="909">
        <v>2</v>
      </c>
      <c r="CE113" s="909">
        <v>0</v>
      </c>
      <c r="CF113" s="909">
        <v>0</v>
      </c>
      <c r="CG113" s="909">
        <v>0</v>
      </c>
      <c r="CH113" s="910">
        <v>5010.666886921611</v>
      </c>
      <c r="CI113" s="909">
        <v>0</v>
      </c>
      <c r="CJ113" s="909">
        <v>0</v>
      </c>
      <c r="CK113" s="909">
        <v>0</v>
      </c>
      <c r="CL113" s="910">
        <v>4947.2029275807945</v>
      </c>
      <c r="CM113" s="871">
        <v>4000</v>
      </c>
      <c r="CN113" s="911">
        <v>89.430670872189452</v>
      </c>
      <c r="CO113" s="908">
        <v>1.4770560000000001</v>
      </c>
      <c r="CP113" s="902">
        <v>13.857728341846293</v>
      </c>
      <c r="CQ113" s="902">
        <v>0</v>
      </c>
      <c r="CR113" s="902">
        <v>0</v>
      </c>
      <c r="CS113" s="902">
        <v>16.01347832362525</v>
      </c>
      <c r="CT113" s="902">
        <v>0.2575364619073422</v>
      </c>
      <c r="CU113" s="902">
        <v>3600</v>
      </c>
      <c r="CV113" s="909" t="s">
        <v>2874</v>
      </c>
      <c r="CW113" s="909">
        <v>2</v>
      </c>
      <c r="CX113" s="909">
        <v>0</v>
      </c>
      <c r="CY113" s="909">
        <v>0</v>
      </c>
      <c r="CZ113" s="909">
        <v>0</v>
      </c>
      <c r="DA113" s="910">
        <v>5010.666886921611</v>
      </c>
      <c r="DB113" s="909">
        <v>0</v>
      </c>
      <c r="DC113" s="909">
        <v>0</v>
      </c>
      <c r="DD113" s="909">
        <v>0</v>
      </c>
      <c r="DE113" s="910">
        <v>4947.2029275807945</v>
      </c>
      <c r="DF113" s="871">
        <v>4000</v>
      </c>
      <c r="DG113" s="911">
        <v>89.430670872189452</v>
      </c>
      <c r="DH113" s="908">
        <v>1.4770560000000001</v>
      </c>
      <c r="DI113" s="902">
        <v>13.857728341846293</v>
      </c>
      <c r="DJ113" s="902">
        <v>0</v>
      </c>
      <c r="DK113" s="902">
        <v>0</v>
      </c>
      <c r="DL113" s="902">
        <v>16.01347832362525</v>
      </c>
      <c r="DM113" s="902">
        <v>0.2575364619073422</v>
      </c>
      <c r="DN113" s="902">
        <v>3600</v>
      </c>
      <c r="DO113" s="909" t="s">
        <v>2876</v>
      </c>
      <c r="DP113" s="909">
        <v>2</v>
      </c>
      <c r="DQ113" s="909">
        <v>0</v>
      </c>
      <c r="DR113" s="909">
        <v>0</v>
      </c>
      <c r="DS113" s="909">
        <v>0</v>
      </c>
      <c r="DT113" s="910">
        <v>5356.6282200323385</v>
      </c>
      <c r="DU113" s="909">
        <v>0</v>
      </c>
      <c r="DV113" s="909">
        <v>0</v>
      </c>
      <c r="DW113" s="909">
        <v>0</v>
      </c>
      <c r="DX113" s="910">
        <v>5288.7823936720351</v>
      </c>
      <c r="DY113" s="871">
        <v>4000</v>
      </c>
      <c r="DZ113" s="911">
        <v>89.430670872189452</v>
      </c>
      <c r="EA113" s="908">
        <v>1.4770560000000001</v>
      </c>
      <c r="EB113" s="902">
        <v>13.857728341846293</v>
      </c>
      <c r="EC113" s="902">
        <v>0</v>
      </c>
      <c r="ED113" s="902">
        <v>0</v>
      </c>
      <c r="EE113" s="902">
        <v>16.01347832362525</v>
      </c>
      <c r="EF113" s="902">
        <v>0.2575364619073422</v>
      </c>
      <c r="EG113" s="902">
        <v>3600</v>
      </c>
      <c r="EH113" s="909" t="s">
        <v>2876</v>
      </c>
      <c r="EI113" s="909">
        <v>2</v>
      </c>
      <c r="EJ113" s="909">
        <v>0</v>
      </c>
      <c r="EK113" s="909">
        <v>0</v>
      </c>
      <c r="EL113" s="909">
        <v>0</v>
      </c>
      <c r="EM113" s="910">
        <v>5356.6282200323385</v>
      </c>
      <c r="EN113" s="909">
        <v>0</v>
      </c>
      <c r="EO113" s="909">
        <v>0</v>
      </c>
      <c r="EP113" s="909">
        <v>0</v>
      </c>
      <c r="EQ113" s="910">
        <v>5288.7823936720351</v>
      </c>
      <c r="ER113" s="871">
        <v>4000</v>
      </c>
      <c r="ES113" s="911">
        <v>89.430670872189452</v>
      </c>
      <c r="ET113" s="908">
        <v>1.4770560000000001</v>
      </c>
      <c r="EU113" s="902">
        <v>13.857728341846293</v>
      </c>
      <c r="EV113" s="902">
        <v>0</v>
      </c>
      <c r="EW113" s="902">
        <v>0</v>
      </c>
      <c r="EX113" s="902">
        <v>16.01347832362525</v>
      </c>
      <c r="EY113" s="902">
        <v>0.2575364619073422</v>
      </c>
      <c r="EZ113" s="902">
        <v>3600</v>
      </c>
      <c r="FA113" s="909" t="s">
        <v>3889</v>
      </c>
      <c r="FB113" s="909">
        <v>2</v>
      </c>
      <c r="FC113" s="909">
        <v>0</v>
      </c>
      <c r="FD113" s="909">
        <v>0</v>
      </c>
      <c r="FE113" s="909">
        <v>0</v>
      </c>
      <c r="FF113" s="910">
        <v>5467.0857836960386</v>
      </c>
      <c r="FG113" s="909">
        <v>0</v>
      </c>
      <c r="FH113" s="909">
        <v>0</v>
      </c>
      <c r="FI113" s="909">
        <v>0</v>
      </c>
      <c r="FJ113" s="910">
        <v>5397.8409271296878</v>
      </c>
      <c r="FK113" s="871">
        <v>4000</v>
      </c>
      <c r="FL113" s="911">
        <v>89.430670872189452</v>
      </c>
      <c r="FM113" s="908">
        <v>1.4770560000000001</v>
      </c>
      <c r="FN113" s="902">
        <v>13.857728341846293</v>
      </c>
      <c r="FO113" s="902">
        <v>0</v>
      </c>
      <c r="FP113" s="902">
        <v>0</v>
      </c>
      <c r="FQ113" s="902">
        <v>16.01347832362525</v>
      </c>
      <c r="FR113" s="902">
        <v>0.2575364619073422</v>
      </c>
      <c r="FS113" s="902">
        <v>3600</v>
      </c>
      <c r="FT113" s="909" t="s">
        <v>3889</v>
      </c>
      <c r="FU113" s="909">
        <v>2</v>
      </c>
      <c r="FV113" s="909">
        <v>0</v>
      </c>
      <c r="FW113" s="909">
        <v>0</v>
      </c>
      <c r="FX113" s="909">
        <v>0</v>
      </c>
      <c r="FY113" s="910">
        <v>5467.0857836960386</v>
      </c>
      <c r="FZ113" s="909">
        <v>0</v>
      </c>
      <c r="GA113" s="909">
        <v>0</v>
      </c>
      <c r="GB113" s="909">
        <v>0</v>
      </c>
      <c r="GC113" s="910">
        <v>5397.8409271296878</v>
      </c>
      <c r="GD113" s="871">
        <v>4000</v>
      </c>
      <c r="GE113" s="911">
        <v>89.430670872189452</v>
      </c>
      <c r="GF113" s="908">
        <v>1.4770560000000001</v>
      </c>
      <c r="GG113" s="902">
        <v>13.857728341846293</v>
      </c>
      <c r="GH113" s="902">
        <v>0</v>
      </c>
      <c r="GI113" s="902">
        <v>0</v>
      </c>
      <c r="GJ113" s="902">
        <v>16.01347832362525</v>
      </c>
      <c r="GK113" s="902">
        <v>0.2575364619073422</v>
      </c>
      <c r="GL113" s="902">
        <v>3600</v>
      </c>
      <c r="GM113" s="909" t="s">
        <v>2877</v>
      </c>
      <c r="GN113" s="909">
        <v>2</v>
      </c>
      <c r="GO113" s="909">
        <v>0</v>
      </c>
      <c r="GP113" s="909">
        <v>0</v>
      </c>
      <c r="GQ113" s="909">
        <v>0</v>
      </c>
      <c r="GR113" s="910">
        <v>7334.8652707014007</v>
      </c>
      <c r="GS113" s="909">
        <v>0</v>
      </c>
      <c r="GT113" s="909">
        <v>0</v>
      </c>
      <c r="GU113" s="909">
        <v>0</v>
      </c>
      <c r="GV113" s="910">
        <v>7241.9635468759416</v>
      </c>
      <c r="GW113" s="871">
        <v>4000</v>
      </c>
      <c r="GX113" s="911">
        <v>89.430670872189452</v>
      </c>
      <c r="GY113" s="908">
        <v>1.4770560000000001</v>
      </c>
      <c r="GZ113" s="902">
        <v>13.857728341846293</v>
      </c>
      <c r="HA113" s="902">
        <v>0</v>
      </c>
      <c r="HB113" s="902">
        <v>0</v>
      </c>
      <c r="HC113" s="902">
        <v>16.01347832362525</v>
      </c>
      <c r="HD113" s="902">
        <v>0.2575364619073422</v>
      </c>
      <c r="HE113" s="902">
        <v>3600</v>
      </c>
      <c r="HF113" s="909" t="s">
        <v>2877</v>
      </c>
      <c r="HG113" s="909">
        <v>2</v>
      </c>
      <c r="HH113" s="909">
        <v>0</v>
      </c>
      <c r="HI113" s="909">
        <v>0</v>
      </c>
      <c r="HJ113" s="909">
        <v>0</v>
      </c>
      <c r="HK113" s="910">
        <v>7334.8652707014007</v>
      </c>
      <c r="HL113" s="909">
        <v>0</v>
      </c>
      <c r="HM113" s="909">
        <v>0</v>
      </c>
      <c r="HN113" s="909">
        <v>0</v>
      </c>
      <c r="HO113" s="910">
        <v>7241.9635468759416</v>
      </c>
      <c r="HP113" s="871">
        <v>4000</v>
      </c>
      <c r="HQ113" s="911">
        <v>89.430670872189452</v>
      </c>
      <c r="HR113" s="908">
        <v>1.4770560000000001</v>
      </c>
      <c r="HS113" s="902">
        <v>13.857728341846293</v>
      </c>
      <c r="HT113" s="902">
        <v>0</v>
      </c>
      <c r="HU113" s="902">
        <v>0</v>
      </c>
      <c r="HV113" s="902">
        <v>16.01347832362525</v>
      </c>
      <c r="HW113" s="902">
        <v>0.2575364619073422</v>
      </c>
      <c r="HX113" s="902">
        <v>3600</v>
      </c>
      <c r="HY113" s="909" t="s">
        <v>1063</v>
      </c>
      <c r="HZ113" s="909">
        <v>2</v>
      </c>
      <c r="IA113" s="909">
        <v>0</v>
      </c>
      <c r="IB113" s="909">
        <v>0</v>
      </c>
      <c r="IC113" s="909">
        <v>0</v>
      </c>
      <c r="ID113" s="910">
        <v>6468.743135480122</v>
      </c>
      <c r="IE113" s="909">
        <v>0</v>
      </c>
      <c r="IF113" s="909">
        <v>0</v>
      </c>
      <c r="IG113" s="909">
        <v>0</v>
      </c>
      <c r="IH113" s="910">
        <v>6386.8115162763306</v>
      </c>
      <c r="II113" s="871">
        <v>4000</v>
      </c>
      <c r="IJ113" s="911">
        <v>89.430670872189452</v>
      </c>
      <c r="IK113" s="908">
        <v>1.4770560000000001</v>
      </c>
      <c r="IL113" s="902">
        <v>13.857728341846293</v>
      </c>
      <c r="IM113" s="902">
        <v>0</v>
      </c>
      <c r="IN113" s="902">
        <v>0</v>
      </c>
      <c r="IO113" s="902">
        <v>16.01347832362525</v>
      </c>
      <c r="IP113" s="902">
        <v>0.2575364619073422</v>
      </c>
      <c r="IQ113" s="902">
        <v>3600</v>
      </c>
      <c r="IR113" s="909" t="s">
        <v>1063</v>
      </c>
      <c r="IS113" s="909">
        <v>2</v>
      </c>
      <c r="IT113" s="909">
        <v>0</v>
      </c>
      <c r="IU113" s="909">
        <v>0</v>
      </c>
      <c r="IV113" s="909">
        <v>0</v>
      </c>
      <c r="IW113" s="910">
        <v>6468.743135480122</v>
      </c>
      <c r="IX113" s="909">
        <v>0</v>
      </c>
      <c r="IY113" s="909">
        <v>0</v>
      </c>
      <c r="IZ113" s="909">
        <v>0</v>
      </c>
      <c r="JA113" s="910">
        <v>6386.8115162763306</v>
      </c>
      <c r="JB113" s="871">
        <v>4000</v>
      </c>
      <c r="JC113" s="911">
        <v>89.430670872189452</v>
      </c>
      <c r="JD113" s="908">
        <v>1.4770560000000001</v>
      </c>
      <c r="JE113" s="902">
        <v>13.857728341846293</v>
      </c>
      <c r="JF113" s="902">
        <v>0</v>
      </c>
      <c r="JG113" s="902">
        <v>0</v>
      </c>
      <c r="JH113" s="902">
        <v>16.01347832362525</v>
      </c>
      <c r="JI113" s="902">
        <v>0.2575364619073422</v>
      </c>
      <c r="JJ113" s="902">
        <v>3600</v>
      </c>
      <c r="JK113" s="909" t="s">
        <v>1064</v>
      </c>
      <c r="JL113" s="909">
        <v>2</v>
      </c>
      <c r="JM113" s="909">
        <v>0</v>
      </c>
      <c r="JN113" s="909">
        <v>0</v>
      </c>
      <c r="JO113" s="909">
        <v>0</v>
      </c>
      <c r="JP113" s="910">
        <v>8815.4109440446518</v>
      </c>
      <c r="JQ113" s="909">
        <v>0</v>
      </c>
      <c r="JR113" s="909">
        <v>0</v>
      </c>
      <c r="JS113" s="909">
        <v>0</v>
      </c>
      <c r="JT113" s="910">
        <v>8703.7569677674219</v>
      </c>
      <c r="JU113" s="871">
        <v>4000</v>
      </c>
      <c r="JV113" s="911">
        <v>89.430670872189452</v>
      </c>
      <c r="JW113" s="908">
        <v>1.4770560000000001</v>
      </c>
      <c r="JX113" s="902">
        <v>13.857728341846293</v>
      </c>
      <c r="JY113" s="902">
        <v>0</v>
      </c>
      <c r="JZ113" s="902">
        <v>0</v>
      </c>
      <c r="KA113" s="902">
        <v>16.01347832362525</v>
      </c>
      <c r="KB113" s="902">
        <v>0.2575364619073422</v>
      </c>
      <c r="KC113" s="902">
        <v>3600</v>
      </c>
      <c r="KD113" s="909" t="s">
        <v>1064</v>
      </c>
      <c r="KE113" s="909">
        <v>2</v>
      </c>
      <c r="KF113" s="909">
        <v>0</v>
      </c>
      <c r="KG113" s="909">
        <v>0</v>
      </c>
      <c r="KH113" s="909">
        <v>0</v>
      </c>
      <c r="KI113" s="910">
        <v>8815.4109440446518</v>
      </c>
      <c r="KJ113" s="909">
        <v>0</v>
      </c>
      <c r="KK113" s="909">
        <v>0</v>
      </c>
      <c r="KL113" s="909">
        <v>0</v>
      </c>
      <c r="KM113" s="910">
        <v>8703.7569677674219</v>
      </c>
      <c r="KN113" s="871">
        <v>4000</v>
      </c>
      <c r="KO113" s="912">
        <v>89.430670872189452</v>
      </c>
    </row>
    <row r="114" spans="1:301" ht="15" customHeight="1">
      <c r="A114" s="924" t="s">
        <v>1578</v>
      </c>
      <c r="B114" s="888" t="s">
        <v>1073</v>
      </c>
      <c r="C114" s="888">
        <v>225</v>
      </c>
      <c r="D114" s="888">
        <v>502</v>
      </c>
      <c r="E114" s="888">
        <v>210</v>
      </c>
      <c r="F114" s="888">
        <v>225</v>
      </c>
      <c r="G114" s="888">
        <v>59</v>
      </c>
      <c r="H114" s="888">
        <v>45</v>
      </c>
      <c r="I114" s="888">
        <v>45</v>
      </c>
      <c r="J114" s="888">
        <v>41.2</v>
      </c>
      <c r="K114" s="888">
        <v>69.5</v>
      </c>
      <c r="L114" s="888">
        <v>16</v>
      </c>
      <c r="M114" s="888">
        <v>160</v>
      </c>
      <c r="N114" s="888">
        <v>2</v>
      </c>
      <c r="O114" s="884">
        <v>2.5636124902788344</v>
      </c>
      <c r="P114" s="888">
        <v>2</v>
      </c>
      <c r="Q114" s="884">
        <v>1.5954438113788563</v>
      </c>
      <c r="R114" s="888">
        <v>13.000000000000002</v>
      </c>
      <c r="S114" s="888">
        <v>350.1665343521849</v>
      </c>
      <c r="T114" s="906">
        <v>9.8277062343945527</v>
      </c>
      <c r="U114" s="906">
        <v>52.52498015282773</v>
      </c>
      <c r="V114" s="906">
        <v>60</v>
      </c>
      <c r="W114" s="1141">
        <v>0.76542712017880643</v>
      </c>
      <c r="X114" s="902">
        <v>0</v>
      </c>
      <c r="Y114" s="902">
        <v>0</v>
      </c>
      <c r="Z114" s="902">
        <v>0</v>
      </c>
      <c r="AA114" s="902">
        <v>0</v>
      </c>
      <c r="AB114" s="970">
        <v>0.97916298864748152</v>
      </c>
      <c r="AC114" s="1045">
        <v>4000</v>
      </c>
      <c r="AD114" s="890">
        <v>3.3495217515222557</v>
      </c>
      <c r="AE114" s="890">
        <v>0.87543382292278182</v>
      </c>
      <c r="AF114" s="890">
        <v>-0.13921104126126807</v>
      </c>
      <c r="AG114" s="890">
        <v>0.59768850443893839</v>
      </c>
      <c r="AH114" s="888"/>
      <c r="AI114" s="907">
        <v>0.94257235103125048</v>
      </c>
      <c r="AJ114" s="908">
        <v>2.7129600000000003</v>
      </c>
      <c r="AK114" s="902">
        <v>17.465149656231048</v>
      </c>
      <c r="AL114" s="902">
        <v>0</v>
      </c>
      <c r="AM114" s="902">
        <v>0</v>
      </c>
      <c r="AN114" s="902">
        <v>15.164056147000565</v>
      </c>
      <c r="AO114" s="902">
        <v>0.42285529339281752</v>
      </c>
      <c r="AP114" s="1222">
        <v>3600</v>
      </c>
      <c r="AQ114" s="909" t="s">
        <v>1062</v>
      </c>
      <c r="AR114" s="909">
        <v>3</v>
      </c>
      <c r="AS114" s="909">
        <v>0</v>
      </c>
      <c r="AT114" s="909">
        <v>0</v>
      </c>
      <c r="AU114" s="909">
        <v>0</v>
      </c>
      <c r="AV114" s="910">
        <v>11979.78637673784</v>
      </c>
      <c r="AW114" s="909">
        <v>0</v>
      </c>
      <c r="AX114" s="909">
        <v>0</v>
      </c>
      <c r="AY114" s="909">
        <v>0</v>
      </c>
      <c r="AZ114" s="910">
        <v>13153.307558211904</v>
      </c>
      <c r="BA114" s="871">
        <v>4000</v>
      </c>
      <c r="BB114" s="911">
        <v>105.13863414013842</v>
      </c>
      <c r="BC114" s="908">
        <v>2.7129600000000003</v>
      </c>
      <c r="BD114" s="902">
        <v>17.465149656231048</v>
      </c>
      <c r="BE114" s="902">
        <v>0</v>
      </c>
      <c r="BF114" s="902">
        <v>0</v>
      </c>
      <c r="BG114" s="902">
        <v>15.164056147000565</v>
      </c>
      <c r="BH114" s="902">
        <v>0.42285529339281752</v>
      </c>
      <c r="BI114" s="902">
        <v>3600</v>
      </c>
      <c r="BJ114" s="909" t="s">
        <v>1062</v>
      </c>
      <c r="BK114" s="909">
        <v>3</v>
      </c>
      <c r="BL114" s="909">
        <v>0</v>
      </c>
      <c r="BM114" s="909">
        <v>0</v>
      </c>
      <c r="BN114" s="909">
        <v>0</v>
      </c>
      <c r="BO114" s="910">
        <v>11979.78637673784</v>
      </c>
      <c r="BP114" s="909">
        <v>0</v>
      </c>
      <c r="BQ114" s="909">
        <v>0</v>
      </c>
      <c r="BR114" s="909">
        <v>0</v>
      </c>
      <c r="BS114" s="910">
        <v>13153.307558211904</v>
      </c>
      <c r="BT114" s="871">
        <v>4000</v>
      </c>
      <c r="BU114" s="911">
        <v>105.13863414013842</v>
      </c>
      <c r="BV114" s="908">
        <v>1.8086400000000002</v>
      </c>
      <c r="BW114" s="902">
        <v>16.56082965623105</v>
      </c>
      <c r="BX114" s="902">
        <v>0</v>
      </c>
      <c r="BY114" s="902">
        <v>0</v>
      </c>
      <c r="BZ114" s="902">
        <v>14.763469891187686</v>
      </c>
      <c r="CA114" s="902">
        <v>0.38864611123281756</v>
      </c>
      <c r="CB114" s="902">
        <v>3600</v>
      </c>
      <c r="CC114" s="909" t="s">
        <v>2874</v>
      </c>
      <c r="CD114" s="909">
        <v>2</v>
      </c>
      <c r="CE114" s="909">
        <v>0</v>
      </c>
      <c r="CF114" s="909">
        <v>0</v>
      </c>
      <c r="CG114" s="909">
        <v>0</v>
      </c>
      <c r="CH114" s="910">
        <v>8356.9351104390262</v>
      </c>
      <c r="CI114" s="909">
        <v>0</v>
      </c>
      <c r="CJ114" s="909">
        <v>0</v>
      </c>
      <c r="CK114" s="909">
        <v>0</v>
      </c>
      <c r="CL114" s="910">
        <v>8217.1144386388805</v>
      </c>
      <c r="CM114" s="871">
        <v>4000</v>
      </c>
      <c r="CN114" s="911">
        <v>105.13863414013842</v>
      </c>
      <c r="CO114" s="908">
        <v>1.8086400000000002</v>
      </c>
      <c r="CP114" s="902">
        <v>16.56082965623105</v>
      </c>
      <c r="CQ114" s="902">
        <v>0</v>
      </c>
      <c r="CR114" s="902">
        <v>0</v>
      </c>
      <c r="CS114" s="902">
        <v>14.763469891187686</v>
      </c>
      <c r="CT114" s="902">
        <v>0.38864611123281756</v>
      </c>
      <c r="CU114" s="902">
        <v>3600</v>
      </c>
      <c r="CV114" s="909" t="s">
        <v>2874</v>
      </c>
      <c r="CW114" s="909">
        <v>2</v>
      </c>
      <c r="CX114" s="909">
        <v>0</v>
      </c>
      <c r="CY114" s="909">
        <v>0</v>
      </c>
      <c r="CZ114" s="909">
        <v>0</v>
      </c>
      <c r="DA114" s="910">
        <v>8356.9351104390262</v>
      </c>
      <c r="DB114" s="909">
        <v>0</v>
      </c>
      <c r="DC114" s="909">
        <v>0</v>
      </c>
      <c r="DD114" s="909">
        <v>0</v>
      </c>
      <c r="DE114" s="910">
        <v>8217.1144386388805</v>
      </c>
      <c r="DF114" s="871">
        <v>4000</v>
      </c>
      <c r="DG114" s="911">
        <v>105.13863414013842</v>
      </c>
      <c r="DH114" s="908">
        <v>1.8086400000000002</v>
      </c>
      <c r="DI114" s="902">
        <v>16.56082965623105</v>
      </c>
      <c r="DJ114" s="902">
        <v>0</v>
      </c>
      <c r="DK114" s="902">
        <v>0</v>
      </c>
      <c r="DL114" s="902">
        <v>14.763469891187686</v>
      </c>
      <c r="DM114" s="902">
        <v>0.38864611123281756</v>
      </c>
      <c r="DN114" s="902">
        <v>3600</v>
      </c>
      <c r="DO114" s="909" t="s">
        <v>2876</v>
      </c>
      <c r="DP114" s="909">
        <v>2</v>
      </c>
      <c r="DQ114" s="909">
        <v>0</v>
      </c>
      <c r="DR114" s="909">
        <v>0</v>
      </c>
      <c r="DS114" s="909">
        <v>0</v>
      </c>
      <c r="DT114" s="910">
        <v>8933.9394247892578</v>
      </c>
      <c r="DU114" s="909">
        <v>0</v>
      </c>
      <c r="DV114" s="909">
        <v>0</v>
      </c>
      <c r="DW114" s="909">
        <v>0</v>
      </c>
      <c r="DX114" s="910">
        <v>8784.4648392285726</v>
      </c>
      <c r="DY114" s="871">
        <v>4000</v>
      </c>
      <c r="DZ114" s="911">
        <v>105.13863414013842</v>
      </c>
      <c r="EA114" s="908">
        <v>1.8086400000000002</v>
      </c>
      <c r="EB114" s="902">
        <v>16.56082965623105</v>
      </c>
      <c r="EC114" s="902">
        <v>0</v>
      </c>
      <c r="ED114" s="902">
        <v>0</v>
      </c>
      <c r="EE114" s="902">
        <v>14.763469891187686</v>
      </c>
      <c r="EF114" s="902">
        <v>0.38864611123281756</v>
      </c>
      <c r="EG114" s="902">
        <v>3600</v>
      </c>
      <c r="EH114" s="909" t="s">
        <v>2876</v>
      </c>
      <c r="EI114" s="909">
        <v>2</v>
      </c>
      <c r="EJ114" s="909">
        <v>0</v>
      </c>
      <c r="EK114" s="909">
        <v>0</v>
      </c>
      <c r="EL114" s="909">
        <v>0</v>
      </c>
      <c r="EM114" s="910">
        <v>8933.9394247892578</v>
      </c>
      <c r="EN114" s="909">
        <v>0</v>
      </c>
      <c r="EO114" s="909">
        <v>0</v>
      </c>
      <c r="EP114" s="909">
        <v>0</v>
      </c>
      <c r="EQ114" s="910">
        <v>8784.4648392285726</v>
      </c>
      <c r="ER114" s="871">
        <v>4000</v>
      </c>
      <c r="ES114" s="911">
        <v>105.13863414013842</v>
      </c>
      <c r="ET114" s="908">
        <v>1.8086400000000002</v>
      </c>
      <c r="EU114" s="902">
        <v>16.56082965623105</v>
      </c>
      <c r="EV114" s="902">
        <v>0</v>
      </c>
      <c r="EW114" s="902">
        <v>0</v>
      </c>
      <c r="EX114" s="902">
        <v>14.763469891187686</v>
      </c>
      <c r="EY114" s="902">
        <v>0.38864611123281756</v>
      </c>
      <c r="EZ114" s="902">
        <v>3600</v>
      </c>
      <c r="FA114" s="909" t="s">
        <v>3889</v>
      </c>
      <c r="FB114" s="909">
        <v>2</v>
      </c>
      <c r="FC114" s="909">
        <v>0</v>
      </c>
      <c r="FD114" s="909">
        <v>0</v>
      </c>
      <c r="FE114" s="909">
        <v>0</v>
      </c>
      <c r="FF114" s="910">
        <v>9118.1637431957315</v>
      </c>
      <c r="FG114" s="909">
        <v>0</v>
      </c>
      <c r="FH114" s="909">
        <v>0</v>
      </c>
      <c r="FI114" s="909">
        <v>0</v>
      </c>
      <c r="FJ114" s="910">
        <v>8965.6068831373395</v>
      </c>
      <c r="FK114" s="871">
        <v>4000</v>
      </c>
      <c r="FL114" s="911">
        <v>105.13863414013842</v>
      </c>
      <c r="FM114" s="908">
        <v>1.8086400000000002</v>
      </c>
      <c r="FN114" s="902">
        <v>16.56082965623105</v>
      </c>
      <c r="FO114" s="902">
        <v>0</v>
      </c>
      <c r="FP114" s="902">
        <v>0</v>
      </c>
      <c r="FQ114" s="902">
        <v>14.763469891187686</v>
      </c>
      <c r="FR114" s="902">
        <v>0.38864611123281756</v>
      </c>
      <c r="FS114" s="902">
        <v>3600</v>
      </c>
      <c r="FT114" s="909" t="s">
        <v>3889</v>
      </c>
      <c r="FU114" s="909">
        <v>2</v>
      </c>
      <c r="FV114" s="909">
        <v>0</v>
      </c>
      <c r="FW114" s="909">
        <v>0</v>
      </c>
      <c r="FX114" s="909">
        <v>0</v>
      </c>
      <c r="FY114" s="910">
        <v>9118.1637431957315</v>
      </c>
      <c r="FZ114" s="909">
        <v>0</v>
      </c>
      <c r="GA114" s="909">
        <v>0</v>
      </c>
      <c r="GB114" s="909">
        <v>0</v>
      </c>
      <c r="GC114" s="910">
        <v>8965.6068831373395</v>
      </c>
      <c r="GD114" s="871">
        <v>4000</v>
      </c>
      <c r="GE114" s="911">
        <v>105.13863414013842</v>
      </c>
      <c r="GF114" s="908">
        <v>1.8086400000000002</v>
      </c>
      <c r="GG114" s="902">
        <v>16.56082965623105</v>
      </c>
      <c r="GH114" s="902">
        <v>0</v>
      </c>
      <c r="GI114" s="902">
        <v>0</v>
      </c>
      <c r="GJ114" s="902">
        <v>14.763469891187686</v>
      </c>
      <c r="GK114" s="902">
        <v>0.38864611123281756</v>
      </c>
      <c r="GL114" s="902">
        <v>3600</v>
      </c>
      <c r="GM114" s="909" t="s">
        <v>2877</v>
      </c>
      <c r="GN114" s="909">
        <v>2</v>
      </c>
      <c r="GO114" s="909">
        <v>0</v>
      </c>
      <c r="GP114" s="909">
        <v>0</v>
      </c>
      <c r="GQ114" s="909">
        <v>0</v>
      </c>
      <c r="GR114" s="910">
        <v>12233.300375855342</v>
      </c>
      <c r="GS114" s="909">
        <v>0</v>
      </c>
      <c r="GT114" s="909">
        <v>0</v>
      </c>
      <c r="GU114" s="909">
        <v>0</v>
      </c>
      <c r="GV114" s="910">
        <v>12028.623870141178</v>
      </c>
      <c r="GW114" s="871">
        <v>4000</v>
      </c>
      <c r="GX114" s="911">
        <v>105.13863414013842</v>
      </c>
      <c r="GY114" s="908">
        <v>1.8086400000000002</v>
      </c>
      <c r="GZ114" s="902">
        <v>16.56082965623105</v>
      </c>
      <c r="HA114" s="902">
        <v>0</v>
      </c>
      <c r="HB114" s="902">
        <v>0</v>
      </c>
      <c r="HC114" s="902">
        <v>14.763469891187686</v>
      </c>
      <c r="HD114" s="902">
        <v>0.38864611123281756</v>
      </c>
      <c r="HE114" s="902">
        <v>3600</v>
      </c>
      <c r="HF114" s="909" t="s">
        <v>2877</v>
      </c>
      <c r="HG114" s="909">
        <v>2</v>
      </c>
      <c r="HH114" s="909">
        <v>0</v>
      </c>
      <c r="HI114" s="909">
        <v>0</v>
      </c>
      <c r="HJ114" s="909">
        <v>0</v>
      </c>
      <c r="HK114" s="910">
        <v>12233.300375855342</v>
      </c>
      <c r="HL114" s="909">
        <v>0</v>
      </c>
      <c r="HM114" s="909">
        <v>0</v>
      </c>
      <c r="HN114" s="909">
        <v>0</v>
      </c>
      <c r="HO114" s="910">
        <v>12028.623870141178</v>
      </c>
      <c r="HP114" s="871">
        <v>4000</v>
      </c>
      <c r="HQ114" s="911">
        <v>105.13863414013842</v>
      </c>
      <c r="HR114" s="908">
        <v>1.8086400000000002</v>
      </c>
      <c r="HS114" s="902">
        <v>16.56082965623105</v>
      </c>
      <c r="HT114" s="902">
        <v>0</v>
      </c>
      <c r="HU114" s="902">
        <v>0</v>
      </c>
      <c r="HV114" s="902">
        <v>14.763469891187686</v>
      </c>
      <c r="HW114" s="902">
        <v>0.38864611123281756</v>
      </c>
      <c r="HX114" s="902">
        <v>3600</v>
      </c>
      <c r="HY114" s="909" t="s">
        <v>1063</v>
      </c>
      <c r="HZ114" s="909">
        <v>2</v>
      </c>
      <c r="IA114" s="909">
        <v>0</v>
      </c>
      <c r="IB114" s="909">
        <v>0</v>
      </c>
      <c r="IC114" s="909">
        <v>0</v>
      </c>
      <c r="ID114" s="910">
        <v>10788.756836022136</v>
      </c>
      <c r="IE114" s="909">
        <v>0</v>
      </c>
      <c r="IF114" s="909">
        <v>0</v>
      </c>
      <c r="IG114" s="909">
        <v>0</v>
      </c>
      <c r="IH114" s="910">
        <v>10608.24912490964</v>
      </c>
      <c r="II114" s="871">
        <v>4000</v>
      </c>
      <c r="IJ114" s="911">
        <v>105.13863414013842</v>
      </c>
      <c r="IK114" s="908">
        <v>1.8086400000000002</v>
      </c>
      <c r="IL114" s="902">
        <v>16.56082965623105</v>
      </c>
      <c r="IM114" s="902">
        <v>0</v>
      </c>
      <c r="IN114" s="902">
        <v>0</v>
      </c>
      <c r="IO114" s="902">
        <v>14.763469891187686</v>
      </c>
      <c r="IP114" s="902">
        <v>0.38864611123281756</v>
      </c>
      <c r="IQ114" s="902">
        <v>3600</v>
      </c>
      <c r="IR114" s="909" t="s">
        <v>1063</v>
      </c>
      <c r="IS114" s="909">
        <v>2</v>
      </c>
      <c r="IT114" s="909">
        <v>0</v>
      </c>
      <c r="IU114" s="909">
        <v>0</v>
      </c>
      <c r="IV114" s="909">
        <v>0</v>
      </c>
      <c r="IW114" s="910">
        <v>10788.756836022136</v>
      </c>
      <c r="IX114" s="909">
        <v>0</v>
      </c>
      <c r="IY114" s="909">
        <v>0</v>
      </c>
      <c r="IZ114" s="909">
        <v>0</v>
      </c>
      <c r="JA114" s="910">
        <v>10608.24912490964</v>
      </c>
      <c r="JB114" s="871">
        <v>4000</v>
      </c>
      <c r="JC114" s="911">
        <v>105.13863414013842</v>
      </c>
      <c r="JD114" s="908">
        <v>1.8086400000000002</v>
      </c>
      <c r="JE114" s="902">
        <v>16.56082965623105</v>
      </c>
      <c r="JF114" s="902">
        <v>0</v>
      </c>
      <c r="JG114" s="902">
        <v>0</v>
      </c>
      <c r="JH114" s="902">
        <v>14.763469891187686</v>
      </c>
      <c r="JI114" s="902">
        <v>0.38864611123281756</v>
      </c>
      <c r="JJ114" s="902">
        <v>3600</v>
      </c>
      <c r="JK114" s="909" t="s">
        <v>1064</v>
      </c>
      <c r="JL114" s="909">
        <v>2</v>
      </c>
      <c r="JM114" s="909">
        <v>0</v>
      </c>
      <c r="JN114" s="909">
        <v>0</v>
      </c>
      <c r="JO114" s="909">
        <v>0</v>
      </c>
      <c r="JP114" s="910">
        <v>14702.5972577664</v>
      </c>
      <c r="JQ114" s="909">
        <v>0</v>
      </c>
      <c r="JR114" s="909">
        <v>0</v>
      </c>
      <c r="JS114" s="909">
        <v>0</v>
      </c>
      <c r="JT114" s="910">
        <v>14456.606712354735</v>
      </c>
      <c r="JU114" s="871">
        <v>4000</v>
      </c>
      <c r="JV114" s="911">
        <v>105.13863414013842</v>
      </c>
      <c r="JW114" s="908">
        <v>1.8086400000000002</v>
      </c>
      <c r="JX114" s="902">
        <v>16.56082965623105</v>
      </c>
      <c r="JY114" s="902">
        <v>0</v>
      </c>
      <c r="JZ114" s="902">
        <v>0</v>
      </c>
      <c r="KA114" s="902">
        <v>14.763469891187686</v>
      </c>
      <c r="KB114" s="902">
        <v>0.38864611123281756</v>
      </c>
      <c r="KC114" s="902">
        <v>3600</v>
      </c>
      <c r="KD114" s="909" t="s">
        <v>1064</v>
      </c>
      <c r="KE114" s="909">
        <v>2</v>
      </c>
      <c r="KF114" s="909">
        <v>0</v>
      </c>
      <c r="KG114" s="909">
        <v>0</v>
      </c>
      <c r="KH114" s="909">
        <v>0</v>
      </c>
      <c r="KI114" s="910">
        <v>14702.5972577664</v>
      </c>
      <c r="KJ114" s="909">
        <v>0</v>
      </c>
      <c r="KK114" s="909">
        <v>0</v>
      </c>
      <c r="KL114" s="909">
        <v>0</v>
      </c>
      <c r="KM114" s="910">
        <v>14456.606712354735</v>
      </c>
      <c r="KN114" s="871">
        <v>4000</v>
      </c>
      <c r="KO114" s="912">
        <v>105.13863414013842</v>
      </c>
    </row>
    <row r="115" spans="1:301" ht="15" customHeight="1">
      <c r="A115" s="924" t="s">
        <v>1579</v>
      </c>
      <c r="B115" s="888" t="s">
        <v>1073</v>
      </c>
      <c r="C115" s="888">
        <v>246</v>
      </c>
      <c r="D115" s="888">
        <v>502</v>
      </c>
      <c r="E115" s="888">
        <v>260</v>
      </c>
      <c r="F115" s="888">
        <v>246</v>
      </c>
      <c r="G115" s="888">
        <v>84</v>
      </c>
      <c r="H115" s="888">
        <v>70</v>
      </c>
      <c r="I115" s="888">
        <v>70</v>
      </c>
      <c r="J115" s="888">
        <v>21.3</v>
      </c>
      <c r="K115" s="888">
        <v>57.5</v>
      </c>
      <c r="L115" s="888">
        <v>16</v>
      </c>
      <c r="M115" s="888">
        <v>145</v>
      </c>
      <c r="N115" s="888">
        <v>2</v>
      </c>
      <c r="O115" s="884">
        <v>2.273839837893346</v>
      </c>
      <c r="P115" s="888">
        <v>2</v>
      </c>
      <c r="Q115" s="884">
        <v>1.3952854525299048</v>
      </c>
      <c r="R115" s="888">
        <v>13.000000000000002</v>
      </c>
      <c r="S115" s="888">
        <v>372.62455154018517</v>
      </c>
      <c r="T115" s="906">
        <v>11.12873556691274</v>
      </c>
      <c r="U115" s="906">
        <v>55.893682731027774</v>
      </c>
      <c r="V115" s="906">
        <v>60</v>
      </c>
      <c r="W115" s="1141">
        <v>0.86675728934608809</v>
      </c>
      <c r="X115" s="902">
        <v>0</v>
      </c>
      <c r="Y115" s="902">
        <v>0</v>
      </c>
      <c r="Z115" s="902">
        <v>0</v>
      </c>
      <c r="AA115" s="902">
        <v>0</v>
      </c>
      <c r="AB115" s="970">
        <v>1.4520999382734194</v>
      </c>
      <c r="AC115" s="1045">
        <v>4000</v>
      </c>
      <c r="AD115" s="890">
        <v>2.6612805773069872</v>
      </c>
      <c r="AE115" s="890">
        <v>0.3898837079472493</v>
      </c>
      <c r="AF115" s="890">
        <v>-0.38561894970024524</v>
      </c>
      <c r="AG115" s="890">
        <v>0.84939587513009307</v>
      </c>
      <c r="AH115" s="888"/>
      <c r="AI115" s="907">
        <v>1.0214356045629223</v>
      </c>
      <c r="AJ115" s="908">
        <v>3.8245200000000006</v>
      </c>
      <c r="AK115" s="902">
        <v>19.48913814668208</v>
      </c>
      <c r="AL115" s="902">
        <v>0</v>
      </c>
      <c r="AM115" s="902">
        <v>0</v>
      </c>
      <c r="AN115" s="902">
        <v>20.152854939726783</v>
      </c>
      <c r="AO115" s="902">
        <v>0.50156666426807417</v>
      </c>
      <c r="AP115" s="1222">
        <v>3600</v>
      </c>
      <c r="AQ115" s="909" t="s">
        <v>1062</v>
      </c>
      <c r="AR115" s="909">
        <v>3</v>
      </c>
      <c r="AS115" s="909">
        <v>0</v>
      </c>
      <c r="AT115" s="909">
        <v>0</v>
      </c>
      <c r="AU115" s="909">
        <v>0</v>
      </c>
      <c r="AV115" s="910">
        <v>5768.7788228239906</v>
      </c>
      <c r="AW115" s="909">
        <v>0</v>
      </c>
      <c r="AX115" s="909">
        <v>0</v>
      </c>
      <c r="AY115" s="909">
        <v>0</v>
      </c>
      <c r="AZ115" s="910">
        <v>6079.7489169828532</v>
      </c>
      <c r="BA115" s="871">
        <v>4000</v>
      </c>
      <c r="BB115" s="911">
        <v>105.13863414013842</v>
      </c>
      <c r="BC115" s="908">
        <v>3.8245200000000006</v>
      </c>
      <c r="BD115" s="902">
        <v>19.48913814668208</v>
      </c>
      <c r="BE115" s="902">
        <v>0</v>
      </c>
      <c r="BF115" s="902">
        <v>0</v>
      </c>
      <c r="BG115" s="902">
        <v>20.152854939726783</v>
      </c>
      <c r="BH115" s="902">
        <v>0.50156666426807417</v>
      </c>
      <c r="BI115" s="902">
        <v>3600</v>
      </c>
      <c r="BJ115" s="909" t="s">
        <v>1062</v>
      </c>
      <c r="BK115" s="909">
        <v>3</v>
      </c>
      <c r="BL115" s="909">
        <v>0</v>
      </c>
      <c r="BM115" s="909">
        <v>0</v>
      </c>
      <c r="BN115" s="909">
        <v>0</v>
      </c>
      <c r="BO115" s="910">
        <v>5768.7788228239906</v>
      </c>
      <c r="BP115" s="909">
        <v>0</v>
      </c>
      <c r="BQ115" s="909">
        <v>0</v>
      </c>
      <c r="BR115" s="909">
        <v>0</v>
      </c>
      <c r="BS115" s="910">
        <v>6079.7489169828532</v>
      </c>
      <c r="BT115" s="871">
        <v>4000</v>
      </c>
      <c r="BU115" s="911">
        <v>105.13863414013842</v>
      </c>
      <c r="BV115" s="908">
        <v>2.5496800000000004</v>
      </c>
      <c r="BW115" s="902">
        <v>18.214298146682079</v>
      </c>
      <c r="BX115" s="902">
        <v>0</v>
      </c>
      <c r="BY115" s="902">
        <v>0</v>
      </c>
      <c r="BZ115" s="902">
        <v>19.113685916786057</v>
      </c>
      <c r="CA115" s="902">
        <v>0.45176503966807413</v>
      </c>
      <c r="CB115" s="902">
        <v>3600</v>
      </c>
      <c r="CC115" s="909" t="s">
        <v>2874</v>
      </c>
      <c r="CD115" s="909">
        <v>2</v>
      </c>
      <c r="CE115" s="909">
        <v>0</v>
      </c>
      <c r="CF115" s="909">
        <v>0</v>
      </c>
      <c r="CG115" s="909">
        <v>0</v>
      </c>
      <c r="CH115" s="910">
        <v>4078.5122049501065</v>
      </c>
      <c r="CI115" s="909">
        <v>0</v>
      </c>
      <c r="CJ115" s="909">
        <v>0</v>
      </c>
      <c r="CK115" s="909">
        <v>0</v>
      </c>
      <c r="CL115" s="910">
        <v>4019.0510344967079</v>
      </c>
      <c r="CM115" s="871">
        <v>4000</v>
      </c>
      <c r="CN115" s="911">
        <v>105.13863414013842</v>
      </c>
      <c r="CO115" s="908">
        <v>2.5496800000000004</v>
      </c>
      <c r="CP115" s="902">
        <v>18.214298146682079</v>
      </c>
      <c r="CQ115" s="902">
        <v>0</v>
      </c>
      <c r="CR115" s="902">
        <v>0</v>
      </c>
      <c r="CS115" s="902">
        <v>19.113685916786057</v>
      </c>
      <c r="CT115" s="902">
        <v>0.45176503966807413</v>
      </c>
      <c r="CU115" s="902">
        <v>3600</v>
      </c>
      <c r="CV115" s="909" t="s">
        <v>2874</v>
      </c>
      <c r="CW115" s="909">
        <v>2</v>
      </c>
      <c r="CX115" s="909">
        <v>0</v>
      </c>
      <c r="CY115" s="909">
        <v>0</v>
      </c>
      <c r="CZ115" s="909">
        <v>0</v>
      </c>
      <c r="DA115" s="910">
        <v>4078.5122049501065</v>
      </c>
      <c r="DB115" s="909">
        <v>0</v>
      </c>
      <c r="DC115" s="909">
        <v>0</v>
      </c>
      <c r="DD115" s="909">
        <v>0</v>
      </c>
      <c r="DE115" s="910">
        <v>4019.0510344967079</v>
      </c>
      <c r="DF115" s="871">
        <v>4000</v>
      </c>
      <c r="DG115" s="911">
        <v>105.13863414013842</v>
      </c>
      <c r="DH115" s="908">
        <v>2.5496800000000004</v>
      </c>
      <c r="DI115" s="902">
        <v>18.214298146682079</v>
      </c>
      <c r="DJ115" s="902">
        <v>0</v>
      </c>
      <c r="DK115" s="902">
        <v>0</v>
      </c>
      <c r="DL115" s="902">
        <v>19.113685916786057</v>
      </c>
      <c r="DM115" s="902">
        <v>0.45176503966807413</v>
      </c>
      <c r="DN115" s="902">
        <v>3600</v>
      </c>
      <c r="DO115" s="909" t="s">
        <v>2876</v>
      </c>
      <c r="DP115" s="909">
        <v>2</v>
      </c>
      <c r="DQ115" s="909">
        <v>0</v>
      </c>
      <c r="DR115" s="909">
        <v>0</v>
      </c>
      <c r="DS115" s="909">
        <v>0</v>
      </c>
      <c r="DT115" s="910">
        <v>4360.1129481995986</v>
      </c>
      <c r="DU115" s="909">
        <v>0</v>
      </c>
      <c r="DV115" s="909">
        <v>0</v>
      </c>
      <c r="DW115" s="909">
        <v>0</v>
      </c>
      <c r="DX115" s="910">
        <v>4296.5462831560162</v>
      </c>
      <c r="DY115" s="871">
        <v>4000</v>
      </c>
      <c r="DZ115" s="911">
        <v>105.13863414013842</v>
      </c>
      <c r="EA115" s="908">
        <v>2.5496800000000004</v>
      </c>
      <c r="EB115" s="902">
        <v>18.214298146682079</v>
      </c>
      <c r="EC115" s="902">
        <v>0</v>
      </c>
      <c r="ED115" s="902">
        <v>0</v>
      </c>
      <c r="EE115" s="902">
        <v>19.113685916786057</v>
      </c>
      <c r="EF115" s="902">
        <v>0.45176503966807413</v>
      </c>
      <c r="EG115" s="902">
        <v>3600</v>
      </c>
      <c r="EH115" s="909" t="s">
        <v>2876</v>
      </c>
      <c r="EI115" s="909">
        <v>2</v>
      </c>
      <c r="EJ115" s="909">
        <v>0</v>
      </c>
      <c r="EK115" s="909">
        <v>0</v>
      </c>
      <c r="EL115" s="909">
        <v>0</v>
      </c>
      <c r="EM115" s="910">
        <v>4360.1129481995986</v>
      </c>
      <c r="EN115" s="909">
        <v>0</v>
      </c>
      <c r="EO115" s="909">
        <v>0</v>
      </c>
      <c r="EP115" s="909">
        <v>0</v>
      </c>
      <c r="EQ115" s="910">
        <v>4296.5462831560162</v>
      </c>
      <c r="ER115" s="871">
        <v>4000</v>
      </c>
      <c r="ES115" s="911">
        <v>105.13863414013842</v>
      </c>
      <c r="ET115" s="908">
        <v>2.5496800000000004</v>
      </c>
      <c r="EU115" s="902">
        <v>18.214298146682079</v>
      </c>
      <c r="EV115" s="902">
        <v>0</v>
      </c>
      <c r="EW115" s="902">
        <v>0</v>
      </c>
      <c r="EX115" s="902">
        <v>19.113685916786057</v>
      </c>
      <c r="EY115" s="902">
        <v>0.45176503966807413</v>
      </c>
      <c r="EZ115" s="902">
        <v>3600</v>
      </c>
      <c r="FA115" s="909" t="s">
        <v>3889</v>
      </c>
      <c r="FB115" s="909">
        <v>2</v>
      </c>
      <c r="FC115" s="909">
        <v>0</v>
      </c>
      <c r="FD115" s="909">
        <v>0</v>
      </c>
      <c r="FE115" s="909">
        <v>0</v>
      </c>
      <c r="FF115" s="910">
        <v>4450.0216433295936</v>
      </c>
      <c r="FG115" s="909">
        <v>0</v>
      </c>
      <c r="FH115" s="909">
        <v>0</v>
      </c>
      <c r="FI115" s="909">
        <v>0</v>
      </c>
      <c r="FJ115" s="910">
        <v>4385.1441874932698</v>
      </c>
      <c r="FK115" s="871">
        <v>4000</v>
      </c>
      <c r="FL115" s="911">
        <v>105.13863414013842</v>
      </c>
      <c r="FM115" s="908">
        <v>2.5496800000000004</v>
      </c>
      <c r="FN115" s="902">
        <v>18.214298146682079</v>
      </c>
      <c r="FO115" s="902">
        <v>0</v>
      </c>
      <c r="FP115" s="902">
        <v>0</v>
      </c>
      <c r="FQ115" s="902">
        <v>19.113685916786057</v>
      </c>
      <c r="FR115" s="902">
        <v>0.45176503966807413</v>
      </c>
      <c r="FS115" s="902">
        <v>3600</v>
      </c>
      <c r="FT115" s="909" t="s">
        <v>3889</v>
      </c>
      <c r="FU115" s="909">
        <v>2</v>
      </c>
      <c r="FV115" s="909">
        <v>0</v>
      </c>
      <c r="FW115" s="909">
        <v>0</v>
      </c>
      <c r="FX115" s="909">
        <v>0</v>
      </c>
      <c r="FY115" s="910">
        <v>4450.0216433295936</v>
      </c>
      <c r="FZ115" s="909">
        <v>0</v>
      </c>
      <c r="GA115" s="909">
        <v>0</v>
      </c>
      <c r="GB115" s="909">
        <v>0</v>
      </c>
      <c r="GC115" s="910">
        <v>4385.1441874932698</v>
      </c>
      <c r="GD115" s="871">
        <v>4000</v>
      </c>
      <c r="GE115" s="911">
        <v>105.13863414013842</v>
      </c>
      <c r="GF115" s="908">
        <v>2.5496800000000004</v>
      </c>
      <c r="GG115" s="902">
        <v>18.214298146682079</v>
      </c>
      <c r="GH115" s="902">
        <v>0</v>
      </c>
      <c r="GI115" s="902">
        <v>0</v>
      </c>
      <c r="GJ115" s="902">
        <v>19.113685916786057</v>
      </c>
      <c r="GK115" s="902">
        <v>0.45176503966807413</v>
      </c>
      <c r="GL115" s="902">
        <v>3600</v>
      </c>
      <c r="GM115" s="909" t="s">
        <v>2877</v>
      </c>
      <c r="GN115" s="909">
        <v>2</v>
      </c>
      <c r="GO115" s="909">
        <v>0</v>
      </c>
      <c r="GP115" s="909">
        <v>0</v>
      </c>
      <c r="GQ115" s="909">
        <v>0</v>
      </c>
      <c r="GR115" s="910">
        <v>5970.3305374981874</v>
      </c>
      <c r="GS115" s="909">
        <v>0</v>
      </c>
      <c r="GT115" s="909">
        <v>0</v>
      </c>
      <c r="GU115" s="909">
        <v>0</v>
      </c>
      <c r="GV115" s="910">
        <v>5883.2882966238221</v>
      </c>
      <c r="GW115" s="871">
        <v>4000</v>
      </c>
      <c r="GX115" s="911">
        <v>105.13863414013842</v>
      </c>
      <c r="GY115" s="908">
        <v>2.5496800000000004</v>
      </c>
      <c r="GZ115" s="902">
        <v>18.214298146682079</v>
      </c>
      <c r="HA115" s="902">
        <v>0</v>
      </c>
      <c r="HB115" s="902">
        <v>0</v>
      </c>
      <c r="HC115" s="902">
        <v>19.113685916786057</v>
      </c>
      <c r="HD115" s="902">
        <v>0.45176503966807413</v>
      </c>
      <c r="HE115" s="902">
        <v>3600</v>
      </c>
      <c r="HF115" s="909" t="s">
        <v>2877</v>
      </c>
      <c r="HG115" s="909">
        <v>2</v>
      </c>
      <c r="HH115" s="909">
        <v>0</v>
      </c>
      <c r="HI115" s="909">
        <v>0</v>
      </c>
      <c r="HJ115" s="909">
        <v>0</v>
      </c>
      <c r="HK115" s="910">
        <v>5970.3305374981874</v>
      </c>
      <c r="HL115" s="909">
        <v>0</v>
      </c>
      <c r="HM115" s="909">
        <v>0</v>
      </c>
      <c r="HN115" s="909">
        <v>0</v>
      </c>
      <c r="HO115" s="910">
        <v>5883.2882966238221</v>
      </c>
      <c r="HP115" s="871">
        <v>4000</v>
      </c>
      <c r="HQ115" s="911">
        <v>105.13863414013842</v>
      </c>
      <c r="HR115" s="908">
        <v>2.5496800000000004</v>
      </c>
      <c r="HS115" s="902">
        <v>18.214298146682079</v>
      </c>
      <c r="HT115" s="902">
        <v>0</v>
      </c>
      <c r="HU115" s="902">
        <v>0</v>
      </c>
      <c r="HV115" s="902">
        <v>19.113685916786057</v>
      </c>
      <c r="HW115" s="902">
        <v>0.45176503966807413</v>
      </c>
      <c r="HX115" s="902">
        <v>3600</v>
      </c>
      <c r="HY115" s="909" t="s">
        <v>1063</v>
      </c>
      <c r="HZ115" s="909">
        <v>2</v>
      </c>
      <c r="IA115" s="909">
        <v>0</v>
      </c>
      <c r="IB115" s="909">
        <v>0</v>
      </c>
      <c r="IC115" s="909">
        <v>0</v>
      </c>
      <c r="ID115" s="910">
        <v>5265.3366156915527</v>
      </c>
      <c r="IE115" s="909">
        <v>0</v>
      </c>
      <c r="IF115" s="909">
        <v>0</v>
      </c>
      <c r="IG115" s="909">
        <v>0</v>
      </c>
      <c r="IH115" s="910">
        <v>5188.5725747211363</v>
      </c>
      <c r="II115" s="871">
        <v>4000</v>
      </c>
      <c r="IJ115" s="911">
        <v>105.13863414013842</v>
      </c>
      <c r="IK115" s="908">
        <v>2.5496800000000004</v>
      </c>
      <c r="IL115" s="902">
        <v>18.214298146682079</v>
      </c>
      <c r="IM115" s="902">
        <v>0</v>
      </c>
      <c r="IN115" s="902">
        <v>0</v>
      </c>
      <c r="IO115" s="902">
        <v>19.113685916786057</v>
      </c>
      <c r="IP115" s="902">
        <v>0.45176503966807413</v>
      </c>
      <c r="IQ115" s="902">
        <v>3600</v>
      </c>
      <c r="IR115" s="909" t="s">
        <v>1063</v>
      </c>
      <c r="IS115" s="909">
        <v>2</v>
      </c>
      <c r="IT115" s="909">
        <v>0</v>
      </c>
      <c r="IU115" s="909">
        <v>0</v>
      </c>
      <c r="IV115" s="909">
        <v>0</v>
      </c>
      <c r="IW115" s="910">
        <v>5265.3366156915527</v>
      </c>
      <c r="IX115" s="909">
        <v>0</v>
      </c>
      <c r="IY115" s="909">
        <v>0</v>
      </c>
      <c r="IZ115" s="909">
        <v>0</v>
      </c>
      <c r="JA115" s="910">
        <v>5188.5725747211363</v>
      </c>
      <c r="JB115" s="871">
        <v>4000</v>
      </c>
      <c r="JC115" s="911">
        <v>105.13863414013842</v>
      </c>
      <c r="JD115" s="908">
        <v>2.5496800000000004</v>
      </c>
      <c r="JE115" s="902">
        <v>18.214298146682079</v>
      </c>
      <c r="JF115" s="902">
        <v>0</v>
      </c>
      <c r="JG115" s="902">
        <v>0</v>
      </c>
      <c r="JH115" s="902">
        <v>19.113685916786057</v>
      </c>
      <c r="JI115" s="902">
        <v>0.45176503966807413</v>
      </c>
      <c r="JJ115" s="902">
        <v>3600</v>
      </c>
      <c r="JK115" s="909" t="s">
        <v>1064</v>
      </c>
      <c r="JL115" s="909">
        <v>2</v>
      </c>
      <c r="JM115" s="909">
        <v>0</v>
      </c>
      <c r="JN115" s="909">
        <v>0</v>
      </c>
      <c r="JO115" s="909">
        <v>0</v>
      </c>
      <c r="JP115" s="910">
        <v>7175.4442948060623</v>
      </c>
      <c r="JQ115" s="909">
        <v>0</v>
      </c>
      <c r="JR115" s="909">
        <v>0</v>
      </c>
      <c r="JS115" s="909">
        <v>0</v>
      </c>
      <c r="JT115" s="910">
        <v>7070.8325406024378</v>
      </c>
      <c r="JU115" s="871">
        <v>4000</v>
      </c>
      <c r="JV115" s="911">
        <v>105.13863414013842</v>
      </c>
      <c r="JW115" s="908">
        <v>2.5496800000000004</v>
      </c>
      <c r="JX115" s="902">
        <v>18.214298146682079</v>
      </c>
      <c r="JY115" s="902">
        <v>0</v>
      </c>
      <c r="JZ115" s="902">
        <v>0</v>
      </c>
      <c r="KA115" s="902">
        <v>19.113685916786057</v>
      </c>
      <c r="KB115" s="902">
        <v>0.45176503966807413</v>
      </c>
      <c r="KC115" s="902">
        <v>3600</v>
      </c>
      <c r="KD115" s="909" t="s">
        <v>1064</v>
      </c>
      <c r="KE115" s="909">
        <v>2</v>
      </c>
      <c r="KF115" s="909">
        <v>0</v>
      </c>
      <c r="KG115" s="909">
        <v>0</v>
      </c>
      <c r="KH115" s="909">
        <v>0</v>
      </c>
      <c r="KI115" s="910">
        <v>7175.4442948060623</v>
      </c>
      <c r="KJ115" s="909">
        <v>0</v>
      </c>
      <c r="KK115" s="909">
        <v>0</v>
      </c>
      <c r="KL115" s="909">
        <v>0</v>
      </c>
      <c r="KM115" s="910">
        <v>7070.8325406024378</v>
      </c>
      <c r="KN115" s="871">
        <v>4000</v>
      </c>
      <c r="KO115" s="912">
        <v>105.13863414013842</v>
      </c>
    </row>
    <row r="116" spans="1:301" ht="15" customHeight="1">
      <c r="A116" s="924" t="s">
        <v>1580</v>
      </c>
      <c r="B116" s="888" t="s">
        <v>1076</v>
      </c>
      <c r="C116" s="888">
        <v>280</v>
      </c>
      <c r="D116" s="888">
        <v>502</v>
      </c>
      <c r="E116" s="888">
        <v>320</v>
      </c>
      <c r="F116" s="888">
        <v>280</v>
      </c>
      <c r="G116" s="888">
        <v>99</v>
      </c>
      <c r="H116" s="888">
        <v>85</v>
      </c>
      <c r="I116" s="888">
        <v>85</v>
      </c>
      <c r="J116" s="888">
        <v>38.46</v>
      </c>
      <c r="K116" s="888">
        <v>60.02</v>
      </c>
      <c r="L116" s="888">
        <v>16</v>
      </c>
      <c r="M116" s="888">
        <v>146</v>
      </c>
      <c r="N116" s="888">
        <v>2</v>
      </c>
      <c r="O116" s="884">
        <v>1.8447296973395162</v>
      </c>
      <c r="P116" s="888">
        <v>2</v>
      </c>
      <c r="Q116" s="884">
        <v>1.3025357689272907</v>
      </c>
      <c r="R116" s="888">
        <v>13.000000000000002</v>
      </c>
      <c r="S116" s="888">
        <v>382.58446888558905</v>
      </c>
      <c r="T116" s="906">
        <v>11.731608510329732</v>
      </c>
      <c r="U116" s="906">
        <v>57.387670332838354</v>
      </c>
      <c r="V116" s="906">
        <v>72.5</v>
      </c>
      <c r="W116" s="1141">
        <v>1.10406844514281</v>
      </c>
      <c r="X116" s="902">
        <v>0</v>
      </c>
      <c r="Y116" s="902">
        <v>0</v>
      </c>
      <c r="Z116" s="902">
        <v>0</v>
      </c>
      <c r="AA116" s="902">
        <v>0</v>
      </c>
      <c r="AB116" s="970">
        <v>1.7491825919503123</v>
      </c>
      <c r="AC116" s="1045">
        <v>4000</v>
      </c>
      <c r="AD116" s="890">
        <v>3.3127993281467272</v>
      </c>
      <c r="AE116" s="890">
        <v>0.79429669671129366</v>
      </c>
      <c r="AF116" s="890">
        <v>-0.21125935899504536</v>
      </c>
      <c r="AG116" s="890">
        <v>0.43363456197596384</v>
      </c>
      <c r="AH116" s="888"/>
      <c r="AI116" s="907">
        <v>1.0656634830545222</v>
      </c>
      <c r="AJ116" s="908">
        <v>4.6760880000000009</v>
      </c>
      <c r="AK116" s="902">
        <v>20.659030421739349</v>
      </c>
      <c r="AL116" s="902">
        <v>0</v>
      </c>
      <c r="AM116" s="902">
        <v>0</v>
      </c>
      <c r="AN116" s="902">
        <v>22.901183009948983</v>
      </c>
      <c r="AO116" s="902">
        <v>0.5543551376252841</v>
      </c>
      <c r="AP116" s="1222">
        <v>3600</v>
      </c>
      <c r="AQ116" s="909" t="s">
        <v>1062</v>
      </c>
      <c r="AR116" s="909">
        <v>3</v>
      </c>
      <c r="AS116" s="909">
        <v>0</v>
      </c>
      <c r="AT116" s="909">
        <v>0</v>
      </c>
      <c r="AU116" s="909">
        <v>0</v>
      </c>
      <c r="AV116" s="910">
        <v>4791.1693916538024</v>
      </c>
      <c r="AW116" s="909">
        <v>0</v>
      </c>
      <c r="AX116" s="909">
        <v>0</v>
      </c>
      <c r="AY116" s="909">
        <v>0</v>
      </c>
      <c r="AZ116" s="910">
        <v>5024.5495680497552</v>
      </c>
      <c r="BA116" s="871">
        <v>4000</v>
      </c>
      <c r="BB116" s="911">
        <v>105.13863414013842</v>
      </c>
      <c r="BC116" s="908">
        <v>4.6760880000000009</v>
      </c>
      <c r="BD116" s="902">
        <v>20.659030421739349</v>
      </c>
      <c r="BE116" s="902">
        <v>0</v>
      </c>
      <c r="BF116" s="902">
        <v>0</v>
      </c>
      <c r="BG116" s="902">
        <v>22.901183009948983</v>
      </c>
      <c r="BH116" s="902">
        <v>0.5543551376252841</v>
      </c>
      <c r="BI116" s="902">
        <v>3600</v>
      </c>
      <c r="BJ116" s="909" t="s">
        <v>1062</v>
      </c>
      <c r="BK116" s="909">
        <v>3</v>
      </c>
      <c r="BL116" s="909">
        <v>0</v>
      </c>
      <c r="BM116" s="909">
        <v>0</v>
      </c>
      <c r="BN116" s="909">
        <v>0</v>
      </c>
      <c r="BO116" s="910">
        <v>4791.1693916538024</v>
      </c>
      <c r="BP116" s="909">
        <v>0</v>
      </c>
      <c r="BQ116" s="909">
        <v>0</v>
      </c>
      <c r="BR116" s="909">
        <v>0</v>
      </c>
      <c r="BS116" s="910">
        <v>5024.5495680497552</v>
      </c>
      <c r="BT116" s="871">
        <v>4000</v>
      </c>
      <c r="BU116" s="911">
        <v>105.13863414013842</v>
      </c>
      <c r="BV116" s="908">
        <v>4.6760880000000009</v>
      </c>
      <c r="BW116" s="902">
        <v>20.659030421739349</v>
      </c>
      <c r="BX116" s="902">
        <v>0</v>
      </c>
      <c r="BY116" s="902">
        <v>0</v>
      </c>
      <c r="BZ116" s="902">
        <v>22.901183009948983</v>
      </c>
      <c r="CA116" s="902">
        <v>0.5543551376252841</v>
      </c>
      <c r="CB116" s="902">
        <v>3600</v>
      </c>
      <c r="CC116" s="909" t="s">
        <v>2874</v>
      </c>
      <c r="CD116" s="909">
        <v>3</v>
      </c>
      <c r="CE116" s="909">
        <v>0</v>
      </c>
      <c r="CF116" s="909">
        <v>0</v>
      </c>
      <c r="CG116" s="909">
        <v>0</v>
      </c>
      <c r="CH116" s="910">
        <v>4453.4686230561356</v>
      </c>
      <c r="CI116" s="909">
        <v>0</v>
      </c>
      <c r="CJ116" s="909">
        <v>0</v>
      </c>
      <c r="CK116" s="909">
        <v>0</v>
      </c>
      <c r="CL116" s="910">
        <v>4670.399231820089</v>
      </c>
      <c r="CM116" s="871">
        <v>4000</v>
      </c>
      <c r="CN116" s="911">
        <v>105.13863414013842</v>
      </c>
      <c r="CO116" s="908">
        <v>4.6760880000000009</v>
      </c>
      <c r="CP116" s="902">
        <v>20.659030421739349</v>
      </c>
      <c r="CQ116" s="902">
        <v>0</v>
      </c>
      <c r="CR116" s="902">
        <v>0</v>
      </c>
      <c r="CS116" s="902">
        <v>22.901183009948983</v>
      </c>
      <c r="CT116" s="902">
        <v>0.5543551376252841</v>
      </c>
      <c r="CU116" s="902">
        <v>3600</v>
      </c>
      <c r="CV116" s="909" t="s">
        <v>2874</v>
      </c>
      <c r="CW116" s="909">
        <v>3</v>
      </c>
      <c r="CX116" s="909">
        <v>0</v>
      </c>
      <c r="CY116" s="909">
        <v>0</v>
      </c>
      <c r="CZ116" s="909">
        <v>0</v>
      </c>
      <c r="DA116" s="910">
        <v>4453.4686230561356</v>
      </c>
      <c r="DB116" s="909">
        <v>0</v>
      </c>
      <c r="DC116" s="909">
        <v>0</v>
      </c>
      <c r="DD116" s="909">
        <v>0</v>
      </c>
      <c r="DE116" s="910">
        <v>4670.399231820089</v>
      </c>
      <c r="DF116" s="871">
        <v>4000</v>
      </c>
      <c r="DG116" s="911">
        <v>105.13863414013842</v>
      </c>
      <c r="DH116" s="908">
        <v>3.1173920000000006</v>
      </c>
      <c r="DI116" s="902">
        <v>19.100334421739348</v>
      </c>
      <c r="DJ116" s="902">
        <v>0</v>
      </c>
      <c r="DK116" s="902">
        <v>0</v>
      </c>
      <c r="DL116" s="902">
        <v>21.301807995218603</v>
      </c>
      <c r="DM116" s="902">
        <v>0.48998021347728415</v>
      </c>
      <c r="DN116" s="902">
        <v>3600</v>
      </c>
      <c r="DO116" s="909" t="s">
        <v>2876</v>
      </c>
      <c r="DP116" s="909">
        <v>2</v>
      </c>
      <c r="DQ116" s="909">
        <v>0</v>
      </c>
      <c r="DR116" s="909">
        <v>0</v>
      </c>
      <c r="DS116" s="909">
        <v>0</v>
      </c>
      <c r="DT116" s="910">
        <v>3824.0021950977261</v>
      </c>
      <c r="DU116" s="909">
        <v>0</v>
      </c>
      <c r="DV116" s="909">
        <v>0</v>
      </c>
      <c r="DW116" s="909">
        <v>0</v>
      </c>
      <c r="DX116" s="910">
        <v>3995.9017599252788</v>
      </c>
      <c r="DY116" s="871">
        <v>3824.0021950977261</v>
      </c>
      <c r="DZ116" s="911">
        <v>100.51259193536652</v>
      </c>
      <c r="EA116" s="908">
        <v>3.1173920000000006</v>
      </c>
      <c r="EB116" s="902">
        <v>19.100334421739348</v>
      </c>
      <c r="EC116" s="902">
        <v>0</v>
      </c>
      <c r="ED116" s="902">
        <v>0</v>
      </c>
      <c r="EE116" s="902">
        <v>21.301807995218603</v>
      </c>
      <c r="EF116" s="902">
        <v>0.48998021347728415</v>
      </c>
      <c r="EG116" s="902">
        <v>3600</v>
      </c>
      <c r="EH116" s="909" t="s">
        <v>2876</v>
      </c>
      <c r="EI116" s="909">
        <v>2</v>
      </c>
      <c r="EJ116" s="909">
        <v>0</v>
      </c>
      <c r="EK116" s="909">
        <v>0</v>
      </c>
      <c r="EL116" s="909">
        <v>0</v>
      </c>
      <c r="EM116" s="910">
        <v>3824.0021950977261</v>
      </c>
      <c r="EN116" s="909">
        <v>0</v>
      </c>
      <c r="EO116" s="909">
        <v>0</v>
      </c>
      <c r="EP116" s="909">
        <v>0</v>
      </c>
      <c r="EQ116" s="910">
        <v>3995.9017599252788</v>
      </c>
      <c r="ER116" s="871">
        <v>3824.0021950977261</v>
      </c>
      <c r="ES116" s="911">
        <v>100.51259193536652</v>
      </c>
      <c r="ET116" s="908">
        <v>3.1173920000000006</v>
      </c>
      <c r="EU116" s="902">
        <v>19.100334421739348</v>
      </c>
      <c r="EV116" s="902">
        <v>0</v>
      </c>
      <c r="EW116" s="902">
        <v>0</v>
      </c>
      <c r="EX116" s="902">
        <v>21.301807995218603</v>
      </c>
      <c r="EY116" s="902">
        <v>0.48998021347728415</v>
      </c>
      <c r="EZ116" s="902">
        <v>3600</v>
      </c>
      <c r="FA116" s="909" t="s">
        <v>3889</v>
      </c>
      <c r="FB116" s="909">
        <v>2</v>
      </c>
      <c r="FC116" s="909">
        <v>0</v>
      </c>
      <c r="FD116" s="909">
        <v>0</v>
      </c>
      <c r="FE116" s="909">
        <v>0</v>
      </c>
      <c r="FF116" s="910">
        <v>4013.7360152933111</v>
      </c>
      <c r="FG116" s="909">
        <v>0</v>
      </c>
      <c r="FH116" s="909">
        <v>0</v>
      </c>
      <c r="FI116" s="909">
        <v>0</v>
      </c>
      <c r="FJ116" s="910">
        <v>4194.1646445566803</v>
      </c>
      <c r="FK116" s="871">
        <v>4000</v>
      </c>
      <c r="FL116" s="911">
        <v>105.13863414013842</v>
      </c>
      <c r="FM116" s="908">
        <v>3.1173920000000006</v>
      </c>
      <c r="FN116" s="902">
        <v>19.100334421739348</v>
      </c>
      <c r="FO116" s="902">
        <v>0</v>
      </c>
      <c r="FP116" s="902">
        <v>0</v>
      </c>
      <c r="FQ116" s="902">
        <v>21.301807995218603</v>
      </c>
      <c r="FR116" s="902">
        <v>0.48998021347728415</v>
      </c>
      <c r="FS116" s="902">
        <v>3600</v>
      </c>
      <c r="FT116" s="909" t="s">
        <v>3889</v>
      </c>
      <c r="FU116" s="909">
        <v>2</v>
      </c>
      <c r="FV116" s="909">
        <v>0</v>
      </c>
      <c r="FW116" s="909">
        <v>0</v>
      </c>
      <c r="FX116" s="909">
        <v>0</v>
      </c>
      <c r="FY116" s="910">
        <v>4013.7360152933111</v>
      </c>
      <c r="FZ116" s="909">
        <v>0</v>
      </c>
      <c r="GA116" s="909">
        <v>0</v>
      </c>
      <c r="GB116" s="909">
        <v>0</v>
      </c>
      <c r="GC116" s="910">
        <v>4194.1646445566803</v>
      </c>
      <c r="GD116" s="871">
        <v>4000</v>
      </c>
      <c r="GE116" s="911">
        <v>105.13863414013842</v>
      </c>
      <c r="GF116" s="908">
        <v>3.1173920000000006</v>
      </c>
      <c r="GG116" s="902">
        <v>19.100334421739348</v>
      </c>
      <c r="GH116" s="902">
        <v>0</v>
      </c>
      <c r="GI116" s="902">
        <v>0</v>
      </c>
      <c r="GJ116" s="902">
        <v>21.301807995218603</v>
      </c>
      <c r="GK116" s="902">
        <v>0.48998021347728415</v>
      </c>
      <c r="GL116" s="902">
        <v>3600</v>
      </c>
      <c r="GM116" s="909" t="s">
        <v>2877</v>
      </c>
      <c r="GN116" s="909">
        <v>2</v>
      </c>
      <c r="GO116" s="909">
        <v>0</v>
      </c>
      <c r="GP116" s="909">
        <v>0</v>
      </c>
      <c r="GQ116" s="909">
        <v>0</v>
      </c>
      <c r="GR116" s="910">
        <v>4722.9503687055558</v>
      </c>
      <c r="GS116" s="909">
        <v>0</v>
      </c>
      <c r="GT116" s="909">
        <v>0</v>
      </c>
      <c r="GU116" s="909">
        <v>0</v>
      </c>
      <c r="GV116" s="910">
        <v>4935.2601613420293</v>
      </c>
      <c r="GW116" s="871">
        <v>4000</v>
      </c>
      <c r="GX116" s="911">
        <v>105.13863414013842</v>
      </c>
      <c r="GY116" s="908">
        <v>3.1173920000000006</v>
      </c>
      <c r="GZ116" s="902">
        <v>19.100334421739348</v>
      </c>
      <c r="HA116" s="902">
        <v>0</v>
      </c>
      <c r="HB116" s="902">
        <v>0</v>
      </c>
      <c r="HC116" s="902">
        <v>21.301807995218603</v>
      </c>
      <c r="HD116" s="902">
        <v>0.48998021347728415</v>
      </c>
      <c r="HE116" s="902">
        <v>3600</v>
      </c>
      <c r="HF116" s="909" t="s">
        <v>2877</v>
      </c>
      <c r="HG116" s="909">
        <v>2</v>
      </c>
      <c r="HH116" s="909">
        <v>0</v>
      </c>
      <c r="HI116" s="909">
        <v>0</v>
      </c>
      <c r="HJ116" s="909">
        <v>0</v>
      </c>
      <c r="HK116" s="910">
        <v>4722.9503687055558</v>
      </c>
      <c r="HL116" s="909">
        <v>0</v>
      </c>
      <c r="HM116" s="909">
        <v>0</v>
      </c>
      <c r="HN116" s="909">
        <v>0</v>
      </c>
      <c r="HO116" s="910">
        <v>4935.2601613420293</v>
      </c>
      <c r="HP116" s="871">
        <v>4000</v>
      </c>
      <c r="HQ116" s="911">
        <v>105.13863414013842</v>
      </c>
      <c r="HR116" s="908">
        <v>3.1173920000000006</v>
      </c>
      <c r="HS116" s="902">
        <v>19.100334421739348</v>
      </c>
      <c r="HT116" s="902">
        <v>0</v>
      </c>
      <c r="HU116" s="902">
        <v>0</v>
      </c>
      <c r="HV116" s="902">
        <v>21.301807995218603</v>
      </c>
      <c r="HW116" s="902">
        <v>0.48998021347728415</v>
      </c>
      <c r="HX116" s="902">
        <v>3600</v>
      </c>
      <c r="HY116" s="909" t="s">
        <v>1063</v>
      </c>
      <c r="HZ116" s="909">
        <v>2</v>
      </c>
      <c r="IA116" s="909">
        <v>0</v>
      </c>
      <c r="IB116" s="909">
        <v>0</v>
      </c>
      <c r="IC116" s="909">
        <v>0</v>
      </c>
      <c r="ID116" s="910">
        <v>4165.2507100319053</v>
      </c>
      <c r="IE116" s="909">
        <v>0</v>
      </c>
      <c r="IF116" s="909">
        <v>0</v>
      </c>
      <c r="IG116" s="909">
        <v>0</v>
      </c>
      <c r="IH116" s="910">
        <v>4352.4903474385055</v>
      </c>
      <c r="II116" s="871">
        <v>4000</v>
      </c>
      <c r="IJ116" s="911">
        <v>105.13863414013842</v>
      </c>
      <c r="IK116" s="908">
        <v>3.1173920000000006</v>
      </c>
      <c r="IL116" s="902">
        <v>19.100334421739348</v>
      </c>
      <c r="IM116" s="902">
        <v>0</v>
      </c>
      <c r="IN116" s="902">
        <v>0</v>
      </c>
      <c r="IO116" s="902">
        <v>21.301807995218603</v>
      </c>
      <c r="IP116" s="902">
        <v>0.48998021347728415</v>
      </c>
      <c r="IQ116" s="902">
        <v>3600</v>
      </c>
      <c r="IR116" s="909" t="s">
        <v>1063</v>
      </c>
      <c r="IS116" s="909">
        <v>2</v>
      </c>
      <c r="IT116" s="909">
        <v>0</v>
      </c>
      <c r="IU116" s="909">
        <v>0</v>
      </c>
      <c r="IV116" s="909">
        <v>0</v>
      </c>
      <c r="IW116" s="910">
        <v>4165.2507100319053</v>
      </c>
      <c r="IX116" s="909">
        <v>0</v>
      </c>
      <c r="IY116" s="909">
        <v>0</v>
      </c>
      <c r="IZ116" s="909">
        <v>0</v>
      </c>
      <c r="JA116" s="910">
        <v>4352.4903474385055</v>
      </c>
      <c r="JB116" s="871">
        <v>4000</v>
      </c>
      <c r="JC116" s="911">
        <v>105.13863414013842</v>
      </c>
      <c r="JD116" s="908">
        <v>3.1173920000000006</v>
      </c>
      <c r="JE116" s="902">
        <v>19.100334421739348</v>
      </c>
      <c r="JF116" s="902">
        <v>0</v>
      </c>
      <c r="JG116" s="902">
        <v>0</v>
      </c>
      <c r="JH116" s="902">
        <v>21.301807995218603</v>
      </c>
      <c r="JI116" s="902">
        <v>0.48998021347728415</v>
      </c>
      <c r="JJ116" s="902">
        <v>3600</v>
      </c>
      <c r="JK116" s="909" t="s">
        <v>1064</v>
      </c>
      <c r="JL116" s="909">
        <v>2</v>
      </c>
      <c r="JM116" s="909">
        <v>0</v>
      </c>
      <c r="JN116" s="909">
        <v>0</v>
      </c>
      <c r="JO116" s="909">
        <v>0</v>
      </c>
      <c r="JP116" s="910">
        <v>5676.2799086131445</v>
      </c>
      <c r="JQ116" s="909">
        <v>0</v>
      </c>
      <c r="JR116" s="909">
        <v>0</v>
      </c>
      <c r="JS116" s="909">
        <v>0</v>
      </c>
      <c r="JT116" s="910">
        <v>5931.4445231577884</v>
      </c>
      <c r="JU116" s="871">
        <v>4000</v>
      </c>
      <c r="JV116" s="911">
        <v>105.13863414013842</v>
      </c>
      <c r="JW116" s="908">
        <v>3.1173920000000006</v>
      </c>
      <c r="JX116" s="902">
        <v>19.100334421739348</v>
      </c>
      <c r="JY116" s="902">
        <v>0</v>
      </c>
      <c r="JZ116" s="902">
        <v>0</v>
      </c>
      <c r="KA116" s="902">
        <v>21.301807995218603</v>
      </c>
      <c r="KB116" s="902">
        <v>0.48998021347728415</v>
      </c>
      <c r="KC116" s="902">
        <v>3600</v>
      </c>
      <c r="KD116" s="909" t="s">
        <v>1064</v>
      </c>
      <c r="KE116" s="909">
        <v>2</v>
      </c>
      <c r="KF116" s="909">
        <v>0</v>
      </c>
      <c r="KG116" s="909">
        <v>0</v>
      </c>
      <c r="KH116" s="909">
        <v>0</v>
      </c>
      <c r="KI116" s="910">
        <v>5676.2799086131445</v>
      </c>
      <c r="KJ116" s="909">
        <v>0</v>
      </c>
      <c r="KK116" s="909">
        <v>0</v>
      </c>
      <c r="KL116" s="909">
        <v>0</v>
      </c>
      <c r="KM116" s="910">
        <v>5931.4445231577884</v>
      </c>
      <c r="KN116" s="871">
        <v>4000</v>
      </c>
      <c r="KO116" s="912">
        <v>105.13863414013842</v>
      </c>
    </row>
    <row r="117" spans="1:301" ht="15" customHeight="1">
      <c r="A117" s="924" t="s">
        <v>1581</v>
      </c>
      <c r="B117" s="888" t="s">
        <v>1073</v>
      </c>
      <c r="C117" s="888">
        <v>225</v>
      </c>
      <c r="D117" s="888">
        <v>602</v>
      </c>
      <c r="E117" s="888">
        <v>212</v>
      </c>
      <c r="F117" s="888">
        <v>225</v>
      </c>
      <c r="G117" s="888">
        <v>59</v>
      </c>
      <c r="H117" s="888">
        <v>45</v>
      </c>
      <c r="I117" s="888">
        <v>45</v>
      </c>
      <c r="J117" s="888">
        <v>43.87</v>
      </c>
      <c r="K117" s="888">
        <v>73.7</v>
      </c>
      <c r="L117" s="888">
        <v>16</v>
      </c>
      <c r="M117" s="888">
        <v>210</v>
      </c>
      <c r="N117" s="888">
        <v>2</v>
      </c>
      <c r="O117" s="884">
        <v>3.9145202649488167</v>
      </c>
      <c r="P117" s="888">
        <v>2</v>
      </c>
      <c r="Q117" s="884">
        <v>2.4941502219664105</v>
      </c>
      <c r="R117" s="888">
        <v>13.000000000000002</v>
      </c>
      <c r="S117" s="888">
        <v>400.1665343521849</v>
      </c>
      <c r="T117" s="906">
        <v>12.83466160182339</v>
      </c>
      <c r="U117" s="906">
        <v>60.02498015282773</v>
      </c>
      <c r="V117" s="906">
        <v>60</v>
      </c>
      <c r="W117" s="1141">
        <v>0.99962268244970631</v>
      </c>
      <c r="X117" s="902">
        <v>0</v>
      </c>
      <c r="Y117" s="902">
        <v>0</v>
      </c>
      <c r="Z117" s="902">
        <v>0</v>
      </c>
      <c r="AA117" s="902">
        <v>0</v>
      </c>
      <c r="AB117" s="970">
        <v>1.3760009766411612</v>
      </c>
      <c r="AC117" s="1045">
        <v>4000</v>
      </c>
      <c r="AD117" s="890">
        <v>2.860744241303204</v>
      </c>
      <c r="AE117" s="890">
        <v>0.96131352603905762</v>
      </c>
      <c r="AF117" s="890">
        <v>-0.12539442310662482</v>
      </c>
      <c r="AG117" s="890">
        <v>0.65488899089406027</v>
      </c>
      <c r="AH117" s="888"/>
      <c r="AI117" s="907">
        <v>1.3614041799875636</v>
      </c>
      <c r="AJ117" s="908">
        <v>3.5607600000000006</v>
      </c>
      <c r="AK117" s="902">
        <v>23.803714771188329</v>
      </c>
      <c r="AL117" s="902">
        <v>0</v>
      </c>
      <c r="AM117" s="902">
        <v>0</v>
      </c>
      <c r="AN117" s="902">
        <v>15.63531770597781</v>
      </c>
      <c r="AO117" s="902">
        <v>0.80297646198703099</v>
      </c>
      <c r="AP117" s="1222">
        <v>3600</v>
      </c>
      <c r="AQ117" s="909" t="s">
        <v>1062</v>
      </c>
      <c r="AR117" s="909">
        <v>3</v>
      </c>
      <c r="AS117" s="909">
        <v>0</v>
      </c>
      <c r="AT117" s="909">
        <v>0</v>
      </c>
      <c r="AU117" s="909">
        <v>0</v>
      </c>
      <c r="AV117" s="910">
        <v>12238.720505778318</v>
      </c>
      <c r="AW117" s="909">
        <v>0</v>
      </c>
      <c r="AX117" s="909">
        <v>0</v>
      </c>
      <c r="AY117" s="909">
        <v>0</v>
      </c>
      <c r="AZ117" s="910">
        <v>13412.556015673521</v>
      </c>
      <c r="BA117" s="871">
        <v>4000</v>
      </c>
      <c r="BB117" s="911">
        <v>126.08258516407037</v>
      </c>
      <c r="BC117" s="908">
        <v>3.5607600000000006</v>
      </c>
      <c r="BD117" s="902">
        <v>23.803714771188329</v>
      </c>
      <c r="BE117" s="902">
        <v>0</v>
      </c>
      <c r="BF117" s="902">
        <v>0</v>
      </c>
      <c r="BG117" s="902">
        <v>15.63531770597781</v>
      </c>
      <c r="BH117" s="902">
        <v>0.80297646198703099</v>
      </c>
      <c r="BI117" s="902">
        <v>3600</v>
      </c>
      <c r="BJ117" s="909" t="s">
        <v>1062</v>
      </c>
      <c r="BK117" s="909">
        <v>3</v>
      </c>
      <c r="BL117" s="909">
        <v>0</v>
      </c>
      <c r="BM117" s="909">
        <v>0</v>
      </c>
      <c r="BN117" s="909">
        <v>0</v>
      </c>
      <c r="BO117" s="910">
        <v>12238.720505778318</v>
      </c>
      <c r="BP117" s="909">
        <v>0</v>
      </c>
      <c r="BQ117" s="909">
        <v>0</v>
      </c>
      <c r="BR117" s="909">
        <v>0</v>
      </c>
      <c r="BS117" s="910">
        <v>13412.556015673521</v>
      </c>
      <c r="BT117" s="871">
        <v>4000</v>
      </c>
      <c r="BU117" s="911">
        <v>126.08258516407037</v>
      </c>
      <c r="BV117" s="908">
        <v>2.3738400000000004</v>
      </c>
      <c r="BW117" s="902">
        <v>22.616794771188328</v>
      </c>
      <c r="BX117" s="902">
        <v>0</v>
      </c>
      <c r="BY117" s="902">
        <v>0</v>
      </c>
      <c r="BZ117" s="902">
        <v>15.275062029130074</v>
      </c>
      <c r="CA117" s="902">
        <v>0.74169741440203107</v>
      </c>
      <c r="CB117" s="902">
        <v>3600</v>
      </c>
      <c r="CC117" s="909" t="s">
        <v>2874</v>
      </c>
      <c r="CD117" s="909">
        <v>2</v>
      </c>
      <c r="CE117" s="909">
        <v>0</v>
      </c>
      <c r="CF117" s="909">
        <v>0</v>
      </c>
      <c r="CG117" s="909">
        <v>0</v>
      </c>
      <c r="CH117" s="910">
        <v>8537.5640170171264</v>
      </c>
      <c r="CI117" s="909">
        <v>0</v>
      </c>
      <c r="CJ117" s="909">
        <v>0</v>
      </c>
      <c r="CK117" s="909">
        <v>0</v>
      </c>
      <c r="CL117" s="910">
        <v>8379.0717435657916</v>
      </c>
      <c r="CM117" s="871">
        <v>4000</v>
      </c>
      <c r="CN117" s="911">
        <v>126.08258516407037</v>
      </c>
      <c r="CO117" s="908">
        <v>2.3738400000000004</v>
      </c>
      <c r="CP117" s="902">
        <v>22.616794771188328</v>
      </c>
      <c r="CQ117" s="902">
        <v>0</v>
      </c>
      <c r="CR117" s="902">
        <v>0</v>
      </c>
      <c r="CS117" s="902">
        <v>15.275062029130074</v>
      </c>
      <c r="CT117" s="902">
        <v>0.74169741440203107</v>
      </c>
      <c r="CU117" s="902">
        <v>3600</v>
      </c>
      <c r="CV117" s="909" t="s">
        <v>2874</v>
      </c>
      <c r="CW117" s="909">
        <v>2</v>
      </c>
      <c r="CX117" s="909">
        <v>0</v>
      </c>
      <c r="CY117" s="909">
        <v>0</v>
      </c>
      <c r="CZ117" s="909">
        <v>0</v>
      </c>
      <c r="DA117" s="910">
        <v>8537.5640170171264</v>
      </c>
      <c r="DB117" s="909">
        <v>0</v>
      </c>
      <c r="DC117" s="909">
        <v>0</v>
      </c>
      <c r="DD117" s="909">
        <v>0</v>
      </c>
      <c r="DE117" s="910">
        <v>8379.0717435657916</v>
      </c>
      <c r="DF117" s="871">
        <v>4000</v>
      </c>
      <c r="DG117" s="911">
        <v>126.08258516407037</v>
      </c>
      <c r="DH117" s="908">
        <v>2.3738400000000004</v>
      </c>
      <c r="DI117" s="902">
        <v>22.616794771188328</v>
      </c>
      <c r="DJ117" s="902">
        <v>0</v>
      </c>
      <c r="DK117" s="902">
        <v>0</v>
      </c>
      <c r="DL117" s="902">
        <v>15.275062029130074</v>
      </c>
      <c r="DM117" s="902">
        <v>0.74169741440203107</v>
      </c>
      <c r="DN117" s="902">
        <v>3600</v>
      </c>
      <c r="DO117" s="909" t="s">
        <v>2876</v>
      </c>
      <c r="DP117" s="909">
        <v>2</v>
      </c>
      <c r="DQ117" s="909">
        <v>0</v>
      </c>
      <c r="DR117" s="909">
        <v>0</v>
      </c>
      <c r="DS117" s="909">
        <v>0</v>
      </c>
      <c r="DT117" s="910">
        <v>9127.0398483797235</v>
      </c>
      <c r="DU117" s="909">
        <v>0</v>
      </c>
      <c r="DV117" s="909">
        <v>0</v>
      </c>
      <c r="DW117" s="909">
        <v>0</v>
      </c>
      <c r="DX117" s="910">
        <v>8957.604481034612</v>
      </c>
      <c r="DY117" s="871">
        <v>4000</v>
      </c>
      <c r="DZ117" s="911">
        <v>126.08258516407037</v>
      </c>
      <c r="EA117" s="908">
        <v>2.3738400000000004</v>
      </c>
      <c r="EB117" s="902">
        <v>22.616794771188328</v>
      </c>
      <c r="EC117" s="902">
        <v>0</v>
      </c>
      <c r="ED117" s="902">
        <v>0</v>
      </c>
      <c r="EE117" s="902">
        <v>15.275062029130074</v>
      </c>
      <c r="EF117" s="902">
        <v>0.74169741440203107</v>
      </c>
      <c r="EG117" s="902">
        <v>3600</v>
      </c>
      <c r="EH117" s="909" t="s">
        <v>2876</v>
      </c>
      <c r="EI117" s="909">
        <v>2</v>
      </c>
      <c r="EJ117" s="909">
        <v>0</v>
      </c>
      <c r="EK117" s="909">
        <v>0</v>
      </c>
      <c r="EL117" s="909">
        <v>0</v>
      </c>
      <c r="EM117" s="910">
        <v>9127.0398483797235</v>
      </c>
      <c r="EN117" s="909">
        <v>0</v>
      </c>
      <c r="EO117" s="909">
        <v>0</v>
      </c>
      <c r="EP117" s="909">
        <v>0</v>
      </c>
      <c r="EQ117" s="910">
        <v>8957.604481034612</v>
      </c>
      <c r="ER117" s="871">
        <v>4000</v>
      </c>
      <c r="ES117" s="911">
        <v>126.08258516407037</v>
      </c>
      <c r="ET117" s="908">
        <v>2.3738400000000004</v>
      </c>
      <c r="EU117" s="902">
        <v>22.616794771188328</v>
      </c>
      <c r="EV117" s="902">
        <v>0</v>
      </c>
      <c r="EW117" s="902">
        <v>0</v>
      </c>
      <c r="EX117" s="902">
        <v>15.275062029130074</v>
      </c>
      <c r="EY117" s="902">
        <v>0.74169741440203107</v>
      </c>
      <c r="EZ117" s="902">
        <v>3600</v>
      </c>
      <c r="FA117" s="909" t="s">
        <v>3889</v>
      </c>
      <c r="FB117" s="909">
        <v>2</v>
      </c>
      <c r="FC117" s="909">
        <v>0</v>
      </c>
      <c r="FD117" s="909">
        <v>0</v>
      </c>
      <c r="FE117" s="909">
        <v>0</v>
      </c>
      <c r="FF117" s="910">
        <v>9315.246037741008</v>
      </c>
      <c r="FG117" s="909">
        <v>0</v>
      </c>
      <c r="FH117" s="909">
        <v>0</v>
      </c>
      <c r="FI117" s="909">
        <v>0</v>
      </c>
      <c r="FJ117" s="910">
        <v>9142.3167900856606</v>
      </c>
      <c r="FK117" s="871">
        <v>4000</v>
      </c>
      <c r="FL117" s="911">
        <v>126.08258516407037</v>
      </c>
      <c r="FM117" s="908">
        <v>2.3738400000000004</v>
      </c>
      <c r="FN117" s="902">
        <v>22.616794771188328</v>
      </c>
      <c r="FO117" s="902">
        <v>0</v>
      </c>
      <c r="FP117" s="902">
        <v>0</v>
      </c>
      <c r="FQ117" s="902">
        <v>15.275062029130074</v>
      </c>
      <c r="FR117" s="902">
        <v>0.74169741440203107</v>
      </c>
      <c r="FS117" s="902">
        <v>3600</v>
      </c>
      <c r="FT117" s="909" t="s">
        <v>3889</v>
      </c>
      <c r="FU117" s="909">
        <v>2</v>
      </c>
      <c r="FV117" s="909">
        <v>0</v>
      </c>
      <c r="FW117" s="909">
        <v>0</v>
      </c>
      <c r="FX117" s="909">
        <v>0</v>
      </c>
      <c r="FY117" s="910">
        <v>9315.246037741008</v>
      </c>
      <c r="FZ117" s="909">
        <v>0</v>
      </c>
      <c r="GA117" s="909">
        <v>0</v>
      </c>
      <c r="GB117" s="909">
        <v>0</v>
      </c>
      <c r="GC117" s="910">
        <v>9142.3167900856606</v>
      </c>
      <c r="GD117" s="871">
        <v>4000</v>
      </c>
      <c r="GE117" s="911">
        <v>126.08258516407037</v>
      </c>
      <c r="GF117" s="908">
        <v>2.3738400000000004</v>
      </c>
      <c r="GG117" s="902">
        <v>22.616794771188328</v>
      </c>
      <c r="GH117" s="902">
        <v>0</v>
      </c>
      <c r="GI117" s="902">
        <v>0</v>
      </c>
      <c r="GJ117" s="902">
        <v>15.275062029130074</v>
      </c>
      <c r="GK117" s="902">
        <v>0.74169741440203107</v>
      </c>
      <c r="GL117" s="902">
        <v>3600</v>
      </c>
      <c r="GM117" s="909" t="s">
        <v>2877</v>
      </c>
      <c r="GN117" s="909">
        <v>2</v>
      </c>
      <c r="GO117" s="909">
        <v>0</v>
      </c>
      <c r="GP117" s="909">
        <v>0</v>
      </c>
      <c r="GQ117" s="909">
        <v>0</v>
      </c>
      <c r="GR117" s="910">
        <v>12497.714020514468</v>
      </c>
      <c r="GS117" s="909">
        <v>0</v>
      </c>
      <c r="GT117" s="909">
        <v>0</v>
      </c>
      <c r="GU117" s="909">
        <v>0</v>
      </c>
      <c r="GV117" s="910">
        <v>12265.705088680201</v>
      </c>
      <c r="GW117" s="871">
        <v>4000</v>
      </c>
      <c r="GX117" s="911">
        <v>126.08258516407037</v>
      </c>
      <c r="GY117" s="908">
        <v>2.3738400000000004</v>
      </c>
      <c r="GZ117" s="902">
        <v>22.616794771188328</v>
      </c>
      <c r="HA117" s="902">
        <v>0</v>
      </c>
      <c r="HB117" s="902">
        <v>0</v>
      </c>
      <c r="HC117" s="902">
        <v>15.275062029130074</v>
      </c>
      <c r="HD117" s="902">
        <v>0.74169741440203107</v>
      </c>
      <c r="HE117" s="902">
        <v>3600</v>
      </c>
      <c r="HF117" s="909" t="s">
        <v>2877</v>
      </c>
      <c r="HG117" s="909">
        <v>2</v>
      </c>
      <c r="HH117" s="909">
        <v>0</v>
      </c>
      <c r="HI117" s="909">
        <v>0</v>
      </c>
      <c r="HJ117" s="909">
        <v>0</v>
      </c>
      <c r="HK117" s="910">
        <v>12497.714020514468</v>
      </c>
      <c r="HL117" s="909">
        <v>0</v>
      </c>
      <c r="HM117" s="909">
        <v>0</v>
      </c>
      <c r="HN117" s="909">
        <v>0</v>
      </c>
      <c r="HO117" s="910">
        <v>12265.705088680201</v>
      </c>
      <c r="HP117" s="871">
        <v>4000</v>
      </c>
      <c r="HQ117" s="911">
        <v>126.08258516407037</v>
      </c>
      <c r="HR117" s="908">
        <v>2.3738400000000004</v>
      </c>
      <c r="HS117" s="902">
        <v>22.616794771188328</v>
      </c>
      <c r="HT117" s="902">
        <v>0</v>
      </c>
      <c r="HU117" s="902">
        <v>0</v>
      </c>
      <c r="HV117" s="902">
        <v>15.275062029130074</v>
      </c>
      <c r="HW117" s="902">
        <v>0.74169741440203107</v>
      </c>
      <c r="HX117" s="902">
        <v>3600</v>
      </c>
      <c r="HY117" s="909" t="s">
        <v>1063</v>
      </c>
      <c r="HZ117" s="909">
        <v>2</v>
      </c>
      <c r="IA117" s="909">
        <v>0</v>
      </c>
      <c r="IB117" s="909">
        <v>0</v>
      </c>
      <c r="IC117" s="909">
        <v>0</v>
      </c>
      <c r="ID117" s="910">
        <v>11021.947751695679</v>
      </c>
      <c r="IE117" s="909">
        <v>0</v>
      </c>
      <c r="IF117" s="909">
        <v>0</v>
      </c>
      <c r="IG117" s="909">
        <v>0</v>
      </c>
      <c r="IH117" s="910">
        <v>10817.335106502493</v>
      </c>
      <c r="II117" s="871">
        <v>4000</v>
      </c>
      <c r="IJ117" s="911">
        <v>126.08258516407037</v>
      </c>
      <c r="IK117" s="908">
        <v>2.3738400000000004</v>
      </c>
      <c r="IL117" s="902">
        <v>22.616794771188328</v>
      </c>
      <c r="IM117" s="902">
        <v>0</v>
      </c>
      <c r="IN117" s="902">
        <v>0</v>
      </c>
      <c r="IO117" s="902">
        <v>15.275062029130074</v>
      </c>
      <c r="IP117" s="902">
        <v>0.74169741440203107</v>
      </c>
      <c r="IQ117" s="902">
        <v>3600</v>
      </c>
      <c r="IR117" s="909" t="s">
        <v>1063</v>
      </c>
      <c r="IS117" s="909">
        <v>2</v>
      </c>
      <c r="IT117" s="909">
        <v>0</v>
      </c>
      <c r="IU117" s="909">
        <v>0</v>
      </c>
      <c r="IV117" s="909">
        <v>0</v>
      </c>
      <c r="IW117" s="910">
        <v>11021.947751695679</v>
      </c>
      <c r="IX117" s="909">
        <v>0</v>
      </c>
      <c r="IY117" s="909">
        <v>0</v>
      </c>
      <c r="IZ117" s="909">
        <v>0</v>
      </c>
      <c r="JA117" s="910">
        <v>10817.335106502493</v>
      </c>
      <c r="JB117" s="871">
        <v>4000</v>
      </c>
      <c r="JC117" s="911">
        <v>126.08258516407037</v>
      </c>
      <c r="JD117" s="908">
        <v>2.3738400000000004</v>
      </c>
      <c r="JE117" s="902">
        <v>22.616794771188328</v>
      </c>
      <c r="JF117" s="902">
        <v>0</v>
      </c>
      <c r="JG117" s="902">
        <v>0</v>
      </c>
      <c r="JH117" s="902">
        <v>15.275062029130074</v>
      </c>
      <c r="JI117" s="902">
        <v>0.74169741440203107</v>
      </c>
      <c r="JJ117" s="902">
        <v>3600</v>
      </c>
      <c r="JK117" s="909" t="s">
        <v>1064</v>
      </c>
      <c r="JL117" s="909">
        <v>2</v>
      </c>
      <c r="JM117" s="909">
        <v>0</v>
      </c>
      <c r="JN117" s="909">
        <v>0</v>
      </c>
      <c r="JO117" s="909">
        <v>0</v>
      </c>
      <c r="JP117" s="910">
        <v>15020.382909028125</v>
      </c>
      <c r="JQ117" s="909">
        <v>0</v>
      </c>
      <c r="JR117" s="909">
        <v>0</v>
      </c>
      <c r="JS117" s="909">
        <v>0</v>
      </c>
      <c r="JT117" s="910">
        <v>14741.542875652098</v>
      </c>
      <c r="JU117" s="871">
        <v>4000</v>
      </c>
      <c r="JV117" s="911">
        <v>126.08258516407037</v>
      </c>
      <c r="JW117" s="908">
        <v>2.3738400000000004</v>
      </c>
      <c r="JX117" s="902">
        <v>22.616794771188328</v>
      </c>
      <c r="JY117" s="902">
        <v>0</v>
      </c>
      <c r="JZ117" s="902">
        <v>0</v>
      </c>
      <c r="KA117" s="902">
        <v>15.275062029130074</v>
      </c>
      <c r="KB117" s="902">
        <v>0.74169741440203107</v>
      </c>
      <c r="KC117" s="902">
        <v>3600</v>
      </c>
      <c r="KD117" s="909" t="s">
        <v>1064</v>
      </c>
      <c r="KE117" s="909">
        <v>2</v>
      </c>
      <c r="KF117" s="909">
        <v>0</v>
      </c>
      <c r="KG117" s="909">
        <v>0</v>
      </c>
      <c r="KH117" s="909">
        <v>0</v>
      </c>
      <c r="KI117" s="910">
        <v>15020.382909028125</v>
      </c>
      <c r="KJ117" s="909">
        <v>0</v>
      </c>
      <c r="KK117" s="909">
        <v>0</v>
      </c>
      <c r="KL117" s="909">
        <v>0</v>
      </c>
      <c r="KM117" s="910">
        <v>14741.542875652098</v>
      </c>
      <c r="KN117" s="871">
        <v>4000</v>
      </c>
      <c r="KO117" s="912">
        <v>126.08258516407037</v>
      </c>
    </row>
    <row r="118" spans="1:301" ht="15" customHeight="1">
      <c r="A118" s="924" t="s">
        <v>1582</v>
      </c>
      <c r="B118" s="888" t="s">
        <v>1073</v>
      </c>
      <c r="C118" s="888">
        <v>290</v>
      </c>
      <c r="D118" s="888">
        <v>602</v>
      </c>
      <c r="E118" s="888">
        <v>260</v>
      </c>
      <c r="F118" s="888">
        <v>290</v>
      </c>
      <c r="G118" s="888">
        <v>74</v>
      </c>
      <c r="H118" s="888">
        <v>60</v>
      </c>
      <c r="I118" s="888">
        <v>60</v>
      </c>
      <c r="J118" s="888">
        <v>32</v>
      </c>
      <c r="K118" s="888">
        <v>66.06</v>
      </c>
      <c r="L118" s="888">
        <v>16</v>
      </c>
      <c r="M118" s="888">
        <v>200</v>
      </c>
      <c r="N118" s="888">
        <v>2</v>
      </c>
      <c r="O118" s="884">
        <v>3.6351547665468753</v>
      </c>
      <c r="P118" s="888">
        <v>2</v>
      </c>
      <c r="Q118" s="884">
        <v>2.2516198459711028</v>
      </c>
      <c r="R118" s="888">
        <v>13.000000000000002</v>
      </c>
      <c r="S118" s="888">
        <v>424.03065719589267</v>
      </c>
      <c r="T118" s="906">
        <v>14.411109045792893</v>
      </c>
      <c r="U118" s="906">
        <v>63.604598579383897</v>
      </c>
      <c r="V118" s="906">
        <v>72.5</v>
      </c>
      <c r="W118" s="1141">
        <v>1.3562377864009414</v>
      </c>
      <c r="X118" s="902">
        <v>0</v>
      </c>
      <c r="Y118" s="902">
        <v>0</v>
      </c>
      <c r="Z118" s="902">
        <v>0</v>
      </c>
      <c r="AA118" s="902">
        <v>0</v>
      </c>
      <c r="AB118" s="970">
        <v>1.8443047567949147</v>
      </c>
      <c r="AC118" s="1045">
        <v>4000</v>
      </c>
      <c r="AD118" s="890">
        <v>2.4388087866738268</v>
      </c>
      <c r="AE118" s="890">
        <v>0.62486935190932746</v>
      </c>
      <c r="AF118" s="890">
        <v>-0.20670568529120789</v>
      </c>
      <c r="AG118" s="890">
        <v>0.75081863964512641</v>
      </c>
      <c r="AH118" s="888"/>
      <c r="AI118" s="907">
        <v>1.3904217729481045</v>
      </c>
      <c r="AJ118" s="908">
        <v>4.5216000000000003</v>
      </c>
      <c r="AK118" s="902">
        <v>26.175721444711815</v>
      </c>
      <c r="AL118" s="902">
        <v>0</v>
      </c>
      <c r="AM118" s="902">
        <v>0</v>
      </c>
      <c r="AN118" s="902">
        <v>19.057535260188647</v>
      </c>
      <c r="AO118" s="902">
        <v>0.92425394577463549</v>
      </c>
      <c r="AP118" s="1222">
        <v>3600</v>
      </c>
      <c r="AQ118" s="909" t="s">
        <v>1062</v>
      </c>
      <c r="AR118" s="909">
        <v>3</v>
      </c>
      <c r="AS118" s="909">
        <v>0</v>
      </c>
      <c r="AT118" s="909">
        <v>0</v>
      </c>
      <c r="AU118" s="909">
        <v>0</v>
      </c>
      <c r="AV118" s="910">
        <v>7121.6437151947848</v>
      </c>
      <c r="AW118" s="909">
        <v>0</v>
      </c>
      <c r="AX118" s="909">
        <v>0</v>
      </c>
      <c r="AY118" s="909">
        <v>0</v>
      </c>
      <c r="AZ118" s="910">
        <v>7697.4372825079781</v>
      </c>
      <c r="BA118" s="871">
        <v>4000</v>
      </c>
      <c r="BB118" s="911">
        <v>126.08258516407037</v>
      </c>
      <c r="BC118" s="908">
        <v>4.5216000000000003</v>
      </c>
      <c r="BD118" s="902">
        <v>26.175721444711815</v>
      </c>
      <c r="BE118" s="902">
        <v>0</v>
      </c>
      <c r="BF118" s="902">
        <v>0</v>
      </c>
      <c r="BG118" s="902">
        <v>19.057535260188647</v>
      </c>
      <c r="BH118" s="902">
        <v>0.92425394577463549</v>
      </c>
      <c r="BI118" s="902">
        <v>3600</v>
      </c>
      <c r="BJ118" s="909" t="s">
        <v>1062</v>
      </c>
      <c r="BK118" s="909">
        <v>3</v>
      </c>
      <c r="BL118" s="909">
        <v>0</v>
      </c>
      <c r="BM118" s="909">
        <v>0</v>
      </c>
      <c r="BN118" s="909">
        <v>0</v>
      </c>
      <c r="BO118" s="910">
        <v>7121.6437151947848</v>
      </c>
      <c r="BP118" s="909">
        <v>0</v>
      </c>
      <c r="BQ118" s="909">
        <v>0</v>
      </c>
      <c r="BR118" s="909">
        <v>0</v>
      </c>
      <c r="BS118" s="910">
        <v>7697.4372825079781</v>
      </c>
      <c r="BT118" s="871">
        <v>4000</v>
      </c>
      <c r="BU118" s="911">
        <v>126.08258516407037</v>
      </c>
      <c r="BV118" s="908">
        <v>3.0144000000000002</v>
      </c>
      <c r="BW118" s="902">
        <v>24.668521444711814</v>
      </c>
      <c r="BX118" s="902">
        <v>0</v>
      </c>
      <c r="BY118" s="902">
        <v>0</v>
      </c>
      <c r="BZ118" s="902">
        <v>18.388971362153356</v>
      </c>
      <c r="CA118" s="902">
        <v>0.84013259217463554</v>
      </c>
      <c r="CB118" s="902">
        <v>3600</v>
      </c>
      <c r="CC118" s="909" t="s">
        <v>2874</v>
      </c>
      <c r="CD118" s="909">
        <v>2</v>
      </c>
      <c r="CE118" s="909">
        <v>0</v>
      </c>
      <c r="CF118" s="909">
        <v>0</v>
      </c>
      <c r="CG118" s="909">
        <v>0</v>
      </c>
      <c r="CH118" s="910">
        <v>5074.2782138411176</v>
      </c>
      <c r="CI118" s="909">
        <v>0</v>
      </c>
      <c r="CJ118" s="909">
        <v>0</v>
      </c>
      <c r="CK118" s="909">
        <v>0</v>
      </c>
      <c r="CL118" s="910">
        <v>5011.2113323972098</v>
      </c>
      <c r="CM118" s="871">
        <v>4000</v>
      </c>
      <c r="CN118" s="911">
        <v>126.08258516407037</v>
      </c>
      <c r="CO118" s="908">
        <v>3.0144000000000002</v>
      </c>
      <c r="CP118" s="902">
        <v>24.668521444711814</v>
      </c>
      <c r="CQ118" s="902">
        <v>0</v>
      </c>
      <c r="CR118" s="902">
        <v>0</v>
      </c>
      <c r="CS118" s="902">
        <v>18.388971362153356</v>
      </c>
      <c r="CT118" s="902">
        <v>0.84013259217463554</v>
      </c>
      <c r="CU118" s="902">
        <v>3600</v>
      </c>
      <c r="CV118" s="909" t="s">
        <v>2874</v>
      </c>
      <c r="CW118" s="909">
        <v>2</v>
      </c>
      <c r="CX118" s="909">
        <v>0</v>
      </c>
      <c r="CY118" s="909">
        <v>0</v>
      </c>
      <c r="CZ118" s="909">
        <v>0</v>
      </c>
      <c r="DA118" s="910">
        <v>5074.2782138411176</v>
      </c>
      <c r="DB118" s="909">
        <v>0</v>
      </c>
      <c r="DC118" s="909">
        <v>0</v>
      </c>
      <c r="DD118" s="909">
        <v>0</v>
      </c>
      <c r="DE118" s="910">
        <v>5011.2113323972098</v>
      </c>
      <c r="DF118" s="871">
        <v>4000</v>
      </c>
      <c r="DG118" s="911">
        <v>126.08258516407037</v>
      </c>
      <c r="DH118" s="908">
        <v>3.0144000000000002</v>
      </c>
      <c r="DI118" s="902">
        <v>24.668521444711814</v>
      </c>
      <c r="DJ118" s="902">
        <v>0</v>
      </c>
      <c r="DK118" s="902">
        <v>0</v>
      </c>
      <c r="DL118" s="902">
        <v>18.388971362153356</v>
      </c>
      <c r="DM118" s="902">
        <v>0.84013259217463554</v>
      </c>
      <c r="DN118" s="902">
        <v>3600</v>
      </c>
      <c r="DO118" s="909" t="s">
        <v>2876</v>
      </c>
      <c r="DP118" s="909">
        <v>2</v>
      </c>
      <c r="DQ118" s="909">
        <v>0</v>
      </c>
      <c r="DR118" s="909">
        <v>0</v>
      </c>
      <c r="DS118" s="909">
        <v>0</v>
      </c>
      <c r="DT118" s="910">
        <v>5424.6315889608486</v>
      </c>
      <c r="DU118" s="909">
        <v>0</v>
      </c>
      <c r="DV118" s="909">
        <v>0</v>
      </c>
      <c r="DW118" s="909">
        <v>0</v>
      </c>
      <c r="DX118" s="910">
        <v>5357.2102567281863</v>
      </c>
      <c r="DY118" s="871">
        <v>4000</v>
      </c>
      <c r="DZ118" s="911">
        <v>126.08258516407037</v>
      </c>
      <c r="EA118" s="908">
        <v>3.0144000000000002</v>
      </c>
      <c r="EB118" s="902">
        <v>24.668521444711814</v>
      </c>
      <c r="EC118" s="902">
        <v>0</v>
      </c>
      <c r="ED118" s="902">
        <v>0</v>
      </c>
      <c r="EE118" s="902">
        <v>18.388971362153356</v>
      </c>
      <c r="EF118" s="902">
        <v>0.84013259217463554</v>
      </c>
      <c r="EG118" s="902">
        <v>3600</v>
      </c>
      <c r="EH118" s="909" t="s">
        <v>2876</v>
      </c>
      <c r="EI118" s="909">
        <v>2</v>
      </c>
      <c r="EJ118" s="909">
        <v>0</v>
      </c>
      <c r="EK118" s="909">
        <v>0</v>
      </c>
      <c r="EL118" s="909">
        <v>0</v>
      </c>
      <c r="EM118" s="910">
        <v>5424.6315889608486</v>
      </c>
      <c r="EN118" s="909">
        <v>0</v>
      </c>
      <c r="EO118" s="909">
        <v>0</v>
      </c>
      <c r="EP118" s="909">
        <v>0</v>
      </c>
      <c r="EQ118" s="910">
        <v>5357.2102567281863</v>
      </c>
      <c r="ER118" s="871">
        <v>4000</v>
      </c>
      <c r="ES118" s="911">
        <v>126.08258516407037</v>
      </c>
      <c r="ET118" s="908">
        <v>3.0144000000000002</v>
      </c>
      <c r="EU118" s="902">
        <v>24.668521444711814</v>
      </c>
      <c r="EV118" s="902">
        <v>0</v>
      </c>
      <c r="EW118" s="902">
        <v>0</v>
      </c>
      <c r="EX118" s="902">
        <v>18.388971362153356</v>
      </c>
      <c r="EY118" s="902">
        <v>0.84013259217463554</v>
      </c>
      <c r="EZ118" s="902">
        <v>3600</v>
      </c>
      <c r="FA118" s="909" t="s">
        <v>3889</v>
      </c>
      <c r="FB118" s="909">
        <v>2</v>
      </c>
      <c r="FC118" s="909">
        <v>0</v>
      </c>
      <c r="FD118" s="909">
        <v>0</v>
      </c>
      <c r="FE118" s="909">
        <v>0</v>
      </c>
      <c r="FF118" s="910">
        <v>5536.4914314722892</v>
      </c>
      <c r="FG118" s="909">
        <v>0</v>
      </c>
      <c r="FH118" s="909">
        <v>0</v>
      </c>
      <c r="FI118" s="909">
        <v>0</v>
      </c>
      <c r="FJ118" s="910">
        <v>5467.6798224112026</v>
      </c>
      <c r="FK118" s="871">
        <v>4000</v>
      </c>
      <c r="FL118" s="911">
        <v>126.08258516407037</v>
      </c>
      <c r="FM118" s="908">
        <v>3.0144000000000002</v>
      </c>
      <c r="FN118" s="902">
        <v>24.668521444711814</v>
      </c>
      <c r="FO118" s="902">
        <v>0</v>
      </c>
      <c r="FP118" s="902">
        <v>0</v>
      </c>
      <c r="FQ118" s="902">
        <v>18.388971362153356</v>
      </c>
      <c r="FR118" s="902">
        <v>0.84013259217463554</v>
      </c>
      <c r="FS118" s="902">
        <v>3600</v>
      </c>
      <c r="FT118" s="909" t="s">
        <v>3889</v>
      </c>
      <c r="FU118" s="909">
        <v>2</v>
      </c>
      <c r="FV118" s="909">
        <v>0</v>
      </c>
      <c r="FW118" s="909">
        <v>0</v>
      </c>
      <c r="FX118" s="909">
        <v>0</v>
      </c>
      <c r="FY118" s="910">
        <v>5536.4914314722892</v>
      </c>
      <c r="FZ118" s="909">
        <v>0</v>
      </c>
      <c r="GA118" s="909">
        <v>0</v>
      </c>
      <c r="GB118" s="909">
        <v>0</v>
      </c>
      <c r="GC118" s="910">
        <v>5467.6798224112026</v>
      </c>
      <c r="GD118" s="871">
        <v>4000</v>
      </c>
      <c r="GE118" s="911">
        <v>126.08258516407037</v>
      </c>
      <c r="GF118" s="908">
        <v>3.0144000000000002</v>
      </c>
      <c r="GG118" s="902">
        <v>24.668521444711814</v>
      </c>
      <c r="GH118" s="902">
        <v>0</v>
      </c>
      <c r="GI118" s="902">
        <v>0</v>
      </c>
      <c r="GJ118" s="902">
        <v>18.388971362153356</v>
      </c>
      <c r="GK118" s="902">
        <v>0.84013259217463554</v>
      </c>
      <c r="GL118" s="902">
        <v>3600</v>
      </c>
      <c r="GM118" s="909" t="s">
        <v>2877</v>
      </c>
      <c r="GN118" s="909">
        <v>2</v>
      </c>
      <c r="GO118" s="909">
        <v>0</v>
      </c>
      <c r="GP118" s="909">
        <v>0</v>
      </c>
      <c r="GQ118" s="909">
        <v>0</v>
      </c>
      <c r="GR118" s="910">
        <v>7427.9827185730492</v>
      </c>
      <c r="GS118" s="909">
        <v>0</v>
      </c>
      <c r="GT118" s="909">
        <v>0</v>
      </c>
      <c r="GU118" s="909">
        <v>0</v>
      </c>
      <c r="GV118" s="910">
        <v>7335.6622572704309</v>
      </c>
      <c r="GW118" s="871">
        <v>4000</v>
      </c>
      <c r="GX118" s="911">
        <v>126.08258516407037</v>
      </c>
      <c r="GY118" s="908">
        <v>3.0144000000000002</v>
      </c>
      <c r="GZ118" s="902">
        <v>24.668521444711814</v>
      </c>
      <c r="HA118" s="902">
        <v>0</v>
      </c>
      <c r="HB118" s="902">
        <v>0</v>
      </c>
      <c r="HC118" s="902">
        <v>18.388971362153356</v>
      </c>
      <c r="HD118" s="902">
        <v>0.84013259217463554</v>
      </c>
      <c r="HE118" s="902">
        <v>3600</v>
      </c>
      <c r="HF118" s="909" t="s">
        <v>2877</v>
      </c>
      <c r="HG118" s="909">
        <v>2</v>
      </c>
      <c r="HH118" s="909">
        <v>0</v>
      </c>
      <c r="HI118" s="909">
        <v>0</v>
      </c>
      <c r="HJ118" s="909">
        <v>0</v>
      </c>
      <c r="HK118" s="910">
        <v>7427.9827185730492</v>
      </c>
      <c r="HL118" s="909">
        <v>0</v>
      </c>
      <c r="HM118" s="909">
        <v>0</v>
      </c>
      <c r="HN118" s="909">
        <v>0</v>
      </c>
      <c r="HO118" s="910">
        <v>7335.6622572704309</v>
      </c>
      <c r="HP118" s="871">
        <v>4000</v>
      </c>
      <c r="HQ118" s="911">
        <v>126.08258516407037</v>
      </c>
      <c r="HR118" s="908">
        <v>3.0144000000000002</v>
      </c>
      <c r="HS118" s="902">
        <v>24.668521444711814</v>
      </c>
      <c r="HT118" s="902">
        <v>0</v>
      </c>
      <c r="HU118" s="902">
        <v>0</v>
      </c>
      <c r="HV118" s="902">
        <v>18.388971362153356</v>
      </c>
      <c r="HW118" s="902">
        <v>0.84013259217463554</v>
      </c>
      <c r="HX118" s="902">
        <v>3600</v>
      </c>
      <c r="HY118" s="909" t="s">
        <v>1063</v>
      </c>
      <c r="HZ118" s="909">
        <v>2</v>
      </c>
      <c r="IA118" s="909">
        <v>0</v>
      </c>
      <c r="IB118" s="909">
        <v>0</v>
      </c>
      <c r="IC118" s="909">
        <v>0</v>
      </c>
      <c r="ID118" s="910">
        <v>6550.8650054099207</v>
      </c>
      <c r="IE118" s="909">
        <v>0</v>
      </c>
      <c r="IF118" s="909">
        <v>0</v>
      </c>
      <c r="IG118" s="909">
        <v>0</v>
      </c>
      <c r="IH118" s="910">
        <v>6469.4460115667589</v>
      </c>
      <c r="II118" s="871">
        <v>4000</v>
      </c>
      <c r="IJ118" s="911">
        <v>126.08258516407037</v>
      </c>
      <c r="IK118" s="908">
        <v>3.0144000000000002</v>
      </c>
      <c r="IL118" s="902">
        <v>24.668521444711814</v>
      </c>
      <c r="IM118" s="902">
        <v>0</v>
      </c>
      <c r="IN118" s="902">
        <v>0</v>
      </c>
      <c r="IO118" s="902">
        <v>18.388971362153356</v>
      </c>
      <c r="IP118" s="902">
        <v>0.84013259217463554</v>
      </c>
      <c r="IQ118" s="902">
        <v>3600</v>
      </c>
      <c r="IR118" s="909" t="s">
        <v>1063</v>
      </c>
      <c r="IS118" s="909">
        <v>2</v>
      </c>
      <c r="IT118" s="909">
        <v>0</v>
      </c>
      <c r="IU118" s="909">
        <v>0</v>
      </c>
      <c r="IV118" s="909">
        <v>0</v>
      </c>
      <c r="IW118" s="910">
        <v>6550.8650054099207</v>
      </c>
      <c r="IX118" s="909">
        <v>0</v>
      </c>
      <c r="IY118" s="909">
        <v>0</v>
      </c>
      <c r="IZ118" s="909">
        <v>0</v>
      </c>
      <c r="JA118" s="910">
        <v>6469.4460115667589</v>
      </c>
      <c r="JB118" s="871">
        <v>4000</v>
      </c>
      <c r="JC118" s="911">
        <v>126.08258516407037</v>
      </c>
      <c r="JD118" s="908">
        <v>3.0144000000000002</v>
      </c>
      <c r="JE118" s="902">
        <v>24.668521444711814</v>
      </c>
      <c r="JF118" s="902">
        <v>0</v>
      </c>
      <c r="JG118" s="902">
        <v>0</v>
      </c>
      <c r="JH118" s="902">
        <v>18.388971362153356</v>
      </c>
      <c r="JI118" s="902">
        <v>0.84013259217463554</v>
      </c>
      <c r="JJ118" s="902">
        <v>3600</v>
      </c>
      <c r="JK118" s="909" t="s">
        <v>1064</v>
      </c>
      <c r="JL118" s="909">
        <v>2</v>
      </c>
      <c r="JM118" s="909">
        <v>0</v>
      </c>
      <c r="JN118" s="909">
        <v>0</v>
      </c>
      <c r="JO118" s="909">
        <v>0</v>
      </c>
      <c r="JP118" s="910">
        <v>8927.324188357612</v>
      </c>
      <c r="JQ118" s="909">
        <v>0</v>
      </c>
      <c r="JR118" s="909">
        <v>0</v>
      </c>
      <c r="JS118" s="909">
        <v>0</v>
      </c>
      <c r="JT118" s="910">
        <v>8816.3688026914824</v>
      </c>
      <c r="JU118" s="871">
        <v>4000</v>
      </c>
      <c r="JV118" s="911">
        <v>126.08258516407037</v>
      </c>
      <c r="JW118" s="908">
        <v>3.0144000000000002</v>
      </c>
      <c r="JX118" s="902">
        <v>24.668521444711814</v>
      </c>
      <c r="JY118" s="902">
        <v>0</v>
      </c>
      <c r="JZ118" s="902">
        <v>0</v>
      </c>
      <c r="KA118" s="902">
        <v>18.388971362153356</v>
      </c>
      <c r="KB118" s="902">
        <v>0.84013259217463554</v>
      </c>
      <c r="KC118" s="902">
        <v>3600</v>
      </c>
      <c r="KD118" s="909" t="s">
        <v>1064</v>
      </c>
      <c r="KE118" s="909">
        <v>2</v>
      </c>
      <c r="KF118" s="909">
        <v>0</v>
      </c>
      <c r="KG118" s="909">
        <v>0</v>
      </c>
      <c r="KH118" s="909">
        <v>0</v>
      </c>
      <c r="KI118" s="910">
        <v>8927.324188357612</v>
      </c>
      <c r="KJ118" s="909">
        <v>0</v>
      </c>
      <c r="KK118" s="909">
        <v>0</v>
      </c>
      <c r="KL118" s="909">
        <v>0</v>
      </c>
      <c r="KM118" s="910">
        <v>8816.3688026914824</v>
      </c>
      <c r="KN118" s="871">
        <v>4000</v>
      </c>
      <c r="KO118" s="912">
        <v>126.08258516407037</v>
      </c>
    </row>
    <row r="119" spans="1:301" ht="15" customHeight="1">
      <c r="A119" s="924" t="s">
        <v>1688</v>
      </c>
      <c r="B119" s="888" t="s">
        <v>1073</v>
      </c>
      <c r="C119" s="888">
        <v>290</v>
      </c>
      <c r="D119" s="888">
        <v>602</v>
      </c>
      <c r="E119" s="888">
        <v>260</v>
      </c>
      <c r="F119" s="888">
        <v>290</v>
      </c>
      <c r="G119" s="888">
        <v>74</v>
      </c>
      <c r="H119" s="888">
        <v>60</v>
      </c>
      <c r="I119" s="888">
        <v>60</v>
      </c>
      <c r="J119" s="888">
        <v>32</v>
      </c>
      <c r="K119" s="888">
        <v>66.06</v>
      </c>
      <c r="L119" s="888">
        <v>16</v>
      </c>
      <c r="M119" s="888">
        <v>200</v>
      </c>
      <c r="N119" s="888">
        <v>2</v>
      </c>
      <c r="O119" s="884">
        <v>3.6351547665468753</v>
      </c>
      <c r="P119" s="888">
        <v>2</v>
      </c>
      <c r="Q119" s="884">
        <v>2.2516198459711028</v>
      </c>
      <c r="R119" s="888">
        <v>13.000000000000002</v>
      </c>
      <c r="S119" s="888">
        <v>424.03065719589267</v>
      </c>
      <c r="T119" s="906">
        <v>14.411109045792893</v>
      </c>
      <c r="U119" s="906">
        <v>63.604598579383897</v>
      </c>
      <c r="V119" s="906">
        <v>72.5</v>
      </c>
      <c r="W119" s="1141">
        <v>1.3562377864009414</v>
      </c>
      <c r="X119" s="902">
        <v>0</v>
      </c>
      <c r="Y119" s="902">
        <v>0</v>
      </c>
      <c r="Z119" s="902">
        <v>0</v>
      </c>
      <c r="AA119" s="902">
        <v>0</v>
      </c>
      <c r="AB119" s="970">
        <v>1.8443047567949147</v>
      </c>
      <c r="AC119" s="1045">
        <v>4000</v>
      </c>
      <c r="AD119" s="890">
        <v>2.4388087866738268</v>
      </c>
      <c r="AE119" s="890">
        <v>0.62486935190932746</v>
      </c>
      <c r="AF119" s="890">
        <v>-0.20670568529120789</v>
      </c>
      <c r="AG119" s="890">
        <v>0.75081863964512641</v>
      </c>
      <c r="AH119" s="888"/>
      <c r="AI119" s="907">
        <v>1.3904217729481045</v>
      </c>
      <c r="AJ119" s="908">
        <v>4.5216000000000003</v>
      </c>
      <c r="AK119" s="902">
        <v>26.175721444711815</v>
      </c>
      <c r="AL119" s="902">
        <v>0</v>
      </c>
      <c r="AM119" s="902">
        <v>0</v>
      </c>
      <c r="AN119" s="902">
        <v>19.057535260188647</v>
      </c>
      <c r="AO119" s="902">
        <v>0.92425394577463549</v>
      </c>
      <c r="AP119" s="1222">
        <v>3600</v>
      </c>
      <c r="AQ119" s="909" t="s">
        <v>1062</v>
      </c>
      <c r="AR119" s="909">
        <v>3</v>
      </c>
      <c r="AS119" s="909">
        <v>0</v>
      </c>
      <c r="AT119" s="909">
        <v>0</v>
      </c>
      <c r="AU119" s="909">
        <v>0</v>
      </c>
      <c r="AV119" s="910">
        <v>7121.6437151947848</v>
      </c>
      <c r="AW119" s="909">
        <v>0</v>
      </c>
      <c r="AX119" s="909">
        <v>0</v>
      </c>
      <c r="AY119" s="909">
        <v>0</v>
      </c>
      <c r="AZ119" s="910">
        <v>7697.4372825079781</v>
      </c>
      <c r="BA119" s="871">
        <v>4000</v>
      </c>
      <c r="BB119" s="911">
        <v>126.08258516407037</v>
      </c>
      <c r="BC119" s="908">
        <v>4.5216000000000003</v>
      </c>
      <c r="BD119" s="902">
        <v>26.175721444711815</v>
      </c>
      <c r="BE119" s="902">
        <v>0</v>
      </c>
      <c r="BF119" s="902">
        <v>0</v>
      </c>
      <c r="BG119" s="902">
        <v>19.057535260188647</v>
      </c>
      <c r="BH119" s="902">
        <v>0.92425394577463549</v>
      </c>
      <c r="BI119" s="902">
        <v>3600</v>
      </c>
      <c r="BJ119" s="909" t="s">
        <v>1062</v>
      </c>
      <c r="BK119" s="909">
        <v>3</v>
      </c>
      <c r="BL119" s="909">
        <v>0</v>
      </c>
      <c r="BM119" s="909">
        <v>0</v>
      </c>
      <c r="BN119" s="909">
        <v>0</v>
      </c>
      <c r="BO119" s="910">
        <v>7121.6437151947848</v>
      </c>
      <c r="BP119" s="909">
        <v>0</v>
      </c>
      <c r="BQ119" s="909">
        <v>0</v>
      </c>
      <c r="BR119" s="909">
        <v>0</v>
      </c>
      <c r="BS119" s="910">
        <v>7697.4372825079781</v>
      </c>
      <c r="BT119" s="871">
        <v>4000</v>
      </c>
      <c r="BU119" s="911">
        <v>126.08258516407037</v>
      </c>
      <c r="BV119" s="908">
        <v>3.0144000000000002</v>
      </c>
      <c r="BW119" s="902">
        <v>24.668521444711814</v>
      </c>
      <c r="BX119" s="902">
        <v>0</v>
      </c>
      <c r="BY119" s="902">
        <v>0</v>
      </c>
      <c r="BZ119" s="902">
        <v>18.388971362153356</v>
      </c>
      <c r="CA119" s="902">
        <v>0.84013259217463554</v>
      </c>
      <c r="CB119" s="902">
        <v>3600</v>
      </c>
      <c r="CC119" s="909" t="s">
        <v>2874</v>
      </c>
      <c r="CD119" s="909">
        <v>2</v>
      </c>
      <c r="CE119" s="909">
        <v>0</v>
      </c>
      <c r="CF119" s="909">
        <v>0</v>
      </c>
      <c r="CG119" s="909">
        <v>0</v>
      </c>
      <c r="CH119" s="910">
        <v>5074.2782138411176</v>
      </c>
      <c r="CI119" s="909">
        <v>0</v>
      </c>
      <c r="CJ119" s="909">
        <v>0</v>
      </c>
      <c r="CK119" s="909">
        <v>0</v>
      </c>
      <c r="CL119" s="910">
        <v>5011.2113323972098</v>
      </c>
      <c r="CM119" s="871">
        <v>4000</v>
      </c>
      <c r="CN119" s="911">
        <v>126.08258516407037</v>
      </c>
      <c r="CO119" s="908">
        <v>3.0144000000000002</v>
      </c>
      <c r="CP119" s="902">
        <v>24.668521444711814</v>
      </c>
      <c r="CQ119" s="902">
        <v>0</v>
      </c>
      <c r="CR119" s="902">
        <v>0</v>
      </c>
      <c r="CS119" s="902">
        <v>18.388971362153356</v>
      </c>
      <c r="CT119" s="902">
        <v>0.84013259217463554</v>
      </c>
      <c r="CU119" s="902">
        <v>3600</v>
      </c>
      <c r="CV119" s="909" t="s">
        <v>2874</v>
      </c>
      <c r="CW119" s="909">
        <v>2</v>
      </c>
      <c r="CX119" s="909">
        <v>0</v>
      </c>
      <c r="CY119" s="909">
        <v>0</v>
      </c>
      <c r="CZ119" s="909">
        <v>0</v>
      </c>
      <c r="DA119" s="910">
        <v>5074.2782138411176</v>
      </c>
      <c r="DB119" s="909">
        <v>0</v>
      </c>
      <c r="DC119" s="909">
        <v>0</v>
      </c>
      <c r="DD119" s="909">
        <v>0</v>
      </c>
      <c r="DE119" s="910">
        <v>5011.2113323972098</v>
      </c>
      <c r="DF119" s="871">
        <v>4000</v>
      </c>
      <c r="DG119" s="911">
        <v>126.08258516407037</v>
      </c>
      <c r="DH119" s="908">
        <v>3.0144000000000002</v>
      </c>
      <c r="DI119" s="902">
        <v>24.668521444711814</v>
      </c>
      <c r="DJ119" s="902">
        <v>0</v>
      </c>
      <c r="DK119" s="902">
        <v>0</v>
      </c>
      <c r="DL119" s="902">
        <v>18.388971362153356</v>
      </c>
      <c r="DM119" s="902">
        <v>0.84013259217463554</v>
      </c>
      <c r="DN119" s="902">
        <v>3600</v>
      </c>
      <c r="DO119" s="909" t="s">
        <v>2876</v>
      </c>
      <c r="DP119" s="909">
        <v>2</v>
      </c>
      <c r="DQ119" s="909">
        <v>0</v>
      </c>
      <c r="DR119" s="909">
        <v>0</v>
      </c>
      <c r="DS119" s="909">
        <v>0</v>
      </c>
      <c r="DT119" s="910">
        <v>5424.6315889608486</v>
      </c>
      <c r="DU119" s="909">
        <v>0</v>
      </c>
      <c r="DV119" s="909">
        <v>0</v>
      </c>
      <c r="DW119" s="909">
        <v>0</v>
      </c>
      <c r="DX119" s="910">
        <v>5357.2102567281863</v>
      </c>
      <c r="DY119" s="871">
        <v>4000</v>
      </c>
      <c r="DZ119" s="911">
        <v>126.08258516407037</v>
      </c>
      <c r="EA119" s="908">
        <v>3.0144000000000002</v>
      </c>
      <c r="EB119" s="902">
        <v>24.668521444711814</v>
      </c>
      <c r="EC119" s="902">
        <v>0</v>
      </c>
      <c r="ED119" s="902">
        <v>0</v>
      </c>
      <c r="EE119" s="902">
        <v>18.388971362153356</v>
      </c>
      <c r="EF119" s="902">
        <v>0.84013259217463554</v>
      </c>
      <c r="EG119" s="902">
        <v>3600</v>
      </c>
      <c r="EH119" s="909" t="s">
        <v>2876</v>
      </c>
      <c r="EI119" s="909">
        <v>2</v>
      </c>
      <c r="EJ119" s="909">
        <v>0</v>
      </c>
      <c r="EK119" s="909">
        <v>0</v>
      </c>
      <c r="EL119" s="909">
        <v>0</v>
      </c>
      <c r="EM119" s="910">
        <v>5424.6315889608486</v>
      </c>
      <c r="EN119" s="909">
        <v>0</v>
      </c>
      <c r="EO119" s="909">
        <v>0</v>
      </c>
      <c r="EP119" s="909">
        <v>0</v>
      </c>
      <c r="EQ119" s="910">
        <v>5357.2102567281863</v>
      </c>
      <c r="ER119" s="871">
        <v>4000</v>
      </c>
      <c r="ES119" s="911">
        <v>126.08258516407037</v>
      </c>
      <c r="ET119" s="908">
        <v>3.0144000000000002</v>
      </c>
      <c r="EU119" s="902">
        <v>24.668521444711814</v>
      </c>
      <c r="EV119" s="902">
        <v>0</v>
      </c>
      <c r="EW119" s="902">
        <v>0</v>
      </c>
      <c r="EX119" s="902">
        <v>18.388971362153356</v>
      </c>
      <c r="EY119" s="902">
        <v>0.84013259217463554</v>
      </c>
      <c r="EZ119" s="902">
        <v>3600</v>
      </c>
      <c r="FA119" s="909" t="s">
        <v>3889</v>
      </c>
      <c r="FB119" s="909">
        <v>2</v>
      </c>
      <c r="FC119" s="909">
        <v>0</v>
      </c>
      <c r="FD119" s="909">
        <v>0</v>
      </c>
      <c r="FE119" s="909">
        <v>0</v>
      </c>
      <c r="FF119" s="910">
        <v>5536.4914314722892</v>
      </c>
      <c r="FG119" s="909">
        <v>0</v>
      </c>
      <c r="FH119" s="909">
        <v>0</v>
      </c>
      <c r="FI119" s="909">
        <v>0</v>
      </c>
      <c r="FJ119" s="910">
        <v>5467.6798224112026</v>
      </c>
      <c r="FK119" s="871">
        <v>4000</v>
      </c>
      <c r="FL119" s="911">
        <v>126.08258516407037</v>
      </c>
      <c r="FM119" s="908">
        <v>3.0144000000000002</v>
      </c>
      <c r="FN119" s="902">
        <v>24.668521444711814</v>
      </c>
      <c r="FO119" s="902">
        <v>0</v>
      </c>
      <c r="FP119" s="902">
        <v>0</v>
      </c>
      <c r="FQ119" s="902">
        <v>18.388971362153356</v>
      </c>
      <c r="FR119" s="902">
        <v>0.84013259217463554</v>
      </c>
      <c r="FS119" s="902">
        <v>3600</v>
      </c>
      <c r="FT119" s="909" t="s">
        <v>3889</v>
      </c>
      <c r="FU119" s="909">
        <v>2</v>
      </c>
      <c r="FV119" s="909">
        <v>0</v>
      </c>
      <c r="FW119" s="909">
        <v>0</v>
      </c>
      <c r="FX119" s="909">
        <v>0</v>
      </c>
      <c r="FY119" s="910">
        <v>5536.4914314722892</v>
      </c>
      <c r="FZ119" s="909">
        <v>0</v>
      </c>
      <c r="GA119" s="909">
        <v>0</v>
      </c>
      <c r="GB119" s="909">
        <v>0</v>
      </c>
      <c r="GC119" s="910">
        <v>5467.6798224112026</v>
      </c>
      <c r="GD119" s="871">
        <v>4000</v>
      </c>
      <c r="GE119" s="911">
        <v>126.08258516407037</v>
      </c>
      <c r="GF119" s="908">
        <v>3.0144000000000002</v>
      </c>
      <c r="GG119" s="902">
        <v>24.668521444711814</v>
      </c>
      <c r="GH119" s="902">
        <v>0</v>
      </c>
      <c r="GI119" s="902">
        <v>0</v>
      </c>
      <c r="GJ119" s="902">
        <v>18.388971362153356</v>
      </c>
      <c r="GK119" s="902">
        <v>0.84013259217463554</v>
      </c>
      <c r="GL119" s="902">
        <v>3600</v>
      </c>
      <c r="GM119" s="909" t="s">
        <v>2877</v>
      </c>
      <c r="GN119" s="909">
        <v>2</v>
      </c>
      <c r="GO119" s="909">
        <v>0</v>
      </c>
      <c r="GP119" s="909">
        <v>0</v>
      </c>
      <c r="GQ119" s="909">
        <v>0</v>
      </c>
      <c r="GR119" s="910">
        <v>7427.9827185730492</v>
      </c>
      <c r="GS119" s="909">
        <v>0</v>
      </c>
      <c r="GT119" s="909">
        <v>0</v>
      </c>
      <c r="GU119" s="909">
        <v>0</v>
      </c>
      <c r="GV119" s="910">
        <v>7335.6622572704309</v>
      </c>
      <c r="GW119" s="871">
        <v>4000</v>
      </c>
      <c r="GX119" s="911">
        <v>126.08258516407037</v>
      </c>
      <c r="GY119" s="908">
        <v>3.0144000000000002</v>
      </c>
      <c r="GZ119" s="902">
        <v>24.668521444711814</v>
      </c>
      <c r="HA119" s="902">
        <v>0</v>
      </c>
      <c r="HB119" s="902">
        <v>0</v>
      </c>
      <c r="HC119" s="902">
        <v>18.388971362153356</v>
      </c>
      <c r="HD119" s="902">
        <v>0.84013259217463554</v>
      </c>
      <c r="HE119" s="902">
        <v>3600</v>
      </c>
      <c r="HF119" s="909" t="s">
        <v>2877</v>
      </c>
      <c r="HG119" s="909">
        <v>2</v>
      </c>
      <c r="HH119" s="909">
        <v>0</v>
      </c>
      <c r="HI119" s="909">
        <v>0</v>
      </c>
      <c r="HJ119" s="909">
        <v>0</v>
      </c>
      <c r="HK119" s="910">
        <v>7427.9827185730492</v>
      </c>
      <c r="HL119" s="909">
        <v>0</v>
      </c>
      <c r="HM119" s="909">
        <v>0</v>
      </c>
      <c r="HN119" s="909">
        <v>0</v>
      </c>
      <c r="HO119" s="910">
        <v>7335.6622572704309</v>
      </c>
      <c r="HP119" s="871">
        <v>4000</v>
      </c>
      <c r="HQ119" s="911">
        <v>126.08258516407037</v>
      </c>
      <c r="HR119" s="908">
        <v>3.0144000000000002</v>
      </c>
      <c r="HS119" s="902">
        <v>24.668521444711814</v>
      </c>
      <c r="HT119" s="902">
        <v>0</v>
      </c>
      <c r="HU119" s="902">
        <v>0</v>
      </c>
      <c r="HV119" s="902">
        <v>18.388971362153356</v>
      </c>
      <c r="HW119" s="902">
        <v>0.84013259217463554</v>
      </c>
      <c r="HX119" s="902">
        <v>3600</v>
      </c>
      <c r="HY119" s="909" t="s">
        <v>1063</v>
      </c>
      <c r="HZ119" s="909">
        <v>2</v>
      </c>
      <c r="IA119" s="909">
        <v>0</v>
      </c>
      <c r="IB119" s="909">
        <v>0</v>
      </c>
      <c r="IC119" s="909">
        <v>0</v>
      </c>
      <c r="ID119" s="910">
        <v>6550.8650054099207</v>
      </c>
      <c r="IE119" s="909">
        <v>0</v>
      </c>
      <c r="IF119" s="909">
        <v>0</v>
      </c>
      <c r="IG119" s="909">
        <v>0</v>
      </c>
      <c r="IH119" s="910">
        <v>6469.4460115667589</v>
      </c>
      <c r="II119" s="871">
        <v>4000</v>
      </c>
      <c r="IJ119" s="911">
        <v>126.08258516407037</v>
      </c>
      <c r="IK119" s="908">
        <v>3.0144000000000002</v>
      </c>
      <c r="IL119" s="902">
        <v>24.668521444711814</v>
      </c>
      <c r="IM119" s="902">
        <v>0</v>
      </c>
      <c r="IN119" s="902">
        <v>0</v>
      </c>
      <c r="IO119" s="902">
        <v>18.388971362153356</v>
      </c>
      <c r="IP119" s="902">
        <v>0.84013259217463554</v>
      </c>
      <c r="IQ119" s="902">
        <v>3600</v>
      </c>
      <c r="IR119" s="909" t="s">
        <v>1063</v>
      </c>
      <c r="IS119" s="909">
        <v>2</v>
      </c>
      <c r="IT119" s="909">
        <v>0</v>
      </c>
      <c r="IU119" s="909">
        <v>0</v>
      </c>
      <c r="IV119" s="909">
        <v>0</v>
      </c>
      <c r="IW119" s="910">
        <v>6550.8650054099207</v>
      </c>
      <c r="IX119" s="909">
        <v>0</v>
      </c>
      <c r="IY119" s="909">
        <v>0</v>
      </c>
      <c r="IZ119" s="909">
        <v>0</v>
      </c>
      <c r="JA119" s="910">
        <v>6469.4460115667589</v>
      </c>
      <c r="JB119" s="871">
        <v>4000</v>
      </c>
      <c r="JC119" s="911">
        <v>126.08258516407037</v>
      </c>
      <c r="JD119" s="908">
        <v>3.0144000000000002</v>
      </c>
      <c r="JE119" s="902">
        <v>24.668521444711814</v>
      </c>
      <c r="JF119" s="902">
        <v>0</v>
      </c>
      <c r="JG119" s="902">
        <v>0</v>
      </c>
      <c r="JH119" s="902">
        <v>18.388971362153356</v>
      </c>
      <c r="JI119" s="902">
        <v>0.84013259217463554</v>
      </c>
      <c r="JJ119" s="902">
        <v>3600</v>
      </c>
      <c r="JK119" s="909" t="s">
        <v>1064</v>
      </c>
      <c r="JL119" s="909">
        <v>2</v>
      </c>
      <c r="JM119" s="909">
        <v>0</v>
      </c>
      <c r="JN119" s="909">
        <v>0</v>
      </c>
      <c r="JO119" s="909">
        <v>0</v>
      </c>
      <c r="JP119" s="910">
        <v>8927.324188357612</v>
      </c>
      <c r="JQ119" s="909">
        <v>0</v>
      </c>
      <c r="JR119" s="909">
        <v>0</v>
      </c>
      <c r="JS119" s="909">
        <v>0</v>
      </c>
      <c r="JT119" s="910">
        <v>8816.3688026914824</v>
      </c>
      <c r="JU119" s="871">
        <v>4000</v>
      </c>
      <c r="JV119" s="911">
        <v>126.08258516407037</v>
      </c>
      <c r="JW119" s="908">
        <v>3.0144000000000002</v>
      </c>
      <c r="JX119" s="902">
        <v>24.668521444711814</v>
      </c>
      <c r="JY119" s="902">
        <v>0</v>
      </c>
      <c r="JZ119" s="902">
        <v>0</v>
      </c>
      <c r="KA119" s="902">
        <v>18.388971362153356</v>
      </c>
      <c r="KB119" s="902">
        <v>0.84013259217463554</v>
      </c>
      <c r="KC119" s="902">
        <v>3600</v>
      </c>
      <c r="KD119" s="909" t="s">
        <v>1064</v>
      </c>
      <c r="KE119" s="909">
        <v>2</v>
      </c>
      <c r="KF119" s="909">
        <v>0</v>
      </c>
      <c r="KG119" s="909">
        <v>0</v>
      </c>
      <c r="KH119" s="909">
        <v>0</v>
      </c>
      <c r="KI119" s="910">
        <v>8927.324188357612</v>
      </c>
      <c r="KJ119" s="909">
        <v>0</v>
      </c>
      <c r="KK119" s="909">
        <v>0</v>
      </c>
      <c r="KL119" s="909">
        <v>0</v>
      </c>
      <c r="KM119" s="910">
        <v>8816.3688026914824</v>
      </c>
      <c r="KN119" s="871">
        <v>4000</v>
      </c>
      <c r="KO119" s="912">
        <v>126.08258516407037</v>
      </c>
    </row>
    <row r="120" spans="1:301" ht="15" customHeight="1">
      <c r="A120" s="924" t="s">
        <v>1689</v>
      </c>
      <c r="B120" s="888" t="s">
        <v>1073</v>
      </c>
      <c r="C120" s="888">
        <v>290</v>
      </c>
      <c r="D120" s="888">
        <v>602</v>
      </c>
      <c r="E120" s="888">
        <v>260</v>
      </c>
      <c r="F120" s="888">
        <v>290</v>
      </c>
      <c r="G120" s="888">
        <v>74</v>
      </c>
      <c r="H120" s="888">
        <v>60</v>
      </c>
      <c r="I120" s="888">
        <v>60</v>
      </c>
      <c r="J120" s="888">
        <v>32</v>
      </c>
      <c r="K120" s="888">
        <v>66.06</v>
      </c>
      <c r="L120" s="888">
        <v>16</v>
      </c>
      <c r="M120" s="888">
        <v>200</v>
      </c>
      <c r="N120" s="888">
        <v>2</v>
      </c>
      <c r="O120" s="884">
        <v>3.6351547665468753</v>
      </c>
      <c r="P120" s="888">
        <v>2</v>
      </c>
      <c r="Q120" s="884">
        <v>2.2516198459711028</v>
      </c>
      <c r="R120" s="888">
        <v>13.000000000000002</v>
      </c>
      <c r="S120" s="888">
        <v>424.03065719589267</v>
      </c>
      <c r="T120" s="906">
        <v>14.411109045792893</v>
      </c>
      <c r="U120" s="906">
        <v>63.604598579383897</v>
      </c>
      <c r="V120" s="906">
        <v>72.5</v>
      </c>
      <c r="W120" s="1141">
        <v>1.3562377864009414</v>
      </c>
      <c r="X120" s="902">
        <v>0</v>
      </c>
      <c r="Y120" s="902">
        <v>0</v>
      </c>
      <c r="Z120" s="902">
        <v>0</v>
      </c>
      <c r="AA120" s="902">
        <v>0</v>
      </c>
      <c r="AB120" s="970">
        <v>1.8443047567949147</v>
      </c>
      <c r="AC120" s="1045">
        <v>4000</v>
      </c>
      <c r="AD120" s="890">
        <v>2.4388087866738268</v>
      </c>
      <c r="AE120" s="890">
        <v>0.62486935190932746</v>
      </c>
      <c r="AF120" s="890">
        <v>-0.20670568529120789</v>
      </c>
      <c r="AG120" s="890">
        <v>0.75081863964512641</v>
      </c>
      <c r="AH120" s="888"/>
      <c r="AI120" s="907">
        <v>1.3904217729481045</v>
      </c>
      <c r="AJ120" s="908">
        <v>4.5216000000000003</v>
      </c>
      <c r="AK120" s="902">
        <v>26.175721444711815</v>
      </c>
      <c r="AL120" s="902">
        <v>0</v>
      </c>
      <c r="AM120" s="902">
        <v>0</v>
      </c>
      <c r="AN120" s="902">
        <v>19.057535260188647</v>
      </c>
      <c r="AO120" s="902">
        <v>0.92425394577463549</v>
      </c>
      <c r="AP120" s="1222">
        <v>3600</v>
      </c>
      <c r="AQ120" s="909" t="s">
        <v>1062</v>
      </c>
      <c r="AR120" s="909">
        <v>3</v>
      </c>
      <c r="AS120" s="909">
        <v>0</v>
      </c>
      <c r="AT120" s="909">
        <v>0</v>
      </c>
      <c r="AU120" s="909">
        <v>0</v>
      </c>
      <c r="AV120" s="910">
        <v>7121.6437151947848</v>
      </c>
      <c r="AW120" s="909">
        <v>0</v>
      </c>
      <c r="AX120" s="909">
        <v>0</v>
      </c>
      <c r="AY120" s="909">
        <v>0</v>
      </c>
      <c r="AZ120" s="910">
        <v>7697.4372825079781</v>
      </c>
      <c r="BA120" s="871">
        <v>4000</v>
      </c>
      <c r="BB120" s="911">
        <v>126.08258516407037</v>
      </c>
      <c r="BC120" s="908">
        <v>4.5216000000000003</v>
      </c>
      <c r="BD120" s="902">
        <v>26.175721444711815</v>
      </c>
      <c r="BE120" s="902">
        <v>0</v>
      </c>
      <c r="BF120" s="902">
        <v>0</v>
      </c>
      <c r="BG120" s="902">
        <v>19.057535260188647</v>
      </c>
      <c r="BH120" s="902">
        <v>0.92425394577463549</v>
      </c>
      <c r="BI120" s="902">
        <v>3600</v>
      </c>
      <c r="BJ120" s="909" t="s">
        <v>1062</v>
      </c>
      <c r="BK120" s="909">
        <v>3</v>
      </c>
      <c r="BL120" s="909">
        <v>0</v>
      </c>
      <c r="BM120" s="909">
        <v>0</v>
      </c>
      <c r="BN120" s="909">
        <v>0</v>
      </c>
      <c r="BO120" s="910">
        <v>7121.6437151947848</v>
      </c>
      <c r="BP120" s="909">
        <v>0</v>
      </c>
      <c r="BQ120" s="909">
        <v>0</v>
      </c>
      <c r="BR120" s="909">
        <v>0</v>
      </c>
      <c r="BS120" s="910">
        <v>7697.4372825079781</v>
      </c>
      <c r="BT120" s="871">
        <v>4000</v>
      </c>
      <c r="BU120" s="911">
        <v>126.08258516407037</v>
      </c>
      <c r="BV120" s="908">
        <v>3.0144000000000002</v>
      </c>
      <c r="BW120" s="902">
        <v>24.668521444711814</v>
      </c>
      <c r="BX120" s="902">
        <v>0</v>
      </c>
      <c r="BY120" s="902">
        <v>0</v>
      </c>
      <c r="BZ120" s="902">
        <v>18.388971362153356</v>
      </c>
      <c r="CA120" s="902">
        <v>0.84013259217463554</v>
      </c>
      <c r="CB120" s="902">
        <v>3600</v>
      </c>
      <c r="CC120" s="909" t="s">
        <v>2874</v>
      </c>
      <c r="CD120" s="909">
        <v>2</v>
      </c>
      <c r="CE120" s="909">
        <v>0</v>
      </c>
      <c r="CF120" s="909">
        <v>0</v>
      </c>
      <c r="CG120" s="909">
        <v>0</v>
      </c>
      <c r="CH120" s="910">
        <v>5074.2782138411176</v>
      </c>
      <c r="CI120" s="909">
        <v>0</v>
      </c>
      <c r="CJ120" s="909">
        <v>0</v>
      </c>
      <c r="CK120" s="909">
        <v>0</v>
      </c>
      <c r="CL120" s="910">
        <v>5011.2113323972098</v>
      </c>
      <c r="CM120" s="871">
        <v>4000</v>
      </c>
      <c r="CN120" s="911">
        <v>126.08258516407037</v>
      </c>
      <c r="CO120" s="908">
        <v>3.0144000000000002</v>
      </c>
      <c r="CP120" s="902">
        <v>24.668521444711814</v>
      </c>
      <c r="CQ120" s="902">
        <v>0</v>
      </c>
      <c r="CR120" s="902">
        <v>0</v>
      </c>
      <c r="CS120" s="902">
        <v>18.388971362153356</v>
      </c>
      <c r="CT120" s="902">
        <v>0.84013259217463554</v>
      </c>
      <c r="CU120" s="902">
        <v>3600</v>
      </c>
      <c r="CV120" s="909" t="s">
        <v>2874</v>
      </c>
      <c r="CW120" s="909">
        <v>2</v>
      </c>
      <c r="CX120" s="909">
        <v>0</v>
      </c>
      <c r="CY120" s="909">
        <v>0</v>
      </c>
      <c r="CZ120" s="909">
        <v>0</v>
      </c>
      <c r="DA120" s="910">
        <v>5074.2782138411176</v>
      </c>
      <c r="DB120" s="909">
        <v>0</v>
      </c>
      <c r="DC120" s="909">
        <v>0</v>
      </c>
      <c r="DD120" s="909">
        <v>0</v>
      </c>
      <c r="DE120" s="910">
        <v>5011.2113323972098</v>
      </c>
      <c r="DF120" s="871">
        <v>4000</v>
      </c>
      <c r="DG120" s="911">
        <v>126.08258516407037</v>
      </c>
      <c r="DH120" s="908">
        <v>3.0144000000000002</v>
      </c>
      <c r="DI120" s="902">
        <v>24.668521444711814</v>
      </c>
      <c r="DJ120" s="902">
        <v>0</v>
      </c>
      <c r="DK120" s="902">
        <v>0</v>
      </c>
      <c r="DL120" s="902">
        <v>18.388971362153356</v>
      </c>
      <c r="DM120" s="902">
        <v>0.84013259217463554</v>
      </c>
      <c r="DN120" s="902">
        <v>3600</v>
      </c>
      <c r="DO120" s="909" t="s">
        <v>2876</v>
      </c>
      <c r="DP120" s="909">
        <v>2</v>
      </c>
      <c r="DQ120" s="909">
        <v>0</v>
      </c>
      <c r="DR120" s="909">
        <v>0</v>
      </c>
      <c r="DS120" s="909">
        <v>0</v>
      </c>
      <c r="DT120" s="910">
        <v>5424.6315889608486</v>
      </c>
      <c r="DU120" s="909">
        <v>0</v>
      </c>
      <c r="DV120" s="909">
        <v>0</v>
      </c>
      <c r="DW120" s="909">
        <v>0</v>
      </c>
      <c r="DX120" s="910">
        <v>5357.2102567281863</v>
      </c>
      <c r="DY120" s="871">
        <v>4000</v>
      </c>
      <c r="DZ120" s="911">
        <v>126.08258516407037</v>
      </c>
      <c r="EA120" s="908">
        <v>3.0144000000000002</v>
      </c>
      <c r="EB120" s="902">
        <v>24.668521444711814</v>
      </c>
      <c r="EC120" s="902">
        <v>0</v>
      </c>
      <c r="ED120" s="902">
        <v>0</v>
      </c>
      <c r="EE120" s="902">
        <v>18.388971362153356</v>
      </c>
      <c r="EF120" s="902">
        <v>0.84013259217463554</v>
      </c>
      <c r="EG120" s="902">
        <v>3600</v>
      </c>
      <c r="EH120" s="909" t="s">
        <v>2876</v>
      </c>
      <c r="EI120" s="909">
        <v>2</v>
      </c>
      <c r="EJ120" s="909">
        <v>0</v>
      </c>
      <c r="EK120" s="909">
        <v>0</v>
      </c>
      <c r="EL120" s="909">
        <v>0</v>
      </c>
      <c r="EM120" s="910">
        <v>5424.6315889608486</v>
      </c>
      <c r="EN120" s="909">
        <v>0</v>
      </c>
      <c r="EO120" s="909">
        <v>0</v>
      </c>
      <c r="EP120" s="909">
        <v>0</v>
      </c>
      <c r="EQ120" s="910">
        <v>5357.2102567281863</v>
      </c>
      <c r="ER120" s="871">
        <v>4000</v>
      </c>
      <c r="ES120" s="911">
        <v>126.08258516407037</v>
      </c>
      <c r="ET120" s="908">
        <v>3.0144000000000002</v>
      </c>
      <c r="EU120" s="902">
        <v>24.668521444711814</v>
      </c>
      <c r="EV120" s="902">
        <v>0</v>
      </c>
      <c r="EW120" s="902">
        <v>0</v>
      </c>
      <c r="EX120" s="902">
        <v>18.388971362153356</v>
      </c>
      <c r="EY120" s="902">
        <v>0.84013259217463554</v>
      </c>
      <c r="EZ120" s="902">
        <v>3600</v>
      </c>
      <c r="FA120" s="909" t="s">
        <v>3889</v>
      </c>
      <c r="FB120" s="909">
        <v>2</v>
      </c>
      <c r="FC120" s="909">
        <v>0</v>
      </c>
      <c r="FD120" s="909">
        <v>0</v>
      </c>
      <c r="FE120" s="909">
        <v>0</v>
      </c>
      <c r="FF120" s="910">
        <v>5536.4914314722892</v>
      </c>
      <c r="FG120" s="909">
        <v>0</v>
      </c>
      <c r="FH120" s="909">
        <v>0</v>
      </c>
      <c r="FI120" s="909">
        <v>0</v>
      </c>
      <c r="FJ120" s="910">
        <v>5467.6798224112026</v>
      </c>
      <c r="FK120" s="871">
        <v>4000</v>
      </c>
      <c r="FL120" s="911">
        <v>126.08258516407037</v>
      </c>
      <c r="FM120" s="908">
        <v>3.0144000000000002</v>
      </c>
      <c r="FN120" s="902">
        <v>24.668521444711814</v>
      </c>
      <c r="FO120" s="902">
        <v>0</v>
      </c>
      <c r="FP120" s="902">
        <v>0</v>
      </c>
      <c r="FQ120" s="902">
        <v>18.388971362153356</v>
      </c>
      <c r="FR120" s="902">
        <v>0.84013259217463554</v>
      </c>
      <c r="FS120" s="902">
        <v>3600</v>
      </c>
      <c r="FT120" s="909" t="s">
        <v>3889</v>
      </c>
      <c r="FU120" s="909">
        <v>2</v>
      </c>
      <c r="FV120" s="909">
        <v>0</v>
      </c>
      <c r="FW120" s="909">
        <v>0</v>
      </c>
      <c r="FX120" s="909">
        <v>0</v>
      </c>
      <c r="FY120" s="910">
        <v>5536.4914314722892</v>
      </c>
      <c r="FZ120" s="909">
        <v>0</v>
      </c>
      <c r="GA120" s="909">
        <v>0</v>
      </c>
      <c r="GB120" s="909">
        <v>0</v>
      </c>
      <c r="GC120" s="910">
        <v>5467.6798224112026</v>
      </c>
      <c r="GD120" s="871">
        <v>4000</v>
      </c>
      <c r="GE120" s="911">
        <v>126.08258516407037</v>
      </c>
      <c r="GF120" s="908">
        <v>3.0144000000000002</v>
      </c>
      <c r="GG120" s="902">
        <v>24.668521444711814</v>
      </c>
      <c r="GH120" s="902">
        <v>0</v>
      </c>
      <c r="GI120" s="902">
        <v>0</v>
      </c>
      <c r="GJ120" s="902">
        <v>18.388971362153356</v>
      </c>
      <c r="GK120" s="902">
        <v>0.84013259217463554</v>
      </c>
      <c r="GL120" s="902">
        <v>3600</v>
      </c>
      <c r="GM120" s="909" t="s">
        <v>2877</v>
      </c>
      <c r="GN120" s="909">
        <v>2</v>
      </c>
      <c r="GO120" s="909">
        <v>0</v>
      </c>
      <c r="GP120" s="909">
        <v>0</v>
      </c>
      <c r="GQ120" s="909">
        <v>0</v>
      </c>
      <c r="GR120" s="910">
        <v>7427.9827185730492</v>
      </c>
      <c r="GS120" s="909">
        <v>0</v>
      </c>
      <c r="GT120" s="909">
        <v>0</v>
      </c>
      <c r="GU120" s="909">
        <v>0</v>
      </c>
      <c r="GV120" s="910">
        <v>7335.6622572704309</v>
      </c>
      <c r="GW120" s="871">
        <v>4000</v>
      </c>
      <c r="GX120" s="911">
        <v>126.08258516407037</v>
      </c>
      <c r="GY120" s="908">
        <v>3.0144000000000002</v>
      </c>
      <c r="GZ120" s="902">
        <v>24.668521444711814</v>
      </c>
      <c r="HA120" s="902">
        <v>0</v>
      </c>
      <c r="HB120" s="902">
        <v>0</v>
      </c>
      <c r="HC120" s="902">
        <v>18.388971362153356</v>
      </c>
      <c r="HD120" s="902">
        <v>0.84013259217463554</v>
      </c>
      <c r="HE120" s="902">
        <v>3600</v>
      </c>
      <c r="HF120" s="909" t="s">
        <v>2877</v>
      </c>
      <c r="HG120" s="909">
        <v>2</v>
      </c>
      <c r="HH120" s="909">
        <v>0</v>
      </c>
      <c r="HI120" s="909">
        <v>0</v>
      </c>
      <c r="HJ120" s="909">
        <v>0</v>
      </c>
      <c r="HK120" s="910">
        <v>7427.9827185730492</v>
      </c>
      <c r="HL120" s="909">
        <v>0</v>
      </c>
      <c r="HM120" s="909">
        <v>0</v>
      </c>
      <c r="HN120" s="909">
        <v>0</v>
      </c>
      <c r="HO120" s="910">
        <v>7335.6622572704309</v>
      </c>
      <c r="HP120" s="871">
        <v>4000</v>
      </c>
      <c r="HQ120" s="911">
        <v>126.08258516407037</v>
      </c>
      <c r="HR120" s="908">
        <v>3.0144000000000002</v>
      </c>
      <c r="HS120" s="902">
        <v>24.668521444711814</v>
      </c>
      <c r="HT120" s="902">
        <v>0</v>
      </c>
      <c r="HU120" s="902">
        <v>0</v>
      </c>
      <c r="HV120" s="902">
        <v>18.388971362153356</v>
      </c>
      <c r="HW120" s="902">
        <v>0.84013259217463554</v>
      </c>
      <c r="HX120" s="902">
        <v>3600</v>
      </c>
      <c r="HY120" s="909" t="s">
        <v>1063</v>
      </c>
      <c r="HZ120" s="909">
        <v>2</v>
      </c>
      <c r="IA120" s="909">
        <v>0</v>
      </c>
      <c r="IB120" s="909">
        <v>0</v>
      </c>
      <c r="IC120" s="909">
        <v>0</v>
      </c>
      <c r="ID120" s="910">
        <v>6550.8650054099207</v>
      </c>
      <c r="IE120" s="909">
        <v>0</v>
      </c>
      <c r="IF120" s="909">
        <v>0</v>
      </c>
      <c r="IG120" s="909">
        <v>0</v>
      </c>
      <c r="IH120" s="910">
        <v>6469.4460115667589</v>
      </c>
      <c r="II120" s="871">
        <v>4000</v>
      </c>
      <c r="IJ120" s="911">
        <v>126.08258516407037</v>
      </c>
      <c r="IK120" s="908">
        <v>3.0144000000000002</v>
      </c>
      <c r="IL120" s="902">
        <v>24.668521444711814</v>
      </c>
      <c r="IM120" s="902">
        <v>0</v>
      </c>
      <c r="IN120" s="902">
        <v>0</v>
      </c>
      <c r="IO120" s="902">
        <v>18.388971362153356</v>
      </c>
      <c r="IP120" s="902">
        <v>0.84013259217463554</v>
      </c>
      <c r="IQ120" s="902">
        <v>3600</v>
      </c>
      <c r="IR120" s="909" t="s">
        <v>1063</v>
      </c>
      <c r="IS120" s="909">
        <v>2</v>
      </c>
      <c r="IT120" s="909">
        <v>0</v>
      </c>
      <c r="IU120" s="909">
        <v>0</v>
      </c>
      <c r="IV120" s="909">
        <v>0</v>
      </c>
      <c r="IW120" s="910">
        <v>6550.8650054099207</v>
      </c>
      <c r="IX120" s="909">
        <v>0</v>
      </c>
      <c r="IY120" s="909">
        <v>0</v>
      </c>
      <c r="IZ120" s="909">
        <v>0</v>
      </c>
      <c r="JA120" s="910">
        <v>6469.4460115667589</v>
      </c>
      <c r="JB120" s="871">
        <v>4000</v>
      </c>
      <c r="JC120" s="911">
        <v>126.08258516407037</v>
      </c>
      <c r="JD120" s="908">
        <v>3.0144000000000002</v>
      </c>
      <c r="JE120" s="902">
        <v>24.668521444711814</v>
      </c>
      <c r="JF120" s="902">
        <v>0</v>
      </c>
      <c r="JG120" s="902">
        <v>0</v>
      </c>
      <c r="JH120" s="902">
        <v>18.388971362153356</v>
      </c>
      <c r="JI120" s="902">
        <v>0.84013259217463554</v>
      </c>
      <c r="JJ120" s="902">
        <v>3600</v>
      </c>
      <c r="JK120" s="909" t="s">
        <v>1064</v>
      </c>
      <c r="JL120" s="909">
        <v>2</v>
      </c>
      <c r="JM120" s="909">
        <v>0</v>
      </c>
      <c r="JN120" s="909">
        <v>0</v>
      </c>
      <c r="JO120" s="909">
        <v>0</v>
      </c>
      <c r="JP120" s="910">
        <v>8927.324188357612</v>
      </c>
      <c r="JQ120" s="909">
        <v>0</v>
      </c>
      <c r="JR120" s="909">
        <v>0</v>
      </c>
      <c r="JS120" s="909">
        <v>0</v>
      </c>
      <c r="JT120" s="910">
        <v>8816.3688026914824</v>
      </c>
      <c r="JU120" s="871">
        <v>4000</v>
      </c>
      <c r="JV120" s="911">
        <v>126.08258516407037</v>
      </c>
      <c r="JW120" s="908">
        <v>3.0144000000000002</v>
      </c>
      <c r="JX120" s="902">
        <v>24.668521444711814</v>
      </c>
      <c r="JY120" s="902">
        <v>0</v>
      </c>
      <c r="JZ120" s="902">
        <v>0</v>
      </c>
      <c r="KA120" s="902">
        <v>18.388971362153356</v>
      </c>
      <c r="KB120" s="902">
        <v>0.84013259217463554</v>
      </c>
      <c r="KC120" s="902">
        <v>3600</v>
      </c>
      <c r="KD120" s="909" t="s">
        <v>1064</v>
      </c>
      <c r="KE120" s="909">
        <v>2</v>
      </c>
      <c r="KF120" s="909">
        <v>0</v>
      </c>
      <c r="KG120" s="909">
        <v>0</v>
      </c>
      <c r="KH120" s="909">
        <v>0</v>
      </c>
      <c r="KI120" s="910">
        <v>8927.324188357612</v>
      </c>
      <c r="KJ120" s="909">
        <v>0</v>
      </c>
      <c r="KK120" s="909">
        <v>0</v>
      </c>
      <c r="KL120" s="909">
        <v>0</v>
      </c>
      <c r="KM120" s="910">
        <v>8816.3688026914824</v>
      </c>
      <c r="KN120" s="871">
        <v>4000</v>
      </c>
      <c r="KO120" s="912">
        <v>126.08258516407037</v>
      </c>
    </row>
    <row r="121" spans="1:301" ht="15" customHeight="1">
      <c r="A121" s="924" t="s">
        <v>1583</v>
      </c>
      <c r="B121" s="888" t="s">
        <v>1076</v>
      </c>
      <c r="C121" s="888">
        <v>305</v>
      </c>
      <c r="D121" s="888">
        <v>602</v>
      </c>
      <c r="E121" s="888">
        <v>320</v>
      </c>
      <c r="F121" s="888">
        <v>305</v>
      </c>
      <c r="G121" s="888">
        <v>99</v>
      </c>
      <c r="H121" s="888">
        <v>85</v>
      </c>
      <c r="I121" s="888">
        <v>85</v>
      </c>
      <c r="J121" s="888">
        <v>40.69</v>
      </c>
      <c r="K121" s="888">
        <v>65.11</v>
      </c>
      <c r="L121" s="888">
        <v>16</v>
      </c>
      <c r="M121" s="888">
        <v>181</v>
      </c>
      <c r="N121" s="888">
        <v>2</v>
      </c>
      <c r="O121" s="884">
        <v>3.2060446259930453</v>
      </c>
      <c r="P121" s="888">
        <v>2</v>
      </c>
      <c r="Q121" s="884">
        <v>2.0515141596585096</v>
      </c>
      <c r="R121" s="888">
        <v>13.000000000000002</v>
      </c>
      <c r="S121" s="888">
        <v>442.75295733824493</v>
      </c>
      <c r="T121" s="906">
        <v>15.711796006824745</v>
      </c>
      <c r="U121" s="906">
        <v>66.412943600736739</v>
      </c>
      <c r="V121" s="906">
        <v>72.5</v>
      </c>
      <c r="W121" s="1141">
        <v>1.4786461866999729</v>
      </c>
      <c r="X121" s="902">
        <v>0</v>
      </c>
      <c r="Y121" s="902">
        <v>0</v>
      </c>
      <c r="Z121" s="902">
        <v>0</v>
      </c>
      <c r="AA121" s="902">
        <v>0</v>
      </c>
      <c r="AB121" s="970">
        <v>2.501745473999466</v>
      </c>
      <c r="AC121" s="1045">
        <v>4000</v>
      </c>
      <c r="AD121" s="890">
        <v>2.8183037862581872</v>
      </c>
      <c r="AE121" s="890">
        <v>0.85983208191463634</v>
      </c>
      <c r="AF121" s="890">
        <v>-0.15084823504160252</v>
      </c>
      <c r="AG121" s="890">
        <v>0.49631509208355018</v>
      </c>
      <c r="AH121" s="888"/>
      <c r="AI121" s="907">
        <v>1.48472241573146</v>
      </c>
      <c r="AJ121" s="908">
        <v>5.7970680000000003</v>
      </c>
      <c r="AK121" s="902">
        <v>28.245068979176271</v>
      </c>
      <c r="AL121" s="902">
        <v>0</v>
      </c>
      <c r="AM121" s="902">
        <v>0</v>
      </c>
      <c r="AN121" s="902">
        <v>23.957041711605559</v>
      </c>
      <c r="AO121" s="902">
        <v>1.0444946371550827</v>
      </c>
      <c r="AP121" s="1222">
        <v>3600</v>
      </c>
      <c r="AQ121" s="909" t="s">
        <v>1062</v>
      </c>
      <c r="AR121" s="909">
        <v>3</v>
      </c>
      <c r="AS121" s="909">
        <v>0</v>
      </c>
      <c r="AT121" s="909">
        <v>0</v>
      </c>
      <c r="AU121" s="909">
        <v>0</v>
      </c>
      <c r="AV121" s="910">
        <v>4839.2426024087999</v>
      </c>
      <c r="AW121" s="909">
        <v>0</v>
      </c>
      <c r="AX121" s="909">
        <v>0</v>
      </c>
      <c r="AY121" s="909">
        <v>0</v>
      </c>
      <c r="AZ121" s="910">
        <v>4997.8396771630314</v>
      </c>
      <c r="BA121" s="871">
        <v>4000</v>
      </c>
      <c r="BB121" s="911">
        <v>126.08258516407037</v>
      </c>
      <c r="BC121" s="908">
        <v>5.7970680000000003</v>
      </c>
      <c r="BD121" s="902">
        <v>28.245068979176271</v>
      </c>
      <c r="BE121" s="902">
        <v>0</v>
      </c>
      <c r="BF121" s="902">
        <v>0</v>
      </c>
      <c r="BG121" s="902">
        <v>23.957041711605559</v>
      </c>
      <c r="BH121" s="902">
        <v>1.0444946371550827</v>
      </c>
      <c r="BI121" s="902">
        <v>3600</v>
      </c>
      <c r="BJ121" s="909" t="s">
        <v>1062</v>
      </c>
      <c r="BK121" s="909">
        <v>3</v>
      </c>
      <c r="BL121" s="909">
        <v>0</v>
      </c>
      <c r="BM121" s="909">
        <v>0</v>
      </c>
      <c r="BN121" s="909">
        <v>0</v>
      </c>
      <c r="BO121" s="910">
        <v>4839.2426024087999</v>
      </c>
      <c r="BP121" s="909">
        <v>0</v>
      </c>
      <c r="BQ121" s="909">
        <v>0</v>
      </c>
      <c r="BR121" s="909">
        <v>0</v>
      </c>
      <c r="BS121" s="910">
        <v>4997.8396771630314</v>
      </c>
      <c r="BT121" s="871">
        <v>4000</v>
      </c>
      <c r="BU121" s="911">
        <v>126.08258516407037</v>
      </c>
      <c r="BV121" s="908">
        <v>5.7970680000000003</v>
      </c>
      <c r="BW121" s="902">
        <v>28.245068979176271</v>
      </c>
      <c r="BX121" s="902">
        <v>0</v>
      </c>
      <c r="BY121" s="902">
        <v>0</v>
      </c>
      <c r="BZ121" s="902">
        <v>23.957041711605559</v>
      </c>
      <c r="CA121" s="902">
        <v>1.0444946371550827</v>
      </c>
      <c r="CB121" s="902">
        <v>3600</v>
      </c>
      <c r="CC121" s="909" t="s">
        <v>2874</v>
      </c>
      <c r="CD121" s="909">
        <v>3</v>
      </c>
      <c r="CE121" s="909">
        <v>0</v>
      </c>
      <c r="CF121" s="909">
        <v>0</v>
      </c>
      <c r="CG121" s="909">
        <v>0</v>
      </c>
      <c r="CH121" s="910">
        <v>4498.1534417728126</v>
      </c>
      <c r="CI121" s="909">
        <v>0</v>
      </c>
      <c r="CJ121" s="909">
        <v>0</v>
      </c>
      <c r="CK121" s="909">
        <v>0</v>
      </c>
      <c r="CL121" s="910">
        <v>4645.5719608000973</v>
      </c>
      <c r="CM121" s="871">
        <v>4000</v>
      </c>
      <c r="CN121" s="911">
        <v>126.08258516407037</v>
      </c>
      <c r="CO121" s="908">
        <v>5.7970680000000003</v>
      </c>
      <c r="CP121" s="902">
        <v>28.245068979176271</v>
      </c>
      <c r="CQ121" s="902">
        <v>0</v>
      </c>
      <c r="CR121" s="902">
        <v>0</v>
      </c>
      <c r="CS121" s="902">
        <v>23.957041711605559</v>
      </c>
      <c r="CT121" s="902">
        <v>1.0444946371550827</v>
      </c>
      <c r="CU121" s="902">
        <v>3600</v>
      </c>
      <c r="CV121" s="909" t="s">
        <v>2874</v>
      </c>
      <c r="CW121" s="909">
        <v>3</v>
      </c>
      <c r="CX121" s="909">
        <v>0</v>
      </c>
      <c r="CY121" s="909">
        <v>0</v>
      </c>
      <c r="CZ121" s="909">
        <v>0</v>
      </c>
      <c r="DA121" s="910">
        <v>4498.1534417728126</v>
      </c>
      <c r="DB121" s="909">
        <v>0</v>
      </c>
      <c r="DC121" s="909">
        <v>0</v>
      </c>
      <c r="DD121" s="909">
        <v>0</v>
      </c>
      <c r="DE121" s="910">
        <v>4645.5719608000973</v>
      </c>
      <c r="DF121" s="871">
        <v>4000</v>
      </c>
      <c r="DG121" s="911">
        <v>126.08258516407037</v>
      </c>
      <c r="DH121" s="908">
        <v>3.8647120000000004</v>
      </c>
      <c r="DI121" s="902">
        <v>26.312712979176272</v>
      </c>
      <c r="DJ121" s="902">
        <v>0</v>
      </c>
      <c r="DK121" s="902">
        <v>0</v>
      </c>
      <c r="DL121" s="902">
        <v>22.595281837787699</v>
      </c>
      <c r="DM121" s="902">
        <v>0.93448826706458288</v>
      </c>
      <c r="DN121" s="902">
        <v>3600</v>
      </c>
      <c r="DO121" s="909" t="s">
        <v>2876</v>
      </c>
      <c r="DP121" s="909">
        <v>2</v>
      </c>
      <c r="DQ121" s="909">
        <v>0</v>
      </c>
      <c r="DR121" s="909">
        <v>0</v>
      </c>
      <c r="DS121" s="909">
        <v>0</v>
      </c>
      <c r="DT121" s="910">
        <v>3859.0899596222011</v>
      </c>
      <c r="DU121" s="909">
        <v>0</v>
      </c>
      <c r="DV121" s="909">
        <v>0</v>
      </c>
      <c r="DW121" s="909">
        <v>0</v>
      </c>
      <c r="DX121" s="910">
        <v>3974.6600349594542</v>
      </c>
      <c r="DY121" s="871">
        <v>3859.0899596222011</v>
      </c>
      <c r="DZ121" s="911">
        <v>121.64100962246877</v>
      </c>
      <c r="EA121" s="908">
        <v>3.8647120000000004</v>
      </c>
      <c r="EB121" s="902">
        <v>26.312712979176272</v>
      </c>
      <c r="EC121" s="902">
        <v>0</v>
      </c>
      <c r="ED121" s="902">
        <v>0</v>
      </c>
      <c r="EE121" s="902">
        <v>22.595281837787699</v>
      </c>
      <c r="EF121" s="902">
        <v>0.93448826706458288</v>
      </c>
      <c r="EG121" s="902">
        <v>3600</v>
      </c>
      <c r="EH121" s="909" t="s">
        <v>2876</v>
      </c>
      <c r="EI121" s="909">
        <v>2</v>
      </c>
      <c r="EJ121" s="909">
        <v>0</v>
      </c>
      <c r="EK121" s="909">
        <v>0</v>
      </c>
      <c r="EL121" s="909">
        <v>0</v>
      </c>
      <c r="EM121" s="910">
        <v>3859.0899596222011</v>
      </c>
      <c r="EN121" s="909">
        <v>0</v>
      </c>
      <c r="EO121" s="909">
        <v>0</v>
      </c>
      <c r="EP121" s="909">
        <v>0</v>
      </c>
      <c r="EQ121" s="910">
        <v>3974.6600349594542</v>
      </c>
      <c r="ER121" s="871">
        <v>3859.0899596222011</v>
      </c>
      <c r="ES121" s="911">
        <v>121.64100962246877</v>
      </c>
      <c r="ET121" s="908">
        <v>3.8647120000000004</v>
      </c>
      <c r="EU121" s="902">
        <v>26.312712979176272</v>
      </c>
      <c r="EV121" s="902">
        <v>0</v>
      </c>
      <c r="EW121" s="902">
        <v>0</v>
      </c>
      <c r="EX121" s="902">
        <v>22.595281837787699</v>
      </c>
      <c r="EY121" s="902">
        <v>0.93448826706458288</v>
      </c>
      <c r="EZ121" s="902">
        <v>3600</v>
      </c>
      <c r="FA121" s="909" t="s">
        <v>3889</v>
      </c>
      <c r="FB121" s="909">
        <v>2</v>
      </c>
      <c r="FC121" s="909">
        <v>0</v>
      </c>
      <c r="FD121" s="909">
        <v>0</v>
      </c>
      <c r="FE121" s="909">
        <v>0</v>
      </c>
      <c r="FF121" s="910">
        <v>4050.564713861675</v>
      </c>
      <c r="FG121" s="909">
        <v>0</v>
      </c>
      <c r="FH121" s="909">
        <v>0</v>
      </c>
      <c r="FI121" s="909">
        <v>0</v>
      </c>
      <c r="FJ121" s="910">
        <v>4171.8689783482278</v>
      </c>
      <c r="FK121" s="871">
        <v>4000</v>
      </c>
      <c r="FL121" s="911">
        <v>126.08258516407037</v>
      </c>
      <c r="FM121" s="908">
        <v>3.8647120000000004</v>
      </c>
      <c r="FN121" s="902">
        <v>26.312712979176272</v>
      </c>
      <c r="FO121" s="902">
        <v>0</v>
      </c>
      <c r="FP121" s="902">
        <v>0</v>
      </c>
      <c r="FQ121" s="902">
        <v>22.595281837787699</v>
      </c>
      <c r="FR121" s="902">
        <v>0.93448826706458288</v>
      </c>
      <c r="FS121" s="902">
        <v>3600</v>
      </c>
      <c r="FT121" s="909" t="s">
        <v>3889</v>
      </c>
      <c r="FU121" s="909">
        <v>2</v>
      </c>
      <c r="FV121" s="909">
        <v>0</v>
      </c>
      <c r="FW121" s="909">
        <v>0</v>
      </c>
      <c r="FX121" s="909">
        <v>0</v>
      </c>
      <c r="FY121" s="910">
        <v>4050.564713861675</v>
      </c>
      <c r="FZ121" s="909">
        <v>0</v>
      </c>
      <c r="GA121" s="909">
        <v>0</v>
      </c>
      <c r="GB121" s="909">
        <v>0</v>
      </c>
      <c r="GC121" s="910">
        <v>4171.8689783482278</v>
      </c>
      <c r="GD121" s="871">
        <v>4000</v>
      </c>
      <c r="GE121" s="911">
        <v>126.08258516407037</v>
      </c>
      <c r="GF121" s="908">
        <v>3.8647120000000004</v>
      </c>
      <c r="GG121" s="902">
        <v>26.312712979176272</v>
      </c>
      <c r="GH121" s="902">
        <v>0</v>
      </c>
      <c r="GI121" s="902">
        <v>0</v>
      </c>
      <c r="GJ121" s="902">
        <v>22.595281837787699</v>
      </c>
      <c r="GK121" s="902">
        <v>0.93448826706458288</v>
      </c>
      <c r="GL121" s="902">
        <v>3600</v>
      </c>
      <c r="GM121" s="909" t="s">
        <v>2877</v>
      </c>
      <c r="GN121" s="909">
        <v>2</v>
      </c>
      <c r="GO121" s="909">
        <v>0</v>
      </c>
      <c r="GP121" s="909">
        <v>0</v>
      </c>
      <c r="GQ121" s="909">
        <v>0</v>
      </c>
      <c r="GR121" s="910">
        <v>4766.2865808579354</v>
      </c>
      <c r="GS121" s="909">
        <v>0</v>
      </c>
      <c r="GT121" s="909">
        <v>0</v>
      </c>
      <c r="GU121" s="909">
        <v>0</v>
      </c>
      <c r="GV121" s="910">
        <v>4909.0249220192336</v>
      </c>
      <c r="GW121" s="871">
        <v>4000</v>
      </c>
      <c r="GX121" s="911">
        <v>126.08258516407037</v>
      </c>
      <c r="GY121" s="908">
        <v>3.8647120000000004</v>
      </c>
      <c r="GZ121" s="902">
        <v>26.312712979176272</v>
      </c>
      <c r="HA121" s="902">
        <v>0</v>
      </c>
      <c r="HB121" s="902">
        <v>0</v>
      </c>
      <c r="HC121" s="902">
        <v>22.595281837787699</v>
      </c>
      <c r="HD121" s="902">
        <v>0.93448826706458288</v>
      </c>
      <c r="HE121" s="902">
        <v>3600</v>
      </c>
      <c r="HF121" s="909" t="s">
        <v>2877</v>
      </c>
      <c r="HG121" s="909">
        <v>2</v>
      </c>
      <c r="HH121" s="909">
        <v>0</v>
      </c>
      <c r="HI121" s="909">
        <v>0</v>
      </c>
      <c r="HJ121" s="909">
        <v>0</v>
      </c>
      <c r="HK121" s="910">
        <v>4766.2865808579354</v>
      </c>
      <c r="HL121" s="909">
        <v>0</v>
      </c>
      <c r="HM121" s="909">
        <v>0</v>
      </c>
      <c r="HN121" s="909">
        <v>0</v>
      </c>
      <c r="HO121" s="910">
        <v>4909.0249220192336</v>
      </c>
      <c r="HP121" s="871">
        <v>4000</v>
      </c>
      <c r="HQ121" s="911">
        <v>126.08258516407037</v>
      </c>
      <c r="HR121" s="908">
        <v>3.8647120000000004</v>
      </c>
      <c r="HS121" s="902">
        <v>26.312712979176272</v>
      </c>
      <c r="HT121" s="902">
        <v>0</v>
      </c>
      <c r="HU121" s="902">
        <v>0</v>
      </c>
      <c r="HV121" s="902">
        <v>22.595281837787699</v>
      </c>
      <c r="HW121" s="902">
        <v>0.93448826706458288</v>
      </c>
      <c r="HX121" s="902">
        <v>3600</v>
      </c>
      <c r="HY121" s="909" t="s">
        <v>1063</v>
      </c>
      <c r="HZ121" s="909">
        <v>2</v>
      </c>
      <c r="IA121" s="909">
        <v>0</v>
      </c>
      <c r="IB121" s="909">
        <v>0</v>
      </c>
      <c r="IC121" s="909">
        <v>0</v>
      </c>
      <c r="ID121" s="910">
        <v>4203.4696567381498</v>
      </c>
      <c r="IE121" s="909">
        <v>0</v>
      </c>
      <c r="IF121" s="909">
        <v>0</v>
      </c>
      <c r="IG121" s="909">
        <v>0</v>
      </c>
      <c r="IH121" s="910">
        <v>4329.3530411603788</v>
      </c>
      <c r="II121" s="871">
        <v>4000</v>
      </c>
      <c r="IJ121" s="911">
        <v>126.08258516407037</v>
      </c>
      <c r="IK121" s="908">
        <v>3.8647120000000004</v>
      </c>
      <c r="IL121" s="902">
        <v>26.312712979176272</v>
      </c>
      <c r="IM121" s="902">
        <v>0</v>
      </c>
      <c r="IN121" s="902">
        <v>0</v>
      </c>
      <c r="IO121" s="902">
        <v>22.595281837787699</v>
      </c>
      <c r="IP121" s="902">
        <v>0.93448826706458288</v>
      </c>
      <c r="IQ121" s="902">
        <v>3600</v>
      </c>
      <c r="IR121" s="909" t="s">
        <v>1063</v>
      </c>
      <c r="IS121" s="909">
        <v>2</v>
      </c>
      <c r="IT121" s="909">
        <v>0</v>
      </c>
      <c r="IU121" s="909">
        <v>0</v>
      </c>
      <c r="IV121" s="909">
        <v>0</v>
      </c>
      <c r="IW121" s="910">
        <v>4203.4696567381498</v>
      </c>
      <c r="IX121" s="909">
        <v>0</v>
      </c>
      <c r="IY121" s="909">
        <v>0</v>
      </c>
      <c r="IZ121" s="909">
        <v>0</v>
      </c>
      <c r="JA121" s="910">
        <v>4329.3530411603788</v>
      </c>
      <c r="JB121" s="871">
        <v>4000</v>
      </c>
      <c r="JC121" s="911">
        <v>126.08258516407037</v>
      </c>
      <c r="JD121" s="908">
        <v>3.8647120000000004</v>
      </c>
      <c r="JE121" s="902">
        <v>26.312712979176272</v>
      </c>
      <c r="JF121" s="902">
        <v>0</v>
      </c>
      <c r="JG121" s="902">
        <v>0</v>
      </c>
      <c r="JH121" s="902">
        <v>22.595281837787699</v>
      </c>
      <c r="JI121" s="902">
        <v>0.93448826706458288</v>
      </c>
      <c r="JJ121" s="902">
        <v>3600</v>
      </c>
      <c r="JK121" s="909" t="s">
        <v>1064</v>
      </c>
      <c r="JL121" s="909">
        <v>2</v>
      </c>
      <c r="JM121" s="909">
        <v>0</v>
      </c>
      <c r="JN121" s="909">
        <v>0</v>
      </c>
      <c r="JO121" s="909">
        <v>0</v>
      </c>
      <c r="JP121" s="910">
        <v>5728.3635536130769</v>
      </c>
      <c r="JQ121" s="909">
        <v>0</v>
      </c>
      <c r="JR121" s="909">
        <v>0</v>
      </c>
      <c r="JS121" s="909">
        <v>0</v>
      </c>
      <c r="JT121" s="910">
        <v>5899.9136896236514</v>
      </c>
      <c r="JU121" s="871">
        <v>4000</v>
      </c>
      <c r="JV121" s="911">
        <v>126.08258516407037</v>
      </c>
      <c r="JW121" s="908">
        <v>3.8647120000000004</v>
      </c>
      <c r="JX121" s="902">
        <v>26.312712979176272</v>
      </c>
      <c r="JY121" s="902">
        <v>0</v>
      </c>
      <c r="JZ121" s="902">
        <v>0</v>
      </c>
      <c r="KA121" s="902">
        <v>22.595281837787699</v>
      </c>
      <c r="KB121" s="902">
        <v>0.93448826706458288</v>
      </c>
      <c r="KC121" s="902">
        <v>3600</v>
      </c>
      <c r="KD121" s="909" t="s">
        <v>1064</v>
      </c>
      <c r="KE121" s="909">
        <v>2</v>
      </c>
      <c r="KF121" s="909">
        <v>0</v>
      </c>
      <c r="KG121" s="909">
        <v>0</v>
      </c>
      <c r="KH121" s="909">
        <v>0</v>
      </c>
      <c r="KI121" s="910">
        <v>5728.3635536130769</v>
      </c>
      <c r="KJ121" s="909">
        <v>0</v>
      </c>
      <c r="KK121" s="909">
        <v>0</v>
      </c>
      <c r="KL121" s="909">
        <v>0</v>
      </c>
      <c r="KM121" s="910">
        <v>5899.9136896236514</v>
      </c>
      <c r="KN121" s="871">
        <v>4000</v>
      </c>
      <c r="KO121" s="912">
        <v>126.08258516407037</v>
      </c>
    </row>
    <row r="122" spans="1:301" ht="15" customHeight="1">
      <c r="A122" s="924" t="s">
        <v>1690</v>
      </c>
      <c r="B122" s="888" t="s">
        <v>1076</v>
      </c>
      <c r="C122" s="888">
        <v>305</v>
      </c>
      <c r="D122" s="888">
        <v>602</v>
      </c>
      <c r="E122" s="888">
        <v>320</v>
      </c>
      <c r="F122" s="888">
        <v>305</v>
      </c>
      <c r="G122" s="888">
        <v>99</v>
      </c>
      <c r="H122" s="888">
        <v>85</v>
      </c>
      <c r="I122" s="888">
        <v>85</v>
      </c>
      <c r="J122" s="888">
        <v>40.69</v>
      </c>
      <c r="K122" s="888">
        <v>65.11</v>
      </c>
      <c r="L122" s="888">
        <v>16</v>
      </c>
      <c r="M122" s="888">
        <v>181</v>
      </c>
      <c r="N122" s="888">
        <v>2</v>
      </c>
      <c r="O122" s="884">
        <v>3.2060446259930453</v>
      </c>
      <c r="P122" s="888">
        <v>2</v>
      </c>
      <c r="Q122" s="884">
        <v>2.0515141596585096</v>
      </c>
      <c r="R122" s="888">
        <v>13.000000000000002</v>
      </c>
      <c r="S122" s="888">
        <v>442.75295733824493</v>
      </c>
      <c r="T122" s="906">
        <v>15.711796006824745</v>
      </c>
      <c r="U122" s="906">
        <v>66.412943600736739</v>
      </c>
      <c r="V122" s="906">
        <v>72.5</v>
      </c>
      <c r="W122" s="1141">
        <v>1.4786461866999729</v>
      </c>
      <c r="X122" s="902">
        <v>0</v>
      </c>
      <c r="Y122" s="902">
        <v>0</v>
      </c>
      <c r="Z122" s="902">
        <v>0</v>
      </c>
      <c r="AA122" s="902">
        <v>0</v>
      </c>
      <c r="AB122" s="970">
        <v>2.501745473999466</v>
      </c>
      <c r="AC122" s="1045">
        <v>4000</v>
      </c>
      <c r="AD122" s="890">
        <v>2.8183037862581872</v>
      </c>
      <c r="AE122" s="890">
        <v>0.85983208191463634</v>
      </c>
      <c r="AF122" s="890">
        <v>-0.15084823504160252</v>
      </c>
      <c r="AG122" s="890">
        <v>0.49631509208355018</v>
      </c>
      <c r="AH122" s="888"/>
      <c r="AI122" s="907">
        <v>1.48472241573146</v>
      </c>
      <c r="AJ122" s="908">
        <v>5.7970680000000003</v>
      </c>
      <c r="AK122" s="902">
        <v>28.245068979176271</v>
      </c>
      <c r="AL122" s="902">
        <v>0</v>
      </c>
      <c r="AM122" s="902">
        <v>0</v>
      </c>
      <c r="AN122" s="902">
        <v>23.957041711605559</v>
      </c>
      <c r="AO122" s="902">
        <v>1.0444946371550827</v>
      </c>
      <c r="AP122" s="1222">
        <v>3600</v>
      </c>
      <c r="AQ122" s="909" t="s">
        <v>1062</v>
      </c>
      <c r="AR122" s="909">
        <v>3</v>
      </c>
      <c r="AS122" s="909">
        <v>0</v>
      </c>
      <c r="AT122" s="909">
        <v>0</v>
      </c>
      <c r="AU122" s="909">
        <v>0</v>
      </c>
      <c r="AV122" s="910">
        <v>4839.2426024087999</v>
      </c>
      <c r="AW122" s="909">
        <v>0</v>
      </c>
      <c r="AX122" s="909">
        <v>0</v>
      </c>
      <c r="AY122" s="909">
        <v>0</v>
      </c>
      <c r="AZ122" s="910">
        <v>4997.8396771630314</v>
      </c>
      <c r="BA122" s="871">
        <v>4000</v>
      </c>
      <c r="BB122" s="911">
        <v>126.08258516407037</v>
      </c>
      <c r="BC122" s="908">
        <v>5.7970680000000003</v>
      </c>
      <c r="BD122" s="902">
        <v>28.245068979176271</v>
      </c>
      <c r="BE122" s="902">
        <v>0</v>
      </c>
      <c r="BF122" s="902">
        <v>0</v>
      </c>
      <c r="BG122" s="902">
        <v>23.957041711605559</v>
      </c>
      <c r="BH122" s="902">
        <v>1.0444946371550827</v>
      </c>
      <c r="BI122" s="902">
        <v>3600</v>
      </c>
      <c r="BJ122" s="909" t="s">
        <v>1062</v>
      </c>
      <c r="BK122" s="909">
        <v>3</v>
      </c>
      <c r="BL122" s="909">
        <v>0</v>
      </c>
      <c r="BM122" s="909">
        <v>0</v>
      </c>
      <c r="BN122" s="909">
        <v>0</v>
      </c>
      <c r="BO122" s="910">
        <v>4839.2426024087999</v>
      </c>
      <c r="BP122" s="909">
        <v>0</v>
      </c>
      <c r="BQ122" s="909">
        <v>0</v>
      </c>
      <c r="BR122" s="909">
        <v>0</v>
      </c>
      <c r="BS122" s="910">
        <v>4997.8396771630314</v>
      </c>
      <c r="BT122" s="871">
        <v>4000</v>
      </c>
      <c r="BU122" s="911">
        <v>126.08258516407037</v>
      </c>
      <c r="BV122" s="908">
        <v>5.7970680000000003</v>
      </c>
      <c r="BW122" s="902">
        <v>28.245068979176271</v>
      </c>
      <c r="BX122" s="902">
        <v>0</v>
      </c>
      <c r="BY122" s="902">
        <v>0</v>
      </c>
      <c r="BZ122" s="902">
        <v>23.957041711605559</v>
      </c>
      <c r="CA122" s="902">
        <v>1.0444946371550827</v>
      </c>
      <c r="CB122" s="902">
        <v>3600</v>
      </c>
      <c r="CC122" s="909" t="s">
        <v>2874</v>
      </c>
      <c r="CD122" s="909">
        <v>3</v>
      </c>
      <c r="CE122" s="909">
        <v>0</v>
      </c>
      <c r="CF122" s="909">
        <v>0</v>
      </c>
      <c r="CG122" s="909">
        <v>0</v>
      </c>
      <c r="CH122" s="910">
        <v>4415.970478598405</v>
      </c>
      <c r="CI122" s="909">
        <v>0</v>
      </c>
      <c r="CJ122" s="909">
        <v>0</v>
      </c>
      <c r="CK122" s="909">
        <v>0</v>
      </c>
      <c r="CL122" s="910">
        <v>4345.534660729365</v>
      </c>
      <c r="CM122" s="871">
        <v>4000</v>
      </c>
      <c r="CN122" s="911">
        <v>126.08258516407037</v>
      </c>
      <c r="CO122" s="908">
        <v>5.7970680000000003</v>
      </c>
      <c r="CP122" s="902">
        <v>28.245068979176271</v>
      </c>
      <c r="CQ122" s="902">
        <v>0</v>
      </c>
      <c r="CR122" s="902">
        <v>0</v>
      </c>
      <c r="CS122" s="902">
        <v>23.957041711605559</v>
      </c>
      <c r="CT122" s="902">
        <v>1.0444946371550827</v>
      </c>
      <c r="CU122" s="902">
        <v>3600</v>
      </c>
      <c r="CV122" s="909" t="s">
        <v>2874</v>
      </c>
      <c r="CW122" s="909">
        <v>3</v>
      </c>
      <c r="CX122" s="909">
        <v>0</v>
      </c>
      <c r="CY122" s="909">
        <v>0</v>
      </c>
      <c r="CZ122" s="909">
        <v>0</v>
      </c>
      <c r="DA122" s="910">
        <v>4415.970478598405</v>
      </c>
      <c r="DB122" s="909">
        <v>0</v>
      </c>
      <c r="DC122" s="909">
        <v>0</v>
      </c>
      <c r="DD122" s="909">
        <v>0</v>
      </c>
      <c r="DE122" s="910">
        <v>4345.534660729365</v>
      </c>
      <c r="DF122" s="871">
        <v>4000</v>
      </c>
      <c r="DG122" s="911">
        <v>126.08258516407037</v>
      </c>
      <c r="DH122" s="908">
        <v>5.7970680000000003</v>
      </c>
      <c r="DI122" s="902">
        <v>28.245068979176271</v>
      </c>
      <c r="DJ122" s="902">
        <v>0</v>
      </c>
      <c r="DK122" s="902">
        <v>0</v>
      </c>
      <c r="DL122" s="902">
        <v>23.957041711605559</v>
      </c>
      <c r="DM122" s="902">
        <v>1.0444946371550827</v>
      </c>
      <c r="DN122" s="902">
        <v>3600</v>
      </c>
      <c r="DO122" s="909" t="s">
        <v>2876</v>
      </c>
      <c r="DP122" s="909">
        <v>3</v>
      </c>
      <c r="DQ122" s="909">
        <v>0</v>
      </c>
      <c r="DR122" s="909">
        <v>0</v>
      </c>
      <c r="DS122" s="909">
        <v>0</v>
      </c>
      <c r="DT122" s="910">
        <v>4720.8710174262751</v>
      </c>
      <c r="DU122" s="909">
        <v>0</v>
      </c>
      <c r="DV122" s="909">
        <v>0</v>
      </c>
      <c r="DW122" s="909">
        <v>0</v>
      </c>
      <c r="DX122" s="910">
        <v>4645.571960799969</v>
      </c>
      <c r="DY122" s="871">
        <v>4000</v>
      </c>
      <c r="DZ122" s="911">
        <v>126.08258516407037</v>
      </c>
      <c r="EA122" s="908">
        <v>5.7970680000000003</v>
      </c>
      <c r="EB122" s="902">
        <v>28.245068979176271</v>
      </c>
      <c r="EC122" s="902">
        <v>0</v>
      </c>
      <c r="ED122" s="902">
        <v>0</v>
      </c>
      <c r="EE122" s="902">
        <v>23.957041711605559</v>
      </c>
      <c r="EF122" s="902">
        <v>1.0444946371550827</v>
      </c>
      <c r="EG122" s="902">
        <v>3600</v>
      </c>
      <c r="EH122" s="909" t="s">
        <v>2876</v>
      </c>
      <c r="EI122" s="909">
        <v>3</v>
      </c>
      <c r="EJ122" s="909">
        <v>0</v>
      </c>
      <c r="EK122" s="909">
        <v>0</v>
      </c>
      <c r="EL122" s="909">
        <v>0</v>
      </c>
      <c r="EM122" s="910">
        <v>4720.8710174262751</v>
      </c>
      <c r="EN122" s="909">
        <v>0</v>
      </c>
      <c r="EO122" s="909">
        <v>0</v>
      </c>
      <c r="EP122" s="909">
        <v>0</v>
      </c>
      <c r="EQ122" s="910">
        <v>4645.571960799969</v>
      </c>
      <c r="ER122" s="871">
        <v>4000</v>
      </c>
      <c r="ES122" s="911">
        <v>126.08258516407037</v>
      </c>
      <c r="ET122" s="908">
        <v>5.7970680000000003</v>
      </c>
      <c r="EU122" s="902">
        <v>28.245068979176271</v>
      </c>
      <c r="EV122" s="902">
        <v>0</v>
      </c>
      <c r="EW122" s="902">
        <v>0</v>
      </c>
      <c r="EX122" s="902">
        <v>23.957041711605559</v>
      </c>
      <c r="EY122" s="902">
        <v>1.0444946371550827</v>
      </c>
      <c r="EZ122" s="902">
        <v>3600</v>
      </c>
      <c r="FA122" s="909" t="s">
        <v>3889</v>
      </c>
      <c r="FB122" s="909">
        <v>3</v>
      </c>
      <c r="FC122" s="909">
        <v>0</v>
      </c>
      <c r="FD122" s="909">
        <v>0</v>
      </c>
      <c r="FE122" s="909">
        <v>0</v>
      </c>
      <c r="FF122" s="910">
        <v>4818.2188059219598</v>
      </c>
      <c r="FG122" s="909">
        <v>0</v>
      </c>
      <c r="FH122" s="909">
        <v>0</v>
      </c>
      <c r="FI122" s="909">
        <v>0</v>
      </c>
      <c r="FJ122" s="910">
        <v>4741.3670280587066</v>
      </c>
      <c r="FK122" s="871">
        <v>4000</v>
      </c>
      <c r="FL122" s="911">
        <v>126.08258516407037</v>
      </c>
      <c r="FM122" s="908">
        <v>5.7970680000000003</v>
      </c>
      <c r="FN122" s="902">
        <v>28.245068979176271</v>
      </c>
      <c r="FO122" s="902">
        <v>0</v>
      </c>
      <c r="FP122" s="902">
        <v>0</v>
      </c>
      <c r="FQ122" s="902">
        <v>23.957041711605559</v>
      </c>
      <c r="FR122" s="902">
        <v>1.0444946371550827</v>
      </c>
      <c r="FS122" s="902">
        <v>3600</v>
      </c>
      <c r="FT122" s="909" t="s">
        <v>3889</v>
      </c>
      <c r="FU122" s="909">
        <v>3</v>
      </c>
      <c r="FV122" s="909">
        <v>0</v>
      </c>
      <c r="FW122" s="909">
        <v>0</v>
      </c>
      <c r="FX122" s="909">
        <v>0</v>
      </c>
      <c r="FY122" s="910">
        <v>4818.2188059219598</v>
      </c>
      <c r="FZ122" s="909">
        <v>0</v>
      </c>
      <c r="GA122" s="909">
        <v>0</v>
      </c>
      <c r="GB122" s="909">
        <v>0</v>
      </c>
      <c r="GC122" s="910">
        <v>4741.3670280587066</v>
      </c>
      <c r="GD122" s="871">
        <v>4000</v>
      </c>
      <c r="GE122" s="911">
        <v>126.08258516407037</v>
      </c>
      <c r="GF122" s="908">
        <v>3.8647120000000004</v>
      </c>
      <c r="GG122" s="902">
        <v>26.312712979176272</v>
      </c>
      <c r="GH122" s="902">
        <v>0</v>
      </c>
      <c r="GI122" s="902">
        <v>0</v>
      </c>
      <c r="GJ122" s="902">
        <v>22.595281837787699</v>
      </c>
      <c r="GK122" s="902">
        <v>0.93448826706458288</v>
      </c>
      <c r="GL122" s="902">
        <v>3600</v>
      </c>
      <c r="GM122" s="909" t="s">
        <v>2877</v>
      </c>
      <c r="GN122" s="909">
        <v>2</v>
      </c>
      <c r="GO122" s="909">
        <v>0</v>
      </c>
      <c r="GP122" s="909">
        <v>0</v>
      </c>
      <c r="GQ122" s="909">
        <v>0</v>
      </c>
      <c r="GR122" s="910">
        <v>4988.5942298988448</v>
      </c>
      <c r="GS122" s="909">
        <v>0</v>
      </c>
      <c r="GT122" s="909">
        <v>0</v>
      </c>
      <c r="GU122" s="909">
        <v>0</v>
      </c>
      <c r="GV122" s="910">
        <v>4909.0249220190426</v>
      </c>
      <c r="GW122" s="871">
        <v>4000</v>
      </c>
      <c r="GX122" s="911">
        <v>126.08258516407037</v>
      </c>
      <c r="GY122" s="908">
        <v>3.8647120000000004</v>
      </c>
      <c r="GZ122" s="902">
        <v>26.312712979176272</v>
      </c>
      <c r="HA122" s="902">
        <v>0</v>
      </c>
      <c r="HB122" s="902">
        <v>0</v>
      </c>
      <c r="HC122" s="902">
        <v>22.595281837787699</v>
      </c>
      <c r="HD122" s="902">
        <v>0.93448826706458288</v>
      </c>
      <c r="HE122" s="902">
        <v>3600</v>
      </c>
      <c r="HF122" s="909" t="s">
        <v>2877</v>
      </c>
      <c r="HG122" s="909">
        <v>2</v>
      </c>
      <c r="HH122" s="909">
        <v>0</v>
      </c>
      <c r="HI122" s="909">
        <v>0</v>
      </c>
      <c r="HJ122" s="909">
        <v>0</v>
      </c>
      <c r="HK122" s="910">
        <v>4988.5942298988448</v>
      </c>
      <c r="HL122" s="909">
        <v>0</v>
      </c>
      <c r="HM122" s="909">
        <v>0</v>
      </c>
      <c r="HN122" s="909">
        <v>0</v>
      </c>
      <c r="HO122" s="910">
        <v>4909.0249220190426</v>
      </c>
      <c r="HP122" s="871">
        <v>4000</v>
      </c>
      <c r="HQ122" s="911">
        <v>126.08258516407037</v>
      </c>
      <c r="HR122" s="908">
        <v>3.8647120000000004</v>
      </c>
      <c r="HS122" s="902">
        <v>26.312712979176272</v>
      </c>
      <c r="HT122" s="902">
        <v>0</v>
      </c>
      <c r="HU122" s="902">
        <v>0</v>
      </c>
      <c r="HV122" s="902">
        <v>22.595281837787699</v>
      </c>
      <c r="HW122" s="902">
        <v>0.93448826706458288</v>
      </c>
      <c r="HX122" s="902">
        <v>3600</v>
      </c>
      <c r="HY122" s="909" t="s">
        <v>1063</v>
      </c>
      <c r="HZ122" s="909">
        <v>2</v>
      </c>
      <c r="IA122" s="909">
        <v>0</v>
      </c>
      <c r="IB122" s="909">
        <v>0</v>
      </c>
      <c r="IC122" s="909">
        <v>0</v>
      </c>
      <c r="ID122" s="910">
        <v>4399.5265747080384</v>
      </c>
      <c r="IE122" s="909">
        <v>0</v>
      </c>
      <c r="IF122" s="909">
        <v>0</v>
      </c>
      <c r="IG122" s="909">
        <v>0</v>
      </c>
      <c r="IH122" s="910">
        <v>4329.3530411602114</v>
      </c>
      <c r="II122" s="871">
        <v>4000</v>
      </c>
      <c r="IJ122" s="911">
        <v>126.08258516407037</v>
      </c>
      <c r="IK122" s="908">
        <v>3.8647120000000004</v>
      </c>
      <c r="IL122" s="902">
        <v>26.312712979176272</v>
      </c>
      <c r="IM122" s="902">
        <v>0</v>
      </c>
      <c r="IN122" s="902">
        <v>0</v>
      </c>
      <c r="IO122" s="902">
        <v>22.595281837787699</v>
      </c>
      <c r="IP122" s="902">
        <v>0.93448826706458288</v>
      </c>
      <c r="IQ122" s="902">
        <v>3600</v>
      </c>
      <c r="IR122" s="909" t="s">
        <v>1063</v>
      </c>
      <c r="IS122" s="909">
        <v>2</v>
      </c>
      <c r="IT122" s="909">
        <v>0</v>
      </c>
      <c r="IU122" s="909">
        <v>0</v>
      </c>
      <c r="IV122" s="909">
        <v>0</v>
      </c>
      <c r="IW122" s="910">
        <v>4399.5265747080384</v>
      </c>
      <c r="IX122" s="909">
        <v>0</v>
      </c>
      <c r="IY122" s="909">
        <v>0</v>
      </c>
      <c r="IZ122" s="909">
        <v>0</v>
      </c>
      <c r="JA122" s="910">
        <v>4329.3530411602114</v>
      </c>
      <c r="JB122" s="871">
        <v>4000</v>
      </c>
      <c r="JC122" s="911">
        <v>126.08258516407037</v>
      </c>
      <c r="JD122" s="908">
        <v>3.8647120000000004</v>
      </c>
      <c r="JE122" s="902">
        <v>26.312712979176272</v>
      </c>
      <c r="JF122" s="902">
        <v>0</v>
      </c>
      <c r="JG122" s="902">
        <v>0</v>
      </c>
      <c r="JH122" s="902">
        <v>22.595281837787699</v>
      </c>
      <c r="JI122" s="902">
        <v>0.93448826706458288</v>
      </c>
      <c r="JJ122" s="902">
        <v>3600</v>
      </c>
      <c r="JK122" s="909" t="s">
        <v>1064</v>
      </c>
      <c r="JL122" s="909">
        <v>2</v>
      </c>
      <c r="JM122" s="909">
        <v>0</v>
      </c>
      <c r="JN122" s="909">
        <v>0</v>
      </c>
      <c r="JO122" s="909">
        <v>0</v>
      </c>
      <c r="JP122" s="910">
        <v>5995.5440961280265</v>
      </c>
      <c r="JQ122" s="909">
        <v>0</v>
      </c>
      <c r="JR122" s="909">
        <v>0</v>
      </c>
      <c r="JS122" s="909">
        <v>0</v>
      </c>
      <c r="JT122" s="910">
        <v>5899.9136896234231</v>
      </c>
      <c r="JU122" s="871">
        <v>4000</v>
      </c>
      <c r="JV122" s="911">
        <v>126.08258516407037</v>
      </c>
      <c r="JW122" s="908">
        <v>3.8647120000000004</v>
      </c>
      <c r="JX122" s="902">
        <v>26.312712979176272</v>
      </c>
      <c r="JY122" s="902">
        <v>0</v>
      </c>
      <c r="JZ122" s="902">
        <v>0</v>
      </c>
      <c r="KA122" s="902">
        <v>22.595281837787699</v>
      </c>
      <c r="KB122" s="902">
        <v>0.93448826706458288</v>
      </c>
      <c r="KC122" s="902">
        <v>3600</v>
      </c>
      <c r="KD122" s="909" t="s">
        <v>1064</v>
      </c>
      <c r="KE122" s="909">
        <v>2</v>
      </c>
      <c r="KF122" s="909">
        <v>0</v>
      </c>
      <c r="KG122" s="909">
        <v>0</v>
      </c>
      <c r="KH122" s="909">
        <v>0</v>
      </c>
      <c r="KI122" s="910">
        <v>5995.5440961280265</v>
      </c>
      <c r="KJ122" s="909">
        <v>0</v>
      </c>
      <c r="KK122" s="909">
        <v>0</v>
      </c>
      <c r="KL122" s="909">
        <v>0</v>
      </c>
      <c r="KM122" s="910">
        <v>5899.9136896234231</v>
      </c>
      <c r="KN122" s="871">
        <v>4000</v>
      </c>
      <c r="KO122" s="912">
        <v>126.08258516407037</v>
      </c>
    </row>
    <row r="123" spans="1:301" ht="15" customHeight="1">
      <c r="A123" s="1396" t="s">
        <v>1691</v>
      </c>
      <c r="B123" s="888" t="s">
        <v>1076</v>
      </c>
      <c r="C123" s="888">
        <v>322.5</v>
      </c>
      <c r="D123" s="888">
        <v>600</v>
      </c>
      <c r="E123" s="888">
        <v>315</v>
      </c>
      <c r="F123" s="888">
        <v>285.50591467648985</v>
      </c>
      <c r="G123" s="888">
        <v>114.01691167933802</v>
      </c>
      <c r="H123" s="888">
        <v>88.663747568309105</v>
      </c>
      <c r="I123" s="888">
        <v>85</v>
      </c>
      <c r="J123" s="888">
        <v>40.69</v>
      </c>
      <c r="K123" s="888">
        <v>65.11</v>
      </c>
      <c r="L123" s="888">
        <v>16</v>
      </c>
      <c r="M123" s="888">
        <v>177.00265862424703</v>
      </c>
      <c r="N123" s="888">
        <v>4</v>
      </c>
      <c r="O123" s="884">
        <v>6.4311032702830451</v>
      </c>
      <c r="P123" s="888">
        <v>4</v>
      </c>
      <c r="Q123" s="884">
        <v>4.0437420677140654</v>
      </c>
      <c r="R123" s="888">
        <v>13.000000000000002</v>
      </c>
      <c r="S123" s="888">
        <v>442.75295733824493</v>
      </c>
      <c r="T123" s="906">
        <v>15.711796006824745</v>
      </c>
      <c r="U123" s="906">
        <v>66.412943600736739</v>
      </c>
      <c r="V123" s="906">
        <v>72.5</v>
      </c>
      <c r="W123" s="1141">
        <v>1.4786461866999729</v>
      </c>
      <c r="X123" s="902">
        <v>0</v>
      </c>
      <c r="Y123" s="902">
        <v>0</v>
      </c>
      <c r="Z123" s="902">
        <v>0</v>
      </c>
      <c r="AA123" s="902">
        <v>0</v>
      </c>
      <c r="AB123" s="970">
        <v>3.662976577078938</v>
      </c>
      <c r="AC123" s="1045">
        <v>4000</v>
      </c>
      <c r="AD123" s="890">
        <v>2.8183037862581872</v>
      </c>
      <c r="AE123" s="890">
        <v>0.85983208191463634</v>
      </c>
      <c r="AF123" s="890">
        <v>-0.15084823504160252</v>
      </c>
      <c r="AG123" s="890">
        <v>0.49631509208355018</v>
      </c>
      <c r="AH123" s="888"/>
      <c r="AI123" s="907">
        <v>1.4594238402484669</v>
      </c>
      <c r="AJ123" s="908">
        <v>5.7912172429437723</v>
      </c>
      <c r="AK123" s="902">
        <v>33.4565047744656</v>
      </c>
      <c r="AL123" s="902">
        <v>0</v>
      </c>
      <c r="AM123" s="902">
        <v>0</v>
      </c>
      <c r="AN123" s="902">
        <v>29.613264085396207</v>
      </c>
      <c r="AO123" s="902">
        <v>1.3711141560736606</v>
      </c>
      <c r="AP123" s="1222">
        <v>3600</v>
      </c>
      <c r="AQ123" s="909" t="s">
        <v>1062</v>
      </c>
      <c r="AR123" s="909">
        <v>3</v>
      </c>
      <c r="AS123" s="909">
        <v>0</v>
      </c>
      <c r="AT123" s="909">
        <v>0</v>
      </c>
      <c r="AU123" s="909">
        <v>0</v>
      </c>
      <c r="AV123" s="910">
        <v>4839.2426024087999</v>
      </c>
      <c r="AW123" s="909">
        <v>0</v>
      </c>
      <c r="AX123" s="909">
        <v>0</v>
      </c>
      <c r="AY123" s="909">
        <v>0</v>
      </c>
      <c r="AZ123" s="910">
        <v>4997.8396771630314</v>
      </c>
      <c r="BA123" s="871">
        <v>4000</v>
      </c>
      <c r="BB123" s="911">
        <v>125.66370614359172</v>
      </c>
      <c r="BC123" s="908">
        <v>5.7912172429437723</v>
      </c>
      <c r="BD123" s="902">
        <v>33.4565047744656</v>
      </c>
      <c r="BE123" s="902">
        <v>0</v>
      </c>
      <c r="BF123" s="902">
        <v>0</v>
      </c>
      <c r="BG123" s="902">
        <v>29.613264085396207</v>
      </c>
      <c r="BH123" s="902">
        <v>1.3711141560736606</v>
      </c>
      <c r="BI123" s="902">
        <v>3600</v>
      </c>
      <c r="BJ123" s="909" t="s">
        <v>1062</v>
      </c>
      <c r="BK123" s="909">
        <v>3</v>
      </c>
      <c r="BL123" s="909">
        <v>0</v>
      </c>
      <c r="BM123" s="909">
        <v>0</v>
      </c>
      <c r="BN123" s="909">
        <v>0</v>
      </c>
      <c r="BO123" s="910">
        <v>4839.2426024087999</v>
      </c>
      <c r="BP123" s="909">
        <v>0</v>
      </c>
      <c r="BQ123" s="909">
        <v>0</v>
      </c>
      <c r="BR123" s="909">
        <v>0</v>
      </c>
      <c r="BS123" s="910">
        <v>4997.8396771630314</v>
      </c>
      <c r="BT123" s="871">
        <v>4000</v>
      </c>
      <c r="BU123" s="911">
        <v>125.66370614359172</v>
      </c>
      <c r="BV123" s="908">
        <v>5.7912172429437723</v>
      </c>
      <c r="BW123" s="902">
        <v>33.4565047744656</v>
      </c>
      <c r="BX123" s="902">
        <v>0</v>
      </c>
      <c r="BY123" s="902">
        <v>0</v>
      </c>
      <c r="BZ123" s="902">
        <v>29.613264085396207</v>
      </c>
      <c r="CA123" s="902">
        <v>1.3711141560736606</v>
      </c>
      <c r="CB123" s="902">
        <v>3600</v>
      </c>
      <c r="CC123" s="909" t="s">
        <v>2874</v>
      </c>
      <c r="CD123" s="909">
        <v>3</v>
      </c>
      <c r="CE123" s="909">
        <v>0</v>
      </c>
      <c r="CF123" s="909">
        <v>0</v>
      </c>
      <c r="CG123" s="909">
        <v>0</v>
      </c>
      <c r="CH123" s="910">
        <v>4415.970478598405</v>
      </c>
      <c r="CI123" s="909">
        <v>0</v>
      </c>
      <c r="CJ123" s="909">
        <v>0</v>
      </c>
      <c r="CK123" s="909">
        <v>0</v>
      </c>
      <c r="CL123" s="910">
        <v>4345.534660729365</v>
      </c>
      <c r="CM123" s="871">
        <v>4000</v>
      </c>
      <c r="CN123" s="911">
        <v>125.66370614359172</v>
      </c>
      <c r="CO123" s="908">
        <v>5.7912172429437723</v>
      </c>
      <c r="CP123" s="902">
        <v>33.4565047744656</v>
      </c>
      <c r="CQ123" s="902">
        <v>0</v>
      </c>
      <c r="CR123" s="902">
        <v>0</v>
      </c>
      <c r="CS123" s="902">
        <v>29.613264085396207</v>
      </c>
      <c r="CT123" s="902">
        <v>1.3711141560736606</v>
      </c>
      <c r="CU123" s="902">
        <v>3600</v>
      </c>
      <c r="CV123" s="909" t="s">
        <v>2874</v>
      </c>
      <c r="CW123" s="909">
        <v>3</v>
      </c>
      <c r="CX123" s="909">
        <v>0</v>
      </c>
      <c r="CY123" s="909">
        <v>0</v>
      </c>
      <c r="CZ123" s="909">
        <v>0</v>
      </c>
      <c r="DA123" s="910">
        <v>4415.970478598405</v>
      </c>
      <c r="DB123" s="909">
        <v>0</v>
      </c>
      <c r="DC123" s="909">
        <v>0</v>
      </c>
      <c r="DD123" s="909">
        <v>0</v>
      </c>
      <c r="DE123" s="910">
        <v>4345.534660729365</v>
      </c>
      <c r="DF123" s="871">
        <v>4000</v>
      </c>
      <c r="DG123" s="911">
        <v>125.66370614359172</v>
      </c>
      <c r="DH123" s="908">
        <v>5.7912172429437723</v>
      </c>
      <c r="DI123" s="902">
        <v>33.4565047744656</v>
      </c>
      <c r="DJ123" s="902">
        <v>0</v>
      </c>
      <c r="DK123" s="902">
        <v>0</v>
      </c>
      <c r="DL123" s="902">
        <v>29.613264085396207</v>
      </c>
      <c r="DM123" s="902">
        <v>1.3711141560736606</v>
      </c>
      <c r="DN123" s="902">
        <v>3600</v>
      </c>
      <c r="DO123" s="909" t="s">
        <v>2876</v>
      </c>
      <c r="DP123" s="909">
        <v>3</v>
      </c>
      <c r="DQ123" s="909">
        <v>0</v>
      </c>
      <c r="DR123" s="909">
        <v>0</v>
      </c>
      <c r="DS123" s="909">
        <v>0</v>
      </c>
      <c r="DT123" s="910">
        <v>4720.8710174262751</v>
      </c>
      <c r="DU123" s="909">
        <v>0</v>
      </c>
      <c r="DV123" s="909">
        <v>0</v>
      </c>
      <c r="DW123" s="909">
        <v>0</v>
      </c>
      <c r="DX123" s="910">
        <v>4645.571960799969</v>
      </c>
      <c r="DY123" s="871">
        <v>4000</v>
      </c>
      <c r="DZ123" s="911">
        <v>125.66370614359172</v>
      </c>
      <c r="EA123" s="908">
        <v>5.7912172429437723</v>
      </c>
      <c r="EB123" s="902">
        <v>33.4565047744656</v>
      </c>
      <c r="EC123" s="902">
        <v>0</v>
      </c>
      <c r="ED123" s="902">
        <v>0</v>
      </c>
      <c r="EE123" s="902">
        <v>29.613264085396207</v>
      </c>
      <c r="EF123" s="902">
        <v>1.3711141560736606</v>
      </c>
      <c r="EG123" s="902">
        <v>3600</v>
      </c>
      <c r="EH123" s="909" t="s">
        <v>2876</v>
      </c>
      <c r="EI123" s="909">
        <v>3</v>
      </c>
      <c r="EJ123" s="909">
        <v>0</v>
      </c>
      <c r="EK123" s="909">
        <v>0</v>
      </c>
      <c r="EL123" s="909">
        <v>0</v>
      </c>
      <c r="EM123" s="910">
        <v>4720.8710174262751</v>
      </c>
      <c r="EN123" s="909">
        <v>0</v>
      </c>
      <c r="EO123" s="909">
        <v>0</v>
      </c>
      <c r="EP123" s="909">
        <v>0</v>
      </c>
      <c r="EQ123" s="910">
        <v>4645.571960799969</v>
      </c>
      <c r="ER123" s="871">
        <v>4000</v>
      </c>
      <c r="ES123" s="911">
        <v>125.66370614359172</v>
      </c>
      <c r="ET123" s="908">
        <v>5.7912172429437723</v>
      </c>
      <c r="EU123" s="902">
        <v>33.4565047744656</v>
      </c>
      <c r="EV123" s="902">
        <v>0</v>
      </c>
      <c r="EW123" s="902">
        <v>0</v>
      </c>
      <c r="EX123" s="902">
        <v>29.613264085396207</v>
      </c>
      <c r="EY123" s="902">
        <v>1.3711141560736606</v>
      </c>
      <c r="EZ123" s="902">
        <v>3600</v>
      </c>
      <c r="FA123" s="909" t="s">
        <v>3889</v>
      </c>
      <c r="FB123" s="909">
        <v>3</v>
      </c>
      <c r="FC123" s="909">
        <v>0</v>
      </c>
      <c r="FD123" s="909">
        <v>0</v>
      </c>
      <c r="FE123" s="909">
        <v>0</v>
      </c>
      <c r="FF123" s="910">
        <v>4818.2188059219598</v>
      </c>
      <c r="FG123" s="909">
        <v>0</v>
      </c>
      <c r="FH123" s="909">
        <v>0</v>
      </c>
      <c r="FI123" s="909">
        <v>0</v>
      </c>
      <c r="FJ123" s="910">
        <v>4741.3670280587066</v>
      </c>
      <c r="FK123" s="871">
        <v>4000</v>
      </c>
      <c r="FL123" s="911">
        <v>125.66370614359172</v>
      </c>
      <c r="FM123" s="908">
        <v>5.7912172429437723</v>
      </c>
      <c r="FN123" s="902">
        <v>33.4565047744656</v>
      </c>
      <c r="FO123" s="902">
        <v>0</v>
      </c>
      <c r="FP123" s="902">
        <v>0</v>
      </c>
      <c r="FQ123" s="902">
        <v>29.613264085396207</v>
      </c>
      <c r="FR123" s="902">
        <v>1.3711141560736606</v>
      </c>
      <c r="FS123" s="902">
        <v>3600</v>
      </c>
      <c r="FT123" s="909" t="s">
        <v>3889</v>
      </c>
      <c r="FU123" s="909">
        <v>3</v>
      </c>
      <c r="FV123" s="909">
        <v>0</v>
      </c>
      <c r="FW123" s="909">
        <v>0</v>
      </c>
      <c r="FX123" s="909">
        <v>0</v>
      </c>
      <c r="FY123" s="910">
        <v>4818.2188059219598</v>
      </c>
      <c r="FZ123" s="909">
        <v>0</v>
      </c>
      <c r="GA123" s="909">
        <v>0</v>
      </c>
      <c r="GB123" s="909">
        <v>0</v>
      </c>
      <c r="GC123" s="910">
        <v>4741.3670280587066</v>
      </c>
      <c r="GD123" s="871">
        <v>4000</v>
      </c>
      <c r="GE123" s="911">
        <v>125.66370614359172</v>
      </c>
      <c r="GF123" s="908">
        <v>3.8608114952958483</v>
      </c>
      <c r="GG123" s="902">
        <v>31.526099026817676</v>
      </c>
      <c r="GH123" s="902">
        <v>0</v>
      </c>
      <c r="GI123" s="902">
        <v>0</v>
      </c>
      <c r="GJ123" s="902">
        <v>28.712014338775155</v>
      </c>
      <c r="GK123" s="902">
        <v>1.2591491145805906</v>
      </c>
      <c r="GL123" s="902">
        <v>3600</v>
      </c>
      <c r="GM123" s="909" t="s">
        <v>2877</v>
      </c>
      <c r="GN123" s="909">
        <v>2</v>
      </c>
      <c r="GO123" s="909">
        <v>0</v>
      </c>
      <c r="GP123" s="909">
        <v>0</v>
      </c>
      <c r="GQ123" s="909">
        <v>0</v>
      </c>
      <c r="GR123" s="910">
        <v>4988.5942298988448</v>
      </c>
      <c r="GS123" s="909">
        <v>0</v>
      </c>
      <c r="GT123" s="909">
        <v>0</v>
      </c>
      <c r="GU123" s="909">
        <v>0</v>
      </c>
      <c r="GV123" s="910">
        <v>4909.0249220190426</v>
      </c>
      <c r="GW123" s="871">
        <v>4000</v>
      </c>
      <c r="GX123" s="911">
        <v>125.66370614359172</v>
      </c>
      <c r="GY123" s="908">
        <v>3.8608114952958483</v>
      </c>
      <c r="GZ123" s="902">
        <v>31.526099026817676</v>
      </c>
      <c r="HA123" s="902">
        <v>0</v>
      </c>
      <c r="HB123" s="902">
        <v>0</v>
      </c>
      <c r="HC123" s="902">
        <v>28.712014338775155</v>
      </c>
      <c r="HD123" s="902">
        <v>1.2591491145805906</v>
      </c>
      <c r="HE123" s="902">
        <v>3600</v>
      </c>
      <c r="HF123" s="909" t="s">
        <v>2877</v>
      </c>
      <c r="HG123" s="909">
        <v>2</v>
      </c>
      <c r="HH123" s="909">
        <v>0</v>
      </c>
      <c r="HI123" s="909">
        <v>0</v>
      </c>
      <c r="HJ123" s="909">
        <v>0</v>
      </c>
      <c r="HK123" s="910">
        <v>4988.5942298988448</v>
      </c>
      <c r="HL123" s="909">
        <v>0</v>
      </c>
      <c r="HM123" s="909">
        <v>0</v>
      </c>
      <c r="HN123" s="909">
        <v>0</v>
      </c>
      <c r="HO123" s="910">
        <v>4909.0249220190426</v>
      </c>
      <c r="HP123" s="871">
        <v>4000</v>
      </c>
      <c r="HQ123" s="911">
        <v>125.66370614359172</v>
      </c>
      <c r="HR123" s="908">
        <v>3.8608114952958483</v>
      </c>
      <c r="HS123" s="902">
        <v>31.526099026817676</v>
      </c>
      <c r="HT123" s="902">
        <v>0</v>
      </c>
      <c r="HU123" s="902">
        <v>0</v>
      </c>
      <c r="HV123" s="902">
        <v>28.712014338775155</v>
      </c>
      <c r="HW123" s="902">
        <v>1.2591491145805906</v>
      </c>
      <c r="HX123" s="902">
        <v>3600</v>
      </c>
      <c r="HY123" s="909" t="s">
        <v>1063</v>
      </c>
      <c r="HZ123" s="909">
        <v>2</v>
      </c>
      <c r="IA123" s="909">
        <v>0</v>
      </c>
      <c r="IB123" s="909">
        <v>0</v>
      </c>
      <c r="IC123" s="909">
        <v>0</v>
      </c>
      <c r="ID123" s="910">
        <v>4399.5265747080384</v>
      </c>
      <c r="IE123" s="909">
        <v>0</v>
      </c>
      <c r="IF123" s="909">
        <v>0</v>
      </c>
      <c r="IG123" s="909">
        <v>0</v>
      </c>
      <c r="IH123" s="910">
        <v>4329.3530411602114</v>
      </c>
      <c r="II123" s="871">
        <v>4000</v>
      </c>
      <c r="IJ123" s="911">
        <v>125.66370614359172</v>
      </c>
      <c r="IK123" s="908">
        <v>3.8608114952958483</v>
      </c>
      <c r="IL123" s="902">
        <v>31.526099026817676</v>
      </c>
      <c r="IM123" s="902">
        <v>0</v>
      </c>
      <c r="IN123" s="902">
        <v>0</v>
      </c>
      <c r="IO123" s="902">
        <v>28.712014338775155</v>
      </c>
      <c r="IP123" s="902">
        <v>1.2591491145805906</v>
      </c>
      <c r="IQ123" s="902">
        <v>3600</v>
      </c>
      <c r="IR123" s="909" t="s">
        <v>1063</v>
      </c>
      <c r="IS123" s="909">
        <v>2</v>
      </c>
      <c r="IT123" s="909">
        <v>0</v>
      </c>
      <c r="IU123" s="909">
        <v>0</v>
      </c>
      <c r="IV123" s="909">
        <v>0</v>
      </c>
      <c r="IW123" s="910">
        <v>4399.5265747080384</v>
      </c>
      <c r="IX123" s="909">
        <v>0</v>
      </c>
      <c r="IY123" s="909">
        <v>0</v>
      </c>
      <c r="IZ123" s="909">
        <v>0</v>
      </c>
      <c r="JA123" s="910">
        <v>4329.3530411602114</v>
      </c>
      <c r="JB123" s="871">
        <v>4000</v>
      </c>
      <c r="JC123" s="911">
        <v>125.66370614359172</v>
      </c>
      <c r="JD123" s="908">
        <v>3.8608114952958483</v>
      </c>
      <c r="JE123" s="902">
        <v>31.526099026817676</v>
      </c>
      <c r="JF123" s="902">
        <v>0</v>
      </c>
      <c r="JG123" s="902">
        <v>0</v>
      </c>
      <c r="JH123" s="902">
        <v>28.712014338775155</v>
      </c>
      <c r="JI123" s="902">
        <v>1.2591491145805906</v>
      </c>
      <c r="JJ123" s="902">
        <v>3600</v>
      </c>
      <c r="JK123" s="909" t="s">
        <v>1064</v>
      </c>
      <c r="JL123" s="909">
        <v>2</v>
      </c>
      <c r="JM123" s="909">
        <v>0</v>
      </c>
      <c r="JN123" s="909">
        <v>0</v>
      </c>
      <c r="JO123" s="909">
        <v>0</v>
      </c>
      <c r="JP123" s="910">
        <v>5995.5440961280265</v>
      </c>
      <c r="JQ123" s="909">
        <v>0</v>
      </c>
      <c r="JR123" s="909">
        <v>0</v>
      </c>
      <c r="JS123" s="909">
        <v>0</v>
      </c>
      <c r="JT123" s="910">
        <v>5899.9136896234231</v>
      </c>
      <c r="JU123" s="871">
        <v>4000</v>
      </c>
      <c r="JV123" s="911">
        <v>125.66370614359172</v>
      </c>
      <c r="JW123" s="908">
        <v>3.8608114952958483</v>
      </c>
      <c r="JX123" s="902">
        <v>31.526099026817676</v>
      </c>
      <c r="JY123" s="902">
        <v>0</v>
      </c>
      <c r="JZ123" s="902">
        <v>0</v>
      </c>
      <c r="KA123" s="902">
        <v>28.712014338775155</v>
      </c>
      <c r="KB123" s="902">
        <v>1.2591491145805906</v>
      </c>
      <c r="KC123" s="902">
        <v>3600</v>
      </c>
      <c r="KD123" s="909" t="s">
        <v>1064</v>
      </c>
      <c r="KE123" s="909">
        <v>2</v>
      </c>
      <c r="KF123" s="909">
        <v>0</v>
      </c>
      <c r="KG123" s="909">
        <v>0</v>
      </c>
      <c r="KH123" s="909">
        <v>0</v>
      </c>
      <c r="KI123" s="910">
        <v>5995.5440961280265</v>
      </c>
      <c r="KJ123" s="909">
        <v>0</v>
      </c>
      <c r="KK123" s="909">
        <v>0</v>
      </c>
      <c r="KL123" s="909">
        <v>0</v>
      </c>
      <c r="KM123" s="910">
        <v>5899.9136896234231</v>
      </c>
      <c r="KN123" s="871">
        <v>4000</v>
      </c>
      <c r="KO123" s="912">
        <v>125.66370614359172</v>
      </c>
    </row>
    <row r="124" spans="1:301" ht="15" customHeight="1">
      <c r="A124" s="924" t="s">
        <v>1584</v>
      </c>
      <c r="B124" s="888" t="s">
        <v>1074</v>
      </c>
      <c r="C124" s="888">
        <v>320</v>
      </c>
      <c r="D124" s="888">
        <v>602</v>
      </c>
      <c r="E124" s="888">
        <v>360</v>
      </c>
      <c r="F124" s="888">
        <v>320</v>
      </c>
      <c r="G124" s="888">
        <v>114</v>
      </c>
      <c r="H124" s="888">
        <v>100</v>
      </c>
      <c r="I124" s="888">
        <v>100</v>
      </c>
      <c r="J124" s="888">
        <v>42.49</v>
      </c>
      <c r="K124" s="888">
        <v>63.27</v>
      </c>
      <c r="L124" s="888">
        <v>16</v>
      </c>
      <c r="M124" s="888">
        <v>176</v>
      </c>
      <c r="N124" s="888">
        <v>2</v>
      </c>
      <c r="O124" s="884">
        <v>2.8706481942957991</v>
      </c>
      <c r="P124" s="888">
        <v>2</v>
      </c>
      <c r="Q124" s="884">
        <v>1.9262708675090785</v>
      </c>
      <c r="R124" s="888">
        <v>13.000000000000002</v>
      </c>
      <c r="S124" s="888">
        <v>454.07837349395203</v>
      </c>
      <c r="T124" s="906">
        <v>16.525877405796049</v>
      </c>
      <c r="U124" s="906">
        <v>68.111756024092799</v>
      </c>
      <c r="V124" s="906">
        <v>85</v>
      </c>
      <c r="W124" s="1141">
        <v>1.8234081079952849</v>
      </c>
      <c r="X124" s="902">
        <v>0</v>
      </c>
      <c r="Y124" s="902">
        <v>0</v>
      </c>
      <c r="Z124" s="902">
        <v>0</v>
      </c>
      <c r="AA124" s="902">
        <v>0</v>
      </c>
      <c r="AB124" s="970">
        <v>2.978011998676962</v>
      </c>
      <c r="AC124" s="1045">
        <v>4000</v>
      </c>
      <c r="AD124" s="890">
        <v>2.9041625978837313</v>
      </c>
      <c r="AE124" s="890">
        <v>0.91601014362310362</v>
      </c>
      <c r="AF124" s="890">
        <v>-0.16687605811665021</v>
      </c>
      <c r="AG124" s="890">
        <v>0.41266254134932617</v>
      </c>
      <c r="AH124" s="888"/>
      <c r="AI124" s="907">
        <v>1.5408762001677576</v>
      </c>
      <c r="AJ124" s="908">
        <v>6.6316800000000002</v>
      </c>
      <c r="AK124" s="902">
        <v>29.777884575596211</v>
      </c>
      <c r="AL124" s="902">
        <v>0</v>
      </c>
      <c r="AM124" s="902">
        <v>0</v>
      </c>
      <c r="AN124" s="902">
        <v>27.049877770185272</v>
      </c>
      <c r="AO124" s="902">
        <v>1.1246857839861035</v>
      </c>
      <c r="AP124" s="1222">
        <v>3600</v>
      </c>
      <c r="AQ124" s="909" t="s">
        <v>1062</v>
      </c>
      <c r="AR124" s="909">
        <v>3</v>
      </c>
      <c r="AS124" s="909">
        <v>0</v>
      </c>
      <c r="AT124" s="909">
        <v>0</v>
      </c>
      <c r="AU124" s="909">
        <v>0</v>
      </c>
      <c r="AV124" s="910">
        <v>3877.5695167813351</v>
      </c>
      <c r="AW124" s="909">
        <v>0</v>
      </c>
      <c r="AX124" s="909">
        <v>0</v>
      </c>
      <c r="AY124" s="909">
        <v>0</v>
      </c>
      <c r="AZ124" s="910">
        <v>4020.0915328468241</v>
      </c>
      <c r="BA124" s="871">
        <v>3877.5695167813351</v>
      </c>
      <c r="BB124" s="911">
        <v>122.22349720729648</v>
      </c>
      <c r="BC124" s="908">
        <v>6.6316800000000002</v>
      </c>
      <c r="BD124" s="902">
        <v>29.777884575596211</v>
      </c>
      <c r="BE124" s="902">
        <v>0</v>
      </c>
      <c r="BF124" s="902">
        <v>0</v>
      </c>
      <c r="BG124" s="902">
        <v>27.049877770185272</v>
      </c>
      <c r="BH124" s="902">
        <v>1.1246857839861035</v>
      </c>
      <c r="BI124" s="902">
        <v>3600</v>
      </c>
      <c r="BJ124" s="909" t="s">
        <v>1062</v>
      </c>
      <c r="BK124" s="909">
        <v>3</v>
      </c>
      <c r="BL124" s="909">
        <v>0</v>
      </c>
      <c r="BM124" s="909">
        <v>0</v>
      </c>
      <c r="BN124" s="909">
        <v>0</v>
      </c>
      <c r="BO124" s="910">
        <v>3877.5695167813351</v>
      </c>
      <c r="BP124" s="909">
        <v>0</v>
      </c>
      <c r="BQ124" s="909">
        <v>0</v>
      </c>
      <c r="BR124" s="909">
        <v>0</v>
      </c>
      <c r="BS124" s="910">
        <v>4020.0915328468241</v>
      </c>
      <c r="BT124" s="871">
        <v>3877.5695167813351</v>
      </c>
      <c r="BU124" s="911">
        <v>122.22349720729648</v>
      </c>
      <c r="BV124" s="908">
        <v>8.8422400000000003</v>
      </c>
      <c r="BW124" s="902">
        <v>31.988444575596212</v>
      </c>
      <c r="BX124" s="902">
        <v>0</v>
      </c>
      <c r="BY124" s="902">
        <v>0</v>
      </c>
      <c r="BZ124" s="902">
        <v>28.635844917679616</v>
      </c>
      <c r="CA124" s="902">
        <v>1.2531204252661037</v>
      </c>
      <c r="CB124" s="902">
        <v>3600</v>
      </c>
      <c r="CC124" s="909" t="s">
        <v>2874</v>
      </c>
      <c r="CD124" s="909">
        <v>4</v>
      </c>
      <c r="CE124" s="909">
        <v>0</v>
      </c>
      <c r="CF124" s="909">
        <v>0</v>
      </c>
      <c r="CG124" s="909">
        <v>0</v>
      </c>
      <c r="CH124" s="910">
        <v>4421.9787750324949</v>
      </c>
      <c r="CI124" s="909">
        <v>0</v>
      </c>
      <c r="CJ124" s="909">
        <v>0</v>
      </c>
      <c r="CK124" s="909">
        <v>0</v>
      </c>
      <c r="CL124" s="910">
        <v>4355.1394172889577</v>
      </c>
      <c r="CM124" s="871">
        <v>4000</v>
      </c>
      <c r="CN124" s="911">
        <v>126.08258516407037</v>
      </c>
      <c r="CO124" s="908">
        <v>8.8422400000000003</v>
      </c>
      <c r="CP124" s="902">
        <v>31.988444575596212</v>
      </c>
      <c r="CQ124" s="902">
        <v>0</v>
      </c>
      <c r="CR124" s="902">
        <v>0</v>
      </c>
      <c r="CS124" s="902">
        <v>28.635844917679616</v>
      </c>
      <c r="CT124" s="902">
        <v>1.2531204252661037</v>
      </c>
      <c r="CU124" s="902">
        <v>3600</v>
      </c>
      <c r="CV124" s="909" t="s">
        <v>2874</v>
      </c>
      <c r="CW124" s="909">
        <v>4</v>
      </c>
      <c r="CX124" s="909">
        <v>0</v>
      </c>
      <c r="CY124" s="909">
        <v>0</v>
      </c>
      <c r="CZ124" s="909">
        <v>0</v>
      </c>
      <c r="DA124" s="910">
        <v>4421.9787750324949</v>
      </c>
      <c r="DB124" s="909">
        <v>0</v>
      </c>
      <c r="DC124" s="909">
        <v>0</v>
      </c>
      <c r="DD124" s="909">
        <v>0</v>
      </c>
      <c r="DE124" s="910">
        <v>4355.1394172889577</v>
      </c>
      <c r="DF124" s="871">
        <v>4000</v>
      </c>
      <c r="DG124" s="911">
        <v>126.08258516407037</v>
      </c>
      <c r="DH124" s="908">
        <v>6.6316800000000002</v>
      </c>
      <c r="DI124" s="902">
        <v>29.777884575596211</v>
      </c>
      <c r="DJ124" s="902">
        <v>0</v>
      </c>
      <c r="DK124" s="902">
        <v>0</v>
      </c>
      <c r="DL124" s="902">
        <v>27.049877770185272</v>
      </c>
      <c r="DM124" s="902">
        <v>1.1246857839861035</v>
      </c>
      <c r="DN124" s="902">
        <v>3600</v>
      </c>
      <c r="DO124" s="909" t="s">
        <v>2876</v>
      </c>
      <c r="DP124" s="909">
        <v>3</v>
      </c>
      <c r="DQ124" s="909">
        <v>0</v>
      </c>
      <c r="DR124" s="909">
        <v>0</v>
      </c>
      <c r="DS124" s="909">
        <v>0</v>
      </c>
      <c r="DT124" s="910">
        <v>3794.0880398630366</v>
      </c>
      <c r="DU124" s="909">
        <v>0</v>
      </c>
      <c r="DV124" s="909">
        <v>0</v>
      </c>
      <c r="DW124" s="909">
        <v>0</v>
      </c>
      <c r="DX124" s="910">
        <v>3736.73941366698</v>
      </c>
      <c r="DY124" s="871">
        <v>3736.73941366698</v>
      </c>
      <c r="DZ124" s="911">
        <v>117.78444133990135</v>
      </c>
      <c r="EA124" s="908">
        <v>6.6316800000000002</v>
      </c>
      <c r="EB124" s="902">
        <v>29.777884575596211</v>
      </c>
      <c r="EC124" s="902">
        <v>0</v>
      </c>
      <c r="ED124" s="902">
        <v>0</v>
      </c>
      <c r="EE124" s="902">
        <v>27.049877770185272</v>
      </c>
      <c r="EF124" s="902">
        <v>1.1246857839861035</v>
      </c>
      <c r="EG124" s="902">
        <v>3600</v>
      </c>
      <c r="EH124" s="909" t="s">
        <v>2876</v>
      </c>
      <c r="EI124" s="909">
        <v>3</v>
      </c>
      <c r="EJ124" s="909">
        <v>0</v>
      </c>
      <c r="EK124" s="909">
        <v>0</v>
      </c>
      <c r="EL124" s="909">
        <v>0</v>
      </c>
      <c r="EM124" s="910">
        <v>3794.0880398630366</v>
      </c>
      <c r="EN124" s="909">
        <v>0</v>
      </c>
      <c r="EO124" s="909">
        <v>0</v>
      </c>
      <c r="EP124" s="909">
        <v>0</v>
      </c>
      <c r="EQ124" s="910">
        <v>3736.73941366698</v>
      </c>
      <c r="ER124" s="871">
        <v>3736.73941366698</v>
      </c>
      <c r="ES124" s="911">
        <v>117.78444133990135</v>
      </c>
      <c r="ET124" s="908">
        <v>6.6316800000000002</v>
      </c>
      <c r="EU124" s="902">
        <v>29.777884575596211</v>
      </c>
      <c r="EV124" s="902">
        <v>0</v>
      </c>
      <c r="EW124" s="902">
        <v>0</v>
      </c>
      <c r="EX124" s="902">
        <v>27.049877770185272</v>
      </c>
      <c r="EY124" s="902">
        <v>1.1246857839861035</v>
      </c>
      <c r="EZ124" s="902">
        <v>3600</v>
      </c>
      <c r="FA124" s="909" t="s">
        <v>3889</v>
      </c>
      <c r="FB124" s="909">
        <v>3</v>
      </c>
      <c r="FC124" s="909">
        <v>0</v>
      </c>
      <c r="FD124" s="909">
        <v>0</v>
      </c>
      <c r="FE124" s="909">
        <v>0</v>
      </c>
      <c r="FF124" s="910">
        <v>3872.324890355163</v>
      </c>
      <c r="FG124" s="909">
        <v>0</v>
      </c>
      <c r="FH124" s="909">
        <v>0</v>
      </c>
      <c r="FI124" s="909">
        <v>0</v>
      </c>
      <c r="FJ124" s="910">
        <v>3813.793693853816</v>
      </c>
      <c r="FK124" s="871">
        <v>3813.793693853816</v>
      </c>
      <c r="FL124" s="911">
        <v>120.21324205087957</v>
      </c>
      <c r="FM124" s="908">
        <v>6.6316800000000002</v>
      </c>
      <c r="FN124" s="902">
        <v>29.777884575596211</v>
      </c>
      <c r="FO124" s="902">
        <v>0</v>
      </c>
      <c r="FP124" s="902">
        <v>0</v>
      </c>
      <c r="FQ124" s="902">
        <v>27.049877770185272</v>
      </c>
      <c r="FR124" s="902">
        <v>1.1246857839861035</v>
      </c>
      <c r="FS124" s="902">
        <v>3600</v>
      </c>
      <c r="FT124" s="909" t="s">
        <v>3889</v>
      </c>
      <c r="FU124" s="909">
        <v>3</v>
      </c>
      <c r="FV124" s="909">
        <v>0</v>
      </c>
      <c r="FW124" s="909">
        <v>0</v>
      </c>
      <c r="FX124" s="909">
        <v>0</v>
      </c>
      <c r="FY124" s="910">
        <v>3872.324890355163</v>
      </c>
      <c r="FZ124" s="909">
        <v>0</v>
      </c>
      <c r="GA124" s="909">
        <v>0</v>
      </c>
      <c r="GB124" s="909">
        <v>0</v>
      </c>
      <c r="GC124" s="910">
        <v>3813.793693853816</v>
      </c>
      <c r="GD124" s="871">
        <v>3813.793693853816</v>
      </c>
      <c r="GE124" s="911">
        <v>120.21324205087957</v>
      </c>
      <c r="GF124" s="908">
        <v>4.4211200000000002</v>
      </c>
      <c r="GG124" s="902">
        <v>27.56732457559621</v>
      </c>
      <c r="GH124" s="902">
        <v>0</v>
      </c>
      <c r="GI124" s="902">
        <v>0</v>
      </c>
      <c r="GJ124" s="902">
        <v>25.209560547626438</v>
      </c>
      <c r="GK124" s="902">
        <v>0.9962511427061036</v>
      </c>
      <c r="GL124" s="902">
        <v>3600</v>
      </c>
      <c r="GM124" s="909" t="s">
        <v>2877</v>
      </c>
      <c r="GN124" s="909">
        <v>2</v>
      </c>
      <c r="GO124" s="909">
        <v>0</v>
      </c>
      <c r="GP124" s="909">
        <v>0</v>
      </c>
      <c r="GQ124" s="909">
        <v>0</v>
      </c>
      <c r="GR124" s="910">
        <v>4048.5310012396185</v>
      </c>
      <c r="GS124" s="909">
        <v>0</v>
      </c>
      <c r="GT124" s="909">
        <v>0</v>
      </c>
      <c r="GU124" s="909">
        <v>0</v>
      </c>
      <c r="GV124" s="910">
        <v>3987.3364035970153</v>
      </c>
      <c r="GW124" s="871">
        <v>3987.3364035970153</v>
      </c>
      <c r="GX124" s="911">
        <v>125.68342042107969</v>
      </c>
      <c r="GY124" s="908">
        <v>4.4211200000000002</v>
      </c>
      <c r="GZ124" s="902">
        <v>27.56732457559621</v>
      </c>
      <c r="HA124" s="902">
        <v>0</v>
      </c>
      <c r="HB124" s="902">
        <v>0</v>
      </c>
      <c r="HC124" s="902">
        <v>25.209560547626438</v>
      </c>
      <c r="HD124" s="902">
        <v>0.9962511427061036</v>
      </c>
      <c r="HE124" s="902">
        <v>3600</v>
      </c>
      <c r="HF124" s="909" t="s">
        <v>2877</v>
      </c>
      <c r="HG124" s="909">
        <v>2</v>
      </c>
      <c r="HH124" s="909">
        <v>0</v>
      </c>
      <c r="HI124" s="909">
        <v>0</v>
      </c>
      <c r="HJ124" s="909">
        <v>0</v>
      </c>
      <c r="HK124" s="910">
        <v>4048.5310012396185</v>
      </c>
      <c r="HL124" s="909">
        <v>0</v>
      </c>
      <c r="HM124" s="909">
        <v>0</v>
      </c>
      <c r="HN124" s="909">
        <v>0</v>
      </c>
      <c r="HO124" s="910">
        <v>3987.3364035970153</v>
      </c>
      <c r="HP124" s="871">
        <v>3987.3364035970153</v>
      </c>
      <c r="HQ124" s="911">
        <v>125.68342042107969</v>
      </c>
      <c r="HR124" s="908">
        <v>6.6316800000000002</v>
      </c>
      <c r="HS124" s="902">
        <v>29.777884575596211</v>
      </c>
      <c r="HT124" s="902">
        <v>0</v>
      </c>
      <c r="HU124" s="902">
        <v>0</v>
      </c>
      <c r="HV124" s="902">
        <v>27.049877770185272</v>
      </c>
      <c r="HW124" s="902">
        <v>1.1246857839861035</v>
      </c>
      <c r="HX124" s="902">
        <v>3600</v>
      </c>
      <c r="HY124" s="909" t="s">
        <v>1063</v>
      </c>
      <c r="HZ124" s="909">
        <v>3</v>
      </c>
      <c r="IA124" s="909">
        <v>0</v>
      </c>
      <c r="IB124" s="909">
        <v>0</v>
      </c>
      <c r="IC124" s="909">
        <v>0</v>
      </c>
      <c r="ID124" s="910">
        <v>4581.7965994847245</v>
      </c>
      <c r="IE124" s="909">
        <v>0</v>
      </c>
      <c r="IF124" s="909">
        <v>0</v>
      </c>
      <c r="IG124" s="909">
        <v>0</v>
      </c>
      <c r="IH124" s="910">
        <v>4512.5415538151037</v>
      </c>
      <c r="II124" s="871">
        <v>4000</v>
      </c>
      <c r="IJ124" s="911">
        <v>126.08258516407037</v>
      </c>
      <c r="IK124" s="908">
        <v>6.6316800000000002</v>
      </c>
      <c r="IL124" s="902">
        <v>29.777884575596211</v>
      </c>
      <c r="IM124" s="902">
        <v>0</v>
      </c>
      <c r="IN124" s="902">
        <v>0</v>
      </c>
      <c r="IO124" s="902">
        <v>27.049877770185272</v>
      </c>
      <c r="IP124" s="902">
        <v>1.1246857839861035</v>
      </c>
      <c r="IQ124" s="902">
        <v>3600</v>
      </c>
      <c r="IR124" s="909" t="s">
        <v>1063</v>
      </c>
      <c r="IS124" s="909">
        <v>3</v>
      </c>
      <c r="IT124" s="909">
        <v>0</v>
      </c>
      <c r="IU124" s="909">
        <v>0</v>
      </c>
      <c r="IV124" s="909">
        <v>0</v>
      </c>
      <c r="IW124" s="910">
        <v>4581.7965994847245</v>
      </c>
      <c r="IX124" s="909">
        <v>0</v>
      </c>
      <c r="IY124" s="909">
        <v>0</v>
      </c>
      <c r="IZ124" s="909">
        <v>0</v>
      </c>
      <c r="JA124" s="910">
        <v>4512.5415538151037</v>
      </c>
      <c r="JB124" s="871">
        <v>4000</v>
      </c>
      <c r="JC124" s="911">
        <v>126.08258516407037</v>
      </c>
      <c r="JD124" s="908">
        <v>4.4211200000000002</v>
      </c>
      <c r="JE124" s="902">
        <v>27.56732457559621</v>
      </c>
      <c r="JF124" s="902">
        <v>0</v>
      </c>
      <c r="JG124" s="902">
        <v>0</v>
      </c>
      <c r="JH124" s="902">
        <v>25.209560547626438</v>
      </c>
      <c r="JI124" s="902">
        <v>0.9962511427061036</v>
      </c>
      <c r="JJ124" s="902">
        <v>3600</v>
      </c>
      <c r="JK124" s="909" t="s">
        <v>1064</v>
      </c>
      <c r="JL124" s="909">
        <v>2</v>
      </c>
      <c r="JM124" s="909">
        <v>0</v>
      </c>
      <c r="JN124" s="909">
        <v>0</v>
      </c>
      <c r="JO124" s="909">
        <v>0</v>
      </c>
      <c r="JP124" s="910">
        <v>4865.7287050915929</v>
      </c>
      <c r="JQ124" s="909">
        <v>0</v>
      </c>
      <c r="JR124" s="909">
        <v>0</v>
      </c>
      <c r="JS124" s="909">
        <v>0</v>
      </c>
      <c r="JT124" s="910">
        <v>4792.181951897719</v>
      </c>
      <c r="JU124" s="871">
        <v>4000</v>
      </c>
      <c r="JV124" s="911">
        <v>126.08258516407037</v>
      </c>
      <c r="JW124" s="908">
        <v>4.4211200000000002</v>
      </c>
      <c r="JX124" s="902">
        <v>27.56732457559621</v>
      </c>
      <c r="JY124" s="902">
        <v>0</v>
      </c>
      <c r="JZ124" s="902">
        <v>0</v>
      </c>
      <c r="KA124" s="902">
        <v>25.209560547626438</v>
      </c>
      <c r="KB124" s="902">
        <v>0.9962511427061036</v>
      </c>
      <c r="KC124" s="902">
        <v>3600</v>
      </c>
      <c r="KD124" s="909" t="s">
        <v>1064</v>
      </c>
      <c r="KE124" s="909">
        <v>2</v>
      </c>
      <c r="KF124" s="909">
        <v>0</v>
      </c>
      <c r="KG124" s="909">
        <v>0</v>
      </c>
      <c r="KH124" s="909">
        <v>0</v>
      </c>
      <c r="KI124" s="910">
        <v>4865.7287050915929</v>
      </c>
      <c r="KJ124" s="909">
        <v>0</v>
      </c>
      <c r="KK124" s="909">
        <v>0</v>
      </c>
      <c r="KL124" s="909">
        <v>0</v>
      </c>
      <c r="KM124" s="910">
        <v>4792.181951897719</v>
      </c>
      <c r="KN124" s="871">
        <v>4000</v>
      </c>
      <c r="KO124" s="912">
        <v>126.08258516407037</v>
      </c>
    </row>
    <row r="125" spans="1:301" ht="15" customHeight="1">
      <c r="A125" s="924" t="s">
        <v>1692</v>
      </c>
      <c r="B125" s="888" t="s">
        <v>1074</v>
      </c>
      <c r="C125" s="888">
        <v>320</v>
      </c>
      <c r="D125" s="888">
        <v>602</v>
      </c>
      <c r="E125" s="888">
        <v>360</v>
      </c>
      <c r="F125" s="888">
        <v>320</v>
      </c>
      <c r="G125" s="888">
        <v>114</v>
      </c>
      <c r="H125" s="888">
        <v>100</v>
      </c>
      <c r="I125" s="888">
        <v>100</v>
      </c>
      <c r="J125" s="888">
        <v>42.49</v>
      </c>
      <c r="K125" s="888">
        <v>63.27</v>
      </c>
      <c r="L125" s="888">
        <v>16</v>
      </c>
      <c r="M125" s="888">
        <v>176</v>
      </c>
      <c r="N125" s="888">
        <v>2</v>
      </c>
      <c r="O125" s="884">
        <v>2.8706481942957991</v>
      </c>
      <c r="P125" s="888">
        <v>2</v>
      </c>
      <c r="Q125" s="884">
        <v>1.9262708675090785</v>
      </c>
      <c r="R125" s="888">
        <v>13.000000000000002</v>
      </c>
      <c r="S125" s="888">
        <v>454.07837349395203</v>
      </c>
      <c r="T125" s="906">
        <v>16.525877405796049</v>
      </c>
      <c r="U125" s="906">
        <v>68.111756024092799</v>
      </c>
      <c r="V125" s="906">
        <v>85</v>
      </c>
      <c r="W125" s="1141">
        <v>1.8234081079952849</v>
      </c>
      <c r="X125" s="902">
        <v>0</v>
      </c>
      <c r="Y125" s="902">
        <v>0</v>
      </c>
      <c r="Z125" s="902">
        <v>0</v>
      </c>
      <c r="AA125" s="902">
        <v>0</v>
      </c>
      <c r="AB125" s="970">
        <v>2.978011998676962</v>
      </c>
      <c r="AC125" s="1045">
        <v>4000</v>
      </c>
      <c r="AD125" s="890">
        <v>2.9041625978837313</v>
      </c>
      <c r="AE125" s="890">
        <v>0.91601014362310362</v>
      </c>
      <c r="AF125" s="890">
        <v>-0.16687605811665021</v>
      </c>
      <c r="AG125" s="890">
        <v>0.41266254134932617</v>
      </c>
      <c r="AH125" s="888"/>
      <c r="AI125" s="907">
        <v>1.5408762001677576</v>
      </c>
      <c r="AJ125" s="908">
        <v>6.6316800000000002</v>
      </c>
      <c r="AK125" s="902">
        <v>29.777884575596211</v>
      </c>
      <c r="AL125" s="902">
        <v>0</v>
      </c>
      <c r="AM125" s="902">
        <v>0</v>
      </c>
      <c r="AN125" s="902">
        <v>27.049877770185272</v>
      </c>
      <c r="AO125" s="902">
        <v>1.1246857839861035</v>
      </c>
      <c r="AP125" s="1222">
        <v>3600</v>
      </c>
      <c r="AQ125" s="909" t="s">
        <v>1062</v>
      </c>
      <c r="AR125" s="909">
        <v>3</v>
      </c>
      <c r="AS125" s="909">
        <v>0</v>
      </c>
      <c r="AT125" s="909">
        <v>0</v>
      </c>
      <c r="AU125" s="909">
        <v>0</v>
      </c>
      <c r="AV125" s="910">
        <v>3877.5695167813351</v>
      </c>
      <c r="AW125" s="909">
        <v>0</v>
      </c>
      <c r="AX125" s="909">
        <v>0</v>
      </c>
      <c r="AY125" s="909">
        <v>0</v>
      </c>
      <c r="AZ125" s="910">
        <v>4020.0915328468241</v>
      </c>
      <c r="BA125" s="871">
        <v>3877.5695167813351</v>
      </c>
      <c r="BB125" s="911">
        <v>122.22349720729648</v>
      </c>
      <c r="BC125" s="908">
        <v>6.6316800000000002</v>
      </c>
      <c r="BD125" s="902">
        <v>29.777884575596211</v>
      </c>
      <c r="BE125" s="902">
        <v>0</v>
      </c>
      <c r="BF125" s="902">
        <v>0</v>
      </c>
      <c r="BG125" s="902">
        <v>27.049877770185272</v>
      </c>
      <c r="BH125" s="902">
        <v>1.1246857839861035</v>
      </c>
      <c r="BI125" s="902">
        <v>3600</v>
      </c>
      <c r="BJ125" s="909" t="s">
        <v>1062</v>
      </c>
      <c r="BK125" s="909">
        <v>3</v>
      </c>
      <c r="BL125" s="909">
        <v>0</v>
      </c>
      <c r="BM125" s="909">
        <v>0</v>
      </c>
      <c r="BN125" s="909">
        <v>0</v>
      </c>
      <c r="BO125" s="910">
        <v>3877.5695167813351</v>
      </c>
      <c r="BP125" s="909">
        <v>0</v>
      </c>
      <c r="BQ125" s="909">
        <v>0</v>
      </c>
      <c r="BR125" s="909">
        <v>0</v>
      </c>
      <c r="BS125" s="910">
        <v>4020.0915328468241</v>
      </c>
      <c r="BT125" s="871">
        <v>3877.5695167813351</v>
      </c>
      <c r="BU125" s="911">
        <v>122.22349720729648</v>
      </c>
      <c r="BV125" s="908">
        <v>8.8422400000000003</v>
      </c>
      <c r="BW125" s="902">
        <v>31.988444575596212</v>
      </c>
      <c r="BX125" s="902">
        <v>0</v>
      </c>
      <c r="BY125" s="902">
        <v>0</v>
      </c>
      <c r="BZ125" s="902">
        <v>28.635844917679616</v>
      </c>
      <c r="CA125" s="902">
        <v>1.2531204252661037</v>
      </c>
      <c r="CB125" s="902">
        <v>3600</v>
      </c>
      <c r="CC125" s="909" t="s">
        <v>2874</v>
      </c>
      <c r="CD125" s="909">
        <v>4</v>
      </c>
      <c r="CE125" s="909">
        <v>0</v>
      </c>
      <c r="CF125" s="909">
        <v>0</v>
      </c>
      <c r="CG125" s="909">
        <v>0</v>
      </c>
      <c r="CH125" s="910">
        <v>4421.9787750324949</v>
      </c>
      <c r="CI125" s="909">
        <v>0</v>
      </c>
      <c r="CJ125" s="909">
        <v>0</v>
      </c>
      <c r="CK125" s="909">
        <v>0</v>
      </c>
      <c r="CL125" s="910">
        <v>4355.1394172889577</v>
      </c>
      <c r="CM125" s="871">
        <v>4000</v>
      </c>
      <c r="CN125" s="911">
        <v>126.08258516407037</v>
      </c>
      <c r="CO125" s="908">
        <v>8.8422400000000003</v>
      </c>
      <c r="CP125" s="902">
        <v>31.988444575596212</v>
      </c>
      <c r="CQ125" s="902">
        <v>0</v>
      </c>
      <c r="CR125" s="902">
        <v>0</v>
      </c>
      <c r="CS125" s="902">
        <v>28.635844917679616</v>
      </c>
      <c r="CT125" s="902">
        <v>1.2531204252661037</v>
      </c>
      <c r="CU125" s="902">
        <v>3600</v>
      </c>
      <c r="CV125" s="909" t="s">
        <v>2874</v>
      </c>
      <c r="CW125" s="909">
        <v>4</v>
      </c>
      <c r="CX125" s="909">
        <v>0</v>
      </c>
      <c r="CY125" s="909">
        <v>0</v>
      </c>
      <c r="CZ125" s="909">
        <v>0</v>
      </c>
      <c r="DA125" s="910">
        <v>4421.9787750324949</v>
      </c>
      <c r="DB125" s="909">
        <v>0</v>
      </c>
      <c r="DC125" s="909">
        <v>0</v>
      </c>
      <c r="DD125" s="909">
        <v>0</v>
      </c>
      <c r="DE125" s="910">
        <v>4355.1394172889577</v>
      </c>
      <c r="DF125" s="871">
        <v>4000</v>
      </c>
      <c r="DG125" s="911">
        <v>126.08258516407037</v>
      </c>
      <c r="DH125" s="908">
        <v>6.6316800000000002</v>
      </c>
      <c r="DI125" s="902">
        <v>29.777884575596211</v>
      </c>
      <c r="DJ125" s="902">
        <v>0</v>
      </c>
      <c r="DK125" s="902">
        <v>0</v>
      </c>
      <c r="DL125" s="902">
        <v>27.049877770185272</v>
      </c>
      <c r="DM125" s="902">
        <v>1.1246857839861035</v>
      </c>
      <c r="DN125" s="902">
        <v>3600</v>
      </c>
      <c r="DO125" s="909" t="s">
        <v>2876</v>
      </c>
      <c r="DP125" s="909">
        <v>3</v>
      </c>
      <c r="DQ125" s="909">
        <v>0</v>
      </c>
      <c r="DR125" s="909">
        <v>0</v>
      </c>
      <c r="DS125" s="909">
        <v>0</v>
      </c>
      <c r="DT125" s="910">
        <v>3794.0880398630366</v>
      </c>
      <c r="DU125" s="909">
        <v>0</v>
      </c>
      <c r="DV125" s="909">
        <v>0</v>
      </c>
      <c r="DW125" s="909">
        <v>0</v>
      </c>
      <c r="DX125" s="910">
        <v>3736.73941366698</v>
      </c>
      <c r="DY125" s="871">
        <v>3736.73941366698</v>
      </c>
      <c r="DZ125" s="911">
        <v>117.78444133990135</v>
      </c>
      <c r="EA125" s="908">
        <v>6.6316800000000002</v>
      </c>
      <c r="EB125" s="902">
        <v>29.777884575596211</v>
      </c>
      <c r="EC125" s="902">
        <v>0</v>
      </c>
      <c r="ED125" s="902">
        <v>0</v>
      </c>
      <c r="EE125" s="902">
        <v>27.049877770185272</v>
      </c>
      <c r="EF125" s="902">
        <v>1.1246857839861035</v>
      </c>
      <c r="EG125" s="902">
        <v>3600</v>
      </c>
      <c r="EH125" s="909" t="s">
        <v>2876</v>
      </c>
      <c r="EI125" s="909">
        <v>3</v>
      </c>
      <c r="EJ125" s="909">
        <v>0</v>
      </c>
      <c r="EK125" s="909">
        <v>0</v>
      </c>
      <c r="EL125" s="909">
        <v>0</v>
      </c>
      <c r="EM125" s="910">
        <v>3794.0880398630366</v>
      </c>
      <c r="EN125" s="909">
        <v>0</v>
      </c>
      <c r="EO125" s="909">
        <v>0</v>
      </c>
      <c r="EP125" s="909">
        <v>0</v>
      </c>
      <c r="EQ125" s="910">
        <v>3736.73941366698</v>
      </c>
      <c r="ER125" s="871">
        <v>3736.73941366698</v>
      </c>
      <c r="ES125" s="911">
        <v>117.78444133990135</v>
      </c>
      <c r="ET125" s="908">
        <v>6.6316800000000002</v>
      </c>
      <c r="EU125" s="902">
        <v>29.777884575596211</v>
      </c>
      <c r="EV125" s="902">
        <v>0</v>
      </c>
      <c r="EW125" s="902">
        <v>0</v>
      </c>
      <c r="EX125" s="902">
        <v>27.049877770185272</v>
      </c>
      <c r="EY125" s="902">
        <v>1.1246857839861035</v>
      </c>
      <c r="EZ125" s="902">
        <v>3600</v>
      </c>
      <c r="FA125" s="909" t="s">
        <v>3889</v>
      </c>
      <c r="FB125" s="909">
        <v>3</v>
      </c>
      <c r="FC125" s="909">
        <v>0</v>
      </c>
      <c r="FD125" s="909">
        <v>0</v>
      </c>
      <c r="FE125" s="909">
        <v>0</v>
      </c>
      <c r="FF125" s="910">
        <v>3872.324890355163</v>
      </c>
      <c r="FG125" s="909">
        <v>0</v>
      </c>
      <c r="FH125" s="909">
        <v>0</v>
      </c>
      <c r="FI125" s="909">
        <v>0</v>
      </c>
      <c r="FJ125" s="910">
        <v>3813.793693853816</v>
      </c>
      <c r="FK125" s="871">
        <v>3813.793693853816</v>
      </c>
      <c r="FL125" s="911">
        <v>120.21324205087957</v>
      </c>
      <c r="FM125" s="908">
        <v>6.6316800000000002</v>
      </c>
      <c r="FN125" s="902">
        <v>29.777884575596211</v>
      </c>
      <c r="FO125" s="902">
        <v>0</v>
      </c>
      <c r="FP125" s="902">
        <v>0</v>
      </c>
      <c r="FQ125" s="902">
        <v>27.049877770185272</v>
      </c>
      <c r="FR125" s="902">
        <v>1.1246857839861035</v>
      </c>
      <c r="FS125" s="902">
        <v>3600</v>
      </c>
      <c r="FT125" s="909" t="s">
        <v>3889</v>
      </c>
      <c r="FU125" s="909">
        <v>3</v>
      </c>
      <c r="FV125" s="909">
        <v>0</v>
      </c>
      <c r="FW125" s="909">
        <v>0</v>
      </c>
      <c r="FX125" s="909">
        <v>0</v>
      </c>
      <c r="FY125" s="910">
        <v>3872.324890355163</v>
      </c>
      <c r="FZ125" s="909">
        <v>0</v>
      </c>
      <c r="GA125" s="909">
        <v>0</v>
      </c>
      <c r="GB125" s="909">
        <v>0</v>
      </c>
      <c r="GC125" s="910">
        <v>3813.793693853816</v>
      </c>
      <c r="GD125" s="871">
        <v>3813.793693853816</v>
      </c>
      <c r="GE125" s="911">
        <v>120.21324205087957</v>
      </c>
      <c r="GF125" s="908">
        <v>4.4211200000000002</v>
      </c>
      <c r="GG125" s="902">
        <v>27.56732457559621</v>
      </c>
      <c r="GH125" s="902">
        <v>0</v>
      </c>
      <c r="GI125" s="902">
        <v>0</v>
      </c>
      <c r="GJ125" s="902">
        <v>25.209560547626438</v>
      </c>
      <c r="GK125" s="902">
        <v>0.9962511427061036</v>
      </c>
      <c r="GL125" s="902">
        <v>3600</v>
      </c>
      <c r="GM125" s="909" t="s">
        <v>2877</v>
      </c>
      <c r="GN125" s="909">
        <v>2</v>
      </c>
      <c r="GO125" s="909">
        <v>0</v>
      </c>
      <c r="GP125" s="909">
        <v>0</v>
      </c>
      <c r="GQ125" s="909">
        <v>0</v>
      </c>
      <c r="GR125" s="910">
        <v>4048.5310012396185</v>
      </c>
      <c r="GS125" s="909">
        <v>0</v>
      </c>
      <c r="GT125" s="909">
        <v>0</v>
      </c>
      <c r="GU125" s="909">
        <v>0</v>
      </c>
      <c r="GV125" s="910">
        <v>3987.3364035970153</v>
      </c>
      <c r="GW125" s="871">
        <v>3987.3364035970153</v>
      </c>
      <c r="GX125" s="911">
        <v>125.68342042107969</v>
      </c>
      <c r="GY125" s="908">
        <v>4.4211200000000002</v>
      </c>
      <c r="GZ125" s="902">
        <v>27.56732457559621</v>
      </c>
      <c r="HA125" s="902">
        <v>0</v>
      </c>
      <c r="HB125" s="902">
        <v>0</v>
      </c>
      <c r="HC125" s="902">
        <v>25.209560547626438</v>
      </c>
      <c r="HD125" s="902">
        <v>0.9962511427061036</v>
      </c>
      <c r="HE125" s="902">
        <v>3600</v>
      </c>
      <c r="HF125" s="909" t="s">
        <v>2877</v>
      </c>
      <c r="HG125" s="909">
        <v>2</v>
      </c>
      <c r="HH125" s="909">
        <v>0</v>
      </c>
      <c r="HI125" s="909">
        <v>0</v>
      </c>
      <c r="HJ125" s="909">
        <v>0</v>
      </c>
      <c r="HK125" s="910">
        <v>4048.5310012396185</v>
      </c>
      <c r="HL125" s="909">
        <v>0</v>
      </c>
      <c r="HM125" s="909">
        <v>0</v>
      </c>
      <c r="HN125" s="909">
        <v>0</v>
      </c>
      <c r="HO125" s="910">
        <v>3987.3364035970153</v>
      </c>
      <c r="HP125" s="871">
        <v>3987.3364035970153</v>
      </c>
      <c r="HQ125" s="911">
        <v>125.68342042107969</v>
      </c>
      <c r="HR125" s="908">
        <v>6.6316800000000002</v>
      </c>
      <c r="HS125" s="902">
        <v>29.777884575596211</v>
      </c>
      <c r="HT125" s="902">
        <v>0</v>
      </c>
      <c r="HU125" s="902">
        <v>0</v>
      </c>
      <c r="HV125" s="902">
        <v>27.049877770185272</v>
      </c>
      <c r="HW125" s="902">
        <v>1.1246857839861035</v>
      </c>
      <c r="HX125" s="902">
        <v>3600</v>
      </c>
      <c r="HY125" s="909" t="s">
        <v>1063</v>
      </c>
      <c r="HZ125" s="909">
        <v>3</v>
      </c>
      <c r="IA125" s="909">
        <v>0</v>
      </c>
      <c r="IB125" s="909">
        <v>0</v>
      </c>
      <c r="IC125" s="909">
        <v>0</v>
      </c>
      <c r="ID125" s="910">
        <v>4581.7965994847245</v>
      </c>
      <c r="IE125" s="909">
        <v>0</v>
      </c>
      <c r="IF125" s="909">
        <v>0</v>
      </c>
      <c r="IG125" s="909">
        <v>0</v>
      </c>
      <c r="IH125" s="910">
        <v>4512.5415538151037</v>
      </c>
      <c r="II125" s="871">
        <v>4000</v>
      </c>
      <c r="IJ125" s="911">
        <v>126.08258516407037</v>
      </c>
      <c r="IK125" s="908">
        <v>6.6316800000000002</v>
      </c>
      <c r="IL125" s="902">
        <v>29.777884575596211</v>
      </c>
      <c r="IM125" s="902">
        <v>0</v>
      </c>
      <c r="IN125" s="902">
        <v>0</v>
      </c>
      <c r="IO125" s="902">
        <v>27.049877770185272</v>
      </c>
      <c r="IP125" s="902">
        <v>1.1246857839861035</v>
      </c>
      <c r="IQ125" s="902">
        <v>3600</v>
      </c>
      <c r="IR125" s="909" t="s">
        <v>1063</v>
      </c>
      <c r="IS125" s="909">
        <v>3</v>
      </c>
      <c r="IT125" s="909">
        <v>0</v>
      </c>
      <c r="IU125" s="909">
        <v>0</v>
      </c>
      <c r="IV125" s="909">
        <v>0</v>
      </c>
      <c r="IW125" s="910">
        <v>4581.7965994847245</v>
      </c>
      <c r="IX125" s="909">
        <v>0</v>
      </c>
      <c r="IY125" s="909">
        <v>0</v>
      </c>
      <c r="IZ125" s="909">
        <v>0</v>
      </c>
      <c r="JA125" s="910">
        <v>4512.5415538151037</v>
      </c>
      <c r="JB125" s="871">
        <v>4000</v>
      </c>
      <c r="JC125" s="911">
        <v>126.08258516407037</v>
      </c>
      <c r="JD125" s="908">
        <v>4.4211200000000002</v>
      </c>
      <c r="JE125" s="902">
        <v>27.56732457559621</v>
      </c>
      <c r="JF125" s="902">
        <v>0</v>
      </c>
      <c r="JG125" s="902">
        <v>0</v>
      </c>
      <c r="JH125" s="902">
        <v>25.209560547626438</v>
      </c>
      <c r="JI125" s="902">
        <v>0.9962511427061036</v>
      </c>
      <c r="JJ125" s="902">
        <v>3600</v>
      </c>
      <c r="JK125" s="909" t="s">
        <v>1064</v>
      </c>
      <c r="JL125" s="909">
        <v>2</v>
      </c>
      <c r="JM125" s="909">
        <v>0</v>
      </c>
      <c r="JN125" s="909">
        <v>0</v>
      </c>
      <c r="JO125" s="909">
        <v>0</v>
      </c>
      <c r="JP125" s="910">
        <v>4865.7287050915929</v>
      </c>
      <c r="JQ125" s="909">
        <v>0</v>
      </c>
      <c r="JR125" s="909">
        <v>0</v>
      </c>
      <c r="JS125" s="909">
        <v>0</v>
      </c>
      <c r="JT125" s="910">
        <v>4792.181951897719</v>
      </c>
      <c r="JU125" s="871">
        <v>4000</v>
      </c>
      <c r="JV125" s="911">
        <v>126.08258516407037</v>
      </c>
      <c r="JW125" s="908">
        <v>4.4211200000000002</v>
      </c>
      <c r="JX125" s="902">
        <v>27.56732457559621</v>
      </c>
      <c r="JY125" s="902">
        <v>0</v>
      </c>
      <c r="JZ125" s="902">
        <v>0</v>
      </c>
      <c r="KA125" s="902">
        <v>25.209560547626438</v>
      </c>
      <c r="KB125" s="902">
        <v>0.9962511427061036</v>
      </c>
      <c r="KC125" s="902">
        <v>3600</v>
      </c>
      <c r="KD125" s="909" t="s">
        <v>1064</v>
      </c>
      <c r="KE125" s="909">
        <v>2</v>
      </c>
      <c r="KF125" s="909">
        <v>0</v>
      </c>
      <c r="KG125" s="909">
        <v>0</v>
      </c>
      <c r="KH125" s="909">
        <v>0</v>
      </c>
      <c r="KI125" s="910">
        <v>4865.7287050915929</v>
      </c>
      <c r="KJ125" s="909">
        <v>0</v>
      </c>
      <c r="KK125" s="909">
        <v>0</v>
      </c>
      <c r="KL125" s="909">
        <v>0</v>
      </c>
      <c r="KM125" s="910">
        <v>4792.181951897719</v>
      </c>
      <c r="KN125" s="871">
        <v>4000</v>
      </c>
      <c r="KO125" s="912">
        <v>126.08258516407037</v>
      </c>
    </row>
    <row r="126" spans="1:301" ht="15" customHeight="1">
      <c r="A126" s="924" t="s">
        <v>1693</v>
      </c>
      <c r="B126" s="888" t="s">
        <v>1074</v>
      </c>
      <c r="C126" s="888">
        <v>320</v>
      </c>
      <c r="D126" s="888">
        <v>602</v>
      </c>
      <c r="E126" s="888">
        <v>360</v>
      </c>
      <c r="F126" s="888">
        <v>320</v>
      </c>
      <c r="G126" s="888">
        <v>114</v>
      </c>
      <c r="H126" s="888">
        <v>100</v>
      </c>
      <c r="I126" s="888">
        <v>100</v>
      </c>
      <c r="J126" s="888">
        <v>42.49</v>
      </c>
      <c r="K126" s="888">
        <v>63.27</v>
      </c>
      <c r="L126" s="888">
        <v>16</v>
      </c>
      <c r="M126" s="888">
        <v>176</v>
      </c>
      <c r="N126" s="888">
        <v>2</v>
      </c>
      <c r="O126" s="884">
        <v>2.8706481942957991</v>
      </c>
      <c r="P126" s="888">
        <v>2</v>
      </c>
      <c r="Q126" s="884">
        <v>1.9262708675090785</v>
      </c>
      <c r="R126" s="888">
        <v>13.000000000000002</v>
      </c>
      <c r="S126" s="888">
        <v>454.07837349395203</v>
      </c>
      <c r="T126" s="906">
        <v>16.525877405796049</v>
      </c>
      <c r="U126" s="906">
        <v>68.111756024092799</v>
      </c>
      <c r="V126" s="906">
        <v>85</v>
      </c>
      <c r="W126" s="1141">
        <v>1.8234081079952849</v>
      </c>
      <c r="X126" s="902">
        <v>0</v>
      </c>
      <c r="Y126" s="902">
        <v>0</v>
      </c>
      <c r="Z126" s="902">
        <v>0</v>
      </c>
      <c r="AA126" s="902">
        <v>0</v>
      </c>
      <c r="AB126" s="970">
        <v>2.978011998676962</v>
      </c>
      <c r="AC126" s="1045">
        <v>4000</v>
      </c>
      <c r="AD126" s="890">
        <v>2.9041625978837313</v>
      </c>
      <c r="AE126" s="890">
        <v>0.91601014362310362</v>
      </c>
      <c r="AF126" s="890">
        <v>-0.16687605811665021</v>
      </c>
      <c r="AG126" s="890">
        <v>0.41266254134932617</v>
      </c>
      <c r="AH126" s="888"/>
      <c r="AI126" s="907">
        <v>1.5408762001677576</v>
      </c>
      <c r="AJ126" s="908">
        <v>6.6316800000000002</v>
      </c>
      <c r="AK126" s="902">
        <v>29.777884575596211</v>
      </c>
      <c r="AL126" s="902">
        <v>0</v>
      </c>
      <c r="AM126" s="902">
        <v>0</v>
      </c>
      <c r="AN126" s="902">
        <v>27.049877770185272</v>
      </c>
      <c r="AO126" s="902">
        <v>1.1246857839861035</v>
      </c>
      <c r="AP126" s="1222">
        <v>3600</v>
      </c>
      <c r="AQ126" s="909" t="s">
        <v>1062</v>
      </c>
      <c r="AR126" s="909">
        <v>3</v>
      </c>
      <c r="AS126" s="909">
        <v>0</v>
      </c>
      <c r="AT126" s="909">
        <v>0</v>
      </c>
      <c r="AU126" s="909">
        <v>0</v>
      </c>
      <c r="AV126" s="910">
        <v>3877.5695167813351</v>
      </c>
      <c r="AW126" s="909">
        <v>0</v>
      </c>
      <c r="AX126" s="909">
        <v>0</v>
      </c>
      <c r="AY126" s="909">
        <v>0</v>
      </c>
      <c r="AZ126" s="910">
        <v>4020.0915328468241</v>
      </c>
      <c r="BA126" s="871">
        <v>3877.5695167813351</v>
      </c>
      <c r="BB126" s="911">
        <v>122.22349720729648</v>
      </c>
      <c r="BC126" s="908">
        <v>6.6316800000000002</v>
      </c>
      <c r="BD126" s="902">
        <v>29.777884575596211</v>
      </c>
      <c r="BE126" s="902">
        <v>0</v>
      </c>
      <c r="BF126" s="902">
        <v>0</v>
      </c>
      <c r="BG126" s="902">
        <v>27.049877770185272</v>
      </c>
      <c r="BH126" s="902">
        <v>1.1246857839861035</v>
      </c>
      <c r="BI126" s="902">
        <v>3600</v>
      </c>
      <c r="BJ126" s="909" t="s">
        <v>1062</v>
      </c>
      <c r="BK126" s="909">
        <v>3</v>
      </c>
      <c r="BL126" s="909">
        <v>0</v>
      </c>
      <c r="BM126" s="909">
        <v>0</v>
      </c>
      <c r="BN126" s="909">
        <v>0</v>
      </c>
      <c r="BO126" s="910">
        <v>3877.5695167813351</v>
      </c>
      <c r="BP126" s="909">
        <v>0</v>
      </c>
      <c r="BQ126" s="909">
        <v>0</v>
      </c>
      <c r="BR126" s="909">
        <v>0</v>
      </c>
      <c r="BS126" s="910">
        <v>4020.0915328468241</v>
      </c>
      <c r="BT126" s="871">
        <v>3877.5695167813351</v>
      </c>
      <c r="BU126" s="911">
        <v>122.22349720729648</v>
      </c>
      <c r="BV126" s="908">
        <v>8.8422400000000003</v>
      </c>
      <c r="BW126" s="902">
        <v>31.988444575596212</v>
      </c>
      <c r="BX126" s="902">
        <v>0</v>
      </c>
      <c r="BY126" s="902">
        <v>0</v>
      </c>
      <c r="BZ126" s="902">
        <v>28.635844917679616</v>
      </c>
      <c r="CA126" s="902">
        <v>1.2531204252661037</v>
      </c>
      <c r="CB126" s="902">
        <v>3600</v>
      </c>
      <c r="CC126" s="909" t="s">
        <v>2874</v>
      </c>
      <c r="CD126" s="909">
        <v>4</v>
      </c>
      <c r="CE126" s="909">
        <v>0</v>
      </c>
      <c r="CF126" s="909">
        <v>0</v>
      </c>
      <c r="CG126" s="909">
        <v>0</v>
      </c>
      <c r="CH126" s="910">
        <v>4421.9787750324949</v>
      </c>
      <c r="CI126" s="909">
        <v>0</v>
      </c>
      <c r="CJ126" s="909">
        <v>0</v>
      </c>
      <c r="CK126" s="909">
        <v>0</v>
      </c>
      <c r="CL126" s="910">
        <v>4355.1394172889577</v>
      </c>
      <c r="CM126" s="871">
        <v>4000</v>
      </c>
      <c r="CN126" s="911">
        <v>126.08258516407037</v>
      </c>
      <c r="CO126" s="908">
        <v>8.8422400000000003</v>
      </c>
      <c r="CP126" s="902">
        <v>31.988444575596212</v>
      </c>
      <c r="CQ126" s="902">
        <v>0</v>
      </c>
      <c r="CR126" s="902">
        <v>0</v>
      </c>
      <c r="CS126" s="902">
        <v>28.635844917679616</v>
      </c>
      <c r="CT126" s="902">
        <v>1.2531204252661037</v>
      </c>
      <c r="CU126" s="902">
        <v>3600</v>
      </c>
      <c r="CV126" s="909" t="s">
        <v>2874</v>
      </c>
      <c r="CW126" s="909">
        <v>4</v>
      </c>
      <c r="CX126" s="909">
        <v>0</v>
      </c>
      <c r="CY126" s="909">
        <v>0</v>
      </c>
      <c r="CZ126" s="909">
        <v>0</v>
      </c>
      <c r="DA126" s="910">
        <v>4421.9787750324949</v>
      </c>
      <c r="DB126" s="909">
        <v>0</v>
      </c>
      <c r="DC126" s="909">
        <v>0</v>
      </c>
      <c r="DD126" s="909">
        <v>0</v>
      </c>
      <c r="DE126" s="910">
        <v>4355.1394172889577</v>
      </c>
      <c r="DF126" s="871">
        <v>4000</v>
      </c>
      <c r="DG126" s="911">
        <v>126.08258516407037</v>
      </c>
      <c r="DH126" s="908">
        <v>6.6316800000000002</v>
      </c>
      <c r="DI126" s="902">
        <v>29.777884575596211</v>
      </c>
      <c r="DJ126" s="902">
        <v>0</v>
      </c>
      <c r="DK126" s="902">
        <v>0</v>
      </c>
      <c r="DL126" s="902">
        <v>27.049877770185272</v>
      </c>
      <c r="DM126" s="902">
        <v>1.1246857839861035</v>
      </c>
      <c r="DN126" s="902">
        <v>3600</v>
      </c>
      <c r="DO126" s="909" t="s">
        <v>2876</v>
      </c>
      <c r="DP126" s="909">
        <v>3</v>
      </c>
      <c r="DQ126" s="909">
        <v>0</v>
      </c>
      <c r="DR126" s="909">
        <v>0</v>
      </c>
      <c r="DS126" s="909">
        <v>0</v>
      </c>
      <c r="DT126" s="910">
        <v>3794.0880398630366</v>
      </c>
      <c r="DU126" s="909">
        <v>0</v>
      </c>
      <c r="DV126" s="909">
        <v>0</v>
      </c>
      <c r="DW126" s="909">
        <v>0</v>
      </c>
      <c r="DX126" s="910">
        <v>3736.73941366698</v>
      </c>
      <c r="DY126" s="871">
        <v>3736.73941366698</v>
      </c>
      <c r="DZ126" s="911">
        <v>117.78444133990135</v>
      </c>
      <c r="EA126" s="908">
        <v>6.6316800000000002</v>
      </c>
      <c r="EB126" s="902">
        <v>29.777884575596211</v>
      </c>
      <c r="EC126" s="902">
        <v>0</v>
      </c>
      <c r="ED126" s="902">
        <v>0</v>
      </c>
      <c r="EE126" s="902">
        <v>27.049877770185272</v>
      </c>
      <c r="EF126" s="902">
        <v>1.1246857839861035</v>
      </c>
      <c r="EG126" s="902">
        <v>3600</v>
      </c>
      <c r="EH126" s="909" t="s">
        <v>2876</v>
      </c>
      <c r="EI126" s="909">
        <v>3</v>
      </c>
      <c r="EJ126" s="909">
        <v>0</v>
      </c>
      <c r="EK126" s="909">
        <v>0</v>
      </c>
      <c r="EL126" s="909">
        <v>0</v>
      </c>
      <c r="EM126" s="910">
        <v>3794.0880398630366</v>
      </c>
      <c r="EN126" s="909">
        <v>0</v>
      </c>
      <c r="EO126" s="909">
        <v>0</v>
      </c>
      <c r="EP126" s="909">
        <v>0</v>
      </c>
      <c r="EQ126" s="910">
        <v>3736.73941366698</v>
      </c>
      <c r="ER126" s="871">
        <v>3736.73941366698</v>
      </c>
      <c r="ES126" s="911">
        <v>117.78444133990135</v>
      </c>
      <c r="ET126" s="908">
        <v>6.6316800000000002</v>
      </c>
      <c r="EU126" s="902">
        <v>29.777884575596211</v>
      </c>
      <c r="EV126" s="902">
        <v>0</v>
      </c>
      <c r="EW126" s="902">
        <v>0</v>
      </c>
      <c r="EX126" s="902">
        <v>27.049877770185272</v>
      </c>
      <c r="EY126" s="902">
        <v>1.1246857839861035</v>
      </c>
      <c r="EZ126" s="902">
        <v>3600</v>
      </c>
      <c r="FA126" s="909" t="s">
        <v>3889</v>
      </c>
      <c r="FB126" s="909">
        <v>3</v>
      </c>
      <c r="FC126" s="909">
        <v>0</v>
      </c>
      <c r="FD126" s="909">
        <v>0</v>
      </c>
      <c r="FE126" s="909">
        <v>0</v>
      </c>
      <c r="FF126" s="910">
        <v>3872.324890355163</v>
      </c>
      <c r="FG126" s="909">
        <v>0</v>
      </c>
      <c r="FH126" s="909">
        <v>0</v>
      </c>
      <c r="FI126" s="909">
        <v>0</v>
      </c>
      <c r="FJ126" s="910">
        <v>3813.793693853816</v>
      </c>
      <c r="FK126" s="871">
        <v>3813.793693853816</v>
      </c>
      <c r="FL126" s="911">
        <v>120.21324205087957</v>
      </c>
      <c r="FM126" s="908">
        <v>6.6316800000000002</v>
      </c>
      <c r="FN126" s="902">
        <v>29.777884575596211</v>
      </c>
      <c r="FO126" s="902">
        <v>0</v>
      </c>
      <c r="FP126" s="902">
        <v>0</v>
      </c>
      <c r="FQ126" s="902">
        <v>27.049877770185272</v>
      </c>
      <c r="FR126" s="902">
        <v>1.1246857839861035</v>
      </c>
      <c r="FS126" s="902">
        <v>3600</v>
      </c>
      <c r="FT126" s="909" t="s">
        <v>3889</v>
      </c>
      <c r="FU126" s="909">
        <v>3</v>
      </c>
      <c r="FV126" s="909">
        <v>0</v>
      </c>
      <c r="FW126" s="909">
        <v>0</v>
      </c>
      <c r="FX126" s="909">
        <v>0</v>
      </c>
      <c r="FY126" s="910">
        <v>3872.324890355163</v>
      </c>
      <c r="FZ126" s="909">
        <v>0</v>
      </c>
      <c r="GA126" s="909">
        <v>0</v>
      </c>
      <c r="GB126" s="909">
        <v>0</v>
      </c>
      <c r="GC126" s="910">
        <v>3813.793693853816</v>
      </c>
      <c r="GD126" s="871">
        <v>3813.793693853816</v>
      </c>
      <c r="GE126" s="911">
        <v>120.21324205087957</v>
      </c>
      <c r="GF126" s="908">
        <v>4.4211200000000002</v>
      </c>
      <c r="GG126" s="902">
        <v>27.56732457559621</v>
      </c>
      <c r="GH126" s="902">
        <v>0</v>
      </c>
      <c r="GI126" s="902">
        <v>0</v>
      </c>
      <c r="GJ126" s="902">
        <v>25.209560547626438</v>
      </c>
      <c r="GK126" s="902">
        <v>0.9962511427061036</v>
      </c>
      <c r="GL126" s="902">
        <v>3600</v>
      </c>
      <c r="GM126" s="909" t="s">
        <v>2877</v>
      </c>
      <c r="GN126" s="909">
        <v>2</v>
      </c>
      <c r="GO126" s="909">
        <v>0</v>
      </c>
      <c r="GP126" s="909">
        <v>0</v>
      </c>
      <c r="GQ126" s="909">
        <v>0</v>
      </c>
      <c r="GR126" s="910">
        <v>4048.5310012396185</v>
      </c>
      <c r="GS126" s="909">
        <v>0</v>
      </c>
      <c r="GT126" s="909">
        <v>0</v>
      </c>
      <c r="GU126" s="909">
        <v>0</v>
      </c>
      <c r="GV126" s="910">
        <v>3987.3364035970153</v>
      </c>
      <c r="GW126" s="871">
        <v>3987.3364035970153</v>
      </c>
      <c r="GX126" s="911">
        <v>125.68342042107969</v>
      </c>
      <c r="GY126" s="908">
        <v>4.4211200000000002</v>
      </c>
      <c r="GZ126" s="902">
        <v>27.56732457559621</v>
      </c>
      <c r="HA126" s="902">
        <v>0</v>
      </c>
      <c r="HB126" s="902">
        <v>0</v>
      </c>
      <c r="HC126" s="902">
        <v>25.209560547626438</v>
      </c>
      <c r="HD126" s="902">
        <v>0.9962511427061036</v>
      </c>
      <c r="HE126" s="902">
        <v>3600</v>
      </c>
      <c r="HF126" s="909" t="s">
        <v>2877</v>
      </c>
      <c r="HG126" s="909">
        <v>2</v>
      </c>
      <c r="HH126" s="909">
        <v>0</v>
      </c>
      <c r="HI126" s="909">
        <v>0</v>
      </c>
      <c r="HJ126" s="909">
        <v>0</v>
      </c>
      <c r="HK126" s="910">
        <v>4048.5310012396185</v>
      </c>
      <c r="HL126" s="909">
        <v>0</v>
      </c>
      <c r="HM126" s="909">
        <v>0</v>
      </c>
      <c r="HN126" s="909">
        <v>0</v>
      </c>
      <c r="HO126" s="910">
        <v>3987.3364035970153</v>
      </c>
      <c r="HP126" s="871">
        <v>3987.3364035970153</v>
      </c>
      <c r="HQ126" s="911">
        <v>125.68342042107969</v>
      </c>
      <c r="HR126" s="908">
        <v>6.6316800000000002</v>
      </c>
      <c r="HS126" s="902">
        <v>29.777884575596211</v>
      </c>
      <c r="HT126" s="902">
        <v>0</v>
      </c>
      <c r="HU126" s="902">
        <v>0</v>
      </c>
      <c r="HV126" s="902">
        <v>27.049877770185272</v>
      </c>
      <c r="HW126" s="902">
        <v>1.1246857839861035</v>
      </c>
      <c r="HX126" s="902">
        <v>3600</v>
      </c>
      <c r="HY126" s="909" t="s">
        <v>1063</v>
      </c>
      <c r="HZ126" s="909">
        <v>3</v>
      </c>
      <c r="IA126" s="909">
        <v>0</v>
      </c>
      <c r="IB126" s="909">
        <v>0</v>
      </c>
      <c r="IC126" s="909">
        <v>0</v>
      </c>
      <c r="ID126" s="910">
        <v>4581.7965994847245</v>
      </c>
      <c r="IE126" s="909">
        <v>0</v>
      </c>
      <c r="IF126" s="909">
        <v>0</v>
      </c>
      <c r="IG126" s="909">
        <v>0</v>
      </c>
      <c r="IH126" s="910">
        <v>4512.5415538151037</v>
      </c>
      <c r="II126" s="871">
        <v>4000</v>
      </c>
      <c r="IJ126" s="911">
        <v>126.08258516407037</v>
      </c>
      <c r="IK126" s="908">
        <v>6.6316800000000002</v>
      </c>
      <c r="IL126" s="902">
        <v>29.777884575596211</v>
      </c>
      <c r="IM126" s="902">
        <v>0</v>
      </c>
      <c r="IN126" s="902">
        <v>0</v>
      </c>
      <c r="IO126" s="902">
        <v>27.049877770185272</v>
      </c>
      <c r="IP126" s="902">
        <v>1.1246857839861035</v>
      </c>
      <c r="IQ126" s="902">
        <v>3600</v>
      </c>
      <c r="IR126" s="909" t="s">
        <v>1063</v>
      </c>
      <c r="IS126" s="909">
        <v>3</v>
      </c>
      <c r="IT126" s="909">
        <v>0</v>
      </c>
      <c r="IU126" s="909">
        <v>0</v>
      </c>
      <c r="IV126" s="909">
        <v>0</v>
      </c>
      <c r="IW126" s="910">
        <v>4581.7965994847245</v>
      </c>
      <c r="IX126" s="909">
        <v>0</v>
      </c>
      <c r="IY126" s="909">
        <v>0</v>
      </c>
      <c r="IZ126" s="909">
        <v>0</v>
      </c>
      <c r="JA126" s="910">
        <v>4512.5415538151037</v>
      </c>
      <c r="JB126" s="871">
        <v>4000</v>
      </c>
      <c r="JC126" s="911">
        <v>126.08258516407037</v>
      </c>
      <c r="JD126" s="908">
        <v>4.4211200000000002</v>
      </c>
      <c r="JE126" s="902">
        <v>27.56732457559621</v>
      </c>
      <c r="JF126" s="902">
        <v>0</v>
      </c>
      <c r="JG126" s="902">
        <v>0</v>
      </c>
      <c r="JH126" s="902">
        <v>25.209560547626438</v>
      </c>
      <c r="JI126" s="902">
        <v>0.9962511427061036</v>
      </c>
      <c r="JJ126" s="902">
        <v>3600</v>
      </c>
      <c r="JK126" s="909" t="s">
        <v>1064</v>
      </c>
      <c r="JL126" s="909">
        <v>2</v>
      </c>
      <c r="JM126" s="909">
        <v>0</v>
      </c>
      <c r="JN126" s="909">
        <v>0</v>
      </c>
      <c r="JO126" s="909">
        <v>0</v>
      </c>
      <c r="JP126" s="910">
        <v>4865.7287050915929</v>
      </c>
      <c r="JQ126" s="909">
        <v>0</v>
      </c>
      <c r="JR126" s="909">
        <v>0</v>
      </c>
      <c r="JS126" s="909">
        <v>0</v>
      </c>
      <c r="JT126" s="910">
        <v>4792.181951897719</v>
      </c>
      <c r="JU126" s="871">
        <v>4000</v>
      </c>
      <c r="JV126" s="911">
        <v>126.08258516407037</v>
      </c>
      <c r="JW126" s="908">
        <v>4.4211200000000002</v>
      </c>
      <c r="JX126" s="902">
        <v>27.56732457559621</v>
      </c>
      <c r="JY126" s="902">
        <v>0</v>
      </c>
      <c r="JZ126" s="902">
        <v>0</v>
      </c>
      <c r="KA126" s="902">
        <v>25.209560547626438</v>
      </c>
      <c r="KB126" s="902">
        <v>0.9962511427061036</v>
      </c>
      <c r="KC126" s="902">
        <v>3600</v>
      </c>
      <c r="KD126" s="909" t="s">
        <v>1064</v>
      </c>
      <c r="KE126" s="909">
        <v>2</v>
      </c>
      <c r="KF126" s="909">
        <v>0</v>
      </c>
      <c r="KG126" s="909">
        <v>0</v>
      </c>
      <c r="KH126" s="909">
        <v>0</v>
      </c>
      <c r="KI126" s="910">
        <v>4865.7287050915929</v>
      </c>
      <c r="KJ126" s="909">
        <v>0</v>
      </c>
      <c r="KK126" s="909">
        <v>0</v>
      </c>
      <c r="KL126" s="909">
        <v>0</v>
      </c>
      <c r="KM126" s="910">
        <v>4792.181951897719</v>
      </c>
      <c r="KN126" s="871">
        <v>4000</v>
      </c>
      <c r="KO126" s="912">
        <v>126.08258516407037</v>
      </c>
    </row>
    <row r="127" spans="1:301" s="878" customFormat="1" ht="15" customHeight="1">
      <c r="A127" s="924" t="s">
        <v>1585</v>
      </c>
      <c r="B127" s="888" t="s">
        <v>1073</v>
      </c>
      <c r="C127" s="888">
        <v>225</v>
      </c>
      <c r="D127" s="888">
        <v>677</v>
      </c>
      <c r="E127" s="888">
        <v>212</v>
      </c>
      <c r="F127" s="888">
        <v>225</v>
      </c>
      <c r="G127" s="888">
        <v>61</v>
      </c>
      <c r="H127" s="888">
        <v>45</v>
      </c>
      <c r="I127" s="888">
        <v>45</v>
      </c>
      <c r="J127" s="888">
        <v>34.44</v>
      </c>
      <c r="K127" s="888">
        <v>73.5</v>
      </c>
      <c r="L127" s="888">
        <v>16</v>
      </c>
      <c r="M127" s="888">
        <v>260</v>
      </c>
      <c r="N127" s="888">
        <v>3</v>
      </c>
      <c r="O127" s="884">
        <v>7.6460213557260754</v>
      </c>
      <c r="P127" s="888">
        <v>3</v>
      </c>
      <c r="Q127" s="884">
        <v>4.9343412925363364</v>
      </c>
      <c r="R127" s="888">
        <v>13.000000000000002</v>
      </c>
      <c r="S127" s="888">
        <v>437.66653435218495</v>
      </c>
      <c r="T127" s="906">
        <v>15.352869929593291</v>
      </c>
      <c r="U127" s="906">
        <v>65.649980152827737</v>
      </c>
      <c r="V127" s="906">
        <v>60</v>
      </c>
      <c r="W127" s="1141">
        <v>1.1957523695164001</v>
      </c>
      <c r="X127" s="902">
        <v>0</v>
      </c>
      <c r="Y127" s="902">
        <v>0</v>
      </c>
      <c r="Z127" s="902">
        <v>0</v>
      </c>
      <c r="AA127" s="902">
        <v>0</v>
      </c>
      <c r="AB127" s="970">
        <v>2.1677558736450835</v>
      </c>
      <c r="AC127" s="1045">
        <v>4000</v>
      </c>
      <c r="AD127" s="890">
        <v>2.04059842616397</v>
      </c>
      <c r="AE127" s="890">
        <v>0.68574022026494175</v>
      </c>
      <c r="AF127" s="890">
        <v>-0.17578549672232732</v>
      </c>
      <c r="AG127" s="890">
        <v>0.95959158607505857</v>
      </c>
      <c r="AH127" s="888"/>
      <c r="AI127" s="907">
        <v>1.7347614552831647</v>
      </c>
      <c r="AJ127" s="908">
        <v>4.4085600000000005</v>
      </c>
      <c r="AK127" s="902">
        <v>33.537544947372105</v>
      </c>
      <c r="AL127" s="902">
        <v>0</v>
      </c>
      <c r="AM127" s="902">
        <v>0</v>
      </c>
      <c r="AN127" s="902">
        <v>17.482833030694735</v>
      </c>
      <c r="AO127" s="902">
        <v>1.5299247313466753</v>
      </c>
      <c r="AP127" s="1222">
        <v>3600</v>
      </c>
      <c r="AQ127" s="909" t="s">
        <v>1062</v>
      </c>
      <c r="AR127" s="909">
        <v>3</v>
      </c>
      <c r="AS127" s="909">
        <v>0</v>
      </c>
      <c r="AT127" s="909">
        <v>0</v>
      </c>
      <c r="AU127" s="909">
        <v>0</v>
      </c>
      <c r="AV127" s="910">
        <v>11442.602269336116</v>
      </c>
      <c r="AW127" s="909">
        <v>0</v>
      </c>
      <c r="AX127" s="909">
        <v>0</v>
      </c>
      <c r="AY127" s="909">
        <v>0</v>
      </c>
      <c r="AZ127" s="910">
        <v>12570.710832016191</v>
      </c>
      <c r="BA127" s="871">
        <v>4000</v>
      </c>
      <c r="BB127" s="911">
        <v>141.79054843201934</v>
      </c>
      <c r="BC127" s="908">
        <v>4.4085600000000005</v>
      </c>
      <c r="BD127" s="902">
        <v>33.537544947372105</v>
      </c>
      <c r="BE127" s="902">
        <v>0</v>
      </c>
      <c r="BF127" s="902">
        <v>0</v>
      </c>
      <c r="BG127" s="902">
        <v>17.482833030694735</v>
      </c>
      <c r="BH127" s="902">
        <v>1.5299247313466753</v>
      </c>
      <c r="BI127" s="902">
        <v>3600</v>
      </c>
      <c r="BJ127" s="909" t="s">
        <v>1062</v>
      </c>
      <c r="BK127" s="909">
        <v>3</v>
      </c>
      <c r="BL127" s="909">
        <v>0</v>
      </c>
      <c r="BM127" s="909">
        <v>0</v>
      </c>
      <c r="BN127" s="909">
        <v>0</v>
      </c>
      <c r="BO127" s="910">
        <v>11442.602269336116</v>
      </c>
      <c r="BP127" s="909">
        <v>0</v>
      </c>
      <c r="BQ127" s="909">
        <v>0</v>
      </c>
      <c r="BR127" s="909">
        <v>0</v>
      </c>
      <c r="BS127" s="910">
        <v>12570.710832016191</v>
      </c>
      <c r="BT127" s="871">
        <v>4000</v>
      </c>
      <c r="BU127" s="911">
        <v>141.79054843201934</v>
      </c>
      <c r="BV127" s="908">
        <v>4.4085600000000005</v>
      </c>
      <c r="BW127" s="902">
        <v>33.537544947372105</v>
      </c>
      <c r="BX127" s="902">
        <v>0</v>
      </c>
      <c r="BY127" s="902">
        <v>0</v>
      </c>
      <c r="BZ127" s="902">
        <v>17.482833030694735</v>
      </c>
      <c r="CA127" s="902">
        <v>1.5299247313466753</v>
      </c>
      <c r="CB127" s="902">
        <v>3600</v>
      </c>
      <c r="CC127" s="909" t="s">
        <v>2874</v>
      </c>
      <c r="CD127" s="909">
        <v>3</v>
      </c>
      <c r="CE127" s="909">
        <v>0</v>
      </c>
      <c r="CF127" s="909">
        <v>0</v>
      </c>
      <c r="CG127" s="909">
        <v>0</v>
      </c>
      <c r="CH127" s="910">
        <v>10636.081926339355</v>
      </c>
      <c r="CI127" s="909">
        <v>0</v>
      </c>
      <c r="CJ127" s="909">
        <v>0</v>
      </c>
      <c r="CK127" s="909">
        <v>0</v>
      </c>
      <c r="CL127" s="910">
        <v>11684.676888573093</v>
      </c>
      <c r="CM127" s="871">
        <v>4000</v>
      </c>
      <c r="CN127" s="911">
        <v>141.79054843201934</v>
      </c>
      <c r="CO127" s="908">
        <v>4.4085600000000005</v>
      </c>
      <c r="CP127" s="902">
        <v>33.537544947372105</v>
      </c>
      <c r="CQ127" s="902">
        <v>0</v>
      </c>
      <c r="CR127" s="902">
        <v>0</v>
      </c>
      <c r="CS127" s="902">
        <v>17.482833030694735</v>
      </c>
      <c r="CT127" s="902">
        <v>1.5299247313466753</v>
      </c>
      <c r="CU127" s="902">
        <v>3600</v>
      </c>
      <c r="CV127" s="909" t="s">
        <v>2874</v>
      </c>
      <c r="CW127" s="909">
        <v>3</v>
      </c>
      <c r="CX127" s="909">
        <v>0</v>
      </c>
      <c r="CY127" s="909">
        <v>0</v>
      </c>
      <c r="CZ127" s="909">
        <v>0</v>
      </c>
      <c r="DA127" s="910">
        <v>10636.081926339355</v>
      </c>
      <c r="DB127" s="909">
        <v>0</v>
      </c>
      <c r="DC127" s="909">
        <v>0</v>
      </c>
      <c r="DD127" s="909">
        <v>0</v>
      </c>
      <c r="DE127" s="910">
        <v>11684.676888573093</v>
      </c>
      <c r="DF127" s="871">
        <v>4000</v>
      </c>
      <c r="DG127" s="911">
        <v>141.79054843201934</v>
      </c>
      <c r="DH127" s="908">
        <v>2.9390400000000003</v>
      </c>
      <c r="DI127" s="902">
        <v>32.068024947372102</v>
      </c>
      <c r="DJ127" s="902">
        <v>0</v>
      </c>
      <c r="DK127" s="902">
        <v>0</v>
      </c>
      <c r="DL127" s="902">
        <v>17.252920923016347</v>
      </c>
      <c r="DM127" s="902">
        <v>1.4364349710866753</v>
      </c>
      <c r="DN127" s="902">
        <v>3600</v>
      </c>
      <c r="DO127" s="909" t="s">
        <v>2876</v>
      </c>
      <c r="DP127" s="909">
        <v>2</v>
      </c>
      <c r="DQ127" s="909">
        <v>0</v>
      </c>
      <c r="DR127" s="909">
        <v>0</v>
      </c>
      <c r="DS127" s="909">
        <v>0</v>
      </c>
      <c r="DT127" s="910">
        <v>8592.2706660726872</v>
      </c>
      <c r="DU127" s="909">
        <v>0</v>
      </c>
      <c r="DV127" s="909">
        <v>0</v>
      </c>
      <c r="DW127" s="909">
        <v>0</v>
      </c>
      <c r="DX127" s="910">
        <v>9307.7681576498217</v>
      </c>
      <c r="DY127" s="871">
        <v>4000</v>
      </c>
      <c r="DZ127" s="911">
        <v>141.79054843201934</v>
      </c>
      <c r="EA127" s="908">
        <v>2.9390400000000003</v>
      </c>
      <c r="EB127" s="902">
        <v>32.068024947372102</v>
      </c>
      <c r="EC127" s="902">
        <v>0</v>
      </c>
      <c r="ED127" s="902">
        <v>0</v>
      </c>
      <c r="EE127" s="902">
        <v>17.252920923016347</v>
      </c>
      <c r="EF127" s="902">
        <v>1.4364349710866753</v>
      </c>
      <c r="EG127" s="902">
        <v>3600</v>
      </c>
      <c r="EH127" s="909" t="s">
        <v>2876</v>
      </c>
      <c r="EI127" s="909">
        <v>2</v>
      </c>
      <c r="EJ127" s="909">
        <v>0</v>
      </c>
      <c r="EK127" s="909">
        <v>0</v>
      </c>
      <c r="EL127" s="909">
        <v>0</v>
      </c>
      <c r="EM127" s="910">
        <v>8592.2706660726872</v>
      </c>
      <c r="EN127" s="909">
        <v>0</v>
      </c>
      <c r="EO127" s="909">
        <v>0</v>
      </c>
      <c r="EP127" s="909">
        <v>0</v>
      </c>
      <c r="EQ127" s="910">
        <v>9307.7681576498217</v>
      </c>
      <c r="ER127" s="871">
        <v>4000</v>
      </c>
      <c r="ES127" s="911">
        <v>141.79054843201934</v>
      </c>
      <c r="ET127" s="908">
        <v>2.9390400000000003</v>
      </c>
      <c r="EU127" s="902">
        <v>32.068024947372102</v>
      </c>
      <c r="EV127" s="902">
        <v>0</v>
      </c>
      <c r="EW127" s="902">
        <v>0</v>
      </c>
      <c r="EX127" s="902">
        <v>17.252920923016347</v>
      </c>
      <c r="EY127" s="902">
        <v>1.4364349710866753</v>
      </c>
      <c r="EZ127" s="902">
        <v>3600</v>
      </c>
      <c r="FA127" s="909" t="s">
        <v>3889</v>
      </c>
      <c r="FB127" s="909">
        <v>2</v>
      </c>
      <c r="FC127" s="909">
        <v>0</v>
      </c>
      <c r="FD127" s="909">
        <v>0</v>
      </c>
      <c r="FE127" s="909">
        <v>0</v>
      </c>
      <c r="FF127" s="910">
        <v>9018.5895473009386</v>
      </c>
      <c r="FG127" s="909">
        <v>0</v>
      </c>
      <c r="FH127" s="909">
        <v>0</v>
      </c>
      <c r="FI127" s="909">
        <v>0</v>
      </c>
      <c r="FJ127" s="910">
        <v>9769.5875604497687</v>
      </c>
      <c r="FK127" s="871">
        <v>4000</v>
      </c>
      <c r="FL127" s="911">
        <v>141.79054843201934</v>
      </c>
      <c r="FM127" s="908">
        <v>2.9390400000000003</v>
      </c>
      <c r="FN127" s="902">
        <v>32.068024947372102</v>
      </c>
      <c r="FO127" s="902">
        <v>0</v>
      </c>
      <c r="FP127" s="902">
        <v>0</v>
      </c>
      <c r="FQ127" s="902">
        <v>17.252920923016347</v>
      </c>
      <c r="FR127" s="902">
        <v>1.4364349710866753</v>
      </c>
      <c r="FS127" s="902">
        <v>3600</v>
      </c>
      <c r="FT127" s="909" t="s">
        <v>3889</v>
      </c>
      <c r="FU127" s="909">
        <v>2</v>
      </c>
      <c r="FV127" s="909">
        <v>0</v>
      </c>
      <c r="FW127" s="909">
        <v>0</v>
      </c>
      <c r="FX127" s="909">
        <v>0</v>
      </c>
      <c r="FY127" s="910">
        <v>9018.5895473009386</v>
      </c>
      <c r="FZ127" s="909">
        <v>0</v>
      </c>
      <c r="GA127" s="909">
        <v>0</v>
      </c>
      <c r="GB127" s="909">
        <v>0</v>
      </c>
      <c r="GC127" s="910">
        <v>9769.5875604497687</v>
      </c>
      <c r="GD127" s="871">
        <v>4000</v>
      </c>
      <c r="GE127" s="911">
        <v>141.79054843201934</v>
      </c>
      <c r="GF127" s="908">
        <v>2.9390400000000003</v>
      </c>
      <c r="GG127" s="902">
        <v>32.068024947372102</v>
      </c>
      <c r="GH127" s="902">
        <v>0</v>
      </c>
      <c r="GI127" s="902">
        <v>0</v>
      </c>
      <c r="GJ127" s="902">
        <v>17.252920923016347</v>
      </c>
      <c r="GK127" s="902">
        <v>1.4364349710866753</v>
      </c>
      <c r="GL127" s="902">
        <v>3600</v>
      </c>
      <c r="GM127" s="909" t="s">
        <v>2877</v>
      </c>
      <c r="GN127" s="909">
        <v>2</v>
      </c>
      <c r="GO127" s="909">
        <v>0</v>
      </c>
      <c r="GP127" s="909">
        <v>0</v>
      </c>
      <c r="GQ127" s="909">
        <v>0</v>
      </c>
      <c r="GR127" s="910">
        <v>10612.145558468888</v>
      </c>
      <c r="GS127" s="909">
        <v>0</v>
      </c>
      <c r="GT127" s="909">
        <v>0</v>
      </c>
      <c r="GU127" s="909">
        <v>0</v>
      </c>
      <c r="GV127" s="910">
        <v>11495.842525496932</v>
      </c>
      <c r="GW127" s="871">
        <v>4000</v>
      </c>
      <c r="GX127" s="911">
        <v>141.79054843201934</v>
      </c>
      <c r="GY127" s="908">
        <v>2.9390400000000003</v>
      </c>
      <c r="GZ127" s="902">
        <v>32.068024947372102</v>
      </c>
      <c r="HA127" s="902">
        <v>0</v>
      </c>
      <c r="HB127" s="902">
        <v>0</v>
      </c>
      <c r="HC127" s="902">
        <v>17.252920923016347</v>
      </c>
      <c r="HD127" s="902">
        <v>1.4364349710866753</v>
      </c>
      <c r="HE127" s="902">
        <v>3600</v>
      </c>
      <c r="HF127" s="909" t="s">
        <v>2877</v>
      </c>
      <c r="HG127" s="909">
        <v>2</v>
      </c>
      <c r="HH127" s="909">
        <v>0</v>
      </c>
      <c r="HI127" s="909">
        <v>0</v>
      </c>
      <c r="HJ127" s="909">
        <v>0</v>
      </c>
      <c r="HK127" s="910">
        <v>10612.145558468888</v>
      </c>
      <c r="HL127" s="909">
        <v>0</v>
      </c>
      <c r="HM127" s="909">
        <v>0</v>
      </c>
      <c r="HN127" s="909">
        <v>0</v>
      </c>
      <c r="HO127" s="910">
        <v>11495.842525496932</v>
      </c>
      <c r="HP127" s="871">
        <v>4000</v>
      </c>
      <c r="HQ127" s="911">
        <v>141.79054843201934</v>
      </c>
      <c r="HR127" s="908">
        <v>2.9390400000000003</v>
      </c>
      <c r="HS127" s="902">
        <v>32.068024947372102</v>
      </c>
      <c r="HT127" s="902">
        <v>0</v>
      </c>
      <c r="HU127" s="902">
        <v>0</v>
      </c>
      <c r="HV127" s="902">
        <v>17.252920923016347</v>
      </c>
      <c r="HW127" s="902">
        <v>1.4364349710866753</v>
      </c>
      <c r="HX127" s="902">
        <v>3600</v>
      </c>
      <c r="HY127" s="909" t="s">
        <v>1063</v>
      </c>
      <c r="HZ127" s="909">
        <v>2</v>
      </c>
      <c r="IA127" s="909">
        <v>0</v>
      </c>
      <c r="IB127" s="909">
        <v>0</v>
      </c>
      <c r="IC127" s="909">
        <v>0</v>
      </c>
      <c r="ID127" s="910">
        <v>9359.032674857277</v>
      </c>
      <c r="IE127" s="909">
        <v>0</v>
      </c>
      <c r="IF127" s="909">
        <v>0</v>
      </c>
      <c r="IG127" s="909">
        <v>0</v>
      </c>
      <c r="IH127" s="910">
        <v>10138.380144541861</v>
      </c>
      <c r="II127" s="871">
        <v>4000</v>
      </c>
      <c r="IJ127" s="911">
        <v>141.79054843201934</v>
      </c>
      <c r="IK127" s="908">
        <v>2.9390400000000003</v>
      </c>
      <c r="IL127" s="902">
        <v>32.068024947372102</v>
      </c>
      <c r="IM127" s="902">
        <v>0</v>
      </c>
      <c r="IN127" s="902">
        <v>0</v>
      </c>
      <c r="IO127" s="902">
        <v>17.252920923016347</v>
      </c>
      <c r="IP127" s="902">
        <v>1.4364349710866753</v>
      </c>
      <c r="IQ127" s="902">
        <v>3600</v>
      </c>
      <c r="IR127" s="909" t="s">
        <v>1063</v>
      </c>
      <c r="IS127" s="909">
        <v>2</v>
      </c>
      <c r="IT127" s="909">
        <v>0</v>
      </c>
      <c r="IU127" s="909">
        <v>0</v>
      </c>
      <c r="IV127" s="909">
        <v>0</v>
      </c>
      <c r="IW127" s="910">
        <v>9359.032674857277</v>
      </c>
      <c r="IX127" s="909">
        <v>0</v>
      </c>
      <c r="IY127" s="909">
        <v>0</v>
      </c>
      <c r="IZ127" s="909">
        <v>0</v>
      </c>
      <c r="JA127" s="910">
        <v>10138.380144541861</v>
      </c>
      <c r="JB127" s="871">
        <v>4000</v>
      </c>
      <c r="JC127" s="911">
        <v>141.79054843201934</v>
      </c>
      <c r="JD127" s="908">
        <v>2.9390400000000003</v>
      </c>
      <c r="JE127" s="902">
        <v>32.068024947372102</v>
      </c>
      <c r="JF127" s="902">
        <v>0</v>
      </c>
      <c r="JG127" s="902">
        <v>0</v>
      </c>
      <c r="JH127" s="902">
        <v>17.252920923016347</v>
      </c>
      <c r="JI127" s="902">
        <v>1.4364349710866753</v>
      </c>
      <c r="JJ127" s="902">
        <v>3600</v>
      </c>
      <c r="JK127" s="909" t="s">
        <v>1064</v>
      </c>
      <c r="JL127" s="909">
        <v>2</v>
      </c>
      <c r="JM127" s="909">
        <v>0</v>
      </c>
      <c r="JN127" s="909">
        <v>0</v>
      </c>
      <c r="JO127" s="909">
        <v>0</v>
      </c>
      <c r="JP127" s="910">
        <v>12754.211651248999</v>
      </c>
      <c r="JQ127" s="909">
        <v>0</v>
      </c>
      <c r="JR127" s="909">
        <v>0</v>
      </c>
      <c r="JS127" s="909">
        <v>0</v>
      </c>
      <c r="JT127" s="910">
        <v>13816.283226779544</v>
      </c>
      <c r="JU127" s="871">
        <v>4000</v>
      </c>
      <c r="JV127" s="911">
        <v>141.79054843201934</v>
      </c>
      <c r="JW127" s="908">
        <v>2.9390400000000003</v>
      </c>
      <c r="JX127" s="902">
        <v>32.068024947372102</v>
      </c>
      <c r="JY127" s="902">
        <v>0</v>
      </c>
      <c r="JZ127" s="902">
        <v>0</v>
      </c>
      <c r="KA127" s="902">
        <v>17.252920923016347</v>
      </c>
      <c r="KB127" s="902">
        <v>1.4364349710866753</v>
      </c>
      <c r="KC127" s="902">
        <v>3600</v>
      </c>
      <c r="KD127" s="909" t="s">
        <v>1064</v>
      </c>
      <c r="KE127" s="909">
        <v>2</v>
      </c>
      <c r="KF127" s="909">
        <v>0</v>
      </c>
      <c r="KG127" s="909">
        <v>0</v>
      </c>
      <c r="KH127" s="909">
        <v>0</v>
      </c>
      <c r="KI127" s="910">
        <v>12754.211651248999</v>
      </c>
      <c r="KJ127" s="909">
        <v>0</v>
      </c>
      <c r="KK127" s="909">
        <v>0</v>
      </c>
      <c r="KL127" s="909">
        <v>0</v>
      </c>
      <c r="KM127" s="910">
        <v>13816.283226779544</v>
      </c>
      <c r="KN127" s="871">
        <v>4000</v>
      </c>
      <c r="KO127" s="912">
        <v>141.79054843201934</v>
      </c>
    </row>
    <row r="128" spans="1:301" s="878" customFormat="1" ht="15" customHeight="1">
      <c r="A128" s="924" t="s">
        <v>1586</v>
      </c>
      <c r="B128" s="888" t="s">
        <v>1073</v>
      </c>
      <c r="C128" s="888">
        <v>290</v>
      </c>
      <c r="D128" s="888">
        <v>677</v>
      </c>
      <c r="E128" s="888">
        <v>260</v>
      </c>
      <c r="F128" s="888">
        <v>290</v>
      </c>
      <c r="G128" s="888">
        <v>76</v>
      </c>
      <c r="H128" s="888">
        <v>60</v>
      </c>
      <c r="I128" s="888">
        <v>60</v>
      </c>
      <c r="J128" s="888">
        <v>34.08</v>
      </c>
      <c r="K128" s="888">
        <v>68.61</v>
      </c>
      <c r="L128" s="888">
        <v>16</v>
      </c>
      <c r="M128" s="888">
        <v>233</v>
      </c>
      <c r="N128" s="888">
        <v>3</v>
      </c>
      <c r="O128" s="884">
        <v>7.226973108123163</v>
      </c>
      <c r="P128" s="888">
        <v>3</v>
      </c>
      <c r="Q128" s="884">
        <v>4.4141175820873615</v>
      </c>
      <c r="R128" s="888">
        <v>13.000000000000002</v>
      </c>
      <c r="S128" s="888">
        <v>468.69828725369609</v>
      </c>
      <c r="T128" s="906">
        <v>17.607172674872178</v>
      </c>
      <c r="U128" s="906">
        <v>70.304743088054408</v>
      </c>
      <c r="V128" s="906">
        <v>72.5</v>
      </c>
      <c r="W128" s="1141">
        <v>1.6570211784164557</v>
      </c>
      <c r="X128" s="902">
        <v>0</v>
      </c>
      <c r="Y128" s="902">
        <v>0</v>
      </c>
      <c r="Z128" s="902">
        <v>0</v>
      </c>
      <c r="AA128" s="902">
        <v>0</v>
      </c>
      <c r="AB128" s="970">
        <v>2.8570965901598533</v>
      </c>
      <c r="AC128" s="1045">
        <v>4000</v>
      </c>
      <c r="AD128" s="890">
        <v>2.1952331242634044</v>
      </c>
      <c r="AE128" s="890">
        <v>0.67654194305478299</v>
      </c>
      <c r="AF128" s="890">
        <v>-0.15477733753400749</v>
      </c>
      <c r="AG128" s="890">
        <v>0.76864077422576826</v>
      </c>
      <c r="AH128" s="888"/>
      <c r="AI128" s="907">
        <v>1.7551390482437057</v>
      </c>
      <c r="AJ128" s="908">
        <v>5.2676640000000008</v>
      </c>
      <c r="AK128" s="902">
        <v>36.17294854349916</v>
      </c>
      <c r="AL128" s="902">
        <v>0</v>
      </c>
      <c r="AM128" s="902">
        <v>0</v>
      </c>
      <c r="AN128" s="902">
        <v>21.363564599537398</v>
      </c>
      <c r="AO128" s="902">
        <v>1.6898651767781914</v>
      </c>
      <c r="AP128" s="1222">
        <v>3600</v>
      </c>
      <c r="AQ128" s="909" t="s">
        <v>1062</v>
      </c>
      <c r="AR128" s="909">
        <v>3</v>
      </c>
      <c r="AS128" s="909">
        <v>0</v>
      </c>
      <c r="AT128" s="909">
        <v>0</v>
      </c>
      <c r="AU128" s="909">
        <v>0</v>
      </c>
      <c r="AV128" s="910">
        <v>7217.5405140114426</v>
      </c>
      <c r="AW128" s="909">
        <v>0</v>
      </c>
      <c r="AX128" s="909">
        <v>0</v>
      </c>
      <c r="AY128" s="909">
        <v>0</v>
      </c>
      <c r="AZ128" s="910">
        <v>7654.8855826744457</v>
      </c>
      <c r="BA128" s="871">
        <v>4000</v>
      </c>
      <c r="BB128" s="911">
        <v>141.79054843201934</v>
      </c>
      <c r="BC128" s="908">
        <v>5.2676640000000008</v>
      </c>
      <c r="BD128" s="902">
        <v>36.17294854349916</v>
      </c>
      <c r="BE128" s="902">
        <v>0</v>
      </c>
      <c r="BF128" s="902">
        <v>0</v>
      </c>
      <c r="BG128" s="902">
        <v>21.363564599537398</v>
      </c>
      <c r="BH128" s="902">
        <v>1.6898651767781914</v>
      </c>
      <c r="BI128" s="902">
        <v>3600</v>
      </c>
      <c r="BJ128" s="909" t="s">
        <v>1062</v>
      </c>
      <c r="BK128" s="909">
        <v>3</v>
      </c>
      <c r="BL128" s="909">
        <v>0</v>
      </c>
      <c r="BM128" s="909">
        <v>0</v>
      </c>
      <c r="BN128" s="909">
        <v>0</v>
      </c>
      <c r="BO128" s="910">
        <v>7217.5405140114426</v>
      </c>
      <c r="BP128" s="909">
        <v>0</v>
      </c>
      <c r="BQ128" s="909">
        <v>0</v>
      </c>
      <c r="BR128" s="909">
        <v>0</v>
      </c>
      <c r="BS128" s="910">
        <v>7654.8855826744457</v>
      </c>
      <c r="BT128" s="871">
        <v>4000</v>
      </c>
      <c r="BU128" s="911">
        <v>141.79054843201934</v>
      </c>
      <c r="BV128" s="908">
        <v>3.5117760000000007</v>
      </c>
      <c r="BW128" s="902">
        <v>34.417060543499161</v>
      </c>
      <c r="BX128" s="902">
        <v>0</v>
      </c>
      <c r="BY128" s="902">
        <v>0</v>
      </c>
      <c r="BZ128" s="902">
        <v>20.922951338469353</v>
      </c>
      <c r="CA128" s="902">
        <v>1.5708096052841913</v>
      </c>
      <c r="CB128" s="902">
        <v>3600</v>
      </c>
      <c r="CC128" s="909" t="s">
        <v>2874</v>
      </c>
      <c r="CD128" s="909">
        <v>2</v>
      </c>
      <c r="CE128" s="909">
        <v>0</v>
      </c>
      <c r="CF128" s="909">
        <v>0</v>
      </c>
      <c r="CG128" s="909">
        <v>0</v>
      </c>
      <c r="CH128" s="910">
        <v>5045.2447884860758</v>
      </c>
      <c r="CI128" s="909">
        <v>0</v>
      </c>
      <c r="CJ128" s="909">
        <v>0</v>
      </c>
      <c r="CK128" s="909">
        <v>0</v>
      </c>
      <c r="CL128" s="910">
        <v>4983.5091826306725</v>
      </c>
      <c r="CM128" s="871">
        <v>4000</v>
      </c>
      <c r="CN128" s="911">
        <v>141.79054843201934</v>
      </c>
      <c r="CO128" s="908">
        <v>3.5117760000000007</v>
      </c>
      <c r="CP128" s="902">
        <v>34.417060543499161</v>
      </c>
      <c r="CQ128" s="902">
        <v>0</v>
      </c>
      <c r="CR128" s="902">
        <v>0</v>
      </c>
      <c r="CS128" s="902">
        <v>20.922951338469353</v>
      </c>
      <c r="CT128" s="902">
        <v>1.5708096052841913</v>
      </c>
      <c r="CU128" s="902">
        <v>3600</v>
      </c>
      <c r="CV128" s="909" t="s">
        <v>2874</v>
      </c>
      <c r="CW128" s="909">
        <v>2</v>
      </c>
      <c r="CX128" s="909">
        <v>0</v>
      </c>
      <c r="CY128" s="909">
        <v>0</v>
      </c>
      <c r="CZ128" s="909">
        <v>0</v>
      </c>
      <c r="DA128" s="910">
        <v>5045.2447884860758</v>
      </c>
      <c r="DB128" s="909">
        <v>0</v>
      </c>
      <c r="DC128" s="909">
        <v>0</v>
      </c>
      <c r="DD128" s="909">
        <v>0</v>
      </c>
      <c r="DE128" s="910">
        <v>4983.5091826306725</v>
      </c>
      <c r="DF128" s="871">
        <v>4000</v>
      </c>
      <c r="DG128" s="911">
        <v>141.79054843201934</v>
      </c>
      <c r="DH128" s="908">
        <v>3.5117760000000007</v>
      </c>
      <c r="DI128" s="902">
        <v>34.417060543499161</v>
      </c>
      <c r="DJ128" s="902">
        <v>0</v>
      </c>
      <c r="DK128" s="902">
        <v>0</v>
      </c>
      <c r="DL128" s="902">
        <v>20.922951338469353</v>
      </c>
      <c r="DM128" s="902">
        <v>1.5708096052841913</v>
      </c>
      <c r="DN128" s="902">
        <v>3600</v>
      </c>
      <c r="DO128" s="909" t="s">
        <v>2876</v>
      </c>
      <c r="DP128" s="909">
        <v>2</v>
      </c>
      <c r="DQ128" s="909">
        <v>0</v>
      </c>
      <c r="DR128" s="909">
        <v>0</v>
      </c>
      <c r="DS128" s="909">
        <v>0</v>
      </c>
      <c r="DT128" s="910">
        <v>5393.5935516915824</v>
      </c>
      <c r="DU128" s="909">
        <v>0</v>
      </c>
      <c r="DV128" s="909">
        <v>0</v>
      </c>
      <c r="DW128" s="909">
        <v>0</v>
      </c>
      <c r="DX128" s="910">
        <v>5327.5954129272568</v>
      </c>
      <c r="DY128" s="871">
        <v>4000</v>
      </c>
      <c r="DZ128" s="911">
        <v>141.79054843201934</v>
      </c>
      <c r="EA128" s="908">
        <v>3.5117760000000007</v>
      </c>
      <c r="EB128" s="902">
        <v>34.417060543499161</v>
      </c>
      <c r="EC128" s="902">
        <v>0</v>
      </c>
      <c r="ED128" s="902">
        <v>0</v>
      </c>
      <c r="EE128" s="902">
        <v>20.922951338469353</v>
      </c>
      <c r="EF128" s="902">
        <v>1.5708096052841913</v>
      </c>
      <c r="EG128" s="902">
        <v>3600</v>
      </c>
      <c r="EH128" s="909" t="s">
        <v>2876</v>
      </c>
      <c r="EI128" s="909">
        <v>2</v>
      </c>
      <c r="EJ128" s="909">
        <v>0</v>
      </c>
      <c r="EK128" s="909">
        <v>0</v>
      </c>
      <c r="EL128" s="909">
        <v>0</v>
      </c>
      <c r="EM128" s="910">
        <v>5393.5935516915824</v>
      </c>
      <c r="EN128" s="909">
        <v>0</v>
      </c>
      <c r="EO128" s="909">
        <v>0</v>
      </c>
      <c r="EP128" s="909">
        <v>0</v>
      </c>
      <c r="EQ128" s="910">
        <v>5327.5954129272568</v>
      </c>
      <c r="ER128" s="871">
        <v>4000</v>
      </c>
      <c r="ES128" s="911">
        <v>141.79054843201934</v>
      </c>
      <c r="ET128" s="908">
        <v>3.5117760000000007</v>
      </c>
      <c r="EU128" s="902">
        <v>34.417060543499161</v>
      </c>
      <c r="EV128" s="902">
        <v>0</v>
      </c>
      <c r="EW128" s="902">
        <v>0</v>
      </c>
      <c r="EX128" s="902">
        <v>20.922951338469353</v>
      </c>
      <c r="EY128" s="902">
        <v>1.5708096052841913</v>
      </c>
      <c r="EZ128" s="902">
        <v>3600</v>
      </c>
      <c r="FA128" s="909" t="s">
        <v>3889</v>
      </c>
      <c r="FB128" s="909">
        <v>2</v>
      </c>
      <c r="FC128" s="909">
        <v>0</v>
      </c>
      <c r="FD128" s="909">
        <v>0</v>
      </c>
      <c r="FE128" s="909">
        <v>0</v>
      </c>
      <c r="FF128" s="910">
        <v>5504.8133673364364</v>
      </c>
      <c r="FG128" s="909">
        <v>0</v>
      </c>
      <c r="FH128" s="909">
        <v>0</v>
      </c>
      <c r="FI128" s="909">
        <v>0</v>
      </c>
      <c r="FJ128" s="910">
        <v>5437.4542990262125</v>
      </c>
      <c r="FK128" s="871">
        <v>4000</v>
      </c>
      <c r="FL128" s="911">
        <v>141.79054843201934</v>
      </c>
      <c r="FM128" s="908">
        <v>3.5117760000000007</v>
      </c>
      <c r="FN128" s="902">
        <v>34.417060543499161</v>
      </c>
      <c r="FO128" s="902">
        <v>0</v>
      </c>
      <c r="FP128" s="902">
        <v>0</v>
      </c>
      <c r="FQ128" s="902">
        <v>20.922951338469353</v>
      </c>
      <c r="FR128" s="902">
        <v>1.5708096052841913</v>
      </c>
      <c r="FS128" s="902">
        <v>3600</v>
      </c>
      <c r="FT128" s="909" t="s">
        <v>3889</v>
      </c>
      <c r="FU128" s="909">
        <v>2</v>
      </c>
      <c r="FV128" s="909">
        <v>0</v>
      </c>
      <c r="FW128" s="909">
        <v>0</v>
      </c>
      <c r="FX128" s="909">
        <v>0</v>
      </c>
      <c r="FY128" s="910">
        <v>5504.8133673364364</v>
      </c>
      <c r="FZ128" s="909">
        <v>0</v>
      </c>
      <c r="GA128" s="909">
        <v>0</v>
      </c>
      <c r="GB128" s="909">
        <v>0</v>
      </c>
      <c r="GC128" s="910">
        <v>5437.4542990262125</v>
      </c>
      <c r="GD128" s="871">
        <v>4000</v>
      </c>
      <c r="GE128" s="911">
        <v>141.79054843201934</v>
      </c>
      <c r="GF128" s="908">
        <v>3.5117760000000007</v>
      </c>
      <c r="GG128" s="902">
        <v>34.417060543499161</v>
      </c>
      <c r="GH128" s="902">
        <v>0</v>
      </c>
      <c r="GI128" s="902">
        <v>0</v>
      </c>
      <c r="GJ128" s="902">
        <v>20.922951338469353</v>
      </c>
      <c r="GK128" s="902">
        <v>1.5708096052841913</v>
      </c>
      <c r="GL128" s="902">
        <v>3600</v>
      </c>
      <c r="GM128" s="909" t="s">
        <v>2877</v>
      </c>
      <c r="GN128" s="909">
        <v>2</v>
      </c>
      <c r="GO128" s="909">
        <v>0</v>
      </c>
      <c r="GP128" s="909">
        <v>0</v>
      </c>
      <c r="GQ128" s="909">
        <v>0</v>
      </c>
      <c r="GR128" s="910">
        <v>7385.4821356901539</v>
      </c>
      <c r="GS128" s="909">
        <v>0</v>
      </c>
      <c r="GT128" s="909">
        <v>0</v>
      </c>
      <c r="GU128" s="909">
        <v>0</v>
      </c>
      <c r="GV128" s="910">
        <v>7295.1104623034371</v>
      </c>
      <c r="GW128" s="871">
        <v>4000</v>
      </c>
      <c r="GX128" s="911">
        <v>141.79054843201934</v>
      </c>
      <c r="GY128" s="908">
        <v>3.5117760000000007</v>
      </c>
      <c r="GZ128" s="902">
        <v>34.417060543499161</v>
      </c>
      <c r="HA128" s="902">
        <v>0</v>
      </c>
      <c r="HB128" s="902">
        <v>0</v>
      </c>
      <c r="HC128" s="902">
        <v>20.922951338469353</v>
      </c>
      <c r="HD128" s="902">
        <v>1.5708096052841913</v>
      </c>
      <c r="HE128" s="902">
        <v>3600</v>
      </c>
      <c r="HF128" s="909" t="s">
        <v>2877</v>
      </c>
      <c r="HG128" s="909">
        <v>2</v>
      </c>
      <c r="HH128" s="909">
        <v>0</v>
      </c>
      <c r="HI128" s="909">
        <v>0</v>
      </c>
      <c r="HJ128" s="909">
        <v>0</v>
      </c>
      <c r="HK128" s="910">
        <v>7385.4821356901539</v>
      </c>
      <c r="HL128" s="909">
        <v>0</v>
      </c>
      <c r="HM128" s="909">
        <v>0</v>
      </c>
      <c r="HN128" s="909">
        <v>0</v>
      </c>
      <c r="HO128" s="910">
        <v>7295.1104623034371</v>
      </c>
      <c r="HP128" s="871">
        <v>4000</v>
      </c>
      <c r="HQ128" s="911">
        <v>141.79054843201934</v>
      </c>
      <c r="HR128" s="908">
        <v>3.5117760000000007</v>
      </c>
      <c r="HS128" s="902">
        <v>34.417060543499161</v>
      </c>
      <c r="HT128" s="902">
        <v>0</v>
      </c>
      <c r="HU128" s="902">
        <v>0</v>
      </c>
      <c r="HV128" s="902">
        <v>20.922951338469353</v>
      </c>
      <c r="HW128" s="902">
        <v>1.5708096052841913</v>
      </c>
      <c r="HX128" s="902">
        <v>3600</v>
      </c>
      <c r="HY128" s="909" t="s">
        <v>1063</v>
      </c>
      <c r="HZ128" s="909">
        <v>2</v>
      </c>
      <c r="IA128" s="909">
        <v>0</v>
      </c>
      <c r="IB128" s="909">
        <v>0</v>
      </c>
      <c r="IC128" s="909">
        <v>0</v>
      </c>
      <c r="ID128" s="910">
        <v>6513.3830144487802</v>
      </c>
      <c r="IE128" s="909">
        <v>0</v>
      </c>
      <c r="IF128" s="909">
        <v>0</v>
      </c>
      <c r="IG128" s="909">
        <v>0</v>
      </c>
      <c r="IH128" s="910">
        <v>6433.6826900001097</v>
      </c>
      <c r="II128" s="871">
        <v>4000</v>
      </c>
      <c r="IJ128" s="911">
        <v>141.79054843201934</v>
      </c>
      <c r="IK128" s="908">
        <v>3.5117760000000007</v>
      </c>
      <c r="IL128" s="902">
        <v>34.417060543499161</v>
      </c>
      <c r="IM128" s="902">
        <v>0</v>
      </c>
      <c r="IN128" s="902">
        <v>0</v>
      </c>
      <c r="IO128" s="902">
        <v>20.922951338469353</v>
      </c>
      <c r="IP128" s="902">
        <v>1.5708096052841913</v>
      </c>
      <c r="IQ128" s="902">
        <v>3600</v>
      </c>
      <c r="IR128" s="909" t="s">
        <v>1063</v>
      </c>
      <c r="IS128" s="909">
        <v>2</v>
      </c>
      <c r="IT128" s="909">
        <v>0</v>
      </c>
      <c r="IU128" s="909">
        <v>0</v>
      </c>
      <c r="IV128" s="909">
        <v>0</v>
      </c>
      <c r="IW128" s="910">
        <v>6513.3830144487802</v>
      </c>
      <c r="IX128" s="909">
        <v>0</v>
      </c>
      <c r="IY128" s="909">
        <v>0</v>
      </c>
      <c r="IZ128" s="909">
        <v>0</v>
      </c>
      <c r="JA128" s="910">
        <v>6433.6826900001097</v>
      </c>
      <c r="JB128" s="871">
        <v>4000</v>
      </c>
      <c r="JC128" s="911">
        <v>141.79054843201934</v>
      </c>
      <c r="JD128" s="908">
        <v>3.5117760000000007</v>
      </c>
      <c r="JE128" s="902">
        <v>34.417060543499161</v>
      </c>
      <c r="JF128" s="902">
        <v>0</v>
      </c>
      <c r="JG128" s="902">
        <v>0</v>
      </c>
      <c r="JH128" s="902">
        <v>20.922951338469353</v>
      </c>
      <c r="JI128" s="902">
        <v>1.5708096052841913</v>
      </c>
      <c r="JJ128" s="902">
        <v>3600</v>
      </c>
      <c r="JK128" s="909" t="s">
        <v>1064</v>
      </c>
      <c r="JL128" s="909">
        <v>2</v>
      </c>
      <c r="JM128" s="909">
        <v>0</v>
      </c>
      <c r="JN128" s="909">
        <v>0</v>
      </c>
      <c r="JO128" s="909">
        <v>0</v>
      </c>
      <c r="JP128" s="910">
        <v>8876.2448447454426</v>
      </c>
      <c r="JQ128" s="909">
        <v>0</v>
      </c>
      <c r="JR128" s="909">
        <v>0</v>
      </c>
      <c r="JS128" s="909">
        <v>0</v>
      </c>
      <c r="JT128" s="910">
        <v>8767.6316106696158</v>
      </c>
      <c r="JU128" s="871">
        <v>4000</v>
      </c>
      <c r="JV128" s="911">
        <v>141.79054843201934</v>
      </c>
      <c r="JW128" s="908">
        <v>3.5117760000000007</v>
      </c>
      <c r="JX128" s="902">
        <v>34.417060543499161</v>
      </c>
      <c r="JY128" s="902">
        <v>0</v>
      </c>
      <c r="JZ128" s="902">
        <v>0</v>
      </c>
      <c r="KA128" s="902">
        <v>20.922951338469353</v>
      </c>
      <c r="KB128" s="902">
        <v>1.5708096052841913</v>
      </c>
      <c r="KC128" s="902">
        <v>3600</v>
      </c>
      <c r="KD128" s="909" t="s">
        <v>1064</v>
      </c>
      <c r="KE128" s="909">
        <v>2</v>
      </c>
      <c r="KF128" s="909">
        <v>0</v>
      </c>
      <c r="KG128" s="909">
        <v>0</v>
      </c>
      <c r="KH128" s="909">
        <v>0</v>
      </c>
      <c r="KI128" s="910">
        <v>8876.2448447454426</v>
      </c>
      <c r="KJ128" s="909">
        <v>0</v>
      </c>
      <c r="KK128" s="909">
        <v>0</v>
      </c>
      <c r="KL128" s="909">
        <v>0</v>
      </c>
      <c r="KM128" s="910">
        <v>8767.6316106696158</v>
      </c>
      <c r="KN128" s="871">
        <v>4000</v>
      </c>
      <c r="KO128" s="912">
        <v>141.79054843201934</v>
      </c>
    </row>
    <row r="129" spans="1:301" ht="15" customHeight="1">
      <c r="A129" s="924" t="s">
        <v>1587</v>
      </c>
      <c r="B129" s="888" t="s">
        <v>1074</v>
      </c>
      <c r="C129" s="888">
        <v>350</v>
      </c>
      <c r="D129" s="888">
        <v>677</v>
      </c>
      <c r="E129" s="888">
        <v>320</v>
      </c>
      <c r="F129" s="888">
        <v>350</v>
      </c>
      <c r="G129" s="888">
        <v>91</v>
      </c>
      <c r="H129" s="888">
        <v>75</v>
      </c>
      <c r="I129" s="888">
        <v>75</v>
      </c>
      <c r="J129" s="888">
        <v>34.840000000000003</v>
      </c>
      <c r="K129" s="888">
        <v>64.25</v>
      </c>
      <c r="L129" s="888">
        <v>16</v>
      </c>
      <c r="M129" s="888">
        <v>204</v>
      </c>
      <c r="N129" s="888">
        <v>3</v>
      </c>
      <c r="O129" s="884">
        <v>6.5833078972924195</v>
      </c>
      <c r="P129" s="888">
        <v>3</v>
      </c>
      <c r="Q129" s="884">
        <v>4.0120585223333309</v>
      </c>
      <c r="R129" s="888">
        <v>13.000000000000002</v>
      </c>
      <c r="S129" s="888">
        <v>491.34057199553052</v>
      </c>
      <c r="T129" s="906">
        <v>19.349428600472979</v>
      </c>
      <c r="U129" s="906">
        <v>73.701085799329576</v>
      </c>
      <c r="V129" s="906">
        <v>85</v>
      </c>
      <c r="W129" s="1141">
        <v>2.1349489729848785</v>
      </c>
      <c r="X129" s="902">
        <v>0</v>
      </c>
      <c r="Y129" s="902">
        <v>0</v>
      </c>
      <c r="Z129" s="902">
        <v>0</v>
      </c>
      <c r="AA129" s="902">
        <v>0</v>
      </c>
      <c r="AB129" s="970">
        <v>3.4474529042511075</v>
      </c>
      <c r="AC129" s="1045">
        <v>4000</v>
      </c>
      <c r="AD129" s="890">
        <v>2.3349606056645249</v>
      </c>
      <c r="AE129" s="890">
        <v>0.69605397264490643</v>
      </c>
      <c r="AF129" s="890">
        <v>-0.1992880915750587</v>
      </c>
      <c r="AG129" s="890">
        <v>0.6106821508349296</v>
      </c>
      <c r="AH129" s="888"/>
      <c r="AI129" s="907">
        <v>1.7370604692947818</v>
      </c>
      <c r="AJ129" s="908">
        <v>5.7650400000000008</v>
      </c>
      <c r="AK129" s="902">
        <v>37.84478399308361</v>
      </c>
      <c r="AL129" s="902">
        <v>0</v>
      </c>
      <c r="AM129" s="902">
        <v>0</v>
      </c>
      <c r="AN129" s="902">
        <v>24.63911004237141</v>
      </c>
      <c r="AO129" s="902">
        <v>1.8148279105972027</v>
      </c>
      <c r="AP129" s="1222">
        <v>3600</v>
      </c>
      <c r="AQ129" s="909" t="s">
        <v>1062</v>
      </c>
      <c r="AR129" s="909">
        <v>3</v>
      </c>
      <c r="AS129" s="909">
        <v>0</v>
      </c>
      <c r="AT129" s="909">
        <v>0</v>
      </c>
      <c r="AU129" s="909">
        <v>0</v>
      </c>
      <c r="AV129" s="910">
        <v>4924.628559336481</v>
      </c>
      <c r="AW129" s="909">
        <v>0</v>
      </c>
      <c r="AX129" s="909">
        <v>0</v>
      </c>
      <c r="AY129" s="909">
        <v>0</v>
      </c>
      <c r="AZ129" s="910">
        <v>5363.3634885816964</v>
      </c>
      <c r="BA129" s="871">
        <v>4000</v>
      </c>
      <c r="BB129" s="911">
        <v>141.79054843201934</v>
      </c>
      <c r="BC129" s="908">
        <v>5.7650400000000008</v>
      </c>
      <c r="BD129" s="902">
        <v>37.84478399308361</v>
      </c>
      <c r="BE129" s="902">
        <v>0</v>
      </c>
      <c r="BF129" s="902">
        <v>0</v>
      </c>
      <c r="BG129" s="902">
        <v>24.63911004237141</v>
      </c>
      <c r="BH129" s="902">
        <v>1.8148279105972027</v>
      </c>
      <c r="BI129" s="902">
        <v>3600</v>
      </c>
      <c r="BJ129" s="909" t="s">
        <v>1062</v>
      </c>
      <c r="BK129" s="909">
        <v>3</v>
      </c>
      <c r="BL129" s="909">
        <v>0</v>
      </c>
      <c r="BM129" s="909">
        <v>0</v>
      </c>
      <c r="BN129" s="909">
        <v>0</v>
      </c>
      <c r="BO129" s="910">
        <v>4924.628559336481</v>
      </c>
      <c r="BP129" s="909">
        <v>0</v>
      </c>
      <c r="BQ129" s="909">
        <v>0</v>
      </c>
      <c r="BR129" s="909">
        <v>0</v>
      </c>
      <c r="BS129" s="910">
        <v>5363.3634885816964</v>
      </c>
      <c r="BT129" s="871">
        <v>4000</v>
      </c>
      <c r="BU129" s="911">
        <v>141.79054843201934</v>
      </c>
      <c r="BV129" s="908">
        <v>5.7650400000000008</v>
      </c>
      <c r="BW129" s="902">
        <v>37.84478399308361</v>
      </c>
      <c r="BX129" s="902">
        <v>0</v>
      </c>
      <c r="BY129" s="902">
        <v>0</v>
      </c>
      <c r="BZ129" s="902">
        <v>24.63911004237141</v>
      </c>
      <c r="CA129" s="902">
        <v>1.8148279105972027</v>
      </c>
      <c r="CB129" s="902">
        <v>3600</v>
      </c>
      <c r="CC129" s="909" t="s">
        <v>2874</v>
      </c>
      <c r="CD129" s="909">
        <v>3</v>
      </c>
      <c r="CE129" s="909">
        <v>0</v>
      </c>
      <c r="CF129" s="909">
        <v>0</v>
      </c>
      <c r="CG129" s="909">
        <v>0</v>
      </c>
      <c r="CH129" s="910">
        <v>4577.5210551762284</v>
      </c>
      <c r="CI129" s="909">
        <v>0</v>
      </c>
      <c r="CJ129" s="909">
        <v>0</v>
      </c>
      <c r="CK129" s="909">
        <v>0</v>
      </c>
      <c r="CL129" s="910">
        <v>4985.3321930241163</v>
      </c>
      <c r="CM129" s="871">
        <v>4000</v>
      </c>
      <c r="CN129" s="911">
        <v>141.79054843201934</v>
      </c>
      <c r="CO129" s="908">
        <v>5.7650400000000008</v>
      </c>
      <c r="CP129" s="902">
        <v>37.84478399308361</v>
      </c>
      <c r="CQ129" s="902">
        <v>0</v>
      </c>
      <c r="CR129" s="902">
        <v>0</v>
      </c>
      <c r="CS129" s="902">
        <v>24.63911004237141</v>
      </c>
      <c r="CT129" s="902">
        <v>1.8148279105972027</v>
      </c>
      <c r="CU129" s="902">
        <v>3600</v>
      </c>
      <c r="CV129" s="909" t="s">
        <v>2874</v>
      </c>
      <c r="CW129" s="909">
        <v>3</v>
      </c>
      <c r="CX129" s="909">
        <v>0</v>
      </c>
      <c r="CY129" s="909">
        <v>0</v>
      </c>
      <c r="CZ129" s="909">
        <v>0</v>
      </c>
      <c r="DA129" s="910">
        <v>4577.5210551762284</v>
      </c>
      <c r="DB129" s="909">
        <v>0</v>
      </c>
      <c r="DC129" s="909">
        <v>0</v>
      </c>
      <c r="DD129" s="909">
        <v>0</v>
      </c>
      <c r="DE129" s="910">
        <v>4985.3321930241163</v>
      </c>
      <c r="DF129" s="871">
        <v>4000</v>
      </c>
      <c r="DG129" s="911">
        <v>141.79054843201934</v>
      </c>
      <c r="DH129" s="908">
        <v>3.8433600000000006</v>
      </c>
      <c r="DI129" s="902">
        <v>35.923103993083615</v>
      </c>
      <c r="DJ129" s="902">
        <v>0</v>
      </c>
      <c r="DK129" s="902">
        <v>0</v>
      </c>
      <c r="DL129" s="902">
        <v>23.951126202819736</v>
      </c>
      <c r="DM129" s="902">
        <v>1.6753069765072026</v>
      </c>
      <c r="DN129" s="902">
        <v>3600</v>
      </c>
      <c r="DO129" s="909" t="s">
        <v>2876</v>
      </c>
      <c r="DP129" s="909">
        <v>2</v>
      </c>
      <c r="DQ129" s="909">
        <v>0</v>
      </c>
      <c r="DR129" s="909">
        <v>0</v>
      </c>
      <c r="DS129" s="909">
        <v>0</v>
      </c>
      <c r="DT129" s="910">
        <v>3904.8365409904541</v>
      </c>
      <c r="DU129" s="909">
        <v>0</v>
      </c>
      <c r="DV129" s="909">
        <v>0</v>
      </c>
      <c r="DW129" s="909">
        <v>0</v>
      </c>
      <c r="DX129" s="910">
        <v>4226.557882996578</v>
      </c>
      <c r="DY129" s="871">
        <v>3904.8365409904541</v>
      </c>
      <c r="DZ129" s="911">
        <v>138.41722867110644</v>
      </c>
      <c r="EA129" s="908">
        <v>3.8433600000000006</v>
      </c>
      <c r="EB129" s="902">
        <v>35.923103993083615</v>
      </c>
      <c r="EC129" s="902">
        <v>0</v>
      </c>
      <c r="ED129" s="902">
        <v>0</v>
      </c>
      <c r="EE129" s="902">
        <v>23.951126202819736</v>
      </c>
      <c r="EF129" s="902">
        <v>1.6753069765072026</v>
      </c>
      <c r="EG129" s="902">
        <v>3600</v>
      </c>
      <c r="EH129" s="909" t="s">
        <v>2876</v>
      </c>
      <c r="EI129" s="909">
        <v>2</v>
      </c>
      <c r="EJ129" s="909">
        <v>0</v>
      </c>
      <c r="EK129" s="909">
        <v>0</v>
      </c>
      <c r="EL129" s="909">
        <v>0</v>
      </c>
      <c r="EM129" s="910">
        <v>3904.8365409904541</v>
      </c>
      <c r="EN129" s="909">
        <v>0</v>
      </c>
      <c r="EO129" s="909">
        <v>0</v>
      </c>
      <c r="EP129" s="909">
        <v>0</v>
      </c>
      <c r="EQ129" s="910">
        <v>4226.557882996578</v>
      </c>
      <c r="ER129" s="871">
        <v>3904.8365409904541</v>
      </c>
      <c r="ES129" s="911">
        <v>138.41722867110644</v>
      </c>
      <c r="ET129" s="908">
        <v>3.8433600000000006</v>
      </c>
      <c r="EU129" s="902">
        <v>35.923103993083615</v>
      </c>
      <c r="EV129" s="902">
        <v>0</v>
      </c>
      <c r="EW129" s="902">
        <v>0</v>
      </c>
      <c r="EX129" s="902">
        <v>23.951126202819736</v>
      </c>
      <c r="EY129" s="902">
        <v>1.6753069765072026</v>
      </c>
      <c r="EZ129" s="902">
        <v>3600</v>
      </c>
      <c r="FA129" s="909" t="s">
        <v>3889</v>
      </c>
      <c r="FB129" s="909">
        <v>2</v>
      </c>
      <c r="FC129" s="909">
        <v>0</v>
      </c>
      <c r="FD129" s="909">
        <v>0</v>
      </c>
      <c r="FE129" s="909">
        <v>0</v>
      </c>
      <c r="FF129" s="910">
        <v>4098.581083059813</v>
      </c>
      <c r="FG129" s="909">
        <v>0</v>
      </c>
      <c r="FH129" s="909">
        <v>0</v>
      </c>
      <c r="FI129" s="909">
        <v>0</v>
      </c>
      <c r="FJ129" s="910">
        <v>4436.2651301437554</v>
      </c>
      <c r="FK129" s="871">
        <v>4000</v>
      </c>
      <c r="FL129" s="911">
        <v>141.79054843201934</v>
      </c>
      <c r="FM129" s="908">
        <v>3.8433600000000006</v>
      </c>
      <c r="FN129" s="902">
        <v>35.923103993083615</v>
      </c>
      <c r="FO129" s="902">
        <v>0</v>
      </c>
      <c r="FP129" s="902">
        <v>0</v>
      </c>
      <c r="FQ129" s="902">
        <v>23.951126202819736</v>
      </c>
      <c r="FR129" s="902">
        <v>1.6753069765072026</v>
      </c>
      <c r="FS129" s="902">
        <v>3600</v>
      </c>
      <c r="FT129" s="909" t="s">
        <v>3889</v>
      </c>
      <c r="FU129" s="909">
        <v>2</v>
      </c>
      <c r="FV129" s="909">
        <v>0</v>
      </c>
      <c r="FW129" s="909">
        <v>0</v>
      </c>
      <c r="FX129" s="909">
        <v>0</v>
      </c>
      <c r="FY129" s="910">
        <v>4098.581083059813</v>
      </c>
      <c r="FZ129" s="909">
        <v>0</v>
      </c>
      <c r="GA129" s="909">
        <v>0</v>
      </c>
      <c r="GB129" s="909">
        <v>0</v>
      </c>
      <c r="GC129" s="910">
        <v>4436.2651301437554</v>
      </c>
      <c r="GD129" s="871">
        <v>4000</v>
      </c>
      <c r="GE129" s="911">
        <v>141.79054843201934</v>
      </c>
      <c r="GF129" s="908">
        <v>3.8433600000000006</v>
      </c>
      <c r="GG129" s="902">
        <v>35.923103993083615</v>
      </c>
      <c r="GH129" s="902">
        <v>0</v>
      </c>
      <c r="GI129" s="902">
        <v>0</v>
      </c>
      <c r="GJ129" s="902">
        <v>23.951126202819736</v>
      </c>
      <c r="GK129" s="902">
        <v>1.6753069765072026</v>
      </c>
      <c r="GL129" s="902">
        <v>3600</v>
      </c>
      <c r="GM129" s="909" t="s">
        <v>2877</v>
      </c>
      <c r="GN129" s="909">
        <v>2</v>
      </c>
      <c r="GO129" s="909">
        <v>0</v>
      </c>
      <c r="GP129" s="909">
        <v>0</v>
      </c>
      <c r="GQ129" s="909">
        <v>0</v>
      </c>
      <c r="GR129" s="910">
        <v>4822.7872893609774</v>
      </c>
      <c r="GS129" s="909">
        <v>0</v>
      </c>
      <c r="GT129" s="909">
        <v>0</v>
      </c>
      <c r="GU129" s="909">
        <v>0</v>
      </c>
      <c r="GV129" s="910">
        <v>5220.1390306325166</v>
      </c>
      <c r="GW129" s="871">
        <v>4000</v>
      </c>
      <c r="GX129" s="911">
        <v>141.79054843201934</v>
      </c>
      <c r="GY129" s="908">
        <v>3.8433600000000006</v>
      </c>
      <c r="GZ129" s="902">
        <v>35.923103993083615</v>
      </c>
      <c r="HA129" s="902">
        <v>0</v>
      </c>
      <c r="HB129" s="902">
        <v>0</v>
      </c>
      <c r="HC129" s="902">
        <v>23.951126202819736</v>
      </c>
      <c r="HD129" s="902">
        <v>1.6753069765072026</v>
      </c>
      <c r="HE129" s="902">
        <v>3600</v>
      </c>
      <c r="HF129" s="909" t="s">
        <v>2877</v>
      </c>
      <c r="HG129" s="909">
        <v>2</v>
      </c>
      <c r="HH129" s="909">
        <v>0</v>
      </c>
      <c r="HI129" s="909">
        <v>0</v>
      </c>
      <c r="HJ129" s="909">
        <v>0</v>
      </c>
      <c r="HK129" s="910">
        <v>4822.7872893609774</v>
      </c>
      <c r="HL129" s="909">
        <v>0</v>
      </c>
      <c r="HM129" s="909">
        <v>0</v>
      </c>
      <c r="HN129" s="909">
        <v>0</v>
      </c>
      <c r="HO129" s="910">
        <v>5220.1390306325166</v>
      </c>
      <c r="HP129" s="871">
        <v>4000</v>
      </c>
      <c r="HQ129" s="911">
        <v>141.79054843201934</v>
      </c>
      <c r="HR129" s="908">
        <v>3.8433600000000006</v>
      </c>
      <c r="HS129" s="902">
        <v>35.923103993083615</v>
      </c>
      <c r="HT129" s="902">
        <v>0</v>
      </c>
      <c r="HU129" s="902">
        <v>0</v>
      </c>
      <c r="HV129" s="902">
        <v>23.951126202819736</v>
      </c>
      <c r="HW129" s="902">
        <v>1.6753069765072026</v>
      </c>
      <c r="HX129" s="902">
        <v>3600</v>
      </c>
      <c r="HY129" s="909" t="s">
        <v>1063</v>
      </c>
      <c r="HZ129" s="909">
        <v>2</v>
      </c>
      <c r="IA129" s="909">
        <v>0</v>
      </c>
      <c r="IB129" s="909">
        <v>0</v>
      </c>
      <c r="IC129" s="909">
        <v>0</v>
      </c>
      <c r="ID129" s="910">
        <v>4253.2985979374826</v>
      </c>
      <c r="IE129" s="909">
        <v>0</v>
      </c>
      <c r="IF129" s="909">
        <v>0</v>
      </c>
      <c r="IG129" s="909">
        <v>0</v>
      </c>
      <c r="IH129" s="910">
        <v>4603.7298947451409</v>
      </c>
      <c r="II129" s="871">
        <v>4000</v>
      </c>
      <c r="IJ129" s="911">
        <v>141.79054843201934</v>
      </c>
      <c r="IK129" s="908">
        <v>3.8433600000000006</v>
      </c>
      <c r="IL129" s="902">
        <v>35.923103993083615</v>
      </c>
      <c r="IM129" s="902">
        <v>0</v>
      </c>
      <c r="IN129" s="902">
        <v>0</v>
      </c>
      <c r="IO129" s="902">
        <v>23.951126202819736</v>
      </c>
      <c r="IP129" s="902">
        <v>1.6753069765072026</v>
      </c>
      <c r="IQ129" s="902">
        <v>3600</v>
      </c>
      <c r="IR129" s="909" t="s">
        <v>1063</v>
      </c>
      <c r="IS129" s="909">
        <v>2</v>
      </c>
      <c r="IT129" s="909">
        <v>0</v>
      </c>
      <c r="IU129" s="909">
        <v>0</v>
      </c>
      <c r="IV129" s="909">
        <v>0</v>
      </c>
      <c r="IW129" s="910">
        <v>4253.2985979374826</v>
      </c>
      <c r="IX129" s="909">
        <v>0</v>
      </c>
      <c r="IY129" s="909">
        <v>0</v>
      </c>
      <c r="IZ129" s="909">
        <v>0</v>
      </c>
      <c r="JA129" s="910">
        <v>4603.7298947451409</v>
      </c>
      <c r="JB129" s="871">
        <v>4000</v>
      </c>
      <c r="JC129" s="911">
        <v>141.79054843201934</v>
      </c>
      <c r="JD129" s="908">
        <v>3.8433600000000006</v>
      </c>
      <c r="JE129" s="902">
        <v>35.923103993083615</v>
      </c>
      <c r="JF129" s="902">
        <v>0</v>
      </c>
      <c r="JG129" s="902">
        <v>0</v>
      </c>
      <c r="JH129" s="902">
        <v>23.951126202819736</v>
      </c>
      <c r="JI129" s="902">
        <v>1.6753069765072026</v>
      </c>
      <c r="JJ129" s="902">
        <v>3600</v>
      </c>
      <c r="JK129" s="909" t="s">
        <v>1064</v>
      </c>
      <c r="JL129" s="909">
        <v>2</v>
      </c>
      <c r="JM129" s="909">
        <v>0</v>
      </c>
      <c r="JN129" s="909">
        <v>0</v>
      </c>
      <c r="JO129" s="909">
        <v>0</v>
      </c>
      <c r="JP129" s="910">
        <v>5796.2689541489972</v>
      </c>
      <c r="JQ129" s="909">
        <v>0</v>
      </c>
      <c r="JR129" s="909">
        <v>0</v>
      </c>
      <c r="JS129" s="909">
        <v>0</v>
      </c>
      <c r="JT129" s="910">
        <v>6273.8263133321416</v>
      </c>
      <c r="JU129" s="871">
        <v>4000</v>
      </c>
      <c r="JV129" s="911">
        <v>141.79054843201934</v>
      </c>
      <c r="JW129" s="908">
        <v>3.8433600000000006</v>
      </c>
      <c r="JX129" s="902">
        <v>35.923103993083615</v>
      </c>
      <c r="JY129" s="902">
        <v>0</v>
      </c>
      <c r="JZ129" s="902">
        <v>0</v>
      </c>
      <c r="KA129" s="902">
        <v>23.951126202819736</v>
      </c>
      <c r="KB129" s="902">
        <v>1.6753069765072026</v>
      </c>
      <c r="KC129" s="902">
        <v>3600</v>
      </c>
      <c r="KD129" s="909" t="s">
        <v>1064</v>
      </c>
      <c r="KE129" s="909">
        <v>2</v>
      </c>
      <c r="KF129" s="909">
        <v>0</v>
      </c>
      <c r="KG129" s="909">
        <v>0</v>
      </c>
      <c r="KH129" s="909">
        <v>0</v>
      </c>
      <c r="KI129" s="910">
        <v>5796.2689541489972</v>
      </c>
      <c r="KJ129" s="909">
        <v>0</v>
      </c>
      <c r="KK129" s="909">
        <v>0</v>
      </c>
      <c r="KL129" s="909">
        <v>0</v>
      </c>
      <c r="KM129" s="910">
        <v>6273.8263133321416</v>
      </c>
      <c r="KN129" s="871">
        <v>4000</v>
      </c>
      <c r="KO129" s="912">
        <v>141.79054843201934</v>
      </c>
    </row>
    <row r="130" spans="1:301" ht="15" customHeight="1">
      <c r="A130" s="924" t="s">
        <v>1588</v>
      </c>
      <c r="B130" s="888" t="s">
        <v>1077</v>
      </c>
      <c r="C130" s="888">
        <v>385</v>
      </c>
      <c r="D130" s="888">
        <v>677</v>
      </c>
      <c r="E130" s="888">
        <v>360</v>
      </c>
      <c r="F130" s="888">
        <v>385</v>
      </c>
      <c r="G130" s="888">
        <v>116</v>
      </c>
      <c r="H130" s="888">
        <v>100</v>
      </c>
      <c r="I130" s="888">
        <v>100</v>
      </c>
      <c r="J130" s="888">
        <v>32.619999999999997</v>
      </c>
      <c r="K130" s="888">
        <v>60.51</v>
      </c>
      <c r="L130" s="888">
        <v>16</v>
      </c>
      <c r="M130" s="888">
        <v>190</v>
      </c>
      <c r="N130" s="888">
        <v>3</v>
      </c>
      <c r="O130" s="884">
        <v>6.0802132497465484</v>
      </c>
      <c r="P130" s="888">
        <v>3</v>
      </c>
      <c r="Q130" s="884">
        <v>3.822892577096999</v>
      </c>
      <c r="R130" s="888">
        <v>13.000000000000002</v>
      </c>
      <c r="S130" s="888">
        <v>501.64019492263634</v>
      </c>
      <c r="T130" s="906">
        <v>20.169147696497085</v>
      </c>
      <c r="U130" s="906">
        <v>75.246029238395451</v>
      </c>
      <c r="V130" s="906">
        <v>97.5</v>
      </c>
      <c r="W130" s="1141">
        <v>2.5526577553379122</v>
      </c>
      <c r="X130" s="902">
        <v>0</v>
      </c>
      <c r="Y130" s="902">
        <v>0</v>
      </c>
      <c r="Z130" s="902">
        <v>0</v>
      </c>
      <c r="AA130" s="902">
        <v>0</v>
      </c>
      <c r="AB130" s="970">
        <v>3.213960675543559</v>
      </c>
      <c r="AC130" s="1045">
        <v>4000</v>
      </c>
      <c r="AD130" s="890">
        <v>2.3082822663629066</v>
      </c>
      <c r="AE130" s="890">
        <v>0.64001862224193418</v>
      </c>
      <c r="AF130" s="890">
        <v>-0.27738843922522366</v>
      </c>
      <c r="AG130" s="890">
        <v>0.57603169659081344</v>
      </c>
      <c r="AH130" s="888"/>
      <c r="AI130" s="907">
        <v>1.8150517337879828</v>
      </c>
      <c r="AJ130" s="908">
        <v>7.159200000000002</v>
      </c>
      <c r="AK130" s="902">
        <v>39.784111278678552</v>
      </c>
      <c r="AL130" s="902">
        <v>0</v>
      </c>
      <c r="AM130" s="902">
        <v>0</v>
      </c>
      <c r="AN130" s="902">
        <v>30.84792270068823</v>
      </c>
      <c r="AO130" s="902">
        <v>1.9633429824811421</v>
      </c>
      <c r="AP130" s="1222">
        <v>2550</v>
      </c>
      <c r="AQ130" s="909" t="s">
        <v>1062</v>
      </c>
      <c r="AR130" s="909">
        <v>3</v>
      </c>
      <c r="AS130" s="909">
        <v>0</v>
      </c>
      <c r="AT130" s="909">
        <v>0</v>
      </c>
      <c r="AU130" s="909">
        <v>0</v>
      </c>
      <c r="AV130" s="910">
        <v>3390.1091684769531</v>
      </c>
      <c r="AW130" s="909">
        <v>0</v>
      </c>
      <c r="AX130" s="909">
        <v>0</v>
      </c>
      <c r="AY130" s="909">
        <v>0</v>
      </c>
      <c r="AZ130" s="910">
        <v>3622.9352828268547</v>
      </c>
      <c r="BA130" s="871">
        <v>3390.1091684769531</v>
      </c>
      <c r="BB130" s="911">
        <v>120.17135956069106</v>
      </c>
      <c r="BC130" s="908">
        <v>7.159200000000002</v>
      </c>
      <c r="BD130" s="902">
        <v>39.784111278678552</v>
      </c>
      <c r="BE130" s="902">
        <v>0</v>
      </c>
      <c r="BF130" s="902">
        <v>0</v>
      </c>
      <c r="BG130" s="902">
        <v>30.84792270068823</v>
      </c>
      <c r="BH130" s="902">
        <v>1.9633429824811421</v>
      </c>
      <c r="BI130" s="902">
        <v>3187.5</v>
      </c>
      <c r="BJ130" s="909" t="s">
        <v>1062</v>
      </c>
      <c r="BK130" s="909">
        <v>3</v>
      </c>
      <c r="BL130" s="909">
        <v>0</v>
      </c>
      <c r="BM130" s="909">
        <v>0</v>
      </c>
      <c r="BN130" s="909">
        <v>0</v>
      </c>
      <c r="BO130" s="910">
        <v>3390.1091684769531</v>
      </c>
      <c r="BP130" s="909">
        <v>0</v>
      </c>
      <c r="BQ130" s="909">
        <v>0</v>
      </c>
      <c r="BR130" s="909">
        <v>0</v>
      </c>
      <c r="BS130" s="910">
        <v>3622.9352828268547</v>
      </c>
      <c r="BT130" s="871">
        <v>3390.1091684769531</v>
      </c>
      <c r="BU130" s="911">
        <v>120.17135956069106</v>
      </c>
      <c r="BV130" s="908">
        <v>9.5456000000000021</v>
      </c>
      <c r="BW130" s="902">
        <v>42.170511278678546</v>
      </c>
      <c r="BX130" s="902">
        <v>0</v>
      </c>
      <c r="BY130" s="902">
        <v>0</v>
      </c>
      <c r="BZ130" s="902">
        <v>31.931725478535647</v>
      </c>
      <c r="CA130" s="902">
        <v>2.1442780406811424</v>
      </c>
      <c r="CB130" s="902">
        <v>2550</v>
      </c>
      <c r="CC130" s="909" t="s">
        <v>2874</v>
      </c>
      <c r="CD130" s="909">
        <v>4</v>
      </c>
      <c r="CE130" s="909">
        <v>0</v>
      </c>
      <c r="CF130" s="909">
        <v>0</v>
      </c>
      <c r="CG130" s="909">
        <v>0</v>
      </c>
      <c r="CH130" s="910">
        <v>3973.0720296616987</v>
      </c>
      <c r="CI130" s="909">
        <v>0</v>
      </c>
      <c r="CJ130" s="909">
        <v>0</v>
      </c>
      <c r="CK130" s="909">
        <v>0</v>
      </c>
      <c r="CL130" s="910">
        <v>3924.8828360265429</v>
      </c>
      <c r="CM130" s="871">
        <v>3924.8828360265429</v>
      </c>
      <c r="CN130" s="911">
        <v>139.12782246290575</v>
      </c>
      <c r="CO130" s="908">
        <v>9.5456000000000021</v>
      </c>
      <c r="CP130" s="902">
        <v>42.170511278678546</v>
      </c>
      <c r="CQ130" s="902">
        <v>0</v>
      </c>
      <c r="CR130" s="902">
        <v>0</v>
      </c>
      <c r="CS130" s="902">
        <v>31.931725478535647</v>
      </c>
      <c r="CT130" s="902">
        <v>2.1442780406811424</v>
      </c>
      <c r="CU130" s="902">
        <v>3187.5</v>
      </c>
      <c r="CV130" s="909" t="s">
        <v>2874</v>
      </c>
      <c r="CW130" s="909">
        <v>4</v>
      </c>
      <c r="CX130" s="909">
        <v>0</v>
      </c>
      <c r="CY130" s="909">
        <v>0</v>
      </c>
      <c r="CZ130" s="909">
        <v>0</v>
      </c>
      <c r="DA130" s="910">
        <v>3973.0720296616987</v>
      </c>
      <c r="DB130" s="909">
        <v>0</v>
      </c>
      <c r="DC130" s="909">
        <v>0</v>
      </c>
      <c r="DD130" s="909">
        <v>0</v>
      </c>
      <c r="DE130" s="910">
        <v>3924.8828360265429</v>
      </c>
      <c r="DF130" s="871">
        <v>3924.8828360265429</v>
      </c>
      <c r="DG130" s="911">
        <v>139.12782246290575</v>
      </c>
      <c r="DH130" s="908">
        <v>7.159200000000002</v>
      </c>
      <c r="DI130" s="902">
        <v>39.784111278678552</v>
      </c>
      <c r="DJ130" s="902">
        <v>0</v>
      </c>
      <c r="DK130" s="902">
        <v>0</v>
      </c>
      <c r="DL130" s="902">
        <v>30.84792270068823</v>
      </c>
      <c r="DM130" s="902">
        <v>1.9633429824811421</v>
      </c>
      <c r="DN130" s="902">
        <v>2550</v>
      </c>
      <c r="DO130" s="909" t="s">
        <v>2876</v>
      </c>
      <c r="DP130" s="909">
        <v>3</v>
      </c>
      <c r="DQ130" s="909">
        <v>0</v>
      </c>
      <c r="DR130" s="909">
        <v>0</v>
      </c>
      <c r="DS130" s="909">
        <v>0</v>
      </c>
      <c r="DT130" s="910">
        <v>3408.9229813490492</v>
      </c>
      <c r="DU130" s="909">
        <v>0</v>
      </c>
      <c r="DV130" s="909">
        <v>0</v>
      </c>
      <c r="DW130" s="909">
        <v>0</v>
      </c>
      <c r="DX130" s="910">
        <v>3367.5763235461613</v>
      </c>
      <c r="DY130" s="871">
        <v>3367.5763235461613</v>
      </c>
      <c r="DZ130" s="911">
        <v>119.3726234505734</v>
      </c>
      <c r="EA130" s="908">
        <v>9.5456000000000021</v>
      </c>
      <c r="EB130" s="902">
        <v>42.170511278678546</v>
      </c>
      <c r="EC130" s="902">
        <v>0</v>
      </c>
      <c r="ED130" s="902">
        <v>0</v>
      </c>
      <c r="EE130" s="902">
        <v>31.931725478535647</v>
      </c>
      <c r="EF130" s="902">
        <v>2.1442780406811424</v>
      </c>
      <c r="EG130" s="902">
        <v>3187.5</v>
      </c>
      <c r="EH130" s="909" t="s">
        <v>2876</v>
      </c>
      <c r="EI130" s="909">
        <v>4</v>
      </c>
      <c r="EJ130" s="909">
        <v>0</v>
      </c>
      <c r="EK130" s="909">
        <v>0</v>
      </c>
      <c r="EL130" s="909">
        <v>0</v>
      </c>
      <c r="EM130" s="910">
        <v>4247.39265941958</v>
      </c>
      <c r="EN130" s="909">
        <v>0</v>
      </c>
      <c r="EO130" s="909">
        <v>0</v>
      </c>
      <c r="EP130" s="909">
        <v>0</v>
      </c>
      <c r="EQ130" s="910">
        <v>4195.8762444688491</v>
      </c>
      <c r="ER130" s="871">
        <v>4000</v>
      </c>
      <c r="ES130" s="911">
        <v>141.79054843201934</v>
      </c>
      <c r="ET130" s="908">
        <v>7.159200000000002</v>
      </c>
      <c r="EU130" s="902">
        <v>39.784111278678552</v>
      </c>
      <c r="EV130" s="902">
        <v>0</v>
      </c>
      <c r="EW130" s="902">
        <v>0</v>
      </c>
      <c r="EX130" s="902">
        <v>30.84792270068823</v>
      </c>
      <c r="EY130" s="902">
        <v>1.9633429824811421</v>
      </c>
      <c r="EZ130" s="902">
        <v>2550</v>
      </c>
      <c r="FA130" s="909" t="s">
        <v>3889</v>
      </c>
      <c r="FB130" s="909">
        <v>3</v>
      </c>
      <c r="FC130" s="909">
        <v>0</v>
      </c>
      <c r="FD130" s="909">
        <v>0</v>
      </c>
      <c r="FE130" s="909">
        <v>0</v>
      </c>
      <c r="FF130" s="910">
        <v>3479.2174486464992</v>
      </c>
      <c r="FG130" s="909">
        <v>0</v>
      </c>
      <c r="FH130" s="909">
        <v>0</v>
      </c>
      <c r="FI130" s="909">
        <v>0</v>
      </c>
      <c r="FJ130" s="910">
        <v>3437.0181927374429</v>
      </c>
      <c r="FK130" s="871">
        <v>3437.0181927374429</v>
      </c>
      <c r="FL130" s="911">
        <v>121.83417362976749</v>
      </c>
      <c r="FM130" s="908">
        <v>9.5456000000000021</v>
      </c>
      <c r="FN130" s="902">
        <v>42.170511278678546</v>
      </c>
      <c r="FO130" s="902">
        <v>0</v>
      </c>
      <c r="FP130" s="902">
        <v>0</v>
      </c>
      <c r="FQ130" s="902">
        <v>31.931725478535647</v>
      </c>
      <c r="FR130" s="902">
        <v>2.1442780406811424</v>
      </c>
      <c r="FS130" s="902">
        <v>3187.5</v>
      </c>
      <c r="FT130" s="909" t="s">
        <v>3889</v>
      </c>
      <c r="FU130" s="909">
        <v>4</v>
      </c>
      <c r="FV130" s="909">
        <v>0</v>
      </c>
      <c r="FW130" s="909">
        <v>0</v>
      </c>
      <c r="FX130" s="909">
        <v>0</v>
      </c>
      <c r="FY130" s="910">
        <v>4334.9769803420113</v>
      </c>
      <c r="FZ130" s="909">
        <v>0</v>
      </c>
      <c r="GA130" s="909">
        <v>0</v>
      </c>
      <c r="GB130" s="909">
        <v>0</v>
      </c>
      <c r="GC130" s="910">
        <v>4282.3982595058542</v>
      </c>
      <c r="GD130" s="871">
        <v>4000</v>
      </c>
      <c r="GE130" s="911">
        <v>141.79054843201934</v>
      </c>
      <c r="GF130" s="908">
        <v>4.772800000000001</v>
      </c>
      <c r="GG130" s="902">
        <v>37.39771127867855</v>
      </c>
      <c r="GH130" s="902">
        <v>0</v>
      </c>
      <c r="GI130" s="902">
        <v>0</v>
      </c>
      <c r="GJ130" s="902">
        <v>29.625801995854218</v>
      </c>
      <c r="GK130" s="902">
        <v>1.7824079242811421</v>
      </c>
      <c r="GL130" s="902">
        <v>2550</v>
      </c>
      <c r="GM130" s="909" t="s">
        <v>2877</v>
      </c>
      <c r="GN130" s="909">
        <v>2</v>
      </c>
      <c r="GO130" s="909">
        <v>0</v>
      </c>
      <c r="GP130" s="909">
        <v>0</v>
      </c>
      <c r="GQ130" s="909">
        <v>0</v>
      </c>
      <c r="GR130" s="910">
        <v>3637.5356148402229</v>
      </c>
      <c r="GS130" s="909">
        <v>0</v>
      </c>
      <c r="GT130" s="909">
        <v>0</v>
      </c>
      <c r="GU130" s="909">
        <v>0</v>
      </c>
      <c r="GV130" s="910">
        <v>3593.4161257422275</v>
      </c>
      <c r="GW130" s="871">
        <v>3593.4161257422275</v>
      </c>
      <c r="GX130" s="911">
        <v>127.37811080336314</v>
      </c>
      <c r="GY130" s="908">
        <v>7.159200000000002</v>
      </c>
      <c r="GZ130" s="902">
        <v>39.784111278678552</v>
      </c>
      <c r="HA130" s="902">
        <v>0</v>
      </c>
      <c r="HB130" s="902">
        <v>0</v>
      </c>
      <c r="HC130" s="902">
        <v>30.84792270068823</v>
      </c>
      <c r="HD130" s="902">
        <v>1.9633429824811421</v>
      </c>
      <c r="HE130" s="902">
        <v>3187.5</v>
      </c>
      <c r="HF130" s="909" t="s">
        <v>2877</v>
      </c>
      <c r="HG130" s="909">
        <v>3</v>
      </c>
      <c r="HH130" s="909">
        <v>0</v>
      </c>
      <c r="HI130" s="909">
        <v>0</v>
      </c>
      <c r="HJ130" s="909">
        <v>0</v>
      </c>
      <c r="HK130" s="910">
        <v>4667.8600342061591</v>
      </c>
      <c r="HL130" s="909">
        <v>0</v>
      </c>
      <c r="HM130" s="909">
        <v>0</v>
      </c>
      <c r="HN130" s="909">
        <v>0</v>
      </c>
      <c r="HO130" s="910">
        <v>4611.2437913162175</v>
      </c>
      <c r="HP130" s="871">
        <v>4000</v>
      </c>
      <c r="HQ130" s="911">
        <v>141.79054843201934</v>
      </c>
      <c r="HR130" s="908">
        <v>7.159200000000002</v>
      </c>
      <c r="HS130" s="902">
        <v>39.784111278678552</v>
      </c>
      <c r="HT130" s="902">
        <v>0</v>
      </c>
      <c r="HU130" s="902">
        <v>0</v>
      </c>
      <c r="HV130" s="902">
        <v>30.84792270068823</v>
      </c>
      <c r="HW130" s="902">
        <v>1.9633429824811421</v>
      </c>
      <c r="HX130" s="902">
        <v>2550</v>
      </c>
      <c r="HY130" s="909" t="s">
        <v>1063</v>
      </c>
      <c r="HZ130" s="909">
        <v>3</v>
      </c>
      <c r="IA130" s="909">
        <v>0</v>
      </c>
      <c r="IB130" s="909">
        <v>0</v>
      </c>
      <c r="IC130" s="909">
        <v>0</v>
      </c>
      <c r="ID130" s="910">
        <v>4116.6656017889954</v>
      </c>
      <c r="IE130" s="909">
        <v>0</v>
      </c>
      <c r="IF130" s="909">
        <v>0</v>
      </c>
      <c r="IG130" s="909">
        <v>0</v>
      </c>
      <c r="IH130" s="910">
        <v>4066.7347688379064</v>
      </c>
      <c r="II130" s="871">
        <v>4000</v>
      </c>
      <c r="IJ130" s="911">
        <v>141.79054843201934</v>
      </c>
      <c r="IK130" s="908">
        <v>7.159200000000002</v>
      </c>
      <c r="IL130" s="902">
        <v>39.784111278678552</v>
      </c>
      <c r="IM130" s="902">
        <v>0</v>
      </c>
      <c r="IN130" s="902">
        <v>0</v>
      </c>
      <c r="IO130" s="902">
        <v>30.84792270068823</v>
      </c>
      <c r="IP130" s="902">
        <v>1.9633429824811421</v>
      </c>
      <c r="IQ130" s="902">
        <v>3187.5</v>
      </c>
      <c r="IR130" s="909" t="s">
        <v>1063</v>
      </c>
      <c r="IS130" s="909">
        <v>3</v>
      </c>
      <c r="IT130" s="909">
        <v>0</v>
      </c>
      <c r="IU130" s="909">
        <v>0</v>
      </c>
      <c r="IV130" s="909">
        <v>0</v>
      </c>
      <c r="IW130" s="910">
        <v>4116.6656017889954</v>
      </c>
      <c r="IX130" s="909">
        <v>0</v>
      </c>
      <c r="IY130" s="909">
        <v>0</v>
      </c>
      <c r="IZ130" s="909">
        <v>0</v>
      </c>
      <c r="JA130" s="910">
        <v>4066.7347688379064</v>
      </c>
      <c r="JB130" s="871">
        <v>4000</v>
      </c>
      <c r="JC130" s="911">
        <v>141.79054843201934</v>
      </c>
      <c r="JD130" s="908">
        <v>4.772800000000001</v>
      </c>
      <c r="JE130" s="902">
        <v>37.39771127867855</v>
      </c>
      <c r="JF130" s="902">
        <v>0</v>
      </c>
      <c r="JG130" s="902">
        <v>0</v>
      </c>
      <c r="JH130" s="902">
        <v>29.625801995854218</v>
      </c>
      <c r="JI130" s="902">
        <v>1.7824079242811421</v>
      </c>
      <c r="JJ130" s="902">
        <v>2550</v>
      </c>
      <c r="JK130" s="909" t="s">
        <v>1064</v>
      </c>
      <c r="JL130" s="909">
        <v>2</v>
      </c>
      <c r="JM130" s="909">
        <v>0</v>
      </c>
      <c r="JN130" s="909">
        <v>0</v>
      </c>
      <c r="JO130" s="909">
        <v>0</v>
      </c>
      <c r="JP130" s="910">
        <v>4371.7737252109255</v>
      </c>
      <c r="JQ130" s="909">
        <v>0</v>
      </c>
      <c r="JR130" s="909">
        <v>0</v>
      </c>
      <c r="JS130" s="909">
        <v>0</v>
      </c>
      <c r="JT130" s="910">
        <v>4318.7486984809111</v>
      </c>
      <c r="JU130" s="871">
        <v>4000</v>
      </c>
      <c r="JV130" s="911">
        <v>141.79054843201934</v>
      </c>
      <c r="JW130" s="908">
        <v>4.772800000000001</v>
      </c>
      <c r="JX130" s="902">
        <v>37.39771127867855</v>
      </c>
      <c r="JY130" s="902">
        <v>0</v>
      </c>
      <c r="JZ130" s="902">
        <v>0</v>
      </c>
      <c r="KA130" s="902">
        <v>29.625801995854218</v>
      </c>
      <c r="KB130" s="902">
        <v>1.7824079242811421</v>
      </c>
      <c r="KC130" s="902">
        <v>3187.5</v>
      </c>
      <c r="KD130" s="909" t="s">
        <v>1064</v>
      </c>
      <c r="KE130" s="909">
        <v>2</v>
      </c>
      <c r="KF130" s="909">
        <v>0</v>
      </c>
      <c r="KG130" s="909">
        <v>0</v>
      </c>
      <c r="KH130" s="909">
        <v>0</v>
      </c>
      <c r="KI130" s="910">
        <v>4371.7737252109255</v>
      </c>
      <c r="KJ130" s="909">
        <v>0</v>
      </c>
      <c r="KK130" s="909">
        <v>0</v>
      </c>
      <c r="KL130" s="909">
        <v>0</v>
      </c>
      <c r="KM130" s="910">
        <v>4318.7486984809111</v>
      </c>
      <c r="KN130" s="871">
        <v>4000</v>
      </c>
      <c r="KO130" s="912">
        <v>141.79054843201934</v>
      </c>
    </row>
    <row r="131" spans="1:301" ht="15" customHeight="1">
      <c r="A131" s="924" t="s">
        <v>1589</v>
      </c>
      <c r="B131" s="888" t="s">
        <v>1077</v>
      </c>
      <c r="C131" s="888">
        <v>375</v>
      </c>
      <c r="D131" s="888">
        <v>677</v>
      </c>
      <c r="E131" s="888">
        <v>410</v>
      </c>
      <c r="F131" s="888">
        <v>375</v>
      </c>
      <c r="G131" s="888">
        <v>126</v>
      </c>
      <c r="H131" s="888">
        <v>110</v>
      </c>
      <c r="I131" s="888">
        <v>110</v>
      </c>
      <c r="J131" s="888">
        <v>39.17</v>
      </c>
      <c r="K131" s="888">
        <v>61.34</v>
      </c>
      <c r="L131" s="888">
        <v>16</v>
      </c>
      <c r="M131" s="888">
        <v>195</v>
      </c>
      <c r="N131" s="888">
        <v>3</v>
      </c>
      <c r="O131" s="884">
        <v>5.3681123699481672</v>
      </c>
      <c r="P131" s="888">
        <v>3</v>
      </c>
      <c r="Q131" s="884">
        <v>3.5400026993356675</v>
      </c>
      <c r="R131" s="888">
        <v>13.000000000000002</v>
      </c>
      <c r="S131" s="888">
        <v>516.65988043224684</v>
      </c>
      <c r="T131" s="906">
        <v>21.395003833462855</v>
      </c>
      <c r="U131" s="906">
        <v>77.498982064837023</v>
      </c>
      <c r="V131" s="906">
        <v>97.5</v>
      </c>
      <c r="W131" s="1141">
        <v>2.707805172672642</v>
      </c>
      <c r="X131" s="902">
        <v>0</v>
      </c>
      <c r="Y131" s="902">
        <v>0</v>
      </c>
      <c r="Z131" s="902">
        <v>0</v>
      </c>
      <c r="AA131" s="902">
        <v>0</v>
      </c>
      <c r="AB131" s="970">
        <v>5.3962955926030611</v>
      </c>
      <c r="AC131" s="1045">
        <v>4000</v>
      </c>
      <c r="AD131" s="890">
        <v>2.5018235396828636</v>
      </c>
      <c r="AE131" s="890">
        <v>0.8147085894475915</v>
      </c>
      <c r="AF131" s="890">
        <v>-0.16899052938488204</v>
      </c>
      <c r="AG131" s="890">
        <v>0.43993061470285405</v>
      </c>
      <c r="AH131" s="888"/>
      <c r="AI131" s="907">
        <v>1.9053897858716242</v>
      </c>
      <c r="AJ131" s="908">
        <v>10.776480000000001</v>
      </c>
      <c r="AK131" s="902">
        <v>43.787404075419332</v>
      </c>
      <c r="AL131" s="902">
        <v>0</v>
      </c>
      <c r="AM131" s="902">
        <v>0</v>
      </c>
      <c r="AN131" s="902">
        <v>33.333371152001185</v>
      </c>
      <c r="AO131" s="902">
        <v>2.2619911968587489</v>
      </c>
      <c r="AP131" s="1222">
        <v>3600</v>
      </c>
      <c r="AQ131" s="909" t="s">
        <v>1062</v>
      </c>
      <c r="AR131" s="909">
        <v>4</v>
      </c>
      <c r="AS131" s="909">
        <v>0</v>
      </c>
      <c r="AT131" s="909">
        <v>0</v>
      </c>
      <c r="AU131" s="909">
        <v>0</v>
      </c>
      <c r="AV131" s="910">
        <v>3924.4843932319855</v>
      </c>
      <c r="AW131" s="909">
        <v>0</v>
      </c>
      <c r="AX131" s="909">
        <v>0</v>
      </c>
      <c r="AY131" s="909">
        <v>0</v>
      </c>
      <c r="AZ131" s="910">
        <v>4075.9605527103408</v>
      </c>
      <c r="BA131" s="871">
        <v>3924.4843932319855</v>
      </c>
      <c r="BB131" s="911">
        <v>139.11369860731597</v>
      </c>
      <c r="BC131" s="908">
        <v>10.776480000000001</v>
      </c>
      <c r="BD131" s="902">
        <v>43.787404075419332</v>
      </c>
      <c r="BE131" s="902">
        <v>0</v>
      </c>
      <c r="BF131" s="902">
        <v>0</v>
      </c>
      <c r="BG131" s="902">
        <v>33.333371152001185</v>
      </c>
      <c r="BH131" s="902">
        <v>2.2619911968587489</v>
      </c>
      <c r="BI131" s="902">
        <v>3600</v>
      </c>
      <c r="BJ131" s="909" t="s">
        <v>1062</v>
      </c>
      <c r="BK131" s="909">
        <v>4</v>
      </c>
      <c r="BL131" s="909">
        <v>0</v>
      </c>
      <c r="BM131" s="909">
        <v>0</v>
      </c>
      <c r="BN131" s="909">
        <v>0</v>
      </c>
      <c r="BO131" s="910">
        <v>3924.4843932319855</v>
      </c>
      <c r="BP131" s="909">
        <v>0</v>
      </c>
      <c r="BQ131" s="909">
        <v>0</v>
      </c>
      <c r="BR131" s="909">
        <v>0</v>
      </c>
      <c r="BS131" s="910">
        <v>4075.9605527103408</v>
      </c>
      <c r="BT131" s="871">
        <v>3924.4843932319855</v>
      </c>
      <c r="BU131" s="911">
        <v>139.11369860731597</v>
      </c>
      <c r="BV131" s="908">
        <v>10.776480000000001</v>
      </c>
      <c r="BW131" s="902">
        <v>43.787404075419332</v>
      </c>
      <c r="BX131" s="902">
        <v>0</v>
      </c>
      <c r="BY131" s="902">
        <v>0</v>
      </c>
      <c r="BZ131" s="902">
        <v>33.333371152001185</v>
      </c>
      <c r="CA131" s="902">
        <v>2.2619911968587489</v>
      </c>
      <c r="CB131" s="902">
        <v>3600</v>
      </c>
      <c r="CC131" s="909" t="s">
        <v>2874</v>
      </c>
      <c r="CD131" s="909">
        <v>4</v>
      </c>
      <c r="CE131" s="909">
        <v>0</v>
      </c>
      <c r="CF131" s="909">
        <v>0</v>
      </c>
      <c r="CG131" s="909">
        <v>0</v>
      </c>
      <c r="CH131" s="910">
        <v>3589.7330188763858</v>
      </c>
      <c r="CI131" s="909">
        <v>0</v>
      </c>
      <c r="CJ131" s="909">
        <v>0</v>
      </c>
      <c r="CK131" s="909">
        <v>0</v>
      </c>
      <c r="CL131" s="910">
        <v>3543.9767983159309</v>
      </c>
      <c r="CM131" s="871">
        <v>3543.9767983159309</v>
      </c>
      <c r="CN131" s="911">
        <v>125.62560346589196</v>
      </c>
      <c r="CO131" s="908">
        <v>13.470600000000001</v>
      </c>
      <c r="CP131" s="902">
        <v>46.48152407541933</v>
      </c>
      <c r="CQ131" s="902">
        <v>0</v>
      </c>
      <c r="CR131" s="902">
        <v>0</v>
      </c>
      <c r="CS131" s="902">
        <v>34.589192669756443</v>
      </c>
      <c r="CT131" s="902">
        <v>2.4636979406687489</v>
      </c>
      <c r="CU131" s="902">
        <v>3600</v>
      </c>
      <c r="CV131" s="909" t="s">
        <v>2874</v>
      </c>
      <c r="CW131" s="909">
        <v>5</v>
      </c>
      <c r="CX131" s="909">
        <v>0</v>
      </c>
      <c r="CY131" s="909">
        <v>0</v>
      </c>
      <c r="CZ131" s="909">
        <v>0</v>
      </c>
      <c r="DA131" s="910">
        <v>4553.3377461092887</v>
      </c>
      <c r="DB131" s="909">
        <v>0</v>
      </c>
      <c r="DC131" s="909">
        <v>0</v>
      </c>
      <c r="DD131" s="909">
        <v>0</v>
      </c>
      <c r="DE131" s="910">
        <v>4495.2990214739084</v>
      </c>
      <c r="DF131" s="871">
        <v>4000</v>
      </c>
      <c r="DG131" s="911">
        <v>141.79054843201934</v>
      </c>
      <c r="DH131" s="908">
        <v>10.776480000000001</v>
      </c>
      <c r="DI131" s="902">
        <v>43.787404075419332</v>
      </c>
      <c r="DJ131" s="902">
        <v>0</v>
      </c>
      <c r="DK131" s="902">
        <v>0</v>
      </c>
      <c r="DL131" s="902">
        <v>33.333371152001185</v>
      </c>
      <c r="DM131" s="902">
        <v>2.2619911968587489</v>
      </c>
      <c r="DN131" s="902">
        <v>3600</v>
      </c>
      <c r="DO131" s="909" t="s">
        <v>2876</v>
      </c>
      <c r="DP131" s="909">
        <v>4</v>
      </c>
      <c r="DQ131" s="909">
        <v>0</v>
      </c>
      <c r="DR131" s="909">
        <v>0</v>
      </c>
      <c r="DS131" s="909">
        <v>0</v>
      </c>
      <c r="DT131" s="910">
        <v>3837.5860190356466</v>
      </c>
      <c r="DU131" s="909">
        <v>0</v>
      </c>
      <c r="DV131" s="909">
        <v>0</v>
      </c>
      <c r="DW131" s="909">
        <v>0</v>
      </c>
      <c r="DX131" s="910">
        <v>3788.6705617068937</v>
      </c>
      <c r="DY131" s="871">
        <v>3788.6705617068937</v>
      </c>
      <c r="DZ131" s="911">
        <v>134.29941919316678</v>
      </c>
      <c r="EA131" s="908">
        <v>10.776480000000001</v>
      </c>
      <c r="EB131" s="902">
        <v>43.787404075419332</v>
      </c>
      <c r="EC131" s="902">
        <v>0</v>
      </c>
      <c r="ED131" s="902">
        <v>0</v>
      </c>
      <c r="EE131" s="902">
        <v>33.333371152001185</v>
      </c>
      <c r="EF131" s="902">
        <v>2.2619911968587489</v>
      </c>
      <c r="EG131" s="902">
        <v>3600</v>
      </c>
      <c r="EH131" s="909" t="s">
        <v>2876</v>
      </c>
      <c r="EI131" s="909">
        <v>4</v>
      </c>
      <c r="EJ131" s="909">
        <v>0</v>
      </c>
      <c r="EK131" s="909">
        <v>0</v>
      </c>
      <c r="EL131" s="909">
        <v>0</v>
      </c>
      <c r="EM131" s="910">
        <v>3837.5860190356466</v>
      </c>
      <c r="EN131" s="909">
        <v>0</v>
      </c>
      <c r="EO131" s="909">
        <v>0</v>
      </c>
      <c r="EP131" s="909">
        <v>0</v>
      </c>
      <c r="EQ131" s="910">
        <v>3788.6705617068937</v>
      </c>
      <c r="ER131" s="871">
        <v>3788.6705617068937</v>
      </c>
      <c r="ES131" s="911">
        <v>134.29941919316678</v>
      </c>
      <c r="ET131" s="908">
        <v>10.776480000000001</v>
      </c>
      <c r="EU131" s="902">
        <v>43.787404075419332</v>
      </c>
      <c r="EV131" s="902">
        <v>0</v>
      </c>
      <c r="EW131" s="902">
        <v>0</v>
      </c>
      <c r="EX131" s="902">
        <v>33.333371152001185</v>
      </c>
      <c r="EY131" s="902">
        <v>2.2619911968587489</v>
      </c>
      <c r="EZ131" s="902">
        <v>3600</v>
      </c>
      <c r="FA131" s="909" t="s">
        <v>3889</v>
      </c>
      <c r="FB131" s="909">
        <v>4</v>
      </c>
      <c r="FC131" s="909">
        <v>0</v>
      </c>
      <c r="FD131" s="909">
        <v>0</v>
      </c>
      <c r="FE131" s="909">
        <v>0</v>
      </c>
      <c r="FF131" s="910">
        <v>3916.7198294484242</v>
      </c>
      <c r="FG131" s="909">
        <v>0</v>
      </c>
      <c r="FH131" s="909">
        <v>0</v>
      </c>
      <c r="FI131" s="909">
        <v>0</v>
      </c>
      <c r="FJ131" s="910">
        <v>3866.7956998689351</v>
      </c>
      <c r="FK131" s="871">
        <v>3866.7956998689351</v>
      </c>
      <c r="FL131" s="911">
        <v>137.06877073974758</v>
      </c>
      <c r="FM131" s="908">
        <v>10.776480000000001</v>
      </c>
      <c r="FN131" s="902">
        <v>43.787404075419332</v>
      </c>
      <c r="FO131" s="902">
        <v>0</v>
      </c>
      <c r="FP131" s="902">
        <v>0</v>
      </c>
      <c r="FQ131" s="902">
        <v>33.333371152001185</v>
      </c>
      <c r="FR131" s="902">
        <v>2.2619911968587489</v>
      </c>
      <c r="FS131" s="902">
        <v>3600</v>
      </c>
      <c r="FT131" s="909" t="s">
        <v>3889</v>
      </c>
      <c r="FU131" s="909">
        <v>4</v>
      </c>
      <c r="FV131" s="909">
        <v>0</v>
      </c>
      <c r="FW131" s="909">
        <v>0</v>
      </c>
      <c r="FX131" s="909">
        <v>0</v>
      </c>
      <c r="FY131" s="910">
        <v>3916.7198294484242</v>
      </c>
      <c r="FZ131" s="909">
        <v>0</v>
      </c>
      <c r="GA131" s="909">
        <v>0</v>
      </c>
      <c r="GB131" s="909">
        <v>0</v>
      </c>
      <c r="GC131" s="910">
        <v>3866.7956998689351</v>
      </c>
      <c r="GD131" s="871">
        <v>3866.7956998689351</v>
      </c>
      <c r="GE131" s="911">
        <v>137.06877073974758</v>
      </c>
      <c r="GF131" s="908">
        <v>8.0823600000000013</v>
      </c>
      <c r="GG131" s="902">
        <v>41.093284075419334</v>
      </c>
      <c r="GH131" s="902">
        <v>0</v>
      </c>
      <c r="GI131" s="902">
        <v>0</v>
      </c>
      <c r="GJ131" s="902">
        <v>31.912883609442201</v>
      </c>
      <c r="GK131" s="902">
        <v>2.060284453048749</v>
      </c>
      <c r="GL131" s="902">
        <v>3600</v>
      </c>
      <c r="GM131" s="909" t="s">
        <v>2877</v>
      </c>
      <c r="GN131" s="909">
        <v>3</v>
      </c>
      <c r="GO131" s="909">
        <v>0</v>
      </c>
      <c r="GP131" s="909">
        <v>0</v>
      </c>
      <c r="GQ131" s="909">
        <v>0</v>
      </c>
      <c r="GR131" s="910">
        <v>4254.6515347326358</v>
      </c>
      <c r="GS131" s="909">
        <v>0</v>
      </c>
      <c r="GT131" s="909">
        <v>0</v>
      </c>
      <c r="GU131" s="909">
        <v>0</v>
      </c>
      <c r="GV131" s="910">
        <v>4200.4199879832231</v>
      </c>
      <c r="GW131" s="871">
        <v>4000</v>
      </c>
      <c r="GX131" s="911">
        <v>141.79054843201934</v>
      </c>
      <c r="GY131" s="908">
        <v>8.0823600000000013</v>
      </c>
      <c r="GZ131" s="902">
        <v>41.093284075419334</v>
      </c>
      <c r="HA131" s="902">
        <v>0</v>
      </c>
      <c r="HB131" s="902">
        <v>0</v>
      </c>
      <c r="HC131" s="902">
        <v>31.912883609442201</v>
      </c>
      <c r="HD131" s="902">
        <v>2.060284453048749</v>
      </c>
      <c r="HE131" s="902">
        <v>3600</v>
      </c>
      <c r="HF131" s="909" t="s">
        <v>2877</v>
      </c>
      <c r="HG131" s="909">
        <v>3</v>
      </c>
      <c r="HH131" s="909">
        <v>0</v>
      </c>
      <c r="HI131" s="909">
        <v>0</v>
      </c>
      <c r="HJ131" s="909">
        <v>0</v>
      </c>
      <c r="HK131" s="910">
        <v>4254.6515347326358</v>
      </c>
      <c r="HL131" s="909">
        <v>0</v>
      </c>
      <c r="HM131" s="909">
        <v>0</v>
      </c>
      <c r="HN131" s="909">
        <v>0</v>
      </c>
      <c r="HO131" s="910">
        <v>4200.4199879832231</v>
      </c>
      <c r="HP131" s="871">
        <v>4000</v>
      </c>
      <c r="HQ131" s="911">
        <v>141.79054843201934</v>
      </c>
      <c r="HR131" s="908">
        <v>8.0823600000000013</v>
      </c>
      <c r="HS131" s="902">
        <v>41.093284075419334</v>
      </c>
      <c r="HT131" s="902">
        <v>0</v>
      </c>
      <c r="HU131" s="902">
        <v>0</v>
      </c>
      <c r="HV131" s="902">
        <v>31.912883609442201</v>
      </c>
      <c r="HW131" s="902">
        <v>2.060284453048749</v>
      </c>
      <c r="HX131" s="902">
        <v>3600</v>
      </c>
      <c r="HY131" s="909" t="s">
        <v>1063</v>
      </c>
      <c r="HZ131" s="909">
        <v>3</v>
      </c>
      <c r="IA131" s="909">
        <v>0</v>
      </c>
      <c r="IB131" s="909">
        <v>0</v>
      </c>
      <c r="IC131" s="909">
        <v>0</v>
      </c>
      <c r="ID131" s="910">
        <v>3752.2499587139328</v>
      </c>
      <c r="IE131" s="909">
        <v>0</v>
      </c>
      <c r="IF131" s="909">
        <v>0</v>
      </c>
      <c r="IG131" s="909">
        <v>0</v>
      </c>
      <c r="IH131" s="910">
        <v>3704.4222300761699</v>
      </c>
      <c r="II131" s="871">
        <v>3704.4222300761699</v>
      </c>
      <c r="IJ131" s="911">
        <v>131.31301490656605</v>
      </c>
      <c r="IK131" s="908">
        <v>8.0823600000000013</v>
      </c>
      <c r="IL131" s="902">
        <v>41.093284075419334</v>
      </c>
      <c r="IM131" s="902">
        <v>0</v>
      </c>
      <c r="IN131" s="902">
        <v>0</v>
      </c>
      <c r="IO131" s="902">
        <v>31.912883609442201</v>
      </c>
      <c r="IP131" s="902">
        <v>2.060284453048749</v>
      </c>
      <c r="IQ131" s="902">
        <v>3600</v>
      </c>
      <c r="IR131" s="909" t="s">
        <v>1063</v>
      </c>
      <c r="IS131" s="909">
        <v>3</v>
      </c>
      <c r="IT131" s="909">
        <v>0</v>
      </c>
      <c r="IU131" s="909">
        <v>0</v>
      </c>
      <c r="IV131" s="909">
        <v>0</v>
      </c>
      <c r="IW131" s="910">
        <v>3752.2499587139328</v>
      </c>
      <c r="IX131" s="909">
        <v>0</v>
      </c>
      <c r="IY131" s="909">
        <v>0</v>
      </c>
      <c r="IZ131" s="909">
        <v>0</v>
      </c>
      <c r="JA131" s="910">
        <v>3704.4222300761699</v>
      </c>
      <c r="JB131" s="871">
        <v>3704.4222300761699</v>
      </c>
      <c r="JC131" s="911">
        <v>131.31301490656605</v>
      </c>
      <c r="JD131" s="908">
        <v>5.3882400000000006</v>
      </c>
      <c r="JE131" s="902">
        <v>38.399164075419336</v>
      </c>
      <c r="JF131" s="902">
        <v>0</v>
      </c>
      <c r="JG131" s="902">
        <v>0</v>
      </c>
      <c r="JH131" s="902">
        <v>30.293070691432725</v>
      </c>
      <c r="JI131" s="902">
        <v>1.8585777092387488</v>
      </c>
      <c r="JJ131" s="902">
        <v>3600</v>
      </c>
      <c r="JK131" s="909" t="s">
        <v>1064</v>
      </c>
      <c r="JL131" s="909">
        <v>2</v>
      </c>
      <c r="JM131" s="909">
        <v>0</v>
      </c>
      <c r="JN131" s="909">
        <v>0</v>
      </c>
      <c r="JO131" s="909">
        <v>0</v>
      </c>
      <c r="JP131" s="910">
        <v>4004.0230338472697</v>
      </c>
      <c r="JQ131" s="909">
        <v>0</v>
      </c>
      <c r="JR131" s="909">
        <v>0</v>
      </c>
      <c r="JS131" s="909">
        <v>0</v>
      </c>
      <c r="JT131" s="910">
        <v>3952.986101545056</v>
      </c>
      <c r="JU131" s="871">
        <v>3952.986101545056</v>
      </c>
      <c r="JV131" s="911">
        <v>140.12401682055588</v>
      </c>
      <c r="JW131" s="908">
        <v>5.3882400000000006</v>
      </c>
      <c r="JX131" s="902">
        <v>38.399164075419336</v>
      </c>
      <c r="JY131" s="902">
        <v>0</v>
      </c>
      <c r="JZ131" s="902">
        <v>0</v>
      </c>
      <c r="KA131" s="902">
        <v>30.293070691432725</v>
      </c>
      <c r="KB131" s="902">
        <v>1.8585777092387488</v>
      </c>
      <c r="KC131" s="902">
        <v>3600</v>
      </c>
      <c r="KD131" s="909" t="s">
        <v>1064</v>
      </c>
      <c r="KE131" s="909">
        <v>2</v>
      </c>
      <c r="KF131" s="909">
        <v>0</v>
      </c>
      <c r="KG131" s="909">
        <v>0</v>
      </c>
      <c r="KH131" s="909">
        <v>0</v>
      </c>
      <c r="KI131" s="910">
        <v>4004.0230338472697</v>
      </c>
      <c r="KJ131" s="909">
        <v>0</v>
      </c>
      <c r="KK131" s="909">
        <v>0</v>
      </c>
      <c r="KL131" s="909">
        <v>0</v>
      </c>
      <c r="KM131" s="910">
        <v>3952.986101545056</v>
      </c>
      <c r="KN131" s="871">
        <v>3952.986101545056</v>
      </c>
      <c r="KO131" s="912">
        <v>140.12401682055588</v>
      </c>
    </row>
    <row r="132" spans="1:301" ht="15" customHeight="1">
      <c r="A132" s="924" t="s">
        <v>1590</v>
      </c>
      <c r="B132" s="888" t="s">
        <v>1075</v>
      </c>
      <c r="C132" s="888">
        <v>400</v>
      </c>
      <c r="D132" s="888">
        <v>727</v>
      </c>
      <c r="E132" s="888">
        <v>460</v>
      </c>
      <c r="F132" s="888">
        <v>400</v>
      </c>
      <c r="G132" s="888">
        <v>141</v>
      </c>
      <c r="H132" s="888">
        <v>125</v>
      </c>
      <c r="I132" s="888">
        <v>125</v>
      </c>
      <c r="J132" s="888">
        <v>41</v>
      </c>
      <c r="K132" s="888">
        <v>62.05</v>
      </c>
      <c r="L132" s="888">
        <v>18</v>
      </c>
      <c r="M132" s="888">
        <v>210</v>
      </c>
      <c r="N132" s="888">
        <v>4</v>
      </c>
      <c r="O132" s="884">
        <v>7.8159452721600431</v>
      </c>
      <c r="P132" s="888">
        <v>4</v>
      </c>
      <c r="Q132" s="884">
        <v>5.5099435792087768</v>
      </c>
      <c r="R132" s="888">
        <v>13.000000000000002</v>
      </c>
      <c r="S132" s="888">
        <v>552.36412992554176</v>
      </c>
      <c r="T132" s="906">
        <v>24.454220654900169</v>
      </c>
      <c r="U132" s="906">
        <v>82.854619488831261</v>
      </c>
      <c r="V132" s="906">
        <v>97.5</v>
      </c>
      <c r="W132" s="1141">
        <v>3.0949873016358023</v>
      </c>
      <c r="X132" s="902">
        <v>0</v>
      </c>
      <c r="Y132" s="902">
        <v>0</v>
      </c>
      <c r="Z132" s="902">
        <v>0</v>
      </c>
      <c r="AA132" s="902">
        <v>0</v>
      </c>
      <c r="AB132" s="970">
        <v>7.1983046174003222</v>
      </c>
      <c r="AC132" s="1045">
        <v>4000</v>
      </c>
      <c r="AD132" s="890">
        <v>2.4182147950644302</v>
      </c>
      <c r="AE132" s="890">
        <v>0.86928673781622645</v>
      </c>
      <c r="AF132" s="890">
        <v>-0.19267335160302518</v>
      </c>
      <c r="AG132" s="890">
        <v>0.40782268326227739</v>
      </c>
      <c r="AH132" s="888"/>
      <c r="AI132" s="907">
        <v>2.3540954113219761</v>
      </c>
      <c r="AJ132" s="908">
        <v>14.836500000000003</v>
      </c>
      <c r="AK132" s="902">
        <v>55.71159680790479</v>
      </c>
      <c r="AL132" s="902">
        <v>0</v>
      </c>
      <c r="AM132" s="902">
        <v>0</v>
      </c>
      <c r="AN132" s="902">
        <v>39.940111016065892</v>
      </c>
      <c r="AO132" s="902">
        <v>3.5068229357183633</v>
      </c>
      <c r="AP132" s="1222">
        <v>3150</v>
      </c>
      <c r="AQ132" s="909" t="s">
        <v>1062</v>
      </c>
      <c r="AR132" s="909">
        <v>4</v>
      </c>
      <c r="AS132" s="909">
        <v>0</v>
      </c>
      <c r="AT132" s="909">
        <v>0</v>
      </c>
      <c r="AU132" s="909">
        <v>0</v>
      </c>
      <c r="AV132" s="910">
        <v>3185.1305224836005</v>
      </c>
      <c r="AW132" s="909">
        <v>0</v>
      </c>
      <c r="AX132" s="909">
        <v>0</v>
      </c>
      <c r="AY132" s="909">
        <v>0</v>
      </c>
      <c r="AZ132" s="910">
        <v>3349.5725107248736</v>
      </c>
      <c r="BA132" s="871">
        <v>3185.1305224836005</v>
      </c>
      <c r="BB132" s="911">
        <v>121.24400311109441</v>
      </c>
      <c r="BC132" s="908">
        <v>18.545625000000005</v>
      </c>
      <c r="BD132" s="902">
        <v>59.420721807904798</v>
      </c>
      <c r="BE132" s="902">
        <v>0</v>
      </c>
      <c r="BF132" s="902">
        <v>0</v>
      </c>
      <c r="BG132" s="902">
        <v>41.348331005349202</v>
      </c>
      <c r="BH132" s="902">
        <v>3.8260529516089887</v>
      </c>
      <c r="BI132" s="902">
        <v>3600</v>
      </c>
      <c r="BJ132" s="909" t="s">
        <v>1062</v>
      </c>
      <c r="BK132" s="909">
        <v>5</v>
      </c>
      <c r="BL132" s="909">
        <v>0</v>
      </c>
      <c r="BM132" s="909">
        <v>0</v>
      </c>
      <c r="BN132" s="909">
        <v>0</v>
      </c>
      <c r="BO132" s="910">
        <v>3780.5177188017938</v>
      </c>
      <c r="BP132" s="909">
        <v>0</v>
      </c>
      <c r="BQ132" s="909">
        <v>0</v>
      </c>
      <c r="BR132" s="909">
        <v>0</v>
      </c>
      <c r="BS132" s="910">
        <v>3992.5301888127001</v>
      </c>
      <c r="BT132" s="871">
        <v>3780.5177188017938</v>
      </c>
      <c r="BU132" s="911">
        <v>143.90779241992971</v>
      </c>
      <c r="BV132" s="908">
        <v>14.836500000000003</v>
      </c>
      <c r="BW132" s="902">
        <v>55.71159680790479</v>
      </c>
      <c r="BX132" s="902">
        <v>0</v>
      </c>
      <c r="BY132" s="902">
        <v>0</v>
      </c>
      <c r="BZ132" s="902">
        <v>39.940111016065892</v>
      </c>
      <c r="CA132" s="902">
        <v>3.5068229357183633</v>
      </c>
      <c r="CB132" s="902">
        <v>3150</v>
      </c>
      <c r="CC132" s="909" t="s">
        <v>2874</v>
      </c>
      <c r="CD132" s="909">
        <v>4</v>
      </c>
      <c r="CE132" s="909">
        <v>0</v>
      </c>
      <c r="CF132" s="909">
        <v>0</v>
      </c>
      <c r="CG132" s="909">
        <v>0</v>
      </c>
      <c r="CH132" s="910">
        <v>2937.9483091157358</v>
      </c>
      <c r="CI132" s="909">
        <v>0</v>
      </c>
      <c r="CJ132" s="909">
        <v>0</v>
      </c>
      <c r="CK132" s="909">
        <v>0</v>
      </c>
      <c r="CL132" s="910">
        <v>2912.3950314956292</v>
      </c>
      <c r="CM132" s="871">
        <v>2912.3950314956292</v>
      </c>
      <c r="CN132" s="911">
        <v>110.86215455436177</v>
      </c>
      <c r="CO132" s="908">
        <v>22.254750000000005</v>
      </c>
      <c r="CP132" s="902">
        <v>63.129846807904798</v>
      </c>
      <c r="CQ132" s="902">
        <v>0</v>
      </c>
      <c r="CR132" s="902">
        <v>0</v>
      </c>
      <c r="CS132" s="902">
        <v>42.59107414867583</v>
      </c>
      <c r="CT132" s="902">
        <v>4.1452829674996137</v>
      </c>
      <c r="CU132" s="902">
        <v>3600</v>
      </c>
      <c r="CV132" s="909" t="s">
        <v>2874</v>
      </c>
      <c r="CW132" s="909">
        <v>6</v>
      </c>
      <c r="CX132" s="909">
        <v>0</v>
      </c>
      <c r="CY132" s="909">
        <v>0</v>
      </c>
      <c r="CZ132" s="909">
        <v>0</v>
      </c>
      <c r="DA132" s="910">
        <v>4273.346034625898</v>
      </c>
      <c r="DB132" s="909">
        <v>0</v>
      </c>
      <c r="DC132" s="909">
        <v>0</v>
      </c>
      <c r="DD132" s="909">
        <v>0</v>
      </c>
      <c r="DE132" s="910">
        <v>4236.1779206565261</v>
      </c>
      <c r="DF132" s="871">
        <v>4000</v>
      </c>
      <c r="DG132" s="911">
        <v>152.26252394398531</v>
      </c>
      <c r="DH132" s="908">
        <v>14.836500000000003</v>
      </c>
      <c r="DI132" s="902">
        <v>55.71159680790479</v>
      </c>
      <c r="DJ132" s="902">
        <v>0</v>
      </c>
      <c r="DK132" s="902">
        <v>0</v>
      </c>
      <c r="DL132" s="902">
        <v>39.940111016065892</v>
      </c>
      <c r="DM132" s="902">
        <v>3.5068229357183633</v>
      </c>
      <c r="DN132" s="902">
        <v>3150</v>
      </c>
      <c r="DO132" s="909" t="s">
        <v>2876</v>
      </c>
      <c r="DP132" s="909">
        <v>4</v>
      </c>
      <c r="DQ132" s="909">
        <v>0</v>
      </c>
      <c r="DR132" s="909">
        <v>0</v>
      </c>
      <c r="DS132" s="909">
        <v>0</v>
      </c>
      <c r="DT132" s="910">
        <v>3140.7988550750529</v>
      </c>
      <c r="DU132" s="909">
        <v>0</v>
      </c>
      <c r="DV132" s="909">
        <v>0</v>
      </c>
      <c r="DW132" s="909">
        <v>0</v>
      </c>
      <c r="DX132" s="910">
        <v>3113.4812522283842</v>
      </c>
      <c r="DY132" s="871">
        <v>3113.4812522283842</v>
      </c>
      <c r="DZ132" s="911">
        <v>118.51662842914342</v>
      </c>
      <c r="EA132" s="908">
        <v>18.545625000000005</v>
      </c>
      <c r="EB132" s="902">
        <v>59.420721807904798</v>
      </c>
      <c r="EC132" s="902">
        <v>0</v>
      </c>
      <c r="ED132" s="902">
        <v>0</v>
      </c>
      <c r="EE132" s="902">
        <v>41.348331005349202</v>
      </c>
      <c r="EF132" s="902">
        <v>3.8260529516089887</v>
      </c>
      <c r="EG132" s="902">
        <v>3600</v>
      </c>
      <c r="EH132" s="909" t="s">
        <v>2876</v>
      </c>
      <c r="EI132" s="909">
        <v>5</v>
      </c>
      <c r="EJ132" s="909">
        <v>0</v>
      </c>
      <c r="EK132" s="909">
        <v>0</v>
      </c>
      <c r="EL132" s="909">
        <v>0</v>
      </c>
      <c r="EM132" s="910">
        <v>3743.6819790407508</v>
      </c>
      <c r="EN132" s="909">
        <v>0</v>
      </c>
      <c r="EO132" s="909">
        <v>0</v>
      </c>
      <c r="EP132" s="909">
        <v>0</v>
      </c>
      <c r="EQ132" s="910">
        <v>3711.1207033214387</v>
      </c>
      <c r="ER132" s="871">
        <v>3711.1207033214387</v>
      </c>
      <c r="ES132" s="911">
        <v>141.26615123712503</v>
      </c>
      <c r="ET132" s="908">
        <v>14.836500000000003</v>
      </c>
      <c r="EU132" s="902">
        <v>55.71159680790479</v>
      </c>
      <c r="EV132" s="902">
        <v>0</v>
      </c>
      <c r="EW132" s="902">
        <v>0</v>
      </c>
      <c r="EX132" s="902">
        <v>39.940111016065892</v>
      </c>
      <c r="EY132" s="902">
        <v>3.5068229357183633</v>
      </c>
      <c r="EZ132" s="902">
        <v>3150</v>
      </c>
      <c r="FA132" s="909" t="s">
        <v>3889</v>
      </c>
      <c r="FB132" s="909">
        <v>4</v>
      </c>
      <c r="FC132" s="909">
        <v>0</v>
      </c>
      <c r="FD132" s="909">
        <v>0</v>
      </c>
      <c r="FE132" s="909">
        <v>0</v>
      </c>
      <c r="FF132" s="910">
        <v>3205.5644081881183</v>
      </c>
      <c r="FG132" s="909">
        <v>0</v>
      </c>
      <c r="FH132" s="909">
        <v>0</v>
      </c>
      <c r="FI132" s="909">
        <v>0</v>
      </c>
      <c r="FJ132" s="910">
        <v>3177.6834965338116</v>
      </c>
      <c r="FK132" s="871">
        <v>3177.6834965338116</v>
      </c>
      <c r="FL132" s="911">
        <v>120.96052736934662</v>
      </c>
      <c r="FM132" s="908">
        <v>18.545625000000005</v>
      </c>
      <c r="FN132" s="902">
        <v>59.420721807904798</v>
      </c>
      <c r="FO132" s="902">
        <v>0</v>
      </c>
      <c r="FP132" s="902">
        <v>0</v>
      </c>
      <c r="FQ132" s="902">
        <v>41.348331005349202</v>
      </c>
      <c r="FR132" s="902">
        <v>3.8260529516089887</v>
      </c>
      <c r="FS132" s="902">
        <v>3600</v>
      </c>
      <c r="FT132" s="909" t="s">
        <v>3889</v>
      </c>
      <c r="FU132" s="909">
        <v>5</v>
      </c>
      <c r="FV132" s="909">
        <v>0</v>
      </c>
      <c r="FW132" s="909">
        <v>0</v>
      </c>
      <c r="FX132" s="909">
        <v>0</v>
      </c>
      <c r="FY132" s="910">
        <v>3820.8794199546787</v>
      </c>
      <c r="FZ132" s="909">
        <v>0</v>
      </c>
      <c r="GA132" s="909">
        <v>0</v>
      </c>
      <c r="GB132" s="909">
        <v>0</v>
      </c>
      <c r="GC132" s="910">
        <v>3787.6467070890735</v>
      </c>
      <c r="GD132" s="871">
        <v>3787.6467070890735</v>
      </c>
      <c r="GE132" s="911">
        <v>144.17916185737678</v>
      </c>
      <c r="GF132" s="908">
        <v>11.127375000000002</v>
      </c>
      <c r="GG132" s="902">
        <v>52.00247180790479</v>
      </c>
      <c r="GH132" s="902">
        <v>0</v>
      </c>
      <c r="GI132" s="902">
        <v>0</v>
      </c>
      <c r="GJ132" s="902">
        <v>38.331005807824326</v>
      </c>
      <c r="GK132" s="902">
        <v>3.1875929198277384</v>
      </c>
      <c r="GL132" s="902">
        <v>3150</v>
      </c>
      <c r="GM132" s="909" t="s">
        <v>2877</v>
      </c>
      <c r="GN132" s="909">
        <v>3</v>
      </c>
      <c r="GO132" s="909">
        <v>0</v>
      </c>
      <c r="GP132" s="909">
        <v>0</v>
      </c>
      <c r="GQ132" s="909">
        <v>0</v>
      </c>
      <c r="GR132" s="910">
        <v>3570.7201926324688</v>
      </c>
      <c r="GS132" s="909">
        <v>0</v>
      </c>
      <c r="GT132" s="909">
        <v>0</v>
      </c>
      <c r="GU132" s="909">
        <v>0</v>
      </c>
      <c r="GV132" s="910">
        <v>3539.6632798533201</v>
      </c>
      <c r="GW132" s="871">
        <v>3539.6632798533201</v>
      </c>
      <c r="GX132" s="911">
        <v>134.73951622557792</v>
      </c>
      <c r="GY132" s="908">
        <v>14.836500000000003</v>
      </c>
      <c r="GZ132" s="902">
        <v>55.71159680790479</v>
      </c>
      <c r="HA132" s="902">
        <v>0</v>
      </c>
      <c r="HB132" s="902">
        <v>0</v>
      </c>
      <c r="HC132" s="902">
        <v>39.940111016065892</v>
      </c>
      <c r="HD132" s="902">
        <v>3.5068229357183633</v>
      </c>
      <c r="HE132" s="902">
        <v>3600</v>
      </c>
      <c r="HF132" s="909" t="s">
        <v>2877</v>
      </c>
      <c r="HG132" s="909">
        <v>4</v>
      </c>
      <c r="HH132" s="909">
        <v>0</v>
      </c>
      <c r="HI132" s="909">
        <v>0</v>
      </c>
      <c r="HJ132" s="909">
        <v>0</v>
      </c>
      <c r="HK132" s="910">
        <v>4300.7159537775333</v>
      </c>
      <c r="HL132" s="909">
        <v>0</v>
      </c>
      <c r="HM132" s="909">
        <v>0</v>
      </c>
      <c r="HN132" s="909">
        <v>0</v>
      </c>
      <c r="HO132" s="910">
        <v>4263.3097855372944</v>
      </c>
      <c r="HP132" s="871">
        <v>4000</v>
      </c>
      <c r="HQ132" s="911">
        <v>152.26252394398531</v>
      </c>
      <c r="HR132" s="908">
        <v>11.127375000000002</v>
      </c>
      <c r="HS132" s="902">
        <v>52.00247180790479</v>
      </c>
      <c r="HT132" s="902">
        <v>0</v>
      </c>
      <c r="HU132" s="902">
        <v>0</v>
      </c>
      <c r="HV132" s="902">
        <v>38.331005807824326</v>
      </c>
      <c r="HW132" s="902">
        <v>3.1875929198277384</v>
      </c>
      <c r="HX132" s="902">
        <v>3150</v>
      </c>
      <c r="HY132" s="909" t="s">
        <v>1063</v>
      </c>
      <c r="HZ132" s="909">
        <v>3</v>
      </c>
      <c r="IA132" s="909">
        <v>0</v>
      </c>
      <c r="IB132" s="909">
        <v>0</v>
      </c>
      <c r="IC132" s="909">
        <v>0</v>
      </c>
      <c r="ID132" s="910">
        <v>3149.0792103673866</v>
      </c>
      <c r="IE132" s="909">
        <v>0</v>
      </c>
      <c r="IF132" s="909">
        <v>0</v>
      </c>
      <c r="IG132" s="909">
        <v>0</v>
      </c>
      <c r="IH132" s="910">
        <v>3121.6895877997031</v>
      </c>
      <c r="II132" s="871">
        <v>3121.6895877997031</v>
      </c>
      <c r="IJ132" s="911">
        <v>118.82908390201048</v>
      </c>
      <c r="IK132" s="908">
        <v>14.836500000000003</v>
      </c>
      <c r="IL132" s="902">
        <v>55.71159680790479</v>
      </c>
      <c r="IM132" s="902">
        <v>0</v>
      </c>
      <c r="IN132" s="902">
        <v>0</v>
      </c>
      <c r="IO132" s="902">
        <v>39.940111016065892</v>
      </c>
      <c r="IP132" s="902">
        <v>3.5068229357183633</v>
      </c>
      <c r="IQ132" s="902">
        <v>3600</v>
      </c>
      <c r="IR132" s="909" t="s">
        <v>1063</v>
      </c>
      <c r="IS132" s="909">
        <v>4</v>
      </c>
      <c r="IT132" s="909">
        <v>0</v>
      </c>
      <c r="IU132" s="909">
        <v>0</v>
      </c>
      <c r="IV132" s="909">
        <v>0</v>
      </c>
      <c r="IW132" s="910">
        <v>3792.8749577410863</v>
      </c>
      <c r="IX132" s="909">
        <v>0</v>
      </c>
      <c r="IY132" s="909">
        <v>0</v>
      </c>
      <c r="IZ132" s="909">
        <v>0</v>
      </c>
      <c r="JA132" s="910">
        <v>3759.8858181865971</v>
      </c>
      <c r="JB132" s="871">
        <v>3759.8858181865971</v>
      </c>
      <c r="JC132" s="911">
        <v>143.12242610457187</v>
      </c>
      <c r="JD132" s="908">
        <v>11.127375000000002</v>
      </c>
      <c r="JE132" s="902">
        <v>52.00247180790479</v>
      </c>
      <c r="JF132" s="902">
        <v>0</v>
      </c>
      <c r="JG132" s="902">
        <v>0</v>
      </c>
      <c r="JH132" s="902">
        <v>38.331005807824326</v>
      </c>
      <c r="JI132" s="902">
        <v>3.1875929198277384</v>
      </c>
      <c r="JJ132" s="902">
        <v>3150</v>
      </c>
      <c r="JK132" s="909" t="s">
        <v>1064</v>
      </c>
      <c r="JL132" s="909">
        <v>3</v>
      </c>
      <c r="JM132" s="909">
        <v>0</v>
      </c>
      <c r="JN132" s="909">
        <v>0</v>
      </c>
      <c r="JO132" s="909">
        <v>0</v>
      </c>
      <c r="JP132" s="910">
        <v>4291.471581623673</v>
      </c>
      <c r="JQ132" s="909">
        <v>0</v>
      </c>
      <c r="JR132" s="909">
        <v>0</v>
      </c>
      <c r="JS132" s="909">
        <v>0</v>
      </c>
      <c r="JT132" s="910">
        <v>4254.1458177960612</v>
      </c>
      <c r="JU132" s="871">
        <v>4000</v>
      </c>
      <c r="JV132" s="911">
        <v>152.26252394398531</v>
      </c>
      <c r="JW132" s="908">
        <v>11.127375000000002</v>
      </c>
      <c r="JX132" s="902">
        <v>52.00247180790479</v>
      </c>
      <c r="JY132" s="902">
        <v>0</v>
      </c>
      <c r="JZ132" s="902">
        <v>0</v>
      </c>
      <c r="KA132" s="902">
        <v>38.331005807824326</v>
      </c>
      <c r="KB132" s="902">
        <v>3.1875929198277384</v>
      </c>
      <c r="KC132" s="902">
        <v>3600</v>
      </c>
      <c r="KD132" s="909" t="s">
        <v>1064</v>
      </c>
      <c r="KE132" s="909">
        <v>3</v>
      </c>
      <c r="KF132" s="909">
        <v>0</v>
      </c>
      <c r="KG132" s="909">
        <v>0</v>
      </c>
      <c r="KH132" s="909">
        <v>0</v>
      </c>
      <c r="KI132" s="910">
        <v>4291.471581623673</v>
      </c>
      <c r="KJ132" s="909">
        <v>0</v>
      </c>
      <c r="KK132" s="909">
        <v>0</v>
      </c>
      <c r="KL132" s="909">
        <v>0</v>
      </c>
      <c r="KM132" s="910">
        <v>4254.1458177960612</v>
      </c>
      <c r="KN132" s="871">
        <v>4000</v>
      </c>
      <c r="KO132" s="912">
        <v>152.26252394398531</v>
      </c>
    </row>
    <row r="133" spans="1:301" ht="15" customHeight="1">
      <c r="A133" s="924" t="s">
        <v>1591</v>
      </c>
      <c r="B133" s="888" t="s">
        <v>1073</v>
      </c>
      <c r="C133" s="888">
        <v>250</v>
      </c>
      <c r="D133" s="888">
        <v>802</v>
      </c>
      <c r="E133" s="888">
        <v>210</v>
      </c>
      <c r="F133" s="888">
        <v>250</v>
      </c>
      <c r="G133" s="888">
        <v>61</v>
      </c>
      <c r="H133" s="888">
        <v>45</v>
      </c>
      <c r="I133" s="888">
        <v>45</v>
      </c>
      <c r="J133" s="888">
        <v>45.88</v>
      </c>
      <c r="K133" s="888">
        <v>76.989999999999995</v>
      </c>
      <c r="L133" s="888">
        <v>18</v>
      </c>
      <c r="M133" s="888">
        <v>300</v>
      </c>
      <c r="N133" s="888">
        <v>4</v>
      </c>
      <c r="O133" s="884">
        <v>14.774804692319638</v>
      </c>
      <c r="P133" s="888">
        <v>4</v>
      </c>
      <c r="Q133" s="884">
        <v>9.3942212271901813</v>
      </c>
      <c r="R133" s="888">
        <v>13.000000000000002</v>
      </c>
      <c r="S133" s="888">
        <v>512.13029671532342</v>
      </c>
      <c r="T133" s="906">
        <v>21.021506083215428</v>
      </c>
      <c r="U133" s="906">
        <v>76.819544507298517</v>
      </c>
      <c r="V133" s="906">
        <v>60</v>
      </c>
      <c r="W133" s="1141">
        <v>1.6372519160965862</v>
      </c>
      <c r="X133" s="902">
        <v>0</v>
      </c>
      <c r="Y133" s="902">
        <v>0</v>
      </c>
      <c r="Z133" s="902">
        <v>0</v>
      </c>
      <c r="AA133" s="902">
        <v>0</v>
      </c>
      <c r="AB133" s="970">
        <v>3.6903921206869605</v>
      </c>
      <c r="AC133" s="1045">
        <v>4000</v>
      </c>
      <c r="AD133" s="890">
        <v>2.185087908944638</v>
      </c>
      <c r="AE133" s="890">
        <v>1.0311994370988982</v>
      </c>
      <c r="AF133" s="890">
        <v>-0.10831877303733745</v>
      </c>
      <c r="AG133" s="890">
        <v>0.71267189446262824</v>
      </c>
      <c r="AH133" s="888"/>
      <c r="AI133" s="907">
        <v>2.4085101907348885</v>
      </c>
      <c r="AJ133" s="908">
        <v>5.7226499999999998</v>
      </c>
      <c r="AK133" s="902">
        <v>52.550433918821838</v>
      </c>
      <c r="AL133" s="902">
        <v>0</v>
      </c>
      <c r="AM133" s="902">
        <v>0</v>
      </c>
      <c r="AN133" s="902">
        <v>18.994545833332307</v>
      </c>
      <c r="AO133" s="902">
        <v>3.5266298936906257</v>
      </c>
      <c r="AP133" s="1222">
        <v>3600</v>
      </c>
      <c r="AQ133" s="909" t="s">
        <v>1062</v>
      </c>
      <c r="AR133" s="909">
        <v>3</v>
      </c>
      <c r="AS133" s="909">
        <v>0</v>
      </c>
      <c r="AT133" s="909">
        <v>0</v>
      </c>
      <c r="AU133" s="909">
        <v>0</v>
      </c>
      <c r="AV133" s="910">
        <v>11344.374004484307</v>
      </c>
      <c r="AW133" s="909">
        <v>0</v>
      </c>
      <c r="AX133" s="909">
        <v>0</v>
      </c>
      <c r="AY133" s="909">
        <v>0</v>
      </c>
      <c r="AZ133" s="910">
        <v>12655.102711263766</v>
      </c>
      <c r="BA133" s="871">
        <v>4000</v>
      </c>
      <c r="BB133" s="911">
        <v>167.97048721193426</v>
      </c>
      <c r="BC133" s="908">
        <v>5.7226499999999998</v>
      </c>
      <c r="BD133" s="902">
        <v>52.550433918821838</v>
      </c>
      <c r="BE133" s="902">
        <v>0</v>
      </c>
      <c r="BF133" s="902">
        <v>0</v>
      </c>
      <c r="BG133" s="902">
        <v>18.994545833332307</v>
      </c>
      <c r="BH133" s="902">
        <v>3.5266298936906257</v>
      </c>
      <c r="BI133" s="902">
        <v>3600</v>
      </c>
      <c r="BJ133" s="909" t="s">
        <v>1062</v>
      </c>
      <c r="BK133" s="909">
        <v>3</v>
      </c>
      <c r="BL133" s="909">
        <v>0</v>
      </c>
      <c r="BM133" s="909">
        <v>0</v>
      </c>
      <c r="BN133" s="909">
        <v>0</v>
      </c>
      <c r="BO133" s="910">
        <v>11344.374004484307</v>
      </c>
      <c r="BP133" s="909">
        <v>0</v>
      </c>
      <c r="BQ133" s="909">
        <v>0</v>
      </c>
      <c r="BR133" s="909">
        <v>0</v>
      </c>
      <c r="BS133" s="910">
        <v>12655.102711263766</v>
      </c>
      <c r="BT133" s="871">
        <v>4000</v>
      </c>
      <c r="BU133" s="911">
        <v>167.97048721193426</v>
      </c>
      <c r="BV133" s="908">
        <v>5.7226499999999998</v>
      </c>
      <c r="BW133" s="902">
        <v>52.550433918821838</v>
      </c>
      <c r="BX133" s="902">
        <v>0</v>
      </c>
      <c r="BY133" s="902">
        <v>0</v>
      </c>
      <c r="BZ133" s="902">
        <v>18.994545833332307</v>
      </c>
      <c r="CA133" s="902">
        <v>3.5266298936906257</v>
      </c>
      <c r="CB133" s="902">
        <v>3600</v>
      </c>
      <c r="CC133" s="909" t="s">
        <v>2874</v>
      </c>
      <c r="CD133" s="909">
        <v>3</v>
      </c>
      <c r="CE133" s="909">
        <v>0</v>
      </c>
      <c r="CF133" s="909">
        <v>0</v>
      </c>
      <c r="CG133" s="909">
        <v>0</v>
      </c>
      <c r="CH133" s="910">
        <v>11193.195016009788</v>
      </c>
      <c r="CI133" s="909">
        <v>0</v>
      </c>
      <c r="CJ133" s="909">
        <v>0</v>
      </c>
      <c r="CK133" s="909">
        <v>0</v>
      </c>
      <c r="CL133" s="910">
        <v>11003.391669017376</v>
      </c>
      <c r="CM133" s="871">
        <v>4000</v>
      </c>
      <c r="CN133" s="911">
        <v>167.97048721193426</v>
      </c>
      <c r="CO133" s="908">
        <v>5.7226499999999998</v>
      </c>
      <c r="CP133" s="902">
        <v>52.550433918821838</v>
      </c>
      <c r="CQ133" s="902">
        <v>0</v>
      </c>
      <c r="CR133" s="902">
        <v>0</v>
      </c>
      <c r="CS133" s="902">
        <v>18.994545833332307</v>
      </c>
      <c r="CT133" s="902">
        <v>3.5266298936906257</v>
      </c>
      <c r="CU133" s="902">
        <v>3600</v>
      </c>
      <c r="CV133" s="909" t="s">
        <v>2874</v>
      </c>
      <c r="CW133" s="909">
        <v>3</v>
      </c>
      <c r="CX133" s="909">
        <v>0</v>
      </c>
      <c r="CY133" s="909">
        <v>0</v>
      </c>
      <c r="CZ133" s="909">
        <v>0</v>
      </c>
      <c r="DA133" s="910">
        <v>11193.195016009788</v>
      </c>
      <c r="DB133" s="909">
        <v>0</v>
      </c>
      <c r="DC133" s="909">
        <v>0</v>
      </c>
      <c r="DD133" s="909">
        <v>0</v>
      </c>
      <c r="DE133" s="910">
        <v>11003.391669017376</v>
      </c>
      <c r="DF133" s="871">
        <v>4000</v>
      </c>
      <c r="DG133" s="911">
        <v>167.97048721193426</v>
      </c>
      <c r="DH133" s="908">
        <v>5.7226499999999998</v>
      </c>
      <c r="DI133" s="902">
        <v>52.550433918821838</v>
      </c>
      <c r="DJ133" s="902">
        <v>0</v>
      </c>
      <c r="DK133" s="902">
        <v>0</v>
      </c>
      <c r="DL133" s="902">
        <v>18.994545833332307</v>
      </c>
      <c r="DM133" s="902">
        <v>3.5266298936906257</v>
      </c>
      <c r="DN133" s="902">
        <v>3600</v>
      </c>
      <c r="DO133" s="909" t="s">
        <v>2876</v>
      </c>
      <c r="DP133" s="909">
        <v>3</v>
      </c>
      <c r="DQ133" s="909">
        <v>0</v>
      </c>
      <c r="DR133" s="909">
        <v>0</v>
      </c>
      <c r="DS133" s="909">
        <v>0</v>
      </c>
      <c r="DT133" s="910">
        <v>11966.028803786921</v>
      </c>
      <c r="DU133" s="909">
        <v>0</v>
      </c>
      <c r="DV133" s="909">
        <v>0</v>
      </c>
      <c r="DW133" s="909">
        <v>0</v>
      </c>
      <c r="DX133" s="910">
        <v>11763.120490841626</v>
      </c>
      <c r="DY133" s="871">
        <v>4000</v>
      </c>
      <c r="DZ133" s="911">
        <v>167.97048721193426</v>
      </c>
      <c r="EA133" s="908">
        <v>5.7226499999999998</v>
      </c>
      <c r="EB133" s="902">
        <v>52.550433918821838</v>
      </c>
      <c r="EC133" s="902">
        <v>0</v>
      </c>
      <c r="ED133" s="902">
        <v>0</v>
      </c>
      <c r="EE133" s="902">
        <v>18.994545833332307</v>
      </c>
      <c r="EF133" s="902">
        <v>3.5266298936906257</v>
      </c>
      <c r="EG133" s="902">
        <v>3600</v>
      </c>
      <c r="EH133" s="909" t="s">
        <v>2876</v>
      </c>
      <c r="EI133" s="909">
        <v>3</v>
      </c>
      <c r="EJ133" s="909">
        <v>0</v>
      </c>
      <c r="EK133" s="909">
        <v>0</v>
      </c>
      <c r="EL133" s="909">
        <v>0</v>
      </c>
      <c r="EM133" s="910">
        <v>11966.028803786921</v>
      </c>
      <c r="EN133" s="909">
        <v>0</v>
      </c>
      <c r="EO133" s="909">
        <v>0</v>
      </c>
      <c r="EP133" s="909">
        <v>0</v>
      </c>
      <c r="EQ133" s="910">
        <v>11763.120490841626</v>
      </c>
      <c r="ER133" s="871">
        <v>4000</v>
      </c>
      <c r="ES133" s="911">
        <v>167.97048721193426</v>
      </c>
      <c r="ET133" s="908">
        <v>5.7226499999999998</v>
      </c>
      <c r="EU133" s="902">
        <v>52.550433918821838</v>
      </c>
      <c r="EV133" s="902">
        <v>0</v>
      </c>
      <c r="EW133" s="902">
        <v>0</v>
      </c>
      <c r="EX133" s="902">
        <v>18.994545833332307</v>
      </c>
      <c r="EY133" s="902">
        <v>3.5266298936906257</v>
      </c>
      <c r="EZ133" s="902">
        <v>3600</v>
      </c>
      <c r="FA133" s="909" t="s">
        <v>3889</v>
      </c>
      <c r="FB133" s="909">
        <v>3</v>
      </c>
      <c r="FC133" s="909">
        <v>0</v>
      </c>
      <c r="FD133" s="909">
        <v>0</v>
      </c>
      <c r="FE133" s="909">
        <v>0</v>
      </c>
      <c r="FF133" s="910">
        <v>12212.777006968343</v>
      </c>
      <c r="FG133" s="909">
        <v>0</v>
      </c>
      <c r="FH133" s="909">
        <v>0</v>
      </c>
      <c r="FI133" s="909">
        <v>0</v>
      </c>
      <c r="FJ133" s="910">
        <v>12005.684577266305</v>
      </c>
      <c r="FK133" s="871">
        <v>4000</v>
      </c>
      <c r="FL133" s="911">
        <v>167.97048721193426</v>
      </c>
      <c r="FM133" s="908">
        <v>5.7226499999999998</v>
      </c>
      <c r="FN133" s="902">
        <v>52.550433918821838</v>
      </c>
      <c r="FO133" s="902">
        <v>0</v>
      </c>
      <c r="FP133" s="902">
        <v>0</v>
      </c>
      <c r="FQ133" s="902">
        <v>18.994545833332307</v>
      </c>
      <c r="FR133" s="902">
        <v>3.5266298936906257</v>
      </c>
      <c r="FS133" s="902">
        <v>3600</v>
      </c>
      <c r="FT133" s="909" t="s">
        <v>3889</v>
      </c>
      <c r="FU133" s="909">
        <v>3</v>
      </c>
      <c r="FV133" s="909">
        <v>0</v>
      </c>
      <c r="FW133" s="909">
        <v>0</v>
      </c>
      <c r="FX133" s="909">
        <v>0</v>
      </c>
      <c r="FY133" s="910">
        <v>12212.777006968343</v>
      </c>
      <c r="FZ133" s="909">
        <v>0</v>
      </c>
      <c r="GA133" s="909">
        <v>0</v>
      </c>
      <c r="GB133" s="909">
        <v>0</v>
      </c>
      <c r="GC133" s="910">
        <v>12005.684577266305</v>
      </c>
      <c r="GD133" s="871">
        <v>4000</v>
      </c>
      <c r="GE133" s="911">
        <v>167.97048721193426</v>
      </c>
      <c r="GF133" s="908">
        <v>5.7226499999999998</v>
      </c>
      <c r="GG133" s="902">
        <v>52.550433918821838</v>
      </c>
      <c r="GH133" s="902">
        <v>0</v>
      </c>
      <c r="GI133" s="902">
        <v>0</v>
      </c>
      <c r="GJ133" s="902">
        <v>18.994545833332307</v>
      </c>
      <c r="GK133" s="902">
        <v>3.5266298936906257</v>
      </c>
      <c r="GL133" s="902">
        <v>3600</v>
      </c>
      <c r="GM133" s="909" t="s">
        <v>2877</v>
      </c>
      <c r="GN133" s="909">
        <v>3</v>
      </c>
      <c r="GO133" s="909">
        <v>0</v>
      </c>
      <c r="GP133" s="909">
        <v>0</v>
      </c>
      <c r="GQ133" s="909">
        <v>0</v>
      </c>
      <c r="GR133" s="910">
        <v>16385.159748973652</v>
      </c>
      <c r="GS133" s="909">
        <v>0</v>
      </c>
      <c r="GT133" s="909">
        <v>0</v>
      </c>
      <c r="GU133" s="909">
        <v>0</v>
      </c>
      <c r="GV133" s="910">
        <v>16107.316098712412</v>
      </c>
      <c r="GW133" s="871">
        <v>4000</v>
      </c>
      <c r="GX133" s="911">
        <v>167.97048721193426</v>
      </c>
      <c r="GY133" s="908">
        <v>5.7226499999999998</v>
      </c>
      <c r="GZ133" s="902">
        <v>52.550433918821838</v>
      </c>
      <c r="HA133" s="902">
        <v>0</v>
      </c>
      <c r="HB133" s="902">
        <v>0</v>
      </c>
      <c r="HC133" s="902">
        <v>18.994545833332307</v>
      </c>
      <c r="HD133" s="902">
        <v>3.5266298936906257</v>
      </c>
      <c r="HE133" s="902">
        <v>3600</v>
      </c>
      <c r="HF133" s="909" t="s">
        <v>2877</v>
      </c>
      <c r="HG133" s="909">
        <v>3</v>
      </c>
      <c r="HH133" s="909">
        <v>0</v>
      </c>
      <c r="HI133" s="909">
        <v>0</v>
      </c>
      <c r="HJ133" s="909">
        <v>0</v>
      </c>
      <c r="HK133" s="910">
        <v>16385.159748973652</v>
      </c>
      <c r="HL133" s="909">
        <v>0</v>
      </c>
      <c r="HM133" s="909">
        <v>0</v>
      </c>
      <c r="HN133" s="909">
        <v>0</v>
      </c>
      <c r="HO133" s="910">
        <v>16107.316098712412</v>
      </c>
      <c r="HP133" s="871">
        <v>4000</v>
      </c>
      <c r="HQ133" s="911">
        <v>167.97048721193426</v>
      </c>
      <c r="HR133" s="908">
        <v>5.7226499999999998</v>
      </c>
      <c r="HS133" s="902">
        <v>52.550433918821838</v>
      </c>
      <c r="HT133" s="902">
        <v>0</v>
      </c>
      <c r="HU133" s="902">
        <v>0</v>
      </c>
      <c r="HV133" s="902">
        <v>18.994545833332307</v>
      </c>
      <c r="HW133" s="902">
        <v>3.5266298936906257</v>
      </c>
      <c r="HX133" s="902">
        <v>3600</v>
      </c>
      <c r="HY133" s="909" t="s">
        <v>1063</v>
      </c>
      <c r="HZ133" s="909">
        <v>3</v>
      </c>
      <c r="IA133" s="909">
        <v>0</v>
      </c>
      <c r="IB133" s="909">
        <v>0</v>
      </c>
      <c r="IC133" s="909">
        <v>0</v>
      </c>
      <c r="ID133" s="910">
        <v>14450.352629285921</v>
      </c>
      <c r="IE133" s="909">
        <v>0</v>
      </c>
      <c r="IF133" s="909">
        <v>0</v>
      </c>
      <c r="IG133" s="909">
        <v>0</v>
      </c>
      <c r="IH133" s="910">
        <v>14205.317561967244</v>
      </c>
      <c r="II133" s="871">
        <v>4000</v>
      </c>
      <c r="IJ133" s="911">
        <v>167.97048721193426</v>
      </c>
      <c r="IK133" s="908">
        <v>5.7226499999999998</v>
      </c>
      <c r="IL133" s="902">
        <v>52.550433918821838</v>
      </c>
      <c r="IM133" s="902">
        <v>0</v>
      </c>
      <c r="IN133" s="902">
        <v>0</v>
      </c>
      <c r="IO133" s="902">
        <v>18.994545833332307</v>
      </c>
      <c r="IP133" s="902">
        <v>3.5266298936906257</v>
      </c>
      <c r="IQ133" s="902">
        <v>3600</v>
      </c>
      <c r="IR133" s="909" t="s">
        <v>1063</v>
      </c>
      <c r="IS133" s="909">
        <v>3</v>
      </c>
      <c r="IT133" s="909">
        <v>0</v>
      </c>
      <c r="IU133" s="909">
        <v>0</v>
      </c>
      <c r="IV133" s="909">
        <v>0</v>
      </c>
      <c r="IW133" s="910">
        <v>14450.352629285921</v>
      </c>
      <c r="IX133" s="909">
        <v>0</v>
      </c>
      <c r="IY133" s="909">
        <v>0</v>
      </c>
      <c r="IZ133" s="909">
        <v>0</v>
      </c>
      <c r="JA133" s="910">
        <v>14205.317561967244</v>
      </c>
      <c r="JB133" s="871">
        <v>4000</v>
      </c>
      <c r="JC133" s="911">
        <v>167.97048721193426</v>
      </c>
      <c r="JD133" s="908">
        <v>5.7226499999999998</v>
      </c>
      <c r="JE133" s="902">
        <v>52.550433918821838</v>
      </c>
      <c r="JF133" s="902">
        <v>0</v>
      </c>
      <c r="JG133" s="902">
        <v>0</v>
      </c>
      <c r="JH133" s="902">
        <v>18.994545833332307</v>
      </c>
      <c r="JI133" s="902">
        <v>3.5266298936906257</v>
      </c>
      <c r="JJ133" s="902">
        <v>3600</v>
      </c>
      <c r="JK133" s="909" t="s">
        <v>1064</v>
      </c>
      <c r="JL133" s="909">
        <v>3</v>
      </c>
      <c r="JM133" s="909">
        <v>0</v>
      </c>
      <c r="JN133" s="909">
        <v>0</v>
      </c>
      <c r="JO133" s="909">
        <v>0</v>
      </c>
      <c r="JP133" s="910">
        <v>19692.51121053454</v>
      </c>
      <c r="JQ133" s="909">
        <v>0</v>
      </c>
      <c r="JR133" s="909">
        <v>0</v>
      </c>
      <c r="JS133" s="909">
        <v>0</v>
      </c>
      <c r="JT133" s="910">
        <v>19358.584701338725</v>
      </c>
      <c r="JU133" s="871">
        <v>4000</v>
      </c>
      <c r="JV133" s="911">
        <v>167.97048721193426</v>
      </c>
      <c r="JW133" s="908">
        <v>5.7226499999999998</v>
      </c>
      <c r="JX133" s="902">
        <v>52.550433918821838</v>
      </c>
      <c r="JY133" s="902">
        <v>0</v>
      </c>
      <c r="JZ133" s="902">
        <v>0</v>
      </c>
      <c r="KA133" s="902">
        <v>18.994545833332307</v>
      </c>
      <c r="KB133" s="902">
        <v>3.5266298936906257</v>
      </c>
      <c r="KC133" s="902">
        <v>3600</v>
      </c>
      <c r="KD133" s="909" t="s">
        <v>1064</v>
      </c>
      <c r="KE133" s="909">
        <v>3</v>
      </c>
      <c r="KF133" s="909">
        <v>0</v>
      </c>
      <c r="KG133" s="909">
        <v>0</v>
      </c>
      <c r="KH133" s="909">
        <v>0</v>
      </c>
      <c r="KI133" s="910">
        <v>19692.51121053454</v>
      </c>
      <c r="KJ133" s="909">
        <v>0</v>
      </c>
      <c r="KK133" s="909">
        <v>0</v>
      </c>
      <c r="KL133" s="909">
        <v>0</v>
      </c>
      <c r="KM133" s="910">
        <v>19358.584701338725</v>
      </c>
      <c r="KN133" s="871">
        <v>4000</v>
      </c>
      <c r="KO133" s="912">
        <v>167.97048721193426</v>
      </c>
    </row>
    <row r="134" spans="1:301" ht="15" customHeight="1">
      <c r="A134" s="924" t="s">
        <v>1592</v>
      </c>
      <c r="B134" s="888" t="s">
        <v>1076</v>
      </c>
      <c r="C134" s="888">
        <v>325</v>
      </c>
      <c r="D134" s="888">
        <v>802</v>
      </c>
      <c r="E134" s="888">
        <v>260</v>
      </c>
      <c r="F134" s="888">
        <v>325</v>
      </c>
      <c r="G134" s="888">
        <v>76</v>
      </c>
      <c r="H134" s="888">
        <v>60</v>
      </c>
      <c r="I134" s="888">
        <v>60</v>
      </c>
      <c r="J134" s="888">
        <v>28.27</v>
      </c>
      <c r="K134" s="888">
        <v>68.42</v>
      </c>
      <c r="L134" s="888">
        <v>18</v>
      </c>
      <c r="M134" s="888">
        <v>295</v>
      </c>
      <c r="N134" s="888">
        <v>4</v>
      </c>
      <c r="O134" s="884">
        <v>14.19525938754866</v>
      </c>
      <c r="P134" s="888">
        <v>4</v>
      </c>
      <c r="Q134" s="884">
        <v>8.463271756416745</v>
      </c>
      <c r="R134" s="888">
        <v>13.000000000000002</v>
      </c>
      <c r="S134" s="888">
        <v>547.74678357220296</v>
      </c>
      <c r="T134" s="906">
        <v>24.047091863229099</v>
      </c>
      <c r="U134" s="906">
        <v>82.162017535830444</v>
      </c>
      <c r="V134" s="906">
        <v>85</v>
      </c>
      <c r="W134" s="1141">
        <v>2.6532728762553255</v>
      </c>
      <c r="X134" s="902">
        <v>0</v>
      </c>
      <c r="Y134" s="902">
        <v>0</v>
      </c>
      <c r="Z134" s="902">
        <v>0</v>
      </c>
      <c r="AA134" s="902">
        <v>0</v>
      </c>
      <c r="AB134" s="970">
        <v>5.0384904422264816</v>
      </c>
      <c r="AC134" s="1045">
        <v>4000</v>
      </c>
      <c r="AD134" s="890">
        <v>1.627431386624145</v>
      </c>
      <c r="AE134" s="890">
        <v>0.53776931193798139</v>
      </c>
      <c r="AF134" s="890">
        <v>-0.18525812504817221</v>
      </c>
      <c r="AG134" s="890">
        <v>0.97457738730306898</v>
      </c>
      <c r="AH134" s="888"/>
      <c r="AI134" s="907">
        <v>2.4919695991418589</v>
      </c>
      <c r="AJ134" s="908">
        <v>7.5030300000000008</v>
      </c>
      <c r="AK134" s="902">
        <v>56.861925883449835</v>
      </c>
      <c r="AL134" s="902">
        <v>0</v>
      </c>
      <c r="AM134" s="902">
        <v>0</v>
      </c>
      <c r="AN134" s="902">
        <v>23.966884342098044</v>
      </c>
      <c r="AO134" s="902">
        <v>3.8632644660024278</v>
      </c>
      <c r="AP134" s="1222">
        <v>3600</v>
      </c>
      <c r="AQ134" s="909" t="s">
        <v>1062</v>
      </c>
      <c r="AR134" s="909">
        <v>3</v>
      </c>
      <c r="AS134" s="909">
        <v>0</v>
      </c>
      <c r="AT134" s="909">
        <v>0</v>
      </c>
      <c r="AU134" s="909">
        <v>0</v>
      </c>
      <c r="AV134" s="910">
        <v>6403.6107574223124</v>
      </c>
      <c r="AW134" s="909">
        <v>0</v>
      </c>
      <c r="AX134" s="909">
        <v>0</v>
      </c>
      <c r="AY134" s="909">
        <v>0</v>
      </c>
      <c r="AZ134" s="910">
        <v>6892.6337043086914</v>
      </c>
      <c r="BA134" s="871">
        <v>4000</v>
      </c>
      <c r="BB134" s="911">
        <v>167.97048721193426</v>
      </c>
      <c r="BC134" s="908">
        <v>7.5030300000000008</v>
      </c>
      <c r="BD134" s="902">
        <v>56.861925883449835</v>
      </c>
      <c r="BE134" s="902">
        <v>0</v>
      </c>
      <c r="BF134" s="902">
        <v>0</v>
      </c>
      <c r="BG134" s="902">
        <v>23.966884342098044</v>
      </c>
      <c r="BH134" s="902">
        <v>3.8632644660024278</v>
      </c>
      <c r="BI134" s="902">
        <v>3600</v>
      </c>
      <c r="BJ134" s="909" t="s">
        <v>1062</v>
      </c>
      <c r="BK134" s="909">
        <v>3</v>
      </c>
      <c r="BL134" s="909">
        <v>0</v>
      </c>
      <c r="BM134" s="909">
        <v>0</v>
      </c>
      <c r="BN134" s="909">
        <v>0</v>
      </c>
      <c r="BO134" s="910">
        <v>6403.6107574223124</v>
      </c>
      <c r="BP134" s="909">
        <v>0</v>
      </c>
      <c r="BQ134" s="909">
        <v>0</v>
      </c>
      <c r="BR134" s="909">
        <v>0</v>
      </c>
      <c r="BS134" s="910">
        <v>6892.6337043086914</v>
      </c>
      <c r="BT134" s="871">
        <v>4000</v>
      </c>
      <c r="BU134" s="911">
        <v>167.97048721193426</v>
      </c>
      <c r="BV134" s="908">
        <v>7.5030300000000008</v>
      </c>
      <c r="BW134" s="902">
        <v>56.861925883449835</v>
      </c>
      <c r="BX134" s="902">
        <v>0</v>
      </c>
      <c r="BY134" s="902">
        <v>0</v>
      </c>
      <c r="BZ134" s="902">
        <v>23.966884342098044</v>
      </c>
      <c r="CA134" s="902">
        <v>3.8632644660024278</v>
      </c>
      <c r="CB134" s="902">
        <v>3600</v>
      </c>
      <c r="CC134" s="909" t="s">
        <v>2874</v>
      </c>
      <c r="CD134" s="909">
        <v>3</v>
      </c>
      <c r="CE134" s="909">
        <v>0</v>
      </c>
      <c r="CF134" s="909">
        <v>0</v>
      </c>
      <c r="CG134" s="909">
        <v>0</v>
      </c>
      <c r="CH134" s="910">
        <v>6076.2408806418453</v>
      </c>
      <c r="CI134" s="909">
        <v>0</v>
      </c>
      <c r="CJ134" s="909">
        <v>0</v>
      </c>
      <c r="CK134" s="909">
        <v>0</v>
      </c>
      <c r="CL134" s="910">
        <v>5993.0251069482483</v>
      </c>
      <c r="CM134" s="871">
        <v>4000</v>
      </c>
      <c r="CN134" s="911">
        <v>167.97048721193426</v>
      </c>
      <c r="CO134" s="908">
        <v>7.5030300000000008</v>
      </c>
      <c r="CP134" s="902">
        <v>56.861925883449835</v>
      </c>
      <c r="CQ134" s="902">
        <v>0</v>
      </c>
      <c r="CR134" s="902">
        <v>0</v>
      </c>
      <c r="CS134" s="902">
        <v>23.966884342098044</v>
      </c>
      <c r="CT134" s="902">
        <v>3.8632644660024278</v>
      </c>
      <c r="CU134" s="902">
        <v>3600</v>
      </c>
      <c r="CV134" s="909" t="s">
        <v>2874</v>
      </c>
      <c r="CW134" s="909">
        <v>3</v>
      </c>
      <c r="CX134" s="909">
        <v>0</v>
      </c>
      <c r="CY134" s="909">
        <v>0</v>
      </c>
      <c r="CZ134" s="909">
        <v>0</v>
      </c>
      <c r="DA134" s="910">
        <v>6076.2408806418453</v>
      </c>
      <c r="DB134" s="909">
        <v>0</v>
      </c>
      <c r="DC134" s="909">
        <v>0</v>
      </c>
      <c r="DD134" s="909">
        <v>0</v>
      </c>
      <c r="DE134" s="910">
        <v>5993.0251069482483</v>
      </c>
      <c r="DF134" s="871">
        <v>4000</v>
      </c>
      <c r="DG134" s="911">
        <v>167.97048721193426</v>
      </c>
      <c r="DH134" s="908">
        <v>7.5030300000000008</v>
      </c>
      <c r="DI134" s="902">
        <v>56.861925883449835</v>
      </c>
      <c r="DJ134" s="902">
        <v>0</v>
      </c>
      <c r="DK134" s="902">
        <v>0</v>
      </c>
      <c r="DL134" s="902">
        <v>23.966884342098044</v>
      </c>
      <c r="DM134" s="902">
        <v>3.8632644660024278</v>
      </c>
      <c r="DN134" s="902">
        <v>3600</v>
      </c>
      <c r="DO134" s="909" t="s">
        <v>2876</v>
      </c>
      <c r="DP134" s="909">
        <v>3</v>
      </c>
      <c r="DQ134" s="909">
        <v>0</v>
      </c>
      <c r="DR134" s="909">
        <v>0</v>
      </c>
      <c r="DS134" s="909">
        <v>0</v>
      </c>
      <c r="DT134" s="910">
        <v>6495.7747356778364</v>
      </c>
      <c r="DU134" s="909">
        <v>0</v>
      </c>
      <c r="DV134" s="909">
        <v>0</v>
      </c>
      <c r="DW134" s="909">
        <v>0</v>
      </c>
      <c r="DX134" s="910">
        <v>6406.8133315907517</v>
      </c>
      <c r="DY134" s="871">
        <v>4000</v>
      </c>
      <c r="DZ134" s="911">
        <v>167.97048721193426</v>
      </c>
      <c r="EA134" s="908">
        <v>7.5030300000000008</v>
      </c>
      <c r="EB134" s="902">
        <v>56.861925883449835</v>
      </c>
      <c r="EC134" s="902">
        <v>0</v>
      </c>
      <c r="ED134" s="902">
        <v>0</v>
      </c>
      <c r="EE134" s="902">
        <v>23.966884342098044</v>
      </c>
      <c r="EF134" s="902">
        <v>3.8632644660024278</v>
      </c>
      <c r="EG134" s="902">
        <v>3600</v>
      </c>
      <c r="EH134" s="909" t="s">
        <v>2876</v>
      </c>
      <c r="EI134" s="909">
        <v>3</v>
      </c>
      <c r="EJ134" s="909">
        <v>0</v>
      </c>
      <c r="EK134" s="909">
        <v>0</v>
      </c>
      <c r="EL134" s="909">
        <v>0</v>
      </c>
      <c r="EM134" s="910">
        <v>6495.7747356778364</v>
      </c>
      <c r="EN134" s="909">
        <v>0</v>
      </c>
      <c r="EO134" s="909">
        <v>0</v>
      </c>
      <c r="EP134" s="909">
        <v>0</v>
      </c>
      <c r="EQ134" s="910">
        <v>6406.8133315907517</v>
      </c>
      <c r="ER134" s="871">
        <v>4000</v>
      </c>
      <c r="ES134" s="911">
        <v>167.97048721193426</v>
      </c>
      <c r="ET134" s="908">
        <v>7.5030300000000008</v>
      </c>
      <c r="EU134" s="902">
        <v>56.861925883449835</v>
      </c>
      <c r="EV134" s="902">
        <v>0</v>
      </c>
      <c r="EW134" s="902">
        <v>0</v>
      </c>
      <c r="EX134" s="902">
        <v>23.966884342098044</v>
      </c>
      <c r="EY134" s="902">
        <v>3.8632644660024278</v>
      </c>
      <c r="EZ134" s="902">
        <v>3600</v>
      </c>
      <c r="FA134" s="909" t="s">
        <v>3889</v>
      </c>
      <c r="FB134" s="909">
        <v>3</v>
      </c>
      <c r="FC134" s="909">
        <v>0</v>
      </c>
      <c r="FD134" s="909">
        <v>0</v>
      </c>
      <c r="FE134" s="909">
        <v>0</v>
      </c>
      <c r="FF134" s="910">
        <v>6629.7223276970653</v>
      </c>
      <c r="FG134" s="909">
        <v>0</v>
      </c>
      <c r="FH134" s="909">
        <v>0</v>
      </c>
      <c r="FI134" s="909">
        <v>0</v>
      </c>
      <c r="FJ134" s="910">
        <v>6538.9264748575288</v>
      </c>
      <c r="FK134" s="871">
        <v>4000</v>
      </c>
      <c r="FL134" s="911">
        <v>167.97048721193426</v>
      </c>
      <c r="FM134" s="908">
        <v>7.5030300000000008</v>
      </c>
      <c r="FN134" s="902">
        <v>56.861925883449835</v>
      </c>
      <c r="FO134" s="902">
        <v>0</v>
      </c>
      <c r="FP134" s="902">
        <v>0</v>
      </c>
      <c r="FQ134" s="902">
        <v>23.966884342098044</v>
      </c>
      <c r="FR134" s="902">
        <v>3.8632644660024278</v>
      </c>
      <c r="FS134" s="902">
        <v>3600</v>
      </c>
      <c r="FT134" s="909" t="s">
        <v>3889</v>
      </c>
      <c r="FU134" s="909">
        <v>3</v>
      </c>
      <c r="FV134" s="909">
        <v>0</v>
      </c>
      <c r="FW134" s="909">
        <v>0</v>
      </c>
      <c r="FX134" s="909">
        <v>0</v>
      </c>
      <c r="FY134" s="910">
        <v>6629.7223276970653</v>
      </c>
      <c r="FZ134" s="909">
        <v>0</v>
      </c>
      <c r="GA134" s="909">
        <v>0</v>
      </c>
      <c r="GB134" s="909">
        <v>0</v>
      </c>
      <c r="GC134" s="910">
        <v>6538.9264748575288</v>
      </c>
      <c r="GD134" s="871">
        <v>4000</v>
      </c>
      <c r="GE134" s="911">
        <v>167.97048721193426</v>
      </c>
      <c r="GF134" s="908">
        <v>7.5030300000000008</v>
      </c>
      <c r="GG134" s="902">
        <v>56.861925883449835</v>
      </c>
      <c r="GH134" s="902">
        <v>0</v>
      </c>
      <c r="GI134" s="902">
        <v>0</v>
      </c>
      <c r="GJ134" s="902">
        <v>23.966884342098044</v>
      </c>
      <c r="GK134" s="902">
        <v>3.8632644660024278</v>
      </c>
      <c r="GL134" s="902">
        <v>3600</v>
      </c>
      <c r="GM134" s="909" t="s">
        <v>2877</v>
      </c>
      <c r="GN134" s="909">
        <v>3</v>
      </c>
      <c r="GO134" s="909">
        <v>0</v>
      </c>
      <c r="GP134" s="909">
        <v>0</v>
      </c>
      <c r="GQ134" s="909">
        <v>0</v>
      </c>
      <c r="GR134" s="910">
        <v>8894.7058780040152</v>
      </c>
      <c r="GS134" s="909">
        <v>0</v>
      </c>
      <c r="GT134" s="909">
        <v>0</v>
      </c>
      <c r="GU134" s="909">
        <v>0</v>
      </c>
      <c r="GV134" s="910">
        <v>8772.890458592703</v>
      </c>
      <c r="GW134" s="871">
        <v>4000</v>
      </c>
      <c r="GX134" s="911">
        <v>167.97048721193426</v>
      </c>
      <c r="GY134" s="908">
        <v>7.5030300000000008</v>
      </c>
      <c r="GZ134" s="902">
        <v>56.861925883449835</v>
      </c>
      <c r="HA134" s="902">
        <v>0</v>
      </c>
      <c r="HB134" s="902">
        <v>0</v>
      </c>
      <c r="HC134" s="902">
        <v>23.966884342098044</v>
      </c>
      <c r="HD134" s="902">
        <v>3.8632644660024278</v>
      </c>
      <c r="HE134" s="902">
        <v>3600</v>
      </c>
      <c r="HF134" s="909" t="s">
        <v>2877</v>
      </c>
      <c r="HG134" s="909">
        <v>3</v>
      </c>
      <c r="HH134" s="909">
        <v>0</v>
      </c>
      <c r="HI134" s="909">
        <v>0</v>
      </c>
      <c r="HJ134" s="909">
        <v>0</v>
      </c>
      <c r="HK134" s="910">
        <v>8894.7058780040152</v>
      </c>
      <c r="HL134" s="909">
        <v>0</v>
      </c>
      <c r="HM134" s="909">
        <v>0</v>
      </c>
      <c r="HN134" s="909">
        <v>0</v>
      </c>
      <c r="HO134" s="910">
        <v>8772.890458592703</v>
      </c>
      <c r="HP134" s="871">
        <v>4000</v>
      </c>
      <c r="HQ134" s="911">
        <v>167.97048721193426</v>
      </c>
      <c r="HR134" s="908">
        <v>7.5030300000000008</v>
      </c>
      <c r="HS134" s="902">
        <v>56.861925883449835</v>
      </c>
      <c r="HT134" s="902">
        <v>0</v>
      </c>
      <c r="HU134" s="902">
        <v>0</v>
      </c>
      <c r="HV134" s="902">
        <v>23.966884342098044</v>
      </c>
      <c r="HW134" s="902">
        <v>3.8632644660024278</v>
      </c>
      <c r="HX134" s="902">
        <v>3600</v>
      </c>
      <c r="HY134" s="909" t="s">
        <v>1063</v>
      </c>
      <c r="HZ134" s="909">
        <v>3</v>
      </c>
      <c r="IA134" s="909">
        <v>0</v>
      </c>
      <c r="IB134" s="909">
        <v>0</v>
      </c>
      <c r="IC134" s="909">
        <v>0</v>
      </c>
      <c r="ID134" s="910">
        <v>7844.3932460905535</v>
      </c>
      <c r="IE134" s="909">
        <v>0</v>
      </c>
      <c r="IF134" s="909">
        <v>0</v>
      </c>
      <c r="IG134" s="909">
        <v>0</v>
      </c>
      <c r="IH134" s="910">
        <v>7736.9621442158932</v>
      </c>
      <c r="II134" s="871">
        <v>4000</v>
      </c>
      <c r="IJ134" s="911">
        <v>167.97048721193426</v>
      </c>
      <c r="IK134" s="908">
        <v>7.5030300000000008</v>
      </c>
      <c r="IL134" s="902">
        <v>56.861925883449835</v>
      </c>
      <c r="IM134" s="902">
        <v>0</v>
      </c>
      <c r="IN134" s="902">
        <v>0</v>
      </c>
      <c r="IO134" s="902">
        <v>23.966884342098044</v>
      </c>
      <c r="IP134" s="902">
        <v>3.8632644660024278</v>
      </c>
      <c r="IQ134" s="902">
        <v>3600</v>
      </c>
      <c r="IR134" s="909" t="s">
        <v>1063</v>
      </c>
      <c r="IS134" s="909">
        <v>3</v>
      </c>
      <c r="IT134" s="909">
        <v>0</v>
      </c>
      <c r="IU134" s="909">
        <v>0</v>
      </c>
      <c r="IV134" s="909">
        <v>0</v>
      </c>
      <c r="IW134" s="910">
        <v>7844.3932460905535</v>
      </c>
      <c r="IX134" s="909">
        <v>0</v>
      </c>
      <c r="IY134" s="909">
        <v>0</v>
      </c>
      <c r="IZ134" s="909">
        <v>0</v>
      </c>
      <c r="JA134" s="910">
        <v>7736.9621442158932</v>
      </c>
      <c r="JB134" s="871">
        <v>4000</v>
      </c>
      <c r="JC134" s="911">
        <v>167.97048721193426</v>
      </c>
      <c r="JD134" s="908">
        <v>7.5030300000000008</v>
      </c>
      <c r="JE134" s="902">
        <v>56.861925883449835</v>
      </c>
      <c r="JF134" s="902">
        <v>0</v>
      </c>
      <c r="JG134" s="902">
        <v>0</v>
      </c>
      <c r="JH134" s="902">
        <v>23.966884342098044</v>
      </c>
      <c r="JI134" s="902">
        <v>3.8632644660024278</v>
      </c>
      <c r="JJ134" s="902">
        <v>3600</v>
      </c>
      <c r="JK134" s="909" t="s">
        <v>1064</v>
      </c>
      <c r="JL134" s="909">
        <v>3</v>
      </c>
      <c r="JM134" s="909">
        <v>0</v>
      </c>
      <c r="JN134" s="909">
        <v>0</v>
      </c>
      <c r="JO134" s="909">
        <v>0</v>
      </c>
      <c r="JP134" s="910">
        <v>10690.10604110872</v>
      </c>
      <c r="JQ134" s="909">
        <v>0</v>
      </c>
      <c r="JR134" s="909">
        <v>0</v>
      </c>
      <c r="JS134" s="909">
        <v>0</v>
      </c>
      <c r="JT134" s="910">
        <v>10543.702127494929</v>
      </c>
      <c r="JU134" s="871">
        <v>4000</v>
      </c>
      <c r="JV134" s="911">
        <v>167.97048721193426</v>
      </c>
      <c r="JW134" s="908">
        <v>7.5030300000000008</v>
      </c>
      <c r="JX134" s="902">
        <v>56.861925883449835</v>
      </c>
      <c r="JY134" s="902">
        <v>0</v>
      </c>
      <c r="JZ134" s="902">
        <v>0</v>
      </c>
      <c r="KA134" s="902">
        <v>23.966884342098044</v>
      </c>
      <c r="KB134" s="902">
        <v>3.8632644660024278</v>
      </c>
      <c r="KC134" s="902">
        <v>3600</v>
      </c>
      <c r="KD134" s="909" t="s">
        <v>1064</v>
      </c>
      <c r="KE134" s="909">
        <v>3</v>
      </c>
      <c r="KF134" s="909">
        <v>0</v>
      </c>
      <c r="KG134" s="909">
        <v>0</v>
      </c>
      <c r="KH134" s="909">
        <v>0</v>
      </c>
      <c r="KI134" s="910">
        <v>10690.10604110872</v>
      </c>
      <c r="KJ134" s="909">
        <v>0</v>
      </c>
      <c r="KK134" s="909">
        <v>0</v>
      </c>
      <c r="KL134" s="909">
        <v>0</v>
      </c>
      <c r="KM134" s="910">
        <v>10543.702127494929</v>
      </c>
      <c r="KN134" s="871">
        <v>4000</v>
      </c>
      <c r="KO134" s="912">
        <v>167.97048721193426</v>
      </c>
    </row>
    <row r="135" spans="1:301" ht="15" customHeight="1">
      <c r="A135" s="924" t="s">
        <v>1593</v>
      </c>
      <c r="B135" s="888" t="s">
        <v>1074</v>
      </c>
      <c r="C135" s="888">
        <v>360</v>
      </c>
      <c r="D135" s="888">
        <v>802</v>
      </c>
      <c r="E135" s="888">
        <v>320</v>
      </c>
      <c r="F135" s="888">
        <v>360</v>
      </c>
      <c r="G135" s="888">
        <v>101</v>
      </c>
      <c r="H135" s="888">
        <v>85</v>
      </c>
      <c r="I135" s="888">
        <v>85</v>
      </c>
      <c r="J135" s="888">
        <v>30.82</v>
      </c>
      <c r="K135" s="888">
        <v>66.64</v>
      </c>
      <c r="L135" s="888">
        <v>18</v>
      </c>
      <c r="M135" s="888">
        <v>275</v>
      </c>
      <c r="N135" s="888">
        <v>4</v>
      </c>
      <c r="O135" s="884">
        <v>13.337039106441001</v>
      </c>
      <c r="P135" s="888">
        <v>4</v>
      </c>
      <c r="Q135" s="884">
        <v>8.1388963731718924</v>
      </c>
      <c r="R135" s="888">
        <v>13.000000000000002</v>
      </c>
      <c r="S135" s="888">
        <v>559.62455815341605</v>
      </c>
      <c r="T135" s="906">
        <v>25.101311858774867</v>
      </c>
      <c r="U135" s="906">
        <v>83.943683723012398</v>
      </c>
      <c r="V135" s="906">
        <v>85</v>
      </c>
      <c r="W135" s="1141">
        <v>2.7695918613407837</v>
      </c>
      <c r="X135" s="902">
        <v>0</v>
      </c>
      <c r="Y135" s="902">
        <v>0</v>
      </c>
      <c r="Z135" s="902">
        <v>0</v>
      </c>
      <c r="AA135" s="902">
        <v>0</v>
      </c>
      <c r="AB135" s="970">
        <v>6.8467942516275135</v>
      </c>
      <c r="AC135" s="1045">
        <v>4000</v>
      </c>
      <c r="AD135" s="890">
        <v>1.7726296870760909</v>
      </c>
      <c r="AE135" s="890">
        <v>0.59659284829124926</v>
      </c>
      <c r="AF135" s="890">
        <v>-0.21434026732719177</v>
      </c>
      <c r="AG135" s="890">
        <v>0.80937650620328772</v>
      </c>
      <c r="AH135" s="888"/>
      <c r="AI135" s="907">
        <v>2.6586097572069516</v>
      </c>
      <c r="AJ135" s="908">
        <v>9.9086625000000002</v>
      </c>
      <c r="AK135" s="902">
        <v>59.255501699728548</v>
      </c>
      <c r="AL135" s="902">
        <v>0</v>
      </c>
      <c r="AM135" s="902">
        <v>0</v>
      </c>
      <c r="AN135" s="902">
        <v>31.252970629077176</v>
      </c>
      <c r="AO135" s="902">
        <v>4.1558413841705626</v>
      </c>
      <c r="AP135" s="1222">
        <v>3600</v>
      </c>
      <c r="AQ135" s="909" t="s">
        <v>1062</v>
      </c>
      <c r="AR135" s="909">
        <v>3</v>
      </c>
      <c r="AS135" s="909">
        <v>0</v>
      </c>
      <c r="AT135" s="909">
        <v>0</v>
      </c>
      <c r="AU135" s="909">
        <v>0</v>
      </c>
      <c r="AV135" s="910">
        <v>4198.7632815837887</v>
      </c>
      <c r="AW135" s="909">
        <v>0</v>
      </c>
      <c r="AX135" s="909">
        <v>0</v>
      </c>
      <c r="AY135" s="909">
        <v>0</v>
      </c>
      <c r="AZ135" s="910">
        <v>4415.7924992403168</v>
      </c>
      <c r="BA135" s="871">
        <v>4000</v>
      </c>
      <c r="BB135" s="911">
        <v>167.97048721193426</v>
      </c>
      <c r="BC135" s="908">
        <v>9.9086625000000002</v>
      </c>
      <c r="BD135" s="902">
        <v>59.255501699728548</v>
      </c>
      <c r="BE135" s="902">
        <v>0</v>
      </c>
      <c r="BF135" s="902">
        <v>0</v>
      </c>
      <c r="BG135" s="902">
        <v>31.252970629077176</v>
      </c>
      <c r="BH135" s="902">
        <v>4.1558413841705626</v>
      </c>
      <c r="BI135" s="902">
        <v>3600</v>
      </c>
      <c r="BJ135" s="909" t="s">
        <v>1062</v>
      </c>
      <c r="BK135" s="909">
        <v>3</v>
      </c>
      <c r="BL135" s="909">
        <v>0</v>
      </c>
      <c r="BM135" s="909">
        <v>0</v>
      </c>
      <c r="BN135" s="909">
        <v>0</v>
      </c>
      <c r="BO135" s="910">
        <v>4198.7632815837887</v>
      </c>
      <c r="BP135" s="909">
        <v>0</v>
      </c>
      <c r="BQ135" s="909">
        <v>0</v>
      </c>
      <c r="BR135" s="909">
        <v>0</v>
      </c>
      <c r="BS135" s="910">
        <v>4415.7924992403168</v>
      </c>
      <c r="BT135" s="871">
        <v>4000</v>
      </c>
      <c r="BU135" s="911">
        <v>167.97048721193426</v>
      </c>
      <c r="BV135" s="908">
        <v>9.9086625000000002</v>
      </c>
      <c r="BW135" s="902">
        <v>59.255501699728548</v>
      </c>
      <c r="BX135" s="902">
        <v>0</v>
      </c>
      <c r="BY135" s="902">
        <v>0</v>
      </c>
      <c r="BZ135" s="902">
        <v>31.252970629077176</v>
      </c>
      <c r="CA135" s="902">
        <v>4.1558413841705626</v>
      </c>
      <c r="CB135" s="902">
        <v>3600</v>
      </c>
      <c r="CC135" s="909" t="s">
        <v>2874</v>
      </c>
      <c r="CD135" s="909">
        <v>3</v>
      </c>
      <c r="CE135" s="909">
        <v>0</v>
      </c>
      <c r="CF135" s="909">
        <v>0</v>
      </c>
      <c r="CG135" s="909">
        <v>0</v>
      </c>
      <c r="CH135" s="910">
        <v>3902.8176634178926</v>
      </c>
      <c r="CI135" s="909">
        <v>0</v>
      </c>
      <c r="CJ135" s="909">
        <v>0</v>
      </c>
      <c r="CK135" s="909">
        <v>0</v>
      </c>
      <c r="CL135" s="910">
        <v>4104.5497943676901</v>
      </c>
      <c r="CM135" s="871">
        <v>3902.8176634178926</v>
      </c>
      <c r="CN135" s="911">
        <v>163.88954610591156</v>
      </c>
      <c r="CO135" s="908">
        <v>9.9086625000000002</v>
      </c>
      <c r="CP135" s="902">
        <v>59.255501699728548</v>
      </c>
      <c r="CQ135" s="902">
        <v>0</v>
      </c>
      <c r="CR135" s="902">
        <v>0</v>
      </c>
      <c r="CS135" s="902">
        <v>31.252970629077176</v>
      </c>
      <c r="CT135" s="902">
        <v>4.1558413841705626</v>
      </c>
      <c r="CU135" s="902">
        <v>3600</v>
      </c>
      <c r="CV135" s="909" t="s">
        <v>2874</v>
      </c>
      <c r="CW135" s="909">
        <v>3</v>
      </c>
      <c r="CX135" s="909">
        <v>0</v>
      </c>
      <c r="CY135" s="909">
        <v>0</v>
      </c>
      <c r="CZ135" s="909">
        <v>0</v>
      </c>
      <c r="DA135" s="910">
        <v>3902.8176634178926</v>
      </c>
      <c r="DB135" s="909">
        <v>0</v>
      </c>
      <c r="DC135" s="909">
        <v>0</v>
      </c>
      <c r="DD135" s="909">
        <v>0</v>
      </c>
      <c r="DE135" s="910">
        <v>4104.5497943676901</v>
      </c>
      <c r="DF135" s="871">
        <v>3902.8176634178926</v>
      </c>
      <c r="DG135" s="911">
        <v>163.88954610591156</v>
      </c>
      <c r="DH135" s="908">
        <v>9.9086625000000002</v>
      </c>
      <c r="DI135" s="902">
        <v>59.255501699728548</v>
      </c>
      <c r="DJ135" s="902">
        <v>0</v>
      </c>
      <c r="DK135" s="902">
        <v>0</v>
      </c>
      <c r="DL135" s="902">
        <v>31.252970629077176</v>
      </c>
      <c r="DM135" s="902">
        <v>4.1558413841705626</v>
      </c>
      <c r="DN135" s="902">
        <v>3600</v>
      </c>
      <c r="DO135" s="909" t="s">
        <v>2876</v>
      </c>
      <c r="DP135" s="909">
        <v>3</v>
      </c>
      <c r="DQ135" s="909">
        <v>0</v>
      </c>
      <c r="DR135" s="909">
        <v>0</v>
      </c>
      <c r="DS135" s="909">
        <v>0</v>
      </c>
      <c r="DT135" s="910">
        <v>4326.9676572228273</v>
      </c>
      <c r="DU135" s="909">
        <v>0</v>
      </c>
      <c r="DV135" s="909">
        <v>0</v>
      </c>
      <c r="DW135" s="909">
        <v>0</v>
      </c>
      <c r="DX135" s="910">
        <v>4550.6236107725463</v>
      </c>
      <c r="DY135" s="871">
        <v>4000</v>
      </c>
      <c r="DZ135" s="911">
        <v>167.97048721193426</v>
      </c>
      <c r="EA135" s="908">
        <v>9.9086625000000002</v>
      </c>
      <c r="EB135" s="902">
        <v>59.255501699728548</v>
      </c>
      <c r="EC135" s="902">
        <v>0</v>
      </c>
      <c r="ED135" s="902">
        <v>0</v>
      </c>
      <c r="EE135" s="902">
        <v>31.252970629077176</v>
      </c>
      <c r="EF135" s="902">
        <v>4.1558413841705626</v>
      </c>
      <c r="EG135" s="902">
        <v>3600</v>
      </c>
      <c r="EH135" s="909" t="s">
        <v>2876</v>
      </c>
      <c r="EI135" s="909">
        <v>3</v>
      </c>
      <c r="EJ135" s="909">
        <v>0</v>
      </c>
      <c r="EK135" s="909">
        <v>0</v>
      </c>
      <c r="EL135" s="909">
        <v>0</v>
      </c>
      <c r="EM135" s="910">
        <v>4326.9676572228273</v>
      </c>
      <c r="EN135" s="909">
        <v>0</v>
      </c>
      <c r="EO135" s="909">
        <v>0</v>
      </c>
      <c r="EP135" s="909">
        <v>0</v>
      </c>
      <c r="EQ135" s="910">
        <v>4550.6236107725463</v>
      </c>
      <c r="ER135" s="871">
        <v>4000</v>
      </c>
      <c r="ES135" s="911">
        <v>167.97048721193426</v>
      </c>
      <c r="ET135" s="908">
        <v>9.9086625000000002</v>
      </c>
      <c r="EU135" s="902">
        <v>59.255501699728548</v>
      </c>
      <c r="EV135" s="902">
        <v>0</v>
      </c>
      <c r="EW135" s="902">
        <v>0</v>
      </c>
      <c r="EX135" s="902">
        <v>31.252970629077176</v>
      </c>
      <c r="EY135" s="902">
        <v>4.1558413841705626</v>
      </c>
      <c r="EZ135" s="902">
        <v>3600</v>
      </c>
      <c r="FA135" s="909" t="s">
        <v>3889</v>
      </c>
      <c r="FB135" s="909">
        <v>3</v>
      </c>
      <c r="FC135" s="909">
        <v>0</v>
      </c>
      <c r="FD135" s="909">
        <v>0</v>
      </c>
      <c r="FE135" s="909">
        <v>0</v>
      </c>
      <c r="FF135" s="910">
        <v>4541.6568915857397</v>
      </c>
      <c r="FG135" s="909">
        <v>0</v>
      </c>
      <c r="FH135" s="909">
        <v>0</v>
      </c>
      <c r="FI135" s="909">
        <v>0</v>
      </c>
      <c r="FJ135" s="910">
        <v>4776.4098833460739</v>
      </c>
      <c r="FK135" s="871">
        <v>4000</v>
      </c>
      <c r="FL135" s="911">
        <v>167.97048721193426</v>
      </c>
      <c r="FM135" s="908">
        <v>9.9086625000000002</v>
      </c>
      <c r="FN135" s="902">
        <v>59.255501699728548</v>
      </c>
      <c r="FO135" s="902">
        <v>0</v>
      </c>
      <c r="FP135" s="902">
        <v>0</v>
      </c>
      <c r="FQ135" s="902">
        <v>31.252970629077176</v>
      </c>
      <c r="FR135" s="902">
        <v>4.1558413841705626</v>
      </c>
      <c r="FS135" s="902">
        <v>3600</v>
      </c>
      <c r="FT135" s="909" t="s">
        <v>3889</v>
      </c>
      <c r="FU135" s="909">
        <v>3</v>
      </c>
      <c r="FV135" s="909">
        <v>0</v>
      </c>
      <c r="FW135" s="909">
        <v>0</v>
      </c>
      <c r="FX135" s="909">
        <v>0</v>
      </c>
      <c r="FY135" s="910">
        <v>4541.6568915857397</v>
      </c>
      <c r="FZ135" s="909">
        <v>0</v>
      </c>
      <c r="GA135" s="909">
        <v>0</v>
      </c>
      <c r="GB135" s="909">
        <v>0</v>
      </c>
      <c r="GC135" s="910">
        <v>4776.4098833460739</v>
      </c>
      <c r="GD135" s="871">
        <v>4000</v>
      </c>
      <c r="GE135" s="911">
        <v>167.97048721193426</v>
      </c>
      <c r="GF135" s="908">
        <v>9.9086625000000002</v>
      </c>
      <c r="GG135" s="902">
        <v>59.255501699728548</v>
      </c>
      <c r="GH135" s="902">
        <v>0</v>
      </c>
      <c r="GI135" s="902">
        <v>0</v>
      </c>
      <c r="GJ135" s="902">
        <v>31.252970629077176</v>
      </c>
      <c r="GK135" s="902">
        <v>4.1558413841705626</v>
      </c>
      <c r="GL135" s="902">
        <v>3600</v>
      </c>
      <c r="GM135" s="909" t="s">
        <v>2877</v>
      </c>
      <c r="GN135" s="909">
        <v>3</v>
      </c>
      <c r="GO135" s="909">
        <v>0</v>
      </c>
      <c r="GP135" s="909">
        <v>0</v>
      </c>
      <c r="GQ135" s="909">
        <v>0</v>
      </c>
      <c r="GR135" s="910">
        <v>5344.1531802089621</v>
      </c>
      <c r="GS135" s="909">
        <v>0</v>
      </c>
      <c r="GT135" s="909">
        <v>0</v>
      </c>
      <c r="GU135" s="909">
        <v>0</v>
      </c>
      <c r="GV135" s="910">
        <v>5620.3862769459374</v>
      </c>
      <c r="GW135" s="871">
        <v>4000</v>
      </c>
      <c r="GX135" s="911">
        <v>167.97048721193426</v>
      </c>
      <c r="GY135" s="908">
        <v>9.9086625000000002</v>
      </c>
      <c r="GZ135" s="902">
        <v>59.255501699728548</v>
      </c>
      <c r="HA135" s="902">
        <v>0</v>
      </c>
      <c r="HB135" s="902">
        <v>0</v>
      </c>
      <c r="HC135" s="902">
        <v>31.252970629077176</v>
      </c>
      <c r="HD135" s="902">
        <v>4.1558413841705626</v>
      </c>
      <c r="HE135" s="902">
        <v>3600</v>
      </c>
      <c r="HF135" s="909" t="s">
        <v>2877</v>
      </c>
      <c r="HG135" s="909">
        <v>3</v>
      </c>
      <c r="HH135" s="909">
        <v>0</v>
      </c>
      <c r="HI135" s="909">
        <v>0</v>
      </c>
      <c r="HJ135" s="909">
        <v>0</v>
      </c>
      <c r="HK135" s="910">
        <v>5344.1531802089621</v>
      </c>
      <c r="HL135" s="909">
        <v>0</v>
      </c>
      <c r="HM135" s="909">
        <v>0</v>
      </c>
      <c r="HN135" s="909">
        <v>0</v>
      </c>
      <c r="HO135" s="910">
        <v>5620.3862769459374</v>
      </c>
      <c r="HP135" s="871">
        <v>4000</v>
      </c>
      <c r="HQ135" s="911">
        <v>167.97048721193426</v>
      </c>
      <c r="HR135" s="908">
        <v>9.9086625000000002</v>
      </c>
      <c r="HS135" s="902">
        <v>59.255501699728548</v>
      </c>
      <c r="HT135" s="902">
        <v>0</v>
      </c>
      <c r="HU135" s="902">
        <v>0</v>
      </c>
      <c r="HV135" s="902">
        <v>31.252970629077176</v>
      </c>
      <c r="HW135" s="902">
        <v>4.1558413841705626</v>
      </c>
      <c r="HX135" s="902">
        <v>3600</v>
      </c>
      <c r="HY135" s="909" t="s">
        <v>1063</v>
      </c>
      <c r="HZ135" s="909">
        <v>3</v>
      </c>
      <c r="IA135" s="909">
        <v>0</v>
      </c>
      <c r="IB135" s="909">
        <v>0</v>
      </c>
      <c r="IC135" s="909">
        <v>0</v>
      </c>
      <c r="ID135" s="910">
        <v>4713.1000943559538</v>
      </c>
      <c r="IE135" s="909">
        <v>0</v>
      </c>
      <c r="IF135" s="909">
        <v>0</v>
      </c>
      <c r="IG135" s="909">
        <v>0</v>
      </c>
      <c r="IH135" s="910">
        <v>4956.7147869730497</v>
      </c>
      <c r="II135" s="871">
        <v>4000</v>
      </c>
      <c r="IJ135" s="911">
        <v>167.97048721193426</v>
      </c>
      <c r="IK135" s="908">
        <v>9.9086625000000002</v>
      </c>
      <c r="IL135" s="902">
        <v>59.255501699728548</v>
      </c>
      <c r="IM135" s="902">
        <v>0</v>
      </c>
      <c r="IN135" s="902">
        <v>0</v>
      </c>
      <c r="IO135" s="902">
        <v>31.252970629077176</v>
      </c>
      <c r="IP135" s="902">
        <v>4.1558413841705626</v>
      </c>
      <c r="IQ135" s="902">
        <v>3600</v>
      </c>
      <c r="IR135" s="909" t="s">
        <v>1063</v>
      </c>
      <c r="IS135" s="909">
        <v>3</v>
      </c>
      <c r="IT135" s="909">
        <v>0</v>
      </c>
      <c r="IU135" s="909">
        <v>0</v>
      </c>
      <c r="IV135" s="909">
        <v>0</v>
      </c>
      <c r="IW135" s="910">
        <v>4713.1000943559538</v>
      </c>
      <c r="IX135" s="909">
        <v>0</v>
      </c>
      <c r="IY135" s="909">
        <v>0</v>
      </c>
      <c r="IZ135" s="909">
        <v>0</v>
      </c>
      <c r="JA135" s="910">
        <v>4956.7147869730497</v>
      </c>
      <c r="JB135" s="871">
        <v>4000</v>
      </c>
      <c r="JC135" s="911">
        <v>167.97048721193426</v>
      </c>
      <c r="JD135" s="908">
        <v>9.9086625000000002</v>
      </c>
      <c r="JE135" s="902">
        <v>59.255501699728548</v>
      </c>
      <c r="JF135" s="902">
        <v>0</v>
      </c>
      <c r="JG135" s="902">
        <v>0</v>
      </c>
      <c r="JH135" s="902">
        <v>31.252970629077176</v>
      </c>
      <c r="JI135" s="902">
        <v>4.1558413841705626</v>
      </c>
      <c r="JJ135" s="902">
        <v>3600</v>
      </c>
      <c r="JK135" s="909" t="s">
        <v>1064</v>
      </c>
      <c r="JL135" s="909">
        <v>3</v>
      </c>
      <c r="JM135" s="909">
        <v>0</v>
      </c>
      <c r="JN135" s="909">
        <v>0</v>
      </c>
      <c r="JO135" s="909">
        <v>0</v>
      </c>
      <c r="JP135" s="910">
        <v>6422.8727717257852</v>
      </c>
      <c r="JQ135" s="909">
        <v>0</v>
      </c>
      <c r="JR135" s="909">
        <v>0</v>
      </c>
      <c r="JS135" s="909">
        <v>0</v>
      </c>
      <c r="JT135" s="910">
        <v>6754.863636480909</v>
      </c>
      <c r="JU135" s="871">
        <v>4000</v>
      </c>
      <c r="JV135" s="911">
        <v>167.97048721193426</v>
      </c>
      <c r="JW135" s="908">
        <v>9.9086625000000002</v>
      </c>
      <c r="JX135" s="902">
        <v>59.255501699728548</v>
      </c>
      <c r="JY135" s="902">
        <v>0</v>
      </c>
      <c r="JZ135" s="902">
        <v>0</v>
      </c>
      <c r="KA135" s="902">
        <v>31.252970629077176</v>
      </c>
      <c r="KB135" s="902">
        <v>4.1558413841705626</v>
      </c>
      <c r="KC135" s="902">
        <v>3600</v>
      </c>
      <c r="KD135" s="909" t="s">
        <v>1064</v>
      </c>
      <c r="KE135" s="909">
        <v>3</v>
      </c>
      <c r="KF135" s="909">
        <v>0</v>
      </c>
      <c r="KG135" s="909">
        <v>0</v>
      </c>
      <c r="KH135" s="909">
        <v>0</v>
      </c>
      <c r="KI135" s="910">
        <v>6422.8727717257852</v>
      </c>
      <c r="KJ135" s="909">
        <v>0</v>
      </c>
      <c r="KK135" s="909">
        <v>0</v>
      </c>
      <c r="KL135" s="909">
        <v>0</v>
      </c>
      <c r="KM135" s="910">
        <v>6754.863636480909</v>
      </c>
      <c r="KN135" s="871">
        <v>4000</v>
      </c>
      <c r="KO135" s="912">
        <v>167.97048721193426</v>
      </c>
    </row>
    <row r="136" spans="1:301" ht="15" customHeight="1">
      <c r="A136" s="924" t="s">
        <v>1594</v>
      </c>
      <c r="B136" s="888" t="s">
        <v>1077</v>
      </c>
      <c r="C136" s="888">
        <v>401</v>
      </c>
      <c r="D136" s="888">
        <v>802</v>
      </c>
      <c r="E136" s="888">
        <v>360</v>
      </c>
      <c r="F136" s="888">
        <v>401</v>
      </c>
      <c r="G136" s="888">
        <v>136</v>
      </c>
      <c r="H136" s="888">
        <v>120</v>
      </c>
      <c r="I136" s="888">
        <v>120</v>
      </c>
      <c r="J136" s="888">
        <v>31.53</v>
      </c>
      <c r="K136" s="888">
        <v>64.819999999999993</v>
      </c>
      <c r="L136" s="888">
        <v>18</v>
      </c>
      <c r="M136" s="888">
        <v>221.49956068604513</v>
      </c>
      <c r="N136" s="888">
        <v>4</v>
      </c>
      <c r="O136" s="884">
        <v>12.666246243046507</v>
      </c>
      <c r="P136" s="888">
        <v>4</v>
      </c>
      <c r="Q136" s="884">
        <v>7.9110420800553873</v>
      </c>
      <c r="R136" s="888">
        <v>13.000000000000002</v>
      </c>
      <c r="S136" s="888">
        <v>567.81944020565538</v>
      </c>
      <c r="T136" s="906">
        <v>25.841838311403507</v>
      </c>
      <c r="U136" s="906">
        <v>85.172916030848299</v>
      </c>
      <c r="V136" s="906">
        <v>97.5</v>
      </c>
      <c r="W136" s="1141">
        <v>3.2706076612870052</v>
      </c>
      <c r="X136" s="902">
        <v>0</v>
      </c>
      <c r="Y136" s="902">
        <v>0</v>
      </c>
      <c r="Z136" s="902">
        <v>0</v>
      </c>
      <c r="AA136" s="902">
        <v>0</v>
      </c>
      <c r="AB136" s="970">
        <v>10.221016287367741</v>
      </c>
      <c r="AC136" s="1045">
        <v>4000</v>
      </c>
      <c r="AD136" s="890">
        <v>1.841745265767774</v>
      </c>
      <c r="AE136" s="890">
        <v>0.61352124247620243</v>
      </c>
      <c r="AF136" s="890">
        <v>-0.2664084374688509</v>
      </c>
      <c r="AG136" s="890">
        <v>0.72493209181684237</v>
      </c>
      <c r="AH136" s="888"/>
      <c r="AI136" s="907">
        <v>2.7249774431783385</v>
      </c>
      <c r="AJ136" s="908">
        <v>15.022986203970326</v>
      </c>
      <c r="AK136" s="902">
        <v>64.712720499762725</v>
      </c>
      <c r="AL136" s="902">
        <v>0</v>
      </c>
      <c r="AM136" s="902">
        <v>0</v>
      </c>
      <c r="AN136" s="902">
        <v>42.720578840228363</v>
      </c>
      <c r="AO136" s="902">
        <v>4.7297578531356379</v>
      </c>
      <c r="AP136" s="1222">
        <v>3600</v>
      </c>
      <c r="AQ136" s="909" t="s">
        <v>1062</v>
      </c>
      <c r="AR136" s="909">
        <v>4</v>
      </c>
      <c r="AS136" s="909">
        <v>0</v>
      </c>
      <c r="AT136" s="909">
        <v>0</v>
      </c>
      <c r="AU136" s="909">
        <v>0</v>
      </c>
      <c r="AV136" s="910">
        <v>4059.1789874200663</v>
      </c>
      <c r="AW136" s="909">
        <v>0</v>
      </c>
      <c r="AX136" s="909">
        <v>0</v>
      </c>
      <c r="AY136" s="909">
        <v>0</v>
      </c>
      <c r="AZ136" s="910">
        <v>4333.5433950189845</v>
      </c>
      <c r="BA136" s="871">
        <v>4000</v>
      </c>
      <c r="BB136" s="911">
        <v>167.97048721193426</v>
      </c>
      <c r="BC136" s="908">
        <v>15.022986203970326</v>
      </c>
      <c r="BD136" s="902">
        <v>64.712720499762725</v>
      </c>
      <c r="BE136" s="902">
        <v>0</v>
      </c>
      <c r="BF136" s="902">
        <v>0</v>
      </c>
      <c r="BG136" s="902">
        <v>42.720578840228363</v>
      </c>
      <c r="BH136" s="902">
        <v>4.7297578531356379</v>
      </c>
      <c r="BI136" s="902">
        <v>3600</v>
      </c>
      <c r="BJ136" s="909" t="s">
        <v>1062</v>
      </c>
      <c r="BK136" s="909">
        <v>4</v>
      </c>
      <c r="BL136" s="909">
        <v>0</v>
      </c>
      <c r="BM136" s="909">
        <v>0</v>
      </c>
      <c r="BN136" s="909">
        <v>0</v>
      </c>
      <c r="BO136" s="910">
        <v>4059.1789874200663</v>
      </c>
      <c r="BP136" s="909">
        <v>0</v>
      </c>
      <c r="BQ136" s="909">
        <v>0</v>
      </c>
      <c r="BR136" s="909">
        <v>0</v>
      </c>
      <c r="BS136" s="910">
        <v>4333.5433950189845</v>
      </c>
      <c r="BT136" s="871">
        <v>4000</v>
      </c>
      <c r="BU136" s="911">
        <v>167.97048721193426</v>
      </c>
      <c r="BV136" s="908">
        <v>15.022986203970326</v>
      </c>
      <c r="BW136" s="902">
        <v>64.712720499762725</v>
      </c>
      <c r="BX136" s="902">
        <v>0</v>
      </c>
      <c r="BY136" s="902">
        <v>0</v>
      </c>
      <c r="BZ136" s="902">
        <v>42.720578840228363</v>
      </c>
      <c r="CA136" s="902">
        <v>4.7297578531356379</v>
      </c>
      <c r="CB136" s="902">
        <v>3600</v>
      </c>
      <c r="CC136" s="909" t="s">
        <v>2874</v>
      </c>
      <c r="CD136" s="909">
        <v>4</v>
      </c>
      <c r="CE136" s="909">
        <v>0</v>
      </c>
      <c r="CF136" s="909">
        <v>0</v>
      </c>
      <c r="CG136" s="909">
        <v>0</v>
      </c>
      <c r="CH136" s="910">
        <v>3812.7179017821268</v>
      </c>
      <c r="CI136" s="909">
        <v>0</v>
      </c>
      <c r="CJ136" s="909">
        <v>0</v>
      </c>
      <c r="CK136" s="909">
        <v>0</v>
      </c>
      <c r="CL136" s="910">
        <v>3767.9405989908551</v>
      </c>
      <c r="CM136" s="871">
        <v>3767.9405989908551</v>
      </c>
      <c r="CN136" s="911">
        <v>158.22570454953035</v>
      </c>
      <c r="CO136" s="908">
        <v>15.022986203970326</v>
      </c>
      <c r="CP136" s="902">
        <v>64.712720499762725</v>
      </c>
      <c r="CQ136" s="902">
        <v>0</v>
      </c>
      <c r="CR136" s="902">
        <v>0</v>
      </c>
      <c r="CS136" s="902">
        <v>42.720578840228363</v>
      </c>
      <c r="CT136" s="902">
        <v>4.7297578531356379</v>
      </c>
      <c r="CU136" s="902">
        <v>3600</v>
      </c>
      <c r="CV136" s="909" t="s">
        <v>2874</v>
      </c>
      <c r="CW136" s="909">
        <v>4</v>
      </c>
      <c r="CX136" s="909">
        <v>0</v>
      </c>
      <c r="CY136" s="909">
        <v>0</v>
      </c>
      <c r="CZ136" s="909">
        <v>0</v>
      </c>
      <c r="DA136" s="910">
        <v>3812.7179017821268</v>
      </c>
      <c r="DB136" s="909">
        <v>0</v>
      </c>
      <c r="DC136" s="909">
        <v>0</v>
      </c>
      <c r="DD136" s="909">
        <v>0</v>
      </c>
      <c r="DE136" s="910">
        <v>3767.9405989908551</v>
      </c>
      <c r="DF136" s="871">
        <v>3767.9405989908551</v>
      </c>
      <c r="DG136" s="911">
        <v>158.22570454953035</v>
      </c>
      <c r="DH136" s="908">
        <v>11.267239652977745</v>
      </c>
      <c r="DI136" s="902">
        <v>60.956973948770148</v>
      </c>
      <c r="DJ136" s="902">
        <v>0</v>
      </c>
      <c r="DK136" s="902">
        <v>0</v>
      </c>
      <c r="DL136" s="902">
        <v>41.655940584423504</v>
      </c>
      <c r="DM136" s="902">
        <v>4.3523029774192885</v>
      </c>
      <c r="DN136" s="902">
        <v>3600</v>
      </c>
      <c r="DO136" s="909" t="s">
        <v>2876</v>
      </c>
      <c r="DP136" s="909">
        <v>3</v>
      </c>
      <c r="DQ136" s="909">
        <v>0</v>
      </c>
      <c r="DR136" s="909">
        <v>0</v>
      </c>
      <c r="DS136" s="909">
        <v>0</v>
      </c>
      <c r="DT136" s="910">
        <v>3340.0833145599654</v>
      </c>
      <c r="DU136" s="909">
        <v>0</v>
      </c>
      <c r="DV136" s="909">
        <v>0</v>
      </c>
      <c r="DW136" s="909">
        <v>0</v>
      </c>
      <c r="DX136" s="910">
        <v>3300.8567245550375</v>
      </c>
      <c r="DY136" s="871">
        <v>3300.8567245550375</v>
      </c>
      <c r="DZ136" s="911">
        <v>138.61162806007482</v>
      </c>
      <c r="EA136" s="908">
        <v>15.022986203970326</v>
      </c>
      <c r="EB136" s="902">
        <v>64.712720499762725</v>
      </c>
      <c r="EC136" s="902">
        <v>0</v>
      </c>
      <c r="ED136" s="902">
        <v>0</v>
      </c>
      <c r="EE136" s="902">
        <v>42.720578840228363</v>
      </c>
      <c r="EF136" s="902">
        <v>4.7297578531356379</v>
      </c>
      <c r="EG136" s="902">
        <v>3600</v>
      </c>
      <c r="EH136" s="909" t="s">
        <v>2876</v>
      </c>
      <c r="EI136" s="909">
        <v>4</v>
      </c>
      <c r="EJ136" s="909">
        <v>0</v>
      </c>
      <c r="EK136" s="909">
        <v>0</v>
      </c>
      <c r="EL136" s="909">
        <v>0</v>
      </c>
      <c r="EM136" s="910">
        <v>4075.9668859682411</v>
      </c>
      <c r="EN136" s="909">
        <v>0</v>
      </c>
      <c r="EO136" s="909">
        <v>0</v>
      </c>
      <c r="EP136" s="909">
        <v>0</v>
      </c>
      <c r="EQ136" s="910">
        <v>4028.0979357541655</v>
      </c>
      <c r="ER136" s="871">
        <v>4000</v>
      </c>
      <c r="ES136" s="911">
        <v>167.97048721193426</v>
      </c>
      <c r="ET136" s="908">
        <v>11.267239652977745</v>
      </c>
      <c r="EU136" s="902">
        <v>60.956973948770148</v>
      </c>
      <c r="EV136" s="902">
        <v>0</v>
      </c>
      <c r="EW136" s="902">
        <v>0</v>
      </c>
      <c r="EX136" s="902">
        <v>41.655940584423504</v>
      </c>
      <c r="EY136" s="902">
        <v>4.3523029774192885</v>
      </c>
      <c r="EZ136" s="902">
        <v>3600</v>
      </c>
      <c r="FA136" s="909" t="s">
        <v>3889</v>
      </c>
      <c r="FB136" s="909">
        <v>3</v>
      </c>
      <c r="FC136" s="909">
        <v>0</v>
      </c>
      <c r="FD136" s="909">
        <v>0</v>
      </c>
      <c r="FE136" s="909">
        <v>0</v>
      </c>
      <c r="FF136" s="910">
        <v>3408.9582579358271</v>
      </c>
      <c r="FG136" s="909">
        <v>0</v>
      </c>
      <c r="FH136" s="909">
        <v>0</v>
      </c>
      <c r="FI136" s="909">
        <v>0</v>
      </c>
      <c r="FJ136" s="910">
        <v>3368.9227871639041</v>
      </c>
      <c r="FK136" s="871">
        <v>3368.9227871639041</v>
      </c>
      <c r="FL136" s="911">
        <v>141.46990048482712</v>
      </c>
      <c r="FM136" s="908">
        <v>15.022986203970326</v>
      </c>
      <c r="FN136" s="902">
        <v>64.712720499762725</v>
      </c>
      <c r="FO136" s="902">
        <v>0</v>
      </c>
      <c r="FP136" s="902">
        <v>0</v>
      </c>
      <c r="FQ136" s="902">
        <v>42.720578840228363</v>
      </c>
      <c r="FR136" s="902">
        <v>4.7297578531356379</v>
      </c>
      <c r="FS136" s="902">
        <v>3600</v>
      </c>
      <c r="FT136" s="909" t="s">
        <v>3889</v>
      </c>
      <c r="FU136" s="909">
        <v>4</v>
      </c>
      <c r="FV136" s="909">
        <v>0</v>
      </c>
      <c r="FW136" s="909">
        <v>0</v>
      </c>
      <c r="FX136" s="909">
        <v>0</v>
      </c>
      <c r="FY136" s="910">
        <v>4160.0162829677865</v>
      </c>
      <c r="FZ136" s="909">
        <v>0</v>
      </c>
      <c r="GA136" s="909">
        <v>0</v>
      </c>
      <c r="GB136" s="909">
        <v>0</v>
      </c>
      <c r="GC136" s="910">
        <v>4111.1602402327298</v>
      </c>
      <c r="GD136" s="871">
        <v>4000</v>
      </c>
      <c r="GE136" s="911">
        <v>167.97048721193426</v>
      </c>
      <c r="GF136" s="908">
        <v>11.267239652977745</v>
      </c>
      <c r="GG136" s="902">
        <v>60.956973948770148</v>
      </c>
      <c r="GH136" s="902">
        <v>0</v>
      </c>
      <c r="GI136" s="902">
        <v>0</v>
      </c>
      <c r="GJ136" s="902">
        <v>41.655940584423504</v>
      </c>
      <c r="GK136" s="902">
        <v>4.3523029774192885</v>
      </c>
      <c r="GL136" s="902">
        <v>3600</v>
      </c>
      <c r="GM136" s="909" t="s">
        <v>2877</v>
      </c>
      <c r="GN136" s="909">
        <v>3</v>
      </c>
      <c r="GO136" s="909">
        <v>0</v>
      </c>
      <c r="GP136" s="909">
        <v>0</v>
      </c>
      <c r="GQ136" s="909">
        <v>0</v>
      </c>
      <c r="GR136" s="910">
        <v>4573.597438322262</v>
      </c>
      <c r="GS136" s="909">
        <v>0</v>
      </c>
      <c r="GT136" s="909">
        <v>0</v>
      </c>
      <c r="GU136" s="909">
        <v>0</v>
      </c>
      <c r="GV136" s="910">
        <v>4519.8842178240693</v>
      </c>
      <c r="GW136" s="871">
        <v>4000</v>
      </c>
      <c r="GX136" s="911">
        <v>167.97048721193426</v>
      </c>
      <c r="GY136" s="908">
        <v>11.267239652977745</v>
      </c>
      <c r="GZ136" s="902">
        <v>60.956973948770148</v>
      </c>
      <c r="HA136" s="902">
        <v>0</v>
      </c>
      <c r="HB136" s="902">
        <v>0</v>
      </c>
      <c r="HC136" s="902">
        <v>41.655940584423504</v>
      </c>
      <c r="HD136" s="902">
        <v>4.3523029774192885</v>
      </c>
      <c r="HE136" s="902">
        <v>3600</v>
      </c>
      <c r="HF136" s="909" t="s">
        <v>2877</v>
      </c>
      <c r="HG136" s="909">
        <v>3</v>
      </c>
      <c r="HH136" s="909">
        <v>0</v>
      </c>
      <c r="HI136" s="909">
        <v>0</v>
      </c>
      <c r="HJ136" s="909">
        <v>0</v>
      </c>
      <c r="HK136" s="910">
        <v>4573.597438322262</v>
      </c>
      <c r="HL136" s="909">
        <v>0</v>
      </c>
      <c r="HM136" s="909">
        <v>0</v>
      </c>
      <c r="HN136" s="909">
        <v>0</v>
      </c>
      <c r="HO136" s="910">
        <v>4519.8842178240693</v>
      </c>
      <c r="HP136" s="871">
        <v>4000</v>
      </c>
      <c r="HQ136" s="911">
        <v>167.97048721193426</v>
      </c>
      <c r="HR136" s="908">
        <v>11.267239652977745</v>
      </c>
      <c r="HS136" s="902">
        <v>60.956973948770148</v>
      </c>
      <c r="HT136" s="902">
        <v>0</v>
      </c>
      <c r="HU136" s="902">
        <v>0</v>
      </c>
      <c r="HV136" s="902">
        <v>41.655940584423504</v>
      </c>
      <c r="HW136" s="902">
        <v>4.3523029774192885</v>
      </c>
      <c r="HX136" s="902">
        <v>3600</v>
      </c>
      <c r="HY136" s="909" t="s">
        <v>1063</v>
      </c>
      <c r="HZ136" s="909">
        <v>3</v>
      </c>
      <c r="IA136" s="909">
        <v>0</v>
      </c>
      <c r="IB136" s="909">
        <v>0</v>
      </c>
      <c r="IC136" s="909">
        <v>0</v>
      </c>
      <c r="ID136" s="910">
        <v>4033.5338062409255</v>
      </c>
      <c r="IE136" s="909">
        <v>0</v>
      </c>
      <c r="IF136" s="909">
        <v>0</v>
      </c>
      <c r="IG136" s="909">
        <v>0</v>
      </c>
      <c r="IH136" s="910">
        <v>3986.1631983927959</v>
      </c>
      <c r="II136" s="871">
        <v>3986.1631983927959</v>
      </c>
      <c r="IJ136" s="911">
        <v>167.38944363508006</v>
      </c>
      <c r="IK136" s="908">
        <v>11.267239652977745</v>
      </c>
      <c r="IL136" s="902">
        <v>60.956973948770148</v>
      </c>
      <c r="IM136" s="902">
        <v>0</v>
      </c>
      <c r="IN136" s="902">
        <v>0</v>
      </c>
      <c r="IO136" s="902">
        <v>41.655940584423504</v>
      </c>
      <c r="IP136" s="902">
        <v>4.3523029774192885</v>
      </c>
      <c r="IQ136" s="902">
        <v>3600</v>
      </c>
      <c r="IR136" s="909" t="s">
        <v>1063</v>
      </c>
      <c r="IS136" s="909">
        <v>3</v>
      </c>
      <c r="IT136" s="909">
        <v>0</v>
      </c>
      <c r="IU136" s="909">
        <v>0</v>
      </c>
      <c r="IV136" s="909">
        <v>0</v>
      </c>
      <c r="IW136" s="910">
        <v>4033.5338062409255</v>
      </c>
      <c r="IX136" s="909">
        <v>0</v>
      </c>
      <c r="IY136" s="909">
        <v>0</v>
      </c>
      <c r="IZ136" s="909">
        <v>0</v>
      </c>
      <c r="JA136" s="910">
        <v>3986.1631983927959</v>
      </c>
      <c r="JB136" s="871">
        <v>3986.1631983927959</v>
      </c>
      <c r="JC136" s="911">
        <v>167.38944363508006</v>
      </c>
      <c r="JD136" s="908">
        <v>11.267239652977745</v>
      </c>
      <c r="JE136" s="902">
        <v>60.956973948770148</v>
      </c>
      <c r="JF136" s="902">
        <v>0</v>
      </c>
      <c r="JG136" s="902">
        <v>0</v>
      </c>
      <c r="JH136" s="902">
        <v>41.655940584423504</v>
      </c>
      <c r="JI136" s="902">
        <v>4.3523029774192885</v>
      </c>
      <c r="JJ136" s="902">
        <v>3600</v>
      </c>
      <c r="JK136" s="909" t="s">
        <v>1064</v>
      </c>
      <c r="JL136" s="909">
        <v>3</v>
      </c>
      <c r="JM136" s="909">
        <v>0</v>
      </c>
      <c r="JN136" s="909">
        <v>0</v>
      </c>
      <c r="JO136" s="909">
        <v>0</v>
      </c>
      <c r="JP136" s="910">
        <v>5496.7800257337794</v>
      </c>
      <c r="JQ136" s="909">
        <v>0</v>
      </c>
      <c r="JR136" s="909">
        <v>0</v>
      </c>
      <c r="JS136" s="909">
        <v>0</v>
      </c>
      <c r="JT136" s="910">
        <v>5432.2247688463103</v>
      </c>
      <c r="JU136" s="871">
        <v>4000</v>
      </c>
      <c r="JV136" s="911">
        <v>167.97048721193426</v>
      </c>
      <c r="JW136" s="908">
        <v>11.267239652977745</v>
      </c>
      <c r="JX136" s="902">
        <v>60.956973948770148</v>
      </c>
      <c r="JY136" s="902">
        <v>0</v>
      </c>
      <c r="JZ136" s="902">
        <v>0</v>
      </c>
      <c r="KA136" s="902">
        <v>41.655940584423504</v>
      </c>
      <c r="KB136" s="902">
        <v>4.3523029774192885</v>
      </c>
      <c r="KC136" s="902">
        <v>3600</v>
      </c>
      <c r="KD136" s="909" t="s">
        <v>1064</v>
      </c>
      <c r="KE136" s="909">
        <v>3</v>
      </c>
      <c r="KF136" s="909">
        <v>0</v>
      </c>
      <c r="KG136" s="909">
        <v>0</v>
      </c>
      <c r="KH136" s="909">
        <v>0</v>
      </c>
      <c r="KI136" s="910">
        <v>5496.7800257337794</v>
      </c>
      <c r="KJ136" s="909">
        <v>0</v>
      </c>
      <c r="KK136" s="909">
        <v>0</v>
      </c>
      <c r="KL136" s="909">
        <v>0</v>
      </c>
      <c r="KM136" s="910">
        <v>5432.2247688463103</v>
      </c>
      <c r="KN136" s="871">
        <v>4000</v>
      </c>
      <c r="KO136" s="912">
        <v>167.97048721193426</v>
      </c>
    </row>
    <row r="137" spans="1:301" ht="15" customHeight="1">
      <c r="A137" s="924" t="s">
        <v>1595</v>
      </c>
      <c r="B137" s="888" t="s">
        <v>1077</v>
      </c>
      <c r="C137" s="888">
        <v>375</v>
      </c>
      <c r="D137" s="888">
        <v>802</v>
      </c>
      <c r="E137" s="888">
        <v>415</v>
      </c>
      <c r="F137" s="888">
        <v>375</v>
      </c>
      <c r="G137" s="888">
        <v>136</v>
      </c>
      <c r="H137" s="888">
        <v>120</v>
      </c>
      <c r="I137" s="888">
        <v>120</v>
      </c>
      <c r="J137" s="888">
        <v>37.51</v>
      </c>
      <c r="K137" s="888">
        <v>65.64</v>
      </c>
      <c r="L137" s="888">
        <v>18</v>
      </c>
      <c r="M137" s="888">
        <v>275</v>
      </c>
      <c r="N137" s="888">
        <v>4</v>
      </c>
      <c r="O137" s="884">
        <v>11.615049706201278</v>
      </c>
      <c r="P137" s="888">
        <v>4</v>
      </c>
      <c r="Q137" s="884">
        <v>7.5774320234492993</v>
      </c>
      <c r="R137" s="888">
        <v>13.000000000000002</v>
      </c>
      <c r="S137" s="888">
        <v>579.60890339792536</v>
      </c>
      <c r="T137" s="906">
        <v>26.926070995373294</v>
      </c>
      <c r="U137" s="906">
        <v>86.941335509688798</v>
      </c>
      <c r="V137" s="906">
        <v>97.5</v>
      </c>
      <c r="W137" s="1141">
        <v>3.4078308603519316</v>
      </c>
      <c r="X137" s="902">
        <v>0</v>
      </c>
      <c r="Y137" s="902">
        <v>0</v>
      </c>
      <c r="Z137" s="902">
        <v>0</v>
      </c>
      <c r="AA137" s="902">
        <v>0</v>
      </c>
      <c r="AB137" s="970">
        <v>9.8712383883070238</v>
      </c>
      <c r="AC137" s="1045">
        <v>4000</v>
      </c>
      <c r="AD137" s="890">
        <v>2.0505413874112417</v>
      </c>
      <c r="AE137" s="890">
        <v>0.76760432141286206</v>
      </c>
      <c r="AF137" s="890">
        <v>-0.18112301158208202</v>
      </c>
      <c r="AG137" s="890">
        <v>0.57415925599140105</v>
      </c>
      <c r="AH137" s="888"/>
      <c r="AI137" s="907">
        <v>2.9877917277040376</v>
      </c>
      <c r="AJ137" s="908">
        <v>18.651600000000002</v>
      </c>
      <c r="AK137" s="902">
        <v>68.177983585375813</v>
      </c>
      <c r="AL137" s="902">
        <v>0</v>
      </c>
      <c r="AM137" s="902">
        <v>0</v>
      </c>
      <c r="AN137" s="902">
        <v>42.084084829381496</v>
      </c>
      <c r="AO137" s="902">
        <v>5.0695097935400852</v>
      </c>
      <c r="AP137" s="1222">
        <v>3350</v>
      </c>
      <c r="AQ137" s="909" t="s">
        <v>1062</v>
      </c>
      <c r="AR137" s="909">
        <v>4</v>
      </c>
      <c r="AS137" s="909">
        <v>0</v>
      </c>
      <c r="AT137" s="909">
        <v>0</v>
      </c>
      <c r="AU137" s="909">
        <v>0</v>
      </c>
      <c r="AV137" s="910">
        <v>3450.7733188350635</v>
      </c>
      <c r="AW137" s="909">
        <v>0</v>
      </c>
      <c r="AX137" s="909">
        <v>0</v>
      </c>
      <c r="AY137" s="909">
        <v>0</v>
      </c>
      <c r="AZ137" s="910">
        <v>3561.1183578984378</v>
      </c>
      <c r="BA137" s="871">
        <v>3450.7733188350635</v>
      </c>
      <c r="BB137" s="911">
        <v>144.90701890566726</v>
      </c>
      <c r="BC137" s="908">
        <v>23.314500000000002</v>
      </c>
      <c r="BD137" s="902">
        <v>72.840883585375806</v>
      </c>
      <c r="BE137" s="902">
        <v>0</v>
      </c>
      <c r="BF137" s="902">
        <v>0</v>
      </c>
      <c r="BG137" s="902">
        <v>43.230969885370165</v>
      </c>
      <c r="BH137" s="902">
        <v>5.5263743240525853</v>
      </c>
      <c r="BI137" s="902">
        <v>3600</v>
      </c>
      <c r="BJ137" s="909" t="s">
        <v>1062</v>
      </c>
      <c r="BK137" s="909">
        <v>5</v>
      </c>
      <c r="BL137" s="909">
        <v>0</v>
      </c>
      <c r="BM137" s="909">
        <v>0</v>
      </c>
      <c r="BN137" s="909">
        <v>0</v>
      </c>
      <c r="BO137" s="910">
        <v>4115.1904515066071</v>
      </c>
      <c r="BP137" s="909">
        <v>0</v>
      </c>
      <c r="BQ137" s="909">
        <v>0</v>
      </c>
      <c r="BR137" s="909">
        <v>0</v>
      </c>
      <c r="BS137" s="910">
        <v>4259.8594883944434</v>
      </c>
      <c r="BT137" s="871">
        <v>4000</v>
      </c>
      <c r="BU137" s="911">
        <v>167.97048721193426</v>
      </c>
      <c r="BV137" s="908">
        <v>18.651600000000002</v>
      </c>
      <c r="BW137" s="902">
        <v>68.177983585375813</v>
      </c>
      <c r="BX137" s="902">
        <v>0</v>
      </c>
      <c r="BY137" s="902">
        <v>0</v>
      </c>
      <c r="BZ137" s="902">
        <v>42.084084829381496</v>
      </c>
      <c r="CA137" s="902">
        <v>5.0695097935400852</v>
      </c>
      <c r="CB137" s="902">
        <v>3350</v>
      </c>
      <c r="CC137" s="909" t="s">
        <v>2874</v>
      </c>
      <c r="CD137" s="909">
        <v>4</v>
      </c>
      <c r="CE137" s="909">
        <v>0</v>
      </c>
      <c r="CF137" s="909">
        <v>0</v>
      </c>
      <c r="CG137" s="909">
        <v>0</v>
      </c>
      <c r="CH137" s="910">
        <v>3122.639331807919</v>
      </c>
      <c r="CI137" s="909">
        <v>0</v>
      </c>
      <c r="CJ137" s="909">
        <v>0</v>
      </c>
      <c r="CK137" s="909">
        <v>0</v>
      </c>
      <c r="CL137" s="910">
        <v>3096.3304657246654</v>
      </c>
      <c r="CM137" s="871">
        <v>3096.3304657246654</v>
      </c>
      <c r="CN137" s="911">
        <v>130.02303422423185</v>
      </c>
      <c r="CO137" s="908">
        <v>23.314500000000002</v>
      </c>
      <c r="CP137" s="902">
        <v>72.840883585375806</v>
      </c>
      <c r="CQ137" s="902">
        <v>0</v>
      </c>
      <c r="CR137" s="902">
        <v>0</v>
      </c>
      <c r="CS137" s="902">
        <v>43.230969885370165</v>
      </c>
      <c r="CT137" s="902">
        <v>5.5263743240525853</v>
      </c>
      <c r="CU137" s="902">
        <v>3600</v>
      </c>
      <c r="CV137" s="909" t="s">
        <v>2874</v>
      </c>
      <c r="CW137" s="909">
        <v>5</v>
      </c>
      <c r="CX137" s="909">
        <v>0</v>
      </c>
      <c r="CY137" s="909">
        <v>0</v>
      </c>
      <c r="CZ137" s="909">
        <v>0</v>
      </c>
      <c r="DA137" s="910">
        <v>3735.3447567794801</v>
      </c>
      <c r="DB137" s="909">
        <v>0</v>
      </c>
      <c r="DC137" s="909">
        <v>0</v>
      </c>
      <c r="DD137" s="909">
        <v>0</v>
      </c>
      <c r="DE137" s="910">
        <v>3703.8737239298684</v>
      </c>
      <c r="DF137" s="871">
        <v>3703.8737239298684</v>
      </c>
      <c r="DG137" s="911">
        <v>155.53536849499534</v>
      </c>
      <c r="DH137" s="908">
        <v>18.651600000000002</v>
      </c>
      <c r="DI137" s="902">
        <v>68.177983585375813</v>
      </c>
      <c r="DJ137" s="902">
        <v>0</v>
      </c>
      <c r="DK137" s="902">
        <v>0</v>
      </c>
      <c r="DL137" s="902">
        <v>42.084084829381496</v>
      </c>
      <c r="DM137" s="902">
        <v>5.0695097935400852</v>
      </c>
      <c r="DN137" s="902">
        <v>3350</v>
      </c>
      <c r="DO137" s="909" t="s">
        <v>2876</v>
      </c>
      <c r="DP137" s="909">
        <v>4</v>
      </c>
      <c r="DQ137" s="909">
        <v>0</v>
      </c>
      <c r="DR137" s="909">
        <v>0</v>
      </c>
      <c r="DS137" s="909">
        <v>0</v>
      </c>
      <c r="DT137" s="910">
        <v>3338.2418634541436</v>
      </c>
      <c r="DU137" s="909">
        <v>0</v>
      </c>
      <c r="DV137" s="909">
        <v>0</v>
      </c>
      <c r="DW137" s="909">
        <v>0</v>
      </c>
      <c r="DX137" s="910">
        <v>3310.1165025633327</v>
      </c>
      <c r="DY137" s="871">
        <v>3310.1165025633327</v>
      </c>
      <c r="DZ137" s="911">
        <v>139.00047041595673</v>
      </c>
      <c r="EA137" s="908">
        <v>23.314500000000002</v>
      </c>
      <c r="EB137" s="902">
        <v>72.840883585375806</v>
      </c>
      <c r="EC137" s="902">
        <v>0</v>
      </c>
      <c r="ED137" s="902">
        <v>0</v>
      </c>
      <c r="EE137" s="902">
        <v>43.230969885370165</v>
      </c>
      <c r="EF137" s="902">
        <v>5.5263743240525853</v>
      </c>
      <c r="EG137" s="902">
        <v>3600</v>
      </c>
      <c r="EH137" s="909" t="s">
        <v>2876</v>
      </c>
      <c r="EI137" s="909">
        <v>5</v>
      </c>
      <c r="EJ137" s="909">
        <v>0</v>
      </c>
      <c r="EK137" s="909">
        <v>0</v>
      </c>
      <c r="EL137" s="909">
        <v>0</v>
      </c>
      <c r="EM137" s="910">
        <v>3993.25151466835</v>
      </c>
      <c r="EN137" s="909">
        <v>0</v>
      </c>
      <c r="EO137" s="909">
        <v>0</v>
      </c>
      <c r="EP137" s="909">
        <v>0</v>
      </c>
      <c r="EQ137" s="910">
        <v>3959.6075653764779</v>
      </c>
      <c r="ER137" s="871">
        <v>3959.6075653764779</v>
      </c>
      <c r="ES137" s="911">
        <v>166.27430298108695</v>
      </c>
      <c r="ET137" s="908">
        <v>18.651600000000002</v>
      </c>
      <c r="EU137" s="902">
        <v>68.177983585375813</v>
      </c>
      <c r="EV137" s="902">
        <v>0</v>
      </c>
      <c r="EW137" s="902">
        <v>0</v>
      </c>
      <c r="EX137" s="902">
        <v>42.084084829381496</v>
      </c>
      <c r="EY137" s="902">
        <v>5.0695097935400852</v>
      </c>
      <c r="EZ137" s="902">
        <v>3350</v>
      </c>
      <c r="FA137" s="909" t="s">
        <v>3889</v>
      </c>
      <c r="FB137" s="909">
        <v>4</v>
      </c>
      <c r="FC137" s="909">
        <v>0</v>
      </c>
      <c r="FD137" s="909">
        <v>0</v>
      </c>
      <c r="FE137" s="909">
        <v>0</v>
      </c>
      <c r="FF137" s="910">
        <v>3407.0788347750795</v>
      </c>
      <c r="FG137" s="909">
        <v>0</v>
      </c>
      <c r="FH137" s="909">
        <v>0</v>
      </c>
      <c r="FI137" s="909">
        <v>0</v>
      </c>
      <c r="FJ137" s="910">
        <v>3378.3735085193171</v>
      </c>
      <c r="FK137" s="871">
        <v>3378.3735085193171</v>
      </c>
      <c r="FL137" s="911">
        <v>141.86676105247037</v>
      </c>
      <c r="FM137" s="908">
        <v>23.314500000000002</v>
      </c>
      <c r="FN137" s="902">
        <v>72.840883585375806</v>
      </c>
      <c r="FO137" s="902">
        <v>0</v>
      </c>
      <c r="FP137" s="902">
        <v>0</v>
      </c>
      <c r="FQ137" s="902">
        <v>43.230969885370165</v>
      </c>
      <c r="FR137" s="902">
        <v>5.5263743240525853</v>
      </c>
      <c r="FS137" s="902">
        <v>3600</v>
      </c>
      <c r="FT137" s="909" t="s">
        <v>3889</v>
      </c>
      <c r="FU137" s="909">
        <v>5</v>
      </c>
      <c r="FV137" s="909">
        <v>0</v>
      </c>
      <c r="FW137" s="909">
        <v>0</v>
      </c>
      <c r="FX137" s="909">
        <v>0</v>
      </c>
      <c r="FY137" s="910">
        <v>4075.5952606389455</v>
      </c>
      <c r="FZ137" s="909">
        <v>0</v>
      </c>
      <c r="GA137" s="909">
        <v>0</v>
      </c>
      <c r="GB137" s="909">
        <v>0</v>
      </c>
      <c r="GC137" s="910">
        <v>4041.257548681805</v>
      </c>
      <c r="GD137" s="871">
        <v>4000</v>
      </c>
      <c r="GE137" s="911">
        <v>167.97048721193426</v>
      </c>
      <c r="GF137" s="908">
        <v>13.988700000000001</v>
      </c>
      <c r="GG137" s="902">
        <v>63.515083585375805</v>
      </c>
      <c r="GH137" s="902">
        <v>0</v>
      </c>
      <c r="GI137" s="902">
        <v>0</v>
      </c>
      <c r="GJ137" s="902">
        <v>40.768804802444542</v>
      </c>
      <c r="GK137" s="902">
        <v>4.6126452630275852</v>
      </c>
      <c r="GL137" s="902">
        <v>3350</v>
      </c>
      <c r="GM137" s="909" t="s">
        <v>2877</v>
      </c>
      <c r="GN137" s="909">
        <v>3</v>
      </c>
      <c r="GO137" s="909">
        <v>0</v>
      </c>
      <c r="GP137" s="909">
        <v>0</v>
      </c>
      <c r="GQ137" s="909">
        <v>0</v>
      </c>
      <c r="GR137" s="910">
        <v>3787.2379512938951</v>
      </c>
      <c r="GS137" s="909">
        <v>0</v>
      </c>
      <c r="GT137" s="909">
        <v>0</v>
      </c>
      <c r="GU137" s="909">
        <v>0</v>
      </c>
      <c r="GV137" s="910">
        <v>3755.3297078182445</v>
      </c>
      <c r="GW137" s="871">
        <v>3755.3297078182445</v>
      </c>
      <c r="GX137" s="911">
        <v>157.69614016592033</v>
      </c>
      <c r="GY137" s="908">
        <v>13.988700000000001</v>
      </c>
      <c r="GZ137" s="902">
        <v>63.515083585375805</v>
      </c>
      <c r="HA137" s="902">
        <v>0</v>
      </c>
      <c r="HB137" s="902">
        <v>0</v>
      </c>
      <c r="HC137" s="902">
        <v>40.768804802444542</v>
      </c>
      <c r="HD137" s="902">
        <v>4.6126452630275852</v>
      </c>
      <c r="HE137" s="902">
        <v>3600</v>
      </c>
      <c r="HF137" s="909" t="s">
        <v>2877</v>
      </c>
      <c r="HG137" s="909">
        <v>3</v>
      </c>
      <c r="HH137" s="909">
        <v>0</v>
      </c>
      <c r="HI137" s="909">
        <v>0</v>
      </c>
      <c r="HJ137" s="909">
        <v>0</v>
      </c>
      <c r="HK137" s="910">
        <v>3787.2379512938951</v>
      </c>
      <c r="HL137" s="909">
        <v>0</v>
      </c>
      <c r="HM137" s="909">
        <v>0</v>
      </c>
      <c r="HN137" s="909">
        <v>0</v>
      </c>
      <c r="HO137" s="910">
        <v>3755.3297078182445</v>
      </c>
      <c r="HP137" s="871">
        <v>3755.3297078182445</v>
      </c>
      <c r="HQ137" s="911">
        <v>157.69614016592033</v>
      </c>
      <c r="HR137" s="908">
        <v>13.988700000000001</v>
      </c>
      <c r="HS137" s="902">
        <v>63.515083585375805</v>
      </c>
      <c r="HT137" s="902">
        <v>0</v>
      </c>
      <c r="HU137" s="902">
        <v>0</v>
      </c>
      <c r="HV137" s="902">
        <v>40.768804802444542</v>
      </c>
      <c r="HW137" s="902">
        <v>4.6126452630275852</v>
      </c>
      <c r="HX137" s="902">
        <v>3350</v>
      </c>
      <c r="HY137" s="909" t="s">
        <v>1063</v>
      </c>
      <c r="HZ137" s="909">
        <v>3</v>
      </c>
      <c r="IA137" s="909">
        <v>0</v>
      </c>
      <c r="IB137" s="909">
        <v>0</v>
      </c>
      <c r="IC137" s="909">
        <v>0</v>
      </c>
      <c r="ID137" s="910">
        <v>3340.0299249830196</v>
      </c>
      <c r="IE137" s="909">
        <v>0</v>
      </c>
      <c r="IF137" s="909">
        <v>0</v>
      </c>
      <c r="IG137" s="909">
        <v>0</v>
      </c>
      <c r="IH137" s="910">
        <v>3311.8894993132494</v>
      </c>
      <c r="II137" s="871">
        <v>3311.8894993132494</v>
      </c>
      <c r="IJ137" s="911">
        <v>139.07492319793388</v>
      </c>
      <c r="IK137" s="908">
        <v>18.651600000000002</v>
      </c>
      <c r="IL137" s="902">
        <v>68.177983585375813</v>
      </c>
      <c r="IM137" s="902">
        <v>0</v>
      </c>
      <c r="IN137" s="902">
        <v>0</v>
      </c>
      <c r="IO137" s="902">
        <v>42.084084829381496</v>
      </c>
      <c r="IP137" s="902">
        <v>5.0695097935400852</v>
      </c>
      <c r="IQ137" s="902">
        <v>3600</v>
      </c>
      <c r="IR137" s="909" t="s">
        <v>1063</v>
      </c>
      <c r="IS137" s="909">
        <v>4</v>
      </c>
      <c r="IT137" s="909">
        <v>0</v>
      </c>
      <c r="IU137" s="909">
        <v>0</v>
      </c>
      <c r="IV137" s="909">
        <v>0</v>
      </c>
      <c r="IW137" s="910">
        <v>4031.3100427681002</v>
      </c>
      <c r="IX137" s="909">
        <v>0</v>
      </c>
      <c r="IY137" s="909">
        <v>0</v>
      </c>
      <c r="IZ137" s="909">
        <v>0</v>
      </c>
      <c r="JA137" s="910">
        <v>3997.3454427020906</v>
      </c>
      <c r="JB137" s="871">
        <v>3997.3454427020906</v>
      </c>
      <c r="JC137" s="911">
        <v>167.8590153912688</v>
      </c>
      <c r="JD137" s="908">
        <v>13.988700000000001</v>
      </c>
      <c r="JE137" s="902">
        <v>63.515083585375805</v>
      </c>
      <c r="JF137" s="902">
        <v>0</v>
      </c>
      <c r="JG137" s="902">
        <v>0</v>
      </c>
      <c r="JH137" s="902">
        <v>40.768804802444542</v>
      </c>
      <c r="JI137" s="902">
        <v>4.6126452630275852</v>
      </c>
      <c r="JJ137" s="902">
        <v>3350</v>
      </c>
      <c r="JK137" s="909" t="s">
        <v>1064</v>
      </c>
      <c r="JL137" s="909">
        <v>3</v>
      </c>
      <c r="JM137" s="909">
        <v>0</v>
      </c>
      <c r="JN137" s="909">
        <v>0</v>
      </c>
      <c r="JO137" s="909">
        <v>0</v>
      </c>
      <c r="JP137" s="910">
        <v>4551.6935419244683</v>
      </c>
      <c r="JQ137" s="909">
        <v>0</v>
      </c>
      <c r="JR137" s="909">
        <v>0</v>
      </c>
      <c r="JS137" s="909">
        <v>0</v>
      </c>
      <c r="JT137" s="910">
        <v>4513.3446059378975</v>
      </c>
      <c r="JU137" s="871">
        <v>4000</v>
      </c>
      <c r="JV137" s="911">
        <v>167.97048721193426</v>
      </c>
      <c r="JW137" s="908">
        <v>13.988700000000001</v>
      </c>
      <c r="JX137" s="902">
        <v>63.515083585375805</v>
      </c>
      <c r="JY137" s="902">
        <v>0</v>
      </c>
      <c r="JZ137" s="902">
        <v>0</v>
      </c>
      <c r="KA137" s="902">
        <v>40.768804802444542</v>
      </c>
      <c r="KB137" s="902">
        <v>4.6126452630275852</v>
      </c>
      <c r="KC137" s="902">
        <v>3600</v>
      </c>
      <c r="KD137" s="909" t="s">
        <v>1064</v>
      </c>
      <c r="KE137" s="909">
        <v>3</v>
      </c>
      <c r="KF137" s="909">
        <v>0</v>
      </c>
      <c r="KG137" s="909">
        <v>0</v>
      </c>
      <c r="KH137" s="909">
        <v>0</v>
      </c>
      <c r="KI137" s="910">
        <v>4551.6935419244683</v>
      </c>
      <c r="KJ137" s="909">
        <v>0</v>
      </c>
      <c r="KK137" s="909">
        <v>0</v>
      </c>
      <c r="KL137" s="909">
        <v>0</v>
      </c>
      <c r="KM137" s="910">
        <v>4513.3446059378975</v>
      </c>
      <c r="KN137" s="871">
        <v>4000</v>
      </c>
      <c r="KO137" s="912">
        <v>167.97048721193426</v>
      </c>
    </row>
    <row r="138" spans="1:301" ht="15" customHeight="1">
      <c r="A138" s="924" t="s">
        <v>1596</v>
      </c>
      <c r="B138" s="888" t="s">
        <v>1073</v>
      </c>
      <c r="C138" s="888">
        <v>450</v>
      </c>
      <c r="D138" s="888">
        <v>802</v>
      </c>
      <c r="E138" s="888">
        <v>515</v>
      </c>
      <c r="F138" s="888">
        <v>450</v>
      </c>
      <c r="G138" s="888">
        <v>156</v>
      </c>
      <c r="H138" s="888">
        <v>140</v>
      </c>
      <c r="I138" s="888">
        <v>140</v>
      </c>
      <c r="J138" s="888">
        <v>41.59</v>
      </c>
      <c r="K138" s="888">
        <v>61.7</v>
      </c>
      <c r="L138" s="888">
        <v>18</v>
      </c>
      <c r="M138" s="888">
        <v>225</v>
      </c>
      <c r="N138" s="888">
        <v>4</v>
      </c>
      <c r="O138" s="884">
        <v>9.3215299894480488</v>
      </c>
      <c r="P138" s="888">
        <v>4</v>
      </c>
      <c r="Q138" s="884">
        <v>6.5554409026019442</v>
      </c>
      <c r="R138" s="888">
        <v>13.000000000000002</v>
      </c>
      <c r="S138" s="888">
        <v>614.3185082724932</v>
      </c>
      <c r="T138" s="906">
        <v>30.247542138127198</v>
      </c>
      <c r="U138" s="906">
        <v>92.147776240873981</v>
      </c>
      <c r="V138" s="906">
        <v>110</v>
      </c>
      <c r="W138" s="1141">
        <v>4.3190000072229697</v>
      </c>
      <c r="X138" s="902">
        <v>0</v>
      </c>
      <c r="Y138" s="902">
        <v>0</v>
      </c>
      <c r="Z138" s="902">
        <v>0</v>
      </c>
      <c r="AA138" s="902">
        <v>0</v>
      </c>
      <c r="AB138" s="970">
        <v>8.006610968883793</v>
      </c>
      <c r="AC138" s="1045">
        <v>3751.4829033303286</v>
      </c>
      <c r="AD138" s="890">
        <v>2.1911545643351742</v>
      </c>
      <c r="AE138" s="890">
        <v>0.88752948349928062</v>
      </c>
      <c r="AF138" s="890">
        <v>-0.18013197943260953</v>
      </c>
      <c r="AG138" s="890">
        <v>0.39128470615868272</v>
      </c>
      <c r="AH138" s="888"/>
      <c r="AI138" s="907">
        <v>2.8365987049836026</v>
      </c>
      <c r="AJ138" s="908">
        <v>17.803800000000003</v>
      </c>
      <c r="AK138" s="902">
        <v>68.247313037400161</v>
      </c>
      <c r="AL138" s="902">
        <v>0</v>
      </c>
      <c r="AM138" s="902">
        <v>0</v>
      </c>
      <c r="AN138" s="902">
        <v>43.936456560272056</v>
      </c>
      <c r="AO138" s="902">
        <v>5.2037693329105075</v>
      </c>
      <c r="AP138" s="1222">
        <v>2600</v>
      </c>
      <c r="AQ138" s="909" t="s">
        <v>1062</v>
      </c>
      <c r="AR138" s="909">
        <v>4</v>
      </c>
      <c r="AS138" s="909">
        <v>0</v>
      </c>
      <c r="AT138" s="909">
        <v>0</v>
      </c>
      <c r="AU138" s="909">
        <v>0</v>
      </c>
      <c r="AV138" s="910">
        <v>2671.3965999507564</v>
      </c>
      <c r="AW138" s="909">
        <v>0</v>
      </c>
      <c r="AX138" s="909">
        <v>0</v>
      </c>
      <c r="AY138" s="909">
        <v>0</v>
      </c>
      <c r="AZ138" s="910">
        <v>2790.0244553370826</v>
      </c>
      <c r="BA138" s="871">
        <v>2671.3965999507564</v>
      </c>
      <c r="BB138" s="911">
        <v>112.17894710750831</v>
      </c>
      <c r="BC138" s="908">
        <v>26.705700000000004</v>
      </c>
      <c r="BD138" s="902">
        <v>77.149213037400159</v>
      </c>
      <c r="BE138" s="902">
        <v>0</v>
      </c>
      <c r="BF138" s="902">
        <v>0</v>
      </c>
      <c r="BG138" s="902">
        <v>46.943811375850522</v>
      </c>
      <c r="BH138" s="902">
        <v>6.1448158876105072</v>
      </c>
      <c r="BI138" s="902">
        <v>3250</v>
      </c>
      <c r="BJ138" s="909" t="s">
        <v>1062</v>
      </c>
      <c r="BK138" s="909">
        <v>6</v>
      </c>
      <c r="BL138" s="909">
        <v>0</v>
      </c>
      <c r="BM138" s="909">
        <v>0</v>
      </c>
      <c r="BN138" s="909">
        <v>0</v>
      </c>
      <c r="BO138" s="910">
        <v>3750.3239970512868</v>
      </c>
      <c r="BP138" s="909">
        <v>0</v>
      </c>
      <c r="BQ138" s="909">
        <v>0</v>
      </c>
      <c r="BR138" s="909">
        <v>0</v>
      </c>
      <c r="BS138" s="910">
        <v>3954.4101925683876</v>
      </c>
      <c r="BT138" s="871">
        <v>3750.3239970512868</v>
      </c>
      <c r="BU138" s="911">
        <v>157.48593724682834</v>
      </c>
      <c r="BV138" s="908">
        <v>22.254750000000001</v>
      </c>
      <c r="BW138" s="902">
        <v>72.698263037400153</v>
      </c>
      <c r="BX138" s="902">
        <v>0</v>
      </c>
      <c r="BY138" s="902">
        <v>0</v>
      </c>
      <c r="BZ138" s="902">
        <v>45.532196593474453</v>
      </c>
      <c r="CA138" s="902">
        <v>5.6742926102605065</v>
      </c>
      <c r="CB138" s="902">
        <v>2600</v>
      </c>
      <c r="CC138" s="909" t="s">
        <v>2874</v>
      </c>
      <c r="CD138" s="909">
        <v>5</v>
      </c>
      <c r="CE138" s="909">
        <v>0</v>
      </c>
      <c r="CF138" s="909">
        <v>0</v>
      </c>
      <c r="CG138" s="909">
        <v>0</v>
      </c>
      <c r="CH138" s="910">
        <v>2897.4328524751363</v>
      </c>
      <c r="CI138" s="909">
        <v>0</v>
      </c>
      <c r="CJ138" s="909">
        <v>0</v>
      </c>
      <c r="CK138" s="909">
        <v>0</v>
      </c>
      <c r="CL138" s="910">
        <v>2866.3333859356367</v>
      </c>
      <c r="CM138" s="871">
        <v>2866.3333859356367</v>
      </c>
      <c r="CN138" s="911">
        <v>120.36485383686053</v>
      </c>
      <c r="CO138" s="908">
        <v>26.705700000000004</v>
      </c>
      <c r="CP138" s="902">
        <v>77.149213037400159</v>
      </c>
      <c r="CQ138" s="902">
        <v>0</v>
      </c>
      <c r="CR138" s="902">
        <v>0</v>
      </c>
      <c r="CS138" s="902">
        <v>46.943811375850522</v>
      </c>
      <c r="CT138" s="902">
        <v>6.1448158876105072</v>
      </c>
      <c r="CU138" s="902">
        <v>3250</v>
      </c>
      <c r="CV138" s="909" t="s">
        <v>2874</v>
      </c>
      <c r="CW138" s="909">
        <v>6</v>
      </c>
      <c r="CX138" s="909">
        <v>0</v>
      </c>
      <c r="CY138" s="909">
        <v>0</v>
      </c>
      <c r="CZ138" s="909">
        <v>0</v>
      </c>
      <c r="DA138" s="910">
        <v>3475.5960298348955</v>
      </c>
      <c r="DB138" s="909">
        <v>0</v>
      </c>
      <c r="DC138" s="909">
        <v>0</v>
      </c>
      <c r="DD138" s="909">
        <v>0</v>
      </c>
      <c r="DE138" s="910">
        <v>3438.290874570615</v>
      </c>
      <c r="DF138" s="871">
        <v>3438.290874570615</v>
      </c>
      <c r="DG138" s="911">
        <v>144.38284834449345</v>
      </c>
      <c r="DH138" s="908">
        <v>22.254750000000001</v>
      </c>
      <c r="DI138" s="902">
        <v>72.698263037400153</v>
      </c>
      <c r="DJ138" s="902">
        <v>0</v>
      </c>
      <c r="DK138" s="902">
        <v>0</v>
      </c>
      <c r="DL138" s="902">
        <v>45.532196593474453</v>
      </c>
      <c r="DM138" s="902">
        <v>5.6742926102605065</v>
      </c>
      <c r="DN138" s="902">
        <v>2600</v>
      </c>
      <c r="DO138" s="909" t="s">
        <v>2876</v>
      </c>
      <c r="DP138" s="909">
        <v>5</v>
      </c>
      <c r="DQ138" s="909">
        <v>0</v>
      </c>
      <c r="DR138" s="909">
        <v>0</v>
      </c>
      <c r="DS138" s="909">
        <v>0</v>
      </c>
      <c r="DT138" s="910">
        <v>3097.486010041393</v>
      </c>
      <c r="DU138" s="909">
        <v>0</v>
      </c>
      <c r="DV138" s="909">
        <v>0</v>
      </c>
      <c r="DW138" s="909">
        <v>0</v>
      </c>
      <c r="DX138" s="910">
        <v>3064.2392818407357</v>
      </c>
      <c r="DY138" s="871">
        <v>3064.2392818407357</v>
      </c>
      <c r="DZ138" s="911">
        <v>128.67544127618399</v>
      </c>
      <c r="EA138" s="908">
        <v>26.705700000000004</v>
      </c>
      <c r="EB138" s="902">
        <v>77.149213037400159</v>
      </c>
      <c r="EC138" s="902">
        <v>0</v>
      </c>
      <c r="ED138" s="902">
        <v>0</v>
      </c>
      <c r="EE138" s="902">
        <v>46.943811375850522</v>
      </c>
      <c r="EF138" s="902">
        <v>6.1448158876105072</v>
      </c>
      <c r="EG138" s="902">
        <v>3250</v>
      </c>
      <c r="EH138" s="909" t="s">
        <v>2876</v>
      </c>
      <c r="EI138" s="909">
        <v>6</v>
      </c>
      <c r="EJ138" s="909">
        <v>0</v>
      </c>
      <c r="EK138" s="909">
        <v>0</v>
      </c>
      <c r="EL138" s="909">
        <v>0</v>
      </c>
      <c r="EM138" s="910">
        <v>3715.5684452782566</v>
      </c>
      <c r="EN138" s="909">
        <v>0</v>
      </c>
      <c r="EO138" s="909">
        <v>0</v>
      </c>
      <c r="EP138" s="909">
        <v>0</v>
      </c>
      <c r="EQ138" s="910">
        <v>3675.6875567736524</v>
      </c>
      <c r="ER138" s="871">
        <v>3675.6875567736524</v>
      </c>
      <c r="ES138" s="911">
        <v>154.35175743752868</v>
      </c>
      <c r="ET138" s="908">
        <v>17.803800000000003</v>
      </c>
      <c r="EU138" s="902">
        <v>68.247313037400161</v>
      </c>
      <c r="EV138" s="902">
        <v>0</v>
      </c>
      <c r="EW138" s="902">
        <v>0</v>
      </c>
      <c r="EX138" s="902">
        <v>43.936456560272056</v>
      </c>
      <c r="EY138" s="902">
        <v>5.2037693329105075</v>
      </c>
      <c r="EZ138" s="902">
        <v>2600</v>
      </c>
      <c r="FA138" s="909" t="s">
        <v>3889</v>
      </c>
      <c r="FB138" s="909">
        <v>4</v>
      </c>
      <c r="FC138" s="909">
        <v>0</v>
      </c>
      <c r="FD138" s="909">
        <v>0</v>
      </c>
      <c r="FE138" s="909">
        <v>0</v>
      </c>
      <c r="FF138" s="910">
        <v>2675.5676886105121</v>
      </c>
      <c r="FG138" s="909">
        <v>0</v>
      </c>
      <c r="FH138" s="909">
        <v>0</v>
      </c>
      <c r="FI138" s="909">
        <v>0</v>
      </c>
      <c r="FJ138" s="910">
        <v>2646.8496019307722</v>
      </c>
      <c r="FK138" s="871">
        <v>2646.8496019307722</v>
      </c>
      <c r="FL138" s="911">
        <v>111.14815430325652</v>
      </c>
      <c r="FM138" s="908">
        <v>26.705700000000004</v>
      </c>
      <c r="FN138" s="902">
        <v>77.149213037400159</v>
      </c>
      <c r="FO138" s="902">
        <v>0</v>
      </c>
      <c r="FP138" s="902">
        <v>0</v>
      </c>
      <c r="FQ138" s="902">
        <v>46.943811375850522</v>
      </c>
      <c r="FR138" s="902">
        <v>6.1448158876105072</v>
      </c>
      <c r="FS138" s="902">
        <v>3250</v>
      </c>
      <c r="FT138" s="909" t="s">
        <v>3889</v>
      </c>
      <c r="FU138" s="909">
        <v>6</v>
      </c>
      <c r="FV138" s="909">
        <v>0</v>
      </c>
      <c r="FW138" s="909">
        <v>0</v>
      </c>
      <c r="FX138" s="909">
        <v>0</v>
      </c>
      <c r="FY138" s="910">
        <v>3792.1861647157693</v>
      </c>
      <c r="FZ138" s="909">
        <v>0</v>
      </c>
      <c r="GA138" s="909">
        <v>0</v>
      </c>
      <c r="GB138" s="909">
        <v>0</v>
      </c>
      <c r="GC138" s="910">
        <v>3751.4829033303286</v>
      </c>
      <c r="GD138" s="871">
        <v>3751.4829033303286</v>
      </c>
      <c r="GE138" s="911">
        <v>157.53460275990926</v>
      </c>
      <c r="GF138" s="908">
        <v>13.352850000000002</v>
      </c>
      <c r="GG138" s="902">
        <v>63.796363037400162</v>
      </c>
      <c r="GH138" s="902">
        <v>0</v>
      </c>
      <c r="GI138" s="902">
        <v>0</v>
      </c>
      <c r="GJ138" s="902">
        <v>42.118053078477203</v>
      </c>
      <c r="GK138" s="902">
        <v>4.7332460555605067</v>
      </c>
      <c r="GL138" s="902">
        <v>2600</v>
      </c>
      <c r="GM138" s="909" t="s">
        <v>2877</v>
      </c>
      <c r="GN138" s="909">
        <v>3</v>
      </c>
      <c r="GO138" s="909">
        <v>0</v>
      </c>
      <c r="GP138" s="909">
        <v>0</v>
      </c>
      <c r="GQ138" s="909">
        <v>0</v>
      </c>
      <c r="GR138" s="910">
        <v>2996.0289734995254</v>
      </c>
      <c r="GS138" s="909">
        <v>0</v>
      </c>
      <c r="GT138" s="909">
        <v>0</v>
      </c>
      <c r="GU138" s="909">
        <v>0</v>
      </c>
      <c r="GV138" s="910">
        <v>2963.871229884136</v>
      </c>
      <c r="GW138" s="871">
        <v>2963.871229884136</v>
      </c>
      <c r="GX138" s="911">
        <v>124.4607236292683</v>
      </c>
      <c r="GY138" s="908">
        <v>17.803800000000003</v>
      </c>
      <c r="GZ138" s="902">
        <v>68.247313037400161</v>
      </c>
      <c r="HA138" s="902">
        <v>0</v>
      </c>
      <c r="HB138" s="902">
        <v>0</v>
      </c>
      <c r="HC138" s="902">
        <v>43.936456560272056</v>
      </c>
      <c r="HD138" s="902">
        <v>5.2037693329105075</v>
      </c>
      <c r="HE138" s="902">
        <v>3250</v>
      </c>
      <c r="HF138" s="909" t="s">
        <v>2877</v>
      </c>
      <c r="HG138" s="909">
        <v>4</v>
      </c>
      <c r="HH138" s="909">
        <v>0</v>
      </c>
      <c r="HI138" s="909">
        <v>0</v>
      </c>
      <c r="HJ138" s="909">
        <v>0</v>
      </c>
      <c r="HK138" s="910">
        <v>3589.6507380810563</v>
      </c>
      <c r="HL138" s="909">
        <v>0</v>
      </c>
      <c r="HM138" s="909">
        <v>0</v>
      </c>
      <c r="HN138" s="909">
        <v>0</v>
      </c>
      <c r="HO138" s="910">
        <v>3551.1213816812779</v>
      </c>
      <c r="HP138" s="871">
        <v>3551.1213816812779</v>
      </c>
      <c r="HQ138" s="911">
        <v>149.12089715743039</v>
      </c>
      <c r="HR138" s="908">
        <v>17.803800000000003</v>
      </c>
      <c r="HS138" s="902">
        <v>68.247313037400161</v>
      </c>
      <c r="HT138" s="902">
        <v>0</v>
      </c>
      <c r="HU138" s="902">
        <v>0</v>
      </c>
      <c r="HV138" s="902">
        <v>43.936456560272056</v>
      </c>
      <c r="HW138" s="902">
        <v>5.2037693329105075</v>
      </c>
      <c r="HX138" s="902">
        <v>2600</v>
      </c>
      <c r="HY138" s="909" t="s">
        <v>1063</v>
      </c>
      <c r="HZ138" s="909">
        <v>4</v>
      </c>
      <c r="IA138" s="909">
        <v>0</v>
      </c>
      <c r="IB138" s="909">
        <v>0</v>
      </c>
      <c r="IC138" s="909">
        <v>0</v>
      </c>
      <c r="ID138" s="910">
        <v>3165.7743821806457</v>
      </c>
      <c r="IE138" s="909">
        <v>0</v>
      </c>
      <c r="IF138" s="909">
        <v>0</v>
      </c>
      <c r="IG138" s="909">
        <v>0</v>
      </c>
      <c r="IH138" s="910">
        <v>3131.7946837775803</v>
      </c>
      <c r="II138" s="871">
        <v>3131.7946837775803</v>
      </c>
      <c r="IJ138" s="911">
        <v>131.51226972046643</v>
      </c>
      <c r="IK138" s="908">
        <v>22.254750000000001</v>
      </c>
      <c r="IL138" s="902">
        <v>72.698263037400153</v>
      </c>
      <c r="IM138" s="902">
        <v>0</v>
      </c>
      <c r="IN138" s="902">
        <v>0</v>
      </c>
      <c r="IO138" s="902">
        <v>45.532196593474453</v>
      </c>
      <c r="IP138" s="902">
        <v>5.6742926102605065</v>
      </c>
      <c r="IQ138" s="902">
        <v>3250</v>
      </c>
      <c r="IR138" s="909" t="s">
        <v>1063</v>
      </c>
      <c r="IS138" s="909">
        <v>5</v>
      </c>
      <c r="IT138" s="909">
        <v>0</v>
      </c>
      <c r="IU138" s="909">
        <v>0</v>
      </c>
      <c r="IV138" s="909">
        <v>0</v>
      </c>
      <c r="IW138" s="910">
        <v>3740.5697281301391</v>
      </c>
      <c r="IX138" s="909">
        <v>0</v>
      </c>
      <c r="IY138" s="909">
        <v>0</v>
      </c>
      <c r="IZ138" s="909">
        <v>0</v>
      </c>
      <c r="JA138" s="910">
        <v>3700.4204894690092</v>
      </c>
      <c r="JB138" s="871">
        <v>3700.4204894690092</v>
      </c>
      <c r="JC138" s="911">
        <v>155.39035812628345</v>
      </c>
      <c r="JD138" s="908">
        <v>13.352850000000002</v>
      </c>
      <c r="JE138" s="902">
        <v>63.796363037400162</v>
      </c>
      <c r="JF138" s="902">
        <v>0</v>
      </c>
      <c r="JG138" s="902">
        <v>0</v>
      </c>
      <c r="JH138" s="902">
        <v>42.118053078477203</v>
      </c>
      <c r="JI138" s="902">
        <v>4.7332460555605067</v>
      </c>
      <c r="JJ138" s="902">
        <v>2600</v>
      </c>
      <c r="JK138" s="909" t="s">
        <v>1064</v>
      </c>
      <c r="JL138" s="909">
        <v>3</v>
      </c>
      <c r="JM138" s="909">
        <v>0</v>
      </c>
      <c r="JN138" s="909">
        <v>0</v>
      </c>
      <c r="JO138" s="909">
        <v>0</v>
      </c>
      <c r="JP138" s="910">
        <v>3600.778695575867</v>
      </c>
      <c r="JQ138" s="909">
        <v>0</v>
      </c>
      <c r="JR138" s="909">
        <v>0</v>
      </c>
      <c r="JS138" s="909">
        <v>0</v>
      </c>
      <c r="JT138" s="910">
        <v>3562.1298977398269</v>
      </c>
      <c r="JU138" s="871">
        <v>3562.1298977398269</v>
      </c>
      <c r="JV138" s="911">
        <v>149.58317360888907</v>
      </c>
      <c r="JW138" s="908">
        <v>13.352850000000002</v>
      </c>
      <c r="JX138" s="902">
        <v>63.796363037400162</v>
      </c>
      <c r="JY138" s="902">
        <v>0</v>
      </c>
      <c r="JZ138" s="902">
        <v>0</v>
      </c>
      <c r="KA138" s="902">
        <v>42.118053078477203</v>
      </c>
      <c r="KB138" s="902">
        <v>4.7332460555605067</v>
      </c>
      <c r="KC138" s="902">
        <v>3250</v>
      </c>
      <c r="KD138" s="909" t="s">
        <v>1064</v>
      </c>
      <c r="KE138" s="909">
        <v>3</v>
      </c>
      <c r="KF138" s="909">
        <v>0</v>
      </c>
      <c r="KG138" s="909">
        <v>0</v>
      </c>
      <c r="KH138" s="909">
        <v>0</v>
      </c>
      <c r="KI138" s="910">
        <v>3600.7786955761057</v>
      </c>
      <c r="KJ138" s="909">
        <v>0</v>
      </c>
      <c r="KK138" s="909">
        <v>0</v>
      </c>
      <c r="KL138" s="909">
        <v>0</v>
      </c>
      <c r="KM138" s="910">
        <v>3562.1298977399279</v>
      </c>
      <c r="KN138" s="871">
        <v>3562.1298977399279</v>
      </c>
      <c r="KO138" s="912">
        <v>149.58317360889333</v>
      </c>
    </row>
    <row r="139" spans="1:301" ht="15" customHeight="1">
      <c r="A139" s="1397" t="s">
        <v>1597</v>
      </c>
      <c r="B139" s="888" t="s">
        <v>1073</v>
      </c>
      <c r="C139" s="888">
        <v>551</v>
      </c>
      <c r="D139" s="888">
        <v>902</v>
      </c>
      <c r="E139" s="888">
        <v>565</v>
      </c>
      <c r="F139" s="888">
        <v>551</v>
      </c>
      <c r="G139" s="888">
        <v>176</v>
      </c>
      <c r="H139" s="888">
        <v>160</v>
      </c>
      <c r="I139" s="888">
        <v>160</v>
      </c>
      <c r="J139" s="888">
        <v>41.02</v>
      </c>
      <c r="K139" s="888">
        <v>63.34</v>
      </c>
      <c r="L139" s="888">
        <v>20</v>
      </c>
      <c r="M139" s="888">
        <v>285</v>
      </c>
      <c r="N139" s="888">
        <v>4</v>
      </c>
      <c r="O139" s="884">
        <v>12.192128860739187</v>
      </c>
      <c r="P139" s="888">
        <v>4</v>
      </c>
      <c r="Q139" s="884">
        <v>8.523803740650699</v>
      </c>
      <c r="R139" s="888">
        <v>18.000000000000004</v>
      </c>
      <c r="S139" s="888">
        <v>684.08480882399283</v>
      </c>
      <c r="T139" s="906">
        <v>51.934019407198974</v>
      </c>
      <c r="U139" s="906">
        <v>102.61272132359892</v>
      </c>
      <c r="V139" s="906">
        <v>135</v>
      </c>
      <c r="W139" s="1141">
        <v>6.5728993312236197</v>
      </c>
      <c r="X139" s="902">
        <v>0</v>
      </c>
      <c r="Y139" s="902">
        <v>0</v>
      </c>
      <c r="Z139" s="902">
        <v>0</v>
      </c>
      <c r="AA139" s="902">
        <v>0</v>
      </c>
      <c r="AB139" s="970">
        <v>15.038668587901579</v>
      </c>
      <c r="AC139" s="1045">
        <v>4000</v>
      </c>
      <c r="AD139" s="890">
        <v>1.9365354578400007</v>
      </c>
      <c r="AE139" s="890">
        <v>0.8698997646097737</v>
      </c>
      <c r="AF139" s="890">
        <v>-0.14059569786926687</v>
      </c>
      <c r="AG139" s="890">
        <v>0.43714227858740129</v>
      </c>
      <c r="AH139" s="888"/>
      <c r="AI139" s="907">
        <v>3.9031170137200126</v>
      </c>
      <c r="AJ139" s="908">
        <v>35.796000000000006</v>
      </c>
      <c r="AK139" s="902">
        <v>115.01885133981249</v>
      </c>
      <c r="AL139" s="902">
        <v>0</v>
      </c>
      <c r="AM139" s="902">
        <v>0</v>
      </c>
      <c r="AN139" s="902">
        <v>49.926990557018719</v>
      </c>
      <c r="AO139" s="902">
        <v>11.128829763688898</v>
      </c>
      <c r="AP139" s="1222">
        <v>2550</v>
      </c>
      <c r="AQ139" s="909" t="s">
        <v>1062</v>
      </c>
      <c r="AR139" s="909">
        <v>5</v>
      </c>
      <c r="AS139" s="909">
        <v>0</v>
      </c>
      <c r="AT139" s="909">
        <v>0</v>
      </c>
      <c r="AU139" s="909">
        <v>0</v>
      </c>
      <c r="AV139" s="910">
        <v>2679.1718779849766</v>
      </c>
      <c r="AW139" s="909">
        <v>0</v>
      </c>
      <c r="AX139" s="909">
        <v>0</v>
      </c>
      <c r="AY139" s="909">
        <v>0</v>
      </c>
      <c r="AZ139" s="910">
        <v>2731.0744281681773</v>
      </c>
      <c r="BA139" s="871">
        <v>2679.1718779849766</v>
      </c>
      <c r="BB139" s="911">
        <v>126.53356256671564</v>
      </c>
      <c r="BC139" s="908">
        <v>57.273600000000009</v>
      </c>
      <c r="BD139" s="902">
        <v>136.4964513398125</v>
      </c>
      <c r="BE139" s="902">
        <v>0</v>
      </c>
      <c r="BF139" s="902">
        <v>0</v>
      </c>
      <c r="BG139" s="902">
        <v>54.658952899428591</v>
      </c>
      <c r="BH139" s="902">
        <v>14.1281900271889</v>
      </c>
      <c r="BI139" s="902">
        <v>3187.5</v>
      </c>
      <c r="BJ139" s="909" t="s">
        <v>1062</v>
      </c>
      <c r="BK139" s="909">
        <v>8</v>
      </c>
      <c r="BL139" s="909">
        <v>0</v>
      </c>
      <c r="BM139" s="909">
        <v>0</v>
      </c>
      <c r="BN139" s="909">
        <v>0</v>
      </c>
      <c r="BO139" s="910">
        <v>5342.410401074083</v>
      </c>
      <c r="BP139" s="909">
        <v>0</v>
      </c>
      <c r="BQ139" s="909">
        <v>0</v>
      </c>
      <c r="BR139" s="909">
        <v>0</v>
      </c>
      <c r="BS139" s="910">
        <v>5583.6369483184399</v>
      </c>
      <c r="BT139" s="871">
        <v>4000</v>
      </c>
      <c r="BU139" s="911">
        <v>188.91443823586624</v>
      </c>
      <c r="BV139" s="908">
        <v>42.955200000000005</v>
      </c>
      <c r="BW139" s="902">
        <v>122.17805133981248</v>
      </c>
      <c r="BX139" s="902">
        <v>0</v>
      </c>
      <c r="BY139" s="902">
        <v>0</v>
      </c>
      <c r="BZ139" s="902">
        <v>51.689162132381156</v>
      </c>
      <c r="CA139" s="902">
        <v>12.128616518188899</v>
      </c>
      <c r="CB139" s="902">
        <v>2550</v>
      </c>
      <c r="CC139" s="909" t="s">
        <v>2874</v>
      </c>
      <c r="CD139" s="909">
        <v>6</v>
      </c>
      <c r="CE139" s="909">
        <v>0</v>
      </c>
      <c r="CF139" s="909">
        <v>0</v>
      </c>
      <c r="CG139" s="909">
        <v>0</v>
      </c>
      <c r="CH139" s="910">
        <v>2830.840259688347</v>
      </c>
      <c r="CI139" s="909">
        <v>0</v>
      </c>
      <c r="CJ139" s="909">
        <v>0</v>
      </c>
      <c r="CK139" s="909">
        <v>0</v>
      </c>
      <c r="CL139" s="910">
        <v>2803.6388339385439</v>
      </c>
      <c r="CM139" s="871">
        <v>2803.6388339385439</v>
      </c>
      <c r="CN139" s="911">
        <v>132.41196383243977</v>
      </c>
      <c r="CO139" s="908">
        <v>57.273600000000009</v>
      </c>
      <c r="CP139" s="902">
        <v>136.4964513398125</v>
      </c>
      <c r="CQ139" s="902">
        <v>0</v>
      </c>
      <c r="CR139" s="902">
        <v>0</v>
      </c>
      <c r="CS139" s="902">
        <v>54.658952899428591</v>
      </c>
      <c r="CT139" s="902">
        <v>14.1281900271889</v>
      </c>
      <c r="CU139" s="902">
        <v>3187.5</v>
      </c>
      <c r="CV139" s="909" t="s">
        <v>2874</v>
      </c>
      <c r="CW139" s="909">
        <v>8</v>
      </c>
      <c r="CX139" s="909">
        <v>0</v>
      </c>
      <c r="CY139" s="909">
        <v>0</v>
      </c>
      <c r="CZ139" s="909">
        <v>0</v>
      </c>
      <c r="DA139" s="910">
        <v>4901.9781006285066</v>
      </c>
      <c r="DB139" s="909">
        <v>0</v>
      </c>
      <c r="DC139" s="909">
        <v>0</v>
      </c>
      <c r="DD139" s="909">
        <v>0</v>
      </c>
      <c r="DE139" s="910">
        <v>4854.8751979213057</v>
      </c>
      <c r="DF139" s="871">
        <v>4000</v>
      </c>
      <c r="DG139" s="911">
        <v>188.91443823586624</v>
      </c>
      <c r="DH139" s="908">
        <v>35.796000000000006</v>
      </c>
      <c r="DI139" s="902">
        <v>115.01885133981249</v>
      </c>
      <c r="DJ139" s="902">
        <v>0</v>
      </c>
      <c r="DK139" s="902">
        <v>0</v>
      </c>
      <c r="DL139" s="902">
        <v>49.926990557018719</v>
      </c>
      <c r="DM139" s="902">
        <v>11.128829763688898</v>
      </c>
      <c r="DN139" s="902">
        <v>2550</v>
      </c>
      <c r="DO139" s="909" t="s">
        <v>2876</v>
      </c>
      <c r="DP139" s="909">
        <v>5</v>
      </c>
      <c r="DQ139" s="909">
        <v>0</v>
      </c>
      <c r="DR139" s="909">
        <v>0</v>
      </c>
      <c r="DS139" s="909">
        <v>0</v>
      </c>
      <c r="DT139" s="910">
        <v>2563.2071368691172</v>
      </c>
      <c r="DU139" s="909">
        <v>0</v>
      </c>
      <c r="DV139" s="909">
        <v>0</v>
      </c>
      <c r="DW139" s="909">
        <v>0</v>
      </c>
      <c r="DX139" s="910">
        <v>2538.5773866156833</v>
      </c>
      <c r="DY139" s="871">
        <v>2538.5773866156833</v>
      </c>
      <c r="DZ139" s="911">
        <v>119.8934802276938</v>
      </c>
      <c r="EA139" s="908">
        <v>57.273600000000009</v>
      </c>
      <c r="EB139" s="902">
        <v>136.4964513398125</v>
      </c>
      <c r="EC139" s="902">
        <v>0</v>
      </c>
      <c r="ED139" s="902">
        <v>0</v>
      </c>
      <c r="EE139" s="902">
        <v>54.658952899428591</v>
      </c>
      <c r="EF139" s="902">
        <v>14.1281900271889</v>
      </c>
      <c r="EG139" s="902">
        <v>3187.5</v>
      </c>
      <c r="EH139" s="909" t="s">
        <v>2876</v>
      </c>
      <c r="EI139" s="909">
        <v>8</v>
      </c>
      <c r="EJ139" s="909">
        <v>0</v>
      </c>
      <c r="EK139" s="909">
        <v>0</v>
      </c>
      <c r="EL139" s="909">
        <v>0</v>
      </c>
      <c r="EM139" s="910">
        <v>5240.4350200057597</v>
      </c>
      <c r="EN139" s="909">
        <v>0</v>
      </c>
      <c r="EO139" s="909">
        <v>0</v>
      </c>
      <c r="EP139" s="909">
        <v>0</v>
      </c>
      <c r="EQ139" s="910">
        <v>5190.0798989050336</v>
      </c>
      <c r="ER139" s="871">
        <v>4000</v>
      </c>
      <c r="ES139" s="911">
        <v>188.91443823586624</v>
      </c>
      <c r="ET139" s="908">
        <v>35.796000000000006</v>
      </c>
      <c r="EU139" s="902">
        <v>115.01885133981249</v>
      </c>
      <c r="EV139" s="902">
        <v>0</v>
      </c>
      <c r="EW139" s="902">
        <v>0</v>
      </c>
      <c r="EX139" s="902">
        <v>49.926990557018719</v>
      </c>
      <c r="EY139" s="902">
        <v>11.128829763688898</v>
      </c>
      <c r="EZ139" s="902">
        <v>2550</v>
      </c>
      <c r="FA139" s="909" t="s">
        <v>3889</v>
      </c>
      <c r="FB139" s="909">
        <v>5</v>
      </c>
      <c r="FC139" s="909">
        <v>0</v>
      </c>
      <c r="FD139" s="909">
        <v>0</v>
      </c>
      <c r="FE139" s="909">
        <v>0</v>
      </c>
      <c r="FF139" s="910">
        <v>2616.0623293289755</v>
      </c>
      <c r="FG139" s="909">
        <v>0</v>
      </c>
      <c r="FH139" s="909">
        <v>0</v>
      </c>
      <c r="FI139" s="909">
        <v>0</v>
      </c>
      <c r="FJ139" s="910">
        <v>2590.9246957360065</v>
      </c>
      <c r="FK139" s="871">
        <v>2590.9246957360065</v>
      </c>
      <c r="FL139" s="911">
        <v>122.36577085160008</v>
      </c>
      <c r="FM139" s="908">
        <v>42.955200000000005</v>
      </c>
      <c r="FN139" s="902">
        <v>122.17805133981248</v>
      </c>
      <c r="FO139" s="902">
        <v>0</v>
      </c>
      <c r="FP139" s="902">
        <v>0</v>
      </c>
      <c r="FQ139" s="902">
        <v>51.689162132381156</v>
      </c>
      <c r="FR139" s="902">
        <v>12.128616518188899</v>
      </c>
      <c r="FS139" s="902">
        <v>3187.5</v>
      </c>
      <c r="FT139" s="909" t="s">
        <v>3889</v>
      </c>
      <c r="FU139" s="909">
        <v>6</v>
      </c>
      <c r="FV139" s="909">
        <v>0</v>
      </c>
      <c r="FW139" s="909">
        <v>0</v>
      </c>
      <c r="FX139" s="909">
        <v>0</v>
      </c>
      <c r="FY139" s="910">
        <v>3088.6999453216436</v>
      </c>
      <c r="FZ139" s="909">
        <v>0</v>
      </c>
      <c r="GA139" s="909">
        <v>0</v>
      </c>
      <c r="GB139" s="909">
        <v>0</v>
      </c>
      <c r="GC139" s="910">
        <v>3059.0207566288991</v>
      </c>
      <c r="GD139" s="871">
        <v>3059.0207566288991</v>
      </c>
      <c r="GE139" s="911">
        <v>144.47329694760074</v>
      </c>
      <c r="GF139" s="908">
        <v>21.477600000000002</v>
      </c>
      <c r="GG139" s="902">
        <v>100.70045133981247</v>
      </c>
      <c r="GH139" s="902">
        <v>0</v>
      </c>
      <c r="GI139" s="902">
        <v>0</v>
      </c>
      <c r="GJ139" s="902">
        <v>45.650968228624798</v>
      </c>
      <c r="GK139" s="902">
        <v>9.1292562546888991</v>
      </c>
      <c r="GL139" s="902">
        <v>2550</v>
      </c>
      <c r="GM139" s="909" t="s">
        <v>2877</v>
      </c>
      <c r="GN139" s="909">
        <v>3</v>
      </c>
      <c r="GO139" s="909">
        <v>0</v>
      </c>
      <c r="GP139" s="909">
        <v>0</v>
      </c>
      <c r="GQ139" s="909">
        <v>0</v>
      </c>
      <c r="GR139" s="910">
        <v>2513.6263651209356</v>
      </c>
      <c r="GS139" s="909">
        <v>0</v>
      </c>
      <c r="GT139" s="909">
        <v>0</v>
      </c>
      <c r="GU139" s="909">
        <v>0</v>
      </c>
      <c r="GV139" s="910">
        <v>2489.4730344264158</v>
      </c>
      <c r="GW139" s="871">
        <v>2489.4730344264158</v>
      </c>
      <c r="GX139" s="911">
        <v>117.5743499505009</v>
      </c>
      <c r="GY139" s="908">
        <v>35.796000000000006</v>
      </c>
      <c r="GZ139" s="902">
        <v>115.01885133981249</v>
      </c>
      <c r="HA139" s="902">
        <v>0</v>
      </c>
      <c r="HB139" s="902">
        <v>0</v>
      </c>
      <c r="HC139" s="902">
        <v>49.926990557018719</v>
      </c>
      <c r="HD139" s="902">
        <v>11.128829763688898</v>
      </c>
      <c r="HE139" s="902">
        <v>3187.5</v>
      </c>
      <c r="HF139" s="909" t="s">
        <v>2877</v>
      </c>
      <c r="HG139" s="909">
        <v>5</v>
      </c>
      <c r="HH139" s="909">
        <v>0</v>
      </c>
      <c r="HI139" s="909">
        <v>0</v>
      </c>
      <c r="HJ139" s="909">
        <v>0</v>
      </c>
      <c r="HK139" s="910">
        <v>3509.8159210535341</v>
      </c>
      <c r="HL139" s="909">
        <v>0</v>
      </c>
      <c r="HM139" s="909">
        <v>0</v>
      </c>
      <c r="HN139" s="909">
        <v>0</v>
      </c>
      <c r="HO139" s="910">
        <v>3476.0902465491649</v>
      </c>
      <c r="HP139" s="871">
        <v>3476.0902465491649</v>
      </c>
      <c r="HQ139" s="911">
        <v>164.17090904600229</v>
      </c>
      <c r="HR139" s="908">
        <v>28.636800000000004</v>
      </c>
      <c r="HS139" s="902">
        <v>107.85965133981249</v>
      </c>
      <c r="HT139" s="902">
        <v>0</v>
      </c>
      <c r="HU139" s="902">
        <v>0</v>
      </c>
      <c r="HV139" s="902">
        <v>47.930890193909882</v>
      </c>
      <c r="HW139" s="902">
        <v>10.129043009188898</v>
      </c>
      <c r="HX139" s="902">
        <v>2550</v>
      </c>
      <c r="HY139" s="909" t="s">
        <v>1063</v>
      </c>
      <c r="HZ139" s="909">
        <v>4</v>
      </c>
      <c r="IA139" s="909">
        <v>0</v>
      </c>
      <c r="IB139" s="909">
        <v>0</v>
      </c>
      <c r="IC139" s="909">
        <v>0</v>
      </c>
      <c r="ID139" s="910">
        <v>2642.1260644813183</v>
      </c>
      <c r="IE139" s="909">
        <v>0</v>
      </c>
      <c r="IF139" s="909">
        <v>0</v>
      </c>
      <c r="IG139" s="909">
        <v>0</v>
      </c>
      <c r="IH139" s="910">
        <v>2616.7379855465174</v>
      </c>
      <c r="II139" s="871">
        <v>2616.7379855465174</v>
      </c>
      <c r="IJ139" s="911">
        <v>123.58489663749315</v>
      </c>
      <c r="IK139" s="908">
        <v>35.796000000000006</v>
      </c>
      <c r="IL139" s="902">
        <v>115.01885133981249</v>
      </c>
      <c r="IM139" s="902">
        <v>0</v>
      </c>
      <c r="IN139" s="902">
        <v>0</v>
      </c>
      <c r="IO139" s="902">
        <v>49.926990557018719</v>
      </c>
      <c r="IP139" s="902">
        <v>11.128829763688898</v>
      </c>
      <c r="IQ139" s="902">
        <v>3187.5</v>
      </c>
      <c r="IR139" s="909" t="s">
        <v>1063</v>
      </c>
      <c r="IS139" s="909">
        <v>5</v>
      </c>
      <c r="IT139" s="909">
        <v>0</v>
      </c>
      <c r="IU139" s="909">
        <v>0</v>
      </c>
      <c r="IV139" s="909">
        <v>0</v>
      </c>
      <c r="IW139" s="910">
        <v>3095.3666915743443</v>
      </c>
      <c r="IX139" s="909">
        <v>0</v>
      </c>
      <c r="IY139" s="909">
        <v>0</v>
      </c>
      <c r="IZ139" s="909">
        <v>0</v>
      </c>
      <c r="JA139" s="910">
        <v>3065.6234423954629</v>
      </c>
      <c r="JB139" s="871">
        <v>3065.6234423954629</v>
      </c>
      <c r="JC139" s="911">
        <v>144.78513261571032</v>
      </c>
      <c r="JD139" s="908">
        <v>21.477600000000002</v>
      </c>
      <c r="JE139" s="902">
        <v>100.70045133981247</v>
      </c>
      <c r="JF139" s="902">
        <v>0</v>
      </c>
      <c r="JG139" s="902">
        <v>0</v>
      </c>
      <c r="JH139" s="902">
        <v>45.650968228624798</v>
      </c>
      <c r="JI139" s="902">
        <v>9.1292562546888991</v>
      </c>
      <c r="JJ139" s="902">
        <v>2550</v>
      </c>
      <c r="JK139" s="909" t="s">
        <v>1064</v>
      </c>
      <c r="JL139" s="909">
        <v>3</v>
      </c>
      <c r="JM139" s="909">
        <v>0</v>
      </c>
      <c r="JN139" s="909">
        <v>0</v>
      </c>
      <c r="JO139" s="909">
        <v>0</v>
      </c>
      <c r="JP139" s="910">
        <v>3021.0029155996772</v>
      </c>
      <c r="JQ139" s="909">
        <v>0</v>
      </c>
      <c r="JR139" s="909">
        <v>0</v>
      </c>
      <c r="JS139" s="909">
        <v>0</v>
      </c>
      <c r="JT139" s="910">
        <v>2991.9742248363668</v>
      </c>
      <c r="JU139" s="871">
        <v>2991.9742248363668</v>
      </c>
      <c r="JV139" s="911">
        <v>141.3067824752884</v>
      </c>
      <c r="JW139" s="908">
        <v>28.636800000000004</v>
      </c>
      <c r="JX139" s="902">
        <v>107.85965133981249</v>
      </c>
      <c r="JY139" s="902">
        <v>0</v>
      </c>
      <c r="JZ139" s="902">
        <v>0</v>
      </c>
      <c r="KA139" s="902">
        <v>47.930890193909882</v>
      </c>
      <c r="KB139" s="902">
        <v>10.129043009188898</v>
      </c>
      <c r="KC139" s="902">
        <v>3187.5</v>
      </c>
      <c r="KD139" s="909" t="s">
        <v>1064</v>
      </c>
      <c r="KE139" s="909">
        <v>4</v>
      </c>
      <c r="KF139" s="909">
        <v>0</v>
      </c>
      <c r="KG139" s="909">
        <v>0</v>
      </c>
      <c r="KH139" s="909">
        <v>0</v>
      </c>
      <c r="KI139" s="910">
        <v>3600.6108971354624</v>
      </c>
      <c r="KJ139" s="909">
        <v>0</v>
      </c>
      <c r="KK139" s="909">
        <v>0</v>
      </c>
      <c r="KL139" s="909">
        <v>0</v>
      </c>
      <c r="KM139" s="910">
        <v>3566.0127774994621</v>
      </c>
      <c r="KN139" s="871">
        <v>3566.0127774994621</v>
      </c>
      <c r="KO139" s="912">
        <v>168.41782515080797</v>
      </c>
    </row>
    <row r="140" spans="1:301" ht="15" customHeight="1">
      <c r="A140" s="1396" t="s">
        <v>1598</v>
      </c>
      <c r="B140" s="888" t="s">
        <v>1078</v>
      </c>
      <c r="C140" s="888">
        <v>582.98900000000003</v>
      </c>
      <c r="D140" s="888">
        <v>950</v>
      </c>
      <c r="E140" s="888">
        <v>560</v>
      </c>
      <c r="F140" s="888">
        <v>517.4010237662286</v>
      </c>
      <c r="G140" s="888">
        <v>226.58562076326757</v>
      </c>
      <c r="H140" s="888">
        <v>179.98668744829493</v>
      </c>
      <c r="I140" s="888">
        <v>175</v>
      </c>
      <c r="J140" s="888">
        <v>42.31</v>
      </c>
      <c r="K140" s="888">
        <v>62.47</v>
      </c>
      <c r="L140" s="888">
        <v>20</v>
      </c>
      <c r="M140" s="888">
        <v>235.19290077985301</v>
      </c>
      <c r="N140" s="888">
        <v>6</v>
      </c>
      <c r="O140" s="884">
        <v>21.784738083806069</v>
      </c>
      <c r="P140" s="888">
        <v>6</v>
      </c>
      <c r="Q140" s="884">
        <v>13.471970528522627</v>
      </c>
      <c r="R140" s="888">
        <v>18.000000000000004</v>
      </c>
      <c r="S140" s="888">
        <v>733.70051188311436</v>
      </c>
      <c r="T140" s="906">
        <v>59.740614754905778</v>
      </c>
      <c r="U140" s="906">
        <v>110.05507678246715</v>
      </c>
      <c r="V140" s="906">
        <v>122.5</v>
      </c>
      <c r="W140" s="1141">
        <v>6.8608362257587112</v>
      </c>
      <c r="X140" s="902">
        <v>0</v>
      </c>
      <c r="Y140" s="902">
        <v>0</v>
      </c>
      <c r="Z140" s="902">
        <v>0</v>
      </c>
      <c r="AA140" s="902">
        <v>0</v>
      </c>
      <c r="AB140" s="970">
        <v>17.777516328620379</v>
      </c>
      <c r="AC140" s="1045">
        <v>3557.7905003505975</v>
      </c>
      <c r="AD140" s="890">
        <v>1.8728071542260232</v>
      </c>
      <c r="AE140" s="890">
        <v>0.91024908025902862</v>
      </c>
      <c r="AF140" s="890">
        <v>-0.14060501089205771</v>
      </c>
      <c r="AG140" s="890">
        <v>0.38941388891253492</v>
      </c>
      <c r="AH140" s="888"/>
      <c r="AI140" s="907">
        <v>3.9712180991743291</v>
      </c>
      <c r="AJ140" s="908">
        <v>32.769961887984245</v>
      </c>
      <c r="AK140" s="902">
        <v>134.62812148097743</v>
      </c>
      <c r="AL140" s="902">
        <v>0</v>
      </c>
      <c r="AM140" s="902">
        <v>0</v>
      </c>
      <c r="AN140" s="902">
        <v>58.445062333910414</v>
      </c>
      <c r="AO140" s="902">
        <v>14.846878952305897</v>
      </c>
      <c r="AP140" s="1222">
        <v>2200</v>
      </c>
      <c r="AQ140" s="909" t="s">
        <v>1062</v>
      </c>
      <c r="AR140" s="909">
        <v>5</v>
      </c>
      <c r="AS140" s="909">
        <v>0</v>
      </c>
      <c r="AT140" s="909">
        <v>0</v>
      </c>
      <c r="AU140" s="909">
        <v>0</v>
      </c>
      <c r="AV140" s="910">
        <v>2273.662154748567</v>
      </c>
      <c r="AW140" s="909">
        <v>0</v>
      </c>
      <c r="AX140" s="909">
        <v>0</v>
      </c>
      <c r="AY140" s="909">
        <v>0</v>
      </c>
      <c r="AZ140" s="910">
        <v>2324.9898585348437</v>
      </c>
      <c r="BA140" s="871">
        <v>2273.662154748567</v>
      </c>
      <c r="BB140" s="911">
        <v>113.09623843330127</v>
      </c>
      <c r="BC140" s="908">
        <v>52.431939020774792</v>
      </c>
      <c r="BD140" s="902">
        <v>154.29009861376798</v>
      </c>
      <c r="BE140" s="902">
        <v>0</v>
      </c>
      <c r="BF140" s="902">
        <v>0</v>
      </c>
      <c r="BG140" s="902">
        <v>62.465421338453375</v>
      </c>
      <c r="BH140" s="902">
        <v>17.900325443042263</v>
      </c>
      <c r="BI140" s="902">
        <v>2750</v>
      </c>
      <c r="BJ140" s="909" t="s">
        <v>1062</v>
      </c>
      <c r="BK140" s="909">
        <v>8</v>
      </c>
      <c r="BL140" s="909">
        <v>0</v>
      </c>
      <c r="BM140" s="909">
        <v>0</v>
      </c>
      <c r="BN140" s="909">
        <v>0</v>
      </c>
      <c r="BO140" s="910">
        <v>3557.7905003505975</v>
      </c>
      <c r="BP140" s="909">
        <v>0</v>
      </c>
      <c r="BQ140" s="909">
        <v>0</v>
      </c>
      <c r="BR140" s="909">
        <v>0</v>
      </c>
      <c r="BS140" s="910">
        <v>3672.0805973364263</v>
      </c>
      <c r="BT140" s="871">
        <v>3557.7905003505975</v>
      </c>
      <c r="BU140" s="911">
        <v>176.97120123278904</v>
      </c>
      <c r="BV140" s="908">
        <v>39.323954265581094</v>
      </c>
      <c r="BW140" s="902">
        <v>141.18211385857427</v>
      </c>
      <c r="BX140" s="902">
        <v>0</v>
      </c>
      <c r="BY140" s="902">
        <v>0</v>
      </c>
      <c r="BZ140" s="902">
        <v>59.909604761466206</v>
      </c>
      <c r="CA140" s="902">
        <v>15.864694449218019</v>
      </c>
      <c r="CB140" s="902">
        <v>2200</v>
      </c>
      <c r="CC140" s="909" t="s">
        <v>2874</v>
      </c>
      <c r="CD140" s="909">
        <v>6</v>
      </c>
      <c r="CE140" s="909">
        <v>0</v>
      </c>
      <c r="CF140" s="909">
        <v>0</v>
      </c>
      <c r="CG140" s="909">
        <v>0</v>
      </c>
      <c r="CH140" s="910">
        <v>2338.2828338748645</v>
      </c>
      <c r="CI140" s="909">
        <v>0</v>
      </c>
      <c r="CJ140" s="909">
        <v>0</v>
      </c>
      <c r="CK140" s="909">
        <v>0</v>
      </c>
      <c r="CL140" s="910">
        <v>2316.9541275364177</v>
      </c>
      <c r="CM140" s="871">
        <v>2316.9541275364177</v>
      </c>
      <c r="CN140" s="911">
        <v>115.24966270807184</v>
      </c>
      <c r="CO140" s="908">
        <v>52.431939020774792</v>
      </c>
      <c r="CP140" s="902">
        <v>154.29009861376798</v>
      </c>
      <c r="CQ140" s="902">
        <v>0</v>
      </c>
      <c r="CR140" s="902">
        <v>0</v>
      </c>
      <c r="CS140" s="902">
        <v>62.465421338453375</v>
      </c>
      <c r="CT140" s="902">
        <v>17.900325443042263</v>
      </c>
      <c r="CU140" s="902">
        <v>2750</v>
      </c>
      <c r="CV140" s="909" t="s">
        <v>2874</v>
      </c>
      <c r="CW140" s="909">
        <v>8</v>
      </c>
      <c r="CX140" s="909">
        <v>0</v>
      </c>
      <c r="CY140" s="909">
        <v>0</v>
      </c>
      <c r="CZ140" s="909">
        <v>0</v>
      </c>
      <c r="DA140" s="910">
        <v>3222.201596514938</v>
      </c>
      <c r="DB140" s="909">
        <v>0</v>
      </c>
      <c r="DC140" s="909">
        <v>0</v>
      </c>
      <c r="DD140" s="909">
        <v>0</v>
      </c>
      <c r="DE140" s="910">
        <v>3192.8102027044861</v>
      </c>
      <c r="DF140" s="871">
        <v>3192.8102027044861</v>
      </c>
      <c r="DG140" s="911">
        <v>158.8163937211134</v>
      </c>
      <c r="DH140" s="908">
        <v>32.769961887984245</v>
      </c>
      <c r="DI140" s="902">
        <v>134.62812148097743</v>
      </c>
      <c r="DJ140" s="902">
        <v>0</v>
      </c>
      <c r="DK140" s="902">
        <v>0</v>
      </c>
      <c r="DL140" s="902">
        <v>58.445062333910414</v>
      </c>
      <c r="DM140" s="902">
        <v>14.846878952305897</v>
      </c>
      <c r="DN140" s="902">
        <v>2200</v>
      </c>
      <c r="DO140" s="909" t="s">
        <v>2876</v>
      </c>
      <c r="DP140" s="909">
        <v>5</v>
      </c>
      <c r="DQ140" s="909">
        <v>0</v>
      </c>
      <c r="DR140" s="909">
        <v>0</v>
      </c>
      <c r="DS140" s="909">
        <v>0</v>
      </c>
      <c r="DT140" s="910">
        <v>2181.0094133606653</v>
      </c>
      <c r="DU140" s="909">
        <v>0</v>
      </c>
      <c r="DV140" s="909">
        <v>0</v>
      </c>
      <c r="DW140" s="909">
        <v>0</v>
      </c>
      <c r="DX140" s="910">
        <v>2161.1152805260945</v>
      </c>
      <c r="DY140" s="871">
        <v>2161.1152805260945</v>
      </c>
      <c r="DZ140" s="911">
        <v>107.49794490697253</v>
      </c>
      <c r="EA140" s="908">
        <v>52.431939020774792</v>
      </c>
      <c r="EB140" s="902">
        <v>154.29009861376798</v>
      </c>
      <c r="EC140" s="902">
        <v>0</v>
      </c>
      <c r="ED140" s="902">
        <v>0</v>
      </c>
      <c r="EE140" s="902">
        <v>62.465421338453375</v>
      </c>
      <c r="EF140" s="902">
        <v>17.900325443042263</v>
      </c>
      <c r="EG140" s="902">
        <v>2750</v>
      </c>
      <c r="EH140" s="909" t="s">
        <v>2876</v>
      </c>
      <c r="EI140" s="909">
        <v>8</v>
      </c>
      <c r="EJ140" s="909">
        <v>0</v>
      </c>
      <c r="EK140" s="909">
        <v>0</v>
      </c>
      <c r="EL140" s="909">
        <v>0</v>
      </c>
      <c r="EM140" s="910">
        <v>3444.6784015071025</v>
      </c>
      <c r="EN140" s="909">
        <v>0</v>
      </c>
      <c r="EO140" s="909">
        <v>0</v>
      </c>
      <c r="EP140" s="909">
        <v>0</v>
      </c>
      <c r="EQ140" s="910">
        <v>3413.257679859682</v>
      </c>
      <c r="ER140" s="871">
        <v>3413.257679859682</v>
      </c>
      <c r="ES140" s="911">
        <v>169.78186648772189</v>
      </c>
      <c r="ET140" s="908">
        <v>32.769961887984245</v>
      </c>
      <c r="EU140" s="902">
        <v>134.62812148097743</v>
      </c>
      <c r="EV140" s="902">
        <v>0</v>
      </c>
      <c r="EW140" s="902">
        <v>0</v>
      </c>
      <c r="EX140" s="902">
        <v>58.445062333910414</v>
      </c>
      <c r="EY140" s="902">
        <v>14.846878952305897</v>
      </c>
      <c r="EZ140" s="902">
        <v>2200</v>
      </c>
      <c r="FA140" s="909" t="s">
        <v>3889</v>
      </c>
      <c r="FB140" s="909">
        <v>5</v>
      </c>
      <c r="FC140" s="909">
        <v>0</v>
      </c>
      <c r="FD140" s="909">
        <v>0</v>
      </c>
      <c r="FE140" s="909">
        <v>0</v>
      </c>
      <c r="FF140" s="910">
        <v>2225.9834112236626</v>
      </c>
      <c r="FG140" s="909">
        <v>0</v>
      </c>
      <c r="FH140" s="909">
        <v>0</v>
      </c>
      <c r="FI140" s="909">
        <v>0</v>
      </c>
      <c r="FJ140" s="910">
        <v>2205.679046925025</v>
      </c>
      <c r="FK140" s="871">
        <v>2205.679046925025</v>
      </c>
      <c r="FL140" s="911">
        <v>109.71463059161276</v>
      </c>
      <c r="FM140" s="908">
        <v>52.431939020774792</v>
      </c>
      <c r="FN140" s="902">
        <v>154.29009861376798</v>
      </c>
      <c r="FO140" s="902">
        <v>0</v>
      </c>
      <c r="FP140" s="902">
        <v>0</v>
      </c>
      <c r="FQ140" s="902">
        <v>62.465421338453375</v>
      </c>
      <c r="FR140" s="902">
        <v>17.900325443042263</v>
      </c>
      <c r="FS140" s="902">
        <v>2750</v>
      </c>
      <c r="FT140" s="909" t="s">
        <v>3889</v>
      </c>
      <c r="FU140" s="909">
        <v>8</v>
      </c>
      <c r="FV140" s="909">
        <v>0</v>
      </c>
      <c r="FW140" s="909">
        <v>0</v>
      </c>
      <c r="FX140" s="909">
        <v>0</v>
      </c>
      <c r="FY140" s="910">
        <v>3515.7101715325989</v>
      </c>
      <c r="FZ140" s="909">
        <v>0</v>
      </c>
      <c r="GA140" s="909">
        <v>0</v>
      </c>
      <c r="GB140" s="909">
        <v>0</v>
      </c>
      <c r="GC140" s="910">
        <v>3483.6415317883857</v>
      </c>
      <c r="GD140" s="871">
        <v>3483.6415317883857</v>
      </c>
      <c r="GE140" s="911">
        <v>173.2828918634392</v>
      </c>
      <c r="GF140" s="908">
        <v>26.215969510387396</v>
      </c>
      <c r="GG140" s="902">
        <v>128.07412910338059</v>
      </c>
      <c r="GH140" s="902">
        <v>0</v>
      </c>
      <c r="GI140" s="902">
        <v>0</v>
      </c>
      <c r="GJ140" s="902">
        <v>56.830628589910539</v>
      </c>
      <c r="GK140" s="902">
        <v>13.829063455393777</v>
      </c>
      <c r="GL140" s="902">
        <v>2200</v>
      </c>
      <c r="GM140" s="909" t="s">
        <v>2877</v>
      </c>
      <c r="GN140" s="909">
        <v>4</v>
      </c>
      <c r="GO140" s="909">
        <v>0</v>
      </c>
      <c r="GP140" s="909">
        <v>0</v>
      </c>
      <c r="GQ140" s="909">
        <v>0</v>
      </c>
      <c r="GR140" s="910">
        <v>2586.9789401736762</v>
      </c>
      <c r="GS140" s="909">
        <v>0</v>
      </c>
      <c r="GT140" s="909">
        <v>0</v>
      </c>
      <c r="GU140" s="909">
        <v>0</v>
      </c>
      <c r="GV140" s="910">
        <v>2563.3817459765655</v>
      </c>
      <c r="GW140" s="871">
        <v>2563.3817459765655</v>
      </c>
      <c r="GX140" s="911">
        <v>127.50743664051411</v>
      </c>
      <c r="GY140" s="908">
        <v>32.769961887984245</v>
      </c>
      <c r="GZ140" s="902">
        <v>134.62812148097743</v>
      </c>
      <c r="HA140" s="902">
        <v>0</v>
      </c>
      <c r="HB140" s="902">
        <v>0</v>
      </c>
      <c r="HC140" s="902">
        <v>58.445062333910414</v>
      </c>
      <c r="HD140" s="902">
        <v>14.846878952305897</v>
      </c>
      <c r="HE140" s="902">
        <v>2750</v>
      </c>
      <c r="HF140" s="909" t="s">
        <v>2877</v>
      </c>
      <c r="HG140" s="909">
        <v>5</v>
      </c>
      <c r="HH140" s="909">
        <v>0</v>
      </c>
      <c r="HI140" s="909">
        <v>0</v>
      </c>
      <c r="HJ140" s="909">
        <v>0</v>
      </c>
      <c r="HK140" s="910">
        <v>2986.4701345697658</v>
      </c>
      <c r="HL140" s="909">
        <v>0</v>
      </c>
      <c r="HM140" s="909">
        <v>0</v>
      </c>
      <c r="HN140" s="909">
        <v>0</v>
      </c>
      <c r="HO140" s="910">
        <v>2959.2289712827728</v>
      </c>
      <c r="HP140" s="871">
        <v>2959.2289712827728</v>
      </c>
      <c r="HQ140" s="911">
        <v>147.19762327747398</v>
      </c>
      <c r="HR140" s="908">
        <v>26.215969510387396</v>
      </c>
      <c r="HS140" s="902">
        <v>128.07412910338059</v>
      </c>
      <c r="HT140" s="902">
        <v>0</v>
      </c>
      <c r="HU140" s="902">
        <v>0</v>
      </c>
      <c r="HV140" s="902">
        <v>56.830628589910539</v>
      </c>
      <c r="HW140" s="902">
        <v>13.829063455393777</v>
      </c>
      <c r="HX140" s="902">
        <v>2200</v>
      </c>
      <c r="HY140" s="909" t="s">
        <v>1063</v>
      </c>
      <c r="HZ140" s="909">
        <v>4</v>
      </c>
      <c r="IA140" s="909">
        <v>0</v>
      </c>
      <c r="IB140" s="909">
        <v>0</v>
      </c>
      <c r="IC140" s="909">
        <v>0</v>
      </c>
      <c r="ID140" s="910">
        <v>2281.5009742203301</v>
      </c>
      <c r="IE140" s="909">
        <v>0</v>
      </c>
      <c r="IF140" s="909">
        <v>0</v>
      </c>
      <c r="IG140" s="909">
        <v>0</v>
      </c>
      <c r="IH140" s="910">
        <v>2260.690205058846</v>
      </c>
      <c r="II140" s="871">
        <v>2260.690205058846</v>
      </c>
      <c r="IJ140" s="911">
        <v>112.45098922070851</v>
      </c>
      <c r="IK140" s="908">
        <v>39.323954265581094</v>
      </c>
      <c r="IL140" s="902">
        <v>141.18211385857427</v>
      </c>
      <c r="IM140" s="902">
        <v>0</v>
      </c>
      <c r="IN140" s="902">
        <v>0</v>
      </c>
      <c r="IO140" s="902">
        <v>59.909604761466206</v>
      </c>
      <c r="IP140" s="902">
        <v>15.864694449218019</v>
      </c>
      <c r="IQ140" s="902">
        <v>2750</v>
      </c>
      <c r="IR140" s="909" t="s">
        <v>1063</v>
      </c>
      <c r="IS140" s="909">
        <v>6</v>
      </c>
      <c r="IT140" s="909">
        <v>0</v>
      </c>
      <c r="IU140" s="909">
        <v>0</v>
      </c>
      <c r="IV140" s="909">
        <v>0</v>
      </c>
      <c r="IW140" s="910">
        <v>3018.710158106629</v>
      </c>
      <c r="IX140" s="909">
        <v>0</v>
      </c>
      <c r="IY140" s="909">
        <v>0</v>
      </c>
      <c r="IZ140" s="909">
        <v>0</v>
      </c>
      <c r="JA140" s="910">
        <v>2991.1749166250042</v>
      </c>
      <c r="JB140" s="871">
        <v>2991.1749166250042</v>
      </c>
      <c r="JC140" s="911">
        <v>148.7866747747936</v>
      </c>
      <c r="JD140" s="908">
        <v>26.215969510387396</v>
      </c>
      <c r="JE140" s="902">
        <v>128.07412910338059</v>
      </c>
      <c r="JF140" s="902">
        <v>0</v>
      </c>
      <c r="JG140" s="902">
        <v>0</v>
      </c>
      <c r="JH140" s="902">
        <v>56.830628589910539</v>
      </c>
      <c r="JI140" s="902">
        <v>13.829063455393777</v>
      </c>
      <c r="JJ140" s="902">
        <v>2200</v>
      </c>
      <c r="JK140" s="909" t="s">
        <v>1064</v>
      </c>
      <c r="JL140" s="909">
        <v>4</v>
      </c>
      <c r="JM140" s="909">
        <v>0</v>
      </c>
      <c r="JN140" s="909">
        <v>0</v>
      </c>
      <c r="JO140" s="909">
        <v>0</v>
      </c>
      <c r="JP140" s="910">
        <v>3109.1617391138925</v>
      </c>
      <c r="JQ140" s="909">
        <v>0</v>
      </c>
      <c r="JR140" s="909">
        <v>0</v>
      </c>
      <c r="JS140" s="909">
        <v>0</v>
      </c>
      <c r="JT140" s="910">
        <v>3080.8014412356383</v>
      </c>
      <c r="JU140" s="871">
        <v>3080.8014412356383</v>
      </c>
      <c r="JV140" s="911">
        <v>153.24486693678318</v>
      </c>
      <c r="JW140" s="908">
        <v>26.215969510387396</v>
      </c>
      <c r="JX140" s="902">
        <v>128.07412910338059</v>
      </c>
      <c r="JY140" s="902">
        <v>0</v>
      </c>
      <c r="JZ140" s="902">
        <v>0</v>
      </c>
      <c r="KA140" s="902">
        <v>56.830628589910539</v>
      </c>
      <c r="KB140" s="902">
        <v>13.829063455393777</v>
      </c>
      <c r="KC140" s="902">
        <v>2750</v>
      </c>
      <c r="KD140" s="909" t="s">
        <v>1064</v>
      </c>
      <c r="KE140" s="909">
        <v>4</v>
      </c>
      <c r="KF140" s="909">
        <v>0</v>
      </c>
      <c r="KG140" s="909">
        <v>0</v>
      </c>
      <c r="KH140" s="909">
        <v>0</v>
      </c>
      <c r="KI140" s="910">
        <v>3109.1617391154869</v>
      </c>
      <c r="KJ140" s="909">
        <v>0</v>
      </c>
      <c r="KK140" s="909">
        <v>0</v>
      </c>
      <c r="KL140" s="909">
        <v>0</v>
      </c>
      <c r="KM140" s="910">
        <v>3080.8014412356301</v>
      </c>
      <c r="KN140" s="871">
        <v>3080.8014412356301</v>
      </c>
      <c r="KO140" s="912">
        <v>153.24486693678278</v>
      </c>
    </row>
    <row r="141" spans="1:301" ht="15" customHeight="1">
      <c r="A141" s="1396" t="s">
        <v>1599</v>
      </c>
      <c r="B141" s="888" t="s">
        <v>1079</v>
      </c>
      <c r="C141" s="888">
        <v>664.95699999999999</v>
      </c>
      <c r="D141" s="888">
        <v>1100</v>
      </c>
      <c r="E141" s="888">
        <v>630</v>
      </c>
      <c r="F141" s="888">
        <v>596.27920848197721</v>
      </c>
      <c r="G141" s="888">
        <v>253.03382335867602</v>
      </c>
      <c r="H141" s="888">
        <v>200.00875758327325</v>
      </c>
      <c r="I141" s="888">
        <v>195</v>
      </c>
      <c r="J141" s="888">
        <v>42.8</v>
      </c>
      <c r="K141" s="888">
        <v>63.21</v>
      </c>
      <c r="L141" s="888">
        <v>24</v>
      </c>
      <c r="M141" s="888">
        <v>275.94234824520538</v>
      </c>
      <c r="N141" s="888">
        <v>6</v>
      </c>
      <c r="O141" s="884">
        <v>30.078401317613711</v>
      </c>
      <c r="P141" s="888">
        <v>6</v>
      </c>
      <c r="Q141" s="884">
        <v>18.15058994002726</v>
      </c>
      <c r="R141" s="888">
        <v>18.000000000000004</v>
      </c>
      <c r="S141" s="888">
        <v>848.13960424098866</v>
      </c>
      <c r="T141" s="906">
        <v>79.830110370470166</v>
      </c>
      <c r="U141" s="906">
        <v>127.2209406361483</v>
      </c>
      <c r="V141" s="906">
        <v>147.5</v>
      </c>
      <c r="W141" s="1141">
        <v>11.039007449666576</v>
      </c>
      <c r="X141" s="902">
        <v>0</v>
      </c>
      <c r="Y141" s="902">
        <v>0</v>
      </c>
      <c r="Z141" s="902">
        <v>0</v>
      </c>
      <c r="AA141" s="902">
        <v>0</v>
      </c>
      <c r="AB141" s="970">
        <v>23.545499091774612</v>
      </c>
      <c r="AC141" s="1045">
        <v>2884.937735785657</v>
      </c>
      <c r="AD141" s="890">
        <v>1.6339020237788597</v>
      </c>
      <c r="AE141" s="890">
        <v>0.92601015323515279</v>
      </c>
      <c r="AF141" s="890">
        <v>-0.12531656224916629</v>
      </c>
      <c r="AG141" s="890">
        <v>0.39280133411145984</v>
      </c>
      <c r="AH141" s="888"/>
      <c r="AI141" s="907">
        <v>5.7227629956430919</v>
      </c>
      <c r="AJ141" s="908">
        <v>51.338832392271215</v>
      </c>
      <c r="AK141" s="902">
        <v>190.43694147004891</v>
      </c>
      <c r="AL141" s="902">
        <v>0</v>
      </c>
      <c r="AM141" s="902">
        <v>0</v>
      </c>
      <c r="AN141" s="902">
        <v>66.883563573060755</v>
      </c>
      <c r="AO141" s="902">
        <v>28.199634684863668</v>
      </c>
      <c r="AP141" s="1222">
        <v>1800</v>
      </c>
      <c r="AQ141" s="909" t="s">
        <v>1062</v>
      </c>
      <c r="AR141" s="909">
        <v>5</v>
      </c>
      <c r="AS141" s="909">
        <v>0</v>
      </c>
      <c r="AT141" s="909">
        <v>0</v>
      </c>
      <c r="AU141" s="909">
        <v>0</v>
      </c>
      <c r="AV141" s="910">
        <v>1900.8378957187383</v>
      </c>
      <c r="AW141" s="909">
        <v>0</v>
      </c>
      <c r="AX141" s="909">
        <v>0</v>
      </c>
      <c r="AY141" s="909">
        <v>0</v>
      </c>
      <c r="AZ141" s="910">
        <v>1939.3016177116508</v>
      </c>
      <c r="BA141" s="871">
        <v>1900.8378957187383</v>
      </c>
      <c r="BB141" s="911">
        <v>109.48040342900961</v>
      </c>
      <c r="BC141" s="908">
        <v>82.142131827633946</v>
      </c>
      <c r="BD141" s="902">
        <v>221.24024090541167</v>
      </c>
      <c r="BE141" s="902">
        <v>0</v>
      </c>
      <c r="BF141" s="902">
        <v>0</v>
      </c>
      <c r="BG141" s="902">
        <v>71.494977773957856</v>
      </c>
      <c r="BH141" s="902">
        <v>34.561162163095268</v>
      </c>
      <c r="BI141" s="902">
        <v>2250</v>
      </c>
      <c r="BJ141" s="909" t="s">
        <v>1062</v>
      </c>
      <c r="BK141" s="909">
        <v>8</v>
      </c>
      <c r="BL141" s="909">
        <v>0</v>
      </c>
      <c r="BM141" s="909">
        <v>0</v>
      </c>
      <c r="BN141" s="909">
        <v>0</v>
      </c>
      <c r="BO141" s="910">
        <v>2884.937735785657</v>
      </c>
      <c r="BP141" s="909">
        <v>0</v>
      </c>
      <c r="BQ141" s="909">
        <v>0</v>
      </c>
      <c r="BR141" s="909">
        <v>0</v>
      </c>
      <c r="BS141" s="910">
        <v>2963.3288805421321</v>
      </c>
      <c r="BT141" s="871">
        <v>2884.937735785657</v>
      </c>
      <c r="BU141" s="911">
        <v>166.16048527481684</v>
      </c>
      <c r="BV141" s="908">
        <v>51.338832392271215</v>
      </c>
      <c r="BW141" s="902">
        <v>190.43694147004891</v>
      </c>
      <c r="BX141" s="902">
        <v>0</v>
      </c>
      <c r="BY141" s="902">
        <v>0</v>
      </c>
      <c r="BZ141" s="902">
        <v>66.883563573060755</v>
      </c>
      <c r="CA141" s="902">
        <v>28.199634684863668</v>
      </c>
      <c r="CB141" s="902">
        <v>1800</v>
      </c>
      <c r="CC141" s="909" t="s">
        <v>2874</v>
      </c>
      <c r="CD141" s="909">
        <v>5</v>
      </c>
      <c r="CE141" s="909">
        <v>0</v>
      </c>
      <c r="CF141" s="909">
        <v>0</v>
      </c>
      <c r="CG141" s="909">
        <v>0</v>
      </c>
      <c r="CH141" s="910">
        <v>1699.7771154522134</v>
      </c>
      <c r="CI141" s="909">
        <v>0</v>
      </c>
      <c r="CJ141" s="909">
        <v>0</v>
      </c>
      <c r="CK141" s="909">
        <v>0</v>
      </c>
      <c r="CL141" s="910">
        <v>1686.189022003648</v>
      </c>
      <c r="CM141" s="871">
        <v>1686.189022003648</v>
      </c>
      <c r="CN141" s="911">
        <v>97.117515808324342</v>
      </c>
      <c r="CO141" s="908">
        <v>82.142131827633946</v>
      </c>
      <c r="CP141" s="902">
        <v>221.24024090541167</v>
      </c>
      <c r="CQ141" s="902">
        <v>0</v>
      </c>
      <c r="CR141" s="902">
        <v>0</v>
      </c>
      <c r="CS141" s="902">
        <v>71.494977773957856</v>
      </c>
      <c r="CT141" s="902">
        <v>34.561162163095268</v>
      </c>
      <c r="CU141" s="902">
        <v>2250</v>
      </c>
      <c r="CV141" s="909" t="s">
        <v>2874</v>
      </c>
      <c r="CW141" s="909">
        <v>8</v>
      </c>
      <c r="CX141" s="909">
        <v>0</v>
      </c>
      <c r="CY141" s="909">
        <v>0</v>
      </c>
      <c r="CZ141" s="909">
        <v>0</v>
      </c>
      <c r="DA141" s="910">
        <v>2597.3260532059485</v>
      </c>
      <c r="DB141" s="909">
        <v>0</v>
      </c>
      <c r="DC141" s="909">
        <v>0</v>
      </c>
      <c r="DD141" s="909">
        <v>0</v>
      </c>
      <c r="DE141" s="910">
        <v>2576.5629138470658</v>
      </c>
      <c r="DF141" s="871">
        <v>2576.5629138470658</v>
      </c>
      <c r="DG141" s="911">
        <v>148.39937056365397</v>
      </c>
      <c r="DH141" s="908">
        <v>51.338832392271215</v>
      </c>
      <c r="DI141" s="902">
        <v>190.43694147004891</v>
      </c>
      <c r="DJ141" s="902">
        <v>0</v>
      </c>
      <c r="DK141" s="902">
        <v>0</v>
      </c>
      <c r="DL141" s="902">
        <v>66.883563573060755</v>
      </c>
      <c r="DM141" s="902">
        <v>28.199634684863668</v>
      </c>
      <c r="DN141" s="902">
        <v>1800</v>
      </c>
      <c r="DO141" s="909" t="s">
        <v>2876</v>
      </c>
      <c r="DP141" s="909">
        <v>5</v>
      </c>
      <c r="DQ141" s="909">
        <v>0</v>
      </c>
      <c r="DR141" s="909">
        <v>0</v>
      </c>
      <c r="DS141" s="909">
        <v>0</v>
      </c>
      <c r="DT141" s="910">
        <v>1817.1381714002257</v>
      </c>
      <c r="DU141" s="909">
        <v>0</v>
      </c>
      <c r="DV141" s="909">
        <v>0</v>
      </c>
      <c r="DW141" s="909">
        <v>0</v>
      </c>
      <c r="DX141" s="910">
        <v>1802.611888479159</v>
      </c>
      <c r="DY141" s="871">
        <v>1802.611888479159</v>
      </c>
      <c r="DZ141" s="911">
        <v>103.82299154552874</v>
      </c>
      <c r="EA141" s="908">
        <v>82.142131827633946</v>
      </c>
      <c r="EB141" s="902">
        <v>221.24024090541167</v>
      </c>
      <c r="EC141" s="902">
        <v>0</v>
      </c>
      <c r="ED141" s="902">
        <v>0</v>
      </c>
      <c r="EE141" s="902">
        <v>71.494977773957856</v>
      </c>
      <c r="EF141" s="902">
        <v>34.561162163095268</v>
      </c>
      <c r="EG141" s="902">
        <v>2250</v>
      </c>
      <c r="EH141" s="909" t="s">
        <v>2876</v>
      </c>
      <c r="EI141" s="909">
        <v>8</v>
      </c>
      <c r="EJ141" s="909">
        <v>0</v>
      </c>
      <c r="EK141" s="909">
        <v>0</v>
      </c>
      <c r="EL141" s="909">
        <v>0</v>
      </c>
      <c r="EM141" s="910">
        <v>2776.6583465252038</v>
      </c>
      <c r="EN141" s="909">
        <v>0</v>
      </c>
      <c r="EO141" s="909">
        <v>0</v>
      </c>
      <c r="EP141" s="909">
        <v>0</v>
      </c>
      <c r="EQ141" s="910">
        <v>2754.4616168810139</v>
      </c>
      <c r="ER141" s="871">
        <v>2754.4616168810139</v>
      </c>
      <c r="ES141" s="911">
        <v>158.64560030345504</v>
      </c>
      <c r="ET141" s="908">
        <v>51.338832392271215</v>
      </c>
      <c r="EU141" s="902">
        <v>190.43694147004891</v>
      </c>
      <c r="EV141" s="902">
        <v>0</v>
      </c>
      <c r="EW141" s="902">
        <v>0</v>
      </c>
      <c r="EX141" s="902">
        <v>66.883563573060755</v>
      </c>
      <c r="EY141" s="902">
        <v>28.199634684863668</v>
      </c>
      <c r="EZ141" s="902">
        <v>1800</v>
      </c>
      <c r="FA141" s="909" t="s">
        <v>3889</v>
      </c>
      <c r="FB141" s="909">
        <v>5</v>
      </c>
      <c r="FC141" s="909">
        <v>0</v>
      </c>
      <c r="FD141" s="909">
        <v>0</v>
      </c>
      <c r="FE141" s="909">
        <v>0</v>
      </c>
      <c r="FF141" s="910">
        <v>1854.6088800269283</v>
      </c>
      <c r="FG141" s="909">
        <v>0</v>
      </c>
      <c r="FH141" s="909">
        <v>0</v>
      </c>
      <c r="FI141" s="909">
        <v>0</v>
      </c>
      <c r="FJ141" s="910">
        <v>1839.7830546036298</v>
      </c>
      <c r="FK141" s="871">
        <v>1839.7830546036298</v>
      </c>
      <c r="FL141" s="911">
        <v>105.96389702326546</v>
      </c>
      <c r="FM141" s="908">
        <v>61.606598870725463</v>
      </c>
      <c r="FN141" s="902">
        <v>200.70470794850317</v>
      </c>
      <c r="FO141" s="902">
        <v>0</v>
      </c>
      <c r="FP141" s="902">
        <v>0</v>
      </c>
      <c r="FQ141" s="902">
        <v>68.577977220435812</v>
      </c>
      <c r="FR141" s="902">
        <v>30.320143844274202</v>
      </c>
      <c r="FS141" s="902">
        <v>2250</v>
      </c>
      <c r="FT141" s="909" t="s">
        <v>3889</v>
      </c>
      <c r="FU141" s="909">
        <v>6</v>
      </c>
      <c r="FV141" s="909">
        <v>0</v>
      </c>
      <c r="FW141" s="909">
        <v>0</v>
      </c>
      <c r="FX141" s="909">
        <v>0</v>
      </c>
      <c r="FY141" s="910">
        <v>2113.4732403510002</v>
      </c>
      <c r="FZ141" s="909">
        <v>0</v>
      </c>
      <c r="GA141" s="909">
        <v>0</v>
      </c>
      <c r="GB141" s="909">
        <v>0</v>
      </c>
      <c r="GC141" s="910">
        <v>2096.5780417807018</v>
      </c>
      <c r="GD141" s="871">
        <v>2096.5780417807018</v>
      </c>
      <c r="GE141" s="911">
        <v>120.754226518492</v>
      </c>
      <c r="GF141" s="908">
        <v>41.071065913816973</v>
      </c>
      <c r="GG141" s="902">
        <v>180.16917499159467</v>
      </c>
      <c r="GH141" s="902">
        <v>0</v>
      </c>
      <c r="GI141" s="902">
        <v>0</v>
      </c>
      <c r="GJ141" s="902">
        <v>64.996022065162776</v>
      </c>
      <c r="GK141" s="902">
        <v>26.079125525453136</v>
      </c>
      <c r="GL141" s="902">
        <v>1800</v>
      </c>
      <c r="GM141" s="909" t="s">
        <v>2877</v>
      </c>
      <c r="GN141" s="909">
        <v>4</v>
      </c>
      <c r="GO141" s="909">
        <v>0</v>
      </c>
      <c r="GP141" s="909">
        <v>0</v>
      </c>
      <c r="GQ141" s="909">
        <v>0</v>
      </c>
      <c r="GR141" s="910">
        <v>2163.5590255651023</v>
      </c>
      <c r="GS141" s="909">
        <v>0</v>
      </c>
      <c r="GT141" s="909">
        <v>0</v>
      </c>
      <c r="GU141" s="909">
        <v>0</v>
      </c>
      <c r="GV141" s="910">
        <v>2146.2634390123394</v>
      </c>
      <c r="GW141" s="871">
        <v>2146.2634390123394</v>
      </c>
      <c r="GX141" s="911">
        <v>123.61589996560807</v>
      </c>
      <c r="GY141" s="908">
        <v>41.071065913816973</v>
      </c>
      <c r="GZ141" s="902">
        <v>180.16917499159467</v>
      </c>
      <c r="HA141" s="902">
        <v>0</v>
      </c>
      <c r="HB141" s="902">
        <v>0</v>
      </c>
      <c r="HC141" s="902">
        <v>64.996022065162776</v>
      </c>
      <c r="HD141" s="902">
        <v>26.079125525453136</v>
      </c>
      <c r="HE141" s="902">
        <v>2250</v>
      </c>
      <c r="HF141" s="909" t="s">
        <v>2877</v>
      </c>
      <c r="HG141" s="909">
        <v>4</v>
      </c>
      <c r="HH141" s="909">
        <v>0</v>
      </c>
      <c r="HI141" s="909">
        <v>0</v>
      </c>
      <c r="HJ141" s="909">
        <v>0</v>
      </c>
      <c r="HK141" s="910">
        <v>2163.5590255651068</v>
      </c>
      <c r="HL141" s="909">
        <v>0</v>
      </c>
      <c r="HM141" s="909">
        <v>0</v>
      </c>
      <c r="HN141" s="909">
        <v>0</v>
      </c>
      <c r="HO141" s="910">
        <v>2146.263439013243</v>
      </c>
      <c r="HP141" s="871">
        <v>2146.263439013243</v>
      </c>
      <c r="HQ141" s="911">
        <v>123.61589996566009</v>
      </c>
      <c r="HR141" s="908">
        <v>41.071065913816973</v>
      </c>
      <c r="HS141" s="902">
        <v>180.16917499159467</v>
      </c>
      <c r="HT141" s="902">
        <v>0</v>
      </c>
      <c r="HU141" s="902">
        <v>0</v>
      </c>
      <c r="HV141" s="902">
        <v>64.996022065162776</v>
      </c>
      <c r="HW141" s="902">
        <v>26.079125525453136</v>
      </c>
      <c r="HX141" s="902">
        <v>1800</v>
      </c>
      <c r="HY141" s="909" t="s">
        <v>1063</v>
      </c>
      <c r="HZ141" s="909">
        <v>4</v>
      </c>
      <c r="IA141" s="909">
        <v>0</v>
      </c>
      <c r="IB141" s="909">
        <v>0</v>
      </c>
      <c r="IC141" s="909">
        <v>0</v>
      </c>
      <c r="ID141" s="910">
        <v>1908.079709484801</v>
      </c>
      <c r="IE141" s="909">
        <v>0</v>
      </c>
      <c r="IF141" s="909">
        <v>0</v>
      </c>
      <c r="IG141" s="909">
        <v>0</v>
      </c>
      <c r="IH141" s="910">
        <v>1892.8264358856152</v>
      </c>
      <c r="II141" s="871">
        <v>1892.8264358856152</v>
      </c>
      <c r="IJ141" s="911">
        <v>109.01897646747801</v>
      </c>
      <c r="IK141" s="908">
        <v>51.338832392271215</v>
      </c>
      <c r="IL141" s="902">
        <v>190.43694147004891</v>
      </c>
      <c r="IM141" s="902">
        <v>0</v>
      </c>
      <c r="IN141" s="902">
        <v>0</v>
      </c>
      <c r="IO141" s="902">
        <v>66.883563573060755</v>
      </c>
      <c r="IP141" s="902">
        <v>28.199634684863668</v>
      </c>
      <c r="IQ141" s="902">
        <v>2250</v>
      </c>
      <c r="IR141" s="909" t="s">
        <v>1063</v>
      </c>
      <c r="IS141" s="909">
        <v>5</v>
      </c>
      <c r="IT141" s="909">
        <v>0</v>
      </c>
      <c r="IU141" s="909">
        <v>0</v>
      </c>
      <c r="IV141" s="909">
        <v>0</v>
      </c>
      <c r="IW141" s="910">
        <v>2194.4028201368692</v>
      </c>
      <c r="IX141" s="909">
        <v>0</v>
      </c>
      <c r="IY141" s="909">
        <v>0</v>
      </c>
      <c r="IZ141" s="909">
        <v>0</v>
      </c>
      <c r="JA141" s="910">
        <v>2176.8606669259598</v>
      </c>
      <c r="JB141" s="871">
        <v>2176.8606669259598</v>
      </c>
      <c r="JC141" s="911">
        <v>125.37817378355817</v>
      </c>
      <c r="JD141" s="908">
        <v>41.071065913816973</v>
      </c>
      <c r="JE141" s="902">
        <v>180.16917499159467</v>
      </c>
      <c r="JF141" s="902">
        <v>0</v>
      </c>
      <c r="JG141" s="902">
        <v>0</v>
      </c>
      <c r="JH141" s="902">
        <v>64.996022065162776</v>
      </c>
      <c r="JI141" s="902">
        <v>26.079125525453136</v>
      </c>
      <c r="JJ141" s="902">
        <v>1800</v>
      </c>
      <c r="JK141" s="909" t="s">
        <v>1064</v>
      </c>
      <c r="JL141" s="909">
        <v>4</v>
      </c>
      <c r="JM141" s="909">
        <v>0</v>
      </c>
      <c r="JN141" s="909">
        <v>0</v>
      </c>
      <c r="JO141" s="909">
        <v>0</v>
      </c>
      <c r="JP141" s="910">
        <v>2600.2743347228406</v>
      </c>
      <c r="JQ141" s="909">
        <v>0</v>
      </c>
      <c r="JR141" s="909">
        <v>0</v>
      </c>
      <c r="JS141" s="909">
        <v>0</v>
      </c>
      <c r="JT141" s="910">
        <v>2579.4876266708943</v>
      </c>
      <c r="JU141" s="871">
        <v>2579.4876266708943</v>
      </c>
      <c r="JV141" s="911">
        <v>148.56782192954265</v>
      </c>
      <c r="JW141" s="908">
        <v>41.071065913816973</v>
      </c>
      <c r="JX141" s="902">
        <v>180.16917499159467</v>
      </c>
      <c r="JY141" s="902">
        <v>0</v>
      </c>
      <c r="JZ141" s="902">
        <v>0</v>
      </c>
      <c r="KA141" s="902">
        <v>64.996022065162776</v>
      </c>
      <c r="KB141" s="902">
        <v>26.079125525453136</v>
      </c>
      <c r="KC141" s="902">
        <v>2250</v>
      </c>
      <c r="KD141" s="909" t="s">
        <v>1064</v>
      </c>
      <c r="KE141" s="909">
        <v>4</v>
      </c>
      <c r="KF141" s="909">
        <v>0</v>
      </c>
      <c r="KG141" s="909">
        <v>0</v>
      </c>
      <c r="KH141" s="909">
        <v>0</v>
      </c>
      <c r="KI141" s="910">
        <v>2600.2743347226319</v>
      </c>
      <c r="KJ141" s="909">
        <v>0</v>
      </c>
      <c r="KK141" s="909">
        <v>0</v>
      </c>
      <c r="KL141" s="909">
        <v>0</v>
      </c>
      <c r="KM141" s="910">
        <v>2579.4876266708916</v>
      </c>
      <c r="KN141" s="871">
        <v>2579.4876266708916</v>
      </c>
      <c r="KO141" s="912">
        <v>148.56782192954248</v>
      </c>
    </row>
    <row r="142" spans="1:301" ht="15" customHeight="1">
      <c r="A142" s="1396" t="s">
        <v>1600</v>
      </c>
      <c r="B142" s="888" t="s">
        <v>1081</v>
      </c>
      <c r="C142" s="888">
        <v>750.18499999999995</v>
      </c>
      <c r="D142" s="888">
        <v>1235</v>
      </c>
      <c r="E142" s="888">
        <v>800</v>
      </c>
      <c r="F142" s="888">
        <v>621.20447668394229</v>
      </c>
      <c r="G142" s="888">
        <v>293.69374394752509</v>
      </c>
      <c r="H142" s="888">
        <v>235.38070273123972</v>
      </c>
      <c r="I142" s="888">
        <v>220</v>
      </c>
      <c r="J142" s="888">
        <v>43.48</v>
      </c>
      <c r="K142" s="888">
        <v>63.44</v>
      </c>
      <c r="L142" s="888">
        <v>24</v>
      </c>
      <c r="M142" s="888">
        <v>309.17426189941949</v>
      </c>
      <c r="N142" s="888">
        <v>6</v>
      </c>
      <c r="O142" s="884">
        <v>32.746467601014146</v>
      </c>
      <c r="P142" s="888">
        <v>6</v>
      </c>
      <c r="Q142" s="884">
        <v>24.557353175595438</v>
      </c>
      <c r="R142" s="888">
        <v>18.000000000000004</v>
      </c>
      <c r="S142" s="888">
        <v>928.1022383419712</v>
      </c>
      <c r="T142" s="906">
        <v>95.59246998861417</v>
      </c>
      <c r="U142" s="906">
        <v>139.21533575129567</v>
      </c>
      <c r="V142" s="906">
        <v>147.5</v>
      </c>
      <c r="W142" s="1141">
        <v>13.218646240613051</v>
      </c>
      <c r="X142" s="902">
        <v>0</v>
      </c>
      <c r="Y142" s="902">
        <v>0</v>
      </c>
      <c r="Z142" s="902">
        <v>0</v>
      </c>
      <c r="AA142" s="902">
        <v>0</v>
      </c>
      <c r="AB142" s="970">
        <v>33.140330553629639</v>
      </c>
      <c r="AC142" s="1045">
        <v>3020.0728045664955</v>
      </c>
      <c r="AD142" s="890">
        <v>1.4733480091073339</v>
      </c>
      <c r="AE142" s="890">
        <v>0.94830137494169897</v>
      </c>
      <c r="AF142" s="890">
        <v>-0.22109798540501563</v>
      </c>
      <c r="AG142" s="890">
        <v>0.38186498851005007</v>
      </c>
      <c r="AH142" s="888"/>
      <c r="AI142" s="907">
        <v>7.286634595112254</v>
      </c>
      <c r="AJ142" s="908">
        <v>79.575634245876088</v>
      </c>
      <c r="AK142" s="902">
        <v>245.69057125171287</v>
      </c>
      <c r="AL142" s="902">
        <v>0</v>
      </c>
      <c r="AM142" s="902">
        <v>0</v>
      </c>
      <c r="AN142" s="902">
        <v>77.259987078030292</v>
      </c>
      <c r="AO142" s="902">
        <v>47.250873849682677</v>
      </c>
      <c r="AP142" s="1222">
        <v>1700</v>
      </c>
      <c r="AQ142" s="909" t="s">
        <v>1062</v>
      </c>
      <c r="AR142" s="909">
        <v>6</v>
      </c>
      <c r="AS142" s="909">
        <v>0</v>
      </c>
      <c r="AT142" s="909">
        <v>0</v>
      </c>
      <c r="AU142" s="909">
        <v>0</v>
      </c>
      <c r="AV142" s="910">
        <v>1701.9376707608465</v>
      </c>
      <c r="AW142" s="909">
        <v>0</v>
      </c>
      <c r="AX142" s="909">
        <v>0</v>
      </c>
      <c r="AY142" s="909">
        <v>0</v>
      </c>
      <c r="AZ142" s="910">
        <v>1823.7969765930247</v>
      </c>
      <c r="BA142" s="871">
        <v>1701.9376707608465</v>
      </c>
      <c r="BB142" s="911">
        <v>110.0548613485425</v>
      </c>
      <c r="BC142" s="908">
        <v>106.10084566116812</v>
      </c>
      <c r="BD142" s="902">
        <v>272.21578266700493</v>
      </c>
      <c r="BE142" s="902">
        <v>0</v>
      </c>
      <c r="BF142" s="902">
        <v>0</v>
      </c>
      <c r="BG142" s="902">
        <v>81.199596860455927</v>
      </c>
      <c r="BH142" s="902">
        <v>54.173962431680636</v>
      </c>
      <c r="BI142" s="902">
        <v>2125</v>
      </c>
      <c r="BJ142" s="909" t="s">
        <v>1062</v>
      </c>
      <c r="BK142" s="909">
        <v>8</v>
      </c>
      <c r="BL142" s="909">
        <v>0</v>
      </c>
      <c r="BM142" s="909">
        <v>0</v>
      </c>
      <c r="BN142" s="909">
        <v>0</v>
      </c>
      <c r="BO142" s="910">
        <v>2202.5699719635754</v>
      </c>
      <c r="BP142" s="909">
        <v>0</v>
      </c>
      <c r="BQ142" s="909">
        <v>0</v>
      </c>
      <c r="BR142" s="909">
        <v>0</v>
      </c>
      <c r="BS142" s="910">
        <v>2387.139013924831</v>
      </c>
      <c r="BT142" s="871">
        <v>2202.5699719635754</v>
      </c>
      <c r="BU142" s="911">
        <v>142.42797315047889</v>
      </c>
      <c r="BV142" s="908">
        <v>106.10084566116812</v>
      </c>
      <c r="BW142" s="902">
        <v>272.21578266700493</v>
      </c>
      <c r="BX142" s="902">
        <v>0</v>
      </c>
      <c r="BY142" s="902">
        <v>0</v>
      </c>
      <c r="BZ142" s="902">
        <v>81.199596860455927</v>
      </c>
      <c r="CA142" s="902">
        <v>54.173962431680636</v>
      </c>
      <c r="CB142" s="902">
        <v>1700</v>
      </c>
      <c r="CC142" s="909" t="s">
        <v>2874</v>
      </c>
      <c r="CD142" s="909">
        <v>8</v>
      </c>
      <c r="CE142" s="909">
        <v>0</v>
      </c>
      <c r="CF142" s="909">
        <v>0</v>
      </c>
      <c r="CG142" s="909">
        <v>0</v>
      </c>
      <c r="CH142" s="910">
        <v>2090.5188984744573</v>
      </c>
      <c r="CI142" s="909">
        <v>0</v>
      </c>
      <c r="CJ142" s="909">
        <v>0</v>
      </c>
      <c r="CK142" s="909">
        <v>0</v>
      </c>
      <c r="CL142" s="910">
        <v>2075.5758477765421</v>
      </c>
      <c r="CM142" s="871">
        <v>2075.5758477765421</v>
      </c>
      <c r="CN142" s="911">
        <v>134.21596811081403</v>
      </c>
      <c r="CO142" s="908">
        <v>106.10084566116812</v>
      </c>
      <c r="CP142" s="902">
        <v>272.21578266700493</v>
      </c>
      <c r="CQ142" s="902">
        <v>0</v>
      </c>
      <c r="CR142" s="902">
        <v>0</v>
      </c>
      <c r="CS142" s="902">
        <v>81.199596860455927</v>
      </c>
      <c r="CT142" s="902">
        <v>54.173962431680636</v>
      </c>
      <c r="CU142" s="902">
        <v>2125</v>
      </c>
      <c r="CV142" s="909" t="s">
        <v>2874</v>
      </c>
      <c r="CW142" s="909">
        <v>8</v>
      </c>
      <c r="CX142" s="909">
        <v>0</v>
      </c>
      <c r="CY142" s="909">
        <v>0</v>
      </c>
      <c r="CZ142" s="909">
        <v>0</v>
      </c>
      <c r="DA142" s="910">
        <v>2090.5188984744568</v>
      </c>
      <c r="DB142" s="909">
        <v>0</v>
      </c>
      <c r="DC142" s="909">
        <v>0</v>
      </c>
      <c r="DD142" s="909">
        <v>0</v>
      </c>
      <c r="DE142" s="910">
        <v>2075.575847776543</v>
      </c>
      <c r="DF142" s="871">
        <v>2075.575847776543</v>
      </c>
      <c r="DG142" s="911">
        <v>134.21596811081409</v>
      </c>
      <c r="DH142" s="908">
        <v>79.575634245876088</v>
      </c>
      <c r="DI142" s="902">
        <v>245.69057125171287</v>
      </c>
      <c r="DJ142" s="902">
        <v>0</v>
      </c>
      <c r="DK142" s="902">
        <v>0</v>
      </c>
      <c r="DL142" s="902">
        <v>77.259987078030292</v>
      </c>
      <c r="DM142" s="902">
        <v>47.250873849682677</v>
      </c>
      <c r="DN142" s="902">
        <v>1700</v>
      </c>
      <c r="DO142" s="909" t="s">
        <v>2876</v>
      </c>
      <c r="DP142" s="909">
        <v>6</v>
      </c>
      <c r="DQ142" s="909">
        <v>0</v>
      </c>
      <c r="DR142" s="909">
        <v>0</v>
      </c>
      <c r="DS142" s="909">
        <v>0</v>
      </c>
      <c r="DT142" s="910">
        <v>1707.4533704737858</v>
      </c>
      <c r="DU142" s="909">
        <v>0</v>
      </c>
      <c r="DV142" s="909">
        <v>0</v>
      </c>
      <c r="DW142" s="909">
        <v>0</v>
      </c>
      <c r="DX142" s="910">
        <v>1695.2484761299281</v>
      </c>
      <c r="DY142" s="871">
        <v>1695.2484761299281</v>
      </c>
      <c r="DZ142" s="911">
        <v>109.62230826490928</v>
      </c>
      <c r="EA142" s="908">
        <v>106.10084566116812</v>
      </c>
      <c r="EB142" s="902">
        <v>272.21578266700493</v>
      </c>
      <c r="EC142" s="902">
        <v>0</v>
      </c>
      <c r="ED142" s="902">
        <v>0</v>
      </c>
      <c r="EE142" s="902">
        <v>81.199596860455927</v>
      </c>
      <c r="EF142" s="902">
        <v>54.173962431680636</v>
      </c>
      <c r="EG142" s="902">
        <v>2125</v>
      </c>
      <c r="EH142" s="909" t="s">
        <v>2876</v>
      </c>
      <c r="EI142" s="909">
        <v>8</v>
      </c>
      <c r="EJ142" s="909">
        <v>0</v>
      </c>
      <c r="EK142" s="909">
        <v>0</v>
      </c>
      <c r="EL142" s="909">
        <v>0</v>
      </c>
      <c r="EM142" s="910">
        <v>2234.8587081907071</v>
      </c>
      <c r="EN142" s="909">
        <v>0</v>
      </c>
      <c r="EO142" s="909">
        <v>0</v>
      </c>
      <c r="EP142" s="909">
        <v>0</v>
      </c>
      <c r="EQ142" s="910">
        <v>2218.8839150407675</v>
      </c>
      <c r="ER142" s="871">
        <v>2218.8839150407675</v>
      </c>
      <c r="ES142" s="911">
        <v>143.48290528709808</v>
      </c>
      <c r="ET142" s="908">
        <v>79.575634245876088</v>
      </c>
      <c r="EU142" s="902">
        <v>245.69057125171287</v>
      </c>
      <c r="EV142" s="902">
        <v>0</v>
      </c>
      <c r="EW142" s="902">
        <v>0</v>
      </c>
      <c r="EX142" s="902">
        <v>77.259987078030292</v>
      </c>
      <c r="EY142" s="902">
        <v>47.250873849682677</v>
      </c>
      <c r="EZ142" s="902">
        <v>1700</v>
      </c>
      <c r="FA142" s="909" t="s">
        <v>3889</v>
      </c>
      <c r="FB142" s="909">
        <v>6</v>
      </c>
      <c r="FC142" s="909">
        <v>0</v>
      </c>
      <c r="FD142" s="909">
        <v>0</v>
      </c>
      <c r="FE142" s="909">
        <v>0</v>
      </c>
      <c r="FF142" s="910">
        <v>1742.6622988564752</v>
      </c>
      <c r="FG142" s="909">
        <v>0</v>
      </c>
      <c r="FH142" s="909">
        <v>0</v>
      </c>
      <c r="FI142" s="909">
        <v>0</v>
      </c>
      <c r="FJ142" s="910">
        <v>1730.205730731381</v>
      </c>
      <c r="FK142" s="871">
        <v>1730.205730731381</v>
      </c>
      <c r="FL142" s="911">
        <v>111.88279986479773</v>
      </c>
      <c r="FM142" s="908">
        <v>106.10084566116812</v>
      </c>
      <c r="FN142" s="902">
        <v>272.21578266700493</v>
      </c>
      <c r="FO142" s="902">
        <v>0</v>
      </c>
      <c r="FP142" s="902">
        <v>0</v>
      </c>
      <c r="FQ142" s="902">
        <v>81.199596860455927</v>
      </c>
      <c r="FR142" s="902">
        <v>54.173962431680636</v>
      </c>
      <c r="FS142" s="902">
        <v>2125</v>
      </c>
      <c r="FT142" s="909" t="s">
        <v>3889</v>
      </c>
      <c r="FU142" s="909">
        <v>8</v>
      </c>
      <c r="FV142" s="909">
        <v>0</v>
      </c>
      <c r="FW142" s="909">
        <v>0</v>
      </c>
      <c r="FX142" s="909">
        <v>0</v>
      </c>
      <c r="FY142" s="910">
        <v>2280.9431176178332</v>
      </c>
      <c r="FZ142" s="909">
        <v>0</v>
      </c>
      <c r="GA142" s="909">
        <v>0</v>
      </c>
      <c r="GB142" s="909">
        <v>0</v>
      </c>
      <c r="GC142" s="910">
        <v>2264.6389126328918</v>
      </c>
      <c r="GD142" s="871">
        <v>2264.6389126328918</v>
      </c>
      <c r="GE142" s="911">
        <v>146.44162698561539</v>
      </c>
      <c r="GF142" s="908">
        <v>53.050422830584061</v>
      </c>
      <c r="GG142" s="902">
        <v>219.16535983642086</v>
      </c>
      <c r="GH142" s="902">
        <v>0</v>
      </c>
      <c r="GI142" s="902">
        <v>0</v>
      </c>
      <c r="GJ142" s="902">
        <v>72.366768728533756</v>
      </c>
      <c r="GK142" s="902">
        <v>40.327785267684717</v>
      </c>
      <c r="GL142" s="902">
        <v>1700</v>
      </c>
      <c r="GM142" s="909" t="s">
        <v>2877</v>
      </c>
      <c r="GN142" s="909">
        <v>4</v>
      </c>
      <c r="GO142" s="909">
        <v>0</v>
      </c>
      <c r="GP142" s="909">
        <v>0</v>
      </c>
      <c r="GQ142" s="909">
        <v>0</v>
      </c>
      <c r="GR142" s="910">
        <v>1800.1609644133132</v>
      </c>
      <c r="GS142" s="909">
        <v>0</v>
      </c>
      <c r="GT142" s="909">
        <v>0</v>
      </c>
      <c r="GU142" s="909">
        <v>0</v>
      </c>
      <c r="GV142" s="910">
        <v>1787.2933952297649</v>
      </c>
      <c r="GW142" s="871">
        <v>1787.2933952297649</v>
      </c>
      <c r="GX142" s="911">
        <v>115.57434222208808</v>
      </c>
      <c r="GY142" s="908">
        <v>79.575634245876088</v>
      </c>
      <c r="GZ142" s="902">
        <v>245.69057125171287</v>
      </c>
      <c r="HA142" s="902">
        <v>0</v>
      </c>
      <c r="HB142" s="902">
        <v>0</v>
      </c>
      <c r="HC142" s="902">
        <v>77.259987078030292</v>
      </c>
      <c r="HD142" s="902">
        <v>47.250873849682677</v>
      </c>
      <c r="HE142" s="902">
        <v>2125</v>
      </c>
      <c r="HF142" s="909" t="s">
        <v>2877</v>
      </c>
      <c r="HG142" s="909">
        <v>6</v>
      </c>
      <c r="HH142" s="909">
        <v>0</v>
      </c>
      <c r="HI142" s="909">
        <v>0</v>
      </c>
      <c r="HJ142" s="909">
        <v>0</v>
      </c>
      <c r="HK142" s="910">
        <v>2338.0268172414721</v>
      </c>
      <c r="HL142" s="909">
        <v>0</v>
      </c>
      <c r="HM142" s="909">
        <v>0</v>
      </c>
      <c r="HN142" s="909">
        <v>0</v>
      </c>
      <c r="HO142" s="910">
        <v>2321.3145773814967</v>
      </c>
      <c r="HP142" s="871">
        <v>2321.3145773814967</v>
      </c>
      <c r="HQ142" s="911">
        <v>150.10652760618615</v>
      </c>
      <c r="HR142" s="908">
        <v>66.313028538230071</v>
      </c>
      <c r="HS142" s="902">
        <v>232.42796554406686</v>
      </c>
      <c r="HT142" s="902">
        <v>0</v>
      </c>
      <c r="HU142" s="902">
        <v>0</v>
      </c>
      <c r="HV142" s="902">
        <v>74.952984222725718</v>
      </c>
      <c r="HW142" s="902">
        <v>43.789329558683697</v>
      </c>
      <c r="HX142" s="902">
        <v>1700</v>
      </c>
      <c r="HY142" s="909" t="s">
        <v>1063</v>
      </c>
      <c r="HZ142" s="909">
        <v>5</v>
      </c>
      <c r="IA142" s="909">
        <v>0</v>
      </c>
      <c r="IB142" s="909">
        <v>0</v>
      </c>
      <c r="IC142" s="909">
        <v>0</v>
      </c>
      <c r="ID142" s="910">
        <v>1819.1953511430272</v>
      </c>
      <c r="IE142" s="909">
        <v>0</v>
      </c>
      <c r="IF142" s="909">
        <v>0</v>
      </c>
      <c r="IG142" s="909">
        <v>0</v>
      </c>
      <c r="IH142" s="910">
        <v>1806.1917239663592</v>
      </c>
      <c r="II142" s="871">
        <v>1806.1917239663592</v>
      </c>
      <c r="IJ142" s="911">
        <v>116.79639223282395</v>
      </c>
      <c r="IK142" s="908">
        <v>53.050422830584061</v>
      </c>
      <c r="IL142" s="902">
        <v>236.71979489821751</v>
      </c>
      <c r="IM142" s="902">
        <v>5.5620377971964006</v>
      </c>
      <c r="IN142" s="902">
        <v>11.992397264600241</v>
      </c>
      <c r="IO142" s="902">
        <v>75.338231845052036</v>
      </c>
      <c r="IP142" s="902">
        <v>45.326557450241999</v>
      </c>
      <c r="IQ142" s="902">
        <v>2125</v>
      </c>
      <c r="IR142" s="909" t="s">
        <v>1063</v>
      </c>
      <c r="IS142" s="909">
        <v>4</v>
      </c>
      <c r="IT142" s="909">
        <v>1</v>
      </c>
      <c r="IU142" s="909">
        <v>12</v>
      </c>
      <c r="IV142" s="909">
        <v>51.902018993288948</v>
      </c>
      <c r="IW142" s="910">
        <v>3403.5945472480598</v>
      </c>
      <c r="IX142" s="909">
        <v>1</v>
      </c>
      <c r="IY142" s="909">
        <v>12</v>
      </c>
      <c r="IZ142" s="909">
        <v>67.467713151482982</v>
      </c>
      <c r="JA142" s="910">
        <v>3020.0728045664955</v>
      </c>
      <c r="JB142" s="871">
        <v>3020.0728045664955</v>
      </c>
      <c r="JC142" s="911">
        <v>195.2913432020591</v>
      </c>
      <c r="JD142" s="908">
        <v>53.050422830584061</v>
      </c>
      <c r="JE142" s="902">
        <v>219.16535983642086</v>
      </c>
      <c r="JF142" s="902">
        <v>0</v>
      </c>
      <c r="JG142" s="902">
        <v>0</v>
      </c>
      <c r="JH142" s="902">
        <v>72.366768728533756</v>
      </c>
      <c r="JI142" s="902">
        <v>40.327785267684717</v>
      </c>
      <c r="JJ142" s="902">
        <v>1700</v>
      </c>
      <c r="JK142" s="909" t="s">
        <v>1064</v>
      </c>
      <c r="JL142" s="909">
        <v>4</v>
      </c>
      <c r="JM142" s="909">
        <v>0</v>
      </c>
      <c r="JN142" s="909">
        <v>0</v>
      </c>
      <c r="JO142" s="909">
        <v>0</v>
      </c>
      <c r="JP142" s="910">
        <v>2163.5242204269643</v>
      </c>
      <c r="JQ142" s="909">
        <v>0</v>
      </c>
      <c r="JR142" s="909">
        <v>0</v>
      </c>
      <c r="JS142" s="909">
        <v>0</v>
      </c>
      <c r="JT142" s="910">
        <v>2148.0593269330125</v>
      </c>
      <c r="JU142" s="871">
        <v>2148.0593269330125</v>
      </c>
      <c r="JV142" s="911">
        <v>138.90307233658694</v>
      </c>
      <c r="JW142" s="908">
        <v>53.050422830584061</v>
      </c>
      <c r="JX142" s="902">
        <v>219.16535983642086</v>
      </c>
      <c r="JY142" s="902">
        <v>0</v>
      </c>
      <c r="JZ142" s="902">
        <v>0</v>
      </c>
      <c r="KA142" s="902">
        <v>72.366768728533756</v>
      </c>
      <c r="KB142" s="902">
        <v>40.327785267684717</v>
      </c>
      <c r="KC142" s="902">
        <v>2125</v>
      </c>
      <c r="KD142" s="909" t="s">
        <v>1064</v>
      </c>
      <c r="KE142" s="909">
        <v>4</v>
      </c>
      <c r="KF142" s="909">
        <v>0</v>
      </c>
      <c r="KG142" s="909">
        <v>0</v>
      </c>
      <c r="KH142" s="909">
        <v>0</v>
      </c>
      <c r="KI142" s="910">
        <v>2163.5242204269694</v>
      </c>
      <c r="KJ142" s="909">
        <v>0</v>
      </c>
      <c r="KK142" s="909">
        <v>0</v>
      </c>
      <c r="KL142" s="909">
        <v>0</v>
      </c>
      <c r="KM142" s="910">
        <v>2148.0593269340679</v>
      </c>
      <c r="KN142" s="871">
        <v>2148.0593269340679</v>
      </c>
      <c r="KO142" s="912">
        <v>138.90307233665524</v>
      </c>
    </row>
    <row r="143" spans="1:301" ht="15" customHeight="1">
      <c r="A143" s="1047" t="s">
        <v>1601</v>
      </c>
      <c r="B143" s="888" t="s">
        <v>1073</v>
      </c>
      <c r="C143" s="888"/>
      <c r="D143" s="888"/>
      <c r="E143" s="888"/>
      <c r="F143" s="888"/>
      <c r="G143" s="888">
        <v>28</v>
      </c>
      <c r="H143" s="888"/>
      <c r="I143" s="888"/>
      <c r="J143" s="888"/>
      <c r="K143" s="888"/>
      <c r="L143" s="888"/>
      <c r="M143" s="888"/>
      <c r="N143" s="888"/>
      <c r="O143" s="884">
        <v>0</v>
      </c>
      <c r="P143" s="888"/>
      <c r="Q143" s="884">
        <v>0</v>
      </c>
      <c r="R143" s="888"/>
      <c r="S143" s="888"/>
      <c r="T143" s="906">
        <v>0</v>
      </c>
      <c r="U143" s="906">
        <v>0</v>
      </c>
      <c r="V143" s="906">
        <v>10</v>
      </c>
      <c r="W143" s="1141">
        <v>0</v>
      </c>
      <c r="X143" s="902">
        <v>0</v>
      </c>
      <c r="Y143" s="902">
        <v>0</v>
      </c>
      <c r="Z143" s="902">
        <v>0</v>
      </c>
      <c r="AA143" s="902">
        <v>0</v>
      </c>
      <c r="AB143" s="970">
        <v>0</v>
      </c>
      <c r="AC143" s="1045">
        <v>0</v>
      </c>
      <c r="AD143" s="890"/>
      <c r="AE143" s="890"/>
      <c r="AF143" s="890"/>
      <c r="AG143" s="890"/>
      <c r="AH143" s="888"/>
      <c r="AI143" s="907">
        <v>0</v>
      </c>
      <c r="AJ143" s="908">
        <v>0</v>
      </c>
      <c r="AK143" s="902">
        <v>0</v>
      </c>
      <c r="AL143" s="902">
        <v>0</v>
      </c>
      <c r="AM143" s="902">
        <v>0</v>
      </c>
      <c r="AN143" s="902" t="e">
        <v>#DIV/0!</v>
      </c>
      <c r="AO143" s="902">
        <v>0</v>
      </c>
      <c r="AP143" s="1222"/>
      <c r="AQ143" s="909"/>
      <c r="AR143" s="909"/>
      <c r="AS143" s="909"/>
      <c r="AT143" s="909"/>
      <c r="AU143" s="909"/>
      <c r="AV143" s="910">
        <v>0</v>
      </c>
      <c r="AW143" s="909"/>
      <c r="AX143" s="909"/>
      <c r="AY143" s="909"/>
      <c r="AZ143" s="910">
        <v>0</v>
      </c>
      <c r="BA143" s="871">
        <v>0</v>
      </c>
      <c r="BB143" s="911">
        <v>0</v>
      </c>
      <c r="BC143" s="908">
        <v>0</v>
      </c>
      <c r="BD143" s="902">
        <v>0</v>
      </c>
      <c r="BE143" s="902">
        <v>0</v>
      </c>
      <c r="BF143" s="902">
        <v>0</v>
      </c>
      <c r="BG143" s="902" t="e">
        <v>#DIV/0!</v>
      </c>
      <c r="BH143" s="902">
        <v>0</v>
      </c>
      <c r="BI143" s="902">
        <v>0</v>
      </c>
      <c r="BJ143" s="909"/>
      <c r="BK143" s="909"/>
      <c r="BL143" s="909"/>
      <c r="BM143" s="909"/>
      <c r="BN143" s="909"/>
      <c r="BO143" s="910">
        <v>0</v>
      </c>
      <c r="BP143" s="909"/>
      <c r="BQ143" s="909"/>
      <c r="BR143" s="909"/>
      <c r="BS143" s="910">
        <v>0</v>
      </c>
      <c r="BT143" s="871">
        <v>0</v>
      </c>
      <c r="BU143" s="911">
        <v>0</v>
      </c>
      <c r="BV143" s="908">
        <v>0</v>
      </c>
      <c r="BW143" s="902">
        <v>0</v>
      </c>
      <c r="BX143" s="902">
        <v>0</v>
      </c>
      <c r="BY143" s="902">
        <v>0</v>
      </c>
      <c r="BZ143" s="902" t="e">
        <v>#DIV/0!</v>
      </c>
      <c r="CA143" s="902">
        <v>0</v>
      </c>
      <c r="CB143" s="902">
        <v>3600</v>
      </c>
      <c r="CC143" s="909"/>
      <c r="CD143" s="909"/>
      <c r="CE143" s="909"/>
      <c r="CF143" s="909"/>
      <c r="CG143" s="909"/>
      <c r="CH143" s="910">
        <v>0</v>
      </c>
      <c r="CI143" s="909"/>
      <c r="CJ143" s="909"/>
      <c r="CK143" s="909"/>
      <c r="CL143" s="910">
        <v>0</v>
      </c>
      <c r="CM143" s="871">
        <v>0</v>
      </c>
      <c r="CN143" s="911">
        <v>0</v>
      </c>
      <c r="CO143" s="908">
        <v>0</v>
      </c>
      <c r="CP143" s="902">
        <v>0</v>
      </c>
      <c r="CQ143" s="902">
        <v>0</v>
      </c>
      <c r="CR143" s="902">
        <v>0</v>
      </c>
      <c r="CS143" s="902" t="e">
        <v>#DIV/0!</v>
      </c>
      <c r="CT143" s="902">
        <v>0</v>
      </c>
      <c r="CU143" s="902">
        <v>3600</v>
      </c>
      <c r="CV143" s="909"/>
      <c r="CW143" s="909"/>
      <c r="CX143" s="909"/>
      <c r="CY143" s="909"/>
      <c r="CZ143" s="909"/>
      <c r="DA143" s="910">
        <v>0</v>
      </c>
      <c r="DB143" s="909"/>
      <c r="DC143" s="909"/>
      <c r="DD143" s="909"/>
      <c r="DE143" s="910">
        <v>0</v>
      </c>
      <c r="DF143" s="871">
        <v>0</v>
      </c>
      <c r="DG143" s="911">
        <v>0</v>
      </c>
      <c r="DH143" s="908">
        <v>0</v>
      </c>
      <c r="DI143" s="902">
        <v>0</v>
      </c>
      <c r="DJ143" s="902">
        <v>0</v>
      </c>
      <c r="DK143" s="902">
        <v>0</v>
      </c>
      <c r="DL143" s="902" t="e">
        <v>#DIV/0!</v>
      </c>
      <c r="DM143" s="902">
        <v>0</v>
      </c>
      <c r="DN143" s="902">
        <v>3600</v>
      </c>
      <c r="DO143" s="909"/>
      <c r="DP143" s="909"/>
      <c r="DQ143" s="909"/>
      <c r="DR143" s="909"/>
      <c r="DS143" s="909"/>
      <c r="DT143" s="910">
        <v>0</v>
      </c>
      <c r="DU143" s="909"/>
      <c r="DV143" s="909"/>
      <c r="DW143" s="909"/>
      <c r="DX143" s="910">
        <v>0</v>
      </c>
      <c r="DY143" s="871">
        <v>0</v>
      </c>
      <c r="DZ143" s="911">
        <v>0</v>
      </c>
      <c r="EA143" s="908">
        <v>0</v>
      </c>
      <c r="EB143" s="902">
        <v>0</v>
      </c>
      <c r="EC143" s="902">
        <v>0</v>
      </c>
      <c r="ED143" s="902">
        <v>0</v>
      </c>
      <c r="EE143" s="902" t="e">
        <v>#DIV/0!</v>
      </c>
      <c r="EF143" s="902">
        <v>0</v>
      </c>
      <c r="EG143" s="902">
        <v>3600</v>
      </c>
      <c r="EH143" s="909"/>
      <c r="EI143" s="909"/>
      <c r="EJ143" s="909"/>
      <c r="EK143" s="909"/>
      <c r="EL143" s="909"/>
      <c r="EM143" s="910">
        <v>0</v>
      </c>
      <c r="EN143" s="909"/>
      <c r="EO143" s="909"/>
      <c r="EP143" s="909"/>
      <c r="EQ143" s="910">
        <v>0</v>
      </c>
      <c r="ER143" s="871">
        <v>0</v>
      </c>
      <c r="ES143" s="911">
        <v>0</v>
      </c>
      <c r="ET143" s="908">
        <v>0</v>
      </c>
      <c r="EU143" s="902">
        <v>0</v>
      </c>
      <c r="EV143" s="902">
        <v>0</v>
      </c>
      <c r="EW143" s="902">
        <v>0</v>
      </c>
      <c r="EX143" s="902" t="e">
        <v>#DIV/0!</v>
      </c>
      <c r="EY143" s="902">
        <v>0</v>
      </c>
      <c r="EZ143" s="902">
        <v>3600</v>
      </c>
      <c r="FA143" s="909"/>
      <c r="FB143" s="909"/>
      <c r="FC143" s="909"/>
      <c r="FD143" s="909"/>
      <c r="FE143" s="909"/>
      <c r="FF143" s="910">
        <v>0</v>
      </c>
      <c r="FG143" s="909"/>
      <c r="FH143" s="909"/>
      <c r="FI143" s="909"/>
      <c r="FJ143" s="910">
        <v>0</v>
      </c>
      <c r="FK143" s="871">
        <v>0</v>
      </c>
      <c r="FL143" s="911">
        <v>0</v>
      </c>
      <c r="FM143" s="908">
        <v>0</v>
      </c>
      <c r="FN143" s="902">
        <v>0</v>
      </c>
      <c r="FO143" s="902">
        <v>0</v>
      </c>
      <c r="FP143" s="902">
        <v>0</v>
      </c>
      <c r="FQ143" s="902" t="e">
        <v>#DIV/0!</v>
      </c>
      <c r="FR143" s="902">
        <v>0</v>
      </c>
      <c r="FS143" s="902">
        <v>3600</v>
      </c>
      <c r="FT143" s="909"/>
      <c r="FU143" s="909"/>
      <c r="FV143" s="909"/>
      <c r="FW143" s="909"/>
      <c r="FX143" s="909"/>
      <c r="FY143" s="910">
        <v>0</v>
      </c>
      <c r="FZ143" s="909"/>
      <c r="GA143" s="909"/>
      <c r="GB143" s="909"/>
      <c r="GC143" s="910">
        <v>0</v>
      </c>
      <c r="GD143" s="871">
        <v>0</v>
      </c>
      <c r="GE143" s="911">
        <v>0</v>
      </c>
      <c r="GF143" s="908">
        <v>0</v>
      </c>
      <c r="GG143" s="902">
        <v>0</v>
      </c>
      <c r="GH143" s="902">
        <v>0</v>
      </c>
      <c r="GI143" s="902">
        <v>0</v>
      </c>
      <c r="GJ143" s="902" t="e">
        <v>#DIV/0!</v>
      </c>
      <c r="GK143" s="902">
        <v>0</v>
      </c>
      <c r="GL143" s="902">
        <v>3600</v>
      </c>
      <c r="GM143" s="909"/>
      <c r="GN143" s="909"/>
      <c r="GO143" s="909"/>
      <c r="GP143" s="909"/>
      <c r="GQ143" s="909"/>
      <c r="GR143" s="910">
        <v>0</v>
      </c>
      <c r="GS143" s="909"/>
      <c r="GT143" s="909"/>
      <c r="GU143" s="909"/>
      <c r="GV143" s="910">
        <v>0</v>
      </c>
      <c r="GW143" s="871">
        <v>0</v>
      </c>
      <c r="GX143" s="911">
        <v>0</v>
      </c>
      <c r="GY143" s="908">
        <v>0</v>
      </c>
      <c r="GZ143" s="902">
        <v>0</v>
      </c>
      <c r="HA143" s="902">
        <v>0</v>
      </c>
      <c r="HB143" s="902">
        <v>0</v>
      </c>
      <c r="HC143" s="902" t="e">
        <v>#DIV/0!</v>
      </c>
      <c r="HD143" s="902">
        <v>0</v>
      </c>
      <c r="HE143" s="902">
        <v>3600</v>
      </c>
      <c r="HF143" s="909"/>
      <c r="HG143" s="909"/>
      <c r="HH143" s="909"/>
      <c r="HI143" s="909"/>
      <c r="HJ143" s="909"/>
      <c r="HK143" s="910">
        <v>0</v>
      </c>
      <c r="HL143" s="909"/>
      <c r="HM143" s="909"/>
      <c r="HN143" s="909"/>
      <c r="HO143" s="910">
        <v>0</v>
      </c>
      <c r="HP143" s="871">
        <v>0</v>
      </c>
      <c r="HQ143" s="911">
        <v>0</v>
      </c>
      <c r="HR143" s="908">
        <v>0</v>
      </c>
      <c r="HS143" s="902">
        <v>0</v>
      </c>
      <c r="HT143" s="902">
        <v>0</v>
      </c>
      <c r="HU143" s="902">
        <v>0</v>
      </c>
      <c r="HV143" s="902" t="e">
        <v>#DIV/0!</v>
      </c>
      <c r="HW143" s="902">
        <v>0</v>
      </c>
      <c r="HX143" s="902">
        <v>3600</v>
      </c>
      <c r="HY143" s="909"/>
      <c r="HZ143" s="909"/>
      <c r="IA143" s="909"/>
      <c r="IB143" s="909"/>
      <c r="IC143" s="909"/>
      <c r="ID143" s="910">
        <v>0</v>
      </c>
      <c r="IE143" s="909"/>
      <c r="IF143" s="909"/>
      <c r="IG143" s="909"/>
      <c r="IH143" s="910">
        <v>0</v>
      </c>
      <c r="II143" s="871">
        <v>0</v>
      </c>
      <c r="IJ143" s="911">
        <v>0</v>
      </c>
      <c r="IK143" s="908">
        <v>0</v>
      </c>
      <c r="IL143" s="902">
        <v>0</v>
      </c>
      <c r="IM143" s="902">
        <v>0</v>
      </c>
      <c r="IN143" s="902">
        <v>0</v>
      </c>
      <c r="IO143" s="902" t="e">
        <v>#DIV/0!</v>
      </c>
      <c r="IP143" s="902">
        <v>0</v>
      </c>
      <c r="IQ143" s="902">
        <v>3600</v>
      </c>
      <c r="IR143" s="909"/>
      <c r="IS143" s="909"/>
      <c r="IT143" s="909"/>
      <c r="IU143" s="909"/>
      <c r="IV143" s="909"/>
      <c r="IW143" s="910">
        <v>0</v>
      </c>
      <c r="IX143" s="909"/>
      <c r="IY143" s="909"/>
      <c r="IZ143" s="909"/>
      <c r="JA143" s="910">
        <v>0</v>
      </c>
      <c r="JB143" s="871">
        <v>0</v>
      </c>
      <c r="JC143" s="911">
        <v>0</v>
      </c>
      <c r="JD143" s="908">
        <v>0</v>
      </c>
      <c r="JE143" s="902">
        <v>0</v>
      </c>
      <c r="JF143" s="902">
        <v>0</v>
      </c>
      <c r="JG143" s="902">
        <v>0</v>
      </c>
      <c r="JH143" s="902" t="e">
        <v>#DIV/0!</v>
      </c>
      <c r="JI143" s="902">
        <v>0</v>
      </c>
      <c r="JJ143" s="902">
        <v>3600</v>
      </c>
      <c r="JK143" s="909"/>
      <c r="JL143" s="909"/>
      <c r="JM143" s="909"/>
      <c r="JN143" s="909"/>
      <c r="JO143" s="909"/>
      <c r="JP143" s="910">
        <v>0</v>
      </c>
      <c r="JQ143" s="909"/>
      <c r="JR143" s="909"/>
      <c r="JS143" s="909"/>
      <c r="JT143" s="910">
        <v>0</v>
      </c>
      <c r="JU143" s="871">
        <v>0</v>
      </c>
      <c r="JV143" s="911">
        <v>0</v>
      </c>
      <c r="JW143" s="908">
        <v>0</v>
      </c>
      <c r="JX143" s="902">
        <v>0</v>
      </c>
      <c r="JY143" s="902">
        <v>0</v>
      </c>
      <c r="JZ143" s="902">
        <v>0</v>
      </c>
      <c r="KA143" s="902" t="e">
        <v>#DIV/0!</v>
      </c>
      <c r="KB143" s="902">
        <v>0</v>
      </c>
      <c r="KC143" s="902">
        <v>3600</v>
      </c>
      <c r="KD143" s="909"/>
      <c r="KE143" s="909"/>
      <c r="KF143" s="909"/>
      <c r="KG143" s="909"/>
      <c r="KH143" s="909"/>
      <c r="KI143" s="910">
        <v>0</v>
      </c>
      <c r="KJ143" s="909"/>
      <c r="KK143" s="909"/>
      <c r="KL143" s="909"/>
      <c r="KM143" s="910">
        <v>0</v>
      </c>
      <c r="KN143" s="871">
        <v>0</v>
      </c>
      <c r="KO143" s="912">
        <v>0</v>
      </c>
    </row>
    <row r="144" spans="1:301" ht="15" customHeight="1">
      <c r="A144" s="1047" t="s">
        <v>1694</v>
      </c>
      <c r="B144" s="888" t="s">
        <v>1073</v>
      </c>
      <c r="C144" s="888"/>
      <c r="D144" s="888"/>
      <c r="E144" s="888"/>
      <c r="F144" s="888"/>
      <c r="G144" s="888">
        <v>28</v>
      </c>
      <c r="H144" s="888"/>
      <c r="I144" s="888"/>
      <c r="J144" s="888"/>
      <c r="K144" s="888"/>
      <c r="L144" s="888"/>
      <c r="M144" s="888"/>
      <c r="N144" s="888"/>
      <c r="O144" s="884">
        <v>0</v>
      </c>
      <c r="P144" s="888"/>
      <c r="Q144" s="884">
        <v>0</v>
      </c>
      <c r="R144" s="888"/>
      <c r="S144" s="888"/>
      <c r="T144" s="906">
        <v>0</v>
      </c>
      <c r="U144" s="906">
        <v>0</v>
      </c>
      <c r="V144" s="906">
        <v>10</v>
      </c>
      <c r="W144" s="1141">
        <v>0</v>
      </c>
      <c r="X144" s="902">
        <v>0</v>
      </c>
      <c r="Y144" s="902">
        <v>0</v>
      </c>
      <c r="Z144" s="902">
        <v>0</v>
      </c>
      <c r="AA144" s="902">
        <v>0</v>
      </c>
      <c r="AB144" s="970">
        <v>0</v>
      </c>
      <c r="AC144" s="1045">
        <v>0</v>
      </c>
      <c r="AD144" s="890"/>
      <c r="AE144" s="890"/>
      <c r="AF144" s="890"/>
      <c r="AG144" s="890"/>
      <c r="AH144" s="888"/>
      <c r="AI144" s="907">
        <v>0</v>
      </c>
      <c r="AJ144" s="908">
        <v>0</v>
      </c>
      <c r="AK144" s="902">
        <v>0</v>
      </c>
      <c r="AL144" s="902">
        <v>0</v>
      </c>
      <c r="AM144" s="902">
        <v>0</v>
      </c>
      <c r="AN144" s="902" t="e">
        <v>#DIV/0!</v>
      </c>
      <c r="AO144" s="902">
        <v>0</v>
      </c>
      <c r="AP144" s="1222"/>
      <c r="AQ144" s="909"/>
      <c r="AR144" s="909"/>
      <c r="AS144" s="909"/>
      <c r="AT144" s="909"/>
      <c r="AU144" s="909"/>
      <c r="AV144" s="910">
        <v>0</v>
      </c>
      <c r="AW144" s="909"/>
      <c r="AX144" s="909"/>
      <c r="AY144" s="909"/>
      <c r="AZ144" s="910">
        <v>0</v>
      </c>
      <c r="BA144" s="871">
        <v>0</v>
      </c>
      <c r="BB144" s="911">
        <v>0</v>
      </c>
      <c r="BC144" s="908">
        <v>0</v>
      </c>
      <c r="BD144" s="902">
        <v>0</v>
      </c>
      <c r="BE144" s="902">
        <v>0</v>
      </c>
      <c r="BF144" s="902">
        <v>0</v>
      </c>
      <c r="BG144" s="902" t="e">
        <v>#DIV/0!</v>
      </c>
      <c r="BH144" s="902">
        <v>0</v>
      </c>
      <c r="BI144" s="902">
        <v>0</v>
      </c>
      <c r="BJ144" s="909"/>
      <c r="BK144" s="909"/>
      <c r="BL144" s="909"/>
      <c r="BM144" s="909"/>
      <c r="BN144" s="909"/>
      <c r="BO144" s="910">
        <v>0</v>
      </c>
      <c r="BP144" s="909"/>
      <c r="BQ144" s="909"/>
      <c r="BR144" s="909"/>
      <c r="BS144" s="910">
        <v>0</v>
      </c>
      <c r="BT144" s="871">
        <v>0</v>
      </c>
      <c r="BU144" s="911">
        <v>0</v>
      </c>
      <c r="BV144" s="908">
        <v>0</v>
      </c>
      <c r="BW144" s="902">
        <v>0</v>
      </c>
      <c r="BX144" s="902">
        <v>0</v>
      </c>
      <c r="BY144" s="902">
        <v>0</v>
      </c>
      <c r="BZ144" s="902" t="e">
        <v>#DIV/0!</v>
      </c>
      <c r="CA144" s="902">
        <v>0</v>
      </c>
      <c r="CB144" s="902">
        <v>3600</v>
      </c>
      <c r="CC144" s="909"/>
      <c r="CD144" s="909"/>
      <c r="CE144" s="909"/>
      <c r="CF144" s="909"/>
      <c r="CG144" s="909"/>
      <c r="CH144" s="910">
        <v>0</v>
      </c>
      <c r="CI144" s="909"/>
      <c r="CJ144" s="909"/>
      <c r="CK144" s="909"/>
      <c r="CL144" s="910">
        <v>0</v>
      </c>
      <c r="CM144" s="871">
        <v>0</v>
      </c>
      <c r="CN144" s="911">
        <v>0</v>
      </c>
      <c r="CO144" s="908">
        <v>0</v>
      </c>
      <c r="CP144" s="902">
        <v>0</v>
      </c>
      <c r="CQ144" s="902">
        <v>0</v>
      </c>
      <c r="CR144" s="902">
        <v>0</v>
      </c>
      <c r="CS144" s="902" t="e">
        <v>#DIV/0!</v>
      </c>
      <c r="CT144" s="902">
        <v>0</v>
      </c>
      <c r="CU144" s="902">
        <v>3600</v>
      </c>
      <c r="CV144" s="909"/>
      <c r="CW144" s="909"/>
      <c r="CX144" s="909"/>
      <c r="CY144" s="909"/>
      <c r="CZ144" s="909"/>
      <c r="DA144" s="910">
        <v>0</v>
      </c>
      <c r="DB144" s="909"/>
      <c r="DC144" s="909"/>
      <c r="DD144" s="909"/>
      <c r="DE144" s="910">
        <v>0</v>
      </c>
      <c r="DF144" s="871">
        <v>0</v>
      </c>
      <c r="DG144" s="911">
        <v>0</v>
      </c>
      <c r="DH144" s="908">
        <v>0</v>
      </c>
      <c r="DI144" s="902">
        <v>0</v>
      </c>
      <c r="DJ144" s="902">
        <v>0</v>
      </c>
      <c r="DK144" s="902">
        <v>0</v>
      </c>
      <c r="DL144" s="902" t="e">
        <v>#DIV/0!</v>
      </c>
      <c r="DM144" s="902">
        <v>0</v>
      </c>
      <c r="DN144" s="902">
        <v>3600</v>
      </c>
      <c r="DO144" s="909"/>
      <c r="DP144" s="909"/>
      <c r="DQ144" s="909"/>
      <c r="DR144" s="909"/>
      <c r="DS144" s="909"/>
      <c r="DT144" s="910">
        <v>0</v>
      </c>
      <c r="DU144" s="909"/>
      <c r="DV144" s="909"/>
      <c r="DW144" s="909"/>
      <c r="DX144" s="910">
        <v>0</v>
      </c>
      <c r="DY144" s="871">
        <v>0</v>
      </c>
      <c r="DZ144" s="911">
        <v>0</v>
      </c>
      <c r="EA144" s="908">
        <v>0</v>
      </c>
      <c r="EB144" s="902">
        <v>0</v>
      </c>
      <c r="EC144" s="902">
        <v>0</v>
      </c>
      <c r="ED144" s="902">
        <v>0</v>
      </c>
      <c r="EE144" s="902" t="e">
        <v>#DIV/0!</v>
      </c>
      <c r="EF144" s="902">
        <v>0</v>
      </c>
      <c r="EG144" s="902">
        <v>3600</v>
      </c>
      <c r="EH144" s="909"/>
      <c r="EI144" s="909"/>
      <c r="EJ144" s="909"/>
      <c r="EK144" s="909"/>
      <c r="EL144" s="909"/>
      <c r="EM144" s="910">
        <v>0</v>
      </c>
      <c r="EN144" s="909"/>
      <c r="EO144" s="909"/>
      <c r="EP144" s="909"/>
      <c r="EQ144" s="910">
        <v>0</v>
      </c>
      <c r="ER144" s="871">
        <v>0</v>
      </c>
      <c r="ES144" s="911">
        <v>0</v>
      </c>
      <c r="ET144" s="908">
        <v>0</v>
      </c>
      <c r="EU144" s="902">
        <v>0</v>
      </c>
      <c r="EV144" s="902">
        <v>0</v>
      </c>
      <c r="EW144" s="902">
        <v>0</v>
      </c>
      <c r="EX144" s="902" t="e">
        <v>#DIV/0!</v>
      </c>
      <c r="EY144" s="902">
        <v>0</v>
      </c>
      <c r="EZ144" s="902">
        <v>3600</v>
      </c>
      <c r="FA144" s="909"/>
      <c r="FB144" s="909"/>
      <c r="FC144" s="909"/>
      <c r="FD144" s="909"/>
      <c r="FE144" s="909"/>
      <c r="FF144" s="910">
        <v>0</v>
      </c>
      <c r="FG144" s="909"/>
      <c r="FH144" s="909"/>
      <c r="FI144" s="909"/>
      <c r="FJ144" s="910">
        <v>0</v>
      </c>
      <c r="FK144" s="871">
        <v>0</v>
      </c>
      <c r="FL144" s="911">
        <v>0</v>
      </c>
      <c r="FM144" s="908">
        <v>0</v>
      </c>
      <c r="FN144" s="902">
        <v>0</v>
      </c>
      <c r="FO144" s="902">
        <v>0</v>
      </c>
      <c r="FP144" s="902">
        <v>0</v>
      </c>
      <c r="FQ144" s="902" t="e">
        <v>#DIV/0!</v>
      </c>
      <c r="FR144" s="902">
        <v>0</v>
      </c>
      <c r="FS144" s="902">
        <v>3600</v>
      </c>
      <c r="FT144" s="909"/>
      <c r="FU144" s="909"/>
      <c r="FV144" s="909"/>
      <c r="FW144" s="909"/>
      <c r="FX144" s="909"/>
      <c r="FY144" s="910">
        <v>0</v>
      </c>
      <c r="FZ144" s="909"/>
      <c r="GA144" s="909"/>
      <c r="GB144" s="909"/>
      <c r="GC144" s="910">
        <v>0</v>
      </c>
      <c r="GD144" s="871">
        <v>0</v>
      </c>
      <c r="GE144" s="911">
        <v>0</v>
      </c>
      <c r="GF144" s="908">
        <v>0</v>
      </c>
      <c r="GG144" s="902">
        <v>0</v>
      </c>
      <c r="GH144" s="902">
        <v>0</v>
      </c>
      <c r="GI144" s="902">
        <v>0</v>
      </c>
      <c r="GJ144" s="902" t="e">
        <v>#DIV/0!</v>
      </c>
      <c r="GK144" s="902">
        <v>0</v>
      </c>
      <c r="GL144" s="902">
        <v>3600</v>
      </c>
      <c r="GM144" s="909"/>
      <c r="GN144" s="909"/>
      <c r="GO144" s="909"/>
      <c r="GP144" s="909"/>
      <c r="GQ144" s="909"/>
      <c r="GR144" s="910">
        <v>0</v>
      </c>
      <c r="GS144" s="909"/>
      <c r="GT144" s="909"/>
      <c r="GU144" s="909"/>
      <c r="GV144" s="910">
        <v>0</v>
      </c>
      <c r="GW144" s="871">
        <v>0</v>
      </c>
      <c r="GX144" s="911">
        <v>0</v>
      </c>
      <c r="GY144" s="908">
        <v>0</v>
      </c>
      <c r="GZ144" s="902">
        <v>0</v>
      </c>
      <c r="HA144" s="902">
        <v>0</v>
      </c>
      <c r="HB144" s="902">
        <v>0</v>
      </c>
      <c r="HC144" s="902" t="e">
        <v>#DIV/0!</v>
      </c>
      <c r="HD144" s="902">
        <v>0</v>
      </c>
      <c r="HE144" s="902">
        <v>3600</v>
      </c>
      <c r="HF144" s="909"/>
      <c r="HG144" s="909"/>
      <c r="HH144" s="909"/>
      <c r="HI144" s="909"/>
      <c r="HJ144" s="909"/>
      <c r="HK144" s="910">
        <v>0</v>
      </c>
      <c r="HL144" s="909"/>
      <c r="HM144" s="909"/>
      <c r="HN144" s="909"/>
      <c r="HO144" s="910">
        <v>0</v>
      </c>
      <c r="HP144" s="871">
        <v>0</v>
      </c>
      <c r="HQ144" s="911">
        <v>0</v>
      </c>
      <c r="HR144" s="908">
        <v>0</v>
      </c>
      <c r="HS144" s="902">
        <v>0</v>
      </c>
      <c r="HT144" s="902">
        <v>0</v>
      </c>
      <c r="HU144" s="902">
        <v>0</v>
      </c>
      <c r="HV144" s="902" t="e">
        <v>#DIV/0!</v>
      </c>
      <c r="HW144" s="902">
        <v>0</v>
      </c>
      <c r="HX144" s="902">
        <v>3600</v>
      </c>
      <c r="HY144" s="909"/>
      <c r="HZ144" s="909"/>
      <c r="IA144" s="909"/>
      <c r="IB144" s="909"/>
      <c r="IC144" s="909"/>
      <c r="ID144" s="910">
        <v>0</v>
      </c>
      <c r="IE144" s="909"/>
      <c r="IF144" s="909"/>
      <c r="IG144" s="909"/>
      <c r="IH144" s="910">
        <v>0</v>
      </c>
      <c r="II144" s="871">
        <v>0</v>
      </c>
      <c r="IJ144" s="911">
        <v>0</v>
      </c>
      <c r="IK144" s="908">
        <v>0</v>
      </c>
      <c r="IL144" s="902">
        <v>0</v>
      </c>
      <c r="IM144" s="902">
        <v>0</v>
      </c>
      <c r="IN144" s="902">
        <v>0</v>
      </c>
      <c r="IO144" s="902" t="e">
        <v>#DIV/0!</v>
      </c>
      <c r="IP144" s="902">
        <v>0</v>
      </c>
      <c r="IQ144" s="902">
        <v>3600</v>
      </c>
      <c r="IR144" s="909"/>
      <c r="IS144" s="909"/>
      <c r="IT144" s="909"/>
      <c r="IU144" s="909"/>
      <c r="IV144" s="909"/>
      <c r="IW144" s="910">
        <v>0</v>
      </c>
      <c r="IX144" s="909"/>
      <c r="IY144" s="909"/>
      <c r="IZ144" s="909"/>
      <c r="JA144" s="910">
        <v>0</v>
      </c>
      <c r="JB144" s="871">
        <v>0</v>
      </c>
      <c r="JC144" s="911">
        <v>0</v>
      </c>
      <c r="JD144" s="908">
        <v>0</v>
      </c>
      <c r="JE144" s="902">
        <v>0</v>
      </c>
      <c r="JF144" s="902">
        <v>0</v>
      </c>
      <c r="JG144" s="902">
        <v>0</v>
      </c>
      <c r="JH144" s="902" t="e">
        <v>#DIV/0!</v>
      </c>
      <c r="JI144" s="902">
        <v>0</v>
      </c>
      <c r="JJ144" s="902">
        <v>3600</v>
      </c>
      <c r="JK144" s="909"/>
      <c r="JL144" s="909"/>
      <c r="JM144" s="909"/>
      <c r="JN144" s="909"/>
      <c r="JO144" s="909"/>
      <c r="JP144" s="910">
        <v>0</v>
      </c>
      <c r="JQ144" s="909"/>
      <c r="JR144" s="909"/>
      <c r="JS144" s="909"/>
      <c r="JT144" s="910">
        <v>0</v>
      </c>
      <c r="JU144" s="871">
        <v>0</v>
      </c>
      <c r="JV144" s="911">
        <v>0</v>
      </c>
      <c r="JW144" s="908">
        <v>0</v>
      </c>
      <c r="JX144" s="902">
        <v>0</v>
      </c>
      <c r="JY144" s="902">
        <v>0</v>
      </c>
      <c r="JZ144" s="902">
        <v>0</v>
      </c>
      <c r="KA144" s="902" t="e">
        <v>#DIV/0!</v>
      </c>
      <c r="KB144" s="902">
        <v>0</v>
      </c>
      <c r="KC144" s="902">
        <v>3600</v>
      </c>
      <c r="KD144" s="909"/>
      <c r="KE144" s="909"/>
      <c r="KF144" s="909"/>
      <c r="KG144" s="909"/>
      <c r="KH144" s="909"/>
      <c r="KI144" s="910">
        <v>0</v>
      </c>
      <c r="KJ144" s="909"/>
      <c r="KK144" s="909"/>
      <c r="KL144" s="909"/>
      <c r="KM144" s="910">
        <v>0</v>
      </c>
      <c r="KN144" s="871">
        <v>0</v>
      </c>
      <c r="KO144" s="912">
        <v>0</v>
      </c>
    </row>
    <row r="145" spans="1:301" ht="15" customHeight="1">
      <c r="A145" s="924" t="s">
        <v>1695</v>
      </c>
      <c r="B145" s="888" t="s">
        <v>1073</v>
      </c>
      <c r="C145" s="888">
        <v>190</v>
      </c>
      <c r="D145" s="888">
        <v>402</v>
      </c>
      <c r="E145" s="888">
        <v>170</v>
      </c>
      <c r="F145" s="888">
        <v>190</v>
      </c>
      <c r="G145" s="888">
        <v>54</v>
      </c>
      <c r="H145" s="888">
        <v>40</v>
      </c>
      <c r="I145" s="888">
        <v>40</v>
      </c>
      <c r="J145" s="888"/>
      <c r="K145" s="888"/>
      <c r="L145" s="888">
        <v>16</v>
      </c>
      <c r="M145" s="888">
        <v>135</v>
      </c>
      <c r="N145" s="888">
        <v>2</v>
      </c>
      <c r="O145" s="884">
        <v>1.6363400026452712</v>
      </c>
      <c r="P145" s="888">
        <v>2</v>
      </c>
      <c r="Q145" s="884">
        <v>1.9926987113235954</v>
      </c>
      <c r="R145" s="888"/>
      <c r="S145" s="888"/>
      <c r="T145" s="906">
        <v>0</v>
      </c>
      <c r="U145" s="906">
        <v>0</v>
      </c>
      <c r="V145" s="906">
        <v>47.5</v>
      </c>
      <c r="W145" s="1141">
        <v>0</v>
      </c>
      <c r="X145" s="902">
        <v>0</v>
      </c>
      <c r="Y145" s="902">
        <v>0</v>
      </c>
      <c r="Z145" s="902">
        <v>0</v>
      </c>
      <c r="AA145" s="902">
        <v>0</v>
      </c>
      <c r="AB145" s="970">
        <v>0</v>
      </c>
      <c r="AC145" s="1045">
        <v>0</v>
      </c>
      <c r="AD145" s="890"/>
      <c r="AE145" s="890"/>
      <c r="AF145" s="890"/>
      <c r="AG145" s="890"/>
      <c r="AH145" s="888"/>
      <c r="AI145" s="907">
        <v>0.62378819179342915</v>
      </c>
      <c r="AJ145" s="908">
        <v>0</v>
      </c>
      <c r="AK145" s="902">
        <v>3.6290387139688667</v>
      </c>
      <c r="AL145" s="902">
        <v>0</v>
      </c>
      <c r="AM145" s="902">
        <v>0</v>
      </c>
      <c r="AN145" s="902">
        <v>18.585169278442994</v>
      </c>
      <c r="AO145" s="902">
        <v>7.9219674801084133E-2</v>
      </c>
      <c r="AP145" s="1222"/>
      <c r="AQ145" s="909"/>
      <c r="AR145" s="909"/>
      <c r="AS145" s="909"/>
      <c r="AT145" s="909"/>
      <c r="AU145" s="909"/>
      <c r="AV145" s="910">
        <v>0</v>
      </c>
      <c r="AW145" s="909"/>
      <c r="AX145" s="909"/>
      <c r="AY145" s="909"/>
      <c r="AZ145" s="910">
        <v>0</v>
      </c>
      <c r="BA145" s="871">
        <v>0</v>
      </c>
      <c r="BB145" s="911">
        <v>0</v>
      </c>
      <c r="BC145" s="908">
        <v>0</v>
      </c>
      <c r="BD145" s="902">
        <v>3.6290387139688667</v>
      </c>
      <c r="BE145" s="902">
        <v>0</v>
      </c>
      <c r="BF145" s="902">
        <v>0</v>
      </c>
      <c r="BG145" s="902">
        <v>18.585169278442994</v>
      </c>
      <c r="BH145" s="902">
        <v>7.9219674801084133E-2</v>
      </c>
      <c r="BI145" s="902">
        <v>0</v>
      </c>
      <c r="BJ145" s="909"/>
      <c r="BK145" s="909"/>
      <c r="BL145" s="909"/>
      <c r="BM145" s="909"/>
      <c r="BN145" s="909"/>
      <c r="BO145" s="910">
        <v>0</v>
      </c>
      <c r="BP145" s="909"/>
      <c r="BQ145" s="909"/>
      <c r="BR145" s="909"/>
      <c r="BS145" s="910">
        <v>0</v>
      </c>
      <c r="BT145" s="871">
        <v>0</v>
      </c>
      <c r="BU145" s="911">
        <v>0</v>
      </c>
      <c r="BV145" s="908">
        <v>0</v>
      </c>
      <c r="BW145" s="902">
        <v>3.6290387139688667</v>
      </c>
      <c r="BX145" s="902">
        <v>0</v>
      </c>
      <c r="BY145" s="902">
        <v>0</v>
      </c>
      <c r="BZ145" s="902">
        <v>18.585169278442994</v>
      </c>
      <c r="CA145" s="902">
        <v>7.9219674801084133E-2</v>
      </c>
      <c r="CB145" s="902">
        <v>3600</v>
      </c>
      <c r="CC145" s="909"/>
      <c r="CD145" s="909"/>
      <c r="CE145" s="909"/>
      <c r="CF145" s="909"/>
      <c r="CG145" s="909"/>
      <c r="CH145" s="910">
        <v>0</v>
      </c>
      <c r="CI145" s="909"/>
      <c r="CJ145" s="909"/>
      <c r="CK145" s="909"/>
      <c r="CL145" s="910">
        <v>0</v>
      </c>
      <c r="CM145" s="871">
        <v>0</v>
      </c>
      <c r="CN145" s="911">
        <v>0</v>
      </c>
      <c r="CO145" s="908">
        <v>0</v>
      </c>
      <c r="CP145" s="902">
        <v>3.6290387139688667</v>
      </c>
      <c r="CQ145" s="902">
        <v>0</v>
      </c>
      <c r="CR145" s="902">
        <v>0</v>
      </c>
      <c r="CS145" s="902">
        <v>18.585169278442994</v>
      </c>
      <c r="CT145" s="902">
        <v>7.9219674801084133E-2</v>
      </c>
      <c r="CU145" s="902">
        <v>3600</v>
      </c>
      <c r="CV145" s="909"/>
      <c r="CW145" s="909"/>
      <c r="CX145" s="909"/>
      <c r="CY145" s="909"/>
      <c r="CZ145" s="909"/>
      <c r="DA145" s="910">
        <v>0</v>
      </c>
      <c r="DB145" s="909"/>
      <c r="DC145" s="909"/>
      <c r="DD145" s="909"/>
      <c r="DE145" s="910">
        <v>0</v>
      </c>
      <c r="DF145" s="871">
        <v>0</v>
      </c>
      <c r="DG145" s="911">
        <v>0</v>
      </c>
      <c r="DH145" s="908">
        <v>0</v>
      </c>
      <c r="DI145" s="902">
        <v>3.6290387139688667</v>
      </c>
      <c r="DJ145" s="902">
        <v>0</v>
      </c>
      <c r="DK145" s="902">
        <v>0</v>
      </c>
      <c r="DL145" s="902">
        <v>18.585169278442994</v>
      </c>
      <c r="DM145" s="902">
        <v>7.9219674801084133E-2</v>
      </c>
      <c r="DN145" s="902">
        <v>3600</v>
      </c>
      <c r="DO145" s="909"/>
      <c r="DP145" s="909"/>
      <c r="DQ145" s="909"/>
      <c r="DR145" s="909"/>
      <c r="DS145" s="909"/>
      <c r="DT145" s="910">
        <v>0</v>
      </c>
      <c r="DU145" s="909"/>
      <c r="DV145" s="909"/>
      <c r="DW145" s="909"/>
      <c r="DX145" s="910">
        <v>0</v>
      </c>
      <c r="DY145" s="871">
        <v>0</v>
      </c>
      <c r="DZ145" s="911">
        <v>0</v>
      </c>
      <c r="EA145" s="908">
        <v>0</v>
      </c>
      <c r="EB145" s="902">
        <v>3.6290387139688667</v>
      </c>
      <c r="EC145" s="902">
        <v>0</v>
      </c>
      <c r="ED145" s="902">
        <v>0</v>
      </c>
      <c r="EE145" s="902">
        <v>18.585169278442994</v>
      </c>
      <c r="EF145" s="902">
        <v>7.9219674801084133E-2</v>
      </c>
      <c r="EG145" s="902">
        <v>3600</v>
      </c>
      <c r="EH145" s="909"/>
      <c r="EI145" s="909"/>
      <c r="EJ145" s="909"/>
      <c r="EK145" s="909"/>
      <c r="EL145" s="909"/>
      <c r="EM145" s="910">
        <v>0</v>
      </c>
      <c r="EN145" s="909"/>
      <c r="EO145" s="909"/>
      <c r="EP145" s="909"/>
      <c r="EQ145" s="910">
        <v>0</v>
      </c>
      <c r="ER145" s="871">
        <v>0</v>
      </c>
      <c r="ES145" s="911">
        <v>0</v>
      </c>
      <c r="ET145" s="908">
        <v>0</v>
      </c>
      <c r="EU145" s="902">
        <v>3.6290387139688667</v>
      </c>
      <c r="EV145" s="902">
        <v>0</v>
      </c>
      <c r="EW145" s="902">
        <v>0</v>
      </c>
      <c r="EX145" s="902">
        <v>18.585169278442994</v>
      </c>
      <c r="EY145" s="902">
        <v>7.9219674801084133E-2</v>
      </c>
      <c r="EZ145" s="902">
        <v>3600</v>
      </c>
      <c r="FA145" s="909"/>
      <c r="FB145" s="909"/>
      <c r="FC145" s="909"/>
      <c r="FD145" s="909"/>
      <c r="FE145" s="909"/>
      <c r="FF145" s="910">
        <v>0</v>
      </c>
      <c r="FG145" s="909"/>
      <c r="FH145" s="909"/>
      <c r="FI145" s="909"/>
      <c r="FJ145" s="910">
        <v>0</v>
      </c>
      <c r="FK145" s="871">
        <v>0</v>
      </c>
      <c r="FL145" s="911">
        <v>0</v>
      </c>
      <c r="FM145" s="908">
        <v>0</v>
      </c>
      <c r="FN145" s="902">
        <v>3.6290387139688667</v>
      </c>
      <c r="FO145" s="902">
        <v>0</v>
      </c>
      <c r="FP145" s="902">
        <v>0</v>
      </c>
      <c r="FQ145" s="902">
        <v>18.585169278442994</v>
      </c>
      <c r="FR145" s="902">
        <v>7.9219674801084133E-2</v>
      </c>
      <c r="FS145" s="902">
        <v>3600</v>
      </c>
      <c r="FT145" s="909"/>
      <c r="FU145" s="909"/>
      <c r="FV145" s="909"/>
      <c r="FW145" s="909"/>
      <c r="FX145" s="909"/>
      <c r="FY145" s="910">
        <v>0</v>
      </c>
      <c r="FZ145" s="909"/>
      <c r="GA145" s="909"/>
      <c r="GB145" s="909"/>
      <c r="GC145" s="910">
        <v>0</v>
      </c>
      <c r="GD145" s="871">
        <v>0</v>
      </c>
      <c r="GE145" s="911">
        <v>0</v>
      </c>
      <c r="GF145" s="908">
        <v>0</v>
      </c>
      <c r="GG145" s="902">
        <v>3.6290387139688667</v>
      </c>
      <c r="GH145" s="902">
        <v>0</v>
      </c>
      <c r="GI145" s="902">
        <v>0</v>
      </c>
      <c r="GJ145" s="902">
        <v>18.585169278442994</v>
      </c>
      <c r="GK145" s="902">
        <v>7.9219674801084133E-2</v>
      </c>
      <c r="GL145" s="902">
        <v>3600</v>
      </c>
      <c r="GM145" s="909"/>
      <c r="GN145" s="909"/>
      <c r="GO145" s="909"/>
      <c r="GP145" s="909"/>
      <c r="GQ145" s="909"/>
      <c r="GR145" s="910">
        <v>0</v>
      </c>
      <c r="GS145" s="909"/>
      <c r="GT145" s="909"/>
      <c r="GU145" s="909"/>
      <c r="GV145" s="910">
        <v>0</v>
      </c>
      <c r="GW145" s="871">
        <v>0</v>
      </c>
      <c r="GX145" s="911">
        <v>0</v>
      </c>
      <c r="GY145" s="908">
        <v>0</v>
      </c>
      <c r="GZ145" s="902">
        <v>3.6290387139688667</v>
      </c>
      <c r="HA145" s="902">
        <v>0</v>
      </c>
      <c r="HB145" s="902">
        <v>0</v>
      </c>
      <c r="HC145" s="902">
        <v>18.585169278442994</v>
      </c>
      <c r="HD145" s="902">
        <v>7.9219674801084133E-2</v>
      </c>
      <c r="HE145" s="902">
        <v>3600</v>
      </c>
      <c r="HF145" s="909"/>
      <c r="HG145" s="909"/>
      <c r="HH145" s="909"/>
      <c r="HI145" s="909"/>
      <c r="HJ145" s="909"/>
      <c r="HK145" s="910">
        <v>0</v>
      </c>
      <c r="HL145" s="909"/>
      <c r="HM145" s="909"/>
      <c r="HN145" s="909"/>
      <c r="HO145" s="910">
        <v>0</v>
      </c>
      <c r="HP145" s="871">
        <v>0</v>
      </c>
      <c r="HQ145" s="911">
        <v>0</v>
      </c>
      <c r="HR145" s="908">
        <v>0</v>
      </c>
      <c r="HS145" s="902">
        <v>3.6290387139688667</v>
      </c>
      <c r="HT145" s="902">
        <v>0</v>
      </c>
      <c r="HU145" s="902">
        <v>0</v>
      </c>
      <c r="HV145" s="902">
        <v>18.585169278442994</v>
      </c>
      <c r="HW145" s="902">
        <v>7.9219674801084133E-2</v>
      </c>
      <c r="HX145" s="902">
        <v>3600</v>
      </c>
      <c r="HY145" s="909"/>
      <c r="HZ145" s="909"/>
      <c r="IA145" s="909"/>
      <c r="IB145" s="909"/>
      <c r="IC145" s="909"/>
      <c r="ID145" s="910">
        <v>0</v>
      </c>
      <c r="IE145" s="909"/>
      <c r="IF145" s="909"/>
      <c r="IG145" s="909"/>
      <c r="IH145" s="910">
        <v>0</v>
      </c>
      <c r="II145" s="871">
        <v>0</v>
      </c>
      <c r="IJ145" s="911">
        <v>0</v>
      </c>
      <c r="IK145" s="908">
        <v>0</v>
      </c>
      <c r="IL145" s="902">
        <v>3.6290387139688667</v>
      </c>
      <c r="IM145" s="902">
        <v>0</v>
      </c>
      <c r="IN145" s="902">
        <v>0</v>
      </c>
      <c r="IO145" s="902">
        <v>18.585169278442994</v>
      </c>
      <c r="IP145" s="902">
        <v>7.9219674801084133E-2</v>
      </c>
      <c r="IQ145" s="902">
        <v>3600</v>
      </c>
      <c r="IR145" s="909"/>
      <c r="IS145" s="909"/>
      <c r="IT145" s="909"/>
      <c r="IU145" s="909"/>
      <c r="IV145" s="909"/>
      <c r="IW145" s="910">
        <v>0</v>
      </c>
      <c r="IX145" s="909"/>
      <c r="IY145" s="909"/>
      <c r="IZ145" s="909"/>
      <c r="JA145" s="910">
        <v>0</v>
      </c>
      <c r="JB145" s="871">
        <v>0</v>
      </c>
      <c r="JC145" s="911">
        <v>0</v>
      </c>
      <c r="JD145" s="908">
        <v>0</v>
      </c>
      <c r="JE145" s="902">
        <v>3.6290387139688667</v>
      </c>
      <c r="JF145" s="902">
        <v>0</v>
      </c>
      <c r="JG145" s="902">
        <v>0</v>
      </c>
      <c r="JH145" s="902">
        <v>18.585169278442994</v>
      </c>
      <c r="JI145" s="902">
        <v>7.9219674801084133E-2</v>
      </c>
      <c r="JJ145" s="902">
        <v>3600</v>
      </c>
      <c r="JK145" s="909"/>
      <c r="JL145" s="909"/>
      <c r="JM145" s="909"/>
      <c r="JN145" s="909"/>
      <c r="JO145" s="909"/>
      <c r="JP145" s="910">
        <v>0</v>
      </c>
      <c r="JQ145" s="909"/>
      <c r="JR145" s="909"/>
      <c r="JS145" s="909"/>
      <c r="JT145" s="910">
        <v>0</v>
      </c>
      <c r="JU145" s="871">
        <v>0</v>
      </c>
      <c r="JV145" s="911">
        <v>0</v>
      </c>
      <c r="JW145" s="908">
        <v>0</v>
      </c>
      <c r="JX145" s="902">
        <v>3.6290387139688667</v>
      </c>
      <c r="JY145" s="902">
        <v>0</v>
      </c>
      <c r="JZ145" s="902">
        <v>0</v>
      </c>
      <c r="KA145" s="902">
        <v>18.585169278442994</v>
      </c>
      <c r="KB145" s="902">
        <v>7.9219674801084133E-2</v>
      </c>
      <c r="KC145" s="902">
        <v>3600</v>
      </c>
      <c r="KD145" s="909"/>
      <c r="KE145" s="909"/>
      <c r="KF145" s="909"/>
      <c r="KG145" s="909"/>
      <c r="KH145" s="909"/>
      <c r="KI145" s="910">
        <v>0</v>
      </c>
      <c r="KJ145" s="909"/>
      <c r="KK145" s="909"/>
      <c r="KL145" s="909"/>
      <c r="KM145" s="910">
        <v>0</v>
      </c>
      <c r="KN145" s="871">
        <v>0</v>
      </c>
      <c r="KO145" s="912">
        <v>0</v>
      </c>
    </row>
    <row r="146" spans="1:301" ht="15" customHeight="1">
      <c r="A146" s="924" t="s">
        <v>1602</v>
      </c>
      <c r="B146" s="888" t="s">
        <v>1073</v>
      </c>
      <c r="C146" s="888">
        <v>235</v>
      </c>
      <c r="D146" s="888">
        <v>402</v>
      </c>
      <c r="E146" s="888">
        <v>210</v>
      </c>
      <c r="F146" s="888">
        <v>235</v>
      </c>
      <c r="G146" s="888">
        <v>74</v>
      </c>
      <c r="H146" s="888">
        <v>60</v>
      </c>
      <c r="I146" s="888">
        <v>60</v>
      </c>
      <c r="J146" s="888"/>
      <c r="K146" s="888"/>
      <c r="L146" s="888">
        <v>16</v>
      </c>
      <c r="M146" s="888">
        <v>100</v>
      </c>
      <c r="N146" s="888">
        <v>2</v>
      </c>
      <c r="O146" s="884">
        <v>1.4489125849321041</v>
      </c>
      <c r="P146" s="888">
        <v>2</v>
      </c>
      <c r="Q146" s="884">
        <v>1.9926987113235954</v>
      </c>
      <c r="R146" s="888"/>
      <c r="S146" s="888"/>
      <c r="T146" s="906">
        <v>0</v>
      </c>
      <c r="U146" s="906">
        <v>0</v>
      </c>
      <c r="V146" s="906">
        <v>60</v>
      </c>
      <c r="W146" s="1141">
        <v>0</v>
      </c>
      <c r="X146" s="902">
        <v>0</v>
      </c>
      <c r="Y146" s="902">
        <v>0</v>
      </c>
      <c r="Z146" s="902">
        <v>0</v>
      </c>
      <c r="AA146" s="902">
        <v>0</v>
      </c>
      <c r="AB146" s="970">
        <v>0</v>
      </c>
      <c r="AC146" s="1045">
        <v>0</v>
      </c>
      <c r="AD146" s="890"/>
      <c r="AE146" s="890"/>
      <c r="AF146" s="890"/>
      <c r="AG146" s="890"/>
      <c r="AH146" s="888"/>
      <c r="AI146" s="907">
        <v>0.61294671204347684</v>
      </c>
      <c r="AJ146" s="908">
        <v>0</v>
      </c>
      <c r="AK146" s="902">
        <v>3.4416112962556995</v>
      </c>
      <c r="AL146" s="902">
        <v>0</v>
      </c>
      <c r="AM146" s="902">
        <v>0</v>
      </c>
      <c r="AN146" s="902">
        <v>25.838901070553337</v>
      </c>
      <c r="AO146" s="902">
        <v>7.7509399614451496E-2</v>
      </c>
      <c r="AP146" s="1222"/>
      <c r="AQ146" s="909"/>
      <c r="AR146" s="909"/>
      <c r="AS146" s="909"/>
      <c r="AT146" s="909"/>
      <c r="AU146" s="909"/>
      <c r="AV146" s="910">
        <v>0</v>
      </c>
      <c r="AW146" s="909"/>
      <c r="AX146" s="909"/>
      <c r="AY146" s="909"/>
      <c r="AZ146" s="910">
        <v>0</v>
      </c>
      <c r="BA146" s="871">
        <v>0</v>
      </c>
      <c r="BB146" s="911">
        <v>0</v>
      </c>
      <c r="BC146" s="908">
        <v>0</v>
      </c>
      <c r="BD146" s="902">
        <v>3.4416112962556995</v>
      </c>
      <c r="BE146" s="902">
        <v>0</v>
      </c>
      <c r="BF146" s="902">
        <v>0</v>
      </c>
      <c r="BG146" s="902">
        <v>25.838901070553337</v>
      </c>
      <c r="BH146" s="902">
        <v>7.7509399614451496E-2</v>
      </c>
      <c r="BI146" s="902">
        <v>0</v>
      </c>
      <c r="BJ146" s="909"/>
      <c r="BK146" s="909"/>
      <c r="BL146" s="909"/>
      <c r="BM146" s="909"/>
      <c r="BN146" s="909"/>
      <c r="BO146" s="910">
        <v>0</v>
      </c>
      <c r="BP146" s="909"/>
      <c r="BQ146" s="909"/>
      <c r="BR146" s="909"/>
      <c r="BS146" s="910">
        <v>0</v>
      </c>
      <c r="BT146" s="871">
        <v>0</v>
      </c>
      <c r="BU146" s="911">
        <v>0</v>
      </c>
      <c r="BV146" s="908">
        <v>0</v>
      </c>
      <c r="BW146" s="902">
        <v>3.4416112962556995</v>
      </c>
      <c r="BX146" s="902">
        <v>0</v>
      </c>
      <c r="BY146" s="902">
        <v>0</v>
      </c>
      <c r="BZ146" s="902">
        <v>25.838901070553337</v>
      </c>
      <c r="CA146" s="902">
        <v>7.7509399614451496E-2</v>
      </c>
      <c r="CB146" s="902">
        <v>3600</v>
      </c>
      <c r="CC146" s="909"/>
      <c r="CD146" s="909"/>
      <c r="CE146" s="909"/>
      <c r="CF146" s="909"/>
      <c r="CG146" s="909"/>
      <c r="CH146" s="910">
        <v>0</v>
      </c>
      <c r="CI146" s="909"/>
      <c r="CJ146" s="909"/>
      <c r="CK146" s="909"/>
      <c r="CL146" s="910">
        <v>0</v>
      </c>
      <c r="CM146" s="871">
        <v>0</v>
      </c>
      <c r="CN146" s="911">
        <v>0</v>
      </c>
      <c r="CO146" s="908">
        <v>0</v>
      </c>
      <c r="CP146" s="902">
        <v>3.4416112962556995</v>
      </c>
      <c r="CQ146" s="902">
        <v>0</v>
      </c>
      <c r="CR146" s="902">
        <v>0</v>
      </c>
      <c r="CS146" s="902">
        <v>25.838901070553337</v>
      </c>
      <c r="CT146" s="902">
        <v>7.7509399614451496E-2</v>
      </c>
      <c r="CU146" s="902">
        <v>3600</v>
      </c>
      <c r="CV146" s="909"/>
      <c r="CW146" s="909"/>
      <c r="CX146" s="909"/>
      <c r="CY146" s="909"/>
      <c r="CZ146" s="909"/>
      <c r="DA146" s="910">
        <v>0</v>
      </c>
      <c r="DB146" s="909"/>
      <c r="DC146" s="909"/>
      <c r="DD146" s="909"/>
      <c r="DE146" s="910">
        <v>0</v>
      </c>
      <c r="DF146" s="871">
        <v>0</v>
      </c>
      <c r="DG146" s="911">
        <v>0</v>
      </c>
      <c r="DH146" s="908">
        <v>0</v>
      </c>
      <c r="DI146" s="902">
        <v>3.4416112962556995</v>
      </c>
      <c r="DJ146" s="902">
        <v>0</v>
      </c>
      <c r="DK146" s="902">
        <v>0</v>
      </c>
      <c r="DL146" s="902">
        <v>25.838901070553337</v>
      </c>
      <c r="DM146" s="902">
        <v>7.7509399614451496E-2</v>
      </c>
      <c r="DN146" s="902">
        <v>3600</v>
      </c>
      <c r="DO146" s="909"/>
      <c r="DP146" s="909"/>
      <c r="DQ146" s="909"/>
      <c r="DR146" s="909"/>
      <c r="DS146" s="909"/>
      <c r="DT146" s="910">
        <v>0</v>
      </c>
      <c r="DU146" s="909"/>
      <c r="DV146" s="909"/>
      <c r="DW146" s="909"/>
      <c r="DX146" s="910">
        <v>0</v>
      </c>
      <c r="DY146" s="871">
        <v>0</v>
      </c>
      <c r="DZ146" s="911">
        <v>0</v>
      </c>
      <c r="EA146" s="908">
        <v>0</v>
      </c>
      <c r="EB146" s="902">
        <v>3.4416112962556995</v>
      </c>
      <c r="EC146" s="902">
        <v>0</v>
      </c>
      <c r="ED146" s="902">
        <v>0</v>
      </c>
      <c r="EE146" s="902">
        <v>25.838901070553337</v>
      </c>
      <c r="EF146" s="902">
        <v>7.7509399614451496E-2</v>
      </c>
      <c r="EG146" s="902">
        <v>3600</v>
      </c>
      <c r="EH146" s="909"/>
      <c r="EI146" s="909"/>
      <c r="EJ146" s="909"/>
      <c r="EK146" s="909"/>
      <c r="EL146" s="909"/>
      <c r="EM146" s="910">
        <v>0</v>
      </c>
      <c r="EN146" s="909"/>
      <c r="EO146" s="909"/>
      <c r="EP146" s="909"/>
      <c r="EQ146" s="910">
        <v>0</v>
      </c>
      <c r="ER146" s="871">
        <v>0</v>
      </c>
      <c r="ES146" s="911">
        <v>0</v>
      </c>
      <c r="ET146" s="908">
        <v>0</v>
      </c>
      <c r="EU146" s="902">
        <v>3.4416112962556995</v>
      </c>
      <c r="EV146" s="902">
        <v>0</v>
      </c>
      <c r="EW146" s="902">
        <v>0</v>
      </c>
      <c r="EX146" s="902">
        <v>25.838901070553337</v>
      </c>
      <c r="EY146" s="902">
        <v>7.7509399614451496E-2</v>
      </c>
      <c r="EZ146" s="902">
        <v>3600</v>
      </c>
      <c r="FA146" s="909"/>
      <c r="FB146" s="909"/>
      <c r="FC146" s="909"/>
      <c r="FD146" s="909"/>
      <c r="FE146" s="909"/>
      <c r="FF146" s="910">
        <v>0</v>
      </c>
      <c r="FG146" s="909"/>
      <c r="FH146" s="909"/>
      <c r="FI146" s="909"/>
      <c r="FJ146" s="910">
        <v>0</v>
      </c>
      <c r="FK146" s="871">
        <v>0</v>
      </c>
      <c r="FL146" s="911">
        <v>0</v>
      </c>
      <c r="FM146" s="908">
        <v>0</v>
      </c>
      <c r="FN146" s="902">
        <v>3.4416112962556995</v>
      </c>
      <c r="FO146" s="902">
        <v>0</v>
      </c>
      <c r="FP146" s="902">
        <v>0</v>
      </c>
      <c r="FQ146" s="902">
        <v>25.838901070553337</v>
      </c>
      <c r="FR146" s="902">
        <v>7.7509399614451496E-2</v>
      </c>
      <c r="FS146" s="902">
        <v>3600</v>
      </c>
      <c r="FT146" s="909"/>
      <c r="FU146" s="909"/>
      <c r="FV146" s="909"/>
      <c r="FW146" s="909"/>
      <c r="FX146" s="909"/>
      <c r="FY146" s="910">
        <v>0</v>
      </c>
      <c r="FZ146" s="909"/>
      <c r="GA146" s="909"/>
      <c r="GB146" s="909"/>
      <c r="GC146" s="910">
        <v>0</v>
      </c>
      <c r="GD146" s="871">
        <v>0</v>
      </c>
      <c r="GE146" s="911">
        <v>0</v>
      </c>
      <c r="GF146" s="908">
        <v>0</v>
      </c>
      <c r="GG146" s="902">
        <v>3.4416112962556995</v>
      </c>
      <c r="GH146" s="902">
        <v>0</v>
      </c>
      <c r="GI146" s="902">
        <v>0</v>
      </c>
      <c r="GJ146" s="902">
        <v>25.838901070553337</v>
      </c>
      <c r="GK146" s="902">
        <v>7.7509399614451496E-2</v>
      </c>
      <c r="GL146" s="902">
        <v>3600</v>
      </c>
      <c r="GM146" s="909"/>
      <c r="GN146" s="909"/>
      <c r="GO146" s="909"/>
      <c r="GP146" s="909"/>
      <c r="GQ146" s="909"/>
      <c r="GR146" s="910">
        <v>0</v>
      </c>
      <c r="GS146" s="909"/>
      <c r="GT146" s="909"/>
      <c r="GU146" s="909"/>
      <c r="GV146" s="910">
        <v>0</v>
      </c>
      <c r="GW146" s="871">
        <v>0</v>
      </c>
      <c r="GX146" s="911">
        <v>0</v>
      </c>
      <c r="GY146" s="908">
        <v>0</v>
      </c>
      <c r="GZ146" s="902">
        <v>3.4416112962556995</v>
      </c>
      <c r="HA146" s="902">
        <v>0</v>
      </c>
      <c r="HB146" s="902">
        <v>0</v>
      </c>
      <c r="HC146" s="902">
        <v>25.838901070553337</v>
      </c>
      <c r="HD146" s="902">
        <v>7.7509399614451496E-2</v>
      </c>
      <c r="HE146" s="902">
        <v>3600</v>
      </c>
      <c r="HF146" s="909"/>
      <c r="HG146" s="909"/>
      <c r="HH146" s="909"/>
      <c r="HI146" s="909"/>
      <c r="HJ146" s="909"/>
      <c r="HK146" s="910">
        <v>0</v>
      </c>
      <c r="HL146" s="909"/>
      <c r="HM146" s="909"/>
      <c r="HN146" s="909"/>
      <c r="HO146" s="910">
        <v>0</v>
      </c>
      <c r="HP146" s="871">
        <v>0</v>
      </c>
      <c r="HQ146" s="911">
        <v>0</v>
      </c>
      <c r="HR146" s="908">
        <v>0</v>
      </c>
      <c r="HS146" s="902">
        <v>3.4416112962556995</v>
      </c>
      <c r="HT146" s="902">
        <v>0</v>
      </c>
      <c r="HU146" s="902">
        <v>0</v>
      </c>
      <c r="HV146" s="902">
        <v>25.838901070553337</v>
      </c>
      <c r="HW146" s="902">
        <v>7.7509399614451496E-2</v>
      </c>
      <c r="HX146" s="902">
        <v>3600</v>
      </c>
      <c r="HY146" s="909"/>
      <c r="HZ146" s="909"/>
      <c r="IA146" s="909"/>
      <c r="IB146" s="909"/>
      <c r="IC146" s="909"/>
      <c r="ID146" s="910">
        <v>0</v>
      </c>
      <c r="IE146" s="909"/>
      <c r="IF146" s="909"/>
      <c r="IG146" s="909"/>
      <c r="IH146" s="910">
        <v>0</v>
      </c>
      <c r="II146" s="871">
        <v>0</v>
      </c>
      <c r="IJ146" s="911">
        <v>0</v>
      </c>
      <c r="IK146" s="908">
        <v>0</v>
      </c>
      <c r="IL146" s="902">
        <v>3.4416112962556995</v>
      </c>
      <c r="IM146" s="902">
        <v>0</v>
      </c>
      <c r="IN146" s="902">
        <v>0</v>
      </c>
      <c r="IO146" s="902">
        <v>25.838901070553337</v>
      </c>
      <c r="IP146" s="902">
        <v>7.7509399614451496E-2</v>
      </c>
      <c r="IQ146" s="902">
        <v>3600</v>
      </c>
      <c r="IR146" s="909"/>
      <c r="IS146" s="909"/>
      <c r="IT146" s="909"/>
      <c r="IU146" s="909"/>
      <c r="IV146" s="909"/>
      <c r="IW146" s="910">
        <v>0</v>
      </c>
      <c r="IX146" s="909"/>
      <c r="IY146" s="909"/>
      <c r="IZ146" s="909"/>
      <c r="JA146" s="910">
        <v>0</v>
      </c>
      <c r="JB146" s="871">
        <v>0</v>
      </c>
      <c r="JC146" s="911">
        <v>0</v>
      </c>
      <c r="JD146" s="908">
        <v>0</v>
      </c>
      <c r="JE146" s="902">
        <v>3.4416112962556995</v>
      </c>
      <c r="JF146" s="902">
        <v>0</v>
      </c>
      <c r="JG146" s="902">
        <v>0</v>
      </c>
      <c r="JH146" s="902">
        <v>25.838901070553337</v>
      </c>
      <c r="JI146" s="902">
        <v>7.7509399614451496E-2</v>
      </c>
      <c r="JJ146" s="902">
        <v>3600</v>
      </c>
      <c r="JK146" s="909"/>
      <c r="JL146" s="909"/>
      <c r="JM146" s="909"/>
      <c r="JN146" s="909"/>
      <c r="JO146" s="909"/>
      <c r="JP146" s="910">
        <v>0</v>
      </c>
      <c r="JQ146" s="909"/>
      <c r="JR146" s="909"/>
      <c r="JS146" s="909"/>
      <c r="JT146" s="910">
        <v>0</v>
      </c>
      <c r="JU146" s="871">
        <v>0</v>
      </c>
      <c r="JV146" s="911">
        <v>0</v>
      </c>
      <c r="JW146" s="908">
        <v>0</v>
      </c>
      <c r="JX146" s="902">
        <v>3.4416112962556995</v>
      </c>
      <c r="JY146" s="902">
        <v>0</v>
      </c>
      <c r="JZ146" s="902">
        <v>0</v>
      </c>
      <c r="KA146" s="902">
        <v>25.838901070553337</v>
      </c>
      <c r="KB146" s="902">
        <v>7.7509399614451496E-2</v>
      </c>
      <c r="KC146" s="902">
        <v>3600</v>
      </c>
      <c r="KD146" s="909"/>
      <c r="KE146" s="909"/>
      <c r="KF146" s="909"/>
      <c r="KG146" s="909"/>
      <c r="KH146" s="909"/>
      <c r="KI146" s="910">
        <v>0</v>
      </c>
      <c r="KJ146" s="909"/>
      <c r="KK146" s="909"/>
      <c r="KL146" s="909"/>
      <c r="KM146" s="910">
        <v>0</v>
      </c>
      <c r="KN146" s="871">
        <v>0</v>
      </c>
      <c r="KO146" s="912">
        <v>0</v>
      </c>
    </row>
    <row r="147" spans="1:301" ht="15" customHeight="1">
      <c r="A147" s="924" t="s">
        <v>1603</v>
      </c>
      <c r="B147" s="888" t="s">
        <v>1073</v>
      </c>
      <c r="C147" s="888">
        <v>285</v>
      </c>
      <c r="D147" s="888">
        <v>427</v>
      </c>
      <c r="E147" s="888">
        <v>260</v>
      </c>
      <c r="F147" s="888">
        <v>285</v>
      </c>
      <c r="G147" s="888">
        <v>74</v>
      </c>
      <c r="H147" s="888">
        <v>60</v>
      </c>
      <c r="I147" s="888">
        <v>60</v>
      </c>
      <c r="J147" s="888"/>
      <c r="K147" s="888"/>
      <c r="L147" s="888">
        <v>16</v>
      </c>
      <c r="M147" s="888">
        <v>98</v>
      </c>
      <c r="N147" s="888">
        <v>2</v>
      </c>
      <c r="O147" s="884">
        <v>1.4146947504482859</v>
      </c>
      <c r="P147" s="888">
        <v>2</v>
      </c>
      <c r="Q147" s="884">
        <v>2.2482535292252654</v>
      </c>
      <c r="R147" s="888"/>
      <c r="S147" s="888"/>
      <c r="T147" s="906">
        <v>0</v>
      </c>
      <c r="U147" s="906">
        <v>0</v>
      </c>
      <c r="V147" s="906">
        <v>72.5</v>
      </c>
      <c r="W147" s="1141">
        <v>0</v>
      </c>
      <c r="X147" s="902">
        <v>0</v>
      </c>
      <c r="Y147" s="902">
        <v>0</v>
      </c>
      <c r="Z147" s="902">
        <v>0</v>
      </c>
      <c r="AA147" s="902">
        <v>0</v>
      </c>
      <c r="AB147" s="970">
        <v>0</v>
      </c>
      <c r="AC147" s="1045">
        <v>0</v>
      </c>
      <c r="AD147" s="890"/>
      <c r="AE147" s="890"/>
      <c r="AF147" s="890"/>
      <c r="AG147" s="890"/>
      <c r="AH147" s="888"/>
      <c r="AI147" s="907">
        <v>0.63337551529245784</v>
      </c>
      <c r="AJ147" s="908">
        <v>0</v>
      </c>
      <c r="AK147" s="902">
        <v>3.6629482796735511</v>
      </c>
      <c r="AL147" s="902">
        <v>0</v>
      </c>
      <c r="AM147" s="902">
        <v>0</v>
      </c>
      <c r="AN147" s="902">
        <v>23.786832874388168</v>
      </c>
      <c r="AO147" s="902">
        <v>9.5436882751862878E-2</v>
      </c>
      <c r="AP147" s="1222"/>
      <c r="AQ147" s="909"/>
      <c r="AR147" s="909"/>
      <c r="AS147" s="909"/>
      <c r="AT147" s="909"/>
      <c r="AU147" s="909"/>
      <c r="AV147" s="910">
        <v>0</v>
      </c>
      <c r="AW147" s="909"/>
      <c r="AX147" s="909"/>
      <c r="AY147" s="909"/>
      <c r="AZ147" s="910">
        <v>0</v>
      </c>
      <c r="BA147" s="871">
        <v>0</v>
      </c>
      <c r="BB147" s="911">
        <v>0</v>
      </c>
      <c r="BC147" s="908">
        <v>0</v>
      </c>
      <c r="BD147" s="902">
        <v>3.6629482796735511</v>
      </c>
      <c r="BE147" s="902">
        <v>0</v>
      </c>
      <c r="BF147" s="902">
        <v>0</v>
      </c>
      <c r="BG147" s="902">
        <v>23.786832874388168</v>
      </c>
      <c r="BH147" s="902">
        <v>9.5436882751862878E-2</v>
      </c>
      <c r="BI147" s="902">
        <v>0</v>
      </c>
      <c r="BJ147" s="909"/>
      <c r="BK147" s="909"/>
      <c r="BL147" s="909"/>
      <c r="BM147" s="909"/>
      <c r="BN147" s="909"/>
      <c r="BO147" s="910">
        <v>0</v>
      </c>
      <c r="BP147" s="909"/>
      <c r="BQ147" s="909"/>
      <c r="BR147" s="909"/>
      <c r="BS147" s="910">
        <v>0</v>
      </c>
      <c r="BT147" s="871">
        <v>0</v>
      </c>
      <c r="BU147" s="911">
        <v>0</v>
      </c>
      <c r="BV147" s="908">
        <v>0</v>
      </c>
      <c r="BW147" s="902">
        <v>3.6629482796735511</v>
      </c>
      <c r="BX147" s="902">
        <v>0</v>
      </c>
      <c r="BY147" s="902">
        <v>0</v>
      </c>
      <c r="BZ147" s="902">
        <v>23.786832874388168</v>
      </c>
      <c r="CA147" s="902">
        <v>9.5436882751862878E-2</v>
      </c>
      <c r="CB147" s="902">
        <v>3600</v>
      </c>
      <c r="CC147" s="909"/>
      <c r="CD147" s="909"/>
      <c r="CE147" s="909"/>
      <c r="CF147" s="909"/>
      <c r="CG147" s="909"/>
      <c r="CH147" s="910">
        <v>0</v>
      </c>
      <c r="CI147" s="909"/>
      <c r="CJ147" s="909"/>
      <c r="CK147" s="909"/>
      <c r="CL147" s="910">
        <v>0</v>
      </c>
      <c r="CM147" s="871">
        <v>0</v>
      </c>
      <c r="CN147" s="911">
        <v>0</v>
      </c>
      <c r="CO147" s="908">
        <v>0</v>
      </c>
      <c r="CP147" s="902">
        <v>3.6629482796735511</v>
      </c>
      <c r="CQ147" s="902">
        <v>0</v>
      </c>
      <c r="CR147" s="902">
        <v>0</v>
      </c>
      <c r="CS147" s="902">
        <v>23.786832874388168</v>
      </c>
      <c r="CT147" s="902">
        <v>9.5436882751862878E-2</v>
      </c>
      <c r="CU147" s="902">
        <v>3600</v>
      </c>
      <c r="CV147" s="909"/>
      <c r="CW147" s="909"/>
      <c r="CX147" s="909"/>
      <c r="CY147" s="909"/>
      <c r="CZ147" s="909"/>
      <c r="DA147" s="910">
        <v>0</v>
      </c>
      <c r="DB147" s="909"/>
      <c r="DC147" s="909"/>
      <c r="DD147" s="909"/>
      <c r="DE147" s="910">
        <v>0</v>
      </c>
      <c r="DF147" s="871">
        <v>0</v>
      </c>
      <c r="DG147" s="911">
        <v>0</v>
      </c>
      <c r="DH147" s="908">
        <v>0</v>
      </c>
      <c r="DI147" s="902">
        <v>3.6629482796735511</v>
      </c>
      <c r="DJ147" s="902">
        <v>0</v>
      </c>
      <c r="DK147" s="902">
        <v>0</v>
      </c>
      <c r="DL147" s="902">
        <v>23.786832874388168</v>
      </c>
      <c r="DM147" s="902">
        <v>9.5436882751862878E-2</v>
      </c>
      <c r="DN147" s="902">
        <v>3600</v>
      </c>
      <c r="DO147" s="909"/>
      <c r="DP147" s="909"/>
      <c r="DQ147" s="909"/>
      <c r="DR147" s="909"/>
      <c r="DS147" s="909"/>
      <c r="DT147" s="910">
        <v>0</v>
      </c>
      <c r="DU147" s="909"/>
      <c r="DV147" s="909"/>
      <c r="DW147" s="909"/>
      <c r="DX147" s="910">
        <v>0</v>
      </c>
      <c r="DY147" s="871">
        <v>0</v>
      </c>
      <c r="DZ147" s="911">
        <v>0</v>
      </c>
      <c r="EA147" s="908">
        <v>0</v>
      </c>
      <c r="EB147" s="902">
        <v>3.6629482796735511</v>
      </c>
      <c r="EC147" s="902">
        <v>0</v>
      </c>
      <c r="ED147" s="902">
        <v>0</v>
      </c>
      <c r="EE147" s="902">
        <v>23.786832874388168</v>
      </c>
      <c r="EF147" s="902">
        <v>9.5436882751862878E-2</v>
      </c>
      <c r="EG147" s="902">
        <v>3600</v>
      </c>
      <c r="EH147" s="909"/>
      <c r="EI147" s="909"/>
      <c r="EJ147" s="909"/>
      <c r="EK147" s="909"/>
      <c r="EL147" s="909"/>
      <c r="EM147" s="910">
        <v>0</v>
      </c>
      <c r="EN147" s="909"/>
      <c r="EO147" s="909"/>
      <c r="EP147" s="909"/>
      <c r="EQ147" s="910">
        <v>0</v>
      </c>
      <c r="ER147" s="871">
        <v>0</v>
      </c>
      <c r="ES147" s="911">
        <v>0</v>
      </c>
      <c r="ET147" s="908">
        <v>0</v>
      </c>
      <c r="EU147" s="902">
        <v>3.6629482796735511</v>
      </c>
      <c r="EV147" s="902">
        <v>0</v>
      </c>
      <c r="EW147" s="902">
        <v>0</v>
      </c>
      <c r="EX147" s="902">
        <v>23.786832874388168</v>
      </c>
      <c r="EY147" s="902">
        <v>9.5436882751862878E-2</v>
      </c>
      <c r="EZ147" s="902">
        <v>3600</v>
      </c>
      <c r="FA147" s="909"/>
      <c r="FB147" s="909"/>
      <c r="FC147" s="909"/>
      <c r="FD147" s="909"/>
      <c r="FE147" s="909"/>
      <c r="FF147" s="910">
        <v>0</v>
      </c>
      <c r="FG147" s="909"/>
      <c r="FH147" s="909"/>
      <c r="FI147" s="909"/>
      <c r="FJ147" s="910">
        <v>0</v>
      </c>
      <c r="FK147" s="871">
        <v>0</v>
      </c>
      <c r="FL147" s="911">
        <v>0</v>
      </c>
      <c r="FM147" s="908">
        <v>0</v>
      </c>
      <c r="FN147" s="902">
        <v>3.6629482796735511</v>
      </c>
      <c r="FO147" s="902">
        <v>0</v>
      </c>
      <c r="FP147" s="902">
        <v>0</v>
      </c>
      <c r="FQ147" s="902">
        <v>23.786832874388168</v>
      </c>
      <c r="FR147" s="902">
        <v>9.5436882751862878E-2</v>
      </c>
      <c r="FS147" s="902">
        <v>3600</v>
      </c>
      <c r="FT147" s="909"/>
      <c r="FU147" s="909"/>
      <c r="FV147" s="909"/>
      <c r="FW147" s="909"/>
      <c r="FX147" s="909"/>
      <c r="FY147" s="910">
        <v>0</v>
      </c>
      <c r="FZ147" s="909"/>
      <c r="GA147" s="909"/>
      <c r="GB147" s="909"/>
      <c r="GC147" s="910">
        <v>0</v>
      </c>
      <c r="GD147" s="871">
        <v>0</v>
      </c>
      <c r="GE147" s="911">
        <v>0</v>
      </c>
      <c r="GF147" s="908">
        <v>0</v>
      </c>
      <c r="GG147" s="902">
        <v>3.6629482796735511</v>
      </c>
      <c r="GH147" s="902">
        <v>0</v>
      </c>
      <c r="GI147" s="902">
        <v>0</v>
      </c>
      <c r="GJ147" s="902">
        <v>23.786832874388168</v>
      </c>
      <c r="GK147" s="902">
        <v>9.5436882751862878E-2</v>
      </c>
      <c r="GL147" s="902">
        <v>3600</v>
      </c>
      <c r="GM147" s="909"/>
      <c r="GN147" s="909"/>
      <c r="GO147" s="909"/>
      <c r="GP147" s="909"/>
      <c r="GQ147" s="909"/>
      <c r="GR147" s="910">
        <v>0</v>
      </c>
      <c r="GS147" s="909"/>
      <c r="GT147" s="909"/>
      <c r="GU147" s="909"/>
      <c r="GV147" s="910">
        <v>0</v>
      </c>
      <c r="GW147" s="871">
        <v>0</v>
      </c>
      <c r="GX147" s="911">
        <v>0</v>
      </c>
      <c r="GY147" s="908">
        <v>0</v>
      </c>
      <c r="GZ147" s="902">
        <v>3.6629482796735511</v>
      </c>
      <c r="HA147" s="902">
        <v>0</v>
      </c>
      <c r="HB147" s="902">
        <v>0</v>
      </c>
      <c r="HC147" s="902">
        <v>23.786832874388168</v>
      </c>
      <c r="HD147" s="902">
        <v>9.5436882751862878E-2</v>
      </c>
      <c r="HE147" s="902">
        <v>3600</v>
      </c>
      <c r="HF147" s="909"/>
      <c r="HG147" s="909"/>
      <c r="HH147" s="909"/>
      <c r="HI147" s="909"/>
      <c r="HJ147" s="909"/>
      <c r="HK147" s="910">
        <v>0</v>
      </c>
      <c r="HL147" s="909"/>
      <c r="HM147" s="909"/>
      <c r="HN147" s="909"/>
      <c r="HO147" s="910">
        <v>0</v>
      </c>
      <c r="HP147" s="871">
        <v>0</v>
      </c>
      <c r="HQ147" s="911">
        <v>0</v>
      </c>
      <c r="HR147" s="908">
        <v>0</v>
      </c>
      <c r="HS147" s="902">
        <v>3.6629482796735511</v>
      </c>
      <c r="HT147" s="902">
        <v>0</v>
      </c>
      <c r="HU147" s="902">
        <v>0</v>
      </c>
      <c r="HV147" s="902">
        <v>23.786832874388168</v>
      </c>
      <c r="HW147" s="902">
        <v>9.5436882751862878E-2</v>
      </c>
      <c r="HX147" s="902">
        <v>3600</v>
      </c>
      <c r="HY147" s="909"/>
      <c r="HZ147" s="909"/>
      <c r="IA147" s="909"/>
      <c r="IB147" s="909"/>
      <c r="IC147" s="909"/>
      <c r="ID147" s="910">
        <v>0</v>
      </c>
      <c r="IE147" s="909"/>
      <c r="IF147" s="909"/>
      <c r="IG147" s="909"/>
      <c r="IH147" s="910">
        <v>0</v>
      </c>
      <c r="II147" s="871">
        <v>0</v>
      </c>
      <c r="IJ147" s="911">
        <v>0</v>
      </c>
      <c r="IK147" s="908">
        <v>0</v>
      </c>
      <c r="IL147" s="902">
        <v>3.6629482796735511</v>
      </c>
      <c r="IM147" s="902">
        <v>0</v>
      </c>
      <c r="IN147" s="902">
        <v>0</v>
      </c>
      <c r="IO147" s="902">
        <v>23.786832874388168</v>
      </c>
      <c r="IP147" s="902">
        <v>9.5436882751862878E-2</v>
      </c>
      <c r="IQ147" s="902">
        <v>3600</v>
      </c>
      <c r="IR147" s="909"/>
      <c r="IS147" s="909"/>
      <c r="IT147" s="909"/>
      <c r="IU147" s="909"/>
      <c r="IV147" s="909"/>
      <c r="IW147" s="910">
        <v>0</v>
      </c>
      <c r="IX147" s="909"/>
      <c r="IY147" s="909"/>
      <c r="IZ147" s="909"/>
      <c r="JA147" s="910">
        <v>0</v>
      </c>
      <c r="JB147" s="871">
        <v>0</v>
      </c>
      <c r="JC147" s="911">
        <v>0</v>
      </c>
      <c r="JD147" s="908">
        <v>0</v>
      </c>
      <c r="JE147" s="902">
        <v>3.6629482796735511</v>
      </c>
      <c r="JF147" s="902">
        <v>0</v>
      </c>
      <c r="JG147" s="902">
        <v>0</v>
      </c>
      <c r="JH147" s="902">
        <v>23.786832874388168</v>
      </c>
      <c r="JI147" s="902">
        <v>9.5436882751862878E-2</v>
      </c>
      <c r="JJ147" s="902">
        <v>3600</v>
      </c>
      <c r="JK147" s="909"/>
      <c r="JL147" s="909"/>
      <c r="JM147" s="909"/>
      <c r="JN147" s="909"/>
      <c r="JO147" s="909"/>
      <c r="JP147" s="910">
        <v>0</v>
      </c>
      <c r="JQ147" s="909"/>
      <c r="JR147" s="909"/>
      <c r="JS147" s="909"/>
      <c r="JT147" s="910">
        <v>0</v>
      </c>
      <c r="JU147" s="871">
        <v>0</v>
      </c>
      <c r="JV147" s="911">
        <v>0</v>
      </c>
      <c r="JW147" s="908">
        <v>0</v>
      </c>
      <c r="JX147" s="902">
        <v>3.6629482796735511</v>
      </c>
      <c r="JY147" s="902">
        <v>0</v>
      </c>
      <c r="JZ147" s="902">
        <v>0</v>
      </c>
      <c r="KA147" s="902">
        <v>23.786832874388168</v>
      </c>
      <c r="KB147" s="902">
        <v>9.5436882751862878E-2</v>
      </c>
      <c r="KC147" s="902">
        <v>3600</v>
      </c>
      <c r="KD147" s="909"/>
      <c r="KE147" s="909"/>
      <c r="KF147" s="909"/>
      <c r="KG147" s="909"/>
      <c r="KH147" s="909"/>
      <c r="KI147" s="910">
        <v>0</v>
      </c>
      <c r="KJ147" s="909"/>
      <c r="KK147" s="909"/>
      <c r="KL147" s="909"/>
      <c r="KM147" s="910">
        <v>0</v>
      </c>
      <c r="KN147" s="871">
        <v>0</v>
      </c>
      <c r="KO147" s="912">
        <v>0</v>
      </c>
    </row>
    <row r="148" spans="1:301" ht="15" customHeight="1">
      <c r="A148" s="924" t="s">
        <v>1604</v>
      </c>
      <c r="B148" s="888" t="s">
        <v>1073</v>
      </c>
      <c r="C148" s="888">
        <v>246</v>
      </c>
      <c r="D148" s="888">
        <v>502</v>
      </c>
      <c r="E148" s="888">
        <v>260</v>
      </c>
      <c r="F148" s="888">
        <v>246</v>
      </c>
      <c r="G148" s="888">
        <v>84</v>
      </c>
      <c r="H148" s="888">
        <v>70</v>
      </c>
      <c r="I148" s="888">
        <v>70</v>
      </c>
      <c r="J148" s="888"/>
      <c r="K148" s="888"/>
      <c r="L148" s="888">
        <v>16</v>
      </c>
      <c r="M148" s="888">
        <v>145</v>
      </c>
      <c r="N148" s="888">
        <v>2</v>
      </c>
      <c r="O148" s="884">
        <v>2.273839837893346</v>
      </c>
      <c r="P148" s="888">
        <v>2</v>
      </c>
      <c r="Q148" s="884">
        <v>3.1073986166703258</v>
      </c>
      <c r="R148" s="888"/>
      <c r="S148" s="888"/>
      <c r="T148" s="906">
        <v>0</v>
      </c>
      <c r="U148" s="906">
        <v>0</v>
      </c>
      <c r="V148" s="906">
        <v>60</v>
      </c>
      <c r="W148" s="1141">
        <v>0</v>
      </c>
      <c r="X148" s="902">
        <v>0</v>
      </c>
      <c r="Y148" s="902">
        <v>0</v>
      </c>
      <c r="Z148" s="902">
        <v>0</v>
      </c>
      <c r="AA148" s="902">
        <v>0</v>
      </c>
      <c r="AB148" s="970">
        <v>0</v>
      </c>
      <c r="AC148" s="1045">
        <v>0</v>
      </c>
      <c r="AD148" s="890"/>
      <c r="AE148" s="890"/>
      <c r="AF148" s="890"/>
      <c r="AG148" s="890"/>
      <c r="AH148" s="888"/>
      <c r="AI148" s="907">
        <v>1.0214356045629223</v>
      </c>
      <c r="AJ148" s="908">
        <v>0</v>
      </c>
      <c r="AK148" s="902">
        <v>5.3812384545636718</v>
      </c>
      <c r="AL148" s="902">
        <v>0</v>
      </c>
      <c r="AM148" s="902">
        <v>0</v>
      </c>
      <c r="AN148" s="902">
        <v>30.155918314971316</v>
      </c>
      <c r="AO148" s="902">
        <v>0.18872564856818172</v>
      </c>
      <c r="AP148" s="1222"/>
      <c r="AQ148" s="909"/>
      <c r="AR148" s="909"/>
      <c r="AS148" s="909"/>
      <c r="AT148" s="909"/>
      <c r="AU148" s="909"/>
      <c r="AV148" s="910">
        <v>0</v>
      </c>
      <c r="AW148" s="909"/>
      <c r="AX148" s="909"/>
      <c r="AY148" s="909"/>
      <c r="AZ148" s="910">
        <v>0</v>
      </c>
      <c r="BA148" s="871">
        <v>0</v>
      </c>
      <c r="BB148" s="911">
        <v>0</v>
      </c>
      <c r="BC148" s="908">
        <v>0</v>
      </c>
      <c r="BD148" s="902">
        <v>5.3812384545636718</v>
      </c>
      <c r="BE148" s="902">
        <v>0</v>
      </c>
      <c r="BF148" s="902">
        <v>0</v>
      </c>
      <c r="BG148" s="902">
        <v>30.155918314971316</v>
      </c>
      <c r="BH148" s="902">
        <v>0.18872564856818172</v>
      </c>
      <c r="BI148" s="902">
        <v>0</v>
      </c>
      <c r="BJ148" s="909"/>
      <c r="BK148" s="909"/>
      <c r="BL148" s="909"/>
      <c r="BM148" s="909"/>
      <c r="BN148" s="909"/>
      <c r="BO148" s="910">
        <v>0</v>
      </c>
      <c r="BP148" s="909"/>
      <c r="BQ148" s="909"/>
      <c r="BR148" s="909"/>
      <c r="BS148" s="910">
        <v>0</v>
      </c>
      <c r="BT148" s="871">
        <v>0</v>
      </c>
      <c r="BU148" s="911">
        <v>0</v>
      </c>
      <c r="BV148" s="908">
        <v>0</v>
      </c>
      <c r="BW148" s="902">
        <v>5.3812384545636718</v>
      </c>
      <c r="BX148" s="902">
        <v>0</v>
      </c>
      <c r="BY148" s="902">
        <v>0</v>
      </c>
      <c r="BZ148" s="902">
        <v>30.155918314971316</v>
      </c>
      <c r="CA148" s="902">
        <v>0.18872564856818172</v>
      </c>
      <c r="CB148" s="902">
        <v>3600</v>
      </c>
      <c r="CC148" s="909"/>
      <c r="CD148" s="909"/>
      <c r="CE148" s="909"/>
      <c r="CF148" s="909"/>
      <c r="CG148" s="909"/>
      <c r="CH148" s="910">
        <v>0</v>
      </c>
      <c r="CI148" s="909"/>
      <c r="CJ148" s="909"/>
      <c r="CK148" s="909"/>
      <c r="CL148" s="910">
        <v>0</v>
      </c>
      <c r="CM148" s="871">
        <v>0</v>
      </c>
      <c r="CN148" s="911">
        <v>0</v>
      </c>
      <c r="CO148" s="908">
        <v>0</v>
      </c>
      <c r="CP148" s="902">
        <v>5.3812384545636718</v>
      </c>
      <c r="CQ148" s="902">
        <v>0</v>
      </c>
      <c r="CR148" s="902">
        <v>0</v>
      </c>
      <c r="CS148" s="902">
        <v>30.155918314971316</v>
      </c>
      <c r="CT148" s="902">
        <v>0.18872564856818172</v>
      </c>
      <c r="CU148" s="902">
        <v>3600</v>
      </c>
      <c r="CV148" s="909"/>
      <c r="CW148" s="909"/>
      <c r="CX148" s="909"/>
      <c r="CY148" s="909"/>
      <c r="CZ148" s="909"/>
      <c r="DA148" s="910">
        <v>0</v>
      </c>
      <c r="DB148" s="909"/>
      <c r="DC148" s="909"/>
      <c r="DD148" s="909"/>
      <c r="DE148" s="910">
        <v>0</v>
      </c>
      <c r="DF148" s="871">
        <v>0</v>
      </c>
      <c r="DG148" s="911">
        <v>0</v>
      </c>
      <c r="DH148" s="908">
        <v>0</v>
      </c>
      <c r="DI148" s="902">
        <v>5.3812384545636718</v>
      </c>
      <c r="DJ148" s="902">
        <v>0</v>
      </c>
      <c r="DK148" s="902">
        <v>0</v>
      </c>
      <c r="DL148" s="902">
        <v>30.155918314971316</v>
      </c>
      <c r="DM148" s="902">
        <v>0.18872564856818172</v>
      </c>
      <c r="DN148" s="902">
        <v>3600</v>
      </c>
      <c r="DO148" s="909"/>
      <c r="DP148" s="909"/>
      <c r="DQ148" s="909"/>
      <c r="DR148" s="909"/>
      <c r="DS148" s="909"/>
      <c r="DT148" s="910">
        <v>0</v>
      </c>
      <c r="DU148" s="909"/>
      <c r="DV148" s="909"/>
      <c r="DW148" s="909"/>
      <c r="DX148" s="910">
        <v>0</v>
      </c>
      <c r="DY148" s="871">
        <v>0</v>
      </c>
      <c r="DZ148" s="911">
        <v>0</v>
      </c>
      <c r="EA148" s="908">
        <v>0</v>
      </c>
      <c r="EB148" s="902">
        <v>5.3812384545636718</v>
      </c>
      <c r="EC148" s="902">
        <v>0</v>
      </c>
      <c r="ED148" s="902">
        <v>0</v>
      </c>
      <c r="EE148" s="902">
        <v>30.155918314971316</v>
      </c>
      <c r="EF148" s="902">
        <v>0.18872564856818172</v>
      </c>
      <c r="EG148" s="902">
        <v>3600</v>
      </c>
      <c r="EH148" s="909"/>
      <c r="EI148" s="909"/>
      <c r="EJ148" s="909"/>
      <c r="EK148" s="909"/>
      <c r="EL148" s="909"/>
      <c r="EM148" s="910">
        <v>0</v>
      </c>
      <c r="EN148" s="909"/>
      <c r="EO148" s="909"/>
      <c r="EP148" s="909"/>
      <c r="EQ148" s="910">
        <v>0</v>
      </c>
      <c r="ER148" s="871">
        <v>0</v>
      </c>
      <c r="ES148" s="911">
        <v>0</v>
      </c>
      <c r="ET148" s="908">
        <v>0</v>
      </c>
      <c r="EU148" s="902">
        <v>5.3812384545636718</v>
      </c>
      <c r="EV148" s="902">
        <v>0</v>
      </c>
      <c r="EW148" s="902">
        <v>0</v>
      </c>
      <c r="EX148" s="902">
        <v>30.155918314971316</v>
      </c>
      <c r="EY148" s="902">
        <v>0.18872564856818172</v>
      </c>
      <c r="EZ148" s="902">
        <v>3600</v>
      </c>
      <c r="FA148" s="909"/>
      <c r="FB148" s="909"/>
      <c r="FC148" s="909"/>
      <c r="FD148" s="909"/>
      <c r="FE148" s="909"/>
      <c r="FF148" s="910">
        <v>0</v>
      </c>
      <c r="FG148" s="909"/>
      <c r="FH148" s="909"/>
      <c r="FI148" s="909"/>
      <c r="FJ148" s="910">
        <v>0</v>
      </c>
      <c r="FK148" s="871">
        <v>0</v>
      </c>
      <c r="FL148" s="911">
        <v>0</v>
      </c>
      <c r="FM148" s="908">
        <v>0</v>
      </c>
      <c r="FN148" s="902">
        <v>5.3812384545636718</v>
      </c>
      <c r="FO148" s="902">
        <v>0</v>
      </c>
      <c r="FP148" s="902">
        <v>0</v>
      </c>
      <c r="FQ148" s="902">
        <v>30.155918314971316</v>
      </c>
      <c r="FR148" s="902">
        <v>0.18872564856818172</v>
      </c>
      <c r="FS148" s="902">
        <v>3600</v>
      </c>
      <c r="FT148" s="909"/>
      <c r="FU148" s="909"/>
      <c r="FV148" s="909"/>
      <c r="FW148" s="909"/>
      <c r="FX148" s="909"/>
      <c r="FY148" s="910">
        <v>0</v>
      </c>
      <c r="FZ148" s="909"/>
      <c r="GA148" s="909"/>
      <c r="GB148" s="909"/>
      <c r="GC148" s="910">
        <v>0</v>
      </c>
      <c r="GD148" s="871">
        <v>0</v>
      </c>
      <c r="GE148" s="911">
        <v>0</v>
      </c>
      <c r="GF148" s="908">
        <v>0</v>
      </c>
      <c r="GG148" s="902">
        <v>5.3812384545636718</v>
      </c>
      <c r="GH148" s="902">
        <v>0</v>
      </c>
      <c r="GI148" s="902">
        <v>0</v>
      </c>
      <c r="GJ148" s="902">
        <v>30.155918314971316</v>
      </c>
      <c r="GK148" s="902">
        <v>0.18872564856818172</v>
      </c>
      <c r="GL148" s="902">
        <v>3600</v>
      </c>
      <c r="GM148" s="909"/>
      <c r="GN148" s="909"/>
      <c r="GO148" s="909"/>
      <c r="GP148" s="909"/>
      <c r="GQ148" s="909"/>
      <c r="GR148" s="910">
        <v>0</v>
      </c>
      <c r="GS148" s="909"/>
      <c r="GT148" s="909"/>
      <c r="GU148" s="909"/>
      <c r="GV148" s="910">
        <v>0</v>
      </c>
      <c r="GW148" s="871">
        <v>0</v>
      </c>
      <c r="GX148" s="911">
        <v>0</v>
      </c>
      <c r="GY148" s="908">
        <v>0</v>
      </c>
      <c r="GZ148" s="902">
        <v>5.3812384545636718</v>
      </c>
      <c r="HA148" s="902">
        <v>0</v>
      </c>
      <c r="HB148" s="902">
        <v>0</v>
      </c>
      <c r="HC148" s="902">
        <v>30.155918314971316</v>
      </c>
      <c r="HD148" s="902">
        <v>0.18872564856818172</v>
      </c>
      <c r="HE148" s="902">
        <v>3600</v>
      </c>
      <c r="HF148" s="909"/>
      <c r="HG148" s="909"/>
      <c r="HH148" s="909"/>
      <c r="HI148" s="909"/>
      <c r="HJ148" s="909"/>
      <c r="HK148" s="910">
        <v>0</v>
      </c>
      <c r="HL148" s="909"/>
      <c r="HM148" s="909"/>
      <c r="HN148" s="909"/>
      <c r="HO148" s="910">
        <v>0</v>
      </c>
      <c r="HP148" s="871">
        <v>0</v>
      </c>
      <c r="HQ148" s="911">
        <v>0</v>
      </c>
      <c r="HR148" s="908">
        <v>0</v>
      </c>
      <c r="HS148" s="902">
        <v>5.3812384545636718</v>
      </c>
      <c r="HT148" s="902">
        <v>0</v>
      </c>
      <c r="HU148" s="902">
        <v>0</v>
      </c>
      <c r="HV148" s="902">
        <v>30.155918314971316</v>
      </c>
      <c r="HW148" s="902">
        <v>0.18872564856818172</v>
      </c>
      <c r="HX148" s="902">
        <v>3600</v>
      </c>
      <c r="HY148" s="909"/>
      <c r="HZ148" s="909"/>
      <c r="IA148" s="909"/>
      <c r="IB148" s="909"/>
      <c r="IC148" s="909"/>
      <c r="ID148" s="910">
        <v>0</v>
      </c>
      <c r="IE148" s="909"/>
      <c r="IF148" s="909"/>
      <c r="IG148" s="909"/>
      <c r="IH148" s="910">
        <v>0</v>
      </c>
      <c r="II148" s="871">
        <v>0</v>
      </c>
      <c r="IJ148" s="911">
        <v>0</v>
      </c>
      <c r="IK148" s="908">
        <v>0</v>
      </c>
      <c r="IL148" s="902">
        <v>5.3812384545636718</v>
      </c>
      <c r="IM148" s="902">
        <v>0</v>
      </c>
      <c r="IN148" s="902">
        <v>0</v>
      </c>
      <c r="IO148" s="902">
        <v>30.155918314971316</v>
      </c>
      <c r="IP148" s="902">
        <v>0.18872564856818172</v>
      </c>
      <c r="IQ148" s="902">
        <v>3600</v>
      </c>
      <c r="IR148" s="909"/>
      <c r="IS148" s="909"/>
      <c r="IT148" s="909"/>
      <c r="IU148" s="909"/>
      <c r="IV148" s="909"/>
      <c r="IW148" s="910">
        <v>0</v>
      </c>
      <c r="IX148" s="909"/>
      <c r="IY148" s="909"/>
      <c r="IZ148" s="909"/>
      <c r="JA148" s="910">
        <v>0</v>
      </c>
      <c r="JB148" s="871">
        <v>0</v>
      </c>
      <c r="JC148" s="911">
        <v>0</v>
      </c>
      <c r="JD148" s="908">
        <v>0</v>
      </c>
      <c r="JE148" s="902">
        <v>5.3812384545636718</v>
      </c>
      <c r="JF148" s="902">
        <v>0</v>
      </c>
      <c r="JG148" s="902">
        <v>0</v>
      </c>
      <c r="JH148" s="902">
        <v>30.155918314971316</v>
      </c>
      <c r="JI148" s="902">
        <v>0.18872564856818172</v>
      </c>
      <c r="JJ148" s="902">
        <v>3600</v>
      </c>
      <c r="JK148" s="909"/>
      <c r="JL148" s="909"/>
      <c r="JM148" s="909"/>
      <c r="JN148" s="909"/>
      <c r="JO148" s="909"/>
      <c r="JP148" s="910">
        <v>0</v>
      </c>
      <c r="JQ148" s="909"/>
      <c r="JR148" s="909"/>
      <c r="JS148" s="909"/>
      <c r="JT148" s="910">
        <v>0</v>
      </c>
      <c r="JU148" s="871">
        <v>0</v>
      </c>
      <c r="JV148" s="911">
        <v>0</v>
      </c>
      <c r="JW148" s="908">
        <v>0</v>
      </c>
      <c r="JX148" s="902">
        <v>5.3812384545636718</v>
      </c>
      <c r="JY148" s="902">
        <v>0</v>
      </c>
      <c r="JZ148" s="902">
        <v>0</v>
      </c>
      <c r="KA148" s="902">
        <v>30.155918314971316</v>
      </c>
      <c r="KB148" s="902">
        <v>0.18872564856818172</v>
      </c>
      <c r="KC148" s="902">
        <v>3600</v>
      </c>
      <c r="KD148" s="909"/>
      <c r="KE148" s="909"/>
      <c r="KF148" s="909"/>
      <c r="KG148" s="909"/>
      <c r="KH148" s="909"/>
      <c r="KI148" s="910">
        <v>0</v>
      </c>
      <c r="KJ148" s="909"/>
      <c r="KK148" s="909"/>
      <c r="KL148" s="909"/>
      <c r="KM148" s="910">
        <v>0</v>
      </c>
      <c r="KN148" s="871">
        <v>0</v>
      </c>
      <c r="KO148" s="912">
        <v>0</v>
      </c>
    </row>
    <row r="149" spans="1:301" ht="15" customHeight="1">
      <c r="A149" s="924" t="s">
        <v>1605</v>
      </c>
      <c r="B149" s="888" t="s">
        <v>1073</v>
      </c>
      <c r="C149" s="888">
        <v>442.452</v>
      </c>
      <c r="D149" s="888">
        <v>502</v>
      </c>
      <c r="E149" s="888">
        <v>450</v>
      </c>
      <c r="F149" s="888">
        <v>379.72825985108341</v>
      </c>
      <c r="G149" s="888">
        <v>166.45273097048289</v>
      </c>
      <c r="H149" s="888">
        <v>131.69145979415873</v>
      </c>
      <c r="I149" s="888">
        <v>125</v>
      </c>
      <c r="J149" s="888"/>
      <c r="K149" s="888"/>
      <c r="L149" s="888">
        <v>18</v>
      </c>
      <c r="M149" s="888">
        <v>184.62908959189102</v>
      </c>
      <c r="N149" s="888">
        <v>5</v>
      </c>
      <c r="O149" s="884">
        <v>1.5260537642224707</v>
      </c>
      <c r="P149" s="888">
        <v>5</v>
      </c>
      <c r="Q149" s="884">
        <v>7.7684965416758143</v>
      </c>
      <c r="R149" s="888"/>
      <c r="S149" s="888"/>
      <c r="T149" s="906">
        <v>0</v>
      </c>
      <c r="U149" s="906">
        <v>0</v>
      </c>
      <c r="V149" s="906">
        <v>97.5</v>
      </c>
      <c r="W149" s="1141">
        <v>0</v>
      </c>
      <c r="X149" s="902">
        <v>0</v>
      </c>
      <c r="Y149" s="902">
        <v>0</v>
      </c>
      <c r="Z149" s="902">
        <v>0</v>
      </c>
      <c r="AA149" s="902">
        <v>0</v>
      </c>
      <c r="AB149" s="970">
        <v>0</v>
      </c>
      <c r="AC149" s="1045">
        <v>0</v>
      </c>
      <c r="AD149" s="890"/>
      <c r="AE149" s="890"/>
      <c r="AF149" s="890"/>
      <c r="AG149" s="890"/>
      <c r="AH149" s="888"/>
      <c r="AI149" s="907">
        <v>1.337257690121169</v>
      </c>
      <c r="AJ149" s="908">
        <v>0</v>
      </c>
      <c r="AK149" s="902">
        <v>9.2945503058982855</v>
      </c>
      <c r="AL149" s="902">
        <v>0</v>
      </c>
      <c r="AM149" s="902">
        <v>0</v>
      </c>
      <c r="AN149" s="902">
        <v>23.711689327148978</v>
      </c>
      <c r="AO149" s="902">
        <v>0.33141121781783023</v>
      </c>
      <c r="AP149" s="1222"/>
      <c r="AQ149" s="909"/>
      <c r="AR149" s="909"/>
      <c r="AS149" s="909"/>
      <c r="AT149" s="909"/>
      <c r="AU149" s="909"/>
      <c r="AV149" s="910">
        <v>0</v>
      </c>
      <c r="AW149" s="909"/>
      <c r="AX149" s="909"/>
      <c r="AY149" s="909"/>
      <c r="AZ149" s="910">
        <v>0</v>
      </c>
      <c r="BA149" s="871">
        <v>0</v>
      </c>
      <c r="BB149" s="911">
        <v>0</v>
      </c>
      <c r="BC149" s="908">
        <v>0</v>
      </c>
      <c r="BD149" s="902">
        <v>9.2945503058982855</v>
      </c>
      <c r="BE149" s="902">
        <v>0</v>
      </c>
      <c r="BF149" s="902">
        <v>0</v>
      </c>
      <c r="BG149" s="902">
        <v>23.711689327148978</v>
      </c>
      <c r="BH149" s="902">
        <v>0.33141121781783023</v>
      </c>
      <c r="BI149" s="902">
        <v>0</v>
      </c>
      <c r="BJ149" s="909"/>
      <c r="BK149" s="909"/>
      <c r="BL149" s="909"/>
      <c r="BM149" s="909"/>
      <c r="BN149" s="909"/>
      <c r="BO149" s="910">
        <v>0</v>
      </c>
      <c r="BP149" s="909"/>
      <c r="BQ149" s="909"/>
      <c r="BR149" s="909"/>
      <c r="BS149" s="910">
        <v>0</v>
      </c>
      <c r="BT149" s="871">
        <v>0</v>
      </c>
      <c r="BU149" s="911">
        <v>0</v>
      </c>
      <c r="BV149" s="908">
        <v>0</v>
      </c>
      <c r="BW149" s="902">
        <v>9.2945503058982855</v>
      </c>
      <c r="BX149" s="902">
        <v>0</v>
      </c>
      <c r="BY149" s="902">
        <v>0</v>
      </c>
      <c r="BZ149" s="902">
        <v>23.711689327148978</v>
      </c>
      <c r="CA149" s="902">
        <v>0.33141121781783023</v>
      </c>
      <c r="CB149" s="902">
        <v>3600</v>
      </c>
      <c r="CC149" s="909"/>
      <c r="CD149" s="909"/>
      <c r="CE149" s="909"/>
      <c r="CF149" s="909"/>
      <c r="CG149" s="909"/>
      <c r="CH149" s="910">
        <v>0</v>
      </c>
      <c r="CI149" s="909"/>
      <c r="CJ149" s="909"/>
      <c r="CK149" s="909"/>
      <c r="CL149" s="910">
        <v>0</v>
      </c>
      <c r="CM149" s="871">
        <v>0</v>
      </c>
      <c r="CN149" s="911">
        <v>0</v>
      </c>
      <c r="CO149" s="908">
        <v>0</v>
      </c>
      <c r="CP149" s="902">
        <v>9.2945503058982855</v>
      </c>
      <c r="CQ149" s="902">
        <v>0</v>
      </c>
      <c r="CR149" s="902">
        <v>0</v>
      </c>
      <c r="CS149" s="902">
        <v>23.711689327148978</v>
      </c>
      <c r="CT149" s="902">
        <v>0.33141121781783023</v>
      </c>
      <c r="CU149" s="902">
        <v>3600</v>
      </c>
      <c r="CV149" s="909"/>
      <c r="CW149" s="909"/>
      <c r="CX149" s="909"/>
      <c r="CY149" s="909"/>
      <c r="CZ149" s="909"/>
      <c r="DA149" s="910">
        <v>0</v>
      </c>
      <c r="DB149" s="909"/>
      <c r="DC149" s="909"/>
      <c r="DD149" s="909"/>
      <c r="DE149" s="910">
        <v>0</v>
      </c>
      <c r="DF149" s="871">
        <v>0</v>
      </c>
      <c r="DG149" s="911">
        <v>0</v>
      </c>
      <c r="DH149" s="908">
        <v>0</v>
      </c>
      <c r="DI149" s="902">
        <v>9.2945503058982855</v>
      </c>
      <c r="DJ149" s="902">
        <v>0</v>
      </c>
      <c r="DK149" s="902">
        <v>0</v>
      </c>
      <c r="DL149" s="902">
        <v>23.711689327148978</v>
      </c>
      <c r="DM149" s="902">
        <v>0.33141121781783023</v>
      </c>
      <c r="DN149" s="902">
        <v>3600</v>
      </c>
      <c r="DO149" s="909"/>
      <c r="DP149" s="909"/>
      <c r="DQ149" s="909"/>
      <c r="DR149" s="909"/>
      <c r="DS149" s="909"/>
      <c r="DT149" s="910">
        <v>0</v>
      </c>
      <c r="DU149" s="909"/>
      <c r="DV149" s="909"/>
      <c r="DW149" s="909"/>
      <c r="DX149" s="910">
        <v>0</v>
      </c>
      <c r="DY149" s="871">
        <v>0</v>
      </c>
      <c r="DZ149" s="911">
        <v>0</v>
      </c>
      <c r="EA149" s="908">
        <v>0</v>
      </c>
      <c r="EB149" s="902">
        <v>9.2945503058982855</v>
      </c>
      <c r="EC149" s="902">
        <v>0</v>
      </c>
      <c r="ED149" s="902">
        <v>0</v>
      </c>
      <c r="EE149" s="902">
        <v>23.711689327148978</v>
      </c>
      <c r="EF149" s="902">
        <v>0.33141121781783023</v>
      </c>
      <c r="EG149" s="902">
        <v>3600</v>
      </c>
      <c r="EH149" s="909"/>
      <c r="EI149" s="909"/>
      <c r="EJ149" s="909"/>
      <c r="EK149" s="909"/>
      <c r="EL149" s="909"/>
      <c r="EM149" s="910">
        <v>0</v>
      </c>
      <c r="EN149" s="909"/>
      <c r="EO149" s="909"/>
      <c r="EP149" s="909"/>
      <c r="EQ149" s="910">
        <v>0</v>
      </c>
      <c r="ER149" s="871">
        <v>0</v>
      </c>
      <c r="ES149" s="911">
        <v>0</v>
      </c>
      <c r="ET149" s="908">
        <v>0</v>
      </c>
      <c r="EU149" s="902">
        <v>9.2945503058982855</v>
      </c>
      <c r="EV149" s="902">
        <v>0</v>
      </c>
      <c r="EW149" s="902">
        <v>0</v>
      </c>
      <c r="EX149" s="902">
        <v>23.711689327148978</v>
      </c>
      <c r="EY149" s="902">
        <v>0.33141121781783023</v>
      </c>
      <c r="EZ149" s="902">
        <v>3600</v>
      </c>
      <c r="FA149" s="909"/>
      <c r="FB149" s="909"/>
      <c r="FC149" s="909"/>
      <c r="FD149" s="909"/>
      <c r="FE149" s="909"/>
      <c r="FF149" s="910">
        <v>0</v>
      </c>
      <c r="FG149" s="909"/>
      <c r="FH149" s="909"/>
      <c r="FI149" s="909"/>
      <c r="FJ149" s="910">
        <v>0</v>
      </c>
      <c r="FK149" s="871">
        <v>0</v>
      </c>
      <c r="FL149" s="911">
        <v>0</v>
      </c>
      <c r="FM149" s="908">
        <v>0</v>
      </c>
      <c r="FN149" s="902">
        <v>9.2945503058982855</v>
      </c>
      <c r="FO149" s="902">
        <v>0</v>
      </c>
      <c r="FP149" s="902">
        <v>0</v>
      </c>
      <c r="FQ149" s="902">
        <v>23.711689327148978</v>
      </c>
      <c r="FR149" s="902">
        <v>0.33141121781783023</v>
      </c>
      <c r="FS149" s="902">
        <v>3600</v>
      </c>
      <c r="FT149" s="909"/>
      <c r="FU149" s="909"/>
      <c r="FV149" s="909"/>
      <c r="FW149" s="909"/>
      <c r="FX149" s="909"/>
      <c r="FY149" s="910">
        <v>0</v>
      </c>
      <c r="FZ149" s="909"/>
      <c r="GA149" s="909"/>
      <c r="GB149" s="909"/>
      <c r="GC149" s="910">
        <v>0</v>
      </c>
      <c r="GD149" s="871">
        <v>0</v>
      </c>
      <c r="GE149" s="911">
        <v>0</v>
      </c>
      <c r="GF149" s="908">
        <v>0</v>
      </c>
      <c r="GG149" s="902">
        <v>9.2945503058982855</v>
      </c>
      <c r="GH149" s="902">
        <v>0</v>
      </c>
      <c r="GI149" s="902">
        <v>0</v>
      </c>
      <c r="GJ149" s="902">
        <v>23.711689327148978</v>
      </c>
      <c r="GK149" s="902">
        <v>0.33141121781783023</v>
      </c>
      <c r="GL149" s="902">
        <v>3600</v>
      </c>
      <c r="GM149" s="909"/>
      <c r="GN149" s="909"/>
      <c r="GO149" s="909"/>
      <c r="GP149" s="909"/>
      <c r="GQ149" s="909"/>
      <c r="GR149" s="910">
        <v>0</v>
      </c>
      <c r="GS149" s="909"/>
      <c r="GT149" s="909"/>
      <c r="GU149" s="909"/>
      <c r="GV149" s="910">
        <v>0</v>
      </c>
      <c r="GW149" s="871">
        <v>0</v>
      </c>
      <c r="GX149" s="911">
        <v>0</v>
      </c>
      <c r="GY149" s="908">
        <v>0</v>
      </c>
      <c r="GZ149" s="902">
        <v>9.2945503058982855</v>
      </c>
      <c r="HA149" s="902">
        <v>0</v>
      </c>
      <c r="HB149" s="902">
        <v>0</v>
      </c>
      <c r="HC149" s="902">
        <v>23.711689327148978</v>
      </c>
      <c r="HD149" s="902">
        <v>0.33141121781783023</v>
      </c>
      <c r="HE149" s="902">
        <v>3600</v>
      </c>
      <c r="HF149" s="909"/>
      <c r="HG149" s="909"/>
      <c r="HH149" s="909"/>
      <c r="HI149" s="909"/>
      <c r="HJ149" s="909"/>
      <c r="HK149" s="910">
        <v>0</v>
      </c>
      <c r="HL149" s="909"/>
      <c r="HM149" s="909"/>
      <c r="HN149" s="909"/>
      <c r="HO149" s="910">
        <v>0</v>
      </c>
      <c r="HP149" s="871">
        <v>0</v>
      </c>
      <c r="HQ149" s="911">
        <v>0</v>
      </c>
      <c r="HR149" s="908">
        <v>0</v>
      </c>
      <c r="HS149" s="902">
        <v>9.2945503058982855</v>
      </c>
      <c r="HT149" s="902">
        <v>0</v>
      </c>
      <c r="HU149" s="902">
        <v>0</v>
      </c>
      <c r="HV149" s="902">
        <v>23.711689327148978</v>
      </c>
      <c r="HW149" s="902">
        <v>0.33141121781783023</v>
      </c>
      <c r="HX149" s="902">
        <v>3600</v>
      </c>
      <c r="HY149" s="909"/>
      <c r="HZ149" s="909"/>
      <c r="IA149" s="909"/>
      <c r="IB149" s="909"/>
      <c r="IC149" s="909"/>
      <c r="ID149" s="910">
        <v>0</v>
      </c>
      <c r="IE149" s="909"/>
      <c r="IF149" s="909"/>
      <c r="IG149" s="909"/>
      <c r="IH149" s="910">
        <v>0</v>
      </c>
      <c r="II149" s="871">
        <v>0</v>
      </c>
      <c r="IJ149" s="911">
        <v>0</v>
      </c>
      <c r="IK149" s="908">
        <v>0</v>
      </c>
      <c r="IL149" s="902">
        <v>9.2945503058982855</v>
      </c>
      <c r="IM149" s="902">
        <v>0</v>
      </c>
      <c r="IN149" s="902">
        <v>0</v>
      </c>
      <c r="IO149" s="902">
        <v>23.711689327148978</v>
      </c>
      <c r="IP149" s="902">
        <v>0.33141121781783023</v>
      </c>
      <c r="IQ149" s="902">
        <v>3600</v>
      </c>
      <c r="IR149" s="909"/>
      <c r="IS149" s="909"/>
      <c r="IT149" s="909"/>
      <c r="IU149" s="909"/>
      <c r="IV149" s="909"/>
      <c r="IW149" s="910">
        <v>0</v>
      </c>
      <c r="IX149" s="909"/>
      <c r="IY149" s="909"/>
      <c r="IZ149" s="909"/>
      <c r="JA149" s="910">
        <v>0</v>
      </c>
      <c r="JB149" s="871">
        <v>0</v>
      </c>
      <c r="JC149" s="911">
        <v>0</v>
      </c>
      <c r="JD149" s="908">
        <v>0</v>
      </c>
      <c r="JE149" s="902">
        <v>9.2945503058982855</v>
      </c>
      <c r="JF149" s="902">
        <v>0</v>
      </c>
      <c r="JG149" s="902">
        <v>0</v>
      </c>
      <c r="JH149" s="902">
        <v>23.711689327148978</v>
      </c>
      <c r="JI149" s="902">
        <v>0.33141121781783023</v>
      </c>
      <c r="JJ149" s="902">
        <v>3600</v>
      </c>
      <c r="JK149" s="909"/>
      <c r="JL149" s="909"/>
      <c r="JM149" s="909"/>
      <c r="JN149" s="909"/>
      <c r="JO149" s="909"/>
      <c r="JP149" s="910">
        <v>0</v>
      </c>
      <c r="JQ149" s="909"/>
      <c r="JR149" s="909"/>
      <c r="JS149" s="909"/>
      <c r="JT149" s="910">
        <v>0</v>
      </c>
      <c r="JU149" s="871">
        <v>0</v>
      </c>
      <c r="JV149" s="911">
        <v>0</v>
      </c>
      <c r="JW149" s="908">
        <v>0</v>
      </c>
      <c r="JX149" s="902">
        <v>9.2945503058982855</v>
      </c>
      <c r="JY149" s="902">
        <v>0</v>
      </c>
      <c r="JZ149" s="902">
        <v>0</v>
      </c>
      <c r="KA149" s="902">
        <v>23.711689327148978</v>
      </c>
      <c r="KB149" s="902">
        <v>0.33141121781783023</v>
      </c>
      <c r="KC149" s="902">
        <v>3600</v>
      </c>
      <c r="KD149" s="909"/>
      <c r="KE149" s="909"/>
      <c r="KF149" s="909"/>
      <c r="KG149" s="909"/>
      <c r="KH149" s="909"/>
      <c r="KI149" s="910">
        <v>0</v>
      </c>
      <c r="KJ149" s="909"/>
      <c r="KK149" s="909"/>
      <c r="KL149" s="909"/>
      <c r="KM149" s="910">
        <v>0</v>
      </c>
      <c r="KN149" s="871">
        <v>0</v>
      </c>
      <c r="KO149" s="912">
        <v>0</v>
      </c>
    </row>
    <row r="150" spans="1:301" ht="15" customHeight="1">
      <c r="A150" s="924" t="s">
        <v>1606</v>
      </c>
      <c r="B150" s="888" t="s">
        <v>1073</v>
      </c>
      <c r="C150" s="888">
        <v>250</v>
      </c>
      <c r="D150" s="888">
        <v>600</v>
      </c>
      <c r="E150" s="888">
        <v>250</v>
      </c>
      <c r="F150" s="888">
        <v>224.26059343064685</v>
      </c>
      <c r="G150" s="888">
        <v>68.029294983601588</v>
      </c>
      <c r="H150" s="888">
        <v>49.618798578174399</v>
      </c>
      <c r="I150" s="888">
        <v>45</v>
      </c>
      <c r="J150" s="888"/>
      <c r="K150" s="888"/>
      <c r="L150" s="888">
        <v>16</v>
      </c>
      <c r="M150" s="888">
        <v>317.05292586389231</v>
      </c>
      <c r="N150" s="888">
        <v>5</v>
      </c>
      <c r="O150" s="884">
        <v>9.1709961792215786</v>
      </c>
      <c r="P150" s="888">
        <v>5</v>
      </c>
      <c r="Q150" s="884">
        <v>11.097676048805944</v>
      </c>
      <c r="R150" s="888"/>
      <c r="S150" s="888"/>
      <c r="T150" s="906">
        <v>0</v>
      </c>
      <c r="U150" s="906">
        <v>0</v>
      </c>
      <c r="V150" s="906">
        <v>60</v>
      </c>
      <c r="W150" s="1141">
        <v>0</v>
      </c>
      <c r="X150" s="902">
        <v>0</v>
      </c>
      <c r="Y150" s="902">
        <v>0</v>
      </c>
      <c r="Z150" s="902">
        <v>0</v>
      </c>
      <c r="AA150" s="902">
        <v>0</v>
      </c>
      <c r="AB150" s="970">
        <v>0</v>
      </c>
      <c r="AC150" s="1045">
        <v>0</v>
      </c>
      <c r="AD150" s="890"/>
      <c r="AE150" s="890"/>
      <c r="AF150" s="890"/>
      <c r="AG150" s="890"/>
      <c r="AH150" s="888"/>
      <c r="AI150" s="907">
        <v>1.5127852557626282</v>
      </c>
      <c r="AJ150" s="908">
        <v>0</v>
      </c>
      <c r="AK150" s="902">
        <v>20.268672228027523</v>
      </c>
      <c r="AL150" s="902">
        <v>0</v>
      </c>
      <c r="AM150" s="902">
        <v>0</v>
      </c>
      <c r="AN150" s="902">
        <v>23.819912664649252</v>
      </c>
      <c r="AO150" s="902">
        <v>0.98373865791140724</v>
      </c>
      <c r="AP150" s="1222"/>
      <c r="AQ150" s="909"/>
      <c r="AR150" s="909"/>
      <c r="AS150" s="909"/>
      <c r="AT150" s="909"/>
      <c r="AU150" s="909"/>
      <c r="AV150" s="910">
        <v>0</v>
      </c>
      <c r="AW150" s="909"/>
      <c r="AX150" s="909"/>
      <c r="AY150" s="909"/>
      <c r="AZ150" s="910">
        <v>0</v>
      </c>
      <c r="BA150" s="871">
        <v>0</v>
      </c>
      <c r="BB150" s="911">
        <v>0</v>
      </c>
      <c r="BC150" s="908">
        <v>0</v>
      </c>
      <c r="BD150" s="902">
        <v>20.268672228027523</v>
      </c>
      <c r="BE150" s="902">
        <v>0</v>
      </c>
      <c r="BF150" s="902">
        <v>0</v>
      </c>
      <c r="BG150" s="902">
        <v>23.819912664649252</v>
      </c>
      <c r="BH150" s="902">
        <v>0.98373865791140724</v>
      </c>
      <c r="BI150" s="902">
        <v>0</v>
      </c>
      <c r="BJ150" s="909"/>
      <c r="BK150" s="909"/>
      <c r="BL150" s="909"/>
      <c r="BM150" s="909"/>
      <c r="BN150" s="909"/>
      <c r="BO150" s="910">
        <v>0</v>
      </c>
      <c r="BP150" s="909"/>
      <c r="BQ150" s="909"/>
      <c r="BR150" s="909"/>
      <c r="BS150" s="910">
        <v>0</v>
      </c>
      <c r="BT150" s="871">
        <v>0</v>
      </c>
      <c r="BU150" s="911">
        <v>0</v>
      </c>
      <c r="BV150" s="908">
        <v>0</v>
      </c>
      <c r="BW150" s="902">
        <v>20.268672228027523</v>
      </c>
      <c r="BX150" s="902">
        <v>0</v>
      </c>
      <c r="BY150" s="902">
        <v>0</v>
      </c>
      <c r="BZ150" s="902">
        <v>23.819912664649252</v>
      </c>
      <c r="CA150" s="902">
        <v>0.98373865791140724</v>
      </c>
      <c r="CB150" s="902">
        <v>3600</v>
      </c>
      <c r="CC150" s="909"/>
      <c r="CD150" s="909"/>
      <c r="CE150" s="909"/>
      <c r="CF150" s="909"/>
      <c r="CG150" s="909"/>
      <c r="CH150" s="910">
        <v>0</v>
      </c>
      <c r="CI150" s="909"/>
      <c r="CJ150" s="909"/>
      <c r="CK150" s="909"/>
      <c r="CL150" s="910">
        <v>0</v>
      </c>
      <c r="CM150" s="871">
        <v>0</v>
      </c>
      <c r="CN150" s="911">
        <v>0</v>
      </c>
      <c r="CO150" s="908">
        <v>0</v>
      </c>
      <c r="CP150" s="902">
        <v>20.268672228027523</v>
      </c>
      <c r="CQ150" s="902">
        <v>0</v>
      </c>
      <c r="CR150" s="902">
        <v>0</v>
      </c>
      <c r="CS150" s="902">
        <v>23.819912664649252</v>
      </c>
      <c r="CT150" s="902">
        <v>0.98373865791140724</v>
      </c>
      <c r="CU150" s="902">
        <v>3600</v>
      </c>
      <c r="CV150" s="909"/>
      <c r="CW150" s="909"/>
      <c r="CX150" s="909"/>
      <c r="CY150" s="909"/>
      <c r="CZ150" s="909"/>
      <c r="DA150" s="910">
        <v>0</v>
      </c>
      <c r="DB150" s="909"/>
      <c r="DC150" s="909"/>
      <c r="DD150" s="909"/>
      <c r="DE150" s="910">
        <v>0</v>
      </c>
      <c r="DF150" s="871">
        <v>0</v>
      </c>
      <c r="DG150" s="911">
        <v>0</v>
      </c>
      <c r="DH150" s="908">
        <v>0</v>
      </c>
      <c r="DI150" s="902">
        <v>20.268672228027523</v>
      </c>
      <c r="DJ150" s="902">
        <v>0</v>
      </c>
      <c r="DK150" s="902">
        <v>0</v>
      </c>
      <c r="DL150" s="902">
        <v>23.819912664649252</v>
      </c>
      <c r="DM150" s="902">
        <v>0.98373865791140724</v>
      </c>
      <c r="DN150" s="902">
        <v>3600</v>
      </c>
      <c r="DO150" s="909"/>
      <c r="DP150" s="909"/>
      <c r="DQ150" s="909"/>
      <c r="DR150" s="909"/>
      <c r="DS150" s="909"/>
      <c r="DT150" s="910">
        <v>0</v>
      </c>
      <c r="DU150" s="909"/>
      <c r="DV150" s="909"/>
      <c r="DW150" s="909"/>
      <c r="DX150" s="910">
        <v>0</v>
      </c>
      <c r="DY150" s="871">
        <v>0</v>
      </c>
      <c r="DZ150" s="911">
        <v>0</v>
      </c>
      <c r="EA150" s="908">
        <v>0</v>
      </c>
      <c r="EB150" s="902">
        <v>20.268672228027523</v>
      </c>
      <c r="EC150" s="902">
        <v>0</v>
      </c>
      <c r="ED150" s="902">
        <v>0</v>
      </c>
      <c r="EE150" s="902">
        <v>23.819912664649252</v>
      </c>
      <c r="EF150" s="902">
        <v>0.98373865791140724</v>
      </c>
      <c r="EG150" s="902">
        <v>3600</v>
      </c>
      <c r="EH150" s="909"/>
      <c r="EI150" s="909"/>
      <c r="EJ150" s="909"/>
      <c r="EK150" s="909"/>
      <c r="EL150" s="909"/>
      <c r="EM150" s="910">
        <v>0</v>
      </c>
      <c r="EN150" s="909"/>
      <c r="EO150" s="909"/>
      <c r="EP150" s="909"/>
      <c r="EQ150" s="910">
        <v>0</v>
      </c>
      <c r="ER150" s="871">
        <v>0</v>
      </c>
      <c r="ES150" s="911">
        <v>0</v>
      </c>
      <c r="ET150" s="908">
        <v>0</v>
      </c>
      <c r="EU150" s="902">
        <v>20.268672228027523</v>
      </c>
      <c r="EV150" s="902">
        <v>0</v>
      </c>
      <c r="EW150" s="902">
        <v>0</v>
      </c>
      <c r="EX150" s="902">
        <v>23.819912664649252</v>
      </c>
      <c r="EY150" s="902">
        <v>0.98373865791140724</v>
      </c>
      <c r="EZ150" s="902">
        <v>3600</v>
      </c>
      <c r="FA150" s="909"/>
      <c r="FB150" s="909"/>
      <c r="FC150" s="909"/>
      <c r="FD150" s="909"/>
      <c r="FE150" s="909"/>
      <c r="FF150" s="910">
        <v>0</v>
      </c>
      <c r="FG150" s="909"/>
      <c r="FH150" s="909"/>
      <c r="FI150" s="909"/>
      <c r="FJ150" s="910">
        <v>0</v>
      </c>
      <c r="FK150" s="871">
        <v>0</v>
      </c>
      <c r="FL150" s="911">
        <v>0</v>
      </c>
      <c r="FM150" s="908">
        <v>0</v>
      </c>
      <c r="FN150" s="902">
        <v>20.268672228027523</v>
      </c>
      <c r="FO150" s="902">
        <v>0</v>
      </c>
      <c r="FP150" s="902">
        <v>0</v>
      </c>
      <c r="FQ150" s="902">
        <v>23.819912664649252</v>
      </c>
      <c r="FR150" s="902">
        <v>0.98373865791140724</v>
      </c>
      <c r="FS150" s="902">
        <v>3600</v>
      </c>
      <c r="FT150" s="909"/>
      <c r="FU150" s="909"/>
      <c r="FV150" s="909"/>
      <c r="FW150" s="909"/>
      <c r="FX150" s="909"/>
      <c r="FY150" s="910">
        <v>0</v>
      </c>
      <c r="FZ150" s="909"/>
      <c r="GA150" s="909"/>
      <c r="GB150" s="909"/>
      <c r="GC150" s="910">
        <v>0</v>
      </c>
      <c r="GD150" s="871">
        <v>0</v>
      </c>
      <c r="GE150" s="911">
        <v>0</v>
      </c>
      <c r="GF150" s="908">
        <v>0</v>
      </c>
      <c r="GG150" s="902">
        <v>20.268672228027523</v>
      </c>
      <c r="GH150" s="902">
        <v>0</v>
      </c>
      <c r="GI150" s="902">
        <v>0</v>
      </c>
      <c r="GJ150" s="902">
        <v>23.819912664649252</v>
      </c>
      <c r="GK150" s="902">
        <v>0.98373865791140724</v>
      </c>
      <c r="GL150" s="902">
        <v>3600</v>
      </c>
      <c r="GM150" s="909"/>
      <c r="GN150" s="909"/>
      <c r="GO150" s="909"/>
      <c r="GP150" s="909"/>
      <c r="GQ150" s="909"/>
      <c r="GR150" s="910">
        <v>0</v>
      </c>
      <c r="GS150" s="909"/>
      <c r="GT150" s="909"/>
      <c r="GU150" s="909"/>
      <c r="GV150" s="910">
        <v>0</v>
      </c>
      <c r="GW150" s="871">
        <v>0</v>
      </c>
      <c r="GX150" s="911">
        <v>0</v>
      </c>
      <c r="GY150" s="908">
        <v>0</v>
      </c>
      <c r="GZ150" s="902">
        <v>20.268672228027523</v>
      </c>
      <c r="HA150" s="902">
        <v>0</v>
      </c>
      <c r="HB150" s="902">
        <v>0</v>
      </c>
      <c r="HC150" s="902">
        <v>23.819912664649252</v>
      </c>
      <c r="HD150" s="902">
        <v>0.98373865791140724</v>
      </c>
      <c r="HE150" s="902">
        <v>3600</v>
      </c>
      <c r="HF150" s="909"/>
      <c r="HG150" s="909"/>
      <c r="HH150" s="909"/>
      <c r="HI150" s="909"/>
      <c r="HJ150" s="909"/>
      <c r="HK150" s="910">
        <v>0</v>
      </c>
      <c r="HL150" s="909"/>
      <c r="HM150" s="909"/>
      <c r="HN150" s="909"/>
      <c r="HO150" s="910">
        <v>0</v>
      </c>
      <c r="HP150" s="871">
        <v>0</v>
      </c>
      <c r="HQ150" s="911">
        <v>0</v>
      </c>
      <c r="HR150" s="908">
        <v>0</v>
      </c>
      <c r="HS150" s="902">
        <v>20.268672228027523</v>
      </c>
      <c r="HT150" s="902">
        <v>0</v>
      </c>
      <c r="HU150" s="902">
        <v>0</v>
      </c>
      <c r="HV150" s="902">
        <v>23.819912664649252</v>
      </c>
      <c r="HW150" s="902">
        <v>0.98373865791140724</v>
      </c>
      <c r="HX150" s="902">
        <v>3600</v>
      </c>
      <c r="HY150" s="909"/>
      <c r="HZ150" s="909"/>
      <c r="IA150" s="909"/>
      <c r="IB150" s="909"/>
      <c r="IC150" s="909"/>
      <c r="ID150" s="910">
        <v>0</v>
      </c>
      <c r="IE150" s="909"/>
      <c r="IF150" s="909"/>
      <c r="IG150" s="909"/>
      <c r="IH150" s="910">
        <v>0</v>
      </c>
      <c r="II150" s="871">
        <v>0</v>
      </c>
      <c r="IJ150" s="911">
        <v>0</v>
      </c>
      <c r="IK150" s="908">
        <v>0</v>
      </c>
      <c r="IL150" s="902">
        <v>20.268672228027523</v>
      </c>
      <c r="IM150" s="902">
        <v>0</v>
      </c>
      <c r="IN150" s="902">
        <v>0</v>
      </c>
      <c r="IO150" s="902">
        <v>23.819912664649252</v>
      </c>
      <c r="IP150" s="902">
        <v>0.98373865791140724</v>
      </c>
      <c r="IQ150" s="902">
        <v>3600</v>
      </c>
      <c r="IR150" s="909"/>
      <c r="IS150" s="909"/>
      <c r="IT150" s="909"/>
      <c r="IU150" s="909"/>
      <c r="IV150" s="909"/>
      <c r="IW150" s="910">
        <v>0</v>
      </c>
      <c r="IX150" s="909"/>
      <c r="IY150" s="909"/>
      <c r="IZ150" s="909"/>
      <c r="JA150" s="910">
        <v>0</v>
      </c>
      <c r="JB150" s="871">
        <v>0</v>
      </c>
      <c r="JC150" s="911">
        <v>0</v>
      </c>
      <c r="JD150" s="908">
        <v>0</v>
      </c>
      <c r="JE150" s="902">
        <v>20.268672228027523</v>
      </c>
      <c r="JF150" s="902">
        <v>0</v>
      </c>
      <c r="JG150" s="902">
        <v>0</v>
      </c>
      <c r="JH150" s="902">
        <v>23.819912664649252</v>
      </c>
      <c r="JI150" s="902">
        <v>0.98373865791140724</v>
      </c>
      <c r="JJ150" s="902">
        <v>3600</v>
      </c>
      <c r="JK150" s="909"/>
      <c r="JL150" s="909"/>
      <c r="JM150" s="909"/>
      <c r="JN150" s="909"/>
      <c r="JO150" s="909"/>
      <c r="JP150" s="910">
        <v>0</v>
      </c>
      <c r="JQ150" s="909"/>
      <c r="JR150" s="909"/>
      <c r="JS150" s="909"/>
      <c r="JT150" s="910">
        <v>0</v>
      </c>
      <c r="JU150" s="871">
        <v>0</v>
      </c>
      <c r="JV150" s="911">
        <v>0</v>
      </c>
      <c r="JW150" s="908">
        <v>0</v>
      </c>
      <c r="JX150" s="902">
        <v>20.268672228027523</v>
      </c>
      <c r="JY150" s="902">
        <v>0</v>
      </c>
      <c r="JZ150" s="902">
        <v>0</v>
      </c>
      <c r="KA150" s="902">
        <v>23.819912664649252</v>
      </c>
      <c r="KB150" s="902">
        <v>0.98373865791140724</v>
      </c>
      <c r="KC150" s="902">
        <v>3600</v>
      </c>
      <c r="KD150" s="909"/>
      <c r="KE150" s="909"/>
      <c r="KF150" s="909"/>
      <c r="KG150" s="909"/>
      <c r="KH150" s="909"/>
      <c r="KI150" s="910">
        <v>0</v>
      </c>
      <c r="KJ150" s="909"/>
      <c r="KK150" s="909"/>
      <c r="KL150" s="909"/>
      <c r="KM150" s="910">
        <v>0</v>
      </c>
      <c r="KN150" s="871">
        <v>0</v>
      </c>
      <c r="KO150" s="912">
        <v>0</v>
      </c>
    </row>
    <row r="151" spans="1:301" ht="15" customHeight="1">
      <c r="A151" s="924" t="s">
        <v>1607</v>
      </c>
      <c r="B151" s="888" t="s">
        <v>1073</v>
      </c>
      <c r="C151" s="888">
        <v>325</v>
      </c>
      <c r="D151" s="888">
        <v>600</v>
      </c>
      <c r="E151" s="888">
        <v>315</v>
      </c>
      <c r="F151" s="888">
        <v>295.49356714440597</v>
      </c>
      <c r="G151" s="888">
        <v>89.016911679338008</v>
      </c>
      <c r="H151" s="888">
        <v>64.526405787482304</v>
      </c>
      <c r="I151" s="888">
        <v>60</v>
      </c>
      <c r="J151" s="888"/>
      <c r="K151" s="888"/>
      <c r="L151" s="888">
        <v>16</v>
      </c>
      <c r="M151" s="888">
        <v>339.84386040203987</v>
      </c>
      <c r="N151" s="888">
        <v>5</v>
      </c>
      <c r="O151" s="884">
        <v>8.0388790878538057</v>
      </c>
      <c r="P151" s="888">
        <v>5</v>
      </c>
      <c r="Q151" s="884">
        <v>11.097676048805944</v>
      </c>
      <c r="R151" s="888"/>
      <c r="S151" s="888"/>
      <c r="T151" s="906">
        <v>0</v>
      </c>
      <c r="U151" s="906">
        <v>0</v>
      </c>
      <c r="V151" s="906">
        <v>72.5</v>
      </c>
      <c r="W151" s="1141">
        <v>0</v>
      </c>
      <c r="X151" s="902">
        <v>0</v>
      </c>
      <c r="Y151" s="902">
        <v>0</v>
      </c>
      <c r="Z151" s="902">
        <v>0</v>
      </c>
      <c r="AA151" s="902">
        <v>0</v>
      </c>
      <c r="AB151" s="970">
        <v>0</v>
      </c>
      <c r="AC151" s="1045">
        <v>0</v>
      </c>
      <c r="AD151" s="890"/>
      <c r="AE151" s="890"/>
      <c r="AF151" s="890"/>
      <c r="AG151" s="890"/>
      <c r="AH151" s="888"/>
      <c r="AI151" s="907">
        <v>1.6421705447115569</v>
      </c>
      <c r="AJ151" s="908">
        <v>0</v>
      </c>
      <c r="AK151" s="902">
        <v>19.136555136659751</v>
      </c>
      <c r="AL151" s="902">
        <v>0</v>
      </c>
      <c r="AM151" s="902">
        <v>0</v>
      </c>
      <c r="AN151" s="902">
        <v>28.556036356539316</v>
      </c>
      <c r="AO151" s="902">
        <v>0.96085220333622556</v>
      </c>
      <c r="AP151" s="1222"/>
      <c r="AQ151" s="909"/>
      <c r="AR151" s="909"/>
      <c r="AS151" s="909"/>
      <c r="AT151" s="909"/>
      <c r="AU151" s="909"/>
      <c r="AV151" s="910">
        <v>0</v>
      </c>
      <c r="AW151" s="909"/>
      <c r="AX151" s="909"/>
      <c r="AY151" s="909"/>
      <c r="AZ151" s="910">
        <v>0</v>
      </c>
      <c r="BA151" s="871">
        <v>0</v>
      </c>
      <c r="BB151" s="911">
        <v>0</v>
      </c>
      <c r="BC151" s="908">
        <v>0</v>
      </c>
      <c r="BD151" s="902">
        <v>19.136555136659751</v>
      </c>
      <c r="BE151" s="902">
        <v>0</v>
      </c>
      <c r="BF151" s="902">
        <v>0</v>
      </c>
      <c r="BG151" s="902">
        <v>28.556036356539316</v>
      </c>
      <c r="BH151" s="902">
        <v>0.96085220333622556</v>
      </c>
      <c r="BI151" s="902">
        <v>0</v>
      </c>
      <c r="BJ151" s="909"/>
      <c r="BK151" s="909"/>
      <c r="BL151" s="909"/>
      <c r="BM151" s="909"/>
      <c r="BN151" s="909"/>
      <c r="BO151" s="910">
        <v>0</v>
      </c>
      <c r="BP151" s="909"/>
      <c r="BQ151" s="909"/>
      <c r="BR151" s="909"/>
      <c r="BS151" s="910">
        <v>0</v>
      </c>
      <c r="BT151" s="871">
        <v>0</v>
      </c>
      <c r="BU151" s="911">
        <v>0</v>
      </c>
      <c r="BV151" s="908">
        <v>0</v>
      </c>
      <c r="BW151" s="902">
        <v>19.136555136659751</v>
      </c>
      <c r="BX151" s="902">
        <v>0</v>
      </c>
      <c r="BY151" s="902">
        <v>0</v>
      </c>
      <c r="BZ151" s="902">
        <v>28.556036356539316</v>
      </c>
      <c r="CA151" s="902">
        <v>0.96085220333622556</v>
      </c>
      <c r="CB151" s="902">
        <v>3600</v>
      </c>
      <c r="CC151" s="909"/>
      <c r="CD151" s="909"/>
      <c r="CE151" s="909"/>
      <c r="CF151" s="909"/>
      <c r="CG151" s="909"/>
      <c r="CH151" s="910">
        <v>0</v>
      </c>
      <c r="CI151" s="909"/>
      <c r="CJ151" s="909"/>
      <c r="CK151" s="909"/>
      <c r="CL151" s="910">
        <v>0</v>
      </c>
      <c r="CM151" s="871">
        <v>0</v>
      </c>
      <c r="CN151" s="911">
        <v>0</v>
      </c>
      <c r="CO151" s="908">
        <v>0</v>
      </c>
      <c r="CP151" s="902">
        <v>19.136555136659751</v>
      </c>
      <c r="CQ151" s="902">
        <v>0</v>
      </c>
      <c r="CR151" s="902">
        <v>0</v>
      </c>
      <c r="CS151" s="902">
        <v>28.556036356539316</v>
      </c>
      <c r="CT151" s="902">
        <v>0.96085220333622556</v>
      </c>
      <c r="CU151" s="902">
        <v>3600</v>
      </c>
      <c r="CV151" s="909"/>
      <c r="CW151" s="909"/>
      <c r="CX151" s="909"/>
      <c r="CY151" s="909"/>
      <c r="CZ151" s="909"/>
      <c r="DA151" s="910">
        <v>0</v>
      </c>
      <c r="DB151" s="909"/>
      <c r="DC151" s="909"/>
      <c r="DD151" s="909"/>
      <c r="DE151" s="910">
        <v>0</v>
      </c>
      <c r="DF151" s="871">
        <v>0</v>
      </c>
      <c r="DG151" s="911">
        <v>0</v>
      </c>
      <c r="DH151" s="908">
        <v>0</v>
      </c>
      <c r="DI151" s="902">
        <v>19.136555136659751</v>
      </c>
      <c r="DJ151" s="902">
        <v>0</v>
      </c>
      <c r="DK151" s="902">
        <v>0</v>
      </c>
      <c r="DL151" s="902">
        <v>28.556036356539316</v>
      </c>
      <c r="DM151" s="902">
        <v>0.96085220333622556</v>
      </c>
      <c r="DN151" s="902">
        <v>3600</v>
      </c>
      <c r="DO151" s="909"/>
      <c r="DP151" s="909"/>
      <c r="DQ151" s="909"/>
      <c r="DR151" s="909"/>
      <c r="DS151" s="909"/>
      <c r="DT151" s="910">
        <v>0</v>
      </c>
      <c r="DU151" s="909"/>
      <c r="DV151" s="909"/>
      <c r="DW151" s="909"/>
      <c r="DX151" s="910">
        <v>0</v>
      </c>
      <c r="DY151" s="871">
        <v>0</v>
      </c>
      <c r="DZ151" s="911">
        <v>0</v>
      </c>
      <c r="EA151" s="908">
        <v>0</v>
      </c>
      <c r="EB151" s="902">
        <v>19.136555136659751</v>
      </c>
      <c r="EC151" s="902">
        <v>0</v>
      </c>
      <c r="ED151" s="902">
        <v>0</v>
      </c>
      <c r="EE151" s="902">
        <v>28.556036356539316</v>
      </c>
      <c r="EF151" s="902">
        <v>0.96085220333622556</v>
      </c>
      <c r="EG151" s="902">
        <v>3600</v>
      </c>
      <c r="EH151" s="909"/>
      <c r="EI151" s="909"/>
      <c r="EJ151" s="909"/>
      <c r="EK151" s="909"/>
      <c r="EL151" s="909"/>
      <c r="EM151" s="910">
        <v>0</v>
      </c>
      <c r="EN151" s="909"/>
      <c r="EO151" s="909"/>
      <c r="EP151" s="909"/>
      <c r="EQ151" s="910">
        <v>0</v>
      </c>
      <c r="ER151" s="871">
        <v>0</v>
      </c>
      <c r="ES151" s="911">
        <v>0</v>
      </c>
      <c r="ET151" s="908">
        <v>0</v>
      </c>
      <c r="EU151" s="902">
        <v>19.136555136659751</v>
      </c>
      <c r="EV151" s="902">
        <v>0</v>
      </c>
      <c r="EW151" s="902">
        <v>0</v>
      </c>
      <c r="EX151" s="902">
        <v>28.556036356539316</v>
      </c>
      <c r="EY151" s="902">
        <v>0.96085220333622556</v>
      </c>
      <c r="EZ151" s="902">
        <v>3600</v>
      </c>
      <c r="FA151" s="909"/>
      <c r="FB151" s="909"/>
      <c r="FC151" s="909"/>
      <c r="FD151" s="909"/>
      <c r="FE151" s="909"/>
      <c r="FF151" s="910">
        <v>0</v>
      </c>
      <c r="FG151" s="909"/>
      <c r="FH151" s="909"/>
      <c r="FI151" s="909"/>
      <c r="FJ151" s="910">
        <v>0</v>
      </c>
      <c r="FK151" s="871">
        <v>0</v>
      </c>
      <c r="FL151" s="911">
        <v>0</v>
      </c>
      <c r="FM151" s="908">
        <v>0</v>
      </c>
      <c r="FN151" s="902">
        <v>19.136555136659751</v>
      </c>
      <c r="FO151" s="902">
        <v>0</v>
      </c>
      <c r="FP151" s="902">
        <v>0</v>
      </c>
      <c r="FQ151" s="902">
        <v>28.556036356539316</v>
      </c>
      <c r="FR151" s="902">
        <v>0.96085220333622556</v>
      </c>
      <c r="FS151" s="902">
        <v>3600</v>
      </c>
      <c r="FT151" s="909"/>
      <c r="FU151" s="909"/>
      <c r="FV151" s="909"/>
      <c r="FW151" s="909"/>
      <c r="FX151" s="909"/>
      <c r="FY151" s="910">
        <v>0</v>
      </c>
      <c r="FZ151" s="909"/>
      <c r="GA151" s="909"/>
      <c r="GB151" s="909"/>
      <c r="GC151" s="910">
        <v>0</v>
      </c>
      <c r="GD151" s="871">
        <v>0</v>
      </c>
      <c r="GE151" s="911">
        <v>0</v>
      </c>
      <c r="GF151" s="908">
        <v>0</v>
      </c>
      <c r="GG151" s="902">
        <v>19.136555136659751</v>
      </c>
      <c r="GH151" s="902">
        <v>0</v>
      </c>
      <c r="GI151" s="902">
        <v>0</v>
      </c>
      <c r="GJ151" s="902">
        <v>28.556036356539316</v>
      </c>
      <c r="GK151" s="902">
        <v>0.96085220333622556</v>
      </c>
      <c r="GL151" s="902">
        <v>3600</v>
      </c>
      <c r="GM151" s="909"/>
      <c r="GN151" s="909"/>
      <c r="GO151" s="909"/>
      <c r="GP151" s="909"/>
      <c r="GQ151" s="909"/>
      <c r="GR151" s="910">
        <v>0</v>
      </c>
      <c r="GS151" s="909"/>
      <c r="GT151" s="909"/>
      <c r="GU151" s="909"/>
      <c r="GV151" s="910">
        <v>0</v>
      </c>
      <c r="GW151" s="871">
        <v>0</v>
      </c>
      <c r="GX151" s="911">
        <v>0</v>
      </c>
      <c r="GY151" s="908">
        <v>0</v>
      </c>
      <c r="GZ151" s="902">
        <v>19.136555136659751</v>
      </c>
      <c r="HA151" s="902">
        <v>0</v>
      </c>
      <c r="HB151" s="902">
        <v>0</v>
      </c>
      <c r="HC151" s="902">
        <v>28.556036356539316</v>
      </c>
      <c r="HD151" s="902">
        <v>0.96085220333622556</v>
      </c>
      <c r="HE151" s="902">
        <v>3600</v>
      </c>
      <c r="HF151" s="909"/>
      <c r="HG151" s="909"/>
      <c r="HH151" s="909"/>
      <c r="HI151" s="909"/>
      <c r="HJ151" s="909"/>
      <c r="HK151" s="910">
        <v>0</v>
      </c>
      <c r="HL151" s="909"/>
      <c r="HM151" s="909"/>
      <c r="HN151" s="909"/>
      <c r="HO151" s="910">
        <v>0</v>
      </c>
      <c r="HP151" s="871">
        <v>0</v>
      </c>
      <c r="HQ151" s="911">
        <v>0</v>
      </c>
      <c r="HR151" s="908">
        <v>0</v>
      </c>
      <c r="HS151" s="902">
        <v>19.136555136659751</v>
      </c>
      <c r="HT151" s="902">
        <v>0</v>
      </c>
      <c r="HU151" s="902">
        <v>0</v>
      </c>
      <c r="HV151" s="902">
        <v>28.556036356539316</v>
      </c>
      <c r="HW151" s="902">
        <v>0.96085220333622556</v>
      </c>
      <c r="HX151" s="902">
        <v>3600</v>
      </c>
      <c r="HY151" s="909"/>
      <c r="HZ151" s="909"/>
      <c r="IA151" s="909"/>
      <c r="IB151" s="909"/>
      <c r="IC151" s="909"/>
      <c r="ID151" s="910">
        <v>0</v>
      </c>
      <c r="IE151" s="909"/>
      <c r="IF151" s="909"/>
      <c r="IG151" s="909"/>
      <c r="IH151" s="910">
        <v>0</v>
      </c>
      <c r="II151" s="871">
        <v>0</v>
      </c>
      <c r="IJ151" s="911">
        <v>0</v>
      </c>
      <c r="IK151" s="908">
        <v>0</v>
      </c>
      <c r="IL151" s="902">
        <v>19.136555136659751</v>
      </c>
      <c r="IM151" s="902">
        <v>0</v>
      </c>
      <c r="IN151" s="902">
        <v>0</v>
      </c>
      <c r="IO151" s="902">
        <v>28.556036356539316</v>
      </c>
      <c r="IP151" s="902">
        <v>0.96085220333622556</v>
      </c>
      <c r="IQ151" s="902">
        <v>3600</v>
      </c>
      <c r="IR151" s="909"/>
      <c r="IS151" s="909"/>
      <c r="IT151" s="909"/>
      <c r="IU151" s="909"/>
      <c r="IV151" s="909"/>
      <c r="IW151" s="910">
        <v>0</v>
      </c>
      <c r="IX151" s="909"/>
      <c r="IY151" s="909"/>
      <c r="IZ151" s="909"/>
      <c r="JA151" s="910">
        <v>0</v>
      </c>
      <c r="JB151" s="871">
        <v>0</v>
      </c>
      <c r="JC151" s="911">
        <v>0</v>
      </c>
      <c r="JD151" s="908">
        <v>0</v>
      </c>
      <c r="JE151" s="902">
        <v>19.136555136659751</v>
      </c>
      <c r="JF151" s="902">
        <v>0</v>
      </c>
      <c r="JG151" s="902">
        <v>0</v>
      </c>
      <c r="JH151" s="902">
        <v>28.556036356539316</v>
      </c>
      <c r="JI151" s="902">
        <v>0.96085220333622556</v>
      </c>
      <c r="JJ151" s="902">
        <v>3600</v>
      </c>
      <c r="JK151" s="909"/>
      <c r="JL151" s="909"/>
      <c r="JM151" s="909"/>
      <c r="JN151" s="909"/>
      <c r="JO151" s="909"/>
      <c r="JP151" s="910">
        <v>0</v>
      </c>
      <c r="JQ151" s="909"/>
      <c r="JR151" s="909"/>
      <c r="JS151" s="909"/>
      <c r="JT151" s="910">
        <v>0</v>
      </c>
      <c r="JU151" s="871">
        <v>0</v>
      </c>
      <c r="JV151" s="911">
        <v>0</v>
      </c>
      <c r="JW151" s="908">
        <v>0</v>
      </c>
      <c r="JX151" s="902">
        <v>19.136555136659751</v>
      </c>
      <c r="JY151" s="902">
        <v>0</v>
      </c>
      <c r="JZ151" s="902">
        <v>0</v>
      </c>
      <c r="KA151" s="902">
        <v>28.556036356539316</v>
      </c>
      <c r="KB151" s="902">
        <v>0.96085220333622556</v>
      </c>
      <c r="KC151" s="902">
        <v>3600</v>
      </c>
      <c r="KD151" s="909"/>
      <c r="KE151" s="909"/>
      <c r="KF151" s="909"/>
      <c r="KG151" s="909"/>
      <c r="KH151" s="909"/>
      <c r="KI151" s="910">
        <v>0</v>
      </c>
      <c r="KJ151" s="909"/>
      <c r="KK151" s="909"/>
      <c r="KL151" s="909"/>
      <c r="KM151" s="910">
        <v>0</v>
      </c>
      <c r="KN151" s="871">
        <v>0</v>
      </c>
      <c r="KO151" s="912">
        <v>0</v>
      </c>
    </row>
    <row r="152" spans="1:301" ht="15" customHeight="1">
      <c r="A152" s="924" t="s">
        <v>1608</v>
      </c>
      <c r="B152" s="888" t="s">
        <v>1073</v>
      </c>
      <c r="C152" s="888">
        <v>360</v>
      </c>
      <c r="D152" s="888">
        <v>677</v>
      </c>
      <c r="E152" s="888">
        <v>355</v>
      </c>
      <c r="F152" s="888">
        <v>319.24911630683215</v>
      </c>
      <c r="G152" s="888">
        <v>117.70159887671427</v>
      </c>
      <c r="H152" s="888">
        <v>89.884206395851677</v>
      </c>
      <c r="I152" s="888">
        <v>85</v>
      </c>
      <c r="J152" s="888"/>
      <c r="K152" s="888"/>
      <c r="L152" s="888">
        <v>18</v>
      </c>
      <c r="M152" s="888">
        <v>307.85095030555607</v>
      </c>
      <c r="N152" s="888">
        <v>5</v>
      </c>
      <c r="O152" s="884">
        <v>10.243894838117807</v>
      </c>
      <c r="P152" s="888">
        <v>5</v>
      </c>
      <c r="Q152" s="884">
        <v>14.128852127147722</v>
      </c>
      <c r="R152" s="888"/>
      <c r="S152" s="888"/>
      <c r="T152" s="906">
        <v>0</v>
      </c>
      <c r="U152" s="906">
        <v>0</v>
      </c>
      <c r="V152" s="906">
        <v>85</v>
      </c>
      <c r="W152" s="1141">
        <v>0</v>
      </c>
      <c r="X152" s="902">
        <v>0</v>
      </c>
      <c r="Y152" s="902">
        <v>0</v>
      </c>
      <c r="Z152" s="902">
        <v>0</v>
      </c>
      <c r="AA152" s="902">
        <v>0</v>
      </c>
      <c r="AB152" s="970">
        <v>0</v>
      </c>
      <c r="AC152" s="1045">
        <v>0</v>
      </c>
      <c r="AD152" s="890"/>
      <c r="AE152" s="890"/>
      <c r="AF152" s="890"/>
      <c r="AG152" s="890"/>
      <c r="AH152" s="888"/>
      <c r="AI152" s="907">
        <v>2.2053966597576649</v>
      </c>
      <c r="AJ152" s="908">
        <v>0</v>
      </c>
      <c r="AK152" s="902">
        <v>24.372746965265527</v>
      </c>
      <c r="AL152" s="902">
        <v>0</v>
      </c>
      <c r="AM152" s="902">
        <v>0</v>
      </c>
      <c r="AN152" s="902">
        <v>39.227686957370992</v>
      </c>
      <c r="AO152" s="902">
        <v>1.5577154488521225</v>
      </c>
      <c r="AP152" s="1222"/>
      <c r="AQ152" s="909"/>
      <c r="AR152" s="909"/>
      <c r="AS152" s="909"/>
      <c r="AT152" s="909"/>
      <c r="AU152" s="909"/>
      <c r="AV152" s="910">
        <v>0</v>
      </c>
      <c r="AW152" s="909"/>
      <c r="AX152" s="909"/>
      <c r="AY152" s="909"/>
      <c r="AZ152" s="910">
        <v>0</v>
      </c>
      <c r="BA152" s="871">
        <v>0</v>
      </c>
      <c r="BB152" s="911">
        <v>0</v>
      </c>
      <c r="BC152" s="908">
        <v>0</v>
      </c>
      <c r="BD152" s="902">
        <v>24.372746965265527</v>
      </c>
      <c r="BE152" s="902">
        <v>0</v>
      </c>
      <c r="BF152" s="902">
        <v>0</v>
      </c>
      <c r="BG152" s="902">
        <v>39.227686957370992</v>
      </c>
      <c r="BH152" s="902">
        <v>1.5577154488521225</v>
      </c>
      <c r="BI152" s="902">
        <v>0</v>
      </c>
      <c r="BJ152" s="909"/>
      <c r="BK152" s="909"/>
      <c r="BL152" s="909"/>
      <c r="BM152" s="909"/>
      <c r="BN152" s="909"/>
      <c r="BO152" s="910">
        <v>0</v>
      </c>
      <c r="BP152" s="909"/>
      <c r="BQ152" s="909"/>
      <c r="BR152" s="909"/>
      <c r="BS152" s="910">
        <v>0</v>
      </c>
      <c r="BT152" s="871">
        <v>0</v>
      </c>
      <c r="BU152" s="911">
        <v>0</v>
      </c>
      <c r="BV152" s="908">
        <v>0</v>
      </c>
      <c r="BW152" s="902">
        <v>24.372746965265527</v>
      </c>
      <c r="BX152" s="902">
        <v>0</v>
      </c>
      <c r="BY152" s="902">
        <v>0</v>
      </c>
      <c r="BZ152" s="902">
        <v>39.227686957370992</v>
      </c>
      <c r="CA152" s="902">
        <v>1.5577154488521225</v>
      </c>
      <c r="CB152" s="902">
        <v>3600</v>
      </c>
      <c r="CC152" s="909"/>
      <c r="CD152" s="909"/>
      <c r="CE152" s="909"/>
      <c r="CF152" s="909"/>
      <c r="CG152" s="909"/>
      <c r="CH152" s="910">
        <v>0</v>
      </c>
      <c r="CI152" s="909"/>
      <c r="CJ152" s="909"/>
      <c r="CK152" s="909"/>
      <c r="CL152" s="910">
        <v>0</v>
      </c>
      <c r="CM152" s="871">
        <v>0</v>
      </c>
      <c r="CN152" s="911">
        <v>0</v>
      </c>
      <c r="CO152" s="908">
        <v>0</v>
      </c>
      <c r="CP152" s="902">
        <v>24.372746965265527</v>
      </c>
      <c r="CQ152" s="902">
        <v>0</v>
      </c>
      <c r="CR152" s="902">
        <v>0</v>
      </c>
      <c r="CS152" s="902">
        <v>39.227686957370992</v>
      </c>
      <c r="CT152" s="902">
        <v>1.5577154488521225</v>
      </c>
      <c r="CU152" s="902">
        <v>3600</v>
      </c>
      <c r="CV152" s="909"/>
      <c r="CW152" s="909"/>
      <c r="CX152" s="909"/>
      <c r="CY152" s="909"/>
      <c r="CZ152" s="909"/>
      <c r="DA152" s="910">
        <v>0</v>
      </c>
      <c r="DB152" s="909"/>
      <c r="DC152" s="909"/>
      <c r="DD152" s="909"/>
      <c r="DE152" s="910">
        <v>0</v>
      </c>
      <c r="DF152" s="871">
        <v>0</v>
      </c>
      <c r="DG152" s="911">
        <v>0</v>
      </c>
      <c r="DH152" s="908">
        <v>0</v>
      </c>
      <c r="DI152" s="902">
        <v>24.372746965265527</v>
      </c>
      <c r="DJ152" s="902">
        <v>0</v>
      </c>
      <c r="DK152" s="902">
        <v>0</v>
      </c>
      <c r="DL152" s="902">
        <v>39.227686957370992</v>
      </c>
      <c r="DM152" s="902">
        <v>1.5577154488521225</v>
      </c>
      <c r="DN152" s="902">
        <v>3600</v>
      </c>
      <c r="DO152" s="909"/>
      <c r="DP152" s="909"/>
      <c r="DQ152" s="909"/>
      <c r="DR152" s="909"/>
      <c r="DS152" s="909"/>
      <c r="DT152" s="910">
        <v>0</v>
      </c>
      <c r="DU152" s="909"/>
      <c r="DV152" s="909"/>
      <c r="DW152" s="909"/>
      <c r="DX152" s="910">
        <v>0</v>
      </c>
      <c r="DY152" s="871">
        <v>0</v>
      </c>
      <c r="DZ152" s="911">
        <v>0</v>
      </c>
      <c r="EA152" s="908">
        <v>0</v>
      </c>
      <c r="EB152" s="902">
        <v>24.372746965265527</v>
      </c>
      <c r="EC152" s="902">
        <v>0</v>
      </c>
      <c r="ED152" s="902">
        <v>0</v>
      </c>
      <c r="EE152" s="902">
        <v>39.227686957370992</v>
      </c>
      <c r="EF152" s="902">
        <v>1.5577154488521225</v>
      </c>
      <c r="EG152" s="902">
        <v>3600</v>
      </c>
      <c r="EH152" s="909"/>
      <c r="EI152" s="909"/>
      <c r="EJ152" s="909"/>
      <c r="EK152" s="909"/>
      <c r="EL152" s="909"/>
      <c r="EM152" s="910">
        <v>0</v>
      </c>
      <c r="EN152" s="909"/>
      <c r="EO152" s="909"/>
      <c r="EP152" s="909"/>
      <c r="EQ152" s="910">
        <v>0</v>
      </c>
      <c r="ER152" s="871">
        <v>0</v>
      </c>
      <c r="ES152" s="911">
        <v>0</v>
      </c>
      <c r="ET152" s="908">
        <v>0</v>
      </c>
      <c r="EU152" s="902">
        <v>24.372746965265527</v>
      </c>
      <c r="EV152" s="902">
        <v>0</v>
      </c>
      <c r="EW152" s="902">
        <v>0</v>
      </c>
      <c r="EX152" s="902">
        <v>39.227686957370992</v>
      </c>
      <c r="EY152" s="902">
        <v>1.5577154488521225</v>
      </c>
      <c r="EZ152" s="902">
        <v>3600</v>
      </c>
      <c r="FA152" s="909"/>
      <c r="FB152" s="909"/>
      <c r="FC152" s="909"/>
      <c r="FD152" s="909"/>
      <c r="FE152" s="909"/>
      <c r="FF152" s="910">
        <v>0</v>
      </c>
      <c r="FG152" s="909"/>
      <c r="FH152" s="909"/>
      <c r="FI152" s="909"/>
      <c r="FJ152" s="910">
        <v>0</v>
      </c>
      <c r="FK152" s="871">
        <v>0</v>
      </c>
      <c r="FL152" s="911">
        <v>0</v>
      </c>
      <c r="FM152" s="908">
        <v>0</v>
      </c>
      <c r="FN152" s="902">
        <v>24.372746965265527</v>
      </c>
      <c r="FO152" s="902">
        <v>0</v>
      </c>
      <c r="FP152" s="902">
        <v>0</v>
      </c>
      <c r="FQ152" s="902">
        <v>39.227686957370992</v>
      </c>
      <c r="FR152" s="902">
        <v>1.5577154488521225</v>
      </c>
      <c r="FS152" s="902">
        <v>3600</v>
      </c>
      <c r="FT152" s="909"/>
      <c r="FU152" s="909"/>
      <c r="FV152" s="909"/>
      <c r="FW152" s="909"/>
      <c r="FX152" s="909"/>
      <c r="FY152" s="910">
        <v>0</v>
      </c>
      <c r="FZ152" s="909"/>
      <c r="GA152" s="909"/>
      <c r="GB152" s="909"/>
      <c r="GC152" s="910">
        <v>0</v>
      </c>
      <c r="GD152" s="871">
        <v>0</v>
      </c>
      <c r="GE152" s="911">
        <v>0</v>
      </c>
      <c r="GF152" s="908">
        <v>0</v>
      </c>
      <c r="GG152" s="902">
        <v>24.372746965265527</v>
      </c>
      <c r="GH152" s="902">
        <v>0</v>
      </c>
      <c r="GI152" s="902">
        <v>0</v>
      </c>
      <c r="GJ152" s="902">
        <v>39.227686957370992</v>
      </c>
      <c r="GK152" s="902">
        <v>1.5577154488521225</v>
      </c>
      <c r="GL152" s="902">
        <v>3600</v>
      </c>
      <c r="GM152" s="909"/>
      <c r="GN152" s="909"/>
      <c r="GO152" s="909"/>
      <c r="GP152" s="909"/>
      <c r="GQ152" s="909"/>
      <c r="GR152" s="910">
        <v>0</v>
      </c>
      <c r="GS152" s="909"/>
      <c r="GT152" s="909"/>
      <c r="GU152" s="909"/>
      <c r="GV152" s="910">
        <v>0</v>
      </c>
      <c r="GW152" s="871">
        <v>0</v>
      </c>
      <c r="GX152" s="911">
        <v>0</v>
      </c>
      <c r="GY152" s="908">
        <v>0</v>
      </c>
      <c r="GZ152" s="902">
        <v>24.372746965265527</v>
      </c>
      <c r="HA152" s="902">
        <v>0</v>
      </c>
      <c r="HB152" s="902">
        <v>0</v>
      </c>
      <c r="HC152" s="902">
        <v>39.227686957370992</v>
      </c>
      <c r="HD152" s="902">
        <v>1.5577154488521225</v>
      </c>
      <c r="HE152" s="902">
        <v>3600</v>
      </c>
      <c r="HF152" s="909"/>
      <c r="HG152" s="909"/>
      <c r="HH152" s="909"/>
      <c r="HI152" s="909"/>
      <c r="HJ152" s="909"/>
      <c r="HK152" s="910">
        <v>0</v>
      </c>
      <c r="HL152" s="909"/>
      <c r="HM152" s="909"/>
      <c r="HN152" s="909"/>
      <c r="HO152" s="910">
        <v>0</v>
      </c>
      <c r="HP152" s="871">
        <v>0</v>
      </c>
      <c r="HQ152" s="911">
        <v>0</v>
      </c>
      <c r="HR152" s="908">
        <v>0</v>
      </c>
      <c r="HS152" s="902">
        <v>24.372746965265527</v>
      </c>
      <c r="HT152" s="902">
        <v>0</v>
      </c>
      <c r="HU152" s="902">
        <v>0</v>
      </c>
      <c r="HV152" s="902">
        <v>39.227686957370992</v>
      </c>
      <c r="HW152" s="902">
        <v>1.5577154488521225</v>
      </c>
      <c r="HX152" s="902">
        <v>3600</v>
      </c>
      <c r="HY152" s="909"/>
      <c r="HZ152" s="909"/>
      <c r="IA152" s="909"/>
      <c r="IB152" s="909"/>
      <c r="IC152" s="909"/>
      <c r="ID152" s="910">
        <v>0</v>
      </c>
      <c r="IE152" s="909"/>
      <c r="IF152" s="909"/>
      <c r="IG152" s="909"/>
      <c r="IH152" s="910">
        <v>0</v>
      </c>
      <c r="II152" s="871">
        <v>0</v>
      </c>
      <c r="IJ152" s="911">
        <v>0</v>
      </c>
      <c r="IK152" s="908">
        <v>0</v>
      </c>
      <c r="IL152" s="902">
        <v>24.372746965265527</v>
      </c>
      <c r="IM152" s="902">
        <v>0</v>
      </c>
      <c r="IN152" s="902">
        <v>0</v>
      </c>
      <c r="IO152" s="902">
        <v>39.227686957370992</v>
      </c>
      <c r="IP152" s="902">
        <v>1.5577154488521225</v>
      </c>
      <c r="IQ152" s="902">
        <v>3600</v>
      </c>
      <c r="IR152" s="909"/>
      <c r="IS152" s="909"/>
      <c r="IT152" s="909"/>
      <c r="IU152" s="909"/>
      <c r="IV152" s="909"/>
      <c r="IW152" s="910">
        <v>0</v>
      </c>
      <c r="IX152" s="909"/>
      <c r="IY152" s="909"/>
      <c r="IZ152" s="909"/>
      <c r="JA152" s="910">
        <v>0</v>
      </c>
      <c r="JB152" s="871">
        <v>0</v>
      </c>
      <c r="JC152" s="911">
        <v>0</v>
      </c>
      <c r="JD152" s="908">
        <v>0</v>
      </c>
      <c r="JE152" s="902">
        <v>24.372746965265527</v>
      </c>
      <c r="JF152" s="902">
        <v>0</v>
      </c>
      <c r="JG152" s="902">
        <v>0</v>
      </c>
      <c r="JH152" s="902">
        <v>39.227686957370992</v>
      </c>
      <c r="JI152" s="902">
        <v>1.5577154488521225</v>
      </c>
      <c r="JJ152" s="902">
        <v>3600</v>
      </c>
      <c r="JK152" s="909"/>
      <c r="JL152" s="909"/>
      <c r="JM152" s="909"/>
      <c r="JN152" s="909"/>
      <c r="JO152" s="909"/>
      <c r="JP152" s="910">
        <v>0</v>
      </c>
      <c r="JQ152" s="909"/>
      <c r="JR152" s="909"/>
      <c r="JS152" s="909"/>
      <c r="JT152" s="910">
        <v>0</v>
      </c>
      <c r="JU152" s="871">
        <v>0</v>
      </c>
      <c r="JV152" s="911">
        <v>0</v>
      </c>
      <c r="JW152" s="908">
        <v>0</v>
      </c>
      <c r="JX152" s="902">
        <v>24.372746965265527</v>
      </c>
      <c r="JY152" s="902">
        <v>0</v>
      </c>
      <c r="JZ152" s="902">
        <v>0</v>
      </c>
      <c r="KA152" s="902">
        <v>39.227686957370992</v>
      </c>
      <c r="KB152" s="902">
        <v>1.5577154488521225</v>
      </c>
      <c r="KC152" s="902">
        <v>3600</v>
      </c>
      <c r="KD152" s="909"/>
      <c r="KE152" s="909"/>
      <c r="KF152" s="909"/>
      <c r="KG152" s="909"/>
      <c r="KH152" s="909"/>
      <c r="KI152" s="910">
        <v>0</v>
      </c>
      <c r="KJ152" s="909"/>
      <c r="KK152" s="909"/>
      <c r="KL152" s="909"/>
      <c r="KM152" s="910">
        <v>0</v>
      </c>
      <c r="KN152" s="871">
        <v>0</v>
      </c>
      <c r="KO152" s="912">
        <v>0</v>
      </c>
    </row>
    <row r="153" spans="1:301" ht="15" customHeight="1">
      <c r="A153" s="924" t="s">
        <v>1609</v>
      </c>
      <c r="B153" s="888" t="s">
        <v>1076</v>
      </c>
      <c r="C153" s="888">
        <v>390</v>
      </c>
      <c r="D153" s="888">
        <v>677</v>
      </c>
      <c r="E153" s="888">
        <v>400</v>
      </c>
      <c r="F153" s="888">
        <v>335.63888041131054</v>
      </c>
      <c r="G153" s="888">
        <v>136.84687197376257</v>
      </c>
      <c r="H153" s="888">
        <v>106.79977179383839</v>
      </c>
      <c r="I153" s="888">
        <v>100</v>
      </c>
      <c r="J153" s="888"/>
      <c r="K153" s="888"/>
      <c r="L153" s="888">
        <v>18</v>
      </c>
      <c r="M153" s="888">
        <v>289.03769670663161</v>
      </c>
      <c r="N153" s="888">
        <v>5</v>
      </c>
      <c r="O153" s="884">
        <v>9.1965516610117461</v>
      </c>
      <c r="P153" s="888">
        <v>5</v>
      </c>
      <c r="Q153" s="884">
        <v>14.128852127147722</v>
      </c>
      <c r="R153" s="888"/>
      <c r="S153" s="888"/>
      <c r="T153" s="906">
        <v>0</v>
      </c>
      <c r="U153" s="906">
        <v>0</v>
      </c>
      <c r="V153" s="906">
        <v>85</v>
      </c>
      <c r="W153" s="1141">
        <v>0</v>
      </c>
      <c r="X153" s="902">
        <v>0</v>
      </c>
      <c r="Y153" s="902">
        <v>0</v>
      </c>
      <c r="Z153" s="902">
        <v>0</v>
      </c>
      <c r="AA153" s="902">
        <v>0</v>
      </c>
      <c r="AB153" s="970">
        <v>0</v>
      </c>
      <c r="AC153" s="1045">
        <v>0</v>
      </c>
      <c r="AD153" s="890"/>
      <c r="AE153" s="890"/>
      <c r="AF153" s="890"/>
      <c r="AG153" s="890"/>
      <c r="AH153" s="888"/>
      <c r="AI153" s="907">
        <v>2.2768776329591183</v>
      </c>
      <c r="AJ153" s="908">
        <v>0</v>
      </c>
      <c r="AK153" s="902">
        <v>23.32540378815947</v>
      </c>
      <c r="AL153" s="902">
        <v>0</v>
      </c>
      <c r="AM153" s="902">
        <v>0</v>
      </c>
      <c r="AN153" s="902">
        <v>43.622470943919197</v>
      </c>
      <c r="AO153" s="902">
        <v>1.5202696573231527</v>
      </c>
      <c r="AP153" s="1222"/>
      <c r="AQ153" s="909"/>
      <c r="AR153" s="909"/>
      <c r="AS153" s="909"/>
      <c r="AT153" s="909"/>
      <c r="AU153" s="909"/>
      <c r="AV153" s="910">
        <v>0</v>
      </c>
      <c r="AW153" s="909"/>
      <c r="AX153" s="909"/>
      <c r="AY153" s="909"/>
      <c r="AZ153" s="910">
        <v>0</v>
      </c>
      <c r="BA153" s="871">
        <v>0</v>
      </c>
      <c r="BB153" s="911">
        <v>0</v>
      </c>
      <c r="BC153" s="908">
        <v>0</v>
      </c>
      <c r="BD153" s="902">
        <v>23.32540378815947</v>
      </c>
      <c r="BE153" s="902">
        <v>0</v>
      </c>
      <c r="BF153" s="902">
        <v>0</v>
      </c>
      <c r="BG153" s="902">
        <v>43.622470943919197</v>
      </c>
      <c r="BH153" s="902">
        <v>1.5202696573231527</v>
      </c>
      <c r="BI153" s="902">
        <v>0</v>
      </c>
      <c r="BJ153" s="909"/>
      <c r="BK153" s="909"/>
      <c r="BL153" s="909"/>
      <c r="BM153" s="909"/>
      <c r="BN153" s="909"/>
      <c r="BO153" s="910">
        <v>0</v>
      </c>
      <c r="BP153" s="909"/>
      <c r="BQ153" s="909"/>
      <c r="BR153" s="909"/>
      <c r="BS153" s="910">
        <v>0</v>
      </c>
      <c r="BT153" s="871">
        <v>0</v>
      </c>
      <c r="BU153" s="911">
        <v>0</v>
      </c>
      <c r="BV153" s="908">
        <v>0</v>
      </c>
      <c r="BW153" s="902">
        <v>23.32540378815947</v>
      </c>
      <c r="BX153" s="902">
        <v>0</v>
      </c>
      <c r="BY153" s="902">
        <v>0</v>
      </c>
      <c r="BZ153" s="902">
        <v>43.622470943919197</v>
      </c>
      <c r="CA153" s="902">
        <v>1.5202696573231527</v>
      </c>
      <c r="CB153" s="902">
        <v>3600</v>
      </c>
      <c r="CC153" s="909"/>
      <c r="CD153" s="909"/>
      <c r="CE153" s="909"/>
      <c r="CF153" s="909"/>
      <c r="CG153" s="909"/>
      <c r="CH153" s="910">
        <v>0</v>
      </c>
      <c r="CI153" s="909"/>
      <c r="CJ153" s="909"/>
      <c r="CK153" s="909"/>
      <c r="CL153" s="910">
        <v>0</v>
      </c>
      <c r="CM153" s="871">
        <v>0</v>
      </c>
      <c r="CN153" s="911">
        <v>0</v>
      </c>
      <c r="CO153" s="908">
        <v>0</v>
      </c>
      <c r="CP153" s="902">
        <v>23.32540378815947</v>
      </c>
      <c r="CQ153" s="902">
        <v>0</v>
      </c>
      <c r="CR153" s="902">
        <v>0</v>
      </c>
      <c r="CS153" s="902">
        <v>43.622470943919197</v>
      </c>
      <c r="CT153" s="902">
        <v>1.5202696573231527</v>
      </c>
      <c r="CU153" s="902">
        <v>3600</v>
      </c>
      <c r="CV153" s="909"/>
      <c r="CW153" s="909"/>
      <c r="CX153" s="909"/>
      <c r="CY153" s="909"/>
      <c r="CZ153" s="909"/>
      <c r="DA153" s="910">
        <v>0</v>
      </c>
      <c r="DB153" s="909"/>
      <c r="DC153" s="909"/>
      <c r="DD153" s="909"/>
      <c r="DE153" s="910">
        <v>0</v>
      </c>
      <c r="DF153" s="871">
        <v>0</v>
      </c>
      <c r="DG153" s="911">
        <v>0</v>
      </c>
      <c r="DH153" s="908">
        <v>0</v>
      </c>
      <c r="DI153" s="902">
        <v>23.32540378815947</v>
      </c>
      <c r="DJ153" s="902">
        <v>0</v>
      </c>
      <c r="DK153" s="902">
        <v>0</v>
      </c>
      <c r="DL153" s="902">
        <v>43.622470943919197</v>
      </c>
      <c r="DM153" s="902">
        <v>1.5202696573231527</v>
      </c>
      <c r="DN153" s="902">
        <v>3600</v>
      </c>
      <c r="DO153" s="909"/>
      <c r="DP153" s="909"/>
      <c r="DQ153" s="909"/>
      <c r="DR153" s="909"/>
      <c r="DS153" s="909"/>
      <c r="DT153" s="910">
        <v>0</v>
      </c>
      <c r="DU153" s="909"/>
      <c r="DV153" s="909"/>
      <c r="DW153" s="909"/>
      <c r="DX153" s="910">
        <v>0</v>
      </c>
      <c r="DY153" s="871">
        <v>0</v>
      </c>
      <c r="DZ153" s="911">
        <v>0</v>
      </c>
      <c r="EA153" s="908">
        <v>0</v>
      </c>
      <c r="EB153" s="902">
        <v>23.32540378815947</v>
      </c>
      <c r="EC153" s="902">
        <v>0</v>
      </c>
      <c r="ED153" s="902">
        <v>0</v>
      </c>
      <c r="EE153" s="902">
        <v>43.622470943919197</v>
      </c>
      <c r="EF153" s="902">
        <v>1.5202696573231527</v>
      </c>
      <c r="EG153" s="902">
        <v>3600</v>
      </c>
      <c r="EH153" s="909"/>
      <c r="EI153" s="909"/>
      <c r="EJ153" s="909"/>
      <c r="EK153" s="909"/>
      <c r="EL153" s="909"/>
      <c r="EM153" s="910">
        <v>0</v>
      </c>
      <c r="EN153" s="909"/>
      <c r="EO153" s="909"/>
      <c r="EP153" s="909"/>
      <c r="EQ153" s="910">
        <v>0</v>
      </c>
      <c r="ER153" s="871">
        <v>0</v>
      </c>
      <c r="ES153" s="911">
        <v>0</v>
      </c>
      <c r="ET153" s="908">
        <v>0</v>
      </c>
      <c r="EU153" s="902">
        <v>23.32540378815947</v>
      </c>
      <c r="EV153" s="902">
        <v>0</v>
      </c>
      <c r="EW153" s="902">
        <v>0</v>
      </c>
      <c r="EX153" s="902">
        <v>43.622470943919197</v>
      </c>
      <c r="EY153" s="902">
        <v>1.5202696573231527</v>
      </c>
      <c r="EZ153" s="902">
        <v>3600</v>
      </c>
      <c r="FA153" s="909"/>
      <c r="FB153" s="909"/>
      <c r="FC153" s="909"/>
      <c r="FD153" s="909"/>
      <c r="FE153" s="909"/>
      <c r="FF153" s="910">
        <v>0</v>
      </c>
      <c r="FG153" s="909"/>
      <c r="FH153" s="909"/>
      <c r="FI153" s="909"/>
      <c r="FJ153" s="910">
        <v>0</v>
      </c>
      <c r="FK153" s="871">
        <v>0</v>
      </c>
      <c r="FL153" s="911">
        <v>0</v>
      </c>
      <c r="FM153" s="908">
        <v>0</v>
      </c>
      <c r="FN153" s="902">
        <v>23.32540378815947</v>
      </c>
      <c r="FO153" s="902">
        <v>0</v>
      </c>
      <c r="FP153" s="902">
        <v>0</v>
      </c>
      <c r="FQ153" s="902">
        <v>43.622470943919197</v>
      </c>
      <c r="FR153" s="902">
        <v>1.5202696573231527</v>
      </c>
      <c r="FS153" s="902">
        <v>3600</v>
      </c>
      <c r="FT153" s="909"/>
      <c r="FU153" s="909"/>
      <c r="FV153" s="909"/>
      <c r="FW153" s="909"/>
      <c r="FX153" s="909"/>
      <c r="FY153" s="910">
        <v>0</v>
      </c>
      <c r="FZ153" s="909"/>
      <c r="GA153" s="909"/>
      <c r="GB153" s="909"/>
      <c r="GC153" s="910">
        <v>0</v>
      </c>
      <c r="GD153" s="871">
        <v>0</v>
      </c>
      <c r="GE153" s="911">
        <v>0</v>
      </c>
      <c r="GF153" s="908">
        <v>0</v>
      </c>
      <c r="GG153" s="902">
        <v>23.32540378815947</v>
      </c>
      <c r="GH153" s="902">
        <v>0</v>
      </c>
      <c r="GI153" s="902">
        <v>0</v>
      </c>
      <c r="GJ153" s="902">
        <v>43.622470943919197</v>
      </c>
      <c r="GK153" s="902">
        <v>1.5202696573231527</v>
      </c>
      <c r="GL153" s="902">
        <v>3600</v>
      </c>
      <c r="GM153" s="909"/>
      <c r="GN153" s="909"/>
      <c r="GO153" s="909"/>
      <c r="GP153" s="909"/>
      <c r="GQ153" s="909"/>
      <c r="GR153" s="910">
        <v>0</v>
      </c>
      <c r="GS153" s="909"/>
      <c r="GT153" s="909"/>
      <c r="GU153" s="909"/>
      <c r="GV153" s="910">
        <v>0</v>
      </c>
      <c r="GW153" s="871">
        <v>0</v>
      </c>
      <c r="GX153" s="911">
        <v>0</v>
      </c>
      <c r="GY153" s="908">
        <v>0</v>
      </c>
      <c r="GZ153" s="902">
        <v>23.32540378815947</v>
      </c>
      <c r="HA153" s="902">
        <v>0</v>
      </c>
      <c r="HB153" s="902">
        <v>0</v>
      </c>
      <c r="HC153" s="902">
        <v>43.622470943919197</v>
      </c>
      <c r="HD153" s="902">
        <v>1.5202696573231527</v>
      </c>
      <c r="HE153" s="902">
        <v>3600</v>
      </c>
      <c r="HF153" s="909"/>
      <c r="HG153" s="909"/>
      <c r="HH153" s="909"/>
      <c r="HI153" s="909"/>
      <c r="HJ153" s="909"/>
      <c r="HK153" s="910">
        <v>0</v>
      </c>
      <c r="HL153" s="909"/>
      <c r="HM153" s="909"/>
      <c r="HN153" s="909"/>
      <c r="HO153" s="910">
        <v>0</v>
      </c>
      <c r="HP153" s="871">
        <v>0</v>
      </c>
      <c r="HQ153" s="911">
        <v>0</v>
      </c>
      <c r="HR153" s="908">
        <v>0</v>
      </c>
      <c r="HS153" s="902">
        <v>23.32540378815947</v>
      </c>
      <c r="HT153" s="902">
        <v>0</v>
      </c>
      <c r="HU153" s="902">
        <v>0</v>
      </c>
      <c r="HV153" s="902">
        <v>43.622470943919197</v>
      </c>
      <c r="HW153" s="902">
        <v>1.5202696573231527</v>
      </c>
      <c r="HX153" s="902">
        <v>3600</v>
      </c>
      <c r="HY153" s="909"/>
      <c r="HZ153" s="909"/>
      <c r="IA153" s="909"/>
      <c r="IB153" s="909"/>
      <c r="IC153" s="909"/>
      <c r="ID153" s="910">
        <v>0</v>
      </c>
      <c r="IE153" s="909"/>
      <c r="IF153" s="909"/>
      <c r="IG153" s="909"/>
      <c r="IH153" s="910">
        <v>0</v>
      </c>
      <c r="II153" s="871">
        <v>0</v>
      </c>
      <c r="IJ153" s="911">
        <v>0</v>
      </c>
      <c r="IK153" s="908">
        <v>0</v>
      </c>
      <c r="IL153" s="902">
        <v>23.32540378815947</v>
      </c>
      <c r="IM153" s="902">
        <v>0</v>
      </c>
      <c r="IN153" s="902">
        <v>0</v>
      </c>
      <c r="IO153" s="902">
        <v>43.622470943919197</v>
      </c>
      <c r="IP153" s="902">
        <v>1.5202696573231527</v>
      </c>
      <c r="IQ153" s="902">
        <v>3600</v>
      </c>
      <c r="IR153" s="909"/>
      <c r="IS153" s="909"/>
      <c r="IT153" s="909"/>
      <c r="IU153" s="909"/>
      <c r="IV153" s="909"/>
      <c r="IW153" s="910">
        <v>0</v>
      </c>
      <c r="IX153" s="909"/>
      <c r="IY153" s="909"/>
      <c r="IZ153" s="909"/>
      <c r="JA153" s="910">
        <v>0</v>
      </c>
      <c r="JB153" s="871">
        <v>0</v>
      </c>
      <c r="JC153" s="911">
        <v>0</v>
      </c>
      <c r="JD153" s="908">
        <v>0</v>
      </c>
      <c r="JE153" s="902">
        <v>23.32540378815947</v>
      </c>
      <c r="JF153" s="902">
        <v>0</v>
      </c>
      <c r="JG153" s="902">
        <v>0</v>
      </c>
      <c r="JH153" s="902">
        <v>43.622470943919197</v>
      </c>
      <c r="JI153" s="902">
        <v>1.5202696573231527</v>
      </c>
      <c r="JJ153" s="902">
        <v>3600</v>
      </c>
      <c r="JK153" s="909"/>
      <c r="JL153" s="909"/>
      <c r="JM153" s="909"/>
      <c r="JN153" s="909"/>
      <c r="JO153" s="909"/>
      <c r="JP153" s="910">
        <v>0</v>
      </c>
      <c r="JQ153" s="909"/>
      <c r="JR153" s="909"/>
      <c r="JS153" s="909"/>
      <c r="JT153" s="910">
        <v>0</v>
      </c>
      <c r="JU153" s="871">
        <v>0</v>
      </c>
      <c r="JV153" s="911">
        <v>0</v>
      </c>
      <c r="JW153" s="908">
        <v>0</v>
      </c>
      <c r="JX153" s="902">
        <v>23.32540378815947</v>
      </c>
      <c r="JY153" s="902">
        <v>0</v>
      </c>
      <c r="JZ153" s="902">
        <v>0</v>
      </c>
      <c r="KA153" s="902">
        <v>43.622470943919197</v>
      </c>
      <c r="KB153" s="902">
        <v>1.5202696573231527</v>
      </c>
      <c r="KC153" s="902">
        <v>3600</v>
      </c>
      <c r="KD153" s="909"/>
      <c r="KE153" s="909"/>
      <c r="KF153" s="909"/>
      <c r="KG153" s="909"/>
      <c r="KH153" s="909"/>
      <c r="KI153" s="910">
        <v>0</v>
      </c>
      <c r="KJ153" s="909"/>
      <c r="KK153" s="909"/>
      <c r="KL153" s="909"/>
      <c r="KM153" s="910">
        <v>0</v>
      </c>
      <c r="KN153" s="871">
        <v>0</v>
      </c>
      <c r="KO153" s="912">
        <v>0</v>
      </c>
    </row>
    <row r="154" spans="1:301" ht="15" customHeight="1">
      <c r="A154" s="924" t="s">
        <v>1610</v>
      </c>
      <c r="B154" s="888" t="s">
        <v>1074</v>
      </c>
      <c r="C154" s="888">
        <v>409</v>
      </c>
      <c r="D154" s="888">
        <v>727</v>
      </c>
      <c r="E154" s="888">
        <v>400</v>
      </c>
      <c r="F154" s="888">
        <v>359.21780679585072</v>
      </c>
      <c r="G154" s="888">
        <v>156.84687197376255</v>
      </c>
      <c r="H154" s="888">
        <v>124.27442230675224</v>
      </c>
      <c r="I154" s="888">
        <v>120</v>
      </c>
      <c r="J154" s="888"/>
      <c r="K154" s="888"/>
      <c r="L154" s="888">
        <v>18</v>
      </c>
      <c r="M154" s="888">
        <v>255.88288855554032</v>
      </c>
      <c r="N154" s="888">
        <v>5</v>
      </c>
      <c r="O154" s="884">
        <v>11.360598490528906</v>
      </c>
      <c r="P154" s="888">
        <v>5</v>
      </c>
      <c r="Q154" s="884">
        <v>16.292898956664882</v>
      </c>
      <c r="R154" s="888"/>
      <c r="S154" s="888"/>
      <c r="T154" s="906">
        <v>0</v>
      </c>
      <c r="U154" s="906">
        <v>0</v>
      </c>
      <c r="V154" s="906">
        <v>85</v>
      </c>
      <c r="W154" s="1141">
        <v>0</v>
      </c>
      <c r="X154" s="902">
        <v>0</v>
      </c>
      <c r="Y154" s="902">
        <v>0</v>
      </c>
      <c r="Z154" s="902">
        <v>0</v>
      </c>
      <c r="AA154" s="902">
        <v>0</v>
      </c>
      <c r="AB154" s="970">
        <v>0</v>
      </c>
      <c r="AC154" s="1045">
        <v>0</v>
      </c>
      <c r="AD154" s="890"/>
      <c r="AE154" s="890"/>
      <c r="AF154" s="890"/>
      <c r="AG154" s="890"/>
      <c r="AH154" s="888"/>
      <c r="AI154" s="907">
        <v>2.5227600493081606</v>
      </c>
      <c r="AJ154" s="908">
        <v>0</v>
      </c>
      <c r="AK154" s="902">
        <v>27.653497447193786</v>
      </c>
      <c r="AL154" s="902">
        <v>0</v>
      </c>
      <c r="AM154" s="902">
        <v>0</v>
      </c>
      <c r="AN154" s="902">
        <v>52.527318276282131</v>
      </c>
      <c r="AO154" s="902">
        <v>2.0541713888440638</v>
      </c>
      <c r="AP154" s="1222"/>
      <c r="AQ154" s="909"/>
      <c r="AR154" s="909"/>
      <c r="AS154" s="909"/>
      <c r="AT154" s="909"/>
      <c r="AU154" s="909"/>
      <c r="AV154" s="910">
        <v>0</v>
      </c>
      <c r="AW154" s="909"/>
      <c r="AX154" s="909"/>
      <c r="AY154" s="909"/>
      <c r="AZ154" s="910">
        <v>0</v>
      </c>
      <c r="BA154" s="871">
        <v>0</v>
      </c>
      <c r="BB154" s="911">
        <v>0</v>
      </c>
      <c r="BC154" s="908">
        <v>0</v>
      </c>
      <c r="BD154" s="902">
        <v>27.653497447193786</v>
      </c>
      <c r="BE154" s="902">
        <v>0</v>
      </c>
      <c r="BF154" s="902">
        <v>0</v>
      </c>
      <c r="BG154" s="902">
        <v>52.527318276282131</v>
      </c>
      <c r="BH154" s="902">
        <v>2.0541713888440638</v>
      </c>
      <c r="BI154" s="902">
        <v>0</v>
      </c>
      <c r="BJ154" s="909"/>
      <c r="BK154" s="909"/>
      <c r="BL154" s="909"/>
      <c r="BM154" s="909"/>
      <c r="BN154" s="909"/>
      <c r="BO154" s="910">
        <v>0</v>
      </c>
      <c r="BP154" s="909"/>
      <c r="BQ154" s="909"/>
      <c r="BR154" s="909"/>
      <c r="BS154" s="910">
        <v>0</v>
      </c>
      <c r="BT154" s="871">
        <v>0</v>
      </c>
      <c r="BU154" s="911">
        <v>0</v>
      </c>
      <c r="BV154" s="908">
        <v>0</v>
      </c>
      <c r="BW154" s="902">
        <v>27.653497447193786</v>
      </c>
      <c r="BX154" s="902">
        <v>0</v>
      </c>
      <c r="BY154" s="902">
        <v>0</v>
      </c>
      <c r="BZ154" s="902">
        <v>52.527318276282131</v>
      </c>
      <c r="CA154" s="902">
        <v>2.0541713888440638</v>
      </c>
      <c r="CB154" s="902">
        <v>3600</v>
      </c>
      <c r="CC154" s="909"/>
      <c r="CD154" s="909"/>
      <c r="CE154" s="909"/>
      <c r="CF154" s="909"/>
      <c r="CG154" s="909"/>
      <c r="CH154" s="910">
        <v>0</v>
      </c>
      <c r="CI154" s="909"/>
      <c r="CJ154" s="909"/>
      <c r="CK154" s="909"/>
      <c r="CL154" s="910">
        <v>0</v>
      </c>
      <c r="CM154" s="871">
        <v>0</v>
      </c>
      <c r="CN154" s="911">
        <v>0</v>
      </c>
      <c r="CO154" s="908">
        <v>0</v>
      </c>
      <c r="CP154" s="902">
        <v>27.653497447193786</v>
      </c>
      <c r="CQ154" s="902">
        <v>0</v>
      </c>
      <c r="CR154" s="902">
        <v>0</v>
      </c>
      <c r="CS154" s="902">
        <v>52.527318276282131</v>
      </c>
      <c r="CT154" s="902">
        <v>2.0541713888440638</v>
      </c>
      <c r="CU154" s="902">
        <v>3600</v>
      </c>
      <c r="CV154" s="909"/>
      <c r="CW154" s="909"/>
      <c r="CX154" s="909"/>
      <c r="CY154" s="909"/>
      <c r="CZ154" s="909"/>
      <c r="DA154" s="910">
        <v>0</v>
      </c>
      <c r="DB154" s="909"/>
      <c r="DC154" s="909"/>
      <c r="DD154" s="909"/>
      <c r="DE154" s="910">
        <v>0</v>
      </c>
      <c r="DF154" s="871">
        <v>0</v>
      </c>
      <c r="DG154" s="911">
        <v>0</v>
      </c>
      <c r="DH154" s="908">
        <v>0</v>
      </c>
      <c r="DI154" s="902">
        <v>27.653497447193786</v>
      </c>
      <c r="DJ154" s="902">
        <v>0</v>
      </c>
      <c r="DK154" s="902">
        <v>0</v>
      </c>
      <c r="DL154" s="902">
        <v>52.527318276282131</v>
      </c>
      <c r="DM154" s="902">
        <v>2.0541713888440638</v>
      </c>
      <c r="DN154" s="902">
        <v>3600</v>
      </c>
      <c r="DO154" s="909"/>
      <c r="DP154" s="909"/>
      <c r="DQ154" s="909"/>
      <c r="DR154" s="909"/>
      <c r="DS154" s="909"/>
      <c r="DT154" s="910">
        <v>0</v>
      </c>
      <c r="DU154" s="909"/>
      <c r="DV154" s="909"/>
      <c r="DW154" s="909"/>
      <c r="DX154" s="910">
        <v>0</v>
      </c>
      <c r="DY154" s="871">
        <v>0</v>
      </c>
      <c r="DZ154" s="911">
        <v>0</v>
      </c>
      <c r="EA154" s="908">
        <v>0</v>
      </c>
      <c r="EB154" s="902">
        <v>27.653497447193786</v>
      </c>
      <c r="EC154" s="902">
        <v>0</v>
      </c>
      <c r="ED154" s="902">
        <v>0</v>
      </c>
      <c r="EE154" s="902">
        <v>52.527318276282131</v>
      </c>
      <c r="EF154" s="902">
        <v>2.0541713888440638</v>
      </c>
      <c r="EG154" s="902">
        <v>3600</v>
      </c>
      <c r="EH154" s="909"/>
      <c r="EI154" s="909"/>
      <c r="EJ154" s="909"/>
      <c r="EK154" s="909"/>
      <c r="EL154" s="909"/>
      <c r="EM154" s="910">
        <v>0</v>
      </c>
      <c r="EN154" s="909"/>
      <c r="EO154" s="909"/>
      <c r="EP154" s="909"/>
      <c r="EQ154" s="910">
        <v>0</v>
      </c>
      <c r="ER154" s="871">
        <v>0</v>
      </c>
      <c r="ES154" s="911">
        <v>0</v>
      </c>
      <c r="ET154" s="908">
        <v>0</v>
      </c>
      <c r="EU154" s="902">
        <v>27.653497447193786</v>
      </c>
      <c r="EV154" s="902">
        <v>0</v>
      </c>
      <c r="EW154" s="902">
        <v>0</v>
      </c>
      <c r="EX154" s="902">
        <v>52.527318276282131</v>
      </c>
      <c r="EY154" s="902">
        <v>2.0541713888440638</v>
      </c>
      <c r="EZ154" s="902">
        <v>3600</v>
      </c>
      <c r="FA154" s="909"/>
      <c r="FB154" s="909"/>
      <c r="FC154" s="909"/>
      <c r="FD154" s="909"/>
      <c r="FE154" s="909"/>
      <c r="FF154" s="910">
        <v>0</v>
      </c>
      <c r="FG154" s="909"/>
      <c r="FH154" s="909"/>
      <c r="FI154" s="909"/>
      <c r="FJ154" s="910">
        <v>0</v>
      </c>
      <c r="FK154" s="871">
        <v>0</v>
      </c>
      <c r="FL154" s="911">
        <v>0</v>
      </c>
      <c r="FM154" s="908">
        <v>0</v>
      </c>
      <c r="FN154" s="902">
        <v>27.653497447193786</v>
      </c>
      <c r="FO154" s="902">
        <v>0</v>
      </c>
      <c r="FP154" s="902">
        <v>0</v>
      </c>
      <c r="FQ154" s="902">
        <v>52.527318276282131</v>
      </c>
      <c r="FR154" s="902">
        <v>2.0541713888440638</v>
      </c>
      <c r="FS154" s="902">
        <v>3600</v>
      </c>
      <c r="FT154" s="909"/>
      <c r="FU154" s="909"/>
      <c r="FV154" s="909"/>
      <c r="FW154" s="909"/>
      <c r="FX154" s="909"/>
      <c r="FY154" s="910">
        <v>0</v>
      </c>
      <c r="FZ154" s="909"/>
      <c r="GA154" s="909"/>
      <c r="GB154" s="909"/>
      <c r="GC154" s="910">
        <v>0</v>
      </c>
      <c r="GD154" s="871">
        <v>0</v>
      </c>
      <c r="GE154" s="911">
        <v>0</v>
      </c>
      <c r="GF154" s="908">
        <v>0</v>
      </c>
      <c r="GG154" s="902">
        <v>27.653497447193786</v>
      </c>
      <c r="GH154" s="902">
        <v>0</v>
      </c>
      <c r="GI154" s="902">
        <v>0</v>
      </c>
      <c r="GJ154" s="902">
        <v>52.527318276282131</v>
      </c>
      <c r="GK154" s="902">
        <v>2.0541713888440638</v>
      </c>
      <c r="GL154" s="902">
        <v>3600</v>
      </c>
      <c r="GM154" s="909"/>
      <c r="GN154" s="909"/>
      <c r="GO154" s="909"/>
      <c r="GP154" s="909"/>
      <c r="GQ154" s="909"/>
      <c r="GR154" s="910">
        <v>0</v>
      </c>
      <c r="GS154" s="909"/>
      <c r="GT154" s="909"/>
      <c r="GU154" s="909"/>
      <c r="GV154" s="910">
        <v>0</v>
      </c>
      <c r="GW154" s="871">
        <v>0</v>
      </c>
      <c r="GX154" s="911">
        <v>0</v>
      </c>
      <c r="GY154" s="908">
        <v>0</v>
      </c>
      <c r="GZ154" s="902">
        <v>27.653497447193786</v>
      </c>
      <c r="HA154" s="902">
        <v>0</v>
      </c>
      <c r="HB154" s="902">
        <v>0</v>
      </c>
      <c r="HC154" s="902">
        <v>52.527318276282131</v>
      </c>
      <c r="HD154" s="902">
        <v>2.0541713888440638</v>
      </c>
      <c r="HE154" s="902">
        <v>3600</v>
      </c>
      <c r="HF154" s="909"/>
      <c r="HG154" s="909"/>
      <c r="HH154" s="909"/>
      <c r="HI154" s="909"/>
      <c r="HJ154" s="909"/>
      <c r="HK154" s="910">
        <v>0</v>
      </c>
      <c r="HL154" s="909"/>
      <c r="HM154" s="909"/>
      <c r="HN154" s="909"/>
      <c r="HO154" s="910">
        <v>0</v>
      </c>
      <c r="HP154" s="871">
        <v>0</v>
      </c>
      <c r="HQ154" s="911">
        <v>0</v>
      </c>
      <c r="HR154" s="908">
        <v>0</v>
      </c>
      <c r="HS154" s="902">
        <v>27.653497447193786</v>
      </c>
      <c r="HT154" s="902">
        <v>0</v>
      </c>
      <c r="HU154" s="902">
        <v>0</v>
      </c>
      <c r="HV154" s="902">
        <v>52.527318276282131</v>
      </c>
      <c r="HW154" s="902">
        <v>2.0541713888440638</v>
      </c>
      <c r="HX154" s="902">
        <v>3600</v>
      </c>
      <c r="HY154" s="909"/>
      <c r="HZ154" s="909"/>
      <c r="IA154" s="909"/>
      <c r="IB154" s="909"/>
      <c r="IC154" s="909"/>
      <c r="ID154" s="910">
        <v>0</v>
      </c>
      <c r="IE154" s="909"/>
      <c r="IF154" s="909"/>
      <c r="IG154" s="909"/>
      <c r="IH154" s="910">
        <v>0</v>
      </c>
      <c r="II154" s="871">
        <v>0</v>
      </c>
      <c r="IJ154" s="911">
        <v>0</v>
      </c>
      <c r="IK154" s="908">
        <v>0</v>
      </c>
      <c r="IL154" s="902">
        <v>27.653497447193786</v>
      </c>
      <c r="IM154" s="902">
        <v>0</v>
      </c>
      <c r="IN154" s="902">
        <v>0</v>
      </c>
      <c r="IO154" s="902">
        <v>52.527318276282131</v>
      </c>
      <c r="IP154" s="902">
        <v>2.0541713888440638</v>
      </c>
      <c r="IQ154" s="902">
        <v>3600</v>
      </c>
      <c r="IR154" s="909"/>
      <c r="IS154" s="909"/>
      <c r="IT154" s="909"/>
      <c r="IU154" s="909"/>
      <c r="IV154" s="909"/>
      <c r="IW154" s="910">
        <v>0</v>
      </c>
      <c r="IX154" s="909"/>
      <c r="IY154" s="909"/>
      <c r="IZ154" s="909"/>
      <c r="JA154" s="910">
        <v>0</v>
      </c>
      <c r="JB154" s="871">
        <v>0</v>
      </c>
      <c r="JC154" s="911">
        <v>0</v>
      </c>
      <c r="JD154" s="908">
        <v>0</v>
      </c>
      <c r="JE154" s="902">
        <v>27.653497447193786</v>
      </c>
      <c r="JF154" s="902">
        <v>0</v>
      </c>
      <c r="JG154" s="902">
        <v>0</v>
      </c>
      <c r="JH154" s="902">
        <v>52.527318276282131</v>
      </c>
      <c r="JI154" s="902">
        <v>2.0541713888440638</v>
      </c>
      <c r="JJ154" s="902">
        <v>3600</v>
      </c>
      <c r="JK154" s="909"/>
      <c r="JL154" s="909"/>
      <c r="JM154" s="909"/>
      <c r="JN154" s="909"/>
      <c r="JO154" s="909"/>
      <c r="JP154" s="910">
        <v>0</v>
      </c>
      <c r="JQ154" s="909"/>
      <c r="JR154" s="909"/>
      <c r="JS154" s="909"/>
      <c r="JT154" s="910">
        <v>0</v>
      </c>
      <c r="JU154" s="871">
        <v>0</v>
      </c>
      <c r="JV154" s="911">
        <v>0</v>
      </c>
      <c r="JW154" s="908">
        <v>0</v>
      </c>
      <c r="JX154" s="902">
        <v>27.653497447193786</v>
      </c>
      <c r="JY154" s="902">
        <v>0</v>
      </c>
      <c r="JZ154" s="902">
        <v>0</v>
      </c>
      <c r="KA154" s="902">
        <v>52.527318276282131</v>
      </c>
      <c r="KB154" s="902">
        <v>2.0541713888440638</v>
      </c>
      <c r="KC154" s="902">
        <v>3600</v>
      </c>
      <c r="KD154" s="909"/>
      <c r="KE154" s="909"/>
      <c r="KF154" s="909"/>
      <c r="KG154" s="909"/>
      <c r="KH154" s="909"/>
      <c r="KI154" s="910">
        <v>0</v>
      </c>
      <c r="KJ154" s="909"/>
      <c r="KK154" s="909"/>
      <c r="KL154" s="909"/>
      <c r="KM154" s="910">
        <v>0</v>
      </c>
      <c r="KN154" s="871">
        <v>0</v>
      </c>
      <c r="KO154" s="912">
        <v>0</v>
      </c>
    </row>
    <row r="155" spans="1:301" ht="15" customHeight="1">
      <c r="A155" s="924" t="s">
        <v>1611</v>
      </c>
      <c r="B155" s="888" t="s">
        <v>1076</v>
      </c>
      <c r="C155" s="888">
        <v>496.27699999999999</v>
      </c>
      <c r="D155" s="888">
        <v>802</v>
      </c>
      <c r="E155" s="888">
        <v>500</v>
      </c>
      <c r="F155" s="888">
        <v>428.63701654498641</v>
      </c>
      <c r="G155" s="888">
        <v>186.0585899672032</v>
      </c>
      <c r="H155" s="888">
        <v>146.97086731704485</v>
      </c>
      <c r="I155" s="888">
        <v>140</v>
      </c>
      <c r="J155" s="888"/>
      <c r="K155" s="888"/>
      <c r="L155" s="888">
        <v>18</v>
      </c>
      <c r="M155" s="888">
        <v>197.75163148461172</v>
      </c>
      <c r="N155" s="888">
        <v>5</v>
      </c>
      <c r="O155" s="884">
        <v>12.121251703040812</v>
      </c>
      <c r="P155" s="888">
        <v>5</v>
      </c>
      <c r="Q155" s="884">
        <v>19.827971181378274</v>
      </c>
      <c r="R155" s="888"/>
      <c r="S155" s="888"/>
      <c r="T155" s="906">
        <v>0</v>
      </c>
      <c r="U155" s="906">
        <v>0</v>
      </c>
      <c r="V155" s="906">
        <v>110</v>
      </c>
      <c r="W155" s="1141">
        <v>0</v>
      </c>
      <c r="X155" s="902">
        <v>0</v>
      </c>
      <c r="Y155" s="902">
        <v>0</v>
      </c>
      <c r="Z155" s="902">
        <v>0</v>
      </c>
      <c r="AA155" s="902">
        <v>0</v>
      </c>
      <c r="AB155" s="970">
        <v>0</v>
      </c>
      <c r="AC155" s="1045">
        <v>0</v>
      </c>
      <c r="AD155" s="890"/>
      <c r="AE155" s="890"/>
      <c r="AF155" s="890"/>
      <c r="AG155" s="890"/>
      <c r="AH155" s="888"/>
      <c r="AI155" s="907">
        <v>2.655293411412297</v>
      </c>
      <c r="AJ155" s="908">
        <v>0</v>
      </c>
      <c r="AK155" s="902">
        <v>31.949222884419086</v>
      </c>
      <c r="AL155" s="902">
        <v>0</v>
      </c>
      <c r="AM155" s="902">
        <v>0</v>
      </c>
      <c r="AN155" s="902">
        <v>57.31096528831435</v>
      </c>
      <c r="AO155" s="902">
        <v>2.9475226102387624</v>
      </c>
      <c r="AP155" s="1222"/>
      <c r="AQ155" s="909"/>
      <c r="AR155" s="909"/>
      <c r="AS155" s="909"/>
      <c r="AT155" s="909"/>
      <c r="AU155" s="909"/>
      <c r="AV155" s="910">
        <v>0</v>
      </c>
      <c r="AW155" s="909"/>
      <c r="AX155" s="909"/>
      <c r="AY155" s="909"/>
      <c r="AZ155" s="910">
        <v>0</v>
      </c>
      <c r="BA155" s="871">
        <v>0</v>
      </c>
      <c r="BB155" s="911">
        <v>0</v>
      </c>
      <c r="BC155" s="908">
        <v>0</v>
      </c>
      <c r="BD155" s="902">
        <v>31.949222884419086</v>
      </c>
      <c r="BE155" s="902">
        <v>0</v>
      </c>
      <c r="BF155" s="902">
        <v>0</v>
      </c>
      <c r="BG155" s="902">
        <v>57.31096528831435</v>
      </c>
      <c r="BH155" s="902">
        <v>2.9475226102387624</v>
      </c>
      <c r="BI155" s="902">
        <v>0</v>
      </c>
      <c r="BJ155" s="909"/>
      <c r="BK155" s="909"/>
      <c r="BL155" s="909"/>
      <c r="BM155" s="909"/>
      <c r="BN155" s="909"/>
      <c r="BO155" s="910">
        <v>0</v>
      </c>
      <c r="BP155" s="909"/>
      <c r="BQ155" s="909"/>
      <c r="BR155" s="909"/>
      <c r="BS155" s="910">
        <v>0</v>
      </c>
      <c r="BT155" s="871">
        <v>0</v>
      </c>
      <c r="BU155" s="911">
        <v>0</v>
      </c>
      <c r="BV155" s="908">
        <v>0</v>
      </c>
      <c r="BW155" s="902">
        <v>31.949222884419086</v>
      </c>
      <c r="BX155" s="902">
        <v>0</v>
      </c>
      <c r="BY155" s="902">
        <v>0</v>
      </c>
      <c r="BZ155" s="902">
        <v>57.31096528831435</v>
      </c>
      <c r="CA155" s="902">
        <v>2.9475226102387624</v>
      </c>
      <c r="CB155" s="902">
        <v>3600</v>
      </c>
      <c r="CC155" s="909"/>
      <c r="CD155" s="909"/>
      <c r="CE155" s="909"/>
      <c r="CF155" s="909"/>
      <c r="CG155" s="909"/>
      <c r="CH155" s="910">
        <v>0</v>
      </c>
      <c r="CI155" s="909"/>
      <c r="CJ155" s="909"/>
      <c r="CK155" s="909"/>
      <c r="CL155" s="910">
        <v>0</v>
      </c>
      <c r="CM155" s="871">
        <v>0</v>
      </c>
      <c r="CN155" s="911">
        <v>0</v>
      </c>
      <c r="CO155" s="908">
        <v>0</v>
      </c>
      <c r="CP155" s="902">
        <v>31.949222884419086</v>
      </c>
      <c r="CQ155" s="902">
        <v>0</v>
      </c>
      <c r="CR155" s="902">
        <v>0</v>
      </c>
      <c r="CS155" s="902">
        <v>57.31096528831435</v>
      </c>
      <c r="CT155" s="902">
        <v>2.9475226102387624</v>
      </c>
      <c r="CU155" s="902">
        <v>3600</v>
      </c>
      <c r="CV155" s="909"/>
      <c r="CW155" s="909"/>
      <c r="CX155" s="909"/>
      <c r="CY155" s="909"/>
      <c r="CZ155" s="909"/>
      <c r="DA155" s="910">
        <v>0</v>
      </c>
      <c r="DB155" s="909"/>
      <c r="DC155" s="909"/>
      <c r="DD155" s="909"/>
      <c r="DE155" s="910">
        <v>0</v>
      </c>
      <c r="DF155" s="871">
        <v>0</v>
      </c>
      <c r="DG155" s="911">
        <v>0</v>
      </c>
      <c r="DH155" s="908">
        <v>0</v>
      </c>
      <c r="DI155" s="902">
        <v>31.949222884419086</v>
      </c>
      <c r="DJ155" s="902">
        <v>0</v>
      </c>
      <c r="DK155" s="902">
        <v>0</v>
      </c>
      <c r="DL155" s="902">
        <v>57.31096528831435</v>
      </c>
      <c r="DM155" s="902">
        <v>2.9475226102387624</v>
      </c>
      <c r="DN155" s="902">
        <v>3600</v>
      </c>
      <c r="DO155" s="909"/>
      <c r="DP155" s="909"/>
      <c r="DQ155" s="909"/>
      <c r="DR155" s="909"/>
      <c r="DS155" s="909"/>
      <c r="DT155" s="910">
        <v>0</v>
      </c>
      <c r="DU155" s="909"/>
      <c r="DV155" s="909"/>
      <c r="DW155" s="909"/>
      <c r="DX155" s="910">
        <v>0</v>
      </c>
      <c r="DY155" s="871">
        <v>0</v>
      </c>
      <c r="DZ155" s="911">
        <v>0</v>
      </c>
      <c r="EA155" s="908">
        <v>0</v>
      </c>
      <c r="EB155" s="902">
        <v>31.949222884419086</v>
      </c>
      <c r="EC155" s="902">
        <v>0</v>
      </c>
      <c r="ED155" s="902">
        <v>0</v>
      </c>
      <c r="EE155" s="902">
        <v>57.31096528831435</v>
      </c>
      <c r="EF155" s="902">
        <v>2.9475226102387624</v>
      </c>
      <c r="EG155" s="902">
        <v>3600</v>
      </c>
      <c r="EH155" s="909"/>
      <c r="EI155" s="909"/>
      <c r="EJ155" s="909"/>
      <c r="EK155" s="909"/>
      <c r="EL155" s="909"/>
      <c r="EM155" s="910">
        <v>0</v>
      </c>
      <c r="EN155" s="909"/>
      <c r="EO155" s="909"/>
      <c r="EP155" s="909"/>
      <c r="EQ155" s="910">
        <v>0</v>
      </c>
      <c r="ER155" s="871">
        <v>0</v>
      </c>
      <c r="ES155" s="911">
        <v>0</v>
      </c>
      <c r="ET155" s="908">
        <v>0</v>
      </c>
      <c r="EU155" s="902">
        <v>31.949222884419086</v>
      </c>
      <c r="EV155" s="902">
        <v>0</v>
      </c>
      <c r="EW155" s="902">
        <v>0</v>
      </c>
      <c r="EX155" s="902">
        <v>57.31096528831435</v>
      </c>
      <c r="EY155" s="902">
        <v>2.9475226102387624</v>
      </c>
      <c r="EZ155" s="902">
        <v>3600</v>
      </c>
      <c r="FA155" s="909"/>
      <c r="FB155" s="909"/>
      <c r="FC155" s="909"/>
      <c r="FD155" s="909"/>
      <c r="FE155" s="909"/>
      <c r="FF155" s="910">
        <v>0</v>
      </c>
      <c r="FG155" s="909"/>
      <c r="FH155" s="909"/>
      <c r="FI155" s="909"/>
      <c r="FJ155" s="910">
        <v>0</v>
      </c>
      <c r="FK155" s="871">
        <v>0</v>
      </c>
      <c r="FL155" s="911">
        <v>0</v>
      </c>
      <c r="FM155" s="908">
        <v>0</v>
      </c>
      <c r="FN155" s="902">
        <v>31.949222884419086</v>
      </c>
      <c r="FO155" s="902">
        <v>0</v>
      </c>
      <c r="FP155" s="902">
        <v>0</v>
      </c>
      <c r="FQ155" s="902">
        <v>57.31096528831435</v>
      </c>
      <c r="FR155" s="902">
        <v>2.9475226102387624</v>
      </c>
      <c r="FS155" s="902">
        <v>3600</v>
      </c>
      <c r="FT155" s="909"/>
      <c r="FU155" s="909"/>
      <c r="FV155" s="909"/>
      <c r="FW155" s="909"/>
      <c r="FX155" s="909"/>
      <c r="FY155" s="910">
        <v>0</v>
      </c>
      <c r="FZ155" s="909"/>
      <c r="GA155" s="909"/>
      <c r="GB155" s="909"/>
      <c r="GC155" s="910">
        <v>0</v>
      </c>
      <c r="GD155" s="871">
        <v>0</v>
      </c>
      <c r="GE155" s="911">
        <v>0</v>
      </c>
      <c r="GF155" s="908">
        <v>0</v>
      </c>
      <c r="GG155" s="902">
        <v>31.949222884419086</v>
      </c>
      <c r="GH155" s="902">
        <v>0</v>
      </c>
      <c r="GI155" s="902">
        <v>0</v>
      </c>
      <c r="GJ155" s="902">
        <v>57.31096528831435</v>
      </c>
      <c r="GK155" s="902">
        <v>2.9475226102387624</v>
      </c>
      <c r="GL155" s="902">
        <v>3600</v>
      </c>
      <c r="GM155" s="909"/>
      <c r="GN155" s="909"/>
      <c r="GO155" s="909"/>
      <c r="GP155" s="909"/>
      <c r="GQ155" s="909"/>
      <c r="GR155" s="910">
        <v>0</v>
      </c>
      <c r="GS155" s="909"/>
      <c r="GT155" s="909"/>
      <c r="GU155" s="909"/>
      <c r="GV155" s="910">
        <v>0</v>
      </c>
      <c r="GW155" s="871">
        <v>0</v>
      </c>
      <c r="GX155" s="911">
        <v>0</v>
      </c>
      <c r="GY155" s="908">
        <v>0</v>
      </c>
      <c r="GZ155" s="902">
        <v>31.949222884419086</v>
      </c>
      <c r="HA155" s="902">
        <v>0</v>
      </c>
      <c r="HB155" s="902">
        <v>0</v>
      </c>
      <c r="HC155" s="902">
        <v>57.31096528831435</v>
      </c>
      <c r="HD155" s="902">
        <v>2.9475226102387624</v>
      </c>
      <c r="HE155" s="902">
        <v>3600</v>
      </c>
      <c r="HF155" s="909"/>
      <c r="HG155" s="909"/>
      <c r="HH155" s="909"/>
      <c r="HI155" s="909"/>
      <c r="HJ155" s="909"/>
      <c r="HK155" s="910">
        <v>0</v>
      </c>
      <c r="HL155" s="909"/>
      <c r="HM155" s="909"/>
      <c r="HN155" s="909"/>
      <c r="HO155" s="910">
        <v>0</v>
      </c>
      <c r="HP155" s="871">
        <v>0</v>
      </c>
      <c r="HQ155" s="911">
        <v>0</v>
      </c>
      <c r="HR155" s="908">
        <v>0</v>
      </c>
      <c r="HS155" s="902">
        <v>31.949222884419086</v>
      </c>
      <c r="HT155" s="902">
        <v>0</v>
      </c>
      <c r="HU155" s="902">
        <v>0</v>
      </c>
      <c r="HV155" s="902">
        <v>57.31096528831435</v>
      </c>
      <c r="HW155" s="902">
        <v>2.9475226102387624</v>
      </c>
      <c r="HX155" s="902">
        <v>3600</v>
      </c>
      <c r="HY155" s="909"/>
      <c r="HZ155" s="909"/>
      <c r="IA155" s="909"/>
      <c r="IB155" s="909"/>
      <c r="IC155" s="909"/>
      <c r="ID155" s="910">
        <v>0</v>
      </c>
      <c r="IE155" s="909"/>
      <c r="IF155" s="909"/>
      <c r="IG155" s="909"/>
      <c r="IH155" s="910">
        <v>0</v>
      </c>
      <c r="II155" s="871">
        <v>0</v>
      </c>
      <c r="IJ155" s="911">
        <v>0</v>
      </c>
      <c r="IK155" s="908">
        <v>0</v>
      </c>
      <c r="IL155" s="902">
        <v>31.949222884419086</v>
      </c>
      <c r="IM155" s="902">
        <v>0</v>
      </c>
      <c r="IN155" s="902">
        <v>0</v>
      </c>
      <c r="IO155" s="902">
        <v>57.31096528831435</v>
      </c>
      <c r="IP155" s="902">
        <v>2.9475226102387624</v>
      </c>
      <c r="IQ155" s="902">
        <v>3600</v>
      </c>
      <c r="IR155" s="909"/>
      <c r="IS155" s="909"/>
      <c r="IT155" s="909"/>
      <c r="IU155" s="909"/>
      <c r="IV155" s="909"/>
      <c r="IW155" s="910">
        <v>0</v>
      </c>
      <c r="IX155" s="909"/>
      <c r="IY155" s="909"/>
      <c r="IZ155" s="909"/>
      <c r="JA155" s="910">
        <v>0</v>
      </c>
      <c r="JB155" s="871">
        <v>0</v>
      </c>
      <c r="JC155" s="911">
        <v>0</v>
      </c>
      <c r="JD155" s="908">
        <v>0</v>
      </c>
      <c r="JE155" s="902">
        <v>31.949222884419086</v>
      </c>
      <c r="JF155" s="902">
        <v>0</v>
      </c>
      <c r="JG155" s="902">
        <v>0</v>
      </c>
      <c r="JH155" s="902">
        <v>57.31096528831435</v>
      </c>
      <c r="JI155" s="902">
        <v>2.9475226102387624</v>
      </c>
      <c r="JJ155" s="902">
        <v>3600</v>
      </c>
      <c r="JK155" s="909"/>
      <c r="JL155" s="909"/>
      <c r="JM155" s="909"/>
      <c r="JN155" s="909"/>
      <c r="JO155" s="909"/>
      <c r="JP155" s="910">
        <v>0</v>
      </c>
      <c r="JQ155" s="909"/>
      <c r="JR155" s="909"/>
      <c r="JS155" s="909"/>
      <c r="JT155" s="910">
        <v>0</v>
      </c>
      <c r="JU155" s="871">
        <v>0</v>
      </c>
      <c r="JV155" s="911">
        <v>0</v>
      </c>
      <c r="JW155" s="908">
        <v>0</v>
      </c>
      <c r="JX155" s="902">
        <v>31.949222884419086</v>
      </c>
      <c r="JY155" s="902">
        <v>0</v>
      </c>
      <c r="JZ155" s="902">
        <v>0</v>
      </c>
      <c r="KA155" s="902">
        <v>57.31096528831435</v>
      </c>
      <c r="KB155" s="902">
        <v>2.9475226102387624</v>
      </c>
      <c r="KC155" s="902">
        <v>3600</v>
      </c>
      <c r="KD155" s="909"/>
      <c r="KE155" s="909"/>
      <c r="KF155" s="909"/>
      <c r="KG155" s="909"/>
      <c r="KH155" s="909"/>
      <c r="KI155" s="910">
        <v>0</v>
      </c>
      <c r="KJ155" s="909"/>
      <c r="KK155" s="909"/>
      <c r="KL155" s="909"/>
      <c r="KM155" s="910">
        <v>0</v>
      </c>
      <c r="KN155" s="871">
        <v>0</v>
      </c>
      <c r="KO155" s="912">
        <v>0</v>
      </c>
    </row>
    <row r="156" spans="1:301" ht="15" customHeight="1">
      <c r="A156" s="924" t="s">
        <v>1612</v>
      </c>
      <c r="B156" s="888" t="s">
        <v>1077</v>
      </c>
      <c r="C156" s="888">
        <v>525</v>
      </c>
      <c r="D156" s="888">
        <v>802</v>
      </c>
      <c r="E156" s="888">
        <v>500</v>
      </c>
      <c r="F156" s="888">
        <v>468.16961764798549</v>
      </c>
      <c r="G156" s="888">
        <v>206.0585899672032</v>
      </c>
      <c r="H156" s="888">
        <v>164.03736156382575</v>
      </c>
      <c r="I156" s="888">
        <v>160</v>
      </c>
      <c r="J156" s="888"/>
      <c r="K156" s="888"/>
      <c r="L156" s="888">
        <v>20</v>
      </c>
      <c r="M156" s="888">
        <v>241.22631827135376</v>
      </c>
      <c r="N156" s="888">
        <v>5</v>
      </c>
      <c r="O156" s="884">
        <v>12.121251703040812</v>
      </c>
      <c r="P156" s="888">
        <v>5</v>
      </c>
      <c r="Q156" s="884">
        <v>19.827971181378274</v>
      </c>
      <c r="R156" s="888"/>
      <c r="S156" s="888"/>
      <c r="T156" s="906">
        <v>0</v>
      </c>
      <c r="U156" s="906">
        <v>0</v>
      </c>
      <c r="V156" s="906">
        <v>110</v>
      </c>
      <c r="W156" s="1141">
        <v>0</v>
      </c>
      <c r="X156" s="902">
        <v>0</v>
      </c>
      <c r="Y156" s="902">
        <v>0</v>
      </c>
      <c r="Z156" s="902">
        <v>0</v>
      </c>
      <c r="AA156" s="902">
        <v>0</v>
      </c>
      <c r="AB156" s="970">
        <v>0</v>
      </c>
      <c r="AC156" s="1045">
        <v>0</v>
      </c>
      <c r="AD156" s="890"/>
      <c r="AE156" s="890"/>
      <c r="AF156" s="890"/>
      <c r="AG156" s="890"/>
      <c r="AH156" s="888"/>
      <c r="AI156" s="907">
        <v>3.1510610178348295</v>
      </c>
      <c r="AJ156" s="908">
        <v>0</v>
      </c>
      <c r="AK156" s="902">
        <v>31.949222884419086</v>
      </c>
      <c r="AL156" s="902">
        <v>0</v>
      </c>
      <c r="AM156" s="902">
        <v>0</v>
      </c>
      <c r="AN156" s="902">
        <v>63.785841788506595</v>
      </c>
      <c r="AO156" s="902">
        <v>2.9475226102387624</v>
      </c>
      <c r="AP156" s="1222"/>
      <c r="AQ156" s="909"/>
      <c r="AR156" s="909"/>
      <c r="AS156" s="909"/>
      <c r="AT156" s="909"/>
      <c r="AU156" s="909"/>
      <c r="AV156" s="910">
        <v>0</v>
      </c>
      <c r="AW156" s="909"/>
      <c r="AX156" s="909"/>
      <c r="AY156" s="909"/>
      <c r="AZ156" s="910">
        <v>0</v>
      </c>
      <c r="BA156" s="871">
        <v>0</v>
      </c>
      <c r="BB156" s="911">
        <v>0</v>
      </c>
      <c r="BC156" s="908">
        <v>0</v>
      </c>
      <c r="BD156" s="902">
        <v>31.949222884419086</v>
      </c>
      <c r="BE156" s="902">
        <v>0</v>
      </c>
      <c r="BF156" s="902">
        <v>0</v>
      </c>
      <c r="BG156" s="902">
        <v>63.785841788506595</v>
      </c>
      <c r="BH156" s="902">
        <v>2.9475226102387624</v>
      </c>
      <c r="BI156" s="902">
        <v>0</v>
      </c>
      <c r="BJ156" s="909"/>
      <c r="BK156" s="909"/>
      <c r="BL156" s="909"/>
      <c r="BM156" s="909"/>
      <c r="BN156" s="909"/>
      <c r="BO156" s="910">
        <v>0</v>
      </c>
      <c r="BP156" s="909"/>
      <c r="BQ156" s="909"/>
      <c r="BR156" s="909"/>
      <c r="BS156" s="910">
        <v>0</v>
      </c>
      <c r="BT156" s="871">
        <v>0</v>
      </c>
      <c r="BU156" s="911">
        <v>0</v>
      </c>
      <c r="BV156" s="908">
        <v>0</v>
      </c>
      <c r="BW156" s="902">
        <v>31.949222884419086</v>
      </c>
      <c r="BX156" s="902">
        <v>0</v>
      </c>
      <c r="BY156" s="902">
        <v>0</v>
      </c>
      <c r="BZ156" s="902">
        <v>63.785841788506595</v>
      </c>
      <c r="CA156" s="902">
        <v>2.9475226102387624</v>
      </c>
      <c r="CB156" s="902">
        <v>3600</v>
      </c>
      <c r="CC156" s="909"/>
      <c r="CD156" s="909"/>
      <c r="CE156" s="909"/>
      <c r="CF156" s="909"/>
      <c r="CG156" s="909"/>
      <c r="CH156" s="910">
        <v>0</v>
      </c>
      <c r="CI156" s="909"/>
      <c r="CJ156" s="909"/>
      <c r="CK156" s="909"/>
      <c r="CL156" s="910">
        <v>0</v>
      </c>
      <c r="CM156" s="871">
        <v>0</v>
      </c>
      <c r="CN156" s="911">
        <v>0</v>
      </c>
      <c r="CO156" s="908">
        <v>0</v>
      </c>
      <c r="CP156" s="902">
        <v>31.949222884419086</v>
      </c>
      <c r="CQ156" s="902">
        <v>0</v>
      </c>
      <c r="CR156" s="902">
        <v>0</v>
      </c>
      <c r="CS156" s="902">
        <v>63.785841788506595</v>
      </c>
      <c r="CT156" s="902">
        <v>2.9475226102387624</v>
      </c>
      <c r="CU156" s="902">
        <v>3600</v>
      </c>
      <c r="CV156" s="909"/>
      <c r="CW156" s="909"/>
      <c r="CX156" s="909"/>
      <c r="CY156" s="909"/>
      <c r="CZ156" s="909"/>
      <c r="DA156" s="910">
        <v>0</v>
      </c>
      <c r="DB156" s="909"/>
      <c r="DC156" s="909"/>
      <c r="DD156" s="909"/>
      <c r="DE156" s="910">
        <v>0</v>
      </c>
      <c r="DF156" s="871">
        <v>0</v>
      </c>
      <c r="DG156" s="911">
        <v>0</v>
      </c>
      <c r="DH156" s="908">
        <v>0</v>
      </c>
      <c r="DI156" s="902">
        <v>31.949222884419086</v>
      </c>
      <c r="DJ156" s="902">
        <v>0</v>
      </c>
      <c r="DK156" s="902">
        <v>0</v>
      </c>
      <c r="DL156" s="902">
        <v>63.785841788506595</v>
      </c>
      <c r="DM156" s="902">
        <v>2.9475226102387624</v>
      </c>
      <c r="DN156" s="902">
        <v>3600</v>
      </c>
      <c r="DO156" s="909"/>
      <c r="DP156" s="909"/>
      <c r="DQ156" s="909"/>
      <c r="DR156" s="909"/>
      <c r="DS156" s="909"/>
      <c r="DT156" s="910">
        <v>0</v>
      </c>
      <c r="DU156" s="909"/>
      <c r="DV156" s="909"/>
      <c r="DW156" s="909"/>
      <c r="DX156" s="910">
        <v>0</v>
      </c>
      <c r="DY156" s="871">
        <v>0</v>
      </c>
      <c r="DZ156" s="911">
        <v>0</v>
      </c>
      <c r="EA156" s="908">
        <v>0</v>
      </c>
      <c r="EB156" s="902">
        <v>31.949222884419086</v>
      </c>
      <c r="EC156" s="902">
        <v>0</v>
      </c>
      <c r="ED156" s="902">
        <v>0</v>
      </c>
      <c r="EE156" s="902">
        <v>63.785841788506595</v>
      </c>
      <c r="EF156" s="902">
        <v>2.9475226102387624</v>
      </c>
      <c r="EG156" s="902">
        <v>3600</v>
      </c>
      <c r="EH156" s="909"/>
      <c r="EI156" s="909"/>
      <c r="EJ156" s="909"/>
      <c r="EK156" s="909"/>
      <c r="EL156" s="909"/>
      <c r="EM156" s="910">
        <v>0</v>
      </c>
      <c r="EN156" s="909"/>
      <c r="EO156" s="909"/>
      <c r="EP156" s="909"/>
      <c r="EQ156" s="910">
        <v>0</v>
      </c>
      <c r="ER156" s="871">
        <v>0</v>
      </c>
      <c r="ES156" s="911">
        <v>0</v>
      </c>
      <c r="ET156" s="908">
        <v>0</v>
      </c>
      <c r="EU156" s="902">
        <v>31.949222884419086</v>
      </c>
      <c r="EV156" s="902">
        <v>0</v>
      </c>
      <c r="EW156" s="902">
        <v>0</v>
      </c>
      <c r="EX156" s="902">
        <v>63.785841788506595</v>
      </c>
      <c r="EY156" s="902">
        <v>2.9475226102387624</v>
      </c>
      <c r="EZ156" s="902">
        <v>3600</v>
      </c>
      <c r="FA156" s="909"/>
      <c r="FB156" s="909"/>
      <c r="FC156" s="909"/>
      <c r="FD156" s="909"/>
      <c r="FE156" s="909"/>
      <c r="FF156" s="910">
        <v>0</v>
      </c>
      <c r="FG156" s="909"/>
      <c r="FH156" s="909"/>
      <c r="FI156" s="909"/>
      <c r="FJ156" s="910">
        <v>0</v>
      </c>
      <c r="FK156" s="871">
        <v>0</v>
      </c>
      <c r="FL156" s="911">
        <v>0</v>
      </c>
      <c r="FM156" s="908">
        <v>0</v>
      </c>
      <c r="FN156" s="902">
        <v>31.949222884419086</v>
      </c>
      <c r="FO156" s="902">
        <v>0</v>
      </c>
      <c r="FP156" s="902">
        <v>0</v>
      </c>
      <c r="FQ156" s="902">
        <v>63.785841788506595</v>
      </c>
      <c r="FR156" s="902">
        <v>2.9475226102387624</v>
      </c>
      <c r="FS156" s="902">
        <v>3600</v>
      </c>
      <c r="FT156" s="909"/>
      <c r="FU156" s="909"/>
      <c r="FV156" s="909"/>
      <c r="FW156" s="909"/>
      <c r="FX156" s="909"/>
      <c r="FY156" s="910">
        <v>0</v>
      </c>
      <c r="FZ156" s="909"/>
      <c r="GA156" s="909"/>
      <c r="GB156" s="909"/>
      <c r="GC156" s="910">
        <v>0</v>
      </c>
      <c r="GD156" s="871">
        <v>0</v>
      </c>
      <c r="GE156" s="911">
        <v>0</v>
      </c>
      <c r="GF156" s="908">
        <v>0</v>
      </c>
      <c r="GG156" s="902">
        <v>31.949222884419086</v>
      </c>
      <c r="GH156" s="902">
        <v>0</v>
      </c>
      <c r="GI156" s="902">
        <v>0</v>
      </c>
      <c r="GJ156" s="902">
        <v>63.785841788506595</v>
      </c>
      <c r="GK156" s="902">
        <v>2.9475226102387624</v>
      </c>
      <c r="GL156" s="902">
        <v>3600</v>
      </c>
      <c r="GM156" s="909"/>
      <c r="GN156" s="909"/>
      <c r="GO156" s="909"/>
      <c r="GP156" s="909"/>
      <c r="GQ156" s="909"/>
      <c r="GR156" s="910">
        <v>0</v>
      </c>
      <c r="GS156" s="909"/>
      <c r="GT156" s="909"/>
      <c r="GU156" s="909"/>
      <c r="GV156" s="910">
        <v>0</v>
      </c>
      <c r="GW156" s="871">
        <v>0</v>
      </c>
      <c r="GX156" s="911">
        <v>0</v>
      </c>
      <c r="GY156" s="908">
        <v>0</v>
      </c>
      <c r="GZ156" s="902">
        <v>31.949222884419086</v>
      </c>
      <c r="HA156" s="902">
        <v>0</v>
      </c>
      <c r="HB156" s="902">
        <v>0</v>
      </c>
      <c r="HC156" s="902">
        <v>63.785841788506595</v>
      </c>
      <c r="HD156" s="902">
        <v>2.9475226102387624</v>
      </c>
      <c r="HE156" s="902">
        <v>3600</v>
      </c>
      <c r="HF156" s="909"/>
      <c r="HG156" s="909"/>
      <c r="HH156" s="909"/>
      <c r="HI156" s="909"/>
      <c r="HJ156" s="909"/>
      <c r="HK156" s="910">
        <v>0</v>
      </c>
      <c r="HL156" s="909"/>
      <c r="HM156" s="909"/>
      <c r="HN156" s="909"/>
      <c r="HO156" s="910">
        <v>0</v>
      </c>
      <c r="HP156" s="871">
        <v>0</v>
      </c>
      <c r="HQ156" s="911">
        <v>0</v>
      </c>
      <c r="HR156" s="908">
        <v>0</v>
      </c>
      <c r="HS156" s="902">
        <v>31.949222884419086</v>
      </c>
      <c r="HT156" s="902">
        <v>0</v>
      </c>
      <c r="HU156" s="902">
        <v>0</v>
      </c>
      <c r="HV156" s="902">
        <v>63.785841788506595</v>
      </c>
      <c r="HW156" s="902">
        <v>2.9475226102387624</v>
      </c>
      <c r="HX156" s="902">
        <v>3600</v>
      </c>
      <c r="HY156" s="909"/>
      <c r="HZ156" s="909"/>
      <c r="IA156" s="909"/>
      <c r="IB156" s="909"/>
      <c r="IC156" s="909"/>
      <c r="ID156" s="910">
        <v>0</v>
      </c>
      <c r="IE156" s="909"/>
      <c r="IF156" s="909"/>
      <c r="IG156" s="909"/>
      <c r="IH156" s="910">
        <v>0</v>
      </c>
      <c r="II156" s="871">
        <v>0</v>
      </c>
      <c r="IJ156" s="911">
        <v>0</v>
      </c>
      <c r="IK156" s="908">
        <v>0</v>
      </c>
      <c r="IL156" s="902">
        <v>31.949222884419086</v>
      </c>
      <c r="IM156" s="902">
        <v>0</v>
      </c>
      <c r="IN156" s="902">
        <v>0</v>
      </c>
      <c r="IO156" s="902">
        <v>63.785841788506595</v>
      </c>
      <c r="IP156" s="902">
        <v>2.9475226102387624</v>
      </c>
      <c r="IQ156" s="902">
        <v>3600</v>
      </c>
      <c r="IR156" s="909"/>
      <c r="IS156" s="909"/>
      <c r="IT156" s="909"/>
      <c r="IU156" s="909"/>
      <c r="IV156" s="909"/>
      <c r="IW156" s="910">
        <v>0</v>
      </c>
      <c r="IX156" s="909"/>
      <c r="IY156" s="909"/>
      <c r="IZ156" s="909"/>
      <c r="JA156" s="910">
        <v>0</v>
      </c>
      <c r="JB156" s="871">
        <v>0</v>
      </c>
      <c r="JC156" s="911">
        <v>0</v>
      </c>
      <c r="JD156" s="908">
        <v>0</v>
      </c>
      <c r="JE156" s="902">
        <v>31.949222884419086</v>
      </c>
      <c r="JF156" s="902">
        <v>0</v>
      </c>
      <c r="JG156" s="902">
        <v>0</v>
      </c>
      <c r="JH156" s="902">
        <v>63.785841788506595</v>
      </c>
      <c r="JI156" s="902">
        <v>2.9475226102387624</v>
      </c>
      <c r="JJ156" s="902">
        <v>3600</v>
      </c>
      <c r="JK156" s="909"/>
      <c r="JL156" s="909"/>
      <c r="JM156" s="909"/>
      <c r="JN156" s="909"/>
      <c r="JO156" s="909"/>
      <c r="JP156" s="910">
        <v>0</v>
      </c>
      <c r="JQ156" s="909"/>
      <c r="JR156" s="909"/>
      <c r="JS156" s="909"/>
      <c r="JT156" s="910">
        <v>0</v>
      </c>
      <c r="JU156" s="871">
        <v>0</v>
      </c>
      <c r="JV156" s="911">
        <v>0</v>
      </c>
      <c r="JW156" s="908">
        <v>0</v>
      </c>
      <c r="JX156" s="902">
        <v>31.949222884419086</v>
      </c>
      <c r="JY156" s="902">
        <v>0</v>
      </c>
      <c r="JZ156" s="902">
        <v>0</v>
      </c>
      <c r="KA156" s="902">
        <v>63.785841788506595</v>
      </c>
      <c r="KB156" s="902">
        <v>2.9475226102387624</v>
      </c>
      <c r="KC156" s="902">
        <v>3600</v>
      </c>
      <c r="KD156" s="909"/>
      <c r="KE156" s="909"/>
      <c r="KF156" s="909"/>
      <c r="KG156" s="909"/>
      <c r="KH156" s="909"/>
      <c r="KI156" s="910">
        <v>0</v>
      </c>
      <c r="KJ156" s="909"/>
      <c r="KK156" s="909"/>
      <c r="KL156" s="909"/>
      <c r="KM156" s="910">
        <v>0</v>
      </c>
      <c r="KN156" s="871">
        <v>0</v>
      </c>
      <c r="KO156" s="912">
        <v>0</v>
      </c>
    </row>
    <row r="157" spans="1:301" ht="15" customHeight="1">
      <c r="A157" s="924" t="s">
        <v>1613</v>
      </c>
      <c r="B157" s="888" t="s">
        <v>1073</v>
      </c>
      <c r="C157" s="888">
        <v>582.98900000000003</v>
      </c>
      <c r="D157" s="888">
        <v>902</v>
      </c>
      <c r="E157" s="888">
        <v>560</v>
      </c>
      <c r="F157" s="888">
        <v>517.4010237662286</v>
      </c>
      <c r="G157" s="888">
        <v>226.58562076326757</v>
      </c>
      <c r="H157" s="888">
        <v>179.98668744829493</v>
      </c>
      <c r="I157" s="888">
        <v>175</v>
      </c>
      <c r="J157" s="888"/>
      <c r="K157" s="888"/>
      <c r="L157" s="888">
        <v>20</v>
      </c>
      <c r="M157" s="888">
        <v>235.19290077985301</v>
      </c>
      <c r="N157" s="888">
        <v>6</v>
      </c>
      <c r="O157" s="884">
        <v>18.496274717023891</v>
      </c>
      <c r="P157" s="888">
        <v>6</v>
      </c>
      <c r="Q157" s="884">
        <v>30.097045413375707</v>
      </c>
      <c r="R157" s="888"/>
      <c r="S157" s="888"/>
      <c r="T157" s="906">
        <v>0</v>
      </c>
      <c r="U157" s="906">
        <v>0</v>
      </c>
      <c r="V157" s="906">
        <v>122.5</v>
      </c>
      <c r="W157" s="1141">
        <v>0</v>
      </c>
      <c r="X157" s="902">
        <v>0</v>
      </c>
      <c r="Y157" s="902">
        <v>0</v>
      </c>
      <c r="Z157" s="902">
        <v>0</v>
      </c>
      <c r="AA157" s="902">
        <v>0</v>
      </c>
      <c r="AB157" s="970">
        <v>0</v>
      </c>
      <c r="AC157" s="1045">
        <v>0</v>
      </c>
      <c r="AD157" s="890"/>
      <c r="AE157" s="890"/>
      <c r="AF157" s="890"/>
      <c r="AG157" s="890"/>
      <c r="AH157" s="888"/>
      <c r="AI157" s="907">
        <v>3.6919430786408109</v>
      </c>
      <c r="AJ157" s="908">
        <v>0</v>
      </c>
      <c r="AK157" s="902">
        <v>48.593320130399597</v>
      </c>
      <c r="AL157" s="902">
        <v>0</v>
      </c>
      <c r="AM157" s="902">
        <v>0</v>
      </c>
      <c r="AN157" s="902">
        <v>70.367168646123687</v>
      </c>
      <c r="AO157" s="902">
        <v>5.6670189228290413</v>
      </c>
      <c r="AP157" s="1222"/>
      <c r="AQ157" s="909"/>
      <c r="AR157" s="909"/>
      <c r="AS157" s="909"/>
      <c r="AT157" s="909"/>
      <c r="AU157" s="909"/>
      <c r="AV157" s="910">
        <v>0</v>
      </c>
      <c r="AW157" s="909"/>
      <c r="AX157" s="909"/>
      <c r="AY157" s="909"/>
      <c r="AZ157" s="910">
        <v>0</v>
      </c>
      <c r="BA157" s="871">
        <v>0</v>
      </c>
      <c r="BB157" s="911">
        <v>0</v>
      </c>
      <c r="BC157" s="908">
        <v>0</v>
      </c>
      <c r="BD157" s="902">
        <v>48.593320130399597</v>
      </c>
      <c r="BE157" s="902">
        <v>0</v>
      </c>
      <c r="BF157" s="902">
        <v>0</v>
      </c>
      <c r="BG157" s="902">
        <v>70.367168646123687</v>
      </c>
      <c r="BH157" s="902">
        <v>5.6670189228290413</v>
      </c>
      <c r="BI157" s="902">
        <v>0</v>
      </c>
      <c r="BJ157" s="909"/>
      <c r="BK157" s="909"/>
      <c r="BL157" s="909"/>
      <c r="BM157" s="909"/>
      <c r="BN157" s="909"/>
      <c r="BO157" s="910">
        <v>0</v>
      </c>
      <c r="BP157" s="909"/>
      <c r="BQ157" s="909"/>
      <c r="BR157" s="909"/>
      <c r="BS157" s="910">
        <v>0</v>
      </c>
      <c r="BT157" s="871">
        <v>0</v>
      </c>
      <c r="BU157" s="911">
        <v>0</v>
      </c>
      <c r="BV157" s="908">
        <v>0</v>
      </c>
      <c r="BW157" s="902">
        <v>48.593320130399597</v>
      </c>
      <c r="BX157" s="902">
        <v>0</v>
      </c>
      <c r="BY157" s="902">
        <v>0</v>
      </c>
      <c r="BZ157" s="902">
        <v>70.367168646123687</v>
      </c>
      <c r="CA157" s="902">
        <v>5.6670189228290413</v>
      </c>
      <c r="CB157" s="902">
        <v>3600</v>
      </c>
      <c r="CC157" s="909"/>
      <c r="CD157" s="909"/>
      <c r="CE157" s="909"/>
      <c r="CF157" s="909"/>
      <c r="CG157" s="909"/>
      <c r="CH157" s="910">
        <v>0</v>
      </c>
      <c r="CI157" s="909"/>
      <c r="CJ157" s="909"/>
      <c r="CK157" s="909"/>
      <c r="CL157" s="910">
        <v>0</v>
      </c>
      <c r="CM157" s="871">
        <v>0</v>
      </c>
      <c r="CN157" s="911">
        <v>0</v>
      </c>
      <c r="CO157" s="908">
        <v>0</v>
      </c>
      <c r="CP157" s="902">
        <v>48.593320130399597</v>
      </c>
      <c r="CQ157" s="902">
        <v>0</v>
      </c>
      <c r="CR157" s="902">
        <v>0</v>
      </c>
      <c r="CS157" s="902">
        <v>70.367168646123687</v>
      </c>
      <c r="CT157" s="902">
        <v>5.6670189228290413</v>
      </c>
      <c r="CU157" s="902">
        <v>3600</v>
      </c>
      <c r="CV157" s="909"/>
      <c r="CW157" s="909"/>
      <c r="CX157" s="909"/>
      <c r="CY157" s="909"/>
      <c r="CZ157" s="909"/>
      <c r="DA157" s="910">
        <v>0</v>
      </c>
      <c r="DB157" s="909"/>
      <c r="DC157" s="909"/>
      <c r="DD157" s="909"/>
      <c r="DE157" s="910">
        <v>0</v>
      </c>
      <c r="DF157" s="871">
        <v>0</v>
      </c>
      <c r="DG157" s="911">
        <v>0</v>
      </c>
      <c r="DH157" s="908">
        <v>0</v>
      </c>
      <c r="DI157" s="902">
        <v>48.593320130399597</v>
      </c>
      <c r="DJ157" s="902">
        <v>0</v>
      </c>
      <c r="DK157" s="902">
        <v>0</v>
      </c>
      <c r="DL157" s="902">
        <v>70.367168646123687</v>
      </c>
      <c r="DM157" s="902">
        <v>5.6670189228290413</v>
      </c>
      <c r="DN157" s="902">
        <v>3600</v>
      </c>
      <c r="DO157" s="909"/>
      <c r="DP157" s="909"/>
      <c r="DQ157" s="909"/>
      <c r="DR157" s="909"/>
      <c r="DS157" s="909"/>
      <c r="DT157" s="910">
        <v>0</v>
      </c>
      <c r="DU157" s="909"/>
      <c r="DV157" s="909"/>
      <c r="DW157" s="909"/>
      <c r="DX157" s="910">
        <v>0</v>
      </c>
      <c r="DY157" s="871">
        <v>0</v>
      </c>
      <c r="DZ157" s="911">
        <v>0</v>
      </c>
      <c r="EA157" s="908">
        <v>0</v>
      </c>
      <c r="EB157" s="902">
        <v>48.593320130399597</v>
      </c>
      <c r="EC157" s="902">
        <v>0</v>
      </c>
      <c r="ED157" s="902">
        <v>0</v>
      </c>
      <c r="EE157" s="902">
        <v>70.367168646123687</v>
      </c>
      <c r="EF157" s="902">
        <v>5.6670189228290413</v>
      </c>
      <c r="EG157" s="902">
        <v>3600</v>
      </c>
      <c r="EH157" s="909"/>
      <c r="EI157" s="909"/>
      <c r="EJ157" s="909"/>
      <c r="EK157" s="909"/>
      <c r="EL157" s="909"/>
      <c r="EM157" s="910">
        <v>0</v>
      </c>
      <c r="EN157" s="909"/>
      <c r="EO157" s="909"/>
      <c r="EP157" s="909"/>
      <c r="EQ157" s="910">
        <v>0</v>
      </c>
      <c r="ER157" s="871">
        <v>0</v>
      </c>
      <c r="ES157" s="911">
        <v>0</v>
      </c>
      <c r="ET157" s="908">
        <v>0</v>
      </c>
      <c r="EU157" s="902">
        <v>48.593320130399597</v>
      </c>
      <c r="EV157" s="902">
        <v>0</v>
      </c>
      <c r="EW157" s="902">
        <v>0</v>
      </c>
      <c r="EX157" s="902">
        <v>70.367168646123687</v>
      </c>
      <c r="EY157" s="902">
        <v>5.6670189228290413</v>
      </c>
      <c r="EZ157" s="902">
        <v>3600</v>
      </c>
      <c r="FA157" s="909"/>
      <c r="FB157" s="909"/>
      <c r="FC157" s="909"/>
      <c r="FD157" s="909"/>
      <c r="FE157" s="909"/>
      <c r="FF157" s="910">
        <v>0</v>
      </c>
      <c r="FG157" s="909"/>
      <c r="FH157" s="909"/>
      <c r="FI157" s="909"/>
      <c r="FJ157" s="910">
        <v>0</v>
      </c>
      <c r="FK157" s="871">
        <v>0</v>
      </c>
      <c r="FL157" s="911">
        <v>0</v>
      </c>
      <c r="FM157" s="908">
        <v>0</v>
      </c>
      <c r="FN157" s="902">
        <v>48.593320130399597</v>
      </c>
      <c r="FO157" s="902">
        <v>0</v>
      </c>
      <c r="FP157" s="902">
        <v>0</v>
      </c>
      <c r="FQ157" s="902">
        <v>70.367168646123687</v>
      </c>
      <c r="FR157" s="902">
        <v>5.6670189228290413</v>
      </c>
      <c r="FS157" s="902">
        <v>3600</v>
      </c>
      <c r="FT157" s="909"/>
      <c r="FU157" s="909"/>
      <c r="FV157" s="909"/>
      <c r="FW157" s="909"/>
      <c r="FX157" s="909"/>
      <c r="FY157" s="910">
        <v>0</v>
      </c>
      <c r="FZ157" s="909"/>
      <c r="GA157" s="909"/>
      <c r="GB157" s="909"/>
      <c r="GC157" s="910">
        <v>0</v>
      </c>
      <c r="GD157" s="871">
        <v>0</v>
      </c>
      <c r="GE157" s="911">
        <v>0</v>
      </c>
      <c r="GF157" s="908">
        <v>0</v>
      </c>
      <c r="GG157" s="902">
        <v>48.593320130399597</v>
      </c>
      <c r="GH157" s="902">
        <v>0</v>
      </c>
      <c r="GI157" s="902">
        <v>0</v>
      </c>
      <c r="GJ157" s="902">
        <v>70.367168646123687</v>
      </c>
      <c r="GK157" s="902">
        <v>5.6670189228290413</v>
      </c>
      <c r="GL157" s="902">
        <v>3600</v>
      </c>
      <c r="GM157" s="909"/>
      <c r="GN157" s="909"/>
      <c r="GO157" s="909"/>
      <c r="GP157" s="909"/>
      <c r="GQ157" s="909"/>
      <c r="GR157" s="910">
        <v>0</v>
      </c>
      <c r="GS157" s="909"/>
      <c r="GT157" s="909"/>
      <c r="GU157" s="909"/>
      <c r="GV157" s="910">
        <v>0</v>
      </c>
      <c r="GW157" s="871">
        <v>0</v>
      </c>
      <c r="GX157" s="911">
        <v>0</v>
      </c>
      <c r="GY157" s="908">
        <v>0</v>
      </c>
      <c r="GZ157" s="902">
        <v>48.593320130399597</v>
      </c>
      <c r="HA157" s="902">
        <v>0</v>
      </c>
      <c r="HB157" s="902">
        <v>0</v>
      </c>
      <c r="HC157" s="902">
        <v>70.367168646123687</v>
      </c>
      <c r="HD157" s="902">
        <v>5.6670189228290413</v>
      </c>
      <c r="HE157" s="902">
        <v>3600</v>
      </c>
      <c r="HF157" s="909"/>
      <c r="HG157" s="909"/>
      <c r="HH157" s="909"/>
      <c r="HI157" s="909"/>
      <c r="HJ157" s="909"/>
      <c r="HK157" s="910">
        <v>0</v>
      </c>
      <c r="HL157" s="909"/>
      <c r="HM157" s="909"/>
      <c r="HN157" s="909"/>
      <c r="HO157" s="910">
        <v>0</v>
      </c>
      <c r="HP157" s="871">
        <v>0</v>
      </c>
      <c r="HQ157" s="911">
        <v>0</v>
      </c>
      <c r="HR157" s="908">
        <v>0</v>
      </c>
      <c r="HS157" s="902">
        <v>48.593320130399597</v>
      </c>
      <c r="HT157" s="902">
        <v>0</v>
      </c>
      <c r="HU157" s="902">
        <v>0</v>
      </c>
      <c r="HV157" s="902">
        <v>70.367168646123687</v>
      </c>
      <c r="HW157" s="902">
        <v>5.6670189228290413</v>
      </c>
      <c r="HX157" s="902">
        <v>3600</v>
      </c>
      <c r="HY157" s="909"/>
      <c r="HZ157" s="909"/>
      <c r="IA157" s="909"/>
      <c r="IB157" s="909"/>
      <c r="IC157" s="909"/>
      <c r="ID157" s="910">
        <v>0</v>
      </c>
      <c r="IE157" s="909"/>
      <c r="IF157" s="909"/>
      <c r="IG157" s="909"/>
      <c r="IH157" s="910">
        <v>0</v>
      </c>
      <c r="II157" s="871">
        <v>0</v>
      </c>
      <c r="IJ157" s="911">
        <v>0</v>
      </c>
      <c r="IK157" s="908">
        <v>0</v>
      </c>
      <c r="IL157" s="902">
        <v>48.593320130399597</v>
      </c>
      <c r="IM157" s="902">
        <v>0</v>
      </c>
      <c r="IN157" s="902">
        <v>0</v>
      </c>
      <c r="IO157" s="902">
        <v>70.367168646123687</v>
      </c>
      <c r="IP157" s="902">
        <v>5.6670189228290413</v>
      </c>
      <c r="IQ157" s="902">
        <v>3600</v>
      </c>
      <c r="IR157" s="909"/>
      <c r="IS157" s="909"/>
      <c r="IT157" s="909"/>
      <c r="IU157" s="909"/>
      <c r="IV157" s="909"/>
      <c r="IW157" s="910">
        <v>0</v>
      </c>
      <c r="IX157" s="909"/>
      <c r="IY157" s="909"/>
      <c r="IZ157" s="909"/>
      <c r="JA157" s="910">
        <v>0</v>
      </c>
      <c r="JB157" s="871">
        <v>0</v>
      </c>
      <c r="JC157" s="911">
        <v>0</v>
      </c>
      <c r="JD157" s="908">
        <v>0</v>
      </c>
      <c r="JE157" s="902">
        <v>48.593320130399597</v>
      </c>
      <c r="JF157" s="902">
        <v>0</v>
      </c>
      <c r="JG157" s="902">
        <v>0</v>
      </c>
      <c r="JH157" s="902">
        <v>70.367168646123687</v>
      </c>
      <c r="JI157" s="902">
        <v>5.6670189228290413</v>
      </c>
      <c r="JJ157" s="902">
        <v>3600</v>
      </c>
      <c r="JK157" s="909"/>
      <c r="JL157" s="909"/>
      <c r="JM157" s="909"/>
      <c r="JN157" s="909"/>
      <c r="JO157" s="909"/>
      <c r="JP157" s="910">
        <v>0</v>
      </c>
      <c r="JQ157" s="909"/>
      <c r="JR157" s="909"/>
      <c r="JS157" s="909"/>
      <c r="JT157" s="910">
        <v>0</v>
      </c>
      <c r="JU157" s="871">
        <v>0</v>
      </c>
      <c r="JV157" s="911">
        <v>0</v>
      </c>
      <c r="JW157" s="908">
        <v>0</v>
      </c>
      <c r="JX157" s="902">
        <v>48.593320130399597</v>
      </c>
      <c r="JY157" s="902">
        <v>0</v>
      </c>
      <c r="JZ157" s="902">
        <v>0</v>
      </c>
      <c r="KA157" s="902">
        <v>70.367168646123687</v>
      </c>
      <c r="KB157" s="902">
        <v>5.6670189228290413</v>
      </c>
      <c r="KC157" s="902">
        <v>3600</v>
      </c>
      <c r="KD157" s="909"/>
      <c r="KE157" s="909"/>
      <c r="KF157" s="909"/>
      <c r="KG157" s="909"/>
      <c r="KH157" s="909"/>
      <c r="KI157" s="910">
        <v>0</v>
      </c>
      <c r="KJ157" s="909"/>
      <c r="KK157" s="909"/>
      <c r="KL157" s="909"/>
      <c r="KM157" s="910">
        <v>0</v>
      </c>
      <c r="KN157" s="871">
        <v>0</v>
      </c>
      <c r="KO157" s="912">
        <v>0</v>
      </c>
    </row>
    <row r="158" spans="1:301" ht="15" customHeight="1">
      <c r="A158" s="924" t="s">
        <v>1614</v>
      </c>
      <c r="B158" s="888" t="s">
        <v>1073</v>
      </c>
      <c r="C158" s="888">
        <v>664.95699999999999</v>
      </c>
      <c r="D158" s="888">
        <v>952</v>
      </c>
      <c r="E158" s="888">
        <v>630</v>
      </c>
      <c r="F158" s="888">
        <v>596.27920848197721</v>
      </c>
      <c r="G158" s="888">
        <v>253.03382335867602</v>
      </c>
      <c r="H158" s="888">
        <v>200.00875758327325</v>
      </c>
      <c r="I158" s="888">
        <v>195</v>
      </c>
      <c r="J158" s="888"/>
      <c r="K158" s="888"/>
      <c r="L158" s="888">
        <v>24</v>
      </c>
      <c r="M158" s="888">
        <v>275.94234824520538</v>
      </c>
      <c r="N158" s="888">
        <v>6</v>
      </c>
      <c r="O158" s="884">
        <v>18.844001899886479</v>
      </c>
      <c r="P158" s="888">
        <v>6</v>
      </c>
      <c r="Q158" s="884">
        <v>33.52622731245674</v>
      </c>
      <c r="R158" s="888"/>
      <c r="S158" s="888"/>
      <c r="T158" s="906">
        <v>0</v>
      </c>
      <c r="U158" s="906">
        <v>0</v>
      </c>
      <c r="V158" s="906">
        <v>147.5</v>
      </c>
      <c r="W158" s="1141">
        <v>0</v>
      </c>
      <c r="X158" s="902">
        <v>0</v>
      </c>
      <c r="Y158" s="902">
        <v>0</v>
      </c>
      <c r="Z158" s="902">
        <v>0</v>
      </c>
      <c r="AA158" s="902">
        <v>0</v>
      </c>
      <c r="AB158" s="970">
        <v>0</v>
      </c>
      <c r="AC158" s="1045">
        <v>0</v>
      </c>
      <c r="AD158" s="890"/>
      <c r="AE158" s="890"/>
      <c r="AF158" s="890"/>
      <c r="AG158" s="890"/>
      <c r="AH158" s="888"/>
      <c r="AI158" s="907">
        <v>4.7686738731184848</v>
      </c>
      <c r="AJ158" s="908">
        <v>0</v>
      </c>
      <c r="AK158" s="902">
        <v>52.370229212343219</v>
      </c>
      <c r="AL158" s="902">
        <v>0</v>
      </c>
      <c r="AM158" s="902">
        <v>0</v>
      </c>
      <c r="AN158" s="902">
        <v>73.888240476107882</v>
      </c>
      <c r="AO158" s="902">
        <v>6.8678165712660562</v>
      </c>
      <c r="AP158" s="1222"/>
      <c r="AQ158" s="909"/>
      <c r="AR158" s="909"/>
      <c r="AS158" s="909"/>
      <c r="AT158" s="909"/>
      <c r="AU158" s="909"/>
      <c r="AV158" s="910">
        <v>0</v>
      </c>
      <c r="AW158" s="909"/>
      <c r="AX158" s="909"/>
      <c r="AY158" s="909"/>
      <c r="AZ158" s="910">
        <v>0</v>
      </c>
      <c r="BA158" s="871">
        <v>0</v>
      </c>
      <c r="BB158" s="911">
        <v>0</v>
      </c>
      <c r="BC158" s="908">
        <v>0</v>
      </c>
      <c r="BD158" s="902">
        <v>52.370229212343219</v>
      </c>
      <c r="BE158" s="902">
        <v>0</v>
      </c>
      <c r="BF158" s="902">
        <v>0</v>
      </c>
      <c r="BG158" s="902">
        <v>73.888240476107882</v>
      </c>
      <c r="BH158" s="902">
        <v>6.8678165712660562</v>
      </c>
      <c r="BI158" s="902">
        <v>0</v>
      </c>
      <c r="BJ158" s="909"/>
      <c r="BK158" s="909"/>
      <c r="BL158" s="909"/>
      <c r="BM158" s="909"/>
      <c r="BN158" s="909"/>
      <c r="BO158" s="910">
        <v>0</v>
      </c>
      <c r="BP158" s="909"/>
      <c r="BQ158" s="909"/>
      <c r="BR158" s="909"/>
      <c r="BS158" s="910">
        <v>0</v>
      </c>
      <c r="BT158" s="871">
        <v>0</v>
      </c>
      <c r="BU158" s="911">
        <v>0</v>
      </c>
      <c r="BV158" s="908">
        <v>0</v>
      </c>
      <c r="BW158" s="902">
        <v>52.370229212343219</v>
      </c>
      <c r="BX158" s="902">
        <v>0</v>
      </c>
      <c r="BY158" s="902">
        <v>0</v>
      </c>
      <c r="BZ158" s="902">
        <v>73.888240476107882</v>
      </c>
      <c r="CA158" s="902">
        <v>6.8678165712660562</v>
      </c>
      <c r="CB158" s="902">
        <v>3600</v>
      </c>
      <c r="CC158" s="909"/>
      <c r="CD158" s="909"/>
      <c r="CE158" s="909"/>
      <c r="CF158" s="909"/>
      <c r="CG158" s="909"/>
      <c r="CH158" s="910">
        <v>0</v>
      </c>
      <c r="CI158" s="909"/>
      <c r="CJ158" s="909"/>
      <c r="CK158" s="909"/>
      <c r="CL158" s="910">
        <v>0</v>
      </c>
      <c r="CM158" s="871">
        <v>0</v>
      </c>
      <c r="CN158" s="911">
        <v>0</v>
      </c>
      <c r="CO158" s="908">
        <v>0</v>
      </c>
      <c r="CP158" s="902">
        <v>52.370229212343219</v>
      </c>
      <c r="CQ158" s="902">
        <v>0</v>
      </c>
      <c r="CR158" s="902">
        <v>0</v>
      </c>
      <c r="CS158" s="902">
        <v>73.888240476107882</v>
      </c>
      <c r="CT158" s="902">
        <v>6.8678165712660562</v>
      </c>
      <c r="CU158" s="902">
        <v>3600</v>
      </c>
      <c r="CV158" s="909"/>
      <c r="CW158" s="909"/>
      <c r="CX158" s="909"/>
      <c r="CY158" s="909"/>
      <c r="CZ158" s="909"/>
      <c r="DA158" s="910">
        <v>0</v>
      </c>
      <c r="DB158" s="909"/>
      <c r="DC158" s="909"/>
      <c r="DD158" s="909"/>
      <c r="DE158" s="910">
        <v>0</v>
      </c>
      <c r="DF158" s="871">
        <v>0</v>
      </c>
      <c r="DG158" s="911">
        <v>0</v>
      </c>
      <c r="DH158" s="908">
        <v>0</v>
      </c>
      <c r="DI158" s="902">
        <v>52.370229212343219</v>
      </c>
      <c r="DJ158" s="902">
        <v>0</v>
      </c>
      <c r="DK158" s="902">
        <v>0</v>
      </c>
      <c r="DL158" s="902">
        <v>73.888240476107882</v>
      </c>
      <c r="DM158" s="902">
        <v>6.8678165712660562</v>
      </c>
      <c r="DN158" s="902">
        <v>3600</v>
      </c>
      <c r="DO158" s="909"/>
      <c r="DP158" s="909"/>
      <c r="DQ158" s="909"/>
      <c r="DR158" s="909"/>
      <c r="DS158" s="909"/>
      <c r="DT158" s="910">
        <v>0</v>
      </c>
      <c r="DU158" s="909"/>
      <c r="DV158" s="909"/>
      <c r="DW158" s="909"/>
      <c r="DX158" s="910">
        <v>0</v>
      </c>
      <c r="DY158" s="871">
        <v>0</v>
      </c>
      <c r="DZ158" s="911">
        <v>0</v>
      </c>
      <c r="EA158" s="908">
        <v>0</v>
      </c>
      <c r="EB158" s="902">
        <v>52.370229212343219</v>
      </c>
      <c r="EC158" s="902">
        <v>0</v>
      </c>
      <c r="ED158" s="902">
        <v>0</v>
      </c>
      <c r="EE158" s="902">
        <v>73.888240476107882</v>
      </c>
      <c r="EF158" s="902">
        <v>6.8678165712660562</v>
      </c>
      <c r="EG158" s="902">
        <v>3600</v>
      </c>
      <c r="EH158" s="909"/>
      <c r="EI158" s="909"/>
      <c r="EJ158" s="909"/>
      <c r="EK158" s="909"/>
      <c r="EL158" s="909"/>
      <c r="EM158" s="910">
        <v>0</v>
      </c>
      <c r="EN158" s="909"/>
      <c r="EO158" s="909"/>
      <c r="EP158" s="909"/>
      <c r="EQ158" s="910">
        <v>0</v>
      </c>
      <c r="ER158" s="871">
        <v>0</v>
      </c>
      <c r="ES158" s="911">
        <v>0</v>
      </c>
      <c r="ET158" s="908">
        <v>0</v>
      </c>
      <c r="EU158" s="902">
        <v>52.370229212343219</v>
      </c>
      <c r="EV158" s="902">
        <v>0</v>
      </c>
      <c r="EW158" s="902">
        <v>0</v>
      </c>
      <c r="EX158" s="902">
        <v>73.888240476107882</v>
      </c>
      <c r="EY158" s="902">
        <v>6.8678165712660562</v>
      </c>
      <c r="EZ158" s="902">
        <v>3600</v>
      </c>
      <c r="FA158" s="909"/>
      <c r="FB158" s="909"/>
      <c r="FC158" s="909"/>
      <c r="FD158" s="909"/>
      <c r="FE158" s="909"/>
      <c r="FF158" s="910">
        <v>0</v>
      </c>
      <c r="FG158" s="909"/>
      <c r="FH158" s="909"/>
      <c r="FI158" s="909"/>
      <c r="FJ158" s="910">
        <v>0</v>
      </c>
      <c r="FK158" s="871">
        <v>0</v>
      </c>
      <c r="FL158" s="911">
        <v>0</v>
      </c>
      <c r="FM158" s="908">
        <v>0</v>
      </c>
      <c r="FN158" s="902">
        <v>52.370229212343219</v>
      </c>
      <c r="FO158" s="902">
        <v>0</v>
      </c>
      <c r="FP158" s="902">
        <v>0</v>
      </c>
      <c r="FQ158" s="902">
        <v>73.888240476107882</v>
      </c>
      <c r="FR158" s="902">
        <v>6.8678165712660562</v>
      </c>
      <c r="FS158" s="902">
        <v>3600</v>
      </c>
      <c r="FT158" s="909"/>
      <c r="FU158" s="909"/>
      <c r="FV158" s="909"/>
      <c r="FW158" s="909"/>
      <c r="FX158" s="909"/>
      <c r="FY158" s="910">
        <v>0</v>
      </c>
      <c r="FZ158" s="909"/>
      <c r="GA158" s="909"/>
      <c r="GB158" s="909"/>
      <c r="GC158" s="910">
        <v>0</v>
      </c>
      <c r="GD158" s="871">
        <v>0</v>
      </c>
      <c r="GE158" s="911">
        <v>0</v>
      </c>
      <c r="GF158" s="908">
        <v>0</v>
      </c>
      <c r="GG158" s="902">
        <v>52.370229212343219</v>
      </c>
      <c r="GH158" s="902">
        <v>0</v>
      </c>
      <c r="GI158" s="902">
        <v>0</v>
      </c>
      <c r="GJ158" s="902">
        <v>73.888240476107882</v>
      </c>
      <c r="GK158" s="902">
        <v>6.8678165712660562</v>
      </c>
      <c r="GL158" s="902">
        <v>3600</v>
      </c>
      <c r="GM158" s="909"/>
      <c r="GN158" s="909"/>
      <c r="GO158" s="909"/>
      <c r="GP158" s="909"/>
      <c r="GQ158" s="909"/>
      <c r="GR158" s="910">
        <v>0</v>
      </c>
      <c r="GS158" s="909"/>
      <c r="GT158" s="909"/>
      <c r="GU158" s="909"/>
      <c r="GV158" s="910">
        <v>0</v>
      </c>
      <c r="GW158" s="871">
        <v>0</v>
      </c>
      <c r="GX158" s="911">
        <v>0</v>
      </c>
      <c r="GY158" s="908">
        <v>0</v>
      </c>
      <c r="GZ158" s="902">
        <v>52.370229212343219</v>
      </c>
      <c r="HA158" s="902">
        <v>0</v>
      </c>
      <c r="HB158" s="902">
        <v>0</v>
      </c>
      <c r="HC158" s="902">
        <v>73.888240476107882</v>
      </c>
      <c r="HD158" s="902">
        <v>6.8678165712660562</v>
      </c>
      <c r="HE158" s="902">
        <v>3600</v>
      </c>
      <c r="HF158" s="909"/>
      <c r="HG158" s="909"/>
      <c r="HH158" s="909"/>
      <c r="HI158" s="909"/>
      <c r="HJ158" s="909"/>
      <c r="HK158" s="910">
        <v>0</v>
      </c>
      <c r="HL158" s="909"/>
      <c r="HM158" s="909"/>
      <c r="HN158" s="909"/>
      <c r="HO158" s="910">
        <v>0</v>
      </c>
      <c r="HP158" s="871">
        <v>0</v>
      </c>
      <c r="HQ158" s="911">
        <v>0</v>
      </c>
      <c r="HR158" s="908">
        <v>0</v>
      </c>
      <c r="HS158" s="902">
        <v>52.370229212343219</v>
      </c>
      <c r="HT158" s="902">
        <v>0</v>
      </c>
      <c r="HU158" s="902">
        <v>0</v>
      </c>
      <c r="HV158" s="902">
        <v>73.888240476107882</v>
      </c>
      <c r="HW158" s="902">
        <v>6.8678165712660562</v>
      </c>
      <c r="HX158" s="902">
        <v>3600</v>
      </c>
      <c r="HY158" s="909"/>
      <c r="HZ158" s="909"/>
      <c r="IA158" s="909"/>
      <c r="IB158" s="909"/>
      <c r="IC158" s="909"/>
      <c r="ID158" s="910">
        <v>0</v>
      </c>
      <c r="IE158" s="909"/>
      <c r="IF158" s="909"/>
      <c r="IG158" s="909"/>
      <c r="IH158" s="910">
        <v>0</v>
      </c>
      <c r="II158" s="871">
        <v>0</v>
      </c>
      <c r="IJ158" s="911">
        <v>0</v>
      </c>
      <c r="IK158" s="908">
        <v>0</v>
      </c>
      <c r="IL158" s="902">
        <v>52.370229212343219</v>
      </c>
      <c r="IM158" s="902">
        <v>0</v>
      </c>
      <c r="IN158" s="902">
        <v>0</v>
      </c>
      <c r="IO158" s="902">
        <v>73.888240476107882</v>
      </c>
      <c r="IP158" s="902">
        <v>6.8678165712660562</v>
      </c>
      <c r="IQ158" s="902">
        <v>3600</v>
      </c>
      <c r="IR158" s="909"/>
      <c r="IS158" s="909"/>
      <c r="IT158" s="909"/>
      <c r="IU158" s="909"/>
      <c r="IV158" s="909"/>
      <c r="IW158" s="910">
        <v>0</v>
      </c>
      <c r="IX158" s="909"/>
      <c r="IY158" s="909"/>
      <c r="IZ158" s="909"/>
      <c r="JA158" s="910">
        <v>0</v>
      </c>
      <c r="JB158" s="871">
        <v>0</v>
      </c>
      <c r="JC158" s="911">
        <v>0</v>
      </c>
      <c r="JD158" s="908">
        <v>0</v>
      </c>
      <c r="JE158" s="902">
        <v>52.370229212343219</v>
      </c>
      <c r="JF158" s="902">
        <v>0</v>
      </c>
      <c r="JG158" s="902">
        <v>0</v>
      </c>
      <c r="JH158" s="902">
        <v>73.888240476107882</v>
      </c>
      <c r="JI158" s="902">
        <v>6.8678165712660562</v>
      </c>
      <c r="JJ158" s="902">
        <v>3600</v>
      </c>
      <c r="JK158" s="909"/>
      <c r="JL158" s="909"/>
      <c r="JM158" s="909"/>
      <c r="JN158" s="909"/>
      <c r="JO158" s="909"/>
      <c r="JP158" s="910">
        <v>0</v>
      </c>
      <c r="JQ158" s="909"/>
      <c r="JR158" s="909"/>
      <c r="JS158" s="909"/>
      <c r="JT158" s="910">
        <v>0</v>
      </c>
      <c r="JU158" s="871">
        <v>0</v>
      </c>
      <c r="JV158" s="911">
        <v>0</v>
      </c>
      <c r="JW158" s="908">
        <v>0</v>
      </c>
      <c r="JX158" s="902">
        <v>52.370229212343219</v>
      </c>
      <c r="JY158" s="902">
        <v>0</v>
      </c>
      <c r="JZ158" s="902">
        <v>0</v>
      </c>
      <c r="KA158" s="902">
        <v>73.888240476107882</v>
      </c>
      <c r="KB158" s="902">
        <v>6.8678165712660562</v>
      </c>
      <c r="KC158" s="902">
        <v>3600</v>
      </c>
      <c r="KD158" s="909"/>
      <c r="KE158" s="909"/>
      <c r="KF158" s="909"/>
      <c r="KG158" s="909"/>
      <c r="KH158" s="909"/>
      <c r="KI158" s="910">
        <v>0</v>
      </c>
      <c r="KJ158" s="909"/>
      <c r="KK158" s="909"/>
      <c r="KL158" s="909"/>
      <c r="KM158" s="910">
        <v>0</v>
      </c>
      <c r="KN158" s="871">
        <v>0</v>
      </c>
      <c r="KO158" s="912">
        <v>0</v>
      </c>
    </row>
    <row r="159" spans="1:301" ht="15" customHeight="1">
      <c r="A159" s="924" t="s">
        <v>1615</v>
      </c>
      <c r="B159" s="888" t="s">
        <v>1073</v>
      </c>
      <c r="C159" s="888">
        <v>750.18499999999995</v>
      </c>
      <c r="D159" s="888">
        <v>1102</v>
      </c>
      <c r="E159" s="888">
        <v>800</v>
      </c>
      <c r="F159" s="888">
        <v>621.20447668394229</v>
      </c>
      <c r="G159" s="888">
        <v>293.69374394752509</v>
      </c>
      <c r="H159" s="888">
        <v>235.38070273123972</v>
      </c>
      <c r="I159" s="888">
        <v>220</v>
      </c>
      <c r="J159" s="888">
        <v>42.8</v>
      </c>
      <c r="K159" s="888">
        <v>63.21</v>
      </c>
      <c r="L159" s="888">
        <v>24</v>
      </c>
      <c r="M159" s="888">
        <v>309.17426189941949</v>
      </c>
      <c r="N159" s="888">
        <v>6</v>
      </c>
      <c r="O159" s="884">
        <v>21.248498377127767</v>
      </c>
      <c r="P159" s="888">
        <v>6</v>
      </c>
      <c r="Q159" s="884">
        <v>44.923540614580446</v>
      </c>
      <c r="R159" s="888">
        <v>16</v>
      </c>
      <c r="S159" s="888"/>
      <c r="T159" s="906">
        <v>0</v>
      </c>
      <c r="U159" s="906">
        <v>0</v>
      </c>
      <c r="V159" s="906">
        <v>147.5</v>
      </c>
      <c r="W159" s="1141">
        <v>0</v>
      </c>
      <c r="X159" s="902">
        <v>0</v>
      </c>
      <c r="Y159" s="902">
        <v>0</v>
      </c>
      <c r="Z159" s="902">
        <v>0</v>
      </c>
      <c r="AA159" s="902">
        <v>0</v>
      </c>
      <c r="AB159" s="970">
        <v>14.024258416308403</v>
      </c>
      <c r="AC159" s="1045">
        <v>2579.4876266708916</v>
      </c>
      <c r="AD159" s="890"/>
      <c r="AE159" s="890"/>
      <c r="AF159" s="890"/>
      <c r="AG159" s="890"/>
      <c r="AH159" s="888"/>
      <c r="AI159" s="907">
        <v>6.3101616249308208</v>
      </c>
      <c r="AJ159" s="908">
        <v>53.050422830584061</v>
      </c>
      <c r="AK159" s="902">
        <v>119.22246182229227</v>
      </c>
      <c r="AL159" s="902">
        <v>0</v>
      </c>
      <c r="AM159" s="902">
        <v>0</v>
      </c>
      <c r="AN159" s="902">
        <v>95.449966649942354</v>
      </c>
      <c r="AO159" s="902">
        <v>23.529857454798815</v>
      </c>
      <c r="AP159" s="1222">
        <v>1200</v>
      </c>
      <c r="AQ159" s="909" t="s">
        <v>1062</v>
      </c>
      <c r="AR159" s="909">
        <v>4</v>
      </c>
      <c r="AS159" s="909">
        <v>0</v>
      </c>
      <c r="AT159" s="909">
        <v>0</v>
      </c>
      <c r="AU159" s="909">
        <v>0</v>
      </c>
      <c r="AV159" s="910">
        <v>1699.8525094162487</v>
      </c>
      <c r="AW159" s="909">
        <v>0</v>
      </c>
      <c r="AX159" s="909">
        <v>0</v>
      </c>
      <c r="AY159" s="909">
        <v>0</v>
      </c>
      <c r="AZ159" s="910">
        <v>1686.2638132650702</v>
      </c>
      <c r="BA159" s="871">
        <v>1686.2638132650702</v>
      </c>
      <c r="BB159" s="911">
        <v>97.298408609336278</v>
      </c>
      <c r="BC159" s="908">
        <v>53.050422830584061</v>
      </c>
      <c r="BD159" s="902">
        <v>119.22246182229227</v>
      </c>
      <c r="BE159" s="902">
        <v>0</v>
      </c>
      <c r="BF159" s="902">
        <v>0</v>
      </c>
      <c r="BG159" s="902">
        <v>95.449966649942354</v>
      </c>
      <c r="BH159" s="902">
        <v>23.529857454798815</v>
      </c>
      <c r="BI159" s="902">
        <v>1500</v>
      </c>
      <c r="BJ159" s="909" t="s">
        <v>1062</v>
      </c>
      <c r="BK159" s="909">
        <v>4</v>
      </c>
      <c r="BL159" s="909">
        <v>0</v>
      </c>
      <c r="BM159" s="909">
        <v>0</v>
      </c>
      <c r="BN159" s="909">
        <v>0</v>
      </c>
      <c r="BO159" s="910">
        <v>1699.8525094162487</v>
      </c>
      <c r="BP159" s="909">
        <v>0</v>
      </c>
      <c r="BQ159" s="909">
        <v>0</v>
      </c>
      <c r="BR159" s="909">
        <v>0</v>
      </c>
      <c r="BS159" s="910">
        <v>1686.2638132650702</v>
      </c>
      <c r="BT159" s="871">
        <v>1686.2638132650702</v>
      </c>
      <c r="BU159" s="911">
        <v>97.298408609336278</v>
      </c>
      <c r="BV159" s="908">
        <v>53.050422830584061</v>
      </c>
      <c r="BW159" s="902">
        <v>119.22246182229227</v>
      </c>
      <c r="BX159" s="902">
        <v>0</v>
      </c>
      <c r="BY159" s="902">
        <v>0</v>
      </c>
      <c r="BZ159" s="902">
        <v>95.449966649942354</v>
      </c>
      <c r="CA159" s="902">
        <v>23.529857454798815</v>
      </c>
      <c r="CB159" s="902">
        <v>1200</v>
      </c>
      <c r="CC159" s="909" t="s">
        <v>2874</v>
      </c>
      <c r="CD159" s="909">
        <v>4</v>
      </c>
      <c r="CE159" s="909">
        <v>0</v>
      </c>
      <c r="CF159" s="909">
        <v>0</v>
      </c>
      <c r="CG159" s="909">
        <v>0</v>
      </c>
      <c r="CH159" s="910">
        <v>1477.9921876139299</v>
      </c>
      <c r="CI159" s="909">
        <v>0</v>
      </c>
      <c r="CJ159" s="909">
        <v>0</v>
      </c>
      <c r="CK159" s="909">
        <v>0</v>
      </c>
      <c r="CL159" s="910">
        <v>1466.1770526887628</v>
      </c>
      <c r="CM159" s="871">
        <v>1466.1770526887628</v>
      </c>
      <c r="CN159" s="911">
        <v>84.5992737577171</v>
      </c>
      <c r="CO159" s="908">
        <v>53.050422830584061</v>
      </c>
      <c r="CP159" s="902">
        <v>119.22246182229227</v>
      </c>
      <c r="CQ159" s="902">
        <v>0</v>
      </c>
      <c r="CR159" s="902">
        <v>0</v>
      </c>
      <c r="CS159" s="902">
        <v>95.449966649942354</v>
      </c>
      <c r="CT159" s="902">
        <v>23.529857454798815</v>
      </c>
      <c r="CU159" s="902">
        <v>1500</v>
      </c>
      <c r="CV159" s="909" t="s">
        <v>2874</v>
      </c>
      <c r="CW159" s="909">
        <v>4</v>
      </c>
      <c r="CX159" s="909">
        <v>0</v>
      </c>
      <c r="CY159" s="909">
        <v>0</v>
      </c>
      <c r="CZ159" s="909">
        <v>0</v>
      </c>
      <c r="DA159" s="910">
        <v>1477.9921876139299</v>
      </c>
      <c r="DB159" s="909">
        <v>0</v>
      </c>
      <c r="DC159" s="909">
        <v>0</v>
      </c>
      <c r="DD159" s="909">
        <v>0</v>
      </c>
      <c r="DE159" s="910">
        <v>1466.1770526887628</v>
      </c>
      <c r="DF159" s="871">
        <v>1466.1770526887628</v>
      </c>
      <c r="DG159" s="911">
        <v>84.5992737577171</v>
      </c>
      <c r="DH159" s="908">
        <v>53.050422830584061</v>
      </c>
      <c r="DI159" s="902">
        <v>119.22246182229227</v>
      </c>
      <c r="DJ159" s="902">
        <v>0</v>
      </c>
      <c r="DK159" s="902">
        <v>0</v>
      </c>
      <c r="DL159" s="902">
        <v>95.449966649942354</v>
      </c>
      <c r="DM159" s="902">
        <v>23.529857454798815</v>
      </c>
      <c r="DN159" s="902">
        <v>1200</v>
      </c>
      <c r="DO159" s="909" t="s">
        <v>2876</v>
      </c>
      <c r="DP159" s="909">
        <v>4</v>
      </c>
      <c r="DQ159" s="909">
        <v>0</v>
      </c>
      <c r="DR159" s="909">
        <v>0</v>
      </c>
      <c r="DS159" s="909">
        <v>0</v>
      </c>
      <c r="DT159" s="910">
        <v>1580.0401103945405</v>
      </c>
      <c r="DU159" s="909">
        <v>0</v>
      </c>
      <c r="DV159" s="909">
        <v>0</v>
      </c>
      <c r="DW159" s="909">
        <v>0</v>
      </c>
      <c r="DX159" s="910">
        <v>1567.4091998608963</v>
      </c>
      <c r="DY159" s="871">
        <v>1567.4091998608963</v>
      </c>
      <c r="DZ159" s="911">
        <v>90.440427877535939</v>
      </c>
      <c r="EA159" s="908">
        <v>53.050422830584061</v>
      </c>
      <c r="EB159" s="902">
        <v>119.22246182229227</v>
      </c>
      <c r="EC159" s="902">
        <v>0</v>
      </c>
      <c r="ED159" s="902">
        <v>0</v>
      </c>
      <c r="EE159" s="902">
        <v>95.449966649942354</v>
      </c>
      <c r="EF159" s="902">
        <v>23.529857454798815</v>
      </c>
      <c r="EG159" s="902">
        <v>1500</v>
      </c>
      <c r="EH159" s="909" t="s">
        <v>2876</v>
      </c>
      <c r="EI159" s="909">
        <v>4</v>
      </c>
      <c r="EJ159" s="909">
        <v>0</v>
      </c>
      <c r="EK159" s="909">
        <v>0</v>
      </c>
      <c r="EL159" s="909">
        <v>0</v>
      </c>
      <c r="EM159" s="910">
        <v>1580.0401103945405</v>
      </c>
      <c r="EN159" s="909">
        <v>0</v>
      </c>
      <c r="EO159" s="909">
        <v>0</v>
      </c>
      <c r="EP159" s="909">
        <v>0</v>
      </c>
      <c r="EQ159" s="910">
        <v>1567.4091998608963</v>
      </c>
      <c r="ER159" s="871">
        <v>1567.4091998608963</v>
      </c>
      <c r="ES159" s="911">
        <v>90.440427877535939</v>
      </c>
      <c r="ET159" s="908">
        <v>53.050422830584061</v>
      </c>
      <c r="EU159" s="902">
        <v>119.22246182229227</v>
      </c>
      <c r="EV159" s="902">
        <v>0</v>
      </c>
      <c r="EW159" s="902">
        <v>0</v>
      </c>
      <c r="EX159" s="902">
        <v>95.449966649942354</v>
      </c>
      <c r="EY159" s="902">
        <v>23.529857454798815</v>
      </c>
      <c r="EZ159" s="902">
        <v>1200</v>
      </c>
      <c r="FA159" s="909" t="s">
        <v>3889</v>
      </c>
      <c r="FB159" s="909">
        <v>4</v>
      </c>
      <c r="FC159" s="909">
        <v>0</v>
      </c>
      <c r="FD159" s="909">
        <v>0</v>
      </c>
      <c r="FE159" s="909">
        <v>0</v>
      </c>
      <c r="FF159" s="910">
        <v>1612.6216848288088</v>
      </c>
      <c r="FG159" s="909">
        <v>0</v>
      </c>
      <c r="FH159" s="909">
        <v>0</v>
      </c>
      <c r="FI159" s="909">
        <v>0</v>
      </c>
      <c r="FJ159" s="910">
        <v>1599.7303157513566</v>
      </c>
      <c r="FK159" s="871">
        <v>1599.7303157513566</v>
      </c>
      <c r="FL159" s="911">
        <v>92.305375174560908</v>
      </c>
      <c r="FM159" s="908">
        <v>53.050422830584061</v>
      </c>
      <c r="FN159" s="902">
        <v>119.22246182229227</v>
      </c>
      <c r="FO159" s="902">
        <v>0</v>
      </c>
      <c r="FP159" s="902">
        <v>0</v>
      </c>
      <c r="FQ159" s="902">
        <v>95.449966649942354</v>
      </c>
      <c r="FR159" s="902">
        <v>23.529857454798815</v>
      </c>
      <c r="FS159" s="902">
        <v>1500</v>
      </c>
      <c r="FT159" s="909" t="s">
        <v>3889</v>
      </c>
      <c r="FU159" s="909">
        <v>4</v>
      </c>
      <c r="FV159" s="909">
        <v>0</v>
      </c>
      <c r="FW159" s="909">
        <v>0</v>
      </c>
      <c r="FX159" s="909">
        <v>0</v>
      </c>
      <c r="FY159" s="910">
        <v>1612.6216848288088</v>
      </c>
      <c r="FZ159" s="909">
        <v>0</v>
      </c>
      <c r="GA159" s="909">
        <v>0</v>
      </c>
      <c r="GB159" s="909">
        <v>0</v>
      </c>
      <c r="GC159" s="910">
        <v>1599.7303157513566</v>
      </c>
      <c r="GD159" s="871">
        <v>1599.7303157513566</v>
      </c>
      <c r="GE159" s="911">
        <v>92.305375174560908</v>
      </c>
      <c r="GF159" s="908">
        <v>53.050422830584061</v>
      </c>
      <c r="GG159" s="902">
        <v>119.22246182229227</v>
      </c>
      <c r="GH159" s="902">
        <v>0</v>
      </c>
      <c r="GI159" s="902">
        <v>0</v>
      </c>
      <c r="GJ159" s="902">
        <v>95.449966649942354</v>
      </c>
      <c r="GK159" s="902">
        <v>23.529857454798815</v>
      </c>
      <c r="GL159" s="902">
        <v>1200</v>
      </c>
      <c r="GM159" s="909" t="s">
        <v>2877</v>
      </c>
      <c r="GN159" s="909">
        <v>4</v>
      </c>
      <c r="GO159" s="909">
        <v>0</v>
      </c>
      <c r="GP159" s="909">
        <v>0</v>
      </c>
      <c r="GQ159" s="909">
        <v>0</v>
      </c>
      <c r="GR159" s="910">
        <v>2163.5590255650577</v>
      </c>
      <c r="GS159" s="909">
        <v>0</v>
      </c>
      <c r="GT159" s="909">
        <v>0</v>
      </c>
      <c r="GU159" s="909">
        <v>0</v>
      </c>
      <c r="GV159" s="910">
        <v>2146.2634390123094</v>
      </c>
      <c r="GW159" s="871">
        <v>2146.2634390123094</v>
      </c>
      <c r="GX159" s="911">
        <v>123.84065614736197</v>
      </c>
      <c r="GY159" s="908">
        <v>53.050422830584061</v>
      </c>
      <c r="GZ159" s="902">
        <v>119.22246182229227</v>
      </c>
      <c r="HA159" s="902">
        <v>0</v>
      </c>
      <c r="HB159" s="902">
        <v>0</v>
      </c>
      <c r="HC159" s="902">
        <v>95.449966649942354</v>
      </c>
      <c r="HD159" s="902">
        <v>23.529857454798815</v>
      </c>
      <c r="HE159" s="902">
        <v>1500</v>
      </c>
      <c r="HF159" s="909" t="s">
        <v>2877</v>
      </c>
      <c r="HG159" s="909">
        <v>4</v>
      </c>
      <c r="HH159" s="909">
        <v>0</v>
      </c>
      <c r="HI159" s="909">
        <v>0</v>
      </c>
      <c r="HJ159" s="909">
        <v>0</v>
      </c>
      <c r="HK159" s="910">
        <v>2163.5590255650577</v>
      </c>
      <c r="HL159" s="909">
        <v>0</v>
      </c>
      <c r="HM159" s="909">
        <v>0</v>
      </c>
      <c r="HN159" s="909">
        <v>0</v>
      </c>
      <c r="HO159" s="910">
        <v>2146.2634390123094</v>
      </c>
      <c r="HP159" s="871">
        <v>2146.2634390123094</v>
      </c>
      <c r="HQ159" s="911">
        <v>123.84065614736197</v>
      </c>
      <c r="HR159" s="908">
        <v>53.050422830584061</v>
      </c>
      <c r="HS159" s="902">
        <v>119.22246182229227</v>
      </c>
      <c r="HT159" s="902">
        <v>0</v>
      </c>
      <c r="HU159" s="902">
        <v>0</v>
      </c>
      <c r="HV159" s="902">
        <v>95.449966649942354</v>
      </c>
      <c r="HW159" s="902">
        <v>23.529857454798815</v>
      </c>
      <c r="HX159" s="902">
        <v>1200</v>
      </c>
      <c r="HY159" s="909" t="s">
        <v>1063</v>
      </c>
      <c r="HZ159" s="909">
        <v>4</v>
      </c>
      <c r="IA159" s="909">
        <v>0</v>
      </c>
      <c r="IB159" s="909">
        <v>0</v>
      </c>
      <c r="IC159" s="909">
        <v>0</v>
      </c>
      <c r="ID159" s="910">
        <v>1908.0797094848363</v>
      </c>
      <c r="IE159" s="909">
        <v>0</v>
      </c>
      <c r="IF159" s="909">
        <v>0</v>
      </c>
      <c r="IG159" s="909">
        <v>0</v>
      </c>
      <c r="IH159" s="910">
        <v>1892.8264358856329</v>
      </c>
      <c r="II159" s="871">
        <v>1892.8264358856329</v>
      </c>
      <c r="IJ159" s="911">
        <v>109.21719278832899</v>
      </c>
      <c r="IK159" s="908">
        <v>53.050422830584061</v>
      </c>
      <c r="IL159" s="902">
        <v>119.22246182229227</v>
      </c>
      <c r="IM159" s="902">
        <v>0</v>
      </c>
      <c r="IN159" s="902">
        <v>0</v>
      </c>
      <c r="IO159" s="902">
        <v>95.449966649942354</v>
      </c>
      <c r="IP159" s="902">
        <v>23.529857454798815</v>
      </c>
      <c r="IQ159" s="902">
        <v>1500</v>
      </c>
      <c r="IR159" s="909" t="s">
        <v>1063</v>
      </c>
      <c r="IS159" s="909">
        <v>4</v>
      </c>
      <c r="IT159" s="909">
        <v>0</v>
      </c>
      <c r="IU159" s="909">
        <v>0</v>
      </c>
      <c r="IV159" s="909">
        <v>0</v>
      </c>
      <c r="IW159" s="910">
        <v>1908.0797094848363</v>
      </c>
      <c r="IX159" s="909">
        <v>0</v>
      </c>
      <c r="IY159" s="909">
        <v>0</v>
      </c>
      <c r="IZ159" s="909">
        <v>0</v>
      </c>
      <c r="JA159" s="910">
        <v>1892.8264358856329</v>
      </c>
      <c r="JB159" s="871">
        <v>1892.8264358856329</v>
      </c>
      <c r="JC159" s="911">
        <v>109.21719278832899</v>
      </c>
      <c r="JD159" s="908">
        <v>53.050422830584061</v>
      </c>
      <c r="JE159" s="902">
        <v>119.22246182229227</v>
      </c>
      <c r="JF159" s="902">
        <v>0</v>
      </c>
      <c r="JG159" s="902">
        <v>0</v>
      </c>
      <c r="JH159" s="902">
        <v>95.449966649942354</v>
      </c>
      <c r="JI159" s="902">
        <v>23.529857454798815</v>
      </c>
      <c r="JJ159" s="902">
        <v>1200</v>
      </c>
      <c r="JK159" s="909" t="s">
        <v>1064</v>
      </c>
      <c r="JL159" s="909">
        <v>4</v>
      </c>
      <c r="JM159" s="909">
        <v>0</v>
      </c>
      <c r="JN159" s="909">
        <v>0</v>
      </c>
      <c r="JO159" s="909">
        <v>0</v>
      </c>
      <c r="JP159" s="910">
        <v>2600.2743347226324</v>
      </c>
      <c r="JQ159" s="909">
        <v>0</v>
      </c>
      <c r="JR159" s="909">
        <v>0</v>
      </c>
      <c r="JS159" s="909">
        <v>0</v>
      </c>
      <c r="JT159" s="910">
        <v>2579.4876266708916</v>
      </c>
      <c r="JU159" s="871">
        <v>2579.4876266708916</v>
      </c>
      <c r="JV159" s="911">
        <v>148.83794524214164</v>
      </c>
      <c r="JW159" s="908">
        <v>53.050422830584061</v>
      </c>
      <c r="JX159" s="902">
        <v>119.22246182229227</v>
      </c>
      <c r="JY159" s="902">
        <v>0</v>
      </c>
      <c r="JZ159" s="902">
        <v>0</v>
      </c>
      <c r="KA159" s="902">
        <v>95.449966649942354</v>
      </c>
      <c r="KB159" s="902">
        <v>23.529857454798815</v>
      </c>
      <c r="KC159" s="902">
        <v>1500</v>
      </c>
      <c r="KD159" s="909" t="s">
        <v>1064</v>
      </c>
      <c r="KE159" s="909">
        <v>4</v>
      </c>
      <c r="KF159" s="909">
        <v>0</v>
      </c>
      <c r="KG159" s="909">
        <v>0</v>
      </c>
      <c r="KH159" s="909">
        <v>0</v>
      </c>
      <c r="KI159" s="910">
        <v>2600.2743347226324</v>
      </c>
      <c r="KJ159" s="909">
        <v>0</v>
      </c>
      <c r="KK159" s="909">
        <v>0</v>
      </c>
      <c r="KL159" s="909">
        <v>0</v>
      </c>
      <c r="KM159" s="910">
        <v>2579.4876266708916</v>
      </c>
      <c r="KN159" s="871">
        <v>2579.4876266708916</v>
      </c>
      <c r="KO159" s="912">
        <v>148.83794524214164</v>
      </c>
    </row>
    <row r="160" spans="1:301" ht="15" customHeight="1">
      <c r="A160" s="1047" t="s">
        <v>1616</v>
      </c>
      <c r="B160" s="888" t="s">
        <v>1079</v>
      </c>
      <c r="C160" s="888">
        <v>750.18499999999995</v>
      </c>
      <c r="D160" s="888">
        <v>1235</v>
      </c>
      <c r="E160" s="888"/>
      <c r="F160" s="888"/>
      <c r="G160" s="888">
        <v>29</v>
      </c>
      <c r="H160" s="888">
        <v>220</v>
      </c>
      <c r="I160" s="888">
        <v>220</v>
      </c>
      <c r="J160" s="888">
        <v>43.48</v>
      </c>
      <c r="K160" s="888">
        <v>63.44</v>
      </c>
      <c r="L160" s="888">
        <v>24</v>
      </c>
      <c r="M160" s="888"/>
      <c r="N160" s="888">
        <v>6</v>
      </c>
      <c r="O160" s="884">
        <v>56.421509838466818</v>
      </c>
      <c r="P160" s="888">
        <v>6</v>
      </c>
      <c r="Q160" s="884">
        <v>56.421509838466818</v>
      </c>
      <c r="R160" s="888">
        <v>18.000000000000004</v>
      </c>
      <c r="S160" s="888"/>
      <c r="T160" s="906">
        <v>0</v>
      </c>
      <c r="U160" s="906">
        <v>0</v>
      </c>
      <c r="V160" s="906">
        <v>10</v>
      </c>
      <c r="W160" s="1141">
        <v>0</v>
      </c>
      <c r="X160" s="902">
        <v>0</v>
      </c>
      <c r="Y160" s="902">
        <v>0</v>
      </c>
      <c r="Z160" s="902">
        <v>0</v>
      </c>
      <c r="AA160" s="902">
        <v>0</v>
      </c>
      <c r="AB160" s="970">
        <v>15.50585098781349</v>
      </c>
      <c r="AC160" s="1045">
        <v>2148.0593269329815</v>
      </c>
      <c r="AD160" s="890"/>
      <c r="AE160" s="890"/>
      <c r="AF160" s="890"/>
      <c r="AG160" s="890"/>
      <c r="AH160" s="888"/>
      <c r="AI160" s="907">
        <v>3.9076267715081743</v>
      </c>
      <c r="AJ160" s="908">
        <v>0</v>
      </c>
      <c r="AK160" s="902">
        <v>112.84301967693364</v>
      </c>
      <c r="AL160" s="902">
        <v>0</v>
      </c>
      <c r="AM160" s="902">
        <v>0</v>
      </c>
      <c r="AN160" s="902">
        <v>111.5</v>
      </c>
      <c r="AO160" s="902">
        <v>21.513874335843891</v>
      </c>
      <c r="AP160" s="1222">
        <v>1200</v>
      </c>
      <c r="AQ160" s="909" t="s">
        <v>1062</v>
      </c>
      <c r="AR160" s="909">
        <v>4</v>
      </c>
      <c r="AS160" s="909">
        <v>0</v>
      </c>
      <c r="AT160" s="909">
        <v>0</v>
      </c>
      <c r="AU160" s="909">
        <v>0</v>
      </c>
      <c r="AV160" s="910">
        <v>1414.3400279600303</v>
      </c>
      <c r="AW160" s="909">
        <v>0</v>
      </c>
      <c r="AX160" s="909">
        <v>0</v>
      </c>
      <c r="AY160" s="909">
        <v>0</v>
      </c>
      <c r="AZ160" s="910">
        <v>1404.2303108188366</v>
      </c>
      <c r="BA160" s="871">
        <v>1404.2303108188366</v>
      </c>
      <c r="BB160" s="911">
        <v>90.803779018241059</v>
      </c>
      <c r="BC160" s="908">
        <v>0</v>
      </c>
      <c r="BD160" s="902">
        <v>112.84301967693364</v>
      </c>
      <c r="BE160" s="902">
        <v>0</v>
      </c>
      <c r="BF160" s="902">
        <v>0</v>
      </c>
      <c r="BG160" s="902">
        <v>111.5</v>
      </c>
      <c r="BH160" s="902">
        <v>21.513874335843891</v>
      </c>
      <c r="BI160" s="902">
        <v>1500</v>
      </c>
      <c r="BJ160" s="909" t="s">
        <v>1062</v>
      </c>
      <c r="BK160" s="909">
        <v>5</v>
      </c>
      <c r="BL160" s="909">
        <v>0</v>
      </c>
      <c r="BM160" s="909">
        <v>0</v>
      </c>
      <c r="BN160" s="909">
        <v>0</v>
      </c>
      <c r="BO160" s="910">
        <v>1620.6680294268081</v>
      </c>
      <c r="BP160" s="909">
        <v>0</v>
      </c>
      <c r="BQ160" s="909">
        <v>0</v>
      </c>
      <c r="BR160" s="909">
        <v>0</v>
      </c>
      <c r="BS160" s="910">
        <v>1609.0834775981273</v>
      </c>
      <c r="BT160" s="871">
        <v>1609.0834775981273</v>
      </c>
      <c r="BU160" s="911">
        <v>104.05049613017029</v>
      </c>
      <c r="BV160" s="908">
        <v>0</v>
      </c>
      <c r="BW160" s="902">
        <v>112.84301967693364</v>
      </c>
      <c r="BX160" s="902">
        <v>0</v>
      </c>
      <c r="BY160" s="902">
        <v>0</v>
      </c>
      <c r="BZ160" s="902">
        <v>111.5</v>
      </c>
      <c r="CA160" s="902">
        <v>21.513874335843891</v>
      </c>
      <c r="CB160" s="902">
        <v>1200</v>
      </c>
      <c r="CC160" s="909" t="s">
        <v>2874</v>
      </c>
      <c r="CD160" s="909">
        <v>4</v>
      </c>
      <c r="CE160" s="909">
        <v>0</v>
      </c>
      <c r="CF160" s="909">
        <v>0</v>
      </c>
      <c r="CG160" s="909">
        <v>0</v>
      </c>
      <c r="CH160" s="910">
        <v>1229.744051543038</v>
      </c>
      <c r="CI160" s="909">
        <v>0</v>
      </c>
      <c r="CJ160" s="909">
        <v>0</v>
      </c>
      <c r="CK160" s="909">
        <v>0</v>
      </c>
      <c r="CL160" s="910">
        <v>1220.9538283496117</v>
      </c>
      <c r="CM160" s="871">
        <v>1220.9538283496117</v>
      </c>
      <c r="CN160" s="911">
        <v>78.952306303860169</v>
      </c>
      <c r="CO160" s="908">
        <v>0</v>
      </c>
      <c r="CP160" s="902">
        <v>112.84301967693364</v>
      </c>
      <c r="CQ160" s="902">
        <v>0</v>
      </c>
      <c r="CR160" s="902">
        <v>0</v>
      </c>
      <c r="CS160" s="902">
        <v>111.5</v>
      </c>
      <c r="CT160" s="902">
        <v>21.513874335843891</v>
      </c>
      <c r="CU160" s="902">
        <v>1500</v>
      </c>
      <c r="CV160" s="909" t="s">
        <v>2874</v>
      </c>
      <c r="CW160" s="909">
        <v>4</v>
      </c>
      <c r="CX160" s="909">
        <v>0</v>
      </c>
      <c r="CY160" s="909">
        <v>0</v>
      </c>
      <c r="CZ160" s="909">
        <v>0</v>
      </c>
      <c r="DA160" s="910">
        <v>1229.744051543038</v>
      </c>
      <c r="DB160" s="909">
        <v>0</v>
      </c>
      <c r="DC160" s="909">
        <v>0</v>
      </c>
      <c r="DD160" s="909">
        <v>0</v>
      </c>
      <c r="DE160" s="910">
        <v>1220.9538283496117</v>
      </c>
      <c r="DF160" s="871">
        <v>1220.9538283496117</v>
      </c>
      <c r="DG160" s="911">
        <v>78.952306303860169</v>
      </c>
      <c r="DH160" s="908">
        <v>0</v>
      </c>
      <c r="DI160" s="902">
        <v>112.84301967693364</v>
      </c>
      <c r="DJ160" s="902">
        <v>0</v>
      </c>
      <c r="DK160" s="902">
        <v>0</v>
      </c>
      <c r="DL160" s="902">
        <v>111.5</v>
      </c>
      <c r="DM160" s="902">
        <v>21.513874335843891</v>
      </c>
      <c r="DN160" s="902">
        <v>1200</v>
      </c>
      <c r="DO160" s="909" t="s">
        <v>2876</v>
      </c>
      <c r="DP160" s="909">
        <v>4</v>
      </c>
      <c r="DQ160" s="909">
        <v>0</v>
      </c>
      <c r="DR160" s="909">
        <v>0</v>
      </c>
      <c r="DS160" s="909">
        <v>0</v>
      </c>
      <c r="DT160" s="910">
        <v>1314.6516897992351</v>
      </c>
      <c r="DU160" s="909">
        <v>0</v>
      </c>
      <c r="DV160" s="909">
        <v>0</v>
      </c>
      <c r="DW160" s="909">
        <v>0</v>
      </c>
      <c r="DX160" s="910">
        <v>1305.2545459297851</v>
      </c>
      <c r="DY160" s="871">
        <v>1305.2545459297851</v>
      </c>
      <c r="DZ160" s="911">
        <v>84.403565738479216</v>
      </c>
      <c r="EA160" s="908">
        <v>0</v>
      </c>
      <c r="EB160" s="902">
        <v>112.84301967693364</v>
      </c>
      <c r="EC160" s="902">
        <v>0</v>
      </c>
      <c r="ED160" s="902">
        <v>0</v>
      </c>
      <c r="EE160" s="902">
        <v>111.5</v>
      </c>
      <c r="EF160" s="902">
        <v>21.513874335843891</v>
      </c>
      <c r="EG160" s="902">
        <v>1500</v>
      </c>
      <c r="EH160" s="909" t="s">
        <v>2876</v>
      </c>
      <c r="EI160" s="909">
        <v>4</v>
      </c>
      <c r="EJ160" s="909">
        <v>0</v>
      </c>
      <c r="EK160" s="909">
        <v>0</v>
      </c>
      <c r="EL160" s="909">
        <v>0</v>
      </c>
      <c r="EM160" s="910">
        <v>1314.6516897992351</v>
      </c>
      <c r="EN160" s="909">
        <v>0</v>
      </c>
      <c r="EO160" s="909">
        <v>0</v>
      </c>
      <c r="EP160" s="909">
        <v>0</v>
      </c>
      <c r="EQ160" s="910">
        <v>1305.2545459297851</v>
      </c>
      <c r="ER160" s="871">
        <v>1305.2545459297851</v>
      </c>
      <c r="ES160" s="911">
        <v>84.403565738479216</v>
      </c>
      <c r="ET160" s="908">
        <v>0</v>
      </c>
      <c r="EU160" s="902">
        <v>112.84301967693364</v>
      </c>
      <c r="EV160" s="902">
        <v>0</v>
      </c>
      <c r="EW160" s="902">
        <v>0</v>
      </c>
      <c r="EX160" s="902">
        <v>111.5</v>
      </c>
      <c r="EY160" s="902">
        <v>21.513874335843891</v>
      </c>
      <c r="EZ160" s="902">
        <v>1200</v>
      </c>
      <c r="FA160" s="909" t="s">
        <v>3889</v>
      </c>
      <c r="FB160" s="909">
        <v>4</v>
      </c>
      <c r="FC160" s="909">
        <v>0</v>
      </c>
      <c r="FD160" s="909">
        <v>0</v>
      </c>
      <c r="FE160" s="909">
        <v>0</v>
      </c>
      <c r="FF160" s="910">
        <v>1341.7607622899163</v>
      </c>
      <c r="FG160" s="909">
        <v>0</v>
      </c>
      <c r="FH160" s="909">
        <v>0</v>
      </c>
      <c r="FI160" s="909">
        <v>0</v>
      </c>
      <c r="FJ160" s="910">
        <v>1332.169842490051</v>
      </c>
      <c r="FK160" s="871">
        <v>1332.169842490051</v>
      </c>
      <c r="FL160" s="911">
        <v>86.144028554471021</v>
      </c>
      <c r="FM160" s="908">
        <v>0</v>
      </c>
      <c r="FN160" s="902">
        <v>112.84301967693364</v>
      </c>
      <c r="FO160" s="902">
        <v>0</v>
      </c>
      <c r="FP160" s="902">
        <v>0</v>
      </c>
      <c r="FQ160" s="902">
        <v>111.5</v>
      </c>
      <c r="FR160" s="902">
        <v>21.513874335843891</v>
      </c>
      <c r="FS160" s="902">
        <v>1500</v>
      </c>
      <c r="FT160" s="909" t="s">
        <v>3889</v>
      </c>
      <c r="FU160" s="909">
        <v>4</v>
      </c>
      <c r="FV160" s="909">
        <v>0</v>
      </c>
      <c r="FW160" s="909">
        <v>0</v>
      </c>
      <c r="FX160" s="909">
        <v>0</v>
      </c>
      <c r="FY160" s="910">
        <v>1341.7607622899163</v>
      </c>
      <c r="FZ160" s="909">
        <v>0</v>
      </c>
      <c r="GA160" s="909">
        <v>0</v>
      </c>
      <c r="GB160" s="909">
        <v>0</v>
      </c>
      <c r="GC160" s="910">
        <v>1332.169842490051</v>
      </c>
      <c r="GD160" s="871">
        <v>1332.169842490051</v>
      </c>
      <c r="GE160" s="911">
        <v>86.144028554471021</v>
      </c>
      <c r="GF160" s="908">
        <v>0</v>
      </c>
      <c r="GG160" s="902">
        <v>112.84301967693364</v>
      </c>
      <c r="GH160" s="902">
        <v>0</v>
      </c>
      <c r="GI160" s="902">
        <v>0</v>
      </c>
      <c r="GJ160" s="902">
        <v>111.5</v>
      </c>
      <c r="GK160" s="902">
        <v>21.513874335843891</v>
      </c>
      <c r="GL160" s="902">
        <v>1200</v>
      </c>
      <c r="GM160" s="909" t="s">
        <v>2877</v>
      </c>
      <c r="GN160" s="909">
        <v>4</v>
      </c>
      <c r="GO160" s="909">
        <v>0</v>
      </c>
      <c r="GP160" s="909">
        <v>0</v>
      </c>
      <c r="GQ160" s="909">
        <v>0</v>
      </c>
      <c r="GR160" s="910">
        <v>1800.1609644126736</v>
      </c>
      <c r="GS160" s="909">
        <v>0</v>
      </c>
      <c r="GT160" s="909">
        <v>0</v>
      </c>
      <c r="GU160" s="909">
        <v>0</v>
      </c>
      <c r="GV160" s="910">
        <v>1787.2933952294416</v>
      </c>
      <c r="GW160" s="871">
        <v>1787.2933952294416</v>
      </c>
      <c r="GX160" s="911">
        <v>115.57434222206716</v>
      </c>
      <c r="GY160" s="908">
        <v>0</v>
      </c>
      <c r="GZ160" s="902">
        <v>112.84301967693364</v>
      </c>
      <c r="HA160" s="902">
        <v>0</v>
      </c>
      <c r="HB160" s="902">
        <v>0</v>
      </c>
      <c r="HC160" s="902">
        <v>111.5</v>
      </c>
      <c r="HD160" s="902">
        <v>21.513874335843891</v>
      </c>
      <c r="HE160" s="902">
        <v>1500</v>
      </c>
      <c r="HF160" s="909" t="s">
        <v>2877</v>
      </c>
      <c r="HG160" s="909">
        <v>4</v>
      </c>
      <c r="HH160" s="909">
        <v>0</v>
      </c>
      <c r="HI160" s="909">
        <v>0</v>
      </c>
      <c r="HJ160" s="909">
        <v>0</v>
      </c>
      <c r="HK160" s="910">
        <v>1800.1609644126736</v>
      </c>
      <c r="HL160" s="909">
        <v>0</v>
      </c>
      <c r="HM160" s="909">
        <v>0</v>
      </c>
      <c r="HN160" s="909">
        <v>0</v>
      </c>
      <c r="HO160" s="910">
        <v>1787.2933952294416</v>
      </c>
      <c r="HP160" s="871">
        <v>1787.2933952294416</v>
      </c>
      <c r="HQ160" s="911">
        <v>115.57434222206716</v>
      </c>
      <c r="HR160" s="908">
        <v>0</v>
      </c>
      <c r="HS160" s="902">
        <v>112.84301967693364</v>
      </c>
      <c r="HT160" s="902">
        <v>0</v>
      </c>
      <c r="HU160" s="902">
        <v>0</v>
      </c>
      <c r="HV160" s="902">
        <v>111.5</v>
      </c>
      <c r="HW160" s="902">
        <v>21.513874335843891</v>
      </c>
      <c r="HX160" s="902">
        <v>1200</v>
      </c>
      <c r="HY160" s="909" t="s">
        <v>1063</v>
      </c>
      <c r="HZ160" s="909">
        <v>4</v>
      </c>
      <c r="IA160" s="909">
        <v>0</v>
      </c>
      <c r="IB160" s="909">
        <v>0</v>
      </c>
      <c r="IC160" s="909">
        <v>0</v>
      </c>
      <c r="ID160" s="910">
        <v>1587.5927439079408</v>
      </c>
      <c r="IE160" s="909">
        <v>0</v>
      </c>
      <c r="IF160" s="909">
        <v>0</v>
      </c>
      <c r="IG160" s="909">
        <v>0</v>
      </c>
      <c r="IH160" s="910">
        <v>1576.2446145620779</v>
      </c>
      <c r="II160" s="871">
        <v>1576.2446145620779</v>
      </c>
      <c r="IJ160" s="911">
        <v>101.9269891531724</v>
      </c>
      <c r="IK160" s="908">
        <v>0</v>
      </c>
      <c r="IL160" s="902">
        <v>112.84301967693364</v>
      </c>
      <c r="IM160" s="902">
        <v>0</v>
      </c>
      <c r="IN160" s="902">
        <v>0</v>
      </c>
      <c r="IO160" s="902">
        <v>111.5</v>
      </c>
      <c r="IP160" s="902">
        <v>21.513874335843891</v>
      </c>
      <c r="IQ160" s="902">
        <v>1500</v>
      </c>
      <c r="IR160" s="909" t="s">
        <v>1063</v>
      </c>
      <c r="IS160" s="909">
        <v>4</v>
      </c>
      <c r="IT160" s="909">
        <v>0</v>
      </c>
      <c r="IU160" s="909">
        <v>0</v>
      </c>
      <c r="IV160" s="909">
        <v>0</v>
      </c>
      <c r="IW160" s="910">
        <v>1587.5927439079408</v>
      </c>
      <c r="IX160" s="909">
        <v>0</v>
      </c>
      <c r="IY160" s="909">
        <v>0</v>
      </c>
      <c r="IZ160" s="909">
        <v>0</v>
      </c>
      <c r="JA160" s="910">
        <v>1576.2446145620779</v>
      </c>
      <c r="JB160" s="871">
        <v>1576.2446145620779</v>
      </c>
      <c r="JC160" s="911">
        <v>101.9269891531724</v>
      </c>
      <c r="JD160" s="908">
        <v>0</v>
      </c>
      <c r="JE160" s="902">
        <v>112.84301967693364</v>
      </c>
      <c r="JF160" s="902">
        <v>0</v>
      </c>
      <c r="JG160" s="902">
        <v>0</v>
      </c>
      <c r="JH160" s="902">
        <v>111.5</v>
      </c>
      <c r="JI160" s="902">
        <v>21.513874335843891</v>
      </c>
      <c r="JJ160" s="902">
        <v>1200</v>
      </c>
      <c r="JK160" s="909" t="s">
        <v>1064</v>
      </c>
      <c r="JL160" s="909">
        <v>4</v>
      </c>
      <c r="JM160" s="909">
        <v>0</v>
      </c>
      <c r="JN160" s="909">
        <v>0</v>
      </c>
      <c r="JO160" s="909">
        <v>0</v>
      </c>
      <c r="JP160" s="910">
        <v>2163.5242204269202</v>
      </c>
      <c r="JQ160" s="909">
        <v>0</v>
      </c>
      <c r="JR160" s="909">
        <v>0</v>
      </c>
      <c r="JS160" s="909">
        <v>0</v>
      </c>
      <c r="JT160" s="910">
        <v>2148.0593269329815</v>
      </c>
      <c r="JU160" s="871">
        <v>2148.0593269329815</v>
      </c>
      <c r="JV160" s="911">
        <v>138.90307233658498</v>
      </c>
      <c r="JW160" s="908">
        <v>0</v>
      </c>
      <c r="JX160" s="902">
        <v>112.84301967693364</v>
      </c>
      <c r="JY160" s="902">
        <v>0</v>
      </c>
      <c r="JZ160" s="902">
        <v>0</v>
      </c>
      <c r="KA160" s="902">
        <v>111.5</v>
      </c>
      <c r="KB160" s="902">
        <v>21.513874335843891</v>
      </c>
      <c r="KC160" s="902">
        <v>1500</v>
      </c>
      <c r="KD160" s="909" t="s">
        <v>1064</v>
      </c>
      <c r="KE160" s="909">
        <v>4</v>
      </c>
      <c r="KF160" s="909">
        <v>0</v>
      </c>
      <c r="KG160" s="909">
        <v>0</v>
      </c>
      <c r="KH160" s="909">
        <v>0</v>
      </c>
      <c r="KI160" s="910">
        <v>2163.5242204269202</v>
      </c>
      <c r="KJ160" s="909">
        <v>0</v>
      </c>
      <c r="KK160" s="909">
        <v>0</v>
      </c>
      <c r="KL160" s="909">
        <v>0</v>
      </c>
      <c r="KM160" s="910">
        <v>2148.0593269329815</v>
      </c>
      <c r="KN160" s="871">
        <v>2148.0593269329815</v>
      </c>
      <c r="KO160" s="912">
        <v>138.90307233658498</v>
      </c>
    </row>
    <row r="161" spans="1:301" s="878" customFormat="1" ht="15" customHeight="1">
      <c r="A161" s="924" t="s">
        <v>1617</v>
      </c>
      <c r="B161" s="888" t="s">
        <v>1073</v>
      </c>
      <c r="C161" s="888">
        <v>150</v>
      </c>
      <c r="D161" s="888">
        <v>467</v>
      </c>
      <c r="E161" s="888">
        <v>106</v>
      </c>
      <c r="F161" s="888">
        <v>150</v>
      </c>
      <c r="G161" s="888">
        <v>34</v>
      </c>
      <c r="H161" s="888">
        <v>20</v>
      </c>
      <c r="I161" s="888">
        <v>20</v>
      </c>
      <c r="J161" s="888">
        <v>41.7</v>
      </c>
      <c r="K161" s="888">
        <v>75.3</v>
      </c>
      <c r="L161" s="888">
        <v>16</v>
      </c>
      <c r="M161" s="888">
        <v>175</v>
      </c>
      <c r="N161" s="888">
        <v>2</v>
      </c>
      <c r="O161" s="884">
        <v>2.5506528708040621</v>
      </c>
      <c r="P161" s="888">
        <v>2</v>
      </c>
      <c r="Q161" s="884">
        <v>1.5710253588295613</v>
      </c>
      <c r="R161" s="888">
        <v>13.000000000000002</v>
      </c>
      <c r="S161" s="888">
        <v>301.13434031080516</v>
      </c>
      <c r="T161" s="906">
        <v>7.2681429084436955</v>
      </c>
      <c r="U161" s="906">
        <v>45.170151046620774</v>
      </c>
      <c r="V161" s="906">
        <v>47.5</v>
      </c>
      <c r="W161" s="1141">
        <v>0.44814390769610757</v>
      </c>
      <c r="X161" s="902">
        <v>0</v>
      </c>
      <c r="Y161" s="902">
        <v>0</v>
      </c>
      <c r="Z161" s="902">
        <v>0</v>
      </c>
      <c r="AA161" s="902">
        <v>0</v>
      </c>
      <c r="AB161" s="970">
        <v>0.45718399733941789</v>
      </c>
      <c r="AC161" s="1045">
        <v>4000</v>
      </c>
      <c r="AD161" s="890">
        <v>3.3922636772047023</v>
      </c>
      <c r="AE161" s="890">
        <v>0.89096749997187596</v>
      </c>
      <c r="AF161" s="890">
        <v>-0.10202187672522246</v>
      </c>
      <c r="AG161" s="890">
        <v>0.79382766686075013</v>
      </c>
      <c r="AH161" s="888"/>
      <c r="AI161" s="907">
        <v>0.76180388287585932</v>
      </c>
      <c r="AJ161" s="908">
        <v>1.3188000000000002</v>
      </c>
      <c r="AK161" s="902">
        <v>13.156765045773426</v>
      </c>
      <c r="AL161" s="902">
        <v>0</v>
      </c>
      <c r="AM161" s="902">
        <v>0</v>
      </c>
      <c r="AN161" s="902">
        <v>9.3988475934137252</v>
      </c>
      <c r="AO161" s="902">
        <v>0.25579913560825396</v>
      </c>
      <c r="AP161" s="1222">
        <v>3600</v>
      </c>
      <c r="AQ161" s="909" t="s">
        <v>1062</v>
      </c>
      <c r="AR161" s="909">
        <v>3</v>
      </c>
      <c r="AS161" s="909">
        <v>0</v>
      </c>
      <c r="AT161" s="909">
        <v>0</v>
      </c>
      <c r="AU161" s="909">
        <v>0</v>
      </c>
      <c r="AV161" s="910">
        <v>51869.023163732847</v>
      </c>
      <c r="AW161" s="909">
        <v>0</v>
      </c>
      <c r="AX161" s="909">
        <v>0</v>
      </c>
      <c r="AY161" s="909">
        <v>0</v>
      </c>
      <c r="AZ161" s="910">
        <v>84599.280019926751</v>
      </c>
      <c r="BA161" s="871">
        <v>4000</v>
      </c>
      <c r="BB161" s="911">
        <v>97.808251281762224</v>
      </c>
      <c r="BC161" s="908">
        <v>1.3188000000000002</v>
      </c>
      <c r="BD161" s="902">
        <v>13.156765045773426</v>
      </c>
      <c r="BE161" s="902">
        <v>0</v>
      </c>
      <c r="BF161" s="902">
        <v>0</v>
      </c>
      <c r="BG161" s="902">
        <v>9.3988475934137252</v>
      </c>
      <c r="BH161" s="902">
        <v>0.25579913560825396</v>
      </c>
      <c r="BI161" s="902">
        <v>3600</v>
      </c>
      <c r="BJ161" s="909" t="s">
        <v>1062</v>
      </c>
      <c r="BK161" s="909">
        <v>3</v>
      </c>
      <c r="BL161" s="909">
        <v>0</v>
      </c>
      <c r="BM161" s="909">
        <v>0</v>
      </c>
      <c r="BN161" s="909">
        <v>0</v>
      </c>
      <c r="BO161" s="910">
        <v>51869.023163732847</v>
      </c>
      <c r="BP161" s="909">
        <v>0</v>
      </c>
      <c r="BQ161" s="909">
        <v>0</v>
      </c>
      <c r="BR161" s="909">
        <v>0</v>
      </c>
      <c r="BS161" s="910">
        <v>84599.280019926751</v>
      </c>
      <c r="BT161" s="871">
        <v>4000</v>
      </c>
      <c r="BU161" s="911">
        <v>97.808251281762224</v>
      </c>
      <c r="BV161" s="908">
        <v>0.87920000000000009</v>
      </c>
      <c r="BW161" s="902">
        <v>12.717165045773427</v>
      </c>
      <c r="BX161" s="902">
        <v>0</v>
      </c>
      <c r="BY161" s="902">
        <v>0</v>
      </c>
      <c r="BZ161" s="902">
        <v>9.3780672860901859</v>
      </c>
      <c r="CA161" s="902">
        <v>0.24257877005825398</v>
      </c>
      <c r="CB161" s="902">
        <v>3600</v>
      </c>
      <c r="CC161" s="909" t="s">
        <v>2874</v>
      </c>
      <c r="CD161" s="909">
        <v>2</v>
      </c>
      <c r="CE161" s="909">
        <v>0</v>
      </c>
      <c r="CF161" s="909">
        <v>0</v>
      </c>
      <c r="CG161" s="909">
        <v>0</v>
      </c>
      <c r="CH161" s="910">
        <v>30057.835962121917</v>
      </c>
      <c r="CI161" s="909">
        <v>0</v>
      </c>
      <c r="CJ161" s="909">
        <v>0</v>
      </c>
      <c r="CK161" s="909">
        <v>0</v>
      </c>
      <c r="CL161" s="910">
        <v>29283.442955244875</v>
      </c>
      <c r="CM161" s="871">
        <v>4000</v>
      </c>
      <c r="CN161" s="911">
        <v>97.808251281762224</v>
      </c>
      <c r="CO161" s="908">
        <v>0.87920000000000009</v>
      </c>
      <c r="CP161" s="902">
        <v>12.717165045773427</v>
      </c>
      <c r="CQ161" s="902">
        <v>0</v>
      </c>
      <c r="CR161" s="902">
        <v>0</v>
      </c>
      <c r="CS161" s="902">
        <v>9.3780672860901859</v>
      </c>
      <c r="CT161" s="902">
        <v>0.24257877005825398</v>
      </c>
      <c r="CU161" s="902">
        <v>3600</v>
      </c>
      <c r="CV161" s="909" t="s">
        <v>2874</v>
      </c>
      <c r="CW161" s="909">
        <v>2</v>
      </c>
      <c r="CX161" s="909">
        <v>0</v>
      </c>
      <c r="CY161" s="909">
        <v>0</v>
      </c>
      <c r="CZ161" s="909">
        <v>0</v>
      </c>
      <c r="DA161" s="910">
        <v>30057.835962121917</v>
      </c>
      <c r="DB161" s="909">
        <v>0</v>
      </c>
      <c r="DC161" s="909">
        <v>0</v>
      </c>
      <c r="DD161" s="909">
        <v>0</v>
      </c>
      <c r="DE161" s="910">
        <v>29283.442955244875</v>
      </c>
      <c r="DF161" s="871">
        <v>4000</v>
      </c>
      <c r="DG161" s="911">
        <v>97.808251281762224</v>
      </c>
      <c r="DH161" s="908">
        <v>0.87920000000000009</v>
      </c>
      <c r="DI161" s="902">
        <v>12.717165045773427</v>
      </c>
      <c r="DJ161" s="902">
        <v>0</v>
      </c>
      <c r="DK161" s="902">
        <v>0</v>
      </c>
      <c r="DL161" s="902">
        <v>9.3780672860901859</v>
      </c>
      <c r="DM161" s="902">
        <v>0.24257877005825398</v>
      </c>
      <c r="DN161" s="902">
        <v>3600</v>
      </c>
      <c r="DO161" s="909" t="s">
        <v>2876</v>
      </c>
      <c r="DP161" s="909">
        <v>2</v>
      </c>
      <c r="DQ161" s="909">
        <v>0</v>
      </c>
      <c r="DR161" s="909">
        <v>0</v>
      </c>
      <c r="DS161" s="909">
        <v>0</v>
      </c>
      <c r="DT161" s="910">
        <v>32133.17827374654</v>
      </c>
      <c r="DU161" s="909">
        <v>0</v>
      </c>
      <c r="DV161" s="909">
        <v>0</v>
      </c>
      <c r="DW161" s="909">
        <v>0</v>
      </c>
      <c r="DX161" s="910">
        <v>31305.317326777327</v>
      </c>
      <c r="DY161" s="871">
        <v>4000</v>
      </c>
      <c r="DZ161" s="911">
        <v>97.808251281762224</v>
      </c>
      <c r="EA161" s="908">
        <v>0.87920000000000009</v>
      </c>
      <c r="EB161" s="902">
        <v>12.717165045773427</v>
      </c>
      <c r="EC161" s="902">
        <v>0</v>
      </c>
      <c r="ED161" s="902">
        <v>0</v>
      </c>
      <c r="EE161" s="902">
        <v>9.3780672860901859</v>
      </c>
      <c r="EF161" s="902">
        <v>0.24257877005825398</v>
      </c>
      <c r="EG161" s="902">
        <v>3600</v>
      </c>
      <c r="EH161" s="909" t="s">
        <v>2876</v>
      </c>
      <c r="EI161" s="909">
        <v>2</v>
      </c>
      <c r="EJ161" s="909">
        <v>0</v>
      </c>
      <c r="EK161" s="909">
        <v>0</v>
      </c>
      <c r="EL161" s="909">
        <v>0</v>
      </c>
      <c r="EM161" s="910">
        <v>32133.17827374654</v>
      </c>
      <c r="EN161" s="909">
        <v>0</v>
      </c>
      <c r="EO161" s="909">
        <v>0</v>
      </c>
      <c r="EP161" s="909">
        <v>0</v>
      </c>
      <c r="EQ161" s="910">
        <v>31305.317326777327</v>
      </c>
      <c r="ER161" s="871">
        <v>4000</v>
      </c>
      <c r="ES161" s="911">
        <v>97.808251281762224</v>
      </c>
      <c r="ET161" s="908">
        <v>0.87920000000000009</v>
      </c>
      <c r="EU161" s="902">
        <v>12.717165045773427</v>
      </c>
      <c r="EV161" s="902">
        <v>0</v>
      </c>
      <c r="EW161" s="902">
        <v>0</v>
      </c>
      <c r="EX161" s="902">
        <v>9.3780672860901859</v>
      </c>
      <c r="EY161" s="902">
        <v>0.24257877005825398</v>
      </c>
      <c r="EZ161" s="902">
        <v>3600</v>
      </c>
      <c r="FA161" s="909" t="s">
        <v>3889</v>
      </c>
      <c r="FB161" s="909">
        <v>2</v>
      </c>
      <c r="FC161" s="909">
        <v>0</v>
      </c>
      <c r="FD161" s="909">
        <v>0</v>
      </c>
      <c r="FE161" s="909">
        <v>0</v>
      </c>
      <c r="FF161" s="910">
        <v>32795.787743568901</v>
      </c>
      <c r="FG161" s="909">
        <v>0</v>
      </c>
      <c r="FH161" s="909">
        <v>0</v>
      </c>
      <c r="FI161" s="909">
        <v>0</v>
      </c>
      <c r="FJ161" s="910">
        <v>31950.855702713998</v>
      </c>
      <c r="FK161" s="871">
        <v>4000</v>
      </c>
      <c r="FL161" s="911">
        <v>97.808251281762224</v>
      </c>
      <c r="FM161" s="908">
        <v>0.87920000000000009</v>
      </c>
      <c r="FN161" s="902">
        <v>12.717165045773427</v>
      </c>
      <c r="FO161" s="902">
        <v>0</v>
      </c>
      <c r="FP161" s="902">
        <v>0</v>
      </c>
      <c r="FQ161" s="902">
        <v>9.3780672860901859</v>
      </c>
      <c r="FR161" s="902">
        <v>0.24257877005825398</v>
      </c>
      <c r="FS161" s="902">
        <v>3600</v>
      </c>
      <c r="FT161" s="909" t="s">
        <v>3889</v>
      </c>
      <c r="FU161" s="909">
        <v>2</v>
      </c>
      <c r="FV161" s="909">
        <v>0</v>
      </c>
      <c r="FW161" s="909">
        <v>0</v>
      </c>
      <c r="FX161" s="909">
        <v>0</v>
      </c>
      <c r="FY161" s="910">
        <v>32795.787743568901</v>
      </c>
      <c r="FZ161" s="909">
        <v>0</v>
      </c>
      <c r="GA161" s="909">
        <v>0</v>
      </c>
      <c r="GB161" s="909">
        <v>0</v>
      </c>
      <c r="GC161" s="910">
        <v>31950.855702713998</v>
      </c>
      <c r="GD161" s="871">
        <v>4000</v>
      </c>
      <c r="GE161" s="911">
        <v>97.808251281762224</v>
      </c>
      <c r="GF161" s="908">
        <v>0.87920000000000009</v>
      </c>
      <c r="GG161" s="902">
        <v>12.717165045773427</v>
      </c>
      <c r="GH161" s="902">
        <v>0</v>
      </c>
      <c r="GI161" s="902">
        <v>0</v>
      </c>
      <c r="GJ161" s="902">
        <v>9.3780672860901859</v>
      </c>
      <c r="GK161" s="902">
        <v>0.24257877005825398</v>
      </c>
      <c r="GL161" s="902">
        <v>3600</v>
      </c>
      <c r="GM161" s="909" t="s">
        <v>2877</v>
      </c>
      <c r="GN161" s="909">
        <v>2</v>
      </c>
      <c r="GO161" s="909">
        <v>0</v>
      </c>
      <c r="GP161" s="909">
        <v>0</v>
      </c>
      <c r="GQ161" s="909">
        <v>0</v>
      </c>
      <c r="GR161" s="910">
        <v>44000.166462154339</v>
      </c>
      <c r="GS161" s="909">
        <v>0</v>
      </c>
      <c r="GT161" s="909">
        <v>0</v>
      </c>
      <c r="GU161" s="909">
        <v>0</v>
      </c>
      <c r="GV161" s="910">
        <v>42866.571174292803</v>
      </c>
      <c r="GW161" s="871">
        <v>4000</v>
      </c>
      <c r="GX161" s="911">
        <v>97.808251281762224</v>
      </c>
      <c r="GY161" s="908">
        <v>0.87920000000000009</v>
      </c>
      <c r="GZ161" s="902">
        <v>12.717165045773427</v>
      </c>
      <c r="HA161" s="902">
        <v>0</v>
      </c>
      <c r="HB161" s="902">
        <v>0</v>
      </c>
      <c r="HC161" s="902">
        <v>9.3780672860901859</v>
      </c>
      <c r="HD161" s="902">
        <v>0.24257877005825398</v>
      </c>
      <c r="HE161" s="902">
        <v>3600</v>
      </c>
      <c r="HF161" s="909" t="s">
        <v>2877</v>
      </c>
      <c r="HG161" s="909">
        <v>2</v>
      </c>
      <c r="HH161" s="909">
        <v>0</v>
      </c>
      <c r="HI161" s="909">
        <v>0</v>
      </c>
      <c r="HJ161" s="909">
        <v>0</v>
      </c>
      <c r="HK161" s="910">
        <v>44000.166462154339</v>
      </c>
      <c r="HL161" s="909">
        <v>0</v>
      </c>
      <c r="HM161" s="909">
        <v>0</v>
      </c>
      <c r="HN161" s="909">
        <v>0</v>
      </c>
      <c r="HO161" s="910">
        <v>42866.571174292803</v>
      </c>
      <c r="HP161" s="871">
        <v>4000</v>
      </c>
      <c r="HQ161" s="911">
        <v>97.808251281762224</v>
      </c>
      <c r="HR161" s="908">
        <v>0.87920000000000009</v>
      </c>
      <c r="HS161" s="902">
        <v>12.717165045773427</v>
      </c>
      <c r="HT161" s="902">
        <v>0</v>
      </c>
      <c r="HU161" s="902">
        <v>0</v>
      </c>
      <c r="HV161" s="902">
        <v>9.3780672860901859</v>
      </c>
      <c r="HW161" s="902">
        <v>0.24257877005825398</v>
      </c>
      <c r="HX161" s="902">
        <v>3600</v>
      </c>
      <c r="HY161" s="909" t="s">
        <v>1063</v>
      </c>
      <c r="HZ161" s="909">
        <v>2</v>
      </c>
      <c r="IA161" s="909">
        <v>0</v>
      </c>
      <c r="IB161" s="909">
        <v>0</v>
      </c>
      <c r="IC161" s="909">
        <v>0</v>
      </c>
      <c r="ID161" s="910">
        <v>38804.499368051191</v>
      </c>
      <c r="IE161" s="909">
        <v>0</v>
      </c>
      <c r="IF161" s="909">
        <v>0</v>
      </c>
      <c r="IG161" s="909">
        <v>0</v>
      </c>
      <c r="IH161" s="910">
        <v>37804.76229509199</v>
      </c>
      <c r="II161" s="871">
        <v>4000</v>
      </c>
      <c r="IJ161" s="911">
        <v>97.808251281762224</v>
      </c>
      <c r="IK161" s="908">
        <v>0.87920000000000009</v>
      </c>
      <c r="IL161" s="902">
        <v>12.717165045773427</v>
      </c>
      <c r="IM161" s="902">
        <v>0</v>
      </c>
      <c r="IN161" s="902">
        <v>0</v>
      </c>
      <c r="IO161" s="902">
        <v>9.3780672860901859</v>
      </c>
      <c r="IP161" s="902">
        <v>0.24257877005825398</v>
      </c>
      <c r="IQ161" s="902">
        <v>3600</v>
      </c>
      <c r="IR161" s="909" t="s">
        <v>1063</v>
      </c>
      <c r="IS161" s="909">
        <v>2</v>
      </c>
      <c r="IT161" s="909">
        <v>0</v>
      </c>
      <c r="IU161" s="909">
        <v>0</v>
      </c>
      <c r="IV161" s="909">
        <v>0</v>
      </c>
      <c r="IW161" s="910">
        <v>38804.499368051191</v>
      </c>
      <c r="IX161" s="909">
        <v>0</v>
      </c>
      <c r="IY161" s="909">
        <v>0</v>
      </c>
      <c r="IZ161" s="909">
        <v>0</v>
      </c>
      <c r="JA161" s="910">
        <v>37804.76229509199</v>
      </c>
      <c r="JB161" s="871">
        <v>4000</v>
      </c>
      <c r="JC161" s="911">
        <v>97.808251281762224</v>
      </c>
      <c r="JD161" s="908">
        <v>0.87920000000000009</v>
      </c>
      <c r="JE161" s="902">
        <v>12.717165045773427</v>
      </c>
      <c r="JF161" s="902">
        <v>0</v>
      </c>
      <c r="JG161" s="902">
        <v>0</v>
      </c>
      <c r="JH161" s="902">
        <v>9.3780672860901859</v>
      </c>
      <c r="JI161" s="902">
        <v>0.24257877005825398</v>
      </c>
      <c r="JJ161" s="902">
        <v>3600</v>
      </c>
      <c r="JK161" s="909" t="s">
        <v>1064</v>
      </c>
      <c r="JL161" s="909">
        <v>2</v>
      </c>
      <c r="JM161" s="909">
        <v>0</v>
      </c>
      <c r="JN161" s="909">
        <v>0</v>
      </c>
      <c r="JO161" s="909">
        <v>0</v>
      </c>
      <c r="JP161" s="910">
        <v>52881.618769427725</v>
      </c>
      <c r="JQ161" s="909">
        <v>0</v>
      </c>
      <c r="JR161" s="909">
        <v>0</v>
      </c>
      <c r="JS161" s="909">
        <v>0</v>
      </c>
      <c r="JT161" s="910">
        <v>51519.206790794917</v>
      </c>
      <c r="JU161" s="871">
        <v>4000</v>
      </c>
      <c r="JV161" s="911">
        <v>97.808251281762224</v>
      </c>
      <c r="JW161" s="908">
        <v>0.87920000000000009</v>
      </c>
      <c r="JX161" s="902">
        <v>12.717165045773427</v>
      </c>
      <c r="JY161" s="902">
        <v>0</v>
      </c>
      <c r="JZ161" s="902">
        <v>0</v>
      </c>
      <c r="KA161" s="902">
        <v>9.3780672860901859</v>
      </c>
      <c r="KB161" s="902">
        <v>0.24257877005825398</v>
      </c>
      <c r="KC161" s="902">
        <v>3600</v>
      </c>
      <c r="KD161" s="909" t="s">
        <v>1064</v>
      </c>
      <c r="KE161" s="909">
        <v>2</v>
      </c>
      <c r="KF161" s="909">
        <v>0</v>
      </c>
      <c r="KG161" s="909">
        <v>0</v>
      </c>
      <c r="KH161" s="909">
        <v>0</v>
      </c>
      <c r="KI161" s="910">
        <v>52881.618769427725</v>
      </c>
      <c r="KJ161" s="909">
        <v>0</v>
      </c>
      <c r="KK161" s="909">
        <v>0</v>
      </c>
      <c r="KL161" s="909">
        <v>0</v>
      </c>
      <c r="KM161" s="910">
        <v>51519.206790794917</v>
      </c>
      <c r="KN161" s="871">
        <v>4000</v>
      </c>
      <c r="KO161" s="912">
        <v>97.808251281762224</v>
      </c>
    </row>
    <row r="162" spans="1:301" s="878" customFormat="1" ht="15" customHeight="1">
      <c r="A162" s="924" t="s">
        <v>1618</v>
      </c>
      <c r="B162" s="888" t="s">
        <v>1073</v>
      </c>
      <c r="C162" s="888">
        <v>150</v>
      </c>
      <c r="D162" s="888">
        <v>467</v>
      </c>
      <c r="E162" s="888">
        <v>106</v>
      </c>
      <c r="F162" s="888">
        <v>150</v>
      </c>
      <c r="G162" s="888">
        <v>34</v>
      </c>
      <c r="H162" s="888">
        <v>20</v>
      </c>
      <c r="I162" s="888">
        <v>20</v>
      </c>
      <c r="J162" s="888">
        <v>41.7</v>
      </c>
      <c r="K162" s="888">
        <v>75.3</v>
      </c>
      <c r="L162" s="888">
        <v>16</v>
      </c>
      <c r="M162" s="888">
        <v>175</v>
      </c>
      <c r="N162" s="888">
        <v>2</v>
      </c>
      <c r="O162" s="884">
        <v>2.5506528708040621</v>
      </c>
      <c r="P162" s="888">
        <v>2</v>
      </c>
      <c r="Q162" s="884">
        <v>1.5710253588295613</v>
      </c>
      <c r="R162" s="888">
        <v>13.000000000000002</v>
      </c>
      <c r="S162" s="888">
        <v>301.13434031080516</v>
      </c>
      <c r="T162" s="906">
        <v>7.2681429084436955</v>
      </c>
      <c r="U162" s="906">
        <v>45.170151046620774</v>
      </c>
      <c r="V162" s="906">
        <v>47.5</v>
      </c>
      <c r="W162" s="1141">
        <v>0.44814390769610757</v>
      </c>
      <c r="X162" s="902">
        <v>0</v>
      </c>
      <c r="Y162" s="902">
        <v>0</v>
      </c>
      <c r="Z162" s="902">
        <v>0</v>
      </c>
      <c r="AA162" s="902">
        <v>0</v>
      </c>
      <c r="AB162" s="970">
        <v>0.45718399733941789</v>
      </c>
      <c r="AC162" s="1045">
        <v>4000</v>
      </c>
      <c r="AD162" s="890">
        <v>3.3922636772047023</v>
      </c>
      <c r="AE162" s="890">
        <v>0.89096749997187596</v>
      </c>
      <c r="AF162" s="890">
        <v>-0.10202187672522246</v>
      </c>
      <c r="AG162" s="890">
        <v>0.79382766686075013</v>
      </c>
      <c r="AH162" s="888"/>
      <c r="AI162" s="907">
        <v>0.76180388287585932</v>
      </c>
      <c r="AJ162" s="908">
        <v>1.3188000000000002</v>
      </c>
      <c r="AK162" s="902">
        <v>13.156765045773426</v>
      </c>
      <c r="AL162" s="902">
        <v>0</v>
      </c>
      <c r="AM162" s="902">
        <v>0</v>
      </c>
      <c r="AN162" s="902">
        <v>9.3988475934137252</v>
      </c>
      <c r="AO162" s="902">
        <v>0.25579913560825396</v>
      </c>
      <c r="AP162" s="1222">
        <v>3600</v>
      </c>
      <c r="AQ162" s="909" t="s">
        <v>1062</v>
      </c>
      <c r="AR162" s="909">
        <v>3</v>
      </c>
      <c r="AS162" s="909">
        <v>0</v>
      </c>
      <c r="AT162" s="909">
        <v>0</v>
      </c>
      <c r="AU162" s="909">
        <v>0</v>
      </c>
      <c r="AV162" s="910">
        <v>51869.023163732847</v>
      </c>
      <c r="AW162" s="909">
        <v>0</v>
      </c>
      <c r="AX162" s="909">
        <v>0</v>
      </c>
      <c r="AY162" s="909">
        <v>0</v>
      </c>
      <c r="AZ162" s="910">
        <v>84599.280019926751</v>
      </c>
      <c r="BA162" s="871">
        <v>4000</v>
      </c>
      <c r="BB162" s="911">
        <v>97.808251281762224</v>
      </c>
      <c r="BC162" s="908">
        <v>1.3188000000000002</v>
      </c>
      <c r="BD162" s="902">
        <v>13.156765045773426</v>
      </c>
      <c r="BE162" s="902">
        <v>0</v>
      </c>
      <c r="BF162" s="902">
        <v>0</v>
      </c>
      <c r="BG162" s="902">
        <v>9.3988475934137252</v>
      </c>
      <c r="BH162" s="902">
        <v>0.25579913560825396</v>
      </c>
      <c r="BI162" s="902">
        <v>3600</v>
      </c>
      <c r="BJ162" s="909" t="s">
        <v>1062</v>
      </c>
      <c r="BK162" s="909">
        <v>3</v>
      </c>
      <c r="BL162" s="909">
        <v>0</v>
      </c>
      <c r="BM162" s="909">
        <v>0</v>
      </c>
      <c r="BN162" s="909">
        <v>0</v>
      </c>
      <c r="BO162" s="910">
        <v>51869.023163732847</v>
      </c>
      <c r="BP162" s="909">
        <v>0</v>
      </c>
      <c r="BQ162" s="909">
        <v>0</v>
      </c>
      <c r="BR162" s="909">
        <v>0</v>
      </c>
      <c r="BS162" s="910">
        <v>84599.280019926751</v>
      </c>
      <c r="BT162" s="871">
        <v>4000</v>
      </c>
      <c r="BU162" s="911">
        <v>97.808251281762224</v>
      </c>
      <c r="BV162" s="908">
        <v>0.87920000000000009</v>
      </c>
      <c r="BW162" s="902">
        <v>12.717165045773427</v>
      </c>
      <c r="BX162" s="902">
        <v>0</v>
      </c>
      <c r="BY162" s="902">
        <v>0</v>
      </c>
      <c r="BZ162" s="902">
        <v>9.3780672860901859</v>
      </c>
      <c r="CA162" s="902">
        <v>0.24257877005825398</v>
      </c>
      <c r="CB162" s="902">
        <v>3600</v>
      </c>
      <c r="CC162" s="909" t="s">
        <v>2874</v>
      </c>
      <c r="CD162" s="909">
        <v>2</v>
      </c>
      <c r="CE162" s="909">
        <v>0</v>
      </c>
      <c r="CF162" s="909">
        <v>0</v>
      </c>
      <c r="CG162" s="909">
        <v>0</v>
      </c>
      <c r="CH162" s="910">
        <v>30057.835962121917</v>
      </c>
      <c r="CI162" s="909">
        <v>0</v>
      </c>
      <c r="CJ162" s="909">
        <v>0</v>
      </c>
      <c r="CK162" s="909">
        <v>0</v>
      </c>
      <c r="CL162" s="910">
        <v>29283.442955244875</v>
      </c>
      <c r="CM162" s="871">
        <v>4000</v>
      </c>
      <c r="CN162" s="911">
        <v>97.808251281762224</v>
      </c>
      <c r="CO162" s="908">
        <v>0.87920000000000009</v>
      </c>
      <c r="CP162" s="902">
        <v>12.717165045773427</v>
      </c>
      <c r="CQ162" s="902">
        <v>0</v>
      </c>
      <c r="CR162" s="902">
        <v>0</v>
      </c>
      <c r="CS162" s="902">
        <v>9.3780672860901859</v>
      </c>
      <c r="CT162" s="902">
        <v>0.24257877005825398</v>
      </c>
      <c r="CU162" s="902">
        <v>3600</v>
      </c>
      <c r="CV162" s="909" t="s">
        <v>2874</v>
      </c>
      <c r="CW162" s="909">
        <v>2</v>
      </c>
      <c r="CX162" s="909">
        <v>0</v>
      </c>
      <c r="CY162" s="909">
        <v>0</v>
      </c>
      <c r="CZ162" s="909">
        <v>0</v>
      </c>
      <c r="DA162" s="910">
        <v>30057.835962121917</v>
      </c>
      <c r="DB162" s="909">
        <v>0</v>
      </c>
      <c r="DC162" s="909">
        <v>0</v>
      </c>
      <c r="DD162" s="909">
        <v>0</v>
      </c>
      <c r="DE162" s="910">
        <v>29283.442955244875</v>
      </c>
      <c r="DF162" s="871">
        <v>4000</v>
      </c>
      <c r="DG162" s="911">
        <v>97.808251281762224</v>
      </c>
      <c r="DH162" s="908">
        <v>0.87920000000000009</v>
      </c>
      <c r="DI162" s="902">
        <v>12.717165045773427</v>
      </c>
      <c r="DJ162" s="902">
        <v>0</v>
      </c>
      <c r="DK162" s="902">
        <v>0</v>
      </c>
      <c r="DL162" s="902">
        <v>9.3780672860901859</v>
      </c>
      <c r="DM162" s="902">
        <v>0.24257877005825398</v>
      </c>
      <c r="DN162" s="902">
        <v>3600</v>
      </c>
      <c r="DO162" s="909" t="s">
        <v>2876</v>
      </c>
      <c r="DP162" s="909">
        <v>2</v>
      </c>
      <c r="DQ162" s="909">
        <v>0</v>
      </c>
      <c r="DR162" s="909">
        <v>0</v>
      </c>
      <c r="DS162" s="909">
        <v>0</v>
      </c>
      <c r="DT162" s="910">
        <v>32133.17827374654</v>
      </c>
      <c r="DU162" s="909">
        <v>0</v>
      </c>
      <c r="DV162" s="909">
        <v>0</v>
      </c>
      <c r="DW162" s="909">
        <v>0</v>
      </c>
      <c r="DX162" s="910">
        <v>31305.317326777327</v>
      </c>
      <c r="DY162" s="871">
        <v>4000</v>
      </c>
      <c r="DZ162" s="911">
        <v>97.808251281762224</v>
      </c>
      <c r="EA162" s="908">
        <v>0.87920000000000009</v>
      </c>
      <c r="EB162" s="902">
        <v>12.717165045773427</v>
      </c>
      <c r="EC162" s="902">
        <v>0</v>
      </c>
      <c r="ED162" s="902">
        <v>0</v>
      </c>
      <c r="EE162" s="902">
        <v>9.3780672860901859</v>
      </c>
      <c r="EF162" s="902">
        <v>0.24257877005825398</v>
      </c>
      <c r="EG162" s="902">
        <v>3600</v>
      </c>
      <c r="EH162" s="909" t="s">
        <v>2876</v>
      </c>
      <c r="EI162" s="909">
        <v>2</v>
      </c>
      <c r="EJ162" s="909">
        <v>0</v>
      </c>
      <c r="EK162" s="909">
        <v>0</v>
      </c>
      <c r="EL162" s="909">
        <v>0</v>
      </c>
      <c r="EM162" s="910">
        <v>32133.17827374654</v>
      </c>
      <c r="EN162" s="909">
        <v>0</v>
      </c>
      <c r="EO162" s="909">
        <v>0</v>
      </c>
      <c r="EP162" s="909">
        <v>0</v>
      </c>
      <c r="EQ162" s="910">
        <v>31305.317326777327</v>
      </c>
      <c r="ER162" s="871">
        <v>4000</v>
      </c>
      <c r="ES162" s="911">
        <v>97.808251281762224</v>
      </c>
      <c r="ET162" s="908">
        <v>0.87920000000000009</v>
      </c>
      <c r="EU162" s="902">
        <v>12.717165045773427</v>
      </c>
      <c r="EV162" s="902">
        <v>0</v>
      </c>
      <c r="EW162" s="902">
        <v>0</v>
      </c>
      <c r="EX162" s="902">
        <v>9.3780672860901859</v>
      </c>
      <c r="EY162" s="902">
        <v>0.24257877005825398</v>
      </c>
      <c r="EZ162" s="902">
        <v>3600</v>
      </c>
      <c r="FA162" s="909" t="s">
        <v>3889</v>
      </c>
      <c r="FB162" s="909">
        <v>2</v>
      </c>
      <c r="FC162" s="909">
        <v>0</v>
      </c>
      <c r="FD162" s="909">
        <v>0</v>
      </c>
      <c r="FE162" s="909">
        <v>0</v>
      </c>
      <c r="FF162" s="910">
        <v>32795.787743568901</v>
      </c>
      <c r="FG162" s="909">
        <v>0</v>
      </c>
      <c r="FH162" s="909">
        <v>0</v>
      </c>
      <c r="FI162" s="909">
        <v>0</v>
      </c>
      <c r="FJ162" s="910">
        <v>31950.855702713998</v>
      </c>
      <c r="FK162" s="871">
        <v>4000</v>
      </c>
      <c r="FL162" s="911">
        <v>97.808251281762224</v>
      </c>
      <c r="FM162" s="908">
        <v>0.87920000000000009</v>
      </c>
      <c r="FN162" s="902">
        <v>12.717165045773427</v>
      </c>
      <c r="FO162" s="902">
        <v>0</v>
      </c>
      <c r="FP162" s="902">
        <v>0</v>
      </c>
      <c r="FQ162" s="902">
        <v>9.3780672860901859</v>
      </c>
      <c r="FR162" s="902">
        <v>0.24257877005825398</v>
      </c>
      <c r="FS162" s="902">
        <v>3600</v>
      </c>
      <c r="FT162" s="909" t="s">
        <v>3889</v>
      </c>
      <c r="FU162" s="909">
        <v>2</v>
      </c>
      <c r="FV162" s="909">
        <v>0</v>
      </c>
      <c r="FW162" s="909">
        <v>0</v>
      </c>
      <c r="FX162" s="909">
        <v>0</v>
      </c>
      <c r="FY162" s="910">
        <v>32795.787743568901</v>
      </c>
      <c r="FZ162" s="909">
        <v>0</v>
      </c>
      <c r="GA162" s="909">
        <v>0</v>
      </c>
      <c r="GB162" s="909">
        <v>0</v>
      </c>
      <c r="GC162" s="910">
        <v>31950.855702713998</v>
      </c>
      <c r="GD162" s="871">
        <v>4000</v>
      </c>
      <c r="GE162" s="911">
        <v>97.808251281762224</v>
      </c>
      <c r="GF162" s="908">
        <v>0.87920000000000009</v>
      </c>
      <c r="GG162" s="902">
        <v>12.717165045773427</v>
      </c>
      <c r="GH162" s="902">
        <v>0</v>
      </c>
      <c r="GI162" s="902">
        <v>0</v>
      </c>
      <c r="GJ162" s="902">
        <v>9.3780672860901859</v>
      </c>
      <c r="GK162" s="902">
        <v>0.24257877005825398</v>
      </c>
      <c r="GL162" s="902">
        <v>3600</v>
      </c>
      <c r="GM162" s="909" t="s">
        <v>2877</v>
      </c>
      <c r="GN162" s="909">
        <v>2</v>
      </c>
      <c r="GO162" s="909">
        <v>0</v>
      </c>
      <c r="GP162" s="909">
        <v>0</v>
      </c>
      <c r="GQ162" s="909">
        <v>0</v>
      </c>
      <c r="GR162" s="910">
        <v>44000.166462154339</v>
      </c>
      <c r="GS162" s="909">
        <v>0</v>
      </c>
      <c r="GT162" s="909">
        <v>0</v>
      </c>
      <c r="GU162" s="909">
        <v>0</v>
      </c>
      <c r="GV162" s="910">
        <v>42866.571174292803</v>
      </c>
      <c r="GW162" s="871">
        <v>4000</v>
      </c>
      <c r="GX162" s="911">
        <v>97.808251281762224</v>
      </c>
      <c r="GY162" s="908">
        <v>0.87920000000000009</v>
      </c>
      <c r="GZ162" s="902">
        <v>12.717165045773427</v>
      </c>
      <c r="HA162" s="902">
        <v>0</v>
      </c>
      <c r="HB162" s="902">
        <v>0</v>
      </c>
      <c r="HC162" s="902">
        <v>9.3780672860901859</v>
      </c>
      <c r="HD162" s="902">
        <v>0.24257877005825398</v>
      </c>
      <c r="HE162" s="902">
        <v>3600</v>
      </c>
      <c r="HF162" s="909" t="s">
        <v>2877</v>
      </c>
      <c r="HG162" s="909">
        <v>2</v>
      </c>
      <c r="HH162" s="909">
        <v>0</v>
      </c>
      <c r="HI162" s="909">
        <v>0</v>
      </c>
      <c r="HJ162" s="909">
        <v>0</v>
      </c>
      <c r="HK162" s="910">
        <v>44000.166462154339</v>
      </c>
      <c r="HL162" s="909">
        <v>0</v>
      </c>
      <c r="HM162" s="909">
        <v>0</v>
      </c>
      <c r="HN162" s="909">
        <v>0</v>
      </c>
      <c r="HO162" s="910">
        <v>42866.571174292803</v>
      </c>
      <c r="HP162" s="871">
        <v>4000</v>
      </c>
      <c r="HQ162" s="911">
        <v>97.808251281762224</v>
      </c>
      <c r="HR162" s="908">
        <v>0.87920000000000009</v>
      </c>
      <c r="HS162" s="902">
        <v>12.717165045773427</v>
      </c>
      <c r="HT162" s="902">
        <v>0</v>
      </c>
      <c r="HU162" s="902">
        <v>0</v>
      </c>
      <c r="HV162" s="902">
        <v>9.3780672860901859</v>
      </c>
      <c r="HW162" s="902">
        <v>0.24257877005825398</v>
      </c>
      <c r="HX162" s="902">
        <v>3600</v>
      </c>
      <c r="HY162" s="909" t="s">
        <v>1063</v>
      </c>
      <c r="HZ162" s="909">
        <v>2</v>
      </c>
      <c r="IA162" s="909">
        <v>0</v>
      </c>
      <c r="IB162" s="909">
        <v>0</v>
      </c>
      <c r="IC162" s="909">
        <v>0</v>
      </c>
      <c r="ID162" s="910">
        <v>38804.499368051191</v>
      </c>
      <c r="IE162" s="909">
        <v>0</v>
      </c>
      <c r="IF162" s="909">
        <v>0</v>
      </c>
      <c r="IG162" s="909">
        <v>0</v>
      </c>
      <c r="IH162" s="910">
        <v>37804.76229509199</v>
      </c>
      <c r="II162" s="871">
        <v>4000</v>
      </c>
      <c r="IJ162" s="911">
        <v>97.808251281762224</v>
      </c>
      <c r="IK162" s="908">
        <v>0.87920000000000009</v>
      </c>
      <c r="IL162" s="902">
        <v>12.717165045773427</v>
      </c>
      <c r="IM162" s="902">
        <v>0</v>
      </c>
      <c r="IN162" s="902">
        <v>0</v>
      </c>
      <c r="IO162" s="902">
        <v>9.3780672860901859</v>
      </c>
      <c r="IP162" s="902">
        <v>0.24257877005825398</v>
      </c>
      <c r="IQ162" s="902">
        <v>3600</v>
      </c>
      <c r="IR162" s="909" t="s">
        <v>1063</v>
      </c>
      <c r="IS162" s="909">
        <v>2</v>
      </c>
      <c r="IT162" s="909">
        <v>0</v>
      </c>
      <c r="IU162" s="909">
        <v>0</v>
      </c>
      <c r="IV162" s="909">
        <v>0</v>
      </c>
      <c r="IW162" s="910">
        <v>38804.499368051191</v>
      </c>
      <c r="IX162" s="909">
        <v>0</v>
      </c>
      <c r="IY162" s="909">
        <v>0</v>
      </c>
      <c r="IZ162" s="909">
        <v>0</v>
      </c>
      <c r="JA162" s="910">
        <v>37804.76229509199</v>
      </c>
      <c r="JB162" s="871">
        <v>4000</v>
      </c>
      <c r="JC162" s="911">
        <v>97.808251281762224</v>
      </c>
      <c r="JD162" s="908">
        <v>0.87920000000000009</v>
      </c>
      <c r="JE162" s="902">
        <v>12.717165045773427</v>
      </c>
      <c r="JF162" s="902">
        <v>0</v>
      </c>
      <c r="JG162" s="902">
        <v>0</v>
      </c>
      <c r="JH162" s="902">
        <v>9.3780672860901859</v>
      </c>
      <c r="JI162" s="902">
        <v>0.24257877005825398</v>
      </c>
      <c r="JJ162" s="902">
        <v>3600</v>
      </c>
      <c r="JK162" s="909" t="s">
        <v>1064</v>
      </c>
      <c r="JL162" s="909">
        <v>2</v>
      </c>
      <c r="JM162" s="909">
        <v>0</v>
      </c>
      <c r="JN162" s="909">
        <v>0</v>
      </c>
      <c r="JO162" s="909">
        <v>0</v>
      </c>
      <c r="JP162" s="910">
        <v>52881.618769427725</v>
      </c>
      <c r="JQ162" s="909">
        <v>0</v>
      </c>
      <c r="JR162" s="909">
        <v>0</v>
      </c>
      <c r="JS162" s="909">
        <v>0</v>
      </c>
      <c r="JT162" s="910">
        <v>51519.206790794917</v>
      </c>
      <c r="JU162" s="871">
        <v>4000</v>
      </c>
      <c r="JV162" s="911">
        <v>97.808251281762224</v>
      </c>
      <c r="JW162" s="908">
        <v>0.87920000000000009</v>
      </c>
      <c r="JX162" s="902">
        <v>12.717165045773427</v>
      </c>
      <c r="JY162" s="902">
        <v>0</v>
      </c>
      <c r="JZ162" s="902">
        <v>0</v>
      </c>
      <c r="KA162" s="902">
        <v>9.3780672860901859</v>
      </c>
      <c r="KB162" s="902">
        <v>0.24257877005825398</v>
      </c>
      <c r="KC162" s="902">
        <v>3600</v>
      </c>
      <c r="KD162" s="909" t="s">
        <v>1064</v>
      </c>
      <c r="KE162" s="909">
        <v>2</v>
      </c>
      <c r="KF162" s="909">
        <v>0</v>
      </c>
      <c r="KG162" s="909">
        <v>0</v>
      </c>
      <c r="KH162" s="909">
        <v>0</v>
      </c>
      <c r="KI162" s="910">
        <v>52881.618769427725</v>
      </c>
      <c r="KJ162" s="909">
        <v>0</v>
      </c>
      <c r="KK162" s="909">
        <v>0</v>
      </c>
      <c r="KL162" s="909">
        <v>0</v>
      </c>
      <c r="KM162" s="910">
        <v>51519.206790794917</v>
      </c>
      <c r="KN162" s="871">
        <v>4000</v>
      </c>
      <c r="KO162" s="912">
        <v>97.808251281762224</v>
      </c>
    </row>
    <row r="163" spans="1:301" ht="15" customHeight="1">
      <c r="A163" s="924" t="s">
        <v>1696</v>
      </c>
      <c r="B163" s="888" t="s">
        <v>1073</v>
      </c>
      <c r="C163" s="888">
        <v>150</v>
      </c>
      <c r="D163" s="888">
        <v>467</v>
      </c>
      <c r="E163" s="888">
        <v>106</v>
      </c>
      <c r="F163" s="888">
        <v>150</v>
      </c>
      <c r="G163" s="888">
        <v>39</v>
      </c>
      <c r="H163" s="888">
        <v>25</v>
      </c>
      <c r="I163" s="888">
        <v>25</v>
      </c>
      <c r="J163" s="888">
        <v>41.7</v>
      </c>
      <c r="K163" s="888">
        <v>75.3</v>
      </c>
      <c r="L163" s="888">
        <v>16</v>
      </c>
      <c r="M163" s="888">
        <v>175</v>
      </c>
      <c r="N163" s="888">
        <v>2</v>
      </c>
      <c r="O163" s="884">
        <v>2.5506528708040621</v>
      </c>
      <c r="P163" s="888">
        <v>2</v>
      </c>
      <c r="Q163" s="884">
        <v>1.5784217140585468</v>
      </c>
      <c r="R163" s="888">
        <v>13.000000000000002</v>
      </c>
      <c r="S163" s="888">
        <v>300.1367369266776</v>
      </c>
      <c r="T163" s="906">
        <v>7.2200665994552882</v>
      </c>
      <c r="U163" s="906">
        <v>45.020510539001641</v>
      </c>
      <c r="V163" s="906">
        <v>47.5</v>
      </c>
      <c r="W163" s="1141">
        <v>0.44517958720199069</v>
      </c>
      <c r="X163" s="902">
        <v>0</v>
      </c>
      <c r="Y163" s="902">
        <v>0</v>
      </c>
      <c r="Z163" s="902">
        <v>0</v>
      </c>
      <c r="AA163" s="902">
        <v>0</v>
      </c>
      <c r="AB163" s="970">
        <v>0.53037286101634595</v>
      </c>
      <c r="AC163" s="1045">
        <v>4000</v>
      </c>
      <c r="AD163" s="890">
        <v>3.3922636772047023</v>
      </c>
      <c r="AE163" s="890">
        <v>0.89096749997187596</v>
      </c>
      <c r="AF163" s="890">
        <v>-0.11932806106772492</v>
      </c>
      <c r="AG163" s="890">
        <v>0.79382766686075013</v>
      </c>
      <c r="AH163" s="888"/>
      <c r="AI163" s="907">
        <v>0.78980388287585934</v>
      </c>
      <c r="AJ163" s="908">
        <v>1.6485000000000003</v>
      </c>
      <c r="AK163" s="902">
        <v>13.442820771519889</v>
      </c>
      <c r="AL163" s="902">
        <v>0</v>
      </c>
      <c r="AM163" s="902">
        <v>0</v>
      </c>
      <c r="AN163" s="902">
        <v>10.671453857406993</v>
      </c>
      <c r="AO163" s="902">
        <v>0.26479522612084538</v>
      </c>
      <c r="AP163" s="1222">
        <v>3600</v>
      </c>
      <c r="AQ163" s="909" t="s">
        <v>1062</v>
      </c>
      <c r="AR163" s="909">
        <v>3</v>
      </c>
      <c r="AS163" s="909">
        <v>0</v>
      </c>
      <c r="AT163" s="909">
        <v>0</v>
      </c>
      <c r="AU163" s="909">
        <v>0</v>
      </c>
      <c r="AV163" s="910">
        <v>34805.963794802345</v>
      </c>
      <c r="AW163" s="909">
        <v>0</v>
      </c>
      <c r="AX163" s="909">
        <v>0</v>
      </c>
      <c r="AY163" s="909">
        <v>0</v>
      </c>
      <c r="AZ163" s="910">
        <v>42555.70841917846</v>
      </c>
      <c r="BA163" s="871">
        <v>4000</v>
      </c>
      <c r="BB163" s="911">
        <v>97.808251281762224</v>
      </c>
      <c r="BC163" s="908">
        <v>1.6485000000000003</v>
      </c>
      <c r="BD163" s="902">
        <v>13.442820771519889</v>
      </c>
      <c r="BE163" s="902">
        <v>0</v>
      </c>
      <c r="BF163" s="902">
        <v>0</v>
      </c>
      <c r="BG163" s="902">
        <v>10.671453857406993</v>
      </c>
      <c r="BH163" s="902">
        <v>0.26479522612084538</v>
      </c>
      <c r="BI163" s="902">
        <v>3600</v>
      </c>
      <c r="BJ163" s="909" t="s">
        <v>1062</v>
      </c>
      <c r="BK163" s="909">
        <v>3</v>
      </c>
      <c r="BL163" s="909">
        <v>0</v>
      </c>
      <c r="BM163" s="909">
        <v>0</v>
      </c>
      <c r="BN163" s="909">
        <v>0</v>
      </c>
      <c r="BO163" s="910">
        <v>34805.963794802345</v>
      </c>
      <c r="BP163" s="909">
        <v>0</v>
      </c>
      <c r="BQ163" s="909">
        <v>0</v>
      </c>
      <c r="BR163" s="909">
        <v>0</v>
      </c>
      <c r="BS163" s="910">
        <v>42555.70841917846</v>
      </c>
      <c r="BT163" s="871">
        <v>4000</v>
      </c>
      <c r="BU163" s="911">
        <v>97.808251281762224</v>
      </c>
      <c r="BV163" s="908">
        <v>1.0990000000000002</v>
      </c>
      <c r="BW163" s="902">
        <v>12.893320771519889</v>
      </c>
      <c r="BX163" s="902">
        <v>0</v>
      </c>
      <c r="BY163" s="902">
        <v>0</v>
      </c>
      <c r="BZ163" s="902">
        <v>10.593523111468031</v>
      </c>
      <c r="CA163" s="902">
        <v>0.24826976918334537</v>
      </c>
      <c r="CB163" s="902">
        <v>3600</v>
      </c>
      <c r="CC163" s="909" t="s">
        <v>2874</v>
      </c>
      <c r="CD163" s="909">
        <v>2</v>
      </c>
      <c r="CE163" s="909">
        <v>0</v>
      </c>
      <c r="CF163" s="909">
        <v>0</v>
      </c>
      <c r="CG163" s="909">
        <v>0</v>
      </c>
      <c r="CH163" s="910">
        <v>21605.063528178598</v>
      </c>
      <c r="CI163" s="909">
        <v>0</v>
      </c>
      <c r="CJ163" s="909">
        <v>0</v>
      </c>
      <c r="CK163" s="909">
        <v>0</v>
      </c>
      <c r="CL163" s="910">
        <v>21048.442947446012</v>
      </c>
      <c r="CM163" s="871">
        <v>4000</v>
      </c>
      <c r="CN163" s="911">
        <v>97.808251281762224</v>
      </c>
      <c r="CO163" s="908">
        <v>1.0990000000000002</v>
      </c>
      <c r="CP163" s="902">
        <v>12.893320771519889</v>
      </c>
      <c r="CQ163" s="902">
        <v>0</v>
      </c>
      <c r="CR163" s="902">
        <v>0</v>
      </c>
      <c r="CS163" s="902">
        <v>10.593523111468031</v>
      </c>
      <c r="CT163" s="902">
        <v>0.24826976918334537</v>
      </c>
      <c r="CU163" s="902">
        <v>3600</v>
      </c>
      <c r="CV163" s="909" t="s">
        <v>2874</v>
      </c>
      <c r="CW163" s="909">
        <v>2</v>
      </c>
      <c r="CX163" s="909">
        <v>0</v>
      </c>
      <c r="CY163" s="909">
        <v>0</v>
      </c>
      <c r="CZ163" s="909">
        <v>0</v>
      </c>
      <c r="DA163" s="910">
        <v>21605.063528178598</v>
      </c>
      <c r="DB163" s="909">
        <v>0</v>
      </c>
      <c r="DC163" s="909">
        <v>0</v>
      </c>
      <c r="DD163" s="909">
        <v>0</v>
      </c>
      <c r="DE163" s="910">
        <v>21048.442947446012</v>
      </c>
      <c r="DF163" s="871">
        <v>4000</v>
      </c>
      <c r="DG163" s="911">
        <v>97.808251281762224</v>
      </c>
      <c r="DH163" s="908">
        <v>1.0990000000000002</v>
      </c>
      <c r="DI163" s="902">
        <v>12.893320771519889</v>
      </c>
      <c r="DJ163" s="902">
        <v>0</v>
      </c>
      <c r="DK163" s="902">
        <v>0</v>
      </c>
      <c r="DL163" s="902">
        <v>10.593523111468031</v>
      </c>
      <c r="DM163" s="902">
        <v>0.24826976918334537</v>
      </c>
      <c r="DN163" s="902">
        <v>3600</v>
      </c>
      <c r="DO163" s="909" t="s">
        <v>2876</v>
      </c>
      <c r="DP163" s="909">
        <v>2</v>
      </c>
      <c r="DQ163" s="909">
        <v>0</v>
      </c>
      <c r="DR163" s="909">
        <v>0</v>
      </c>
      <c r="DS163" s="909">
        <v>0</v>
      </c>
      <c r="DT163" s="910">
        <v>23096.784440556505</v>
      </c>
      <c r="DU163" s="909">
        <v>0</v>
      </c>
      <c r="DV163" s="909">
        <v>0</v>
      </c>
      <c r="DW163" s="909">
        <v>0</v>
      </c>
      <c r="DX163" s="910">
        <v>22501.732009809435</v>
      </c>
      <c r="DY163" s="871">
        <v>4000</v>
      </c>
      <c r="DZ163" s="911">
        <v>97.808251281762224</v>
      </c>
      <c r="EA163" s="908">
        <v>1.0990000000000002</v>
      </c>
      <c r="EB163" s="902">
        <v>12.893320771519889</v>
      </c>
      <c r="EC163" s="902">
        <v>0</v>
      </c>
      <c r="ED163" s="902">
        <v>0</v>
      </c>
      <c r="EE163" s="902">
        <v>10.593523111468031</v>
      </c>
      <c r="EF163" s="902">
        <v>0.24826976918334537</v>
      </c>
      <c r="EG163" s="902">
        <v>3600</v>
      </c>
      <c r="EH163" s="909" t="s">
        <v>2876</v>
      </c>
      <c r="EI163" s="909">
        <v>2</v>
      </c>
      <c r="EJ163" s="909">
        <v>0</v>
      </c>
      <c r="EK163" s="909">
        <v>0</v>
      </c>
      <c r="EL163" s="909">
        <v>0</v>
      </c>
      <c r="EM163" s="910">
        <v>23096.784440556505</v>
      </c>
      <c r="EN163" s="909">
        <v>0</v>
      </c>
      <c r="EO163" s="909">
        <v>0</v>
      </c>
      <c r="EP163" s="909">
        <v>0</v>
      </c>
      <c r="EQ163" s="910">
        <v>22501.732009809435</v>
      </c>
      <c r="ER163" s="871">
        <v>4000</v>
      </c>
      <c r="ES163" s="911">
        <v>97.808251281762224</v>
      </c>
      <c r="ET163" s="908">
        <v>1.0990000000000002</v>
      </c>
      <c r="EU163" s="902">
        <v>12.893320771519889</v>
      </c>
      <c r="EV163" s="902">
        <v>0</v>
      </c>
      <c r="EW163" s="902">
        <v>0</v>
      </c>
      <c r="EX163" s="902">
        <v>10.593523111468031</v>
      </c>
      <c r="EY163" s="902">
        <v>0.24826976918334537</v>
      </c>
      <c r="EZ163" s="902">
        <v>3600</v>
      </c>
      <c r="FA163" s="909" t="s">
        <v>3889</v>
      </c>
      <c r="FB163" s="909">
        <v>2</v>
      </c>
      <c r="FC163" s="909">
        <v>0</v>
      </c>
      <c r="FD163" s="909">
        <v>0</v>
      </c>
      <c r="FE163" s="909">
        <v>0</v>
      </c>
      <c r="FF163" s="910">
        <v>23573.056907679111</v>
      </c>
      <c r="FG163" s="909">
        <v>0</v>
      </c>
      <c r="FH163" s="909">
        <v>0</v>
      </c>
      <c r="FI163" s="909">
        <v>0</v>
      </c>
      <c r="FJ163" s="910">
        <v>22965.734063715787</v>
      </c>
      <c r="FK163" s="871">
        <v>4000</v>
      </c>
      <c r="FL163" s="911">
        <v>97.808251281762224</v>
      </c>
      <c r="FM163" s="908">
        <v>1.0990000000000002</v>
      </c>
      <c r="FN163" s="902">
        <v>12.893320771519889</v>
      </c>
      <c r="FO163" s="902">
        <v>0</v>
      </c>
      <c r="FP163" s="902">
        <v>0</v>
      </c>
      <c r="FQ163" s="902">
        <v>10.593523111468031</v>
      </c>
      <c r="FR163" s="902">
        <v>0.24826976918334537</v>
      </c>
      <c r="FS163" s="902">
        <v>3600</v>
      </c>
      <c r="FT163" s="909" t="s">
        <v>3889</v>
      </c>
      <c r="FU163" s="909">
        <v>2</v>
      </c>
      <c r="FV163" s="909">
        <v>0</v>
      </c>
      <c r="FW163" s="909">
        <v>0</v>
      </c>
      <c r="FX163" s="909">
        <v>0</v>
      </c>
      <c r="FY163" s="910">
        <v>23573.056907679111</v>
      </c>
      <c r="FZ163" s="909">
        <v>0</v>
      </c>
      <c r="GA163" s="909">
        <v>0</v>
      </c>
      <c r="GB163" s="909">
        <v>0</v>
      </c>
      <c r="GC163" s="910">
        <v>22965.734063715787</v>
      </c>
      <c r="GD163" s="871">
        <v>4000</v>
      </c>
      <c r="GE163" s="911">
        <v>97.808251281762224</v>
      </c>
      <c r="GF163" s="908">
        <v>1.0990000000000002</v>
      </c>
      <c r="GG163" s="902">
        <v>12.893320771519889</v>
      </c>
      <c r="GH163" s="902">
        <v>0</v>
      </c>
      <c r="GI163" s="902">
        <v>0</v>
      </c>
      <c r="GJ163" s="902">
        <v>10.593523111468031</v>
      </c>
      <c r="GK163" s="902">
        <v>0.24826976918334537</v>
      </c>
      <c r="GL163" s="902">
        <v>3600</v>
      </c>
      <c r="GM163" s="909" t="s">
        <v>2877</v>
      </c>
      <c r="GN163" s="909">
        <v>2</v>
      </c>
      <c r="GO163" s="909">
        <v>0</v>
      </c>
      <c r="GP163" s="909">
        <v>0</v>
      </c>
      <c r="GQ163" s="909">
        <v>0</v>
      </c>
      <c r="GR163" s="910">
        <v>31626.574609828192</v>
      </c>
      <c r="GS163" s="909">
        <v>0</v>
      </c>
      <c r="GT163" s="909">
        <v>0</v>
      </c>
      <c r="GU163" s="909">
        <v>0</v>
      </c>
      <c r="GV163" s="910">
        <v>30811.765511803918</v>
      </c>
      <c r="GW163" s="871">
        <v>4000</v>
      </c>
      <c r="GX163" s="911">
        <v>97.808251281762224</v>
      </c>
      <c r="GY163" s="908">
        <v>1.0990000000000002</v>
      </c>
      <c r="GZ163" s="902">
        <v>12.893320771519889</v>
      </c>
      <c r="HA163" s="902">
        <v>0</v>
      </c>
      <c r="HB163" s="902">
        <v>0</v>
      </c>
      <c r="HC163" s="902">
        <v>10.593523111468031</v>
      </c>
      <c r="HD163" s="902">
        <v>0.24826976918334537</v>
      </c>
      <c r="HE163" s="902">
        <v>3600</v>
      </c>
      <c r="HF163" s="909" t="s">
        <v>2877</v>
      </c>
      <c r="HG163" s="909">
        <v>2</v>
      </c>
      <c r="HH163" s="909">
        <v>0</v>
      </c>
      <c r="HI163" s="909">
        <v>0</v>
      </c>
      <c r="HJ163" s="909">
        <v>0</v>
      </c>
      <c r="HK163" s="910">
        <v>31626.574609828192</v>
      </c>
      <c r="HL163" s="909">
        <v>0</v>
      </c>
      <c r="HM163" s="909">
        <v>0</v>
      </c>
      <c r="HN163" s="909">
        <v>0</v>
      </c>
      <c r="HO163" s="910">
        <v>30811.765511803918</v>
      </c>
      <c r="HP163" s="871">
        <v>4000</v>
      </c>
      <c r="HQ163" s="911">
        <v>97.808251281762224</v>
      </c>
      <c r="HR163" s="908">
        <v>1.0990000000000002</v>
      </c>
      <c r="HS163" s="902">
        <v>12.893320771519889</v>
      </c>
      <c r="HT163" s="902">
        <v>0</v>
      </c>
      <c r="HU163" s="902">
        <v>0</v>
      </c>
      <c r="HV163" s="902">
        <v>10.593523111468031</v>
      </c>
      <c r="HW163" s="902">
        <v>0.24826976918334537</v>
      </c>
      <c r="HX163" s="902">
        <v>3600</v>
      </c>
      <c r="HY163" s="909" t="s">
        <v>1063</v>
      </c>
      <c r="HZ163" s="909">
        <v>2</v>
      </c>
      <c r="IA163" s="909">
        <v>0</v>
      </c>
      <c r="IB163" s="909">
        <v>0</v>
      </c>
      <c r="IC163" s="909">
        <v>0</v>
      </c>
      <c r="ID163" s="910">
        <v>27892.017079478264</v>
      </c>
      <c r="IE163" s="909">
        <v>0</v>
      </c>
      <c r="IF163" s="909">
        <v>0</v>
      </c>
      <c r="IG163" s="909">
        <v>0</v>
      </c>
      <c r="IH163" s="910">
        <v>27173.422999689985</v>
      </c>
      <c r="II163" s="871">
        <v>4000</v>
      </c>
      <c r="IJ163" s="911">
        <v>97.808251281762224</v>
      </c>
      <c r="IK163" s="908">
        <v>1.0990000000000002</v>
      </c>
      <c r="IL163" s="902">
        <v>12.893320771519889</v>
      </c>
      <c r="IM163" s="902">
        <v>0</v>
      </c>
      <c r="IN163" s="902">
        <v>0</v>
      </c>
      <c r="IO163" s="902">
        <v>10.593523111468031</v>
      </c>
      <c r="IP163" s="902">
        <v>0.24826976918334537</v>
      </c>
      <c r="IQ163" s="902">
        <v>3600</v>
      </c>
      <c r="IR163" s="909" t="s">
        <v>1063</v>
      </c>
      <c r="IS163" s="909">
        <v>2</v>
      </c>
      <c r="IT163" s="909">
        <v>0</v>
      </c>
      <c r="IU163" s="909">
        <v>0</v>
      </c>
      <c r="IV163" s="909">
        <v>0</v>
      </c>
      <c r="IW163" s="910">
        <v>27892.017079478264</v>
      </c>
      <c r="IX163" s="909">
        <v>0</v>
      </c>
      <c r="IY163" s="909">
        <v>0</v>
      </c>
      <c r="IZ163" s="909">
        <v>0</v>
      </c>
      <c r="JA163" s="910">
        <v>27173.422999689985</v>
      </c>
      <c r="JB163" s="871">
        <v>4000</v>
      </c>
      <c r="JC163" s="911">
        <v>97.808251281762224</v>
      </c>
      <c r="JD163" s="908">
        <v>1.0990000000000002</v>
      </c>
      <c r="JE163" s="902">
        <v>12.893320771519889</v>
      </c>
      <c r="JF163" s="902">
        <v>0</v>
      </c>
      <c r="JG163" s="902">
        <v>0</v>
      </c>
      <c r="JH163" s="902">
        <v>10.593523111468031</v>
      </c>
      <c r="JI163" s="902">
        <v>0.24826976918334537</v>
      </c>
      <c r="JJ163" s="902">
        <v>3600</v>
      </c>
      <c r="JK163" s="909" t="s">
        <v>1064</v>
      </c>
      <c r="JL163" s="909">
        <v>2</v>
      </c>
      <c r="JM163" s="909">
        <v>0</v>
      </c>
      <c r="JN163" s="909">
        <v>0</v>
      </c>
      <c r="JO163" s="909">
        <v>0</v>
      </c>
      <c r="JP163" s="910">
        <v>38010.412140982568</v>
      </c>
      <c r="JQ163" s="909">
        <v>0</v>
      </c>
      <c r="JR163" s="909">
        <v>0</v>
      </c>
      <c r="JS163" s="909">
        <v>0</v>
      </c>
      <c r="JT163" s="910">
        <v>37031.133480119439</v>
      </c>
      <c r="JU163" s="871">
        <v>4000</v>
      </c>
      <c r="JV163" s="911">
        <v>97.808251281762224</v>
      </c>
      <c r="JW163" s="908">
        <v>1.0990000000000002</v>
      </c>
      <c r="JX163" s="902">
        <v>12.893320771519889</v>
      </c>
      <c r="JY163" s="902">
        <v>0</v>
      </c>
      <c r="JZ163" s="902">
        <v>0</v>
      </c>
      <c r="KA163" s="902">
        <v>10.593523111468031</v>
      </c>
      <c r="KB163" s="902">
        <v>0.24826976918334537</v>
      </c>
      <c r="KC163" s="902">
        <v>3600</v>
      </c>
      <c r="KD163" s="909" t="s">
        <v>1064</v>
      </c>
      <c r="KE163" s="909">
        <v>2</v>
      </c>
      <c r="KF163" s="909">
        <v>0</v>
      </c>
      <c r="KG163" s="909">
        <v>0</v>
      </c>
      <c r="KH163" s="909">
        <v>0</v>
      </c>
      <c r="KI163" s="910">
        <v>38010.412140982568</v>
      </c>
      <c r="KJ163" s="909">
        <v>0</v>
      </c>
      <c r="KK163" s="909">
        <v>0</v>
      </c>
      <c r="KL163" s="909">
        <v>0</v>
      </c>
      <c r="KM163" s="910">
        <v>37031.133480119439</v>
      </c>
      <c r="KN163" s="871">
        <v>4000</v>
      </c>
      <c r="KO163" s="912">
        <v>97.808251281762224</v>
      </c>
    </row>
    <row r="164" spans="1:301" ht="15" customHeight="1">
      <c r="A164" s="924" t="s">
        <v>1697</v>
      </c>
      <c r="B164" s="888" t="s">
        <v>1073</v>
      </c>
      <c r="C164" s="888">
        <v>150</v>
      </c>
      <c r="D164" s="888">
        <v>467</v>
      </c>
      <c r="E164" s="888">
        <v>106</v>
      </c>
      <c r="F164" s="888">
        <v>150</v>
      </c>
      <c r="G164" s="888">
        <v>39</v>
      </c>
      <c r="H164" s="888">
        <v>25</v>
      </c>
      <c r="I164" s="888">
        <v>25</v>
      </c>
      <c r="J164" s="888">
        <v>41.7</v>
      </c>
      <c r="K164" s="888">
        <v>75.3</v>
      </c>
      <c r="L164" s="888">
        <v>16</v>
      </c>
      <c r="M164" s="888">
        <v>175</v>
      </c>
      <c r="N164" s="888">
        <v>2</v>
      </c>
      <c r="O164" s="884">
        <v>2.5506528708040621</v>
      </c>
      <c r="P164" s="888">
        <v>2</v>
      </c>
      <c r="Q164" s="884">
        <v>1.5784217140585468</v>
      </c>
      <c r="R164" s="888">
        <v>13.000000000000002</v>
      </c>
      <c r="S164" s="888">
        <v>300.1367369266776</v>
      </c>
      <c r="T164" s="906">
        <v>7.2200665994552882</v>
      </c>
      <c r="U164" s="906">
        <v>45.020510539001641</v>
      </c>
      <c r="V164" s="906">
        <v>47.5</v>
      </c>
      <c r="W164" s="1141">
        <v>0.44517958720199069</v>
      </c>
      <c r="X164" s="902">
        <v>0</v>
      </c>
      <c r="Y164" s="902">
        <v>0</v>
      </c>
      <c r="Z164" s="902">
        <v>0</v>
      </c>
      <c r="AA164" s="902">
        <v>0</v>
      </c>
      <c r="AB164" s="970">
        <v>0.53037286101634595</v>
      </c>
      <c r="AC164" s="1045">
        <v>4000</v>
      </c>
      <c r="AD164" s="890">
        <v>3.3922636772047023</v>
      </c>
      <c r="AE164" s="890">
        <v>0.89096749997187596</v>
      </c>
      <c r="AF164" s="890">
        <v>-0.11932806106772492</v>
      </c>
      <c r="AG164" s="890">
        <v>0.79382766686075013</v>
      </c>
      <c r="AH164" s="888"/>
      <c r="AI164" s="907">
        <v>0.78980388287585934</v>
      </c>
      <c r="AJ164" s="908">
        <v>1.6485000000000003</v>
      </c>
      <c r="AK164" s="902">
        <v>13.442820771519889</v>
      </c>
      <c r="AL164" s="902">
        <v>0</v>
      </c>
      <c r="AM164" s="902">
        <v>0</v>
      </c>
      <c r="AN164" s="902">
        <v>10.671453857406993</v>
      </c>
      <c r="AO164" s="902">
        <v>0.26479522612084538</v>
      </c>
      <c r="AP164" s="1222">
        <v>3600</v>
      </c>
      <c r="AQ164" s="909" t="s">
        <v>1062</v>
      </c>
      <c r="AR164" s="909">
        <v>3</v>
      </c>
      <c r="AS164" s="909">
        <v>0</v>
      </c>
      <c r="AT164" s="909">
        <v>0</v>
      </c>
      <c r="AU164" s="909">
        <v>0</v>
      </c>
      <c r="AV164" s="910">
        <v>34805.963794802345</v>
      </c>
      <c r="AW164" s="909">
        <v>0</v>
      </c>
      <c r="AX164" s="909">
        <v>0</v>
      </c>
      <c r="AY164" s="909">
        <v>0</v>
      </c>
      <c r="AZ164" s="910">
        <v>42555.70841917846</v>
      </c>
      <c r="BA164" s="871">
        <v>4000</v>
      </c>
      <c r="BB164" s="911">
        <v>97.808251281762224</v>
      </c>
      <c r="BC164" s="908">
        <v>1.6485000000000003</v>
      </c>
      <c r="BD164" s="902">
        <v>13.442820771519889</v>
      </c>
      <c r="BE164" s="902">
        <v>0</v>
      </c>
      <c r="BF164" s="902">
        <v>0</v>
      </c>
      <c r="BG164" s="902">
        <v>10.671453857406993</v>
      </c>
      <c r="BH164" s="902">
        <v>0.26479522612084538</v>
      </c>
      <c r="BI164" s="902">
        <v>3600</v>
      </c>
      <c r="BJ164" s="909" t="s">
        <v>1062</v>
      </c>
      <c r="BK164" s="909">
        <v>3</v>
      </c>
      <c r="BL164" s="909">
        <v>0</v>
      </c>
      <c r="BM164" s="909">
        <v>0</v>
      </c>
      <c r="BN164" s="909">
        <v>0</v>
      </c>
      <c r="BO164" s="910">
        <v>34805.963794802345</v>
      </c>
      <c r="BP164" s="909">
        <v>0</v>
      </c>
      <c r="BQ164" s="909">
        <v>0</v>
      </c>
      <c r="BR164" s="909">
        <v>0</v>
      </c>
      <c r="BS164" s="910">
        <v>42555.70841917846</v>
      </c>
      <c r="BT164" s="871">
        <v>4000</v>
      </c>
      <c r="BU164" s="911">
        <v>97.808251281762224</v>
      </c>
      <c r="BV164" s="908">
        <v>1.0990000000000002</v>
      </c>
      <c r="BW164" s="902">
        <v>12.893320771519889</v>
      </c>
      <c r="BX164" s="902">
        <v>0</v>
      </c>
      <c r="BY164" s="902">
        <v>0</v>
      </c>
      <c r="BZ164" s="902">
        <v>10.593523111468031</v>
      </c>
      <c r="CA164" s="902">
        <v>0.24826976918334537</v>
      </c>
      <c r="CB164" s="902">
        <v>3600</v>
      </c>
      <c r="CC164" s="909" t="s">
        <v>2874</v>
      </c>
      <c r="CD164" s="909">
        <v>2</v>
      </c>
      <c r="CE164" s="909">
        <v>0</v>
      </c>
      <c r="CF164" s="909">
        <v>0</v>
      </c>
      <c r="CG164" s="909">
        <v>0</v>
      </c>
      <c r="CH164" s="910">
        <v>21605.063528178598</v>
      </c>
      <c r="CI164" s="909">
        <v>0</v>
      </c>
      <c r="CJ164" s="909">
        <v>0</v>
      </c>
      <c r="CK164" s="909">
        <v>0</v>
      </c>
      <c r="CL164" s="910">
        <v>21048.442947446012</v>
      </c>
      <c r="CM164" s="871">
        <v>4000</v>
      </c>
      <c r="CN164" s="911">
        <v>97.808251281762224</v>
      </c>
      <c r="CO164" s="908">
        <v>1.0990000000000002</v>
      </c>
      <c r="CP164" s="902">
        <v>12.893320771519889</v>
      </c>
      <c r="CQ164" s="902">
        <v>0</v>
      </c>
      <c r="CR164" s="902">
        <v>0</v>
      </c>
      <c r="CS164" s="902">
        <v>10.593523111468031</v>
      </c>
      <c r="CT164" s="902">
        <v>0.24826976918334537</v>
      </c>
      <c r="CU164" s="902">
        <v>3600</v>
      </c>
      <c r="CV164" s="909" t="s">
        <v>2874</v>
      </c>
      <c r="CW164" s="909">
        <v>2</v>
      </c>
      <c r="CX164" s="909">
        <v>0</v>
      </c>
      <c r="CY164" s="909">
        <v>0</v>
      </c>
      <c r="CZ164" s="909">
        <v>0</v>
      </c>
      <c r="DA164" s="910">
        <v>21605.063528178598</v>
      </c>
      <c r="DB164" s="909">
        <v>0</v>
      </c>
      <c r="DC164" s="909">
        <v>0</v>
      </c>
      <c r="DD164" s="909">
        <v>0</v>
      </c>
      <c r="DE164" s="910">
        <v>21048.442947446012</v>
      </c>
      <c r="DF164" s="871">
        <v>4000</v>
      </c>
      <c r="DG164" s="911">
        <v>97.808251281762224</v>
      </c>
      <c r="DH164" s="908">
        <v>1.0990000000000002</v>
      </c>
      <c r="DI164" s="902">
        <v>12.893320771519889</v>
      </c>
      <c r="DJ164" s="902">
        <v>0</v>
      </c>
      <c r="DK164" s="902">
        <v>0</v>
      </c>
      <c r="DL164" s="902">
        <v>10.593523111468031</v>
      </c>
      <c r="DM164" s="902">
        <v>0.24826976918334537</v>
      </c>
      <c r="DN164" s="902">
        <v>3600</v>
      </c>
      <c r="DO164" s="909" t="s">
        <v>2876</v>
      </c>
      <c r="DP164" s="909">
        <v>2</v>
      </c>
      <c r="DQ164" s="909">
        <v>0</v>
      </c>
      <c r="DR164" s="909">
        <v>0</v>
      </c>
      <c r="DS164" s="909">
        <v>0</v>
      </c>
      <c r="DT164" s="910">
        <v>23096.784440556505</v>
      </c>
      <c r="DU164" s="909">
        <v>0</v>
      </c>
      <c r="DV164" s="909">
        <v>0</v>
      </c>
      <c r="DW164" s="909">
        <v>0</v>
      </c>
      <c r="DX164" s="910">
        <v>22501.732009809435</v>
      </c>
      <c r="DY164" s="871">
        <v>4000</v>
      </c>
      <c r="DZ164" s="911">
        <v>97.808251281762224</v>
      </c>
      <c r="EA164" s="908">
        <v>1.0990000000000002</v>
      </c>
      <c r="EB164" s="902">
        <v>12.893320771519889</v>
      </c>
      <c r="EC164" s="902">
        <v>0</v>
      </c>
      <c r="ED164" s="902">
        <v>0</v>
      </c>
      <c r="EE164" s="902">
        <v>10.593523111468031</v>
      </c>
      <c r="EF164" s="902">
        <v>0.24826976918334537</v>
      </c>
      <c r="EG164" s="902">
        <v>3600</v>
      </c>
      <c r="EH164" s="909" t="s">
        <v>2876</v>
      </c>
      <c r="EI164" s="909">
        <v>2</v>
      </c>
      <c r="EJ164" s="909">
        <v>0</v>
      </c>
      <c r="EK164" s="909">
        <v>0</v>
      </c>
      <c r="EL164" s="909">
        <v>0</v>
      </c>
      <c r="EM164" s="910">
        <v>23096.784440556505</v>
      </c>
      <c r="EN164" s="909">
        <v>0</v>
      </c>
      <c r="EO164" s="909">
        <v>0</v>
      </c>
      <c r="EP164" s="909">
        <v>0</v>
      </c>
      <c r="EQ164" s="910">
        <v>22501.732009809435</v>
      </c>
      <c r="ER164" s="871">
        <v>4000</v>
      </c>
      <c r="ES164" s="911">
        <v>97.808251281762224</v>
      </c>
      <c r="ET164" s="908">
        <v>1.0990000000000002</v>
      </c>
      <c r="EU164" s="902">
        <v>12.893320771519889</v>
      </c>
      <c r="EV164" s="902">
        <v>0</v>
      </c>
      <c r="EW164" s="902">
        <v>0</v>
      </c>
      <c r="EX164" s="902">
        <v>10.593523111468031</v>
      </c>
      <c r="EY164" s="902">
        <v>0.24826976918334537</v>
      </c>
      <c r="EZ164" s="902">
        <v>3600</v>
      </c>
      <c r="FA164" s="909" t="s">
        <v>3889</v>
      </c>
      <c r="FB164" s="909">
        <v>2</v>
      </c>
      <c r="FC164" s="909">
        <v>0</v>
      </c>
      <c r="FD164" s="909">
        <v>0</v>
      </c>
      <c r="FE164" s="909">
        <v>0</v>
      </c>
      <c r="FF164" s="910">
        <v>23573.056907679111</v>
      </c>
      <c r="FG164" s="909">
        <v>0</v>
      </c>
      <c r="FH164" s="909">
        <v>0</v>
      </c>
      <c r="FI164" s="909">
        <v>0</v>
      </c>
      <c r="FJ164" s="910">
        <v>22965.734063715787</v>
      </c>
      <c r="FK164" s="871">
        <v>4000</v>
      </c>
      <c r="FL164" s="911">
        <v>97.808251281762224</v>
      </c>
      <c r="FM164" s="908">
        <v>1.0990000000000002</v>
      </c>
      <c r="FN164" s="902">
        <v>12.893320771519889</v>
      </c>
      <c r="FO164" s="902">
        <v>0</v>
      </c>
      <c r="FP164" s="902">
        <v>0</v>
      </c>
      <c r="FQ164" s="902">
        <v>10.593523111468031</v>
      </c>
      <c r="FR164" s="902">
        <v>0.24826976918334537</v>
      </c>
      <c r="FS164" s="902">
        <v>3600</v>
      </c>
      <c r="FT164" s="909" t="s">
        <v>3889</v>
      </c>
      <c r="FU164" s="909">
        <v>2</v>
      </c>
      <c r="FV164" s="909">
        <v>0</v>
      </c>
      <c r="FW164" s="909">
        <v>0</v>
      </c>
      <c r="FX164" s="909">
        <v>0</v>
      </c>
      <c r="FY164" s="910">
        <v>23573.056907679111</v>
      </c>
      <c r="FZ164" s="909">
        <v>0</v>
      </c>
      <c r="GA164" s="909">
        <v>0</v>
      </c>
      <c r="GB164" s="909">
        <v>0</v>
      </c>
      <c r="GC164" s="910">
        <v>22965.734063715787</v>
      </c>
      <c r="GD164" s="871">
        <v>4000</v>
      </c>
      <c r="GE164" s="911">
        <v>97.808251281762224</v>
      </c>
      <c r="GF164" s="908">
        <v>1.0990000000000002</v>
      </c>
      <c r="GG164" s="902">
        <v>12.893320771519889</v>
      </c>
      <c r="GH164" s="902">
        <v>0</v>
      </c>
      <c r="GI164" s="902">
        <v>0</v>
      </c>
      <c r="GJ164" s="902">
        <v>10.593523111468031</v>
      </c>
      <c r="GK164" s="902">
        <v>0.24826976918334537</v>
      </c>
      <c r="GL164" s="902">
        <v>3600</v>
      </c>
      <c r="GM164" s="909" t="s">
        <v>2877</v>
      </c>
      <c r="GN164" s="909">
        <v>2</v>
      </c>
      <c r="GO164" s="909">
        <v>0</v>
      </c>
      <c r="GP164" s="909">
        <v>0</v>
      </c>
      <c r="GQ164" s="909">
        <v>0</v>
      </c>
      <c r="GR164" s="910">
        <v>31626.574609828192</v>
      </c>
      <c r="GS164" s="909">
        <v>0</v>
      </c>
      <c r="GT164" s="909">
        <v>0</v>
      </c>
      <c r="GU164" s="909">
        <v>0</v>
      </c>
      <c r="GV164" s="910">
        <v>30811.765511803918</v>
      </c>
      <c r="GW164" s="871">
        <v>4000</v>
      </c>
      <c r="GX164" s="911">
        <v>97.808251281762224</v>
      </c>
      <c r="GY164" s="908">
        <v>1.0990000000000002</v>
      </c>
      <c r="GZ164" s="902">
        <v>12.893320771519889</v>
      </c>
      <c r="HA164" s="902">
        <v>0</v>
      </c>
      <c r="HB164" s="902">
        <v>0</v>
      </c>
      <c r="HC164" s="902">
        <v>10.593523111468031</v>
      </c>
      <c r="HD164" s="902">
        <v>0.24826976918334537</v>
      </c>
      <c r="HE164" s="902">
        <v>3600</v>
      </c>
      <c r="HF164" s="909" t="s">
        <v>2877</v>
      </c>
      <c r="HG164" s="909">
        <v>2</v>
      </c>
      <c r="HH164" s="909">
        <v>0</v>
      </c>
      <c r="HI164" s="909">
        <v>0</v>
      </c>
      <c r="HJ164" s="909">
        <v>0</v>
      </c>
      <c r="HK164" s="910">
        <v>31626.574609828192</v>
      </c>
      <c r="HL164" s="909">
        <v>0</v>
      </c>
      <c r="HM164" s="909">
        <v>0</v>
      </c>
      <c r="HN164" s="909">
        <v>0</v>
      </c>
      <c r="HO164" s="910">
        <v>30811.765511803918</v>
      </c>
      <c r="HP164" s="871">
        <v>4000</v>
      </c>
      <c r="HQ164" s="911">
        <v>97.808251281762224</v>
      </c>
      <c r="HR164" s="908">
        <v>1.0990000000000002</v>
      </c>
      <c r="HS164" s="902">
        <v>12.893320771519889</v>
      </c>
      <c r="HT164" s="902">
        <v>0</v>
      </c>
      <c r="HU164" s="902">
        <v>0</v>
      </c>
      <c r="HV164" s="902">
        <v>10.593523111468031</v>
      </c>
      <c r="HW164" s="902">
        <v>0.24826976918334537</v>
      </c>
      <c r="HX164" s="902">
        <v>3600</v>
      </c>
      <c r="HY164" s="909" t="s">
        <v>1063</v>
      </c>
      <c r="HZ164" s="909">
        <v>2</v>
      </c>
      <c r="IA164" s="909">
        <v>0</v>
      </c>
      <c r="IB164" s="909">
        <v>0</v>
      </c>
      <c r="IC164" s="909">
        <v>0</v>
      </c>
      <c r="ID164" s="910">
        <v>27892.017079478264</v>
      </c>
      <c r="IE164" s="909">
        <v>0</v>
      </c>
      <c r="IF164" s="909">
        <v>0</v>
      </c>
      <c r="IG164" s="909">
        <v>0</v>
      </c>
      <c r="IH164" s="910">
        <v>27173.422999689985</v>
      </c>
      <c r="II164" s="871">
        <v>4000</v>
      </c>
      <c r="IJ164" s="911">
        <v>97.808251281762224</v>
      </c>
      <c r="IK164" s="908">
        <v>1.0990000000000002</v>
      </c>
      <c r="IL164" s="902">
        <v>12.893320771519889</v>
      </c>
      <c r="IM164" s="902">
        <v>0</v>
      </c>
      <c r="IN164" s="902">
        <v>0</v>
      </c>
      <c r="IO164" s="902">
        <v>10.593523111468031</v>
      </c>
      <c r="IP164" s="902">
        <v>0.24826976918334537</v>
      </c>
      <c r="IQ164" s="902">
        <v>3600</v>
      </c>
      <c r="IR164" s="909" t="s">
        <v>1063</v>
      </c>
      <c r="IS164" s="909">
        <v>2</v>
      </c>
      <c r="IT164" s="909">
        <v>0</v>
      </c>
      <c r="IU164" s="909">
        <v>0</v>
      </c>
      <c r="IV164" s="909">
        <v>0</v>
      </c>
      <c r="IW164" s="910">
        <v>27892.017079478264</v>
      </c>
      <c r="IX164" s="909">
        <v>0</v>
      </c>
      <c r="IY164" s="909">
        <v>0</v>
      </c>
      <c r="IZ164" s="909">
        <v>0</v>
      </c>
      <c r="JA164" s="910">
        <v>27173.422999689985</v>
      </c>
      <c r="JB164" s="871">
        <v>4000</v>
      </c>
      <c r="JC164" s="911">
        <v>97.808251281762224</v>
      </c>
      <c r="JD164" s="908">
        <v>1.0990000000000002</v>
      </c>
      <c r="JE164" s="902">
        <v>12.893320771519889</v>
      </c>
      <c r="JF164" s="902">
        <v>0</v>
      </c>
      <c r="JG164" s="902">
        <v>0</v>
      </c>
      <c r="JH164" s="902">
        <v>10.593523111468031</v>
      </c>
      <c r="JI164" s="902">
        <v>0.24826976918334537</v>
      </c>
      <c r="JJ164" s="902">
        <v>3600</v>
      </c>
      <c r="JK164" s="909" t="s">
        <v>1064</v>
      </c>
      <c r="JL164" s="909">
        <v>2</v>
      </c>
      <c r="JM164" s="909">
        <v>0</v>
      </c>
      <c r="JN164" s="909">
        <v>0</v>
      </c>
      <c r="JO164" s="909">
        <v>0</v>
      </c>
      <c r="JP164" s="910">
        <v>38010.412140982568</v>
      </c>
      <c r="JQ164" s="909">
        <v>0</v>
      </c>
      <c r="JR164" s="909">
        <v>0</v>
      </c>
      <c r="JS164" s="909">
        <v>0</v>
      </c>
      <c r="JT164" s="910">
        <v>37031.133480119439</v>
      </c>
      <c r="JU164" s="871">
        <v>4000</v>
      </c>
      <c r="JV164" s="911">
        <v>97.808251281762224</v>
      </c>
      <c r="JW164" s="908">
        <v>1.0990000000000002</v>
      </c>
      <c r="JX164" s="902">
        <v>12.893320771519889</v>
      </c>
      <c r="JY164" s="902">
        <v>0</v>
      </c>
      <c r="JZ164" s="902">
        <v>0</v>
      </c>
      <c r="KA164" s="902">
        <v>10.593523111468031</v>
      </c>
      <c r="KB164" s="902">
        <v>0.24826976918334537</v>
      </c>
      <c r="KC164" s="902">
        <v>3600</v>
      </c>
      <c r="KD164" s="909" t="s">
        <v>1064</v>
      </c>
      <c r="KE164" s="909">
        <v>2</v>
      </c>
      <c r="KF164" s="909">
        <v>0</v>
      </c>
      <c r="KG164" s="909">
        <v>0</v>
      </c>
      <c r="KH164" s="909">
        <v>0</v>
      </c>
      <c r="KI164" s="910">
        <v>38010.412140982568</v>
      </c>
      <c r="KJ164" s="909">
        <v>0</v>
      </c>
      <c r="KK164" s="909">
        <v>0</v>
      </c>
      <c r="KL164" s="909">
        <v>0</v>
      </c>
      <c r="KM164" s="910">
        <v>37031.133480119439</v>
      </c>
      <c r="KN164" s="871">
        <v>4000</v>
      </c>
      <c r="KO164" s="912">
        <v>97.808251281762224</v>
      </c>
    </row>
    <row r="165" spans="1:301" ht="15" customHeight="1">
      <c r="A165" s="924" t="s">
        <v>1619</v>
      </c>
      <c r="B165" s="888" t="s">
        <v>1073</v>
      </c>
      <c r="C165" s="888">
        <v>150</v>
      </c>
      <c r="D165" s="888">
        <v>467</v>
      </c>
      <c r="E165" s="888">
        <v>156</v>
      </c>
      <c r="F165" s="888">
        <v>150</v>
      </c>
      <c r="G165" s="888">
        <v>44</v>
      </c>
      <c r="H165" s="888">
        <v>30</v>
      </c>
      <c r="I165" s="888">
        <v>30</v>
      </c>
      <c r="J165" s="888">
        <v>41.7</v>
      </c>
      <c r="K165" s="888">
        <v>75.3</v>
      </c>
      <c r="L165" s="888">
        <v>16</v>
      </c>
      <c r="M165" s="888">
        <v>175</v>
      </c>
      <c r="N165" s="888">
        <v>2</v>
      </c>
      <c r="O165" s="884">
        <v>2.3891200305381091</v>
      </c>
      <c r="P165" s="888">
        <v>2</v>
      </c>
      <c r="Q165" s="884">
        <v>1.584771130785082</v>
      </c>
      <c r="R165" s="888">
        <v>13.000000000000002</v>
      </c>
      <c r="S165" s="888">
        <v>299.27768956812326</v>
      </c>
      <c r="T165" s="906">
        <v>7.1787953907328088</v>
      </c>
      <c r="U165" s="906">
        <v>44.891653435218487</v>
      </c>
      <c r="V165" s="906">
        <v>47.5</v>
      </c>
      <c r="W165" s="1141">
        <v>0.44263486002955887</v>
      </c>
      <c r="X165" s="902">
        <v>0</v>
      </c>
      <c r="Y165" s="902">
        <v>0</v>
      </c>
      <c r="Z165" s="902">
        <v>0</v>
      </c>
      <c r="AA165" s="902">
        <v>0</v>
      </c>
      <c r="AB165" s="970">
        <v>0.59193664555738279</v>
      </c>
      <c r="AC165" s="1045">
        <v>4000</v>
      </c>
      <c r="AD165" s="890">
        <v>3.3922636772047023</v>
      </c>
      <c r="AE165" s="890">
        <v>0.89096749997187596</v>
      </c>
      <c r="AF165" s="890">
        <v>-0.13454108041600168</v>
      </c>
      <c r="AG165" s="890">
        <v>0.79382766686075013</v>
      </c>
      <c r="AH165" s="888"/>
      <c r="AI165" s="907">
        <v>0.81780388287585937</v>
      </c>
      <c r="AJ165" s="908">
        <v>1.9782000000000002</v>
      </c>
      <c r="AK165" s="902">
        <v>13.573521412085558</v>
      </c>
      <c r="AL165" s="902">
        <v>0</v>
      </c>
      <c r="AM165" s="902">
        <v>0</v>
      </c>
      <c r="AN165" s="902">
        <v>11.795474081607059</v>
      </c>
      <c r="AO165" s="902">
        <v>0.27320803552580991</v>
      </c>
      <c r="AP165" s="1222">
        <v>3600</v>
      </c>
      <c r="AQ165" s="909" t="s">
        <v>1062</v>
      </c>
      <c r="AR165" s="909">
        <v>3</v>
      </c>
      <c r="AS165" s="909">
        <v>0</v>
      </c>
      <c r="AT165" s="909">
        <v>0</v>
      </c>
      <c r="AU165" s="909">
        <v>0</v>
      </c>
      <c r="AV165" s="910">
        <v>26492.791922289573</v>
      </c>
      <c r="AW165" s="909">
        <v>0</v>
      </c>
      <c r="AX165" s="909">
        <v>0</v>
      </c>
      <c r="AY165" s="909">
        <v>0</v>
      </c>
      <c r="AZ165" s="910">
        <v>29696.435255365683</v>
      </c>
      <c r="BA165" s="871">
        <v>4000</v>
      </c>
      <c r="BB165" s="911">
        <v>97.808251281762224</v>
      </c>
      <c r="BC165" s="908">
        <v>1.9782000000000002</v>
      </c>
      <c r="BD165" s="902">
        <v>13.573521412085558</v>
      </c>
      <c r="BE165" s="902">
        <v>0</v>
      </c>
      <c r="BF165" s="902">
        <v>0</v>
      </c>
      <c r="BG165" s="902">
        <v>11.795474081607059</v>
      </c>
      <c r="BH165" s="902">
        <v>0.27320803552580991</v>
      </c>
      <c r="BI165" s="902">
        <v>3600</v>
      </c>
      <c r="BJ165" s="909" t="s">
        <v>1062</v>
      </c>
      <c r="BK165" s="909">
        <v>3</v>
      </c>
      <c r="BL165" s="909">
        <v>0</v>
      </c>
      <c r="BM165" s="909">
        <v>0</v>
      </c>
      <c r="BN165" s="909">
        <v>0</v>
      </c>
      <c r="BO165" s="910">
        <v>26492.791922289573</v>
      </c>
      <c r="BP165" s="909">
        <v>0</v>
      </c>
      <c r="BQ165" s="909">
        <v>0</v>
      </c>
      <c r="BR165" s="909">
        <v>0</v>
      </c>
      <c r="BS165" s="910">
        <v>29696.435255365683</v>
      </c>
      <c r="BT165" s="871">
        <v>4000</v>
      </c>
      <c r="BU165" s="911">
        <v>97.808251281762224</v>
      </c>
      <c r="BV165" s="908">
        <v>1.3188000000000002</v>
      </c>
      <c r="BW165" s="902">
        <v>12.914121412085558</v>
      </c>
      <c r="BX165" s="902">
        <v>0</v>
      </c>
      <c r="BY165" s="902">
        <v>0</v>
      </c>
      <c r="BZ165" s="902">
        <v>11.631849757260008</v>
      </c>
      <c r="CA165" s="902">
        <v>0.25337748720080994</v>
      </c>
      <c r="CB165" s="902">
        <v>3600</v>
      </c>
      <c r="CC165" s="909" t="s">
        <v>2874</v>
      </c>
      <c r="CD165" s="909">
        <v>2</v>
      </c>
      <c r="CE165" s="909">
        <v>0</v>
      </c>
      <c r="CF165" s="909">
        <v>0</v>
      </c>
      <c r="CG165" s="909">
        <v>0</v>
      </c>
      <c r="CH165" s="910">
        <v>16911.140519873177</v>
      </c>
      <c r="CI165" s="909">
        <v>0</v>
      </c>
      <c r="CJ165" s="909">
        <v>0</v>
      </c>
      <c r="CK165" s="909">
        <v>0</v>
      </c>
      <c r="CL165" s="910">
        <v>16475.451504459626</v>
      </c>
      <c r="CM165" s="871">
        <v>4000</v>
      </c>
      <c r="CN165" s="911">
        <v>97.808251281762224</v>
      </c>
      <c r="CO165" s="908">
        <v>1.3188000000000002</v>
      </c>
      <c r="CP165" s="902">
        <v>12.914121412085558</v>
      </c>
      <c r="CQ165" s="902">
        <v>0</v>
      </c>
      <c r="CR165" s="902">
        <v>0</v>
      </c>
      <c r="CS165" s="902">
        <v>11.631849757260008</v>
      </c>
      <c r="CT165" s="902">
        <v>0.25337748720080994</v>
      </c>
      <c r="CU165" s="902">
        <v>3600</v>
      </c>
      <c r="CV165" s="909" t="s">
        <v>2874</v>
      </c>
      <c r="CW165" s="909">
        <v>2</v>
      </c>
      <c r="CX165" s="909">
        <v>0</v>
      </c>
      <c r="CY165" s="909">
        <v>0</v>
      </c>
      <c r="CZ165" s="909">
        <v>0</v>
      </c>
      <c r="DA165" s="910">
        <v>16911.140519873177</v>
      </c>
      <c r="DB165" s="909">
        <v>0</v>
      </c>
      <c r="DC165" s="909">
        <v>0</v>
      </c>
      <c r="DD165" s="909">
        <v>0</v>
      </c>
      <c r="DE165" s="910">
        <v>16475.451504459626</v>
      </c>
      <c r="DF165" s="871">
        <v>4000</v>
      </c>
      <c r="DG165" s="911">
        <v>97.808251281762224</v>
      </c>
      <c r="DH165" s="908">
        <v>1.3188000000000002</v>
      </c>
      <c r="DI165" s="902">
        <v>12.914121412085558</v>
      </c>
      <c r="DJ165" s="902">
        <v>0</v>
      </c>
      <c r="DK165" s="902">
        <v>0</v>
      </c>
      <c r="DL165" s="902">
        <v>11.631849757260008</v>
      </c>
      <c r="DM165" s="902">
        <v>0.25337748720080994</v>
      </c>
      <c r="DN165" s="902">
        <v>3600</v>
      </c>
      <c r="DO165" s="909" t="s">
        <v>2876</v>
      </c>
      <c r="DP165" s="909">
        <v>2</v>
      </c>
      <c r="DQ165" s="909">
        <v>0</v>
      </c>
      <c r="DR165" s="909">
        <v>0</v>
      </c>
      <c r="DS165" s="909">
        <v>0</v>
      </c>
      <c r="DT165" s="910">
        <v>18078.769670023827</v>
      </c>
      <c r="DU165" s="909">
        <v>0</v>
      </c>
      <c r="DV165" s="909">
        <v>0</v>
      </c>
      <c r="DW165" s="909">
        <v>0</v>
      </c>
      <c r="DX165" s="910">
        <v>17612.998520604346</v>
      </c>
      <c r="DY165" s="871">
        <v>4000</v>
      </c>
      <c r="DZ165" s="911">
        <v>97.808251281762224</v>
      </c>
      <c r="EA165" s="908">
        <v>1.3188000000000002</v>
      </c>
      <c r="EB165" s="902">
        <v>12.914121412085558</v>
      </c>
      <c r="EC165" s="902">
        <v>0</v>
      </c>
      <c r="ED165" s="902">
        <v>0</v>
      </c>
      <c r="EE165" s="902">
        <v>11.631849757260008</v>
      </c>
      <c r="EF165" s="902">
        <v>0.25337748720080994</v>
      </c>
      <c r="EG165" s="902">
        <v>3600</v>
      </c>
      <c r="EH165" s="909" t="s">
        <v>2876</v>
      </c>
      <c r="EI165" s="909">
        <v>2</v>
      </c>
      <c r="EJ165" s="909">
        <v>0</v>
      </c>
      <c r="EK165" s="909">
        <v>0</v>
      </c>
      <c r="EL165" s="909">
        <v>0</v>
      </c>
      <c r="EM165" s="910">
        <v>18078.769670023827</v>
      </c>
      <c r="EN165" s="909">
        <v>0</v>
      </c>
      <c r="EO165" s="909">
        <v>0</v>
      </c>
      <c r="EP165" s="909">
        <v>0</v>
      </c>
      <c r="EQ165" s="910">
        <v>17612.998520604346</v>
      </c>
      <c r="ER165" s="871">
        <v>4000</v>
      </c>
      <c r="ES165" s="911">
        <v>97.808251281762224</v>
      </c>
      <c r="ET165" s="908">
        <v>1.3188000000000002</v>
      </c>
      <c r="EU165" s="902">
        <v>12.914121412085558</v>
      </c>
      <c r="EV165" s="902">
        <v>0</v>
      </c>
      <c r="EW165" s="902">
        <v>0</v>
      </c>
      <c r="EX165" s="902">
        <v>11.631849757260008</v>
      </c>
      <c r="EY165" s="902">
        <v>0.25337748720080994</v>
      </c>
      <c r="EZ165" s="902">
        <v>3600</v>
      </c>
      <c r="FA165" s="909" t="s">
        <v>3889</v>
      </c>
      <c r="FB165" s="909">
        <v>2</v>
      </c>
      <c r="FC165" s="909">
        <v>0</v>
      </c>
      <c r="FD165" s="909">
        <v>0</v>
      </c>
      <c r="FE165" s="909">
        <v>0</v>
      </c>
      <c r="FF165" s="910">
        <v>18451.567028692913</v>
      </c>
      <c r="FG165" s="909">
        <v>0</v>
      </c>
      <c r="FH165" s="909">
        <v>0</v>
      </c>
      <c r="FI165" s="909">
        <v>0</v>
      </c>
      <c r="FJ165" s="910">
        <v>17976.191339948178</v>
      </c>
      <c r="FK165" s="871">
        <v>4000</v>
      </c>
      <c r="FL165" s="911">
        <v>97.808251281762224</v>
      </c>
      <c r="FM165" s="908">
        <v>1.3188000000000002</v>
      </c>
      <c r="FN165" s="902">
        <v>12.914121412085558</v>
      </c>
      <c r="FO165" s="902">
        <v>0</v>
      </c>
      <c r="FP165" s="902">
        <v>0</v>
      </c>
      <c r="FQ165" s="902">
        <v>11.631849757260008</v>
      </c>
      <c r="FR165" s="902">
        <v>0.25337748720080994</v>
      </c>
      <c r="FS165" s="902">
        <v>3600</v>
      </c>
      <c r="FT165" s="909" t="s">
        <v>3889</v>
      </c>
      <c r="FU165" s="909">
        <v>2</v>
      </c>
      <c r="FV165" s="909">
        <v>0</v>
      </c>
      <c r="FW165" s="909">
        <v>0</v>
      </c>
      <c r="FX165" s="909">
        <v>0</v>
      </c>
      <c r="FY165" s="910">
        <v>18451.567028692913</v>
      </c>
      <c r="FZ165" s="909">
        <v>0</v>
      </c>
      <c r="GA165" s="909">
        <v>0</v>
      </c>
      <c r="GB165" s="909">
        <v>0</v>
      </c>
      <c r="GC165" s="910">
        <v>17976.191339948178</v>
      </c>
      <c r="GD165" s="871">
        <v>4000</v>
      </c>
      <c r="GE165" s="911">
        <v>97.808251281762224</v>
      </c>
      <c r="GF165" s="908">
        <v>1.3188000000000002</v>
      </c>
      <c r="GG165" s="902">
        <v>12.914121412085558</v>
      </c>
      <c r="GH165" s="902">
        <v>0</v>
      </c>
      <c r="GI165" s="902">
        <v>0</v>
      </c>
      <c r="GJ165" s="902">
        <v>11.631849757260008</v>
      </c>
      <c r="GK165" s="902">
        <v>0.25337748720080994</v>
      </c>
      <c r="GL165" s="902">
        <v>3600</v>
      </c>
      <c r="GM165" s="909" t="s">
        <v>2877</v>
      </c>
      <c r="GN165" s="909">
        <v>2</v>
      </c>
      <c r="GO165" s="909">
        <v>0</v>
      </c>
      <c r="GP165" s="909">
        <v>0</v>
      </c>
      <c r="GQ165" s="909">
        <v>0</v>
      </c>
      <c r="GR165" s="910">
        <v>24755.374900530664</v>
      </c>
      <c r="GS165" s="909">
        <v>0</v>
      </c>
      <c r="GT165" s="909">
        <v>0</v>
      </c>
      <c r="GU165" s="909">
        <v>0</v>
      </c>
      <c r="GV165" s="910">
        <v>24117.591487599802</v>
      </c>
      <c r="GW165" s="871">
        <v>4000</v>
      </c>
      <c r="GX165" s="911">
        <v>97.808251281762224</v>
      </c>
      <c r="GY165" s="908">
        <v>1.3188000000000002</v>
      </c>
      <c r="GZ165" s="902">
        <v>12.914121412085558</v>
      </c>
      <c r="HA165" s="902">
        <v>0</v>
      </c>
      <c r="HB165" s="902">
        <v>0</v>
      </c>
      <c r="HC165" s="902">
        <v>11.631849757260008</v>
      </c>
      <c r="HD165" s="902">
        <v>0.25337748720080994</v>
      </c>
      <c r="HE165" s="902">
        <v>3600</v>
      </c>
      <c r="HF165" s="909" t="s">
        <v>2877</v>
      </c>
      <c r="HG165" s="909">
        <v>2</v>
      </c>
      <c r="HH165" s="909">
        <v>0</v>
      </c>
      <c r="HI165" s="909">
        <v>0</v>
      </c>
      <c r="HJ165" s="909">
        <v>0</v>
      </c>
      <c r="HK165" s="910">
        <v>24755.374900530664</v>
      </c>
      <c r="HL165" s="909">
        <v>0</v>
      </c>
      <c r="HM165" s="909">
        <v>0</v>
      </c>
      <c r="HN165" s="909">
        <v>0</v>
      </c>
      <c r="HO165" s="910">
        <v>24117.591487599802</v>
      </c>
      <c r="HP165" s="871">
        <v>4000</v>
      </c>
      <c r="HQ165" s="911">
        <v>97.808251281762224</v>
      </c>
      <c r="HR165" s="908">
        <v>1.3188000000000002</v>
      </c>
      <c r="HS165" s="902">
        <v>12.914121412085558</v>
      </c>
      <c r="HT165" s="902">
        <v>0</v>
      </c>
      <c r="HU165" s="902">
        <v>0</v>
      </c>
      <c r="HV165" s="902">
        <v>11.631849757260008</v>
      </c>
      <c r="HW165" s="902">
        <v>0.25337748720080994</v>
      </c>
      <c r="HX165" s="902">
        <v>3600</v>
      </c>
      <c r="HY165" s="909" t="s">
        <v>1063</v>
      </c>
      <c r="HZ165" s="909">
        <v>2</v>
      </c>
      <c r="IA165" s="909">
        <v>0</v>
      </c>
      <c r="IB165" s="909">
        <v>0</v>
      </c>
      <c r="IC165" s="909">
        <v>0</v>
      </c>
      <c r="ID165" s="910">
        <v>21832.188532973043</v>
      </c>
      <c r="IE165" s="909">
        <v>0</v>
      </c>
      <c r="IF165" s="909">
        <v>0</v>
      </c>
      <c r="IG165" s="909">
        <v>0</v>
      </c>
      <c r="IH165" s="910">
        <v>21269.716432673547</v>
      </c>
      <c r="II165" s="871">
        <v>4000</v>
      </c>
      <c r="IJ165" s="911">
        <v>97.808251281762224</v>
      </c>
      <c r="IK165" s="908">
        <v>1.3188000000000002</v>
      </c>
      <c r="IL165" s="902">
        <v>12.914121412085558</v>
      </c>
      <c r="IM165" s="902">
        <v>0</v>
      </c>
      <c r="IN165" s="902">
        <v>0</v>
      </c>
      <c r="IO165" s="902">
        <v>11.631849757260008</v>
      </c>
      <c r="IP165" s="902">
        <v>0.25337748720080994</v>
      </c>
      <c r="IQ165" s="902">
        <v>3600</v>
      </c>
      <c r="IR165" s="909" t="s">
        <v>1063</v>
      </c>
      <c r="IS165" s="909">
        <v>2</v>
      </c>
      <c r="IT165" s="909">
        <v>0</v>
      </c>
      <c r="IU165" s="909">
        <v>0</v>
      </c>
      <c r="IV165" s="909">
        <v>0</v>
      </c>
      <c r="IW165" s="910">
        <v>21832.188532973043</v>
      </c>
      <c r="IX165" s="909">
        <v>0</v>
      </c>
      <c r="IY165" s="909">
        <v>0</v>
      </c>
      <c r="IZ165" s="909">
        <v>0</v>
      </c>
      <c r="JA165" s="910">
        <v>21269.716432673547</v>
      </c>
      <c r="JB165" s="871">
        <v>4000</v>
      </c>
      <c r="JC165" s="911">
        <v>97.808251281762224</v>
      </c>
      <c r="JD165" s="908">
        <v>1.3188000000000002</v>
      </c>
      <c r="JE165" s="902">
        <v>12.914121412085558</v>
      </c>
      <c r="JF165" s="902">
        <v>0</v>
      </c>
      <c r="JG165" s="902">
        <v>0</v>
      </c>
      <c r="JH165" s="902">
        <v>11.631849757260008</v>
      </c>
      <c r="JI165" s="902">
        <v>0.25337748720080994</v>
      </c>
      <c r="JJ165" s="902">
        <v>3600</v>
      </c>
      <c r="JK165" s="909" t="s">
        <v>1064</v>
      </c>
      <c r="JL165" s="909">
        <v>2</v>
      </c>
      <c r="JM165" s="909">
        <v>0</v>
      </c>
      <c r="JN165" s="909">
        <v>0</v>
      </c>
      <c r="JO165" s="909">
        <v>0</v>
      </c>
      <c r="JP165" s="910">
        <v>29752.2578490659</v>
      </c>
      <c r="JQ165" s="909">
        <v>0</v>
      </c>
      <c r="JR165" s="909">
        <v>0</v>
      </c>
      <c r="JS165" s="909">
        <v>0</v>
      </c>
      <c r="JT165" s="910">
        <v>28985.737583072783</v>
      </c>
      <c r="JU165" s="871">
        <v>4000</v>
      </c>
      <c r="JV165" s="911">
        <v>97.808251281762224</v>
      </c>
      <c r="JW165" s="908">
        <v>1.3188000000000002</v>
      </c>
      <c r="JX165" s="902">
        <v>12.914121412085558</v>
      </c>
      <c r="JY165" s="902">
        <v>0</v>
      </c>
      <c r="JZ165" s="902">
        <v>0</v>
      </c>
      <c r="KA165" s="902">
        <v>11.631849757260008</v>
      </c>
      <c r="KB165" s="902">
        <v>0.25337748720080994</v>
      </c>
      <c r="KC165" s="902">
        <v>3600</v>
      </c>
      <c r="KD165" s="909" t="s">
        <v>1064</v>
      </c>
      <c r="KE165" s="909">
        <v>2</v>
      </c>
      <c r="KF165" s="909">
        <v>0</v>
      </c>
      <c r="KG165" s="909">
        <v>0</v>
      </c>
      <c r="KH165" s="909">
        <v>0</v>
      </c>
      <c r="KI165" s="910">
        <v>29752.2578490659</v>
      </c>
      <c r="KJ165" s="909">
        <v>0</v>
      </c>
      <c r="KK165" s="909">
        <v>0</v>
      </c>
      <c r="KL165" s="909">
        <v>0</v>
      </c>
      <c r="KM165" s="910">
        <v>28985.737583072783</v>
      </c>
      <c r="KN165" s="871">
        <v>4000</v>
      </c>
      <c r="KO165" s="912">
        <v>97.808251281762224</v>
      </c>
    </row>
    <row r="166" spans="1:301" ht="15" customHeight="1">
      <c r="A166" s="924" t="s">
        <v>1698</v>
      </c>
      <c r="B166" s="888" t="s">
        <v>1073</v>
      </c>
      <c r="C166" s="888">
        <v>150</v>
      </c>
      <c r="D166" s="888">
        <v>467</v>
      </c>
      <c r="E166" s="888">
        <v>156</v>
      </c>
      <c r="F166" s="888">
        <v>150</v>
      </c>
      <c r="G166" s="888">
        <v>44</v>
      </c>
      <c r="H166" s="888">
        <v>30</v>
      </c>
      <c r="I166" s="888">
        <v>30</v>
      </c>
      <c r="J166" s="888">
        <v>38.630000000000003</v>
      </c>
      <c r="K166" s="888">
        <v>70.599999999999994</v>
      </c>
      <c r="L166" s="888">
        <v>16</v>
      </c>
      <c r="M166" s="888">
        <v>175</v>
      </c>
      <c r="N166" s="888">
        <v>2</v>
      </c>
      <c r="O166" s="884">
        <v>2.3891200305381091</v>
      </c>
      <c r="P166" s="888">
        <v>2</v>
      </c>
      <c r="Q166" s="884">
        <v>1.4384435070531458</v>
      </c>
      <c r="R166" s="888">
        <v>13.000000000000002</v>
      </c>
      <c r="S166" s="888">
        <v>318.48708279582752</v>
      </c>
      <c r="T166" s="906">
        <v>8.1299249449903961</v>
      </c>
      <c r="U166" s="906">
        <v>47.773062419374128</v>
      </c>
      <c r="V166" s="906">
        <v>47.5</v>
      </c>
      <c r="W166" s="1141">
        <v>0.50128022797837413</v>
      </c>
      <c r="X166" s="902">
        <v>0</v>
      </c>
      <c r="Y166" s="902">
        <v>0</v>
      </c>
      <c r="Z166" s="902">
        <v>0</v>
      </c>
      <c r="AA166" s="902">
        <v>0</v>
      </c>
      <c r="AB166" s="970">
        <v>0.61940220274165336</v>
      </c>
      <c r="AC166" s="1045">
        <v>4000</v>
      </c>
      <c r="AD166" s="890">
        <v>3.3696584722232341</v>
      </c>
      <c r="AE166" s="890">
        <v>0.79914714131217168</v>
      </c>
      <c r="AF166" s="890">
        <v>-0.12966028779014854</v>
      </c>
      <c r="AG166" s="890">
        <v>0.7089353887699863</v>
      </c>
      <c r="AH166" s="888"/>
      <c r="AI166" s="907">
        <v>0.81780388287585937</v>
      </c>
      <c r="AJ166" s="908">
        <v>1.9782000000000002</v>
      </c>
      <c r="AK166" s="902">
        <v>14.436968710560024</v>
      </c>
      <c r="AL166" s="902">
        <v>0</v>
      </c>
      <c r="AM166" s="902">
        <v>0</v>
      </c>
      <c r="AN166" s="902">
        <v>11.604580250809558</v>
      </c>
      <c r="AO166" s="902">
        <v>0.29242279804992077</v>
      </c>
      <c r="AP166" s="1222">
        <v>3600</v>
      </c>
      <c r="AQ166" s="909" t="s">
        <v>1062</v>
      </c>
      <c r="AR166" s="909">
        <v>3</v>
      </c>
      <c r="AS166" s="909">
        <v>0</v>
      </c>
      <c r="AT166" s="909">
        <v>0</v>
      </c>
      <c r="AU166" s="909">
        <v>0</v>
      </c>
      <c r="AV166" s="910">
        <v>21693.978958669322</v>
      </c>
      <c r="AW166" s="909">
        <v>0</v>
      </c>
      <c r="AX166" s="909">
        <v>0</v>
      </c>
      <c r="AY166" s="909">
        <v>0</v>
      </c>
      <c r="AZ166" s="910">
        <v>25956.117891710666</v>
      </c>
      <c r="BA166" s="871">
        <v>4000</v>
      </c>
      <c r="BB166" s="911">
        <v>97.808251281762224</v>
      </c>
      <c r="BC166" s="908">
        <v>1.9782000000000002</v>
      </c>
      <c r="BD166" s="902">
        <v>14.436968710560024</v>
      </c>
      <c r="BE166" s="902">
        <v>0</v>
      </c>
      <c r="BF166" s="902">
        <v>0</v>
      </c>
      <c r="BG166" s="902">
        <v>11.604580250809558</v>
      </c>
      <c r="BH166" s="902">
        <v>0.29242279804992077</v>
      </c>
      <c r="BI166" s="902">
        <v>3600</v>
      </c>
      <c r="BJ166" s="909" t="s">
        <v>1062</v>
      </c>
      <c r="BK166" s="909">
        <v>3</v>
      </c>
      <c r="BL166" s="909">
        <v>0</v>
      </c>
      <c r="BM166" s="909">
        <v>0</v>
      </c>
      <c r="BN166" s="909">
        <v>0</v>
      </c>
      <c r="BO166" s="910">
        <v>21693.978958669322</v>
      </c>
      <c r="BP166" s="909">
        <v>0</v>
      </c>
      <c r="BQ166" s="909">
        <v>0</v>
      </c>
      <c r="BR166" s="909">
        <v>0</v>
      </c>
      <c r="BS166" s="910">
        <v>25956.117891710666</v>
      </c>
      <c r="BT166" s="871">
        <v>4000</v>
      </c>
      <c r="BU166" s="911">
        <v>97.808251281762224</v>
      </c>
      <c r="BV166" s="908">
        <v>1.3188000000000002</v>
      </c>
      <c r="BW166" s="902">
        <v>13.777568710560024</v>
      </c>
      <c r="BX166" s="902">
        <v>0</v>
      </c>
      <c r="BY166" s="902">
        <v>0</v>
      </c>
      <c r="BZ166" s="902">
        <v>11.442074091003576</v>
      </c>
      <c r="CA166" s="902">
        <v>0.2725922497249208</v>
      </c>
      <c r="CB166" s="902">
        <v>3600</v>
      </c>
      <c r="CC166" s="909" t="s">
        <v>2874</v>
      </c>
      <c r="CD166" s="909">
        <v>2</v>
      </c>
      <c r="CE166" s="909">
        <v>0</v>
      </c>
      <c r="CF166" s="909">
        <v>0</v>
      </c>
      <c r="CG166" s="909">
        <v>0</v>
      </c>
      <c r="CH166" s="910">
        <v>14689.853281356789</v>
      </c>
      <c r="CI166" s="909">
        <v>0</v>
      </c>
      <c r="CJ166" s="909">
        <v>0</v>
      </c>
      <c r="CK166" s="909">
        <v>0</v>
      </c>
      <c r="CL166" s="910">
        <v>14400.339902472748</v>
      </c>
      <c r="CM166" s="871">
        <v>4000</v>
      </c>
      <c r="CN166" s="911">
        <v>97.808251281762224</v>
      </c>
      <c r="CO166" s="908">
        <v>1.3188000000000002</v>
      </c>
      <c r="CP166" s="902">
        <v>13.777568710560024</v>
      </c>
      <c r="CQ166" s="902">
        <v>0</v>
      </c>
      <c r="CR166" s="902">
        <v>0</v>
      </c>
      <c r="CS166" s="902">
        <v>11.442074091003576</v>
      </c>
      <c r="CT166" s="902">
        <v>0.2725922497249208</v>
      </c>
      <c r="CU166" s="902">
        <v>3600</v>
      </c>
      <c r="CV166" s="909" t="s">
        <v>2874</v>
      </c>
      <c r="CW166" s="909">
        <v>2</v>
      </c>
      <c r="CX166" s="909">
        <v>0</v>
      </c>
      <c r="CY166" s="909">
        <v>0</v>
      </c>
      <c r="CZ166" s="909">
        <v>0</v>
      </c>
      <c r="DA166" s="910">
        <v>14689.853281356789</v>
      </c>
      <c r="DB166" s="909">
        <v>0</v>
      </c>
      <c r="DC166" s="909">
        <v>0</v>
      </c>
      <c r="DD166" s="909">
        <v>0</v>
      </c>
      <c r="DE166" s="910">
        <v>14400.339902472748</v>
      </c>
      <c r="DF166" s="871">
        <v>4000</v>
      </c>
      <c r="DG166" s="911">
        <v>97.808251281762224</v>
      </c>
      <c r="DH166" s="908">
        <v>1.3188000000000002</v>
      </c>
      <c r="DI166" s="902">
        <v>13.777568710560024</v>
      </c>
      <c r="DJ166" s="902">
        <v>0</v>
      </c>
      <c r="DK166" s="902">
        <v>0</v>
      </c>
      <c r="DL166" s="902">
        <v>11.442074091003576</v>
      </c>
      <c r="DM166" s="902">
        <v>0.2725922497249208</v>
      </c>
      <c r="DN166" s="902">
        <v>3600</v>
      </c>
      <c r="DO166" s="909" t="s">
        <v>2876</v>
      </c>
      <c r="DP166" s="909">
        <v>2</v>
      </c>
      <c r="DQ166" s="909">
        <v>0</v>
      </c>
      <c r="DR166" s="909">
        <v>0</v>
      </c>
      <c r="DS166" s="909">
        <v>0</v>
      </c>
      <c r="DT166" s="910">
        <v>15704.113725947102</v>
      </c>
      <c r="DU166" s="909">
        <v>0</v>
      </c>
      <c r="DV166" s="909">
        <v>0</v>
      </c>
      <c r="DW166" s="909">
        <v>0</v>
      </c>
      <c r="DX166" s="910">
        <v>15394.610905183623</v>
      </c>
      <c r="DY166" s="871">
        <v>4000</v>
      </c>
      <c r="DZ166" s="911">
        <v>97.808251281762224</v>
      </c>
      <c r="EA166" s="908">
        <v>1.3188000000000002</v>
      </c>
      <c r="EB166" s="902">
        <v>13.777568710560024</v>
      </c>
      <c r="EC166" s="902">
        <v>0</v>
      </c>
      <c r="ED166" s="902">
        <v>0</v>
      </c>
      <c r="EE166" s="902">
        <v>11.442074091003576</v>
      </c>
      <c r="EF166" s="902">
        <v>0.2725922497249208</v>
      </c>
      <c r="EG166" s="902">
        <v>3600</v>
      </c>
      <c r="EH166" s="909" t="s">
        <v>2876</v>
      </c>
      <c r="EI166" s="909">
        <v>2</v>
      </c>
      <c r="EJ166" s="909">
        <v>0</v>
      </c>
      <c r="EK166" s="909">
        <v>0</v>
      </c>
      <c r="EL166" s="909">
        <v>0</v>
      </c>
      <c r="EM166" s="910">
        <v>15704.113725947102</v>
      </c>
      <c r="EN166" s="909">
        <v>0</v>
      </c>
      <c r="EO166" s="909">
        <v>0</v>
      </c>
      <c r="EP166" s="909">
        <v>0</v>
      </c>
      <c r="EQ166" s="910">
        <v>15394.610905183623</v>
      </c>
      <c r="ER166" s="871">
        <v>4000</v>
      </c>
      <c r="ES166" s="911">
        <v>97.808251281762224</v>
      </c>
      <c r="ET166" s="908">
        <v>1.3188000000000002</v>
      </c>
      <c r="EU166" s="902">
        <v>13.777568710560024</v>
      </c>
      <c r="EV166" s="902">
        <v>0</v>
      </c>
      <c r="EW166" s="902">
        <v>0</v>
      </c>
      <c r="EX166" s="902">
        <v>11.442074091003576</v>
      </c>
      <c r="EY166" s="902">
        <v>0.2725922497249208</v>
      </c>
      <c r="EZ166" s="902">
        <v>3600</v>
      </c>
      <c r="FA166" s="909" t="s">
        <v>3889</v>
      </c>
      <c r="FB166" s="909">
        <v>2</v>
      </c>
      <c r="FC166" s="909">
        <v>0</v>
      </c>
      <c r="FD166" s="909">
        <v>0</v>
      </c>
      <c r="FE166" s="909">
        <v>0</v>
      </c>
      <c r="FF166" s="910">
        <v>16027.943954669647</v>
      </c>
      <c r="FG166" s="909">
        <v>0</v>
      </c>
      <c r="FH166" s="909">
        <v>0</v>
      </c>
      <c r="FI166" s="909">
        <v>0</v>
      </c>
      <c r="FJ166" s="910">
        <v>15712.058960993869</v>
      </c>
      <c r="FK166" s="871">
        <v>4000</v>
      </c>
      <c r="FL166" s="911">
        <v>97.808251281762224</v>
      </c>
      <c r="FM166" s="908">
        <v>1.3188000000000002</v>
      </c>
      <c r="FN166" s="902">
        <v>13.777568710560024</v>
      </c>
      <c r="FO166" s="902">
        <v>0</v>
      </c>
      <c r="FP166" s="902">
        <v>0</v>
      </c>
      <c r="FQ166" s="902">
        <v>11.442074091003576</v>
      </c>
      <c r="FR166" s="902">
        <v>0.2725922497249208</v>
      </c>
      <c r="FS166" s="902">
        <v>3600</v>
      </c>
      <c r="FT166" s="909" t="s">
        <v>3889</v>
      </c>
      <c r="FU166" s="909">
        <v>2</v>
      </c>
      <c r="FV166" s="909">
        <v>0</v>
      </c>
      <c r="FW166" s="909">
        <v>0</v>
      </c>
      <c r="FX166" s="909">
        <v>0</v>
      </c>
      <c r="FY166" s="910">
        <v>16027.943954669647</v>
      </c>
      <c r="FZ166" s="909">
        <v>0</v>
      </c>
      <c r="GA166" s="909">
        <v>0</v>
      </c>
      <c r="GB166" s="909">
        <v>0</v>
      </c>
      <c r="GC166" s="910">
        <v>15712.058960993869</v>
      </c>
      <c r="GD166" s="871">
        <v>4000</v>
      </c>
      <c r="GE166" s="911">
        <v>97.808251281762224</v>
      </c>
      <c r="GF166" s="908">
        <v>1.3188000000000002</v>
      </c>
      <c r="GG166" s="902">
        <v>13.777568710560024</v>
      </c>
      <c r="GH166" s="902">
        <v>0</v>
      </c>
      <c r="GI166" s="902">
        <v>0</v>
      </c>
      <c r="GJ166" s="902">
        <v>11.442074091003576</v>
      </c>
      <c r="GK166" s="902">
        <v>0.2725922497249208</v>
      </c>
      <c r="GL166" s="902">
        <v>3600</v>
      </c>
      <c r="GM166" s="909" t="s">
        <v>2877</v>
      </c>
      <c r="GN166" s="909">
        <v>2</v>
      </c>
      <c r="GO166" s="909">
        <v>0</v>
      </c>
      <c r="GP166" s="909">
        <v>0</v>
      </c>
      <c r="GQ166" s="909">
        <v>0</v>
      </c>
      <c r="GR166" s="910">
        <v>21503.743333309638</v>
      </c>
      <c r="GS166" s="909">
        <v>0</v>
      </c>
      <c r="GT166" s="909">
        <v>0</v>
      </c>
      <c r="GU166" s="909">
        <v>0</v>
      </c>
      <c r="GV166" s="910">
        <v>21079.939141956205</v>
      </c>
      <c r="GW166" s="871">
        <v>4000</v>
      </c>
      <c r="GX166" s="911">
        <v>97.808251281762224</v>
      </c>
      <c r="GY166" s="908">
        <v>1.3188000000000002</v>
      </c>
      <c r="GZ166" s="902">
        <v>13.777568710560024</v>
      </c>
      <c r="HA166" s="902">
        <v>0</v>
      </c>
      <c r="HB166" s="902">
        <v>0</v>
      </c>
      <c r="HC166" s="902">
        <v>11.442074091003576</v>
      </c>
      <c r="HD166" s="902">
        <v>0.2725922497249208</v>
      </c>
      <c r="HE166" s="902">
        <v>3600</v>
      </c>
      <c r="HF166" s="909" t="s">
        <v>2877</v>
      </c>
      <c r="HG166" s="909">
        <v>2</v>
      </c>
      <c r="HH166" s="909">
        <v>0</v>
      </c>
      <c r="HI166" s="909">
        <v>0</v>
      </c>
      <c r="HJ166" s="909">
        <v>0</v>
      </c>
      <c r="HK166" s="910">
        <v>21503.743333309638</v>
      </c>
      <c r="HL166" s="909">
        <v>0</v>
      </c>
      <c r="HM166" s="909">
        <v>0</v>
      </c>
      <c r="HN166" s="909">
        <v>0</v>
      </c>
      <c r="HO166" s="910">
        <v>21079.939141956205</v>
      </c>
      <c r="HP166" s="871">
        <v>4000</v>
      </c>
      <c r="HQ166" s="911">
        <v>97.808251281762224</v>
      </c>
      <c r="HR166" s="908">
        <v>1.3188000000000002</v>
      </c>
      <c r="HS166" s="902">
        <v>13.777568710560024</v>
      </c>
      <c r="HT166" s="902">
        <v>0</v>
      </c>
      <c r="HU166" s="902">
        <v>0</v>
      </c>
      <c r="HV166" s="902">
        <v>11.442074091003576</v>
      </c>
      <c r="HW166" s="902">
        <v>0.2725922497249208</v>
      </c>
      <c r="HX166" s="902">
        <v>3600</v>
      </c>
      <c r="HY166" s="909" t="s">
        <v>1063</v>
      </c>
      <c r="HZ166" s="909">
        <v>2</v>
      </c>
      <c r="IA166" s="909">
        <v>0</v>
      </c>
      <c r="IB166" s="909">
        <v>0</v>
      </c>
      <c r="IC166" s="909">
        <v>0</v>
      </c>
      <c r="ID166" s="910">
        <v>18964.51903897537</v>
      </c>
      <c r="IE166" s="909">
        <v>0</v>
      </c>
      <c r="IF166" s="909">
        <v>0</v>
      </c>
      <c r="IG166" s="909">
        <v>0</v>
      </c>
      <c r="IH166" s="910">
        <v>18590.758874001021</v>
      </c>
      <c r="II166" s="871">
        <v>4000</v>
      </c>
      <c r="IJ166" s="911">
        <v>97.808251281762224</v>
      </c>
      <c r="IK166" s="908">
        <v>1.3188000000000002</v>
      </c>
      <c r="IL166" s="902">
        <v>13.777568710560024</v>
      </c>
      <c r="IM166" s="902">
        <v>0</v>
      </c>
      <c r="IN166" s="902">
        <v>0</v>
      </c>
      <c r="IO166" s="902">
        <v>11.442074091003576</v>
      </c>
      <c r="IP166" s="902">
        <v>0.2725922497249208</v>
      </c>
      <c r="IQ166" s="902">
        <v>3600</v>
      </c>
      <c r="IR166" s="909" t="s">
        <v>1063</v>
      </c>
      <c r="IS166" s="909">
        <v>2</v>
      </c>
      <c r="IT166" s="909">
        <v>0</v>
      </c>
      <c r="IU166" s="909">
        <v>0</v>
      </c>
      <c r="IV166" s="909">
        <v>0</v>
      </c>
      <c r="IW166" s="910">
        <v>18964.51903897537</v>
      </c>
      <c r="IX166" s="909">
        <v>0</v>
      </c>
      <c r="IY166" s="909">
        <v>0</v>
      </c>
      <c r="IZ166" s="909">
        <v>0</v>
      </c>
      <c r="JA166" s="910">
        <v>18590.758874001021</v>
      </c>
      <c r="JB166" s="871">
        <v>4000</v>
      </c>
      <c r="JC166" s="911">
        <v>97.808251281762224</v>
      </c>
      <c r="JD166" s="908">
        <v>1.3188000000000002</v>
      </c>
      <c r="JE166" s="902">
        <v>13.777568710560024</v>
      </c>
      <c r="JF166" s="902">
        <v>0</v>
      </c>
      <c r="JG166" s="902">
        <v>0</v>
      </c>
      <c r="JH166" s="902">
        <v>11.442074091003576</v>
      </c>
      <c r="JI166" s="902">
        <v>0.2725922497249208</v>
      </c>
      <c r="JJ166" s="902">
        <v>3600</v>
      </c>
      <c r="JK166" s="909" t="s">
        <v>1064</v>
      </c>
      <c r="JL166" s="909">
        <v>2</v>
      </c>
      <c r="JM166" s="909">
        <v>0</v>
      </c>
      <c r="JN166" s="909">
        <v>0</v>
      </c>
      <c r="JO166" s="909">
        <v>0</v>
      </c>
      <c r="JP166" s="910">
        <v>25844.283067566626</v>
      </c>
      <c r="JQ166" s="909">
        <v>0</v>
      </c>
      <c r="JR166" s="909">
        <v>0</v>
      </c>
      <c r="JS166" s="909">
        <v>0</v>
      </c>
      <c r="JT166" s="910">
        <v>25334.93381999934</v>
      </c>
      <c r="JU166" s="871">
        <v>4000</v>
      </c>
      <c r="JV166" s="911">
        <v>97.808251281762224</v>
      </c>
      <c r="JW166" s="908">
        <v>1.3188000000000002</v>
      </c>
      <c r="JX166" s="902">
        <v>13.777568710560024</v>
      </c>
      <c r="JY166" s="902">
        <v>0</v>
      </c>
      <c r="JZ166" s="902">
        <v>0</v>
      </c>
      <c r="KA166" s="902">
        <v>11.442074091003576</v>
      </c>
      <c r="KB166" s="902">
        <v>0.2725922497249208</v>
      </c>
      <c r="KC166" s="902">
        <v>3600</v>
      </c>
      <c r="KD166" s="909" t="s">
        <v>1064</v>
      </c>
      <c r="KE166" s="909">
        <v>2</v>
      </c>
      <c r="KF166" s="909">
        <v>0</v>
      </c>
      <c r="KG166" s="909">
        <v>0</v>
      </c>
      <c r="KH166" s="909">
        <v>0</v>
      </c>
      <c r="KI166" s="910">
        <v>25844.283067566626</v>
      </c>
      <c r="KJ166" s="909">
        <v>0</v>
      </c>
      <c r="KK166" s="909">
        <v>0</v>
      </c>
      <c r="KL166" s="909">
        <v>0</v>
      </c>
      <c r="KM166" s="910">
        <v>25334.93381999934</v>
      </c>
      <c r="KN166" s="871">
        <v>4000</v>
      </c>
      <c r="KO166" s="912">
        <v>97.808251281762224</v>
      </c>
    </row>
    <row r="167" spans="1:301" ht="15" customHeight="1">
      <c r="A167" s="924" t="s">
        <v>1620</v>
      </c>
      <c r="B167" s="888" t="s">
        <v>1073</v>
      </c>
      <c r="C167" s="888">
        <v>190</v>
      </c>
      <c r="D167" s="888">
        <v>467</v>
      </c>
      <c r="E167" s="888">
        <v>166</v>
      </c>
      <c r="F167" s="888">
        <v>190</v>
      </c>
      <c r="G167" s="888">
        <v>49</v>
      </c>
      <c r="H167" s="888">
        <v>35</v>
      </c>
      <c r="I167" s="888">
        <v>35</v>
      </c>
      <c r="J167" s="888">
        <v>32.479999999999997</v>
      </c>
      <c r="K167" s="888">
        <v>64.98</v>
      </c>
      <c r="L167" s="888">
        <v>16</v>
      </c>
      <c r="M167" s="888">
        <v>160</v>
      </c>
      <c r="N167" s="888">
        <v>2</v>
      </c>
      <c r="O167" s="884">
        <v>2.3494150117857147</v>
      </c>
      <c r="P167" s="888">
        <v>2</v>
      </c>
      <c r="Q167" s="884">
        <v>1.445549918211253</v>
      </c>
      <c r="R167" s="888">
        <v>13.000000000000002</v>
      </c>
      <c r="S167" s="888">
        <v>317.58102233614875</v>
      </c>
      <c r="T167" s="906">
        <v>8.0837332724626982</v>
      </c>
      <c r="U167" s="906">
        <v>47.637153350422309</v>
      </c>
      <c r="V167" s="906">
        <v>47.5</v>
      </c>
      <c r="W167" s="1141">
        <v>0.49843211163141388</v>
      </c>
      <c r="X167" s="902">
        <v>0</v>
      </c>
      <c r="Y167" s="902">
        <v>0</v>
      </c>
      <c r="Z167" s="902">
        <v>0</v>
      </c>
      <c r="AA167" s="902">
        <v>0</v>
      </c>
      <c r="AB167" s="970">
        <v>0.68391211393089602</v>
      </c>
      <c r="AC167" s="1045">
        <v>4000</v>
      </c>
      <c r="AD167" s="890">
        <v>2.5586561916480339</v>
      </c>
      <c r="AE167" s="890">
        <v>0.63657963269433804</v>
      </c>
      <c r="AF167" s="890">
        <v>-0.18042018450960334</v>
      </c>
      <c r="AG167" s="890">
        <v>0.90552204438901085</v>
      </c>
      <c r="AH167" s="888"/>
      <c r="AI167" s="907">
        <v>0.80764105283144871</v>
      </c>
      <c r="AJ167" s="908">
        <v>2.1100800000000004</v>
      </c>
      <c r="AK167" s="902">
        <v>14.487210314091081</v>
      </c>
      <c r="AL167" s="902">
        <v>0</v>
      </c>
      <c r="AM167" s="902">
        <v>0</v>
      </c>
      <c r="AN167" s="902">
        <v>12.768745689640431</v>
      </c>
      <c r="AO167" s="902">
        <v>0.29873016897974142</v>
      </c>
      <c r="AP167" s="1222">
        <v>3600</v>
      </c>
      <c r="AQ167" s="909" t="s">
        <v>1062</v>
      </c>
      <c r="AR167" s="909">
        <v>3</v>
      </c>
      <c r="AS167" s="909">
        <v>0</v>
      </c>
      <c r="AT167" s="909">
        <v>0</v>
      </c>
      <c r="AU167" s="909">
        <v>0</v>
      </c>
      <c r="AV167" s="910">
        <v>17148.038237069162</v>
      </c>
      <c r="AW167" s="909">
        <v>0</v>
      </c>
      <c r="AX167" s="909">
        <v>0</v>
      </c>
      <c r="AY167" s="909">
        <v>0</v>
      </c>
      <c r="AZ167" s="910">
        <v>17840.938556990488</v>
      </c>
      <c r="BA167" s="871">
        <v>4000</v>
      </c>
      <c r="BB167" s="911">
        <v>97.808251281762224</v>
      </c>
      <c r="BC167" s="908">
        <v>2.1100800000000004</v>
      </c>
      <c r="BD167" s="902">
        <v>14.487210314091081</v>
      </c>
      <c r="BE167" s="902">
        <v>0</v>
      </c>
      <c r="BF167" s="902">
        <v>0</v>
      </c>
      <c r="BG167" s="902">
        <v>12.768745689640431</v>
      </c>
      <c r="BH167" s="902">
        <v>0.29873016897974142</v>
      </c>
      <c r="BI167" s="902">
        <v>3600</v>
      </c>
      <c r="BJ167" s="909" t="s">
        <v>1062</v>
      </c>
      <c r="BK167" s="909">
        <v>3</v>
      </c>
      <c r="BL167" s="909">
        <v>0</v>
      </c>
      <c r="BM167" s="909">
        <v>0</v>
      </c>
      <c r="BN167" s="909">
        <v>0</v>
      </c>
      <c r="BO167" s="910">
        <v>17148.038237069162</v>
      </c>
      <c r="BP167" s="909">
        <v>0</v>
      </c>
      <c r="BQ167" s="909">
        <v>0</v>
      </c>
      <c r="BR167" s="909">
        <v>0</v>
      </c>
      <c r="BS167" s="910">
        <v>17840.938556990488</v>
      </c>
      <c r="BT167" s="871">
        <v>4000</v>
      </c>
      <c r="BU167" s="911">
        <v>97.808251281762224</v>
      </c>
      <c r="BV167" s="908">
        <v>1.4067200000000002</v>
      </c>
      <c r="BW167" s="902">
        <v>13.783850314091081</v>
      </c>
      <c r="BX167" s="902">
        <v>0</v>
      </c>
      <c r="BY167" s="902">
        <v>0</v>
      </c>
      <c r="BZ167" s="902">
        <v>12.527320038903891</v>
      </c>
      <c r="CA167" s="902">
        <v>0.27638187209974141</v>
      </c>
      <c r="CB167" s="902">
        <v>3600</v>
      </c>
      <c r="CC167" s="909" t="s">
        <v>2874</v>
      </c>
      <c r="CD167" s="909">
        <v>2</v>
      </c>
      <c r="CE167" s="909">
        <v>0</v>
      </c>
      <c r="CF167" s="909">
        <v>0</v>
      </c>
      <c r="CG167" s="909">
        <v>0</v>
      </c>
      <c r="CH167" s="910">
        <v>11625.823460495594</v>
      </c>
      <c r="CI167" s="909">
        <v>0</v>
      </c>
      <c r="CJ167" s="909">
        <v>0</v>
      </c>
      <c r="CK167" s="909">
        <v>0</v>
      </c>
      <c r="CL167" s="910">
        <v>10495.431725409035</v>
      </c>
      <c r="CM167" s="871">
        <v>4000</v>
      </c>
      <c r="CN167" s="911">
        <v>97.808251281762224</v>
      </c>
      <c r="CO167" s="908">
        <v>1.4067200000000002</v>
      </c>
      <c r="CP167" s="902">
        <v>13.783850314091081</v>
      </c>
      <c r="CQ167" s="902">
        <v>0</v>
      </c>
      <c r="CR167" s="902">
        <v>0</v>
      </c>
      <c r="CS167" s="902">
        <v>12.527320038903891</v>
      </c>
      <c r="CT167" s="902">
        <v>0.27638187209974141</v>
      </c>
      <c r="CU167" s="902">
        <v>3600</v>
      </c>
      <c r="CV167" s="909" t="s">
        <v>2874</v>
      </c>
      <c r="CW167" s="909">
        <v>2</v>
      </c>
      <c r="CX167" s="909">
        <v>0</v>
      </c>
      <c r="CY167" s="909">
        <v>0</v>
      </c>
      <c r="CZ167" s="909">
        <v>0</v>
      </c>
      <c r="DA167" s="910">
        <v>11625.823460495594</v>
      </c>
      <c r="DB167" s="909">
        <v>0</v>
      </c>
      <c r="DC167" s="909">
        <v>0</v>
      </c>
      <c r="DD167" s="909">
        <v>0</v>
      </c>
      <c r="DE167" s="910">
        <v>10495.431725409035</v>
      </c>
      <c r="DF167" s="871">
        <v>4000</v>
      </c>
      <c r="DG167" s="911">
        <v>97.808251281762224</v>
      </c>
      <c r="DH167" s="908">
        <v>1.4067200000000002</v>
      </c>
      <c r="DI167" s="902">
        <v>13.783850314091081</v>
      </c>
      <c r="DJ167" s="902">
        <v>0</v>
      </c>
      <c r="DK167" s="902">
        <v>0</v>
      </c>
      <c r="DL167" s="902">
        <v>12.527320038903891</v>
      </c>
      <c r="DM167" s="902">
        <v>0.27638187209974141</v>
      </c>
      <c r="DN167" s="902">
        <v>3600</v>
      </c>
      <c r="DO167" s="909" t="s">
        <v>2876</v>
      </c>
      <c r="DP167" s="909">
        <v>2</v>
      </c>
      <c r="DQ167" s="909">
        <v>0</v>
      </c>
      <c r="DR167" s="909">
        <v>0</v>
      </c>
      <c r="DS167" s="909">
        <v>0</v>
      </c>
      <c r="DT167" s="910">
        <v>12428.52806522645</v>
      </c>
      <c r="DU167" s="909">
        <v>0</v>
      </c>
      <c r="DV167" s="909">
        <v>0</v>
      </c>
      <c r="DW167" s="909">
        <v>0</v>
      </c>
      <c r="DX167" s="910">
        <v>11220.088469385724</v>
      </c>
      <c r="DY167" s="871">
        <v>4000</v>
      </c>
      <c r="DZ167" s="911">
        <v>97.808251281762224</v>
      </c>
      <c r="EA167" s="908">
        <v>1.4067200000000002</v>
      </c>
      <c r="EB167" s="902">
        <v>13.783850314091081</v>
      </c>
      <c r="EC167" s="902">
        <v>0</v>
      </c>
      <c r="ED167" s="902">
        <v>0</v>
      </c>
      <c r="EE167" s="902">
        <v>12.527320038903891</v>
      </c>
      <c r="EF167" s="902">
        <v>0.27638187209974141</v>
      </c>
      <c r="EG167" s="902">
        <v>3600</v>
      </c>
      <c r="EH167" s="909" t="s">
        <v>2876</v>
      </c>
      <c r="EI167" s="909">
        <v>2</v>
      </c>
      <c r="EJ167" s="909">
        <v>0</v>
      </c>
      <c r="EK167" s="909">
        <v>0</v>
      </c>
      <c r="EL167" s="909">
        <v>0</v>
      </c>
      <c r="EM167" s="910">
        <v>12428.52806522645</v>
      </c>
      <c r="EN167" s="909">
        <v>0</v>
      </c>
      <c r="EO167" s="909">
        <v>0</v>
      </c>
      <c r="EP167" s="909">
        <v>0</v>
      </c>
      <c r="EQ167" s="910">
        <v>11220.088469385724</v>
      </c>
      <c r="ER167" s="871">
        <v>4000</v>
      </c>
      <c r="ES167" s="911">
        <v>97.808251281762224</v>
      </c>
      <c r="ET167" s="908">
        <v>1.4067200000000002</v>
      </c>
      <c r="EU167" s="902">
        <v>13.783850314091081</v>
      </c>
      <c r="EV167" s="902">
        <v>0</v>
      </c>
      <c r="EW167" s="902">
        <v>0</v>
      </c>
      <c r="EX167" s="902">
        <v>12.527320038903891</v>
      </c>
      <c r="EY167" s="902">
        <v>0.27638187209974141</v>
      </c>
      <c r="EZ167" s="902">
        <v>3600</v>
      </c>
      <c r="FA167" s="909" t="s">
        <v>3889</v>
      </c>
      <c r="FB167" s="909">
        <v>2</v>
      </c>
      <c r="FC167" s="909">
        <v>0</v>
      </c>
      <c r="FD167" s="909">
        <v>0</v>
      </c>
      <c r="FE167" s="909">
        <v>0</v>
      </c>
      <c r="FF167" s="910">
        <v>12684.813339026818</v>
      </c>
      <c r="FG167" s="909">
        <v>0</v>
      </c>
      <c r="FH167" s="909">
        <v>0</v>
      </c>
      <c r="FI167" s="909">
        <v>0</v>
      </c>
      <c r="FJ167" s="910">
        <v>11451.454841200059</v>
      </c>
      <c r="FK167" s="871">
        <v>4000</v>
      </c>
      <c r="FL167" s="911">
        <v>97.808251281762224</v>
      </c>
      <c r="FM167" s="908">
        <v>1.4067200000000002</v>
      </c>
      <c r="FN167" s="902">
        <v>13.783850314091081</v>
      </c>
      <c r="FO167" s="902">
        <v>0</v>
      </c>
      <c r="FP167" s="902">
        <v>0</v>
      </c>
      <c r="FQ167" s="902">
        <v>12.527320038903891</v>
      </c>
      <c r="FR167" s="902">
        <v>0.27638187209974141</v>
      </c>
      <c r="FS167" s="902">
        <v>3600</v>
      </c>
      <c r="FT167" s="909" t="s">
        <v>3889</v>
      </c>
      <c r="FU167" s="909">
        <v>2</v>
      </c>
      <c r="FV167" s="909">
        <v>0</v>
      </c>
      <c r="FW167" s="909">
        <v>0</v>
      </c>
      <c r="FX167" s="909">
        <v>0</v>
      </c>
      <c r="FY167" s="910">
        <v>12684.813339026818</v>
      </c>
      <c r="FZ167" s="909">
        <v>0</v>
      </c>
      <c r="GA167" s="909">
        <v>0</v>
      </c>
      <c r="GB167" s="909">
        <v>0</v>
      </c>
      <c r="GC167" s="910">
        <v>11451.454841200059</v>
      </c>
      <c r="GD167" s="871">
        <v>4000</v>
      </c>
      <c r="GE167" s="911">
        <v>97.808251281762224</v>
      </c>
      <c r="GF167" s="908">
        <v>1.4067200000000002</v>
      </c>
      <c r="GG167" s="902">
        <v>13.783850314091081</v>
      </c>
      <c r="GH167" s="902">
        <v>0</v>
      </c>
      <c r="GI167" s="902">
        <v>0</v>
      </c>
      <c r="GJ167" s="902">
        <v>12.527320038903891</v>
      </c>
      <c r="GK167" s="902">
        <v>0.27638187209974141</v>
      </c>
      <c r="GL167" s="902">
        <v>3600</v>
      </c>
      <c r="GM167" s="909" t="s">
        <v>2877</v>
      </c>
      <c r="GN167" s="909">
        <v>2</v>
      </c>
      <c r="GO167" s="909">
        <v>0</v>
      </c>
      <c r="GP167" s="909">
        <v>0</v>
      </c>
      <c r="GQ167" s="909">
        <v>0</v>
      </c>
      <c r="GR167" s="910">
        <v>17018.462944776631</v>
      </c>
      <c r="GS167" s="909">
        <v>0</v>
      </c>
      <c r="GT167" s="909">
        <v>0</v>
      </c>
      <c r="GU167" s="909">
        <v>0</v>
      </c>
      <c r="GV167" s="910">
        <v>15363.738879715431</v>
      </c>
      <c r="GW167" s="871">
        <v>4000</v>
      </c>
      <c r="GX167" s="911">
        <v>97.808251281762224</v>
      </c>
      <c r="GY167" s="908">
        <v>1.4067200000000002</v>
      </c>
      <c r="GZ167" s="902">
        <v>13.783850314091081</v>
      </c>
      <c r="HA167" s="902">
        <v>0</v>
      </c>
      <c r="HB167" s="902">
        <v>0</v>
      </c>
      <c r="HC167" s="902">
        <v>12.527320038903891</v>
      </c>
      <c r="HD167" s="902">
        <v>0.27638187209974141</v>
      </c>
      <c r="HE167" s="902">
        <v>3600</v>
      </c>
      <c r="HF167" s="909" t="s">
        <v>2877</v>
      </c>
      <c r="HG167" s="909">
        <v>2</v>
      </c>
      <c r="HH167" s="909">
        <v>0</v>
      </c>
      <c r="HI167" s="909">
        <v>0</v>
      </c>
      <c r="HJ167" s="909">
        <v>0</v>
      </c>
      <c r="HK167" s="910">
        <v>17018.462944776631</v>
      </c>
      <c r="HL167" s="909">
        <v>0</v>
      </c>
      <c r="HM167" s="909">
        <v>0</v>
      </c>
      <c r="HN167" s="909">
        <v>0</v>
      </c>
      <c r="HO167" s="910">
        <v>15363.738879715431</v>
      </c>
      <c r="HP167" s="871">
        <v>4000</v>
      </c>
      <c r="HQ167" s="911">
        <v>97.808251281762224</v>
      </c>
      <c r="HR167" s="908">
        <v>1.4067200000000002</v>
      </c>
      <c r="HS167" s="902">
        <v>13.783850314091081</v>
      </c>
      <c r="HT167" s="902">
        <v>0</v>
      </c>
      <c r="HU167" s="902">
        <v>0</v>
      </c>
      <c r="HV167" s="902">
        <v>12.527320038903891</v>
      </c>
      <c r="HW167" s="902">
        <v>0.27638187209974141</v>
      </c>
      <c r="HX167" s="902">
        <v>3600</v>
      </c>
      <c r="HY167" s="909" t="s">
        <v>1063</v>
      </c>
      <c r="HZ167" s="909">
        <v>2</v>
      </c>
      <c r="IA167" s="909">
        <v>0</v>
      </c>
      <c r="IB167" s="909">
        <v>0</v>
      </c>
      <c r="IC167" s="909">
        <v>0</v>
      </c>
      <c r="ID167" s="910">
        <v>15008.873549490861</v>
      </c>
      <c r="IE167" s="909">
        <v>0</v>
      </c>
      <c r="IF167" s="909">
        <v>0</v>
      </c>
      <c r="IG167" s="909">
        <v>0</v>
      </c>
      <c r="IH167" s="910">
        <v>13549.544094620254</v>
      </c>
      <c r="II167" s="871">
        <v>4000</v>
      </c>
      <c r="IJ167" s="911">
        <v>97.808251281762224</v>
      </c>
      <c r="IK167" s="908">
        <v>1.4067200000000002</v>
      </c>
      <c r="IL167" s="902">
        <v>13.783850314091081</v>
      </c>
      <c r="IM167" s="902">
        <v>0</v>
      </c>
      <c r="IN167" s="902">
        <v>0</v>
      </c>
      <c r="IO167" s="902">
        <v>12.527320038903891</v>
      </c>
      <c r="IP167" s="902">
        <v>0.27638187209974141</v>
      </c>
      <c r="IQ167" s="902">
        <v>3600</v>
      </c>
      <c r="IR167" s="909" t="s">
        <v>1063</v>
      </c>
      <c r="IS167" s="909">
        <v>2</v>
      </c>
      <c r="IT167" s="909">
        <v>0</v>
      </c>
      <c r="IU167" s="909">
        <v>0</v>
      </c>
      <c r="IV167" s="909">
        <v>0</v>
      </c>
      <c r="IW167" s="910">
        <v>15008.873549490861</v>
      </c>
      <c r="IX167" s="909">
        <v>0</v>
      </c>
      <c r="IY167" s="909">
        <v>0</v>
      </c>
      <c r="IZ167" s="909">
        <v>0</v>
      </c>
      <c r="JA167" s="910">
        <v>13549.544094620254</v>
      </c>
      <c r="JB167" s="871">
        <v>4000</v>
      </c>
      <c r="JC167" s="911">
        <v>97.808251281762224</v>
      </c>
      <c r="JD167" s="908">
        <v>1.4067200000000002</v>
      </c>
      <c r="JE167" s="902">
        <v>13.783850314091081</v>
      </c>
      <c r="JF167" s="902">
        <v>0</v>
      </c>
      <c r="JG167" s="902">
        <v>0</v>
      </c>
      <c r="JH167" s="902">
        <v>12.527320038903891</v>
      </c>
      <c r="JI167" s="902">
        <v>0.27638187209974141</v>
      </c>
      <c r="JJ167" s="902">
        <v>3600</v>
      </c>
      <c r="JK167" s="909" t="s">
        <v>1064</v>
      </c>
      <c r="JL167" s="909">
        <v>2</v>
      </c>
      <c r="JM167" s="909">
        <v>0</v>
      </c>
      <c r="JN167" s="909">
        <v>0</v>
      </c>
      <c r="JO167" s="909">
        <v>0</v>
      </c>
      <c r="JP167" s="910">
        <v>20453.646925657707</v>
      </c>
      <c r="JQ167" s="909">
        <v>0</v>
      </c>
      <c r="JR167" s="909">
        <v>0</v>
      </c>
      <c r="JS167" s="909">
        <v>0</v>
      </c>
      <c r="JT167" s="910">
        <v>18464.916104551219</v>
      </c>
      <c r="JU167" s="871">
        <v>4000</v>
      </c>
      <c r="JV167" s="911">
        <v>97.808251281762224</v>
      </c>
      <c r="JW167" s="908">
        <v>1.4067200000000002</v>
      </c>
      <c r="JX167" s="902">
        <v>13.783850314091081</v>
      </c>
      <c r="JY167" s="902">
        <v>0</v>
      </c>
      <c r="JZ167" s="902">
        <v>0</v>
      </c>
      <c r="KA167" s="902">
        <v>12.527320038903891</v>
      </c>
      <c r="KB167" s="902">
        <v>0.27638187209974141</v>
      </c>
      <c r="KC167" s="902">
        <v>3600</v>
      </c>
      <c r="KD167" s="909" t="s">
        <v>1064</v>
      </c>
      <c r="KE167" s="909">
        <v>2</v>
      </c>
      <c r="KF167" s="909">
        <v>0</v>
      </c>
      <c r="KG167" s="909">
        <v>0</v>
      </c>
      <c r="KH167" s="909">
        <v>0</v>
      </c>
      <c r="KI167" s="910">
        <v>20453.646925657707</v>
      </c>
      <c r="KJ167" s="909">
        <v>0</v>
      </c>
      <c r="KK167" s="909">
        <v>0</v>
      </c>
      <c r="KL167" s="909">
        <v>0</v>
      </c>
      <c r="KM167" s="910">
        <v>18464.916104551219</v>
      </c>
      <c r="KN167" s="871">
        <v>4000</v>
      </c>
      <c r="KO167" s="912">
        <v>97.808251281762224</v>
      </c>
    </row>
    <row r="168" spans="1:301" ht="15" customHeight="1">
      <c r="A168" s="924" t="s">
        <v>1621</v>
      </c>
      <c r="B168" s="888" t="s">
        <v>1073</v>
      </c>
      <c r="C168" s="888">
        <v>226</v>
      </c>
      <c r="D168" s="888">
        <v>467</v>
      </c>
      <c r="E168" s="888">
        <v>206</v>
      </c>
      <c r="F168" s="888">
        <v>226</v>
      </c>
      <c r="G168" s="888">
        <v>59</v>
      </c>
      <c r="H168" s="888">
        <v>45</v>
      </c>
      <c r="I168" s="888">
        <v>45</v>
      </c>
      <c r="J168" s="888">
        <v>32.479999999999997</v>
      </c>
      <c r="K168" s="888">
        <v>64.98</v>
      </c>
      <c r="L168" s="888">
        <v>16</v>
      </c>
      <c r="M168" s="888">
        <v>150</v>
      </c>
      <c r="N168" s="888">
        <v>2</v>
      </c>
      <c r="O168" s="884">
        <v>2.1659334344454564</v>
      </c>
      <c r="P168" s="888">
        <v>2</v>
      </c>
      <c r="Q168" s="884">
        <v>1.3187762736360606</v>
      </c>
      <c r="R168" s="888">
        <v>13.000000000000002</v>
      </c>
      <c r="S168" s="888">
        <v>333.37486768551827</v>
      </c>
      <c r="T168" s="906">
        <v>8.9077619622014499</v>
      </c>
      <c r="U168" s="906">
        <v>50.00623015282774</v>
      </c>
      <c r="V168" s="906">
        <v>60</v>
      </c>
      <c r="W168" s="1141">
        <v>0.69377761436376673</v>
      </c>
      <c r="X168" s="902">
        <v>0</v>
      </c>
      <c r="Y168" s="902">
        <v>0</v>
      </c>
      <c r="Z168" s="902">
        <v>0</v>
      </c>
      <c r="AA168" s="902">
        <v>0</v>
      </c>
      <c r="AB168" s="970">
        <v>0.86781790577205586</v>
      </c>
      <c r="AC168" s="1045">
        <v>4000</v>
      </c>
      <c r="AD168" s="890">
        <v>3.1849469546265414</v>
      </c>
      <c r="AE168" s="890">
        <v>0.63657963269433804</v>
      </c>
      <c r="AF168" s="890">
        <v>-0.18982319135087089</v>
      </c>
      <c r="AG168" s="890">
        <v>0.70931579787245369</v>
      </c>
      <c r="AH168" s="888"/>
      <c r="AI168" s="907">
        <v>0.82091680704136827</v>
      </c>
      <c r="AJ168" s="908">
        <v>2.5434000000000001</v>
      </c>
      <c r="AK168" s="902">
        <v>15.629649284646733</v>
      </c>
      <c r="AL168" s="902">
        <v>0</v>
      </c>
      <c r="AM168" s="902">
        <v>0</v>
      </c>
      <c r="AN168" s="902">
        <v>15.017999299541504</v>
      </c>
      <c r="AO168" s="902">
        <v>0.33413123500288217</v>
      </c>
      <c r="AP168" s="1222">
        <v>3600</v>
      </c>
      <c r="AQ168" s="909" t="s">
        <v>1062</v>
      </c>
      <c r="AR168" s="909">
        <v>3</v>
      </c>
      <c r="AS168" s="909">
        <v>0</v>
      </c>
      <c r="AT168" s="909">
        <v>0</v>
      </c>
      <c r="AU168" s="909">
        <v>0</v>
      </c>
      <c r="AV168" s="910">
        <v>11321.633904925004</v>
      </c>
      <c r="AW168" s="909">
        <v>0</v>
      </c>
      <c r="AX168" s="909">
        <v>0</v>
      </c>
      <c r="AY168" s="909">
        <v>0</v>
      </c>
      <c r="AZ168" s="910">
        <v>12411.364838111997</v>
      </c>
      <c r="BA168" s="871">
        <v>4000</v>
      </c>
      <c r="BB168" s="911">
        <v>97.808251281762224</v>
      </c>
      <c r="BC168" s="908">
        <v>2.5434000000000001</v>
      </c>
      <c r="BD168" s="902">
        <v>15.629649284646733</v>
      </c>
      <c r="BE168" s="902">
        <v>0</v>
      </c>
      <c r="BF168" s="902">
        <v>0</v>
      </c>
      <c r="BG168" s="902">
        <v>15.017999299541504</v>
      </c>
      <c r="BH168" s="902">
        <v>0.33413123500288217</v>
      </c>
      <c r="BI168" s="902">
        <v>3600</v>
      </c>
      <c r="BJ168" s="909" t="s">
        <v>1062</v>
      </c>
      <c r="BK168" s="909">
        <v>3</v>
      </c>
      <c r="BL168" s="909">
        <v>0</v>
      </c>
      <c r="BM168" s="909">
        <v>0</v>
      </c>
      <c r="BN168" s="909">
        <v>0</v>
      </c>
      <c r="BO168" s="910">
        <v>11321.633904925004</v>
      </c>
      <c r="BP168" s="909">
        <v>0</v>
      </c>
      <c r="BQ168" s="909">
        <v>0</v>
      </c>
      <c r="BR168" s="909">
        <v>0</v>
      </c>
      <c r="BS168" s="910">
        <v>12411.364838111997</v>
      </c>
      <c r="BT168" s="871">
        <v>4000</v>
      </c>
      <c r="BU168" s="911">
        <v>97.808251281762224</v>
      </c>
      <c r="BV168" s="908">
        <v>1.6956000000000002</v>
      </c>
      <c r="BW168" s="902">
        <v>14.781849284646734</v>
      </c>
      <c r="BX168" s="902">
        <v>0</v>
      </c>
      <c r="BY168" s="902">
        <v>0</v>
      </c>
      <c r="BZ168" s="902">
        <v>14.588875712113431</v>
      </c>
      <c r="CA168" s="902">
        <v>0.30560647412788217</v>
      </c>
      <c r="CB168" s="902">
        <v>3600</v>
      </c>
      <c r="CC168" s="909" t="s">
        <v>2874</v>
      </c>
      <c r="CD168" s="909">
        <v>2</v>
      </c>
      <c r="CE168" s="909">
        <v>0</v>
      </c>
      <c r="CF168" s="909">
        <v>0</v>
      </c>
      <c r="CG168" s="909">
        <v>0</v>
      </c>
      <c r="CH168" s="910">
        <v>7874.9879743034944</v>
      </c>
      <c r="CI168" s="909">
        <v>0</v>
      </c>
      <c r="CJ168" s="909">
        <v>0</v>
      </c>
      <c r="CK168" s="909">
        <v>0</v>
      </c>
      <c r="CL168" s="910">
        <v>7753.6091027380589</v>
      </c>
      <c r="CM168" s="871">
        <v>4000</v>
      </c>
      <c r="CN168" s="911">
        <v>97.808251281762224</v>
      </c>
      <c r="CO168" s="908">
        <v>1.6956000000000002</v>
      </c>
      <c r="CP168" s="902">
        <v>14.781849284646734</v>
      </c>
      <c r="CQ168" s="902">
        <v>0</v>
      </c>
      <c r="CR168" s="902">
        <v>0</v>
      </c>
      <c r="CS168" s="902">
        <v>14.588875712113431</v>
      </c>
      <c r="CT168" s="902">
        <v>0.30560647412788217</v>
      </c>
      <c r="CU168" s="902">
        <v>3600</v>
      </c>
      <c r="CV168" s="909" t="s">
        <v>2874</v>
      </c>
      <c r="CW168" s="909">
        <v>2</v>
      </c>
      <c r="CX168" s="909">
        <v>0</v>
      </c>
      <c r="CY168" s="909">
        <v>0</v>
      </c>
      <c r="CZ168" s="909">
        <v>0</v>
      </c>
      <c r="DA168" s="910">
        <v>7874.9879743034944</v>
      </c>
      <c r="DB168" s="909">
        <v>0</v>
      </c>
      <c r="DC168" s="909">
        <v>0</v>
      </c>
      <c r="DD168" s="909">
        <v>0</v>
      </c>
      <c r="DE168" s="910">
        <v>7753.6091027380589</v>
      </c>
      <c r="DF168" s="871">
        <v>4000</v>
      </c>
      <c r="DG168" s="911">
        <v>97.808251281762224</v>
      </c>
      <c r="DH168" s="908">
        <v>1.6956000000000002</v>
      </c>
      <c r="DI168" s="902">
        <v>14.781849284646734</v>
      </c>
      <c r="DJ168" s="902">
        <v>0</v>
      </c>
      <c r="DK168" s="902">
        <v>0</v>
      </c>
      <c r="DL168" s="902">
        <v>14.588875712113431</v>
      </c>
      <c r="DM168" s="902">
        <v>0.30560647412788217</v>
      </c>
      <c r="DN168" s="902">
        <v>3600</v>
      </c>
      <c r="DO168" s="909" t="s">
        <v>2876</v>
      </c>
      <c r="DP168" s="909">
        <v>2</v>
      </c>
      <c r="DQ168" s="909">
        <v>0</v>
      </c>
      <c r="DR168" s="909">
        <v>0</v>
      </c>
      <c r="DS168" s="909">
        <v>0</v>
      </c>
      <c r="DT168" s="910">
        <v>8418.7162642310341</v>
      </c>
      <c r="DU168" s="909">
        <v>0</v>
      </c>
      <c r="DV168" s="909">
        <v>0</v>
      </c>
      <c r="DW168" s="909">
        <v>0</v>
      </c>
      <c r="DX168" s="910">
        <v>8288.9567924049989</v>
      </c>
      <c r="DY168" s="871">
        <v>4000</v>
      </c>
      <c r="DZ168" s="911">
        <v>97.808251281762224</v>
      </c>
      <c r="EA168" s="908">
        <v>1.6956000000000002</v>
      </c>
      <c r="EB168" s="902">
        <v>14.781849284646734</v>
      </c>
      <c r="EC168" s="902">
        <v>0</v>
      </c>
      <c r="ED168" s="902">
        <v>0</v>
      </c>
      <c r="EE168" s="902">
        <v>14.588875712113431</v>
      </c>
      <c r="EF168" s="902">
        <v>0.30560647412788217</v>
      </c>
      <c r="EG168" s="902">
        <v>3600</v>
      </c>
      <c r="EH168" s="909" t="s">
        <v>2876</v>
      </c>
      <c r="EI168" s="909">
        <v>2</v>
      </c>
      <c r="EJ168" s="909">
        <v>0</v>
      </c>
      <c r="EK168" s="909">
        <v>0</v>
      </c>
      <c r="EL168" s="909">
        <v>0</v>
      </c>
      <c r="EM168" s="910">
        <v>8418.7162642310341</v>
      </c>
      <c r="EN168" s="909">
        <v>0</v>
      </c>
      <c r="EO168" s="909">
        <v>0</v>
      </c>
      <c r="EP168" s="909">
        <v>0</v>
      </c>
      <c r="EQ168" s="910">
        <v>8288.9567924049989</v>
      </c>
      <c r="ER168" s="871">
        <v>4000</v>
      </c>
      <c r="ES168" s="911">
        <v>97.808251281762224</v>
      </c>
      <c r="ET168" s="908">
        <v>1.6956000000000002</v>
      </c>
      <c r="EU168" s="902">
        <v>14.781849284646734</v>
      </c>
      <c r="EV168" s="902">
        <v>0</v>
      </c>
      <c r="EW168" s="902">
        <v>0</v>
      </c>
      <c r="EX168" s="902">
        <v>14.588875712113431</v>
      </c>
      <c r="EY168" s="902">
        <v>0.30560647412788217</v>
      </c>
      <c r="EZ168" s="902">
        <v>3600</v>
      </c>
      <c r="FA168" s="909" t="s">
        <v>3889</v>
      </c>
      <c r="FB168" s="909">
        <v>2</v>
      </c>
      <c r="FC168" s="909">
        <v>0</v>
      </c>
      <c r="FD168" s="909">
        <v>0</v>
      </c>
      <c r="FE168" s="909">
        <v>0</v>
      </c>
      <c r="FF168" s="910">
        <v>8592.3163069316033</v>
      </c>
      <c r="FG168" s="909">
        <v>0</v>
      </c>
      <c r="FH168" s="909">
        <v>0</v>
      </c>
      <c r="FI168" s="909">
        <v>0</v>
      </c>
      <c r="FJ168" s="910">
        <v>8459.881100570421</v>
      </c>
      <c r="FK168" s="871">
        <v>4000</v>
      </c>
      <c r="FL168" s="911">
        <v>97.808251281762224</v>
      </c>
      <c r="FM168" s="908">
        <v>1.6956000000000002</v>
      </c>
      <c r="FN168" s="902">
        <v>14.781849284646734</v>
      </c>
      <c r="FO168" s="902">
        <v>0</v>
      </c>
      <c r="FP168" s="902">
        <v>0</v>
      </c>
      <c r="FQ168" s="902">
        <v>14.588875712113431</v>
      </c>
      <c r="FR168" s="902">
        <v>0.30560647412788217</v>
      </c>
      <c r="FS168" s="902">
        <v>3600</v>
      </c>
      <c r="FT168" s="909" t="s">
        <v>3889</v>
      </c>
      <c r="FU168" s="909">
        <v>2</v>
      </c>
      <c r="FV168" s="909">
        <v>0</v>
      </c>
      <c r="FW168" s="909">
        <v>0</v>
      </c>
      <c r="FX168" s="909">
        <v>0</v>
      </c>
      <c r="FY168" s="910">
        <v>8592.3163069316033</v>
      </c>
      <c r="FZ168" s="909">
        <v>0</v>
      </c>
      <c r="GA168" s="909">
        <v>0</v>
      </c>
      <c r="GB168" s="909">
        <v>0</v>
      </c>
      <c r="GC168" s="910">
        <v>8459.881100570421</v>
      </c>
      <c r="GD168" s="871">
        <v>4000</v>
      </c>
      <c r="GE168" s="911">
        <v>97.808251281762224</v>
      </c>
      <c r="GF168" s="908">
        <v>1.6956000000000002</v>
      </c>
      <c r="GG168" s="902">
        <v>14.781849284646734</v>
      </c>
      <c r="GH168" s="902">
        <v>0</v>
      </c>
      <c r="GI168" s="902">
        <v>0</v>
      </c>
      <c r="GJ168" s="902">
        <v>14.588875712113431</v>
      </c>
      <c r="GK168" s="902">
        <v>0.30560647412788217</v>
      </c>
      <c r="GL168" s="902">
        <v>3600</v>
      </c>
      <c r="GM168" s="909" t="s">
        <v>2877</v>
      </c>
      <c r="GN168" s="909">
        <v>2</v>
      </c>
      <c r="GO168" s="909">
        <v>0</v>
      </c>
      <c r="GP168" s="909">
        <v>0</v>
      </c>
      <c r="GQ168" s="909">
        <v>0</v>
      </c>
      <c r="GR168" s="910">
        <v>11527.802007887403</v>
      </c>
      <c r="GS168" s="909">
        <v>0</v>
      </c>
      <c r="GT168" s="909">
        <v>0</v>
      </c>
      <c r="GU168" s="909">
        <v>0</v>
      </c>
      <c r="GV168" s="910">
        <v>11350.121533464724</v>
      </c>
      <c r="GW168" s="871">
        <v>4000</v>
      </c>
      <c r="GX168" s="911">
        <v>97.808251281762224</v>
      </c>
      <c r="GY168" s="908">
        <v>1.6956000000000002</v>
      </c>
      <c r="GZ168" s="902">
        <v>14.781849284646734</v>
      </c>
      <c r="HA168" s="902">
        <v>0</v>
      </c>
      <c r="HB168" s="902">
        <v>0</v>
      </c>
      <c r="HC168" s="902">
        <v>14.588875712113431</v>
      </c>
      <c r="HD168" s="902">
        <v>0.30560647412788217</v>
      </c>
      <c r="HE168" s="902">
        <v>3600</v>
      </c>
      <c r="HF168" s="909" t="s">
        <v>2877</v>
      </c>
      <c r="HG168" s="909">
        <v>2</v>
      </c>
      <c r="HH168" s="909">
        <v>0</v>
      </c>
      <c r="HI168" s="909">
        <v>0</v>
      </c>
      <c r="HJ168" s="909">
        <v>0</v>
      </c>
      <c r="HK168" s="910">
        <v>11527.802007887403</v>
      </c>
      <c r="HL168" s="909">
        <v>0</v>
      </c>
      <c r="HM168" s="909">
        <v>0</v>
      </c>
      <c r="HN168" s="909">
        <v>0</v>
      </c>
      <c r="HO168" s="910">
        <v>11350.121533464724</v>
      </c>
      <c r="HP168" s="871">
        <v>4000</v>
      </c>
      <c r="HQ168" s="911">
        <v>97.808251281762224</v>
      </c>
      <c r="HR168" s="908">
        <v>1.6956000000000002</v>
      </c>
      <c r="HS168" s="902">
        <v>14.781849284646734</v>
      </c>
      <c r="HT168" s="902">
        <v>0</v>
      </c>
      <c r="HU168" s="902">
        <v>0</v>
      </c>
      <c r="HV168" s="902">
        <v>14.588875712113431</v>
      </c>
      <c r="HW168" s="902">
        <v>0.30560647412788217</v>
      </c>
      <c r="HX168" s="902">
        <v>3600</v>
      </c>
      <c r="HY168" s="909" t="s">
        <v>1063</v>
      </c>
      <c r="HZ168" s="909">
        <v>2</v>
      </c>
      <c r="IA168" s="909">
        <v>0</v>
      </c>
      <c r="IB168" s="909">
        <v>0</v>
      </c>
      <c r="IC168" s="909">
        <v>0</v>
      </c>
      <c r="ID168" s="910">
        <v>10166.565758684412</v>
      </c>
      <c r="IE168" s="909">
        <v>0</v>
      </c>
      <c r="IF168" s="909">
        <v>0</v>
      </c>
      <c r="IG168" s="909">
        <v>0</v>
      </c>
      <c r="IH168" s="910">
        <v>10009.866309301524</v>
      </c>
      <c r="II168" s="871">
        <v>4000</v>
      </c>
      <c r="IJ168" s="911">
        <v>97.808251281762224</v>
      </c>
      <c r="IK168" s="908">
        <v>1.6956000000000002</v>
      </c>
      <c r="IL168" s="902">
        <v>14.781849284646734</v>
      </c>
      <c r="IM168" s="902">
        <v>0</v>
      </c>
      <c r="IN168" s="902">
        <v>0</v>
      </c>
      <c r="IO168" s="902">
        <v>14.588875712113431</v>
      </c>
      <c r="IP168" s="902">
        <v>0.30560647412788217</v>
      </c>
      <c r="IQ168" s="902">
        <v>3600</v>
      </c>
      <c r="IR168" s="909" t="s">
        <v>1063</v>
      </c>
      <c r="IS168" s="909">
        <v>2</v>
      </c>
      <c r="IT168" s="909">
        <v>0</v>
      </c>
      <c r="IU168" s="909">
        <v>0</v>
      </c>
      <c r="IV168" s="909">
        <v>0</v>
      </c>
      <c r="IW168" s="910">
        <v>10166.565758684412</v>
      </c>
      <c r="IX168" s="909">
        <v>0</v>
      </c>
      <c r="IY168" s="909">
        <v>0</v>
      </c>
      <c r="IZ168" s="909">
        <v>0</v>
      </c>
      <c r="JA168" s="910">
        <v>10009.866309301524</v>
      </c>
      <c r="JB168" s="871">
        <v>4000</v>
      </c>
      <c r="JC168" s="911">
        <v>97.808251281762224</v>
      </c>
      <c r="JD168" s="908">
        <v>1.6956000000000002</v>
      </c>
      <c r="JE168" s="902">
        <v>14.781849284646734</v>
      </c>
      <c r="JF168" s="902">
        <v>0</v>
      </c>
      <c r="JG168" s="902">
        <v>0</v>
      </c>
      <c r="JH168" s="902">
        <v>14.588875712113431</v>
      </c>
      <c r="JI168" s="902">
        <v>0.30560647412788217</v>
      </c>
      <c r="JJ168" s="902">
        <v>3600</v>
      </c>
      <c r="JK168" s="909" t="s">
        <v>1064</v>
      </c>
      <c r="JL168" s="909">
        <v>2</v>
      </c>
      <c r="JM168" s="909">
        <v>0</v>
      </c>
      <c r="JN168" s="909">
        <v>0</v>
      </c>
      <c r="JO168" s="909">
        <v>0</v>
      </c>
      <c r="JP168" s="910">
        <v>13854.693744278238</v>
      </c>
      <c r="JQ168" s="909">
        <v>0</v>
      </c>
      <c r="JR168" s="909">
        <v>0</v>
      </c>
      <c r="JS168" s="909">
        <v>0</v>
      </c>
      <c r="JT168" s="910">
        <v>13641.148390551605</v>
      </c>
      <c r="JU168" s="871">
        <v>4000</v>
      </c>
      <c r="JV168" s="911">
        <v>97.808251281762224</v>
      </c>
      <c r="JW168" s="908">
        <v>1.6956000000000002</v>
      </c>
      <c r="JX168" s="902">
        <v>14.781849284646734</v>
      </c>
      <c r="JY168" s="902">
        <v>0</v>
      </c>
      <c r="JZ168" s="902">
        <v>0</v>
      </c>
      <c r="KA168" s="902">
        <v>14.588875712113431</v>
      </c>
      <c r="KB168" s="902">
        <v>0.30560647412788217</v>
      </c>
      <c r="KC168" s="902">
        <v>3600</v>
      </c>
      <c r="KD168" s="909" t="s">
        <v>1064</v>
      </c>
      <c r="KE168" s="909">
        <v>2</v>
      </c>
      <c r="KF168" s="909">
        <v>0</v>
      </c>
      <c r="KG168" s="909">
        <v>0</v>
      </c>
      <c r="KH168" s="909">
        <v>0</v>
      </c>
      <c r="KI168" s="910">
        <v>13854.693744278238</v>
      </c>
      <c r="KJ168" s="909">
        <v>0</v>
      </c>
      <c r="KK168" s="909">
        <v>0</v>
      </c>
      <c r="KL168" s="909">
        <v>0</v>
      </c>
      <c r="KM168" s="910">
        <v>13641.148390551605</v>
      </c>
      <c r="KN168" s="871">
        <v>4000</v>
      </c>
      <c r="KO168" s="912">
        <v>97.808251281762224</v>
      </c>
    </row>
    <row r="169" spans="1:301" ht="15" customHeight="1">
      <c r="A169" s="924" t="s">
        <v>1699</v>
      </c>
      <c r="B169" s="888" t="s">
        <v>1073</v>
      </c>
      <c r="C169" s="888">
        <v>226</v>
      </c>
      <c r="D169" s="888">
        <v>467</v>
      </c>
      <c r="E169" s="888">
        <v>206</v>
      </c>
      <c r="F169" s="888">
        <v>226</v>
      </c>
      <c r="G169" s="888">
        <v>59</v>
      </c>
      <c r="H169" s="888">
        <v>45</v>
      </c>
      <c r="I169" s="888">
        <v>45</v>
      </c>
      <c r="J169" s="888">
        <v>32.479999999999997</v>
      </c>
      <c r="K169" s="888">
        <v>64.98</v>
      </c>
      <c r="L169" s="888">
        <v>16</v>
      </c>
      <c r="M169" s="888">
        <v>150</v>
      </c>
      <c r="N169" s="888">
        <v>2</v>
      </c>
      <c r="O169" s="884">
        <v>2.1659334344454564</v>
      </c>
      <c r="P169" s="888">
        <v>2</v>
      </c>
      <c r="Q169" s="884">
        <v>1.3187762736360606</v>
      </c>
      <c r="R169" s="888">
        <v>13.000000000000002</v>
      </c>
      <c r="S169" s="888">
        <v>333.37486768551827</v>
      </c>
      <c r="T169" s="906">
        <v>8.9077619622014499</v>
      </c>
      <c r="U169" s="906">
        <v>50.00623015282774</v>
      </c>
      <c r="V169" s="906">
        <v>60</v>
      </c>
      <c r="W169" s="1141">
        <v>0.69377761436376673</v>
      </c>
      <c r="X169" s="902">
        <v>0</v>
      </c>
      <c r="Y169" s="902">
        <v>0</v>
      </c>
      <c r="Z169" s="902">
        <v>0</v>
      </c>
      <c r="AA169" s="902">
        <v>0</v>
      </c>
      <c r="AB169" s="970">
        <v>0.86781790577205586</v>
      </c>
      <c r="AC169" s="1045">
        <v>4000</v>
      </c>
      <c r="AD169" s="890">
        <v>3.1849469546265414</v>
      </c>
      <c r="AE169" s="890">
        <v>0.63657963269433804</v>
      </c>
      <c r="AF169" s="890">
        <v>-0.18982319135087089</v>
      </c>
      <c r="AG169" s="890">
        <v>0.70931579787245369</v>
      </c>
      <c r="AH169" s="888"/>
      <c r="AI169" s="907">
        <v>0.82091680704136827</v>
      </c>
      <c r="AJ169" s="908">
        <v>2.5434000000000001</v>
      </c>
      <c r="AK169" s="902">
        <v>15.629649284646733</v>
      </c>
      <c r="AL169" s="902">
        <v>0</v>
      </c>
      <c r="AM169" s="902">
        <v>0</v>
      </c>
      <c r="AN169" s="902">
        <v>15.017999299541504</v>
      </c>
      <c r="AO169" s="902">
        <v>0.33413123500288217</v>
      </c>
      <c r="AP169" s="1222">
        <v>3600</v>
      </c>
      <c r="AQ169" s="909" t="s">
        <v>1062</v>
      </c>
      <c r="AR169" s="909">
        <v>3</v>
      </c>
      <c r="AS169" s="909">
        <v>0</v>
      </c>
      <c r="AT169" s="909">
        <v>0</v>
      </c>
      <c r="AU169" s="909">
        <v>0</v>
      </c>
      <c r="AV169" s="910">
        <v>11321.633904925004</v>
      </c>
      <c r="AW169" s="909">
        <v>0</v>
      </c>
      <c r="AX169" s="909">
        <v>0</v>
      </c>
      <c r="AY169" s="909">
        <v>0</v>
      </c>
      <c r="AZ169" s="910">
        <v>12411.364838111997</v>
      </c>
      <c r="BA169" s="871">
        <v>4000</v>
      </c>
      <c r="BB169" s="911">
        <v>97.808251281762224</v>
      </c>
      <c r="BC169" s="908">
        <v>2.5434000000000001</v>
      </c>
      <c r="BD169" s="902">
        <v>15.629649284646733</v>
      </c>
      <c r="BE169" s="902">
        <v>0</v>
      </c>
      <c r="BF169" s="902">
        <v>0</v>
      </c>
      <c r="BG169" s="902">
        <v>15.017999299541504</v>
      </c>
      <c r="BH169" s="902">
        <v>0.33413123500288217</v>
      </c>
      <c r="BI169" s="902">
        <v>3600</v>
      </c>
      <c r="BJ169" s="909" t="s">
        <v>1062</v>
      </c>
      <c r="BK169" s="909">
        <v>3</v>
      </c>
      <c r="BL169" s="909">
        <v>0</v>
      </c>
      <c r="BM169" s="909">
        <v>0</v>
      </c>
      <c r="BN169" s="909">
        <v>0</v>
      </c>
      <c r="BO169" s="910">
        <v>11321.633904925004</v>
      </c>
      <c r="BP169" s="909">
        <v>0</v>
      </c>
      <c r="BQ169" s="909">
        <v>0</v>
      </c>
      <c r="BR169" s="909">
        <v>0</v>
      </c>
      <c r="BS169" s="910">
        <v>12411.364838111997</v>
      </c>
      <c r="BT169" s="871">
        <v>4000</v>
      </c>
      <c r="BU169" s="911">
        <v>97.808251281762224</v>
      </c>
      <c r="BV169" s="908">
        <v>1.6956000000000002</v>
      </c>
      <c r="BW169" s="902">
        <v>14.781849284646734</v>
      </c>
      <c r="BX169" s="902">
        <v>0</v>
      </c>
      <c r="BY169" s="902">
        <v>0</v>
      </c>
      <c r="BZ169" s="902">
        <v>14.588875712113431</v>
      </c>
      <c r="CA169" s="902">
        <v>0.30560647412788217</v>
      </c>
      <c r="CB169" s="902">
        <v>3600</v>
      </c>
      <c r="CC169" s="909" t="s">
        <v>2874</v>
      </c>
      <c r="CD169" s="909">
        <v>2</v>
      </c>
      <c r="CE169" s="909">
        <v>0</v>
      </c>
      <c r="CF169" s="909">
        <v>0</v>
      </c>
      <c r="CG169" s="909">
        <v>0</v>
      </c>
      <c r="CH169" s="910">
        <v>7874.9879743034944</v>
      </c>
      <c r="CI169" s="909">
        <v>0</v>
      </c>
      <c r="CJ169" s="909">
        <v>0</v>
      </c>
      <c r="CK169" s="909">
        <v>0</v>
      </c>
      <c r="CL169" s="910">
        <v>7753.6091027380589</v>
      </c>
      <c r="CM169" s="871">
        <v>4000</v>
      </c>
      <c r="CN169" s="911">
        <v>97.808251281762224</v>
      </c>
      <c r="CO169" s="908">
        <v>1.6956000000000002</v>
      </c>
      <c r="CP169" s="902">
        <v>14.781849284646734</v>
      </c>
      <c r="CQ169" s="902">
        <v>0</v>
      </c>
      <c r="CR169" s="902">
        <v>0</v>
      </c>
      <c r="CS169" s="902">
        <v>14.588875712113431</v>
      </c>
      <c r="CT169" s="902">
        <v>0.30560647412788217</v>
      </c>
      <c r="CU169" s="902">
        <v>3600</v>
      </c>
      <c r="CV169" s="909" t="s">
        <v>2874</v>
      </c>
      <c r="CW169" s="909">
        <v>2</v>
      </c>
      <c r="CX169" s="909">
        <v>0</v>
      </c>
      <c r="CY169" s="909">
        <v>0</v>
      </c>
      <c r="CZ169" s="909">
        <v>0</v>
      </c>
      <c r="DA169" s="910">
        <v>7874.9879743034944</v>
      </c>
      <c r="DB169" s="909">
        <v>0</v>
      </c>
      <c r="DC169" s="909">
        <v>0</v>
      </c>
      <c r="DD169" s="909">
        <v>0</v>
      </c>
      <c r="DE169" s="910">
        <v>7753.6091027380589</v>
      </c>
      <c r="DF169" s="871">
        <v>4000</v>
      </c>
      <c r="DG169" s="911">
        <v>97.808251281762224</v>
      </c>
      <c r="DH169" s="908">
        <v>1.6956000000000002</v>
      </c>
      <c r="DI169" s="902">
        <v>14.781849284646734</v>
      </c>
      <c r="DJ169" s="902">
        <v>0</v>
      </c>
      <c r="DK169" s="902">
        <v>0</v>
      </c>
      <c r="DL169" s="902">
        <v>14.588875712113431</v>
      </c>
      <c r="DM169" s="902">
        <v>0.30560647412788217</v>
      </c>
      <c r="DN169" s="902">
        <v>3600</v>
      </c>
      <c r="DO169" s="909" t="s">
        <v>2876</v>
      </c>
      <c r="DP169" s="909">
        <v>2</v>
      </c>
      <c r="DQ169" s="909">
        <v>0</v>
      </c>
      <c r="DR169" s="909">
        <v>0</v>
      </c>
      <c r="DS169" s="909">
        <v>0</v>
      </c>
      <c r="DT169" s="910">
        <v>8418.7162642310341</v>
      </c>
      <c r="DU169" s="909">
        <v>0</v>
      </c>
      <c r="DV169" s="909">
        <v>0</v>
      </c>
      <c r="DW169" s="909">
        <v>0</v>
      </c>
      <c r="DX169" s="910">
        <v>8288.9567924049989</v>
      </c>
      <c r="DY169" s="871">
        <v>4000</v>
      </c>
      <c r="DZ169" s="911">
        <v>97.808251281762224</v>
      </c>
      <c r="EA169" s="908">
        <v>1.6956000000000002</v>
      </c>
      <c r="EB169" s="902">
        <v>14.781849284646734</v>
      </c>
      <c r="EC169" s="902">
        <v>0</v>
      </c>
      <c r="ED169" s="902">
        <v>0</v>
      </c>
      <c r="EE169" s="902">
        <v>14.588875712113431</v>
      </c>
      <c r="EF169" s="902">
        <v>0.30560647412788217</v>
      </c>
      <c r="EG169" s="902">
        <v>3600</v>
      </c>
      <c r="EH169" s="909" t="s">
        <v>2876</v>
      </c>
      <c r="EI169" s="909">
        <v>2</v>
      </c>
      <c r="EJ169" s="909">
        <v>0</v>
      </c>
      <c r="EK169" s="909">
        <v>0</v>
      </c>
      <c r="EL169" s="909">
        <v>0</v>
      </c>
      <c r="EM169" s="910">
        <v>8418.7162642310341</v>
      </c>
      <c r="EN169" s="909">
        <v>0</v>
      </c>
      <c r="EO169" s="909">
        <v>0</v>
      </c>
      <c r="EP169" s="909">
        <v>0</v>
      </c>
      <c r="EQ169" s="910">
        <v>8288.9567924049989</v>
      </c>
      <c r="ER169" s="871">
        <v>4000</v>
      </c>
      <c r="ES169" s="911">
        <v>97.808251281762224</v>
      </c>
      <c r="ET169" s="908">
        <v>1.6956000000000002</v>
      </c>
      <c r="EU169" s="902">
        <v>14.781849284646734</v>
      </c>
      <c r="EV169" s="902">
        <v>0</v>
      </c>
      <c r="EW169" s="902">
        <v>0</v>
      </c>
      <c r="EX169" s="902">
        <v>14.588875712113431</v>
      </c>
      <c r="EY169" s="902">
        <v>0.30560647412788217</v>
      </c>
      <c r="EZ169" s="902">
        <v>3600</v>
      </c>
      <c r="FA169" s="909" t="s">
        <v>3889</v>
      </c>
      <c r="FB169" s="909">
        <v>2</v>
      </c>
      <c r="FC169" s="909">
        <v>0</v>
      </c>
      <c r="FD169" s="909">
        <v>0</v>
      </c>
      <c r="FE169" s="909">
        <v>0</v>
      </c>
      <c r="FF169" s="910">
        <v>8592.3163069316033</v>
      </c>
      <c r="FG169" s="909">
        <v>0</v>
      </c>
      <c r="FH169" s="909">
        <v>0</v>
      </c>
      <c r="FI169" s="909">
        <v>0</v>
      </c>
      <c r="FJ169" s="910">
        <v>8459.881100570421</v>
      </c>
      <c r="FK169" s="871">
        <v>4000</v>
      </c>
      <c r="FL169" s="911">
        <v>97.808251281762224</v>
      </c>
      <c r="FM169" s="908">
        <v>1.6956000000000002</v>
      </c>
      <c r="FN169" s="902">
        <v>14.781849284646734</v>
      </c>
      <c r="FO169" s="902">
        <v>0</v>
      </c>
      <c r="FP169" s="902">
        <v>0</v>
      </c>
      <c r="FQ169" s="902">
        <v>14.588875712113431</v>
      </c>
      <c r="FR169" s="902">
        <v>0.30560647412788217</v>
      </c>
      <c r="FS169" s="902">
        <v>3600</v>
      </c>
      <c r="FT169" s="909" t="s">
        <v>3889</v>
      </c>
      <c r="FU169" s="909">
        <v>2</v>
      </c>
      <c r="FV169" s="909">
        <v>0</v>
      </c>
      <c r="FW169" s="909">
        <v>0</v>
      </c>
      <c r="FX169" s="909">
        <v>0</v>
      </c>
      <c r="FY169" s="910">
        <v>8592.3163069316033</v>
      </c>
      <c r="FZ169" s="909">
        <v>0</v>
      </c>
      <c r="GA169" s="909">
        <v>0</v>
      </c>
      <c r="GB169" s="909">
        <v>0</v>
      </c>
      <c r="GC169" s="910">
        <v>8459.881100570421</v>
      </c>
      <c r="GD169" s="871">
        <v>4000</v>
      </c>
      <c r="GE169" s="911">
        <v>97.808251281762224</v>
      </c>
      <c r="GF169" s="908">
        <v>1.6956000000000002</v>
      </c>
      <c r="GG169" s="902">
        <v>14.781849284646734</v>
      </c>
      <c r="GH169" s="902">
        <v>0</v>
      </c>
      <c r="GI169" s="902">
        <v>0</v>
      </c>
      <c r="GJ169" s="902">
        <v>14.588875712113431</v>
      </c>
      <c r="GK169" s="902">
        <v>0.30560647412788217</v>
      </c>
      <c r="GL169" s="902">
        <v>3600</v>
      </c>
      <c r="GM169" s="909" t="s">
        <v>2877</v>
      </c>
      <c r="GN169" s="909">
        <v>2</v>
      </c>
      <c r="GO169" s="909">
        <v>0</v>
      </c>
      <c r="GP169" s="909">
        <v>0</v>
      </c>
      <c r="GQ169" s="909">
        <v>0</v>
      </c>
      <c r="GR169" s="910">
        <v>11527.802007887403</v>
      </c>
      <c r="GS169" s="909">
        <v>0</v>
      </c>
      <c r="GT169" s="909">
        <v>0</v>
      </c>
      <c r="GU169" s="909">
        <v>0</v>
      </c>
      <c r="GV169" s="910">
        <v>11350.121533464724</v>
      </c>
      <c r="GW169" s="871">
        <v>4000</v>
      </c>
      <c r="GX169" s="911">
        <v>97.808251281762224</v>
      </c>
      <c r="GY169" s="908">
        <v>1.6956000000000002</v>
      </c>
      <c r="GZ169" s="902">
        <v>14.781849284646734</v>
      </c>
      <c r="HA169" s="902">
        <v>0</v>
      </c>
      <c r="HB169" s="902">
        <v>0</v>
      </c>
      <c r="HC169" s="902">
        <v>14.588875712113431</v>
      </c>
      <c r="HD169" s="902">
        <v>0.30560647412788217</v>
      </c>
      <c r="HE169" s="902">
        <v>3600</v>
      </c>
      <c r="HF169" s="909" t="s">
        <v>2877</v>
      </c>
      <c r="HG169" s="909">
        <v>2</v>
      </c>
      <c r="HH169" s="909">
        <v>0</v>
      </c>
      <c r="HI169" s="909">
        <v>0</v>
      </c>
      <c r="HJ169" s="909">
        <v>0</v>
      </c>
      <c r="HK169" s="910">
        <v>11527.802007887403</v>
      </c>
      <c r="HL169" s="909">
        <v>0</v>
      </c>
      <c r="HM169" s="909">
        <v>0</v>
      </c>
      <c r="HN169" s="909">
        <v>0</v>
      </c>
      <c r="HO169" s="910">
        <v>11350.121533464724</v>
      </c>
      <c r="HP169" s="871">
        <v>4000</v>
      </c>
      <c r="HQ169" s="911">
        <v>97.808251281762224</v>
      </c>
      <c r="HR169" s="908">
        <v>1.6956000000000002</v>
      </c>
      <c r="HS169" s="902">
        <v>14.781849284646734</v>
      </c>
      <c r="HT169" s="902">
        <v>0</v>
      </c>
      <c r="HU169" s="902">
        <v>0</v>
      </c>
      <c r="HV169" s="902">
        <v>14.588875712113431</v>
      </c>
      <c r="HW169" s="902">
        <v>0.30560647412788217</v>
      </c>
      <c r="HX169" s="902">
        <v>3600</v>
      </c>
      <c r="HY169" s="909" t="s">
        <v>1063</v>
      </c>
      <c r="HZ169" s="909">
        <v>2</v>
      </c>
      <c r="IA169" s="909">
        <v>0</v>
      </c>
      <c r="IB169" s="909">
        <v>0</v>
      </c>
      <c r="IC169" s="909">
        <v>0</v>
      </c>
      <c r="ID169" s="910">
        <v>10166.565758684412</v>
      </c>
      <c r="IE169" s="909">
        <v>0</v>
      </c>
      <c r="IF169" s="909">
        <v>0</v>
      </c>
      <c r="IG169" s="909">
        <v>0</v>
      </c>
      <c r="IH169" s="910">
        <v>10009.866309301524</v>
      </c>
      <c r="II169" s="871">
        <v>4000</v>
      </c>
      <c r="IJ169" s="911">
        <v>97.808251281762224</v>
      </c>
      <c r="IK169" s="908">
        <v>1.6956000000000002</v>
      </c>
      <c r="IL169" s="902">
        <v>14.781849284646734</v>
      </c>
      <c r="IM169" s="902">
        <v>0</v>
      </c>
      <c r="IN169" s="902">
        <v>0</v>
      </c>
      <c r="IO169" s="902">
        <v>14.588875712113431</v>
      </c>
      <c r="IP169" s="902">
        <v>0.30560647412788217</v>
      </c>
      <c r="IQ169" s="902">
        <v>3600</v>
      </c>
      <c r="IR169" s="909" t="s">
        <v>1063</v>
      </c>
      <c r="IS169" s="909">
        <v>2</v>
      </c>
      <c r="IT169" s="909">
        <v>0</v>
      </c>
      <c r="IU169" s="909">
        <v>0</v>
      </c>
      <c r="IV169" s="909">
        <v>0</v>
      </c>
      <c r="IW169" s="910">
        <v>10166.565758684412</v>
      </c>
      <c r="IX169" s="909">
        <v>0</v>
      </c>
      <c r="IY169" s="909">
        <v>0</v>
      </c>
      <c r="IZ169" s="909">
        <v>0</v>
      </c>
      <c r="JA169" s="910">
        <v>10009.866309301524</v>
      </c>
      <c r="JB169" s="871">
        <v>4000</v>
      </c>
      <c r="JC169" s="911">
        <v>97.808251281762224</v>
      </c>
      <c r="JD169" s="908">
        <v>1.6956000000000002</v>
      </c>
      <c r="JE169" s="902">
        <v>14.781849284646734</v>
      </c>
      <c r="JF169" s="902">
        <v>0</v>
      </c>
      <c r="JG169" s="902">
        <v>0</v>
      </c>
      <c r="JH169" s="902">
        <v>14.588875712113431</v>
      </c>
      <c r="JI169" s="902">
        <v>0.30560647412788217</v>
      </c>
      <c r="JJ169" s="902">
        <v>3600</v>
      </c>
      <c r="JK169" s="909" t="s">
        <v>1064</v>
      </c>
      <c r="JL169" s="909">
        <v>2</v>
      </c>
      <c r="JM169" s="909">
        <v>0</v>
      </c>
      <c r="JN169" s="909">
        <v>0</v>
      </c>
      <c r="JO169" s="909">
        <v>0</v>
      </c>
      <c r="JP169" s="910">
        <v>13854.693744278238</v>
      </c>
      <c r="JQ169" s="909">
        <v>0</v>
      </c>
      <c r="JR169" s="909">
        <v>0</v>
      </c>
      <c r="JS169" s="909">
        <v>0</v>
      </c>
      <c r="JT169" s="910">
        <v>13641.148390551605</v>
      </c>
      <c r="JU169" s="871">
        <v>4000</v>
      </c>
      <c r="JV169" s="911">
        <v>97.808251281762224</v>
      </c>
      <c r="JW169" s="908">
        <v>1.6956000000000002</v>
      </c>
      <c r="JX169" s="902">
        <v>14.781849284646734</v>
      </c>
      <c r="JY169" s="902">
        <v>0</v>
      </c>
      <c r="JZ169" s="902">
        <v>0</v>
      </c>
      <c r="KA169" s="902">
        <v>14.588875712113431</v>
      </c>
      <c r="KB169" s="902">
        <v>0.30560647412788217</v>
      </c>
      <c r="KC169" s="902">
        <v>3600</v>
      </c>
      <c r="KD169" s="909" t="s">
        <v>1064</v>
      </c>
      <c r="KE169" s="909">
        <v>2</v>
      </c>
      <c r="KF169" s="909">
        <v>0</v>
      </c>
      <c r="KG169" s="909">
        <v>0</v>
      </c>
      <c r="KH169" s="909">
        <v>0</v>
      </c>
      <c r="KI169" s="910">
        <v>13854.693744278238</v>
      </c>
      <c r="KJ169" s="909">
        <v>0</v>
      </c>
      <c r="KK169" s="909">
        <v>0</v>
      </c>
      <c r="KL169" s="909">
        <v>0</v>
      </c>
      <c r="KM169" s="910">
        <v>13641.148390551605</v>
      </c>
      <c r="KN169" s="871">
        <v>4000</v>
      </c>
      <c r="KO169" s="912">
        <v>97.808251281762224</v>
      </c>
    </row>
    <row r="170" spans="1:301" ht="15" customHeight="1">
      <c r="A170" s="924" t="s">
        <v>1700</v>
      </c>
      <c r="B170" s="888" t="s">
        <v>1073</v>
      </c>
      <c r="C170" s="888">
        <v>226</v>
      </c>
      <c r="D170" s="888">
        <v>467</v>
      </c>
      <c r="E170" s="888">
        <v>206</v>
      </c>
      <c r="F170" s="888">
        <v>226</v>
      </c>
      <c r="G170" s="888">
        <v>59</v>
      </c>
      <c r="H170" s="888">
        <v>45</v>
      </c>
      <c r="I170" s="888">
        <v>45</v>
      </c>
      <c r="J170" s="888">
        <v>33.03</v>
      </c>
      <c r="K170" s="888">
        <v>71.83</v>
      </c>
      <c r="L170" s="888">
        <v>16</v>
      </c>
      <c r="M170" s="888">
        <v>150</v>
      </c>
      <c r="N170" s="888">
        <v>2</v>
      </c>
      <c r="O170" s="884">
        <v>2.1659334344454564</v>
      </c>
      <c r="P170" s="888">
        <v>2</v>
      </c>
      <c r="Q170" s="884">
        <v>1.3378038077241041</v>
      </c>
      <c r="R170" s="888">
        <v>13.000000000000002</v>
      </c>
      <c r="S170" s="888">
        <v>331.05242228368871</v>
      </c>
      <c r="T170" s="906">
        <v>8.7840829906291678</v>
      </c>
      <c r="U170" s="906">
        <v>49.657863342553306</v>
      </c>
      <c r="V170" s="906">
        <v>60</v>
      </c>
      <c r="W170" s="1141">
        <v>0.68414492523169468</v>
      </c>
      <c r="X170" s="902">
        <v>0</v>
      </c>
      <c r="Y170" s="902">
        <v>0</v>
      </c>
      <c r="Z170" s="902">
        <v>0</v>
      </c>
      <c r="AA170" s="902">
        <v>0</v>
      </c>
      <c r="AB170" s="970">
        <v>0.86384765836892263</v>
      </c>
      <c r="AC170" s="1045">
        <v>4000</v>
      </c>
      <c r="AD170" s="890">
        <v>4.2856426653984938</v>
      </c>
      <c r="AE170" s="890">
        <v>0.6501522626783206</v>
      </c>
      <c r="AF170" s="890">
        <v>-0.23255872440141115</v>
      </c>
      <c r="AG170" s="890">
        <v>0.62076120502867127</v>
      </c>
      <c r="AH170" s="888"/>
      <c r="AI170" s="907">
        <v>0.82091680704136827</v>
      </c>
      <c r="AJ170" s="908">
        <v>2.5434000000000001</v>
      </c>
      <c r="AK170" s="902">
        <v>15.515365158030422</v>
      </c>
      <c r="AL170" s="902">
        <v>0</v>
      </c>
      <c r="AM170" s="902">
        <v>0</v>
      </c>
      <c r="AN170" s="902">
        <v>15.059406799257747</v>
      </c>
      <c r="AO170" s="902">
        <v>0.33124371204809777</v>
      </c>
      <c r="AP170" s="1222">
        <v>3600</v>
      </c>
      <c r="AQ170" s="909" t="s">
        <v>1062</v>
      </c>
      <c r="AR170" s="909">
        <v>3</v>
      </c>
      <c r="AS170" s="909">
        <v>0</v>
      </c>
      <c r="AT170" s="909">
        <v>0</v>
      </c>
      <c r="AU170" s="909">
        <v>0</v>
      </c>
      <c r="AV170" s="910">
        <v>14230.628409355653</v>
      </c>
      <c r="AW170" s="909">
        <v>0</v>
      </c>
      <c r="AX170" s="909">
        <v>0</v>
      </c>
      <c r="AY170" s="909">
        <v>0</v>
      </c>
      <c r="AZ170" s="910">
        <v>76315.427392985323</v>
      </c>
      <c r="BA170" s="871">
        <v>4000</v>
      </c>
      <c r="BB170" s="911">
        <v>97.808251281762224</v>
      </c>
      <c r="BC170" s="908">
        <v>2.5434000000000001</v>
      </c>
      <c r="BD170" s="902">
        <v>15.515365158030422</v>
      </c>
      <c r="BE170" s="902">
        <v>0</v>
      </c>
      <c r="BF170" s="902">
        <v>0</v>
      </c>
      <c r="BG170" s="902">
        <v>15.059406799257747</v>
      </c>
      <c r="BH170" s="902">
        <v>0.33124371204809777</v>
      </c>
      <c r="BI170" s="902">
        <v>3600</v>
      </c>
      <c r="BJ170" s="909" t="s">
        <v>1062</v>
      </c>
      <c r="BK170" s="909">
        <v>3</v>
      </c>
      <c r="BL170" s="909">
        <v>0</v>
      </c>
      <c r="BM170" s="909">
        <v>0</v>
      </c>
      <c r="BN170" s="909">
        <v>0</v>
      </c>
      <c r="BO170" s="910">
        <v>14230.628409355653</v>
      </c>
      <c r="BP170" s="909">
        <v>0</v>
      </c>
      <c r="BQ170" s="909">
        <v>0</v>
      </c>
      <c r="BR170" s="909">
        <v>0</v>
      </c>
      <c r="BS170" s="910">
        <v>76315.427392985323</v>
      </c>
      <c r="BT170" s="871">
        <v>4000</v>
      </c>
      <c r="BU170" s="911">
        <v>97.808251281762224</v>
      </c>
      <c r="BV170" s="908">
        <v>1.6956000000000002</v>
      </c>
      <c r="BW170" s="902">
        <v>14.667565158030422</v>
      </c>
      <c r="BX170" s="902">
        <v>0</v>
      </c>
      <c r="BY170" s="902">
        <v>0</v>
      </c>
      <c r="BZ170" s="902">
        <v>14.629333038028493</v>
      </c>
      <c r="CA170" s="902">
        <v>0.30271895117309777</v>
      </c>
      <c r="CB170" s="902">
        <v>3600</v>
      </c>
      <c r="CC170" s="909" t="s">
        <v>2874</v>
      </c>
      <c r="CD170" s="909">
        <v>2</v>
      </c>
      <c r="CE170" s="909">
        <v>0</v>
      </c>
      <c r="CF170" s="909">
        <v>0</v>
      </c>
      <c r="CG170" s="909">
        <v>0</v>
      </c>
      <c r="CH170" s="910">
        <v>7899.3424786502146</v>
      </c>
      <c r="CI170" s="909">
        <v>0</v>
      </c>
      <c r="CJ170" s="909">
        <v>0</v>
      </c>
      <c r="CK170" s="909">
        <v>0</v>
      </c>
      <c r="CL170" s="910">
        <v>26416.045906565199</v>
      </c>
      <c r="CM170" s="871">
        <v>4000</v>
      </c>
      <c r="CN170" s="911">
        <v>97.808251281762224</v>
      </c>
      <c r="CO170" s="908">
        <v>1.6956000000000002</v>
      </c>
      <c r="CP170" s="902">
        <v>14.667565158030422</v>
      </c>
      <c r="CQ170" s="902">
        <v>0</v>
      </c>
      <c r="CR170" s="902">
        <v>0</v>
      </c>
      <c r="CS170" s="902">
        <v>14.629333038028493</v>
      </c>
      <c r="CT170" s="902">
        <v>0.30271895117309777</v>
      </c>
      <c r="CU170" s="902">
        <v>3600</v>
      </c>
      <c r="CV170" s="909" t="s">
        <v>2874</v>
      </c>
      <c r="CW170" s="909">
        <v>2</v>
      </c>
      <c r="CX170" s="909">
        <v>0</v>
      </c>
      <c r="CY170" s="909">
        <v>0</v>
      </c>
      <c r="CZ170" s="909">
        <v>0</v>
      </c>
      <c r="DA170" s="910">
        <v>7899.3424786502146</v>
      </c>
      <c r="DB170" s="909">
        <v>0</v>
      </c>
      <c r="DC170" s="909">
        <v>0</v>
      </c>
      <c r="DD170" s="909">
        <v>0</v>
      </c>
      <c r="DE170" s="910">
        <v>26416.045906565199</v>
      </c>
      <c r="DF170" s="871">
        <v>4000</v>
      </c>
      <c r="DG170" s="911">
        <v>97.808251281762224</v>
      </c>
      <c r="DH170" s="908">
        <v>1.6956000000000002</v>
      </c>
      <c r="DI170" s="902">
        <v>14.667565158030422</v>
      </c>
      <c r="DJ170" s="902">
        <v>0</v>
      </c>
      <c r="DK170" s="902">
        <v>0</v>
      </c>
      <c r="DL170" s="902">
        <v>14.629333038028493</v>
      </c>
      <c r="DM170" s="902">
        <v>0.30271895117309777</v>
      </c>
      <c r="DN170" s="902">
        <v>3600</v>
      </c>
      <c r="DO170" s="909" t="s">
        <v>2876</v>
      </c>
      <c r="DP170" s="909">
        <v>2</v>
      </c>
      <c r="DQ170" s="909">
        <v>0</v>
      </c>
      <c r="DR170" s="909">
        <v>0</v>
      </c>
      <c r="DS170" s="909">
        <v>0</v>
      </c>
      <c r="DT170" s="910">
        <v>8444.7523245424982</v>
      </c>
      <c r="DU170" s="909">
        <v>0</v>
      </c>
      <c r="DV170" s="909">
        <v>0</v>
      </c>
      <c r="DW170" s="909">
        <v>0</v>
      </c>
      <c r="DX170" s="910">
        <v>28239.940941616478</v>
      </c>
      <c r="DY170" s="871">
        <v>4000</v>
      </c>
      <c r="DZ170" s="911">
        <v>97.808251281762224</v>
      </c>
      <c r="EA170" s="908">
        <v>1.6956000000000002</v>
      </c>
      <c r="EB170" s="902">
        <v>14.667565158030422</v>
      </c>
      <c r="EC170" s="902">
        <v>0</v>
      </c>
      <c r="ED170" s="902">
        <v>0</v>
      </c>
      <c r="EE170" s="902">
        <v>14.629333038028493</v>
      </c>
      <c r="EF170" s="902">
        <v>0.30271895117309777</v>
      </c>
      <c r="EG170" s="902">
        <v>3600</v>
      </c>
      <c r="EH170" s="909" t="s">
        <v>2876</v>
      </c>
      <c r="EI170" s="909">
        <v>2</v>
      </c>
      <c r="EJ170" s="909">
        <v>0</v>
      </c>
      <c r="EK170" s="909">
        <v>0</v>
      </c>
      <c r="EL170" s="909">
        <v>0</v>
      </c>
      <c r="EM170" s="910">
        <v>8444.7523245424982</v>
      </c>
      <c r="EN170" s="909">
        <v>0</v>
      </c>
      <c r="EO170" s="909">
        <v>0</v>
      </c>
      <c r="EP170" s="909">
        <v>0</v>
      </c>
      <c r="EQ170" s="910">
        <v>28239.940941616478</v>
      </c>
      <c r="ER170" s="871">
        <v>4000</v>
      </c>
      <c r="ES170" s="911">
        <v>97.808251281762224</v>
      </c>
      <c r="ET170" s="908">
        <v>1.6956000000000002</v>
      </c>
      <c r="EU170" s="902">
        <v>14.667565158030422</v>
      </c>
      <c r="EV170" s="902">
        <v>0</v>
      </c>
      <c r="EW170" s="902">
        <v>0</v>
      </c>
      <c r="EX170" s="902">
        <v>14.629333038028493</v>
      </c>
      <c r="EY170" s="902">
        <v>0.30271895117309777</v>
      </c>
      <c r="EZ170" s="902">
        <v>3600</v>
      </c>
      <c r="FA170" s="909" t="s">
        <v>3889</v>
      </c>
      <c r="FB170" s="909">
        <v>2</v>
      </c>
      <c r="FC170" s="909">
        <v>0</v>
      </c>
      <c r="FD170" s="909">
        <v>0</v>
      </c>
      <c r="FE170" s="909">
        <v>0</v>
      </c>
      <c r="FF170" s="910">
        <v>8618.8892497130219</v>
      </c>
      <c r="FG170" s="909">
        <v>0</v>
      </c>
      <c r="FH170" s="909">
        <v>0</v>
      </c>
      <c r="FI170" s="909">
        <v>0</v>
      </c>
      <c r="FJ170" s="910">
        <v>28822.269030535259</v>
      </c>
      <c r="FK170" s="871">
        <v>4000</v>
      </c>
      <c r="FL170" s="911">
        <v>97.808251281762224</v>
      </c>
      <c r="FM170" s="908">
        <v>1.6956000000000002</v>
      </c>
      <c r="FN170" s="902">
        <v>14.667565158030422</v>
      </c>
      <c r="FO170" s="902">
        <v>0</v>
      </c>
      <c r="FP170" s="902">
        <v>0</v>
      </c>
      <c r="FQ170" s="902">
        <v>14.629333038028493</v>
      </c>
      <c r="FR170" s="902">
        <v>0.30271895117309777</v>
      </c>
      <c r="FS170" s="902">
        <v>3600</v>
      </c>
      <c r="FT170" s="909" t="s">
        <v>3889</v>
      </c>
      <c r="FU170" s="909">
        <v>2</v>
      </c>
      <c r="FV170" s="909">
        <v>0</v>
      </c>
      <c r="FW170" s="909">
        <v>0</v>
      </c>
      <c r="FX170" s="909">
        <v>0</v>
      </c>
      <c r="FY170" s="910">
        <v>8618.8892497130219</v>
      </c>
      <c r="FZ170" s="909">
        <v>0</v>
      </c>
      <c r="GA170" s="909">
        <v>0</v>
      </c>
      <c r="GB170" s="909">
        <v>0</v>
      </c>
      <c r="GC170" s="910">
        <v>28822.269030535259</v>
      </c>
      <c r="GD170" s="871">
        <v>4000</v>
      </c>
      <c r="GE170" s="911">
        <v>97.808251281762224</v>
      </c>
      <c r="GF170" s="908">
        <v>1.6956000000000002</v>
      </c>
      <c r="GG170" s="902">
        <v>14.667565158030422</v>
      </c>
      <c r="GH170" s="902">
        <v>0</v>
      </c>
      <c r="GI170" s="902">
        <v>0</v>
      </c>
      <c r="GJ170" s="902">
        <v>14.629333038028493</v>
      </c>
      <c r="GK170" s="902">
        <v>0.30271895117309777</v>
      </c>
      <c r="GL170" s="902">
        <v>3600</v>
      </c>
      <c r="GM170" s="909" t="s">
        <v>2877</v>
      </c>
      <c r="GN170" s="909">
        <v>2</v>
      </c>
      <c r="GO170" s="909">
        <v>0</v>
      </c>
      <c r="GP170" s="909">
        <v>0</v>
      </c>
      <c r="GQ170" s="909">
        <v>0</v>
      </c>
      <c r="GR170" s="910">
        <v>11563.453351740282</v>
      </c>
      <c r="GS170" s="909">
        <v>0</v>
      </c>
      <c r="GT170" s="909">
        <v>0</v>
      </c>
      <c r="GU170" s="909">
        <v>0</v>
      </c>
      <c r="GV170" s="910">
        <v>38669.131690843133</v>
      </c>
      <c r="GW170" s="871">
        <v>4000</v>
      </c>
      <c r="GX170" s="911">
        <v>97.808251281762224</v>
      </c>
      <c r="GY170" s="908">
        <v>1.6956000000000002</v>
      </c>
      <c r="GZ170" s="902">
        <v>14.667565158030422</v>
      </c>
      <c r="HA170" s="902">
        <v>0</v>
      </c>
      <c r="HB170" s="902">
        <v>0</v>
      </c>
      <c r="HC170" s="902">
        <v>14.629333038028493</v>
      </c>
      <c r="HD170" s="902">
        <v>0.30271895117309777</v>
      </c>
      <c r="HE170" s="902">
        <v>3600</v>
      </c>
      <c r="HF170" s="909" t="s">
        <v>2877</v>
      </c>
      <c r="HG170" s="909">
        <v>2</v>
      </c>
      <c r="HH170" s="909">
        <v>0</v>
      </c>
      <c r="HI170" s="909">
        <v>0</v>
      </c>
      <c r="HJ170" s="909">
        <v>0</v>
      </c>
      <c r="HK170" s="910">
        <v>11563.453351740282</v>
      </c>
      <c r="HL170" s="909">
        <v>0</v>
      </c>
      <c r="HM170" s="909">
        <v>0</v>
      </c>
      <c r="HN170" s="909">
        <v>0</v>
      </c>
      <c r="HO170" s="910">
        <v>38669.131690843133</v>
      </c>
      <c r="HP170" s="871">
        <v>4000</v>
      </c>
      <c r="HQ170" s="911">
        <v>97.808251281762224</v>
      </c>
      <c r="HR170" s="908">
        <v>1.6956000000000002</v>
      </c>
      <c r="HS170" s="902">
        <v>14.667565158030422</v>
      </c>
      <c r="HT170" s="902">
        <v>0</v>
      </c>
      <c r="HU170" s="902">
        <v>0</v>
      </c>
      <c r="HV170" s="902">
        <v>14.629333038028493</v>
      </c>
      <c r="HW170" s="902">
        <v>0.30271895117309777</v>
      </c>
      <c r="HX170" s="902">
        <v>3600</v>
      </c>
      <c r="HY170" s="909" t="s">
        <v>1063</v>
      </c>
      <c r="HZ170" s="909">
        <v>2</v>
      </c>
      <c r="IA170" s="909">
        <v>0</v>
      </c>
      <c r="IB170" s="909">
        <v>0</v>
      </c>
      <c r="IC170" s="909">
        <v>0</v>
      </c>
      <c r="ID170" s="910">
        <v>10198.007288597026</v>
      </c>
      <c r="IE170" s="909">
        <v>0</v>
      </c>
      <c r="IF170" s="909">
        <v>0</v>
      </c>
      <c r="IG170" s="909">
        <v>0</v>
      </c>
      <c r="IH170" s="910">
        <v>34102.968622925728</v>
      </c>
      <c r="II170" s="871">
        <v>4000</v>
      </c>
      <c r="IJ170" s="911">
        <v>97.808251281762224</v>
      </c>
      <c r="IK170" s="908">
        <v>1.6956000000000002</v>
      </c>
      <c r="IL170" s="902">
        <v>14.667565158030422</v>
      </c>
      <c r="IM170" s="902">
        <v>0</v>
      </c>
      <c r="IN170" s="902">
        <v>0</v>
      </c>
      <c r="IO170" s="902">
        <v>14.629333038028493</v>
      </c>
      <c r="IP170" s="902">
        <v>0.30271895117309777</v>
      </c>
      <c r="IQ170" s="902">
        <v>3600</v>
      </c>
      <c r="IR170" s="909" t="s">
        <v>1063</v>
      </c>
      <c r="IS170" s="909">
        <v>2</v>
      </c>
      <c r="IT170" s="909">
        <v>0</v>
      </c>
      <c r="IU170" s="909">
        <v>0</v>
      </c>
      <c r="IV170" s="909">
        <v>0</v>
      </c>
      <c r="IW170" s="910">
        <v>10198.007288597026</v>
      </c>
      <c r="IX170" s="909">
        <v>0</v>
      </c>
      <c r="IY170" s="909">
        <v>0</v>
      </c>
      <c r="IZ170" s="909">
        <v>0</v>
      </c>
      <c r="JA170" s="910">
        <v>34102.968622925728</v>
      </c>
      <c r="JB170" s="871">
        <v>4000</v>
      </c>
      <c r="JC170" s="911">
        <v>97.808251281762224</v>
      </c>
      <c r="JD170" s="908">
        <v>1.6956000000000002</v>
      </c>
      <c r="JE170" s="902">
        <v>14.667565158030422</v>
      </c>
      <c r="JF170" s="902">
        <v>0</v>
      </c>
      <c r="JG170" s="902">
        <v>0</v>
      </c>
      <c r="JH170" s="902">
        <v>14.629333038028493</v>
      </c>
      <c r="JI170" s="902">
        <v>0.30271895117309777</v>
      </c>
      <c r="JJ170" s="902">
        <v>3600</v>
      </c>
      <c r="JK170" s="909" t="s">
        <v>1064</v>
      </c>
      <c r="JL170" s="909">
        <v>2</v>
      </c>
      <c r="JM170" s="909">
        <v>0</v>
      </c>
      <c r="JN170" s="909">
        <v>0</v>
      </c>
      <c r="JO170" s="909">
        <v>0</v>
      </c>
      <c r="JP170" s="910">
        <v>13897.541327045166</v>
      </c>
      <c r="JQ170" s="909">
        <v>0</v>
      </c>
      <c r="JR170" s="909">
        <v>0</v>
      </c>
      <c r="JS170" s="909">
        <v>0</v>
      </c>
      <c r="JT170" s="910">
        <v>46474.512363001355</v>
      </c>
      <c r="JU170" s="871">
        <v>4000</v>
      </c>
      <c r="JV170" s="911">
        <v>97.808251281762224</v>
      </c>
      <c r="JW170" s="908">
        <v>1.6956000000000002</v>
      </c>
      <c r="JX170" s="902">
        <v>14.667565158030422</v>
      </c>
      <c r="JY170" s="902">
        <v>0</v>
      </c>
      <c r="JZ170" s="902">
        <v>0</v>
      </c>
      <c r="KA170" s="902">
        <v>14.629333038028493</v>
      </c>
      <c r="KB170" s="902">
        <v>0.30271895117309777</v>
      </c>
      <c r="KC170" s="902">
        <v>3600</v>
      </c>
      <c r="KD170" s="909" t="s">
        <v>1064</v>
      </c>
      <c r="KE170" s="909">
        <v>2</v>
      </c>
      <c r="KF170" s="909">
        <v>0</v>
      </c>
      <c r="KG170" s="909">
        <v>0</v>
      </c>
      <c r="KH170" s="909">
        <v>0</v>
      </c>
      <c r="KI170" s="910">
        <v>13897.541327045166</v>
      </c>
      <c r="KJ170" s="909">
        <v>0</v>
      </c>
      <c r="KK170" s="909">
        <v>0</v>
      </c>
      <c r="KL170" s="909">
        <v>0</v>
      </c>
      <c r="KM170" s="910">
        <v>46474.512363001355</v>
      </c>
      <c r="KN170" s="871">
        <v>4000</v>
      </c>
      <c r="KO170" s="912">
        <v>97.808251281762224</v>
      </c>
    </row>
    <row r="171" spans="1:301" ht="15" customHeight="1">
      <c r="A171" s="924" t="s">
        <v>1622</v>
      </c>
      <c r="B171" s="888" t="s">
        <v>1073</v>
      </c>
      <c r="C171" s="888">
        <v>190</v>
      </c>
      <c r="D171" s="888">
        <v>532</v>
      </c>
      <c r="E171" s="888">
        <v>166</v>
      </c>
      <c r="F171" s="888">
        <v>190</v>
      </c>
      <c r="G171" s="888">
        <v>34</v>
      </c>
      <c r="H171" s="888">
        <v>20</v>
      </c>
      <c r="I171" s="888">
        <v>20</v>
      </c>
      <c r="J171" s="888">
        <v>33.03</v>
      </c>
      <c r="K171" s="888">
        <v>71.83</v>
      </c>
      <c r="L171" s="888">
        <v>16</v>
      </c>
      <c r="M171" s="888">
        <v>200</v>
      </c>
      <c r="N171" s="888">
        <v>2</v>
      </c>
      <c r="O171" s="884">
        <v>3.1501123387070633</v>
      </c>
      <c r="P171" s="888">
        <v>2</v>
      </c>
      <c r="Q171" s="884">
        <v>1.9518909497693384</v>
      </c>
      <c r="R171" s="888">
        <v>13.000000000000002</v>
      </c>
      <c r="S171" s="888">
        <v>353.1705399691516</v>
      </c>
      <c r="T171" s="906">
        <v>9.9970491923239102</v>
      </c>
      <c r="U171" s="906">
        <v>52.975580995372738</v>
      </c>
      <c r="V171" s="906">
        <v>47.5</v>
      </c>
      <c r="W171" s="1141">
        <v>0.61640459563247174</v>
      </c>
      <c r="X171" s="902">
        <v>0</v>
      </c>
      <c r="Y171" s="902">
        <v>0</v>
      </c>
      <c r="Z171" s="902">
        <v>0</v>
      </c>
      <c r="AA171" s="902">
        <v>0</v>
      </c>
      <c r="AB171" s="970">
        <v>0.5902376068613171</v>
      </c>
      <c r="AC171" s="1045">
        <v>4000</v>
      </c>
      <c r="AD171" s="890">
        <v>2.5725232629525818</v>
      </c>
      <c r="AE171" s="890">
        <v>0.6501522626783206</v>
      </c>
      <c r="AF171" s="890">
        <v>-0.11793545012951868</v>
      </c>
      <c r="AG171" s="890">
        <v>0.94332933570747968</v>
      </c>
      <c r="AH171" s="888"/>
      <c r="AI171" s="907">
        <v>0.96044037179230202</v>
      </c>
      <c r="AJ171" s="908">
        <v>1.5072000000000001</v>
      </c>
      <c r="AK171" s="902">
        <v>17.222657076432785</v>
      </c>
      <c r="AL171" s="902">
        <v>0</v>
      </c>
      <c r="AM171" s="902">
        <v>0</v>
      </c>
      <c r="AN171" s="902">
        <v>9.2695665896260042</v>
      </c>
      <c r="AO171" s="902">
        <v>0.43777025797004587</v>
      </c>
      <c r="AP171" s="1222">
        <v>3600</v>
      </c>
      <c r="AQ171" s="909" t="s">
        <v>1062</v>
      </c>
      <c r="AR171" s="909">
        <v>3</v>
      </c>
      <c r="AS171" s="909">
        <v>0</v>
      </c>
      <c r="AT171" s="909">
        <v>0</v>
      </c>
      <c r="AU171" s="909">
        <v>0</v>
      </c>
      <c r="AV171" s="910">
        <v>37880.196987361393</v>
      </c>
      <c r="AW171" s="909">
        <v>0</v>
      </c>
      <c r="AX171" s="909">
        <v>0</v>
      </c>
      <c r="AY171" s="909">
        <v>0</v>
      </c>
      <c r="AZ171" s="910">
        <v>71482.689196847219</v>
      </c>
      <c r="BA171" s="871">
        <v>4000</v>
      </c>
      <c r="BB171" s="911">
        <v>111.421819447318</v>
      </c>
      <c r="BC171" s="908">
        <v>1.5072000000000001</v>
      </c>
      <c r="BD171" s="902">
        <v>17.222657076432785</v>
      </c>
      <c r="BE171" s="902">
        <v>0</v>
      </c>
      <c r="BF171" s="902">
        <v>0</v>
      </c>
      <c r="BG171" s="902">
        <v>9.2695665896260042</v>
      </c>
      <c r="BH171" s="902">
        <v>0.43777025797004587</v>
      </c>
      <c r="BI171" s="902">
        <v>3600</v>
      </c>
      <c r="BJ171" s="909" t="s">
        <v>1062</v>
      </c>
      <c r="BK171" s="909">
        <v>3</v>
      </c>
      <c r="BL171" s="909">
        <v>0</v>
      </c>
      <c r="BM171" s="909">
        <v>0</v>
      </c>
      <c r="BN171" s="909">
        <v>0</v>
      </c>
      <c r="BO171" s="910">
        <v>37880.196987361393</v>
      </c>
      <c r="BP171" s="909">
        <v>0</v>
      </c>
      <c r="BQ171" s="909">
        <v>0</v>
      </c>
      <c r="BR171" s="909">
        <v>0</v>
      </c>
      <c r="BS171" s="910">
        <v>71482.689196847219</v>
      </c>
      <c r="BT171" s="871">
        <v>4000</v>
      </c>
      <c r="BU171" s="911">
        <v>111.421819447318</v>
      </c>
      <c r="BV171" s="908">
        <v>1.0048000000000001</v>
      </c>
      <c r="BW171" s="902">
        <v>16.720257076432784</v>
      </c>
      <c r="BX171" s="902">
        <v>0</v>
      </c>
      <c r="BY171" s="902">
        <v>0</v>
      </c>
      <c r="BZ171" s="902">
        <v>9.2476189758007887</v>
      </c>
      <c r="CA171" s="902">
        <v>0.4177292707700459</v>
      </c>
      <c r="CB171" s="902">
        <v>3600</v>
      </c>
      <c r="CC171" s="909" t="s">
        <v>2874</v>
      </c>
      <c r="CD171" s="909">
        <v>2</v>
      </c>
      <c r="CE171" s="909">
        <v>0</v>
      </c>
      <c r="CF171" s="909">
        <v>0</v>
      </c>
      <c r="CG171" s="909">
        <v>0</v>
      </c>
      <c r="CH171" s="910">
        <v>25203.439592641578</v>
      </c>
      <c r="CI171" s="909">
        <v>0</v>
      </c>
      <c r="CJ171" s="909">
        <v>0</v>
      </c>
      <c r="CK171" s="909">
        <v>0</v>
      </c>
      <c r="CL171" s="910">
        <v>24743.227730677783</v>
      </c>
      <c r="CM171" s="871">
        <v>4000</v>
      </c>
      <c r="CN171" s="911">
        <v>111.421819447318</v>
      </c>
      <c r="CO171" s="908">
        <v>1.0048000000000001</v>
      </c>
      <c r="CP171" s="902">
        <v>16.720257076432784</v>
      </c>
      <c r="CQ171" s="902">
        <v>0</v>
      </c>
      <c r="CR171" s="902">
        <v>0</v>
      </c>
      <c r="CS171" s="902">
        <v>9.2476189758007887</v>
      </c>
      <c r="CT171" s="902">
        <v>0.4177292707700459</v>
      </c>
      <c r="CU171" s="902">
        <v>3600</v>
      </c>
      <c r="CV171" s="909" t="s">
        <v>2874</v>
      </c>
      <c r="CW171" s="909">
        <v>2</v>
      </c>
      <c r="CX171" s="909">
        <v>0</v>
      </c>
      <c r="CY171" s="909">
        <v>0</v>
      </c>
      <c r="CZ171" s="909">
        <v>0</v>
      </c>
      <c r="DA171" s="910">
        <v>25203.439592641578</v>
      </c>
      <c r="DB171" s="909">
        <v>0</v>
      </c>
      <c r="DC171" s="909">
        <v>0</v>
      </c>
      <c r="DD171" s="909">
        <v>0</v>
      </c>
      <c r="DE171" s="910">
        <v>24743.227730677783</v>
      </c>
      <c r="DF171" s="871">
        <v>4000</v>
      </c>
      <c r="DG171" s="911">
        <v>111.421819447318</v>
      </c>
      <c r="DH171" s="908">
        <v>1.0048000000000001</v>
      </c>
      <c r="DI171" s="902">
        <v>16.720257076432784</v>
      </c>
      <c r="DJ171" s="902">
        <v>0</v>
      </c>
      <c r="DK171" s="902">
        <v>0</v>
      </c>
      <c r="DL171" s="902">
        <v>9.2476189758007887</v>
      </c>
      <c r="DM171" s="902">
        <v>0.4177292707700459</v>
      </c>
      <c r="DN171" s="902">
        <v>3600</v>
      </c>
      <c r="DO171" s="909" t="s">
        <v>2876</v>
      </c>
      <c r="DP171" s="909">
        <v>2</v>
      </c>
      <c r="DQ171" s="909">
        <v>0</v>
      </c>
      <c r="DR171" s="909">
        <v>0</v>
      </c>
      <c r="DS171" s="909">
        <v>0</v>
      </c>
      <c r="DT171" s="910">
        <v>26943.610263976621</v>
      </c>
      <c r="DU171" s="909">
        <v>0</v>
      </c>
      <c r="DV171" s="909">
        <v>0</v>
      </c>
      <c r="DW171" s="909">
        <v>0</v>
      </c>
      <c r="DX171" s="910">
        <v>26451.623088891713</v>
      </c>
      <c r="DY171" s="871">
        <v>4000</v>
      </c>
      <c r="DZ171" s="911">
        <v>111.421819447318</v>
      </c>
      <c r="EA171" s="908">
        <v>1.0048000000000001</v>
      </c>
      <c r="EB171" s="902">
        <v>16.720257076432784</v>
      </c>
      <c r="EC171" s="902">
        <v>0</v>
      </c>
      <c r="ED171" s="902">
        <v>0</v>
      </c>
      <c r="EE171" s="902">
        <v>9.2476189758007887</v>
      </c>
      <c r="EF171" s="902">
        <v>0.4177292707700459</v>
      </c>
      <c r="EG171" s="902">
        <v>3600</v>
      </c>
      <c r="EH171" s="909" t="s">
        <v>2876</v>
      </c>
      <c r="EI171" s="909">
        <v>2</v>
      </c>
      <c r="EJ171" s="909">
        <v>0</v>
      </c>
      <c r="EK171" s="909">
        <v>0</v>
      </c>
      <c r="EL171" s="909">
        <v>0</v>
      </c>
      <c r="EM171" s="910">
        <v>26943.610263976621</v>
      </c>
      <c r="EN171" s="909">
        <v>0</v>
      </c>
      <c r="EO171" s="909">
        <v>0</v>
      </c>
      <c r="EP171" s="909">
        <v>0</v>
      </c>
      <c r="EQ171" s="910">
        <v>26451.623088891713</v>
      </c>
      <c r="ER171" s="871">
        <v>4000</v>
      </c>
      <c r="ES171" s="911">
        <v>111.421819447318</v>
      </c>
      <c r="ET171" s="908">
        <v>1.0048000000000001</v>
      </c>
      <c r="EU171" s="902">
        <v>16.720257076432784</v>
      </c>
      <c r="EV171" s="902">
        <v>0</v>
      </c>
      <c r="EW171" s="902">
        <v>0</v>
      </c>
      <c r="EX171" s="902">
        <v>9.2476189758007887</v>
      </c>
      <c r="EY171" s="902">
        <v>0.4177292707700459</v>
      </c>
      <c r="EZ171" s="902">
        <v>3600</v>
      </c>
      <c r="FA171" s="909" t="s">
        <v>3889</v>
      </c>
      <c r="FB171" s="909">
        <v>2</v>
      </c>
      <c r="FC171" s="909">
        <v>0</v>
      </c>
      <c r="FD171" s="909">
        <v>0</v>
      </c>
      <c r="FE171" s="909">
        <v>0</v>
      </c>
      <c r="FF171" s="910">
        <v>27499.207072982608</v>
      </c>
      <c r="FG171" s="909">
        <v>0</v>
      </c>
      <c r="FH171" s="909">
        <v>0</v>
      </c>
      <c r="FI171" s="909">
        <v>0</v>
      </c>
      <c r="FJ171" s="910">
        <v>26997.074765086087</v>
      </c>
      <c r="FK171" s="871">
        <v>4000</v>
      </c>
      <c r="FL171" s="911">
        <v>111.421819447318</v>
      </c>
      <c r="FM171" s="908">
        <v>1.0048000000000001</v>
      </c>
      <c r="FN171" s="902">
        <v>16.720257076432784</v>
      </c>
      <c r="FO171" s="902">
        <v>0</v>
      </c>
      <c r="FP171" s="902">
        <v>0</v>
      </c>
      <c r="FQ171" s="902">
        <v>9.2476189758007887</v>
      </c>
      <c r="FR171" s="902">
        <v>0.4177292707700459</v>
      </c>
      <c r="FS171" s="902">
        <v>3600</v>
      </c>
      <c r="FT171" s="909" t="s">
        <v>3889</v>
      </c>
      <c r="FU171" s="909">
        <v>2</v>
      </c>
      <c r="FV171" s="909">
        <v>0</v>
      </c>
      <c r="FW171" s="909">
        <v>0</v>
      </c>
      <c r="FX171" s="909">
        <v>0</v>
      </c>
      <c r="FY171" s="910">
        <v>27499.207072982608</v>
      </c>
      <c r="FZ171" s="909">
        <v>0</v>
      </c>
      <c r="GA171" s="909">
        <v>0</v>
      </c>
      <c r="GB171" s="909">
        <v>0</v>
      </c>
      <c r="GC171" s="910">
        <v>26997.074765086087</v>
      </c>
      <c r="GD171" s="871">
        <v>4000</v>
      </c>
      <c r="GE171" s="911">
        <v>111.421819447318</v>
      </c>
      <c r="GF171" s="908">
        <v>1.0048000000000001</v>
      </c>
      <c r="GG171" s="902">
        <v>16.720257076432784</v>
      </c>
      <c r="GH171" s="902">
        <v>0</v>
      </c>
      <c r="GI171" s="902">
        <v>0</v>
      </c>
      <c r="GJ171" s="902">
        <v>9.2476189758007887</v>
      </c>
      <c r="GK171" s="902">
        <v>0.4177292707700459</v>
      </c>
      <c r="GL171" s="902">
        <v>3600</v>
      </c>
      <c r="GM171" s="909" t="s">
        <v>2877</v>
      </c>
      <c r="GN171" s="909">
        <v>2</v>
      </c>
      <c r="GO171" s="909">
        <v>0</v>
      </c>
      <c r="GP171" s="909">
        <v>0</v>
      </c>
      <c r="GQ171" s="909">
        <v>0</v>
      </c>
      <c r="GR171" s="910">
        <v>36894.057805512646</v>
      </c>
      <c r="GS171" s="909">
        <v>0</v>
      </c>
      <c r="GT171" s="909">
        <v>0</v>
      </c>
      <c r="GU171" s="909">
        <v>0</v>
      </c>
      <c r="GV171" s="910">
        <v>36220.376621023228</v>
      </c>
      <c r="GW171" s="871">
        <v>4000</v>
      </c>
      <c r="GX171" s="911">
        <v>111.421819447318</v>
      </c>
      <c r="GY171" s="908">
        <v>1.0048000000000001</v>
      </c>
      <c r="GZ171" s="902">
        <v>16.720257076432784</v>
      </c>
      <c r="HA171" s="902">
        <v>0</v>
      </c>
      <c r="HB171" s="902">
        <v>0</v>
      </c>
      <c r="HC171" s="902">
        <v>9.2476189758007887</v>
      </c>
      <c r="HD171" s="902">
        <v>0.4177292707700459</v>
      </c>
      <c r="HE171" s="902">
        <v>3600</v>
      </c>
      <c r="HF171" s="909" t="s">
        <v>2877</v>
      </c>
      <c r="HG171" s="909">
        <v>2</v>
      </c>
      <c r="HH171" s="909">
        <v>0</v>
      </c>
      <c r="HI171" s="909">
        <v>0</v>
      </c>
      <c r="HJ171" s="909">
        <v>0</v>
      </c>
      <c r="HK171" s="910">
        <v>36894.057805512646</v>
      </c>
      <c r="HL171" s="909">
        <v>0</v>
      </c>
      <c r="HM171" s="909">
        <v>0</v>
      </c>
      <c r="HN171" s="909">
        <v>0</v>
      </c>
      <c r="HO171" s="910">
        <v>36220.376621023228</v>
      </c>
      <c r="HP171" s="871">
        <v>4000</v>
      </c>
      <c r="HQ171" s="911">
        <v>111.421819447318</v>
      </c>
      <c r="HR171" s="908">
        <v>1.0048000000000001</v>
      </c>
      <c r="HS171" s="902">
        <v>16.720257076432784</v>
      </c>
      <c r="HT171" s="902">
        <v>0</v>
      </c>
      <c r="HU171" s="902">
        <v>0</v>
      </c>
      <c r="HV171" s="902">
        <v>9.2476189758007887</v>
      </c>
      <c r="HW171" s="902">
        <v>0.4177292707700459</v>
      </c>
      <c r="HX171" s="902">
        <v>3600</v>
      </c>
      <c r="HY171" s="909" t="s">
        <v>1063</v>
      </c>
      <c r="HZ171" s="909">
        <v>2</v>
      </c>
      <c r="IA171" s="909">
        <v>0</v>
      </c>
      <c r="IB171" s="909">
        <v>0</v>
      </c>
      <c r="IC171" s="909">
        <v>0</v>
      </c>
      <c r="ID171" s="910">
        <v>32537.500603148492</v>
      </c>
      <c r="IE171" s="909">
        <v>0</v>
      </c>
      <c r="IF171" s="909">
        <v>0</v>
      </c>
      <c r="IG171" s="909">
        <v>0</v>
      </c>
      <c r="IH171" s="910">
        <v>31943.369644110917</v>
      </c>
      <c r="II171" s="871">
        <v>4000</v>
      </c>
      <c r="IJ171" s="911">
        <v>111.421819447318</v>
      </c>
      <c r="IK171" s="908">
        <v>1.0048000000000001</v>
      </c>
      <c r="IL171" s="902">
        <v>16.720257076432784</v>
      </c>
      <c r="IM171" s="902">
        <v>0</v>
      </c>
      <c r="IN171" s="902">
        <v>0</v>
      </c>
      <c r="IO171" s="902">
        <v>9.2476189758007887</v>
      </c>
      <c r="IP171" s="902">
        <v>0.4177292707700459</v>
      </c>
      <c r="IQ171" s="902">
        <v>3600</v>
      </c>
      <c r="IR171" s="909" t="s">
        <v>1063</v>
      </c>
      <c r="IS171" s="909">
        <v>2</v>
      </c>
      <c r="IT171" s="909">
        <v>0</v>
      </c>
      <c r="IU171" s="909">
        <v>0</v>
      </c>
      <c r="IV171" s="909">
        <v>0</v>
      </c>
      <c r="IW171" s="910">
        <v>32537.500603148492</v>
      </c>
      <c r="IX171" s="909">
        <v>0</v>
      </c>
      <c r="IY171" s="909">
        <v>0</v>
      </c>
      <c r="IZ171" s="909">
        <v>0</v>
      </c>
      <c r="JA171" s="910">
        <v>31943.369644110917</v>
      </c>
      <c r="JB171" s="871">
        <v>4000</v>
      </c>
      <c r="JC171" s="911">
        <v>111.421819447318</v>
      </c>
      <c r="JD171" s="908">
        <v>1.0048000000000001</v>
      </c>
      <c r="JE171" s="902">
        <v>16.720257076432784</v>
      </c>
      <c r="JF171" s="902">
        <v>0</v>
      </c>
      <c r="JG171" s="902">
        <v>0</v>
      </c>
      <c r="JH171" s="902">
        <v>9.2476189758007887</v>
      </c>
      <c r="JI171" s="902">
        <v>0.4177292707700459</v>
      </c>
      <c r="JJ171" s="902">
        <v>3600</v>
      </c>
      <c r="JK171" s="909" t="s">
        <v>1064</v>
      </c>
      <c r="JL171" s="909">
        <v>2</v>
      </c>
      <c r="JM171" s="909">
        <v>0</v>
      </c>
      <c r="JN171" s="909">
        <v>0</v>
      </c>
      <c r="JO171" s="909">
        <v>0</v>
      </c>
      <c r="JP171" s="910">
        <v>44341.139059237634</v>
      </c>
      <c r="JQ171" s="909">
        <v>0</v>
      </c>
      <c r="JR171" s="909">
        <v>0</v>
      </c>
      <c r="JS171" s="909">
        <v>0</v>
      </c>
      <c r="JT171" s="910">
        <v>43531.475041223173</v>
      </c>
      <c r="JU171" s="871">
        <v>4000</v>
      </c>
      <c r="JV171" s="911">
        <v>111.421819447318</v>
      </c>
      <c r="JW171" s="908">
        <v>1.0048000000000001</v>
      </c>
      <c r="JX171" s="902">
        <v>16.720257076432784</v>
      </c>
      <c r="JY171" s="902">
        <v>0</v>
      </c>
      <c r="JZ171" s="902">
        <v>0</v>
      </c>
      <c r="KA171" s="902">
        <v>9.2476189758007887</v>
      </c>
      <c r="KB171" s="902">
        <v>0.4177292707700459</v>
      </c>
      <c r="KC171" s="902">
        <v>3600</v>
      </c>
      <c r="KD171" s="909" t="s">
        <v>1064</v>
      </c>
      <c r="KE171" s="909">
        <v>2</v>
      </c>
      <c r="KF171" s="909">
        <v>0</v>
      </c>
      <c r="KG171" s="909">
        <v>0</v>
      </c>
      <c r="KH171" s="909">
        <v>0</v>
      </c>
      <c r="KI171" s="910">
        <v>44341.139059237634</v>
      </c>
      <c r="KJ171" s="909">
        <v>0</v>
      </c>
      <c r="KK171" s="909">
        <v>0</v>
      </c>
      <c r="KL171" s="909">
        <v>0</v>
      </c>
      <c r="KM171" s="910">
        <v>43531.475041223173</v>
      </c>
      <c r="KN171" s="871">
        <v>4000</v>
      </c>
      <c r="KO171" s="912">
        <v>111.421819447318</v>
      </c>
    </row>
    <row r="172" spans="1:301" ht="15" customHeight="1">
      <c r="A172" s="924" t="s">
        <v>1623</v>
      </c>
      <c r="B172" s="888" t="s">
        <v>1073</v>
      </c>
      <c r="C172" s="888">
        <v>190</v>
      </c>
      <c r="D172" s="888">
        <v>532</v>
      </c>
      <c r="E172" s="888">
        <v>166</v>
      </c>
      <c r="F172" s="888">
        <v>190</v>
      </c>
      <c r="G172" s="888">
        <v>34</v>
      </c>
      <c r="H172" s="888">
        <v>20</v>
      </c>
      <c r="I172" s="888">
        <v>20</v>
      </c>
      <c r="J172" s="888">
        <v>33.03</v>
      </c>
      <c r="K172" s="888">
        <v>71.8</v>
      </c>
      <c r="L172" s="888">
        <v>16</v>
      </c>
      <c r="M172" s="888">
        <v>200</v>
      </c>
      <c r="N172" s="888">
        <v>2</v>
      </c>
      <c r="O172" s="884">
        <v>3.1501123387070633</v>
      </c>
      <c r="P172" s="888">
        <v>2</v>
      </c>
      <c r="Q172" s="884">
        <v>1.9493225889447492</v>
      </c>
      <c r="R172" s="888">
        <v>13.000000000000002</v>
      </c>
      <c r="S172" s="888">
        <v>353.4653015259118</v>
      </c>
      <c r="T172" s="906">
        <v>10.013743537683741</v>
      </c>
      <c r="U172" s="906">
        <v>53.019795228886771</v>
      </c>
      <c r="V172" s="906">
        <v>47.5</v>
      </c>
      <c r="W172" s="1141">
        <v>0.61743394649420191</v>
      </c>
      <c r="X172" s="902">
        <v>0</v>
      </c>
      <c r="Y172" s="902">
        <v>0</v>
      </c>
      <c r="Z172" s="902">
        <v>0</v>
      </c>
      <c r="AA172" s="902">
        <v>0</v>
      </c>
      <c r="AB172" s="970">
        <v>0.59071968576958134</v>
      </c>
      <c r="AC172" s="1045">
        <v>4000</v>
      </c>
      <c r="AD172" s="890">
        <v>2.5694522108979307</v>
      </c>
      <c r="AE172" s="890">
        <v>0.6501522626783206</v>
      </c>
      <c r="AF172" s="890">
        <v>-0.11252100230808072</v>
      </c>
      <c r="AG172" s="890">
        <v>0.94378242752724562</v>
      </c>
      <c r="AH172" s="888"/>
      <c r="AI172" s="907">
        <v>0.96044037179230202</v>
      </c>
      <c r="AJ172" s="908">
        <v>1.5072000000000001</v>
      </c>
      <c r="AK172" s="902">
        <v>17.237812411829758</v>
      </c>
      <c r="AL172" s="902">
        <v>0</v>
      </c>
      <c r="AM172" s="902">
        <v>0</v>
      </c>
      <c r="AN172" s="902">
        <v>9.2689811659406303</v>
      </c>
      <c r="AO172" s="902">
        <v>0.43821110725697177</v>
      </c>
      <c r="AP172" s="1222">
        <v>3600</v>
      </c>
      <c r="AQ172" s="909" t="s">
        <v>1062</v>
      </c>
      <c r="AR172" s="909">
        <v>3</v>
      </c>
      <c r="AS172" s="909">
        <v>0</v>
      </c>
      <c r="AT172" s="909">
        <v>0</v>
      </c>
      <c r="AU172" s="909">
        <v>0</v>
      </c>
      <c r="AV172" s="910">
        <v>33673.948344186356</v>
      </c>
      <c r="AW172" s="909">
        <v>0</v>
      </c>
      <c r="AX172" s="909">
        <v>0</v>
      </c>
      <c r="AY172" s="909">
        <v>0</v>
      </c>
      <c r="AZ172" s="910">
        <v>35929.065372165904</v>
      </c>
      <c r="BA172" s="871">
        <v>4000</v>
      </c>
      <c r="BB172" s="911">
        <v>111.421819447318</v>
      </c>
      <c r="BC172" s="908">
        <v>1.5072000000000001</v>
      </c>
      <c r="BD172" s="902">
        <v>17.237812411829758</v>
      </c>
      <c r="BE172" s="902">
        <v>0</v>
      </c>
      <c r="BF172" s="902">
        <v>0</v>
      </c>
      <c r="BG172" s="902">
        <v>9.2689811659406303</v>
      </c>
      <c r="BH172" s="902">
        <v>0.43821110725697177</v>
      </c>
      <c r="BI172" s="902">
        <v>3600</v>
      </c>
      <c r="BJ172" s="909" t="s">
        <v>1062</v>
      </c>
      <c r="BK172" s="909">
        <v>3</v>
      </c>
      <c r="BL172" s="909">
        <v>0</v>
      </c>
      <c r="BM172" s="909">
        <v>0</v>
      </c>
      <c r="BN172" s="909">
        <v>0</v>
      </c>
      <c r="BO172" s="910">
        <v>33673.948344186356</v>
      </c>
      <c r="BP172" s="909">
        <v>0</v>
      </c>
      <c r="BQ172" s="909">
        <v>0</v>
      </c>
      <c r="BR172" s="909">
        <v>0</v>
      </c>
      <c r="BS172" s="910">
        <v>35929.065372165904</v>
      </c>
      <c r="BT172" s="871">
        <v>4000</v>
      </c>
      <c r="BU172" s="911">
        <v>111.421819447318</v>
      </c>
      <c r="BV172" s="908">
        <v>1.0048000000000001</v>
      </c>
      <c r="BW172" s="902">
        <v>16.735412411829756</v>
      </c>
      <c r="BX172" s="902">
        <v>0</v>
      </c>
      <c r="BY172" s="902">
        <v>0</v>
      </c>
      <c r="BZ172" s="902">
        <v>9.2470358530201189</v>
      </c>
      <c r="CA172" s="902">
        <v>0.41817012005697174</v>
      </c>
      <c r="CB172" s="902">
        <v>3600</v>
      </c>
      <c r="CC172" s="909" t="s">
        <v>2874</v>
      </c>
      <c r="CD172" s="909">
        <v>2</v>
      </c>
      <c r="CE172" s="909">
        <v>0</v>
      </c>
      <c r="CF172" s="909">
        <v>0</v>
      </c>
      <c r="CG172" s="909">
        <v>0</v>
      </c>
      <c r="CH172" s="910">
        <v>25203.439592641578</v>
      </c>
      <c r="CI172" s="909">
        <v>0</v>
      </c>
      <c r="CJ172" s="909">
        <v>0</v>
      </c>
      <c r="CK172" s="909">
        <v>0</v>
      </c>
      <c r="CL172" s="910">
        <v>17770.844634803678</v>
      </c>
      <c r="CM172" s="871">
        <v>4000</v>
      </c>
      <c r="CN172" s="911">
        <v>111.421819447318</v>
      </c>
      <c r="CO172" s="908">
        <v>1.0048000000000001</v>
      </c>
      <c r="CP172" s="902">
        <v>16.735412411829756</v>
      </c>
      <c r="CQ172" s="902">
        <v>0</v>
      </c>
      <c r="CR172" s="902">
        <v>0</v>
      </c>
      <c r="CS172" s="902">
        <v>9.2470358530201189</v>
      </c>
      <c r="CT172" s="902">
        <v>0.41817012005697174</v>
      </c>
      <c r="CU172" s="902">
        <v>3600</v>
      </c>
      <c r="CV172" s="909" t="s">
        <v>2874</v>
      </c>
      <c r="CW172" s="909">
        <v>2</v>
      </c>
      <c r="CX172" s="909">
        <v>0</v>
      </c>
      <c r="CY172" s="909">
        <v>0</v>
      </c>
      <c r="CZ172" s="909">
        <v>0</v>
      </c>
      <c r="DA172" s="910">
        <v>25203.439592641578</v>
      </c>
      <c r="DB172" s="909">
        <v>0</v>
      </c>
      <c r="DC172" s="909">
        <v>0</v>
      </c>
      <c r="DD172" s="909">
        <v>0</v>
      </c>
      <c r="DE172" s="910">
        <v>17770.844634803678</v>
      </c>
      <c r="DF172" s="871">
        <v>4000</v>
      </c>
      <c r="DG172" s="911">
        <v>111.421819447318</v>
      </c>
      <c r="DH172" s="908">
        <v>1.0048000000000001</v>
      </c>
      <c r="DI172" s="902">
        <v>16.735412411829756</v>
      </c>
      <c r="DJ172" s="902">
        <v>0</v>
      </c>
      <c r="DK172" s="902">
        <v>0</v>
      </c>
      <c r="DL172" s="902">
        <v>9.2470358530201189</v>
      </c>
      <c r="DM172" s="902">
        <v>0.41817012005697174</v>
      </c>
      <c r="DN172" s="902">
        <v>3600</v>
      </c>
      <c r="DO172" s="909" t="s">
        <v>2876</v>
      </c>
      <c r="DP172" s="909">
        <v>2</v>
      </c>
      <c r="DQ172" s="909">
        <v>0</v>
      </c>
      <c r="DR172" s="909">
        <v>0</v>
      </c>
      <c r="DS172" s="909">
        <v>0</v>
      </c>
      <c r="DT172" s="910">
        <v>26943.610263976621</v>
      </c>
      <c r="DU172" s="909">
        <v>0</v>
      </c>
      <c r="DV172" s="909">
        <v>0</v>
      </c>
      <c r="DW172" s="909">
        <v>0</v>
      </c>
      <c r="DX172" s="910">
        <v>18997.832027721481</v>
      </c>
      <c r="DY172" s="871">
        <v>4000</v>
      </c>
      <c r="DZ172" s="911">
        <v>111.421819447318</v>
      </c>
      <c r="EA172" s="908">
        <v>1.0048000000000001</v>
      </c>
      <c r="EB172" s="902">
        <v>16.735412411829756</v>
      </c>
      <c r="EC172" s="902">
        <v>0</v>
      </c>
      <c r="ED172" s="902">
        <v>0</v>
      </c>
      <c r="EE172" s="902">
        <v>9.2470358530201189</v>
      </c>
      <c r="EF172" s="902">
        <v>0.41817012005697174</v>
      </c>
      <c r="EG172" s="902">
        <v>3600</v>
      </c>
      <c r="EH172" s="909" t="s">
        <v>2876</v>
      </c>
      <c r="EI172" s="909">
        <v>2</v>
      </c>
      <c r="EJ172" s="909">
        <v>0</v>
      </c>
      <c r="EK172" s="909">
        <v>0</v>
      </c>
      <c r="EL172" s="909">
        <v>0</v>
      </c>
      <c r="EM172" s="910">
        <v>26943.610263976621</v>
      </c>
      <c r="EN172" s="909">
        <v>0</v>
      </c>
      <c r="EO172" s="909">
        <v>0</v>
      </c>
      <c r="EP172" s="909">
        <v>0</v>
      </c>
      <c r="EQ172" s="910">
        <v>18997.832027721481</v>
      </c>
      <c r="ER172" s="871">
        <v>4000</v>
      </c>
      <c r="ES172" s="911">
        <v>111.421819447318</v>
      </c>
      <c r="ET172" s="908">
        <v>1.0048000000000001</v>
      </c>
      <c r="EU172" s="902">
        <v>16.735412411829756</v>
      </c>
      <c r="EV172" s="902">
        <v>0</v>
      </c>
      <c r="EW172" s="902">
        <v>0</v>
      </c>
      <c r="EX172" s="902">
        <v>9.2470358530201189</v>
      </c>
      <c r="EY172" s="902">
        <v>0.41817012005697174</v>
      </c>
      <c r="EZ172" s="902">
        <v>3600</v>
      </c>
      <c r="FA172" s="909" t="s">
        <v>3889</v>
      </c>
      <c r="FB172" s="909">
        <v>2</v>
      </c>
      <c r="FC172" s="909">
        <v>0</v>
      </c>
      <c r="FD172" s="909">
        <v>0</v>
      </c>
      <c r="FE172" s="909">
        <v>0</v>
      </c>
      <c r="FF172" s="910">
        <v>27499.207072982608</v>
      </c>
      <c r="FG172" s="909">
        <v>0</v>
      </c>
      <c r="FH172" s="909">
        <v>0</v>
      </c>
      <c r="FI172" s="909">
        <v>0</v>
      </c>
      <c r="FJ172" s="910">
        <v>19389.581119592258</v>
      </c>
      <c r="FK172" s="871">
        <v>4000</v>
      </c>
      <c r="FL172" s="911">
        <v>111.421819447318</v>
      </c>
      <c r="FM172" s="908">
        <v>1.0048000000000001</v>
      </c>
      <c r="FN172" s="902">
        <v>16.735412411829756</v>
      </c>
      <c r="FO172" s="902">
        <v>0</v>
      </c>
      <c r="FP172" s="902">
        <v>0</v>
      </c>
      <c r="FQ172" s="902">
        <v>9.2470358530201189</v>
      </c>
      <c r="FR172" s="902">
        <v>0.41817012005697174</v>
      </c>
      <c r="FS172" s="902">
        <v>3600</v>
      </c>
      <c r="FT172" s="909" t="s">
        <v>3889</v>
      </c>
      <c r="FU172" s="909">
        <v>2</v>
      </c>
      <c r="FV172" s="909">
        <v>0</v>
      </c>
      <c r="FW172" s="909">
        <v>0</v>
      </c>
      <c r="FX172" s="909">
        <v>0</v>
      </c>
      <c r="FY172" s="910">
        <v>27499.207072982608</v>
      </c>
      <c r="FZ172" s="909">
        <v>0</v>
      </c>
      <c r="GA172" s="909">
        <v>0</v>
      </c>
      <c r="GB172" s="909">
        <v>0</v>
      </c>
      <c r="GC172" s="910">
        <v>19389.581119592258</v>
      </c>
      <c r="GD172" s="871">
        <v>4000</v>
      </c>
      <c r="GE172" s="911">
        <v>111.421819447318</v>
      </c>
      <c r="GF172" s="908">
        <v>1.0048000000000001</v>
      </c>
      <c r="GG172" s="902">
        <v>16.735412411829756</v>
      </c>
      <c r="GH172" s="902">
        <v>0</v>
      </c>
      <c r="GI172" s="902">
        <v>0</v>
      </c>
      <c r="GJ172" s="902">
        <v>9.2470358530201189</v>
      </c>
      <c r="GK172" s="902">
        <v>0.41817012005697174</v>
      </c>
      <c r="GL172" s="902">
        <v>3600</v>
      </c>
      <c r="GM172" s="909" t="s">
        <v>2877</v>
      </c>
      <c r="GN172" s="909">
        <v>2</v>
      </c>
      <c r="GO172" s="909">
        <v>0</v>
      </c>
      <c r="GP172" s="909">
        <v>0</v>
      </c>
      <c r="GQ172" s="909">
        <v>0</v>
      </c>
      <c r="GR172" s="910">
        <v>36894.057805512646</v>
      </c>
      <c r="GS172" s="909">
        <v>0</v>
      </c>
      <c r="GT172" s="909">
        <v>0</v>
      </c>
      <c r="GU172" s="909">
        <v>0</v>
      </c>
      <c r="GV172" s="910">
        <v>26013.85286318601</v>
      </c>
      <c r="GW172" s="871">
        <v>4000</v>
      </c>
      <c r="GX172" s="911">
        <v>111.421819447318</v>
      </c>
      <c r="GY172" s="908">
        <v>1.0048000000000001</v>
      </c>
      <c r="GZ172" s="902">
        <v>16.735412411829756</v>
      </c>
      <c r="HA172" s="902">
        <v>0</v>
      </c>
      <c r="HB172" s="902">
        <v>0</v>
      </c>
      <c r="HC172" s="902">
        <v>9.2470358530201189</v>
      </c>
      <c r="HD172" s="902">
        <v>0.41817012005697174</v>
      </c>
      <c r="HE172" s="902">
        <v>3600</v>
      </c>
      <c r="HF172" s="909" t="s">
        <v>2877</v>
      </c>
      <c r="HG172" s="909">
        <v>2</v>
      </c>
      <c r="HH172" s="909">
        <v>0</v>
      </c>
      <c r="HI172" s="909">
        <v>0</v>
      </c>
      <c r="HJ172" s="909">
        <v>0</v>
      </c>
      <c r="HK172" s="910">
        <v>36894.057805512646</v>
      </c>
      <c r="HL172" s="909">
        <v>0</v>
      </c>
      <c r="HM172" s="909">
        <v>0</v>
      </c>
      <c r="HN172" s="909">
        <v>0</v>
      </c>
      <c r="HO172" s="910">
        <v>26013.85286318601</v>
      </c>
      <c r="HP172" s="871">
        <v>4000</v>
      </c>
      <c r="HQ172" s="911">
        <v>111.421819447318</v>
      </c>
      <c r="HR172" s="908">
        <v>1.0048000000000001</v>
      </c>
      <c r="HS172" s="902">
        <v>16.735412411829756</v>
      </c>
      <c r="HT172" s="902">
        <v>0</v>
      </c>
      <c r="HU172" s="902">
        <v>0</v>
      </c>
      <c r="HV172" s="902">
        <v>9.2470358530201189</v>
      </c>
      <c r="HW172" s="902">
        <v>0.41817012005697174</v>
      </c>
      <c r="HX172" s="902">
        <v>3600</v>
      </c>
      <c r="HY172" s="909" t="s">
        <v>1063</v>
      </c>
      <c r="HZ172" s="909">
        <v>2</v>
      </c>
      <c r="IA172" s="909">
        <v>0</v>
      </c>
      <c r="IB172" s="909">
        <v>0</v>
      </c>
      <c r="IC172" s="909">
        <v>0</v>
      </c>
      <c r="ID172" s="910">
        <v>32537.500603148492</v>
      </c>
      <c r="IE172" s="909">
        <v>0</v>
      </c>
      <c r="IF172" s="909">
        <v>0</v>
      </c>
      <c r="IG172" s="909">
        <v>0</v>
      </c>
      <c r="IH172" s="910">
        <v>22942.061772867604</v>
      </c>
      <c r="II172" s="871">
        <v>4000</v>
      </c>
      <c r="IJ172" s="911">
        <v>111.421819447318</v>
      </c>
      <c r="IK172" s="908">
        <v>1.0048000000000001</v>
      </c>
      <c r="IL172" s="902">
        <v>16.735412411829756</v>
      </c>
      <c r="IM172" s="902">
        <v>0</v>
      </c>
      <c r="IN172" s="902">
        <v>0</v>
      </c>
      <c r="IO172" s="902">
        <v>9.2470358530201189</v>
      </c>
      <c r="IP172" s="902">
        <v>0.41817012005697174</v>
      </c>
      <c r="IQ172" s="902">
        <v>3600</v>
      </c>
      <c r="IR172" s="909" t="s">
        <v>1063</v>
      </c>
      <c r="IS172" s="909">
        <v>2</v>
      </c>
      <c r="IT172" s="909">
        <v>0</v>
      </c>
      <c r="IU172" s="909">
        <v>0</v>
      </c>
      <c r="IV172" s="909">
        <v>0</v>
      </c>
      <c r="IW172" s="910">
        <v>32537.500603148492</v>
      </c>
      <c r="IX172" s="909">
        <v>0</v>
      </c>
      <c r="IY172" s="909">
        <v>0</v>
      </c>
      <c r="IZ172" s="909">
        <v>0</v>
      </c>
      <c r="JA172" s="910">
        <v>22942.061772867604</v>
      </c>
      <c r="JB172" s="871">
        <v>4000</v>
      </c>
      <c r="JC172" s="911">
        <v>111.421819447318</v>
      </c>
      <c r="JD172" s="908">
        <v>1.0048000000000001</v>
      </c>
      <c r="JE172" s="902">
        <v>16.735412411829756</v>
      </c>
      <c r="JF172" s="902">
        <v>0</v>
      </c>
      <c r="JG172" s="902">
        <v>0</v>
      </c>
      <c r="JH172" s="902">
        <v>9.2470358530201189</v>
      </c>
      <c r="JI172" s="902">
        <v>0.41817012005697174</v>
      </c>
      <c r="JJ172" s="902">
        <v>3600</v>
      </c>
      <c r="JK172" s="909" t="s">
        <v>1064</v>
      </c>
      <c r="JL172" s="909">
        <v>2</v>
      </c>
      <c r="JM172" s="909">
        <v>0</v>
      </c>
      <c r="JN172" s="909">
        <v>0</v>
      </c>
      <c r="JO172" s="909">
        <v>0</v>
      </c>
      <c r="JP172" s="910">
        <v>44341.139059237634</v>
      </c>
      <c r="JQ172" s="909">
        <v>0</v>
      </c>
      <c r="JR172" s="909">
        <v>0</v>
      </c>
      <c r="JS172" s="909">
        <v>0</v>
      </c>
      <c r="JT172" s="910">
        <v>31264.760123539287</v>
      </c>
      <c r="JU172" s="871">
        <v>4000</v>
      </c>
      <c r="JV172" s="911">
        <v>111.421819447318</v>
      </c>
      <c r="JW172" s="908">
        <v>1.0048000000000001</v>
      </c>
      <c r="JX172" s="902">
        <v>16.735412411829756</v>
      </c>
      <c r="JY172" s="902">
        <v>0</v>
      </c>
      <c r="JZ172" s="902">
        <v>0</v>
      </c>
      <c r="KA172" s="902">
        <v>9.2470358530201189</v>
      </c>
      <c r="KB172" s="902">
        <v>0.41817012005697174</v>
      </c>
      <c r="KC172" s="902">
        <v>3600</v>
      </c>
      <c r="KD172" s="909" t="s">
        <v>1064</v>
      </c>
      <c r="KE172" s="909">
        <v>2</v>
      </c>
      <c r="KF172" s="909">
        <v>0</v>
      </c>
      <c r="KG172" s="909">
        <v>0</v>
      </c>
      <c r="KH172" s="909">
        <v>0</v>
      </c>
      <c r="KI172" s="910">
        <v>44341.139059237634</v>
      </c>
      <c r="KJ172" s="909">
        <v>0</v>
      </c>
      <c r="KK172" s="909">
        <v>0</v>
      </c>
      <c r="KL172" s="909">
        <v>0</v>
      </c>
      <c r="KM172" s="910">
        <v>31264.760123539287</v>
      </c>
      <c r="KN172" s="871">
        <v>4000</v>
      </c>
      <c r="KO172" s="912">
        <v>111.421819447318</v>
      </c>
    </row>
    <row r="173" spans="1:301" ht="15" customHeight="1">
      <c r="A173" s="924" t="s">
        <v>1701</v>
      </c>
      <c r="B173" s="888" t="s">
        <v>1073</v>
      </c>
      <c r="C173" s="888">
        <v>190</v>
      </c>
      <c r="D173" s="888">
        <v>532</v>
      </c>
      <c r="E173" s="888">
        <v>166</v>
      </c>
      <c r="F173" s="888">
        <v>190</v>
      </c>
      <c r="G173" s="888">
        <v>39</v>
      </c>
      <c r="H173" s="888">
        <v>25</v>
      </c>
      <c r="I173" s="888">
        <v>25</v>
      </c>
      <c r="J173" s="888">
        <v>33.03</v>
      </c>
      <c r="K173" s="888">
        <v>71.8</v>
      </c>
      <c r="L173" s="888">
        <v>16</v>
      </c>
      <c r="M173" s="888">
        <v>200</v>
      </c>
      <c r="N173" s="888">
        <v>2</v>
      </c>
      <c r="O173" s="884">
        <v>3.1501123387070633</v>
      </c>
      <c r="P173" s="888">
        <v>2</v>
      </c>
      <c r="Q173" s="884">
        <v>1.9619909293872666</v>
      </c>
      <c r="R173" s="888">
        <v>13.000000000000002</v>
      </c>
      <c r="S173" s="888">
        <v>352.00900776441654</v>
      </c>
      <c r="T173" s="906">
        <v>9.93139932480738</v>
      </c>
      <c r="U173" s="906">
        <v>52.801351164662478</v>
      </c>
      <c r="V173" s="906">
        <v>47.5</v>
      </c>
      <c r="W173" s="1141">
        <v>0.6123567131762242</v>
      </c>
      <c r="X173" s="902">
        <v>0</v>
      </c>
      <c r="Y173" s="902">
        <v>0</v>
      </c>
      <c r="Z173" s="902">
        <v>0</v>
      </c>
      <c r="AA173" s="902">
        <v>0</v>
      </c>
      <c r="AB173" s="970">
        <v>0.67791852305971545</v>
      </c>
      <c r="AC173" s="1045">
        <v>4000</v>
      </c>
      <c r="AD173" s="890">
        <v>2.5694522108979307</v>
      </c>
      <c r="AE173" s="890">
        <v>0.6501522626783206</v>
      </c>
      <c r="AF173" s="890">
        <v>-0.13955285741889722</v>
      </c>
      <c r="AG173" s="890">
        <v>0.94378242752724562</v>
      </c>
      <c r="AH173" s="888"/>
      <c r="AI173" s="907">
        <v>0.99244037179230205</v>
      </c>
      <c r="AJ173" s="908">
        <v>1.8840000000000003</v>
      </c>
      <c r="AK173" s="902">
        <v>17.539859306077936</v>
      </c>
      <c r="AL173" s="902">
        <v>0</v>
      </c>
      <c r="AM173" s="902">
        <v>0</v>
      </c>
      <c r="AN173" s="902">
        <v>10.45403864115992</v>
      </c>
      <c r="AO173" s="902">
        <v>0.4510745094383749</v>
      </c>
      <c r="AP173" s="1222">
        <v>3600</v>
      </c>
      <c r="AQ173" s="909" t="s">
        <v>1062</v>
      </c>
      <c r="AR173" s="909">
        <v>3</v>
      </c>
      <c r="AS173" s="909">
        <v>0</v>
      </c>
      <c r="AT173" s="909">
        <v>0</v>
      </c>
      <c r="AU173" s="909">
        <v>0</v>
      </c>
      <c r="AV173" s="910">
        <v>26843.838831870838</v>
      </c>
      <c r="AW173" s="909">
        <v>0</v>
      </c>
      <c r="AX173" s="909">
        <v>0</v>
      </c>
      <c r="AY173" s="909">
        <v>0</v>
      </c>
      <c r="AZ173" s="910">
        <v>35929.065372165904</v>
      </c>
      <c r="BA173" s="871">
        <v>4000</v>
      </c>
      <c r="BB173" s="911">
        <v>111.421819447318</v>
      </c>
      <c r="BC173" s="908">
        <v>1.8840000000000003</v>
      </c>
      <c r="BD173" s="902">
        <v>17.539859306077936</v>
      </c>
      <c r="BE173" s="902">
        <v>0</v>
      </c>
      <c r="BF173" s="902">
        <v>0</v>
      </c>
      <c r="BG173" s="902">
        <v>10.45403864115992</v>
      </c>
      <c r="BH173" s="902">
        <v>0.4510745094383749</v>
      </c>
      <c r="BI173" s="902">
        <v>3600</v>
      </c>
      <c r="BJ173" s="909" t="s">
        <v>1062</v>
      </c>
      <c r="BK173" s="909">
        <v>3</v>
      </c>
      <c r="BL173" s="909">
        <v>0</v>
      </c>
      <c r="BM173" s="909">
        <v>0</v>
      </c>
      <c r="BN173" s="909">
        <v>0</v>
      </c>
      <c r="BO173" s="910">
        <v>26843.838831870838</v>
      </c>
      <c r="BP173" s="909">
        <v>0</v>
      </c>
      <c r="BQ173" s="909">
        <v>0</v>
      </c>
      <c r="BR173" s="909">
        <v>0</v>
      </c>
      <c r="BS173" s="910">
        <v>35929.065372165904</v>
      </c>
      <c r="BT173" s="871">
        <v>4000</v>
      </c>
      <c r="BU173" s="911">
        <v>111.421819447318</v>
      </c>
      <c r="BV173" s="908">
        <v>1.2560000000000002</v>
      </c>
      <c r="BW173" s="902">
        <v>16.911859306077936</v>
      </c>
      <c r="BX173" s="902">
        <v>0</v>
      </c>
      <c r="BY173" s="902">
        <v>0</v>
      </c>
      <c r="BZ173" s="902">
        <v>10.378064514950756</v>
      </c>
      <c r="CA173" s="902">
        <v>0.42602327543837487</v>
      </c>
      <c r="CB173" s="902">
        <v>3600</v>
      </c>
      <c r="CC173" s="909" t="s">
        <v>2874</v>
      </c>
      <c r="CD173" s="909">
        <v>2</v>
      </c>
      <c r="CE173" s="909">
        <v>0</v>
      </c>
      <c r="CF173" s="909">
        <v>0</v>
      </c>
      <c r="CG173" s="909">
        <v>0</v>
      </c>
      <c r="CH173" s="910">
        <v>18115.805616017227</v>
      </c>
      <c r="CI173" s="909">
        <v>0</v>
      </c>
      <c r="CJ173" s="909">
        <v>0</v>
      </c>
      <c r="CK173" s="909">
        <v>0</v>
      </c>
      <c r="CL173" s="910">
        <v>17770.844634803678</v>
      </c>
      <c r="CM173" s="871">
        <v>4000</v>
      </c>
      <c r="CN173" s="911">
        <v>111.421819447318</v>
      </c>
      <c r="CO173" s="908">
        <v>1.2560000000000002</v>
      </c>
      <c r="CP173" s="902">
        <v>16.911859306077936</v>
      </c>
      <c r="CQ173" s="902">
        <v>0</v>
      </c>
      <c r="CR173" s="902">
        <v>0</v>
      </c>
      <c r="CS173" s="902">
        <v>10.378064514950756</v>
      </c>
      <c r="CT173" s="902">
        <v>0.42602327543837487</v>
      </c>
      <c r="CU173" s="902">
        <v>3600</v>
      </c>
      <c r="CV173" s="909" t="s">
        <v>2874</v>
      </c>
      <c r="CW173" s="909">
        <v>2</v>
      </c>
      <c r="CX173" s="909">
        <v>0</v>
      </c>
      <c r="CY173" s="909">
        <v>0</v>
      </c>
      <c r="CZ173" s="909">
        <v>0</v>
      </c>
      <c r="DA173" s="910">
        <v>18115.805616017227</v>
      </c>
      <c r="DB173" s="909">
        <v>0</v>
      </c>
      <c r="DC173" s="909">
        <v>0</v>
      </c>
      <c r="DD173" s="909">
        <v>0</v>
      </c>
      <c r="DE173" s="910">
        <v>17770.844634803678</v>
      </c>
      <c r="DF173" s="871">
        <v>4000</v>
      </c>
      <c r="DG173" s="911">
        <v>111.421819447318</v>
      </c>
      <c r="DH173" s="908">
        <v>1.2560000000000002</v>
      </c>
      <c r="DI173" s="902">
        <v>16.911859306077936</v>
      </c>
      <c r="DJ173" s="902">
        <v>0</v>
      </c>
      <c r="DK173" s="902">
        <v>0</v>
      </c>
      <c r="DL173" s="902">
        <v>10.378064514950756</v>
      </c>
      <c r="DM173" s="902">
        <v>0.42602327543837487</v>
      </c>
      <c r="DN173" s="902">
        <v>3600</v>
      </c>
      <c r="DO173" s="909" t="s">
        <v>2876</v>
      </c>
      <c r="DP173" s="909">
        <v>2</v>
      </c>
      <c r="DQ173" s="909">
        <v>0</v>
      </c>
      <c r="DR173" s="909">
        <v>0</v>
      </c>
      <c r="DS173" s="909">
        <v>0</v>
      </c>
      <c r="DT173" s="910">
        <v>19366.610828723293</v>
      </c>
      <c r="DU173" s="909">
        <v>0</v>
      </c>
      <c r="DV173" s="909">
        <v>0</v>
      </c>
      <c r="DW173" s="909">
        <v>0</v>
      </c>
      <c r="DX173" s="910">
        <v>18997.832027721481</v>
      </c>
      <c r="DY173" s="871">
        <v>4000</v>
      </c>
      <c r="DZ173" s="911">
        <v>111.421819447318</v>
      </c>
      <c r="EA173" s="908">
        <v>1.2560000000000002</v>
      </c>
      <c r="EB173" s="902">
        <v>16.911859306077936</v>
      </c>
      <c r="EC173" s="902">
        <v>0</v>
      </c>
      <c r="ED173" s="902">
        <v>0</v>
      </c>
      <c r="EE173" s="902">
        <v>10.378064514950756</v>
      </c>
      <c r="EF173" s="902">
        <v>0.42602327543837487</v>
      </c>
      <c r="EG173" s="902">
        <v>3600</v>
      </c>
      <c r="EH173" s="909" t="s">
        <v>2876</v>
      </c>
      <c r="EI173" s="909">
        <v>2</v>
      </c>
      <c r="EJ173" s="909">
        <v>0</v>
      </c>
      <c r="EK173" s="909">
        <v>0</v>
      </c>
      <c r="EL173" s="909">
        <v>0</v>
      </c>
      <c r="EM173" s="910">
        <v>19366.610828723293</v>
      </c>
      <c r="EN173" s="909">
        <v>0</v>
      </c>
      <c r="EO173" s="909">
        <v>0</v>
      </c>
      <c r="EP173" s="909">
        <v>0</v>
      </c>
      <c r="EQ173" s="910">
        <v>18997.832027721481</v>
      </c>
      <c r="ER173" s="871">
        <v>4000</v>
      </c>
      <c r="ES173" s="911">
        <v>111.421819447318</v>
      </c>
      <c r="ET173" s="908">
        <v>1.2560000000000002</v>
      </c>
      <c r="EU173" s="902">
        <v>16.911859306077936</v>
      </c>
      <c r="EV173" s="902">
        <v>0</v>
      </c>
      <c r="EW173" s="902">
        <v>0</v>
      </c>
      <c r="EX173" s="902">
        <v>10.378064514950756</v>
      </c>
      <c r="EY173" s="902">
        <v>0.42602327543837487</v>
      </c>
      <c r="EZ173" s="902">
        <v>3600</v>
      </c>
      <c r="FA173" s="909" t="s">
        <v>3889</v>
      </c>
      <c r="FB173" s="909">
        <v>2</v>
      </c>
      <c r="FC173" s="909">
        <v>0</v>
      </c>
      <c r="FD173" s="909">
        <v>0</v>
      </c>
      <c r="FE173" s="909">
        <v>0</v>
      </c>
      <c r="FF173" s="910">
        <v>19765.964407262945</v>
      </c>
      <c r="FG173" s="909">
        <v>0</v>
      </c>
      <c r="FH173" s="909">
        <v>0</v>
      </c>
      <c r="FI173" s="909">
        <v>0</v>
      </c>
      <c r="FJ173" s="910">
        <v>19389.581119592258</v>
      </c>
      <c r="FK173" s="871">
        <v>4000</v>
      </c>
      <c r="FL173" s="911">
        <v>111.421819447318</v>
      </c>
      <c r="FM173" s="908">
        <v>1.2560000000000002</v>
      </c>
      <c r="FN173" s="902">
        <v>16.911859306077936</v>
      </c>
      <c r="FO173" s="902">
        <v>0</v>
      </c>
      <c r="FP173" s="902">
        <v>0</v>
      </c>
      <c r="FQ173" s="902">
        <v>10.378064514950756</v>
      </c>
      <c r="FR173" s="902">
        <v>0.42602327543837487</v>
      </c>
      <c r="FS173" s="902">
        <v>3600</v>
      </c>
      <c r="FT173" s="909" t="s">
        <v>3889</v>
      </c>
      <c r="FU173" s="909">
        <v>2</v>
      </c>
      <c r="FV173" s="909">
        <v>0</v>
      </c>
      <c r="FW173" s="909">
        <v>0</v>
      </c>
      <c r="FX173" s="909">
        <v>0</v>
      </c>
      <c r="FY173" s="910">
        <v>19765.964407262945</v>
      </c>
      <c r="FZ173" s="909">
        <v>0</v>
      </c>
      <c r="GA173" s="909">
        <v>0</v>
      </c>
      <c r="GB173" s="909">
        <v>0</v>
      </c>
      <c r="GC173" s="910">
        <v>19389.581119592258</v>
      </c>
      <c r="GD173" s="871">
        <v>4000</v>
      </c>
      <c r="GE173" s="911">
        <v>111.421819447318</v>
      </c>
      <c r="GF173" s="908">
        <v>1.2560000000000002</v>
      </c>
      <c r="GG173" s="902">
        <v>16.911859306077936</v>
      </c>
      <c r="GH173" s="902">
        <v>0</v>
      </c>
      <c r="GI173" s="902">
        <v>0</v>
      </c>
      <c r="GJ173" s="902">
        <v>10.378064514950756</v>
      </c>
      <c r="GK173" s="902">
        <v>0.42602327543837487</v>
      </c>
      <c r="GL173" s="902">
        <v>3600</v>
      </c>
      <c r="GM173" s="909" t="s">
        <v>2877</v>
      </c>
      <c r="GN173" s="909">
        <v>2</v>
      </c>
      <c r="GO173" s="909">
        <v>0</v>
      </c>
      <c r="GP173" s="909">
        <v>0</v>
      </c>
      <c r="GQ173" s="909">
        <v>0</v>
      </c>
      <c r="GR173" s="910">
        <v>26518.824033289995</v>
      </c>
      <c r="GS173" s="909">
        <v>0</v>
      </c>
      <c r="GT173" s="909">
        <v>0</v>
      </c>
      <c r="GU173" s="909">
        <v>0</v>
      </c>
      <c r="GV173" s="910">
        <v>26013.85286318601</v>
      </c>
      <c r="GW173" s="871">
        <v>4000</v>
      </c>
      <c r="GX173" s="911">
        <v>111.421819447318</v>
      </c>
      <c r="GY173" s="908">
        <v>1.2560000000000002</v>
      </c>
      <c r="GZ173" s="902">
        <v>16.911859306077936</v>
      </c>
      <c r="HA173" s="902">
        <v>0</v>
      </c>
      <c r="HB173" s="902">
        <v>0</v>
      </c>
      <c r="HC173" s="902">
        <v>10.378064514950756</v>
      </c>
      <c r="HD173" s="902">
        <v>0.42602327543837487</v>
      </c>
      <c r="HE173" s="902">
        <v>3600</v>
      </c>
      <c r="HF173" s="909" t="s">
        <v>2877</v>
      </c>
      <c r="HG173" s="909">
        <v>2</v>
      </c>
      <c r="HH173" s="909">
        <v>0</v>
      </c>
      <c r="HI173" s="909">
        <v>0</v>
      </c>
      <c r="HJ173" s="909">
        <v>0</v>
      </c>
      <c r="HK173" s="910">
        <v>26518.824033289995</v>
      </c>
      <c r="HL173" s="909">
        <v>0</v>
      </c>
      <c r="HM173" s="909">
        <v>0</v>
      </c>
      <c r="HN173" s="909">
        <v>0</v>
      </c>
      <c r="HO173" s="910">
        <v>26013.85286318601</v>
      </c>
      <c r="HP173" s="871">
        <v>4000</v>
      </c>
      <c r="HQ173" s="911">
        <v>111.421819447318</v>
      </c>
      <c r="HR173" s="908">
        <v>1.2560000000000002</v>
      </c>
      <c r="HS173" s="902">
        <v>16.911859306077936</v>
      </c>
      <c r="HT173" s="902">
        <v>0</v>
      </c>
      <c r="HU173" s="902">
        <v>0</v>
      </c>
      <c r="HV173" s="902">
        <v>10.378064514950756</v>
      </c>
      <c r="HW173" s="902">
        <v>0.42602327543837487</v>
      </c>
      <c r="HX173" s="902">
        <v>3600</v>
      </c>
      <c r="HY173" s="909" t="s">
        <v>1063</v>
      </c>
      <c r="HZ173" s="909">
        <v>2</v>
      </c>
      <c r="IA173" s="909">
        <v>0</v>
      </c>
      <c r="IB173" s="909">
        <v>0</v>
      </c>
      <c r="IC173" s="909">
        <v>0</v>
      </c>
      <c r="ID173" s="910">
        <v>23387.404484651252</v>
      </c>
      <c r="IE173" s="909">
        <v>0</v>
      </c>
      <c r="IF173" s="909">
        <v>0</v>
      </c>
      <c r="IG173" s="909">
        <v>0</v>
      </c>
      <c r="IH173" s="910">
        <v>22942.061772867604</v>
      </c>
      <c r="II173" s="871">
        <v>4000</v>
      </c>
      <c r="IJ173" s="911">
        <v>111.421819447318</v>
      </c>
      <c r="IK173" s="908">
        <v>1.2560000000000002</v>
      </c>
      <c r="IL173" s="902">
        <v>16.911859306077936</v>
      </c>
      <c r="IM173" s="902">
        <v>0</v>
      </c>
      <c r="IN173" s="902">
        <v>0</v>
      </c>
      <c r="IO173" s="902">
        <v>10.378064514950756</v>
      </c>
      <c r="IP173" s="902">
        <v>0.42602327543837487</v>
      </c>
      <c r="IQ173" s="902">
        <v>3600</v>
      </c>
      <c r="IR173" s="909" t="s">
        <v>1063</v>
      </c>
      <c r="IS173" s="909">
        <v>2</v>
      </c>
      <c r="IT173" s="909">
        <v>0</v>
      </c>
      <c r="IU173" s="909">
        <v>0</v>
      </c>
      <c r="IV173" s="909">
        <v>0</v>
      </c>
      <c r="IW173" s="910">
        <v>23387.404484651252</v>
      </c>
      <c r="IX173" s="909">
        <v>0</v>
      </c>
      <c r="IY173" s="909">
        <v>0</v>
      </c>
      <c r="IZ173" s="909">
        <v>0</v>
      </c>
      <c r="JA173" s="910">
        <v>22942.061772867604</v>
      </c>
      <c r="JB173" s="871">
        <v>4000</v>
      </c>
      <c r="JC173" s="911">
        <v>111.421819447318</v>
      </c>
      <c r="JD173" s="908">
        <v>1.2560000000000002</v>
      </c>
      <c r="JE173" s="902">
        <v>16.911859306077936</v>
      </c>
      <c r="JF173" s="902">
        <v>0</v>
      </c>
      <c r="JG173" s="902">
        <v>0</v>
      </c>
      <c r="JH173" s="902">
        <v>10.378064514950756</v>
      </c>
      <c r="JI173" s="902">
        <v>0.42602327543837487</v>
      </c>
      <c r="JJ173" s="902">
        <v>3600</v>
      </c>
      <c r="JK173" s="909" t="s">
        <v>1064</v>
      </c>
      <c r="JL173" s="909">
        <v>2</v>
      </c>
      <c r="JM173" s="909">
        <v>0</v>
      </c>
      <c r="JN173" s="909">
        <v>0</v>
      </c>
      <c r="JO173" s="909">
        <v>0</v>
      </c>
      <c r="JP173" s="910">
        <v>31871.659939010075</v>
      </c>
      <c r="JQ173" s="909">
        <v>0</v>
      </c>
      <c r="JR173" s="909">
        <v>0</v>
      </c>
      <c r="JS173" s="909">
        <v>0</v>
      </c>
      <c r="JT173" s="910">
        <v>31264.760123539287</v>
      </c>
      <c r="JU173" s="871">
        <v>4000</v>
      </c>
      <c r="JV173" s="911">
        <v>111.421819447318</v>
      </c>
      <c r="JW173" s="908">
        <v>1.2560000000000002</v>
      </c>
      <c r="JX173" s="902">
        <v>16.911859306077936</v>
      </c>
      <c r="JY173" s="902">
        <v>0</v>
      </c>
      <c r="JZ173" s="902">
        <v>0</v>
      </c>
      <c r="KA173" s="902">
        <v>10.378064514950756</v>
      </c>
      <c r="KB173" s="902">
        <v>0.42602327543837487</v>
      </c>
      <c r="KC173" s="902">
        <v>3600</v>
      </c>
      <c r="KD173" s="909" t="s">
        <v>1064</v>
      </c>
      <c r="KE173" s="909">
        <v>2</v>
      </c>
      <c r="KF173" s="909">
        <v>0</v>
      </c>
      <c r="KG173" s="909">
        <v>0</v>
      </c>
      <c r="KH173" s="909">
        <v>0</v>
      </c>
      <c r="KI173" s="910">
        <v>31871.659939010075</v>
      </c>
      <c r="KJ173" s="909">
        <v>0</v>
      </c>
      <c r="KK173" s="909">
        <v>0</v>
      </c>
      <c r="KL173" s="909">
        <v>0</v>
      </c>
      <c r="KM173" s="910">
        <v>31264.760123539287</v>
      </c>
      <c r="KN173" s="871">
        <v>4000</v>
      </c>
      <c r="KO173" s="912">
        <v>111.421819447318</v>
      </c>
    </row>
    <row r="174" spans="1:301" ht="15" customHeight="1">
      <c r="A174" s="924" t="s">
        <v>1702</v>
      </c>
      <c r="B174" s="888" t="s">
        <v>1073</v>
      </c>
      <c r="C174" s="888">
        <v>190</v>
      </c>
      <c r="D174" s="888">
        <v>532</v>
      </c>
      <c r="E174" s="888">
        <v>166</v>
      </c>
      <c r="F174" s="888">
        <v>190</v>
      </c>
      <c r="G174" s="888">
        <v>39</v>
      </c>
      <c r="H174" s="888">
        <v>25</v>
      </c>
      <c r="I174" s="888">
        <v>25</v>
      </c>
      <c r="J174" s="888">
        <v>33.03</v>
      </c>
      <c r="K174" s="888">
        <v>71.8</v>
      </c>
      <c r="L174" s="888">
        <v>16</v>
      </c>
      <c r="M174" s="888">
        <v>200</v>
      </c>
      <c r="N174" s="888">
        <v>2</v>
      </c>
      <c r="O174" s="884">
        <v>3.1501123387070633</v>
      </c>
      <c r="P174" s="888">
        <v>2</v>
      </c>
      <c r="Q174" s="884">
        <v>1.9564644285008499</v>
      </c>
      <c r="R174" s="888">
        <v>13.000000000000002</v>
      </c>
      <c r="S174" s="888">
        <v>352.64504824076079</v>
      </c>
      <c r="T174" s="906">
        <v>9.9673215805690862</v>
      </c>
      <c r="U174" s="906">
        <v>52.896757236114119</v>
      </c>
      <c r="V174" s="906">
        <v>47.5</v>
      </c>
      <c r="W174" s="1141">
        <v>0.61457163110960822</v>
      </c>
      <c r="X174" s="902">
        <v>0</v>
      </c>
      <c r="Y174" s="902">
        <v>0</v>
      </c>
      <c r="Z174" s="902">
        <v>0</v>
      </c>
      <c r="AA174" s="902">
        <v>0</v>
      </c>
      <c r="AB174" s="970">
        <v>0.67895584207203585</v>
      </c>
      <c r="AC174" s="1045">
        <v>4000</v>
      </c>
      <c r="AD174" s="890">
        <v>2.5694522108979307</v>
      </c>
      <c r="AE174" s="890">
        <v>0.6501522626783206</v>
      </c>
      <c r="AF174" s="890">
        <v>-0.12765347726708223</v>
      </c>
      <c r="AG174" s="890">
        <v>0.94378242752724562</v>
      </c>
      <c r="AH174" s="888"/>
      <c r="AI174" s="907">
        <v>0.99244037179230205</v>
      </c>
      <c r="AJ174" s="908">
        <v>1.8840000000000003</v>
      </c>
      <c r="AK174" s="902">
        <v>17.572469978886609</v>
      </c>
      <c r="AL174" s="902">
        <v>0</v>
      </c>
      <c r="AM174" s="902">
        <v>0</v>
      </c>
      <c r="AN174" s="902">
        <v>10.450604817044924</v>
      </c>
      <c r="AO174" s="902">
        <v>0.45201779940889963</v>
      </c>
      <c r="AP174" s="1222">
        <v>3600</v>
      </c>
      <c r="AQ174" s="909" t="s">
        <v>1062</v>
      </c>
      <c r="AR174" s="909">
        <v>3</v>
      </c>
      <c r="AS174" s="909">
        <v>0</v>
      </c>
      <c r="AT174" s="909">
        <v>0</v>
      </c>
      <c r="AU174" s="909">
        <v>0</v>
      </c>
      <c r="AV174" s="910">
        <v>22822.182232148949</v>
      </c>
      <c r="AW174" s="909">
        <v>0</v>
      </c>
      <c r="AX174" s="909">
        <v>0</v>
      </c>
      <c r="AY174" s="909">
        <v>0</v>
      </c>
      <c r="AZ174" s="910">
        <v>19446.1027201822</v>
      </c>
      <c r="BA174" s="871">
        <v>4000</v>
      </c>
      <c r="BB174" s="911">
        <v>111.421819447318</v>
      </c>
      <c r="BC174" s="908">
        <v>1.8840000000000003</v>
      </c>
      <c r="BD174" s="902">
        <v>17.572469978886609</v>
      </c>
      <c r="BE174" s="902">
        <v>0</v>
      </c>
      <c r="BF174" s="902">
        <v>0</v>
      </c>
      <c r="BG174" s="902">
        <v>10.450604817044924</v>
      </c>
      <c r="BH174" s="902">
        <v>0.45201779940889963</v>
      </c>
      <c r="BI174" s="902">
        <v>3600</v>
      </c>
      <c r="BJ174" s="909" t="s">
        <v>1062</v>
      </c>
      <c r="BK174" s="909">
        <v>3</v>
      </c>
      <c r="BL174" s="909">
        <v>0</v>
      </c>
      <c r="BM174" s="909">
        <v>0</v>
      </c>
      <c r="BN174" s="909">
        <v>0</v>
      </c>
      <c r="BO174" s="910">
        <v>22822.182232148949</v>
      </c>
      <c r="BP174" s="909">
        <v>0</v>
      </c>
      <c r="BQ174" s="909">
        <v>0</v>
      </c>
      <c r="BR174" s="909">
        <v>0</v>
      </c>
      <c r="BS174" s="910">
        <v>19446.1027201822</v>
      </c>
      <c r="BT174" s="871">
        <v>4000</v>
      </c>
      <c r="BU174" s="911">
        <v>111.421819447318</v>
      </c>
      <c r="BV174" s="908">
        <v>1.2560000000000002</v>
      </c>
      <c r="BW174" s="902">
        <v>16.944469978886609</v>
      </c>
      <c r="BX174" s="902">
        <v>0</v>
      </c>
      <c r="BY174" s="902">
        <v>0</v>
      </c>
      <c r="BZ174" s="902">
        <v>10.374649642495383</v>
      </c>
      <c r="CA174" s="902">
        <v>0.4269665654088996</v>
      </c>
      <c r="CB174" s="902">
        <v>3600</v>
      </c>
      <c r="CC174" s="909" t="s">
        <v>2874</v>
      </c>
      <c r="CD174" s="909">
        <v>2</v>
      </c>
      <c r="CE174" s="909">
        <v>0</v>
      </c>
      <c r="CF174" s="909">
        <v>0</v>
      </c>
      <c r="CG174" s="909">
        <v>0</v>
      </c>
      <c r="CH174" s="910">
        <v>18115.805616017227</v>
      </c>
      <c r="CI174" s="909">
        <v>0</v>
      </c>
      <c r="CJ174" s="909">
        <v>0</v>
      </c>
      <c r="CK174" s="909">
        <v>0</v>
      </c>
      <c r="CL174" s="910">
        <v>11439.714495595901</v>
      </c>
      <c r="CM174" s="871">
        <v>4000</v>
      </c>
      <c r="CN174" s="911">
        <v>111.421819447318</v>
      </c>
      <c r="CO174" s="908">
        <v>1.2560000000000002</v>
      </c>
      <c r="CP174" s="902">
        <v>16.944469978886609</v>
      </c>
      <c r="CQ174" s="902">
        <v>0</v>
      </c>
      <c r="CR174" s="902">
        <v>0</v>
      </c>
      <c r="CS174" s="902">
        <v>10.374649642495383</v>
      </c>
      <c r="CT174" s="902">
        <v>0.4269665654088996</v>
      </c>
      <c r="CU174" s="902">
        <v>3600</v>
      </c>
      <c r="CV174" s="909" t="s">
        <v>2874</v>
      </c>
      <c r="CW174" s="909">
        <v>2</v>
      </c>
      <c r="CX174" s="909">
        <v>0</v>
      </c>
      <c r="CY174" s="909">
        <v>0</v>
      </c>
      <c r="CZ174" s="909">
        <v>0</v>
      </c>
      <c r="DA174" s="910">
        <v>18115.805616017227</v>
      </c>
      <c r="DB174" s="909">
        <v>0</v>
      </c>
      <c r="DC174" s="909">
        <v>0</v>
      </c>
      <c r="DD174" s="909">
        <v>0</v>
      </c>
      <c r="DE174" s="910">
        <v>11439.714495595901</v>
      </c>
      <c r="DF174" s="871">
        <v>4000</v>
      </c>
      <c r="DG174" s="911">
        <v>111.421819447318</v>
      </c>
      <c r="DH174" s="908">
        <v>1.2560000000000002</v>
      </c>
      <c r="DI174" s="902">
        <v>16.944469978886609</v>
      </c>
      <c r="DJ174" s="902">
        <v>0</v>
      </c>
      <c r="DK174" s="902">
        <v>0</v>
      </c>
      <c r="DL174" s="902">
        <v>10.374649642495383</v>
      </c>
      <c r="DM174" s="902">
        <v>0.4269665654088996</v>
      </c>
      <c r="DN174" s="902">
        <v>3600</v>
      </c>
      <c r="DO174" s="909" t="s">
        <v>2876</v>
      </c>
      <c r="DP174" s="909">
        <v>2</v>
      </c>
      <c r="DQ174" s="909">
        <v>0</v>
      </c>
      <c r="DR174" s="909">
        <v>0</v>
      </c>
      <c r="DS174" s="909">
        <v>0</v>
      </c>
      <c r="DT174" s="910">
        <v>19366.610828723293</v>
      </c>
      <c r="DU174" s="909">
        <v>0</v>
      </c>
      <c r="DV174" s="909">
        <v>0</v>
      </c>
      <c r="DW174" s="909">
        <v>0</v>
      </c>
      <c r="DX174" s="910">
        <v>12229.569212866028</v>
      </c>
      <c r="DY174" s="871">
        <v>4000</v>
      </c>
      <c r="DZ174" s="911">
        <v>111.421819447318</v>
      </c>
      <c r="EA174" s="908">
        <v>1.2560000000000002</v>
      </c>
      <c r="EB174" s="902">
        <v>16.944469978886609</v>
      </c>
      <c r="EC174" s="902">
        <v>0</v>
      </c>
      <c r="ED174" s="902">
        <v>0</v>
      </c>
      <c r="EE174" s="902">
        <v>10.374649642495383</v>
      </c>
      <c r="EF174" s="902">
        <v>0.4269665654088996</v>
      </c>
      <c r="EG174" s="902">
        <v>3600</v>
      </c>
      <c r="EH174" s="909" t="s">
        <v>2876</v>
      </c>
      <c r="EI174" s="909">
        <v>2</v>
      </c>
      <c r="EJ174" s="909">
        <v>0</v>
      </c>
      <c r="EK174" s="909">
        <v>0</v>
      </c>
      <c r="EL174" s="909">
        <v>0</v>
      </c>
      <c r="EM174" s="910">
        <v>19366.610828723293</v>
      </c>
      <c r="EN174" s="909">
        <v>0</v>
      </c>
      <c r="EO174" s="909">
        <v>0</v>
      </c>
      <c r="EP174" s="909">
        <v>0</v>
      </c>
      <c r="EQ174" s="910">
        <v>12229.569212866028</v>
      </c>
      <c r="ER174" s="871">
        <v>4000</v>
      </c>
      <c r="ES174" s="911">
        <v>111.421819447318</v>
      </c>
      <c r="ET174" s="908">
        <v>1.2560000000000002</v>
      </c>
      <c r="EU174" s="902">
        <v>16.944469978886609</v>
      </c>
      <c r="EV174" s="902">
        <v>0</v>
      </c>
      <c r="EW174" s="902">
        <v>0</v>
      </c>
      <c r="EX174" s="902">
        <v>10.374649642495383</v>
      </c>
      <c r="EY174" s="902">
        <v>0.4269665654088996</v>
      </c>
      <c r="EZ174" s="902">
        <v>3600</v>
      </c>
      <c r="FA174" s="909" t="s">
        <v>3889</v>
      </c>
      <c r="FB174" s="909">
        <v>2</v>
      </c>
      <c r="FC174" s="909">
        <v>0</v>
      </c>
      <c r="FD174" s="909">
        <v>0</v>
      </c>
      <c r="FE174" s="909">
        <v>0</v>
      </c>
      <c r="FF174" s="910">
        <v>19765.964407262945</v>
      </c>
      <c r="FG174" s="909">
        <v>0</v>
      </c>
      <c r="FH174" s="909">
        <v>0</v>
      </c>
      <c r="FI174" s="909">
        <v>0</v>
      </c>
      <c r="FJ174" s="910">
        <v>12481.751810654991</v>
      </c>
      <c r="FK174" s="871">
        <v>4000</v>
      </c>
      <c r="FL174" s="911">
        <v>111.421819447318</v>
      </c>
      <c r="FM174" s="908">
        <v>1.2560000000000002</v>
      </c>
      <c r="FN174" s="902">
        <v>16.944469978886609</v>
      </c>
      <c r="FO174" s="902">
        <v>0</v>
      </c>
      <c r="FP174" s="902">
        <v>0</v>
      </c>
      <c r="FQ174" s="902">
        <v>10.374649642495383</v>
      </c>
      <c r="FR174" s="902">
        <v>0.4269665654088996</v>
      </c>
      <c r="FS174" s="902">
        <v>3600</v>
      </c>
      <c r="FT174" s="909" t="s">
        <v>3889</v>
      </c>
      <c r="FU174" s="909">
        <v>2</v>
      </c>
      <c r="FV174" s="909">
        <v>0</v>
      </c>
      <c r="FW174" s="909">
        <v>0</v>
      </c>
      <c r="FX174" s="909">
        <v>0</v>
      </c>
      <c r="FY174" s="910">
        <v>19765.964407262945</v>
      </c>
      <c r="FZ174" s="909">
        <v>0</v>
      </c>
      <c r="GA174" s="909">
        <v>0</v>
      </c>
      <c r="GB174" s="909">
        <v>0</v>
      </c>
      <c r="GC174" s="910">
        <v>12481.751810654991</v>
      </c>
      <c r="GD174" s="871">
        <v>4000</v>
      </c>
      <c r="GE174" s="911">
        <v>111.421819447318</v>
      </c>
      <c r="GF174" s="908">
        <v>1.2560000000000002</v>
      </c>
      <c r="GG174" s="902">
        <v>16.944469978886609</v>
      </c>
      <c r="GH174" s="902">
        <v>0</v>
      </c>
      <c r="GI174" s="902">
        <v>0</v>
      </c>
      <c r="GJ174" s="902">
        <v>10.374649642495383</v>
      </c>
      <c r="GK174" s="902">
        <v>0.4269665654088996</v>
      </c>
      <c r="GL174" s="902">
        <v>3600</v>
      </c>
      <c r="GM174" s="909" t="s">
        <v>2877</v>
      </c>
      <c r="GN174" s="909">
        <v>2</v>
      </c>
      <c r="GO174" s="909">
        <v>0</v>
      </c>
      <c r="GP174" s="909">
        <v>0</v>
      </c>
      <c r="GQ174" s="909">
        <v>0</v>
      </c>
      <c r="GR174" s="910">
        <v>26518.824033289995</v>
      </c>
      <c r="GS174" s="909">
        <v>0</v>
      </c>
      <c r="GT174" s="909">
        <v>0</v>
      </c>
      <c r="GU174" s="909">
        <v>0</v>
      </c>
      <c r="GV174" s="910">
        <v>16746.027316126554</v>
      </c>
      <c r="GW174" s="871">
        <v>4000</v>
      </c>
      <c r="GX174" s="911">
        <v>111.421819447318</v>
      </c>
      <c r="GY174" s="908">
        <v>1.2560000000000002</v>
      </c>
      <c r="GZ174" s="902">
        <v>16.944469978886609</v>
      </c>
      <c r="HA174" s="902">
        <v>0</v>
      </c>
      <c r="HB174" s="902">
        <v>0</v>
      </c>
      <c r="HC174" s="902">
        <v>10.374649642495383</v>
      </c>
      <c r="HD174" s="902">
        <v>0.4269665654088996</v>
      </c>
      <c r="HE174" s="902">
        <v>3600</v>
      </c>
      <c r="HF174" s="909" t="s">
        <v>2877</v>
      </c>
      <c r="HG174" s="909">
        <v>2</v>
      </c>
      <c r="HH174" s="909">
        <v>0</v>
      </c>
      <c r="HI174" s="909">
        <v>0</v>
      </c>
      <c r="HJ174" s="909">
        <v>0</v>
      </c>
      <c r="HK174" s="910">
        <v>26518.824033289995</v>
      </c>
      <c r="HL174" s="909">
        <v>0</v>
      </c>
      <c r="HM174" s="909">
        <v>0</v>
      </c>
      <c r="HN174" s="909">
        <v>0</v>
      </c>
      <c r="HO174" s="910">
        <v>16746.027316126554</v>
      </c>
      <c r="HP174" s="871">
        <v>4000</v>
      </c>
      <c r="HQ174" s="911">
        <v>111.421819447318</v>
      </c>
      <c r="HR174" s="908">
        <v>1.2560000000000002</v>
      </c>
      <c r="HS174" s="902">
        <v>16.944469978886609</v>
      </c>
      <c r="HT174" s="902">
        <v>0</v>
      </c>
      <c r="HU174" s="902">
        <v>0</v>
      </c>
      <c r="HV174" s="902">
        <v>10.374649642495383</v>
      </c>
      <c r="HW174" s="902">
        <v>0.4269665654088996</v>
      </c>
      <c r="HX174" s="902">
        <v>3600</v>
      </c>
      <c r="HY174" s="909" t="s">
        <v>1063</v>
      </c>
      <c r="HZ174" s="909">
        <v>2</v>
      </c>
      <c r="IA174" s="909">
        <v>0</v>
      </c>
      <c r="IB174" s="909">
        <v>0</v>
      </c>
      <c r="IC174" s="909">
        <v>0</v>
      </c>
      <c r="ID174" s="910">
        <v>23387.404484651252</v>
      </c>
      <c r="IE174" s="909">
        <v>0</v>
      </c>
      <c r="IF174" s="909">
        <v>0</v>
      </c>
      <c r="IG174" s="909">
        <v>0</v>
      </c>
      <c r="IH174" s="910">
        <v>14768.607908936838</v>
      </c>
      <c r="II174" s="871">
        <v>4000</v>
      </c>
      <c r="IJ174" s="911">
        <v>111.421819447318</v>
      </c>
      <c r="IK174" s="908">
        <v>1.2560000000000002</v>
      </c>
      <c r="IL174" s="902">
        <v>16.944469978886609</v>
      </c>
      <c r="IM174" s="902">
        <v>0</v>
      </c>
      <c r="IN174" s="902">
        <v>0</v>
      </c>
      <c r="IO174" s="902">
        <v>10.374649642495383</v>
      </c>
      <c r="IP174" s="902">
        <v>0.4269665654088996</v>
      </c>
      <c r="IQ174" s="902">
        <v>3600</v>
      </c>
      <c r="IR174" s="909" t="s">
        <v>1063</v>
      </c>
      <c r="IS174" s="909">
        <v>2</v>
      </c>
      <c r="IT174" s="909">
        <v>0</v>
      </c>
      <c r="IU174" s="909">
        <v>0</v>
      </c>
      <c r="IV174" s="909">
        <v>0</v>
      </c>
      <c r="IW174" s="910">
        <v>23387.404484651252</v>
      </c>
      <c r="IX174" s="909">
        <v>0</v>
      </c>
      <c r="IY174" s="909">
        <v>0</v>
      </c>
      <c r="IZ174" s="909">
        <v>0</v>
      </c>
      <c r="JA174" s="910">
        <v>14768.607908936838</v>
      </c>
      <c r="JB174" s="871">
        <v>4000</v>
      </c>
      <c r="JC174" s="911">
        <v>111.421819447318</v>
      </c>
      <c r="JD174" s="908">
        <v>1.2560000000000002</v>
      </c>
      <c r="JE174" s="902">
        <v>16.944469978886609</v>
      </c>
      <c r="JF174" s="902">
        <v>0</v>
      </c>
      <c r="JG174" s="902">
        <v>0</v>
      </c>
      <c r="JH174" s="902">
        <v>10.374649642495383</v>
      </c>
      <c r="JI174" s="902">
        <v>0.4269665654088996</v>
      </c>
      <c r="JJ174" s="902">
        <v>3600</v>
      </c>
      <c r="JK174" s="909" t="s">
        <v>1064</v>
      </c>
      <c r="JL174" s="909">
        <v>2</v>
      </c>
      <c r="JM174" s="909">
        <v>0</v>
      </c>
      <c r="JN174" s="909">
        <v>0</v>
      </c>
      <c r="JO174" s="909">
        <v>0</v>
      </c>
      <c r="JP174" s="910">
        <v>31871.659939010075</v>
      </c>
      <c r="JQ174" s="909">
        <v>0</v>
      </c>
      <c r="JR174" s="909">
        <v>0</v>
      </c>
      <c r="JS174" s="909">
        <v>0</v>
      </c>
      <c r="JT174" s="910">
        <v>20126.220049558422</v>
      </c>
      <c r="JU174" s="871">
        <v>4000</v>
      </c>
      <c r="JV174" s="911">
        <v>111.421819447318</v>
      </c>
      <c r="JW174" s="908">
        <v>1.2560000000000002</v>
      </c>
      <c r="JX174" s="902">
        <v>16.944469978886609</v>
      </c>
      <c r="JY174" s="902">
        <v>0</v>
      </c>
      <c r="JZ174" s="902">
        <v>0</v>
      </c>
      <c r="KA174" s="902">
        <v>10.374649642495383</v>
      </c>
      <c r="KB174" s="902">
        <v>0.4269665654088996</v>
      </c>
      <c r="KC174" s="902">
        <v>3600</v>
      </c>
      <c r="KD174" s="909" t="s">
        <v>1064</v>
      </c>
      <c r="KE174" s="909">
        <v>2</v>
      </c>
      <c r="KF174" s="909">
        <v>0</v>
      </c>
      <c r="KG174" s="909">
        <v>0</v>
      </c>
      <c r="KH174" s="909">
        <v>0</v>
      </c>
      <c r="KI174" s="910">
        <v>31871.659939010075</v>
      </c>
      <c r="KJ174" s="909">
        <v>0</v>
      </c>
      <c r="KK174" s="909">
        <v>0</v>
      </c>
      <c r="KL174" s="909">
        <v>0</v>
      </c>
      <c r="KM174" s="910">
        <v>20126.220049558422</v>
      </c>
      <c r="KN174" s="871">
        <v>4000</v>
      </c>
      <c r="KO174" s="912">
        <v>111.421819447318</v>
      </c>
    </row>
    <row r="175" spans="1:301" ht="15" customHeight="1">
      <c r="A175" s="924" t="s">
        <v>1624</v>
      </c>
      <c r="B175" s="888" t="s">
        <v>1073</v>
      </c>
      <c r="C175" s="888">
        <v>190</v>
      </c>
      <c r="D175" s="888">
        <v>532</v>
      </c>
      <c r="E175" s="888">
        <v>166</v>
      </c>
      <c r="F175" s="888">
        <v>190</v>
      </c>
      <c r="G175" s="888">
        <v>49</v>
      </c>
      <c r="H175" s="888">
        <v>35</v>
      </c>
      <c r="I175" s="888">
        <v>35</v>
      </c>
      <c r="J175" s="888">
        <v>33.03</v>
      </c>
      <c r="K175" s="888">
        <v>71.8</v>
      </c>
      <c r="L175" s="888">
        <v>16</v>
      </c>
      <c r="M175" s="888">
        <v>200</v>
      </c>
      <c r="N175" s="888">
        <v>2</v>
      </c>
      <c r="O175" s="884">
        <v>3.1501123387070633</v>
      </c>
      <c r="P175" s="888">
        <v>2</v>
      </c>
      <c r="Q175" s="884">
        <v>1.9786820727322263</v>
      </c>
      <c r="R175" s="888">
        <v>13.000000000000002</v>
      </c>
      <c r="S175" s="888">
        <v>350.08102233614875</v>
      </c>
      <c r="T175" s="906">
        <v>9.8229068930651415</v>
      </c>
      <c r="U175" s="906">
        <v>52.512153350422309</v>
      </c>
      <c r="V175" s="906">
        <v>47.5</v>
      </c>
      <c r="W175" s="1141">
        <v>0.60566721588250194</v>
      </c>
      <c r="X175" s="902">
        <v>0</v>
      </c>
      <c r="Y175" s="902">
        <v>0</v>
      </c>
      <c r="Z175" s="902">
        <v>0</v>
      </c>
      <c r="AA175" s="902">
        <v>0</v>
      </c>
      <c r="AB175" s="970">
        <v>0.87483525942518048</v>
      </c>
      <c r="AC175" s="1045">
        <v>4000</v>
      </c>
      <c r="AD175" s="890">
        <v>2.5694522108979307</v>
      </c>
      <c r="AE175" s="890">
        <v>0.6501522626783206</v>
      </c>
      <c r="AF175" s="890">
        <v>-0.17653097600101827</v>
      </c>
      <c r="AG175" s="890">
        <v>0.94378242752724562</v>
      </c>
      <c r="AH175" s="888"/>
      <c r="AI175" s="907">
        <v>1.0564403717923021</v>
      </c>
      <c r="AJ175" s="908">
        <v>2.6376000000000004</v>
      </c>
      <c r="AK175" s="902">
        <v>18.194968520386933</v>
      </c>
      <c r="AL175" s="902">
        <v>0</v>
      </c>
      <c r="AM175" s="902">
        <v>0</v>
      </c>
      <c r="AN175" s="902">
        <v>13.004919730665206</v>
      </c>
      <c r="AO175" s="902">
        <v>0.47830774098843887</v>
      </c>
      <c r="AP175" s="1222">
        <v>3600</v>
      </c>
      <c r="AQ175" s="909" t="s">
        <v>1062</v>
      </c>
      <c r="AR175" s="909">
        <v>3</v>
      </c>
      <c r="AS175" s="909">
        <v>0</v>
      </c>
      <c r="AT175" s="909">
        <v>0</v>
      </c>
      <c r="AU175" s="909">
        <v>0</v>
      </c>
      <c r="AV175" s="910">
        <v>17201.070949391407</v>
      </c>
      <c r="AW175" s="909">
        <v>0</v>
      </c>
      <c r="AX175" s="909">
        <v>0</v>
      </c>
      <c r="AY175" s="909">
        <v>0</v>
      </c>
      <c r="AZ175" s="910">
        <v>19446.1027201822</v>
      </c>
      <c r="BA175" s="871">
        <v>4000</v>
      </c>
      <c r="BB175" s="911">
        <v>111.421819447318</v>
      </c>
      <c r="BC175" s="908">
        <v>2.6376000000000004</v>
      </c>
      <c r="BD175" s="902">
        <v>18.194968520386933</v>
      </c>
      <c r="BE175" s="902">
        <v>0</v>
      </c>
      <c r="BF175" s="902">
        <v>0</v>
      </c>
      <c r="BG175" s="902">
        <v>13.004919730665206</v>
      </c>
      <c r="BH175" s="902">
        <v>0.47830774098843887</v>
      </c>
      <c r="BI175" s="902">
        <v>3600</v>
      </c>
      <c r="BJ175" s="909" t="s">
        <v>1062</v>
      </c>
      <c r="BK175" s="909">
        <v>3</v>
      </c>
      <c r="BL175" s="909">
        <v>0</v>
      </c>
      <c r="BM175" s="909">
        <v>0</v>
      </c>
      <c r="BN175" s="909">
        <v>0</v>
      </c>
      <c r="BO175" s="910">
        <v>17201.070949391407</v>
      </c>
      <c r="BP175" s="909">
        <v>0</v>
      </c>
      <c r="BQ175" s="909">
        <v>0</v>
      </c>
      <c r="BR175" s="909">
        <v>0</v>
      </c>
      <c r="BS175" s="910">
        <v>19446.1027201822</v>
      </c>
      <c r="BT175" s="871">
        <v>4000</v>
      </c>
      <c r="BU175" s="911">
        <v>111.421819447318</v>
      </c>
      <c r="BV175" s="908">
        <v>1.7584000000000002</v>
      </c>
      <c r="BW175" s="902">
        <v>17.315768520386936</v>
      </c>
      <c r="BX175" s="902">
        <v>0</v>
      </c>
      <c r="BY175" s="902">
        <v>0</v>
      </c>
      <c r="BZ175" s="902">
        <v>12.776684144809099</v>
      </c>
      <c r="CA175" s="902">
        <v>0.44323601338843888</v>
      </c>
      <c r="CB175" s="902">
        <v>3600</v>
      </c>
      <c r="CC175" s="909" t="s">
        <v>2874</v>
      </c>
      <c r="CD175" s="909">
        <v>2</v>
      </c>
      <c r="CE175" s="909">
        <v>0</v>
      </c>
      <c r="CF175" s="909">
        <v>0</v>
      </c>
      <c r="CG175" s="909">
        <v>0</v>
      </c>
      <c r="CH175" s="910">
        <v>11661.777949432806</v>
      </c>
      <c r="CI175" s="909">
        <v>0</v>
      </c>
      <c r="CJ175" s="909">
        <v>0</v>
      </c>
      <c r="CK175" s="909">
        <v>0</v>
      </c>
      <c r="CL175" s="910">
        <v>11439.714495595901</v>
      </c>
      <c r="CM175" s="871">
        <v>4000</v>
      </c>
      <c r="CN175" s="911">
        <v>111.421819447318</v>
      </c>
      <c r="CO175" s="908">
        <v>1.7584000000000002</v>
      </c>
      <c r="CP175" s="902">
        <v>17.315768520386936</v>
      </c>
      <c r="CQ175" s="902">
        <v>0</v>
      </c>
      <c r="CR175" s="902">
        <v>0</v>
      </c>
      <c r="CS175" s="902">
        <v>12.776684144809099</v>
      </c>
      <c r="CT175" s="902">
        <v>0.44323601338843888</v>
      </c>
      <c r="CU175" s="902">
        <v>3600</v>
      </c>
      <c r="CV175" s="909" t="s">
        <v>2874</v>
      </c>
      <c r="CW175" s="909">
        <v>2</v>
      </c>
      <c r="CX175" s="909">
        <v>0</v>
      </c>
      <c r="CY175" s="909">
        <v>0</v>
      </c>
      <c r="CZ175" s="909">
        <v>0</v>
      </c>
      <c r="DA175" s="910">
        <v>11661.777949432806</v>
      </c>
      <c r="DB175" s="909">
        <v>0</v>
      </c>
      <c r="DC175" s="909">
        <v>0</v>
      </c>
      <c r="DD175" s="909">
        <v>0</v>
      </c>
      <c r="DE175" s="910">
        <v>11439.714495595901</v>
      </c>
      <c r="DF175" s="871">
        <v>4000</v>
      </c>
      <c r="DG175" s="911">
        <v>111.421819447318</v>
      </c>
      <c r="DH175" s="908">
        <v>1.7584000000000002</v>
      </c>
      <c r="DI175" s="902">
        <v>17.315768520386936</v>
      </c>
      <c r="DJ175" s="902">
        <v>0</v>
      </c>
      <c r="DK175" s="902">
        <v>0</v>
      </c>
      <c r="DL175" s="902">
        <v>12.776684144809099</v>
      </c>
      <c r="DM175" s="902">
        <v>0.44323601338843888</v>
      </c>
      <c r="DN175" s="902">
        <v>3600</v>
      </c>
      <c r="DO175" s="909" t="s">
        <v>2876</v>
      </c>
      <c r="DP175" s="909">
        <v>2</v>
      </c>
      <c r="DQ175" s="909">
        <v>0</v>
      </c>
      <c r="DR175" s="909">
        <v>0</v>
      </c>
      <c r="DS175" s="909">
        <v>0</v>
      </c>
      <c r="DT175" s="910">
        <v>12466.965030689167</v>
      </c>
      <c r="DU175" s="909">
        <v>0</v>
      </c>
      <c r="DV175" s="909">
        <v>0</v>
      </c>
      <c r="DW175" s="909">
        <v>0</v>
      </c>
      <c r="DX175" s="910">
        <v>12229.569212866028</v>
      </c>
      <c r="DY175" s="871">
        <v>4000</v>
      </c>
      <c r="DZ175" s="911">
        <v>111.421819447318</v>
      </c>
      <c r="EA175" s="908">
        <v>1.7584000000000002</v>
      </c>
      <c r="EB175" s="902">
        <v>17.315768520386936</v>
      </c>
      <c r="EC175" s="902">
        <v>0</v>
      </c>
      <c r="ED175" s="902">
        <v>0</v>
      </c>
      <c r="EE175" s="902">
        <v>12.776684144809099</v>
      </c>
      <c r="EF175" s="902">
        <v>0.44323601338843888</v>
      </c>
      <c r="EG175" s="902">
        <v>3600</v>
      </c>
      <c r="EH175" s="909" t="s">
        <v>2876</v>
      </c>
      <c r="EI175" s="909">
        <v>2</v>
      </c>
      <c r="EJ175" s="909">
        <v>0</v>
      </c>
      <c r="EK175" s="909">
        <v>0</v>
      </c>
      <c r="EL175" s="909">
        <v>0</v>
      </c>
      <c r="EM175" s="910">
        <v>12466.965030689167</v>
      </c>
      <c r="EN175" s="909">
        <v>0</v>
      </c>
      <c r="EO175" s="909">
        <v>0</v>
      </c>
      <c r="EP175" s="909">
        <v>0</v>
      </c>
      <c r="EQ175" s="910">
        <v>12229.569212866028</v>
      </c>
      <c r="ER175" s="871">
        <v>4000</v>
      </c>
      <c r="ES175" s="911">
        <v>111.421819447318</v>
      </c>
      <c r="ET175" s="908">
        <v>1.7584000000000002</v>
      </c>
      <c r="EU175" s="902">
        <v>17.315768520386936</v>
      </c>
      <c r="EV175" s="902">
        <v>0</v>
      </c>
      <c r="EW175" s="902">
        <v>0</v>
      </c>
      <c r="EX175" s="902">
        <v>12.776684144809099</v>
      </c>
      <c r="EY175" s="902">
        <v>0.44323601338843888</v>
      </c>
      <c r="EZ175" s="902">
        <v>3600</v>
      </c>
      <c r="FA175" s="909" t="s">
        <v>3889</v>
      </c>
      <c r="FB175" s="909">
        <v>2</v>
      </c>
      <c r="FC175" s="909">
        <v>0</v>
      </c>
      <c r="FD175" s="909">
        <v>0</v>
      </c>
      <c r="FE175" s="909">
        <v>0</v>
      </c>
      <c r="FF175" s="910">
        <v>12724.042902628709</v>
      </c>
      <c r="FG175" s="909">
        <v>0</v>
      </c>
      <c r="FH175" s="909">
        <v>0</v>
      </c>
      <c r="FI175" s="909">
        <v>0</v>
      </c>
      <c r="FJ175" s="910">
        <v>12481.751810654991</v>
      </c>
      <c r="FK175" s="871">
        <v>4000</v>
      </c>
      <c r="FL175" s="911">
        <v>111.421819447318</v>
      </c>
      <c r="FM175" s="908">
        <v>1.7584000000000002</v>
      </c>
      <c r="FN175" s="902">
        <v>17.315768520386936</v>
      </c>
      <c r="FO175" s="902">
        <v>0</v>
      </c>
      <c r="FP175" s="902">
        <v>0</v>
      </c>
      <c r="FQ175" s="902">
        <v>12.776684144809099</v>
      </c>
      <c r="FR175" s="902">
        <v>0.44323601338843888</v>
      </c>
      <c r="FS175" s="902">
        <v>3600</v>
      </c>
      <c r="FT175" s="909" t="s">
        <v>3889</v>
      </c>
      <c r="FU175" s="909">
        <v>2</v>
      </c>
      <c r="FV175" s="909">
        <v>0</v>
      </c>
      <c r="FW175" s="909">
        <v>0</v>
      </c>
      <c r="FX175" s="909">
        <v>0</v>
      </c>
      <c r="FY175" s="910">
        <v>12724.042902628709</v>
      </c>
      <c r="FZ175" s="909">
        <v>0</v>
      </c>
      <c r="GA175" s="909">
        <v>0</v>
      </c>
      <c r="GB175" s="909">
        <v>0</v>
      </c>
      <c r="GC175" s="910">
        <v>12481.751810654991</v>
      </c>
      <c r="GD175" s="871">
        <v>4000</v>
      </c>
      <c r="GE175" s="911">
        <v>111.421819447318</v>
      </c>
      <c r="GF175" s="908">
        <v>1.7584000000000002</v>
      </c>
      <c r="GG175" s="902">
        <v>17.315768520386936</v>
      </c>
      <c r="GH175" s="902">
        <v>0</v>
      </c>
      <c r="GI175" s="902">
        <v>0</v>
      </c>
      <c r="GJ175" s="902">
        <v>12.776684144809099</v>
      </c>
      <c r="GK175" s="902">
        <v>0.44323601338843888</v>
      </c>
      <c r="GL175" s="902">
        <v>3600</v>
      </c>
      <c r="GM175" s="909" t="s">
        <v>2877</v>
      </c>
      <c r="GN175" s="909">
        <v>2</v>
      </c>
      <c r="GO175" s="909">
        <v>0</v>
      </c>
      <c r="GP175" s="909">
        <v>0</v>
      </c>
      <c r="GQ175" s="909">
        <v>0</v>
      </c>
      <c r="GR175" s="910">
        <v>17071.094927341612</v>
      </c>
      <c r="GS175" s="909">
        <v>0</v>
      </c>
      <c r="GT175" s="909">
        <v>0</v>
      </c>
      <c r="GU175" s="909">
        <v>0</v>
      </c>
      <c r="GV175" s="910">
        <v>16746.027316126554</v>
      </c>
      <c r="GW175" s="871">
        <v>4000</v>
      </c>
      <c r="GX175" s="911">
        <v>111.421819447318</v>
      </c>
      <c r="GY175" s="908">
        <v>1.7584000000000002</v>
      </c>
      <c r="GZ175" s="902">
        <v>17.315768520386936</v>
      </c>
      <c r="HA175" s="902">
        <v>0</v>
      </c>
      <c r="HB175" s="902">
        <v>0</v>
      </c>
      <c r="HC175" s="902">
        <v>12.776684144809099</v>
      </c>
      <c r="HD175" s="902">
        <v>0.44323601338843888</v>
      </c>
      <c r="HE175" s="902">
        <v>3600</v>
      </c>
      <c r="HF175" s="909" t="s">
        <v>2877</v>
      </c>
      <c r="HG175" s="909">
        <v>2</v>
      </c>
      <c r="HH175" s="909">
        <v>0</v>
      </c>
      <c r="HI175" s="909">
        <v>0</v>
      </c>
      <c r="HJ175" s="909">
        <v>0</v>
      </c>
      <c r="HK175" s="910">
        <v>17071.094927341612</v>
      </c>
      <c r="HL175" s="909">
        <v>0</v>
      </c>
      <c r="HM175" s="909">
        <v>0</v>
      </c>
      <c r="HN175" s="909">
        <v>0</v>
      </c>
      <c r="HO175" s="910">
        <v>16746.027316126554</v>
      </c>
      <c r="HP175" s="871">
        <v>4000</v>
      </c>
      <c r="HQ175" s="911">
        <v>111.421819447318</v>
      </c>
      <c r="HR175" s="908">
        <v>1.7584000000000002</v>
      </c>
      <c r="HS175" s="902">
        <v>17.315768520386936</v>
      </c>
      <c r="HT175" s="902">
        <v>0</v>
      </c>
      <c r="HU175" s="902">
        <v>0</v>
      </c>
      <c r="HV175" s="902">
        <v>12.776684144809099</v>
      </c>
      <c r="HW175" s="902">
        <v>0.44323601338843888</v>
      </c>
      <c r="HX175" s="902">
        <v>3600</v>
      </c>
      <c r="HY175" s="909" t="s">
        <v>1063</v>
      </c>
      <c r="HZ175" s="909">
        <v>2</v>
      </c>
      <c r="IA175" s="909">
        <v>0</v>
      </c>
      <c r="IB175" s="909">
        <v>0</v>
      </c>
      <c r="IC175" s="909">
        <v>0</v>
      </c>
      <c r="ID175" s="910">
        <v>15055.290595130613</v>
      </c>
      <c r="IE175" s="909">
        <v>0</v>
      </c>
      <c r="IF175" s="909">
        <v>0</v>
      </c>
      <c r="IG175" s="909">
        <v>0</v>
      </c>
      <c r="IH175" s="910">
        <v>14768.607908936838</v>
      </c>
      <c r="II175" s="871">
        <v>4000</v>
      </c>
      <c r="IJ175" s="911">
        <v>111.421819447318</v>
      </c>
      <c r="IK175" s="908">
        <v>1.7584000000000002</v>
      </c>
      <c r="IL175" s="902">
        <v>17.315768520386936</v>
      </c>
      <c r="IM175" s="902">
        <v>0</v>
      </c>
      <c r="IN175" s="902">
        <v>0</v>
      </c>
      <c r="IO175" s="902">
        <v>12.776684144809099</v>
      </c>
      <c r="IP175" s="902">
        <v>0.44323601338843888</v>
      </c>
      <c r="IQ175" s="902">
        <v>3600</v>
      </c>
      <c r="IR175" s="909" t="s">
        <v>1063</v>
      </c>
      <c r="IS175" s="909">
        <v>2</v>
      </c>
      <c r="IT175" s="909">
        <v>0</v>
      </c>
      <c r="IU175" s="909">
        <v>0</v>
      </c>
      <c r="IV175" s="909">
        <v>0</v>
      </c>
      <c r="IW175" s="910">
        <v>15055.290595130613</v>
      </c>
      <c r="IX175" s="909">
        <v>0</v>
      </c>
      <c r="IY175" s="909">
        <v>0</v>
      </c>
      <c r="IZ175" s="909">
        <v>0</v>
      </c>
      <c r="JA175" s="910">
        <v>14768.607908936838</v>
      </c>
      <c r="JB175" s="871">
        <v>4000</v>
      </c>
      <c r="JC175" s="911">
        <v>111.421819447318</v>
      </c>
      <c r="JD175" s="908">
        <v>1.7584000000000002</v>
      </c>
      <c r="JE175" s="902">
        <v>17.315768520386936</v>
      </c>
      <c r="JF175" s="902">
        <v>0</v>
      </c>
      <c r="JG175" s="902">
        <v>0</v>
      </c>
      <c r="JH175" s="902">
        <v>12.776684144809099</v>
      </c>
      <c r="JI175" s="902">
        <v>0.44323601338843888</v>
      </c>
      <c r="JJ175" s="902">
        <v>3600</v>
      </c>
      <c r="JK175" s="909" t="s">
        <v>1064</v>
      </c>
      <c r="JL175" s="909">
        <v>2</v>
      </c>
      <c r="JM175" s="909">
        <v>0</v>
      </c>
      <c r="JN175" s="909">
        <v>0</v>
      </c>
      <c r="JO175" s="909">
        <v>0</v>
      </c>
      <c r="JP175" s="910">
        <v>20516.902696280002</v>
      </c>
      <c r="JQ175" s="909">
        <v>0</v>
      </c>
      <c r="JR175" s="909">
        <v>0</v>
      </c>
      <c r="JS175" s="909">
        <v>0</v>
      </c>
      <c r="JT175" s="910">
        <v>20126.220049558422</v>
      </c>
      <c r="JU175" s="871">
        <v>4000</v>
      </c>
      <c r="JV175" s="911">
        <v>111.421819447318</v>
      </c>
      <c r="JW175" s="908">
        <v>1.7584000000000002</v>
      </c>
      <c r="JX175" s="902">
        <v>17.315768520386936</v>
      </c>
      <c r="JY175" s="902">
        <v>0</v>
      </c>
      <c r="JZ175" s="902">
        <v>0</v>
      </c>
      <c r="KA175" s="902">
        <v>12.776684144809099</v>
      </c>
      <c r="KB175" s="902">
        <v>0.44323601338843888</v>
      </c>
      <c r="KC175" s="902">
        <v>3600</v>
      </c>
      <c r="KD175" s="909" t="s">
        <v>1064</v>
      </c>
      <c r="KE175" s="909">
        <v>2</v>
      </c>
      <c r="KF175" s="909">
        <v>0</v>
      </c>
      <c r="KG175" s="909">
        <v>0</v>
      </c>
      <c r="KH175" s="909">
        <v>0</v>
      </c>
      <c r="KI175" s="910">
        <v>20516.902696280002</v>
      </c>
      <c r="KJ175" s="909">
        <v>0</v>
      </c>
      <c r="KK175" s="909">
        <v>0</v>
      </c>
      <c r="KL175" s="909">
        <v>0</v>
      </c>
      <c r="KM175" s="910">
        <v>20126.220049558422</v>
      </c>
      <c r="KN175" s="871">
        <v>4000</v>
      </c>
      <c r="KO175" s="912">
        <v>111.421819447318</v>
      </c>
    </row>
    <row r="176" spans="1:301" ht="15" customHeight="1">
      <c r="A176" s="924" t="s">
        <v>1703</v>
      </c>
      <c r="B176" s="888" t="s">
        <v>1073</v>
      </c>
      <c r="C176" s="888">
        <v>190</v>
      </c>
      <c r="D176" s="888">
        <v>532</v>
      </c>
      <c r="E176" s="888">
        <v>166</v>
      </c>
      <c r="F176" s="888">
        <v>190</v>
      </c>
      <c r="G176" s="888">
        <v>49</v>
      </c>
      <c r="H176" s="888">
        <v>35</v>
      </c>
      <c r="I176" s="888">
        <v>35</v>
      </c>
      <c r="J176" s="888">
        <v>33.03</v>
      </c>
      <c r="K176" s="888">
        <v>71.8</v>
      </c>
      <c r="L176" s="888">
        <v>16</v>
      </c>
      <c r="M176" s="888">
        <v>200</v>
      </c>
      <c r="N176" s="888">
        <v>2</v>
      </c>
      <c r="O176" s="884">
        <v>3.1501123387070633</v>
      </c>
      <c r="P176" s="888">
        <v>2</v>
      </c>
      <c r="Q176" s="884">
        <v>1.9786820727322263</v>
      </c>
      <c r="R176" s="888">
        <v>13.000000000000002</v>
      </c>
      <c r="S176" s="888">
        <v>350.08102233614875</v>
      </c>
      <c r="T176" s="906">
        <v>9.8229068930651415</v>
      </c>
      <c r="U176" s="906">
        <v>52.512153350422309</v>
      </c>
      <c r="V176" s="906">
        <v>47.5</v>
      </c>
      <c r="W176" s="1141">
        <v>0.60566721588250194</v>
      </c>
      <c r="X176" s="902">
        <v>0</v>
      </c>
      <c r="Y176" s="902">
        <v>0</v>
      </c>
      <c r="Z176" s="902">
        <v>0</v>
      </c>
      <c r="AA176" s="902">
        <v>0</v>
      </c>
      <c r="AB176" s="970">
        <v>0.87483525942518048</v>
      </c>
      <c r="AC176" s="1045">
        <v>4000</v>
      </c>
      <c r="AD176" s="890">
        <v>2.5694522108979307</v>
      </c>
      <c r="AE176" s="890">
        <v>0.6501522626783206</v>
      </c>
      <c r="AF176" s="890">
        <v>-0.17653097600101827</v>
      </c>
      <c r="AG176" s="890">
        <v>0.94378242752724562</v>
      </c>
      <c r="AH176" s="888"/>
      <c r="AI176" s="907">
        <v>1.0564403717923021</v>
      </c>
      <c r="AJ176" s="908">
        <v>2.6376000000000004</v>
      </c>
      <c r="AK176" s="902">
        <v>18.194968520386933</v>
      </c>
      <c r="AL176" s="902">
        <v>0</v>
      </c>
      <c r="AM176" s="902">
        <v>0</v>
      </c>
      <c r="AN176" s="902">
        <v>13.004919730665206</v>
      </c>
      <c r="AO176" s="902">
        <v>0.47830774098843887</v>
      </c>
      <c r="AP176" s="1222">
        <v>3600</v>
      </c>
      <c r="AQ176" s="909" t="s">
        <v>1062</v>
      </c>
      <c r="AR176" s="909">
        <v>3</v>
      </c>
      <c r="AS176" s="909">
        <v>0</v>
      </c>
      <c r="AT176" s="909">
        <v>0</v>
      </c>
      <c r="AU176" s="909">
        <v>0</v>
      </c>
      <c r="AV176" s="910">
        <v>17201.070949391407</v>
      </c>
      <c r="AW176" s="909">
        <v>0</v>
      </c>
      <c r="AX176" s="909">
        <v>0</v>
      </c>
      <c r="AY176" s="909">
        <v>0</v>
      </c>
      <c r="AZ176" s="910">
        <v>19446.1027201822</v>
      </c>
      <c r="BA176" s="871">
        <v>4000</v>
      </c>
      <c r="BB176" s="911">
        <v>111.421819447318</v>
      </c>
      <c r="BC176" s="908">
        <v>2.6376000000000004</v>
      </c>
      <c r="BD176" s="902">
        <v>18.194968520386933</v>
      </c>
      <c r="BE176" s="902">
        <v>0</v>
      </c>
      <c r="BF176" s="902">
        <v>0</v>
      </c>
      <c r="BG176" s="902">
        <v>13.004919730665206</v>
      </c>
      <c r="BH176" s="902">
        <v>0.47830774098843887</v>
      </c>
      <c r="BI176" s="902">
        <v>3600</v>
      </c>
      <c r="BJ176" s="909" t="s">
        <v>1062</v>
      </c>
      <c r="BK176" s="909">
        <v>3</v>
      </c>
      <c r="BL176" s="909">
        <v>0</v>
      </c>
      <c r="BM176" s="909">
        <v>0</v>
      </c>
      <c r="BN176" s="909">
        <v>0</v>
      </c>
      <c r="BO176" s="910">
        <v>17201.070949391407</v>
      </c>
      <c r="BP176" s="909">
        <v>0</v>
      </c>
      <c r="BQ176" s="909">
        <v>0</v>
      </c>
      <c r="BR176" s="909">
        <v>0</v>
      </c>
      <c r="BS176" s="910">
        <v>19446.1027201822</v>
      </c>
      <c r="BT176" s="871">
        <v>4000</v>
      </c>
      <c r="BU176" s="911">
        <v>111.421819447318</v>
      </c>
      <c r="BV176" s="908">
        <v>1.7584000000000002</v>
      </c>
      <c r="BW176" s="902">
        <v>17.315768520386936</v>
      </c>
      <c r="BX176" s="902">
        <v>0</v>
      </c>
      <c r="BY176" s="902">
        <v>0</v>
      </c>
      <c r="BZ176" s="902">
        <v>12.776684144809099</v>
      </c>
      <c r="CA176" s="902">
        <v>0.44323601338843888</v>
      </c>
      <c r="CB176" s="902">
        <v>3600</v>
      </c>
      <c r="CC176" s="909" t="s">
        <v>2874</v>
      </c>
      <c r="CD176" s="909">
        <v>2</v>
      </c>
      <c r="CE176" s="909">
        <v>0</v>
      </c>
      <c r="CF176" s="909">
        <v>0</v>
      </c>
      <c r="CG176" s="909">
        <v>0</v>
      </c>
      <c r="CH176" s="910">
        <v>11661.777949432806</v>
      </c>
      <c r="CI176" s="909">
        <v>0</v>
      </c>
      <c r="CJ176" s="909">
        <v>0</v>
      </c>
      <c r="CK176" s="909">
        <v>0</v>
      </c>
      <c r="CL176" s="910">
        <v>11439.714495595901</v>
      </c>
      <c r="CM176" s="871">
        <v>4000</v>
      </c>
      <c r="CN176" s="911">
        <v>111.421819447318</v>
      </c>
      <c r="CO176" s="908">
        <v>1.7584000000000002</v>
      </c>
      <c r="CP176" s="902">
        <v>17.315768520386936</v>
      </c>
      <c r="CQ176" s="902">
        <v>0</v>
      </c>
      <c r="CR176" s="902">
        <v>0</v>
      </c>
      <c r="CS176" s="902">
        <v>12.776684144809099</v>
      </c>
      <c r="CT176" s="902">
        <v>0.44323601338843888</v>
      </c>
      <c r="CU176" s="902">
        <v>3600</v>
      </c>
      <c r="CV176" s="909" t="s">
        <v>2874</v>
      </c>
      <c r="CW176" s="909">
        <v>2</v>
      </c>
      <c r="CX176" s="909">
        <v>0</v>
      </c>
      <c r="CY176" s="909">
        <v>0</v>
      </c>
      <c r="CZ176" s="909">
        <v>0</v>
      </c>
      <c r="DA176" s="910">
        <v>11661.777949432806</v>
      </c>
      <c r="DB176" s="909">
        <v>0</v>
      </c>
      <c r="DC176" s="909">
        <v>0</v>
      </c>
      <c r="DD176" s="909">
        <v>0</v>
      </c>
      <c r="DE176" s="910">
        <v>11439.714495595901</v>
      </c>
      <c r="DF176" s="871">
        <v>4000</v>
      </c>
      <c r="DG176" s="911">
        <v>111.421819447318</v>
      </c>
      <c r="DH176" s="908">
        <v>1.7584000000000002</v>
      </c>
      <c r="DI176" s="902">
        <v>17.315768520386936</v>
      </c>
      <c r="DJ176" s="902">
        <v>0</v>
      </c>
      <c r="DK176" s="902">
        <v>0</v>
      </c>
      <c r="DL176" s="902">
        <v>12.776684144809099</v>
      </c>
      <c r="DM176" s="902">
        <v>0.44323601338843888</v>
      </c>
      <c r="DN176" s="902">
        <v>3600</v>
      </c>
      <c r="DO176" s="909" t="s">
        <v>2876</v>
      </c>
      <c r="DP176" s="909">
        <v>2</v>
      </c>
      <c r="DQ176" s="909">
        <v>0</v>
      </c>
      <c r="DR176" s="909">
        <v>0</v>
      </c>
      <c r="DS176" s="909">
        <v>0</v>
      </c>
      <c r="DT176" s="910">
        <v>12466.965030689167</v>
      </c>
      <c r="DU176" s="909">
        <v>0</v>
      </c>
      <c r="DV176" s="909">
        <v>0</v>
      </c>
      <c r="DW176" s="909">
        <v>0</v>
      </c>
      <c r="DX176" s="910">
        <v>12229.569212866028</v>
      </c>
      <c r="DY176" s="871">
        <v>4000</v>
      </c>
      <c r="DZ176" s="911">
        <v>111.421819447318</v>
      </c>
      <c r="EA176" s="908">
        <v>1.7584000000000002</v>
      </c>
      <c r="EB176" s="902">
        <v>17.315768520386936</v>
      </c>
      <c r="EC176" s="902">
        <v>0</v>
      </c>
      <c r="ED176" s="902">
        <v>0</v>
      </c>
      <c r="EE176" s="902">
        <v>12.776684144809099</v>
      </c>
      <c r="EF176" s="902">
        <v>0.44323601338843888</v>
      </c>
      <c r="EG176" s="902">
        <v>3600</v>
      </c>
      <c r="EH176" s="909" t="s">
        <v>2876</v>
      </c>
      <c r="EI176" s="909">
        <v>2</v>
      </c>
      <c r="EJ176" s="909">
        <v>0</v>
      </c>
      <c r="EK176" s="909">
        <v>0</v>
      </c>
      <c r="EL176" s="909">
        <v>0</v>
      </c>
      <c r="EM176" s="910">
        <v>12466.965030689167</v>
      </c>
      <c r="EN176" s="909">
        <v>0</v>
      </c>
      <c r="EO176" s="909">
        <v>0</v>
      </c>
      <c r="EP176" s="909">
        <v>0</v>
      </c>
      <c r="EQ176" s="910">
        <v>12229.569212866028</v>
      </c>
      <c r="ER176" s="871">
        <v>4000</v>
      </c>
      <c r="ES176" s="911">
        <v>111.421819447318</v>
      </c>
      <c r="ET176" s="908">
        <v>1.7584000000000002</v>
      </c>
      <c r="EU176" s="902">
        <v>17.315768520386936</v>
      </c>
      <c r="EV176" s="902">
        <v>0</v>
      </c>
      <c r="EW176" s="902">
        <v>0</v>
      </c>
      <c r="EX176" s="902">
        <v>12.776684144809099</v>
      </c>
      <c r="EY176" s="902">
        <v>0.44323601338843888</v>
      </c>
      <c r="EZ176" s="902">
        <v>3600</v>
      </c>
      <c r="FA176" s="909" t="s">
        <v>3889</v>
      </c>
      <c r="FB176" s="909">
        <v>2</v>
      </c>
      <c r="FC176" s="909">
        <v>0</v>
      </c>
      <c r="FD176" s="909">
        <v>0</v>
      </c>
      <c r="FE176" s="909">
        <v>0</v>
      </c>
      <c r="FF176" s="910">
        <v>12724.042902628709</v>
      </c>
      <c r="FG176" s="909">
        <v>0</v>
      </c>
      <c r="FH176" s="909">
        <v>0</v>
      </c>
      <c r="FI176" s="909">
        <v>0</v>
      </c>
      <c r="FJ176" s="910">
        <v>12481.751810654991</v>
      </c>
      <c r="FK176" s="871">
        <v>4000</v>
      </c>
      <c r="FL176" s="911">
        <v>111.421819447318</v>
      </c>
      <c r="FM176" s="908">
        <v>1.7584000000000002</v>
      </c>
      <c r="FN176" s="902">
        <v>17.315768520386936</v>
      </c>
      <c r="FO176" s="902">
        <v>0</v>
      </c>
      <c r="FP176" s="902">
        <v>0</v>
      </c>
      <c r="FQ176" s="902">
        <v>12.776684144809099</v>
      </c>
      <c r="FR176" s="902">
        <v>0.44323601338843888</v>
      </c>
      <c r="FS176" s="902">
        <v>3600</v>
      </c>
      <c r="FT176" s="909" t="s">
        <v>3889</v>
      </c>
      <c r="FU176" s="909">
        <v>2</v>
      </c>
      <c r="FV176" s="909">
        <v>0</v>
      </c>
      <c r="FW176" s="909">
        <v>0</v>
      </c>
      <c r="FX176" s="909">
        <v>0</v>
      </c>
      <c r="FY176" s="910">
        <v>12724.042902628709</v>
      </c>
      <c r="FZ176" s="909">
        <v>0</v>
      </c>
      <c r="GA176" s="909">
        <v>0</v>
      </c>
      <c r="GB176" s="909">
        <v>0</v>
      </c>
      <c r="GC176" s="910">
        <v>12481.751810654991</v>
      </c>
      <c r="GD176" s="871">
        <v>4000</v>
      </c>
      <c r="GE176" s="911">
        <v>111.421819447318</v>
      </c>
      <c r="GF176" s="908">
        <v>1.7584000000000002</v>
      </c>
      <c r="GG176" s="902">
        <v>17.315768520386936</v>
      </c>
      <c r="GH176" s="902">
        <v>0</v>
      </c>
      <c r="GI176" s="902">
        <v>0</v>
      </c>
      <c r="GJ176" s="902">
        <v>12.776684144809099</v>
      </c>
      <c r="GK176" s="902">
        <v>0.44323601338843888</v>
      </c>
      <c r="GL176" s="902">
        <v>3600</v>
      </c>
      <c r="GM176" s="909" t="s">
        <v>2877</v>
      </c>
      <c r="GN176" s="909">
        <v>2</v>
      </c>
      <c r="GO176" s="909">
        <v>0</v>
      </c>
      <c r="GP176" s="909">
        <v>0</v>
      </c>
      <c r="GQ176" s="909">
        <v>0</v>
      </c>
      <c r="GR176" s="910">
        <v>17071.094927341612</v>
      </c>
      <c r="GS176" s="909">
        <v>0</v>
      </c>
      <c r="GT176" s="909">
        <v>0</v>
      </c>
      <c r="GU176" s="909">
        <v>0</v>
      </c>
      <c r="GV176" s="910">
        <v>16746.027316126554</v>
      </c>
      <c r="GW176" s="871">
        <v>4000</v>
      </c>
      <c r="GX176" s="911">
        <v>111.421819447318</v>
      </c>
      <c r="GY176" s="908">
        <v>1.7584000000000002</v>
      </c>
      <c r="GZ176" s="902">
        <v>17.315768520386936</v>
      </c>
      <c r="HA176" s="902">
        <v>0</v>
      </c>
      <c r="HB176" s="902">
        <v>0</v>
      </c>
      <c r="HC176" s="902">
        <v>12.776684144809099</v>
      </c>
      <c r="HD176" s="902">
        <v>0.44323601338843888</v>
      </c>
      <c r="HE176" s="902">
        <v>3600</v>
      </c>
      <c r="HF176" s="909" t="s">
        <v>2877</v>
      </c>
      <c r="HG176" s="909">
        <v>2</v>
      </c>
      <c r="HH176" s="909">
        <v>0</v>
      </c>
      <c r="HI176" s="909">
        <v>0</v>
      </c>
      <c r="HJ176" s="909">
        <v>0</v>
      </c>
      <c r="HK176" s="910">
        <v>17071.094927341612</v>
      </c>
      <c r="HL176" s="909">
        <v>0</v>
      </c>
      <c r="HM176" s="909">
        <v>0</v>
      </c>
      <c r="HN176" s="909">
        <v>0</v>
      </c>
      <c r="HO176" s="910">
        <v>16746.027316126554</v>
      </c>
      <c r="HP176" s="871">
        <v>4000</v>
      </c>
      <c r="HQ176" s="911">
        <v>111.421819447318</v>
      </c>
      <c r="HR176" s="908">
        <v>1.7584000000000002</v>
      </c>
      <c r="HS176" s="902">
        <v>17.315768520386936</v>
      </c>
      <c r="HT176" s="902">
        <v>0</v>
      </c>
      <c r="HU176" s="902">
        <v>0</v>
      </c>
      <c r="HV176" s="902">
        <v>12.776684144809099</v>
      </c>
      <c r="HW176" s="902">
        <v>0.44323601338843888</v>
      </c>
      <c r="HX176" s="902">
        <v>3600</v>
      </c>
      <c r="HY176" s="909" t="s">
        <v>1063</v>
      </c>
      <c r="HZ176" s="909">
        <v>2</v>
      </c>
      <c r="IA176" s="909">
        <v>0</v>
      </c>
      <c r="IB176" s="909">
        <v>0</v>
      </c>
      <c r="IC176" s="909">
        <v>0</v>
      </c>
      <c r="ID176" s="910">
        <v>15055.290595130613</v>
      </c>
      <c r="IE176" s="909">
        <v>0</v>
      </c>
      <c r="IF176" s="909">
        <v>0</v>
      </c>
      <c r="IG176" s="909">
        <v>0</v>
      </c>
      <c r="IH176" s="910">
        <v>14768.607908936838</v>
      </c>
      <c r="II176" s="871">
        <v>4000</v>
      </c>
      <c r="IJ176" s="911">
        <v>111.421819447318</v>
      </c>
      <c r="IK176" s="908">
        <v>1.7584000000000002</v>
      </c>
      <c r="IL176" s="902">
        <v>17.315768520386936</v>
      </c>
      <c r="IM176" s="902">
        <v>0</v>
      </c>
      <c r="IN176" s="902">
        <v>0</v>
      </c>
      <c r="IO176" s="902">
        <v>12.776684144809099</v>
      </c>
      <c r="IP176" s="902">
        <v>0.44323601338843888</v>
      </c>
      <c r="IQ176" s="902">
        <v>3600</v>
      </c>
      <c r="IR176" s="909" t="s">
        <v>1063</v>
      </c>
      <c r="IS176" s="909">
        <v>2</v>
      </c>
      <c r="IT176" s="909">
        <v>0</v>
      </c>
      <c r="IU176" s="909">
        <v>0</v>
      </c>
      <c r="IV176" s="909">
        <v>0</v>
      </c>
      <c r="IW176" s="910">
        <v>15055.290595130613</v>
      </c>
      <c r="IX176" s="909">
        <v>0</v>
      </c>
      <c r="IY176" s="909">
        <v>0</v>
      </c>
      <c r="IZ176" s="909">
        <v>0</v>
      </c>
      <c r="JA176" s="910">
        <v>14768.607908936838</v>
      </c>
      <c r="JB176" s="871">
        <v>4000</v>
      </c>
      <c r="JC176" s="911">
        <v>111.421819447318</v>
      </c>
      <c r="JD176" s="908">
        <v>1.7584000000000002</v>
      </c>
      <c r="JE176" s="902">
        <v>17.315768520386936</v>
      </c>
      <c r="JF176" s="902">
        <v>0</v>
      </c>
      <c r="JG176" s="902">
        <v>0</v>
      </c>
      <c r="JH176" s="902">
        <v>12.776684144809099</v>
      </c>
      <c r="JI176" s="902">
        <v>0.44323601338843888</v>
      </c>
      <c r="JJ176" s="902">
        <v>3600</v>
      </c>
      <c r="JK176" s="909" t="s">
        <v>1064</v>
      </c>
      <c r="JL176" s="909">
        <v>2</v>
      </c>
      <c r="JM176" s="909">
        <v>0</v>
      </c>
      <c r="JN176" s="909">
        <v>0</v>
      </c>
      <c r="JO176" s="909">
        <v>0</v>
      </c>
      <c r="JP176" s="910">
        <v>20516.902696280002</v>
      </c>
      <c r="JQ176" s="909">
        <v>0</v>
      </c>
      <c r="JR176" s="909">
        <v>0</v>
      </c>
      <c r="JS176" s="909">
        <v>0</v>
      </c>
      <c r="JT176" s="910">
        <v>20126.220049558422</v>
      </c>
      <c r="JU176" s="871">
        <v>4000</v>
      </c>
      <c r="JV176" s="911">
        <v>111.421819447318</v>
      </c>
      <c r="JW176" s="908">
        <v>1.7584000000000002</v>
      </c>
      <c r="JX176" s="902">
        <v>17.315768520386936</v>
      </c>
      <c r="JY176" s="902">
        <v>0</v>
      </c>
      <c r="JZ176" s="902">
        <v>0</v>
      </c>
      <c r="KA176" s="902">
        <v>12.776684144809099</v>
      </c>
      <c r="KB176" s="902">
        <v>0.44323601338843888</v>
      </c>
      <c r="KC176" s="902">
        <v>3600</v>
      </c>
      <c r="KD176" s="909" t="s">
        <v>1064</v>
      </c>
      <c r="KE176" s="909">
        <v>2</v>
      </c>
      <c r="KF176" s="909">
        <v>0</v>
      </c>
      <c r="KG176" s="909">
        <v>0</v>
      </c>
      <c r="KH176" s="909">
        <v>0</v>
      </c>
      <c r="KI176" s="910">
        <v>20516.902696280002</v>
      </c>
      <c r="KJ176" s="909">
        <v>0</v>
      </c>
      <c r="KK176" s="909">
        <v>0</v>
      </c>
      <c r="KL176" s="909">
        <v>0</v>
      </c>
      <c r="KM176" s="910">
        <v>20126.220049558422</v>
      </c>
      <c r="KN176" s="871">
        <v>4000</v>
      </c>
      <c r="KO176" s="912">
        <v>111.421819447318</v>
      </c>
    </row>
    <row r="177" spans="1:301" ht="15" customHeight="1">
      <c r="A177" s="924" t="s">
        <v>1625</v>
      </c>
      <c r="B177" s="888" t="s">
        <v>1073</v>
      </c>
      <c r="C177" s="888">
        <v>190</v>
      </c>
      <c r="D177" s="888">
        <v>532</v>
      </c>
      <c r="E177" s="888">
        <v>166</v>
      </c>
      <c r="F177" s="888">
        <v>190</v>
      </c>
      <c r="G177" s="888">
        <v>49</v>
      </c>
      <c r="H177" s="888">
        <v>35</v>
      </c>
      <c r="I177" s="888">
        <v>35</v>
      </c>
      <c r="J177" s="888">
        <v>33.6</v>
      </c>
      <c r="K177" s="888">
        <v>68.510000000000005</v>
      </c>
      <c r="L177" s="888">
        <v>16</v>
      </c>
      <c r="M177" s="888">
        <v>200</v>
      </c>
      <c r="N177" s="888">
        <v>2</v>
      </c>
      <c r="O177" s="884">
        <v>3.1501123387070633</v>
      </c>
      <c r="P177" s="888">
        <v>2</v>
      </c>
      <c r="Q177" s="884">
        <v>1.9725775395145158</v>
      </c>
      <c r="R177" s="888">
        <v>13.000000000000002</v>
      </c>
      <c r="S177" s="888">
        <v>350.7873829004522</v>
      </c>
      <c r="T177" s="906">
        <v>9.8625863589802591</v>
      </c>
      <c r="U177" s="906">
        <v>52.618107435067827</v>
      </c>
      <c r="V177" s="906">
        <v>47.5</v>
      </c>
      <c r="W177" s="1141">
        <v>0.60811379833616264</v>
      </c>
      <c r="X177" s="902">
        <v>0</v>
      </c>
      <c r="Y177" s="902">
        <v>0</v>
      </c>
      <c r="Z177" s="902">
        <v>0</v>
      </c>
      <c r="AA177" s="902">
        <v>0</v>
      </c>
      <c r="AB177" s="970">
        <v>0.87598107456177721</v>
      </c>
      <c r="AC177" s="1045">
        <v>4000</v>
      </c>
      <c r="AD177" s="890">
        <v>2.2654032689343317</v>
      </c>
      <c r="AE177" s="890">
        <v>0.66439841151314039</v>
      </c>
      <c r="AF177" s="890">
        <v>-0.1585089220046185</v>
      </c>
      <c r="AG177" s="890">
        <v>0.97745245328552666</v>
      </c>
      <c r="AH177" s="888"/>
      <c r="AI177" s="907">
        <v>1.0564403717923021</v>
      </c>
      <c r="AJ177" s="908">
        <v>2.6376000000000004</v>
      </c>
      <c r="AK177" s="902">
        <v>18.230990035537999</v>
      </c>
      <c r="AL177" s="902">
        <v>0</v>
      </c>
      <c r="AM177" s="902">
        <v>0</v>
      </c>
      <c r="AN177" s="902">
        <v>12.996223626706916</v>
      </c>
      <c r="AO177" s="902">
        <v>0.47933852713843206</v>
      </c>
      <c r="AP177" s="1222">
        <v>3600</v>
      </c>
      <c r="AQ177" s="909" t="s">
        <v>1062</v>
      </c>
      <c r="AR177" s="909">
        <v>3</v>
      </c>
      <c r="AS177" s="909">
        <v>0</v>
      </c>
      <c r="AT177" s="909">
        <v>0</v>
      </c>
      <c r="AU177" s="909">
        <v>0</v>
      </c>
      <c r="AV177" s="910">
        <v>15502.309260006175</v>
      </c>
      <c r="AW177" s="909">
        <v>0</v>
      </c>
      <c r="AX177" s="909">
        <v>0</v>
      </c>
      <c r="AY177" s="909">
        <v>0</v>
      </c>
      <c r="AZ177" s="910">
        <v>12491.172664853473</v>
      </c>
      <c r="BA177" s="871">
        <v>4000</v>
      </c>
      <c r="BB177" s="911">
        <v>111.421819447318</v>
      </c>
      <c r="BC177" s="908">
        <v>2.6376000000000004</v>
      </c>
      <c r="BD177" s="902">
        <v>18.230990035537999</v>
      </c>
      <c r="BE177" s="902">
        <v>0</v>
      </c>
      <c r="BF177" s="902">
        <v>0</v>
      </c>
      <c r="BG177" s="902">
        <v>12.996223626706916</v>
      </c>
      <c r="BH177" s="902">
        <v>0.47933852713843206</v>
      </c>
      <c r="BI177" s="902">
        <v>3600</v>
      </c>
      <c r="BJ177" s="909" t="s">
        <v>1062</v>
      </c>
      <c r="BK177" s="909">
        <v>3</v>
      </c>
      <c r="BL177" s="909">
        <v>0</v>
      </c>
      <c r="BM177" s="909">
        <v>0</v>
      </c>
      <c r="BN177" s="909">
        <v>0</v>
      </c>
      <c r="BO177" s="910">
        <v>15502.309260006175</v>
      </c>
      <c r="BP177" s="909">
        <v>0</v>
      </c>
      <c r="BQ177" s="909">
        <v>0</v>
      </c>
      <c r="BR177" s="909">
        <v>0</v>
      </c>
      <c r="BS177" s="910">
        <v>12491.172664853473</v>
      </c>
      <c r="BT177" s="871">
        <v>4000</v>
      </c>
      <c r="BU177" s="911">
        <v>111.421819447318</v>
      </c>
      <c r="BV177" s="908">
        <v>1.7584000000000002</v>
      </c>
      <c r="BW177" s="902">
        <v>17.351790035538002</v>
      </c>
      <c r="BX177" s="902">
        <v>0</v>
      </c>
      <c r="BY177" s="902">
        <v>0</v>
      </c>
      <c r="BZ177" s="902">
        <v>12.768021223422329</v>
      </c>
      <c r="CA177" s="902">
        <v>0.44426679953843207</v>
      </c>
      <c r="CB177" s="902">
        <v>3600</v>
      </c>
      <c r="CC177" s="909" t="s">
        <v>2874</v>
      </c>
      <c r="CD177" s="909">
        <v>2</v>
      </c>
      <c r="CE177" s="909">
        <v>0</v>
      </c>
      <c r="CF177" s="909">
        <v>0</v>
      </c>
      <c r="CG177" s="909">
        <v>0</v>
      </c>
      <c r="CH177" s="910">
        <v>11699.966589578862</v>
      </c>
      <c r="CI177" s="909">
        <v>0</v>
      </c>
      <c r="CJ177" s="909">
        <v>0</v>
      </c>
      <c r="CK177" s="909">
        <v>0</v>
      </c>
      <c r="CL177" s="910">
        <v>7803.4665277645381</v>
      </c>
      <c r="CM177" s="871">
        <v>4000</v>
      </c>
      <c r="CN177" s="911">
        <v>111.421819447318</v>
      </c>
      <c r="CO177" s="908">
        <v>1.7584000000000002</v>
      </c>
      <c r="CP177" s="902">
        <v>17.351790035538002</v>
      </c>
      <c r="CQ177" s="902">
        <v>0</v>
      </c>
      <c r="CR177" s="902">
        <v>0</v>
      </c>
      <c r="CS177" s="902">
        <v>12.768021223422329</v>
      </c>
      <c r="CT177" s="902">
        <v>0.44426679953843207</v>
      </c>
      <c r="CU177" s="902">
        <v>3600</v>
      </c>
      <c r="CV177" s="909" t="s">
        <v>2874</v>
      </c>
      <c r="CW177" s="909">
        <v>2</v>
      </c>
      <c r="CX177" s="909">
        <v>0</v>
      </c>
      <c r="CY177" s="909">
        <v>0</v>
      </c>
      <c r="CZ177" s="909">
        <v>0</v>
      </c>
      <c r="DA177" s="910">
        <v>11699.966589578862</v>
      </c>
      <c r="DB177" s="909">
        <v>0</v>
      </c>
      <c r="DC177" s="909">
        <v>0</v>
      </c>
      <c r="DD177" s="909">
        <v>0</v>
      </c>
      <c r="DE177" s="910">
        <v>7803.4665277645381</v>
      </c>
      <c r="DF177" s="871">
        <v>4000</v>
      </c>
      <c r="DG177" s="911">
        <v>111.421819447318</v>
      </c>
      <c r="DH177" s="908">
        <v>1.7584000000000002</v>
      </c>
      <c r="DI177" s="902">
        <v>17.351790035538002</v>
      </c>
      <c r="DJ177" s="902">
        <v>0</v>
      </c>
      <c r="DK177" s="902">
        <v>0</v>
      </c>
      <c r="DL177" s="902">
        <v>12.768021223422329</v>
      </c>
      <c r="DM177" s="902">
        <v>0.44426679953843207</v>
      </c>
      <c r="DN177" s="902">
        <v>3600</v>
      </c>
      <c r="DO177" s="909" t="s">
        <v>2876</v>
      </c>
      <c r="DP177" s="909">
        <v>2</v>
      </c>
      <c r="DQ177" s="909">
        <v>0</v>
      </c>
      <c r="DR177" s="909">
        <v>0</v>
      </c>
      <c r="DS177" s="909">
        <v>0</v>
      </c>
      <c r="DT177" s="910">
        <v>12507.790404258654</v>
      </c>
      <c r="DU177" s="909">
        <v>0</v>
      </c>
      <c r="DV177" s="909">
        <v>0</v>
      </c>
      <c r="DW177" s="909">
        <v>0</v>
      </c>
      <c r="DX177" s="910">
        <v>8342.2566217295298</v>
      </c>
      <c r="DY177" s="871">
        <v>4000</v>
      </c>
      <c r="DZ177" s="911">
        <v>111.421819447318</v>
      </c>
      <c r="EA177" s="908">
        <v>1.7584000000000002</v>
      </c>
      <c r="EB177" s="902">
        <v>17.351790035538002</v>
      </c>
      <c r="EC177" s="902">
        <v>0</v>
      </c>
      <c r="ED177" s="902">
        <v>0</v>
      </c>
      <c r="EE177" s="902">
        <v>12.768021223422329</v>
      </c>
      <c r="EF177" s="902">
        <v>0.44426679953843207</v>
      </c>
      <c r="EG177" s="902">
        <v>3600</v>
      </c>
      <c r="EH177" s="909" t="s">
        <v>2876</v>
      </c>
      <c r="EI177" s="909">
        <v>2</v>
      </c>
      <c r="EJ177" s="909">
        <v>0</v>
      </c>
      <c r="EK177" s="909">
        <v>0</v>
      </c>
      <c r="EL177" s="909">
        <v>0</v>
      </c>
      <c r="EM177" s="910">
        <v>12507.790404258654</v>
      </c>
      <c r="EN177" s="909">
        <v>0</v>
      </c>
      <c r="EO177" s="909">
        <v>0</v>
      </c>
      <c r="EP177" s="909">
        <v>0</v>
      </c>
      <c r="EQ177" s="910">
        <v>8342.2566217295298</v>
      </c>
      <c r="ER177" s="871">
        <v>4000</v>
      </c>
      <c r="ES177" s="911">
        <v>111.421819447318</v>
      </c>
      <c r="ET177" s="908">
        <v>1.7584000000000002</v>
      </c>
      <c r="EU177" s="902">
        <v>17.351790035538002</v>
      </c>
      <c r="EV177" s="902">
        <v>0</v>
      </c>
      <c r="EW177" s="902">
        <v>0</v>
      </c>
      <c r="EX177" s="902">
        <v>12.768021223422329</v>
      </c>
      <c r="EY177" s="902">
        <v>0.44426679953843207</v>
      </c>
      <c r="EZ177" s="902">
        <v>3600</v>
      </c>
      <c r="FA177" s="909" t="s">
        <v>3889</v>
      </c>
      <c r="FB177" s="909">
        <v>2</v>
      </c>
      <c r="FC177" s="909">
        <v>0</v>
      </c>
      <c r="FD177" s="909">
        <v>0</v>
      </c>
      <c r="FE177" s="909">
        <v>0</v>
      </c>
      <c r="FF177" s="910">
        <v>12765.710125046886</v>
      </c>
      <c r="FG177" s="909">
        <v>0</v>
      </c>
      <c r="FH177" s="909">
        <v>0</v>
      </c>
      <c r="FI177" s="909">
        <v>0</v>
      </c>
      <c r="FJ177" s="910">
        <v>8514.2800110798089</v>
      </c>
      <c r="FK177" s="871">
        <v>4000</v>
      </c>
      <c r="FL177" s="911">
        <v>111.421819447318</v>
      </c>
      <c r="FM177" s="908">
        <v>1.7584000000000002</v>
      </c>
      <c r="FN177" s="902">
        <v>17.351790035538002</v>
      </c>
      <c r="FO177" s="902">
        <v>0</v>
      </c>
      <c r="FP177" s="902">
        <v>0</v>
      </c>
      <c r="FQ177" s="902">
        <v>12.768021223422329</v>
      </c>
      <c r="FR177" s="902">
        <v>0.44426679953843207</v>
      </c>
      <c r="FS177" s="902">
        <v>3600</v>
      </c>
      <c r="FT177" s="909" t="s">
        <v>3889</v>
      </c>
      <c r="FU177" s="909">
        <v>2</v>
      </c>
      <c r="FV177" s="909">
        <v>0</v>
      </c>
      <c r="FW177" s="909">
        <v>0</v>
      </c>
      <c r="FX177" s="909">
        <v>0</v>
      </c>
      <c r="FY177" s="910">
        <v>12765.710125046886</v>
      </c>
      <c r="FZ177" s="909">
        <v>0</v>
      </c>
      <c r="GA177" s="909">
        <v>0</v>
      </c>
      <c r="GB177" s="909">
        <v>0</v>
      </c>
      <c r="GC177" s="910">
        <v>8514.2800110798089</v>
      </c>
      <c r="GD177" s="871">
        <v>4000</v>
      </c>
      <c r="GE177" s="911">
        <v>111.421819447318</v>
      </c>
      <c r="GF177" s="908">
        <v>1.7584000000000002</v>
      </c>
      <c r="GG177" s="902">
        <v>17.351790035538002</v>
      </c>
      <c r="GH177" s="902">
        <v>0</v>
      </c>
      <c r="GI177" s="902">
        <v>0</v>
      </c>
      <c r="GJ177" s="902">
        <v>12.768021223422329</v>
      </c>
      <c r="GK177" s="902">
        <v>0.44426679953843207</v>
      </c>
      <c r="GL177" s="902">
        <v>3600</v>
      </c>
      <c r="GM177" s="909" t="s">
        <v>2877</v>
      </c>
      <c r="GN177" s="909">
        <v>2</v>
      </c>
      <c r="GO177" s="909">
        <v>0</v>
      </c>
      <c r="GP177" s="909">
        <v>0</v>
      </c>
      <c r="GQ177" s="909">
        <v>0</v>
      </c>
      <c r="GR177" s="910">
        <v>17126.997372398124</v>
      </c>
      <c r="GS177" s="909">
        <v>0</v>
      </c>
      <c r="GT177" s="909">
        <v>0</v>
      </c>
      <c r="GU177" s="909">
        <v>0</v>
      </c>
      <c r="GV177" s="910">
        <v>11423.105330545275</v>
      </c>
      <c r="GW177" s="871">
        <v>4000</v>
      </c>
      <c r="GX177" s="911">
        <v>111.421819447318</v>
      </c>
      <c r="GY177" s="908">
        <v>1.7584000000000002</v>
      </c>
      <c r="GZ177" s="902">
        <v>17.351790035538002</v>
      </c>
      <c r="HA177" s="902">
        <v>0</v>
      </c>
      <c r="HB177" s="902">
        <v>0</v>
      </c>
      <c r="HC177" s="902">
        <v>12.768021223422329</v>
      </c>
      <c r="HD177" s="902">
        <v>0.44426679953843207</v>
      </c>
      <c r="HE177" s="902">
        <v>3600</v>
      </c>
      <c r="HF177" s="909" t="s">
        <v>2877</v>
      </c>
      <c r="HG177" s="909">
        <v>2</v>
      </c>
      <c r="HH177" s="909">
        <v>0</v>
      </c>
      <c r="HI177" s="909">
        <v>0</v>
      </c>
      <c r="HJ177" s="909">
        <v>0</v>
      </c>
      <c r="HK177" s="910">
        <v>17126.997372398124</v>
      </c>
      <c r="HL177" s="909">
        <v>0</v>
      </c>
      <c r="HM177" s="909">
        <v>0</v>
      </c>
      <c r="HN177" s="909">
        <v>0</v>
      </c>
      <c r="HO177" s="910">
        <v>11423.105330545275</v>
      </c>
      <c r="HP177" s="871">
        <v>4000</v>
      </c>
      <c r="HQ177" s="911">
        <v>111.421819447318</v>
      </c>
      <c r="HR177" s="908">
        <v>1.7584000000000002</v>
      </c>
      <c r="HS177" s="902">
        <v>17.351790035538002</v>
      </c>
      <c r="HT177" s="902">
        <v>0</v>
      </c>
      <c r="HU177" s="902">
        <v>0</v>
      </c>
      <c r="HV177" s="902">
        <v>12.768021223422329</v>
      </c>
      <c r="HW177" s="902">
        <v>0.44426679953843207</v>
      </c>
      <c r="HX177" s="902">
        <v>3600</v>
      </c>
      <c r="HY177" s="909" t="s">
        <v>1063</v>
      </c>
      <c r="HZ177" s="909">
        <v>2</v>
      </c>
      <c r="IA177" s="909">
        <v>0</v>
      </c>
      <c r="IB177" s="909">
        <v>0</v>
      </c>
      <c r="IC177" s="909">
        <v>0</v>
      </c>
      <c r="ID177" s="910">
        <v>15104.591917540711</v>
      </c>
      <c r="IE177" s="909">
        <v>0</v>
      </c>
      <c r="IF177" s="909">
        <v>0</v>
      </c>
      <c r="IG177" s="909">
        <v>0</v>
      </c>
      <c r="IH177" s="910">
        <v>10074.231968238439</v>
      </c>
      <c r="II177" s="871">
        <v>4000</v>
      </c>
      <c r="IJ177" s="911">
        <v>111.421819447318</v>
      </c>
      <c r="IK177" s="908">
        <v>1.7584000000000002</v>
      </c>
      <c r="IL177" s="902">
        <v>17.351790035538002</v>
      </c>
      <c r="IM177" s="902">
        <v>0</v>
      </c>
      <c r="IN177" s="902">
        <v>0</v>
      </c>
      <c r="IO177" s="902">
        <v>12.768021223422329</v>
      </c>
      <c r="IP177" s="902">
        <v>0.44426679953843207</v>
      </c>
      <c r="IQ177" s="902">
        <v>3600</v>
      </c>
      <c r="IR177" s="909" t="s">
        <v>1063</v>
      </c>
      <c r="IS177" s="909">
        <v>2</v>
      </c>
      <c r="IT177" s="909">
        <v>0</v>
      </c>
      <c r="IU177" s="909">
        <v>0</v>
      </c>
      <c r="IV177" s="909">
        <v>0</v>
      </c>
      <c r="IW177" s="910">
        <v>15104.591917540711</v>
      </c>
      <c r="IX177" s="909">
        <v>0</v>
      </c>
      <c r="IY177" s="909">
        <v>0</v>
      </c>
      <c r="IZ177" s="909">
        <v>0</v>
      </c>
      <c r="JA177" s="910">
        <v>10074.231968238439</v>
      </c>
      <c r="JB177" s="871">
        <v>4000</v>
      </c>
      <c r="JC177" s="911">
        <v>111.421819447318</v>
      </c>
      <c r="JD177" s="908">
        <v>1.7584000000000002</v>
      </c>
      <c r="JE177" s="902">
        <v>17.351790035538002</v>
      </c>
      <c r="JF177" s="902">
        <v>0</v>
      </c>
      <c r="JG177" s="902">
        <v>0</v>
      </c>
      <c r="JH177" s="902">
        <v>12.768021223422329</v>
      </c>
      <c r="JI177" s="902">
        <v>0.44426679953843207</v>
      </c>
      <c r="JJ177" s="902">
        <v>3600</v>
      </c>
      <c r="JK177" s="909" t="s">
        <v>1064</v>
      </c>
      <c r="JL177" s="909">
        <v>2</v>
      </c>
      <c r="JM177" s="909">
        <v>0</v>
      </c>
      <c r="JN177" s="909">
        <v>0</v>
      </c>
      <c r="JO177" s="909">
        <v>0</v>
      </c>
      <c r="JP177" s="910">
        <v>20584.089073638159</v>
      </c>
      <c r="JQ177" s="909">
        <v>0</v>
      </c>
      <c r="JR177" s="909">
        <v>0</v>
      </c>
      <c r="JS177" s="909">
        <v>0</v>
      </c>
      <c r="JT177" s="910">
        <v>13728.863998102297</v>
      </c>
      <c r="JU177" s="871">
        <v>4000</v>
      </c>
      <c r="JV177" s="911">
        <v>111.421819447318</v>
      </c>
      <c r="JW177" s="908">
        <v>1.7584000000000002</v>
      </c>
      <c r="JX177" s="902">
        <v>17.351790035538002</v>
      </c>
      <c r="JY177" s="902">
        <v>0</v>
      </c>
      <c r="JZ177" s="902">
        <v>0</v>
      </c>
      <c r="KA177" s="902">
        <v>12.768021223422329</v>
      </c>
      <c r="KB177" s="902">
        <v>0.44426679953843207</v>
      </c>
      <c r="KC177" s="902">
        <v>3600</v>
      </c>
      <c r="KD177" s="909" t="s">
        <v>1064</v>
      </c>
      <c r="KE177" s="909">
        <v>2</v>
      </c>
      <c r="KF177" s="909">
        <v>0</v>
      </c>
      <c r="KG177" s="909">
        <v>0</v>
      </c>
      <c r="KH177" s="909">
        <v>0</v>
      </c>
      <c r="KI177" s="910">
        <v>20584.089073638159</v>
      </c>
      <c r="KJ177" s="909">
        <v>0</v>
      </c>
      <c r="KK177" s="909">
        <v>0</v>
      </c>
      <c r="KL177" s="909">
        <v>0</v>
      </c>
      <c r="KM177" s="910">
        <v>13728.863998102297</v>
      </c>
      <c r="KN177" s="871">
        <v>4000</v>
      </c>
      <c r="KO177" s="912">
        <v>111.421819447318</v>
      </c>
    </row>
    <row r="178" spans="1:301" ht="15" customHeight="1">
      <c r="A178" s="924" t="s">
        <v>1626</v>
      </c>
      <c r="B178" s="888" t="s">
        <v>1073</v>
      </c>
      <c r="C178" s="888">
        <v>226</v>
      </c>
      <c r="D178" s="888">
        <v>532</v>
      </c>
      <c r="E178" s="888">
        <v>208</v>
      </c>
      <c r="F178" s="888">
        <v>226</v>
      </c>
      <c r="G178" s="888">
        <v>48</v>
      </c>
      <c r="H178" s="888">
        <v>45</v>
      </c>
      <c r="I178" s="888">
        <v>45</v>
      </c>
      <c r="J178" s="888">
        <v>47.19</v>
      </c>
      <c r="K178" s="888">
        <v>75.069999999999993</v>
      </c>
      <c r="L178" s="888">
        <v>16</v>
      </c>
      <c r="M178" s="888">
        <v>184</v>
      </c>
      <c r="N178" s="888">
        <v>2</v>
      </c>
      <c r="O178" s="884">
        <v>2.9564208994019037</v>
      </c>
      <c r="P178" s="888">
        <v>2</v>
      </c>
      <c r="Q178" s="884">
        <v>1.7927925289083073</v>
      </c>
      <c r="R178" s="888">
        <v>13.000000000000002</v>
      </c>
      <c r="S178" s="888">
        <v>370.98787528801057</v>
      </c>
      <c r="T178" s="906">
        <v>11.031188927920613</v>
      </c>
      <c r="U178" s="906">
        <v>55.648181293201581</v>
      </c>
      <c r="V178" s="906">
        <v>60</v>
      </c>
      <c r="W178" s="1141">
        <v>0.85915990688612465</v>
      </c>
      <c r="X178" s="902">
        <v>0</v>
      </c>
      <c r="Y178" s="902">
        <v>0</v>
      </c>
      <c r="Z178" s="902">
        <v>0</v>
      </c>
      <c r="AA178" s="902">
        <v>0</v>
      </c>
      <c r="AB178" s="970">
        <v>1.1184146925530301</v>
      </c>
      <c r="AC178" s="1045">
        <v>4000</v>
      </c>
      <c r="AD178" s="890">
        <v>4.1169474993916966</v>
      </c>
      <c r="AE178" s="890">
        <v>1.0795237663458117</v>
      </c>
      <c r="AF178" s="890">
        <v>-6.0974441642271622E-2</v>
      </c>
      <c r="AG178" s="890">
        <v>0.49981945353229079</v>
      </c>
      <c r="AH178" s="888"/>
      <c r="AI178" s="907">
        <v>1.0738761260022216</v>
      </c>
      <c r="AJ178" s="908">
        <v>3.1199040000000009</v>
      </c>
      <c r="AK178" s="902">
        <v>19.759466263116952</v>
      </c>
      <c r="AL178" s="902">
        <v>0</v>
      </c>
      <c r="AM178" s="902">
        <v>0</v>
      </c>
      <c r="AN178" s="902">
        <v>15.309477200035607</v>
      </c>
      <c r="AO178" s="902">
        <v>0.53492477046197273</v>
      </c>
      <c r="AP178" s="1222">
        <v>3600</v>
      </c>
      <c r="AQ178" s="909" t="s">
        <v>1062</v>
      </c>
      <c r="AR178" s="909">
        <v>3</v>
      </c>
      <c r="AS178" s="909">
        <v>0</v>
      </c>
      <c r="AT178" s="909">
        <v>0</v>
      </c>
      <c r="AU178" s="909">
        <v>0</v>
      </c>
      <c r="AV178" s="910">
        <v>35078.869443136595</v>
      </c>
      <c r="AW178" s="909">
        <v>0</v>
      </c>
      <c r="AX178" s="909">
        <v>0</v>
      </c>
      <c r="AY178" s="909">
        <v>0</v>
      </c>
      <c r="AZ178" s="910">
        <v>78642.885497174357</v>
      </c>
      <c r="BA178" s="871">
        <v>4000</v>
      </c>
      <c r="BB178" s="911">
        <v>111.421819447318</v>
      </c>
      <c r="BC178" s="908">
        <v>3.1199040000000009</v>
      </c>
      <c r="BD178" s="902">
        <v>19.759466263116952</v>
      </c>
      <c r="BE178" s="902">
        <v>0</v>
      </c>
      <c r="BF178" s="902">
        <v>0</v>
      </c>
      <c r="BG178" s="902">
        <v>15.309477200035607</v>
      </c>
      <c r="BH178" s="902">
        <v>0.53492477046197273</v>
      </c>
      <c r="BI178" s="902">
        <v>3600</v>
      </c>
      <c r="BJ178" s="909" t="s">
        <v>1062</v>
      </c>
      <c r="BK178" s="909">
        <v>3</v>
      </c>
      <c r="BL178" s="909">
        <v>0</v>
      </c>
      <c r="BM178" s="909">
        <v>0</v>
      </c>
      <c r="BN178" s="909">
        <v>0</v>
      </c>
      <c r="BO178" s="910">
        <v>35078.869443136595</v>
      </c>
      <c r="BP178" s="909">
        <v>0</v>
      </c>
      <c r="BQ178" s="909">
        <v>0</v>
      </c>
      <c r="BR178" s="909">
        <v>0</v>
      </c>
      <c r="BS178" s="910">
        <v>78642.885497174357</v>
      </c>
      <c r="BT178" s="871">
        <v>4000</v>
      </c>
      <c r="BU178" s="911">
        <v>111.421819447318</v>
      </c>
      <c r="BV178" s="908">
        <v>2.0799360000000005</v>
      </c>
      <c r="BW178" s="902">
        <v>18.71949826311695</v>
      </c>
      <c r="BX178" s="902">
        <v>0</v>
      </c>
      <c r="BY178" s="902">
        <v>0</v>
      </c>
      <c r="BZ178" s="902">
        <v>14.910005295921215</v>
      </c>
      <c r="CA178" s="902">
        <v>0.49149310686197273</v>
      </c>
      <c r="CB178" s="902">
        <v>3600</v>
      </c>
      <c r="CC178" s="909" t="s">
        <v>2874</v>
      </c>
      <c r="CD178" s="909">
        <v>2</v>
      </c>
      <c r="CE178" s="909">
        <v>0</v>
      </c>
      <c r="CF178" s="909">
        <v>0</v>
      </c>
      <c r="CG178" s="909">
        <v>0</v>
      </c>
      <c r="CH178" s="910">
        <v>25667.72188237825</v>
      </c>
      <c r="CI178" s="909">
        <v>0</v>
      </c>
      <c r="CJ178" s="909">
        <v>0</v>
      </c>
      <c r="CK178" s="909">
        <v>0</v>
      </c>
      <c r="CL178" s="910">
        <v>27221.679082269755</v>
      </c>
      <c r="CM178" s="871">
        <v>4000</v>
      </c>
      <c r="CN178" s="911">
        <v>111.421819447318</v>
      </c>
      <c r="CO178" s="908">
        <v>2.0799360000000005</v>
      </c>
      <c r="CP178" s="902">
        <v>18.71949826311695</v>
      </c>
      <c r="CQ178" s="902">
        <v>0</v>
      </c>
      <c r="CR178" s="902">
        <v>0</v>
      </c>
      <c r="CS178" s="902">
        <v>14.910005295921215</v>
      </c>
      <c r="CT178" s="902">
        <v>0.49149310686197273</v>
      </c>
      <c r="CU178" s="902">
        <v>3600</v>
      </c>
      <c r="CV178" s="909" t="s">
        <v>2874</v>
      </c>
      <c r="CW178" s="909">
        <v>2</v>
      </c>
      <c r="CX178" s="909">
        <v>0</v>
      </c>
      <c r="CY178" s="909">
        <v>0</v>
      </c>
      <c r="CZ178" s="909">
        <v>0</v>
      </c>
      <c r="DA178" s="910">
        <v>25667.72188237825</v>
      </c>
      <c r="DB178" s="909">
        <v>0</v>
      </c>
      <c r="DC178" s="909">
        <v>0</v>
      </c>
      <c r="DD178" s="909">
        <v>0</v>
      </c>
      <c r="DE178" s="910">
        <v>27221.679082269755</v>
      </c>
      <c r="DF178" s="871">
        <v>4000</v>
      </c>
      <c r="DG178" s="911">
        <v>111.421819447318</v>
      </c>
      <c r="DH178" s="908">
        <v>2.0799360000000005</v>
      </c>
      <c r="DI178" s="902">
        <v>18.71949826311695</v>
      </c>
      <c r="DJ178" s="902">
        <v>0</v>
      </c>
      <c r="DK178" s="902">
        <v>0</v>
      </c>
      <c r="DL178" s="902">
        <v>14.910005295921215</v>
      </c>
      <c r="DM178" s="902">
        <v>0.49149310686197273</v>
      </c>
      <c r="DN178" s="902">
        <v>3600</v>
      </c>
      <c r="DO178" s="909" t="s">
        <v>2876</v>
      </c>
      <c r="DP178" s="909">
        <v>2</v>
      </c>
      <c r="DQ178" s="909">
        <v>0</v>
      </c>
      <c r="DR178" s="909">
        <v>0</v>
      </c>
      <c r="DS178" s="909">
        <v>0</v>
      </c>
      <c r="DT178" s="910">
        <v>27439.948909388495</v>
      </c>
      <c r="DU178" s="909">
        <v>0</v>
      </c>
      <c r="DV178" s="909">
        <v>0</v>
      </c>
      <c r="DW178" s="909">
        <v>0</v>
      </c>
      <c r="DX178" s="910">
        <v>29101.199033866811</v>
      </c>
      <c r="DY178" s="871">
        <v>4000</v>
      </c>
      <c r="DZ178" s="911">
        <v>111.421819447318</v>
      </c>
      <c r="EA178" s="908">
        <v>2.0799360000000005</v>
      </c>
      <c r="EB178" s="902">
        <v>18.71949826311695</v>
      </c>
      <c r="EC178" s="902">
        <v>0</v>
      </c>
      <c r="ED178" s="902">
        <v>0</v>
      </c>
      <c r="EE178" s="902">
        <v>14.910005295921215</v>
      </c>
      <c r="EF178" s="902">
        <v>0.49149310686197273</v>
      </c>
      <c r="EG178" s="902">
        <v>3600</v>
      </c>
      <c r="EH178" s="909" t="s">
        <v>2876</v>
      </c>
      <c r="EI178" s="909">
        <v>2</v>
      </c>
      <c r="EJ178" s="909">
        <v>0</v>
      </c>
      <c r="EK178" s="909">
        <v>0</v>
      </c>
      <c r="EL178" s="909">
        <v>0</v>
      </c>
      <c r="EM178" s="910">
        <v>27439.948909388495</v>
      </c>
      <c r="EN178" s="909">
        <v>0</v>
      </c>
      <c r="EO178" s="909">
        <v>0</v>
      </c>
      <c r="EP178" s="909">
        <v>0</v>
      </c>
      <c r="EQ178" s="910">
        <v>29101.199033866811</v>
      </c>
      <c r="ER178" s="871">
        <v>4000</v>
      </c>
      <c r="ES178" s="911">
        <v>111.421819447318</v>
      </c>
      <c r="ET178" s="908">
        <v>2.0799360000000005</v>
      </c>
      <c r="EU178" s="902">
        <v>18.71949826311695</v>
      </c>
      <c r="EV178" s="902">
        <v>0</v>
      </c>
      <c r="EW178" s="902">
        <v>0</v>
      </c>
      <c r="EX178" s="902">
        <v>14.910005295921215</v>
      </c>
      <c r="EY178" s="902">
        <v>0.49149310686197273</v>
      </c>
      <c r="EZ178" s="902">
        <v>3600</v>
      </c>
      <c r="FA178" s="909" t="s">
        <v>3889</v>
      </c>
      <c r="FB178" s="909">
        <v>2</v>
      </c>
      <c r="FC178" s="909">
        <v>0</v>
      </c>
      <c r="FD178" s="909">
        <v>0</v>
      </c>
      <c r="FE178" s="909">
        <v>0</v>
      </c>
      <c r="FF178" s="910">
        <v>28005.780581683848</v>
      </c>
      <c r="FG178" s="909">
        <v>0</v>
      </c>
      <c r="FH178" s="909">
        <v>0</v>
      </c>
      <c r="FI178" s="909">
        <v>0</v>
      </c>
      <c r="FJ178" s="910">
        <v>29701.286890026193</v>
      </c>
      <c r="FK178" s="871">
        <v>4000</v>
      </c>
      <c r="FL178" s="911">
        <v>111.421819447318</v>
      </c>
      <c r="FM178" s="908">
        <v>2.0799360000000005</v>
      </c>
      <c r="FN178" s="902">
        <v>18.71949826311695</v>
      </c>
      <c r="FO178" s="902">
        <v>0</v>
      </c>
      <c r="FP178" s="902">
        <v>0</v>
      </c>
      <c r="FQ178" s="902">
        <v>14.910005295921215</v>
      </c>
      <c r="FR178" s="902">
        <v>0.49149310686197273</v>
      </c>
      <c r="FS178" s="902">
        <v>3600</v>
      </c>
      <c r="FT178" s="909" t="s">
        <v>3889</v>
      </c>
      <c r="FU178" s="909">
        <v>2</v>
      </c>
      <c r="FV178" s="909">
        <v>0</v>
      </c>
      <c r="FW178" s="909">
        <v>0</v>
      </c>
      <c r="FX178" s="909">
        <v>0</v>
      </c>
      <c r="FY178" s="910">
        <v>28005.780581683848</v>
      </c>
      <c r="FZ178" s="909">
        <v>0</v>
      </c>
      <c r="GA178" s="909">
        <v>0</v>
      </c>
      <c r="GB178" s="909">
        <v>0</v>
      </c>
      <c r="GC178" s="910">
        <v>29701.286890026193</v>
      </c>
      <c r="GD178" s="871">
        <v>4000</v>
      </c>
      <c r="GE178" s="911">
        <v>111.421819447318</v>
      </c>
      <c r="GF178" s="908">
        <v>2.0799360000000005</v>
      </c>
      <c r="GG178" s="902">
        <v>18.71949826311695</v>
      </c>
      <c r="GH178" s="902">
        <v>0</v>
      </c>
      <c r="GI178" s="902">
        <v>0</v>
      </c>
      <c r="GJ178" s="902">
        <v>14.910005295921215</v>
      </c>
      <c r="GK178" s="902">
        <v>0.49149310686197273</v>
      </c>
      <c r="GL178" s="902">
        <v>3600</v>
      </c>
      <c r="GM178" s="909" t="s">
        <v>2877</v>
      </c>
      <c r="GN178" s="909">
        <v>2</v>
      </c>
      <c r="GO178" s="909">
        <v>0</v>
      </c>
      <c r="GP178" s="909">
        <v>0</v>
      </c>
      <c r="GQ178" s="909">
        <v>0</v>
      </c>
      <c r="GR178" s="910">
        <v>37573.697486138211</v>
      </c>
      <c r="GS178" s="909">
        <v>0</v>
      </c>
      <c r="GT178" s="909">
        <v>0</v>
      </c>
      <c r="GU178" s="909">
        <v>0</v>
      </c>
      <c r="GV178" s="910">
        <v>39848.457903252922</v>
      </c>
      <c r="GW178" s="871">
        <v>4000</v>
      </c>
      <c r="GX178" s="911">
        <v>111.421819447318</v>
      </c>
      <c r="GY178" s="908">
        <v>2.0799360000000005</v>
      </c>
      <c r="GZ178" s="902">
        <v>18.71949826311695</v>
      </c>
      <c r="HA178" s="902">
        <v>0</v>
      </c>
      <c r="HB178" s="902">
        <v>0</v>
      </c>
      <c r="HC178" s="902">
        <v>14.910005295921215</v>
      </c>
      <c r="HD178" s="902">
        <v>0.49149310686197273</v>
      </c>
      <c r="HE178" s="902">
        <v>3600</v>
      </c>
      <c r="HF178" s="909" t="s">
        <v>2877</v>
      </c>
      <c r="HG178" s="909">
        <v>2</v>
      </c>
      <c r="HH178" s="909">
        <v>0</v>
      </c>
      <c r="HI178" s="909">
        <v>0</v>
      </c>
      <c r="HJ178" s="909">
        <v>0</v>
      </c>
      <c r="HK178" s="910">
        <v>37573.697486138211</v>
      </c>
      <c r="HL178" s="909">
        <v>0</v>
      </c>
      <c r="HM178" s="909">
        <v>0</v>
      </c>
      <c r="HN178" s="909">
        <v>0</v>
      </c>
      <c r="HO178" s="910">
        <v>39848.457903252922</v>
      </c>
      <c r="HP178" s="871">
        <v>4000</v>
      </c>
      <c r="HQ178" s="911">
        <v>111.421819447318</v>
      </c>
      <c r="HR178" s="908">
        <v>2.0799360000000005</v>
      </c>
      <c r="HS178" s="902">
        <v>18.71949826311695</v>
      </c>
      <c r="HT178" s="902">
        <v>0</v>
      </c>
      <c r="HU178" s="902">
        <v>0</v>
      </c>
      <c r="HV178" s="902">
        <v>14.910005295921215</v>
      </c>
      <c r="HW178" s="902">
        <v>0.49149310686197273</v>
      </c>
      <c r="HX178" s="902">
        <v>3600</v>
      </c>
      <c r="HY178" s="909" t="s">
        <v>1063</v>
      </c>
      <c r="HZ178" s="909">
        <v>2</v>
      </c>
      <c r="IA178" s="909">
        <v>0</v>
      </c>
      <c r="IB178" s="909">
        <v>0</v>
      </c>
      <c r="IC178" s="909">
        <v>0</v>
      </c>
      <c r="ID178" s="910">
        <v>33136.886461844872</v>
      </c>
      <c r="IE178" s="909">
        <v>0</v>
      </c>
      <c r="IF178" s="909">
        <v>0</v>
      </c>
      <c r="IG178" s="909">
        <v>0</v>
      </c>
      <c r="IH178" s="910">
        <v>35143.036580477266</v>
      </c>
      <c r="II178" s="871">
        <v>4000</v>
      </c>
      <c r="IJ178" s="911">
        <v>111.421819447318</v>
      </c>
      <c r="IK178" s="908">
        <v>2.0799360000000005</v>
      </c>
      <c r="IL178" s="902">
        <v>18.71949826311695</v>
      </c>
      <c r="IM178" s="902">
        <v>0</v>
      </c>
      <c r="IN178" s="902">
        <v>0</v>
      </c>
      <c r="IO178" s="902">
        <v>14.910005295921215</v>
      </c>
      <c r="IP178" s="902">
        <v>0.49149310686197273</v>
      </c>
      <c r="IQ178" s="902">
        <v>3600</v>
      </c>
      <c r="IR178" s="909" t="s">
        <v>1063</v>
      </c>
      <c r="IS178" s="909">
        <v>2</v>
      </c>
      <c r="IT178" s="909">
        <v>0</v>
      </c>
      <c r="IU178" s="909">
        <v>0</v>
      </c>
      <c r="IV178" s="909">
        <v>0</v>
      </c>
      <c r="IW178" s="910">
        <v>33136.886461844872</v>
      </c>
      <c r="IX178" s="909">
        <v>0</v>
      </c>
      <c r="IY178" s="909">
        <v>0</v>
      </c>
      <c r="IZ178" s="909">
        <v>0</v>
      </c>
      <c r="JA178" s="910">
        <v>35143.036580477266</v>
      </c>
      <c r="JB178" s="871">
        <v>4000</v>
      </c>
      <c r="JC178" s="911">
        <v>111.421819447318</v>
      </c>
      <c r="JD178" s="908">
        <v>2.0799360000000005</v>
      </c>
      <c r="JE178" s="902">
        <v>18.71949826311695</v>
      </c>
      <c r="JF178" s="902">
        <v>0</v>
      </c>
      <c r="JG178" s="902">
        <v>0</v>
      </c>
      <c r="JH178" s="902">
        <v>14.910005295921215</v>
      </c>
      <c r="JI178" s="902">
        <v>0.49149310686197273</v>
      </c>
      <c r="JJ178" s="902">
        <v>3600</v>
      </c>
      <c r="JK178" s="909" t="s">
        <v>1064</v>
      </c>
      <c r="JL178" s="909">
        <v>2</v>
      </c>
      <c r="JM178" s="909">
        <v>0</v>
      </c>
      <c r="JN178" s="909">
        <v>0</v>
      </c>
      <c r="JO178" s="909">
        <v>0</v>
      </c>
      <c r="JP178" s="910">
        <v>45157.964298364415</v>
      </c>
      <c r="JQ178" s="909">
        <v>0</v>
      </c>
      <c r="JR178" s="909">
        <v>0</v>
      </c>
      <c r="JS178" s="909">
        <v>0</v>
      </c>
      <c r="JT178" s="910">
        <v>47891.88607278221</v>
      </c>
      <c r="JU178" s="871">
        <v>4000</v>
      </c>
      <c r="JV178" s="911">
        <v>111.421819447318</v>
      </c>
      <c r="JW178" s="908">
        <v>2.0799360000000005</v>
      </c>
      <c r="JX178" s="902">
        <v>18.71949826311695</v>
      </c>
      <c r="JY178" s="902">
        <v>0</v>
      </c>
      <c r="JZ178" s="902">
        <v>0</v>
      </c>
      <c r="KA178" s="902">
        <v>14.910005295921215</v>
      </c>
      <c r="KB178" s="902">
        <v>0.49149310686197273</v>
      </c>
      <c r="KC178" s="902">
        <v>3600</v>
      </c>
      <c r="KD178" s="909" t="s">
        <v>1064</v>
      </c>
      <c r="KE178" s="909">
        <v>2</v>
      </c>
      <c r="KF178" s="909">
        <v>0</v>
      </c>
      <c r="KG178" s="909">
        <v>0</v>
      </c>
      <c r="KH178" s="909">
        <v>0</v>
      </c>
      <c r="KI178" s="910">
        <v>45157.964298364415</v>
      </c>
      <c r="KJ178" s="909">
        <v>0</v>
      </c>
      <c r="KK178" s="909">
        <v>0</v>
      </c>
      <c r="KL178" s="909">
        <v>0</v>
      </c>
      <c r="KM178" s="910">
        <v>47891.88607278221</v>
      </c>
      <c r="KN178" s="871">
        <v>4000</v>
      </c>
      <c r="KO178" s="912">
        <v>111.421819447318</v>
      </c>
    </row>
    <row r="179" spans="1:301" ht="15" customHeight="1">
      <c r="A179" s="924" t="s">
        <v>1627</v>
      </c>
      <c r="B179" s="888" t="s">
        <v>1073</v>
      </c>
      <c r="C179" s="888">
        <v>230</v>
      </c>
      <c r="D179" s="888">
        <v>632</v>
      </c>
      <c r="E179" s="888">
        <v>160</v>
      </c>
      <c r="F179" s="888">
        <v>230</v>
      </c>
      <c r="G179" s="888">
        <v>33.817576990160966</v>
      </c>
      <c r="H179" s="888">
        <v>20</v>
      </c>
      <c r="I179" s="888">
        <v>20</v>
      </c>
      <c r="J179" s="888">
        <v>47.19</v>
      </c>
      <c r="K179" s="888">
        <v>75.069999999999993</v>
      </c>
      <c r="L179" s="888">
        <v>16</v>
      </c>
      <c r="M179" s="888">
        <v>220</v>
      </c>
      <c r="N179" s="888">
        <v>2</v>
      </c>
      <c r="O179" s="884">
        <v>4.6095307236320373</v>
      </c>
      <c r="P179" s="888">
        <v>2</v>
      </c>
      <c r="Q179" s="884">
        <v>2.7139653584228842</v>
      </c>
      <c r="R179" s="888">
        <v>13.000000000000002</v>
      </c>
      <c r="S179" s="888">
        <v>423.46980299885394</v>
      </c>
      <c r="T179" s="906">
        <v>14.37301186777206</v>
      </c>
      <c r="U179" s="906">
        <v>63.520470449828089</v>
      </c>
      <c r="V179" s="906">
        <v>60</v>
      </c>
      <c r="W179" s="1141">
        <v>1.1194365012399392</v>
      </c>
      <c r="X179" s="902">
        <v>0</v>
      </c>
      <c r="Y179" s="902">
        <v>0</v>
      </c>
      <c r="Z179" s="902">
        <v>0</v>
      </c>
      <c r="AA179" s="902">
        <v>0</v>
      </c>
      <c r="AB179" s="970">
        <v>0.88173912455850523</v>
      </c>
      <c r="AC179" s="1045">
        <v>4000</v>
      </c>
      <c r="AD179" s="890">
        <v>2.915995962497318</v>
      </c>
      <c r="AE179" s="890">
        <v>1.0795237663458117</v>
      </c>
      <c r="AF179" s="890">
        <v>-5.5126180286555242E-2</v>
      </c>
      <c r="AG179" s="890">
        <v>0.60601828169989735</v>
      </c>
      <c r="AH179" s="888"/>
      <c r="AI179" s="907">
        <v>1.3125323783799996</v>
      </c>
      <c r="AJ179" s="908">
        <v>1.6579200000000001</v>
      </c>
      <c r="AK179" s="902">
        <v>24.47386445106692</v>
      </c>
      <c r="AL179" s="902">
        <v>0</v>
      </c>
      <c r="AM179" s="902">
        <v>0</v>
      </c>
      <c r="AN179" s="902">
        <v>9.744740250793674</v>
      </c>
      <c r="AO179" s="902">
        <v>0.85715648590719784</v>
      </c>
      <c r="AP179" s="1222">
        <v>3600</v>
      </c>
      <c r="AQ179" s="909" t="s">
        <v>1062</v>
      </c>
      <c r="AR179" s="909">
        <v>3</v>
      </c>
      <c r="AS179" s="909">
        <v>0</v>
      </c>
      <c r="AT179" s="909">
        <v>0</v>
      </c>
      <c r="AU179" s="909">
        <v>0</v>
      </c>
      <c r="AV179" s="910">
        <v>36562.973116428286</v>
      </c>
      <c r="AW179" s="909">
        <v>0</v>
      </c>
      <c r="AX179" s="909">
        <v>0</v>
      </c>
      <c r="AY179" s="909">
        <v>0</v>
      </c>
      <c r="AZ179" s="910">
        <v>72131.854826416195</v>
      </c>
      <c r="BA179" s="871">
        <v>4000</v>
      </c>
      <c r="BB179" s="911">
        <v>132.36577047124996</v>
      </c>
      <c r="BC179" s="908">
        <v>1.6579200000000001</v>
      </c>
      <c r="BD179" s="902">
        <v>24.47386445106692</v>
      </c>
      <c r="BE179" s="902">
        <v>0</v>
      </c>
      <c r="BF179" s="902">
        <v>0</v>
      </c>
      <c r="BG179" s="902">
        <v>9.744740250793674</v>
      </c>
      <c r="BH179" s="902">
        <v>0.85715648590719784</v>
      </c>
      <c r="BI179" s="902">
        <v>3600</v>
      </c>
      <c r="BJ179" s="909" t="s">
        <v>1062</v>
      </c>
      <c r="BK179" s="909">
        <v>3</v>
      </c>
      <c r="BL179" s="909">
        <v>0</v>
      </c>
      <c r="BM179" s="909">
        <v>0</v>
      </c>
      <c r="BN179" s="909">
        <v>0</v>
      </c>
      <c r="BO179" s="910">
        <v>36562.973116428286</v>
      </c>
      <c r="BP179" s="909">
        <v>0</v>
      </c>
      <c r="BQ179" s="909">
        <v>0</v>
      </c>
      <c r="BR179" s="909">
        <v>0</v>
      </c>
      <c r="BS179" s="910">
        <v>72131.854826416195</v>
      </c>
      <c r="BT179" s="871">
        <v>4000</v>
      </c>
      <c r="BU179" s="911">
        <v>132.36577047124996</v>
      </c>
      <c r="BV179" s="908">
        <v>1.10528</v>
      </c>
      <c r="BW179" s="902">
        <v>23.921224451066919</v>
      </c>
      <c r="BX179" s="902">
        <v>0</v>
      </c>
      <c r="BY179" s="902">
        <v>0</v>
      </c>
      <c r="BZ179" s="902">
        <v>9.7388431133753972</v>
      </c>
      <c r="CA179" s="902">
        <v>0.82590994398719775</v>
      </c>
      <c r="CB179" s="902">
        <v>3600</v>
      </c>
      <c r="CC179" s="909" t="s">
        <v>2874</v>
      </c>
      <c r="CD179" s="909">
        <v>2</v>
      </c>
      <c r="CE179" s="909">
        <v>0</v>
      </c>
      <c r="CF179" s="909">
        <v>0</v>
      </c>
      <c r="CG179" s="909">
        <v>0</v>
      </c>
      <c r="CH179" s="910">
        <v>25443.545345198785</v>
      </c>
      <c r="CI179" s="909">
        <v>0</v>
      </c>
      <c r="CJ179" s="909">
        <v>0</v>
      </c>
      <c r="CK179" s="909">
        <v>0</v>
      </c>
      <c r="CL179" s="910">
        <v>24967.931826002532</v>
      </c>
      <c r="CM179" s="871">
        <v>4000</v>
      </c>
      <c r="CN179" s="911">
        <v>132.36577047124996</v>
      </c>
      <c r="CO179" s="908">
        <v>1.10528</v>
      </c>
      <c r="CP179" s="902">
        <v>23.921224451066919</v>
      </c>
      <c r="CQ179" s="902">
        <v>0</v>
      </c>
      <c r="CR179" s="902">
        <v>0</v>
      </c>
      <c r="CS179" s="902">
        <v>9.7388431133753972</v>
      </c>
      <c r="CT179" s="902">
        <v>0.82590994398719775</v>
      </c>
      <c r="CU179" s="902">
        <v>3600</v>
      </c>
      <c r="CV179" s="909" t="s">
        <v>2874</v>
      </c>
      <c r="CW179" s="909">
        <v>2</v>
      </c>
      <c r="CX179" s="909">
        <v>0</v>
      </c>
      <c r="CY179" s="909">
        <v>0</v>
      </c>
      <c r="CZ179" s="909">
        <v>0</v>
      </c>
      <c r="DA179" s="910">
        <v>25443.545345198785</v>
      </c>
      <c r="DB179" s="909">
        <v>0</v>
      </c>
      <c r="DC179" s="909">
        <v>0</v>
      </c>
      <c r="DD179" s="909">
        <v>0</v>
      </c>
      <c r="DE179" s="910">
        <v>24967.931826002532</v>
      </c>
      <c r="DF179" s="871">
        <v>4000</v>
      </c>
      <c r="DG179" s="911">
        <v>132.36577047124996</v>
      </c>
      <c r="DH179" s="908">
        <v>1.10528</v>
      </c>
      <c r="DI179" s="902">
        <v>23.921224451066919</v>
      </c>
      <c r="DJ179" s="902">
        <v>0</v>
      </c>
      <c r="DK179" s="902">
        <v>0</v>
      </c>
      <c r="DL179" s="902">
        <v>9.7388431133753972</v>
      </c>
      <c r="DM179" s="902">
        <v>0.82590994398719775</v>
      </c>
      <c r="DN179" s="902">
        <v>3600</v>
      </c>
      <c r="DO179" s="909" t="s">
        <v>2876</v>
      </c>
      <c r="DP179" s="909">
        <v>2</v>
      </c>
      <c r="DQ179" s="909">
        <v>0</v>
      </c>
      <c r="DR179" s="909">
        <v>0</v>
      </c>
      <c r="DS179" s="909">
        <v>0</v>
      </c>
      <c r="DT179" s="910">
        <v>27200.294110451647</v>
      </c>
      <c r="DU179" s="909">
        <v>0</v>
      </c>
      <c r="DV179" s="909">
        <v>0</v>
      </c>
      <c r="DW179" s="909">
        <v>0</v>
      </c>
      <c r="DX179" s="910">
        <v>26691.841871231296</v>
      </c>
      <c r="DY179" s="871">
        <v>4000</v>
      </c>
      <c r="DZ179" s="911">
        <v>132.36577047124996</v>
      </c>
      <c r="EA179" s="908">
        <v>1.10528</v>
      </c>
      <c r="EB179" s="902">
        <v>23.921224451066919</v>
      </c>
      <c r="EC179" s="902">
        <v>0</v>
      </c>
      <c r="ED179" s="902">
        <v>0</v>
      </c>
      <c r="EE179" s="902">
        <v>9.7388431133753972</v>
      </c>
      <c r="EF179" s="902">
        <v>0.82590994398719775</v>
      </c>
      <c r="EG179" s="902">
        <v>3600</v>
      </c>
      <c r="EH179" s="909" t="s">
        <v>2876</v>
      </c>
      <c r="EI179" s="909">
        <v>2</v>
      </c>
      <c r="EJ179" s="909">
        <v>0</v>
      </c>
      <c r="EK179" s="909">
        <v>0</v>
      </c>
      <c r="EL179" s="909">
        <v>0</v>
      </c>
      <c r="EM179" s="910">
        <v>27200.294110451647</v>
      </c>
      <c r="EN179" s="909">
        <v>0</v>
      </c>
      <c r="EO179" s="909">
        <v>0</v>
      </c>
      <c r="EP179" s="909">
        <v>0</v>
      </c>
      <c r="EQ179" s="910">
        <v>26691.841871231296</v>
      </c>
      <c r="ER179" s="871">
        <v>4000</v>
      </c>
      <c r="ES179" s="911">
        <v>132.36577047124996</v>
      </c>
      <c r="ET179" s="908">
        <v>1.10528</v>
      </c>
      <c r="EU179" s="902">
        <v>23.921224451066919</v>
      </c>
      <c r="EV179" s="902">
        <v>0</v>
      </c>
      <c r="EW179" s="902">
        <v>0</v>
      </c>
      <c r="EX179" s="902">
        <v>9.7388431133753972</v>
      </c>
      <c r="EY179" s="902">
        <v>0.82590994398719775</v>
      </c>
      <c r="EZ179" s="902">
        <v>3600</v>
      </c>
      <c r="FA179" s="909" t="s">
        <v>3889</v>
      </c>
      <c r="FB179" s="909">
        <v>2</v>
      </c>
      <c r="FC179" s="909">
        <v>0</v>
      </c>
      <c r="FD179" s="909">
        <v>0</v>
      </c>
      <c r="FE179" s="909">
        <v>0</v>
      </c>
      <c r="FF179" s="910">
        <v>27761.183926765385</v>
      </c>
      <c r="FG179" s="909">
        <v>0</v>
      </c>
      <c r="FH179" s="909">
        <v>0</v>
      </c>
      <c r="FI179" s="909">
        <v>0</v>
      </c>
      <c r="FJ179" s="910">
        <v>27242.247033131822</v>
      </c>
      <c r="FK179" s="871">
        <v>4000</v>
      </c>
      <c r="FL179" s="911">
        <v>132.36577047124996</v>
      </c>
      <c r="FM179" s="908">
        <v>1.10528</v>
      </c>
      <c r="FN179" s="902">
        <v>23.921224451066919</v>
      </c>
      <c r="FO179" s="902">
        <v>0</v>
      </c>
      <c r="FP179" s="902">
        <v>0</v>
      </c>
      <c r="FQ179" s="902">
        <v>9.7388431133753972</v>
      </c>
      <c r="FR179" s="902">
        <v>0.82590994398719775</v>
      </c>
      <c r="FS179" s="902">
        <v>3600</v>
      </c>
      <c r="FT179" s="909" t="s">
        <v>3889</v>
      </c>
      <c r="FU179" s="909">
        <v>2</v>
      </c>
      <c r="FV179" s="909">
        <v>0</v>
      </c>
      <c r="FW179" s="909">
        <v>0</v>
      </c>
      <c r="FX179" s="909">
        <v>0</v>
      </c>
      <c r="FY179" s="910">
        <v>27761.183926765385</v>
      </c>
      <c r="FZ179" s="909">
        <v>0</v>
      </c>
      <c r="GA179" s="909">
        <v>0</v>
      </c>
      <c r="GB179" s="909">
        <v>0</v>
      </c>
      <c r="GC179" s="910">
        <v>27242.247033131822</v>
      </c>
      <c r="GD179" s="871">
        <v>4000</v>
      </c>
      <c r="GE179" s="911">
        <v>132.36577047124996</v>
      </c>
      <c r="GF179" s="908">
        <v>1.10528</v>
      </c>
      <c r="GG179" s="902">
        <v>23.921224451066919</v>
      </c>
      <c r="GH179" s="902">
        <v>0</v>
      </c>
      <c r="GI179" s="902">
        <v>0</v>
      </c>
      <c r="GJ179" s="902">
        <v>9.7388431133753972</v>
      </c>
      <c r="GK179" s="902">
        <v>0.82590994398719775</v>
      </c>
      <c r="GL179" s="902">
        <v>3600</v>
      </c>
      <c r="GM179" s="909" t="s">
        <v>2877</v>
      </c>
      <c r="GN179" s="909">
        <v>2</v>
      </c>
      <c r="GO179" s="909">
        <v>0</v>
      </c>
      <c r="GP179" s="909">
        <v>0</v>
      </c>
      <c r="GQ179" s="909">
        <v>0</v>
      </c>
      <c r="GR179" s="910">
        <v>37245.536637662954</v>
      </c>
      <c r="GS179" s="909">
        <v>0</v>
      </c>
      <c r="GT179" s="909">
        <v>0</v>
      </c>
      <c r="GU179" s="909">
        <v>0</v>
      </c>
      <c r="GV179" s="910">
        <v>36549.30973555056</v>
      </c>
      <c r="GW179" s="871">
        <v>4000</v>
      </c>
      <c r="GX179" s="911">
        <v>132.36577047124996</v>
      </c>
      <c r="GY179" s="908">
        <v>1.10528</v>
      </c>
      <c r="GZ179" s="902">
        <v>23.921224451066919</v>
      </c>
      <c r="HA179" s="902">
        <v>0</v>
      </c>
      <c r="HB179" s="902">
        <v>0</v>
      </c>
      <c r="HC179" s="902">
        <v>9.7388431133753972</v>
      </c>
      <c r="HD179" s="902">
        <v>0.82590994398719775</v>
      </c>
      <c r="HE179" s="902">
        <v>3600</v>
      </c>
      <c r="HF179" s="909" t="s">
        <v>2877</v>
      </c>
      <c r="HG179" s="909">
        <v>2</v>
      </c>
      <c r="HH179" s="909">
        <v>0</v>
      </c>
      <c r="HI179" s="909">
        <v>0</v>
      </c>
      <c r="HJ179" s="909">
        <v>0</v>
      </c>
      <c r="HK179" s="910">
        <v>37245.536637662954</v>
      </c>
      <c r="HL179" s="909">
        <v>0</v>
      </c>
      <c r="HM179" s="909">
        <v>0</v>
      </c>
      <c r="HN179" s="909">
        <v>0</v>
      </c>
      <c r="HO179" s="910">
        <v>36549.30973555056</v>
      </c>
      <c r="HP179" s="871">
        <v>4000</v>
      </c>
      <c r="HQ179" s="911">
        <v>132.36577047124996</v>
      </c>
      <c r="HR179" s="908">
        <v>1.10528</v>
      </c>
      <c r="HS179" s="902">
        <v>23.921224451066919</v>
      </c>
      <c r="HT179" s="902">
        <v>0</v>
      </c>
      <c r="HU179" s="902">
        <v>0</v>
      </c>
      <c r="HV179" s="902">
        <v>9.7388431133753972</v>
      </c>
      <c r="HW179" s="902">
        <v>0.82590994398719775</v>
      </c>
      <c r="HX179" s="902">
        <v>3600</v>
      </c>
      <c r="HY179" s="909" t="s">
        <v>1063</v>
      </c>
      <c r="HZ179" s="909">
        <v>2</v>
      </c>
      <c r="IA179" s="909">
        <v>0</v>
      </c>
      <c r="IB179" s="909">
        <v>0</v>
      </c>
      <c r="IC179" s="909">
        <v>0</v>
      </c>
      <c r="ID179" s="910">
        <v>32847.475796809369</v>
      </c>
      <c r="IE179" s="909">
        <v>0</v>
      </c>
      <c r="IF179" s="909">
        <v>0</v>
      </c>
      <c r="IG179" s="909">
        <v>0</v>
      </c>
      <c r="IH179" s="910">
        <v>32233.461383783328</v>
      </c>
      <c r="II179" s="871">
        <v>4000</v>
      </c>
      <c r="IJ179" s="911">
        <v>132.36577047124996</v>
      </c>
      <c r="IK179" s="908">
        <v>1.10528</v>
      </c>
      <c r="IL179" s="902">
        <v>23.921224451066919</v>
      </c>
      <c r="IM179" s="902">
        <v>0</v>
      </c>
      <c r="IN179" s="902">
        <v>0</v>
      </c>
      <c r="IO179" s="902">
        <v>9.7388431133753972</v>
      </c>
      <c r="IP179" s="902">
        <v>0.82590994398719775</v>
      </c>
      <c r="IQ179" s="902">
        <v>3600</v>
      </c>
      <c r="IR179" s="909" t="s">
        <v>1063</v>
      </c>
      <c r="IS179" s="909">
        <v>2</v>
      </c>
      <c r="IT179" s="909">
        <v>0</v>
      </c>
      <c r="IU179" s="909">
        <v>0</v>
      </c>
      <c r="IV179" s="909">
        <v>0</v>
      </c>
      <c r="IW179" s="910">
        <v>32847.475796809369</v>
      </c>
      <c r="IX179" s="909">
        <v>0</v>
      </c>
      <c r="IY179" s="909">
        <v>0</v>
      </c>
      <c r="IZ179" s="909">
        <v>0</v>
      </c>
      <c r="JA179" s="910">
        <v>32233.461383783328</v>
      </c>
      <c r="JB179" s="871">
        <v>4000</v>
      </c>
      <c r="JC179" s="911">
        <v>132.36577047124996</v>
      </c>
      <c r="JD179" s="908">
        <v>1.10528</v>
      </c>
      <c r="JE179" s="902">
        <v>23.921224451066919</v>
      </c>
      <c r="JF179" s="902">
        <v>0</v>
      </c>
      <c r="JG179" s="902">
        <v>0</v>
      </c>
      <c r="JH179" s="902">
        <v>9.7388431133753972</v>
      </c>
      <c r="JI179" s="902">
        <v>0.82590994398719775</v>
      </c>
      <c r="JJ179" s="902">
        <v>3600</v>
      </c>
      <c r="JK179" s="909" t="s">
        <v>1064</v>
      </c>
      <c r="JL179" s="909">
        <v>2</v>
      </c>
      <c r="JM179" s="909">
        <v>0</v>
      </c>
      <c r="JN179" s="909">
        <v>0</v>
      </c>
      <c r="JO179" s="909">
        <v>0</v>
      </c>
      <c r="JP179" s="910">
        <v>44763.564043097751</v>
      </c>
      <c r="JQ179" s="909">
        <v>0</v>
      </c>
      <c r="JR179" s="909">
        <v>0</v>
      </c>
      <c r="JS179" s="909">
        <v>0</v>
      </c>
      <c r="JT179" s="910">
        <v>43926.803444774581</v>
      </c>
      <c r="JU179" s="871">
        <v>4000</v>
      </c>
      <c r="JV179" s="911">
        <v>132.36577047124996</v>
      </c>
      <c r="JW179" s="908">
        <v>1.10528</v>
      </c>
      <c r="JX179" s="902">
        <v>23.921224451066919</v>
      </c>
      <c r="JY179" s="902">
        <v>0</v>
      </c>
      <c r="JZ179" s="902">
        <v>0</v>
      </c>
      <c r="KA179" s="902">
        <v>9.7388431133753972</v>
      </c>
      <c r="KB179" s="902">
        <v>0.82590994398719775</v>
      </c>
      <c r="KC179" s="902">
        <v>3600</v>
      </c>
      <c r="KD179" s="909" t="s">
        <v>1064</v>
      </c>
      <c r="KE179" s="909">
        <v>2</v>
      </c>
      <c r="KF179" s="909">
        <v>0</v>
      </c>
      <c r="KG179" s="909">
        <v>0</v>
      </c>
      <c r="KH179" s="909">
        <v>0</v>
      </c>
      <c r="KI179" s="910">
        <v>44763.564043097751</v>
      </c>
      <c r="KJ179" s="909">
        <v>0</v>
      </c>
      <c r="KK179" s="909">
        <v>0</v>
      </c>
      <c r="KL179" s="909">
        <v>0</v>
      </c>
      <c r="KM179" s="910">
        <v>43926.803444774581</v>
      </c>
      <c r="KN179" s="871">
        <v>4000</v>
      </c>
      <c r="KO179" s="912">
        <v>132.36577047124996</v>
      </c>
    </row>
    <row r="180" spans="1:301" ht="15" customHeight="1">
      <c r="A180" s="924" t="s">
        <v>1628</v>
      </c>
      <c r="B180" s="888" t="s">
        <v>1073</v>
      </c>
      <c r="C180" s="888">
        <v>230</v>
      </c>
      <c r="D180" s="888">
        <v>632</v>
      </c>
      <c r="E180" s="888">
        <v>160</v>
      </c>
      <c r="F180" s="888">
        <v>230</v>
      </c>
      <c r="G180" s="888">
        <v>33.817576990160966</v>
      </c>
      <c r="H180" s="888">
        <v>20</v>
      </c>
      <c r="I180" s="888">
        <v>20</v>
      </c>
      <c r="J180" s="888">
        <v>47.19</v>
      </c>
      <c r="K180" s="888">
        <v>75.069999999999993</v>
      </c>
      <c r="L180" s="888">
        <v>16</v>
      </c>
      <c r="M180" s="888">
        <v>220</v>
      </c>
      <c r="N180" s="888">
        <v>2</v>
      </c>
      <c r="O180" s="884">
        <v>4.6095307236320373</v>
      </c>
      <c r="P180" s="888">
        <v>2</v>
      </c>
      <c r="Q180" s="884">
        <v>3.7016791690838842</v>
      </c>
      <c r="R180" s="888">
        <v>10</v>
      </c>
      <c r="S180" s="888">
        <v>315</v>
      </c>
      <c r="T180" s="906">
        <v>6.1175939219042776</v>
      </c>
      <c r="U180" s="906">
        <v>47.25</v>
      </c>
      <c r="V180" s="906">
        <v>60</v>
      </c>
      <c r="W180" s="1141">
        <v>0.61940638459280806</v>
      </c>
      <c r="X180" s="902">
        <v>0</v>
      </c>
      <c r="Y180" s="902">
        <v>0</v>
      </c>
      <c r="Z180" s="902">
        <v>0</v>
      </c>
      <c r="AA180" s="902">
        <v>0</v>
      </c>
      <c r="AB180" s="970">
        <v>0.59761375087196178</v>
      </c>
      <c r="AC180" s="1045">
        <v>4000</v>
      </c>
      <c r="AD180" s="890"/>
      <c r="AE180" s="890"/>
      <c r="AF180" s="890"/>
      <c r="AG180" s="890"/>
      <c r="AH180" s="888"/>
      <c r="AI180" s="907">
        <v>1.3125323783799996</v>
      </c>
      <c r="AJ180" s="908">
        <v>1.6579200000000001</v>
      </c>
      <c r="AK180" s="902">
        <v>16.706130199213007</v>
      </c>
      <c r="AL180" s="902">
        <v>0</v>
      </c>
      <c r="AM180" s="902">
        <v>0</v>
      </c>
      <c r="AN180" s="902">
        <v>9.6755893113202784</v>
      </c>
      <c r="AO180" s="902">
        <v>0.64524188315580555</v>
      </c>
      <c r="AP180" s="1222">
        <v>3600</v>
      </c>
      <c r="AQ180" s="909" t="s">
        <v>1062</v>
      </c>
      <c r="AR180" s="909">
        <v>3</v>
      </c>
      <c r="AS180" s="909">
        <v>0</v>
      </c>
      <c r="AT180" s="909">
        <v>0</v>
      </c>
      <c r="AU180" s="909">
        <v>0</v>
      </c>
      <c r="AV180" s="910">
        <v>26077.275691331921</v>
      </c>
      <c r="AW180" s="909">
        <v>0</v>
      </c>
      <c r="AX180" s="909">
        <v>0</v>
      </c>
      <c r="AY180" s="909">
        <v>0</v>
      </c>
      <c r="AZ180" s="910">
        <v>25589.815917376105</v>
      </c>
      <c r="BA180" s="871">
        <v>4000</v>
      </c>
      <c r="BB180" s="911">
        <v>132.36577047124996</v>
      </c>
      <c r="BC180" s="908">
        <v>1.6579200000000001</v>
      </c>
      <c r="BD180" s="902">
        <v>16.706130199213007</v>
      </c>
      <c r="BE180" s="902">
        <v>0</v>
      </c>
      <c r="BF180" s="902">
        <v>0</v>
      </c>
      <c r="BG180" s="902">
        <v>9.6755893113202784</v>
      </c>
      <c r="BH180" s="902">
        <v>0.64524188315580555</v>
      </c>
      <c r="BI180" s="902">
        <v>3600</v>
      </c>
      <c r="BJ180" s="909" t="s">
        <v>1062</v>
      </c>
      <c r="BK180" s="909">
        <v>3</v>
      </c>
      <c r="BL180" s="909">
        <v>0</v>
      </c>
      <c r="BM180" s="909">
        <v>0</v>
      </c>
      <c r="BN180" s="909">
        <v>0</v>
      </c>
      <c r="BO180" s="910">
        <v>26077.275691331921</v>
      </c>
      <c r="BP180" s="909">
        <v>0</v>
      </c>
      <c r="BQ180" s="909">
        <v>0</v>
      </c>
      <c r="BR180" s="909">
        <v>0</v>
      </c>
      <c r="BS180" s="910">
        <v>25589.815917376105</v>
      </c>
      <c r="BT180" s="871">
        <v>4000</v>
      </c>
      <c r="BU180" s="911">
        <v>132.36577047124996</v>
      </c>
      <c r="BV180" s="908">
        <v>1.10528</v>
      </c>
      <c r="BW180" s="902">
        <v>16.153490199213007</v>
      </c>
      <c r="BX180" s="902">
        <v>0</v>
      </c>
      <c r="BY180" s="902">
        <v>0</v>
      </c>
      <c r="BZ180" s="902">
        <v>9.6644906372392594</v>
      </c>
      <c r="CA180" s="902">
        <v>0.61399534123580557</v>
      </c>
      <c r="CB180" s="902">
        <v>3600</v>
      </c>
      <c r="CC180" s="909" t="s">
        <v>2874</v>
      </c>
      <c r="CD180" s="909">
        <v>2</v>
      </c>
      <c r="CE180" s="909">
        <v>0</v>
      </c>
      <c r="CF180" s="909">
        <v>0</v>
      </c>
      <c r="CG180" s="909">
        <v>0</v>
      </c>
      <c r="CH180" s="910">
        <v>25443.545345198785</v>
      </c>
      <c r="CI180" s="909">
        <v>0</v>
      </c>
      <c r="CJ180" s="909">
        <v>0</v>
      </c>
      <c r="CK180" s="909">
        <v>0</v>
      </c>
      <c r="CL180" s="910">
        <v>24967.931826002532</v>
      </c>
      <c r="CM180" s="871">
        <v>4000</v>
      </c>
      <c r="CN180" s="911">
        <v>132.36577047124996</v>
      </c>
      <c r="CO180" s="908">
        <v>1.10528</v>
      </c>
      <c r="CP180" s="902">
        <v>16.153490199213007</v>
      </c>
      <c r="CQ180" s="902">
        <v>0</v>
      </c>
      <c r="CR180" s="902">
        <v>0</v>
      </c>
      <c r="CS180" s="902">
        <v>9.6644906372392594</v>
      </c>
      <c r="CT180" s="902">
        <v>0.61399534123580557</v>
      </c>
      <c r="CU180" s="902">
        <v>3600</v>
      </c>
      <c r="CV180" s="909" t="s">
        <v>2874</v>
      </c>
      <c r="CW180" s="909">
        <v>2</v>
      </c>
      <c r="CX180" s="909">
        <v>0</v>
      </c>
      <c r="CY180" s="909">
        <v>0</v>
      </c>
      <c r="CZ180" s="909">
        <v>0</v>
      </c>
      <c r="DA180" s="910">
        <v>25443.545345198785</v>
      </c>
      <c r="DB180" s="909">
        <v>0</v>
      </c>
      <c r="DC180" s="909">
        <v>0</v>
      </c>
      <c r="DD180" s="909">
        <v>0</v>
      </c>
      <c r="DE180" s="910">
        <v>24967.931826002532</v>
      </c>
      <c r="DF180" s="871">
        <v>4000</v>
      </c>
      <c r="DG180" s="911">
        <v>132.36577047124996</v>
      </c>
      <c r="DH180" s="908">
        <v>1.10528</v>
      </c>
      <c r="DI180" s="902">
        <v>16.153490199213007</v>
      </c>
      <c r="DJ180" s="902">
        <v>0</v>
      </c>
      <c r="DK180" s="902">
        <v>0</v>
      </c>
      <c r="DL180" s="902">
        <v>9.6644906372392594</v>
      </c>
      <c r="DM180" s="902">
        <v>0.61399534123580557</v>
      </c>
      <c r="DN180" s="902">
        <v>3600</v>
      </c>
      <c r="DO180" s="909" t="s">
        <v>2876</v>
      </c>
      <c r="DP180" s="909">
        <v>2</v>
      </c>
      <c r="DQ180" s="909">
        <v>0</v>
      </c>
      <c r="DR180" s="909">
        <v>0</v>
      </c>
      <c r="DS180" s="909">
        <v>0</v>
      </c>
      <c r="DT180" s="910">
        <v>27200.294110451647</v>
      </c>
      <c r="DU180" s="909">
        <v>0</v>
      </c>
      <c r="DV180" s="909">
        <v>0</v>
      </c>
      <c r="DW180" s="909">
        <v>0</v>
      </c>
      <c r="DX180" s="910">
        <v>26691.841871231296</v>
      </c>
      <c r="DY180" s="871">
        <v>4000</v>
      </c>
      <c r="DZ180" s="911">
        <v>132.36577047124996</v>
      </c>
      <c r="EA180" s="908">
        <v>1.10528</v>
      </c>
      <c r="EB180" s="902">
        <v>16.153490199213007</v>
      </c>
      <c r="EC180" s="902">
        <v>0</v>
      </c>
      <c r="ED180" s="902">
        <v>0</v>
      </c>
      <c r="EE180" s="902">
        <v>9.6644906372392594</v>
      </c>
      <c r="EF180" s="902">
        <v>0.61399534123580557</v>
      </c>
      <c r="EG180" s="902">
        <v>3600</v>
      </c>
      <c r="EH180" s="909" t="s">
        <v>2876</v>
      </c>
      <c r="EI180" s="909">
        <v>2</v>
      </c>
      <c r="EJ180" s="909">
        <v>0</v>
      </c>
      <c r="EK180" s="909">
        <v>0</v>
      </c>
      <c r="EL180" s="909">
        <v>0</v>
      </c>
      <c r="EM180" s="910">
        <v>27200.294110451647</v>
      </c>
      <c r="EN180" s="909">
        <v>0</v>
      </c>
      <c r="EO180" s="909">
        <v>0</v>
      </c>
      <c r="EP180" s="909">
        <v>0</v>
      </c>
      <c r="EQ180" s="910">
        <v>26691.841871231296</v>
      </c>
      <c r="ER180" s="871">
        <v>4000</v>
      </c>
      <c r="ES180" s="911">
        <v>132.36577047124996</v>
      </c>
      <c r="ET180" s="908">
        <v>1.10528</v>
      </c>
      <c r="EU180" s="902">
        <v>16.153490199213007</v>
      </c>
      <c r="EV180" s="902">
        <v>0</v>
      </c>
      <c r="EW180" s="902">
        <v>0</v>
      </c>
      <c r="EX180" s="902">
        <v>9.6644906372392594</v>
      </c>
      <c r="EY180" s="902">
        <v>0.61399534123580557</v>
      </c>
      <c r="EZ180" s="902">
        <v>3600</v>
      </c>
      <c r="FA180" s="909" t="s">
        <v>3889</v>
      </c>
      <c r="FB180" s="909">
        <v>2</v>
      </c>
      <c r="FC180" s="909">
        <v>0</v>
      </c>
      <c r="FD180" s="909">
        <v>0</v>
      </c>
      <c r="FE180" s="909">
        <v>0</v>
      </c>
      <c r="FF180" s="910">
        <v>27761.183926765385</v>
      </c>
      <c r="FG180" s="909">
        <v>0</v>
      </c>
      <c r="FH180" s="909">
        <v>0</v>
      </c>
      <c r="FI180" s="909">
        <v>0</v>
      </c>
      <c r="FJ180" s="910">
        <v>27242.247033131822</v>
      </c>
      <c r="FK180" s="871">
        <v>4000</v>
      </c>
      <c r="FL180" s="911">
        <v>132.36577047124996</v>
      </c>
      <c r="FM180" s="908">
        <v>1.10528</v>
      </c>
      <c r="FN180" s="902">
        <v>16.153490199213007</v>
      </c>
      <c r="FO180" s="902">
        <v>0</v>
      </c>
      <c r="FP180" s="902">
        <v>0</v>
      </c>
      <c r="FQ180" s="902">
        <v>9.6644906372392594</v>
      </c>
      <c r="FR180" s="902">
        <v>0.61399534123580557</v>
      </c>
      <c r="FS180" s="902">
        <v>3600</v>
      </c>
      <c r="FT180" s="909" t="s">
        <v>3889</v>
      </c>
      <c r="FU180" s="909">
        <v>2</v>
      </c>
      <c r="FV180" s="909">
        <v>0</v>
      </c>
      <c r="FW180" s="909">
        <v>0</v>
      </c>
      <c r="FX180" s="909">
        <v>0</v>
      </c>
      <c r="FY180" s="910">
        <v>27761.183926765385</v>
      </c>
      <c r="FZ180" s="909">
        <v>0</v>
      </c>
      <c r="GA180" s="909">
        <v>0</v>
      </c>
      <c r="GB180" s="909">
        <v>0</v>
      </c>
      <c r="GC180" s="910">
        <v>27242.247033131822</v>
      </c>
      <c r="GD180" s="871">
        <v>4000</v>
      </c>
      <c r="GE180" s="911">
        <v>132.36577047124996</v>
      </c>
      <c r="GF180" s="908">
        <v>1.10528</v>
      </c>
      <c r="GG180" s="902">
        <v>16.153490199213007</v>
      </c>
      <c r="GH180" s="902">
        <v>0</v>
      </c>
      <c r="GI180" s="902">
        <v>0</v>
      </c>
      <c r="GJ180" s="902">
        <v>9.6644906372392594</v>
      </c>
      <c r="GK180" s="902">
        <v>0.61399534123580557</v>
      </c>
      <c r="GL180" s="902">
        <v>3600</v>
      </c>
      <c r="GM180" s="909" t="s">
        <v>2877</v>
      </c>
      <c r="GN180" s="909">
        <v>2</v>
      </c>
      <c r="GO180" s="909">
        <v>0</v>
      </c>
      <c r="GP180" s="909">
        <v>0</v>
      </c>
      <c r="GQ180" s="909">
        <v>0</v>
      </c>
      <c r="GR180" s="910">
        <v>37245.536637662954</v>
      </c>
      <c r="GS180" s="909">
        <v>0</v>
      </c>
      <c r="GT180" s="909">
        <v>0</v>
      </c>
      <c r="GU180" s="909">
        <v>0</v>
      </c>
      <c r="GV180" s="910">
        <v>36549.30973555056</v>
      </c>
      <c r="GW180" s="871">
        <v>4000</v>
      </c>
      <c r="GX180" s="911">
        <v>132.36577047124996</v>
      </c>
      <c r="GY180" s="908">
        <v>1.10528</v>
      </c>
      <c r="GZ180" s="902">
        <v>16.153490199213007</v>
      </c>
      <c r="HA180" s="902">
        <v>0</v>
      </c>
      <c r="HB180" s="902">
        <v>0</v>
      </c>
      <c r="HC180" s="902">
        <v>9.6644906372392594</v>
      </c>
      <c r="HD180" s="902">
        <v>0.61399534123580557</v>
      </c>
      <c r="HE180" s="902">
        <v>3600</v>
      </c>
      <c r="HF180" s="909" t="s">
        <v>2877</v>
      </c>
      <c r="HG180" s="909">
        <v>2</v>
      </c>
      <c r="HH180" s="909">
        <v>0</v>
      </c>
      <c r="HI180" s="909">
        <v>0</v>
      </c>
      <c r="HJ180" s="909">
        <v>0</v>
      </c>
      <c r="HK180" s="910">
        <v>37245.536637662954</v>
      </c>
      <c r="HL180" s="909">
        <v>0</v>
      </c>
      <c r="HM180" s="909">
        <v>0</v>
      </c>
      <c r="HN180" s="909">
        <v>0</v>
      </c>
      <c r="HO180" s="910">
        <v>36549.30973555056</v>
      </c>
      <c r="HP180" s="871">
        <v>4000</v>
      </c>
      <c r="HQ180" s="911">
        <v>132.36577047124996</v>
      </c>
      <c r="HR180" s="908">
        <v>1.10528</v>
      </c>
      <c r="HS180" s="902">
        <v>16.153490199213007</v>
      </c>
      <c r="HT180" s="902">
        <v>0</v>
      </c>
      <c r="HU180" s="902">
        <v>0</v>
      </c>
      <c r="HV180" s="902">
        <v>9.6644906372392594</v>
      </c>
      <c r="HW180" s="902">
        <v>0.61399534123580557</v>
      </c>
      <c r="HX180" s="902">
        <v>3600</v>
      </c>
      <c r="HY180" s="909" t="s">
        <v>1063</v>
      </c>
      <c r="HZ180" s="909">
        <v>2</v>
      </c>
      <c r="IA180" s="909">
        <v>0</v>
      </c>
      <c r="IB180" s="909">
        <v>0</v>
      </c>
      <c r="IC180" s="909">
        <v>0</v>
      </c>
      <c r="ID180" s="910">
        <v>32847.475796809369</v>
      </c>
      <c r="IE180" s="909">
        <v>0</v>
      </c>
      <c r="IF180" s="909">
        <v>0</v>
      </c>
      <c r="IG180" s="909">
        <v>0</v>
      </c>
      <c r="IH180" s="910">
        <v>32233.461383783328</v>
      </c>
      <c r="II180" s="871">
        <v>4000</v>
      </c>
      <c r="IJ180" s="911">
        <v>132.36577047124996</v>
      </c>
      <c r="IK180" s="908">
        <v>1.10528</v>
      </c>
      <c r="IL180" s="902">
        <v>16.153490199213007</v>
      </c>
      <c r="IM180" s="902">
        <v>0</v>
      </c>
      <c r="IN180" s="902">
        <v>0</v>
      </c>
      <c r="IO180" s="902">
        <v>9.6644906372392594</v>
      </c>
      <c r="IP180" s="902">
        <v>0.61399534123580557</v>
      </c>
      <c r="IQ180" s="902">
        <v>3600</v>
      </c>
      <c r="IR180" s="909" t="s">
        <v>1063</v>
      </c>
      <c r="IS180" s="909">
        <v>2</v>
      </c>
      <c r="IT180" s="909">
        <v>0</v>
      </c>
      <c r="IU180" s="909">
        <v>0</v>
      </c>
      <c r="IV180" s="909">
        <v>0</v>
      </c>
      <c r="IW180" s="910">
        <v>32847.475796809369</v>
      </c>
      <c r="IX180" s="909">
        <v>0</v>
      </c>
      <c r="IY180" s="909">
        <v>0</v>
      </c>
      <c r="IZ180" s="909">
        <v>0</v>
      </c>
      <c r="JA180" s="910">
        <v>32233.461383783328</v>
      </c>
      <c r="JB180" s="871">
        <v>4000</v>
      </c>
      <c r="JC180" s="911">
        <v>132.36577047124996</v>
      </c>
      <c r="JD180" s="908">
        <v>1.10528</v>
      </c>
      <c r="JE180" s="902">
        <v>16.153490199213007</v>
      </c>
      <c r="JF180" s="902">
        <v>0</v>
      </c>
      <c r="JG180" s="902">
        <v>0</v>
      </c>
      <c r="JH180" s="902">
        <v>9.6644906372392594</v>
      </c>
      <c r="JI180" s="902">
        <v>0.61399534123580557</v>
      </c>
      <c r="JJ180" s="902">
        <v>3600</v>
      </c>
      <c r="JK180" s="909" t="s">
        <v>1064</v>
      </c>
      <c r="JL180" s="909">
        <v>2</v>
      </c>
      <c r="JM180" s="909">
        <v>0</v>
      </c>
      <c r="JN180" s="909">
        <v>0</v>
      </c>
      <c r="JO180" s="909">
        <v>0</v>
      </c>
      <c r="JP180" s="910">
        <v>44763.564043097751</v>
      </c>
      <c r="JQ180" s="909">
        <v>0</v>
      </c>
      <c r="JR180" s="909">
        <v>0</v>
      </c>
      <c r="JS180" s="909">
        <v>0</v>
      </c>
      <c r="JT180" s="910">
        <v>43926.803444774581</v>
      </c>
      <c r="JU180" s="871">
        <v>4000</v>
      </c>
      <c r="JV180" s="911">
        <v>132.36577047124996</v>
      </c>
      <c r="JW180" s="908">
        <v>1.10528</v>
      </c>
      <c r="JX180" s="902">
        <v>16.153490199213007</v>
      </c>
      <c r="JY180" s="902">
        <v>0</v>
      </c>
      <c r="JZ180" s="902">
        <v>0</v>
      </c>
      <c r="KA180" s="902">
        <v>9.6644906372392594</v>
      </c>
      <c r="KB180" s="902">
        <v>0.61399534123580557</v>
      </c>
      <c r="KC180" s="902">
        <v>3600</v>
      </c>
      <c r="KD180" s="909" t="s">
        <v>1064</v>
      </c>
      <c r="KE180" s="909">
        <v>2</v>
      </c>
      <c r="KF180" s="909">
        <v>0</v>
      </c>
      <c r="KG180" s="909">
        <v>0</v>
      </c>
      <c r="KH180" s="909">
        <v>0</v>
      </c>
      <c r="KI180" s="910">
        <v>44763.564043097751</v>
      </c>
      <c r="KJ180" s="909">
        <v>0</v>
      </c>
      <c r="KK180" s="909">
        <v>0</v>
      </c>
      <c r="KL180" s="909">
        <v>0</v>
      </c>
      <c r="KM180" s="910">
        <v>43926.803444774581</v>
      </c>
      <c r="KN180" s="871">
        <v>4000</v>
      </c>
      <c r="KO180" s="912">
        <v>132.36577047124996</v>
      </c>
    </row>
    <row r="181" spans="1:301" ht="15" customHeight="1">
      <c r="A181" s="924" t="s">
        <v>1704</v>
      </c>
      <c r="B181" s="888" t="s">
        <v>1073</v>
      </c>
      <c r="C181" s="888">
        <v>230</v>
      </c>
      <c r="D181" s="888">
        <v>632</v>
      </c>
      <c r="E181" s="888">
        <v>160</v>
      </c>
      <c r="F181" s="888">
        <v>230</v>
      </c>
      <c r="G181" s="888">
        <v>39</v>
      </c>
      <c r="H181" s="888">
        <v>25</v>
      </c>
      <c r="I181" s="888">
        <v>25</v>
      </c>
      <c r="J181" s="888">
        <v>47.19</v>
      </c>
      <c r="K181" s="888">
        <v>75.069999999999993</v>
      </c>
      <c r="L181" s="888">
        <v>16</v>
      </c>
      <c r="M181" s="888">
        <v>220</v>
      </c>
      <c r="N181" s="888">
        <v>2</v>
      </c>
      <c r="O181" s="884">
        <v>4.6095307236320373</v>
      </c>
      <c r="P181" s="888">
        <v>2</v>
      </c>
      <c r="Q181" s="884">
        <v>3.7016791690838842</v>
      </c>
      <c r="R181" s="888">
        <v>10</v>
      </c>
      <c r="S181" s="888">
        <v>315</v>
      </c>
      <c r="T181" s="906">
        <v>6.1175939219042776</v>
      </c>
      <c r="U181" s="906">
        <v>47.25</v>
      </c>
      <c r="V181" s="906">
        <v>60</v>
      </c>
      <c r="W181" s="1141">
        <v>0.61940638459280806</v>
      </c>
      <c r="X181" s="902">
        <v>0</v>
      </c>
      <c r="Y181" s="902">
        <v>0</v>
      </c>
      <c r="Z181" s="902">
        <v>0</v>
      </c>
      <c r="AA181" s="902">
        <v>0</v>
      </c>
      <c r="AB181" s="970">
        <v>0.71730332637574556</v>
      </c>
      <c r="AC181" s="1045">
        <v>4000</v>
      </c>
      <c r="AD181" s="890"/>
      <c r="AE181" s="890"/>
      <c r="AF181" s="890"/>
      <c r="AG181" s="890"/>
      <c r="AH181" s="888"/>
      <c r="AI181" s="907">
        <v>1.3477323783799995</v>
      </c>
      <c r="AJ181" s="908">
        <v>2.0724</v>
      </c>
      <c r="AK181" s="902">
        <v>17.120610199213008</v>
      </c>
      <c r="AL181" s="902">
        <v>0</v>
      </c>
      <c r="AM181" s="902">
        <v>0</v>
      </c>
      <c r="AN181" s="902">
        <v>11.332254291737151</v>
      </c>
      <c r="AO181" s="902">
        <v>0.66867678959580557</v>
      </c>
      <c r="AP181" s="1222">
        <v>3600</v>
      </c>
      <c r="AQ181" s="909" t="s">
        <v>1062</v>
      </c>
      <c r="AR181" s="909">
        <v>3</v>
      </c>
      <c r="AS181" s="909">
        <v>0</v>
      </c>
      <c r="AT181" s="909">
        <v>0</v>
      </c>
      <c r="AU181" s="909">
        <v>0</v>
      </c>
      <c r="AV181" s="910">
        <v>27337.443477177028</v>
      </c>
      <c r="AW181" s="909">
        <v>0</v>
      </c>
      <c r="AX181" s="909">
        <v>0</v>
      </c>
      <c r="AY181" s="909">
        <v>0</v>
      </c>
      <c r="AZ181" s="910">
        <v>26826.427519235382</v>
      </c>
      <c r="BA181" s="871">
        <v>4000</v>
      </c>
      <c r="BB181" s="911">
        <v>132.36577047124996</v>
      </c>
      <c r="BC181" s="908">
        <v>2.0724</v>
      </c>
      <c r="BD181" s="902">
        <v>17.120610199213008</v>
      </c>
      <c r="BE181" s="902">
        <v>0</v>
      </c>
      <c r="BF181" s="902">
        <v>0</v>
      </c>
      <c r="BG181" s="902">
        <v>11.332254291737151</v>
      </c>
      <c r="BH181" s="902">
        <v>0.66867678959580557</v>
      </c>
      <c r="BI181" s="902">
        <v>3600</v>
      </c>
      <c r="BJ181" s="909" t="s">
        <v>1062</v>
      </c>
      <c r="BK181" s="909">
        <v>3</v>
      </c>
      <c r="BL181" s="909">
        <v>0</v>
      </c>
      <c r="BM181" s="909">
        <v>0</v>
      </c>
      <c r="BN181" s="909">
        <v>0</v>
      </c>
      <c r="BO181" s="910">
        <v>27337.443477177028</v>
      </c>
      <c r="BP181" s="909">
        <v>0</v>
      </c>
      <c r="BQ181" s="909">
        <v>0</v>
      </c>
      <c r="BR181" s="909">
        <v>0</v>
      </c>
      <c r="BS181" s="910">
        <v>26826.427519235382</v>
      </c>
      <c r="BT181" s="871">
        <v>4000</v>
      </c>
      <c r="BU181" s="911">
        <v>132.36577047124996</v>
      </c>
      <c r="BV181" s="908">
        <v>1.3816000000000002</v>
      </c>
      <c r="BW181" s="902">
        <v>16.429810199213009</v>
      </c>
      <c r="BX181" s="902">
        <v>0</v>
      </c>
      <c r="BY181" s="902">
        <v>0</v>
      </c>
      <c r="BZ181" s="902">
        <v>11.283155810045219</v>
      </c>
      <c r="CA181" s="902">
        <v>0.62961861219580562</v>
      </c>
      <c r="CB181" s="902">
        <v>3600</v>
      </c>
      <c r="CC181" s="909" t="s">
        <v>2874</v>
      </c>
      <c r="CD181" s="909">
        <v>2</v>
      </c>
      <c r="CE181" s="909">
        <v>0</v>
      </c>
      <c r="CF181" s="909">
        <v>0</v>
      </c>
      <c r="CG181" s="909">
        <v>0</v>
      </c>
      <c r="CH181" s="910">
        <v>18288.389565308174</v>
      </c>
      <c r="CI181" s="909">
        <v>0</v>
      </c>
      <c r="CJ181" s="909">
        <v>0</v>
      </c>
      <c r="CK181" s="909">
        <v>0</v>
      </c>
      <c r="CL181" s="910">
        <v>17946.526621147786</v>
      </c>
      <c r="CM181" s="871">
        <v>4000</v>
      </c>
      <c r="CN181" s="911">
        <v>132.36577047124996</v>
      </c>
      <c r="CO181" s="908">
        <v>1.3816000000000002</v>
      </c>
      <c r="CP181" s="902">
        <v>16.429810199213009</v>
      </c>
      <c r="CQ181" s="902">
        <v>0</v>
      </c>
      <c r="CR181" s="902">
        <v>0</v>
      </c>
      <c r="CS181" s="902">
        <v>11.283155810045219</v>
      </c>
      <c r="CT181" s="902">
        <v>0.62961861219580562</v>
      </c>
      <c r="CU181" s="902">
        <v>3600</v>
      </c>
      <c r="CV181" s="909" t="s">
        <v>2874</v>
      </c>
      <c r="CW181" s="909">
        <v>2</v>
      </c>
      <c r="CX181" s="909">
        <v>0</v>
      </c>
      <c r="CY181" s="909">
        <v>0</v>
      </c>
      <c r="CZ181" s="909">
        <v>0</v>
      </c>
      <c r="DA181" s="910">
        <v>18288.389565308174</v>
      </c>
      <c r="DB181" s="909">
        <v>0</v>
      </c>
      <c r="DC181" s="909">
        <v>0</v>
      </c>
      <c r="DD181" s="909">
        <v>0</v>
      </c>
      <c r="DE181" s="910">
        <v>17946.526621147786</v>
      </c>
      <c r="DF181" s="871">
        <v>4000</v>
      </c>
      <c r="DG181" s="911">
        <v>132.36577047124996</v>
      </c>
      <c r="DH181" s="908">
        <v>1.3816000000000002</v>
      </c>
      <c r="DI181" s="902">
        <v>16.429810199213009</v>
      </c>
      <c r="DJ181" s="902">
        <v>0</v>
      </c>
      <c r="DK181" s="902">
        <v>0</v>
      </c>
      <c r="DL181" s="902">
        <v>11.283155810045219</v>
      </c>
      <c r="DM181" s="902">
        <v>0.62961861219580562</v>
      </c>
      <c r="DN181" s="902">
        <v>3600</v>
      </c>
      <c r="DO181" s="909" t="s">
        <v>2876</v>
      </c>
      <c r="DP181" s="909">
        <v>2</v>
      </c>
      <c r="DQ181" s="909">
        <v>0</v>
      </c>
      <c r="DR181" s="909">
        <v>0</v>
      </c>
      <c r="DS181" s="909">
        <v>0</v>
      </c>
      <c r="DT181" s="910">
        <v>19551.110831209855</v>
      </c>
      <c r="DU181" s="909">
        <v>0</v>
      </c>
      <c r="DV181" s="909">
        <v>0</v>
      </c>
      <c r="DW181" s="909">
        <v>0</v>
      </c>
      <c r="DX181" s="910">
        <v>19185.643971129339</v>
      </c>
      <c r="DY181" s="871">
        <v>4000</v>
      </c>
      <c r="DZ181" s="911">
        <v>132.36577047124996</v>
      </c>
      <c r="EA181" s="908">
        <v>1.3816000000000002</v>
      </c>
      <c r="EB181" s="902">
        <v>16.429810199213009</v>
      </c>
      <c r="EC181" s="902">
        <v>0</v>
      </c>
      <c r="ED181" s="902">
        <v>0</v>
      </c>
      <c r="EE181" s="902">
        <v>11.283155810045219</v>
      </c>
      <c r="EF181" s="902">
        <v>0.62961861219580562</v>
      </c>
      <c r="EG181" s="902">
        <v>3600</v>
      </c>
      <c r="EH181" s="909" t="s">
        <v>2876</v>
      </c>
      <c r="EI181" s="909">
        <v>2</v>
      </c>
      <c r="EJ181" s="909">
        <v>0</v>
      </c>
      <c r="EK181" s="909">
        <v>0</v>
      </c>
      <c r="EL181" s="909">
        <v>0</v>
      </c>
      <c r="EM181" s="910">
        <v>19551.110831209855</v>
      </c>
      <c r="EN181" s="909">
        <v>0</v>
      </c>
      <c r="EO181" s="909">
        <v>0</v>
      </c>
      <c r="EP181" s="909">
        <v>0</v>
      </c>
      <c r="EQ181" s="910">
        <v>19185.643971129339</v>
      </c>
      <c r="ER181" s="871">
        <v>4000</v>
      </c>
      <c r="ES181" s="911">
        <v>132.36577047124996</v>
      </c>
      <c r="ET181" s="908">
        <v>1.3816000000000002</v>
      </c>
      <c r="EU181" s="902">
        <v>16.429810199213009</v>
      </c>
      <c r="EV181" s="902">
        <v>0</v>
      </c>
      <c r="EW181" s="902">
        <v>0</v>
      </c>
      <c r="EX181" s="902">
        <v>11.283155810045219</v>
      </c>
      <c r="EY181" s="902">
        <v>0.62961861219580562</v>
      </c>
      <c r="EZ181" s="902">
        <v>3600</v>
      </c>
      <c r="FA181" s="909" t="s">
        <v>3889</v>
      </c>
      <c r="FB181" s="909">
        <v>2</v>
      </c>
      <c r="FC181" s="909">
        <v>0</v>
      </c>
      <c r="FD181" s="909">
        <v>0</v>
      </c>
      <c r="FE181" s="909">
        <v>0</v>
      </c>
      <c r="FF181" s="910">
        <v>19954.268933777166</v>
      </c>
      <c r="FG181" s="909">
        <v>0</v>
      </c>
      <c r="FH181" s="909">
        <v>0</v>
      </c>
      <c r="FI181" s="909">
        <v>0</v>
      </c>
      <c r="FJ181" s="910">
        <v>19581.265881654617</v>
      </c>
      <c r="FK181" s="871">
        <v>4000</v>
      </c>
      <c r="FL181" s="911">
        <v>132.36577047124996</v>
      </c>
      <c r="FM181" s="908">
        <v>1.3816000000000002</v>
      </c>
      <c r="FN181" s="902">
        <v>16.429810199213009</v>
      </c>
      <c r="FO181" s="902">
        <v>0</v>
      </c>
      <c r="FP181" s="902">
        <v>0</v>
      </c>
      <c r="FQ181" s="902">
        <v>11.283155810045219</v>
      </c>
      <c r="FR181" s="902">
        <v>0.62961861219580562</v>
      </c>
      <c r="FS181" s="902">
        <v>3600</v>
      </c>
      <c r="FT181" s="909" t="s">
        <v>3889</v>
      </c>
      <c r="FU181" s="909">
        <v>2</v>
      </c>
      <c r="FV181" s="909">
        <v>0</v>
      </c>
      <c r="FW181" s="909">
        <v>0</v>
      </c>
      <c r="FX181" s="909">
        <v>0</v>
      </c>
      <c r="FY181" s="910">
        <v>19954.268933777166</v>
      </c>
      <c r="FZ181" s="909">
        <v>0</v>
      </c>
      <c r="GA181" s="909">
        <v>0</v>
      </c>
      <c r="GB181" s="909">
        <v>0</v>
      </c>
      <c r="GC181" s="910">
        <v>19581.265881654617</v>
      </c>
      <c r="GD181" s="871">
        <v>4000</v>
      </c>
      <c r="GE181" s="911">
        <v>132.36577047124996</v>
      </c>
      <c r="GF181" s="908">
        <v>1.3816000000000002</v>
      </c>
      <c r="GG181" s="902">
        <v>16.429810199213009</v>
      </c>
      <c r="GH181" s="902">
        <v>0</v>
      </c>
      <c r="GI181" s="902">
        <v>0</v>
      </c>
      <c r="GJ181" s="902">
        <v>11.283155810045219</v>
      </c>
      <c r="GK181" s="902">
        <v>0.62961861219580562</v>
      </c>
      <c r="GL181" s="902">
        <v>3600</v>
      </c>
      <c r="GM181" s="909" t="s">
        <v>2877</v>
      </c>
      <c r="GN181" s="909">
        <v>2</v>
      </c>
      <c r="GO181" s="909">
        <v>0</v>
      </c>
      <c r="GP181" s="909">
        <v>0</v>
      </c>
      <c r="GQ181" s="909">
        <v>0</v>
      </c>
      <c r="GR181" s="910">
        <v>26771.461066343159</v>
      </c>
      <c r="GS181" s="909">
        <v>0</v>
      </c>
      <c r="GT181" s="909">
        <v>0</v>
      </c>
      <c r="GU181" s="909">
        <v>0</v>
      </c>
      <c r="GV181" s="910">
        <v>26271.024958126374</v>
      </c>
      <c r="GW181" s="871">
        <v>4000</v>
      </c>
      <c r="GX181" s="911">
        <v>132.36577047124996</v>
      </c>
      <c r="GY181" s="908">
        <v>1.3816000000000002</v>
      </c>
      <c r="GZ181" s="902">
        <v>16.429810199213009</v>
      </c>
      <c r="HA181" s="902">
        <v>0</v>
      </c>
      <c r="HB181" s="902">
        <v>0</v>
      </c>
      <c r="HC181" s="902">
        <v>11.283155810045219</v>
      </c>
      <c r="HD181" s="902">
        <v>0.62961861219580562</v>
      </c>
      <c r="HE181" s="902">
        <v>3600</v>
      </c>
      <c r="HF181" s="909" t="s">
        <v>2877</v>
      </c>
      <c r="HG181" s="909">
        <v>2</v>
      </c>
      <c r="HH181" s="909">
        <v>0</v>
      </c>
      <c r="HI181" s="909">
        <v>0</v>
      </c>
      <c r="HJ181" s="909">
        <v>0</v>
      </c>
      <c r="HK181" s="910">
        <v>26771.461066343159</v>
      </c>
      <c r="HL181" s="909">
        <v>0</v>
      </c>
      <c r="HM181" s="909">
        <v>0</v>
      </c>
      <c r="HN181" s="909">
        <v>0</v>
      </c>
      <c r="HO181" s="910">
        <v>26271.024958126374</v>
      </c>
      <c r="HP181" s="871">
        <v>4000</v>
      </c>
      <c r="HQ181" s="911">
        <v>132.36577047124996</v>
      </c>
      <c r="HR181" s="908">
        <v>1.3816000000000002</v>
      </c>
      <c r="HS181" s="902">
        <v>16.429810199213009</v>
      </c>
      <c r="HT181" s="902">
        <v>0</v>
      </c>
      <c r="HU181" s="902">
        <v>0</v>
      </c>
      <c r="HV181" s="902">
        <v>11.283155810045219</v>
      </c>
      <c r="HW181" s="902">
        <v>0.62961861219580562</v>
      </c>
      <c r="HX181" s="902">
        <v>3600</v>
      </c>
      <c r="HY181" s="909" t="s">
        <v>1063</v>
      </c>
      <c r="HZ181" s="909">
        <v>2</v>
      </c>
      <c r="IA181" s="909">
        <v>0</v>
      </c>
      <c r="IB181" s="909">
        <v>0</v>
      </c>
      <c r="IC181" s="909">
        <v>0</v>
      </c>
      <c r="ID181" s="910">
        <v>23610.209405128451</v>
      </c>
      <c r="IE181" s="909">
        <v>0</v>
      </c>
      <c r="IF181" s="909">
        <v>0</v>
      </c>
      <c r="IG181" s="909">
        <v>0</v>
      </c>
      <c r="IH181" s="910">
        <v>23168.866241984677</v>
      </c>
      <c r="II181" s="871">
        <v>4000</v>
      </c>
      <c r="IJ181" s="911">
        <v>132.36577047124996</v>
      </c>
      <c r="IK181" s="908">
        <v>1.3816000000000002</v>
      </c>
      <c r="IL181" s="902">
        <v>16.429810199213009</v>
      </c>
      <c r="IM181" s="902">
        <v>0</v>
      </c>
      <c r="IN181" s="902">
        <v>0</v>
      </c>
      <c r="IO181" s="902">
        <v>11.283155810045219</v>
      </c>
      <c r="IP181" s="902">
        <v>0.62961861219580562</v>
      </c>
      <c r="IQ181" s="902">
        <v>3600</v>
      </c>
      <c r="IR181" s="909" t="s">
        <v>1063</v>
      </c>
      <c r="IS181" s="909">
        <v>2</v>
      </c>
      <c r="IT181" s="909">
        <v>0</v>
      </c>
      <c r="IU181" s="909">
        <v>0</v>
      </c>
      <c r="IV181" s="909">
        <v>0</v>
      </c>
      <c r="IW181" s="910">
        <v>23610.209405128451</v>
      </c>
      <c r="IX181" s="909">
        <v>0</v>
      </c>
      <c r="IY181" s="909">
        <v>0</v>
      </c>
      <c r="IZ181" s="909">
        <v>0</v>
      </c>
      <c r="JA181" s="910">
        <v>23168.866241984677</v>
      </c>
      <c r="JB181" s="871">
        <v>4000</v>
      </c>
      <c r="JC181" s="911">
        <v>132.36577047124996</v>
      </c>
      <c r="JD181" s="908">
        <v>1.3816000000000002</v>
      </c>
      <c r="JE181" s="902">
        <v>16.429810199213009</v>
      </c>
      <c r="JF181" s="902">
        <v>0</v>
      </c>
      <c r="JG181" s="902">
        <v>0</v>
      </c>
      <c r="JH181" s="902">
        <v>11.283155810045219</v>
      </c>
      <c r="JI181" s="902">
        <v>0.62961861219580562</v>
      </c>
      <c r="JJ181" s="902">
        <v>3600</v>
      </c>
      <c r="JK181" s="909" t="s">
        <v>1064</v>
      </c>
      <c r="JL181" s="909">
        <v>2</v>
      </c>
      <c r="JM181" s="909">
        <v>0</v>
      </c>
      <c r="JN181" s="909">
        <v>0</v>
      </c>
      <c r="JO181" s="909">
        <v>0</v>
      </c>
      <c r="JP181" s="910">
        <v>32175.291864596042</v>
      </c>
      <c r="JQ181" s="909">
        <v>0</v>
      </c>
      <c r="JR181" s="909">
        <v>0</v>
      </c>
      <c r="JS181" s="909">
        <v>0</v>
      </c>
      <c r="JT181" s="910">
        <v>31573.842515172946</v>
      </c>
      <c r="JU181" s="871">
        <v>4000</v>
      </c>
      <c r="JV181" s="911">
        <v>132.36577047124996</v>
      </c>
      <c r="JW181" s="908">
        <v>1.3816000000000002</v>
      </c>
      <c r="JX181" s="902">
        <v>16.429810199213009</v>
      </c>
      <c r="JY181" s="902">
        <v>0</v>
      </c>
      <c r="JZ181" s="902">
        <v>0</v>
      </c>
      <c r="KA181" s="902">
        <v>11.283155810045219</v>
      </c>
      <c r="KB181" s="902">
        <v>0.62961861219580562</v>
      </c>
      <c r="KC181" s="902">
        <v>3600</v>
      </c>
      <c r="KD181" s="909" t="s">
        <v>1064</v>
      </c>
      <c r="KE181" s="909">
        <v>2</v>
      </c>
      <c r="KF181" s="909">
        <v>0</v>
      </c>
      <c r="KG181" s="909">
        <v>0</v>
      </c>
      <c r="KH181" s="909">
        <v>0</v>
      </c>
      <c r="KI181" s="910">
        <v>32175.291864596042</v>
      </c>
      <c r="KJ181" s="909">
        <v>0</v>
      </c>
      <c r="KK181" s="909">
        <v>0</v>
      </c>
      <c r="KL181" s="909">
        <v>0</v>
      </c>
      <c r="KM181" s="910">
        <v>31573.842515172946</v>
      </c>
      <c r="KN181" s="871">
        <v>4000</v>
      </c>
      <c r="KO181" s="912">
        <v>132.36577047124996</v>
      </c>
    </row>
    <row r="182" spans="1:301" ht="15" customHeight="1">
      <c r="A182" s="924" t="s">
        <v>1705</v>
      </c>
      <c r="B182" s="888" t="s">
        <v>1073</v>
      </c>
      <c r="C182" s="888">
        <v>230</v>
      </c>
      <c r="D182" s="888">
        <v>632</v>
      </c>
      <c r="E182" s="888">
        <v>160</v>
      </c>
      <c r="F182" s="888">
        <v>230</v>
      </c>
      <c r="G182" s="888">
        <v>39</v>
      </c>
      <c r="H182" s="888">
        <v>25</v>
      </c>
      <c r="I182" s="888">
        <v>25</v>
      </c>
      <c r="J182" s="888">
        <v>47.19</v>
      </c>
      <c r="K182" s="888">
        <v>75.069999999999993</v>
      </c>
      <c r="L182" s="888">
        <v>16</v>
      </c>
      <c r="M182" s="888">
        <v>220</v>
      </c>
      <c r="N182" s="888">
        <v>2</v>
      </c>
      <c r="O182" s="884">
        <v>4.6095307236320373</v>
      </c>
      <c r="P182" s="888">
        <v>2</v>
      </c>
      <c r="Q182" s="884">
        <v>2.726154311784303</v>
      </c>
      <c r="R182" s="888">
        <v>13.000000000000002</v>
      </c>
      <c r="S182" s="888">
        <v>422.30104614921703</v>
      </c>
      <c r="T182" s="906">
        <v>14.293783670922839</v>
      </c>
      <c r="U182" s="906">
        <v>63.34515692238255</v>
      </c>
      <c r="V182" s="906">
        <v>60</v>
      </c>
      <c r="W182" s="1141">
        <v>1.113265843600721</v>
      </c>
      <c r="X182" s="902">
        <v>0</v>
      </c>
      <c r="Y182" s="902">
        <v>0</v>
      </c>
      <c r="Z182" s="902">
        <v>0</v>
      </c>
      <c r="AA182" s="902">
        <v>0</v>
      </c>
      <c r="AB182" s="970">
        <v>0.99888537730663585</v>
      </c>
      <c r="AC182" s="1045">
        <v>4000</v>
      </c>
      <c r="AD182" s="890">
        <v>2.915995962497318</v>
      </c>
      <c r="AE182" s="890">
        <v>1.0795237663458117</v>
      </c>
      <c r="AF182" s="890">
        <v>-6.5552413633073528E-2</v>
      </c>
      <c r="AG182" s="890">
        <v>0.60601828169989735</v>
      </c>
      <c r="AH182" s="888"/>
      <c r="AI182" s="907">
        <v>1.3477323783799995</v>
      </c>
      <c r="AJ182" s="908">
        <v>2.0724</v>
      </c>
      <c r="AK182" s="902">
        <v>24.815134549939899</v>
      </c>
      <c r="AL182" s="902">
        <v>0</v>
      </c>
      <c r="AM182" s="902">
        <v>0</v>
      </c>
      <c r="AN182" s="902">
        <v>10.887589226158745</v>
      </c>
      <c r="AO182" s="902">
        <v>0.87759419474628064</v>
      </c>
      <c r="AP182" s="1222">
        <v>3600</v>
      </c>
      <c r="AQ182" s="909" t="s">
        <v>1062</v>
      </c>
      <c r="AR182" s="909">
        <v>3</v>
      </c>
      <c r="AS182" s="909">
        <v>0</v>
      </c>
      <c r="AT182" s="909">
        <v>0</v>
      </c>
      <c r="AU182" s="909">
        <v>0</v>
      </c>
      <c r="AV182" s="910">
        <v>26298.95244587749</v>
      </c>
      <c r="AW182" s="909">
        <v>0</v>
      </c>
      <c r="AX182" s="909">
        <v>0</v>
      </c>
      <c r="AY182" s="909">
        <v>0</v>
      </c>
      <c r="AZ182" s="910">
        <v>36284.258932279932</v>
      </c>
      <c r="BA182" s="871">
        <v>4000</v>
      </c>
      <c r="BB182" s="911">
        <v>132.36577047124996</v>
      </c>
      <c r="BC182" s="908">
        <v>2.0724</v>
      </c>
      <c r="BD182" s="902">
        <v>24.815134549939899</v>
      </c>
      <c r="BE182" s="902">
        <v>0</v>
      </c>
      <c r="BF182" s="902">
        <v>0</v>
      </c>
      <c r="BG182" s="902">
        <v>10.887589226158745</v>
      </c>
      <c r="BH182" s="902">
        <v>0.87759419474628064</v>
      </c>
      <c r="BI182" s="902">
        <v>3600</v>
      </c>
      <c r="BJ182" s="909" t="s">
        <v>1062</v>
      </c>
      <c r="BK182" s="909">
        <v>3</v>
      </c>
      <c r="BL182" s="909">
        <v>0</v>
      </c>
      <c r="BM182" s="909">
        <v>0</v>
      </c>
      <c r="BN182" s="909">
        <v>0</v>
      </c>
      <c r="BO182" s="910">
        <v>26298.95244587749</v>
      </c>
      <c r="BP182" s="909">
        <v>0</v>
      </c>
      <c r="BQ182" s="909">
        <v>0</v>
      </c>
      <c r="BR182" s="909">
        <v>0</v>
      </c>
      <c r="BS182" s="910">
        <v>36284.258932279932</v>
      </c>
      <c r="BT182" s="871">
        <v>4000</v>
      </c>
      <c r="BU182" s="911">
        <v>132.36577047124996</v>
      </c>
      <c r="BV182" s="908">
        <v>1.3816000000000002</v>
      </c>
      <c r="BW182" s="902">
        <v>24.124334549939899</v>
      </c>
      <c r="BX182" s="902">
        <v>0</v>
      </c>
      <c r="BY182" s="902">
        <v>0</v>
      </c>
      <c r="BZ182" s="902">
        <v>10.841417865026949</v>
      </c>
      <c r="CA182" s="902">
        <v>0.83853601734628069</v>
      </c>
      <c r="CB182" s="902">
        <v>3600</v>
      </c>
      <c r="CC182" s="909" t="s">
        <v>2874</v>
      </c>
      <c r="CD182" s="909">
        <v>2</v>
      </c>
      <c r="CE182" s="909">
        <v>0</v>
      </c>
      <c r="CF182" s="909">
        <v>0</v>
      </c>
      <c r="CG182" s="909">
        <v>0</v>
      </c>
      <c r="CH182" s="910">
        <v>18288.389565308174</v>
      </c>
      <c r="CI182" s="909">
        <v>0</v>
      </c>
      <c r="CJ182" s="909">
        <v>0</v>
      </c>
      <c r="CK182" s="909">
        <v>0</v>
      </c>
      <c r="CL182" s="910">
        <v>17946.526621147786</v>
      </c>
      <c r="CM182" s="871">
        <v>4000</v>
      </c>
      <c r="CN182" s="911">
        <v>132.36577047124996</v>
      </c>
      <c r="CO182" s="908">
        <v>1.3816000000000002</v>
      </c>
      <c r="CP182" s="902">
        <v>24.124334549939899</v>
      </c>
      <c r="CQ182" s="902">
        <v>0</v>
      </c>
      <c r="CR182" s="902">
        <v>0</v>
      </c>
      <c r="CS182" s="902">
        <v>10.841417865026949</v>
      </c>
      <c r="CT182" s="902">
        <v>0.83853601734628069</v>
      </c>
      <c r="CU182" s="902">
        <v>3600</v>
      </c>
      <c r="CV182" s="909" t="s">
        <v>2874</v>
      </c>
      <c r="CW182" s="909">
        <v>2</v>
      </c>
      <c r="CX182" s="909">
        <v>0</v>
      </c>
      <c r="CY182" s="909">
        <v>0</v>
      </c>
      <c r="CZ182" s="909">
        <v>0</v>
      </c>
      <c r="DA182" s="910">
        <v>18288.389565308174</v>
      </c>
      <c r="DB182" s="909">
        <v>0</v>
      </c>
      <c r="DC182" s="909">
        <v>0</v>
      </c>
      <c r="DD182" s="909">
        <v>0</v>
      </c>
      <c r="DE182" s="910">
        <v>17946.526621147786</v>
      </c>
      <c r="DF182" s="871">
        <v>4000</v>
      </c>
      <c r="DG182" s="911">
        <v>132.36577047124996</v>
      </c>
      <c r="DH182" s="908">
        <v>1.3816000000000002</v>
      </c>
      <c r="DI182" s="902">
        <v>24.124334549939899</v>
      </c>
      <c r="DJ182" s="902">
        <v>0</v>
      </c>
      <c r="DK182" s="902">
        <v>0</v>
      </c>
      <c r="DL182" s="902">
        <v>10.841417865026949</v>
      </c>
      <c r="DM182" s="902">
        <v>0.83853601734628069</v>
      </c>
      <c r="DN182" s="902">
        <v>3600</v>
      </c>
      <c r="DO182" s="909" t="s">
        <v>2876</v>
      </c>
      <c r="DP182" s="909">
        <v>2</v>
      </c>
      <c r="DQ182" s="909">
        <v>0</v>
      </c>
      <c r="DR182" s="909">
        <v>0</v>
      </c>
      <c r="DS182" s="909">
        <v>0</v>
      </c>
      <c r="DT182" s="910">
        <v>19551.110831209855</v>
      </c>
      <c r="DU182" s="909">
        <v>0</v>
      </c>
      <c r="DV182" s="909">
        <v>0</v>
      </c>
      <c r="DW182" s="909">
        <v>0</v>
      </c>
      <c r="DX182" s="910">
        <v>19185.643971129339</v>
      </c>
      <c r="DY182" s="871">
        <v>4000</v>
      </c>
      <c r="DZ182" s="911">
        <v>132.36577047124996</v>
      </c>
      <c r="EA182" s="908">
        <v>1.3816000000000002</v>
      </c>
      <c r="EB182" s="902">
        <v>24.124334549939899</v>
      </c>
      <c r="EC182" s="902">
        <v>0</v>
      </c>
      <c r="ED182" s="902">
        <v>0</v>
      </c>
      <c r="EE182" s="902">
        <v>10.841417865026949</v>
      </c>
      <c r="EF182" s="902">
        <v>0.83853601734628069</v>
      </c>
      <c r="EG182" s="902">
        <v>3600</v>
      </c>
      <c r="EH182" s="909" t="s">
        <v>2876</v>
      </c>
      <c r="EI182" s="909">
        <v>2</v>
      </c>
      <c r="EJ182" s="909">
        <v>0</v>
      </c>
      <c r="EK182" s="909">
        <v>0</v>
      </c>
      <c r="EL182" s="909">
        <v>0</v>
      </c>
      <c r="EM182" s="910">
        <v>19551.110831209855</v>
      </c>
      <c r="EN182" s="909">
        <v>0</v>
      </c>
      <c r="EO182" s="909">
        <v>0</v>
      </c>
      <c r="EP182" s="909">
        <v>0</v>
      </c>
      <c r="EQ182" s="910">
        <v>19185.643971129339</v>
      </c>
      <c r="ER182" s="871">
        <v>4000</v>
      </c>
      <c r="ES182" s="911">
        <v>132.36577047124996</v>
      </c>
      <c r="ET182" s="908">
        <v>1.3816000000000002</v>
      </c>
      <c r="EU182" s="902">
        <v>24.124334549939899</v>
      </c>
      <c r="EV182" s="902">
        <v>0</v>
      </c>
      <c r="EW182" s="902">
        <v>0</v>
      </c>
      <c r="EX182" s="902">
        <v>10.841417865026949</v>
      </c>
      <c r="EY182" s="902">
        <v>0.83853601734628069</v>
      </c>
      <c r="EZ182" s="902">
        <v>3600</v>
      </c>
      <c r="FA182" s="909" t="s">
        <v>3889</v>
      </c>
      <c r="FB182" s="909">
        <v>2</v>
      </c>
      <c r="FC182" s="909">
        <v>0</v>
      </c>
      <c r="FD182" s="909">
        <v>0</v>
      </c>
      <c r="FE182" s="909">
        <v>0</v>
      </c>
      <c r="FF182" s="910">
        <v>19954.268933777166</v>
      </c>
      <c r="FG182" s="909">
        <v>0</v>
      </c>
      <c r="FH182" s="909">
        <v>0</v>
      </c>
      <c r="FI182" s="909">
        <v>0</v>
      </c>
      <c r="FJ182" s="910">
        <v>19581.265881654617</v>
      </c>
      <c r="FK182" s="871">
        <v>4000</v>
      </c>
      <c r="FL182" s="911">
        <v>132.36577047124996</v>
      </c>
      <c r="FM182" s="908">
        <v>1.3816000000000002</v>
      </c>
      <c r="FN182" s="902">
        <v>24.124334549939899</v>
      </c>
      <c r="FO182" s="902">
        <v>0</v>
      </c>
      <c r="FP182" s="902">
        <v>0</v>
      </c>
      <c r="FQ182" s="902">
        <v>10.841417865026949</v>
      </c>
      <c r="FR182" s="902">
        <v>0.83853601734628069</v>
      </c>
      <c r="FS182" s="902">
        <v>3600</v>
      </c>
      <c r="FT182" s="909" t="s">
        <v>3889</v>
      </c>
      <c r="FU182" s="909">
        <v>2</v>
      </c>
      <c r="FV182" s="909">
        <v>0</v>
      </c>
      <c r="FW182" s="909">
        <v>0</v>
      </c>
      <c r="FX182" s="909">
        <v>0</v>
      </c>
      <c r="FY182" s="910">
        <v>19954.268933777166</v>
      </c>
      <c r="FZ182" s="909">
        <v>0</v>
      </c>
      <c r="GA182" s="909">
        <v>0</v>
      </c>
      <c r="GB182" s="909">
        <v>0</v>
      </c>
      <c r="GC182" s="910">
        <v>19581.265881654617</v>
      </c>
      <c r="GD182" s="871">
        <v>4000</v>
      </c>
      <c r="GE182" s="911">
        <v>132.36577047124996</v>
      </c>
      <c r="GF182" s="908">
        <v>1.3816000000000002</v>
      </c>
      <c r="GG182" s="902">
        <v>24.124334549939899</v>
      </c>
      <c r="GH182" s="902">
        <v>0</v>
      </c>
      <c r="GI182" s="902">
        <v>0</v>
      </c>
      <c r="GJ182" s="902">
        <v>10.841417865026949</v>
      </c>
      <c r="GK182" s="902">
        <v>0.83853601734628069</v>
      </c>
      <c r="GL182" s="902">
        <v>3600</v>
      </c>
      <c r="GM182" s="909" t="s">
        <v>2877</v>
      </c>
      <c r="GN182" s="909">
        <v>2</v>
      </c>
      <c r="GO182" s="909">
        <v>0</v>
      </c>
      <c r="GP182" s="909">
        <v>0</v>
      </c>
      <c r="GQ182" s="909">
        <v>0</v>
      </c>
      <c r="GR182" s="910">
        <v>26771.461066343159</v>
      </c>
      <c r="GS182" s="909">
        <v>0</v>
      </c>
      <c r="GT182" s="909">
        <v>0</v>
      </c>
      <c r="GU182" s="909">
        <v>0</v>
      </c>
      <c r="GV182" s="910">
        <v>26271.024958126374</v>
      </c>
      <c r="GW182" s="871">
        <v>4000</v>
      </c>
      <c r="GX182" s="911">
        <v>132.36577047124996</v>
      </c>
      <c r="GY182" s="908">
        <v>1.3816000000000002</v>
      </c>
      <c r="GZ182" s="902">
        <v>24.124334549939899</v>
      </c>
      <c r="HA182" s="902">
        <v>0</v>
      </c>
      <c r="HB182" s="902">
        <v>0</v>
      </c>
      <c r="HC182" s="902">
        <v>10.841417865026949</v>
      </c>
      <c r="HD182" s="902">
        <v>0.83853601734628069</v>
      </c>
      <c r="HE182" s="902">
        <v>3600</v>
      </c>
      <c r="HF182" s="909" t="s">
        <v>2877</v>
      </c>
      <c r="HG182" s="909">
        <v>2</v>
      </c>
      <c r="HH182" s="909">
        <v>0</v>
      </c>
      <c r="HI182" s="909">
        <v>0</v>
      </c>
      <c r="HJ182" s="909">
        <v>0</v>
      </c>
      <c r="HK182" s="910">
        <v>26771.461066343159</v>
      </c>
      <c r="HL182" s="909">
        <v>0</v>
      </c>
      <c r="HM182" s="909">
        <v>0</v>
      </c>
      <c r="HN182" s="909">
        <v>0</v>
      </c>
      <c r="HO182" s="910">
        <v>26271.024958126374</v>
      </c>
      <c r="HP182" s="871">
        <v>4000</v>
      </c>
      <c r="HQ182" s="911">
        <v>132.36577047124996</v>
      </c>
      <c r="HR182" s="908">
        <v>1.3816000000000002</v>
      </c>
      <c r="HS182" s="902">
        <v>24.124334549939899</v>
      </c>
      <c r="HT182" s="902">
        <v>0</v>
      </c>
      <c r="HU182" s="902">
        <v>0</v>
      </c>
      <c r="HV182" s="902">
        <v>10.841417865026949</v>
      </c>
      <c r="HW182" s="902">
        <v>0.83853601734628069</v>
      </c>
      <c r="HX182" s="902">
        <v>3600</v>
      </c>
      <c r="HY182" s="909" t="s">
        <v>1063</v>
      </c>
      <c r="HZ182" s="909">
        <v>2</v>
      </c>
      <c r="IA182" s="909">
        <v>0</v>
      </c>
      <c r="IB182" s="909">
        <v>0</v>
      </c>
      <c r="IC182" s="909">
        <v>0</v>
      </c>
      <c r="ID182" s="910">
        <v>23610.209405128451</v>
      </c>
      <c r="IE182" s="909">
        <v>0</v>
      </c>
      <c r="IF182" s="909">
        <v>0</v>
      </c>
      <c r="IG182" s="909">
        <v>0</v>
      </c>
      <c r="IH182" s="910">
        <v>23168.866241984677</v>
      </c>
      <c r="II182" s="871">
        <v>4000</v>
      </c>
      <c r="IJ182" s="911">
        <v>132.36577047124996</v>
      </c>
      <c r="IK182" s="908">
        <v>1.3816000000000002</v>
      </c>
      <c r="IL182" s="902">
        <v>24.124334549939899</v>
      </c>
      <c r="IM182" s="902">
        <v>0</v>
      </c>
      <c r="IN182" s="902">
        <v>0</v>
      </c>
      <c r="IO182" s="902">
        <v>10.841417865026949</v>
      </c>
      <c r="IP182" s="902">
        <v>0.83853601734628069</v>
      </c>
      <c r="IQ182" s="902">
        <v>3600</v>
      </c>
      <c r="IR182" s="909" t="s">
        <v>1063</v>
      </c>
      <c r="IS182" s="909">
        <v>2</v>
      </c>
      <c r="IT182" s="909">
        <v>0</v>
      </c>
      <c r="IU182" s="909">
        <v>0</v>
      </c>
      <c r="IV182" s="909">
        <v>0</v>
      </c>
      <c r="IW182" s="910">
        <v>23610.209405128451</v>
      </c>
      <c r="IX182" s="909">
        <v>0</v>
      </c>
      <c r="IY182" s="909">
        <v>0</v>
      </c>
      <c r="IZ182" s="909">
        <v>0</v>
      </c>
      <c r="JA182" s="910">
        <v>23168.866241984677</v>
      </c>
      <c r="JB182" s="871">
        <v>4000</v>
      </c>
      <c r="JC182" s="911">
        <v>132.36577047124996</v>
      </c>
      <c r="JD182" s="908">
        <v>1.3816000000000002</v>
      </c>
      <c r="JE182" s="902">
        <v>24.124334549939899</v>
      </c>
      <c r="JF182" s="902">
        <v>0</v>
      </c>
      <c r="JG182" s="902">
        <v>0</v>
      </c>
      <c r="JH182" s="902">
        <v>10.841417865026949</v>
      </c>
      <c r="JI182" s="902">
        <v>0.83853601734628069</v>
      </c>
      <c r="JJ182" s="902">
        <v>3600</v>
      </c>
      <c r="JK182" s="909" t="s">
        <v>1064</v>
      </c>
      <c r="JL182" s="909">
        <v>2</v>
      </c>
      <c r="JM182" s="909">
        <v>0</v>
      </c>
      <c r="JN182" s="909">
        <v>0</v>
      </c>
      <c r="JO182" s="909">
        <v>0</v>
      </c>
      <c r="JP182" s="910">
        <v>32175.291864596042</v>
      </c>
      <c r="JQ182" s="909">
        <v>0</v>
      </c>
      <c r="JR182" s="909">
        <v>0</v>
      </c>
      <c r="JS182" s="909">
        <v>0</v>
      </c>
      <c r="JT182" s="910">
        <v>31573.842515172946</v>
      </c>
      <c r="JU182" s="871">
        <v>4000</v>
      </c>
      <c r="JV182" s="911">
        <v>132.36577047124996</v>
      </c>
      <c r="JW182" s="908">
        <v>1.3816000000000002</v>
      </c>
      <c r="JX182" s="902">
        <v>24.124334549939899</v>
      </c>
      <c r="JY182" s="902">
        <v>0</v>
      </c>
      <c r="JZ182" s="902">
        <v>0</v>
      </c>
      <c r="KA182" s="902">
        <v>10.841417865026949</v>
      </c>
      <c r="KB182" s="902">
        <v>0.83853601734628069</v>
      </c>
      <c r="KC182" s="902">
        <v>3600</v>
      </c>
      <c r="KD182" s="909" t="s">
        <v>1064</v>
      </c>
      <c r="KE182" s="909">
        <v>2</v>
      </c>
      <c r="KF182" s="909">
        <v>0</v>
      </c>
      <c r="KG182" s="909">
        <v>0</v>
      </c>
      <c r="KH182" s="909">
        <v>0</v>
      </c>
      <c r="KI182" s="910">
        <v>32175.291864596042</v>
      </c>
      <c r="KJ182" s="909">
        <v>0</v>
      </c>
      <c r="KK182" s="909">
        <v>0</v>
      </c>
      <c r="KL182" s="909">
        <v>0</v>
      </c>
      <c r="KM182" s="910">
        <v>31573.842515172946</v>
      </c>
      <c r="KN182" s="871">
        <v>4000</v>
      </c>
      <c r="KO182" s="912">
        <v>132.36577047124996</v>
      </c>
    </row>
    <row r="183" spans="1:301" ht="15" customHeight="1">
      <c r="A183" s="924" t="s">
        <v>1706</v>
      </c>
      <c r="B183" s="888" t="s">
        <v>1073</v>
      </c>
      <c r="C183" s="888">
        <v>230</v>
      </c>
      <c r="D183" s="888">
        <v>632</v>
      </c>
      <c r="E183" s="888">
        <v>160</v>
      </c>
      <c r="F183" s="888">
        <v>230</v>
      </c>
      <c r="G183" s="888">
        <v>49</v>
      </c>
      <c r="H183" s="888">
        <v>35</v>
      </c>
      <c r="I183" s="888">
        <v>35</v>
      </c>
      <c r="J183" s="888">
        <v>42.34</v>
      </c>
      <c r="K183" s="888">
        <v>73.78</v>
      </c>
      <c r="L183" s="888">
        <v>16</v>
      </c>
      <c r="M183" s="888">
        <v>220</v>
      </c>
      <c r="N183" s="888">
        <v>2</v>
      </c>
      <c r="O183" s="884">
        <v>4.6095307236320373</v>
      </c>
      <c r="P183" s="888">
        <v>2</v>
      </c>
      <c r="Q183" s="884">
        <v>2.7370041762790547</v>
      </c>
      <c r="R183" s="888">
        <v>13.000000000000002</v>
      </c>
      <c r="S183" s="888">
        <v>421.25796207911094</v>
      </c>
      <c r="T183" s="906">
        <v>14.223259551706953</v>
      </c>
      <c r="U183" s="906">
        <v>63.188694311866641</v>
      </c>
      <c r="V183" s="906">
        <v>60</v>
      </c>
      <c r="W183" s="1141">
        <v>1.1077730997002528</v>
      </c>
      <c r="X183" s="902">
        <v>0</v>
      </c>
      <c r="Y183" s="902">
        <v>0</v>
      </c>
      <c r="Z183" s="902">
        <v>0</v>
      </c>
      <c r="AA183" s="902">
        <v>0</v>
      </c>
      <c r="AB183" s="970">
        <v>1.2589865499600892</v>
      </c>
      <c r="AC183" s="1045">
        <v>4000</v>
      </c>
      <c r="AD183" s="890">
        <v>2.6354212106838908</v>
      </c>
      <c r="AE183" s="890">
        <v>0.91120696519473776</v>
      </c>
      <c r="AF183" s="890">
        <v>-8.9017376206994556E-2</v>
      </c>
      <c r="AG183" s="890">
        <v>0.70058170788089158</v>
      </c>
      <c r="AH183" s="888"/>
      <c r="AI183" s="907">
        <v>1.4181323783799995</v>
      </c>
      <c r="AJ183" s="908">
        <v>2.9013600000000004</v>
      </c>
      <c r="AK183" s="902">
        <v>25.578927551318298</v>
      </c>
      <c r="AL183" s="902">
        <v>0</v>
      </c>
      <c r="AM183" s="902">
        <v>0</v>
      </c>
      <c r="AN183" s="902">
        <v>13.312863054845034</v>
      </c>
      <c r="AO183" s="902">
        <v>0.9218100216713192</v>
      </c>
      <c r="AP183" s="1222">
        <v>3600</v>
      </c>
      <c r="AQ183" s="909" t="s">
        <v>1062</v>
      </c>
      <c r="AR183" s="909">
        <v>3</v>
      </c>
      <c r="AS183" s="909">
        <v>0</v>
      </c>
      <c r="AT183" s="909">
        <v>0</v>
      </c>
      <c r="AU183" s="909">
        <v>0</v>
      </c>
      <c r="AV183" s="910">
        <v>19818.164825577798</v>
      </c>
      <c r="AW183" s="909">
        <v>0</v>
      </c>
      <c r="AX183" s="909">
        <v>0</v>
      </c>
      <c r="AY183" s="909">
        <v>0</v>
      </c>
      <c r="AZ183" s="910">
        <v>24317.248638032164</v>
      </c>
      <c r="BA183" s="871">
        <v>4000</v>
      </c>
      <c r="BB183" s="911">
        <v>132.36577047124996</v>
      </c>
      <c r="BC183" s="908">
        <v>2.9013600000000004</v>
      </c>
      <c r="BD183" s="902">
        <v>25.578927551318298</v>
      </c>
      <c r="BE183" s="902">
        <v>0</v>
      </c>
      <c r="BF183" s="902">
        <v>0</v>
      </c>
      <c r="BG183" s="902">
        <v>13.312863054845034</v>
      </c>
      <c r="BH183" s="902">
        <v>0.9218100216713192</v>
      </c>
      <c r="BI183" s="902">
        <v>3600</v>
      </c>
      <c r="BJ183" s="909" t="s">
        <v>1062</v>
      </c>
      <c r="BK183" s="909">
        <v>3</v>
      </c>
      <c r="BL183" s="909">
        <v>0</v>
      </c>
      <c r="BM183" s="909">
        <v>0</v>
      </c>
      <c r="BN183" s="909">
        <v>0</v>
      </c>
      <c r="BO183" s="910">
        <v>19818.164825577798</v>
      </c>
      <c r="BP183" s="909">
        <v>0</v>
      </c>
      <c r="BQ183" s="909">
        <v>0</v>
      </c>
      <c r="BR183" s="909">
        <v>0</v>
      </c>
      <c r="BS183" s="910">
        <v>24317.248638032164</v>
      </c>
      <c r="BT183" s="871">
        <v>4000</v>
      </c>
      <c r="BU183" s="911">
        <v>132.36577047124996</v>
      </c>
      <c r="BV183" s="908">
        <v>2.9013600000000004</v>
      </c>
      <c r="BW183" s="902">
        <v>25.578927551318298</v>
      </c>
      <c r="BX183" s="902">
        <v>0</v>
      </c>
      <c r="BY183" s="902">
        <v>0</v>
      </c>
      <c r="BZ183" s="902">
        <v>13.312863054845034</v>
      </c>
      <c r="CA183" s="902">
        <v>0.9218100216713192</v>
      </c>
      <c r="CB183" s="902">
        <v>3600</v>
      </c>
      <c r="CC183" s="909" t="s">
        <v>2874</v>
      </c>
      <c r="CD183" s="909">
        <v>3</v>
      </c>
      <c r="CE183" s="909">
        <v>0</v>
      </c>
      <c r="CF183" s="909">
        <v>0</v>
      </c>
      <c r="CG183" s="909">
        <v>0</v>
      </c>
      <c r="CH183" s="910">
        <v>19417.756584415674</v>
      </c>
      <c r="CI183" s="909">
        <v>0</v>
      </c>
      <c r="CJ183" s="909">
        <v>0</v>
      </c>
      <c r="CK183" s="909">
        <v>0</v>
      </c>
      <c r="CL183" s="910">
        <v>23825.940444627198</v>
      </c>
      <c r="CM183" s="871">
        <v>4000</v>
      </c>
      <c r="CN183" s="911">
        <v>132.36577047124996</v>
      </c>
      <c r="CO183" s="908">
        <v>2.9013600000000004</v>
      </c>
      <c r="CP183" s="902">
        <v>25.578927551318298</v>
      </c>
      <c r="CQ183" s="902">
        <v>0</v>
      </c>
      <c r="CR183" s="902">
        <v>0</v>
      </c>
      <c r="CS183" s="902">
        <v>13.312863054845034</v>
      </c>
      <c r="CT183" s="902">
        <v>0.9218100216713192</v>
      </c>
      <c r="CU183" s="902">
        <v>3600</v>
      </c>
      <c r="CV183" s="909" t="s">
        <v>2874</v>
      </c>
      <c r="CW183" s="909">
        <v>3</v>
      </c>
      <c r="CX183" s="909">
        <v>0</v>
      </c>
      <c r="CY183" s="909">
        <v>0</v>
      </c>
      <c r="CZ183" s="909">
        <v>0</v>
      </c>
      <c r="DA183" s="910">
        <v>19417.756584415674</v>
      </c>
      <c r="DB183" s="909">
        <v>0</v>
      </c>
      <c r="DC183" s="909">
        <v>0</v>
      </c>
      <c r="DD183" s="909">
        <v>0</v>
      </c>
      <c r="DE183" s="910">
        <v>23825.940444627198</v>
      </c>
      <c r="DF183" s="871">
        <v>4000</v>
      </c>
      <c r="DG183" s="911">
        <v>132.36577047124996</v>
      </c>
      <c r="DH183" s="908">
        <v>1.9342400000000002</v>
      </c>
      <c r="DI183" s="902">
        <v>24.611807551318297</v>
      </c>
      <c r="DJ183" s="902">
        <v>0</v>
      </c>
      <c r="DK183" s="902">
        <v>0</v>
      </c>
      <c r="DL183" s="902">
        <v>13.148329674923438</v>
      </c>
      <c r="DM183" s="902">
        <v>0.86712857331131921</v>
      </c>
      <c r="DN183" s="902">
        <v>3600</v>
      </c>
      <c r="DO183" s="909" t="s">
        <v>2876</v>
      </c>
      <c r="DP183" s="909">
        <v>2</v>
      </c>
      <c r="DQ183" s="909">
        <v>0</v>
      </c>
      <c r="DR183" s="909">
        <v>0</v>
      </c>
      <c r="DS183" s="909">
        <v>0</v>
      </c>
      <c r="DT183" s="910">
        <v>14469.941958800218</v>
      </c>
      <c r="DU183" s="909">
        <v>0</v>
      </c>
      <c r="DV183" s="909">
        <v>0</v>
      </c>
      <c r="DW183" s="909">
        <v>0</v>
      </c>
      <c r="DX183" s="910">
        <v>16854.953023536418</v>
      </c>
      <c r="DY183" s="871">
        <v>4000</v>
      </c>
      <c r="DZ183" s="911">
        <v>132.36577047124996</v>
      </c>
      <c r="EA183" s="908">
        <v>1.9342400000000002</v>
      </c>
      <c r="EB183" s="902">
        <v>24.611807551318297</v>
      </c>
      <c r="EC183" s="902">
        <v>0</v>
      </c>
      <c r="ED183" s="902">
        <v>0</v>
      </c>
      <c r="EE183" s="902">
        <v>13.148329674923438</v>
      </c>
      <c r="EF183" s="902">
        <v>0.86712857331131921</v>
      </c>
      <c r="EG183" s="902">
        <v>3600</v>
      </c>
      <c r="EH183" s="909" t="s">
        <v>2876</v>
      </c>
      <c r="EI183" s="909">
        <v>2</v>
      </c>
      <c r="EJ183" s="909">
        <v>0</v>
      </c>
      <c r="EK183" s="909">
        <v>0</v>
      </c>
      <c r="EL183" s="909">
        <v>0</v>
      </c>
      <c r="EM183" s="910">
        <v>14469.941958800218</v>
      </c>
      <c r="EN183" s="909">
        <v>0</v>
      </c>
      <c r="EO183" s="909">
        <v>0</v>
      </c>
      <c r="EP183" s="909">
        <v>0</v>
      </c>
      <c r="EQ183" s="910">
        <v>16854.953023536418</v>
      </c>
      <c r="ER183" s="871">
        <v>4000</v>
      </c>
      <c r="ES183" s="911">
        <v>132.36577047124996</v>
      </c>
      <c r="ET183" s="908">
        <v>1.9342400000000002</v>
      </c>
      <c r="EU183" s="902">
        <v>24.611807551318297</v>
      </c>
      <c r="EV183" s="902">
        <v>0</v>
      </c>
      <c r="EW183" s="902">
        <v>0</v>
      </c>
      <c r="EX183" s="902">
        <v>13.148329674923438</v>
      </c>
      <c r="EY183" s="902">
        <v>0.86712857331131921</v>
      </c>
      <c r="EZ183" s="902">
        <v>3600</v>
      </c>
      <c r="FA183" s="909" t="s">
        <v>3889</v>
      </c>
      <c r="FB183" s="909">
        <v>2</v>
      </c>
      <c r="FC183" s="909">
        <v>0</v>
      </c>
      <c r="FD183" s="909">
        <v>0</v>
      </c>
      <c r="FE183" s="909">
        <v>0</v>
      </c>
      <c r="FF183" s="910">
        <v>15187.890648623446</v>
      </c>
      <c r="FG183" s="909">
        <v>0</v>
      </c>
      <c r="FH183" s="909">
        <v>0</v>
      </c>
      <c r="FI183" s="909">
        <v>0</v>
      </c>
      <c r="FJ183" s="910">
        <v>17691.23774912376</v>
      </c>
      <c r="FK183" s="871">
        <v>4000</v>
      </c>
      <c r="FL183" s="911">
        <v>132.36577047124996</v>
      </c>
      <c r="FM183" s="908">
        <v>1.9342400000000002</v>
      </c>
      <c r="FN183" s="902">
        <v>24.611807551318297</v>
      </c>
      <c r="FO183" s="902">
        <v>0</v>
      </c>
      <c r="FP183" s="902">
        <v>0</v>
      </c>
      <c r="FQ183" s="902">
        <v>13.148329674923438</v>
      </c>
      <c r="FR183" s="902">
        <v>0.86712857331131921</v>
      </c>
      <c r="FS183" s="902">
        <v>3600</v>
      </c>
      <c r="FT183" s="909" t="s">
        <v>3889</v>
      </c>
      <c r="FU183" s="909">
        <v>2</v>
      </c>
      <c r="FV183" s="909">
        <v>0</v>
      </c>
      <c r="FW183" s="909">
        <v>0</v>
      </c>
      <c r="FX183" s="909">
        <v>0</v>
      </c>
      <c r="FY183" s="910">
        <v>15187.890648623446</v>
      </c>
      <c r="FZ183" s="909">
        <v>0</v>
      </c>
      <c r="GA183" s="909">
        <v>0</v>
      </c>
      <c r="GB183" s="909">
        <v>0</v>
      </c>
      <c r="GC183" s="910">
        <v>17691.23774912376</v>
      </c>
      <c r="GD183" s="871">
        <v>4000</v>
      </c>
      <c r="GE183" s="911">
        <v>132.36577047124996</v>
      </c>
      <c r="GF183" s="908">
        <v>1.9342400000000002</v>
      </c>
      <c r="GG183" s="902">
        <v>24.611807551318297</v>
      </c>
      <c r="GH183" s="902">
        <v>0</v>
      </c>
      <c r="GI183" s="902">
        <v>0</v>
      </c>
      <c r="GJ183" s="902">
        <v>13.148329674923438</v>
      </c>
      <c r="GK183" s="902">
        <v>0.86712857331131921</v>
      </c>
      <c r="GL183" s="902">
        <v>3600</v>
      </c>
      <c r="GM183" s="909" t="s">
        <v>2877</v>
      </c>
      <c r="GN183" s="909">
        <v>2</v>
      </c>
      <c r="GO183" s="909">
        <v>0</v>
      </c>
      <c r="GP183" s="909">
        <v>0</v>
      </c>
      <c r="GQ183" s="909">
        <v>0</v>
      </c>
      <c r="GR183" s="910">
        <v>17871.542489456388</v>
      </c>
      <c r="GS183" s="909">
        <v>0</v>
      </c>
      <c r="GT183" s="909">
        <v>0</v>
      </c>
      <c r="GU183" s="909">
        <v>0</v>
      </c>
      <c r="GV183" s="910">
        <v>20817.223039013388</v>
      </c>
      <c r="GW183" s="871">
        <v>4000</v>
      </c>
      <c r="GX183" s="911">
        <v>132.36577047124996</v>
      </c>
      <c r="GY183" s="908">
        <v>1.9342400000000002</v>
      </c>
      <c r="GZ183" s="902">
        <v>24.611807551318297</v>
      </c>
      <c r="HA183" s="902">
        <v>0</v>
      </c>
      <c r="HB183" s="902">
        <v>0</v>
      </c>
      <c r="HC183" s="902">
        <v>13.148329674923438</v>
      </c>
      <c r="HD183" s="902">
        <v>0.86712857331131921</v>
      </c>
      <c r="HE183" s="902">
        <v>3600</v>
      </c>
      <c r="HF183" s="909" t="s">
        <v>2877</v>
      </c>
      <c r="HG183" s="909">
        <v>2</v>
      </c>
      <c r="HH183" s="909">
        <v>0</v>
      </c>
      <c r="HI183" s="909">
        <v>0</v>
      </c>
      <c r="HJ183" s="909">
        <v>0</v>
      </c>
      <c r="HK183" s="910">
        <v>17871.542489456388</v>
      </c>
      <c r="HL183" s="909">
        <v>0</v>
      </c>
      <c r="HM183" s="909">
        <v>0</v>
      </c>
      <c r="HN183" s="909">
        <v>0</v>
      </c>
      <c r="HO183" s="910">
        <v>20817.223039013388</v>
      </c>
      <c r="HP183" s="871">
        <v>4000</v>
      </c>
      <c r="HQ183" s="911">
        <v>132.36577047124996</v>
      </c>
      <c r="HR183" s="908">
        <v>1.9342400000000002</v>
      </c>
      <c r="HS183" s="902">
        <v>24.611807551318297</v>
      </c>
      <c r="HT183" s="902">
        <v>0</v>
      </c>
      <c r="HU183" s="902">
        <v>0</v>
      </c>
      <c r="HV183" s="902">
        <v>13.148329674923438</v>
      </c>
      <c r="HW183" s="902">
        <v>0.86712857331131921</v>
      </c>
      <c r="HX183" s="902">
        <v>3600</v>
      </c>
      <c r="HY183" s="909" t="s">
        <v>1063</v>
      </c>
      <c r="HZ183" s="909">
        <v>2</v>
      </c>
      <c r="IA183" s="909">
        <v>0</v>
      </c>
      <c r="IB183" s="909">
        <v>0</v>
      </c>
      <c r="IC183" s="909">
        <v>0</v>
      </c>
      <c r="ID183" s="910">
        <v>15761.218990741923</v>
      </c>
      <c r="IE183" s="909">
        <v>0</v>
      </c>
      <c r="IF183" s="909">
        <v>0</v>
      </c>
      <c r="IG183" s="909">
        <v>0</v>
      </c>
      <c r="IH183" s="910">
        <v>18359.06504939789</v>
      </c>
      <c r="II183" s="871">
        <v>4000</v>
      </c>
      <c r="IJ183" s="911">
        <v>132.36577047124996</v>
      </c>
      <c r="IK183" s="908">
        <v>1.9342400000000002</v>
      </c>
      <c r="IL183" s="902">
        <v>24.611807551318297</v>
      </c>
      <c r="IM183" s="902">
        <v>0</v>
      </c>
      <c r="IN183" s="902">
        <v>0</v>
      </c>
      <c r="IO183" s="902">
        <v>13.148329674923438</v>
      </c>
      <c r="IP183" s="902">
        <v>0.86712857331131921</v>
      </c>
      <c r="IQ183" s="902">
        <v>3600</v>
      </c>
      <c r="IR183" s="909" t="s">
        <v>1063</v>
      </c>
      <c r="IS183" s="909">
        <v>2</v>
      </c>
      <c r="IT183" s="909">
        <v>0</v>
      </c>
      <c r="IU183" s="909">
        <v>0</v>
      </c>
      <c r="IV183" s="909">
        <v>0</v>
      </c>
      <c r="IW183" s="910">
        <v>15761.218990741923</v>
      </c>
      <c r="IX183" s="909">
        <v>0</v>
      </c>
      <c r="IY183" s="909">
        <v>0</v>
      </c>
      <c r="IZ183" s="909">
        <v>0</v>
      </c>
      <c r="JA183" s="910">
        <v>18359.06504939789</v>
      </c>
      <c r="JB183" s="871">
        <v>4000</v>
      </c>
      <c r="JC183" s="911">
        <v>132.36577047124996</v>
      </c>
      <c r="JD183" s="908">
        <v>1.9342400000000002</v>
      </c>
      <c r="JE183" s="902">
        <v>24.611807551318297</v>
      </c>
      <c r="JF183" s="902">
        <v>0</v>
      </c>
      <c r="JG183" s="902">
        <v>0</v>
      </c>
      <c r="JH183" s="902">
        <v>13.148329674923438</v>
      </c>
      <c r="JI183" s="902">
        <v>0.86712857331131921</v>
      </c>
      <c r="JJ183" s="902">
        <v>3600</v>
      </c>
      <c r="JK183" s="909" t="s">
        <v>1064</v>
      </c>
      <c r="JL183" s="909">
        <v>2</v>
      </c>
      <c r="JM183" s="909">
        <v>0</v>
      </c>
      <c r="JN183" s="909">
        <v>0</v>
      </c>
      <c r="JO183" s="909">
        <v>0</v>
      </c>
      <c r="JP183" s="910">
        <v>21478.920939122778</v>
      </c>
      <c r="JQ183" s="909">
        <v>0</v>
      </c>
      <c r="JR183" s="909">
        <v>0</v>
      </c>
      <c r="JS183" s="909">
        <v>0</v>
      </c>
      <c r="JT183" s="910">
        <v>25019.188359977696</v>
      </c>
      <c r="JU183" s="871">
        <v>4000</v>
      </c>
      <c r="JV183" s="911">
        <v>132.36577047124996</v>
      </c>
      <c r="JW183" s="908">
        <v>1.9342400000000002</v>
      </c>
      <c r="JX183" s="902">
        <v>24.611807551318297</v>
      </c>
      <c r="JY183" s="902">
        <v>0</v>
      </c>
      <c r="JZ183" s="902">
        <v>0</v>
      </c>
      <c r="KA183" s="902">
        <v>13.148329674923438</v>
      </c>
      <c r="KB183" s="902">
        <v>0.86712857331131921</v>
      </c>
      <c r="KC183" s="902">
        <v>3600</v>
      </c>
      <c r="KD183" s="909" t="s">
        <v>1064</v>
      </c>
      <c r="KE183" s="909">
        <v>2</v>
      </c>
      <c r="KF183" s="909">
        <v>0</v>
      </c>
      <c r="KG183" s="909">
        <v>0</v>
      </c>
      <c r="KH183" s="909">
        <v>0</v>
      </c>
      <c r="KI183" s="910">
        <v>21478.920939122778</v>
      </c>
      <c r="KJ183" s="909">
        <v>0</v>
      </c>
      <c r="KK183" s="909">
        <v>0</v>
      </c>
      <c r="KL183" s="909">
        <v>0</v>
      </c>
      <c r="KM183" s="910">
        <v>25019.188359977696</v>
      </c>
      <c r="KN183" s="871">
        <v>4000</v>
      </c>
      <c r="KO183" s="912">
        <v>132.36577047124996</v>
      </c>
    </row>
    <row r="184" spans="1:301" ht="15" customHeight="1">
      <c r="A184" s="924" t="s">
        <v>1629</v>
      </c>
      <c r="B184" s="888" t="s">
        <v>1073</v>
      </c>
      <c r="C184" s="888">
        <v>230</v>
      </c>
      <c r="D184" s="888">
        <v>632</v>
      </c>
      <c r="E184" s="888">
        <v>200</v>
      </c>
      <c r="F184" s="888">
        <v>230</v>
      </c>
      <c r="G184" s="888">
        <v>49</v>
      </c>
      <c r="H184" s="888">
        <v>35</v>
      </c>
      <c r="I184" s="888">
        <v>35</v>
      </c>
      <c r="J184" s="888">
        <v>42.34</v>
      </c>
      <c r="K184" s="888">
        <v>73.78</v>
      </c>
      <c r="L184" s="888">
        <v>16</v>
      </c>
      <c r="M184" s="888">
        <v>220</v>
      </c>
      <c r="N184" s="888">
        <v>2</v>
      </c>
      <c r="O184" s="884">
        <v>4.4319679068511419</v>
      </c>
      <c r="P184" s="888">
        <v>2</v>
      </c>
      <c r="Q184" s="884">
        <v>2.746724046721674</v>
      </c>
      <c r="R184" s="888">
        <v>13.000000000000002</v>
      </c>
      <c r="S184" s="888">
        <v>420.32131515901568</v>
      </c>
      <c r="T184" s="906">
        <v>14.160080393829929</v>
      </c>
      <c r="U184" s="906">
        <v>63.048197273852352</v>
      </c>
      <c r="V184" s="906">
        <v>60</v>
      </c>
      <c r="W184" s="1141">
        <v>1.1028524152886769</v>
      </c>
      <c r="X184" s="902">
        <v>0</v>
      </c>
      <c r="Y184" s="902">
        <v>0</v>
      </c>
      <c r="Z184" s="902">
        <v>0</v>
      </c>
      <c r="AA184" s="902">
        <v>0</v>
      </c>
      <c r="AB184" s="970">
        <v>1.2339817364530112</v>
      </c>
      <c r="AC184" s="1045">
        <v>4000</v>
      </c>
      <c r="AD184" s="890">
        <v>2.6354212106838908</v>
      </c>
      <c r="AE184" s="890">
        <v>0.91120696519473776</v>
      </c>
      <c r="AF184" s="890">
        <v>-9.9261997097223997E-2</v>
      </c>
      <c r="AG184" s="890">
        <v>0.70058170788089158</v>
      </c>
      <c r="AH184" s="888"/>
      <c r="AI184" s="907">
        <v>1.4181323783799995</v>
      </c>
      <c r="AJ184" s="908">
        <v>2.9013600000000004</v>
      </c>
      <c r="AK184" s="902">
        <v>25.342984762691422</v>
      </c>
      <c r="AL184" s="902">
        <v>0</v>
      </c>
      <c r="AM184" s="902">
        <v>0</v>
      </c>
      <c r="AN184" s="902">
        <v>13.16993633269346</v>
      </c>
      <c r="AO184" s="902">
        <v>0.91798757589447788</v>
      </c>
      <c r="AP184" s="1222">
        <v>3600</v>
      </c>
      <c r="AQ184" s="909" t="s">
        <v>1062</v>
      </c>
      <c r="AR184" s="909">
        <v>3</v>
      </c>
      <c r="AS184" s="909">
        <v>0</v>
      </c>
      <c r="AT184" s="909">
        <v>0</v>
      </c>
      <c r="AU184" s="909">
        <v>0</v>
      </c>
      <c r="AV184" s="910">
        <v>16353.996864763667</v>
      </c>
      <c r="AW184" s="909">
        <v>0</v>
      </c>
      <c r="AX184" s="909">
        <v>0</v>
      </c>
      <c r="AY184" s="909">
        <v>0</v>
      </c>
      <c r="AZ184" s="910">
        <v>18860.560520237905</v>
      </c>
      <c r="BA184" s="871">
        <v>4000</v>
      </c>
      <c r="BB184" s="911">
        <v>132.36577047124996</v>
      </c>
      <c r="BC184" s="908">
        <v>2.9013600000000004</v>
      </c>
      <c r="BD184" s="902">
        <v>25.342984762691422</v>
      </c>
      <c r="BE184" s="902">
        <v>0</v>
      </c>
      <c r="BF184" s="902">
        <v>0</v>
      </c>
      <c r="BG184" s="902">
        <v>13.16993633269346</v>
      </c>
      <c r="BH184" s="902">
        <v>0.91798757589447788</v>
      </c>
      <c r="BI184" s="902">
        <v>3600</v>
      </c>
      <c r="BJ184" s="909" t="s">
        <v>1062</v>
      </c>
      <c r="BK184" s="909">
        <v>3</v>
      </c>
      <c r="BL184" s="909">
        <v>0</v>
      </c>
      <c r="BM184" s="909">
        <v>0</v>
      </c>
      <c r="BN184" s="909">
        <v>0</v>
      </c>
      <c r="BO184" s="910">
        <v>16353.996864763667</v>
      </c>
      <c r="BP184" s="909">
        <v>0</v>
      </c>
      <c r="BQ184" s="909">
        <v>0</v>
      </c>
      <c r="BR184" s="909">
        <v>0</v>
      </c>
      <c r="BS184" s="910">
        <v>18860.560520237905</v>
      </c>
      <c r="BT184" s="871">
        <v>4000</v>
      </c>
      <c r="BU184" s="911">
        <v>132.36577047124996</v>
      </c>
      <c r="BV184" s="908">
        <v>2.9013600000000004</v>
      </c>
      <c r="BW184" s="902">
        <v>25.342984762691422</v>
      </c>
      <c r="BX184" s="902">
        <v>0</v>
      </c>
      <c r="BY184" s="902">
        <v>0</v>
      </c>
      <c r="BZ184" s="902">
        <v>13.16993633269346</v>
      </c>
      <c r="CA184" s="902">
        <v>0.91798757589447788</v>
      </c>
      <c r="CB184" s="902">
        <v>3600</v>
      </c>
      <c r="CC184" s="909" t="s">
        <v>2874</v>
      </c>
      <c r="CD184" s="909">
        <v>3</v>
      </c>
      <c r="CE184" s="909">
        <v>0</v>
      </c>
      <c r="CF184" s="909">
        <v>0</v>
      </c>
      <c r="CG184" s="909">
        <v>0</v>
      </c>
      <c r="CH184" s="910">
        <v>16023.579029498742</v>
      </c>
      <c r="CI184" s="909">
        <v>0</v>
      </c>
      <c r="CJ184" s="909">
        <v>0</v>
      </c>
      <c r="CK184" s="909">
        <v>0</v>
      </c>
      <c r="CL184" s="910">
        <v>18479.499814985647</v>
      </c>
      <c r="CM184" s="871">
        <v>4000</v>
      </c>
      <c r="CN184" s="911">
        <v>132.36577047124996</v>
      </c>
      <c r="CO184" s="908">
        <v>2.9013600000000004</v>
      </c>
      <c r="CP184" s="902">
        <v>25.342984762691422</v>
      </c>
      <c r="CQ184" s="902">
        <v>0</v>
      </c>
      <c r="CR184" s="902">
        <v>0</v>
      </c>
      <c r="CS184" s="902">
        <v>13.16993633269346</v>
      </c>
      <c r="CT184" s="902">
        <v>0.91798757589447788</v>
      </c>
      <c r="CU184" s="902">
        <v>3600</v>
      </c>
      <c r="CV184" s="909" t="s">
        <v>2874</v>
      </c>
      <c r="CW184" s="909">
        <v>3</v>
      </c>
      <c r="CX184" s="909">
        <v>0</v>
      </c>
      <c r="CY184" s="909">
        <v>0</v>
      </c>
      <c r="CZ184" s="909">
        <v>0</v>
      </c>
      <c r="DA184" s="910">
        <v>16023.579029498742</v>
      </c>
      <c r="DB184" s="909">
        <v>0</v>
      </c>
      <c r="DC184" s="909">
        <v>0</v>
      </c>
      <c r="DD184" s="909">
        <v>0</v>
      </c>
      <c r="DE184" s="910">
        <v>18479.499814985647</v>
      </c>
      <c r="DF184" s="871">
        <v>4000</v>
      </c>
      <c r="DG184" s="911">
        <v>132.36577047124996</v>
      </c>
      <c r="DH184" s="908">
        <v>1.9342400000000002</v>
      </c>
      <c r="DI184" s="902">
        <v>24.375864762691421</v>
      </c>
      <c r="DJ184" s="902">
        <v>0</v>
      </c>
      <c r="DK184" s="902">
        <v>0</v>
      </c>
      <c r="DL184" s="902">
        <v>12.998139712770667</v>
      </c>
      <c r="DM184" s="902">
        <v>0.86330612753447789</v>
      </c>
      <c r="DN184" s="902">
        <v>3600</v>
      </c>
      <c r="DO184" s="909" t="s">
        <v>2876</v>
      </c>
      <c r="DP184" s="909">
        <v>2</v>
      </c>
      <c r="DQ184" s="909">
        <v>0</v>
      </c>
      <c r="DR184" s="909">
        <v>0</v>
      </c>
      <c r="DS184" s="909">
        <v>0</v>
      </c>
      <c r="DT184" s="910">
        <v>12378.316166199407</v>
      </c>
      <c r="DU184" s="909">
        <v>0</v>
      </c>
      <c r="DV184" s="909">
        <v>0</v>
      </c>
      <c r="DW184" s="909">
        <v>0</v>
      </c>
      <c r="DX184" s="910">
        <v>13861.726051070071</v>
      </c>
      <c r="DY184" s="871">
        <v>4000</v>
      </c>
      <c r="DZ184" s="911">
        <v>132.36577047124996</v>
      </c>
      <c r="EA184" s="908">
        <v>1.9342400000000002</v>
      </c>
      <c r="EB184" s="902">
        <v>24.375864762691421</v>
      </c>
      <c r="EC184" s="902">
        <v>0</v>
      </c>
      <c r="ED184" s="902">
        <v>0</v>
      </c>
      <c r="EE184" s="902">
        <v>12.998139712770667</v>
      </c>
      <c r="EF184" s="902">
        <v>0.86330612753447789</v>
      </c>
      <c r="EG184" s="902">
        <v>3600</v>
      </c>
      <c r="EH184" s="909" t="s">
        <v>2876</v>
      </c>
      <c r="EI184" s="909">
        <v>2</v>
      </c>
      <c r="EJ184" s="909">
        <v>0</v>
      </c>
      <c r="EK184" s="909">
        <v>0</v>
      </c>
      <c r="EL184" s="909">
        <v>0</v>
      </c>
      <c r="EM184" s="910">
        <v>12378.316166199407</v>
      </c>
      <c r="EN184" s="909">
        <v>0</v>
      </c>
      <c r="EO184" s="909">
        <v>0</v>
      </c>
      <c r="EP184" s="909">
        <v>0</v>
      </c>
      <c r="EQ184" s="910">
        <v>13861.726051070071</v>
      </c>
      <c r="ER184" s="871">
        <v>4000</v>
      </c>
      <c r="ES184" s="911">
        <v>132.36577047124996</v>
      </c>
      <c r="ET184" s="908">
        <v>1.9342400000000002</v>
      </c>
      <c r="EU184" s="902">
        <v>24.375864762691421</v>
      </c>
      <c r="EV184" s="902">
        <v>0</v>
      </c>
      <c r="EW184" s="902">
        <v>0</v>
      </c>
      <c r="EX184" s="902">
        <v>12.998139712770667</v>
      </c>
      <c r="EY184" s="902">
        <v>0.86330612753447789</v>
      </c>
      <c r="EZ184" s="902">
        <v>3600</v>
      </c>
      <c r="FA184" s="909" t="s">
        <v>3889</v>
      </c>
      <c r="FB184" s="909">
        <v>2</v>
      </c>
      <c r="FC184" s="909">
        <v>0</v>
      </c>
      <c r="FD184" s="909">
        <v>0</v>
      </c>
      <c r="FE184" s="909">
        <v>0</v>
      </c>
      <c r="FF184" s="910">
        <v>12992.485587130337</v>
      </c>
      <c r="FG184" s="909">
        <v>0</v>
      </c>
      <c r="FH184" s="909">
        <v>0</v>
      </c>
      <c r="FI184" s="909">
        <v>0</v>
      </c>
      <c r="FJ184" s="910">
        <v>14549.497162066247</v>
      </c>
      <c r="FK184" s="871">
        <v>4000</v>
      </c>
      <c r="FL184" s="911">
        <v>132.36577047124996</v>
      </c>
      <c r="FM184" s="908">
        <v>1.9342400000000002</v>
      </c>
      <c r="FN184" s="902">
        <v>24.375864762691421</v>
      </c>
      <c r="FO184" s="902">
        <v>0</v>
      </c>
      <c r="FP184" s="902">
        <v>0</v>
      </c>
      <c r="FQ184" s="902">
        <v>12.998139712770667</v>
      </c>
      <c r="FR184" s="902">
        <v>0.86330612753447789</v>
      </c>
      <c r="FS184" s="902">
        <v>3600</v>
      </c>
      <c r="FT184" s="909" t="s">
        <v>3889</v>
      </c>
      <c r="FU184" s="909">
        <v>2</v>
      </c>
      <c r="FV184" s="909">
        <v>0</v>
      </c>
      <c r="FW184" s="909">
        <v>0</v>
      </c>
      <c r="FX184" s="909">
        <v>0</v>
      </c>
      <c r="FY184" s="910">
        <v>12992.485587130337</v>
      </c>
      <c r="FZ184" s="909">
        <v>0</v>
      </c>
      <c r="GA184" s="909">
        <v>0</v>
      </c>
      <c r="GB184" s="909">
        <v>0</v>
      </c>
      <c r="GC184" s="910">
        <v>14549.497162066247</v>
      </c>
      <c r="GD184" s="871">
        <v>4000</v>
      </c>
      <c r="GE184" s="911">
        <v>132.36577047124996</v>
      </c>
      <c r="GF184" s="908">
        <v>1.9342400000000002</v>
      </c>
      <c r="GG184" s="902">
        <v>24.375864762691421</v>
      </c>
      <c r="GH184" s="902">
        <v>0</v>
      </c>
      <c r="GI184" s="902">
        <v>0</v>
      </c>
      <c r="GJ184" s="902">
        <v>12.998139712770667</v>
      </c>
      <c r="GK184" s="902">
        <v>0.86330612753447789</v>
      </c>
      <c r="GL184" s="902">
        <v>3600</v>
      </c>
      <c r="GM184" s="909" t="s">
        <v>2877</v>
      </c>
      <c r="GN184" s="909">
        <v>2</v>
      </c>
      <c r="GO184" s="909">
        <v>0</v>
      </c>
      <c r="GP184" s="909">
        <v>0</v>
      </c>
      <c r="GQ184" s="909">
        <v>0</v>
      </c>
      <c r="GR184" s="910">
        <v>15288.216355119368</v>
      </c>
      <c r="GS184" s="909">
        <v>0</v>
      </c>
      <c r="GT184" s="909">
        <v>0</v>
      </c>
      <c r="GU184" s="909">
        <v>0</v>
      </c>
      <c r="GV184" s="910">
        <v>17120.346909770458</v>
      </c>
      <c r="GW184" s="871">
        <v>4000</v>
      </c>
      <c r="GX184" s="911">
        <v>132.36577047124996</v>
      </c>
      <c r="GY184" s="908">
        <v>1.9342400000000002</v>
      </c>
      <c r="GZ184" s="902">
        <v>24.375864762691421</v>
      </c>
      <c r="HA184" s="902">
        <v>0</v>
      </c>
      <c r="HB184" s="902">
        <v>0</v>
      </c>
      <c r="HC184" s="902">
        <v>12.998139712770667</v>
      </c>
      <c r="HD184" s="902">
        <v>0.86330612753447789</v>
      </c>
      <c r="HE184" s="902">
        <v>3600</v>
      </c>
      <c r="HF184" s="909" t="s">
        <v>2877</v>
      </c>
      <c r="HG184" s="909">
        <v>2</v>
      </c>
      <c r="HH184" s="909">
        <v>0</v>
      </c>
      <c r="HI184" s="909">
        <v>0</v>
      </c>
      <c r="HJ184" s="909">
        <v>0</v>
      </c>
      <c r="HK184" s="910">
        <v>15288.216355119368</v>
      </c>
      <c r="HL184" s="909">
        <v>0</v>
      </c>
      <c r="HM184" s="909">
        <v>0</v>
      </c>
      <c r="HN184" s="909">
        <v>0</v>
      </c>
      <c r="HO184" s="910">
        <v>17120.346909770458</v>
      </c>
      <c r="HP184" s="871">
        <v>4000</v>
      </c>
      <c r="HQ184" s="911">
        <v>132.36577047124996</v>
      </c>
      <c r="HR184" s="908">
        <v>1.9342400000000002</v>
      </c>
      <c r="HS184" s="902">
        <v>24.375864762691421</v>
      </c>
      <c r="HT184" s="902">
        <v>0</v>
      </c>
      <c r="HU184" s="902">
        <v>0</v>
      </c>
      <c r="HV184" s="902">
        <v>12.998139712770667</v>
      </c>
      <c r="HW184" s="902">
        <v>0.86330612753447789</v>
      </c>
      <c r="HX184" s="902">
        <v>3600</v>
      </c>
      <c r="HY184" s="909" t="s">
        <v>1063</v>
      </c>
      <c r="HZ184" s="909">
        <v>2</v>
      </c>
      <c r="IA184" s="909">
        <v>0</v>
      </c>
      <c r="IB184" s="909">
        <v>0</v>
      </c>
      <c r="IC184" s="909">
        <v>0</v>
      </c>
      <c r="ID184" s="910">
        <v>13482.939488465394</v>
      </c>
      <c r="IE184" s="909">
        <v>0</v>
      </c>
      <c r="IF184" s="909">
        <v>0</v>
      </c>
      <c r="IG184" s="909">
        <v>0</v>
      </c>
      <c r="IH184" s="910">
        <v>15098.72676080193</v>
      </c>
      <c r="II184" s="871">
        <v>4000</v>
      </c>
      <c r="IJ184" s="911">
        <v>132.36577047124996</v>
      </c>
      <c r="IK184" s="908">
        <v>1.9342400000000002</v>
      </c>
      <c r="IL184" s="902">
        <v>24.375864762691421</v>
      </c>
      <c r="IM184" s="902">
        <v>0</v>
      </c>
      <c r="IN184" s="902">
        <v>0</v>
      </c>
      <c r="IO184" s="902">
        <v>12.998139712770667</v>
      </c>
      <c r="IP184" s="902">
        <v>0.86330612753447789</v>
      </c>
      <c r="IQ184" s="902">
        <v>3600</v>
      </c>
      <c r="IR184" s="909" t="s">
        <v>1063</v>
      </c>
      <c r="IS184" s="909">
        <v>2</v>
      </c>
      <c r="IT184" s="909">
        <v>0</v>
      </c>
      <c r="IU184" s="909">
        <v>0</v>
      </c>
      <c r="IV184" s="909">
        <v>0</v>
      </c>
      <c r="IW184" s="910">
        <v>13482.939488465394</v>
      </c>
      <c r="IX184" s="909">
        <v>0</v>
      </c>
      <c r="IY184" s="909">
        <v>0</v>
      </c>
      <c r="IZ184" s="909">
        <v>0</v>
      </c>
      <c r="JA184" s="910">
        <v>15098.72676080193</v>
      </c>
      <c r="JB184" s="871">
        <v>4000</v>
      </c>
      <c r="JC184" s="911">
        <v>132.36577047124996</v>
      </c>
      <c r="JD184" s="908">
        <v>1.9342400000000002</v>
      </c>
      <c r="JE184" s="902">
        <v>24.375864762691421</v>
      </c>
      <c r="JF184" s="902">
        <v>0</v>
      </c>
      <c r="JG184" s="902">
        <v>0</v>
      </c>
      <c r="JH184" s="902">
        <v>12.998139712770667</v>
      </c>
      <c r="JI184" s="902">
        <v>0.86330612753447789</v>
      </c>
      <c r="JJ184" s="902">
        <v>3600</v>
      </c>
      <c r="JK184" s="909" t="s">
        <v>1064</v>
      </c>
      <c r="JL184" s="909">
        <v>2</v>
      </c>
      <c r="JM184" s="909">
        <v>0</v>
      </c>
      <c r="JN184" s="909">
        <v>0</v>
      </c>
      <c r="JO184" s="909">
        <v>0</v>
      </c>
      <c r="JP184" s="910">
        <v>18374.149326256687</v>
      </c>
      <c r="JQ184" s="909">
        <v>0</v>
      </c>
      <c r="JR184" s="909">
        <v>0</v>
      </c>
      <c r="JS184" s="909">
        <v>0</v>
      </c>
      <c r="JT184" s="910">
        <v>20576.096212302946</v>
      </c>
      <c r="JU184" s="871">
        <v>4000</v>
      </c>
      <c r="JV184" s="911">
        <v>132.36577047124996</v>
      </c>
      <c r="JW184" s="908">
        <v>1.9342400000000002</v>
      </c>
      <c r="JX184" s="902">
        <v>24.375864762691421</v>
      </c>
      <c r="JY184" s="902">
        <v>0</v>
      </c>
      <c r="JZ184" s="902">
        <v>0</v>
      </c>
      <c r="KA184" s="902">
        <v>12.998139712770667</v>
      </c>
      <c r="KB184" s="902">
        <v>0.86330612753447789</v>
      </c>
      <c r="KC184" s="902">
        <v>3600</v>
      </c>
      <c r="KD184" s="909" t="s">
        <v>1064</v>
      </c>
      <c r="KE184" s="909">
        <v>2</v>
      </c>
      <c r="KF184" s="909">
        <v>0</v>
      </c>
      <c r="KG184" s="909">
        <v>0</v>
      </c>
      <c r="KH184" s="909">
        <v>0</v>
      </c>
      <c r="KI184" s="910">
        <v>18374.149326256687</v>
      </c>
      <c r="KJ184" s="909">
        <v>0</v>
      </c>
      <c r="KK184" s="909">
        <v>0</v>
      </c>
      <c r="KL184" s="909">
        <v>0</v>
      </c>
      <c r="KM184" s="910">
        <v>20576.096212302946</v>
      </c>
      <c r="KN184" s="871">
        <v>4000</v>
      </c>
      <c r="KO184" s="912">
        <v>132.36577047124996</v>
      </c>
    </row>
    <row r="185" spans="1:301" ht="15" customHeight="1">
      <c r="A185" s="924" t="s">
        <v>1630</v>
      </c>
      <c r="B185" s="888" t="s">
        <v>1073</v>
      </c>
      <c r="C185" s="888">
        <v>230</v>
      </c>
      <c r="D185" s="888">
        <v>632</v>
      </c>
      <c r="E185" s="888">
        <v>200</v>
      </c>
      <c r="F185" s="888">
        <v>230</v>
      </c>
      <c r="G185" s="888">
        <v>44</v>
      </c>
      <c r="H185" s="888">
        <v>30</v>
      </c>
      <c r="I185" s="888">
        <v>30</v>
      </c>
      <c r="J185" s="888">
        <v>51.62</v>
      </c>
      <c r="K185" s="888">
        <v>79.8</v>
      </c>
      <c r="L185" s="888">
        <v>16</v>
      </c>
      <c r="M185" s="888">
        <v>220</v>
      </c>
      <c r="N185" s="888">
        <v>2</v>
      </c>
      <c r="O185" s="884">
        <v>4.4319679068511419</v>
      </c>
      <c r="P185" s="888">
        <v>2</v>
      </c>
      <c r="Q185" s="884">
        <v>2.7554816535667719</v>
      </c>
      <c r="R185" s="888">
        <v>13.000000000000002</v>
      </c>
      <c r="S185" s="888">
        <v>419.4756048331044</v>
      </c>
      <c r="T185" s="906">
        <v>14.103155949336793</v>
      </c>
      <c r="U185" s="906">
        <v>62.92134072496566</v>
      </c>
      <c r="V185" s="906">
        <v>60</v>
      </c>
      <c r="W185" s="1141">
        <v>1.0984188768233463</v>
      </c>
      <c r="X185" s="902">
        <v>0</v>
      </c>
      <c r="Y185" s="902">
        <v>0</v>
      </c>
      <c r="Z185" s="902">
        <v>0</v>
      </c>
      <c r="AA185" s="902">
        <v>0</v>
      </c>
      <c r="AB185" s="970">
        <v>1.1004232444672934</v>
      </c>
      <c r="AC185" s="1045">
        <v>4000</v>
      </c>
      <c r="AD185" s="890">
        <v>4.1031442458994531</v>
      </c>
      <c r="AE185" s="890">
        <v>1.2625911239513072</v>
      </c>
      <c r="AF185" s="890">
        <v>-7.8709119344876177E-2</v>
      </c>
      <c r="AG185" s="890">
        <v>0.48369376420092686</v>
      </c>
      <c r="AH185" s="888"/>
      <c r="AI185" s="907">
        <v>1.3829323783799996</v>
      </c>
      <c r="AJ185" s="908">
        <v>2.4868800000000002</v>
      </c>
      <c r="AK185" s="902">
        <v>24.87590438657805</v>
      </c>
      <c r="AL185" s="902">
        <v>0</v>
      </c>
      <c r="AM185" s="902">
        <v>0</v>
      </c>
      <c r="AN185" s="902">
        <v>11.965024234257973</v>
      </c>
      <c r="AO185" s="902">
        <v>0.89242953671769476</v>
      </c>
      <c r="AP185" s="1222">
        <v>3600</v>
      </c>
      <c r="AQ185" s="909" t="s">
        <v>1062</v>
      </c>
      <c r="AR185" s="909">
        <v>3</v>
      </c>
      <c r="AS185" s="909">
        <v>0</v>
      </c>
      <c r="AT185" s="909">
        <v>0</v>
      </c>
      <c r="AU185" s="909">
        <v>0</v>
      </c>
      <c r="AV185" s="910">
        <v>15196.235565723591</v>
      </c>
      <c r="AW185" s="909">
        <v>0</v>
      </c>
      <c r="AX185" s="909">
        <v>0</v>
      </c>
      <c r="AY185" s="909">
        <v>0</v>
      </c>
      <c r="AZ185" s="910">
        <v>19416.989245302331</v>
      </c>
      <c r="BA185" s="871">
        <v>4000</v>
      </c>
      <c r="BB185" s="911">
        <v>132.36577047124996</v>
      </c>
      <c r="BC185" s="908">
        <v>2.4868800000000002</v>
      </c>
      <c r="BD185" s="902">
        <v>24.87590438657805</v>
      </c>
      <c r="BE185" s="902">
        <v>0</v>
      </c>
      <c r="BF185" s="902">
        <v>0</v>
      </c>
      <c r="BG185" s="902">
        <v>11.965024234257973</v>
      </c>
      <c r="BH185" s="902">
        <v>0.89242953671769476</v>
      </c>
      <c r="BI185" s="902">
        <v>3600</v>
      </c>
      <c r="BJ185" s="909" t="s">
        <v>1062</v>
      </c>
      <c r="BK185" s="909">
        <v>3</v>
      </c>
      <c r="BL185" s="909">
        <v>0</v>
      </c>
      <c r="BM185" s="909">
        <v>0</v>
      </c>
      <c r="BN185" s="909">
        <v>0</v>
      </c>
      <c r="BO185" s="910">
        <v>15196.235565723591</v>
      </c>
      <c r="BP185" s="909">
        <v>0</v>
      </c>
      <c r="BQ185" s="909">
        <v>0</v>
      </c>
      <c r="BR185" s="909">
        <v>0</v>
      </c>
      <c r="BS185" s="910">
        <v>19416.989245302331</v>
      </c>
      <c r="BT185" s="871">
        <v>4000</v>
      </c>
      <c r="BU185" s="911">
        <v>132.36577047124996</v>
      </c>
      <c r="BV185" s="908">
        <v>2.4868800000000002</v>
      </c>
      <c r="BW185" s="902">
        <v>24.87590438657805</v>
      </c>
      <c r="BX185" s="902">
        <v>0</v>
      </c>
      <c r="BY185" s="902">
        <v>0</v>
      </c>
      <c r="BZ185" s="902">
        <v>11.965024234257973</v>
      </c>
      <c r="CA185" s="902">
        <v>0.89242953671769476</v>
      </c>
      <c r="CB185" s="902">
        <v>3600</v>
      </c>
      <c r="CC185" s="909" t="s">
        <v>2874</v>
      </c>
      <c r="CD185" s="909">
        <v>3</v>
      </c>
      <c r="CE185" s="909">
        <v>0</v>
      </c>
      <c r="CF185" s="909">
        <v>0</v>
      </c>
      <c r="CG185" s="909">
        <v>0</v>
      </c>
      <c r="CH185" s="910">
        <v>14889.209258862744</v>
      </c>
      <c r="CI185" s="909">
        <v>0</v>
      </c>
      <c r="CJ185" s="909">
        <v>0</v>
      </c>
      <c r="CK185" s="909">
        <v>0</v>
      </c>
      <c r="CL185" s="910">
        <v>19024.686396839745</v>
      </c>
      <c r="CM185" s="871">
        <v>4000</v>
      </c>
      <c r="CN185" s="911">
        <v>132.36577047124996</v>
      </c>
      <c r="CO185" s="908">
        <v>2.4868800000000002</v>
      </c>
      <c r="CP185" s="902">
        <v>24.87590438657805</v>
      </c>
      <c r="CQ185" s="902">
        <v>0</v>
      </c>
      <c r="CR185" s="902">
        <v>0</v>
      </c>
      <c r="CS185" s="902">
        <v>11.965024234257973</v>
      </c>
      <c r="CT185" s="902">
        <v>0.89242953671769476</v>
      </c>
      <c r="CU185" s="902">
        <v>3600</v>
      </c>
      <c r="CV185" s="909" t="s">
        <v>2874</v>
      </c>
      <c r="CW185" s="909">
        <v>3</v>
      </c>
      <c r="CX185" s="909">
        <v>0</v>
      </c>
      <c r="CY185" s="909">
        <v>0</v>
      </c>
      <c r="CZ185" s="909">
        <v>0</v>
      </c>
      <c r="DA185" s="910">
        <v>14889.209258862744</v>
      </c>
      <c r="DB185" s="909">
        <v>0</v>
      </c>
      <c r="DC185" s="909">
        <v>0</v>
      </c>
      <c r="DD185" s="909">
        <v>0</v>
      </c>
      <c r="DE185" s="910">
        <v>19024.686396839745</v>
      </c>
      <c r="DF185" s="871">
        <v>4000</v>
      </c>
      <c r="DG185" s="911">
        <v>132.36577047124996</v>
      </c>
      <c r="DH185" s="908">
        <v>1.6579200000000003</v>
      </c>
      <c r="DI185" s="902">
        <v>24.046944386578051</v>
      </c>
      <c r="DJ185" s="902">
        <v>0</v>
      </c>
      <c r="DK185" s="902">
        <v>0</v>
      </c>
      <c r="DL185" s="902">
        <v>11.860400816399787</v>
      </c>
      <c r="DM185" s="902">
        <v>0.84555972383769484</v>
      </c>
      <c r="DN185" s="902">
        <v>3600</v>
      </c>
      <c r="DO185" s="909" t="s">
        <v>2876</v>
      </c>
      <c r="DP185" s="909">
        <v>2</v>
      </c>
      <c r="DQ185" s="909">
        <v>0</v>
      </c>
      <c r="DR185" s="909">
        <v>0</v>
      </c>
      <c r="DS185" s="909">
        <v>0</v>
      </c>
      <c r="DT185" s="910">
        <v>11791.111952149718</v>
      </c>
      <c r="DU185" s="909">
        <v>0</v>
      </c>
      <c r="DV185" s="909">
        <v>0</v>
      </c>
      <c r="DW185" s="909">
        <v>0</v>
      </c>
      <c r="DX185" s="910">
        <v>14791.411110168012</v>
      </c>
      <c r="DY185" s="871">
        <v>4000</v>
      </c>
      <c r="DZ185" s="911">
        <v>132.36577047124996</v>
      </c>
      <c r="EA185" s="908">
        <v>1.6579200000000003</v>
      </c>
      <c r="EB185" s="902">
        <v>24.046944386578051</v>
      </c>
      <c r="EC185" s="902">
        <v>0</v>
      </c>
      <c r="ED185" s="902">
        <v>0</v>
      </c>
      <c r="EE185" s="902">
        <v>11.860400816399787</v>
      </c>
      <c r="EF185" s="902">
        <v>0.84555972383769484</v>
      </c>
      <c r="EG185" s="902">
        <v>3600</v>
      </c>
      <c r="EH185" s="909" t="s">
        <v>2876</v>
      </c>
      <c r="EI185" s="909">
        <v>2</v>
      </c>
      <c r="EJ185" s="909">
        <v>0</v>
      </c>
      <c r="EK185" s="909">
        <v>0</v>
      </c>
      <c r="EL185" s="909">
        <v>0</v>
      </c>
      <c r="EM185" s="910">
        <v>11791.111952149718</v>
      </c>
      <c r="EN185" s="909">
        <v>0</v>
      </c>
      <c r="EO185" s="909">
        <v>0</v>
      </c>
      <c r="EP185" s="909">
        <v>0</v>
      </c>
      <c r="EQ185" s="910">
        <v>14791.411110168012</v>
      </c>
      <c r="ER185" s="871">
        <v>4000</v>
      </c>
      <c r="ES185" s="911">
        <v>132.36577047124996</v>
      </c>
      <c r="ET185" s="908">
        <v>1.6579200000000003</v>
      </c>
      <c r="EU185" s="902">
        <v>24.046944386578051</v>
      </c>
      <c r="EV185" s="902">
        <v>0</v>
      </c>
      <c r="EW185" s="902">
        <v>0</v>
      </c>
      <c r="EX185" s="902">
        <v>11.860400816399787</v>
      </c>
      <c r="EY185" s="902">
        <v>0.84555972383769484</v>
      </c>
      <c r="EZ185" s="902">
        <v>3600</v>
      </c>
      <c r="FA185" s="909" t="s">
        <v>3889</v>
      </c>
      <c r="FB185" s="909">
        <v>2</v>
      </c>
      <c r="FC185" s="909">
        <v>0</v>
      </c>
      <c r="FD185" s="909">
        <v>0</v>
      </c>
      <c r="FE185" s="909">
        <v>0</v>
      </c>
      <c r="FF185" s="910">
        <v>12376.146322136008</v>
      </c>
      <c r="FG185" s="909">
        <v>0</v>
      </c>
      <c r="FH185" s="909">
        <v>0</v>
      </c>
      <c r="FI185" s="909">
        <v>0</v>
      </c>
      <c r="FJ185" s="910">
        <v>15525.309992238048</v>
      </c>
      <c r="FK185" s="871">
        <v>4000</v>
      </c>
      <c r="FL185" s="911">
        <v>132.36577047124996</v>
      </c>
      <c r="FM185" s="908">
        <v>1.6579200000000003</v>
      </c>
      <c r="FN185" s="902">
        <v>24.046944386578051</v>
      </c>
      <c r="FO185" s="902">
        <v>0</v>
      </c>
      <c r="FP185" s="902">
        <v>0</v>
      </c>
      <c r="FQ185" s="902">
        <v>11.860400816399787</v>
      </c>
      <c r="FR185" s="902">
        <v>0.84555972383769484</v>
      </c>
      <c r="FS185" s="902">
        <v>3600</v>
      </c>
      <c r="FT185" s="909" t="s">
        <v>3889</v>
      </c>
      <c r="FU185" s="909">
        <v>2</v>
      </c>
      <c r="FV185" s="909">
        <v>0</v>
      </c>
      <c r="FW185" s="909">
        <v>0</v>
      </c>
      <c r="FX185" s="909">
        <v>0</v>
      </c>
      <c r="FY185" s="910">
        <v>12376.146322136008</v>
      </c>
      <c r="FZ185" s="909">
        <v>0</v>
      </c>
      <c r="GA185" s="909">
        <v>0</v>
      </c>
      <c r="GB185" s="909">
        <v>0</v>
      </c>
      <c r="GC185" s="910">
        <v>15525.309992238048</v>
      </c>
      <c r="GD185" s="871">
        <v>4000</v>
      </c>
      <c r="GE185" s="911">
        <v>132.36577047124996</v>
      </c>
      <c r="GF185" s="908">
        <v>1.6579200000000003</v>
      </c>
      <c r="GG185" s="902">
        <v>24.046944386578051</v>
      </c>
      <c r="GH185" s="902">
        <v>0</v>
      </c>
      <c r="GI185" s="902">
        <v>0</v>
      </c>
      <c r="GJ185" s="902">
        <v>11.860400816399787</v>
      </c>
      <c r="GK185" s="902">
        <v>0.84555972383769484</v>
      </c>
      <c r="GL185" s="902">
        <v>3600</v>
      </c>
      <c r="GM185" s="909" t="s">
        <v>2877</v>
      </c>
      <c r="GN185" s="909">
        <v>2</v>
      </c>
      <c r="GO185" s="909">
        <v>0</v>
      </c>
      <c r="GP185" s="909">
        <v>0</v>
      </c>
      <c r="GQ185" s="909">
        <v>0</v>
      </c>
      <c r="GR185" s="910">
        <v>14562.971907611789</v>
      </c>
      <c r="GS185" s="909">
        <v>0</v>
      </c>
      <c r="GT185" s="909">
        <v>0</v>
      </c>
      <c r="GU185" s="909">
        <v>0</v>
      </c>
      <c r="GV185" s="910">
        <v>18268.582754999738</v>
      </c>
      <c r="GW185" s="871">
        <v>4000</v>
      </c>
      <c r="GX185" s="911">
        <v>132.36577047124996</v>
      </c>
      <c r="GY185" s="908">
        <v>1.6579200000000003</v>
      </c>
      <c r="GZ185" s="902">
        <v>24.046944386578051</v>
      </c>
      <c r="HA185" s="902">
        <v>0</v>
      </c>
      <c r="HB185" s="902">
        <v>0</v>
      </c>
      <c r="HC185" s="902">
        <v>11.860400816399787</v>
      </c>
      <c r="HD185" s="902">
        <v>0.84555972383769484</v>
      </c>
      <c r="HE185" s="902">
        <v>3600</v>
      </c>
      <c r="HF185" s="909" t="s">
        <v>2877</v>
      </c>
      <c r="HG185" s="909">
        <v>2</v>
      </c>
      <c r="HH185" s="909">
        <v>0</v>
      </c>
      <c r="HI185" s="909">
        <v>0</v>
      </c>
      <c r="HJ185" s="909">
        <v>0</v>
      </c>
      <c r="HK185" s="910">
        <v>14562.971907611789</v>
      </c>
      <c r="HL185" s="909">
        <v>0</v>
      </c>
      <c r="HM185" s="909">
        <v>0</v>
      </c>
      <c r="HN185" s="909">
        <v>0</v>
      </c>
      <c r="HO185" s="910">
        <v>18268.582754999738</v>
      </c>
      <c r="HP185" s="871">
        <v>4000</v>
      </c>
      <c r="HQ185" s="911">
        <v>132.36577047124996</v>
      </c>
      <c r="HR185" s="908">
        <v>1.6579200000000003</v>
      </c>
      <c r="HS185" s="902">
        <v>24.046944386578051</v>
      </c>
      <c r="HT185" s="902">
        <v>0</v>
      </c>
      <c r="HU185" s="902">
        <v>0</v>
      </c>
      <c r="HV185" s="902">
        <v>11.860400816399787</v>
      </c>
      <c r="HW185" s="902">
        <v>0.84555972383769484</v>
      </c>
      <c r="HX185" s="902">
        <v>3600</v>
      </c>
      <c r="HY185" s="909" t="s">
        <v>1063</v>
      </c>
      <c r="HZ185" s="909">
        <v>2</v>
      </c>
      <c r="IA185" s="909">
        <v>0</v>
      </c>
      <c r="IB185" s="909">
        <v>0</v>
      </c>
      <c r="IC185" s="909">
        <v>0</v>
      </c>
      <c r="ID185" s="910">
        <v>12843.334005853563</v>
      </c>
      <c r="IE185" s="909">
        <v>0</v>
      </c>
      <c r="IF185" s="909">
        <v>0</v>
      </c>
      <c r="IG185" s="909">
        <v>0</v>
      </c>
      <c r="IH185" s="910">
        <v>16111.375591777505</v>
      </c>
      <c r="II185" s="871">
        <v>4000</v>
      </c>
      <c r="IJ185" s="911">
        <v>132.36577047124996</v>
      </c>
      <c r="IK185" s="908">
        <v>1.6579200000000003</v>
      </c>
      <c r="IL185" s="902">
        <v>24.046944386578051</v>
      </c>
      <c r="IM185" s="902">
        <v>0</v>
      </c>
      <c r="IN185" s="902">
        <v>0</v>
      </c>
      <c r="IO185" s="902">
        <v>11.860400816399787</v>
      </c>
      <c r="IP185" s="902">
        <v>0.84555972383769484</v>
      </c>
      <c r="IQ185" s="902">
        <v>3600</v>
      </c>
      <c r="IR185" s="909" t="s">
        <v>1063</v>
      </c>
      <c r="IS185" s="909">
        <v>2</v>
      </c>
      <c r="IT185" s="909">
        <v>0</v>
      </c>
      <c r="IU185" s="909">
        <v>0</v>
      </c>
      <c r="IV185" s="909">
        <v>0</v>
      </c>
      <c r="IW185" s="910">
        <v>12843.334005853563</v>
      </c>
      <c r="IX185" s="909">
        <v>0</v>
      </c>
      <c r="IY185" s="909">
        <v>0</v>
      </c>
      <c r="IZ185" s="909">
        <v>0</v>
      </c>
      <c r="JA185" s="910">
        <v>16111.375591777505</v>
      </c>
      <c r="JB185" s="871">
        <v>4000</v>
      </c>
      <c r="JC185" s="911">
        <v>132.36577047124996</v>
      </c>
      <c r="JD185" s="908">
        <v>1.6579200000000003</v>
      </c>
      <c r="JE185" s="902">
        <v>24.046944386578051</v>
      </c>
      <c r="JF185" s="902">
        <v>0</v>
      </c>
      <c r="JG185" s="902">
        <v>0</v>
      </c>
      <c r="JH185" s="902">
        <v>11.860400816399787</v>
      </c>
      <c r="JI185" s="902">
        <v>0.84555972383769484</v>
      </c>
      <c r="JJ185" s="902">
        <v>3600</v>
      </c>
      <c r="JK185" s="909" t="s">
        <v>1064</v>
      </c>
      <c r="JL185" s="909">
        <v>2</v>
      </c>
      <c r="JM185" s="909">
        <v>0</v>
      </c>
      <c r="JN185" s="909">
        <v>0</v>
      </c>
      <c r="JO185" s="909">
        <v>0</v>
      </c>
      <c r="JP185" s="910">
        <v>17502.513978678642</v>
      </c>
      <c r="JQ185" s="909">
        <v>0</v>
      </c>
      <c r="JR185" s="909">
        <v>0</v>
      </c>
      <c r="JS185" s="909">
        <v>0</v>
      </c>
      <c r="JT185" s="910">
        <v>21956.103951069577</v>
      </c>
      <c r="JU185" s="871">
        <v>4000</v>
      </c>
      <c r="JV185" s="911">
        <v>132.36577047124996</v>
      </c>
      <c r="JW185" s="908">
        <v>1.6579200000000003</v>
      </c>
      <c r="JX185" s="902">
        <v>24.046944386578051</v>
      </c>
      <c r="JY185" s="902">
        <v>0</v>
      </c>
      <c r="JZ185" s="902">
        <v>0</v>
      </c>
      <c r="KA185" s="902">
        <v>11.860400816399787</v>
      </c>
      <c r="KB185" s="902">
        <v>0.84555972383769484</v>
      </c>
      <c r="KC185" s="902">
        <v>3600</v>
      </c>
      <c r="KD185" s="909" t="s">
        <v>1064</v>
      </c>
      <c r="KE185" s="909">
        <v>2</v>
      </c>
      <c r="KF185" s="909">
        <v>0</v>
      </c>
      <c r="KG185" s="909">
        <v>0</v>
      </c>
      <c r="KH185" s="909">
        <v>0</v>
      </c>
      <c r="KI185" s="910">
        <v>17502.513978678642</v>
      </c>
      <c r="KJ185" s="909">
        <v>0</v>
      </c>
      <c r="KK185" s="909">
        <v>0</v>
      </c>
      <c r="KL185" s="909">
        <v>0</v>
      </c>
      <c r="KM185" s="910">
        <v>21956.103951069577</v>
      </c>
      <c r="KN185" s="871">
        <v>4000</v>
      </c>
      <c r="KO185" s="912">
        <v>132.36577047124996</v>
      </c>
    </row>
    <row r="186" spans="1:301" ht="15" customHeight="1">
      <c r="A186" s="924" t="s">
        <v>1631</v>
      </c>
      <c r="B186" s="888" t="s">
        <v>1073</v>
      </c>
      <c r="C186" s="888">
        <v>190</v>
      </c>
      <c r="D186" s="888">
        <v>702</v>
      </c>
      <c r="E186" s="888">
        <v>160</v>
      </c>
      <c r="F186" s="888">
        <v>190</v>
      </c>
      <c r="G186" s="888">
        <v>34</v>
      </c>
      <c r="H186" s="888">
        <v>20</v>
      </c>
      <c r="I186" s="888">
        <v>20</v>
      </c>
      <c r="J186" s="888">
        <v>51.62</v>
      </c>
      <c r="K186" s="888">
        <v>79.8</v>
      </c>
      <c r="L186" s="888">
        <v>16</v>
      </c>
      <c r="M186" s="888">
        <v>270</v>
      </c>
      <c r="N186" s="888">
        <v>2</v>
      </c>
      <c r="O186" s="884">
        <v>5.7609762674514808</v>
      </c>
      <c r="P186" s="888">
        <v>2</v>
      </c>
      <c r="Q186" s="884">
        <v>3.7092203840257509</v>
      </c>
      <c r="R186" s="888">
        <v>13.000000000000002</v>
      </c>
      <c r="S186" s="888">
        <v>438.17053996915155</v>
      </c>
      <c r="T186" s="906">
        <v>15.388250236179813</v>
      </c>
      <c r="U186" s="906">
        <v>65.725580995372724</v>
      </c>
      <c r="V186" s="906">
        <v>47.5</v>
      </c>
      <c r="W186" s="1141">
        <v>0.94881879461060592</v>
      </c>
      <c r="X186" s="902">
        <v>0</v>
      </c>
      <c r="Y186" s="902">
        <v>0</v>
      </c>
      <c r="Z186" s="902">
        <v>0</v>
      </c>
      <c r="AA186" s="902">
        <v>0</v>
      </c>
      <c r="AB186" s="970">
        <v>0.9680401390946648</v>
      </c>
      <c r="AC186" s="1045">
        <v>4000</v>
      </c>
      <c r="AD186" s="890">
        <v>2.7886362388683139</v>
      </c>
      <c r="AE186" s="890">
        <v>1.2625911239513072</v>
      </c>
      <c r="AF186" s="890">
        <v>-5.9992942510175812E-2</v>
      </c>
      <c r="AG186" s="890">
        <v>0.66071877531676104</v>
      </c>
      <c r="AH186" s="888"/>
      <c r="AI186" s="907">
        <v>1.6642836786623685</v>
      </c>
      <c r="AJ186" s="908">
        <v>2.0347200000000001</v>
      </c>
      <c r="AK186" s="902">
        <v>27.841985682267651</v>
      </c>
      <c r="AL186" s="902">
        <v>0</v>
      </c>
      <c r="AM186" s="902">
        <v>0</v>
      </c>
      <c r="AN186" s="902">
        <v>9.4042868072799184</v>
      </c>
      <c r="AO186" s="902">
        <v>1.1946490084661014</v>
      </c>
      <c r="AP186" s="1222">
        <v>3600</v>
      </c>
      <c r="AQ186" s="909" t="s">
        <v>1062</v>
      </c>
      <c r="AR186" s="909">
        <v>3</v>
      </c>
      <c r="AS186" s="909">
        <v>0</v>
      </c>
      <c r="AT186" s="909">
        <v>0</v>
      </c>
      <c r="AU186" s="909">
        <v>0</v>
      </c>
      <c r="AV186" s="910">
        <v>44018.197116946161</v>
      </c>
      <c r="AW186" s="909">
        <v>0</v>
      </c>
      <c r="AX186" s="909">
        <v>0</v>
      </c>
      <c r="AY186" s="909">
        <v>0</v>
      </c>
      <c r="AZ186" s="910">
        <v>82539.793482822119</v>
      </c>
      <c r="BA186" s="871">
        <v>4000</v>
      </c>
      <c r="BB186" s="911">
        <v>147.02653618800232</v>
      </c>
      <c r="BC186" s="908">
        <v>2.0347200000000001</v>
      </c>
      <c r="BD186" s="902">
        <v>27.841985682267651</v>
      </c>
      <c r="BE186" s="902">
        <v>0</v>
      </c>
      <c r="BF186" s="902">
        <v>0</v>
      </c>
      <c r="BG186" s="902">
        <v>9.4042868072799184</v>
      </c>
      <c r="BH186" s="902">
        <v>1.1946490084661014</v>
      </c>
      <c r="BI186" s="902">
        <v>3600</v>
      </c>
      <c r="BJ186" s="909" t="s">
        <v>1062</v>
      </c>
      <c r="BK186" s="909">
        <v>3</v>
      </c>
      <c r="BL186" s="909">
        <v>0</v>
      </c>
      <c r="BM186" s="909">
        <v>0</v>
      </c>
      <c r="BN186" s="909">
        <v>0</v>
      </c>
      <c r="BO186" s="910">
        <v>44018.197116946161</v>
      </c>
      <c r="BP186" s="909">
        <v>0</v>
      </c>
      <c r="BQ186" s="909">
        <v>0</v>
      </c>
      <c r="BR186" s="909">
        <v>0</v>
      </c>
      <c r="BS186" s="910">
        <v>82539.793482822119</v>
      </c>
      <c r="BT186" s="871">
        <v>4000</v>
      </c>
      <c r="BU186" s="911">
        <v>147.02653618800232</v>
      </c>
      <c r="BV186" s="908">
        <v>2.0347200000000001</v>
      </c>
      <c r="BW186" s="902">
        <v>27.841985682267651</v>
      </c>
      <c r="BX186" s="902">
        <v>0</v>
      </c>
      <c r="BY186" s="902">
        <v>0</v>
      </c>
      <c r="BZ186" s="902">
        <v>9.4042868072799184</v>
      </c>
      <c r="CA186" s="902">
        <v>1.1946490084661014</v>
      </c>
      <c r="CB186" s="902">
        <v>3600</v>
      </c>
      <c r="CC186" s="909" t="s">
        <v>2874</v>
      </c>
      <c r="CD186" s="909">
        <v>3</v>
      </c>
      <c r="CE186" s="909">
        <v>0</v>
      </c>
      <c r="CF186" s="909">
        <v>0</v>
      </c>
      <c r="CG186" s="909">
        <v>0</v>
      </c>
      <c r="CH186" s="910">
        <v>43128.848933507055</v>
      </c>
      <c r="CI186" s="909">
        <v>0</v>
      </c>
      <c r="CJ186" s="909">
        <v>0</v>
      </c>
      <c r="CK186" s="909">
        <v>0</v>
      </c>
      <c r="CL186" s="910">
        <v>80872.151003045859</v>
      </c>
      <c r="CM186" s="871">
        <v>4000</v>
      </c>
      <c r="CN186" s="911">
        <v>147.02653618800232</v>
      </c>
      <c r="CO186" s="908">
        <v>2.0347200000000001</v>
      </c>
      <c r="CP186" s="902">
        <v>27.841985682267651</v>
      </c>
      <c r="CQ186" s="902">
        <v>0</v>
      </c>
      <c r="CR186" s="902">
        <v>0</v>
      </c>
      <c r="CS186" s="902">
        <v>9.4042868072799184</v>
      </c>
      <c r="CT186" s="902">
        <v>1.1946490084661014</v>
      </c>
      <c r="CU186" s="902">
        <v>3600</v>
      </c>
      <c r="CV186" s="909" t="s">
        <v>2874</v>
      </c>
      <c r="CW186" s="909">
        <v>3</v>
      </c>
      <c r="CX186" s="909">
        <v>0</v>
      </c>
      <c r="CY186" s="909">
        <v>0</v>
      </c>
      <c r="CZ186" s="909">
        <v>0</v>
      </c>
      <c r="DA186" s="910">
        <v>43128.848933507055</v>
      </c>
      <c r="DB186" s="909">
        <v>0</v>
      </c>
      <c r="DC186" s="909">
        <v>0</v>
      </c>
      <c r="DD186" s="909">
        <v>0</v>
      </c>
      <c r="DE186" s="910">
        <v>80872.151003045859</v>
      </c>
      <c r="DF186" s="871">
        <v>4000</v>
      </c>
      <c r="DG186" s="911">
        <v>147.02653618800232</v>
      </c>
      <c r="DH186" s="908">
        <v>1.3564800000000001</v>
      </c>
      <c r="DI186" s="902">
        <v>27.163745682267653</v>
      </c>
      <c r="DJ186" s="902">
        <v>0</v>
      </c>
      <c r="DK186" s="902">
        <v>0</v>
      </c>
      <c r="DL186" s="902">
        <v>9.3894126982171819</v>
      </c>
      <c r="DM186" s="902">
        <v>1.1498085273461016</v>
      </c>
      <c r="DN186" s="902">
        <v>3600</v>
      </c>
      <c r="DO186" s="909" t="s">
        <v>2876</v>
      </c>
      <c r="DP186" s="909">
        <v>2</v>
      </c>
      <c r="DQ186" s="909">
        <v>0</v>
      </c>
      <c r="DR186" s="909">
        <v>0</v>
      </c>
      <c r="DS186" s="909">
        <v>0</v>
      </c>
      <c r="DT186" s="910">
        <v>26848.6234276736</v>
      </c>
      <c r="DU186" s="909">
        <v>0</v>
      </c>
      <c r="DV186" s="909">
        <v>0</v>
      </c>
      <c r="DW186" s="909">
        <v>0</v>
      </c>
      <c r="DX186" s="910">
        <v>35694.306926137739</v>
      </c>
      <c r="DY186" s="871">
        <v>4000</v>
      </c>
      <c r="DZ186" s="911">
        <v>147.02653618800232</v>
      </c>
      <c r="EA186" s="908">
        <v>1.3564800000000001</v>
      </c>
      <c r="EB186" s="902">
        <v>27.163745682267653</v>
      </c>
      <c r="EC186" s="902">
        <v>0</v>
      </c>
      <c r="ED186" s="902">
        <v>0</v>
      </c>
      <c r="EE186" s="902">
        <v>9.3894126982171819</v>
      </c>
      <c r="EF186" s="902">
        <v>1.1498085273461016</v>
      </c>
      <c r="EG186" s="902">
        <v>3600</v>
      </c>
      <c r="EH186" s="909" t="s">
        <v>2876</v>
      </c>
      <c r="EI186" s="909">
        <v>2</v>
      </c>
      <c r="EJ186" s="909">
        <v>0</v>
      </c>
      <c r="EK186" s="909">
        <v>0</v>
      </c>
      <c r="EL186" s="909">
        <v>0</v>
      </c>
      <c r="EM186" s="910">
        <v>26848.6234276736</v>
      </c>
      <c r="EN186" s="909">
        <v>0</v>
      </c>
      <c r="EO186" s="909">
        <v>0</v>
      </c>
      <c r="EP186" s="909">
        <v>0</v>
      </c>
      <c r="EQ186" s="910">
        <v>35694.306926137739</v>
      </c>
      <c r="ER186" s="871">
        <v>4000</v>
      </c>
      <c r="ES186" s="911">
        <v>147.02653618800232</v>
      </c>
      <c r="ET186" s="908">
        <v>1.3564800000000001</v>
      </c>
      <c r="EU186" s="902">
        <v>27.163745682267653</v>
      </c>
      <c r="EV186" s="902">
        <v>0</v>
      </c>
      <c r="EW186" s="902">
        <v>0</v>
      </c>
      <c r="EX186" s="902">
        <v>9.3894126982171819</v>
      </c>
      <c r="EY186" s="902">
        <v>1.1498085273461016</v>
      </c>
      <c r="EZ186" s="902">
        <v>3600</v>
      </c>
      <c r="FA186" s="909" t="s">
        <v>3889</v>
      </c>
      <c r="FB186" s="909">
        <v>2</v>
      </c>
      <c r="FC186" s="909">
        <v>0</v>
      </c>
      <c r="FD186" s="909">
        <v>0</v>
      </c>
      <c r="FE186" s="909">
        <v>0</v>
      </c>
      <c r="FF186" s="910">
        <v>28180.759663488439</v>
      </c>
      <c r="FG186" s="909">
        <v>0</v>
      </c>
      <c r="FH186" s="909">
        <v>0</v>
      </c>
      <c r="FI186" s="909">
        <v>0</v>
      </c>
      <c r="FJ186" s="910">
        <v>37465.335515245744</v>
      </c>
      <c r="FK186" s="871">
        <v>4000</v>
      </c>
      <c r="FL186" s="911">
        <v>147.02653618800232</v>
      </c>
      <c r="FM186" s="908">
        <v>1.3564800000000001</v>
      </c>
      <c r="FN186" s="902">
        <v>27.163745682267653</v>
      </c>
      <c r="FO186" s="902">
        <v>0</v>
      </c>
      <c r="FP186" s="902">
        <v>0</v>
      </c>
      <c r="FQ186" s="902">
        <v>9.3894126982171819</v>
      </c>
      <c r="FR186" s="902">
        <v>1.1498085273461016</v>
      </c>
      <c r="FS186" s="902">
        <v>3600</v>
      </c>
      <c r="FT186" s="909" t="s">
        <v>3889</v>
      </c>
      <c r="FU186" s="909">
        <v>2</v>
      </c>
      <c r="FV186" s="909">
        <v>0</v>
      </c>
      <c r="FW186" s="909">
        <v>0</v>
      </c>
      <c r="FX186" s="909">
        <v>0</v>
      </c>
      <c r="FY186" s="910">
        <v>28180.759663488439</v>
      </c>
      <c r="FZ186" s="909">
        <v>0</v>
      </c>
      <c r="GA186" s="909">
        <v>0</v>
      </c>
      <c r="GB186" s="909">
        <v>0</v>
      </c>
      <c r="GC186" s="910">
        <v>37465.335515245744</v>
      </c>
      <c r="GD186" s="871">
        <v>4000</v>
      </c>
      <c r="GE186" s="911">
        <v>147.02653618800232</v>
      </c>
      <c r="GF186" s="908">
        <v>1.3564800000000001</v>
      </c>
      <c r="GG186" s="902">
        <v>27.163745682267653</v>
      </c>
      <c r="GH186" s="902">
        <v>0</v>
      </c>
      <c r="GI186" s="902">
        <v>0</v>
      </c>
      <c r="GJ186" s="902">
        <v>9.3894126982171819</v>
      </c>
      <c r="GK186" s="902">
        <v>1.1498085273461016</v>
      </c>
      <c r="GL186" s="902">
        <v>3600</v>
      </c>
      <c r="GM186" s="909" t="s">
        <v>2877</v>
      </c>
      <c r="GN186" s="909">
        <v>2</v>
      </c>
      <c r="GO186" s="909">
        <v>0</v>
      </c>
      <c r="GP186" s="909">
        <v>0</v>
      </c>
      <c r="GQ186" s="909">
        <v>0</v>
      </c>
      <c r="GR186" s="910">
        <v>33160.210022768297</v>
      </c>
      <c r="GS186" s="909">
        <v>0</v>
      </c>
      <c r="GT186" s="909">
        <v>0</v>
      </c>
      <c r="GU186" s="909">
        <v>0</v>
      </c>
      <c r="GV186" s="910">
        <v>44085.340817432028</v>
      </c>
      <c r="GW186" s="871">
        <v>4000</v>
      </c>
      <c r="GX186" s="911">
        <v>147.02653618800232</v>
      </c>
      <c r="GY186" s="908">
        <v>1.3564800000000001</v>
      </c>
      <c r="GZ186" s="902">
        <v>27.163745682267653</v>
      </c>
      <c r="HA186" s="902">
        <v>0</v>
      </c>
      <c r="HB186" s="902">
        <v>0</v>
      </c>
      <c r="HC186" s="902">
        <v>9.3894126982171819</v>
      </c>
      <c r="HD186" s="902">
        <v>1.1498085273461016</v>
      </c>
      <c r="HE186" s="902">
        <v>3600</v>
      </c>
      <c r="HF186" s="909" t="s">
        <v>2877</v>
      </c>
      <c r="HG186" s="909">
        <v>2</v>
      </c>
      <c r="HH186" s="909">
        <v>0</v>
      </c>
      <c r="HI186" s="909">
        <v>0</v>
      </c>
      <c r="HJ186" s="909">
        <v>0</v>
      </c>
      <c r="HK186" s="910">
        <v>33160.210022768297</v>
      </c>
      <c r="HL186" s="909">
        <v>0</v>
      </c>
      <c r="HM186" s="909">
        <v>0</v>
      </c>
      <c r="HN186" s="909">
        <v>0</v>
      </c>
      <c r="HO186" s="910">
        <v>44085.340817432028</v>
      </c>
      <c r="HP186" s="871">
        <v>4000</v>
      </c>
      <c r="HQ186" s="911">
        <v>147.02653618800232</v>
      </c>
      <c r="HR186" s="908">
        <v>1.3564800000000001</v>
      </c>
      <c r="HS186" s="902">
        <v>27.163745682267653</v>
      </c>
      <c r="HT186" s="902">
        <v>0</v>
      </c>
      <c r="HU186" s="902">
        <v>0</v>
      </c>
      <c r="HV186" s="902">
        <v>9.3894126982171819</v>
      </c>
      <c r="HW186" s="902">
        <v>1.1498085273461016</v>
      </c>
      <c r="HX186" s="902">
        <v>3600</v>
      </c>
      <c r="HY186" s="909" t="s">
        <v>1063</v>
      </c>
      <c r="HZ186" s="909">
        <v>2</v>
      </c>
      <c r="IA186" s="909">
        <v>0</v>
      </c>
      <c r="IB186" s="909">
        <v>0</v>
      </c>
      <c r="IC186" s="909">
        <v>0</v>
      </c>
      <c r="ID186" s="910">
        <v>29244.556380972146</v>
      </c>
      <c r="IE186" s="909">
        <v>0</v>
      </c>
      <c r="IF186" s="909">
        <v>0</v>
      </c>
      <c r="IG186" s="909">
        <v>0</v>
      </c>
      <c r="IH186" s="910">
        <v>38879.616088816714</v>
      </c>
      <c r="II186" s="871">
        <v>4000</v>
      </c>
      <c r="IJ186" s="911">
        <v>147.02653618800232</v>
      </c>
      <c r="IK186" s="908">
        <v>1.3564800000000001</v>
      </c>
      <c r="IL186" s="902">
        <v>27.163745682267653</v>
      </c>
      <c r="IM186" s="902">
        <v>0</v>
      </c>
      <c r="IN186" s="902">
        <v>0</v>
      </c>
      <c r="IO186" s="902">
        <v>9.3894126982171819</v>
      </c>
      <c r="IP186" s="902">
        <v>1.1498085273461016</v>
      </c>
      <c r="IQ186" s="902">
        <v>3600</v>
      </c>
      <c r="IR186" s="909" t="s">
        <v>1063</v>
      </c>
      <c r="IS186" s="909">
        <v>2</v>
      </c>
      <c r="IT186" s="909">
        <v>0</v>
      </c>
      <c r="IU186" s="909">
        <v>0</v>
      </c>
      <c r="IV186" s="909">
        <v>0</v>
      </c>
      <c r="IW186" s="910">
        <v>29244.556380972146</v>
      </c>
      <c r="IX186" s="909">
        <v>0</v>
      </c>
      <c r="IY186" s="909">
        <v>0</v>
      </c>
      <c r="IZ186" s="909">
        <v>0</v>
      </c>
      <c r="JA186" s="910">
        <v>38879.616088816714</v>
      </c>
      <c r="JB186" s="871">
        <v>4000</v>
      </c>
      <c r="JC186" s="911">
        <v>147.02653618800232</v>
      </c>
      <c r="JD186" s="908">
        <v>1.3564800000000001</v>
      </c>
      <c r="JE186" s="902">
        <v>27.163745682267653</v>
      </c>
      <c r="JF186" s="902">
        <v>0</v>
      </c>
      <c r="JG186" s="902">
        <v>0</v>
      </c>
      <c r="JH186" s="902">
        <v>9.3894126982171819</v>
      </c>
      <c r="JI186" s="902">
        <v>1.1498085273461016</v>
      </c>
      <c r="JJ186" s="902">
        <v>3600</v>
      </c>
      <c r="JK186" s="909" t="s">
        <v>1064</v>
      </c>
      <c r="JL186" s="909">
        <v>2</v>
      </c>
      <c r="JM186" s="909">
        <v>0</v>
      </c>
      <c r="JN186" s="909">
        <v>0</v>
      </c>
      <c r="JO186" s="909">
        <v>0</v>
      </c>
      <c r="JP186" s="910">
        <v>39853.612514082015</v>
      </c>
      <c r="JQ186" s="909">
        <v>0</v>
      </c>
      <c r="JR186" s="909">
        <v>0</v>
      </c>
      <c r="JS186" s="909">
        <v>0</v>
      </c>
      <c r="JT186" s="910">
        <v>52983.985604518923</v>
      </c>
      <c r="JU186" s="871">
        <v>4000</v>
      </c>
      <c r="JV186" s="911">
        <v>147.02653618800232</v>
      </c>
      <c r="JW186" s="908">
        <v>1.3564800000000001</v>
      </c>
      <c r="JX186" s="902">
        <v>27.163745682267653</v>
      </c>
      <c r="JY186" s="902">
        <v>0</v>
      </c>
      <c r="JZ186" s="902">
        <v>0</v>
      </c>
      <c r="KA186" s="902">
        <v>9.3894126982171819</v>
      </c>
      <c r="KB186" s="902">
        <v>1.1498085273461016</v>
      </c>
      <c r="KC186" s="902">
        <v>3600</v>
      </c>
      <c r="KD186" s="909" t="s">
        <v>1064</v>
      </c>
      <c r="KE186" s="909">
        <v>2</v>
      </c>
      <c r="KF186" s="909">
        <v>0</v>
      </c>
      <c r="KG186" s="909">
        <v>0</v>
      </c>
      <c r="KH186" s="909">
        <v>0</v>
      </c>
      <c r="KI186" s="910">
        <v>39853.612514082015</v>
      </c>
      <c r="KJ186" s="909">
        <v>0</v>
      </c>
      <c r="KK186" s="909">
        <v>0</v>
      </c>
      <c r="KL186" s="909">
        <v>0</v>
      </c>
      <c r="KM186" s="910">
        <v>52983.985604518923</v>
      </c>
      <c r="KN186" s="871">
        <v>4000</v>
      </c>
      <c r="KO186" s="912">
        <v>147.02653618800232</v>
      </c>
    </row>
    <row r="187" spans="1:301" ht="15" customHeight="1">
      <c r="A187" s="924" t="s">
        <v>1632</v>
      </c>
      <c r="B187" s="888" t="s">
        <v>1073</v>
      </c>
      <c r="C187" s="888">
        <v>190</v>
      </c>
      <c r="D187" s="888">
        <v>702</v>
      </c>
      <c r="E187" s="888">
        <v>160</v>
      </c>
      <c r="F187" s="888">
        <v>190</v>
      </c>
      <c r="G187" s="888">
        <v>34</v>
      </c>
      <c r="H187" s="888">
        <v>20</v>
      </c>
      <c r="I187" s="888">
        <v>20</v>
      </c>
      <c r="J187" s="888">
        <v>51.62</v>
      </c>
      <c r="K187" s="888">
        <v>79.8</v>
      </c>
      <c r="L187" s="888">
        <v>16</v>
      </c>
      <c r="M187" s="888">
        <v>270</v>
      </c>
      <c r="N187" s="888">
        <v>2</v>
      </c>
      <c r="O187" s="884">
        <v>5.7609762674514808</v>
      </c>
      <c r="P187" s="888">
        <v>2</v>
      </c>
      <c r="Q187" s="884">
        <v>3.7092203840257509</v>
      </c>
      <c r="R187" s="888">
        <v>13.000000000000002</v>
      </c>
      <c r="S187" s="888">
        <v>438.17053996915155</v>
      </c>
      <c r="T187" s="906">
        <v>15.388250236179813</v>
      </c>
      <c r="U187" s="906">
        <v>65.725580995372724</v>
      </c>
      <c r="V187" s="906">
        <v>47.5</v>
      </c>
      <c r="W187" s="1141">
        <v>0.94881879461060592</v>
      </c>
      <c r="X187" s="902">
        <v>0</v>
      </c>
      <c r="Y187" s="902">
        <v>0</v>
      </c>
      <c r="Z187" s="902">
        <v>0</v>
      </c>
      <c r="AA187" s="902">
        <v>0</v>
      </c>
      <c r="AB187" s="970">
        <v>0.9680401390946648</v>
      </c>
      <c r="AC187" s="1045">
        <v>4000</v>
      </c>
      <c r="AD187" s="890">
        <v>2.7886362388683139</v>
      </c>
      <c r="AE187" s="890">
        <v>1.2625911239513072</v>
      </c>
      <c r="AF187" s="890">
        <v>-5.9992942510175812E-2</v>
      </c>
      <c r="AG187" s="890">
        <v>0.66071877531676104</v>
      </c>
      <c r="AH187" s="888"/>
      <c r="AI187" s="907">
        <v>1.6642836786623685</v>
      </c>
      <c r="AJ187" s="908">
        <v>2.0347200000000001</v>
      </c>
      <c r="AK187" s="902">
        <v>27.841985682267651</v>
      </c>
      <c r="AL187" s="902">
        <v>0</v>
      </c>
      <c r="AM187" s="902">
        <v>0</v>
      </c>
      <c r="AN187" s="902">
        <v>9.4042868072799184</v>
      </c>
      <c r="AO187" s="902">
        <v>1.1946490084661014</v>
      </c>
      <c r="AP187" s="1222">
        <v>3600</v>
      </c>
      <c r="AQ187" s="909" t="s">
        <v>1062</v>
      </c>
      <c r="AR187" s="909">
        <v>3</v>
      </c>
      <c r="AS187" s="909">
        <v>0</v>
      </c>
      <c r="AT187" s="909">
        <v>0</v>
      </c>
      <c r="AU187" s="909">
        <v>0</v>
      </c>
      <c r="AV187" s="910">
        <v>44018.197116946161</v>
      </c>
      <c r="AW187" s="909">
        <v>0</v>
      </c>
      <c r="AX187" s="909">
        <v>0</v>
      </c>
      <c r="AY187" s="909">
        <v>0</v>
      </c>
      <c r="AZ187" s="910">
        <v>82539.793482822119</v>
      </c>
      <c r="BA187" s="871">
        <v>4000</v>
      </c>
      <c r="BB187" s="911">
        <v>147.02653618800232</v>
      </c>
      <c r="BC187" s="908">
        <v>2.0347200000000001</v>
      </c>
      <c r="BD187" s="902">
        <v>27.841985682267651</v>
      </c>
      <c r="BE187" s="902">
        <v>0</v>
      </c>
      <c r="BF187" s="902">
        <v>0</v>
      </c>
      <c r="BG187" s="902">
        <v>9.4042868072799184</v>
      </c>
      <c r="BH187" s="902">
        <v>1.1946490084661014</v>
      </c>
      <c r="BI187" s="902">
        <v>3600</v>
      </c>
      <c r="BJ187" s="909" t="s">
        <v>1062</v>
      </c>
      <c r="BK187" s="909">
        <v>3</v>
      </c>
      <c r="BL187" s="909">
        <v>0</v>
      </c>
      <c r="BM187" s="909">
        <v>0</v>
      </c>
      <c r="BN187" s="909">
        <v>0</v>
      </c>
      <c r="BO187" s="910">
        <v>44018.197116946161</v>
      </c>
      <c r="BP187" s="909">
        <v>0</v>
      </c>
      <c r="BQ187" s="909">
        <v>0</v>
      </c>
      <c r="BR187" s="909">
        <v>0</v>
      </c>
      <c r="BS187" s="910">
        <v>82539.793482822119</v>
      </c>
      <c r="BT187" s="871">
        <v>4000</v>
      </c>
      <c r="BU187" s="911">
        <v>147.02653618800232</v>
      </c>
      <c r="BV187" s="908">
        <v>2.0347200000000001</v>
      </c>
      <c r="BW187" s="902">
        <v>27.841985682267651</v>
      </c>
      <c r="BX187" s="902">
        <v>0</v>
      </c>
      <c r="BY187" s="902">
        <v>0</v>
      </c>
      <c r="BZ187" s="902">
        <v>9.4042868072799184</v>
      </c>
      <c r="CA187" s="902">
        <v>1.1946490084661014</v>
      </c>
      <c r="CB187" s="902">
        <v>3600</v>
      </c>
      <c r="CC187" s="909" t="s">
        <v>2874</v>
      </c>
      <c r="CD187" s="909">
        <v>3</v>
      </c>
      <c r="CE187" s="909">
        <v>0</v>
      </c>
      <c r="CF187" s="909">
        <v>0</v>
      </c>
      <c r="CG187" s="909">
        <v>0</v>
      </c>
      <c r="CH187" s="910">
        <v>43128.848933507055</v>
      </c>
      <c r="CI187" s="909">
        <v>0</v>
      </c>
      <c r="CJ187" s="909">
        <v>0</v>
      </c>
      <c r="CK187" s="909">
        <v>0</v>
      </c>
      <c r="CL187" s="910">
        <v>80872.151003045859</v>
      </c>
      <c r="CM187" s="871">
        <v>4000</v>
      </c>
      <c r="CN187" s="911">
        <v>147.02653618800232</v>
      </c>
      <c r="CO187" s="908">
        <v>2.0347200000000001</v>
      </c>
      <c r="CP187" s="902">
        <v>27.841985682267651</v>
      </c>
      <c r="CQ187" s="902">
        <v>0</v>
      </c>
      <c r="CR187" s="902">
        <v>0</v>
      </c>
      <c r="CS187" s="902">
        <v>9.4042868072799184</v>
      </c>
      <c r="CT187" s="902">
        <v>1.1946490084661014</v>
      </c>
      <c r="CU187" s="902">
        <v>3600</v>
      </c>
      <c r="CV187" s="909" t="s">
        <v>2874</v>
      </c>
      <c r="CW187" s="909">
        <v>3</v>
      </c>
      <c r="CX187" s="909">
        <v>0</v>
      </c>
      <c r="CY187" s="909">
        <v>0</v>
      </c>
      <c r="CZ187" s="909">
        <v>0</v>
      </c>
      <c r="DA187" s="910">
        <v>43128.848933507055</v>
      </c>
      <c r="DB187" s="909">
        <v>0</v>
      </c>
      <c r="DC187" s="909">
        <v>0</v>
      </c>
      <c r="DD187" s="909">
        <v>0</v>
      </c>
      <c r="DE187" s="910">
        <v>80872.151003045859</v>
      </c>
      <c r="DF187" s="871">
        <v>4000</v>
      </c>
      <c r="DG187" s="911">
        <v>147.02653618800232</v>
      </c>
      <c r="DH187" s="908">
        <v>1.3564800000000001</v>
      </c>
      <c r="DI187" s="902">
        <v>27.163745682267653</v>
      </c>
      <c r="DJ187" s="902">
        <v>0</v>
      </c>
      <c r="DK187" s="902">
        <v>0</v>
      </c>
      <c r="DL187" s="902">
        <v>9.3894126982171819</v>
      </c>
      <c r="DM187" s="902">
        <v>1.1498085273461016</v>
      </c>
      <c r="DN187" s="902">
        <v>3600</v>
      </c>
      <c r="DO187" s="909" t="s">
        <v>2876</v>
      </c>
      <c r="DP187" s="909">
        <v>2</v>
      </c>
      <c r="DQ187" s="909">
        <v>0</v>
      </c>
      <c r="DR187" s="909">
        <v>0</v>
      </c>
      <c r="DS187" s="909">
        <v>0</v>
      </c>
      <c r="DT187" s="910">
        <v>26848.6234276736</v>
      </c>
      <c r="DU187" s="909">
        <v>0</v>
      </c>
      <c r="DV187" s="909">
        <v>0</v>
      </c>
      <c r="DW187" s="909">
        <v>0</v>
      </c>
      <c r="DX187" s="910">
        <v>35694.306926137739</v>
      </c>
      <c r="DY187" s="871">
        <v>4000</v>
      </c>
      <c r="DZ187" s="911">
        <v>147.02653618800232</v>
      </c>
      <c r="EA187" s="908">
        <v>1.3564800000000001</v>
      </c>
      <c r="EB187" s="902">
        <v>27.163745682267653</v>
      </c>
      <c r="EC187" s="902">
        <v>0</v>
      </c>
      <c r="ED187" s="902">
        <v>0</v>
      </c>
      <c r="EE187" s="902">
        <v>9.3894126982171819</v>
      </c>
      <c r="EF187" s="902">
        <v>1.1498085273461016</v>
      </c>
      <c r="EG187" s="902">
        <v>3600</v>
      </c>
      <c r="EH187" s="909" t="s">
        <v>2876</v>
      </c>
      <c r="EI187" s="909">
        <v>2</v>
      </c>
      <c r="EJ187" s="909">
        <v>0</v>
      </c>
      <c r="EK187" s="909">
        <v>0</v>
      </c>
      <c r="EL187" s="909">
        <v>0</v>
      </c>
      <c r="EM187" s="910">
        <v>26848.6234276736</v>
      </c>
      <c r="EN187" s="909">
        <v>0</v>
      </c>
      <c r="EO187" s="909">
        <v>0</v>
      </c>
      <c r="EP187" s="909">
        <v>0</v>
      </c>
      <c r="EQ187" s="910">
        <v>35694.306926137739</v>
      </c>
      <c r="ER187" s="871">
        <v>4000</v>
      </c>
      <c r="ES187" s="911">
        <v>147.02653618800232</v>
      </c>
      <c r="ET187" s="908">
        <v>1.3564800000000001</v>
      </c>
      <c r="EU187" s="902">
        <v>27.163745682267653</v>
      </c>
      <c r="EV187" s="902">
        <v>0</v>
      </c>
      <c r="EW187" s="902">
        <v>0</v>
      </c>
      <c r="EX187" s="902">
        <v>9.3894126982171819</v>
      </c>
      <c r="EY187" s="902">
        <v>1.1498085273461016</v>
      </c>
      <c r="EZ187" s="902">
        <v>3600</v>
      </c>
      <c r="FA187" s="909" t="s">
        <v>3889</v>
      </c>
      <c r="FB187" s="909">
        <v>2</v>
      </c>
      <c r="FC187" s="909">
        <v>0</v>
      </c>
      <c r="FD187" s="909">
        <v>0</v>
      </c>
      <c r="FE187" s="909">
        <v>0</v>
      </c>
      <c r="FF187" s="910">
        <v>28180.759663488439</v>
      </c>
      <c r="FG187" s="909">
        <v>0</v>
      </c>
      <c r="FH187" s="909">
        <v>0</v>
      </c>
      <c r="FI187" s="909">
        <v>0</v>
      </c>
      <c r="FJ187" s="910">
        <v>37465.335515245744</v>
      </c>
      <c r="FK187" s="871">
        <v>4000</v>
      </c>
      <c r="FL187" s="911">
        <v>147.02653618800232</v>
      </c>
      <c r="FM187" s="908">
        <v>1.3564800000000001</v>
      </c>
      <c r="FN187" s="902">
        <v>27.163745682267653</v>
      </c>
      <c r="FO187" s="902">
        <v>0</v>
      </c>
      <c r="FP187" s="902">
        <v>0</v>
      </c>
      <c r="FQ187" s="902">
        <v>9.3894126982171819</v>
      </c>
      <c r="FR187" s="902">
        <v>1.1498085273461016</v>
      </c>
      <c r="FS187" s="902">
        <v>3600</v>
      </c>
      <c r="FT187" s="909" t="s">
        <v>3889</v>
      </c>
      <c r="FU187" s="909">
        <v>2</v>
      </c>
      <c r="FV187" s="909">
        <v>0</v>
      </c>
      <c r="FW187" s="909">
        <v>0</v>
      </c>
      <c r="FX187" s="909">
        <v>0</v>
      </c>
      <c r="FY187" s="910">
        <v>28180.759663488439</v>
      </c>
      <c r="FZ187" s="909">
        <v>0</v>
      </c>
      <c r="GA187" s="909">
        <v>0</v>
      </c>
      <c r="GB187" s="909">
        <v>0</v>
      </c>
      <c r="GC187" s="910">
        <v>37465.335515245744</v>
      </c>
      <c r="GD187" s="871">
        <v>4000</v>
      </c>
      <c r="GE187" s="911">
        <v>147.02653618800232</v>
      </c>
      <c r="GF187" s="908">
        <v>1.3564800000000001</v>
      </c>
      <c r="GG187" s="902">
        <v>27.163745682267653</v>
      </c>
      <c r="GH187" s="902">
        <v>0</v>
      </c>
      <c r="GI187" s="902">
        <v>0</v>
      </c>
      <c r="GJ187" s="902">
        <v>9.3894126982171819</v>
      </c>
      <c r="GK187" s="902">
        <v>1.1498085273461016</v>
      </c>
      <c r="GL187" s="902">
        <v>3600</v>
      </c>
      <c r="GM187" s="909" t="s">
        <v>2877</v>
      </c>
      <c r="GN187" s="909">
        <v>2</v>
      </c>
      <c r="GO187" s="909">
        <v>0</v>
      </c>
      <c r="GP187" s="909">
        <v>0</v>
      </c>
      <c r="GQ187" s="909">
        <v>0</v>
      </c>
      <c r="GR187" s="910">
        <v>33160.210022768297</v>
      </c>
      <c r="GS187" s="909">
        <v>0</v>
      </c>
      <c r="GT187" s="909">
        <v>0</v>
      </c>
      <c r="GU187" s="909">
        <v>0</v>
      </c>
      <c r="GV187" s="910">
        <v>44085.340817432028</v>
      </c>
      <c r="GW187" s="871">
        <v>4000</v>
      </c>
      <c r="GX187" s="911">
        <v>147.02653618800232</v>
      </c>
      <c r="GY187" s="908">
        <v>1.3564800000000001</v>
      </c>
      <c r="GZ187" s="902">
        <v>27.163745682267653</v>
      </c>
      <c r="HA187" s="902">
        <v>0</v>
      </c>
      <c r="HB187" s="902">
        <v>0</v>
      </c>
      <c r="HC187" s="902">
        <v>9.3894126982171819</v>
      </c>
      <c r="HD187" s="902">
        <v>1.1498085273461016</v>
      </c>
      <c r="HE187" s="902">
        <v>3600</v>
      </c>
      <c r="HF187" s="909" t="s">
        <v>2877</v>
      </c>
      <c r="HG187" s="909">
        <v>2</v>
      </c>
      <c r="HH187" s="909">
        <v>0</v>
      </c>
      <c r="HI187" s="909">
        <v>0</v>
      </c>
      <c r="HJ187" s="909">
        <v>0</v>
      </c>
      <c r="HK187" s="910">
        <v>33160.210022768297</v>
      </c>
      <c r="HL187" s="909">
        <v>0</v>
      </c>
      <c r="HM187" s="909">
        <v>0</v>
      </c>
      <c r="HN187" s="909">
        <v>0</v>
      </c>
      <c r="HO187" s="910">
        <v>44085.340817432028</v>
      </c>
      <c r="HP187" s="871">
        <v>4000</v>
      </c>
      <c r="HQ187" s="911">
        <v>147.02653618800232</v>
      </c>
      <c r="HR187" s="908">
        <v>1.3564800000000001</v>
      </c>
      <c r="HS187" s="902">
        <v>27.163745682267653</v>
      </c>
      <c r="HT187" s="902">
        <v>0</v>
      </c>
      <c r="HU187" s="902">
        <v>0</v>
      </c>
      <c r="HV187" s="902">
        <v>9.3894126982171819</v>
      </c>
      <c r="HW187" s="902">
        <v>1.1498085273461016</v>
      </c>
      <c r="HX187" s="902">
        <v>3600</v>
      </c>
      <c r="HY187" s="909" t="s">
        <v>1063</v>
      </c>
      <c r="HZ187" s="909">
        <v>2</v>
      </c>
      <c r="IA187" s="909">
        <v>0</v>
      </c>
      <c r="IB187" s="909">
        <v>0</v>
      </c>
      <c r="IC187" s="909">
        <v>0</v>
      </c>
      <c r="ID187" s="910">
        <v>29244.556380972146</v>
      </c>
      <c r="IE187" s="909">
        <v>0</v>
      </c>
      <c r="IF187" s="909">
        <v>0</v>
      </c>
      <c r="IG187" s="909">
        <v>0</v>
      </c>
      <c r="IH187" s="910">
        <v>38879.616088816714</v>
      </c>
      <c r="II187" s="871">
        <v>4000</v>
      </c>
      <c r="IJ187" s="911">
        <v>147.02653618800232</v>
      </c>
      <c r="IK187" s="908">
        <v>1.3564800000000001</v>
      </c>
      <c r="IL187" s="902">
        <v>27.163745682267653</v>
      </c>
      <c r="IM187" s="902">
        <v>0</v>
      </c>
      <c r="IN187" s="902">
        <v>0</v>
      </c>
      <c r="IO187" s="902">
        <v>9.3894126982171819</v>
      </c>
      <c r="IP187" s="902">
        <v>1.1498085273461016</v>
      </c>
      <c r="IQ187" s="902">
        <v>3600</v>
      </c>
      <c r="IR187" s="909" t="s">
        <v>1063</v>
      </c>
      <c r="IS187" s="909">
        <v>2</v>
      </c>
      <c r="IT187" s="909">
        <v>0</v>
      </c>
      <c r="IU187" s="909">
        <v>0</v>
      </c>
      <c r="IV187" s="909">
        <v>0</v>
      </c>
      <c r="IW187" s="910">
        <v>29244.556380972146</v>
      </c>
      <c r="IX187" s="909">
        <v>0</v>
      </c>
      <c r="IY187" s="909">
        <v>0</v>
      </c>
      <c r="IZ187" s="909">
        <v>0</v>
      </c>
      <c r="JA187" s="910">
        <v>38879.616088816714</v>
      </c>
      <c r="JB187" s="871">
        <v>4000</v>
      </c>
      <c r="JC187" s="911">
        <v>147.02653618800232</v>
      </c>
      <c r="JD187" s="908">
        <v>1.3564800000000001</v>
      </c>
      <c r="JE187" s="902">
        <v>27.163745682267653</v>
      </c>
      <c r="JF187" s="902">
        <v>0</v>
      </c>
      <c r="JG187" s="902">
        <v>0</v>
      </c>
      <c r="JH187" s="902">
        <v>9.3894126982171819</v>
      </c>
      <c r="JI187" s="902">
        <v>1.1498085273461016</v>
      </c>
      <c r="JJ187" s="902">
        <v>3600</v>
      </c>
      <c r="JK187" s="909" t="s">
        <v>1064</v>
      </c>
      <c r="JL187" s="909">
        <v>2</v>
      </c>
      <c r="JM187" s="909">
        <v>0</v>
      </c>
      <c r="JN187" s="909">
        <v>0</v>
      </c>
      <c r="JO187" s="909">
        <v>0</v>
      </c>
      <c r="JP187" s="910">
        <v>39853.612514082015</v>
      </c>
      <c r="JQ187" s="909">
        <v>0</v>
      </c>
      <c r="JR187" s="909">
        <v>0</v>
      </c>
      <c r="JS187" s="909">
        <v>0</v>
      </c>
      <c r="JT187" s="910">
        <v>52983.985604518923</v>
      </c>
      <c r="JU187" s="871">
        <v>4000</v>
      </c>
      <c r="JV187" s="911">
        <v>147.02653618800232</v>
      </c>
      <c r="JW187" s="908">
        <v>1.3564800000000001</v>
      </c>
      <c r="JX187" s="902">
        <v>27.163745682267653</v>
      </c>
      <c r="JY187" s="902">
        <v>0</v>
      </c>
      <c r="JZ187" s="902">
        <v>0</v>
      </c>
      <c r="KA187" s="902">
        <v>9.3894126982171819</v>
      </c>
      <c r="KB187" s="902">
        <v>1.1498085273461016</v>
      </c>
      <c r="KC187" s="902">
        <v>3600</v>
      </c>
      <c r="KD187" s="909" t="s">
        <v>1064</v>
      </c>
      <c r="KE187" s="909">
        <v>2</v>
      </c>
      <c r="KF187" s="909">
        <v>0</v>
      </c>
      <c r="KG187" s="909">
        <v>0</v>
      </c>
      <c r="KH187" s="909">
        <v>0</v>
      </c>
      <c r="KI187" s="910">
        <v>39853.612514082015</v>
      </c>
      <c r="KJ187" s="909">
        <v>0</v>
      </c>
      <c r="KK187" s="909">
        <v>0</v>
      </c>
      <c r="KL187" s="909">
        <v>0</v>
      </c>
      <c r="KM187" s="910">
        <v>52983.985604518923</v>
      </c>
      <c r="KN187" s="871">
        <v>4000</v>
      </c>
      <c r="KO187" s="912">
        <v>147.02653618800232</v>
      </c>
    </row>
    <row r="188" spans="1:301" ht="15" customHeight="1">
      <c r="A188" s="924" t="s">
        <v>1707</v>
      </c>
      <c r="B188" s="888" t="s">
        <v>1073</v>
      </c>
      <c r="C188" s="888">
        <v>190</v>
      </c>
      <c r="D188" s="888">
        <v>702</v>
      </c>
      <c r="E188" s="888">
        <v>160</v>
      </c>
      <c r="F188" s="888">
        <v>190</v>
      </c>
      <c r="G188" s="888">
        <v>39</v>
      </c>
      <c r="H188" s="888">
        <v>25</v>
      </c>
      <c r="I188" s="888">
        <v>25</v>
      </c>
      <c r="J188" s="888">
        <v>51.62</v>
      </c>
      <c r="K188" s="888">
        <v>79.8</v>
      </c>
      <c r="L188" s="888">
        <v>16</v>
      </c>
      <c r="M188" s="888">
        <v>270</v>
      </c>
      <c r="N188" s="888">
        <v>2</v>
      </c>
      <c r="O188" s="884">
        <v>5.7609762674514808</v>
      </c>
      <c r="P188" s="888">
        <v>2</v>
      </c>
      <c r="Q188" s="884">
        <v>4.8531247129033277</v>
      </c>
      <c r="R188" s="888">
        <v>10</v>
      </c>
      <c r="S188" s="888">
        <v>315</v>
      </c>
      <c r="T188" s="906">
        <v>6.1175939219042776</v>
      </c>
      <c r="U188" s="906">
        <v>47.25</v>
      </c>
      <c r="V188" s="906">
        <v>47.5</v>
      </c>
      <c r="W188" s="1141">
        <v>0.49036338780263977</v>
      </c>
      <c r="X188" s="902">
        <v>0</v>
      </c>
      <c r="Y188" s="902">
        <v>0</v>
      </c>
      <c r="Z188" s="902">
        <v>0</v>
      </c>
      <c r="AA188" s="902">
        <v>0</v>
      </c>
      <c r="AB188" s="970">
        <v>0.82411043283318841</v>
      </c>
      <c r="AC188" s="1045">
        <v>4000</v>
      </c>
      <c r="AD188" s="890"/>
      <c r="AE188" s="890"/>
      <c r="AF188" s="890"/>
      <c r="AG188" s="890"/>
      <c r="AH188" s="888"/>
      <c r="AI188" s="907">
        <v>1.7074836786623684</v>
      </c>
      <c r="AJ188" s="908">
        <v>2.5434000000000001</v>
      </c>
      <c r="AK188" s="902">
        <v>19.765458290061723</v>
      </c>
      <c r="AL188" s="902">
        <v>0</v>
      </c>
      <c r="AM188" s="902">
        <v>0</v>
      </c>
      <c r="AN188" s="902">
        <v>11.277458291017869</v>
      </c>
      <c r="AO188" s="902">
        <v>0.97649205026353914</v>
      </c>
      <c r="AP188" s="1222">
        <v>3600</v>
      </c>
      <c r="AQ188" s="909" t="s">
        <v>1062</v>
      </c>
      <c r="AR188" s="909">
        <v>3</v>
      </c>
      <c r="AS188" s="909">
        <v>0</v>
      </c>
      <c r="AT188" s="909">
        <v>0</v>
      </c>
      <c r="AU188" s="909">
        <v>0</v>
      </c>
      <c r="AV188" s="910">
        <v>31265.795410243023</v>
      </c>
      <c r="AW188" s="909">
        <v>0</v>
      </c>
      <c r="AX188" s="909">
        <v>0</v>
      </c>
      <c r="AY188" s="909">
        <v>0</v>
      </c>
      <c r="AZ188" s="910">
        <v>29282.18227808741</v>
      </c>
      <c r="BA188" s="871">
        <v>4000</v>
      </c>
      <c r="BB188" s="911">
        <v>147.02653618800232</v>
      </c>
      <c r="BC188" s="908">
        <v>2.5434000000000001</v>
      </c>
      <c r="BD188" s="902">
        <v>19.765458290061723</v>
      </c>
      <c r="BE188" s="902">
        <v>0</v>
      </c>
      <c r="BF188" s="902">
        <v>0</v>
      </c>
      <c r="BG188" s="902">
        <v>11.277458291017869</v>
      </c>
      <c r="BH188" s="902">
        <v>0.97649205026353914</v>
      </c>
      <c r="BI188" s="902">
        <v>3600</v>
      </c>
      <c r="BJ188" s="909" t="s">
        <v>1062</v>
      </c>
      <c r="BK188" s="909">
        <v>3</v>
      </c>
      <c r="BL188" s="909">
        <v>0</v>
      </c>
      <c r="BM188" s="909">
        <v>0</v>
      </c>
      <c r="BN188" s="909">
        <v>0</v>
      </c>
      <c r="BO188" s="910">
        <v>31265.795410243023</v>
      </c>
      <c r="BP188" s="909">
        <v>0</v>
      </c>
      <c r="BQ188" s="909">
        <v>0</v>
      </c>
      <c r="BR188" s="909">
        <v>0</v>
      </c>
      <c r="BS188" s="910">
        <v>29282.18227808741</v>
      </c>
      <c r="BT188" s="871">
        <v>4000</v>
      </c>
      <c r="BU188" s="911">
        <v>147.02653618800232</v>
      </c>
      <c r="BV188" s="908">
        <v>2.5434000000000001</v>
      </c>
      <c r="BW188" s="902">
        <v>19.765458290061723</v>
      </c>
      <c r="BX188" s="902">
        <v>0</v>
      </c>
      <c r="BY188" s="902">
        <v>0</v>
      </c>
      <c r="BZ188" s="902">
        <v>11.277458291017869</v>
      </c>
      <c r="CA188" s="902">
        <v>0.97649205026353914</v>
      </c>
      <c r="CB188" s="902">
        <v>3600</v>
      </c>
      <c r="CC188" s="909" t="s">
        <v>2874</v>
      </c>
      <c r="CD188" s="909">
        <v>3</v>
      </c>
      <c r="CE188" s="909">
        <v>0</v>
      </c>
      <c r="CF188" s="909">
        <v>0</v>
      </c>
      <c r="CG188" s="909">
        <v>0</v>
      </c>
      <c r="CH188" s="910">
        <v>30634.098062939061</v>
      </c>
      <c r="CI188" s="909">
        <v>0</v>
      </c>
      <c r="CJ188" s="909">
        <v>0</v>
      </c>
      <c r="CK188" s="909">
        <v>0</v>
      </c>
      <c r="CL188" s="910">
        <v>28690.562054592985</v>
      </c>
      <c r="CM188" s="871">
        <v>4000</v>
      </c>
      <c r="CN188" s="911">
        <v>147.02653618800232</v>
      </c>
      <c r="CO188" s="908">
        <v>2.5434000000000001</v>
      </c>
      <c r="CP188" s="902">
        <v>19.765458290061723</v>
      </c>
      <c r="CQ188" s="902">
        <v>0</v>
      </c>
      <c r="CR188" s="902">
        <v>0</v>
      </c>
      <c r="CS188" s="902">
        <v>11.277458291017869</v>
      </c>
      <c r="CT188" s="902">
        <v>0.97649205026353914</v>
      </c>
      <c r="CU188" s="902">
        <v>3600</v>
      </c>
      <c r="CV188" s="909" t="s">
        <v>2874</v>
      </c>
      <c r="CW188" s="909">
        <v>3</v>
      </c>
      <c r="CX188" s="909">
        <v>0</v>
      </c>
      <c r="CY188" s="909">
        <v>0</v>
      </c>
      <c r="CZ188" s="909">
        <v>0</v>
      </c>
      <c r="DA188" s="910">
        <v>30634.098062939061</v>
      </c>
      <c r="DB188" s="909">
        <v>0</v>
      </c>
      <c r="DC188" s="909">
        <v>0</v>
      </c>
      <c r="DD188" s="909">
        <v>0</v>
      </c>
      <c r="DE188" s="910">
        <v>28690.562054592985</v>
      </c>
      <c r="DF188" s="871">
        <v>4000</v>
      </c>
      <c r="DG188" s="911">
        <v>147.02653618800232</v>
      </c>
      <c r="DH188" s="908">
        <v>1.6956000000000002</v>
      </c>
      <c r="DI188" s="902">
        <v>18.917658290061723</v>
      </c>
      <c r="DJ188" s="902">
        <v>0</v>
      </c>
      <c r="DK188" s="902">
        <v>0</v>
      </c>
      <c r="DL188" s="902">
        <v>11.222669751919478</v>
      </c>
      <c r="DM188" s="902">
        <v>0.92044144886353918</v>
      </c>
      <c r="DN188" s="902">
        <v>3600</v>
      </c>
      <c r="DO188" s="909" t="s">
        <v>2876</v>
      </c>
      <c r="DP188" s="909">
        <v>2</v>
      </c>
      <c r="DQ188" s="909">
        <v>0</v>
      </c>
      <c r="DR188" s="909">
        <v>0</v>
      </c>
      <c r="DS188" s="909">
        <v>0</v>
      </c>
      <c r="DT188" s="910">
        <v>31610.194275137197</v>
      </c>
      <c r="DU188" s="909">
        <v>0</v>
      </c>
      <c r="DV188" s="909">
        <v>0</v>
      </c>
      <c r="DW188" s="909">
        <v>0</v>
      </c>
      <c r="DX188" s="910">
        <v>46871.63699433217</v>
      </c>
      <c r="DY188" s="871">
        <v>4000</v>
      </c>
      <c r="DZ188" s="911">
        <v>147.02653618800232</v>
      </c>
      <c r="EA188" s="908">
        <v>1.6956000000000002</v>
      </c>
      <c r="EB188" s="902">
        <v>18.917658290061723</v>
      </c>
      <c r="EC188" s="902">
        <v>0</v>
      </c>
      <c r="ED188" s="902">
        <v>0</v>
      </c>
      <c r="EE188" s="902">
        <v>11.222669751919478</v>
      </c>
      <c r="EF188" s="902">
        <v>0.92044144886353918</v>
      </c>
      <c r="EG188" s="902">
        <v>3600</v>
      </c>
      <c r="EH188" s="909" t="s">
        <v>2876</v>
      </c>
      <c r="EI188" s="909">
        <v>2</v>
      </c>
      <c r="EJ188" s="909">
        <v>0</v>
      </c>
      <c r="EK188" s="909">
        <v>0</v>
      </c>
      <c r="EL188" s="909">
        <v>0</v>
      </c>
      <c r="EM188" s="910">
        <v>31610.194275137197</v>
      </c>
      <c r="EN188" s="909">
        <v>0</v>
      </c>
      <c r="EO188" s="909">
        <v>0</v>
      </c>
      <c r="EP188" s="909">
        <v>0</v>
      </c>
      <c r="EQ188" s="910">
        <v>46871.63699433217</v>
      </c>
      <c r="ER188" s="871">
        <v>4000</v>
      </c>
      <c r="ES188" s="911">
        <v>147.02653618800232</v>
      </c>
      <c r="ET188" s="908">
        <v>1.6956000000000002</v>
      </c>
      <c r="EU188" s="902">
        <v>18.917658290061723</v>
      </c>
      <c r="EV188" s="902">
        <v>0</v>
      </c>
      <c r="EW188" s="902">
        <v>0</v>
      </c>
      <c r="EX188" s="902">
        <v>11.222669751919478</v>
      </c>
      <c r="EY188" s="902">
        <v>0.92044144886353918</v>
      </c>
      <c r="EZ188" s="902">
        <v>3600</v>
      </c>
      <c r="FA188" s="909" t="s">
        <v>3889</v>
      </c>
      <c r="FB188" s="909">
        <v>2</v>
      </c>
      <c r="FC188" s="909">
        <v>0</v>
      </c>
      <c r="FD188" s="909">
        <v>0</v>
      </c>
      <c r="FE188" s="909">
        <v>0</v>
      </c>
      <c r="FF188" s="910">
        <v>33178.583258970692</v>
      </c>
      <c r="FG188" s="909">
        <v>0</v>
      </c>
      <c r="FH188" s="909">
        <v>0</v>
      </c>
      <c r="FI188" s="909">
        <v>0</v>
      </c>
      <c r="FJ188" s="910">
        <v>49197.246210026671</v>
      </c>
      <c r="FK188" s="871">
        <v>4000</v>
      </c>
      <c r="FL188" s="911">
        <v>147.02653618800232</v>
      </c>
      <c r="FM188" s="908">
        <v>1.6956000000000002</v>
      </c>
      <c r="FN188" s="902">
        <v>18.917658290061723</v>
      </c>
      <c r="FO188" s="902">
        <v>0</v>
      </c>
      <c r="FP188" s="902">
        <v>0</v>
      </c>
      <c r="FQ188" s="902">
        <v>11.222669751919478</v>
      </c>
      <c r="FR188" s="902">
        <v>0.92044144886353918</v>
      </c>
      <c r="FS188" s="902">
        <v>3600</v>
      </c>
      <c r="FT188" s="909" t="s">
        <v>3889</v>
      </c>
      <c r="FU188" s="909">
        <v>2</v>
      </c>
      <c r="FV188" s="909">
        <v>0</v>
      </c>
      <c r="FW188" s="909">
        <v>0</v>
      </c>
      <c r="FX188" s="909">
        <v>0</v>
      </c>
      <c r="FY188" s="910">
        <v>33178.583258970692</v>
      </c>
      <c r="FZ188" s="909">
        <v>0</v>
      </c>
      <c r="GA188" s="909">
        <v>0</v>
      </c>
      <c r="GB188" s="909">
        <v>0</v>
      </c>
      <c r="GC188" s="910">
        <v>49197.246210026671</v>
      </c>
      <c r="GD188" s="871">
        <v>4000</v>
      </c>
      <c r="GE188" s="911">
        <v>147.02653618800232</v>
      </c>
      <c r="GF188" s="908">
        <v>1.6956000000000002</v>
      </c>
      <c r="GG188" s="902">
        <v>18.917658290061723</v>
      </c>
      <c r="GH188" s="902">
        <v>0</v>
      </c>
      <c r="GI188" s="902">
        <v>0</v>
      </c>
      <c r="GJ188" s="902">
        <v>11.222669751919478</v>
      </c>
      <c r="GK188" s="902">
        <v>0.92044144886353918</v>
      </c>
      <c r="GL188" s="902">
        <v>3600</v>
      </c>
      <c r="GM188" s="909" t="s">
        <v>2877</v>
      </c>
      <c r="GN188" s="909">
        <v>2</v>
      </c>
      <c r="GO188" s="909">
        <v>0</v>
      </c>
      <c r="GP188" s="909">
        <v>0</v>
      </c>
      <c r="GQ188" s="909">
        <v>0</v>
      </c>
      <c r="GR188" s="910">
        <v>39041.133108658731</v>
      </c>
      <c r="GS188" s="909">
        <v>0</v>
      </c>
      <c r="GT188" s="909">
        <v>0</v>
      </c>
      <c r="GU188" s="909">
        <v>0</v>
      </c>
      <c r="GV188" s="910">
        <v>57890.242716912624</v>
      </c>
      <c r="GW188" s="871">
        <v>4000</v>
      </c>
      <c r="GX188" s="911">
        <v>147.02653618800232</v>
      </c>
      <c r="GY188" s="908">
        <v>1.6956000000000002</v>
      </c>
      <c r="GZ188" s="902">
        <v>18.917658290061723</v>
      </c>
      <c r="HA188" s="902">
        <v>0</v>
      </c>
      <c r="HB188" s="902">
        <v>0</v>
      </c>
      <c r="HC188" s="902">
        <v>11.222669751919478</v>
      </c>
      <c r="HD188" s="902">
        <v>0.92044144886353918</v>
      </c>
      <c r="HE188" s="902">
        <v>3600</v>
      </c>
      <c r="HF188" s="909" t="s">
        <v>2877</v>
      </c>
      <c r="HG188" s="909">
        <v>2</v>
      </c>
      <c r="HH188" s="909">
        <v>0</v>
      </c>
      <c r="HI188" s="909">
        <v>0</v>
      </c>
      <c r="HJ188" s="909">
        <v>0</v>
      </c>
      <c r="HK188" s="910">
        <v>39041.133108658731</v>
      </c>
      <c r="HL188" s="909">
        <v>0</v>
      </c>
      <c r="HM188" s="909">
        <v>0</v>
      </c>
      <c r="HN188" s="909">
        <v>0</v>
      </c>
      <c r="HO188" s="910">
        <v>57890.242716912624</v>
      </c>
      <c r="HP188" s="871">
        <v>4000</v>
      </c>
      <c r="HQ188" s="911">
        <v>147.02653618800232</v>
      </c>
      <c r="HR188" s="908">
        <v>1.6956000000000002</v>
      </c>
      <c r="HS188" s="902">
        <v>18.917658290061723</v>
      </c>
      <c r="HT188" s="902">
        <v>0</v>
      </c>
      <c r="HU188" s="902">
        <v>0</v>
      </c>
      <c r="HV188" s="902">
        <v>11.222669751919478</v>
      </c>
      <c r="HW188" s="902">
        <v>0.92044144886353918</v>
      </c>
      <c r="HX188" s="902">
        <v>3600</v>
      </c>
      <c r="HY188" s="909" t="s">
        <v>1063</v>
      </c>
      <c r="HZ188" s="909">
        <v>2</v>
      </c>
      <c r="IA188" s="909">
        <v>0</v>
      </c>
      <c r="IB188" s="909">
        <v>0</v>
      </c>
      <c r="IC188" s="909">
        <v>0</v>
      </c>
      <c r="ID188" s="910">
        <v>34431.043035893665</v>
      </c>
      <c r="IE188" s="909">
        <v>0</v>
      </c>
      <c r="IF188" s="909">
        <v>0</v>
      </c>
      <c r="IG188" s="909">
        <v>0</v>
      </c>
      <c r="IH188" s="910">
        <v>51054.395188706301</v>
      </c>
      <c r="II188" s="871">
        <v>4000</v>
      </c>
      <c r="IJ188" s="911">
        <v>147.02653618800232</v>
      </c>
      <c r="IK188" s="908">
        <v>1.6956000000000002</v>
      </c>
      <c r="IL188" s="902">
        <v>18.917658290061723</v>
      </c>
      <c r="IM188" s="902">
        <v>0</v>
      </c>
      <c r="IN188" s="902">
        <v>0</v>
      </c>
      <c r="IO188" s="902">
        <v>11.222669751919478</v>
      </c>
      <c r="IP188" s="902">
        <v>0.92044144886353918</v>
      </c>
      <c r="IQ188" s="902">
        <v>3600</v>
      </c>
      <c r="IR188" s="909" t="s">
        <v>1063</v>
      </c>
      <c r="IS188" s="909">
        <v>2</v>
      </c>
      <c r="IT188" s="909">
        <v>0</v>
      </c>
      <c r="IU188" s="909">
        <v>0</v>
      </c>
      <c r="IV188" s="909">
        <v>0</v>
      </c>
      <c r="IW188" s="910">
        <v>34431.043035893665</v>
      </c>
      <c r="IX188" s="909">
        <v>0</v>
      </c>
      <c r="IY188" s="909">
        <v>0</v>
      </c>
      <c r="IZ188" s="909">
        <v>0</v>
      </c>
      <c r="JA188" s="910">
        <v>51054.395188706301</v>
      </c>
      <c r="JB188" s="871">
        <v>4000</v>
      </c>
      <c r="JC188" s="911">
        <v>147.02653618800232</v>
      </c>
      <c r="JD188" s="908">
        <v>1.6956000000000002</v>
      </c>
      <c r="JE188" s="902">
        <v>18.917658290061723</v>
      </c>
      <c r="JF188" s="902">
        <v>0</v>
      </c>
      <c r="JG188" s="902">
        <v>0</v>
      </c>
      <c r="JH188" s="902">
        <v>11.222669751919478</v>
      </c>
      <c r="JI188" s="902">
        <v>0.92044144886353918</v>
      </c>
      <c r="JJ188" s="902">
        <v>3600</v>
      </c>
      <c r="JK188" s="909" t="s">
        <v>1064</v>
      </c>
      <c r="JL188" s="909">
        <v>2</v>
      </c>
      <c r="JM188" s="909">
        <v>0</v>
      </c>
      <c r="JN188" s="909">
        <v>0</v>
      </c>
      <c r="JO188" s="909">
        <v>0</v>
      </c>
      <c r="JP188" s="910">
        <v>46921.602425161269</v>
      </c>
      <c r="JQ188" s="909">
        <v>0</v>
      </c>
      <c r="JR188" s="909">
        <v>0</v>
      </c>
      <c r="JS188" s="909">
        <v>0</v>
      </c>
      <c r="JT188" s="910">
        <v>69575.412821628095</v>
      </c>
      <c r="JU188" s="871">
        <v>4000</v>
      </c>
      <c r="JV188" s="911">
        <v>147.02653618800232</v>
      </c>
      <c r="JW188" s="908">
        <v>1.6956000000000002</v>
      </c>
      <c r="JX188" s="902">
        <v>18.917658290061723</v>
      </c>
      <c r="JY188" s="902">
        <v>0</v>
      </c>
      <c r="JZ188" s="902">
        <v>0</v>
      </c>
      <c r="KA188" s="902">
        <v>11.222669751919478</v>
      </c>
      <c r="KB188" s="902">
        <v>0.92044144886353918</v>
      </c>
      <c r="KC188" s="902">
        <v>3600</v>
      </c>
      <c r="KD188" s="909" t="s">
        <v>1064</v>
      </c>
      <c r="KE188" s="909">
        <v>2</v>
      </c>
      <c r="KF188" s="909">
        <v>0</v>
      </c>
      <c r="KG188" s="909">
        <v>0</v>
      </c>
      <c r="KH188" s="909">
        <v>0</v>
      </c>
      <c r="KI188" s="910">
        <v>46921.602425161269</v>
      </c>
      <c r="KJ188" s="909">
        <v>0</v>
      </c>
      <c r="KK188" s="909">
        <v>0</v>
      </c>
      <c r="KL188" s="909">
        <v>0</v>
      </c>
      <c r="KM188" s="910">
        <v>69575.412821628095</v>
      </c>
      <c r="KN188" s="871">
        <v>4000</v>
      </c>
      <c r="KO188" s="912">
        <v>147.02653618800232</v>
      </c>
    </row>
    <row r="189" spans="1:301" ht="15" customHeight="1">
      <c r="A189" s="924" t="s">
        <v>1708</v>
      </c>
      <c r="B189" s="888" t="s">
        <v>1073</v>
      </c>
      <c r="C189" s="888">
        <v>190</v>
      </c>
      <c r="D189" s="888">
        <v>702</v>
      </c>
      <c r="E189" s="888">
        <v>160</v>
      </c>
      <c r="F189" s="888">
        <v>190</v>
      </c>
      <c r="G189" s="888">
        <v>39</v>
      </c>
      <c r="H189" s="888">
        <v>25</v>
      </c>
      <c r="I189" s="888">
        <v>25</v>
      </c>
      <c r="J189" s="888">
        <v>51.62</v>
      </c>
      <c r="K189" s="888">
        <v>79.8</v>
      </c>
      <c r="L189" s="888">
        <v>16</v>
      </c>
      <c r="M189" s="888">
        <v>270</v>
      </c>
      <c r="N189" s="888">
        <v>2</v>
      </c>
      <c r="O189" s="884">
        <v>5.7609762674514808</v>
      </c>
      <c r="P189" s="888">
        <v>2</v>
      </c>
      <c r="Q189" s="884">
        <v>4.8531247129033277</v>
      </c>
      <c r="R189" s="888">
        <v>10</v>
      </c>
      <c r="S189" s="888">
        <v>315</v>
      </c>
      <c r="T189" s="906">
        <v>6.1175939219042776</v>
      </c>
      <c r="U189" s="906">
        <v>47.25</v>
      </c>
      <c r="V189" s="906">
        <v>47.5</v>
      </c>
      <c r="W189" s="1141">
        <v>0.49036338780263977</v>
      </c>
      <c r="X189" s="902">
        <v>0</v>
      </c>
      <c r="Y189" s="902">
        <v>0</v>
      </c>
      <c r="Z189" s="902">
        <v>0</v>
      </c>
      <c r="AA189" s="902">
        <v>0</v>
      </c>
      <c r="AB189" s="970">
        <v>0.82411043283318841</v>
      </c>
      <c r="AC189" s="1045">
        <v>4000</v>
      </c>
      <c r="AD189" s="890"/>
      <c r="AE189" s="890"/>
      <c r="AF189" s="890"/>
      <c r="AG189" s="890"/>
      <c r="AH189" s="888"/>
      <c r="AI189" s="907">
        <v>1.7074836786623684</v>
      </c>
      <c r="AJ189" s="908">
        <v>2.5434000000000001</v>
      </c>
      <c r="AK189" s="902">
        <v>19.765458290061723</v>
      </c>
      <c r="AL189" s="902">
        <v>0</v>
      </c>
      <c r="AM189" s="902">
        <v>0</v>
      </c>
      <c r="AN189" s="902">
        <v>11.277458291017869</v>
      </c>
      <c r="AO189" s="902">
        <v>0.97649205026353914</v>
      </c>
      <c r="AP189" s="1222">
        <v>3600</v>
      </c>
      <c r="AQ189" s="909" t="s">
        <v>1062</v>
      </c>
      <c r="AR189" s="909">
        <v>3</v>
      </c>
      <c r="AS189" s="909">
        <v>0</v>
      </c>
      <c r="AT189" s="909">
        <v>0</v>
      </c>
      <c r="AU189" s="909">
        <v>0</v>
      </c>
      <c r="AV189" s="910">
        <v>31265.795410243023</v>
      </c>
      <c r="AW189" s="909">
        <v>0</v>
      </c>
      <c r="AX189" s="909">
        <v>0</v>
      </c>
      <c r="AY189" s="909">
        <v>0</v>
      </c>
      <c r="AZ189" s="910">
        <v>29282.18227808741</v>
      </c>
      <c r="BA189" s="871">
        <v>4000</v>
      </c>
      <c r="BB189" s="911">
        <v>147.02653618800232</v>
      </c>
      <c r="BC189" s="908">
        <v>2.5434000000000001</v>
      </c>
      <c r="BD189" s="902">
        <v>19.765458290061723</v>
      </c>
      <c r="BE189" s="902">
        <v>0</v>
      </c>
      <c r="BF189" s="902">
        <v>0</v>
      </c>
      <c r="BG189" s="902">
        <v>11.277458291017869</v>
      </c>
      <c r="BH189" s="902">
        <v>0.97649205026353914</v>
      </c>
      <c r="BI189" s="902">
        <v>3600</v>
      </c>
      <c r="BJ189" s="909" t="s">
        <v>1062</v>
      </c>
      <c r="BK189" s="909">
        <v>3</v>
      </c>
      <c r="BL189" s="909">
        <v>0</v>
      </c>
      <c r="BM189" s="909">
        <v>0</v>
      </c>
      <c r="BN189" s="909">
        <v>0</v>
      </c>
      <c r="BO189" s="910">
        <v>31265.795410243023</v>
      </c>
      <c r="BP189" s="909">
        <v>0</v>
      </c>
      <c r="BQ189" s="909">
        <v>0</v>
      </c>
      <c r="BR189" s="909">
        <v>0</v>
      </c>
      <c r="BS189" s="910">
        <v>29282.18227808741</v>
      </c>
      <c r="BT189" s="871">
        <v>4000</v>
      </c>
      <c r="BU189" s="911">
        <v>147.02653618800232</v>
      </c>
      <c r="BV189" s="908">
        <v>2.5434000000000001</v>
      </c>
      <c r="BW189" s="902">
        <v>19.765458290061723</v>
      </c>
      <c r="BX189" s="902">
        <v>0</v>
      </c>
      <c r="BY189" s="902">
        <v>0</v>
      </c>
      <c r="BZ189" s="902">
        <v>11.277458291017869</v>
      </c>
      <c r="CA189" s="902">
        <v>0.97649205026353914</v>
      </c>
      <c r="CB189" s="902">
        <v>3600</v>
      </c>
      <c r="CC189" s="909" t="s">
        <v>2874</v>
      </c>
      <c r="CD189" s="909">
        <v>3</v>
      </c>
      <c r="CE189" s="909">
        <v>0</v>
      </c>
      <c r="CF189" s="909">
        <v>0</v>
      </c>
      <c r="CG189" s="909">
        <v>0</v>
      </c>
      <c r="CH189" s="910">
        <v>30634.098062939061</v>
      </c>
      <c r="CI189" s="909">
        <v>0</v>
      </c>
      <c r="CJ189" s="909">
        <v>0</v>
      </c>
      <c r="CK189" s="909">
        <v>0</v>
      </c>
      <c r="CL189" s="910">
        <v>28690.562054592985</v>
      </c>
      <c r="CM189" s="871">
        <v>4000</v>
      </c>
      <c r="CN189" s="911">
        <v>147.02653618800232</v>
      </c>
      <c r="CO189" s="908">
        <v>2.5434000000000001</v>
      </c>
      <c r="CP189" s="902">
        <v>19.765458290061723</v>
      </c>
      <c r="CQ189" s="902">
        <v>0</v>
      </c>
      <c r="CR189" s="902">
        <v>0</v>
      </c>
      <c r="CS189" s="902">
        <v>11.277458291017869</v>
      </c>
      <c r="CT189" s="902">
        <v>0.97649205026353914</v>
      </c>
      <c r="CU189" s="902">
        <v>3600</v>
      </c>
      <c r="CV189" s="909" t="s">
        <v>2874</v>
      </c>
      <c r="CW189" s="909">
        <v>3</v>
      </c>
      <c r="CX189" s="909">
        <v>0</v>
      </c>
      <c r="CY189" s="909">
        <v>0</v>
      </c>
      <c r="CZ189" s="909">
        <v>0</v>
      </c>
      <c r="DA189" s="910">
        <v>30634.098062939061</v>
      </c>
      <c r="DB189" s="909">
        <v>0</v>
      </c>
      <c r="DC189" s="909">
        <v>0</v>
      </c>
      <c r="DD189" s="909">
        <v>0</v>
      </c>
      <c r="DE189" s="910">
        <v>28690.562054592985</v>
      </c>
      <c r="DF189" s="871">
        <v>4000</v>
      </c>
      <c r="DG189" s="911">
        <v>147.02653618800232</v>
      </c>
      <c r="DH189" s="908">
        <v>1.6956000000000002</v>
      </c>
      <c r="DI189" s="902">
        <v>18.917658290061723</v>
      </c>
      <c r="DJ189" s="902">
        <v>0</v>
      </c>
      <c r="DK189" s="902">
        <v>0</v>
      </c>
      <c r="DL189" s="902">
        <v>11.222669751919478</v>
      </c>
      <c r="DM189" s="902">
        <v>0.92044144886353918</v>
      </c>
      <c r="DN189" s="902">
        <v>3600</v>
      </c>
      <c r="DO189" s="909" t="s">
        <v>2876</v>
      </c>
      <c r="DP189" s="909">
        <v>2</v>
      </c>
      <c r="DQ189" s="909">
        <v>0</v>
      </c>
      <c r="DR189" s="909">
        <v>0</v>
      </c>
      <c r="DS189" s="909">
        <v>0</v>
      </c>
      <c r="DT189" s="910">
        <v>31610.194275137197</v>
      </c>
      <c r="DU189" s="909">
        <v>0</v>
      </c>
      <c r="DV189" s="909">
        <v>0</v>
      </c>
      <c r="DW189" s="909">
        <v>0</v>
      </c>
      <c r="DX189" s="910">
        <v>46871.63699433217</v>
      </c>
      <c r="DY189" s="871">
        <v>4000</v>
      </c>
      <c r="DZ189" s="911">
        <v>147.02653618800232</v>
      </c>
      <c r="EA189" s="908">
        <v>1.6956000000000002</v>
      </c>
      <c r="EB189" s="902">
        <v>18.917658290061723</v>
      </c>
      <c r="EC189" s="902">
        <v>0</v>
      </c>
      <c r="ED189" s="902">
        <v>0</v>
      </c>
      <c r="EE189" s="902">
        <v>11.222669751919478</v>
      </c>
      <c r="EF189" s="902">
        <v>0.92044144886353918</v>
      </c>
      <c r="EG189" s="902">
        <v>3600</v>
      </c>
      <c r="EH189" s="909" t="s">
        <v>2876</v>
      </c>
      <c r="EI189" s="909">
        <v>2</v>
      </c>
      <c r="EJ189" s="909">
        <v>0</v>
      </c>
      <c r="EK189" s="909">
        <v>0</v>
      </c>
      <c r="EL189" s="909">
        <v>0</v>
      </c>
      <c r="EM189" s="910">
        <v>31610.194275137197</v>
      </c>
      <c r="EN189" s="909">
        <v>0</v>
      </c>
      <c r="EO189" s="909">
        <v>0</v>
      </c>
      <c r="EP189" s="909">
        <v>0</v>
      </c>
      <c r="EQ189" s="910">
        <v>46871.63699433217</v>
      </c>
      <c r="ER189" s="871">
        <v>4000</v>
      </c>
      <c r="ES189" s="911">
        <v>147.02653618800232</v>
      </c>
      <c r="ET189" s="908">
        <v>1.6956000000000002</v>
      </c>
      <c r="EU189" s="902">
        <v>18.917658290061723</v>
      </c>
      <c r="EV189" s="902">
        <v>0</v>
      </c>
      <c r="EW189" s="902">
        <v>0</v>
      </c>
      <c r="EX189" s="902">
        <v>11.222669751919478</v>
      </c>
      <c r="EY189" s="902">
        <v>0.92044144886353918</v>
      </c>
      <c r="EZ189" s="902">
        <v>3600</v>
      </c>
      <c r="FA189" s="909" t="s">
        <v>3889</v>
      </c>
      <c r="FB189" s="909">
        <v>2</v>
      </c>
      <c r="FC189" s="909">
        <v>0</v>
      </c>
      <c r="FD189" s="909">
        <v>0</v>
      </c>
      <c r="FE189" s="909">
        <v>0</v>
      </c>
      <c r="FF189" s="910">
        <v>33178.583258970692</v>
      </c>
      <c r="FG189" s="909">
        <v>0</v>
      </c>
      <c r="FH189" s="909">
        <v>0</v>
      </c>
      <c r="FI189" s="909">
        <v>0</v>
      </c>
      <c r="FJ189" s="910">
        <v>49197.246210026671</v>
      </c>
      <c r="FK189" s="871">
        <v>4000</v>
      </c>
      <c r="FL189" s="911">
        <v>147.02653618800232</v>
      </c>
      <c r="FM189" s="908">
        <v>1.6956000000000002</v>
      </c>
      <c r="FN189" s="902">
        <v>18.917658290061723</v>
      </c>
      <c r="FO189" s="902">
        <v>0</v>
      </c>
      <c r="FP189" s="902">
        <v>0</v>
      </c>
      <c r="FQ189" s="902">
        <v>11.222669751919478</v>
      </c>
      <c r="FR189" s="902">
        <v>0.92044144886353918</v>
      </c>
      <c r="FS189" s="902">
        <v>3600</v>
      </c>
      <c r="FT189" s="909" t="s">
        <v>3889</v>
      </c>
      <c r="FU189" s="909">
        <v>2</v>
      </c>
      <c r="FV189" s="909">
        <v>0</v>
      </c>
      <c r="FW189" s="909">
        <v>0</v>
      </c>
      <c r="FX189" s="909">
        <v>0</v>
      </c>
      <c r="FY189" s="910">
        <v>33178.583258970692</v>
      </c>
      <c r="FZ189" s="909">
        <v>0</v>
      </c>
      <c r="GA189" s="909">
        <v>0</v>
      </c>
      <c r="GB189" s="909">
        <v>0</v>
      </c>
      <c r="GC189" s="910">
        <v>49197.246210026671</v>
      </c>
      <c r="GD189" s="871">
        <v>4000</v>
      </c>
      <c r="GE189" s="911">
        <v>147.02653618800232</v>
      </c>
      <c r="GF189" s="908">
        <v>1.6956000000000002</v>
      </c>
      <c r="GG189" s="902">
        <v>18.917658290061723</v>
      </c>
      <c r="GH189" s="902">
        <v>0</v>
      </c>
      <c r="GI189" s="902">
        <v>0</v>
      </c>
      <c r="GJ189" s="902">
        <v>11.222669751919478</v>
      </c>
      <c r="GK189" s="902">
        <v>0.92044144886353918</v>
      </c>
      <c r="GL189" s="902">
        <v>3600</v>
      </c>
      <c r="GM189" s="909" t="s">
        <v>2877</v>
      </c>
      <c r="GN189" s="909">
        <v>2</v>
      </c>
      <c r="GO189" s="909">
        <v>0</v>
      </c>
      <c r="GP189" s="909">
        <v>0</v>
      </c>
      <c r="GQ189" s="909">
        <v>0</v>
      </c>
      <c r="GR189" s="910">
        <v>39041.133108658731</v>
      </c>
      <c r="GS189" s="909">
        <v>0</v>
      </c>
      <c r="GT189" s="909">
        <v>0</v>
      </c>
      <c r="GU189" s="909">
        <v>0</v>
      </c>
      <c r="GV189" s="910">
        <v>57890.242716912624</v>
      </c>
      <c r="GW189" s="871">
        <v>4000</v>
      </c>
      <c r="GX189" s="911">
        <v>147.02653618800232</v>
      </c>
      <c r="GY189" s="908">
        <v>1.6956000000000002</v>
      </c>
      <c r="GZ189" s="902">
        <v>18.917658290061723</v>
      </c>
      <c r="HA189" s="902">
        <v>0</v>
      </c>
      <c r="HB189" s="902">
        <v>0</v>
      </c>
      <c r="HC189" s="902">
        <v>11.222669751919478</v>
      </c>
      <c r="HD189" s="902">
        <v>0.92044144886353918</v>
      </c>
      <c r="HE189" s="902">
        <v>3600</v>
      </c>
      <c r="HF189" s="909" t="s">
        <v>2877</v>
      </c>
      <c r="HG189" s="909">
        <v>2</v>
      </c>
      <c r="HH189" s="909">
        <v>0</v>
      </c>
      <c r="HI189" s="909">
        <v>0</v>
      </c>
      <c r="HJ189" s="909">
        <v>0</v>
      </c>
      <c r="HK189" s="910">
        <v>39041.133108658731</v>
      </c>
      <c r="HL189" s="909">
        <v>0</v>
      </c>
      <c r="HM189" s="909">
        <v>0</v>
      </c>
      <c r="HN189" s="909">
        <v>0</v>
      </c>
      <c r="HO189" s="910">
        <v>57890.242716912624</v>
      </c>
      <c r="HP189" s="871">
        <v>4000</v>
      </c>
      <c r="HQ189" s="911">
        <v>147.02653618800232</v>
      </c>
      <c r="HR189" s="908">
        <v>1.6956000000000002</v>
      </c>
      <c r="HS189" s="902">
        <v>18.917658290061723</v>
      </c>
      <c r="HT189" s="902">
        <v>0</v>
      </c>
      <c r="HU189" s="902">
        <v>0</v>
      </c>
      <c r="HV189" s="902">
        <v>11.222669751919478</v>
      </c>
      <c r="HW189" s="902">
        <v>0.92044144886353918</v>
      </c>
      <c r="HX189" s="902">
        <v>3600</v>
      </c>
      <c r="HY189" s="909" t="s">
        <v>1063</v>
      </c>
      <c r="HZ189" s="909">
        <v>2</v>
      </c>
      <c r="IA189" s="909">
        <v>0</v>
      </c>
      <c r="IB189" s="909">
        <v>0</v>
      </c>
      <c r="IC189" s="909">
        <v>0</v>
      </c>
      <c r="ID189" s="910">
        <v>34431.043035893665</v>
      </c>
      <c r="IE189" s="909">
        <v>0</v>
      </c>
      <c r="IF189" s="909">
        <v>0</v>
      </c>
      <c r="IG189" s="909">
        <v>0</v>
      </c>
      <c r="IH189" s="910">
        <v>51054.395188706301</v>
      </c>
      <c r="II189" s="871">
        <v>4000</v>
      </c>
      <c r="IJ189" s="911">
        <v>147.02653618800232</v>
      </c>
      <c r="IK189" s="908">
        <v>1.6956000000000002</v>
      </c>
      <c r="IL189" s="902">
        <v>18.917658290061723</v>
      </c>
      <c r="IM189" s="902">
        <v>0</v>
      </c>
      <c r="IN189" s="902">
        <v>0</v>
      </c>
      <c r="IO189" s="902">
        <v>11.222669751919478</v>
      </c>
      <c r="IP189" s="902">
        <v>0.92044144886353918</v>
      </c>
      <c r="IQ189" s="902">
        <v>3600</v>
      </c>
      <c r="IR189" s="909" t="s">
        <v>1063</v>
      </c>
      <c r="IS189" s="909">
        <v>2</v>
      </c>
      <c r="IT189" s="909">
        <v>0</v>
      </c>
      <c r="IU189" s="909">
        <v>0</v>
      </c>
      <c r="IV189" s="909">
        <v>0</v>
      </c>
      <c r="IW189" s="910">
        <v>34431.043035893665</v>
      </c>
      <c r="IX189" s="909">
        <v>0</v>
      </c>
      <c r="IY189" s="909">
        <v>0</v>
      </c>
      <c r="IZ189" s="909">
        <v>0</v>
      </c>
      <c r="JA189" s="910">
        <v>51054.395188706301</v>
      </c>
      <c r="JB189" s="871">
        <v>4000</v>
      </c>
      <c r="JC189" s="911">
        <v>147.02653618800232</v>
      </c>
      <c r="JD189" s="908">
        <v>1.6956000000000002</v>
      </c>
      <c r="JE189" s="902">
        <v>18.917658290061723</v>
      </c>
      <c r="JF189" s="902">
        <v>0</v>
      </c>
      <c r="JG189" s="902">
        <v>0</v>
      </c>
      <c r="JH189" s="902">
        <v>11.222669751919478</v>
      </c>
      <c r="JI189" s="902">
        <v>0.92044144886353918</v>
      </c>
      <c r="JJ189" s="902">
        <v>3600</v>
      </c>
      <c r="JK189" s="909" t="s">
        <v>1064</v>
      </c>
      <c r="JL189" s="909">
        <v>2</v>
      </c>
      <c r="JM189" s="909">
        <v>0</v>
      </c>
      <c r="JN189" s="909">
        <v>0</v>
      </c>
      <c r="JO189" s="909">
        <v>0</v>
      </c>
      <c r="JP189" s="910">
        <v>46921.602425161269</v>
      </c>
      <c r="JQ189" s="909">
        <v>0</v>
      </c>
      <c r="JR189" s="909">
        <v>0</v>
      </c>
      <c r="JS189" s="909">
        <v>0</v>
      </c>
      <c r="JT189" s="910">
        <v>69575.412821628095</v>
      </c>
      <c r="JU189" s="871">
        <v>4000</v>
      </c>
      <c r="JV189" s="911">
        <v>147.02653618800232</v>
      </c>
      <c r="JW189" s="908">
        <v>1.6956000000000002</v>
      </c>
      <c r="JX189" s="902">
        <v>18.917658290061723</v>
      </c>
      <c r="JY189" s="902">
        <v>0</v>
      </c>
      <c r="JZ189" s="902">
        <v>0</v>
      </c>
      <c r="KA189" s="902">
        <v>11.222669751919478</v>
      </c>
      <c r="KB189" s="902">
        <v>0.92044144886353918</v>
      </c>
      <c r="KC189" s="902">
        <v>3600</v>
      </c>
      <c r="KD189" s="909" t="s">
        <v>1064</v>
      </c>
      <c r="KE189" s="909">
        <v>2</v>
      </c>
      <c r="KF189" s="909">
        <v>0</v>
      </c>
      <c r="KG189" s="909">
        <v>0</v>
      </c>
      <c r="KH189" s="909">
        <v>0</v>
      </c>
      <c r="KI189" s="910">
        <v>46921.602425161269</v>
      </c>
      <c r="KJ189" s="909">
        <v>0</v>
      </c>
      <c r="KK189" s="909">
        <v>0</v>
      </c>
      <c r="KL189" s="909">
        <v>0</v>
      </c>
      <c r="KM189" s="910">
        <v>69575.412821628095</v>
      </c>
      <c r="KN189" s="871">
        <v>4000</v>
      </c>
      <c r="KO189" s="912">
        <v>147.02653618800232</v>
      </c>
    </row>
    <row r="190" spans="1:301" ht="15" customHeight="1">
      <c r="A190" s="924" t="s">
        <v>1633</v>
      </c>
      <c r="B190" s="888" t="s">
        <v>1073</v>
      </c>
      <c r="C190" s="888">
        <v>190</v>
      </c>
      <c r="D190" s="888">
        <v>702</v>
      </c>
      <c r="E190" s="888">
        <v>160</v>
      </c>
      <c r="F190" s="888">
        <v>190</v>
      </c>
      <c r="G190" s="888">
        <v>49</v>
      </c>
      <c r="H190" s="888">
        <v>35</v>
      </c>
      <c r="I190" s="888">
        <v>35</v>
      </c>
      <c r="J190" s="888">
        <v>52</v>
      </c>
      <c r="K190" s="888">
        <v>80</v>
      </c>
      <c r="L190" s="888">
        <v>16</v>
      </c>
      <c r="M190" s="888">
        <v>270</v>
      </c>
      <c r="N190" s="888">
        <v>2</v>
      </c>
      <c r="O190" s="884">
        <v>5.7609762674514808</v>
      </c>
      <c r="P190" s="888">
        <v>2</v>
      </c>
      <c r="Q190" s="884">
        <v>4.8531247129033277</v>
      </c>
      <c r="R190" s="888">
        <v>10</v>
      </c>
      <c r="S190" s="888">
        <v>315</v>
      </c>
      <c r="T190" s="906">
        <v>6.1175939219042776</v>
      </c>
      <c r="U190" s="906">
        <v>47.25</v>
      </c>
      <c r="V190" s="906">
        <v>47.5</v>
      </c>
      <c r="W190" s="1141">
        <v>0.49036338780263977</v>
      </c>
      <c r="X190" s="902">
        <v>0</v>
      </c>
      <c r="Y190" s="902">
        <v>0</v>
      </c>
      <c r="Z190" s="902">
        <v>0</v>
      </c>
      <c r="AA190" s="902">
        <v>0</v>
      </c>
      <c r="AB190" s="970">
        <v>1.1499425099367915</v>
      </c>
      <c r="AC190" s="1045">
        <v>4000</v>
      </c>
      <c r="AD190" s="890"/>
      <c r="AE190" s="890"/>
      <c r="AF190" s="890"/>
      <c r="AG190" s="890"/>
      <c r="AH190" s="888"/>
      <c r="AI190" s="907">
        <v>1.7938836786623684</v>
      </c>
      <c r="AJ190" s="908">
        <v>3.5607600000000006</v>
      </c>
      <c r="AK190" s="902">
        <v>20.782818290061726</v>
      </c>
      <c r="AL190" s="902">
        <v>0</v>
      </c>
      <c r="AM190" s="902">
        <v>0</v>
      </c>
      <c r="AN190" s="902">
        <v>14.965953596980395</v>
      </c>
      <c r="AO190" s="902">
        <v>1.0437527719435391</v>
      </c>
      <c r="AP190" s="1222">
        <v>3600</v>
      </c>
      <c r="AQ190" s="909" t="s">
        <v>1062</v>
      </c>
      <c r="AR190" s="909">
        <v>3</v>
      </c>
      <c r="AS190" s="909">
        <v>0</v>
      </c>
      <c r="AT190" s="909">
        <v>0</v>
      </c>
      <c r="AU190" s="909">
        <v>0</v>
      </c>
      <c r="AV190" s="910">
        <v>36898.89215033401</v>
      </c>
      <c r="AW190" s="909">
        <v>0</v>
      </c>
      <c r="AX190" s="909">
        <v>0</v>
      </c>
      <c r="AY190" s="909">
        <v>0</v>
      </c>
      <c r="AZ190" s="910">
        <v>36197.367073853216</v>
      </c>
      <c r="BA190" s="871">
        <v>4000</v>
      </c>
      <c r="BB190" s="911">
        <v>147.02653618800232</v>
      </c>
      <c r="BC190" s="908">
        <v>3.5607600000000006</v>
      </c>
      <c r="BD190" s="902">
        <v>20.782818290061726</v>
      </c>
      <c r="BE190" s="902">
        <v>0</v>
      </c>
      <c r="BF190" s="902">
        <v>0</v>
      </c>
      <c r="BG190" s="902">
        <v>14.965953596980395</v>
      </c>
      <c r="BH190" s="902">
        <v>1.0437527719435391</v>
      </c>
      <c r="BI190" s="902">
        <v>3600</v>
      </c>
      <c r="BJ190" s="909" t="s">
        <v>1062</v>
      </c>
      <c r="BK190" s="909">
        <v>3</v>
      </c>
      <c r="BL190" s="909">
        <v>0</v>
      </c>
      <c r="BM190" s="909">
        <v>0</v>
      </c>
      <c r="BN190" s="909">
        <v>0</v>
      </c>
      <c r="BO190" s="910">
        <v>36898.89215033401</v>
      </c>
      <c r="BP190" s="909">
        <v>0</v>
      </c>
      <c r="BQ190" s="909">
        <v>0</v>
      </c>
      <c r="BR190" s="909">
        <v>0</v>
      </c>
      <c r="BS190" s="910">
        <v>36197.367073853216</v>
      </c>
      <c r="BT190" s="871">
        <v>4000</v>
      </c>
      <c r="BU190" s="911">
        <v>147.02653618800232</v>
      </c>
      <c r="BV190" s="908">
        <v>3.5607600000000006</v>
      </c>
      <c r="BW190" s="902">
        <v>20.782818290061726</v>
      </c>
      <c r="BX190" s="902">
        <v>0</v>
      </c>
      <c r="BY190" s="902">
        <v>0</v>
      </c>
      <c r="BZ190" s="902">
        <v>14.965953596980395</v>
      </c>
      <c r="CA190" s="902">
        <v>1.0437527719435391</v>
      </c>
      <c r="CB190" s="902">
        <v>3600</v>
      </c>
      <c r="CC190" s="909" t="s">
        <v>2874</v>
      </c>
      <c r="CD190" s="909">
        <v>3</v>
      </c>
      <c r="CE190" s="909">
        <v>0</v>
      </c>
      <c r="CF190" s="909">
        <v>0</v>
      </c>
      <c r="CG190" s="909">
        <v>0</v>
      </c>
      <c r="CH190" s="910">
        <v>36153.383136922341</v>
      </c>
      <c r="CI190" s="909">
        <v>0</v>
      </c>
      <c r="CJ190" s="909">
        <v>0</v>
      </c>
      <c r="CK190" s="909">
        <v>0</v>
      </c>
      <c r="CL190" s="910">
        <v>35466.031745264409</v>
      </c>
      <c r="CM190" s="871">
        <v>4000</v>
      </c>
      <c r="CN190" s="911">
        <v>147.02653618800232</v>
      </c>
      <c r="CO190" s="908">
        <v>3.5607600000000006</v>
      </c>
      <c r="CP190" s="902">
        <v>20.782818290061726</v>
      </c>
      <c r="CQ190" s="902">
        <v>0</v>
      </c>
      <c r="CR190" s="902">
        <v>0</v>
      </c>
      <c r="CS190" s="902">
        <v>14.965953596980395</v>
      </c>
      <c r="CT190" s="902">
        <v>1.0437527719435391</v>
      </c>
      <c r="CU190" s="902">
        <v>3600</v>
      </c>
      <c r="CV190" s="909" t="s">
        <v>2874</v>
      </c>
      <c r="CW190" s="909">
        <v>3</v>
      </c>
      <c r="CX190" s="909">
        <v>0</v>
      </c>
      <c r="CY190" s="909">
        <v>0</v>
      </c>
      <c r="CZ190" s="909">
        <v>0</v>
      </c>
      <c r="DA190" s="910">
        <v>36153.383136922341</v>
      </c>
      <c r="DB190" s="909">
        <v>0</v>
      </c>
      <c r="DC190" s="909">
        <v>0</v>
      </c>
      <c r="DD190" s="909">
        <v>0</v>
      </c>
      <c r="DE190" s="910">
        <v>35466.031745264409</v>
      </c>
      <c r="DF190" s="871">
        <v>4000</v>
      </c>
      <c r="DG190" s="911">
        <v>147.02653618800232</v>
      </c>
      <c r="DH190" s="908">
        <v>2.3738400000000004</v>
      </c>
      <c r="DI190" s="902">
        <v>19.595898290061726</v>
      </c>
      <c r="DJ190" s="902">
        <v>0</v>
      </c>
      <c r="DK190" s="902">
        <v>0</v>
      </c>
      <c r="DL190" s="902">
        <v>14.812466866637577</v>
      </c>
      <c r="DM190" s="902">
        <v>0.96528192998353912</v>
      </c>
      <c r="DN190" s="902">
        <v>3600</v>
      </c>
      <c r="DO190" s="909" t="s">
        <v>2876</v>
      </c>
      <c r="DP190" s="909">
        <v>2</v>
      </c>
      <c r="DQ190" s="909">
        <v>0</v>
      </c>
      <c r="DR190" s="909">
        <v>0</v>
      </c>
      <c r="DS190" s="909">
        <v>0</v>
      </c>
      <c r="DT190" s="910">
        <v>23105.347530739586</v>
      </c>
      <c r="DU190" s="909">
        <v>0</v>
      </c>
      <c r="DV190" s="909">
        <v>0</v>
      </c>
      <c r="DW190" s="909">
        <v>0</v>
      </c>
      <c r="DX190" s="910">
        <v>22666.06657272116</v>
      </c>
      <c r="DY190" s="871">
        <v>4000</v>
      </c>
      <c r="DZ190" s="911">
        <v>147.02653618800232</v>
      </c>
      <c r="EA190" s="908">
        <v>2.3738400000000004</v>
      </c>
      <c r="EB190" s="902">
        <v>19.595898290061726</v>
      </c>
      <c r="EC190" s="902">
        <v>0</v>
      </c>
      <c r="ED190" s="902">
        <v>0</v>
      </c>
      <c r="EE190" s="902">
        <v>14.812466866637577</v>
      </c>
      <c r="EF190" s="902">
        <v>0.96528192998353912</v>
      </c>
      <c r="EG190" s="902">
        <v>3600</v>
      </c>
      <c r="EH190" s="909" t="s">
        <v>2876</v>
      </c>
      <c r="EI190" s="909">
        <v>2</v>
      </c>
      <c r="EJ190" s="909">
        <v>0</v>
      </c>
      <c r="EK190" s="909">
        <v>0</v>
      </c>
      <c r="EL190" s="909">
        <v>0</v>
      </c>
      <c r="EM190" s="910">
        <v>23105.347530739586</v>
      </c>
      <c r="EN190" s="909">
        <v>0</v>
      </c>
      <c r="EO190" s="909">
        <v>0</v>
      </c>
      <c r="EP190" s="909">
        <v>0</v>
      </c>
      <c r="EQ190" s="910">
        <v>22666.06657272116</v>
      </c>
      <c r="ER190" s="871">
        <v>4000</v>
      </c>
      <c r="ES190" s="911">
        <v>147.02653618800232</v>
      </c>
      <c r="ET190" s="908">
        <v>2.3738400000000004</v>
      </c>
      <c r="EU190" s="902">
        <v>19.595898290061726</v>
      </c>
      <c r="EV190" s="902">
        <v>0</v>
      </c>
      <c r="EW190" s="902">
        <v>0</v>
      </c>
      <c r="EX190" s="902">
        <v>14.812466866637577</v>
      </c>
      <c r="EY190" s="902">
        <v>0.96528192998353912</v>
      </c>
      <c r="EZ190" s="902">
        <v>3600</v>
      </c>
      <c r="FA190" s="909" t="s">
        <v>3889</v>
      </c>
      <c r="FB190" s="909">
        <v>2</v>
      </c>
      <c r="FC190" s="909">
        <v>0</v>
      </c>
      <c r="FD190" s="909">
        <v>0</v>
      </c>
      <c r="FE190" s="909">
        <v>0</v>
      </c>
      <c r="FF190" s="910">
        <v>24251.755307276388</v>
      </c>
      <c r="FG190" s="909">
        <v>0</v>
      </c>
      <c r="FH190" s="909">
        <v>0</v>
      </c>
      <c r="FI190" s="909">
        <v>0</v>
      </c>
      <c r="FJ190" s="910">
        <v>23790.67874087394</v>
      </c>
      <c r="FK190" s="871">
        <v>4000</v>
      </c>
      <c r="FL190" s="911">
        <v>147.02653618800232</v>
      </c>
      <c r="FM190" s="908">
        <v>2.3738400000000004</v>
      </c>
      <c r="FN190" s="902">
        <v>19.595898290061726</v>
      </c>
      <c r="FO190" s="902">
        <v>0</v>
      </c>
      <c r="FP190" s="902">
        <v>0</v>
      </c>
      <c r="FQ190" s="902">
        <v>14.812466866637577</v>
      </c>
      <c r="FR190" s="902">
        <v>0.96528192998353912</v>
      </c>
      <c r="FS190" s="902">
        <v>3600</v>
      </c>
      <c r="FT190" s="909" t="s">
        <v>3889</v>
      </c>
      <c r="FU190" s="909">
        <v>2</v>
      </c>
      <c r="FV190" s="909">
        <v>0</v>
      </c>
      <c r="FW190" s="909">
        <v>0</v>
      </c>
      <c r="FX190" s="909">
        <v>0</v>
      </c>
      <c r="FY190" s="910">
        <v>24251.755307276388</v>
      </c>
      <c r="FZ190" s="909">
        <v>0</v>
      </c>
      <c r="GA190" s="909">
        <v>0</v>
      </c>
      <c r="GB190" s="909">
        <v>0</v>
      </c>
      <c r="GC190" s="910">
        <v>23790.67874087394</v>
      </c>
      <c r="GD190" s="871">
        <v>4000</v>
      </c>
      <c r="GE190" s="911">
        <v>147.02653618800232</v>
      </c>
      <c r="GF190" s="908">
        <v>2.3738400000000004</v>
      </c>
      <c r="GG190" s="902">
        <v>19.595898290061726</v>
      </c>
      <c r="GH190" s="902">
        <v>0</v>
      </c>
      <c r="GI190" s="902">
        <v>0</v>
      </c>
      <c r="GJ190" s="902">
        <v>14.812466866637577</v>
      </c>
      <c r="GK190" s="902">
        <v>0.96528192998353912</v>
      </c>
      <c r="GL190" s="902">
        <v>3600</v>
      </c>
      <c r="GM190" s="909" t="s">
        <v>2877</v>
      </c>
      <c r="GN190" s="909">
        <v>2</v>
      </c>
      <c r="GO190" s="909">
        <v>0</v>
      </c>
      <c r="GP190" s="909">
        <v>0</v>
      </c>
      <c r="GQ190" s="909">
        <v>0</v>
      </c>
      <c r="GR190" s="910">
        <v>28536.963127079933</v>
      </c>
      <c r="GS190" s="909">
        <v>0</v>
      </c>
      <c r="GT190" s="909">
        <v>0</v>
      </c>
      <c r="GU190" s="909">
        <v>0</v>
      </c>
      <c r="GV190" s="910">
        <v>27994.415801846128</v>
      </c>
      <c r="GW190" s="871">
        <v>4000</v>
      </c>
      <c r="GX190" s="911">
        <v>147.02653618800232</v>
      </c>
      <c r="GY190" s="908">
        <v>2.3738400000000004</v>
      </c>
      <c r="GZ190" s="902">
        <v>19.595898290061726</v>
      </c>
      <c r="HA190" s="902">
        <v>0</v>
      </c>
      <c r="HB190" s="902">
        <v>0</v>
      </c>
      <c r="HC190" s="902">
        <v>14.812466866637577</v>
      </c>
      <c r="HD190" s="902">
        <v>0.96528192998353912</v>
      </c>
      <c r="HE190" s="902">
        <v>3600</v>
      </c>
      <c r="HF190" s="909" t="s">
        <v>2877</v>
      </c>
      <c r="HG190" s="909">
        <v>2</v>
      </c>
      <c r="HH190" s="909">
        <v>0</v>
      </c>
      <c r="HI190" s="909">
        <v>0</v>
      </c>
      <c r="HJ190" s="909">
        <v>0</v>
      </c>
      <c r="HK190" s="910">
        <v>28536.963127079933</v>
      </c>
      <c r="HL190" s="909">
        <v>0</v>
      </c>
      <c r="HM190" s="909">
        <v>0</v>
      </c>
      <c r="HN190" s="909">
        <v>0</v>
      </c>
      <c r="HO190" s="910">
        <v>27994.415801846128</v>
      </c>
      <c r="HP190" s="871">
        <v>4000</v>
      </c>
      <c r="HQ190" s="911">
        <v>147.02653618800232</v>
      </c>
      <c r="HR190" s="908">
        <v>2.3738400000000004</v>
      </c>
      <c r="HS190" s="902">
        <v>19.595898290061726</v>
      </c>
      <c r="HT190" s="902">
        <v>0</v>
      </c>
      <c r="HU190" s="902">
        <v>0</v>
      </c>
      <c r="HV190" s="902">
        <v>14.812466866637577</v>
      </c>
      <c r="HW190" s="902">
        <v>0.96528192998353912</v>
      </c>
      <c r="HX190" s="902">
        <v>3600</v>
      </c>
      <c r="HY190" s="909" t="s">
        <v>1063</v>
      </c>
      <c r="HZ190" s="909">
        <v>2</v>
      </c>
      <c r="IA190" s="909">
        <v>0</v>
      </c>
      <c r="IB190" s="909">
        <v>0</v>
      </c>
      <c r="IC190" s="909">
        <v>0</v>
      </c>
      <c r="ID190" s="910">
        <v>25167.235869091197</v>
      </c>
      <c r="IE190" s="909">
        <v>0</v>
      </c>
      <c r="IF190" s="909">
        <v>0</v>
      </c>
      <c r="IG190" s="909">
        <v>0</v>
      </c>
      <c r="IH190" s="910">
        <v>24688.754103407227</v>
      </c>
      <c r="II190" s="871">
        <v>4000</v>
      </c>
      <c r="IJ190" s="911">
        <v>147.02653618800232</v>
      </c>
      <c r="IK190" s="908">
        <v>2.3738400000000004</v>
      </c>
      <c r="IL190" s="902">
        <v>19.595898290061726</v>
      </c>
      <c r="IM190" s="902">
        <v>0</v>
      </c>
      <c r="IN190" s="902">
        <v>0</v>
      </c>
      <c r="IO190" s="902">
        <v>14.812466866637577</v>
      </c>
      <c r="IP190" s="902">
        <v>0.96528192998353912</v>
      </c>
      <c r="IQ190" s="902">
        <v>3600</v>
      </c>
      <c r="IR190" s="909" t="s">
        <v>1063</v>
      </c>
      <c r="IS190" s="909">
        <v>2</v>
      </c>
      <c r="IT190" s="909">
        <v>0</v>
      </c>
      <c r="IU190" s="909">
        <v>0</v>
      </c>
      <c r="IV190" s="909">
        <v>0</v>
      </c>
      <c r="IW190" s="910">
        <v>25167.235869091197</v>
      </c>
      <c r="IX190" s="909">
        <v>0</v>
      </c>
      <c r="IY190" s="909">
        <v>0</v>
      </c>
      <c r="IZ190" s="909">
        <v>0</v>
      </c>
      <c r="JA190" s="910">
        <v>24688.754103407227</v>
      </c>
      <c r="JB190" s="871">
        <v>4000</v>
      </c>
      <c r="JC190" s="911">
        <v>147.02653618800232</v>
      </c>
      <c r="JD190" s="908">
        <v>2.3738400000000004</v>
      </c>
      <c r="JE190" s="902">
        <v>19.595898290061726</v>
      </c>
      <c r="JF190" s="902">
        <v>0</v>
      </c>
      <c r="JG190" s="902">
        <v>0</v>
      </c>
      <c r="JH190" s="902">
        <v>14.812466866637577</v>
      </c>
      <c r="JI190" s="902">
        <v>0.96528192998353912</v>
      </c>
      <c r="JJ190" s="902">
        <v>3600</v>
      </c>
      <c r="JK190" s="909" t="s">
        <v>1064</v>
      </c>
      <c r="JL190" s="909">
        <v>2</v>
      </c>
      <c r="JM190" s="909">
        <v>0</v>
      </c>
      <c r="JN190" s="909">
        <v>0</v>
      </c>
      <c r="JO190" s="909">
        <v>0</v>
      </c>
      <c r="JP190" s="910">
        <v>34297.161266903953</v>
      </c>
      <c r="JQ190" s="909">
        <v>0</v>
      </c>
      <c r="JR190" s="909">
        <v>0</v>
      </c>
      <c r="JS190" s="909">
        <v>0</v>
      </c>
      <c r="JT190" s="910">
        <v>33645.100533405188</v>
      </c>
      <c r="JU190" s="871">
        <v>4000</v>
      </c>
      <c r="JV190" s="911">
        <v>147.02653618800232</v>
      </c>
      <c r="JW190" s="908">
        <v>2.3738400000000004</v>
      </c>
      <c r="JX190" s="902">
        <v>19.595898290061726</v>
      </c>
      <c r="JY190" s="902">
        <v>0</v>
      </c>
      <c r="JZ190" s="902">
        <v>0</v>
      </c>
      <c r="KA190" s="902">
        <v>14.812466866637577</v>
      </c>
      <c r="KB190" s="902">
        <v>0.96528192998353912</v>
      </c>
      <c r="KC190" s="902">
        <v>3600</v>
      </c>
      <c r="KD190" s="909" t="s">
        <v>1064</v>
      </c>
      <c r="KE190" s="909">
        <v>2</v>
      </c>
      <c r="KF190" s="909">
        <v>0</v>
      </c>
      <c r="KG190" s="909">
        <v>0</v>
      </c>
      <c r="KH190" s="909">
        <v>0</v>
      </c>
      <c r="KI190" s="910">
        <v>34297.161266903953</v>
      </c>
      <c r="KJ190" s="909">
        <v>0</v>
      </c>
      <c r="KK190" s="909">
        <v>0</v>
      </c>
      <c r="KL190" s="909">
        <v>0</v>
      </c>
      <c r="KM190" s="910">
        <v>33645.100533405188</v>
      </c>
      <c r="KN190" s="871">
        <v>4000</v>
      </c>
      <c r="KO190" s="912">
        <v>147.02653618800232</v>
      </c>
    </row>
    <row r="191" spans="1:301" ht="15" customHeight="1">
      <c r="A191" s="924" t="s">
        <v>1709</v>
      </c>
      <c r="B191" s="888" t="s">
        <v>1073</v>
      </c>
      <c r="C191" s="888">
        <v>190</v>
      </c>
      <c r="D191" s="888">
        <v>702</v>
      </c>
      <c r="E191" s="888">
        <v>160</v>
      </c>
      <c r="F191" s="888">
        <v>190</v>
      </c>
      <c r="G191" s="888">
        <v>49</v>
      </c>
      <c r="H191" s="888">
        <v>35</v>
      </c>
      <c r="I191" s="888">
        <v>35</v>
      </c>
      <c r="J191" s="888">
        <v>52</v>
      </c>
      <c r="K191" s="888">
        <v>80</v>
      </c>
      <c r="L191" s="888">
        <v>16</v>
      </c>
      <c r="M191" s="888">
        <v>270</v>
      </c>
      <c r="N191" s="888">
        <v>2</v>
      </c>
      <c r="O191" s="884">
        <v>5.7609762674514808</v>
      </c>
      <c r="P191" s="888">
        <v>2</v>
      </c>
      <c r="Q191" s="884">
        <v>4.8531247129033277</v>
      </c>
      <c r="R191" s="888">
        <v>10</v>
      </c>
      <c r="S191" s="888">
        <v>315</v>
      </c>
      <c r="T191" s="906">
        <v>6.1175939219042776</v>
      </c>
      <c r="U191" s="906">
        <v>47.25</v>
      </c>
      <c r="V191" s="906">
        <v>47.5</v>
      </c>
      <c r="W191" s="1141">
        <v>0.49036338780263977</v>
      </c>
      <c r="X191" s="902">
        <v>0</v>
      </c>
      <c r="Y191" s="902">
        <v>0</v>
      </c>
      <c r="Z191" s="902">
        <v>0</v>
      </c>
      <c r="AA191" s="902">
        <v>0</v>
      </c>
      <c r="AB191" s="970">
        <v>1.1499425099367915</v>
      </c>
      <c r="AC191" s="1045">
        <v>4000</v>
      </c>
      <c r="AD191" s="890"/>
      <c r="AE191" s="890"/>
      <c r="AF191" s="890"/>
      <c r="AG191" s="890"/>
      <c r="AH191" s="888"/>
      <c r="AI191" s="907">
        <v>1.7938836786623684</v>
      </c>
      <c r="AJ191" s="908">
        <v>3.5607600000000006</v>
      </c>
      <c r="AK191" s="902">
        <v>20.782818290061726</v>
      </c>
      <c r="AL191" s="902">
        <v>0</v>
      </c>
      <c r="AM191" s="902">
        <v>0</v>
      </c>
      <c r="AN191" s="902">
        <v>14.965953596980395</v>
      </c>
      <c r="AO191" s="902">
        <v>1.0437527719435391</v>
      </c>
      <c r="AP191" s="1222">
        <v>3600</v>
      </c>
      <c r="AQ191" s="909" t="s">
        <v>1062</v>
      </c>
      <c r="AR191" s="909">
        <v>3</v>
      </c>
      <c r="AS191" s="909">
        <v>0</v>
      </c>
      <c r="AT191" s="909">
        <v>0</v>
      </c>
      <c r="AU191" s="909">
        <v>0</v>
      </c>
      <c r="AV191" s="910">
        <v>36898.89215033401</v>
      </c>
      <c r="AW191" s="909">
        <v>0</v>
      </c>
      <c r="AX191" s="909">
        <v>0</v>
      </c>
      <c r="AY191" s="909">
        <v>0</v>
      </c>
      <c r="AZ191" s="910">
        <v>36197.367073853216</v>
      </c>
      <c r="BA191" s="871">
        <v>4000</v>
      </c>
      <c r="BB191" s="911">
        <v>147.02653618800232</v>
      </c>
      <c r="BC191" s="908">
        <v>3.5607600000000006</v>
      </c>
      <c r="BD191" s="902">
        <v>20.782818290061726</v>
      </c>
      <c r="BE191" s="902">
        <v>0</v>
      </c>
      <c r="BF191" s="902">
        <v>0</v>
      </c>
      <c r="BG191" s="902">
        <v>14.965953596980395</v>
      </c>
      <c r="BH191" s="902">
        <v>1.0437527719435391</v>
      </c>
      <c r="BI191" s="902">
        <v>3600</v>
      </c>
      <c r="BJ191" s="909" t="s">
        <v>1062</v>
      </c>
      <c r="BK191" s="909">
        <v>3</v>
      </c>
      <c r="BL191" s="909">
        <v>0</v>
      </c>
      <c r="BM191" s="909">
        <v>0</v>
      </c>
      <c r="BN191" s="909">
        <v>0</v>
      </c>
      <c r="BO191" s="910">
        <v>36898.89215033401</v>
      </c>
      <c r="BP191" s="909">
        <v>0</v>
      </c>
      <c r="BQ191" s="909">
        <v>0</v>
      </c>
      <c r="BR191" s="909">
        <v>0</v>
      </c>
      <c r="BS191" s="910">
        <v>36197.367073853216</v>
      </c>
      <c r="BT191" s="871">
        <v>4000</v>
      </c>
      <c r="BU191" s="911">
        <v>147.02653618800232</v>
      </c>
      <c r="BV191" s="908">
        <v>3.5607600000000006</v>
      </c>
      <c r="BW191" s="902">
        <v>20.782818290061726</v>
      </c>
      <c r="BX191" s="902">
        <v>0</v>
      </c>
      <c r="BY191" s="902">
        <v>0</v>
      </c>
      <c r="BZ191" s="902">
        <v>14.965953596980395</v>
      </c>
      <c r="CA191" s="902">
        <v>1.0437527719435391</v>
      </c>
      <c r="CB191" s="902">
        <v>3600</v>
      </c>
      <c r="CC191" s="909" t="s">
        <v>2874</v>
      </c>
      <c r="CD191" s="909">
        <v>3</v>
      </c>
      <c r="CE191" s="909">
        <v>0</v>
      </c>
      <c r="CF191" s="909">
        <v>0</v>
      </c>
      <c r="CG191" s="909">
        <v>0</v>
      </c>
      <c r="CH191" s="910">
        <v>36153.383136922341</v>
      </c>
      <c r="CI191" s="909">
        <v>0</v>
      </c>
      <c r="CJ191" s="909">
        <v>0</v>
      </c>
      <c r="CK191" s="909">
        <v>0</v>
      </c>
      <c r="CL191" s="910">
        <v>35466.031745264409</v>
      </c>
      <c r="CM191" s="871">
        <v>4000</v>
      </c>
      <c r="CN191" s="911">
        <v>147.02653618800232</v>
      </c>
      <c r="CO191" s="908">
        <v>3.5607600000000006</v>
      </c>
      <c r="CP191" s="902">
        <v>20.782818290061726</v>
      </c>
      <c r="CQ191" s="902">
        <v>0</v>
      </c>
      <c r="CR191" s="902">
        <v>0</v>
      </c>
      <c r="CS191" s="902">
        <v>14.965953596980395</v>
      </c>
      <c r="CT191" s="902">
        <v>1.0437527719435391</v>
      </c>
      <c r="CU191" s="902">
        <v>3600</v>
      </c>
      <c r="CV191" s="909" t="s">
        <v>2874</v>
      </c>
      <c r="CW191" s="909">
        <v>3</v>
      </c>
      <c r="CX191" s="909">
        <v>0</v>
      </c>
      <c r="CY191" s="909">
        <v>0</v>
      </c>
      <c r="CZ191" s="909">
        <v>0</v>
      </c>
      <c r="DA191" s="910">
        <v>36153.383136922341</v>
      </c>
      <c r="DB191" s="909">
        <v>0</v>
      </c>
      <c r="DC191" s="909">
        <v>0</v>
      </c>
      <c r="DD191" s="909">
        <v>0</v>
      </c>
      <c r="DE191" s="910">
        <v>35466.031745264409</v>
      </c>
      <c r="DF191" s="871">
        <v>4000</v>
      </c>
      <c r="DG191" s="911">
        <v>147.02653618800232</v>
      </c>
      <c r="DH191" s="908">
        <v>2.3738400000000004</v>
      </c>
      <c r="DI191" s="902">
        <v>19.595898290061726</v>
      </c>
      <c r="DJ191" s="902">
        <v>0</v>
      </c>
      <c r="DK191" s="902">
        <v>0</v>
      </c>
      <c r="DL191" s="902">
        <v>14.812466866637577</v>
      </c>
      <c r="DM191" s="902">
        <v>0.96528192998353912</v>
      </c>
      <c r="DN191" s="902">
        <v>3600</v>
      </c>
      <c r="DO191" s="909" t="s">
        <v>2876</v>
      </c>
      <c r="DP191" s="909">
        <v>2</v>
      </c>
      <c r="DQ191" s="909">
        <v>0</v>
      </c>
      <c r="DR191" s="909">
        <v>0</v>
      </c>
      <c r="DS191" s="909">
        <v>0</v>
      </c>
      <c r="DT191" s="910">
        <v>23105.347530739586</v>
      </c>
      <c r="DU191" s="909">
        <v>0</v>
      </c>
      <c r="DV191" s="909">
        <v>0</v>
      </c>
      <c r="DW191" s="909">
        <v>0</v>
      </c>
      <c r="DX191" s="910">
        <v>22666.06657272116</v>
      </c>
      <c r="DY191" s="871">
        <v>4000</v>
      </c>
      <c r="DZ191" s="911">
        <v>147.02653618800232</v>
      </c>
      <c r="EA191" s="908">
        <v>2.3738400000000004</v>
      </c>
      <c r="EB191" s="902">
        <v>19.595898290061726</v>
      </c>
      <c r="EC191" s="902">
        <v>0</v>
      </c>
      <c r="ED191" s="902">
        <v>0</v>
      </c>
      <c r="EE191" s="902">
        <v>14.812466866637577</v>
      </c>
      <c r="EF191" s="902">
        <v>0.96528192998353912</v>
      </c>
      <c r="EG191" s="902">
        <v>3600</v>
      </c>
      <c r="EH191" s="909" t="s">
        <v>2876</v>
      </c>
      <c r="EI191" s="909">
        <v>2</v>
      </c>
      <c r="EJ191" s="909">
        <v>0</v>
      </c>
      <c r="EK191" s="909">
        <v>0</v>
      </c>
      <c r="EL191" s="909">
        <v>0</v>
      </c>
      <c r="EM191" s="910">
        <v>23105.347530739586</v>
      </c>
      <c r="EN191" s="909">
        <v>0</v>
      </c>
      <c r="EO191" s="909">
        <v>0</v>
      </c>
      <c r="EP191" s="909">
        <v>0</v>
      </c>
      <c r="EQ191" s="910">
        <v>22666.06657272116</v>
      </c>
      <c r="ER191" s="871">
        <v>4000</v>
      </c>
      <c r="ES191" s="911">
        <v>147.02653618800232</v>
      </c>
      <c r="ET191" s="908">
        <v>2.3738400000000004</v>
      </c>
      <c r="EU191" s="902">
        <v>19.595898290061726</v>
      </c>
      <c r="EV191" s="902">
        <v>0</v>
      </c>
      <c r="EW191" s="902">
        <v>0</v>
      </c>
      <c r="EX191" s="902">
        <v>14.812466866637577</v>
      </c>
      <c r="EY191" s="902">
        <v>0.96528192998353912</v>
      </c>
      <c r="EZ191" s="902">
        <v>3600</v>
      </c>
      <c r="FA191" s="909" t="s">
        <v>3889</v>
      </c>
      <c r="FB191" s="909">
        <v>2</v>
      </c>
      <c r="FC191" s="909">
        <v>0</v>
      </c>
      <c r="FD191" s="909">
        <v>0</v>
      </c>
      <c r="FE191" s="909">
        <v>0</v>
      </c>
      <c r="FF191" s="910">
        <v>24251.755307276388</v>
      </c>
      <c r="FG191" s="909">
        <v>0</v>
      </c>
      <c r="FH191" s="909">
        <v>0</v>
      </c>
      <c r="FI191" s="909">
        <v>0</v>
      </c>
      <c r="FJ191" s="910">
        <v>23790.67874087394</v>
      </c>
      <c r="FK191" s="871">
        <v>4000</v>
      </c>
      <c r="FL191" s="911">
        <v>147.02653618800232</v>
      </c>
      <c r="FM191" s="908">
        <v>2.3738400000000004</v>
      </c>
      <c r="FN191" s="902">
        <v>19.595898290061726</v>
      </c>
      <c r="FO191" s="902">
        <v>0</v>
      </c>
      <c r="FP191" s="902">
        <v>0</v>
      </c>
      <c r="FQ191" s="902">
        <v>14.812466866637577</v>
      </c>
      <c r="FR191" s="902">
        <v>0.96528192998353912</v>
      </c>
      <c r="FS191" s="902">
        <v>3600</v>
      </c>
      <c r="FT191" s="909" t="s">
        <v>3889</v>
      </c>
      <c r="FU191" s="909">
        <v>2</v>
      </c>
      <c r="FV191" s="909">
        <v>0</v>
      </c>
      <c r="FW191" s="909">
        <v>0</v>
      </c>
      <c r="FX191" s="909">
        <v>0</v>
      </c>
      <c r="FY191" s="910">
        <v>24251.755307276388</v>
      </c>
      <c r="FZ191" s="909">
        <v>0</v>
      </c>
      <c r="GA191" s="909">
        <v>0</v>
      </c>
      <c r="GB191" s="909">
        <v>0</v>
      </c>
      <c r="GC191" s="910">
        <v>23790.67874087394</v>
      </c>
      <c r="GD191" s="871">
        <v>4000</v>
      </c>
      <c r="GE191" s="911">
        <v>147.02653618800232</v>
      </c>
      <c r="GF191" s="908">
        <v>2.3738400000000004</v>
      </c>
      <c r="GG191" s="902">
        <v>19.595898290061726</v>
      </c>
      <c r="GH191" s="902">
        <v>0</v>
      </c>
      <c r="GI191" s="902">
        <v>0</v>
      </c>
      <c r="GJ191" s="902">
        <v>14.812466866637577</v>
      </c>
      <c r="GK191" s="902">
        <v>0.96528192998353912</v>
      </c>
      <c r="GL191" s="902">
        <v>3600</v>
      </c>
      <c r="GM191" s="909" t="s">
        <v>2877</v>
      </c>
      <c r="GN191" s="909">
        <v>2</v>
      </c>
      <c r="GO191" s="909">
        <v>0</v>
      </c>
      <c r="GP191" s="909">
        <v>0</v>
      </c>
      <c r="GQ191" s="909">
        <v>0</v>
      </c>
      <c r="GR191" s="910">
        <v>28536.963127079933</v>
      </c>
      <c r="GS191" s="909">
        <v>0</v>
      </c>
      <c r="GT191" s="909">
        <v>0</v>
      </c>
      <c r="GU191" s="909">
        <v>0</v>
      </c>
      <c r="GV191" s="910">
        <v>27994.415801846128</v>
      </c>
      <c r="GW191" s="871">
        <v>4000</v>
      </c>
      <c r="GX191" s="911">
        <v>147.02653618800232</v>
      </c>
      <c r="GY191" s="908">
        <v>2.3738400000000004</v>
      </c>
      <c r="GZ191" s="902">
        <v>19.595898290061726</v>
      </c>
      <c r="HA191" s="902">
        <v>0</v>
      </c>
      <c r="HB191" s="902">
        <v>0</v>
      </c>
      <c r="HC191" s="902">
        <v>14.812466866637577</v>
      </c>
      <c r="HD191" s="902">
        <v>0.96528192998353912</v>
      </c>
      <c r="HE191" s="902">
        <v>3600</v>
      </c>
      <c r="HF191" s="909" t="s">
        <v>2877</v>
      </c>
      <c r="HG191" s="909">
        <v>2</v>
      </c>
      <c r="HH191" s="909">
        <v>0</v>
      </c>
      <c r="HI191" s="909">
        <v>0</v>
      </c>
      <c r="HJ191" s="909">
        <v>0</v>
      </c>
      <c r="HK191" s="910">
        <v>28536.963127079933</v>
      </c>
      <c r="HL191" s="909">
        <v>0</v>
      </c>
      <c r="HM191" s="909">
        <v>0</v>
      </c>
      <c r="HN191" s="909">
        <v>0</v>
      </c>
      <c r="HO191" s="910">
        <v>27994.415801846128</v>
      </c>
      <c r="HP191" s="871">
        <v>4000</v>
      </c>
      <c r="HQ191" s="911">
        <v>147.02653618800232</v>
      </c>
      <c r="HR191" s="908">
        <v>2.3738400000000004</v>
      </c>
      <c r="HS191" s="902">
        <v>19.595898290061726</v>
      </c>
      <c r="HT191" s="902">
        <v>0</v>
      </c>
      <c r="HU191" s="902">
        <v>0</v>
      </c>
      <c r="HV191" s="902">
        <v>14.812466866637577</v>
      </c>
      <c r="HW191" s="902">
        <v>0.96528192998353912</v>
      </c>
      <c r="HX191" s="902">
        <v>3600</v>
      </c>
      <c r="HY191" s="909" t="s">
        <v>1063</v>
      </c>
      <c r="HZ191" s="909">
        <v>2</v>
      </c>
      <c r="IA191" s="909">
        <v>0</v>
      </c>
      <c r="IB191" s="909">
        <v>0</v>
      </c>
      <c r="IC191" s="909">
        <v>0</v>
      </c>
      <c r="ID191" s="910">
        <v>25167.235869091197</v>
      </c>
      <c r="IE191" s="909">
        <v>0</v>
      </c>
      <c r="IF191" s="909">
        <v>0</v>
      </c>
      <c r="IG191" s="909">
        <v>0</v>
      </c>
      <c r="IH191" s="910">
        <v>24688.754103407227</v>
      </c>
      <c r="II191" s="871">
        <v>4000</v>
      </c>
      <c r="IJ191" s="911">
        <v>147.02653618800232</v>
      </c>
      <c r="IK191" s="908">
        <v>2.3738400000000004</v>
      </c>
      <c r="IL191" s="902">
        <v>19.595898290061726</v>
      </c>
      <c r="IM191" s="902">
        <v>0</v>
      </c>
      <c r="IN191" s="902">
        <v>0</v>
      </c>
      <c r="IO191" s="902">
        <v>14.812466866637577</v>
      </c>
      <c r="IP191" s="902">
        <v>0.96528192998353912</v>
      </c>
      <c r="IQ191" s="902">
        <v>3600</v>
      </c>
      <c r="IR191" s="909" t="s">
        <v>1063</v>
      </c>
      <c r="IS191" s="909">
        <v>2</v>
      </c>
      <c r="IT191" s="909">
        <v>0</v>
      </c>
      <c r="IU191" s="909">
        <v>0</v>
      </c>
      <c r="IV191" s="909">
        <v>0</v>
      </c>
      <c r="IW191" s="910">
        <v>25167.235869091197</v>
      </c>
      <c r="IX191" s="909">
        <v>0</v>
      </c>
      <c r="IY191" s="909">
        <v>0</v>
      </c>
      <c r="IZ191" s="909">
        <v>0</v>
      </c>
      <c r="JA191" s="910">
        <v>24688.754103407227</v>
      </c>
      <c r="JB191" s="871">
        <v>4000</v>
      </c>
      <c r="JC191" s="911">
        <v>147.02653618800232</v>
      </c>
      <c r="JD191" s="908">
        <v>2.3738400000000004</v>
      </c>
      <c r="JE191" s="902">
        <v>19.595898290061726</v>
      </c>
      <c r="JF191" s="902">
        <v>0</v>
      </c>
      <c r="JG191" s="902">
        <v>0</v>
      </c>
      <c r="JH191" s="902">
        <v>14.812466866637577</v>
      </c>
      <c r="JI191" s="902">
        <v>0.96528192998353912</v>
      </c>
      <c r="JJ191" s="902">
        <v>3600</v>
      </c>
      <c r="JK191" s="909" t="s">
        <v>1064</v>
      </c>
      <c r="JL191" s="909">
        <v>2</v>
      </c>
      <c r="JM191" s="909">
        <v>0</v>
      </c>
      <c r="JN191" s="909">
        <v>0</v>
      </c>
      <c r="JO191" s="909">
        <v>0</v>
      </c>
      <c r="JP191" s="910">
        <v>34297.161266903953</v>
      </c>
      <c r="JQ191" s="909">
        <v>0</v>
      </c>
      <c r="JR191" s="909">
        <v>0</v>
      </c>
      <c r="JS191" s="909">
        <v>0</v>
      </c>
      <c r="JT191" s="910">
        <v>33645.100533405188</v>
      </c>
      <c r="JU191" s="871">
        <v>4000</v>
      </c>
      <c r="JV191" s="911">
        <v>147.02653618800232</v>
      </c>
      <c r="JW191" s="908">
        <v>2.3738400000000004</v>
      </c>
      <c r="JX191" s="902">
        <v>19.595898290061726</v>
      </c>
      <c r="JY191" s="902">
        <v>0</v>
      </c>
      <c r="JZ191" s="902">
        <v>0</v>
      </c>
      <c r="KA191" s="902">
        <v>14.812466866637577</v>
      </c>
      <c r="KB191" s="902">
        <v>0.96528192998353912</v>
      </c>
      <c r="KC191" s="902">
        <v>3600</v>
      </c>
      <c r="KD191" s="909" t="s">
        <v>1064</v>
      </c>
      <c r="KE191" s="909">
        <v>2</v>
      </c>
      <c r="KF191" s="909">
        <v>0</v>
      </c>
      <c r="KG191" s="909">
        <v>0</v>
      </c>
      <c r="KH191" s="909">
        <v>0</v>
      </c>
      <c r="KI191" s="910">
        <v>34297.161266903953</v>
      </c>
      <c r="KJ191" s="909">
        <v>0</v>
      </c>
      <c r="KK191" s="909">
        <v>0</v>
      </c>
      <c r="KL191" s="909">
        <v>0</v>
      </c>
      <c r="KM191" s="910">
        <v>33645.100533405188</v>
      </c>
      <c r="KN191" s="871">
        <v>4000</v>
      </c>
      <c r="KO191" s="912">
        <v>147.02653618800232</v>
      </c>
    </row>
    <row r="192" spans="1:301" ht="15" customHeight="1">
      <c r="A192" s="924" t="s">
        <v>1634</v>
      </c>
      <c r="B192" s="888" t="s">
        <v>1073</v>
      </c>
      <c r="C192" s="888">
        <v>190</v>
      </c>
      <c r="D192" s="888">
        <v>702</v>
      </c>
      <c r="E192" s="888">
        <v>160</v>
      </c>
      <c r="F192" s="888">
        <v>190</v>
      </c>
      <c r="G192" s="888">
        <v>49</v>
      </c>
      <c r="H192" s="888">
        <v>35</v>
      </c>
      <c r="I192" s="888">
        <v>35</v>
      </c>
      <c r="J192" s="888">
        <v>58.93</v>
      </c>
      <c r="K192" s="888">
        <v>82</v>
      </c>
      <c r="L192" s="888">
        <v>16</v>
      </c>
      <c r="M192" s="888">
        <v>270</v>
      </c>
      <c r="N192" s="888">
        <v>2</v>
      </c>
      <c r="O192" s="884">
        <v>5.7609762674514808</v>
      </c>
      <c r="P192" s="888">
        <v>2</v>
      </c>
      <c r="Q192" s="884">
        <v>4.8531247129033277</v>
      </c>
      <c r="R192" s="888">
        <v>10</v>
      </c>
      <c r="S192" s="888">
        <v>315</v>
      </c>
      <c r="T192" s="906">
        <v>6.1175939219042776</v>
      </c>
      <c r="U192" s="906">
        <v>47.25</v>
      </c>
      <c r="V192" s="906">
        <v>47.5</v>
      </c>
      <c r="W192" s="1141">
        <v>0.49036338780263977</v>
      </c>
      <c r="X192" s="902">
        <v>0</v>
      </c>
      <c r="Y192" s="902">
        <v>0</v>
      </c>
      <c r="Z192" s="902">
        <v>0</v>
      </c>
      <c r="AA192" s="902">
        <v>0</v>
      </c>
      <c r="AB192" s="970">
        <v>1.1499425099367915</v>
      </c>
      <c r="AC192" s="1045">
        <v>4000</v>
      </c>
      <c r="AD192" s="890"/>
      <c r="AE192" s="890"/>
      <c r="AF192" s="890"/>
      <c r="AG192" s="890"/>
      <c r="AH192" s="888"/>
      <c r="AI192" s="907">
        <v>1.7938836786623684</v>
      </c>
      <c r="AJ192" s="908">
        <v>3.5607600000000006</v>
      </c>
      <c r="AK192" s="902">
        <v>20.782818290061726</v>
      </c>
      <c r="AL192" s="902">
        <v>0</v>
      </c>
      <c r="AM192" s="902">
        <v>0</v>
      </c>
      <c r="AN192" s="902">
        <v>14.965953596980395</v>
      </c>
      <c r="AO192" s="902">
        <v>1.0437527719435391</v>
      </c>
      <c r="AP192" s="1222">
        <v>3600</v>
      </c>
      <c r="AQ192" s="909" t="s">
        <v>1062</v>
      </c>
      <c r="AR192" s="909">
        <v>3</v>
      </c>
      <c r="AS192" s="909">
        <v>0</v>
      </c>
      <c r="AT192" s="909">
        <v>0</v>
      </c>
      <c r="AU192" s="909">
        <v>0</v>
      </c>
      <c r="AV192" s="910">
        <v>32923.473282432562</v>
      </c>
      <c r="AW192" s="909">
        <v>0</v>
      </c>
      <c r="AX192" s="909">
        <v>0</v>
      </c>
      <c r="AY192" s="909">
        <v>0</v>
      </c>
      <c r="AZ192" s="910">
        <v>33030.591975777701</v>
      </c>
      <c r="BA192" s="871">
        <v>4000</v>
      </c>
      <c r="BB192" s="911">
        <v>147.02653618800232</v>
      </c>
      <c r="BC192" s="908">
        <v>3.5607600000000006</v>
      </c>
      <c r="BD192" s="902">
        <v>20.782818290061726</v>
      </c>
      <c r="BE192" s="902">
        <v>0</v>
      </c>
      <c r="BF192" s="902">
        <v>0</v>
      </c>
      <c r="BG192" s="902">
        <v>14.965953596980395</v>
      </c>
      <c r="BH192" s="902">
        <v>1.0437527719435391</v>
      </c>
      <c r="BI192" s="902">
        <v>3600</v>
      </c>
      <c r="BJ192" s="909" t="s">
        <v>1062</v>
      </c>
      <c r="BK192" s="909">
        <v>3</v>
      </c>
      <c r="BL192" s="909">
        <v>0</v>
      </c>
      <c r="BM192" s="909">
        <v>0</v>
      </c>
      <c r="BN192" s="909">
        <v>0</v>
      </c>
      <c r="BO192" s="910">
        <v>32923.473282432562</v>
      </c>
      <c r="BP192" s="909">
        <v>0</v>
      </c>
      <c r="BQ192" s="909">
        <v>0</v>
      </c>
      <c r="BR192" s="909">
        <v>0</v>
      </c>
      <c r="BS192" s="910">
        <v>33030.591975777701</v>
      </c>
      <c r="BT192" s="871">
        <v>4000</v>
      </c>
      <c r="BU192" s="911">
        <v>147.02653618800232</v>
      </c>
      <c r="BV192" s="908">
        <v>3.5607600000000006</v>
      </c>
      <c r="BW192" s="902">
        <v>20.782818290061726</v>
      </c>
      <c r="BX192" s="902">
        <v>0</v>
      </c>
      <c r="BY192" s="902">
        <v>0</v>
      </c>
      <c r="BZ192" s="902">
        <v>14.965953596980395</v>
      </c>
      <c r="CA192" s="902">
        <v>1.0437527719435391</v>
      </c>
      <c r="CB192" s="902">
        <v>3600</v>
      </c>
      <c r="CC192" s="909" t="s">
        <v>2874</v>
      </c>
      <c r="CD192" s="909">
        <v>3</v>
      </c>
      <c r="CE192" s="909">
        <v>0</v>
      </c>
      <c r="CF192" s="909">
        <v>0</v>
      </c>
      <c r="CG192" s="909">
        <v>0</v>
      </c>
      <c r="CH192" s="910">
        <v>32258.284040845843</v>
      </c>
      <c r="CI192" s="909">
        <v>0</v>
      </c>
      <c r="CJ192" s="909">
        <v>0</v>
      </c>
      <c r="CK192" s="909">
        <v>0</v>
      </c>
      <c r="CL192" s="910">
        <v>32363.238497089533</v>
      </c>
      <c r="CM192" s="871">
        <v>4000</v>
      </c>
      <c r="CN192" s="911">
        <v>147.02653618800232</v>
      </c>
      <c r="CO192" s="908">
        <v>3.5607600000000006</v>
      </c>
      <c r="CP192" s="902">
        <v>20.782818290061726</v>
      </c>
      <c r="CQ192" s="902">
        <v>0</v>
      </c>
      <c r="CR192" s="902">
        <v>0</v>
      </c>
      <c r="CS192" s="902">
        <v>14.965953596980395</v>
      </c>
      <c r="CT192" s="902">
        <v>1.0437527719435391</v>
      </c>
      <c r="CU192" s="902">
        <v>3600</v>
      </c>
      <c r="CV192" s="909" t="s">
        <v>2874</v>
      </c>
      <c r="CW192" s="909">
        <v>3</v>
      </c>
      <c r="CX192" s="909">
        <v>0</v>
      </c>
      <c r="CY192" s="909">
        <v>0</v>
      </c>
      <c r="CZ192" s="909">
        <v>0</v>
      </c>
      <c r="DA192" s="910">
        <v>32258.284040845843</v>
      </c>
      <c r="DB192" s="909">
        <v>0</v>
      </c>
      <c r="DC192" s="909">
        <v>0</v>
      </c>
      <c r="DD192" s="909">
        <v>0</v>
      </c>
      <c r="DE192" s="910">
        <v>32363.238497089533</v>
      </c>
      <c r="DF192" s="871">
        <v>4000</v>
      </c>
      <c r="DG192" s="911">
        <v>147.02653618800232</v>
      </c>
      <c r="DH192" s="908">
        <v>2.3738400000000004</v>
      </c>
      <c r="DI192" s="902">
        <v>19.595898290061726</v>
      </c>
      <c r="DJ192" s="902">
        <v>0</v>
      </c>
      <c r="DK192" s="902">
        <v>0</v>
      </c>
      <c r="DL192" s="902">
        <v>14.812466866637577</v>
      </c>
      <c r="DM192" s="902">
        <v>0.96528192998353912</v>
      </c>
      <c r="DN192" s="902">
        <v>3600</v>
      </c>
      <c r="DO192" s="909" t="s">
        <v>2876</v>
      </c>
      <c r="DP192" s="909">
        <v>2</v>
      </c>
      <c r="DQ192" s="909">
        <v>0</v>
      </c>
      <c r="DR192" s="909">
        <v>0</v>
      </c>
      <c r="DS192" s="909">
        <v>0</v>
      </c>
      <c r="DT192" s="910">
        <v>52700.207711006944</v>
      </c>
      <c r="DU192" s="909">
        <v>0</v>
      </c>
      <c r="DV192" s="909">
        <v>0</v>
      </c>
      <c r="DW192" s="909">
        <v>0</v>
      </c>
      <c r="DX192" s="910">
        <v>52871.671315122861</v>
      </c>
      <c r="DY192" s="871">
        <v>4000</v>
      </c>
      <c r="DZ192" s="911">
        <v>147.02653618800232</v>
      </c>
      <c r="EA192" s="908">
        <v>2.3738400000000004</v>
      </c>
      <c r="EB192" s="902">
        <v>19.595898290061726</v>
      </c>
      <c r="EC192" s="902">
        <v>0</v>
      </c>
      <c r="ED192" s="902">
        <v>0</v>
      </c>
      <c r="EE192" s="902">
        <v>14.812466866637577</v>
      </c>
      <c r="EF192" s="902">
        <v>0.96528192998353912</v>
      </c>
      <c r="EG192" s="902">
        <v>3600</v>
      </c>
      <c r="EH192" s="909" t="s">
        <v>2876</v>
      </c>
      <c r="EI192" s="909">
        <v>2</v>
      </c>
      <c r="EJ192" s="909">
        <v>0</v>
      </c>
      <c r="EK192" s="909">
        <v>0</v>
      </c>
      <c r="EL192" s="909">
        <v>0</v>
      </c>
      <c r="EM192" s="910">
        <v>52700.207711006944</v>
      </c>
      <c r="EN192" s="909">
        <v>0</v>
      </c>
      <c r="EO192" s="909">
        <v>0</v>
      </c>
      <c r="EP192" s="909">
        <v>0</v>
      </c>
      <c r="EQ192" s="910">
        <v>52871.671315122861</v>
      </c>
      <c r="ER192" s="871">
        <v>4000</v>
      </c>
      <c r="ES192" s="911">
        <v>147.02653618800232</v>
      </c>
      <c r="ET192" s="908">
        <v>2.3738400000000004</v>
      </c>
      <c r="EU192" s="902">
        <v>19.595898290061726</v>
      </c>
      <c r="EV192" s="902">
        <v>0</v>
      </c>
      <c r="EW192" s="902">
        <v>0</v>
      </c>
      <c r="EX192" s="902">
        <v>14.812466866637577</v>
      </c>
      <c r="EY192" s="902">
        <v>0.96528192998353912</v>
      </c>
      <c r="EZ192" s="902">
        <v>3600</v>
      </c>
      <c r="FA192" s="909" t="s">
        <v>3889</v>
      </c>
      <c r="FB192" s="909">
        <v>2</v>
      </c>
      <c r="FC192" s="909">
        <v>0</v>
      </c>
      <c r="FD192" s="909">
        <v>0</v>
      </c>
      <c r="FE192" s="909">
        <v>0</v>
      </c>
      <c r="FF192" s="910">
        <v>55315.010533800472</v>
      </c>
      <c r="FG192" s="909">
        <v>0</v>
      </c>
      <c r="FH192" s="909">
        <v>0</v>
      </c>
      <c r="FI192" s="909">
        <v>0</v>
      </c>
      <c r="FJ192" s="910">
        <v>55494.981571483018</v>
      </c>
      <c r="FK192" s="871">
        <v>4000</v>
      </c>
      <c r="FL192" s="911">
        <v>147.02653618800232</v>
      </c>
      <c r="FM192" s="908">
        <v>2.3738400000000004</v>
      </c>
      <c r="FN192" s="902">
        <v>19.595898290061726</v>
      </c>
      <c r="FO192" s="902">
        <v>0</v>
      </c>
      <c r="FP192" s="902">
        <v>0</v>
      </c>
      <c r="FQ192" s="902">
        <v>14.812466866637577</v>
      </c>
      <c r="FR192" s="902">
        <v>0.96528192998353912</v>
      </c>
      <c r="FS192" s="902">
        <v>3600</v>
      </c>
      <c r="FT192" s="909" t="s">
        <v>3889</v>
      </c>
      <c r="FU192" s="909">
        <v>2</v>
      </c>
      <c r="FV192" s="909">
        <v>0</v>
      </c>
      <c r="FW192" s="909">
        <v>0</v>
      </c>
      <c r="FX192" s="909">
        <v>0</v>
      </c>
      <c r="FY192" s="910">
        <v>55315.010533800472</v>
      </c>
      <c r="FZ192" s="909">
        <v>0</v>
      </c>
      <c r="GA192" s="909">
        <v>0</v>
      </c>
      <c r="GB192" s="909">
        <v>0</v>
      </c>
      <c r="GC192" s="910">
        <v>55494.981571483018</v>
      </c>
      <c r="GD192" s="871">
        <v>4000</v>
      </c>
      <c r="GE192" s="911">
        <v>147.02653618800232</v>
      </c>
      <c r="GF192" s="908">
        <v>2.3738400000000004</v>
      </c>
      <c r="GG192" s="902">
        <v>19.595898290061726</v>
      </c>
      <c r="GH192" s="902">
        <v>0</v>
      </c>
      <c r="GI192" s="902">
        <v>0</v>
      </c>
      <c r="GJ192" s="902">
        <v>14.812466866637577</v>
      </c>
      <c r="GK192" s="902">
        <v>0.96528192998353912</v>
      </c>
      <c r="GL192" s="902">
        <v>3600</v>
      </c>
      <c r="GM192" s="909" t="s">
        <v>2877</v>
      </c>
      <c r="GN192" s="909">
        <v>2</v>
      </c>
      <c r="GO192" s="909">
        <v>0</v>
      </c>
      <c r="GP192" s="909">
        <v>0</v>
      </c>
      <c r="GQ192" s="909">
        <v>0</v>
      </c>
      <c r="GR192" s="910">
        <v>65088.9964861013</v>
      </c>
      <c r="GS192" s="909">
        <v>0</v>
      </c>
      <c r="GT192" s="909">
        <v>0</v>
      </c>
      <c r="GU192" s="909">
        <v>0</v>
      </c>
      <c r="GV192" s="910">
        <v>65300.767832183978</v>
      </c>
      <c r="GW192" s="871">
        <v>4000</v>
      </c>
      <c r="GX192" s="911">
        <v>147.02653618800232</v>
      </c>
      <c r="GY192" s="908">
        <v>2.3738400000000004</v>
      </c>
      <c r="GZ192" s="902">
        <v>19.595898290061726</v>
      </c>
      <c r="HA192" s="902">
        <v>0</v>
      </c>
      <c r="HB192" s="902">
        <v>0</v>
      </c>
      <c r="HC192" s="902">
        <v>14.812466866637577</v>
      </c>
      <c r="HD192" s="902">
        <v>0.96528192998353912</v>
      </c>
      <c r="HE192" s="902">
        <v>3600</v>
      </c>
      <c r="HF192" s="909" t="s">
        <v>2877</v>
      </c>
      <c r="HG192" s="909">
        <v>2</v>
      </c>
      <c r="HH192" s="909">
        <v>0</v>
      </c>
      <c r="HI192" s="909">
        <v>0</v>
      </c>
      <c r="HJ192" s="909">
        <v>0</v>
      </c>
      <c r="HK192" s="910">
        <v>65088.9964861013</v>
      </c>
      <c r="HL192" s="909">
        <v>0</v>
      </c>
      <c r="HM192" s="909">
        <v>0</v>
      </c>
      <c r="HN192" s="909">
        <v>0</v>
      </c>
      <c r="HO192" s="910">
        <v>65300.767832183978</v>
      </c>
      <c r="HP192" s="871">
        <v>4000</v>
      </c>
      <c r="HQ192" s="911">
        <v>147.02653618800232</v>
      </c>
      <c r="HR192" s="908">
        <v>2.3738400000000004</v>
      </c>
      <c r="HS192" s="902">
        <v>19.595898290061726</v>
      </c>
      <c r="HT192" s="902">
        <v>0</v>
      </c>
      <c r="HU192" s="902">
        <v>0</v>
      </c>
      <c r="HV192" s="902">
        <v>14.812466866637577</v>
      </c>
      <c r="HW192" s="902">
        <v>0.96528192998353912</v>
      </c>
      <c r="HX192" s="902">
        <v>3600</v>
      </c>
      <c r="HY192" s="909" t="s">
        <v>1063</v>
      </c>
      <c r="HZ192" s="909">
        <v>2</v>
      </c>
      <c r="IA192" s="909">
        <v>0</v>
      </c>
      <c r="IB192" s="909">
        <v>0</v>
      </c>
      <c r="IC192" s="909">
        <v>0</v>
      </c>
      <c r="ID192" s="910">
        <v>57403.099262993695</v>
      </c>
      <c r="IE192" s="909">
        <v>0</v>
      </c>
      <c r="IF192" s="909">
        <v>0</v>
      </c>
      <c r="IG192" s="909">
        <v>0</v>
      </c>
      <c r="IH192" s="910">
        <v>57589.864035175051</v>
      </c>
      <c r="II192" s="871">
        <v>4000</v>
      </c>
      <c r="IJ192" s="911">
        <v>147.02653618800232</v>
      </c>
      <c r="IK192" s="908">
        <v>2.3738400000000004</v>
      </c>
      <c r="IL192" s="902">
        <v>19.595898290061726</v>
      </c>
      <c r="IM192" s="902">
        <v>0</v>
      </c>
      <c r="IN192" s="902">
        <v>0</v>
      </c>
      <c r="IO192" s="902">
        <v>14.812466866637577</v>
      </c>
      <c r="IP192" s="902">
        <v>0.96528192998353912</v>
      </c>
      <c r="IQ192" s="902">
        <v>3600</v>
      </c>
      <c r="IR192" s="909" t="s">
        <v>1063</v>
      </c>
      <c r="IS192" s="909">
        <v>2</v>
      </c>
      <c r="IT192" s="909">
        <v>0</v>
      </c>
      <c r="IU192" s="909">
        <v>0</v>
      </c>
      <c r="IV192" s="909">
        <v>0</v>
      </c>
      <c r="IW192" s="910">
        <v>57403.099262993695</v>
      </c>
      <c r="IX192" s="909">
        <v>0</v>
      </c>
      <c r="IY192" s="909">
        <v>0</v>
      </c>
      <c r="IZ192" s="909">
        <v>0</v>
      </c>
      <c r="JA192" s="910">
        <v>57589.864035175051</v>
      </c>
      <c r="JB192" s="871">
        <v>4000</v>
      </c>
      <c r="JC192" s="911">
        <v>147.02653618800232</v>
      </c>
      <c r="JD192" s="908">
        <v>2.3738400000000004</v>
      </c>
      <c r="JE192" s="902">
        <v>19.595898290061726</v>
      </c>
      <c r="JF192" s="902">
        <v>0</v>
      </c>
      <c r="JG192" s="902">
        <v>0</v>
      </c>
      <c r="JH192" s="902">
        <v>14.812466866637577</v>
      </c>
      <c r="JI192" s="902">
        <v>0.96528192998353912</v>
      </c>
      <c r="JJ192" s="902">
        <v>3600</v>
      </c>
      <c r="JK192" s="909" t="s">
        <v>1064</v>
      </c>
      <c r="JL192" s="909">
        <v>2</v>
      </c>
      <c r="JM192" s="909">
        <v>0</v>
      </c>
      <c r="JN192" s="909">
        <v>0</v>
      </c>
      <c r="JO192" s="909">
        <v>0</v>
      </c>
      <c r="JP192" s="910">
        <v>78227.23809971122</v>
      </c>
      <c r="JQ192" s="909">
        <v>0</v>
      </c>
      <c r="JR192" s="909">
        <v>0</v>
      </c>
      <c r="JS192" s="909">
        <v>0</v>
      </c>
      <c r="JT192" s="910">
        <v>78481.755582036247</v>
      </c>
      <c r="JU192" s="871">
        <v>4000</v>
      </c>
      <c r="JV192" s="911">
        <v>147.02653618800232</v>
      </c>
      <c r="JW192" s="908">
        <v>2.3738400000000004</v>
      </c>
      <c r="JX192" s="902">
        <v>19.595898290061726</v>
      </c>
      <c r="JY192" s="902">
        <v>0</v>
      </c>
      <c r="JZ192" s="902">
        <v>0</v>
      </c>
      <c r="KA192" s="902">
        <v>14.812466866637577</v>
      </c>
      <c r="KB192" s="902">
        <v>0.96528192998353912</v>
      </c>
      <c r="KC192" s="902">
        <v>3600</v>
      </c>
      <c r="KD192" s="909" t="s">
        <v>1064</v>
      </c>
      <c r="KE192" s="909">
        <v>2</v>
      </c>
      <c r="KF192" s="909">
        <v>0</v>
      </c>
      <c r="KG192" s="909">
        <v>0</v>
      </c>
      <c r="KH192" s="909">
        <v>0</v>
      </c>
      <c r="KI192" s="910">
        <v>78227.23809971122</v>
      </c>
      <c r="KJ192" s="909">
        <v>0</v>
      </c>
      <c r="KK192" s="909">
        <v>0</v>
      </c>
      <c r="KL192" s="909">
        <v>0</v>
      </c>
      <c r="KM192" s="910">
        <v>78481.755582036247</v>
      </c>
      <c r="KN192" s="871">
        <v>4000</v>
      </c>
      <c r="KO192" s="912">
        <v>147.02653618800232</v>
      </c>
    </row>
    <row r="193" spans="1:301" ht="15" customHeight="1">
      <c r="A193" s="924" t="s">
        <v>1635</v>
      </c>
      <c r="B193" s="888" t="s">
        <v>1073</v>
      </c>
      <c r="C193" s="888">
        <v>190</v>
      </c>
      <c r="D193" s="888">
        <v>752</v>
      </c>
      <c r="E193" s="888">
        <v>160</v>
      </c>
      <c r="F193" s="888">
        <v>190</v>
      </c>
      <c r="G193" s="888">
        <v>34</v>
      </c>
      <c r="H193" s="888">
        <v>20</v>
      </c>
      <c r="I193" s="888">
        <v>20</v>
      </c>
      <c r="J193" s="888">
        <v>48.9</v>
      </c>
      <c r="K193" s="888">
        <v>77.900000000000006</v>
      </c>
      <c r="L193" s="888">
        <v>16</v>
      </c>
      <c r="M193" s="888">
        <v>270</v>
      </c>
      <c r="N193" s="888">
        <v>2</v>
      </c>
      <c r="O193" s="884">
        <v>6.6574218771716938</v>
      </c>
      <c r="P193" s="888">
        <v>2</v>
      </c>
      <c r="Q193" s="884">
        <v>4.327810679450514</v>
      </c>
      <c r="R193" s="888">
        <v>13.000000000000002</v>
      </c>
      <c r="S193" s="888">
        <v>463.1705399691516</v>
      </c>
      <c r="T193" s="906">
        <v>17.194309779100241</v>
      </c>
      <c r="U193" s="906">
        <v>69.475580995372738</v>
      </c>
      <c r="V193" s="906">
        <v>47.5</v>
      </c>
      <c r="W193" s="1141">
        <v>1.0601779947930796</v>
      </c>
      <c r="X193" s="902">
        <v>0</v>
      </c>
      <c r="Y193" s="902">
        <v>0</v>
      </c>
      <c r="Z193" s="902">
        <v>0</v>
      </c>
      <c r="AA193" s="902">
        <v>0</v>
      </c>
      <c r="AB193" s="970">
        <v>1.0897935272884622</v>
      </c>
      <c r="AC193" s="1045">
        <v>4000</v>
      </c>
      <c r="AD193" s="890">
        <v>2.1185235171207486</v>
      </c>
      <c r="AE193" s="890">
        <v>1.1463215220271168</v>
      </c>
      <c r="AF193" s="890">
        <v>-6.5913142809649161E-2</v>
      </c>
      <c r="AG193" s="890">
        <v>0.78933183983788024</v>
      </c>
      <c r="AH193" s="888"/>
      <c r="AI193" s="907">
        <v>1.8926774645783466</v>
      </c>
      <c r="AJ193" s="908">
        <v>2.0347200000000001</v>
      </c>
      <c r="AK193" s="902">
        <v>31.274440330515528</v>
      </c>
      <c r="AL193" s="902">
        <v>0</v>
      </c>
      <c r="AM193" s="902">
        <v>0</v>
      </c>
      <c r="AN193" s="902">
        <v>9.4251307472881862</v>
      </c>
      <c r="AO193" s="902">
        <v>1.527974185333806</v>
      </c>
      <c r="AP193" s="1222">
        <v>3600</v>
      </c>
      <c r="AQ193" s="909" t="s">
        <v>1062</v>
      </c>
      <c r="AR193" s="909">
        <v>3</v>
      </c>
      <c r="AS193" s="909">
        <v>0</v>
      </c>
      <c r="AT193" s="909">
        <v>0</v>
      </c>
      <c r="AU193" s="909">
        <v>0</v>
      </c>
      <c r="AV193" s="910">
        <v>38923.581354969589</v>
      </c>
      <c r="AW193" s="909">
        <v>0</v>
      </c>
      <c r="AX193" s="909">
        <v>0</v>
      </c>
      <c r="AY193" s="909">
        <v>0</v>
      </c>
      <c r="AZ193" s="910">
        <v>57519.390886586087</v>
      </c>
      <c r="BA193" s="871">
        <v>4000</v>
      </c>
      <c r="BB193" s="911">
        <v>157.4985116999683</v>
      </c>
      <c r="BC193" s="908">
        <v>2.0347200000000001</v>
      </c>
      <c r="BD193" s="902">
        <v>31.274440330515528</v>
      </c>
      <c r="BE193" s="902">
        <v>0</v>
      </c>
      <c r="BF193" s="902">
        <v>0</v>
      </c>
      <c r="BG193" s="902">
        <v>9.4251307472881862</v>
      </c>
      <c r="BH193" s="902">
        <v>1.527974185333806</v>
      </c>
      <c r="BI193" s="902">
        <v>3600</v>
      </c>
      <c r="BJ193" s="909" t="s">
        <v>1062</v>
      </c>
      <c r="BK193" s="909">
        <v>3</v>
      </c>
      <c r="BL193" s="909">
        <v>0</v>
      </c>
      <c r="BM193" s="909">
        <v>0</v>
      </c>
      <c r="BN193" s="909">
        <v>0</v>
      </c>
      <c r="BO193" s="910">
        <v>38923.581354969589</v>
      </c>
      <c r="BP193" s="909">
        <v>0</v>
      </c>
      <c r="BQ193" s="909">
        <v>0</v>
      </c>
      <c r="BR193" s="909">
        <v>0</v>
      </c>
      <c r="BS193" s="910">
        <v>57519.390886586087</v>
      </c>
      <c r="BT193" s="871">
        <v>4000</v>
      </c>
      <c r="BU193" s="911">
        <v>157.4985116999683</v>
      </c>
      <c r="BV193" s="908">
        <v>2.0347200000000001</v>
      </c>
      <c r="BW193" s="902">
        <v>31.274440330515528</v>
      </c>
      <c r="BX193" s="902">
        <v>0</v>
      </c>
      <c r="BY193" s="902">
        <v>0</v>
      </c>
      <c r="BZ193" s="902">
        <v>9.4251307472881862</v>
      </c>
      <c r="CA193" s="902">
        <v>1.527974185333806</v>
      </c>
      <c r="CB193" s="902">
        <v>3600</v>
      </c>
      <c r="CC193" s="909" t="s">
        <v>2874</v>
      </c>
      <c r="CD193" s="909">
        <v>3</v>
      </c>
      <c r="CE193" s="909">
        <v>0</v>
      </c>
      <c r="CF193" s="909">
        <v>0</v>
      </c>
      <c r="CG193" s="909">
        <v>0</v>
      </c>
      <c r="CH193" s="910">
        <v>38137.165312553836</v>
      </c>
      <c r="CI193" s="909">
        <v>0</v>
      </c>
      <c r="CJ193" s="909">
        <v>0</v>
      </c>
      <c r="CK193" s="909">
        <v>0</v>
      </c>
      <c r="CL193" s="910">
        <v>56357.263195131549</v>
      </c>
      <c r="CM193" s="871">
        <v>4000</v>
      </c>
      <c r="CN193" s="911">
        <v>157.4985116999683</v>
      </c>
      <c r="CO193" s="908">
        <v>2.0347200000000001</v>
      </c>
      <c r="CP193" s="902">
        <v>31.274440330515528</v>
      </c>
      <c r="CQ193" s="902">
        <v>0</v>
      </c>
      <c r="CR193" s="902">
        <v>0</v>
      </c>
      <c r="CS193" s="902">
        <v>9.4251307472881862</v>
      </c>
      <c r="CT193" s="902">
        <v>1.527974185333806</v>
      </c>
      <c r="CU193" s="902">
        <v>3600</v>
      </c>
      <c r="CV193" s="909" t="s">
        <v>2874</v>
      </c>
      <c r="CW193" s="909">
        <v>3</v>
      </c>
      <c r="CX193" s="909">
        <v>0</v>
      </c>
      <c r="CY193" s="909">
        <v>0</v>
      </c>
      <c r="CZ193" s="909">
        <v>0</v>
      </c>
      <c r="DA193" s="910">
        <v>38137.165312553836</v>
      </c>
      <c r="DB193" s="909">
        <v>0</v>
      </c>
      <c r="DC193" s="909">
        <v>0</v>
      </c>
      <c r="DD193" s="909">
        <v>0</v>
      </c>
      <c r="DE193" s="910">
        <v>56357.263195131549</v>
      </c>
      <c r="DF193" s="871">
        <v>4000</v>
      </c>
      <c r="DG193" s="911">
        <v>157.4985116999683</v>
      </c>
      <c r="DH193" s="908">
        <v>2.0347200000000001</v>
      </c>
      <c r="DI193" s="902">
        <v>31.274440330515528</v>
      </c>
      <c r="DJ193" s="902">
        <v>0</v>
      </c>
      <c r="DK193" s="902">
        <v>0</v>
      </c>
      <c r="DL193" s="902">
        <v>9.4251307472881862</v>
      </c>
      <c r="DM193" s="902">
        <v>1.527974185333806</v>
      </c>
      <c r="DN193" s="902">
        <v>3600</v>
      </c>
      <c r="DO193" s="909" t="s">
        <v>2876</v>
      </c>
      <c r="DP193" s="909">
        <v>3</v>
      </c>
      <c r="DQ193" s="909">
        <v>0</v>
      </c>
      <c r="DR193" s="909">
        <v>0</v>
      </c>
      <c r="DS193" s="909">
        <v>0</v>
      </c>
      <c r="DT193" s="910">
        <v>42281.832019040805</v>
      </c>
      <c r="DU193" s="909">
        <v>0</v>
      </c>
      <c r="DV193" s="909">
        <v>0</v>
      </c>
      <c r="DW193" s="909">
        <v>0</v>
      </c>
      <c r="DX193" s="910">
        <v>62482.051718852657</v>
      </c>
      <c r="DY193" s="871">
        <v>4000</v>
      </c>
      <c r="DZ193" s="911">
        <v>157.4985116999683</v>
      </c>
      <c r="EA193" s="908">
        <v>2.0347200000000001</v>
      </c>
      <c r="EB193" s="902">
        <v>31.274440330515528</v>
      </c>
      <c r="EC193" s="902">
        <v>0</v>
      </c>
      <c r="ED193" s="902">
        <v>0</v>
      </c>
      <c r="EE193" s="902">
        <v>9.4251307472881862</v>
      </c>
      <c r="EF193" s="902">
        <v>1.527974185333806</v>
      </c>
      <c r="EG193" s="902">
        <v>3600</v>
      </c>
      <c r="EH193" s="909" t="s">
        <v>2876</v>
      </c>
      <c r="EI193" s="909">
        <v>3</v>
      </c>
      <c r="EJ193" s="909">
        <v>0</v>
      </c>
      <c r="EK193" s="909">
        <v>0</v>
      </c>
      <c r="EL193" s="909">
        <v>0</v>
      </c>
      <c r="EM193" s="910">
        <v>42281.832019040805</v>
      </c>
      <c r="EN193" s="909">
        <v>0</v>
      </c>
      <c r="EO193" s="909">
        <v>0</v>
      </c>
      <c r="EP193" s="909">
        <v>0</v>
      </c>
      <c r="EQ193" s="910">
        <v>62482.051718852657</v>
      </c>
      <c r="ER193" s="871">
        <v>4000</v>
      </c>
      <c r="ES193" s="911">
        <v>157.4985116999683</v>
      </c>
      <c r="ET193" s="908">
        <v>2.0347200000000001</v>
      </c>
      <c r="EU193" s="902">
        <v>31.274440330515528</v>
      </c>
      <c r="EV193" s="902">
        <v>0</v>
      </c>
      <c r="EW193" s="902">
        <v>0</v>
      </c>
      <c r="EX193" s="902">
        <v>9.4251307472881862</v>
      </c>
      <c r="EY193" s="902">
        <v>1.527974185333806</v>
      </c>
      <c r="EZ193" s="902">
        <v>3600</v>
      </c>
      <c r="FA193" s="909" t="s">
        <v>3889</v>
      </c>
      <c r="FB193" s="909">
        <v>3</v>
      </c>
      <c r="FC193" s="909">
        <v>0</v>
      </c>
      <c r="FD193" s="909">
        <v>0</v>
      </c>
      <c r="FE193" s="909">
        <v>0</v>
      </c>
      <c r="FF193" s="910">
        <v>44379.710917783326</v>
      </c>
      <c r="FG193" s="909">
        <v>0</v>
      </c>
      <c r="FH193" s="909">
        <v>0</v>
      </c>
      <c r="FI193" s="909">
        <v>0</v>
      </c>
      <c r="FJ193" s="910">
        <v>65582.195955556774</v>
      </c>
      <c r="FK193" s="871">
        <v>4000</v>
      </c>
      <c r="FL193" s="911">
        <v>157.4985116999683</v>
      </c>
      <c r="FM193" s="908">
        <v>2.0347200000000001</v>
      </c>
      <c r="FN193" s="902">
        <v>31.274440330515528</v>
      </c>
      <c r="FO193" s="902">
        <v>0</v>
      </c>
      <c r="FP193" s="902">
        <v>0</v>
      </c>
      <c r="FQ193" s="902">
        <v>9.4251307472881862</v>
      </c>
      <c r="FR193" s="902">
        <v>1.527974185333806</v>
      </c>
      <c r="FS193" s="902">
        <v>3600</v>
      </c>
      <c r="FT193" s="909" t="s">
        <v>3889</v>
      </c>
      <c r="FU193" s="909">
        <v>3</v>
      </c>
      <c r="FV193" s="909">
        <v>0</v>
      </c>
      <c r="FW193" s="909">
        <v>0</v>
      </c>
      <c r="FX193" s="909">
        <v>0</v>
      </c>
      <c r="FY193" s="910">
        <v>44379.710917783326</v>
      </c>
      <c r="FZ193" s="909">
        <v>0</v>
      </c>
      <c r="GA193" s="909">
        <v>0</v>
      </c>
      <c r="GB193" s="909">
        <v>0</v>
      </c>
      <c r="GC193" s="910">
        <v>65582.195955556774</v>
      </c>
      <c r="GD193" s="871">
        <v>4000</v>
      </c>
      <c r="GE193" s="911">
        <v>157.4985116999683</v>
      </c>
      <c r="GF193" s="908">
        <v>2.0347200000000001</v>
      </c>
      <c r="GG193" s="902">
        <v>31.274440330515528</v>
      </c>
      <c r="GH193" s="902">
        <v>0</v>
      </c>
      <c r="GI193" s="902">
        <v>0</v>
      </c>
      <c r="GJ193" s="902">
        <v>9.4251307472881862</v>
      </c>
      <c r="GK193" s="902">
        <v>1.527974185333806</v>
      </c>
      <c r="GL193" s="902">
        <v>3600</v>
      </c>
      <c r="GM193" s="909" t="s">
        <v>2877</v>
      </c>
      <c r="GN193" s="909">
        <v>3</v>
      </c>
      <c r="GO193" s="909">
        <v>0</v>
      </c>
      <c r="GP193" s="909">
        <v>0</v>
      </c>
      <c r="GQ193" s="909">
        <v>0</v>
      </c>
      <c r="GR193" s="910">
        <v>52221.464302473236</v>
      </c>
      <c r="GS193" s="909">
        <v>0</v>
      </c>
      <c r="GT193" s="909">
        <v>0</v>
      </c>
      <c r="GU193" s="909">
        <v>0</v>
      </c>
      <c r="GV193" s="910">
        <v>77170.360828072982</v>
      </c>
      <c r="GW193" s="871">
        <v>4000</v>
      </c>
      <c r="GX193" s="911">
        <v>157.4985116999683</v>
      </c>
      <c r="GY193" s="908">
        <v>2.0347200000000001</v>
      </c>
      <c r="GZ193" s="902">
        <v>31.274440330515528</v>
      </c>
      <c r="HA193" s="902">
        <v>0</v>
      </c>
      <c r="HB193" s="902">
        <v>0</v>
      </c>
      <c r="HC193" s="902">
        <v>9.4251307472881862</v>
      </c>
      <c r="HD193" s="902">
        <v>1.527974185333806</v>
      </c>
      <c r="HE193" s="902">
        <v>3600</v>
      </c>
      <c r="HF193" s="909" t="s">
        <v>2877</v>
      </c>
      <c r="HG193" s="909">
        <v>3</v>
      </c>
      <c r="HH193" s="909">
        <v>0</v>
      </c>
      <c r="HI193" s="909">
        <v>0</v>
      </c>
      <c r="HJ193" s="909">
        <v>0</v>
      </c>
      <c r="HK193" s="910">
        <v>52221.464302473236</v>
      </c>
      <c r="HL193" s="909">
        <v>0</v>
      </c>
      <c r="HM193" s="909">
        <v>0</v>
      </c>
      <c r="HN193" s="909">
        <v>0</v>
      </c>
      <c r="HO193" s="910">
        <v>77170.360828072982</v>
      </c>
      <c r="HP193" s="871">
        <v>4000</v>
      </c>
      <c r="HQ193" s="911">
        <v>157.4985116999683</v>
      </c>
      <c r="HR193" s="908">
        <v>2.0347200000000001</v>
      </c>
      <c r="HS193" s="902">
        <v>31.274440330515528</v>
      </c>
      <c r="HT193" s="902">
        <v>0</v>
      </c>
      <c r="HU193" s="902">
        <v>0</v>
      </c>
      <c r="HV193" s="902">
        <v>9.4251307472881862</v>
      </c>
      <c r="HW193" s="902">
        <v>1.527974185333806</v>
      </c>
      <c r="HX193" s="902">
        <v>3600</v>
      </c>
      <c r="HY193" s="909" t="s">
        <v>1063</v>
      </c>
      <c r="HZ193" s="909">
        <v>3</v>
      </c>
      <c r="IA193" s="909">
        <v>0</v>
      </c>
      <c r="IB193" s="909">
        <v>0</v>
      </c>
      <c r="IC193" s="909">
        <v>0</v>
      </c>
      <c r="ID193" s="910">
        <v>46055.002547993754</v>
      </c>
      <c r="IE193" s="909">
        <v>0</v>
      </c>
      <c r="IF193" s="909">
        <v>0</v>
      </c>
      <c r="IG193" s="909">
        <v>0</v>
      </c>
      <c r="IH193" s="910">
        <v>68057.861112067185</v>
      </c>
      <c r="II193" s="871">
        <v>4000</v>
      </c>
      <c r="IJ193" s="911">
        <v>157.4985116999683</v>
      </c>
      <c r="IK193" s="908">
        <v>2.0347200000000001</v>
      </c>
      <c r="IL193" s="902">
        <v>31.274440330515528</v>
      </c>
      <c r="IM193" s="902">
        <v>0</v>
      </c>
      <c r="IN193" s="902">
        <v>0</v>
      </c>
      <c r="IO193" s="902">
        <v>9.4251307472881862</v>
      </c>
      <c r="IP193" s="902">
        <v>1.527974185333806</v>
      </c>
      <c r="IQ193" s="902">
        <v>3600</v>
      </c>
      <c r="IR193" s="909" t="s">
        <v>1063</v>
      </c>
      <c r="IS193" s="909">
        <v>3</v>
      </c>
      <c r="IT193" s="909">
        <v>0</v>
      </c>
      <c r="IU193" s="909">
        <v>0</v>
      </c>
      <c r="IV193" s="909">
        <v>0</v>
      </c>
      <c r="IW193" s="910">
        <v>46055.002547993754</v>
      </c>
      <c r="IX193" s="909">
        <v>0</v>
      </c>
      <c r="IY193" s="909">
        <v>0</v>
      </c>
      <c r="IZ193" s="909">
        <v>0</v>
      </c>
      <c r="JA193" s="910">
        <v>68057.861112067185</v>
      </c>
      <c r="JB193" s="871">
        <v>4000</v>
      </c>
      <c r="JC193" s="911">
        <v>157.4985116999683</v>
      </c>
      <c r="JD193" s="908">
        <v>2.0347200000000001</v>
      </c>
      <c r="JE193" s="902">
        <v>31.274440330515528</v>
      </c>
      <c r="JF193" s="902">
        <v>0</v>
      </c>
      <c r="JG193" s="902">
        <v>0</v>
      </c>
      <c r="JH193" s="902">
        <v>9.4251307472881862</v>
      </c>
      <c r="JI193" s="902">
        <v>1.527974185333806</v>
      </c>
      <c r="JJ193" s="902">
        <v>3600</v>
      </c>
      <c r="JK193" s="909" t="s">
        <v>1064</v>
      </c>
      <c r="JL193" s="909">
        <v>3</v>
      </c>
      <c r="JM193" s="909">
        <v>0</v>
      </c>
      <c r="JN193" s="909">
        <v>0</v>
      </c>
      <c r="JO193" s="909">
        <v>0</v>
      </c>
      <c r="JP193" s="910">
        <v>62762.389074126491</v>
      </c>
      <c r="JQ193" s="909">
        <v>0</v>
      </c>
      <c r="JR193" s="909">
        <v>0</v>
      </c>
      <c r="JS193" s="909">
        <v>0</v>
      </c>
      <c r="JT193" s="910">
        <v>92747.230970558274</v>
      </c>
      <c r="JU193" s="871">
        <v>4000</v>
      </c>
      <c r="JV193" s="911">
        <v>157.4985116999683</v>
      </c>
      <c r="JW193" s="908">
        <v>2.0347200000000001</v>
      </c>
      <c r="JX193" s="902">
        <v>31.274440330515528</v>
      </c>
      <c r="JY193" s="902">
        <v>0</v>
      </c>
      <c r="JZ193" s="902">
        <v>0</v>
      </c>
      <c r="KA193" s="902">
        <v>9.4251307472881862</v>
      </c>
      <c r="KB193" s="902">
        <v>1.527974185333806</v>
      </c>
      <c r="KC193" s="902">
        <v>3600</v>
      </c>
      <c r="KD193" s="909" t="s">
        <v>1064</v>
      </c>
      <c r="KE193" s="909">
        <v>3</v>
      </c>
      <c r="KF193" s="909">
        <v>0</v>
      </c>
      <c r="KG193" s="909">
        <v>0</v>
      </c>
      <c r="KH193" s="909">
        <v>0</v>
      </c>
      <c r="KI193" s="910">
        <v>62762.389074126491</v>
      </c>
      <c r="KJ193" s="909">
        <v>0</v>
      </c>
      <c r="KK193" s="909">
        <v>0</v>
      </c>
      <c r="KL193" s="909">
        <v>0</v>
      </c>
      <c r="KM193" s="910">
        <v>92747.230970558274</v>
      </c>
      <c r="KN193" s="871">
        <v>4000</v>
      </c>
      <c r="KO193" s="912">
        <v>157.4985116999683</v>
      </c>
    </row>
    <row r="194" spans="1:301" ht="15" customHeight="1">
      <c r="A194" s="924" t="s">
        <v>1710</v>
      </c>
      <c r="B194" s="888" t="s">
        <v>1073</v>
      </c>
      <c r="C194" s="888">
        <v>190</v>
      </c>
      <c r="D194" s="888">
        <v>752</v>
      </c>
      <c r="E194" s="888">
        <v>160</v>
      </c>
      <c r="F194" s="888">
        <v>190</v>
      </c>
      <c r="G194" s="888">
        <v>39</v>
      </c>
      <c r="H194" s="888">
        <v>25</v>
      </c>
      <c r="I194" s="888">
        <v>25</v>
      </c>
      <c r="J194" s="888">
        <v>48.9</v>
      </c>
      <c r="K194" s="888">
        <v>77.900000000000006</v>
      </c>
      <c r="L194" s="888">
        <v>16</v>
      </c>
      <c r="M194" s="888">
        <v>270</v>
      </c>
      <c r="N194" s="888">
        <v>2</v>
      </c>
      <c r="O194" s="884">
        <v>6.6574218771716938</v>
      </c>
      <c r="P194" s="888">
        <v>2</v>
      </c>
      <c r="Q194" s="884">
        <v>4.1047800670972894</v>
      </c>
      <c r="R194" s="888">
        <v>13.000000000000002</v>
      </c>
      <c r="S194" s="888">
        <v>482.30104614921697</v>
      </c>
      <c r="T194" s="906">
        <v>18.644008759396201</v>
      </c>
      <c r="U194" s="906">
        <v>72.345156922382543</v>
      </c>
      <c r="V194" s="906">
        <v>47.5</v>
      </c>
      <c r="W194" s="1141">
        <v>1.1495644824002704</v>
      </c>
      <c r="X194" s="902">
        <v>0</v>
      </c>
      <c r="Y194" s="902">
        <v>0</v>
      </c>
      <c r="Z194" s="902">
        <v>0</v>
      </c>
      <c r="AA194" s="902">
        <v>0</v>
      </c>
      <c r="AB194" s="970">
        <v>1.2970386754923531</v>
      </c>
      <c r="AC194" s="1045">
        <v>4000</v>
      </c>
      <c r="AD194" s="890">
        <v>2.4907202544904088</v>
      </c>
      <c r="AE194" s="890">
        <v>1.1463215220271168</v>
      </c>
      <c r="AF194" s="890">
        <v>-6.1477177515880659E-2</v>
      </c>
      <c r="AG194" s="890">
        <v>0.65889297459583263</v>
      </c>
      <c r="AH194" s="888"/>
      <c r="AI194" s="907">
        <v>1.9358774645783465</v>
      </c>
      <c r="AJ194" s="908">
        <v>2.5434000000000001</v>
      </c>
      <c r="AK194" s="902">
        <v>33.099175186065452</v>
      </c>
      <c r="AL194" s="902">
        <v>0</v>
      </c>
      <c r="AM194" s="902">
        <v>0</v>
      </c>
      <c r="AN194" s="902">
        <v>10.599087089552761</v>
      </c>
      <c r="AO194" s="902">
        <v>1.6347889288218087</v>
      </c>
      <c r="AP194" s="1222">
        <v>3600</v>
      </c>
      <c r="AQ194" s="909" t="s">
        <v>1062</v>
      </c>
      <c r="AR194" s="909">
        <v>3</v>
      </c>
      <c r="AS194" s="909">
        <v>0</v>
      </c>
      <c r="AT194" s="909">
        <v>0</v>
      </c>
      <c r="AU194" s="909">
        <v>0</v>
      </c>
      <c r="AV194" s="910">
        <v>25283.550355154202</v>
      </c>
      <c r="AW194" s="909">
        <v>0</v>
      </c>
      <c r="AX194" s="909">
        <v>0</v>
      </c>
      <c r="AY194" s="909">
        <v>0</v>
      </c>
      <c r="AZ194" s="910">
        <v>33694.278284439366</v>
      </c>
      <c r="BA194" s="871">
        <v>4000</v>
      </c>
      <c r="BB194" s="911">
        <v>157.4985116999683</v>
      </c>
      <c r="BC194" s="908">
        <v>2.5434000000000001</v>
      </c>
      <c r="BD194" s="902">
        <v>33.099175186065452</v>
      </c>
      <c r="BE194" s="902">
        <v>0</v>
      </c>
      <c r="BF194" s="902">
        <v>0</v>
      </c>
      <c r="BG194" s="902">
        <v>10.599087089552761</v>
      </c>
      <c r="BH194" s="902">
        <v>1.6347889288218087</v>
      </c>
      <c r="BI194" s="902">
        <v>3600</v>
      </c>
      <c r="BJ194" s="909" t="s">
        <v>1062</v>
      </c>
      <c r="BK194" s="909">
        <v>3</v>
      </c>
      <c r="BL194" s="909">
        <v>0</v>
      </c>
      <c r="BM194" s="909">
        <v>0</v>
      </c>
      <c r="BN194" s="909">
        <v>0</v>
      </c>
      <c r="BO194" s="910">
        <v>25283.550355154202</v>
      </c>
      <c r="BP194" s="909">
        <v>0</v>
      </c>
      <c r="BQ194" s="909">
        <v>0</v>
      </c>
      <c r="BR194" s="909">
        <v>0</v>
      </c>
      <c r="BS194" s="910">
        <v>33694.278284439366</v>
      </c>
      <c r="BT194" s="871">
        <v>4000</v>
      </c>
      <c r="BU194" s="911">
        <v>157.4985116999683</v>
      </c>
      <c r="BV194" s="908">
        <v>2.5434000000000001</v>
      </c>
      <c r="BW194" s="902">
        <v>33.099175186065452</v>
      </c>
      <c r="BX194" s="902">
        <v>0</v>
      </c>
      <c r="BY194" s="902">
        <v>0</v>
      </c>
      <c r="BZ194" s="902">
        <v>10.599087089552761</v>
      </c>
      <c r="CA194" s="902">
        <v>1.6347889288218087</v>
      </c>
      <c r="CB194" s="902">
        <v>3600</v>
      </c>
      <c r="CC194" s="909" t="s">
        <v>2874</v>
      </c>
      <c r="CD194" s="909">
        <v>3</v>
      </c>
      <c r="CE194" s="909">
        <v>0</v>
      </c>
      <c r="CF194" s="909">
        <v>0</v>
      </c>
      <c r="CG194" s="909">
        <v>0</v>
      </c>
      <c r="CH194" s="910">
        <v>24772.718902436885</v>
      </c>
      <c r="CI194" s="909">
        <v>0</v>
      </c>
      <c r="CJ194" s="909">
        <v>0</v>
      </c>
      <c r="CK194" s="909">
        <v>0</v>
      </c>
      <c r="CL194" s="910">
        <v>33013.515619286482</v>
      </c>
      <c r="CM194" s="871">
        <v>4000</v>
      </c>
      <c r="CN194" s="911">
        <v>157.4985116999683</v>
      </c>
      <c r="CO194" s="908">
        <v>2.5434000000000001</v>
      </c>
      <c r="CP194" s="902">
        <v>33.099175186065452</v>
      </c>
      <c r="CQ194" s="902">
        <v>0</v>
      </c>
      <c r="CR194" s="902">
        <v>0</v>
      </c>
      <c r="CS194" s="902">
        <v>10.599087089552761</v>
      </c>
      <c r="CT194" s="902">
        <v>1.6347889288218087</v>
      </c>
      <c r="CU194" s="902">
        <v>3600</v>
      </c>
      <c r="CV194" s="909" t="s">
        <v>2874</v>
      </c>
      <c r="CW194" s="909">
        <v>3</v>
      </c>
      <c r="CX194" s="909">
        <v>0</v>
      </c>
      <c r="CY194" s="909">
        <v>0</v>
      </c>
      <c r="CZ194" s="909">
        <v>0</v>
      </c>
      <c r="DA194" s="910">
        <v>24772.718902436885</v>
      </c>
      <c r="DB194" s="909">
        <v>0</v>
      </c>
      <c r="DC194" s="909">
        <v>0</v>
      </c>
      <c r="DD194" s="909">
        <v>0</v>
      </c>
      <c r="DE194" s="910">
        <v>33013.515619286482</v>
      </c>
      <c r="DF194" s="871">
        <v>4000</v>
      </c>
      <c r="DG194" s="911">
        <v>157.4985116999683</v>
      </c>
      <c r="DH194" s="908">
        <v>2.5434000000000001</v>
      </c>
      <c r="DI194" s="902">
        <v>33.099175186065452</v>
      </c>
      <c r="DJ194" s="902">
        <v>0</v>
      </c>
      <c r="DK194" s="902">
        <v>0</v>
      </c>
      <c r="DL194" s="902">
        <v>10.599087089552761</v>
      </c>
      <c r="DM194" s="902">
        <v>1.6347889288218087</v>
      </c>
      <c r="DN194" s="902">
        <v>3600</v>
      </c>
      <c r="DO194" s="909" t="s">
        <v>2876</v>
      </c>
      <c r="DP194" s="909">
        <v>3</v>
      </c>
      <c r="DQ194" s="909">
        <v>0</v>
      </c>
      <c r="DR194" s="909">
        <v>0</v>
      </c>
      <c r="DS194" s="909">
        <v>0</v>
      </c>
      <c r="DT194" s="910">
        <v>27464.965754624736</v>
      </c>
      <c r="DU194" s="909">
        <v>0</v>
      </c>
      <c r="DV194" s="909">
        <v>0</v>
      </c>
      <c r="DW194" s="909">
        <v>0</v>
      </c>
      <c r="DX194" s="910">
        <v>36601.354881327912</v>
      </c>
      <c r="DY194" s="871">
        <v>4000</v>
      </c>
      <c r="DZ194" s="911">
        <v>157.4985116999683</v>
      </c>
      <c r="EA194" s="908">
        <v>2.5434000000000001</v>
      </c>
      <c r="EB194" s="902">
        <v>33.099175186065452</v>
      </c>
      <c r="EC194" s="902">
        <v>0</v>
      </c>
      <c r="ED194" s="902">
        <v>0</v>
      </c>
      <c r="EE194" s="902">
        <v>10.599087089552761</v>
      </c>
      <c r="EF194" s="902">
        <v>1.6347889288218087</v>
      </c>
      <c r="EG194" s="902">
        <v>3600</v>
      </c>
      <c r="EH194" s="909" t="s">
        <v>2876</v>
      </c>
      <c r="EI194" s="909">
        <v>3</v>
      </c>
      <c r="EJ194" s="909">
        <v>0</v>
      </c>
      <c r="EK194" s="909">
        <v>0</v>
      </c>
      <c r="EL194" s="909">
        <v>0</v>
      </c>
      <c r="EM194" s="910">
        <v>27464.965754624736</v>
      </c>
      <c r="EN194" s="909">
        <v>0</v>
      </c>
      <c r="EO194" s="909">
        <v>0</v>
      </c>
      <c r="EP194" s="909">
        <v>0</v>
      </c>
      <c r="EQ194" s="910">
        <v>36601.354881327912</v>
      </c>
      <c r="ER194" s="871">
        <v>4000</v>
      </c>
      <c r="ES194" s="911">
        <v>157.4985116999683</v>
      </c>
      <c r="ET194" s="908">
        <v>2.5434000000000001</v>
      </c>
      <c r="EU194" s="902">
        <v>33.099175186065452</v>
      </c>
      <c r="EV194" s="902">
        <v>0</v>
      </c>
      <c r="EW194" s="902">
        <v>0</v>
      </c>
      <c r="EX194" s="902">
        <v>10.599087089552761</v>
      </c>
      <c r="EY194" s="902">
        <v>1.6347889288218087</v>
      </c>
      <c r="EZ194" s="902">
        <v>3600</v>
      </c>
      <c r="FA194" s="909" t="s">
        <v>3889</v>
      </c>
      <c r="FB194" s="909">
        <v>3</v>
      </c>
      <c r="FC194" s="909">
        <v>0</v>
      </c>
      <c r="FD194" s="909">
        <v>0</v>
      </c>
      <c r="FE194" s="909">
        <v>0</v>
      </c>
      <c r="FF194" s="910">
        <v>28827.682774203407</v>
      </c>
      <c r="FG194" s="909">
        <v>0</v>
      </c>
      <c r="FH194" s="909">
        <v>0</v>
      </c>
      <c r="FI194" s="909">
        <v>0</v>
      </c>
      <c r="FJ194" s="910">
        <v>38417.38806636932</v>
      </c>
      <c r="FK194" s="871">
        <v>4000</v>
      </c>
      <c r="FL194" s="911">
        <v>157.4985116999683</v>
      </c>
      <c r="FM194" s="908">
        <v>2.5434000000000001</v>
      </c>
      <c r="FN194" s="902">
        <v>33.099175186065452</v>
      </c>
      <c r="FO194" s="902">
        <v>0</v>
      </c>
      <c r="FP194" s="902">
        <v>0</v>
      </c>
      <c r="FQ194" s="902">
        <v>10.599087089552761</v>
      </c>
      <c r="FR194" s="902">
        <v>1.6347889288218087</v>
      </c>
      <c r="FS194" s="902">
        <v>3600</v>
      </c>
      <c r="FT194" s="909" t="s">
        <v>3889</v>
      </c>
      <c r="FU194" s="909">
        <v>3</v>
      </c>
      <c r="FV194" s="909">
        <v>0</v>
      </c>
      <c r="FW194" s="909">
        <v>0</v>
      </c>
      <c r="FX194" s="909">
        <v>0</v>
      </c>
      <c r="FY194" s="910">
        <v>28827.682774203407</v>
      </c>
      <c r="FZ194" s="909">
        <v>0</v>
      </c>
      <c r="GA194" s="909">
        <v>0</v>
      </c>
      <c r="GB194" s="909">
        <v>0</v>
      </c>
      <c r="GC194" s="910">
        <v>38417.38806636932</v>
      </c>
      <c r="GD194" s="871">
        <v>4000</v>
      </c>
      <c r="GE194" s="911">
        <v>157.4985116999683</v>
      </c>
      <c r="GF194" s="908">
        <v>2.5434000000000001</v>
      </c>
      <c r="GG194" s="902">
        <v>33.099175186065452</v>
      </c>
      <c r="GH194" s="902">
        <v>0</v>
      </c>
      <c r="GI194" s="902">
        <v>0</v>
      </c>
      <c r="GJ194" s="902">
        <v>10.599087089552761</v>
      </c>
      <c r="GK194" s="902">
        <v>1.6347889288218087</v>
      </c>
      <c r="GL194" s="902">
        <v>3600</v>
      </c>
      <c r="GM194" s="909" t="s">
        <v>2877</v>
      </c>
      <c r="GN194" s="909">
        <v>3</v>
      </c>
      <c r="GO194" s="909">
        <v>0</v>
      </c>
      <c r="GP194" s="909">
        <v>0</v>
      </c>
      <c r="GQ194" s="909">
        <v>0</v>
      </c>
      <c r="GR194" s="910">
        <v>33921.442383998263</v>
      </c>
      <c r="GS194" s="909">
        <v>0</v>
      </c>
      <c r="GT194" s="909">
        <v>0</v>
      </c>
      <c r="GU194" s="909">
        <v>0</v>
      </c>
      <c r="GV194" s="910">
        <v>45205.618018080859</v>
      </c>
      <c r="GW194" s="871">
        <v>4000</v>
      </c>
      <c r="GX194" s="911">
        <v>157.4985116999683</v>
      </c>
      <c r="GY194" s="908">
        <v>2.5434000000000001</v>
      </c>
      <c r="GZ194" s="902">
        <v>33.099175186065452</v>
      </c>
      <c r="HA194" s="902">
        <v>0</v>
      </c>
      <c r="HB194" s="902">
        <v>0</v>
      </c>
      <c r="HC194" s="902">
        <v>10.599087089552761</v>
      </c>
      <c r="HD194" s="902">
        <v>1.6347889288218087</v>
      </c>
      <c r="HE194" s="902">
        <v>3600</v>
      </c>
      <c r="HF194" s="909" t="s">
        <v>2877</v>
      </c>
      <c r="HG194" s="909">
        <v>3</v>
      </c>
      <c r="HH194" s="909">
        <v>0</v>
      </c>
      <c r="HI194" s="909">
        <v>0</v>
      </c>
      <c r="HJ194" s="909">
        <v>0</v>
      </c>
      <c r="HK194" s="910">
        <v>33921.442383998263</v>
      </c>
      <c r="HL194" s="909">
        <v>0</v>
      </c>
      <c r="HM194" s="909">
        <v>0</v>
      </c>
      <c r="HN194" s="909">
        <v>0</v>
      </c>
      <c r="HO194" s="910">
        <v>45205.618018080859</v>
      </c>
      <c r="HP194" s="871">
        <v>4000</v>
      </c>
      <c r="HQ194" s="911">
        <v>157.4985116999683</v>
      </c>
      <c r="HR194" s="908">
        <v>2.5434000000000001</v>
      </c>
      <c r="HS194" s="902">
        <v>33.099175186065452</v>
      </c>
      <c r="HT194" s="902">
        <v>0</v>
      </c>
      <c r="HU194" s="902">
        <v>0</v>
      </c>
      <c r="HV194" s="902">
        <v>10.599087089552761</v>
      </c>
      <c r="HW194" s="902">
        <v>1.6347889288218087</v>
      </c>
      <c r="HX194" s="902">
        <v>3600</v>
      </c>
      <c r="HY194" s="909" t="s">
        <v>1063</v>
      </c>
      <c r="HZ194" s="909">
        <v>3</v>
      </c>
      <c r="IA194" s="909">
        <v>0</v>
      </c>
      <c r="IB194" s="909">
        <v>0</v>
      </c>
      <c r="IC194" s="909">
        <v>0</v>
      </c>
      <c r="ID194" s="910">
        <v>29915.900220221782</v>
      </c>
      <c r="IE194" s="909">
        <v>0</v>
      </c>
      <c r="IF194" s="909">
        <v>0</v>
      </c>
      <c r="IG194" s="909">
        <v>0</v>
      </c>
      <c r="IH194" s="910">
        <v>39867.607712940851</v>
      </c>
      <c r="II194" s="871">
        <v>4000</v>
      </c>
      <c r="IJ194" s="911">
        <v>157.4985116999683</v>
      </c>
      <c r="IK194" s="908">
        <v>2.5434000000000001</v>
      </c>
      <c r="IL194" s="902">
        <v>33.099175186065452</v>
      </c>
      <c r="IM194" s="902">
        <v>0</v>
      </c>
      <c r="IN194" s="902">
        <v>0</v>
      </c>
      <c r="IO194" s="902">
        <v>10.599087089552761</v>
      </c>
      <c r="IP194" s="902">
        <v>1.6347889288218087</v>
      </c>
      <c r="IQ194" s="902">
        <v>3600</v>
      </c>
      <c r="IR194" s="909" t="s">
        <v>1063</v>
      </c>
      <c r="IS194" s="909">
        <v>3</v>
      </c>
      <c r="IT194" s="909">
        <v>0</v>
      </c>
      <c r="IU194" s="909">
        <v>0</v>
      </c>
      <c r="IV194" s="909">
        <v>0</v>
      </c>
      <c r="IW194" s="910">
        <v>29915.900220221782</v>
      </c>
      <c r="IX194" s="909">
        <v>0</v>
      </c>
      <c r="IY194" s="909">
        <v>0</v>
      </c>
      <c r="IZ194" s="909">
        <v>0</v>
      </c>
      <c r="JA194" s="910">
        <v>39867.607712940851</v>
      </c>
      <c r="JB194" s="871">
        <v>4000</v>
      </c>
      <c r="JC194" s="911">
        <v>157.4985116999683</v>
      </c>
      <c r="JD194" s="908">
        <v>2.5434000000000001</v>
      </c>
      <c r="JE194" s="902">
        <v>33.099175186065452</v>
      </c>
      <c r="JF194" s="902">
        <v>0</v>
      </c>
      <c r="JG194" s="902">
        <v>0</v>
      </c>
      <c r="JH194" s="902">
        <v>10.599087089552761</v>
      </c>
      <c r="JI194" s="902">
        <v>1.6347889288218087</v>
      </c>
      <c r="JJ194" s="902">
        <v>3600</v>
      </c>
      <c r="JK194" s="909" t="s">
        <v>1064</v>
      </c>
      <c r="JL194" s="909">
        <v>3</v>
      </c>
      <c r="JM194" s="909">
        <v>0</v>
      </c>
      <c r="JN194" s="909">
        <v>0</v>
      </c>
      <c r="JO194" s="909">
        <v>0</v>
      </c>
      <c r="JP194" s="910">
        <v>40768.499951067708</v>
      </c>
      <c r="JQ194" s="909">
        <v>0</v>
      </c>
      <c r="JR194" s="909">
        <v>0</v>
      </c>
      <c r="JS194" s="909">
        <v>0</v>
      </c>
      <c r="JT194" s="910">
        <v>54330.391234409777</v>
      </c>
      <c r="JU194" s="871">
        <v>4000</v>
      </c>
      <c r="JV194" s="911">
        <v>157.4985116999683</v>
      </c>
      <c r="JW194" s="908">
        <v>2.5434000000000001</v>
      </c>
      <c r="JX194" s="902">
        <v>33.099175186065452</v>
      </c>
      <c r="JY194" s="902">
        <v>0</v>
      </c>
      <c r="JZ194" s="902">
        <v>0</v>
      </c>
      <c r="KA194" s="902">
        <v>10.599087089552761</v>
      </c>
      <c r="KB194" s="902">
        <v>1.6347889288218087</v>
      </c>
      <c r="KC194" s="902">
        <v>3600</v>
      </c>
      <c r="KD194" s="909" t="s">
        <v>1064</v>
      </c>
      <c r="KE194" s="909">
        <v>3</v>
      </c>
      <c r="KF194" s="909">
        <v>0</v>
      </c>
      <c r="KG194" s="909">
        <v>0</v>
      </c>
      <c r="KH194" s="909">
        <v>0</v>
      </c>
      <c r="KI194" s="910">
        <v>40768.499951067708</v>
      </c>
      <c r="KJ194" s="909">
        <v>0</v>
      </c>
      <c r="KK194" s="909">
        <v>0</v>
      </c>
      <c r="KL194" s="909">
        <v>0</v>
      </c>
      <c r="KM194" s="910">
        <v>54330.391234409777</v>
      </c>
      <c r="KN194" s="871">
        <v>4000</v>
      </c>
      <c r="KO194" s="912">
        <v>157.4985116999683</v>
      </c>
    </row>
    <row r="195" spans="1:301" ht="15" customHeight="1">
      <c r="A195" s="924" t="s">
        <v>1711</v>
      </c>
      <c r="B195" s="888" t="s">
        <v>1073</v>
      </c>
      <c r="C195" s="888">
        <v>190</v>
      </c>
      <c r="D195" s="888">
        <v>752</v>
      </c>
      <c r="E195" s="888">
        <v>160</v>
      </c>
      <c r="F195" s="888">
        <v>190</v>
      </c>
      <c r="G195" s="888">
        <v>49</v>
      </c>
      <c r="H195" s="888">
        <v>35</v>
      </c>
      <c r="I195" s="888">
        <v>35</v>
      </c>
      <c r="J195" s="888">
        <v>46.87</v>
      </c>
      <c r="K195" s="888">
        <v>74.2</v>
      </c>
      <c r="L195" s="888">
        <v>16</v>
      </c>
      <c r="M195" s="888">
        <v>270</v>
      </c>
      <c r="N195" s="888">
        <v>2</v>
      </c>
      <c r="O195" s="884">
        <v>6.6574218771716938</v>
      </c>
      <c r="P195" s="888">
        <v>2</v>
      </c>
      <c r="Q195" s="884">
        <v>4.1171733728056008</v>
      </c>
      <c r="R195" s="888">
        <v>13.000000000000002</v>
      </c>
      <c r="S195" s="888">
        <v>481.25796207911094</v>
      </c>
      <c r="T195" s="906">
        <v>18.563452272292174</v>
      </c>
      <c r="U195" s="906">
        <v>72.188694311866641</v>
      </c>
      <c r="V195" s="906">
        <v>47.5</v>
      </c>
      <c r="W195" s="1141">
        <v>1.1445974778468611</v>
      </c>
      <c r="X195" s="902">
        <v>0</v>
      </c>
      <c r="Y195" s="902">
        <v>0</v>
      </c>
      <c r="Z195" s="902">
        <v>0</v>
      </c>
      <c r="AA195" s="902">
        <v>0</v>
      </c>
      <c r="AB195" s="970">
        <v>1.653687496663079</v>
      </c>
      <c r="AC195" s="1045">
        <v>4000</v>
      </c>
      <c r="AD195" s="890">
        <v>1.9708671881941997</v>
      </c>
      <c r="AE195" s="890">
        <v>1.0675024042734673</v>
      </c>
      <c r="AF195" s="890">
        <v>-7.5277937741461853E-2</v>
      </c>
      <c r="AG195" s="890">
        <v>0.74813155565777678</v>
      </c>
      <c r="AH195" s="888"/>
      <c r="AI195" s="907">
        <v>2.0222774645783468</v>
      </c>
      <c r="AJ195" s="908">
        <v>3.5607600000000006</v>
      </c>
      <c r="AK195" s="902">
        <v>34.04340500011633</v>
      </c>
      <c r="AL195" s="902">
        <v>0</v>
      </c>
      <c r="AM195" s="902">
        <v>0</v>
      </c>
      <c r="AN195" s="902">
        <v>13.138723019658245</v>
      </c>
      <c r="AO195" s="902">
        <v>1.7073395404574239</v>
      </c>
      <c r="AP195" s="1222">
        <v>3600</v>
      </c>
      <c r="AQ195" s="909" t="s">
        <v>1062</v>
      </c>
      <c r="AR195" s="909">
        <v>3</v>
      </c>
      <c r="AS195" s="909">
        <v>0</v>
      </c>
      <c r="AT195" s="909">
        <v>0</v>
      </c>
      <c r="AU195" s="909">
        <v>0</v>
      </c>
      <c r="AV195" s="910">
        <v>19787.660925647117</v>
      </c>
      <c r="AW195" s="909">
        <v>0</v>
      </c>
      <c r="AX195" s="909">
        <v>0</v>
      </c>
      <c r="AY195" s="909">
        <v>0</v>
      </c>
      <c r="AZ195" s="910">
        <v>21375.347227020742</v>
      </c>
      <c r="BA195" s="871">
        <v>4000</v>
      </c>
      <c r="BB195" s="911">
        <v>157.4985116999683</v>
      </c>
      <c r="BC195" s="908">
        <v>3.5607600000000006</v>
      </c>
      <c r="BD195" s="902">
        <v>34.04340500011633</v>
      </c>
      <c r="BE195" s="902">
        <v>0</v>
      </c>
      <c r="BF195" s="902">
        <v>0</v>
      </c>
      <c r="BG195" s="902">
        <v>13.138723019658245</v>
      </c>
      <c r="BH195" s="902">
        <v>1.7073395404574239</v>
      </c>
      <c r="BI195" s="902">
        <v>3600</v>
      </c>
      <c r="BJ195" s="909" t="s">
        <v>1062</v>
      </c>
      <c r="BK195" s="909">
        <v>3</v>
      </c>
      <c r="BL195" s="909">
        <v>0</v>
      </c>
      <c r="BM195" s="909">
        <v>0</v>
      </c>
      <c r="BN195" s="909">
        <v>0</v>
      </c>
      <c r="BO195" s="910">
        <v>19787.660925647117</v>
      </c>
      <c r="BP195" s="909">
        <v>0</v>
      </c>
      <c r="BQ195" s="909">
        <v>0</v>
      </c>
      <c r="BR195" s="909">
        <v>0</v>
      </c>
      <c r="BS195" s="910">
        <v>21375.347227020742</v>
      </c>
      <c r="BT195" s="871">
        <v>4000</v>
      </c>
      <c r="BU195" s="911">
        <v>157.4985116999683</v>
      </c>
      <c r="BV195" s="908">
        <v>3.5607600000000006</v>
      </c>
      <c r="BW195" s="902">
        <v>34.04340500011633</v>
      </c>
      <c r="BX195" s="902">
        <v>0</v>
      </c>
      <c r="BY195" s="902">
        <v>0</v>
      </c>
      <c r="BZ195" s="902">
        <v>13.138723019658245</v>
      </c>
      <c r="CA195" s="902">
        <v>1.7073395404574239</v>
      </c>
      <c r="CB195" s="902">
        <v>3600</v>
      </c>
      <c r="CC195" s="909" t="s">
        <v>2874</v>
      </c>
      <c r="CD195" s="909">
        <v>3</v>
      </c>
      <c r="CE195" s="909">
        <v>0</v>
      </c>
      <c r="CF195" s="909">
        <v>0</v>
      </c>
      <c r="CG195" s="909">
        <v>0</v>
      </c>
      <c r="CH195" s="910">
        <v>19387.868988417642</v>
      </c>
      <c r="CI195" s="909">
        <v>0</v>
      </c>
      <c r="CJ195" s="909">
        <v>0</v>
      </c>
      <c r="CK195" s="909">
        <v>0</v>
      </c>
      <c r="CL195" s="910">
        <v>20943.477512406465</v>
      </c>
      <c r="CM195" s="871">
        <v>4000</v>
      </c>
      <c r="CN195" s="911">
        <v>157.4985116999683</v>
      </c>
      <c r="CO195" s="908">
        <v>3.5607600000000006</v>
      </c>
      <c r="CP195" s="902">
        <v>34.04340500011633</v>
      </c>
      <c r="CQ195" s="902">
        <v>0</v>
      </c>
      <c r="CR195" s="902">
        <v>0</v>
      </c>
      <c r="CS195" s="902">
        <v>13.138723019658245</v>
      </c>
      <c r="CT195" s="902">
        <v>1.7073395404574239</v>
      </c>
      <c r="CU195" s="902">
        <v>3600</v>
      </c>
      <c r="CV195" s="909" t="s">
        <v>2874</v>
      </c>
      <c r="CW195" s="909">
        <v>3</v>
      </c>
      <c r="CX195" s="909">
        <v>0</v>
      </c>
      <c r="CY195" s="909">
        <v>0</v>
      </c>
      <c r="CZ195" s="909">
        <v>0</v>
      </c>
      <c r="DA195" s="910">
        <v>19387.868988417642</v>
      </c>
      <c r="DB195" s="909">
        <v>0</v>
      </c>
      <c r="DC195" s="909">
        <v>0</v>
      </c>
      <c r="DD195" s="909">
        <v>0</v>
      </c>
      <c r="DE195" s="910">
        <v>20943.477512406465</v>
      </c>
      <c r="DF195" s="871">
        <v>4000</v>
      </c>
      <c r="DG195" s="911">
        <v>157.4985116999683</v>
      </c>
      <c r="DH195" s="908">
        <v>3.5607600000000006</v>
      </c>
      <c r="DI195" s="902">
        <v>34.04340500011633</v>
      </c>
      <c r="DJ195" s="902">
        <v>0</v>
      </c>
      <c r="DK195" s="902">
        <v>0</v>
      </c>
      <c r="DL195" s="902">
        <v>13.138723019658245</v>
      </c>
      <c r="DM195" s="902">
        <v>1.7073395404574239</v>
      </c>
      <c r="DN195" s="902">
        <v>3600</v>
      </c>
      <c r="DO195" s="909" t="s">
        <v>2876</v>
      </c>
      <c r="DP195" s="909">
        <v>3</v>
      </c>
      <c r="DQ195" s="909">
        <v>0</v>
      </c>
      <c r="DR195" s="909">
        <v>0</v>
      </c>
      <c r="DS195" s="909">
        <v>0</v>
      </c>
      <c r="DT195" s="910">
        <v>21494.901706960431</v>
      </c>
      <c r="DU195" s="909">
        <v>0</v>
      </c>
      <c r="DV195" s="909">
        <v>0</v>
      </c>
      <c r="DW195" s="909">
        <v>0</v>
      </c>
      <c r="DX195" s="910">
        <v>23219.570485031156</v>
      </c>
      <c r="DY195" s="871">
        <v>4000</v>
      </c>
      <c r="DZ195" s="911">
        <v>157.4985116999683</v>
      </c>
      <c r="EA195" s="908">
        <v>3.5607600000000006</v>
      </c>
      <c r="EB195" s="902">
        <v>34.04340500011633</v>
      </c>
      <c r="EC195" s="902">
        <v>0</v>
      </c>
      <c r="ED195" s="902">
        <v>0</v>
      </c>
      <c r="EE195" s="902">
        <v>13.138723019658245</v>
      </c>
      <c r="EF195" s="902">
        <v>1.7073395404574239</v>
      </c>
      <c r="EG195" s="902">
        <v>3600</v>
      </c>
      <c r="EH195" s="909" t="s">
        <v>2876</v>
      </c>
      <c r="EI195" s="909">
        <v>3</v>
      </c>
      <c r="EJ195" s="909">
        <v>0</v>
      </c>
      <c r="EK195" s="909">
        <v>0</v>
      </c>
      <c r="EL195" s="909">
        <v>0</v>
      </c>
      <c r="EM195" s="910">
        <v>21494.901706960431</v>
      </c>
      <c r="EN195" s="909">
        <v>0</v>
      </c>
      <c r="EO195" s="909">
        <v>0</v>
      </c>
      <c r="EP195" s="909">
        <v>0</v>
      </c>
      <c r="EQ195" s="910">
        <v>23219.570485031156</v>
      </c>
      <c r="ER195" s="871">
        <v>4000</v>
      </c>
      <c r="ES195" s="911">
        <v>157.4985116999683</v>
      </c>
      <c r="ET195" s="908">
        <v>3.5607600000000006</v>
      </c>
      <c r="EU195" s="902">
        <v>34.04340500011633</v>
      </c>
      <c r="EV195" s="902">
        <v>0</v>
      </c>
      <c r="EW195" s="902">
        <v>0</v>
      </c>
      <c r="EX195" s="902">
        <v>13.138723019658245</v>
      </c>
      <c r="EY195" s="902">
        <v>1.7073395404574239</v>
      </c>
      <c r="EZ195" s="902">
        <v>3600</v>
      </c>
      <c r="FA195" s="909" t="s">
        <v>3889</v>
      </c>
      <c r="FB195" s="909">
        <v>3</v>
      </c>
      <c r="FC195" s="909">
        <v>0</v>
      </c>
      <c r="FD195" s="909">
        <v>0</v>
      </c>
      <c r="FE195" s="909">
        <v>0</v>
      </c>
      <c r="FF195" s="910">
        <v>22561.404707617305</v>
      </c>
      <c r="FG195" s="909">
        <v>0</v>
      </c>
      <c r="FH195" s="909">
        <v>0</v>
      </c>
      <c r="FI195" s="909">
        <v>0</v>
      </c>
      <c r="FJ195" s="910">
        <v>24371.645611210057</v>
      </c>
      <c r="FK195" s="871">
        <v>4000</v>
      </c>
      <c r="FL195" s="911">
        <v>157.4985116999683</v>
      </c>
      <c r="FM195" s="908">
        <v>3.5607600000000006</v>
      </c>
      <c r="FN195" s="902">
        <v>34.04340500011633</v>
      </c>
      <c r="FO195" s="902">
        <v>0</v>
      </c>
      <c r="FP195" s="902">
        <v>0</v>
      </c>
      <c r="FQ195" s="902">
        <v>13.138723019658245</v>
      </c>
      <c r="FR195" s="902">
        <v>1.7073395404574239</v>
      </c>
      <c r="FS195" s="902">
        <v>3600</v>
      </c>
      <c r="FT195" s="909" t="s">
        <v>3889</v>
      </c>
      <c r="FU195" s="909">
        <v>3</v>
      </c>
      <c r="FV195" s="909">
        <v>0</v>
      </c>
      <c r="FW195" s="909">
        <v>0</v>
      </c>
      <c r="FX195" s="909">
        <v>0</v>
      </c>
      <c r="FY195" s="910">
        <v>22561.404707617305</v>
      </c>
      <c r="FZ195" s="909">
        <v>0</v>
      </c>
      <c r="GA195" s="909">
        <v>0</v>
      </c>
      <c r="GB195" s="909">
        <v>0</v>
      </c>
      <c r="GC195" s="910">
        <v>24371.645611210057</v>
      </c>
      <c r="GD195" s="871">
        <v>4000</v>
      </c>
      <c r="GE195" s="911">
        <v>157.4985116999683</v>
      </c>
      <c r="GF195" s="908">
        <v>3.5607600000000006</v>
      </c>
      <c r="GG195" s="902">
        <v>34.04340500011633</v>
      </c>
      <c r="GH195" s="902">
        <v>0</v>
      </c>
      <c r="GI195" s="902">
        <v>0</v>
      </c>
      <c r="GJ195" s="902">
        <v>13.138723019658245</v>
      </c>
      <c r="GK195" s="902">
        <v>1.7073395404574239</v>
      </c>
      <c r="GL195" s="902">
        <v>3600</v>
      </c>
      <c r="GM195" s="909" t="s">
        <v>2877</v>
      </c>
      <c r="GN195" s="909">
        <v>3</v>
      </c>
      <c r="GO195" s="909">
        <v>0</v>
      </c>
      <c r="GP195" s="909">
        <v>0</v>
      </c>
      <c r="GQ195" s="909">
        <v>0</v>
      </c>
      <c r="GR195" s="910">
        <v>26547.932967278022</v>
      </c>
      <c r="GS195" s="909">
        <v>0</v>
      </c>
      <c r="GT195" s="909">
        <v>0</v>
      </c>
      <c r="GU195" s="909">
        <v>0</v>
      </c>
      <c r="GV195" s="910">
        <v>28678.037665368014</v>
      </c>
      <c r="GW195" s="871">
        <v>4000</v>
      </c>
      <c r="GX195" s="911">
        <v>157.4985116999683</v>
      </c>
      <c r="GY195" s="908">
        <v>3.5607600000000006</v>
      </c>
      <c r="GZ195" s="902">
        <v>34.04340500011633</v>
      </c>
      <c r="HA195" s="902">
        <v>0</v>
      </c>
      <c r="HB195" s="902">
        <v>0</v>
      </c>
      <c r="HC195" s="902">
        <v>13.138723019658245</v>
      </c>
      <c r="HD195" s="902">
        <v>1.7073395404574239</v>
      </c>
      <c r="HE195" s="902">
        <v>3600</v>
      </c>
      <c r="HF195" s="909" t="s">
        <v>2877</v>
      </c>
      <c r="HG195" s="909">
        <v>3</v>
      </c>
      <c r="HH195" s="909">
        <v>0</v>
      </c>
      <c r="HI195" s="909">
        <v>0</v>
      </c>
      <c r="HJ195" s="909">
        <v>0</v>
      </c>
      <c r="HK195" s="910">
        <v>26547.932967278022</v>
      </c>
      <c r="HL195" s="909">
        <v>0</v>
      </c>
      <c r="HM195" s="909">
        <v>0</v>
      </c>
      <c r="HN195" s="909">
        <v>0</v>
      </c>
      <c r="HO195" s="910">
        <v>28678.037665368014</v>
      </c>
      <c r="HP195" s="871">
        <v>4000</v>
      </c>
      <c r="HQ195" s="911">
        <v>157.4985116999683</v>
      </c>
      <c r="HR195" s="908">
        <v>3.5607600000000006</v>
      </c>
      <c r="HS195" s="902">
        <v>34.04340500011633</v>
      </c>
      <c r="HT195" s="902">
        <v>0</v>
      </c>
      <c r="HU195" s="902">
        <v>0</v>
      </c>
      <c r="HV195" s="902">
        <v>13.138723019658245</v>
      </c>
      <c r="HW195" s="902">
        <v>1.7073395404574239</v>
      </c>
      <c r="HX195" s="902">
        <v>3600</v>
      </c>
      <c r="HY195" s="909" t="s">
        <v>1063</v>
      </c>
      <c r="HZ195" s="909">
        <v>3</v>
      </c>
      <c r="IA195" s="909">
        <v>0</v>
      </c>
      <c r="IB195" s="909">
        <v>0</v>
      </c>
      <c r="IC195" s="909">
        <v>0</v>
      </c>
      <c r="ID195" s="910">
        <v>23413.076151410231</v>
      </c>
      <c r="IE195" s="909">
        <v>0</v>
      </c>
      <c r="IF195" s="909">
        <v>0</v>
      </c>
      <c r="IG195" s="909">
        <v>0</v>
      </c>
      <c r="IH195" s="910">
        <v>25291.65191730237</v>
      </c>
      <c r="II195" s="871">
        <v>4000</v>
      </c>
      <c r="IJ195" s="911">
        <v>157.4985116999683</v>
      </c>
      <c r="IK195" s="908">
        <v>3.5607600000000006</v>
      </c>
      <c r="IL195" s="902">
        <v>34.04340500011633</v>
      </c>
      <c r="IM195" s="902">
        <v>0</v>
      </c>
      <c r="IN195" s="902">
        <v>0</v>
      </c>
      <c r="IO195" s="902">
        <v>13.138723019658245</v>
      </c>
      <c r="IP195" s="902">
        <v>1.7073395404574239</v>
      </c>
      <c r="IQ195" s="902">
        <v>3600</v>
      </c>
      <c r="IR195" s="909" t="s">
        <v>1063</v>
      </c>
      <c r="IS195" s="909">
        <v>3</v>
      </c>
      <c r="IT195" s="909">
        <v>0</v>
      </c>
      <c r="IU195" s="909">
        <v>0</v>
      </c>
      <c r="IV195" s="909">
        <v>0</v>
      </c>
      <c r="IW195" s="910">
        <v>23413.076151410231</v>
      </c>
      <c r="IX195" s="909">
        <v>0</v>
      </c>
      <c r="IY195" s="909">
        <v>0</v>
      </c>
      <c r="IZ195" s="909">
        <v>0</v>
      </c>
      <c r="JA195" s="910">
        <v>25291.65191730237</v>
      </c>
      <c r="JB195" s="871">
        <v>4000</v>
      </c>
      <c r="JC195" s="911">
        <v>157.4985116999683</v>
      </c>
      <c r="JD195" s="908">
        <v>3.5607600000000006</v>
      </c>
      <c r="JE195" s="902">
        <v>34.04340500011633</v>
      </c>
      <c r="JF195" s="902">
        <v>0</v>
      </c>
      <c r="JG195" s="902">
        <v>0</v>
      </c>
      <c r="JH195" s="902">
        <v>13.138723019658245</v>
      </c>
      <c r="JI195" s="902">
        <v>1.7073395404574239</v>
      </c>
      <c r="JJ195" s="902">
        <v>3600</v>
      </c>
      <c r="JK195" s="909" t="s">
        <v>1064</v>
      </c>
      <c r="JL195" s="909">
        <v>3</v>
      </c>
      <c r="JM195" s="909">
        <v>0</v>
      </c>
      <c r="JN195" s="909">
        <v>0</v>
      </c>
      <c r="JO195" s="909">
        <v>0</v>
      </c>
      <c r="JP195" s="910">
        <v>31906.64452370059</v>
      </c>
      <c r="JQ195" s="909">
        <v>0</v>
      </c>
      <c r="JR195" s="909">
        <v>0</v>
      </c>
      <c r="JS195" s="909">
        <v>0</v>
      </c>
      <c r="JT195" s="910">
        <v>34466.711760723978</v>
      </c>
      <c r="JU195" s="871">
        <v>4000</v>
      </c>
      <c r="JV195" s="911">
        <v>157.4985116999683</v>
      </c>
      <c r="JW195" s="908">
        <v>3.5607600000000006</v>
      </c>
      <c r="JX195" s="902">
        <v>34.04340500011633</v>
      </c>
      <c r="JY195" s="902">
        <v>0</v>
      </c>
      <c r="JZ195" s="902">
        <v>0</v>
      </c>
      <c r="KA195" s="902">
        <v>13.138723019658245</v>
      </c>
      <c r="KB195" s="902">
        <v>1.7073395404574239</v>
      </c>
      <c r="KC195" s="902">
        <v>3600</v>
      </c>
      <c r="KD195" s="909" t="s">
        <v>1064</v>
      </c>
      <c r="KE195" s="909">
        <v>3</v>
      </c>
      <c r="KF195" s="909">
        <v>0</v>
      </c>
      <c r="KG195" s="909">
        <v>0</v>
      </c>
      <c r="KH195" s="909">
        <v>0</v>
      </c>
      <c r="KI195" s="910">
        <v>31906.64452370059</v>
      </c>
      <c r="KJ195" s="909">
        <v>0</v>
      </c>
      <c r="KK195" s="909">
        <v>0</v>
      </c>
      <c r="KL195" s="909">
        <v>0</v>
      </c>
      <c r="KM195" s="910">
        <v>34466.711760723978</v>
      </c>
      <c r="KN195" s="871">
        <v>4000</v>
      </c>
      <c r="KO195" s="912">
        <v>157.4985116999683</v>
      </c>
    </row>
    <row r="196" spans="1:301" ht="15" customHeight="1">
      <c r="A196" s="924" t="s">
        <v>1636</v>
      </c>
      <c r="B196" s="888" t="s">
        <v>1073</v>
      </c>
      <c r="C196" s="888">
        <v>190</v>
      </c>
      <c r="D196" s="888">
        <v>752</v>
      </c>
      <c r="E196" s="888">
        <v>160</v>
      </c>
      <c r="F196" s="888">
        <v>190</v>
      </c>
      <c r="G196" s="888">
        <v>49</v>
      </c>
      <c r="H196" s="888">
        <v>35</v>
      </c>
      <c r="I196" s="888">
        <v>35</v>
      </c>
      <c r="J196" s="888">
        <v>48.9</v>
      </c>
      <c r="K196" s="888">
        <v>77.900000000000006</v>
      </c>
      <c r="L196" s="888">
        <v>16</v>
      </c>
      <c r="M196" s="888">
        <v>270</v>
      </c>
      <c r="N196" s="888">
        <v>2</v>
      </c>
      <c r="O196" s="884">
        <v>6.6574218771716938</v>
      </c>
      <c r="P196" s="888">
        <v>2</v>
      </c>
      <c r="Q196" s="884">
        <v>3.7508848683241314</v>
      </c>
      <c r="R196" s="888">
        <v>13.000000000000002</v>
      </c>
      <c r="S196" s="888">
        <v>511.1893125272673</v>
      </c>
      <c r="T196" s="906">
        <v>20.944327551421729</v>
      </c>
      <c r="U196" s="906">
        <v>76.678396879090087</v>
      </c>
      <c r="V196" s="906">
        <v>47.5</v>
      </c>
      <c r="W196" s="1141">
        <v>1.2913990425335748</v>
      </c>
      <c r="X196" s="902">
        <v>0</v>
      </c>
      <c r="Y196" s="902">
        <v>0</v>
      </c>
      <c r="Z196" s="902">
        <v>0</v>
      </c>
      <c r="AA196" s="902">
        <v>0</v>
      </c>
      <c r="AB196" s="970">
        <v>1.7224395040366602</v>
      </c>
      <c r="AC196" s="1045">
        <v>4000</v>
      </c>
      <c r="AD196" s="890">
        <v>3.1438137303125635</v>
      </c>
      <c r="AE196" s="890">
        <v>1.1463215220271168</v>
      </c>
      <c r="AF196" s="890">
        <v>-5.6040199882320466E-2</v>
      </c>
      <c r="AG196" s="890">
        <v>0.50828766154384009</v>
      </c>
      <c r="AH196" s="888"/>
      <c r="AI196" s="907">
        <v>2.0222774645783468</v>
      </c>
      <c r="AJ196" s="908">
        <v>3.5607600000000006</v>
      </c>
      <c r="AK196" s="902">
        <v>36.204793339451129</v>
      </c>
      <c r="AL196" s="902">
        <v>0</v>
      </c>
      <c r="AM196" s="902">
        <v>0</v>
      </c>
      <c r="AN196" s="902">
        <v>12.867986913934143</v>
      </c>
      <c r="AO196" s="902">
        <v>1.8314692462220781</v>
      </c>
      <c r="AP196" s="1222">
        <v>3600</v>
      </c>
      <c r="AQ196" s="909" t="s">
        <v>1062</v>
      </c>
      <c r="AR196" s="909">
        <v>3</v>
      </c>
      <c r="AS196" s="909">
        <v>0</v>
      </c>
      <c r="AT196" s="909">
        <v>0</v>
      </c>
      <c r="AU196" s="909">
        <v>0</v>
      </c>
      <c r="AV196" s="910">
        <v>17141.358870191434</v>
      </c>
      <c r="AW196" s="909">
        <v>0</v>
      </c>
      <c r="AX196" s="909">
        <v>0</v>
      </c>
      <c r="AY196" s="909">
        <v>0</v>
      </c>
      <c r="AZ196" s="910">
        <v>24361.631890392666</v>
      </c>
      <c r="BA196" s="871">
        <v>4000</v>
      </c>
      <c r="BB196" s="911">
        <v>157.4985116999683</v>
      </c>
      <c r="BC196" s="908">
        <v>3.5607600000000006</v>
      </c>
      <c r="BD196" s="902">
        <v>36.204793339451129</v>
      </c>
      <c r="BE196" s="902">
        <v>0</v>
      </c>
      <c r="BF196" s="902">
        <v>0</v>
      </c>
      <c r="BG196" s="902">
        <v>12.867986913934143</v>
      </c>
      <c r="BH196" s="902">
        <v>1.8314692462220781</v>
      </c>
      <c r="BI196" s="902">
        <v>3600</v>
      </c>
      <c r="BJ196" s="909" t="s">
        <v>1062</v>
      </c>
      <c r="BK196" s="909">
        <v>3</v>
      </c>
      <c r="BL196" s="909">
        <v>0</v>
      </c>
      <c r="BM196" s="909">
        <v>0</v>
      </c>
      <c r="BN196" s="909">
        <v>0</v>
      </c>
      <c r="BO196" s="910">
        <v>17141.358870191434</v>
      </c>
      <c r="BP196" s="909">
        <v>0</v>
      </c>
      <c r="BQ196" s="909">
        <v>0</v>
      </c>
      <c r="BR196" s="909">
        <v>0</v>
      </c>
      <c r="BS196" s="910">
        <v>24361.631890392666</v>
      </c>
      <c r="BT196" s="871">
        <v>4000</v>
      </c>
      <c r="BU196" s="911">
        <v>157.4985116999683</v>
      </c>
      <c r="BV196" s="908">
        <v>3.5607600000000006</v>
      </c>
      <c r="BW196" s="902">
        <v>36.204793339451129</v>
      </c>
      <c r="BX196" s="902">
        <v>0</v>
      </c>
      <c r="BY196" s="902">
        <v>0</v>
      </c>
      <c r="BZ196" s="902">
        <v>12.867986913934143</v>
      </c>
      <c r="CA196" s="902">
        <v>1.8314692462220781</v>
      </c>
      <c r="CB196" s="902">
        <v>3600</v>
      </c>
      <c r="CC196" s="909" t="s">
        <v>2874</v>
      </c>
      <c r="CD196" s="909">
        <v>3</v>
      </c>
      <c r="CE196" s="909">
        <v>0</v>
      </c>
      <c r="CF196" s="909">
        <v>0</v>
      </c>
      <c r="CG196" s="909">
        <v>0</v>
      </c>
      <c r="CH196" s="910">
        <v>16795.033091959747</v>
      </c>
      <c r="CI196" s="909">
        <v>0</v>
      </c>
      <c r="CJ196" s="909">
        <v>0</v>
      </c>
      <c r="CK196" s="909">
        <v>0</v>
      </c>
      <c r="CL196" s="910">
        <v>23869.426973190562</v>
      </c>
      <c r="CM196" s="871">
        <v>4000</v>
      </c>
      <c r="CN196" s="911">
        <v>157.4985116999683</v>
      </c>
      <c r="CO196" s="908">
        <v>3.5607600000000006</v>
      </c>
      <c r="CP196" s="902">
        <v>36.204793339451129</v>
      </c>
      <c r="CQ196" s="902">
        <v>0</v>
      </c>
      <c r="CR196" s="902">
        <v>0</v>
      </c>
      <c r="CS196" s="902">
        <v>12.867986913934143</v>
      </c>
      <c r="CT196" s="902">
        <v>1.8314692462220781</v>
      </c>
      <c r="CU196" s="902">
        <v>3600</v>
      </c>
      <c r="CV196" s="909" t="s">
        <v>2874</v>
      </c>
      <c r="CW196" s="909">
        <v>3</v>
      </c>
      <c r="CX196" s="909">
        <v>0</v>
      </c>
      <c r="CY196" s="909">
        <v>0</v>
      </c>
      <c r="CZ196" s="909">
        <v>0</v>
      </c>
      <c r="DA196" s="910">
        <v>16795.033091959747</v>
      </c>
      <c r="DB196" s="909">
        <v>0</v>
      </c>
      <c r="DC196" s="909">
        <v>0</v>
      </c>
      <c r="DD196" s="909">
        <v>0</v>
      </c>
      <c r="DE196" s="910">
        <v>23869.426973190562</v>
      </c>
      <c r="DF196" s="871">
        <v>4000</v>
      </c>
      <c r="DG196" s="911">
        <v>157.4985116999683</v>
      </c>
      <c r="DH196" s="908">
        <v>3.5607600000000006</v>
      </c>
      <c r="DI196" s="902">
        <v>36.204793339451129</v>
      </c>
      <c r="DJ196" s="902">
        <v>0</v>
      </c>
      <c r="DK196" s="902">
        <v>0</v>
      </c>
      <c r="DL196" s="902">
        <v>12.867986913934143</v>
      </c>
      <c r="DM196" s="902">
        <v>1.8314692462220781</v>
      </c>
      <c r="DN196" s="902">
        <v>3600</v>
      </c>
      <c r="DO196" s="909" t="s">
        <v>2876</v>
      </c>
      <c r="DP196" s="909">
        <v>3</v>
      </c>
      <c r="DQ196" s="909">
        <v>0</v>
      </c>
      <c r="DR196" s="909">
        <v>0</v>
      </c>
      <c r="DS196" s="909">
        <v>0</v>
      </c>
      <c r="DT196" s="910">
        <v>18620.28187277773</v>
      </c>
      <c r="DU196" s="909">
        <v>0</v>
      </c>
      <c r="DV196" s="909">
        <v>0</v>
      </c>
      <c r="DW196" s="909">
        <v>0</v>
      </c>
      <c r="DX196" s="910">
        <v>26463.505963275857</v>
      </c>
      <c r="DY196" s="871">
        <v>4000</v>
      </c>
      <c r="DZ196" s="911">
        <v>157.4985116999683</v>
      </c>
      <c r="EA196" s="908">
        <v>3.5607600000000006</v>
      </c>
      <c r="EB196" s="902">
        <v>36.204793339451129</v>
      </c>
      <c r="EC196" s="902">
        <v>0</v>
      </c>
      <c r="ED196" s="902">
        <v>0</v>
      </c>
      <c r="EE196" s="902">
        <v>12.867986913934143</v>
      </c>
      <c r="EF196" s="902">
        <v>1.8314692462220781</v>
      </c>
      <c r="EG196" s="902">
        <v>3600</v>
      </c>
      <c r="EH196" s="909" t="s">
        <v>2876</v>
      </c>
      <c r="EI196" s="909">
        <v>3</v>
      </c>
      <c r="EJ196" s="909">
        <v>0</v>
      </c>
      <c r="EK196" s="909">
        <v>0</v>
      </c>
      <c r="EL196" s="909">
        <v>0</v>
      </c>
      <c r="EM196" s="910">
        <v>18620.28187277773</v>
      </c>
      <c r="EN196" s="909">
        <v>0</v>
      </c>
      <c r="EO196" s="909">
        <v>0</v>
      </c>
      <c r="EP196" s="909">
        <v>0</v>
      </c>
      <c r="EQ196" s="910">
        <v>26463.505963275857</v>
      </c>
      <c r="ER196" s="871">
        <v>4000</v>
      </c>
      <c r="ES196" s="911">
        <v>157.4985116999683</v>
      </c>
      <c r="ET196" s="908">
        <v>3.5607600000000006</v>
      </c>
      <c r="EU196" s="902">
        <v>36.204793339451129</v>
      </c>
      <c r="EV196" s="902">
        <v>0</v>
      </c>
      <c r="EW196" s="902">
        <v>0</v>
      </c>
      <c r="EX196" s="902">
        <v>12.867986913934143</v>
      </c>
      <c r="EY196" s="902">
        <v>1.8314692462220781</v>
      </c>
      <c r="EZ196" s="902">
        <v>3600</v>
      </c>
      <c r="FA196" s="909" t="s">
        <v>3889</v>
      </c>
      <c r="FB196" s="909">
        <v>3</v>
      </c>
      <c r="FC196" s="909">
        <v>0</v>
      </c>
      <c r="FD196" s="909">
        <v>0</v>
      </c>
      <c r="FE196" s="909">
        <v>0</v>
      </c>
      <c r="FF196" s="910">
        <v>19544.156136597394</v>
      </c>
      <c r="FG196" s="909">
        <v>0</v>
      </c>
      <c r="FH196" s="909">
        <v>0</v>
      </c>
      <c r="FI196" s="909">
        <v>0</v>
      </c>
      <c r="FJ196" s="910">
        <v>27776.533996737176</v>
      </c>
      <c r="FK196" s="871">
        <v>4000</v>
      </c>
      <c r="FL196" s="911">
        <v>157.4985116999683</v>
      </c>
      <c r="FM196" s="908">
        <v>3.5607600000000006</v>
      </c>
      <c r="FN196" s="902">
        <v>36.204793339451129</v>
      </c>
      <c r="FO196" s="902">
        <v>0</v>
      </c>
      <c r="FP196" s="902">
        <v>0</v>
      </c>
      <c r="FQ196" s="902">
        <v>12.867986913934143</v>
      </c>
      <c r="FR196" s="902">
        <v>1.8314692462220781</v>
      </c>
      <c r="FS196" s="902">
        <v>3600</v>
      </c>
      <c r="FT196" s="909" t="s">
        <v>3889</v>
      </c>
      <c r="FU196" s="909">
        <v>3</v>
      </c>
      <c r="FV196" s="909">
        <v>0</v>
      </c>
      <c r="FW196" s="909">
        <v>0</v>
      </c>
      <c r="FX196" s="909">
        <v>0</v>
      </c>
      <c r="FY196" s="910">
        <v>19544.156136597394</v>
      </c>
      <c r="FZ196" s="909">
        <v>0</v>
      </c>
      <c r="GA196" s="909">
        <v>0</v>
      </c>
      <c r="GB196" s="909">
        <v>0</v>
      </c>
      <c r="GC196" s="910">
        <v>27776.533996737176</v>
      </c>
      <c r="GD196" s="871">
        <v>4000</v>
      </c>
      <c r="GE196" s="911">
        <v>157.4985116999683</v>
      </c>
      <c r="GF196" s="908">
        <v>3.5607600000000006</v>
      </c>
      <c r="GG196" s="902">
        <v>36.204793339451129</v>
      </c>
      <c r="GH196" s="902">
        <v>0</v>
      </c>
      <c r="GI196" s="902">
        <v>0</v>
      </c>
      <c r="GJ196" s="902">
        <v>12.867986913934143</v>
      </c>
      <c r="GK196" s="902">
        <v>1.8314692462220781</v>
      </c>
      <c r="GL196" s="902">
        <v>3600</v>
      </c>
      <c r="GM196" s="909" t="s">
        <v>2877</v>
      </c>
      <c r="GN196" s="909">
        <v>3</v>
      </c>
      <c r="GO196" s="909">
        <v>0</v>
      </c>
      <c r="GP196" s="909">
        <v>0</v>
      </c>
      <c r="GQ196" s="909">
        <v>0</v>
      </c>
      <c r="GR196" s="910">
        <v>22997.546196280229</v>
      </c>
      <c r="GS196" s="909">
        <v>0</v>
      </c>
      <c r="GT196" s="909">
        <v>0</v>
      </c>
      <c r="GU196" s="909">
        <v>0</v>
      </c>
      <c r="GV196" s="910">
        <v>32684.558969846839</v>
      </c>
      <c r="GW196" s="871">
        <v>4000</v>
      </c>
      <c r="GX196" s="911">
        <v>157.4985116999683</v>
      </c>
      <c r="GY196" s="908">
        <v>3.5607600000000006</v>
      </c>
      <c r="GZ196" s="902">
        <v>36.204793339451129</v>
      </c>
      <c r="HA196" s="902">
        <v>0</v>
      </c>
      <c r="HB196" s="902">
        <v>0</v>
      </c>
      <c r="HC196" s="902">
        <v>12.867986913934143</v>
      </c>
      <c r="HD196" s="902">
        <v>1.8314692462220781</v>
      </c>
      <c r="HE196" s="902">
        <v>3600</v>
      </c>
      <c r="HF196" s="909" t="s">
        <v>2877</v>
      </c>
      <c r="HG196" s="909">
        <v>3</v>
      </c>
      <c r="HH196" s="909">
        <v>0</v>
      </c>
      <c r="HI196" s="909">
        <v>0</v>
      </c>
      <c r="HJ196" s="909">
        <v>0</v>
      </c>
      <c r="HK196" s="910">
        <v>22997.546196280229</v>
      </c>
      <c r="HL196" s="909">
        <v>0</v>
      </c>
      <c r="HM196" s="909">
        <v>0</v>
      </c>
      <c r="HN196" s="909">
        <v>0</v>
      </c>
      <c r="HO196" s="910">
        <v>32684.558969846839</v>
      </c>
      <c r="HP196" s="871">
        <v>4000</v>
      </c>
      <c r="HQ196" s="911">
        <v>157.4985116999683</v>
      </c>
      <c r="HR196" s="908">
        <v>3.5607600000000006</v>
      </c>
      <c r="HS196" s="902">
        <v>36.204793339451129</v>
      </c>
      <c r="HT196" s="902">
        <v>0</v>
      </c>
      <c r="HU196" s="902">
        <v>0</v>
      </c>
      <c r="HV196" s="902">
        <v>12.867986913934143</v>
      </c>
      <c r="HW196" s="902">
        <v>1.8314692462220781</v>
      </c>
      <c r="HX196" s="902">
        <v>3600</v>
      </c>
      <c r="HY196" s="909" t="s">
        <v>1063</v>
      </c>
      <c r="HZ196" s="909">
        <v>3</v>
      </c>
      <c r="IA196" s="909">
        <v>0</v>
      </c>
      <c r="IB196" s="909">
        <v>0</v>
      </c>
      <c r="IC196" s="909">
        <v>0</v>
      </c>
      <c r="ID196" s="910">
        <v>20281.929333358963</v>
      </c>
      <c r="IE196" s="909">
        <v>0</v>
      </c>
      <c r="IF196" s="909">
        <v>0</v>
      </c>
      <c r="IG196" s="909">
        <v>0</v>
      </c>
      <c r="IH196" s="910">
        <v>28825.071582013385</v>
      </c>
      <c r="II196" s="871">
        <v>4000</v>
      </c>
      <c r="IJ196" s="911">
        <v>157.4985116999683</v>
      </c>
      <c r="IK196" s="908">
        <v>3.5607600000000006</v>
      </c>
      <c r="IL196" s="902">
        <v>36.204793339451129</v>
      </c>
      <c r="IM196" s="902">
        <v>0</v>
      </c>
      <c r="IN196" s="902">
        <v>0</v>
      </c>
      <c r="IO196" s="902">
        <v>12.867986913934143</v>
      </c>
      <c r="IP196" s="902">
        <v>1.8314692462220781</v>
      </c>
      <c r="IQ196" s="902">
        <v>3600</v>
      </c>
      <c r="IR196" s="909" t="s">
        <v>1063</v>
      </c>
      <c r="IS196" s="909">
        <v>3</v>
      </c>
      <c r="IT196" s="909">
        <v>0</v>
      </c>
      <c r="IU196" s="909">
        <v>0</v>
      </c>
      <c r="IV196" s="909">
        <v>0</v>
      </c>
      <c r="IW196" s="910">
        <v>20281.929333358963</v>
      </c>
      <c r="IX196" s="909">
        <v>0</v>
      </c>
      <c r="IY196" s="909">
        <v>0</v>
      </c>
      <c r="IZ196" s="909">
        <v>0</v>
      </c>
      <c r="JA196" s="910">
        <v>28825.071582013385</v>
      </c>
      <c r="JB196" s="871">
        <v>4000</v>
      </c>
      <c r="JC196" s="911">
        <v>157.4985116999683</v>
      </c>
      <c r="JD196" s="908">
        <v>3.5607600000000006</v>
      </c>
      <c r="JE196" s="902">
        <v>36.204793339451129</v>
      </c>
      <c r="JF196" s="902">
        <v>0</v>
      </c>
      <c r="JG196" s="902">
        <v>0</v>
      </c>
      <c r="JH196" s="902">
        <v>12.867986913934143</v>
      </c>
      <c r="JI196" s="902">
        <v>1.8314692462220781</v>
      </c>
      <c r="JJ196" s="902">
        <v>3600</v>
      </c>
      <c r="JK196" s="909" t="s">
        <v>1064</v>
      </c>
      <c r="JL196" s="909">
        <v>3</v>
      </c>
      <c r="JM196" s="909">
        <v>0</v>
      </c>
      <c r="JN196" s="909">
        <v>0</v>
      </c>
      <c r="JO196" s="909">
        <v>0</v>
      </c>
      <c r="JP196" s="910">
        <v>27639.610673513387</v>
      </c>
      <c r="JQ196" s="909">
        <v>0</v>
      </c>
      <c r="JR196" s="909">
        <v>0</v>
      </c>
      <c r="JS196" s="909">
        <v>0</v>
      </c>
      <c r="JT196" s="910">
        <v>39281.951093903066</v>
      </c>
      <c r="JU196" s="871">
        <v>4000</v>
      </c>
      <c r="JV196" s="911">
        <v>157.4985116999683</v>
      </c>
      <c r="JW196" s="908">
        <v>3.5607600000000006</v>
      </c>
      <c r="JX196" s="902">
        <v>36.204793339451129</v>
      </c>
      <c r="JY196" s="902">
        <v>0</v>
      </c>
      <c r="JZ196" s="902">
        <v>0</v>
      </c>
      <c r="KA196" s="902">
        <v>12.867986913934143</v>
      </c>
      <c r="KB196" s="902">
        <v>1.8314692462220781</v>
      </c>
      <c r="KC196" s="902">
        <v>3600</v>
      </c>
      <c r="KD196" s="909" t="s">
        <v>1064</v>
      </c>
      <c r="KE196" s="909">
        <v>3</v>
      </c>
      <c r="KF196" s="909">
        <v>0</v>
      </c>
      <c r="KG196" s="909">
        <v>0</v>
      </c>
      <c r="KH196" s="909">
        <v>0</v>
      </c>
      <c r="KI196" s="910">
        <v>27639.610673513387</v>
      </c>
      <c r="KJ196" s="909">
        <v>0</v>
      </c>
      <c r="KK196" s="909">
        <v>0</v>
      </c>
      <c r="KL196" s="909">
        <v>0</v>
      </c>
      <c r="KM196" s="910">
        <v>39281.951093903066</v>
      </c>
      <c r="KN196" s="871">
        <v>4000</v>
      </c>
      <c r="KO196" s="912">
        <v>157.4985116999683</v>
      </c>
    </row>
    <row r="197" spans="1:301" ht="15" customHeight="1">
      <c r="A197" s="924" t="s">
        <v>1712</v>
      </c>
      <c r="B197" s="888" t="s">
        <v>1073</v>
      </c>
      <c r="C197" s="888">
        <v>190</v>
      </c>
      <c r="D197" s="888">
        <v>777</v>
      </c>
      <c r="E197" s="888">
        <v>160</v>
      </c>
      <c r="F197" s="888">
        <v>190</v>
      </c>
      <c r="G197" s="888">
        <v>39</v>
      </c>
      <c r="H197" s="888">
        <v>25</v>
      </c>
      <c r="I197" s="888">
        <v>25</v>
      </c>
      <c r="J197" s="888">
        <v>48.9</v>
      </c>
      <c r="K197" s="888">
        <v>77.900000000000006</v>
      </c>
      <c r="L197" s="888">
        <v>16</v>
      </c>
      <c r="M197" s="888">
        <v>270</v>
      </c>
      <c r="N197" s="888">
        <v>2</v>
      </c>
      <c r="O197" s="884">
        <v>7.1287648404668129</v>
      </c>
      <c r="P197" s="888">
        <v>2</v>
      </c>
      <c r="Q197" s="884">
        <v>5.8016677462971025</v>
      </c>
      <c r="R197" s="888">
        <v>12</v>
      </c>
      <c r="S197" s="888">
        <v>365</v>
      </c>
      <c r="T197" s="906">
        <v>9.8565859440144798</v>
      </c>
      <c r="U197" s="906">
        <v>54.75</v>
      </c>
      <c r="V197" s="906">
        <v>47.5</v>
      </c>
      <c r="W197" s="1141">
        <v>0.65838913922909226</v>
      </c>
      <c r="X197" s="902">
        <v>0</v>
      </c>
      <c r="Y197" s="902">
        <v>0</v>
      </c>
      <c r="Z197" s="902">
        <v>0</v>
      </c>
      <c r="AA197" s="902">
        <v>0</v>
      </c>
      <c r="AB197" s="970">
        <v>1.0743536934337956</v>
      </c>
      <c r="AC197" s="1045">
        <v>4000</v>
      </c>
      <c r="AD197" s="890"/>
      <c r="AE197" s="890"/>
      <c r="AF197" s="890"/>
      <c r="AG197" s="890"/>
      <c r="AH197" s="888"/>
      <c r="AI197" s="907">
        <v>2.0559648437618168</v>
      </c>
      <c r="AJ197" s="908">
        <v>2.5434000000000001</v>
      </c>
      <c r="AK197" s="902">
        <v>25.988807670007489</v>
      </c>
      <c r="AL197" s="902">
        <v>0</v>
      </c>
      <c r="AM197" s="902">
        <v>0</v>
      </c>
      <c r="AN197" s="902">
        <v>11.181334294689538</v>
      </c>
      <c r="AO197" s="902">
        <v>1.462798180197763</v>
      </c>
      <c r="AP197" s="1222">
        <v>3600</v>
      </c>
      <c r="AQ197" s="909" t="s">
        <v>1062</v>
      </c>
      <c r="AR197" s="909">
        <v>3</v>
      </c>
      <c r="AS197" s="909">
        <v>0</v>
      </c>
      <c r="AT197" s="909">
        <v>0</v>
      </c>
      <c r="AU197" s="909">
        <v>0</v>
      </c>
      <c r="AV197" s="910">
        <v>32455.666032520912</v>
      </c>
      <c r="AW197" s="909">
        <v>0</v>
      </c>
      <c r="AX197" s="909">
        <v>0</v>
      </c>
      <c r="AY197" s="909">
        <v>0</v>
      </c>
      <c r="AZ197" s="910">
        <v>31310.888820591768</v>
      </c>
      <c r="BA197" s="871">
        <v>4000</v>
      </c>
      <c r="BB197" s="911">
        <v>162.73449945595127</v>
      </c>
      <c r="BC197" s="908">
        <v>2.5434000000000001</v>
      </c>
      <c r="BD197" s="902">
        <v>25.988807670007489</v>
      </c>
      <c r="BE197" s="902">
        <v>0</v>
      </c>
      <c r="BF197" s="902">
        <v>0</v>
      </c>
      <c r="BG197" s="902">
        <v>11.181334294689538</v>
      </c>
      <c r="BH197" s="902">
        <v>1.462798180197763</v>
      </c>
      <c r="BI197" s="902">
        <v>3600</v>
      </c>
      <c r="BJ197" s="909" t="s">
        <v>1062</v>
      </c>
      <c r="BK197" s="909">
        <v>3</v>
      </c>
      <c r="BL197" s="909">
        <v>0</v>
      </c>
      <c r="BM197" s="909">
        <v>0</v>
      </c>
      <c r="BN197" s="909">
        <v>0</v>
      </c>
      <c r="BO197" s="910">
        <v>32455.666032520912</v>
      </c>
      <c r="BP197" s="909">
        <v>0</v>
      </c>
      <c r="BQ197" s="909">
        <v>0</v>
      </c>
      <c r="BR197" s="909">
        <v>0</v>
      </c>
      <c r="BS197" s="910">
        <v>31310.888820591768</v>
      </c>
      <c r="BT197" s="871">
        <v>4000</v>
      </c>
      <c r="BU197" s="911">
        <v>162.73449945595127</v>
      </c>
      <c r="BV197" s="908">
        <v>2.5434000000000001</v>
      </c>
      <c r="BW197" s="902">
        <v>25.988807670007489</v>
      </c>
      <c r="BX197" s="902">
        <v>0</v>
      </c>
      <c r="BY197" s="902">
        <v>0</v>
      </c>
      <c r="BZ197" s="902">
        <v>11.181334294689538</v>
      </c>
      <c r="CA197" s="902">
        <v>1.462798180197763</v>
      </c>
      <c r="CB197" s="902">
        <v>3600</v>
      </c>
      <c r="CC197" s="909" t="s">
        <v>2874</v>
      </c>
      <c r="CD197" s="909">
        <v>3</v>
      </c>
      <c r="CE197" s="909">
        <v>0</v>
      </c>
      <c r="CF197" s="909">
        <v>0</v>
      </c>
      <c r="CG197" s="909">
        <v>0</v>
      </c>
      <c r="CH197" s="910">
        <v>31799.928416742558</v>
      </c>
      <c r="CI197" s="909">
        <v>0</v>
      </c>
      <c r="CJ197" s="909">
        <v>0</v>
      </c>
      <c r="CK197" s="909">
        <v>0</v>
      </c>
      <c r="CL197" s="910">
        <v>30678.280401385604</v>
      </c>
      <c r="CM197" s="871">
        <v>4000</v>
      </c>
      <c r="CN197" s="911">
        <v>162.73449945595127</v>
      </c>
      <c r="CO197" s="908">
        <v>2.5434000000000001</v>
      </c>
      <c r="CP197" s="902">
        <v>25.988807670007489</v>
      </c>
      <c r="CQ197" s="902">
        <v>0</v>
      </c>
      <c r="CR197" s="902">
        <v>0</v>
      </c>
      <c r="CS197" s="902">
        <v>11.181334294689538</v>
      </c>
      <c r="CT197" s="902">
        <v>1.462798180197763</v>
      </c>
      <c r="CU197" s="902">
        <v>3600</v>
      </c>
      <c r="CV197" s="909" t="s">
        <v>2874</v>
      </c>
      <c r="CW197" s="909">
        <v>3</v>
      </c>
      <c r="CX197" s="909">
        <v>0</v>
      </c>
      <c r="CY197" s="909">
        <v>0</v>
      </c>
      <c r="CZ197" s="909">
        <v>0</v>
      </c>
      <c r="DA197" s="910">
        <v>31799.928416742558</v>
      </c>
      <c r="DB197" s="909">
        <v>0</v>
      </c>
      <c r="DC197" s="909">
        <v>0</v>
      </c>
      <c r="DD197" s="909">
        <v>0</v>
      </c>
      <c r="DE197" s="910">
        <v>30678.280401385604</v>
      </c>
      <c r="DF197" s="871">
        <v>4000</v>
      </c>
      <c r="DG197" s="911">
        <v>162.73449945595127</v>
      </c>
      <c r="DH197" s="908">
        <v>1.6956000000000002</v>
      </c>
      <c r="DI197" s="902">
        <v>25.14100767000749</v>
      </c>
      <c r="DJ197" s="902">
        <v>0</v>
      </c>
      <c r="DK197" s="902">
        <v>0</v>
      </c>
      <c r="DL197" s="902">
        <v>11.136866515210041</v>
      </c>
      <c r="DM197" s="902">
        <v>1.394992301922763</v>
      </c>
      <c r="DN197" s="902">
        <v>3600</v>
      </c>
      <c r="DO197" s="909" t="s">
        <v>2876</v>
      </c>
      <c r="DP197" s="909">
        <v>2</v>
      </c>
      <c r="DQ197" s="909">
        <v>0</v>
      </c>
      <c r="DR197" s="909">
        <v>0</v>
      </c>
      <c r="DS197" s="909">
        <v>0</v>
      </c>
      <c r="DT197" s="910">
        <v>20323.088291316832</v>
      </c>
      <c r="DU197" s="909">
        <v>0</v>
      </c>
      <c r="DV197" s="909">
        <v>0</v>
      </c>
      <c r="DW197" s="909">
        <v>0</v>
      </c>
      <c r="DX197" s="910">
        <v>19606.251720204375</v>
      </c>
      <c r="DY197" s="871">
        <v>4000</v>
      </c>
      <c r="DZ197" s="911">
        <v>162.73449945595127</v>
      </c>
      <c r="EA197" s="908">
        <v>1.6956000000000002</v>
      </c>
      <c r="EB197" s="902">
        <v>25.14100767000749</v>
      </c>
      <c r="EC197" s="902">
        <v>0</v>
      </c>
      <c r="ED197" s="902">
        <v>0</v>
      </c>
      <c r="EE197" s="902">
        <v>11.136866515210041</v>
      </c>
      <c r="EF197" s="902">
        <v>1.394992301922763</v>
      </c>
      <c r="EG197" s="902">
        <v>3600</v>
      </c>
      <c r="EH197" s="909" t="s">
        <v>2876</v>
      </c>
      <c r="EI197" s="909">
        <v>2</v>
      </c>
      <c r="EJ197" s="909">
        <v>0</v>
      </c>
      <c r="EK197" s="909">
        <v>0</v>
      </c>
      <c r="EL197" s="909">
        <v>0</v>
      </c>
      <c r="EM197" s="910">
        <v>20323.088291316832</v>
      </c>
      <c r="EN197" s="909">
        <v>0</v>
      </c>
      <c r="EO197" s="909">
        <v>0</v>
      </c>
      <c r="EP197" s="909">
        <v>0</v>
      </c>
      <c r="EQ197" s="910">
        <v>19606.251720204375</v>
      </c>
      <c r="ER197" s="871">
        <v>4000</v>
      </c>
      <c r="ES197" s="911">
        <v>162.73449945595127</v>
      </c>
      <c r="ET197" s="908">
        <v>1.6956000000000002</v>
      </c>
      <c r="EU197" s="902">
        <v>25.14100767000749</v>
      </c>
      <c r="EV197" s="902">
        <v>0</v>
      </c>
      <c r="EW197" s="902">
        <v>0</v>
      </c>
      <c r="EX197" s="902">
        <v>11.136866515210041</v>
      </c>
      <c r="EY197" s="902">
        <v>1.394992301922763</v>
      </c>
      <c r="EZ197" s="902">
        <v>3600</v>
      </c>
      <c r="FA197" s="909" t="s">
        <v>3889</v>
      </c>
      <c r="FB197" s="909">
        <v>2</v>
      </c>
      <c r="FC197" s="909">
        <v>0</v>
      </c>
      <c r="FD197" s="909">
        <v>0</v>
      </c>
      <c r="FE197" s="909">
        <v>0</v>
      </c>
      <c r="FF197" s="910">
        <v>21331.449945666031</v>
      </c>
      <c r="FG197" s="909">
        <v>0</v>
      </c>
      <c r="FH197" s="909">
        <v>0</v>
      </c>
      <c r="FI197" s="909">
        <v>0</v>
      </c>
      <c r="FJ197" s="910">
        <v>20579.046412466723</v>
      </c>
      <c r="FK197" s="871">
        <v>4000</v>
      </c>
      <c r="FL197" s="911">
        <v>162.73449945595127</v>
      </c>
      <c r="FM197" s="908">
        <v>1.6956000000000002</v>
      </c>
      <c r="FN197" s="902">
        <v>25.14100767000749</v>
      </c>
      <c r="FO197" s="902">
        <v>0</v>
      </c>
      <c r="FP197" s="902">
        <v>0</v>
      </c>
      <c r="FQ197" s="902">
        <v>11.136866515210041</v>
      </c>
      <c r="FR197" s="902">
        <v>1.394992301922763</v>
      </c>
      <c r="FS197" s="902">
        <v>3600</v>
      </c>
      <c r="FT197" s="909" t="s">
        <v>3889</v>
      </c>
      <c r="FU197" s="909">
        <v>2</v>
      </c>
      <c r="FV197" s="909">
        <v>0</v>
      </c>
      <c r="FW197" s="909">
        <v>0</v>
      </c>
      <c r="FX197" s="909">
        <v>0</v>
      </c>
      <c r="FY197" s="910">
        <v>21331.449945666031</v>
      </c>
      <c r="FZ197" s="909">
        <v>0</v>
      </c>
      <c r="GA197" s="909">
        <v>0</v>
      </c>
      <c r="GB197" s="909">
        <v>0</v>
      </c>
      <c r="GC197" s="910">
        <v>20579.046412466723</v>
      </c>
      <c r="GD197" s="871">
        <v>4000</v>
      </c>
      <c r="GE197" s="911">
        <v>162.73449945595127</v>
      </c>
      <c r="GF197" s="908">
        <v>1.6956000000000002</v>
      </c>
      <c r="GG197" s="902">
        <v>25.14100767000749</v>
      </c>
      <c r="GH197" s="902">
        <v>0</v>
      </c>
      <c r="GI197" s="902">
        <v>0</v>
      </c>
      <c r="GJ197" s="902">
        <v>11.136866515210041</v>
      </c>
      <c r="GK197" s="902">
        <v>1.394992301922763</v>
      </c>
      <c r="GL197" s="902">
        <v>3600</v>
      </c>
      <c r="GM197" s="909" t="s">
        <v>2877</v>
      </c>
      <c r="GN197" s="909">
        <v>2</v>
      </c>
      <c r="GO197" s="909">
        <v>0</v>
      </c>
      <c r="GP197" s="909">
        <v>0</v>
      </c>
      <c r="GQ197" s="909">
        <v>0</v>
      </c>
      <c r="GR197" s="910">
        <v>25100.649121425886</v>
      </c>
      <c r="GS197" s="909">
        <v>0</v>
      </c>
      <c r="GT197" s="909">
        <v>0</v>
      </c>
      <c r="GU197" s="909">
        <v>0</v>
      </c>
      <c r="GV197" s="910">
        <v>24215.298283453714</v>
      </c>
      <c r="GW197" s="871">
        <v>4000</v>
      </c>
      <c r="GX197" s="911">
        <v>162.73449945595127</v>
      </c>
      <c r="GY197" s="908">
        <v>1.6956000000000002</v>
      </c>
      <c r="GZ197" s="902">
        <v>25.14100767000749</v>
      </c>
      <c r="HA197" s="902">
        <v>0</v>
      </c>
      <c r="HB197" s="902">
        <v>0</v>
      </c>
      <c r="HC197" s="902">
        <v>11.136866515210041</v>
      </c>
      <c r="HD197" s="902">
        <v>1.394992301922763</v>
      </c>
      <c r="HE197" s="902">
        <v>3600</v>
      </c>
      <c r="HF197" s="909" t="s">
        <v>2877</v>
      </c>
      <c r="HG197" s="909">
        <v>2</v>
      </c>
      <c r="HH197" s="909">
        <v>0</v>
      </c>
      <c r="HI197" s="909">
        <v>0</v>
      </c>
      <c r="HJ197" s="909">
        <v>0</v>
      </c>
      <c r="HK197" s="910">
        <v>25100.649121425886</v>
      </c>
      <c r="HL197" s="909">
        <v>0</v>
      </c>
      <c r="HM197" s="909">
        <v>0</v>
      </c>
      <c r="HN197" s="909">
        <v>0</v>
      </c>
      <c r="HO197" s="910">
        <v>24215.298283453714</v>
      </c>
      <c r="HP197" s="871">
        <v>4000</v>
      </c>
      <c r="HQ197" s="911">
        <v>162.73449945595127</v>
      </c>
      <c r="HR197" s="908">
        <v>1.6956000000000002</v>
      </c>
      <c r="HS197" s="902">
        <v>25.14100767000749</v>
      </c>
      <c r="HT197" s="902">
        <v>0</v>
      </c>
      <c r="HU197" s="902">
        <v>0</v>
      </c>
      <c r="HV197" s="902">
        <v>11.136866515210041</v>
      </c>
      <c r="HW197" s="902">
        <v>1.394992301922763</v>
      </c>
      <c r="HX197" s="902">
        <v>3600</v>
      </c>
      <c r="HY197" s="909" t="s">
        <v>1063</v>
      </c>
      <c r="HZ197" s="909">
        <v>2</v>
      </c>
      <c r="IA197" s="909">
        <v>0</v>
      </c>
      <c r="IB197" s="909">
        <v>0</v>
      </c>
      <c r="IC197" s="909">
        <v>0</v>
      </c>
      <c r="ID197" s="910">
        <v>22136.691773861603</v>
      </c>
      <c r="IE197" s="909">
        <v>0</v>
      </c>
      <c r="IF197" s="909">
        <v>0</v>
      </c>
      <c r="IG197" s="909">
        <v>0</v>
      </c>
      <c r="IH197" s="910">
        <v>21355.885727089255</v>
      </c>
      <c r="II197" s="871">
        <v>4000</v>
      </c>
      <c r="IJ197" s="911">
        <v>162.73449945595127</v>
      </c>
      <c r="IK197" s="908">
        <v>1.6956000000000002</v>
      </c>
      <c r="IL197" s="902">
        <v>25.14100767000749</v>
      </c>
      <c r="IM197" s="902">
        <v>0</v>
      </c>
      <c r="IN197" s="902">
        <v>0</v>
      </c>
      <c r="IO197" s="902">
        <v>11.136866515210041</v>
      </c>
      <c r="IP197" s="902">
        <v>1.394992301922763</v>
      </c>
      <c r="IQ197" s="902">
        <v>3600</v>
      </c>
      <c r="IR197" s="909" t="s">
        <v>1063</v>
      </c>
      <c r="IS197" s="909">
        <v>2</v>
      </c>
      <c r="IT197" s="909">
        <v>0</v>
      </c>
      <c r="IU197" s="909">
        <v>0</v>
      </c>
      <c r="IV197" s="909">
        <v>0</v>
      </c>
      <c r="IW197" s="910">
        <v>22136.691773861603</v>
      </c>
      <c r="IX197" s="909">
        <v>0</v>
      </c>
      <c r="IY197" s="909">
        <v>0</v>
      </c>
      <c r="IZ197" s="909">
        <v>0</v>
      </c>
      <c r="JA197" s="910">
        <v>21355.885727089255</v>
      </c>
      <c r="JB197" s="871">
        <v>4000</v>
      </c>
      <c r="JC197" s="911">
        <v>162.73449945595127</v>
      </c>
      <c r="JD197" s="908">
        <v>1.6956000000000002</v>
      </c>
      <c r="JE197" s="902">
        <v>25.14100767000749</v>
      </c>
      <c r="JF197" s="902">
        <v>0</v>
      </c>
      <c r="JG197" s="902">
        <v>0</v>
      </c>
      <c r="JH197" s="902">
        <v>11.136866515210041</v>
      </c>
      <c r="JI197" s="902">
        <v>1.394992301922763</v>
      </c>
      <c r="JJ197" s="902">
        <v>3600</v>
      </c>
      <c r="JK197" s="909" t="s">
        <v>1064</v>
      </c>
      <c r="JL197" s="909">
        <v>2</v>
      </c>
      <c r="JM197" s="909">
        <v>0</v>
      </c>
      <c r="JN197" s="909">
        <v>0</v>
      </c>
      <c r="JO197" s="909">
        <v>0</v>
      </c>
      <c r="JP197" s="910">
        <v>30167.225818243725</v>
      </c>
      <c r="JQ197" s="909">
        <v>0</v>
      </c>
      <c r="JR197" s="909">
        <v>0</v>
      </c>
      <c r="JS197" s="909">
        <v>0</v>
      </c>
      <c r="JT197" s="910">
        <v>29103.166537215824</v>
      </c>
      <c r="JU197" s="871">
        <v>4000</v>
      </c>
      <c r="JV197" s="911">
        <v>162.73449945595127</v>
      </c>
      <c r="JW197" s="908">
        <v>1.6956000000000002</v>
      </c>
      <c r="JX197" s="902">
        <v>25.14100767000749</v>
      </c>
      <c r="JY197" s="902">
        <v>0</v>
      </c>
      <c r="JZ197" s="902">
        <v>0</v>
      </c>
      <c r="KA197" s="902">
        <v>11.136866515210041</v>
      </c>
      <c r="KB197" s="902">
        <v>1.394992301922763</v>
      </c>
      <c r="KC197" s="902">
        <v>3600</v>
      </c>
      <c r="KD197" s="909" t="s">
        <v>1064</v>
      </c>
      <c r="KE197" s="909">
        <v>2</v>
      </c>
      <c r="KF197" s="909">
        <v>0</v>
      </c>
      <c r="KG197" s="909">
        <v>0</v>
      </c>
      <c r="KH197" s="909">
        <v>0</v>
      </c>
      <c r="KI197" s="910">
        <v>30167.225818243725</v>
      </c>
      <c r="KJ197" s="909">
        <v>0</v>
      </c>
      <c r="KK197" s="909">
        <v>0</v>
      </c>
      <c r="KL197" s="909">
        <v>0</v>
      </c>
      <c r="KM197" s="910">
        <v>29103.166537215824</v>
      </c>
      <c r="KN197" s="871">
        <v>4000</v>
      </c>
      <c r="KO197" s="912">
        <v>162.73449945595127</v>
      </c>
    </row>
    <row r="198" spans="1:301" ht="15" customHeight="1">
      <c r="A198" s="924" t="s">
        <v>1713</v>
      </c>
      <c r="B198" s="888" t="s">
        <v>1073</v>
      </c>
      <c r="C198" s="888">
        <v>190</v>
      </c>
      <c r="D198" s="888">
        <v>777</v>
      </c>
      <c r="E198" s="888">
        <v>160</v>
      </c>
      <c r="F198" s="888">
        <v>190</v>
      </c>
      <c r="G198" s="888">
        <v>49</v>
      </c>
      <c r="H198" s="888">
        <v>35</v>
      </c>
      <c r="I198" s="888">
        <v>35</v>
      </c>
      <c r="J198" s="888">
        <v>48.9</v>
      </c>
      <c r="K198" s="888">
        <v>77.900000000000006</v>
      </c>
      <c r="L198" s="888">
        <v>16</v>
      </c>
      <c r="M198" s="888">
        <v>270</v>
      </c>
      <c r="N198" s="888">
        <v>2</v>
      </c>
      <c r="O198" s="884">
        <v>7.1287648404668129</v>
      </c>
      <c r="P198" s="888">
        <v>2</v>
      </c>
      <c r="Q198" s="884">
        <v>4.4255179958515942</v>
      </c>
      <c r="R198" s="888">
        <v>13.000000000000002</v>
      </c>
      <c r="S198" s="888">
        <v>494.80104614921703</v>
      </c>
      <c r="T198" s="906">
        <v>19.62294148391149</v>
      </c>
      <c r="U198" s="906">
        <v>74.220156922382557</v>
      </c>
      <c r="V198" s="906">
        <v>47.5</v>
      </c>
      <c r="W198" s="1141">
        <v>1.2099241563998311</v>
      </c>
      <c r="X198" s="902">
        <v>0</v>
      </c>
      <c r="Y198" s="902">
        <v>0</v>
      </c>
      <c r="Z198" s="902">
        <v>0</v>
      </c>
      <c r="AA198" s="902">
        <v>0</v>
      </c>
      <c r="AB198" s="970">
        <v>1.7470166867759973</v>
      </c>
      <c r="AC198" s="1045">
        <v>4000</v>
      </c>
      <c r="AD198" s="890">
        <v>2.3404569791261922</v>
      </c>
      <c r="AE198" s="890">
        <v>1.1463215220271168</v>
      </c>
      <c r="AF198" s="890">
        <v>-6.1414143793295725E-2</v>
      </c>
      <c r="AG198" s="890">
        <v>0.68089591993697252</v>
      </c>
      <c r="AH198" s="888"/>
      <c r="AI198" s="907">
        <v>2.1423648437618166</v>
      </c>
      <c r="AJ198" s="908">
        <v>3.5607600000000006</v>
      </c>
      <c r="AK198" s="902">
        <v>35.947908476629728</v>
      </c>
      <c r="AL198" s="902">
        <v>0</v>
      </c>
      <c r="AM198" s="902">
        <v>0</v>
      </c>
      <c r="AN198" s="902">
        <v>13.14486505047463</v>
      </c>
      <c r="AO198" s="902">
        <v>1.915520945011407</v>
      </c>
      <c r="AP198" s="1222">
        <v>3600</v>
      </c>
      <c r="AQ198" s="909" t="s">
        <v>1062</v>
      </c>
      <c r="AR198" s="909">
        <v>3</v>
      </c>
      <c r="AS198" s="909">
        <v>0</v>
      </c>
      <c r="AT198" s="909">
        <v>0</v>
      </c>
      <c r="AU198" s="909">
        <v>0</v>
      </c>
      <c r="AV198" s="910">
        <v>25283.550355154202</v>
      </c>
      <c r="AW198" s="909">
        <v>0</v>
      </c>
      <c r="AX198" s="909">
        <v>0</v>
      </c>
      <c r="AY198" s="909">
        <v>0</v>
      </c>
      <c r="AZ198" s="910">
        <v>33146.367325544335</v>
      </c>
      <c r="BA198" s="871">
        <v>4000</v>
      </c>
      <c r="BB198" s="911">
        <v>162.73449945595127</v>
      </c>
      <c r="BC198" s="908">
        <v>3.5607600000000006</v>
      </c>
      <c r="BD198" s="902">
        <v>35.947908476629728</v>
      </c>
      <c r="BE198" s="902">
        <v>0</v>
      </c>
      <c r="BF198" s="902">
        <v>0</v>
      </c>
      <c r="BG198" s="902">
        <v>13.14486505047463</v>
      </c>
      <c r="BH198" s="902">
        <v>1.915520945011407</v>
      </c>
      <c r="BI198" s="902">
        <v>3600</v>
      </c>
      <c r="BJ198" s="909" t="s">
        <v>1062</v>
      </c>
      <c r="BK198" s="909">
        <v>3</v>
      </c>
      <c r="BL198" s="909">
        <v>0</v>
      </c>
      <c r="BM198" s="909">
        <v>0</v>
      </c>
      <c r="BN198" s="909">
        <v>0</v>
      </c>
      <c r="BO198" s="910">
        <v>25283.550355154202</v>
      </c>
      <c r="BP198" s="909">
        <v>0</v>
      </c>
      <c r="BQ198" s="909">
        <v>0</v>
      </c>
      <c r="BR198" s="909">
        <v>0</v>
      </c>
      <c r="BS198" s="910">
        <v>33146.367325544335</v>
      </c>
      <c r="BT198" s="871">
        <v>4000</v>
      </c>
      <c r="BU198" s="911">
        <v>162.73449945595127</v>
      </c>
      <c r="BV198" s="908">
        <v>3.5607600000000006</v>
      </c>
      <c r="BW198" s="902">
        <v>35.947908476629728</v>
      </c>
      <c r="BX198" s="902">
        <v>0</v>
      </c>
      <c r="BY198" s="902">
        <v>0</v>
      </c>
      <c r="BZ198" s="902">
        <v>13.14486505047463</v>
      </c>
      <c r="CA198" s="902">
        <v>1.915520945011407</v>
      </c>
      <c r="CB198" s="902">
        <v>3600</v>
      </c>
      <c r="CC198" s="909" t="s">
        <v>2874</v>
      </c>
      <c r="CD198" s="909">
        <v>3</v>
      </c>
      <c r="CE198" s="909">
        <v>0</v>
      </c>
      <c r="CF198" s="909">
        <v>0</v>
      </c>
      <c r="CG198" s="909">
        <v>0</v>
      </c>
      <c r="CH198" s="910">
        <v>24772.718902436885</v>
      </c>
      <c r="CI198" s="909">
        <v>0</v>
      </c>
      <c r="CJ198" s="909">
        <v>0</v>
      </c>
      <c r="CK198" s="909">
        <v>0</v>
      </c>
      <c r="CL198" s="910">
        <v>32476.674709777715</v>
      </c>
      <c r="CM198" s="871">
        <v>4000</v>
      </c>
      <c r="CN198" s="911">
        <v>162.73449945595127</v>
      </c>
      <c r="CO198" s="908">
        <v>3.5607600000000006</v>
      </c>
      <c r="CP198" s="902">
        <v>35.947908476629728</v>
      </c>
      <c r="CQ198" s="902">
        <v>0</v>
      </c>
      <c r="CR198" s="902">
        <v>0</v>
      </c>
      <c r="CS198" s="902">
        <v>13.14486505047463</v>
      </c>
      <c r="CT198" s="902">
        <v>1.915520945011407</v>
      </c>
      <c r="CU198" s="902">
        <v>3600</v>
      </c>
      <c r="CV198" s="909" t="s">
        <v>2874</v>
      </c>
      <c r="CW198" s="909">
        <v>3</v>
      </c>
      <c r="CX198" s="909">
        <v>0</v>
      </c>
      <c r="CY198" s="909">
        <v>0</v>
      </c>
      <c r="CZ198" s="909">
        <v>0</v>
      </c>
      <c r="DA198" s="910">
        <v>24772.718902436885</v>
      </c>
      <c r="DB198" s="909">
        <v>0</v>
      </c>
      <c r="DC198" s="909">
        <v>0</v>
      </c>
      <c r="DD198" s="909">
        <v>0</v>
      </c>
      <c r="DE198" s="910">
        <v>32476.674709777715</v>
      </c>
      <c r="DF198" s="871">
        <v>4000</v>
      </c>
      <c r="DG198" s="911">
        <v>162.73449945595127</v>
      </c>
      <c r="DH198" s="908">
        <v>3.5607600000000006</v>
      </c>
      <c r="DI198" s="902">
        <v>35.947908476629728</v>
      </c>
      <c r="DJ198" s="902">
        <v>0</v>
      </c>
      <c r="DK198" s="902">
        <v>0</v>
      </c>
      <c r="DL198" s="902">
        <v>13.14486505047463</v>
      </c>
      <c r="DM198" s="902">
        <v>1.915520945011407</v>
      </c>
      <c r="DN198" s="902">
        <v>3600</v>
      </c>
      <c r="DO198" s="909" t="s">
        <v>2876</v>
      </c>
      <c r="DP198" s="909">
        <v>3</v>
      </c>
      <c r="DQ198" s="909">
        <v>0</v>
      </c>
      <c r="DR198" s="909">
        <v>0</v>
      </c>
      <c r="DS198" s="909">
        <v>0</v>
      </c>
      <c r="DT198" s="910">
        <v>27464.965754624736</v>
      </c>
      <c r="DU198" s="909">
        <v>0</v>
      </c>
      <c r="DV198" s="909">
        <v>0</v>
      </c>
      <c r="DW198" s="909">
        <v>0</v>
      </c>
      <c r="DX198" s="910">
        <v>36006.171233807916</v>
      </c>
      <c r="DY198" s="871">
        <v>4000</v>
      </c>
      <c r="DZ198" s="911">
        <v>162.73449945595127</v>
      </c>
      <c r="EA198" s="908">
        <v>3.5607600000000006</v>
      </c>
      <c r="EB198" s="902">
        <v>35.947908476629728</v>
      </c>
      <c r="EC198" s="902">
        <v>0</v>
      </c>
      <c r="ED198" s="902">
        <v>0</v>
      </c>
      <c r="EE198" s="902">
        <v>13.14486505047463</v>
      </c>
      <c r="EF198" s="902">
        <v>1.915520945011407</v>
      </c>
      <c r="EG198" s="902">
        <v>3600</v>
      </c>
      <c r="EH198" s="909" t="s">
        <v>2876</v>
      </c>
      <c r="EI198" s="909">
        <v>3</v>
      </c>
      <c r="EJ198" s="909">
        <v>0</v>
      </c>
      <c r="EK198" s="909">
        <v>0</v>
      </c>
      <c r="EL198" s="909">
        <v>0</v>
      </c>
      <c r="EM198" s="910">
        <v>27464.965754624736</v>
      </c>
      <c r="EN198" s="909">
        <v>0</v>
      </c>
      <c r="EO198" s="909">
        <v>0</v>
      </c>
      <c r="EP198" s="909">
        <v>0</v>
      </c>
      <c r="EQ198" s="910">
        <v>36006.171233807916</v>
      </c>
      <c r="ER198" s="871">
        <v>4000</v>
      </c>
      <c r="ES198" s="911">
        <v>162.73449945595127</v>
      </c>
      <c r="ET198" s="908">
        <v>3.5607600000000006</v>
      </c>
      <c r="EU198" s="902">
        <v>35.947908476629728</v>
      </c>
      <c r="EV198" s="902">
        <v>0</v>
      </c>
      <c r="EW198" s="902">
        <v>0</v>
      </c>
      <c r="EX198" s="902">
        <v>13.14486505047463</v>
      </c>
      <c r="EY198" s="902">
        <v>1.915520945011407</v>
      </c>
      <c r="EZ198" s="902">
        <v>3600</v>
      </c>
      <c r="FA198" s="909" t="s">
        <v>3889</v>
      </c>
      <c r="FB198" s="909">
        <v>3</v>
      </c>
      <c r="FC198" s="909">
        <v>0</v>
      </c>
      <c r="FD198" s="909">
        <v>0</v>
      </c>
      <c r="FE198" s="909">
        <v>0</v>
      </c>
      <c r="FF198" s="910">
        <v>28827.682774203407</v>
      </c>
      <c r="FG198" s="909">
        <v>0</v>
      </c>
      <c r="FH198" s="909">
        <v>0</v>
      </c>
      <c r="FI198" s="909">
        <v>0</v>
      </c>
      <c r="FJ198" s="910">
        <v>37792.673455894692</v>
      </c>
      <c r="FK198" s="871">
        <v>4000</v>
      </c>
      <c r="FL198" s="911">
        <v>162.73449945595127</v>
      </c>
      <c r="FM198" s="908">
        <v>3.5607600000000006</v>
      </c>
      <c r="FN198" s="902">
        <v>35.947908476629728</v>
      </c>
      <c r="FO198" s="902">
        <v>0</v>
      </c>
      <c r="FP198" s="902">
        <v>0</v>
      </c>
      <c r="FQ198" s="902">
        <v>13.14486505047463</v>
      </c>
      <c r="FR198" s="902">
        <v>1.915520945011407</v>
      </c>
      <c r="FS198" s="902">
        <v>3600</v>
      </c>
      <c r="FT198" s="909" t="s">
        <v>3889</v>
      </c>
      <c r="FU198" s="909">
        <v>3</v>
      </c>
      <c r="FV198" s="909">
        <v>0</v>
      </c>
      <c r="FW198" s="909">
        <v>0</v>
      </c>
      <c r="FX198" s="909">
        <v>0</v>
      </c>
      <c r="FY198" s="910">
        <v>28827.682774203407</v>
      </c>
      <c r="FZ198" s="909">
        <v>0</v>
      </c>
      <c r="GA198" s="909">
        <v>0</v>
      </c>
      <c r="GB198" s="909">
        <v>0</v>
      </c>
      <c r="GC198" s="910">
        <v>37792.673455894692</v>
      </c>
      <c r="GD198" s="871">
        <v>4000</v>
      </c>
      <c r="GE198" s="911">
        <v>162.73449945595127</v>
      </c>
      <c r="GF198" s="908">
        <v>3.5607600000000006</v>
      </c>
      <c r="GG198" s="902">
        <v>35.947908476629728</v>
      </c>
      <c r="GH198" s="902">
        <v>0</v>
      </c>
      <c r="GI198" s="902">
        <v>0</v>
      </c>
      <c r="GJ198" s="902">
        <v>13.14486505047463</v>
      </c>
      <c r="GK198" s="902">
        <v>1.915520945011407</v>
      </c>
      <c r="GL198" s="902">
        <v>3600</v>
      </c>
      <c r="GM198" s="909" t="s">
        <v>2877</v>
      </c>
      <c r="GN198" s="909">
        <v>3</v>
      </c>
      <c r="GO198" s="909">
        <v>0</v>
      </c>
      <c r="GP198" s="909">
        <v>0</v>
      </c>
      <c r="GQ198" s="909">
        <v>0</v>
      </c>
      <c r="GR198" s="910">
        <v>33921.442383998263</v>
      </c>
      <c r="GS198" s="909">
        <v>0</v>
      </c>
      <c r="GT198" s="909">
        <v>0</v>
      </c>
      <c r="GU198" s="909">
        <v>0</v>
      </c>
      <c r="GV198" s="910">
        <v>44470.518328257</v>
      </c>
      <c r="GW198" s="871">
        <v>4000</v>
      </c>
      <c r="GX198" s="911">
        <v>162.73449945595127</v>
      </c>
      <c r="GY198" s="908">
        <v>3.5607600000000006</v>
      </c>
      <c r="GZ198" s="902">
        <v>35.947908476629728</v>
      </c>
      <c r="HA198" s="902">
        <v>0</v>
      </c>
      <c r="HB198" s="902">
        <v>0</v>
      </c>
      <c r="HC198" s="902">
        <v>13.14486505047463</v>
      </c>
      <c r="HD198" s="902">
        <v>1.915520945011407</v>
      </c>
      <c r="HE198" s="902">
        <v>3600</v>
      </c>
      <c r="HF198" s="909" t="s">
        <v>2877</v>
      </c>
      <c r="HG198" s="909">
        <v>3</v>
      </c>
      <c r="HH198" s="909">
        <v>0</v>
      </c>
      <c r="HI198" s="909">
        <v>0</v>
      </c>
      <c r="HJ198" s="909">
        <v>0</v>
      </c>
      <c r="HK198" s="910">
        <v>33921.442383998263</v>
      </c>
      <c r="HL198" s="909">
        <v>0</v>
      </c>
      <c r="HM198" s="909">
        <v>0</v>
      </c>
      <c r="HN198" s="909">
        <v>0</v>
      </c>
      <c r="HO198" s="910">
        <v>44470.518328257</v>
      </c>
      <c r="HP198" s="871">
        <v>4000</v>
      </c>
      <c r="HQ198" s="911">
        <v>162.73449945595127</v>
      </c>
      <c r="HR198" s="908">
        <v>3.5607600000000006</v>
      </c>
      <c r="HS198" s="902">
        <v>35.947908476629728</v>
      </c>
      <c r="HT198" s="902">
        <v>0</v>
      </c>
      <c r="HU198" s="902">
        <v>0</v>
      </c>
      <c r="HV198" s="902">
        <v>13.14486505047463</v>
      </c>
      <c r="HW198" s="902">
        <v>1.915520945011407</v>
      </c>
      <c r="HX198" s="902">
        <v>3600</v>
      </c>
      <c r="HY198" s="909" t="s">
        <v>1063</v>
      </c>
      <c r="HZ198" s="909">
        <v>3</v>
      </c>
      <c r="IA198" s="909">
        <v>0</v>
      </c>
      <c r="IB198" s="909">
        <v>0</v>
      </c>
      <c r="IC198" s="909">
        <v>0</v>
      </c>
      <c r="ID198" s="910">
        <v>29915.900220221782</v>
      </c>
      <c r="IE198" s="909">
        <v>0</v>
      </c>
      <c r="IF198" s="909">
        <v>0</v>
      </c>
      <c r="IG198" s="909">
        <v>0</v>
      </c>
      <c r="IH198" s="910">
        <v>39219.310723569288</v>
      </c>
      <c r="II198" s="871">
        <v>4000</v>
      </c>
      <c r="IJ198" s="911">
        <v>162.73449945595127</v>
      </c>
      <c r="IK198" s="908">
        <v>3.5607600000000006</v>
      </c>
      <c r="IL198" s="902">
        <v>35.947908476629728</v>
      </c>
      <c r="IM198" s="902">
        <v>0</v>
      </c>
      <c r="IN198" s="902">
        <v>0</v>
      </c>
      <c r="IO198" s="902">
        <v>13.14486505047463</v>
      </c>
      <c r="IP198" s="902">
        <v>1.915520945011407</v>
      </c>
      <c r="IQ198" s="902">
        <v>3600</v>
      </c>
      <c r="IR198" s="909" t="s">
        <v>1063</v>
      </c>
      <c r="IS198" s="909">
        <v>3</v>
      </c>
      <c r="IT198" s="909">
        <v>0</v>
      </c>
      <c r="IU198" s="909">
        <v>0</v>
      </c>
      <c r="IV198" s="909">
        <v>0</v>
      </c>
      <c r="IW198" s="910">
        <v>29915.900220221782</v>
      </c>
      <c r="IX198" s="909">
        <v>0</v>
      </c>
      <c r="IY198" s="909">
        <v>0</v>
      </c>
      <c r="IZ198" s="909">
        <v>0</v>
      </c>
      <c r="JA198" s="910">
        <v>39219.310723569288</v>
      </c>
      <c r="JB198" s="871">
        <v>4000</v>
      </c>
      <c r="JC198" s="911">
        <v>162.73449945595127</v>
      </c>
      <c r="JD198" s="908">
        <v>3.5607600000000006</v>
      </c>
      <c r="JE198" s="902">
        <v>35.947908476629728</v>
      </c>
      <c r="JF198" s="902">
        <v>0</v>
      </c>
      <c r="JG198" s="902">
        <v>0</v>
      </c>
      <c r="JH198" s="902">
        <v>13.14486505047463</v>
      </c>
      <c r="JI198" s="902">
        <v>1.915520945011407</v>
      </c>
      <c r="JJ198" s="902">
        <v>3600</v>
      </c>
      <c r="JK198" s="909" t="s">
        <v>1064</v>
      </c>
      <c r="JL198" s="909">
        <v>3</v>
      </c>
      <c r="JM198" s="909">
        <v>0</v>
      </c>
      <c r="JN198" s="909">
        <v>0</v>
      </c>
      <c r="JO198" s="909">
        <v>0</v>
      </c>
      <c r="JP198" s="910">
        <v>40768.499951067708</v>
      </c>
      <c r="JQ198" s="909">
        <v>0</v>
      </c>
      <c r="JR198" s="909">
        <v>0</v>
      </c>
      <c r="JS198" s="909">
        <v>0</v>
      </c>
      <c r="JT198" s="910">
        <v>53446.911359663907</v>
      </c>
      <c r="JU198" s="871">
        <v>4000</v>
      </c>
      <c r="JV198" s="911">
        <v>162.73449945595127</v>
      </c>
      <c r="JW198" s="908">
        <v>3.5607600000000006</v>
      </c>
      <c r="JX198" s="902">
        <v>35.947908476629728</v>
      </c>
      <c r="JY198" s="902">
        <v>0</v>
      </c>
      <c r="JZ198" s="902">
        <v>0</v>
      </c>
      <c r="KA198" s="902">
        <v>13.14486505047463</v>
      </c>
      <c r="KB198" s="902">
        <v>1.915520945011407</v>
      </c>
      <c r="KC198" s="902">
        <v>3600</v>
      </c>
      <c r="KD198" s="909" t="s">
        <v>1064</v>
      </c>
      <c r="KE198" s="909">
        <v>3</v>
      </c>
      <c r="KF198" s="909">
        <v>0</v>
      </c>
      <c r="KG198" s="909">
        <v>0</v>
      </c>
      <c r="KH198" s="909">
        <v>0</v>
      </c>
      <c r="KI198" s="910">
        <v>40768.499951067708</v>
      </c>
      <c r="KJ198" s="909">
        <v>0</v>
      </c>
      <c r="KK198" s="909">
        <v>0</v>
      </c>
      <c r="KL198" s="909">
        <v>0</v>
      </c>
      <c r="KM198" s="910">
        <v>53446.911359663907</v>
      </c>
      <c r="KN198" s="871">
        <v>4000</v>
      </c>
      <c r="KO198" s="912">
        <v>162.73449945595127</v>
      </c>
    </row>
    <row r="199" spans="1:301" ht="15" customHeight="1">
      <c r="A199" s="924" t="s">
        <v>1637</v>
      </c>
      <c r="B199" s="888" t="s">
        <v>1073</v>
      </c>
      <c r="C199" s="888">
        <v>230</v>
      </c>
      <c r="D199" s="888">
        <v>200</v>
      </c>
      <c r="E199" s="888">
        <v>0</v>
      </c>
      <c r="F199" s="888">
        <v>214.60209229843403</v>
      </c>
      <c r="G199" s="888">
        <v>45.726365485241445</v>
      </c>
      <c r="H199" s="888">
        <v>29.679130201698506</v>
      </c>
      <c r="I199" s="888">
        <v>0</v>
      </c>
      <c r="J199" s="888">
        <v>46.87</v>
      </c>
      <c r="K199" s="888">
        <v>74.2</v>
      </c>
      <c r="L199" s="888">
        <v>16</v>
      </c>
      <c r="M199" s="888">
        <v>230.376705686397</v>
      </c>
      <c r="N199" s="888">
        <v>4</v>
      </c>
      <c r="O199" s="884">
        <v>0.98646009322719508</v>
      </c>
      <c r="P199" s="888">
        <v>4</v>
      </c>
      <c r="Q199" s="884">
        <v>0.18742741771316707</v>
      </c>
      <c r="R199" s="888">
        <v>7</v>
      </c>
      <c r="S199" s="888">
        <v>180</v>
      </c>
      <c r="T199" s="906">
        <v>1.398307182149549</v>
      </c>
      <c r="U199" s="906">
        <v>27</v>
      </c>
      <c r="V199" s="906">
        <v>60</v>
      </c>
      <c r="W199" s="1141">
        <v>0.20225514598948835</v>
      </c>
      <c r="X199" s="902">
        <v>0</v>
      </c>
      <c r="Y199" s="902">
        <v>0</v>
      </c>
      <c r="Z199" s="902">
        <v>0</v>
      </c>
      <c r="AA199" s="902">
        <v>0</v>
      </c>
      <c r="AB199" s="970">
        <v>0.22082952328769082</v>
      </c>
      <c r="AC199" s="1045">
        <v>4000</v>
      </c>
      <c r="AD199" s="890"/>
      <c r="AE199" s="890"/>
      <c r="AF199" s="890"/>
      <c r="AG199" s="890"/>
      <c r="AH199" s="888"/>
      <c r="AI199" s="907">
        <v>0.15196666435222098</v>
      </c>
      <c r="AJ199" s="908">
        <v>1.2881624378763332</v>
      </c>
      <c r="AK199" s="902">
        <v>4.0626122769557327</v>
      </c>
      <c r="AL199" s="902">
        <v>0</v>
      </c>
      <c r="AM199" s="902">
        <v>0</v>
      </c>
      <c r="AN199" s="902">
        <v>14.702272376431686</v>
      </c>
      <c r="AO199" s="902">
        <v>2.7250448993984731E-2</v>
      </c>
      <c r="AP199" s="1222">
        <v>3600</v>
      </c>
      <c r="AQ199" s="909" t="s">
        <v>1062</v>
      </c>
      <c r="AR199" s="909">
        <v>3</v>
      </c>
      <c r="AS199" s="909">
        <v>0</v>
      </c>
      <c r="AT199" s="909">
        <v>0</v>
      </c>
      <c r="AU199" s="909">
        <v>0</v>
      </c>
      <c r="AV199" s="910">
        <v>39278.403838512779</v>
      </c>
      <c r="AW199" s="909">
        <v>0</v>
      </c>
      <c r="AX199" s="909">
        <v>0</v>
      </c>
      <c r="AY199" s="909">
        <v>0</v>
      </c>
      <c r="AZ199" s="910">
        <v>54080.170374728325</v>
      </c>
      <c r="BA199" s="871">
        <v>4000</v>
      </c>
      <c r="BB199" s="911">
        <v>41.887902047863911</v>
      </c>
      <c r="BC199" s="908">
        <v>1.2881624378763332</v>
      </c>
      <c r="BD199" s="902">
        <v>4.0626122769557327</v>
      </c>
      <c r="BE199" s="902">
        <v>0</v>
      </c>
      <c r="BF199" s="902">
        <v>0</v>
      </c>
      <c r="BG199" s="902">
        <v>14.702272376431686</v>
      </c>
      <c r="BH199" s="902">
        <v>2.7250448993984731E-2</v>
      </c>
      <c r="BI199" s="902">
        <v>3600</v>
      </c>
      <c r="BJ199" s="909" t="s">
        <v>1062</v>
      </c>
      <c r="BK199" s="909">
        <v>3</v>
      </c>
      <c r="BL199" s="909">
        <v>0</v>
      </c>
      <c r="BM199" s="909">
        <v>0</v>
      </c>
      <c r="BN199" s="909">
        <v>0</v>
      </c>
      <c r="BO199" s="910">
        <v>39278.403838512779</v>
      </c>
      <c r="BP199" s="909">
        <v>0</v>
      </c>
      <c r="BQ199" s="909">
        <v>0</v>
      </c>
      <c r="BR199" s="909">
        <v>0</v>
      </c>
      <c r="BS199" s="910">
        <v>54080.170374728325</v>
      </c>
      <c r="BT199" s="871">
        <v>4000</v>
      </c>
      <c r="BU199" s="911">
        <v>41.887902047863911</v>
      </c>
      <c r="BV199" s="908">
        <v>1.2881624378763332</v>
      </c>
      <c r="BW199" s="902">
        <v>4.0626122769557327</v>
      </c>
      <c r="BX199" s="902">
        <v>0</v>
      </c>
      <c r="BY199" s="902">
        <v>0</v>
      </c>
      <c r="BZ199" s="902">
        <v>14.702272376431686</v>
      </c>
      <c r="CA199" s="902">
        <v>2.7250448993984731E-2</v>
      </c>
      <c r="CB199" s="902">
        <v>3600</v>
      </c>
      <c r="CC199" s="909" t="s">
        <v>2874</v>
      </c>
      <c r="CD199" s="909">
        <v>3</v>
      </c>
      <c r="CE199" s="909">
        <v>0</v>
      </c>
      <c r="CF199" s="909">
        <v>0</v>
      </c>
      <c r="CG199" s="909">
        <v>0</v>
      </c>
      <c r="CH199" s="910">
        <v>38484.818926132983</v>
      </c>
      <c r="CI199" s="909">
        <v>0</v>
      </c>
      <c r="CJ199" s="909">
        <v>0</v>
      </c>
      <c r="CK199" s="909">
        <v>0</v>
      </c>
      <c r="CL199" s="910">
        <v>52987.529048345481</v>
      </c>
      <c r="CM199" s="871">
        <v>4000</v>
      </c>
      <c r="CN199" s="911">
        <v>41.887902047863911</v>
      </c>
      <c r="CO199" s="908">
        <v>1.2881624378763332</v>
      </c>
      <c r="CP199" s="902">
        <v>4.0626122769557327</v>
      </c>
      <c r="CQ199" s="902">
        <v>0</v>
      </c>
      <c r="CR199" s="902">
        <v>0</v>
      </c>
      <c r="CS199" s="902">
        <v>14.702272376431686</v>
      </c>
      <c r="CT199" s="902">
        <v>2.7250448993984731E-2</v>
      </c>
      <c r="CU199" s="902">
        <v>3600</v>
      </c>
      <c r="CV199" s="909" t="s">
        <v>2874</v>
      </c>
      <c r="CW199" s="909">
        <v>3</v>
      </c>
      <c r="CX199" s="909">
        <v>0</v>
      </c>
      <c r="CY199" s="909">
        <v>0</v>
      </c>
      <c r="CZ199" s="909">
        <v>0</v>
      </c>
      <c r="DA199" s="910">
        <v>38484.818926132983</v>
      </c>
      <c r="DB199" s="909">
        <v>0</v>
      </c>
      <c r="DC199" s="909">
        <v>0</v>
      </c>
      <c r="DD199" s="909">
        <v>0</v>
      </c>
      <c r="DE199" s="910">
        <v>52987.529048345481</v>
      </c>
      <c r="DF199" s="871">
        <v>4000</v>
      </c>
      <c r="DG199" s="911">
        <v>41.887902047863911</v>
      </c>
      <c r="DH199" s="908">
        <v>0.85877495858422215</v>
      </c>
      <c r="DI199" s="902">
        <v>3.6332247976636216</v>
      </c>
      <c r="DJ199" s="902">
        <v>0</v>
      </c>
      <c r="DK199" s="902">
        <v>0</v>
      </c>
      <c r="DL199" s="902">
        <v>14.686046632045953</v>
      </c>
      <c r="DM199" s="902">
        <v>2.2264186890705091E-2</v>
      </c>
      <c r="DN199" s="902">
        <v>3600</v>
      </c>
      <c r="DO199" s="909" t="s">
        <v>2876</v>
      </c>
      <c r="DP199" s="909">
        <v>2</v>
      </c>
      <c r="DQ199" s="909">
        <v>0</v>
      </c>
      <c r="DR199" s="909">
        <v>0</v>
      </c>
      <c r="DS199" s="909">
        <v>0</v>
      </c>
      <c r="DT199" s="910">
        <v>24595.350110893738</v>
      </c>
      <c r="DU199" s="909">
        <v>0</v>
      </c>
      <c r="DV199" s="909">
        <v>0</v>
      </c>
      <c r="DW199" s="909">
        <v>0</v>
      </c>
      <c r="DX199" s="910">
        <v>33863.919977293808</v>
      </c>
      <c r="DY199" s="871">
        <v>4000</v>
      </c>
      <c r="DZ199" s="911">
        <v>41.887902047863911</v>
      </c>
      <c r="EA199" s="908">
        <v>0.85877495858422215</v>
      </c>
      <c r="EB199" s="902">
        <v>3.6332247976636216</v>
      </c>
      <c r="EC199" s="902">
        <v>0</v>
      </c>
      <c r="ED199" s="902">
        <v>0</v>
      </c>
      <c r="EE199" s="902">
        <v>14.686046632045953</v>
      </c>
      <c r="EF199" s="902">
        <v>2.2264186890705091E-2</v>
      </c>
      <c r="EG199" s="902">
        <v>3600</v>
      </c>
      <c r="EH199" s="909" t="s">
        <v>2876</v>
      </c>
      <c r="EI199" s="909">
        <v>2</v>
      </c>
      <c r="EJ199" s="909">
        <v>0</v>
      </c>
      <c r="EK199" s="909">
        <v>0</v>
      </c>
      <c r="EL199" s="909">
        <v>0</v>
      </c>
      <c r="EM199" s="910">
        <v>24595.350110893738</v>
      </c>
      <c r="EN199" s="909">
        <v>0</v>
      </c>
      <c r="EO199" s="909">
        <v>0</v>
      </c>
      <c r="EP199" s="909">
        <v>0</v>
      </c>
      <c r="EQ199" s="910">
        <v>33863.919977293808</v>
      </c>
      <c r="ER199" s="871">
        <v>4000</v>
      </c>
      <c r="ES199" s="911">
        <v>41.887902047863911</v>
      </c>
      <c r="ET199" s="908">
        <v>0.85877495858422215</v>
      </c>
      <c r="EU199" s="902">
        <v>3.6332247976636216</v>
      </c>
      <c r="EV199" s="902">
        <v>0</v>
      </c>
      <c r="EW199" s="902">
        <v>0</v>
      </c>
      <c r="EX199" s="902">
        <v>14.686046632045953</v>
      </c>
      <c r="EY199" s="902">
        <v>2.2264186890705091E-2</v>
      </c>
      <c r="EZ199" s="902">
        <v>3600</v>
      </c>
      <c r="FA199" s="909" t="s">
        <v>3889</v>
      </c>
      <c r="FB199" s="909">
        <v>2</v>
      </c>
      <c r="FC199" s="909">
        <v>0</v>
      </c>
      <c r="FD199" s="909">
        <v>0</v>
      </c>
      <c r="FE199" s="909">
        <v>0</v>
      </c>
      <c r="FF199" s="910">
        <v>25815.686684332461</v>
      </c>
      <c r="FG199" s="909">
        <v>0</v>
      </c>
      <c r="FH199" s="909">
        <v>0</v>
      </c>
      <c r="FI199" s="909">
        <v>0</v>
      </c>
      <c r="FJ199" s="910">
        <v>35544.131069307921</v>
      </c>
      <c r="FK199" s="871">
        <v>4000</v>
      </c>
      <c r="FL199" s="911">
        <v>41.887902047863911</v>
      </c>
      <c r="FM199" s="908">
        <v>0.85877495858422215</v>
      </c>
      <c r="FN199" s="902">
        <v>3.6332247976636216</v>
      </c>
      <c r="FO199" s="902">
        <v>0</v>
      </c>
      <c r="FP199" s="902">
        <v>0</v>
      </c>
      <c r="FQ199" s="902">
        <v>14.686046632045953</v>
      </c>
      <c r="FR199" s="902">
        <v>2.2264186890705091E-2</v>
      </c>
      <c r="FS199" s="902">
        <v>3600</v>
      </c>
      <c r="FT199" s="909" t="s">
        <v>3889</v>
      </c>
      <c r="FU199" s="909">
        <v>2</v>
      </c>
      <c r="FV199" s="909">
        <v>0</v>
      </c>
      <c r="FW199" s="909">
        <v>0</v>
      </c>
      <c r="FX199" s="909">
        <v>0</v>
      </c>
      <c r="FY199" s="910">
        <v>25815.686684332461</v>
      </c>
      <c r="FZ199" s="909">
        <v>0</v>
      </c>
      <c r="GA199" s="909">
        <v>0</v>
      </c>
      <c r="GB199" s="909">
        <v>0</v>
      </c>
      <c r="GC199" s="910">
        <v>35544.131069307921</v>
      </c>
      <c r="GD199" s="871">
        <v>4000</v>
      </c>
      <c r="GE199" s="911">
        <v>41.887902047863911</v>
      </c>
      <c r="GF199" s="908">
        <v>0.85877495858422215</v>
      </c>
      <c r="GG199" s="902">
        <v>3.6332247976636216</v>
      </c>
      <c r="GH199" s="902">
        <v>0</v>
      </c>
      <c r="GI199" s="902">
        <v>0</v>
      </c>
      <c r="GJ199" s="902">
        <v>14.686046632045953</v>
      </c>
      <c r="GK199" s="902">
        <v>2.2264186890705091E-2</v>
      </c>
      <c r="GL199" s="902">
        <v>3600</v>
      </c>
      <c r="GM199" s="909" t="s">
        <v>2877</v>
      </c>
      <c r="GN199" s="909">
        <v>2</v>
      </c>
      <c r="GO199" s="909">
        <v>0</v>
      </c>
      <c r="GP199" s="909">
        <v>0</v>
      </c>
      <c r="GQ199" s="909">
        <v>0</v>
      </c>
      <c r="GR199" s="910">
        <v>30377.236190817395</v>
      </c>
      <c r="GS199" s="909">
        <v>0</v>
      </c>
      <c r="GT199" s="909">
        <v>0</v>
      </c>
      <c r="GU199" s="909">
        <v>0</v>
      </c>
      <c r="GV199" s="910">
        <v>41824.665672946314</v>
      </c>
      <c r="GW199" s="871">
        <v>4000</v>
      </c>
      <c r="GX199" s="911">
        <v>41.887902047863911</v>
      </c>
      <c r="GY199" s="908">
        <v>0.85877495858422215</v>
      </c>
      <c r="GZ199" s="902">
        <v>3.6332247976636216</v>
      </c>
      <c r="HA199" s="902">
        <v>0</v>
      </c>
      <c r="HB199" s="902">
        <v>0</v>
      </c>
      <c r="HC199" s="902">
        <v>14.686046632045953</v>
      </c>
      <c r="HD199" s="902">
        <v>2.2264186890705091E-2</v>
      </c>
      <c r="HE199" s="902">
        <v>3600</v>
      </c>
      <c r="HF199" s="909" t="s">
        <v>2877</v>
      </c>
      <c r="HG199" s="909">
        <v>2</v>
      </c>
      <c r="HH199" s="909">
        <v>0</v>
      </c>
      <c r="HI199" s="909">
        <v>0</v>
      </c>
      <c r="HJ199" s="909">
        <v>0</v>
      </c>
      <c r="HK199" s="910">
        <v>30377.236190817395</v>
      </c>
      <c r="HL199" s="909">
        <v>0</v>
      </c>
      <c r="HM199" s="909">
        <v>0</v>
      </c>
      <c r="HN199" s="909">
        <v>0</v>
      </c>
      <c r="HO199" s="910">
        <v>41824.665672946314</v>
      </c>
      <c r="HP199" s="871">
        <v>4000</v>
      </c>
      <c r="HQ199" s="911">
        <v>41.887902047863911</v>
      </c>
      <c r="HR199" s="908">
        <v>0.85877495858422215</v>
      </c>
      <c r="HS199" s="902">
        <v>3.6332247976636216</v>
      </c>
      <c r="HT199" s="902">
        <v>0</v>
      </c>
      <c r="HU199" s="902">
        <v>0</v>
      </c>
      <c r="HV199" s="902">
        <v>14.686046632045953</v>
      </c>
      <c r="HW199" s="902">
        <v>2.2264186890705091E-2</v>
      </c>
      <c r="HX199" s="902">
        <v>3600</v>
      </c>
      <c r="HY199" s="909" t="s">
        <v>1063</v>
      </c>
      <c r="HZ199" s="909">
        <v>2</v>
      </c>
      <c r="IA199" s="909">
        <v>0</v>
      </c>
      <c r="IB199" s="909">
        <v>0</v>
      </c>
      <c r="IC199" s="909">
        <v>0</v>
      </c>
      <c r="ID199" s="910">
        <v>26790.204159457946</v>
      </c>
      <c r="IE199" s="909">
        <v>0</v>
      </c>
      <c r="IF199" s="909">
        <v>0</v>
      </c>
      <c r="IG199" s="909">
        <v>0</v>
      </c>
      <c r="IH199" s="910">
        <v>36885.888013011958</v>
      </c>
      <c r="II199" s="871">
        <v>4000</v>
      </c>
      <c r="IJ199" s="911">
        <v>41.887902047863911</v>
      </c>
      <c r="IK199" s="908">
        <v>0.85877495858422215</v>
      </c>
      <c r="IL199" s="902">
        <v>3.6332247976636216</v>
      </c>
      <c r="IM199" s="902">
        <v>0</v>
      </c>
      <c r="IN199" s="902">
        <v>0</v>
      </c>
      <c r="IO199" s="902">
        <v>14.686046632045953</v>
      </c>
      <c r="IP199" s="902">
        <v>2.2264186890705091E-2</v>
      </c>
      <c r="IQ199" s="902">
        <v>3600</v>
      </c>
      <c r="IR199" s="909" t="s">
        <v>1063</v>
      </c>
      <c r="IS199" s="909">
        <v>2</v>
      </c>
      <c r="IT199" s="909">
        <v>0</v>
      </c>
      <c r="IU199" s="909">
        <v>0</v>
      </c>
      <c r="IV199" s="909">
        <v>0</v>
      </c>
      <c r="IW199" s="910">
        <v>26790.204159457946</v>
      </c>
      <c r="IX199" s="909">
        <v>0</v>
      </c>
      <c r="IY199" s="909">
        <v>0</v>
      </c>
      <c r="IZ199" s="909">
        <v>0</v>
      </c>
      <c r="JA199" s="910">
        <v>36885.888013011958</v>
      </c>
      <c r="JB199" s="871">
        <v>4000</v>
      </c>
      <c r="JC199" s="911">
        <v>41.887902047863911</v>
      </c>
      <c r="JD199" s="908">
        <v>0.85877495858422215</v>
      </c>
      <c r="JE199" s="902">
        <v>3.6332247976636216</v>
      </c>
      <c r="JF199" s="902">
        <v>0</v>
      </c>
      <c r="JG199" s="902">
        <v>0</v>
      </c>
      <c r="JH199" s="902">
        <v>14.686046632045953</v>
      </c>
      <c r="JI199" s="902">
        <v>2.2264186890705091E-2</v>
      </c>
      <c r="JJ199" s="902">
        <v>3600</v>
      </c>
      <c r="JK199" s="909" t="s">
        <v>1064</v>
      </c>
      <c r="JL199" s="909">
        <v>2</v>
      </c>
      <c r="JM199" s="909">
        <v>0</v>
      </c>
      <c r="JN199" s="909">
        <v>0</v>
      </c>
      <c r="JO199" s="909">
        <v>0</v>
      </c>
      <c r="JP199" s="910">
        <v>36508.8942309575</v>
      </c>
      <c r="JQ199" s="909">
        <v>0</v>
      </c>
      <c r="JR199" s="909">
        <v>0</v>
      </c>
      <c r="JS199" s="909">
        <v>0</v>
      </c>
      <c r="JT199" s="910">
        <v>50266.992220982153</v>
      </c>
      <c r="JU199" s="871">
        <v>4000</v>
      </c>
      <c r="JV199" s="911">
        <v>41.887902047863911</v>
      </c>
      <c r="JW199" s="908">
        <v>0.85877495858422215</v>
      </c>
      <c r="JX199" s="902">
        <v>3.6332247976636216</v>
      </c>
      <c r="JY199" s="902">
        <v>0</v>
      </c>
      <c r="JZ199" s="902">
        <v>0</v>
      </c>
      <c r="KA199" s="902">
        <v>14.686046632045953</v>
      </c>
      <c r="KB199" s="902">
        <v>2.2264186890705091E-2</v>
      </c>
      <c r="KC199" s="902">
        <v>3600</v>
      </c>
      <c r="KD199" s="909" t="s">
        <v>1064</v>
      </c>
      <c r="KE199" s="909">
        <v>2</v>
      </c>
      <c r="KF199" s="909">
        <v>0</v>
      </c>
      <c r="KG199" s="909">
        <v>0</v>
      </c>
      <c r="KH199" s="909">
        <v>0</v>
      </c>
      <c r="KI199" s="910">
        <v>36508.8942309575</v>
      </c>
      <c r="KJ199" s="909">
        <v>0</v>
      </c>
      <c r="KK199" s="909">
        <v>0</v>
      </c>
      <c r="KL199" s="909">
        <v>0</v>
      </c>
      <c r="KM199" s="910">
        <v>50266.992220982153</v>
      </c>
      <c r="KN199" s="871">
        <v>4000</v>
      </c>
      <c r="KO199" s="912">
        <v>41.887902047863911</v>
      </c>
    </row>
    <row r="200" spans="1:301" ht="15" customHeight="1">
      <c r="A200" s="924" t="s">
        <v>1714</v>
      </c>
      <c r="B200" s="888" t="s">
        <v>1073</v>
      </c>
      <c r="C200" s="888">
        <v>230</v>
      </c>
      <c r="D200" s="888">
        <v>200</v>
      </c>
      <c r="E200" s="888">
        <v>0</v>
      </c>
      <c r="F200" s="888">
        <v>212.51592415822185</v>
      </c>
      <c r="G200" s="888">
        <v>50.726365485241438</v>
      </c>
      <c r="H200" s="888">
        <v>34.284679362746786</v>
      </c>
      <c r="I200" s="888">
        <v>0</v>
      </c>
      <c r="J200" s="888">
        <v>128.19999999999999</v>
      </c>
      <c r="K200" s="888">
        <v>59.48</v>
      </c>
      <c r="L200" s="888">
        <v>16</v>
      </c>
      <c r="M200" s="888">
        <v>239.50946875120258</v>
      </c>
      <c r="N200" s="888">
        <v>4</v>
      </c>
      <c r="O200" s="884">
        <v>0.98646009322719508</v>
      </c>
      <c r="P200" s="888">
        <v>4</v>
      </c>
      <c r="Q200" s="884">
        <v>0.18742741771316707</v>
      </c>
      <c r="R200" s="888">
        <v>7</v>
      </c>
      <c r="S200" s="888">
        <v>180</v>
      </c>
      <c r="T200" s="906">
        <v>1.398307182149549</v>
      </c>
      <c r="U200" s="906">
        <v>27</v>
      </c>
      <c r="V200" s="906">
        <v>60</v>
      </c>
      <c r="W200" s="1141">
        <v>0.20225514598948835</v>
      </c>
      <c r="X200" s="902">
        <v>0</v>
      </c>
      <c r="Y200" s="902">
        <v>0</v>
      </c>
      <c r="Z200" s="902">
        <v>0</v>
      </c>
      <c r="AA200" s="902">
        <v>0</v>
      </c>
      <c r="AB200" s="970">
        <v>0.23231816577124081</v>
      </c>
      <c r="AC200" s="1045">
        <v>4000</v>
      </c>
      <c r="AD200" s="890"/>
      <c r="AE200" s="890"/>
      <c r="AF200" s="890"/>
      <c r="AG200" s="890"/>
      <c r="AH200" s="888"/>
      <c r="AI200" s="907">
        <v>0.17395266590377051</v>
      </c>
      <c r="AJ200" s="908">
        <v>1.0313650707638864</v>
      </c>
      <c r="AK200" s="902">
        <v>3.8058149098432859</v>
      </c>
      <c r="AL200" s="902">
        <v>0</v>
      </c>
      <c r="AM200" s="902">
        <v>0</v>
      </c>
      <c r="AN200" s="902">
        <v>16.510803657080587</v>
      </c>
      <c r="AO200" s="902">
        <v>2.4268389568391439E-2</v>
      </c>
      <c r="AP200" s="1222">
        <v>3600</v>
      </c>
      <c r="AQ200" s="909" t="s">
        <v>1064</v>
      </c>
      <c r="AR200" s="909">
        <v>2</v>
      </c>
      <c r="AS200" s="909">
        <v>0</v>
      </c>
      <c r="AT200" s="909">
        <v>0</v>
      </c>
      <c r="AU200" s="909">
        <v>0</v>
      </c>
      <c r="AV200" s="910">
        <v>13073.463515265643</v>
      </c>
      <c r="AW200" s="909">
        <v>0</v>
      </c>
      <c r="AX200" s="909">
        <v>0</v>
      </c>
      <c r="AY200" s="909">
        <v>0</v>
      </c>
      <c r="AZ200" s="910">
        <v>12522.957577636493</v>
      </c>
      <c r="BA200" s="871">
        <v>4000</v>
      </c>
      <c r="BB200" s="911">
        <v>41.887902047863911</v>
      </c>
      <c r="BC200" s="908">
        <v>1.0313650707638864</v>
      </c>
      <c r="BD200" s="902">
        <v>3.8058149098432859</v>
      </c>
      <c r="BE200" s="902">
        <v>0</v>
      </c>
      <c r="BF200" s="902">
        <v>0</v>
      </c>
      <c r="BG200" s="902">
        <v>16.510803657080587</v>
      </c>
      <c r="BH200" s="902">
        <v>2.4268389568391439E-2</v>
      </c>
      <c r="BI200" s="902">
        <v>3600</v>
      </c>
      <c r="BJ200" s="909" t="s">
        <v>1064</v>
      </c>
      <c r="BK200" s="909">
        <v>2</v>
      </c>
      <c r="BL200" s="909">
        <v>0</v>
      </c>
      <c r="BM200" s="909">
        <v>0</v>
      </c>
      <c r="BN200" s="909">
        <v>0</v>
      </c>
      <c r="BO200" s="910">
        <v>13073.463515265643</v>
      </c>
      <c r="BP200" s="909">
        <v>0</v>
      </c>
      <c r="BQ200" s="909">
        <v>0</v>
      </c>
      <c r="BR200" s="909">
        <v>0</v>
      </c>
      <c r="BS200" s="910">
        <v>12522.957577636493</v>
      </c>
      <c r="BT200" s="871">
        <v>4000</v>
      </c>
      <c r="BU200" s="911">
        <v>41.887902047863911</v>
      </c>
      <c r="BV200" s="908">
        <v>1.5470476061458296</v>
      </c>
      <c r="BW200" s="902">
        <v>4.3603383464674375</v>
      </c>
      <c r="BX200" s="902">
        <v>0</v>
      </c>
      <c r="BY200" s="902">
        <v>3.8840901242208389E-2</v>
      </c>
      <c r="BZ200" s="902">
        <v>16.438418816501063</v>
      </c>
      <c r="CA200" s="902">
        <v>3.062504594544288E-2</v>
      </c>
      <c r="CB200" s="902">
        <v>3600</v>
      </c>
      <c r="CC200" s="909" t="s">
        <v>2874</v>
      </c>
      <c r="CD200" s="909">
        <v>3</v>
      </c>
      <c r="CE200" s="909">
        <v>0</v>
      </c>
      <c r="CF200" s="909">
        <v>0</v>
      </c>
      <c r="CG200" s="909">
        <v>0</v>
      </c>
      <c r="CH200" s="910">
        <v>12723.68149370472</v>
      </c>
      <c r="CI200" s="909">
        <v>1</v>
      </c>
      <c r="CJ200" s="909">
        <v>3</v>
      </c>
      <c r="CK200" s="909">
        <v>5.3206426730718208</v>
      </c>
      <c r="CL200" s="910">
        <v>10943.945720432985</v>
      </c>
      <c r="CM200" s="871">
        <v>4000</v>
      </c>
      <c r="CN200" s="911">
        <v>41.887902047863911</v>
      </c>
      <c r="CO200" s="908">
        <v>1.5470476061458296</v>
      </c>
      <c r="CP200" s="902">
        <v>4.3603383464674375</v>
      </c>
      <c r="CQ200" s="902">
        <v>0</v>
      </c>
      <c r="CR200" s="902">
        <v>3.8840901242208389E-2</v>
      </c>
      <c r="CS200" s="902">
        <v>16.438418816501063</v>
      </c>
      <c r="CT200" s="902">
        <v>3.062504594544288E-2</v>
      </c>
      <c r="CU200" s="902">
        <v>3600</v>
      </c>
      <c r="CV200" s="909" t="s">
        <v>2874</v>
      </c>
      <c r="CW200" s="909">
        <v>3</v>
      </c>
      <c r="CX200" s="909">
        <v>0</v>
      </c>
      <c r="CY200" s="909">
        <v>0</v>
      </c>
      <c r="CZ200" s="909">
        <v>0</v>
      </c>
      <c r="DA200" s="910">
        <v>12723.68149370472</v>
      </c>
      <c r="DB200" s="909">
        <v>1</v>
      </c>
      <c r="DC200" s="909">
        <v>3</v>
      </c>
      <c r="DD200" s="909">
        <v>5.3206426730718208</v>
      </c>
      <c r="DE200" s="910">
        <v>10943.945720432985</v>
      </c>
      <c r="DF200" s="871">
        <v>4000</v>
      </c>
      <c r="DG200" s="911">
        <v>41.887902047863911</v>
      </c>
      <c r="DH200" s="908">
        <v>1.0313650707638864</v>
      </c>
      <c r="DI200" s="902">
        <v>3.8058149098432859</v>
      </c>
      <c r="DJ200" s="902">
        <v>0</v>
      </c>
      <c r="DK200" s="902">
        <v>0</v>
      </c>
      <c r="DL200" s="902">
        <v>16.510803657080587</v>
      </c>
      <c r="DM200" s="902">
        <v>2.4268389568391439E-2</v>
      </c>
      <c r="DN200" s="902">
        <v>3600</v>
      </c>
      <c r="DO200" s="909" t="s">
        <v>2876</v>
      </c>
      <c r="DP200" s="909">
        <v>2</v>
      </c>
      <c r="DQ200" s="909">
        <v>0</v>
      </c>
      <c r="DR200" s="909">
        <v>0</v>
      </c>
      <c r="DS200" s="909">
        <v>0</v>
      </c>
      <c r="DT200" s="910">
        <v>8807.3445962463793</v>
      </c>
      <c r="DU200" s="909">
        <v>0</v>
      </c>
      <c r="DV200" s="909">
        <v>0</v>
      </c>
      <c r="DW200" s="909">
        <v>0</v>
      </c>
      <c r="DX200" s="910">
        <v>8436.4791794944831</v>
      </c>
      <c r="DY200" s="871">
        <v>4000</v>
      </c>
      <c r="DZ200" s="911">
        <v>41.887902047863911</v>
      </c>
      <c r="EA200" s="908">
        <v>1.0313650707638864</v>
      </c>
      <c r="EB200" s="902">
        <v>3.8058149098432859</v>
      </c>
      <c r="EC200" s="902">
        <v>0</v>
      </c>
      <c r="ED200" s="902">
        <v>0</v>
      </c>
      <c r="EE200" s="902">
        <v>16.510803657080587</v>
      </c>
      <c r="EF200" s="902">
        <v>2.4268389568391439E-2</v>
      </c>
      <c r="EG200" s="902">
        <v>3600</v>
      </c>
      <c r="EH200" s="909" t="s">
        <v>2876</v>
      </c>
      <c r="EI200" s="909">
        <v>2</v>
      </c>
      <c r="EJ200" s="909">
        <v>0</v>
      </c>
      <c r="EK200" s="909">
        <v>0</v>
      </c>
      <c r="EL200" s="909">
        <v>0</v>
      </c>
      <c r="EM200" s="910">
        <v>8807.3445962463793</v>
      </c>
      <c r="EN200" s="909">
        <v>0</v>
      </c>
      <c r="EO200" s="909">
        <v>0</v>
      </c>
      <c r="EP200" s="909">
        <v>0</v>
      </c>
      <c r="EQ200" s="910">
        <v>8436.4791794944831</v>
      </c>
      <c r="ER200" s="871">
        <v>4000</v>
      </c>
      <c r="ES200" s="911">
        <v>41.887902047863911</v>
      </c>
      <c r="ET200" s="908">
        <v>1.0313650707638864</v>
      </c>
      <c r="EU200" s="902">
        <v>3.8058149098432859</v>
      </c>
      <c r="EV200" s="902">
        <v>0</v>
      </c>
      <c r="EW200" s="902">
        <v>0</v>
      </c>
      <c r="EX200" s="902">
        <v>16.510803657080587</v>
      </c>
      <c r="EY200" s="902">
        <v>2.4268389568391439E-2</v>
      </c>
      <c r="EZ200" s="902">
        <v>3600</v>
      </c>
      <c r="FA200" s="909" t="s">
        <v>3889</v>
      </c>
      <c r="FB200" s="909">
        <v>2</v>
      </c>
      <c r="FC200" s="909">
        <v>0</v>
      </c>
      <c r="FD200" s="909">
        <v>0</v>
      </c>
      <c r="FE200" s="909">
        <v>0</v>
      </c>
      <c r="FF200" s="910">
        <v>9244.3347052392564</v>
      </c>
      <c r="FG200" s="909">
        <v>0</v>
      </c>
      <c r="FH200" s="909">
        <v>0</v>
      </c>
      <c r="FI200" s="909">
        <v>0</v>
      </c>
      <c r="FJ200" s="910">
        <v>8855.0682236582252</v>
      </c>
      <c r="FK200" s="871">
        <v>4000</v>
      </c>
      <c r="FL200" s="911">
        <v>41.887902047863911</v>
      </c>
      <c r="FM200" s="908">
        <v>1.0313650707638864</v>
      </c>
      <c r="FN200" s="902">
        <v>3.8058149098432859</v>
      </c>
      <c r="FO200" s="902">
        <v>0</v>
      </c>
      <c r="FP200" s="902">
        <v>0</v>
      </c>
      <c r="FQ200" s="902">
        <v>16.510803657080587</v>
      </c>
      <c r="FR200" s="902">
        <v>2.4268389568391439E-2</v>
      </c>
      <c r="FS200" s="902">
        <v>3600</v>
      </c>
      <c r="FT200" s="909" t="s">
        <v>3889</v>
      </c>
      <c r="FU200" s="909">
        <v>2</v>
      </c>
      <c r="FV200" s="909">
        <v>0</v>
      </c>
      <c r="FW200" s="909">
        <v>0</v>
      </c>
      <c r="FX200" s="909">
        <v>0</v>
      </c>
      <c r="FY200" s="910">
        <v>9244.3347052392564</v>
      </c>
      <c r="FZ200" s="909">
        <v>0</v>
      </c>
      <c r="GA200" s="909">
        <v>0</v>
      </c>
      <c r="GB200" s="909">
        <v>0</v>
      </c>
      <c r="GC200" s="910">
        <v>8855.0682236582252</v>
      </c>
      <c r="GD200" s="871">
        <v>4000</v>
      </c>
      <c r="GE200" s="911">
        <v>41.887902047863911</v>
      </c>
      <c r="GF200" s="908">
        <v>1.0313650707638864</v>
      </c>
      <c r="GG200" s="902">
        <v>3.8058149098432859</v>
      </c>
      <c r="GH200" s="902">
        <v>0</v>
      </c>
      <c r="GI200" s="902">
        <v>0</v>
      </c>
      <c r="GJ200" s="902">
        <v>16.510803657080587</v>
      </c>
      <c r="GK200" s="902">
        <v>2.4268389568391439E-2</v>
      </c>
      <c r="GL200" s="902">
        <v>3600</v>
      </c>
      <c r="GM200" s="909" t="s">
        <v>2877</v>
      </c>
      <c r="GN200" s="909">
        <v>2</v>
      </c>
      <c r="GO200" s="909">
        <v>0</v>
      </c>
      <c r="GP200" s="909">
        <v>0</v>
      </c>
      <c r="GQ200" s="909">
        <v>0</v>
      </c>
      <c r="GR200" s="910">
        <v>10877.779165891841</v>
      </c>
      <c r="GS200" s="909">
        <v>0</v>
      </c>
      <c r="GT200" s="909">
        <v>0</v>
      </c>
      <c r="GU200" s="909">
        <v>0</v>
      </c>
      <c r="GV200" s="910">
        <v>10419.730538452774</v>
      </c>
      <c r="GW200" s="871">
        <v>4000</v>
      </c>
      <c r="GX200" s="911">
        <v>41.887902047863911</v>
      </c>
      <c r="GY200" s="908">
        <v>1.0313650707638864</v>
      </c>
      <c r="GZ200" s="902">
        <v>3.8058149098432859</v>
      </c>
      <c r="HA200" s="902">
        <v>0</v>
      </c>
      <c r="HB200" s="902">
        <v>0</v>
      </c>
      <c r="HC200" s="902">
        <v>16.510803657080587</v>
      </c>
      <c r="HD200" s="902">
        <v>2.4268389568391439E-2</v>
      </c>
      <c r="HE200" s="902">
        <v>3600</v>
      </c>
      <c r="HF200" s="909" t="s">
        <v>2877</v>
      </c>
      <c r="HG200" s="909">
        <v>2</v>
      </c>
      <c r="HH200" s="909">
        <v>0</v>
      </c>
      <c r="HI200" s="909">
        <v>0</v>
      </c>
      <c r="HJ200" s="909">
        <v>0</v>
      </c>
      <c r="HK200" s="910">
        <v>10877.779165891841</v>
      </c>
      <c r="HL200" s="909">
        <v>0</v>
      </c>
      <c r="HM200" s="909">
        <v>0</v>
      </c>
      <c r="HN200" s="909">
        <v>0</v>
      </c>
      <c r="HO200" s="910">
        <v>10419.730538452774</v>
      </c>
      <c r="HP200" s="871">
        <v>4000</v>
      </c>
      <c r="HQ200" s="911">
        <v>41.887902047863911</v>
      </c>
      <c r="HR200" s="908">
        <v>1.0313650707638864</v>
      </c>
      <c r="HS200" s="902">
        <v>3.8058149098432859</v>
      </c>
      <c r="HT200" s="902">
        <v>0</v>
      </c>
      <c r="HU200" s="902">
        <v>0</v>
      </c>
      <c r="HV200" s="902">
        <v>16.510803657080587</v>
      </c>
      <c r="HW200" s="902">
        <v>2.4268389568391439E-2</v>
      </c>
      <c r="HX200" s="902">
        <v>3600</v>
      </c>
      <c r="HY200" s="909" t="s">
        <v>1063</v>
      </c>
      <c r="HZ200" s="909">
        <v>2</v>
      </c>
      <c r="IA200" s="909">
        <v>0</v>
      </c>
      <c r="IB200" s="909">
        <v>0</v>
      </c>
      <c r="IC200" s="909">
        <v>0</v>
      </c>
      <c r="ID200" s="910">
        <v>9593.2994965431426</v>
      </c>
      <c r="IE200" s="909">
        <v>0</v>
      </c>
      <c r="IF200" s="909">
        <v>0</v>
      </c>
      <c r="IG200" s="909">
        <v>0</v>
      </c>
      <c r="IH200" s="910">
        <v>9189.338577683724</v>
      </c>
      <c r="II200" s="871">
        <v>4000</v>
      </c>
      <c r="IJ200" s="911">
        <v>41.887902047863911</v>
      </c>
      <c r="IK200" s="908">
        <v>1.0313650707638864</v>
      </c>
      <c r="IL200" s="902">
        <v>3.8058149098432859</v>
      </c>
      <c r="IM200" s="902">
        <v>0</v>
      </c>
      <c r="IN200" s="902">
        <v>0</v>
      </c>
      <c r="IO200" s="902">
        <v>16.510803657080587</v>
      </c>
      <c r="IP200" s="902">
        <v>2.4268389568391439E-2</v>
      </c>
      <c r="IQ200" s="902">
        <v>3600</v>
      </c>
      <c r="IR200" s="909" t="s">
        <v>1063</v>
      </c>
      <c r="IS200" s="909">
        <v>2</v>
      </c>
      <c r="IT200" s="909">
        <v>0</v>
      </c>
      <c r="IU200" s="909">
        <v>0</v>
      </c>
      <c r="IV200" s="909">
        <v>0</v>
      </c>
      <c r="IW200" s="910">
        <v>9593.2994965431426</v>
      </c>
      <c r="IX200" s="909">
        <v>0</v>
      </c>
      <c r="IY200" s="909">
        <v>0</v>
      </c>
      <c r="IZ200" s="909">
        <v>0</v>
      </c>
      <c r="JA200" s="910">
        <v>9189.338577683724</v>
      </c>
      <c r="JB200" s="871">
        <v>4000</v>
      </c>
      <c r="JC200" s="911">
        <v>41.887902047863911</v>
      </c>
      <c r="JD200" s="908">
        <v>1.0313650707638864</v>
      </c>
      <c r="JE200" s="902">
        <v>3.8058149098432859</v>
      </c>
      <c r="JF200" s="902">
        <v>0</v>
      </c>
      <c r="JG200" s="902">
        <v>0</v>
      </c>
      <c r="JH200" s="902">
        <v>16.510803657080587</v>
      </c>
      <c r="JI200" s="902">
        <v>2.4268389568391439E-2</v>
      </c>
      <c r="JJ200" s="902">
        <v>3600</v>
      </c>
      <c r="JK200" s="909" t="s">
        <v>1064</v>
      </c>
      <c r="JL200" s="909">
        <v>2</v>
      </c>
      <c r="JM200" s="909">
        <v>0</v>
      </c>
      <c r="JN200" s="909">
        <v>0</v>
      </c>
      <c r="JO200" s="909">
        <v>0</v>
      </c>
      <c r="JP200" s="910">
        <v>13073.463515265643</v>
      </c>
      <c r="JQ200" s="909">
        <v>0</v>
      </c>
      <c r="JR200" s="909">
        <v>0</v>
      </c>
      <c r="JS200" s="909">
        <v>0</v>
      </c>
      <c r="JT200" s="910">
        <v>12522.957577636493</v>
      </c>
      <c r="JU200" s="871">
        <v>4000</v>
      </c>
      <c r="JV200" s="911">
        <v>41.887902047863911</v>
      </c>
      <c r="JW200" s="908">
        <v>1.0313650707638864</v>
      </c>
      <c r="JX200" s="902">
        <v>3.8058149098432859</v>
      </c>
      <c r="JY200" s="902">
        <v>0</v>
      </c>
      <c r="JZ200" s="902">
        <v>0</v>
      </c>
      <c r="KA200" s="902">
        <v>16.510803657080587</v>
      </c>
      <c r="KB200" s="902">
        <v>2.4268389568391439E-2</v>
      </c>
      <c r="KC200" s="902">
        <v>3600</v>
      </c>
      <c r="KD200" s="909" t="s">
        <v>1064</v>
      </c>
      <c r="KE200" s="909">
        <v>2</v>
      </c>
      <c r="KF200" s="909">
        <v>0</v>
      </c>
      <c r="KG200" s="909">
        <v>0</v>
      </c>
      <c r="KH200" s="909">
        <v>0</v>
      </c>
      <c r="KI200" s="910">
        <v>13073.463515265643</v>
      </c>
      <c r="KJ200" s="909">
        <v>0</v>
      </c>
      <c r="KK200" s="909">
        <v>0</v>
      </c>
      <c r="KL200" s="909">
        <v>0</v>
      </c>
      <c r="KM200" s="910">
        <v>12522.957577636493</v>
      </c>
      <c r="KN200" s="871">
        <v>4000</v>
      </c>
      <c r="KO200" s="912">
        <v>41.887902047863911</v>
      </c>
    </row>
    <row r="201" spans="1:301" ht="15" customHeight="1">
      <c r="A201" s="924" t="s">
        <v>1638</v>
      </c>
      <c r="B201" s="888" t="s">
        <v>1073</v>
      </c>
      <c r="C201" s="888">
        <v>230</v>
      </c>
      <c r="D201" s="888">
        <v>265</v>
      </c>
      <c r="E201" s="888">
        <v>0</v>
      </c>
      <c r="F201" s="888">
        <v>210.64263031803131</v>
      </c>
      <c r="G201" s="888">
        <v>55.726365485241438</v>
      </c>
      <c r="H201" s="888">
        <v>38.934982518471109</v>
      </c>
      <c r="I201" s="888">
        <v>70</v>
      </c>
      <c r="J201" s="888">
        <v>43.01</v>
      </c>
      <c r="K201" s="888">
        <v>26.98</v>
      </c>
      <c r="L201" s="888">
        <v>16</v>
      </c>
      <c r="M201" s="888">
        <v>239.54909450687865</v>
      </c>
      <c r="N201" s="888">
        <v>4</v>
      </c>
      <c r="O201" s="884">
        <v>1.7318540011719943</v>
      </c>
      <c r="P201" s="888">
        <v>4</v>
      </c>
      <c r="Q201" s="884">
        <v>0.42726052787902885</v>
      </c>
      <c r="R201" s="888">
        <v>7</v>
      </c>
      <c r="S201" s="888">
        <v>230</v>
      </c>
      <c r="T201" s="906">
        <v>2.2830385782626896</v>
      </c>
      <c r="U201" s="906">
        <v>34.5</v>
      </c>
      <c r="V201" s="906">
        <v>60</v>
      </c>
      <c r="W201" s="1141">
        <v>0.3302252229272819</v>
      </c>
      <c r="X201" s="902">
        <v>0</v>
      </c>
      <c r="Y201" s="902">
        <v>0</v>
      </c>
      <c r="Z201" s="902">
        <v>0</v>
      </c>
      <c r="AA201" s="902">
        <v>0</v>
      </c>
      <c r="AB201" s="970">
        <v>0.5545270120848782</v>
      </c>
      <c r="AC201" s="1045">
        <v>4000</v>
      </c>
      <c r="AD201" s="890"/>
      <c r="AE201" s="890"/>
      <c r="AF201" s="890"/>
      <c r="AG201" s="890"/>
      <c r="AH201" s="888"/>
      <c r="AI201" s="907">
        <v>0.55504764116965166</v>
      </c>
      <c r="AJ201" s="908">
        <v>3.2775667186562552</v>
      </c>
      <c r="AK201" s="902">
        <v>8.0499450488972499</v>
      </c>
      <c r="AL201" s="902">
        <v>0</v>
      </c>
      <c r="AM201" s="902">
        <v>0</v>
      </c>
      <c r="AN201" s="902">
        <v>18.63212960630338</v>
      </c>
      <c r="AO201" s="902">
        <v>8.7318630344007053E-2</v>
      </c>
      <c r="AP201" s="1222">
        <v>3600</v>
      </c>
      <c r="AQ201" s="909" t="s">
        <v>1064</v>
      </c>
      <c r="AR201" s="909">
        <v>2</v>
      </c>
      <c r="AS201" s="909">
        <v>0</v>
      </c>
      <c r="AT201" s="909">
        <v>0</v>
      </c>
      <c r="AU201" s="909">
        <v>0</v>
      </c>
      <c r="AV201" s="910">
        <v>10488.756292136948</v>
      </c>
      <c r="AW201" s="909">
        <v>0</v>
      </c>
      <c r="AX201" s="909">
        <v>0</v>
      </c>
      <c r="AY201" s="909">
        <v>0</v>
      </c>
      <c r="AZ201" s="910">
        <v>8212.6438592820978</v>
      </c>
      <c r="BA201" s="871">
        <v>4000</v>
      </c>
      <c r="BB201" s="911">
        <v>55.50147021341968</v>
      </c>
      <c r="BC201" s="908">
        <v>3.2775667186562552</v>
      </c>
      <c r="BD201" s="902">
        <v>8.0499450488972499</v>
      </c>
      <c r="BE201" s="902">
        <v>0</v>
      </c>
      <c r="BF201" s="902">
        <v>0</v>
      </c>
      <c r="BG201" s="902">
        <v>18.63212960630338</v>
      </c>
      <c r="BH201" s="902">
        <v>8.7318630344007053E-2</v>
      </c>
      <c r="BI201" s="902">
        <v>3600</v>
      </c>
      <c r="BJ201" s="909" t="s">
        <v>1064</v>
      </c>
      <c r="BK201" s="909">
        <v>2</v>
      </c>
      <c r="BL201" s="909">
        <v>0</v>
      </c>
      <c r="BM201" s="909">
        <v>0</v>
      </c>
      <c r="BN201" s="909">
        <v>0</v>
      </c>
      <c r="BO201" s="910">
        <v>10488.756292136948</v>
      </c>
      <c r="BP201" s="909">
        <v>0</v>
      </c>
      <c r="BQ201" s="909">
        <v>0</v>
      </c>
      <c r="BR201" s="909">
        <v>0</v>
      </c>
      <c r="BS201" s="910">
        <v>8212.6438592820978</v>
      </c>
      <c r="BT201" s="871">
        <v>4000</v>
      </c>
      <c r="BU201" s="911">
        <v>55.50147021341968</v>
      </c>
      <c r="BV201" s="908">
        <v>4.9163500779843829</v>
      </c>
      <c r="BW201" s="902">
        <v>9.8999139016547417</v>
      </c>
      <c r="BX201" s="902">
        <v>8.2916885978088037E-2</v>
      </c>
      <c r="BY201" s="902">
        <v>0.12826860745127625</v>
      </c>
      <c r="BZ201" s="902">
        <v>18.98947880552458</v>
      </c>
      <c r="CA201" s="902">
        <v>0.11587833678795077</v>
      </c>
      <c r="CB201" s="902">
        <v>3600</v>
      </c>
      <c r="CC201" s="909" t="s">
        <v>2874</v>
      </c>
      <c r="CD201" s="909">
        <v>3</v>
      </c>
      <c r="CE201" s="909">
        <v>1</v>
      </c>
      <c r="CF201" s="909">
        <v>3</v>
      </c>
      <c r="CG201" s="909">
        <v>9.961213431979127</v>
      </c>
      <c r="CH201" s="910">
        <v>12838.088739510078</v>
      </c>
      <c r="CI201" s="909">
        <v>2</v>
      </c>
      <c r="CJ201" s="909">
        <v>3</v>
      </c>
      <c r="CK201" s="909">
        <v>6.6251658575254178</v>
      </c>
      <c r="CL201" s="910">
        <v>9926.5362734045793</v>
      </c>
      <c r="CM201" s="871">
        <v>4000</v>
      </c>
      <c r="CN201" s="911">
        <v>55.50147021341968</v>
      </c>
      <c r="CO201" s="908">
        <v>4.9163500779843829</v>
      </c>
      <c r="CP201" s="902">
        <v>9.8999139016547417</v>
      </c>
      <c r="CQ201" s="902">
        <v>8.2916885978088037E-2</v>
      </c>
      <c r="CR201" s="902">
        <v>0.12826860745127625</v>
      </c>
      <c r="CS201" s="902">
        <v>18.98947880552458</v>
      </c>
      <c r="CT201" s="902">
        <v>0.11587833678795077</v>
      </c>
      <c r="CU201" s="902">
        <v>3600</v>
      </c>
      <c r="CV201" s="909" t="s">
        <v>2874</v>
      </c>
      <c r="CW201" s="909">
        <v>3</v>
      </c>
      <c r="CX201" s="909">
        <v>1</v>
      </c>
      <c r="CY201" s="909">
        <v>3</v>
      </c>
      <c r="CZ201" s="909">
        <v>9.961213431979127</v>
      </c>
      <c r="DA201" s="910">
        <v>12838.088739510078</v>
      </c>
      <c r="DB201" s="909">
        <v>2</v>
      </c>
      <c r="DC201" s="909">
        <v>3</v>
      </c>
      <c r="DD201" s="909">
        <v>6.6251658575254178</v>
      </c>
      <c r="DE201" s="910">
        <v>9926.5362734045793</v>
      </c>
      <c r="DF201" s="871">
        <v>4000</v>
      </c>
      <c r="DG201" s="911">
        <v>55.50147021341968</v>
      </c>
      <c r="DH201" s="908">
        <v>3.2775667186562552</v>
      </c>
      <c r="DI201" s="902">
        <v>8.3012912258209433</v>
      </c>
      <c r="DJ201" s="902">
        <v>0.16583377195617607</v>
      </c>
      <c r="DK201" s="902">
        <v>8.5512404967517497E-2</v>
      </c>
      <c r="DL201" s="902">
        <v>18.817424531342322</v>
      </c>
      <c r="DM201" s="902">
        <v>9.1138066726762113E-2</v>
      </c>
      <c r="DN201" s="902">
        <v>3600</v>
      </c>
      <c r="DO201" s="909" t="s">
        <v>2876</v>
      </c>
      <c r="DP201" s="909">
        <v>2</v>
      </c>
      <c r="DQ201" s="909">
        <v>1</v>
      </c>
      <c r="DR201" s="909">
        <v>6</v>
      </c>
      <c r="DS201" s="909">
        <v>9.961213431979127</v>
      </c>
      <c r="DT201" s="910">
        <v>16778.686382583521</v>
      </c>
      <c r="DU201" s="909">
        <v>2</v>
      </c>
      <c r="DV201" s="909">
        <v>2</v>
      </c>
      <c r="DW201" s="909">
        <v>6.6251658575254178</v>
      </c>
      <c r="DX201" s="910">
        <v>11005.331303552568</v>
      </c>
      <c r="DY201" s="871">
        <v>4000</v>
      </c>
      <c r="DZ201" s="911">
        <v>55.50147021341968</v>
      </c>
      <c r="EA201" s="908">
        <v>3.2775667186562552</v>
      </c>
      <c r="EB201" s="902">
        <v>8.3012912258209433</v>
      </c>
      <c r="EC201" s="902">
        <v>0.16583377195617607</v>
      </c>
      <c r="ED201" s="902">
        <v>8.5512404967517497E-2</v>
      </c>
      <c r="EE201" s="902">
        <v>18.817424531342322</v>
      </c>
      <c r="EF201" s="902">
        <v>9.1138066726762113E-2</v>
      </c>
      <c r="EG201" s="902">
        <v>3600</v>
      </c>
      <c r="EH201" s="909" t="s">
        <v>2876</v>
      </c>
      <c r="EI201" s="909">
        <v>2</v>
      </c>
      <c r="EJ201" s="909">
        <v>1</v>
      </c>
      <c r="EK201" s="909">
        <v>6</v>
      </c>
      <c r="EL201" s="909">
        <v>9.961213431979127</v>
      </c>
      <c r="EM201" s="910">
        <v>16778.686382583521</v>
      </c>
      <c r="EN201" s="909">
        <v>2</v>
      </c>
      <c r="EO201" s="909">
        <v>2</v>
      </c>
      <c r="EP201" s="909">
        <v>6.6251658575254178</v>
      </c>
      <c r="EQ201" s="910">
        <v>11005.331303552568</v>
      </c>
      <c r="ER201" s="871">
        <v>4000</v>
      </c>
      <c r="ES201" s="911">
        <v>55.50147021341968</v>
      </c>
      <c r="ET201" s="908">
        <v>3.2775667186562552</v>
      </c>
      <c r="EU201" s="902">
        <v>8.0927012513810084</v>
      </c>
      <c r="EV201" s="902">
        <v>0</v>
      </c>
      <c r="EW201" s="902">
        <v>4.2756202483758748E-2</v>
      </c>
      <c r="EX201" s="902">
        <v>18.718606044644826</v>
      </c>
      <c r="EY201" s="902">
        <v>8.803267440046042E-2</v>
      </c>
      <c r="EZ201" s="902">
        <v>3600</v>
      </c>
      <c r="FA201" s="909" t="s">
        <v>2877</v>
      </c>
      <c r="FB201" s="909">
        <v>2</v>
      </c>
      <c r="FC201" s="909">
        <v>0</v>
      </c>
      <c r="FD201" s="909">
        <v>0</v>
      </c>
      <c r="FE201" s="909">
        <v>0</v>
      </c>
      <c r="FF201" s="910">
        <v>8727.172760110454</v>
      </c>
      <c r="FG201" s="909">
        <v>1</v>
      </c>
      <c r="FH201" s="909">
        <v>2</v>
      </c>
      <c r="FI201" s="909">
        <v>6.6251658575254178</v>
      </c>
      <c r="FJ201" s="910">
        <v>12806.571305398495</v>
      </c>
      <c r="FK201" s="871">
        <v>4000</v>
      </c>
      <c r="FL201" s="911">
        <v>55.50147021341968</v>
      </c>
      <c r="FM201" s="908">
        <v>3.2775667186562552</v>
      </c>
      <c r="FN201" s="902">
        <v>8.0927012513810084</v>
      </c>
      <c r="FO201" s="902">
        <v>0</v>
      </c>
      <c r="FP201" s="902">
        <v>4.2756202483758748E-2</v>
      </c>
      <c r="FQ201" s="902">
        <v>18.718606044644826</v>
      </c>
      <c r="FR201" s="902">
        <v>8.803267440046042E-2</v>
      </c>
      <c r="FS201" s="902">
        <v>3600</v>
      </c>
      <c r="FT201" s="909" t="s">
        <v>2877</v>
      </c>
      <c r="FU201" s="909">
        <v>2</v>
      </c>
      <c r="FV201" s="909">
        <v>0</v>
      </c>
      <c r="FW201" s="909">
        <v>0</v>
      </c>
      <c r="FX201" s="909">
        <v>0</v>
      </c>
      <c r="FY201" s="910">
        <v>8727.172760110454</v>
      </c>
      <c r="FZ201" s="909">
        <v>1</v>
      </c>
      <c r="GA201" s="909">
        <v>2</v>
      </c>
      <c r="GB201" s="909">
        <v>6.6251658575254178</v>
      </c>
      <c r="GC201" s="910">
        <v>12806.571305398495</v>
      </c>
      <c r="GD201" s="871">
        <v>4000</v>
      </c>
      <c r="GE201" s="911">
        <v>55.50147021341968</v>
      </c>
      <c r="GF201" s="908">
        <v>3.2775667186562552</v>
      </c>
      <c r="GG201" s="902">
        <v>8.0927012513810084</v>
      </c>
      <c r="GH201" s="902">
        <v>0</v>
      </c>
      <c r="GI201" s="902">
        <v>4.2756202483758748E-2</v>
      </c>
      <c r="GJ201" s="902">
        <v>18.718606044644826</v>
      </c>
      <c r="GK201" s="902">
        <v>8.803267440046042E-2</v>
      </c>
      <c r="GL201" s="902">
        <v>3600</v>
      </c>
      <c r="GM201" s="909" t="s">
        <v>2877</v>
      </c>
      <c r="GN201" s="909">
        <v>2</v>
      </c>
      <c r="GO201" s="909">
        <v>0</v>
      </c>
      <c r="GP201" s="909">
        <v>0</v>
      </c>
      <c r="GQ201" s="909">
        <v>0</v>
      </c>
      <c r="GR201" s="910">
        <v>8727.172760110454</v>
      </c>
      <c r="GS201" s="909">
        <v>1</v>
      </c>
      <c r="GT201" s="909">
        <v>2</v>
      </c>
      <c r="GU201" s="909">
        <v>6.6251658575254178</v>
      </c>
      <c r="GV201" s="910">
        <v>12806.571305398495</v>
      </c>
      <c r="GW201" s="871">
        <v>4000</v>
      </c>
      <c r="GX201" s="911">
        <v>55.50147021341968</v>
      </c>
      <c r="GY201" s="908">
        <v>3.2775667186562552</v>
      </c>
      <c r="GZ201" s="902">
        <v>8.0927012513810084</v>
      </c>
      <c r="HA201" s="902">
        <v>0</v>
      </c>
      <c r="HB201" s="902">
        <v>4.2756202483758748E-2</v>
      </c>
      <c r="HC201" s="902">
        <v>18.718606044644826</v>
      </c>
      <c r="HD201" s="902">
        <v>8.803267440046042E-2</v>
      </c>
      <c r="HE201" s="902">
        <v>3600</v>
      </c>
      <c r="HF201" s="909" t="s">
        <v>2877</v>
      </c>
      <c r="HG201" s="909">
        <v>2</v>
      </c>
      <c r="HH201" s="909">
        <v>0</v>
      </c>
      <c r="HI201" s="909">
        <v>0</v>
      </c>
      <c r="HJ201" s="909">
        <v>0</v>
      </c>
      <c r="HK201" s="910">
        <v>8727.172760110454</v>
      </c>
      <c r="HL201" s="909">
        <v>1</v>
      </c>
      <c r="HM201" s="909">
        <v>2</v>
      </c>
      <c r="HN201" s="909">
        <v>6.6251658575254178</v>
      </c>
      <c r="HO201" s="910">
        <v>12806.571305398495</v>
      </c>
      <c r="HP201" s="871">
        <v>4000</v>
      </c>
      <c r="HQ201" s="911">
        <v>55.50147021341968</v>
      </c>
      <c r="HR201" s="908">
        <v>3.2775667186562552</v>
      </c>
      <c r="HS201" s="902">
        <v>8.0499450488972499</v>
      </c>
      <c r="HT201" s="902">
        <v>0</v>
      </c>
      <c r="HU201" s="902">
        <v>0</v>
      </c>
      <c r="HV201" s="902">
        <v>18.63212960630338</v>
      </c>
      <c r="HW201" s="902">
        <v>8.7318630344007053E-2</v>
      </c>
      <c r="HX201" s="902">
        <v>3600</v>
      </c>
      <c r="HY201" s="909" t="s">
        <v>1063</v>
      </c>
      <c r="HZ201" s="909">
        <v>2</v>
      </c>
      <c r="IA201" s="909">
        <v>0</v>
      </c>
      <c r="IB201" s="909">
        <v>0</v>
      </c>
      <c r="IC201" s="909">
        <v>0</v>
      </c>
      <c r="ID201" s="910">
        <v>7696.6429239831386</v>
      </c>
      <c r="IE201" s="909">
        <v>0</v>
      </c>
      <c r="IF201" s="909">
        <v>0</v>
      </c>
      <c r="IG201" s="909">
        <v>0</v>
      </c>
      <c r="IH201" s="910">
        <v>6026.4330189579587</v>
      </c>
      <c r="II201" s="871">
        <v>4000</v>
      </c>
      <c r="IJ201" s="911">
        <v>55.50147021341968</v>
      </c>
      <c r="IK201" s="908">
        <v>3.2775667186562552</v>
      </c>
      <c r="IL201" s="902">
        <v>8.0499450488972499</v>
      </c>
      <c r="IM201" s="902">
        <v>0</v>
      </c>
      <c r="IN201" s="902">
        <v>0</v>
      </c>
      <c r="IO201" s="902">
        <v>18.63212960630338</v>
      </c>
      <c r="IP201" s="902">
        <v>8.7318630344007053E-2</v>
      </c>
      <c r="IQ201" s="902">
        <v>3600</v>
      </c>
      <c r="IR201" s="909" t="s">
        <v>1063</v>
      </c>
      <c r="IS201" s="909">
        <v>2</v>
      </c>
      <c r="IT201" s="909">
        <v>0</v>
      </c>
      <c r="IU201" s="909">
        <v>0</v>
      </c>
      <c r="IV201" s="909">
        <v>0</v>
      </c>
      <c r="IW201" s="910">
        <v>7696.6429239831386</v>
      </c>
      <c r="IX201" s="909">
        <v>0</v>
      </c>
      <c r="IY201" s="909">
        <v>0</v>
      </c>
      <c r="IZ201" s="909">
        <v>0</v>
      </c>
      <c r="JA201" s="910">
        <v>6026.4330189579587</v>
      </c>
      <c r="JB201" s="871">
        <v>4000</v>
      </c>
      <c r="JC201" s="911">
        <v>55.50147021341968</v>
      </c>
      <c r="JD201" s="908">
        <v>3.2775667186562552</v>
      </c>
      <c r="JE201" s="902">
        <v>8.0499450488972499</v>
      </c>
      <c r="JF201" s="902">
        <v>0</v>
      </c>
      <c r="JG201" s="902">
        <v>0</v>
      </c>
      <c r="JH201" s="902">
        <v>18.63212960630338</v>
      </c>
      <c r="JI201" s="902">
        <v>8.7318630344007053E-2</v>
      </c>
      <c r="JJ201" s="902">
        <v>3600</v>
      </c>
      <c r="JK201" s="909" t="s">
        <v>1064</v>
      </c>
      <c r="JL201" s="909">
        <v>2</v>
      </c>
      <c r="JM201" s="909">
        <v>0</v>
      </c>
      <c r="JN201" s="909">
        <v>0</v>
      </c>
      <c r="JO201" s="909">
        <v>0</v>
      </c>
      <c r="JP201" s="910">
        <v>10488.756292136948</v>
      </c>
      <c r="JQ201" s="909">
        <v>0</v>
      </c>
      <c r="JR201" s="909">
        <v>0</v>
      </c>
      <c r="JS201" s="909">
        <v>0</v>
      </c>
      <c r="JT201" s="910">
        <v>8212.6438592820978</v>
      </c>
      <c r="JU201" s="871">
        <v>4000</v>
      </c>
      <c r="JV201" s="911">
        <v>55.50147021341968</v>
      </c>
      <c r="JW201" s="908">
        <v>3.2775667186562552</v>
      </c>
      <c r="JX201" s="902">
        <v>8.0499450488972499</v>
      </c>
      <c r="JY201" s="902">
        <v>0</v>
      </c>
      <c r="JZ201" s="902">
        <v>0</v>
      </c>
      <c r="KA201" s="902">
        <v>18.63212960630338</v>
      </c>
      <c r="KB201" s="902">
        <v>8.7318630344007053E-2</v>
      </c>
      <c r="KC201" s="902">
        <v>3600</v>
      </c>
      <c r="KD201" s="909" t="s">
        <v>1064</v>
      </c>
      <c r="KE201" s="909">
        <v>2</v>
      </c>
      <c r="KF201" s="909">
        <v>0</v>
      </c>
      <c r="KG201" s="909">
        <v>0</v>
      </c>
      <c r="KH201" s="909">
        <v>0</v>
      </c>
      <c r="KI201" s="910">
        <v>10488.756292136948</v>
      </c>
      <c r="KJ201" s="909">
        <v>0</v>
      </c>
      <c r="KK201" s="909">
        <v>0</v>
      </c>
      <c r="KL201" s="909">
        <v>0</v>
      </c>
      <c r="KM201" s="910">
        <v>8212.6438592820978</v>
      </c>
      <c r="KN201" s="871">
        <v>4000</v>
      </c>
      <c r="KO201" s="912">
        <v>55.50147021341968</v>
      </c>
    </row>
    <row r="202" spans="1:301" ht="15" customHeight="1">
      <c r="A202" s="924" t="s">
        <v>1715</v>
      </c>
      <c r="B202" s="888" t="s">
        <v>1073</v>
      </c>
      <c r="C202" s="888">
        <v>230</v>
      </c>
      <c r="D202" s="888">
        <v>265</v>
      </c>
      <c r="E202" s="888">
        <v>0</v>
      </c>
      <c r="F202" s="888">
        <v>208.9512096662088</v>
      </c>
      <c r="G202" s="888">
        <v>60.726365485241445</v>
      </c>
      <c r="H202" s="888">
        <v>43.623972768781691</v>
      </c>
      <c r="I202" s="888">
        <v>70</v>
      </c>
      <c r="J202" s="888">
        <v>43.01</v>
      </c>
      <c r="K202" s="888">
        <v>26.98</v>
      </c>
      <c r="L202" s="888">
        <v>16</v>
      </c>
      <c r="M202" s="888">
        <v>220.12343130957686</v>
      </c>
      <c r="N202" s="888">
        <v>4</v>
      </c>
      <c r="O202" s="884">
        <v>1.7318540011719943</v>
      </c>
      <c r="P202" s="888">
        <v>4</v>
      </c>
      <c r="Q202" s="884">
        <v>0.42726052787902885</v>
      </c>
      <c r="R202" s="888">
        <v>7</v>
      </c>
      <c r="S202" s="888">
        <v>230</v>
      </c>
      <c r="T202" s="906">
        <v>2.2830385782626896</v>
      </c>
      <c r="U202" s="906">
        <v>34.5</v>
      </c>
      <c r="V202" s="906">
        <v>60</v>
      </c>
      <c r="W202" s="1141">
        <v>0.3302252229272819</v>
      </c>
      <c r="X202" s="902">
        <v>0</v>
      </c>
      <c r="Y202" s="902">
        <v>0</v>
      </c>
      <c r="Z202" s="902">
        <v>0</v>
      </c>
      <c r="AA202" s="902">
        <v>0</v>
      </c>
      <c r="AB202" s="970">
        <v>0.60198083018612103</v>
      </c>
      <c r="AC202" s="1045">
        <v>4000</v>
      </c>
      <c r="AD202" s="890"/>
      <c r="AE202" s="890"/>
      <c r="AF202" s="890"/>
      <c r="AG202" s="890"/>
      <c r="AH202" s="888"/>
      <c r="AI202" s="907">
        <v>0.53770399864913565</v>
      </c>
      <c r="AJ202" s="908">
        <v>3.141419124870203</v>
      </c>
      <c r="AK202" s="902">
        <v>7.9137974551111974</v>
      </c>
      <c r="AL202" s="902">
        <v>0</v>
      </c>
      <c r="AM202" s="902">
        <v>0</v>
      </c>
      <c r="AN202" s="902">
        <v>20.574554334632595</v>
      </c>
      <c r="AO202" s="902">
        <v>8.5223233783393595E-2</v>
      </c>
      <c r="AP202" s="1222">
        <v>3600</v>
      </c>
      <c r="AQ202" s="909" t="s">
        <v>1064</v>
      </c>
      <c r="AR202" s="909">
        <v>2</v>
      </c>
      <c r="AS202" s="909">
        <v>0</v>
      </c>
      <c r="AT202" s="909">
        <v>0</v>
      </c>
      <c r="AU202" s="909">
        <v>0</v>
      </c>
      <c r="AV202" s="910">
        <v>10488.756292136948</v>
      </c>
      <c r="AW202" s="909">
        <v>0</v>
      </c>
      <c r="AX202" s="909">
        <v>0</v>
      </c>
      <c r="AY202" s="909">
        <v>0</v>
      </c>
      <c r="AZ202" s="910">
        <v>8212.6438592820978</v>
      </c>
      <c r="BA202" s="871">
        <v>4000</v>
      </c>
      <c r="BB202" s="911">
        <v>55.50147021341968</v>
      </c>
      <c r="BC202" s="908">
        <v>3.141419124870203</v>
      </c>
      <c r="BD202" s="902">
        <v>7.9137974551111974</v>
      </c>
      <c r="BE202" s="902">
        <v>0</v>
      </c>
      <c r="BF202" s="902">
        <v>0</v>
      </c>
      <c r="BG202" s="902">
        <v>20.574554334632595</v>
      </c>
      <c r="BH202" s="902">
        <v>8.5223233783393595E-2</v>
      </c>
      <c r="BI202" s="902">
        <v>3600</v>
      </c>
      <c r="BJ202" s="909" t="s">
        <v>1064</v>
      </c>
      <c r="BK202" s="909">
        <v>2</v>
      </c>
      <c r="BL202" s="909">
        <v>0</v>
      </c>
      <c r="BM202" s="909">
        <v>0</v>
      </c>
      <c r="BN202" s="909">
        <v>0</v>
      </c>
      <c r="BO202" s="910">
        <v>10488.756292136948</v>
      </c>
      <c r="BP202" s="909">
        <v>0</v>
      </c>
      <c r="BQ202" s="909">
        <v>0</v>
      </c>
      <c r="BR202" s="909">
        <v>0</v>
      </c>
      <c r="BS202" s="910">
        <v>8212.6438592820978</v>
      </c>
      <c r="BT202" s="871">
        <v>4000</v>
      </c>
      <c r="BU202" s="911">
        <v>55.50147021341968</v>
      </c>
      <c r="BV202" s="908">
        <v>4.7121286873053041</v>
      </c>
      <c r="BW202" s="902">
        <v>9.6956925109756646</v>
      </c>
      <c r="BX202" s="902">
        <v>8.2916885978088037E-2</v>
      </c>
      <c r="BY202" s="902">
        <v>0.12826860745127625</v>
      </c>
      <c r="BZ202" s="902">
        <v>20.976442305867668</v>
      </c>
      <c r="CA202" s="902">
        <v>0.11273524194703058</v>
      </c>
      <c r="CB202" s="902">
        <v>3600</v>
      </c>
      <c r="CC202" s="909" t="s">
        <v>2874</v>
      </c>
      <c r="CD202" s="909">
        <v>3</v>
      </c>
      <c r="CE202" s="909">
        <v>1</v>
      </c>
      <c r="CF202" s="909">
        <v>3</v>
      </c>
      <c r="CG202" s="909">
        <v>9.961213431979127</v>
      </c>
      <c r="CH202" s="910">
        <v>12838.088739510078</v>
      </c>
      <c r="CI202" s="909">
        <v>2</v>
      </c>
      <c r="CJ202" s="909">
        <v>3</v>
      </c>
      <c r="CK202" s="909">
        <v>6.6251658575254178</v>
      </c>
      <c r="CL202" s="910">
        <v>9926.5362734045793</v>
      </c>
      <c r="CM202" s="871">
        <v>4000</v>
      </c>
      <c r="CN202" s="911">
        <v>55.50147021341968</v>
      </c>
      <c r="CO202" s="908">
        <v>4.7121286873053041</v>
      </c>
      <c r="CP202" s="902">
        <v>9.6956925109756646</v>
      </c>
      <c r="CQ202" s="902">
        <v>8.2916885978088037E-2</v>
      </c>
      <c r="CR202" s="902">
        <v>0.12826860745127625</v>
      </c>
      <c r="CS202" s="902">
        <v>20.976442305867668</v>
      </c>
      <c r="CT202" s="902">
        <v>0.11273524194703058</v>
      </c>
      <c r="CU202" s="902">
        <v>3600</v>
      </c>
      <c r="CV202" s="909" t="s">
        <v>2874</v>
      </c>
      <c r="CW202" s="909">
        <v>3</v>
      </c>
      <c r="CX202" s="909">
        <v>1</v>
      </c>
      <c r="CY202" s="909">
        <v>3</v>
      </c>
      <c r="CZ202" s="909">
        <v>9.961213431979127</v>
      </c>
      <c r="DA202" s="910">
        <v>12838.088739510078</v>
      </c>
      <c r="DB202" s="909">
        <v>2</v>
      </c>
      <c r="DC202" s="909">
        <v>3</v>
      </c>
      <c r="DD202" s="909">
        <v>6.6251658575254178</v>
      </c>
      <c r="DE202" s="910">
        <v>9926.5362734045793</v>
      </c>
      <c r="DF202" s="871">
        <v>4000</v>
      </c>
      <c r="DG202" s="911">
        <v>55.50147021341968</v>
      </c>
      <c r="DH202" s="908">
        <v>3.141419124870203</v>
      </c>
      <c r="DI202" s="902">
        <v>8.1651436320348907</v>
      </c>
      <c r="DJ202" s="902">
        <v>0.16583377195617607</v>
      </c>
      <c r="DK202" s="902">
        <v>8.5512404967517497E-2</v>
      </c>
      <c r="DL202" s="902">
        <v>20.750762205646634</v>
      </c>
      <c r="DM202" s="902">
        <v>8.9042670166148655E-2</v>
      </c>
      <c r="DN202" s="902">
        <v>3600</v>
      </c>
      <c r="DO202" s="909" t="s">
        <v>2876</v>
      </c>
      <c r="DP202" s="909">
        <v>2</v>
      </c>
      <c r="DQ202" s="909">
        <v>1</v>
      </c>
      <c r="DR202" s="909">
        <v>6</v>
      </c>
      <c r="DS202" s="909">
        <v>9.961213431979127</v>
      </c>
      <c r="DT202" s="910">
        <v>16778.686382583521</v>
      </c>
      <c r="DU202" s="909">
        <v>2</v>
      </c>
      <c r="DV202" s="909">
        <v>2</v>
      </c>
      <c r="DW202" s="909">
        <v>6.6251658575254178</v>
      </c>
      <c r="DX202" s="910">
        <v>11005.331303552568</v>
      </c>
      <c r="DY202" s="871">
        <v>4000</v>
      </c>
      <c r="DZ202" s="911">
        <v>55.50147021341968</v>
      </c>
      <c r="EA202" s="908">
        <v>3.141419124870203</v>
      </c>
      <c r="EB202" s="902">
        <v>8.1651436320348907</v>
      </c>
      <c r="EC202" s="902">
        <v>0.16583377195617607</v>
      </c>
      <c r="ED202" s="902">
        <v>8.5512404967517497E-2</v>
      </c>
      <c r="EE202" s="902">
        <v>20.750762205646634</v>
      </c>
      <c r="EF202" s="902">
        <v>8.9042670166148655E-2</v>
      </c>
      <c r="EG202" s="902">
        <v>3600</v>
      </c>
      <c r="EH202" s="909" t="s">
        <v>2876</v>
      </c>
      <c r="EI202" s="909">
        <v>2</v>
      </c>
      <c r="EJ202" s="909">
        <v>1</v>
      </c>
      <c r="EK202" s="909">
        <v>6</v>
      </c>
      <c r="EL202" s="909">
        <v>9.961213431979127</v>
      </c>
      <c r="EM202" s="910">
        <v>16778.686382583521</v>
      </c>
      <c r="EN202" s="909">
        <v>2</v>
      </c>
      <c r="EO202" s="909">
        <v>2</v>
      </c>
      <c r="EP202" s="909">
        <v>6.6251658575254178</v>
      </c>
      <c r="EQ202" s="910">
        <v>11005.331303552568</v>
      </c>
      <c r="ER202" s="871">
        <v>4000</v>
      </c>
      <c r="ES202" s="911">
        <v>55.50147021341968</v>
      </c>
      <c r="ET202" s="908">
        <v>3.141419124870203</v>
      </c>
      <c r="EU202" s="902">
        <v>7.9565536575949558</v>
      </c>
      <c r="EV202" s="902">
        <v>0</v>
      </c>
      <c r="EW202" s="902">
        <v>4.2756202483758748E-2</v>
      </c>
      <c r="EX202" s="902">
        <v>20.65207247908678</v>
      </c>
      <c r="EY202" s="902">
        <v>8.5937277839846962E-2</v>
      </c>
      <c r="EZ202" s="902">
        <v>3600</v>
      </c>
      <c r="FA202" s="909" t="s">
        <v>2877</v>
      </c>
      <c r="FB202" s="909">
        <v>2</v>
      </c>
      <c r="FC202" s="909">
        <v>0</v>
      </c>
      <c r="FD202" s="909">
        <v>0</v>
      </c>
      <c r="FE202" s="909">
        <v>0</v>
      </c>
      <c r="FF202" s="910">
        <v>8727.172760110454</v>
      </c>
      <c r="FG202" s="909">
        <v>1</v>
      </c>
      <c r="FH202" s="909">
        <v>2</v>
      </c>
      <c r="FI202" s="909">
        <v>6.6251658575254178</v>
      </c>
      <c r="FJ202" s="910">
        <v>12806.571305398495</v>
      </c>
      <c r="FK202" s="871">
        <v>4000</v>
      </c>
      <c r="FL202" s="911">
        <v>55.50147021341968</v>
      </c>
      <c r="FM202" s="908">
        <v>3.141419124870203</v>
      </c>
      <c r="FN202" s="902">
        <v>7.9565536575949558</v>
      </c>
      <c r="FO202" s="902">
        <v>0</v>
      </c>
      <c r="FP202" s="902">
        <v>4.2756202483758748E-2</v>
      </c>
      <c r="FQ202" s="902">
        <v>20.65207247908678</v>
      </c>
      <c r="FR202" s="902">
        <v>8.5937277839846962E-2</v>
      </c>
      <c r="FS202" s="902">
        <v>3600</v>
      </c>
      <c r="FT202" s="909" t="s">
        <v>2877</v>
      </c>
      <c r="FU202" s="909">
        <v>2</v>
      </c>
      <c r="FV202" s="909">
        <v>0</v>
      </c>
      <c r="FW202" s="909">
        <v>0</v>
      </c>
      <c r="FX202" s="909">
        <v>0</v>
      </c>
      <c r="FY202" s="910">
        <v>8727.172760110454</v>
      </c>
      <c r="FZ202" s="909">
        <v>1</v>
      </c>
      <c r="GA202" s="909">
        <v>2</v>
      </c>
      <c r="GB202" s="909">
        <v>6.6251658575254178</v>
      </c>
      <c r="GC202" s="910">
        <v>12806.571305398495</v>
      </c>
      <c r="GD202" s="871">
        <v>4000</v>
      </c>
      <c r="GE202" s="911">
        <v>55.50147021341968</v>
      </c>
      <c r="GF202" s="908">
        <v>3.141419124870203</v>
      </c>
      <c r="GG202" s="902">
        <v>7.9565536575949558</v>
      </c>
      <c r="GH202" s="902">
        <v>0</v>
      </c>
      <c r="GI202" s="902">
        <v>4.2756202483758748E-2</v>
      </c>
      <c r="GJ202" s="902">
        <v>20.65207247908678</v>
      </c>
      <c r="GK202" s="902">
        <v>8.5937277839846962E-2</v>
      </c>
      <c r="GL202" s="902">
        <v>3600</v>
      </c>
      <c r="GM202" s="909" t="s">
        <v>2877</v>
      </c>
      <c r="GN202" s="909">
        <v>2</v>
      </c>
      <c r="GO202" s="909">
        <v>0</v>
      </c>
      <c r="GP202" s="909">
        <v>0</v>
      </c>
      <c r="GQ202" s="909">
        <v>0</v>
      </c>
      <c r="GR202" s="910">
        <v>8727.172760110454</v>
      </c>
      <c r="GS202" s="909">
        <v>1</v>
      </c>
      <c r="GT202" s="909">
        <v>2</v>
      </c>
      <c r="GU202" s="909">
        <v>6.6251658575254178</v>
      </c>
      <c r="GV202" s="910">
        <v>12806.571305398495</v>
      </c>
      <c r="GW202" s="871">
        <v>4000</v>
      </c>
      <c r="GX202" s="911">
        <v>55.50147021341968</v>
      </c>
      <c r="GY202" s="908">
        <v>3.141419124870203</v>
      </c>
      <c r="GZ202" s="902">
        <v>7.9565536575949558</v>
      </c>
      <c r="HA202" s="902">
        <v>0</v>
      </c>
      <c r="HB202" s="902">
        <v>4.2756202483758748E-2</v>
      </c>
      <c r="HC202" s="902">
        <v>20.65207247908678</v>
      </c>
      <c r="HD202" s="902">
        <v>8.5937277839846962E-2</v>
      </c>
      <c r="HE202" s="902">
        <v>3600</v>
      </c>
      <c r="HF202" s="909" t="s">
        <v>2877</v>
      </c>
      <c r="HG202" s="909">
        <v>2</v>
      </c>
      <c r="HH202" s="909">
        <v>0</v>
      </c>
      <c r="HI202" s="909">
        <v>0</v>
      </c>
      <c r="HJ202" s="909">
        <v>0</v>
      </c>
      <c r="HK202" s="910">
        <v>8727.172760110454</v>
      </c>
      <c r="HL202" s="909">
        <v>1</v>
      </c>
      <c r="HM202" s="909">
        <v>2</v>
      </c>
      <c r="HN202" s="909">
        <v>6.6251658575254178</v>
      </c>
      <c r="HO202" s="910">
        <v>12806.571305398495</v>
      </c>
      <c r="HP202" s="871">
        <v>4000</v>
      </c>
      <c r="HQ202" s="911">
        <v>55.50147021341968</v>
      </c>
      <c r="HR202" s="908">
        <v>3.141419124870203</v>
      </c>
      <c r="HS202" s="902">
        <v>7.9137974551111974</v>
      </c>
      <c r="HT202" s="902">
        <v>0</v>
      </c>
      <c r="HU202" s="902">
        <v>0</v>
      </c>
      <c r="HV202" s="902">
        <v>20.574554334632595</v>
      </c>
      <c r="HW202" s="902">
        <v>8.5223233783393595E-2</v>
      </c>
      <c r="HX202" s="902">
        <v>3600</v>
      </c>
      <c r="HY202" s="909" t="s">
        <v>1063</v>
      </c>
      <c r="HZ202" s="909">
        <v>2</v>
      </c>
      <c r="IA202" s="909">
        <v>0</v>
      </c>
      <c r="IB202" s="909">
        <v>0</v>
      </c>
      <c r="IC202" s="909">
        <v>0</v>
      </c>
      <c r="ID202" s="910">
        <v>7696.6429239831386</v>
      </c>
      <c r="IE202" s="909">
        <v>0</v>
      </c>
      <c r="IF202" s="909">
        <v>0</v>
      </c>
      <c r="IG202" s="909">
        <v>0</v>
      </c>
      <c r="IH202" s="910">
        <v>6026.4330189579587</v>
      </c>
      <c r="II202" s="871">
        <v>4000</v>
      </c>
      <c r="IJ202" s="911">
        <v>55.50147021341968</v>
      </c>
      <c r="IK202" s="908">
        <v>3.141419124870203</v>
      </c>
      <c r="IL202" s="902">
        <v>7.9137974551111974</v>
      </c>
      <c r="IM202" s="902">
        <v>0</v>
      </c>
      <c r="IN202" s="902">
        <v>0</v>
      </c>
      <c r="IO202" s="902">
        <v>20.574554334632595</v>
      </c>
      <c r="IP202" s="902">
        <v>8.5223233783393595E-2</v>
      </c>
      <c r="IQ202" s="902">
        <v>3600</v>
      </c>
      <c r="IR202" s="909" t="s">
        <v>1063</v>
      </c>
      <c r="IS202" s="909">
        <v>2</v>
      </c>
      <c r="IT202" s="909">
        <v>0</v>
      </c>
      <c r="IU202" s="909">
        <v>0</v>
      </c>
      <c r="IV202" s="909">
        <v>0</v>
      </c>
      <c r="IW202" s="910">
        <v>7696.6429239831386</v>
      </c>
      <c r="IX202" s="909">
        <v>0</v>
      </c>
      <c r="IY202" s="909">
        <v>0</v>
      </c>
      <c r="IZ202" s="909">
        <v>0</v>
      </c>
      <c r="JA202" s="910">
        <v>6026.4330189579587</v>
      </c>
      <c r="JB202" s="871">
        <v>4000</v>
      </c>
      <c r="JC202" s="911">
        <v>55.50147021341968</v>
      </c>
      <c r="JD202" s="908">
        <v>3.141419124870203</v>
      </c>
      <c r="JE202" s="902">
        <v>7.9137974551111974</v>
      </c>
      <c r="JF202" s="902">
        <v>0</v>
      </c>
      <c r="JG202" s="902">
        <v>0</v>
      </c>
      <c r="JH202" s="902">
        <v>20.574554334632595</v>
      </c>
      <c r="JI202" s="902">
        <v>8.5223233783393595E-2</v>
      </c>
      <c r="JJ202" s="902">
        <v>3600</v>
      </c>
      <c r="JK202" s="909" t="s">
        <v>1064</v>
      </c>
      <c r="JL202" s="909">
        <v>2</v>
      </c>
      <c r="JM202" s="909">
        <v>0</v>
      </c>
      <c r="JN202" s="909">
        <v>0</v>
      </c>
      <c r="JO202" s="909">
        <v>0</v>
      </c>
      <c r="JP202" s="910">
        <v>10488.756292136948</v>
      </c>
      <c r="JQ202" s="909">
        <v>0</v>
      </c>
      <c r="JR202" s="909">
        <v>0</v>
      </c>
      <c r="JS202" s="909">
        <v>0</v>
      </c>
      <c r="JT202" s="910">
        <v>8212.6438592820978</v>
      </c>
      <c r="JU202" s="871">
        <v>4000</v>
      </c>
      <c r="JV202" s="911">
        <v>55.50147021341968</v>
      </c>
      <c r="JW202" s="908">
        <v>3.141419124870203</v>
      </c>
      <c r="JX202" s="902">
        <v>7.9137974551111974</v>
      </c>
      <c r="JY202" s="902">
        <v>0</v>
      </c>
      <c r="JZ202" s="902">
        <v>0</v>
      </c>
      <c r="KA202" s="902">
        <v>20.574554334632595</v>
      </c>
      <c r="KB202" s="902">
        <v>8.5223233783393595E-2</v>
      </c>
      <c r="KC202" s="902">
        <v>3600</v>
      </c>
      <c r="KD202" s="909" t="s">
        <v>1064</v>
      </c>
      <c r="KE202" s="909">
        <v>2</v>
      </c>
      <c r="KF202" s="909">
        <v>0</v>
      </c>
      <c r="KG202" s="909">
        <v>0</v>
      </c>
      <c r="KH202" s="909">
        <v>0</v>
      </c>
      <c r="KI202" s="910">
        <v>10488.756292136948</v>
      </c>
      <c r="KJ202" s="909">
        <v>0</v>
      </c>
      <c r="KK202" s="909">
        <v>0</v>
      </c>
      <c r="KL202" s="909">
        <v>0</v>
      </c>
      <c r="KM202" s="910">
        <v>8212.6438592820978</v>
      </c>
      <c r="KN202" s="871">
        <v>4000</v>
      </c>
      <c r="KO202" s="912">
        <v>55.50147021341968</v>
      </c>
    </row>
    <row r="203" spans="1:301" ht="15" customHeight="1">
      <c r="A203" s="924" t="s">
        <v>1639</v>
      </c>
      <c r="B203" s="888" t="s">
        <v>1073</v>
      </c>
      <c r="C203" s="888">
        <v>190</v>
      </c>
      <c r="D203" s="888">
        <v>315</v>
      </c>
      <c r="E203" s="888">
        <v>0</v>
      </c>
      <c r="F203" s="888">
        <v>176.34107993830318</v>
      </c>
      <c r="G203" s="888">
        <v>37.502264187537214</v>
      </c>
      <c r="H203" s="888">
        <v>24.633890033307118</v>
      </c>
      <c r="I203" s="888">
        <v>100</v>
      </c>
      <c r="J203" s="888">
        <v>51.15</v>
      </c>
      <c r="K203" s="888">
        <v>25.61</v>
      </c>
      <c r="L203" s="888">
        <v>16</v>
      </c>
      <c r="M203" s="888">
        <v>281.64491968314798</v>
      </c>
      <c r="N203" s="888">
        <v>4</v>
      </c>
      <c r="O203" s="884">
        <v>2.447037568761711</v>
      </c>
      <c r="P203" s="888">
        <v>4</v>
      </c>
      <c r="Q203" s="884">
        <v>1.1424440954687454</v>
      </c>
      <c r="R203" s="888">
        <v>7</v>
      </c>
      <c r="S203" s="888">
        <v>230</v>
      </c>
      <c r="T203" s="906">
        <v>2.2830385782626896</v>
      </c>
      <c r="U203" s="906">
        <v>34.5</v>
      </c>
      <c r="V203" s="906">
        <v>47.5</v>
      </c>
      <c r="W203" s="1141">
        <v>0.26142830148409818</v>
      </c>
      <c r="X203" s="902">
        <v>0</v>
      </c>
      <c r="Y203" s="902">
        <v>0</v>
      </c>
      <c r="Z203" s="902">
        <v>0</v>
      </c>
      <c r="AA203" s="902">
        <v>0</v>
      </c>
      <c r="AB203" s="970">
        <v>0.376895276495681</v>
      </c>
      <c r="AC203" s="1045">
        <v>4000</v>
      </c>
      <c r="AD203" s="890"/>
      <c r="AE203" s="890"/>
      <c r="AF203" s="890"/>
      <c r="AG203" s="890"/>
      <c r="AH203" s="888"/>
      <c r="AI203" s="907">
        <v>0.81665881482681679</v>
      </c>
      <c r="AJ203" s="908">
        <v>4.4088742446975733</v>
      </c>
      <c r="AK203" s="902">
        <v>10.542822788674819</v>
      </c>
      <c r="AL203" s="902">
        <v>0</v>
      </c>
      <c r="AM203" s="902">
        <v>0</v>
      </c>
      <c r="AN203" s="902">
        <v>12.431998909194041</v>
      </c>
      <c r="AO203" s="902">
        <v>0.14175065734216988</v>
      </c>
      <c r="AP203" s="1222">
        <v>2800</v>
      </c>
      <c r="AQ203" s="909" t="s">
        <v>1064</v>
      </c>
      <c r="AR203" s="909">
        <v>2</v>
      </c>
      <c r="AS203" s="909">
        <v>0</v>
      </c>
      <c r="AT203" s="909">
        <v>0</v>
      </c>
      <c r="AU203" s="909">
        <v>0</v>
      </c>
      <c r="AV203" s="910">
        <v>7134.8663289478318</v>
      </c>
      <c r="AW203" s="909">
        <v>0</v>
      </c>
      <c r="AX203" s="909">
        <v>0</v>
      </c>
      <c r="AY203" s="909">
        <v>0</v>
      </c>
      <c r="AZ203" s="910">
        <v>5029.3172306668885</v>
      </c>
      <c r="BA203" s="871">
        <v>4000</v>
      </c>
      <c r="BB203" s="911">
        <v>65.973445725385659</v>
      </c>
      <c r="BC203" s="908">
        <v>4.4088742446975733</v>
      </c>
      <c r="BD203" s="902">
        <v>10.542822788674819</v>
      </c>
      <c r="BE203" s="902">
        <v>0</v>
      </c>
      <c r="BF203" s="902">
        <v>0</v>
      </c>
      <c r="BG203" s="902">
        <v>12.431998909194041</v>
      </c>
      <c r="BH203" s="902">
        <v>0.14175065734216988</v>
      </c>
      <c r="BI203" s="902">
        <v>3500</v>
      </c>
      <c r="BJ203" s="909" t="s">
        <v>1064</v>
      </c>
      <c r="BK203" s="909">
        <v>2</v>
      </c>
      <c r="BL203" s="909">
        <v>0</v>
      </c>
      <c r="BM203" s="909">
        <v>0</v>
      </c>
      <c r="BN203" s="909">
        <v>0</v>
      </c>
      <c r="BO203" s="910">
        <v>7134.8663289478318</v>
      </c>
      <c r="BP203" s="909">
        <v>0</v>
      </c>
      <c r="BQ203" s="909">
        <v>0</v>
      </c>
      <c r="BR203" s="909">
        <v>0</v>
      </c>
      <c r="BS203" s="910">
        <v>5029.3172306668885</v>
      </c>
      <c r="BT203" s="871">
        <v>4000</v>
      </c>
      <c r="BU203" s="911">
        <v>65.973445725385659</v>
      </c>
      <c r="BV203" s="908">
        <v>6.6133113670463599</v>
      </c>
      <c r="BW203" s="902">
        <v>13.023017417136234</v>
      </c>
      <c r="BX203" s="902">
        <v>9.5499137263655262E-2</v>
      </c>
      <c r="BY203" s="902">
        <v>0.18025836884897428</v>
      </c>
      <c r="BZ203" s="902">
        <v>12.931678036530473</v>
      </c>
      <c r="CA203" s="902">
        <v>0.18429420628737145</v>
      </c>
      <c r="CB203" s="902">
        <v>2800</v>
      </c>
      <c r="CC203" s="909" t="s">
        <v>2874</v>
      </c>
      <c r="CD203" s="909">
        <v>3</v>
      </c>
      <c r="CE203" s="909">
        <v>1</v>
      </c>
      <c r="CF203" s="909">
        <v>3</v>
      </c>
      <c r="CG203" s="909">
        <v>14.111388999350796</v>
      </c>
      <c r="CH203" s="910">
        <v>10676.539959151998</v>
      </c>
      <c r="CI203" s="909">
        <v>2</v>
      </c>
      <c r="CJ203" s="909">
        <v>3</v>
      </c>
      <c r="CK203" s="909">
        <v>7.832078521546455</v>
      </c>
      <c r="CL203" s="910">
        <v>7690.9110007672862</v>
      </c>
      <c r="CM203" s="871">
        <v>4000</v>
      </c>
      <c r="CN203" s="911">
        <v>65.973445725385659</v>
      </c>
      <c r="CO203" s="908">
        <v>6.6133113670463599</v>
      </c>
      <c r="CP203" s="902">
        <v>13.023017417136234</v>
      </c>
      <c r="CQ203" s="902">
        <v>9.5499137263655262E-2</v>
      </c>
      <c r="CR203" s="902">
        <v>0.18025836884897428</v>
      </c>
      <c r="CS203" s="902">
        <v>12.931678036530473</v>
      </c>
      <c r="CT203" s="902">
        <v>0.18429420628737145</v>
      </c>
      <c r="CU203" s="902">
        <v>3500</v>
      </c>
      <c r="CV203" s="909" t="s">
        <v>2874</v>
      </c>
      <c r="CW203" s="909">
        <v>3</v>
      </c>
      <c r="CX203" s="909">
        <v>1</v>
      </c>
      <c r="CY203" s="909">
        <v>3</v>
      </c>
      <c r="CZ203" s="909">
        <v>14.111388999350796</v>
      </c>
      <c r="DA203" s="910">
        <v>10676.539959151998</v>
      </c>
      <c r="DB203" s="909">
        <v>2</v>
      </c>
      <c r="DC203" s="909">
        <v>3</v>
      </c>
      <c r="DD203" s="909">
        <v>7.832078521546455</v>
      </c>
      <c r="DE203" s="910">
        <v>7690.9110007672862</v>
      </c>
      <c r="DF203" s="871">
        <v>4000</v>
      </c>
      <c r="DG203" s="911">
        <v>65.973445725385659</v>
      </c>
      <c r="DH203" s="908">
        <v>4.4088742446975733</v>
      </c>
      <c r="DI203" s="902">
        <v>10.72666112608324</v>
      </c>
      <c r="DJ203" s="902">
        <v>6.3666091509103517E-2</v>
      </c>
      <c r="DK203" s="902">
        <v>0.12017224589931619</v>
      </c>
      <c r="DL203" s="902">
        <v>12.852195462473706</v>
      </c>
      <c r="DM203" s="902">
        <v>0.1452534021738168</v>
      </c>
      <c r="DN203" s="902">
        <v>2800</v>
      </c>
      <c r="DO203" s="909" t="s">
        <v>2876</v>
      </c>
      <c r="DP203" s="909">
        <v>2</v>
      </c>
      <c r="DQ203" s="909">
        <v>1</v>
      </c>
      <c r="DR203" s="909">
        <v>2</v>
      </c>
      <c r="DS203" s="909">
        <v>14.111388999350796</v>
      </c>
      <c r="DT203" s="910">
        <v>11836.843808337373</v>
      </c>
      <c r="DU203" s="909">
        <v>2</v>
      </c>
      <c r="DV203" s="909">
        <v>2</v>
      </c>
      <c r="DW203" s="909">
        <v>7.832078521546455</v>
      </c>
      <c r="DX203" s="910">
        <v>8526.742990538738</v>
      </c>
      <c r="DY203" s="871">
        <v>4000</v>
      </c>
      <c r="DZ203" s="911">
        <v>65.973445725385659</v>
      </c>
      <c r="EA203" s="908">
        <v>4.4088742446975733</v>
      </c>
      <c r="EB203" s="902">
        <v>10.72666112608324</v>
      </c>
      <c r="EC203" s="902">
        <v>6.3666091509103517E-2</v>
      </c>
      <c r="ED203" s="902">
        <v>0.12017224589931619</v>
      </c>
      <c r="EE203" s="902">
        <v>12.852195462473706</v>
      </c>
      <c r="EF203" s="902">
        <v>0.1452534021738168</v>
      </c>
      <c r="EG203" s="902">
        <v>3500</v>
      </c>
      <c r="EH203" s="909" t="s">
        <v>2876</v>
      </c>
      <c r="EI203" s="909">
        <v>2</v>
      </c>
      <c r="EJ203" s="909">
        <v>1</v>
      </c>
      <c r="EK203" s="909">
        <v>2</v>
      </c>
      <c r="EL203" s="909">
        <v>14.111388999350796</v>
      </c>
      <c r="EM203" s="910">
        <v>11836.843808337373</v>
      </c>
      <c r="EN203" s="909">
        <v>2</v>
      </c>
      <c r="EO203" s="909">
        <v>2</v>
      </c>
      <c r="EP203" s="909">
        <v>7.832078521546455</v>
      </c>
      <c r="EQ203" s="910">
        <v>8526.742990538738</v>
      </c>
      <c r="ER203" s="871">
        <v>4000</v>
      </c>
      <c r="ES203" s="911">
        <v>65.973445725385659</v>
      </c>
      <c r="ET203" s="908">
        <v>4.4088742446975733</v>
      </c>
      <c r="EU203" s="902">
        <v>10.602908911624477</v>
      </c>
      <c r="EV203" s="902">
        <v>0</v>
      </c>
      <c r="EW203" s="902">
        <v>6.0086122949658094E-2</v>
      </c>
      <c r="EX203" s="902">
        <v>12.644894780631763</v>
      </c>
      <c r="EY203" s="902">
        <v>0.14316889223546531</v>
      </c>
      <c r="EZ203" s="902">
        <v>2800</v>
      </c>
      <c r="FA203" s="909" t="s">
        <v>3889</v>
      </c>
      <c r="FB203" s="909">
        <v>2</v>
      </c>
      <c r="FC203" s="909">
        <v>0</v>
      </c>
      <c r="FD203" s="909">
        <v>0</v>
      </c>
      <c r="FE203" s="909">
        <v>0</v>
      </c>
      <c r="FF203" s="910">
        <v>5045.1123640585793</v>
      </c>
      <c r="FG203" s="909">
        <v>1</v>
      </c>
      <c r="FH203" s="909">
        <v>2</v>
      </c>
      <c r="FI203" s="909">
        <v>7.832078521546455</v>
      </c>
      <c r="FJ203" s="910">
        <v>8317.2209775843385</v>
      </c>
      <c r="FK203" s="871">
        <v>4000</v>
      </c>
      <c r="FL203" s="911">
        <v>65.973445725385659</v>
      </c>
      <c r="FM203" s="908">
        <v>4.4088742446975733</v>
      </c>
      <c r="FN203" s="902">
        <v>10.602908911624477</v>
      </c>
      <c r="FO203" s="902">
        <v>0</v>
      </c>
      <c r="FP203" s="902">
        <v>6.0086122949658094E-2</v>
      </c>
      <c r="FQ203" s="902">
        <v>12.644894780631763</v>
      </c>
      <c r="FR203" s="902">
        <v>0.14316889223546531</v>
      </c>
      <c r="FS203" s="902">
        <v>3500</v>
      </c>
      <c r="FT203" s="909" t="s">
        <v>3889</v>
      </c>
      <c r="FU203" s="909">
        <v>2</v>
      </c>
      <c r="FV203" s="909">
        <v>0</v>
      </c>
      <c r="FW203" s="909">
        <v>0</v>
      </c>
      <c r="FX203" s="909">
        <v>0</v>
      </c>
      <c r="FY203" s="910">
        <v>5045.1123640585793</v>
      </c>
      <c r="FZ203" s="909">
        <v>1</v>
      </c>
      <c r="GA203" s="909">
        <v>2</v>
      </c>
      <c r="GB203" s="909">
        <v>7.832078521546455</v>
      </c>
      <c r="GC203" s="910">
        <v>8317.2209775843385</v>
      </c>
      <c r="GD203" s="871">
        <v>4000</v>
      </c>
      <c r="GE203" s="911">
        <v>65.973445725385659</v>
      </c>
      <c r="GF203" s="908">
        <v>4.4088742446975733</v>
      </c>
      <c r="GG203" s="902">
        <v>10.602908911624477</v>
      </c>
      <c r="GH203" s="902">
        <v>0</v>
      </c>
      <c r="GI203" s="902">
        <v>6.0086122949658094E-2</v>
      </c>
      <c r="GJ203" s="902">
        <v>12.644894780631763</v>
      </c>
      <c r="GK203" s="902">
        <v>0.14316889223546531</v>
      </c>
      <c r="GL203" s="902">
        <v>2800</v>
      </c>
      <c r="GM203" s="909" t="s">
        <v>2877</v>
      </c>
      <c r="GN203" s="909">
        <v>2</v>
      </c>
      <c r="GO203" s="909">
        <v>0</v>
      </c>
      <c r="GP203" s="909">
        <v>0</v>
      </c>
      <c r="GQ203" s="909">
        <v>0</v>
      </c>
      <c r="GR203" s="910">
        <v>5936.5676290622123</v>
      </c>
      <c r="GS203" s="909">
        <v>1</v>
      </c>
      <c r="GT203" s="909">
        <v>2</v>
      </c>
      <c r="GU203" s="909">
        <v>7.832078521546455</v>
      </c>
      <c r="GV203" s="910">
        <v>9786.8473992844156</v>
      </c>
      <c r="GW203" s="871">
        <v>4000</v>
      </c>
      <c r="GX203" s="911">
        <v>65.973445725385659</v>
      </c>
      <c r="GY203" s="908">
        <v>4.4088742446975733</v>
      </c>
      <c r="GZ203" s="902">
        <v>10.602908911624477</v>
      </c>
      <c r="HA203" s="902">
        <v>0</v>
      </c>
      <c r="HB203" s="902">
        <v>6.0086122949658094E-2</v>
      </c>
      <c r="HC203" s="902">
        <v>12.644894780631763</v>
      </c>
      <c r="HD203" s="902">
        <v>0.14316889223546531</v>
      </c>
      <c r="HE203" s="902">
        <v>3500</v>
      </c>
      <c r="HF203" s="909" t="s">
        <v>2877</v>
      </c>
      <c r="HG203" s="909">
        <v>2</v>
      </c>
      <c r="HH203" s="909">
        <v>0</v>
      </c>
      <c r="HI203" s="909">
        <v>0</v>
      </c>
      <c r="HJ203" s="909">
        <v>0</v>
      </c>
      <c r="HK203" s="910">
        <v>5936.5676290622123</v>
      </c>
      <c r="HL203" s="909">
        <v>1</v>
      </c>
      <c r="HM203" s="909">
        <v>2</v>
      </c>
      <c r="HN203" s="909">
        <v>7.832078521546455</v>
      </c>
      <c r="HO203" s="910">
        <v>9786.8473992844156</v>
      </c>
      <c r="HP203" s="871">
        <v>4000</v>
      </c>
      <c r="HQ203" s="911">
        <v>65.973445725385659</v>
      </c>
      <c r="HR203" s="908">
        <v>4.4088742446975733</v>
      </c>
      <c r="HS203" s="902">
        <v>10.542822788674819</v>
      </c>
      <c r="HT203" s="902">
        <v>0</v>
      </c>
      <c r="HU203" s="902">
        <v>0</v>
      </c>
      <c r="HV203" s="902">
        <v>12.431998909194041</v>
      </c>
      <c r="HW203" s="902">
        <v>0.14175065734216988</v>
      </c>
      <c r="HX203" s="902">
        <v>2800</v>
      </c>
      <c r="HY203" s="909" t="s">
        <v>1063</v>
      </c>
      <c r="HZ203" s="909">
        <v>2</v>
      </c>
      <c r="IA203" s="909">
        <v>0</v>
      </c>
      <c r="IB203" s="909">
        <v>0</v>
      </c>
      <c r="IC203" s="909">
        <v>0</v>
      </c>
      <c r="ID203" s="910">
        <v>5235.5605292716527</v>
      </c>
      <c r="IE203" s="909">
        <v>0</v>
      </c>
      <c r="IF203" s="909">
        <v>0</v>
      </c>
      <c r="IG203" s="909">
        <v>0</v>
      </c>
      <c r="IH203" s="910">
        <v>3690.5098943806584</v>
      </c>
      <c r="II203" s="871">
        <v>3690.5098943806584</v>
      </c>
      <c r="IJ203" s="911">
        <v>60.868913553980285</v>
      </c>
      <c r="IK203" s="908">
        <v>4.4088742446975733</v>
      </c>
      <c r="IL203" s="902">
        <v>10.542822788674819</v>
      </c>
      <c r="IM203" s="902">
        <v>0</v>
      </c>
      <c r="IN203" s="902">
        <v>0</v>
      </c>
      <c r="IO203" s="902">
        <v>12.431998909194041</v>
      </c>
      <c r="IP203" s="902">
        <v>0.14175065734216988</v>
      </c>
      <c r="IQ203" s="902">
        <v>3500</v>
      </c>
      <c r="IR203" s="909" t="s">
        <v>1063</v>
      </c>
      <c r="IS203" s="909">
        <v>2</v>
      </c>
      <c r="IT203" s="909">
        <v>0</v>
      </c>
      <c r="IU203" s="909">
        <v>0</v>
      </c>
      <c r="IV203" s="909">
        <v>0</v>
      </c>
      <c r="IW203" s="910">
        <v>5235.5605292716527</v>
      </c>
      <c r="IX203" s="909">
        <v>0</v>
      </c>
      <c r="IY203" s="909">
        <v>0</v>
      </c>
      <c r="IZ203" s="909">
        <v>0</v>
      </c>
      <c r="JA203" s="910">
        <v>3690.5098943806584</v>
      </c>
      <c r="JB203" s="871">
        <v>3690.5098943806584</v>
      </c>
      <c r="JC203" s="911">
        <v>60.868913553980285</v>
      </c>
      <c r="JD203" s="908">
        <v>4.4088742446975733</v>
      </c>
      <c r="JE203" s="902">
        <v>10.542822788674819</v>
      </c>
      <c r="JF203" s="902">
        <v>0</v>
      </c>
      <c r="JG203" s="902">
        <v>0</v>
      </c>
      <c r="JH203" s="902">
        <v>12.431998909194041</v>
      </c>
      <c r="JI203" s="902">
        <v>0.14175065734216988</v>
      </c>
      <c r="JJ203" s="902">
        <v>2800</v>
      </c>
      <c r="JK203" s="909" t="s">
        <v>1064</v>
      </c>
      <c r="JL203" s="909">
        <v>2</v>
      </c>
      <c r="JM203" s="909">
        <v>0</v>
      </c>
      <c r="JN203" s="909">
        <v>0</v>
      </c>
      <c r="JO203" s="909">
        <v>0</v>
      </c>
      <c r="JP203" s="910">
        <v>7134.8663289478318</v>
      </c>
      <c r="JQ203" s="909">
        <v>0</v>
      </c>
      <c r="JR203" s="909">
        <v>0</v>
      </c>
      <c r="JS203" s="909">
        <v>0</v>
      </c>
      <c r="JT203" s="910">
        <v>5029.3172306668885</v>
      </c>
      <c r="JU203" s="871">
        <v>4000</v>
      </c>
      <c r="JV203" s="911">
        <v>65.973445725385659</v>
      </c>
      <c r="JW203" s="908">
        <v>4.4088742446975733</v>
      </c>
      <c r="JX203" s="902">
        <v>10.542822788674819</v>
      </c>
      <c r="JY203" s="902">
        <v>0</v>
      </c>
      <c r="JZ203" s="902">
        <v>0</v>
      </c>
      <c r="KA203" s="902">
        <v>12.431998909194041</v>
      </c>
      <c r="KB203" s="902">
        <v>0.14175065734216988</v>
      </c>
      <c r="KC203" s="902">
        <v>3500</v>
      </c>
      <c r="KD203" s="909" t="s">
        <v>1064</v>
      </c>
      <c r="KE203" s="909">
        <v>2</v>
      </c>
      <c r="KF203" s="909">
        <v>0</v>
      </c>
      <c r="KG203" s="909">
        <v>0</v>
      </c>
      <c r="KH203" s="909">
        <v>0</v>
      </c>
      <c r="KI203" s="910">
        <v>7134.8663289478318</v>
      </c>
      <c r="KJ203" s="909">
        <v>0</v>
      </c>
      <c r="KK203" s="909">
        <v>0</v>
      </c>
      <c r="KL203" s="909">
        <v>0</v>
      </c>
      <c r="KM203" s="910">
        <v>5029.3172306668885</v>
      </c>
      <c r="KN203" s="871">
        <v>4000</v>
      </c>
      <c r="KO203" s="912">
        <v>65.973445725385659</v>
      </c>
    </row>
    <row r="204" spans="1:301" ht="15" customHeight="1">
      <c r="A204" s="924" t="s">
        <v>1716</v>
      </c>
      <c r="B204" s="888" t="s">
        <v>1073</v>
      </c>
      <c r="C204" s="888">
        <v>190</v>
      </c>
      <c r="D204" s="888">
        <v>315</v>
      </c>
      <c r="E204" s="888">
        <v>0</v>
      </c>
      <c r="F204" s="888">
        <v>176.34107993830318</v>
      </c>
      <c r="G204" s="888">
        <v>37.502264187537214</v>
      </c>
      <c r="H204" s="888">
        <v>24.633890033307118</v>
      </c>
      <c r="I204" s="888">
        <v>100</v>
      </c>
      <c r="J204" s="888">
        <v>51.15</v>
      </c>
      <c r="K204" s="888">
        <v>25.61</v>
      </c>
      <c r="L204" s="888">
        <v>16</v>
      </c>
      <c r="M204" s="888">
        <v>281.64491968314798</v>
      </c>
      <c r="N204" s="888">
        <v>4</v>
      </c>
      <c r="O204" s="884">
        <v>2.447037568761711</v>
      </c>
      <c r="P204" s="888">
        <v>4</v>
      </c>
      <c r="Q204" s="884">
        <v>1.1424440954687454</v>
      </c>
      <c r="R204" s="888">
        <v>7</v>
      </c>
      <c r="S204" s="888">
        <v>230</v>
      </c>
      <c r="T204" s="906">
        <v>2.2830385782626896</v>
      </c>
      <c r="U204" s="906">
        <v>34.5</v>
      </c>
      <c r="V204" s="906">
        <v>47.5</v>
      </c>
      <c r="W204" s="1141">
        <v>0.26142830148409818</v>
      </c>
      <c r="X204" s="902">
        <v>0</v>
      </c>
      <c r="Y204" s="902">
        <v>0</v>
      </c>
      <c r="Z204" s="902">
        <v>0</v>
      </c>
      <c r="AA204" s="902">
        <v>0</v>
      </c>
      <c r="AB204" s="970">
        <v>0.376895276495681</v>
      </c>
      <c r="AC204" s="1045">
        <v>4000</v>
      </c>
      <c r="AD204" s="890"/>
      <c r="AE204" s="890"/>
      <c r="AF204" s="890"/>
      <c r="AG204" s="890"/>
      <c r="AH204" s="888"/>
      <c r="AI204" s="907">
        <v>0.81665881482681679</v>
      </c>
      <c r="AJ204" s="908">
        <v>4.4088742446975733</v>
      </c>
      <c r="AK204" s="902">
        <v>10.542822788674819</v>
      </c>
      <c r="AL204" s="902">
        <v>0</v>
      </c>
      <c r="AM204" s="902">
        <v>0</v>
      </c>
      <c r="AN204" s="902">
        <v>12.431998909194041</v>
      </c>
      <c r="AO204" s="902">
        <v>0.14175065734216988</v>
      </c>
      <c r="AP204" s="1222">
        <v>2800</v>
      </c>
      <c r="AQ204" s="909" t="s">
        <v>1064</v>
      </c>
      <c r="AR204" s="909">
        <v>2</v>
      </c>
      <c r="AS204" s="909">
        <v>0</v>
      </c>
      <c r="AT204" s="909">
        <v>0</v>
      </c>
      <c r="AU204" s="909">
        <v>0</v>
      </c>
      <c r="AV204" s="910">
        <v>7134.8663289478318</v>
      </c>
      <c r="AW204" s="909">
        <v>0</v>
      </c>
      <c r="AX204" s="909">
        <v>0</v>
      </c>
      <c r="AY204" s="909">
        <v>0</v>
      </c>
      <c r="AZ204" s="910">
        <v>5029.3172306668885</v>
      </c>
      <c r="BA204" s="871">
        <v>4000</v>
      </c>
      <c r="BB204" s="911">
        <v>65.973445725385659</v>
      </c>
      <c r="BC204" s="908">
        <v>4.4088742446975733</v>
      </c>
      <c r="BD204" s="902">
        <v>10.542822788674819</v>
      </c>
      <c r="BE204" s="902">
        <v>0</v>
      </c>
      <c r="BF204" s="902">
        <v>0</v>
      </c>
      <c r="BG204" s="902">
        <v>12.431998909194041</v>
      </c>
      <c r="BH204" s="902">
        <v>0.14175065734216988</v>
      </c>
      <c r="BI204" s="902">
        <v>3500</v>
      </c>
      <c r="BJ204" s="909" t="s">
        <v>1064</v>
      </c>
      <c r="BK204" s="909">
        <v>2</v>
      </c>
      <c r="BL204" s="909">
        <v>0</v>
      </c>
      <c r="BM204" s="909">
        <v>0</v>
      </c>
      <c r="BN204" s="909">
        <v>0</v>
      </c>
      <c r="BO204" s="910">
        <v>7134.8663289478318</v>
      </c>
      <c r="BP204" s="909">
        <v>0</v>
      </c>
      <c r="BQ204" s="909">
        <v>0</v>
      </c>
      <c r="BR204" s="909">
        <v>0</v>
      </c>
      <c r="BS204" s="910">
        <v>5029.3172306668885</v>
      </c>
      <c r="BT204" s="871">
        <v>4000</v>
      </c>
      <c r="BU204" s="911">
        <v>65.973445725385659</v>
      </c>
      <c r="BV204" s="908">
        <v>6.6133113670463599</v>
      </c>
      <c r="BW204" s="902">
        <v>13.023017417136234</v>
      </c>
      <c r="BX204" s="902">
        <v>9.5499137263655262E-2</v>
      </c>
      <c r="BY204" s="902">
        <v>0.18025836884897428</v>
      </c>
      <c r="BZ204" s="902">
        <v>12.931678036530473</v>
      </c>
      <c r="CA204" s="902">
        <v>0.18429420628737145</v>
      </c>
      <c r="CB204" s="902">
        <v>2800</v>
      </c>
      <c r="CC204" s="909" t="s">
        <v>2874</v>
      </c>
      <c r="CD204" s="909">
        <v>3</v>
      </c>
      <c r="CE204" s="909">
        <v>1</v>
      </c>
      <c r="CF204" s="909">
        <v>3</v>
      </c>
      <c r="CG204" s="909">
        <v>14.111388999350796</v>
      </c>
      <c r="CH204" s="910">
        <v>10676.539959151998</v>
      </c>
      <c r="CI204" s="909">
        <v>2</v>
      </c>
      <c r="CJ204" s="909">
        <v>3</v>
      </c>
      <c r="CK204" s="909">
        <v>7.832078521546455</v>
      </c>
      <c r="CL204" s="910">
        <v>7690.9110007672862</v>
      </c>
      <c r="CM204" s="871">
        <v>4000</v>
      </c>
      <c r="CN204" s="911">
        <v>65.973445725385659</v>
      </c>
      <c r="CO204" s="908">
        <v>6.6133113670463599</v>
      </c>
      <c r="CP204" s="902">
        <v>13.023017417136234</v>
      </c>
      <c r="CQ204" s="902">
        <v>9.5499137263655262E-2</v>
      </c>
      <c r="CR204" s="902">
        <v>0.18025836884897428</v>
      </c>
      <c r="CS204" s="902">
        <v>12.931678036530473</v>
      </c>
      <c r="CT204" s="902">
        <v>0.18429420628737145</v>
      </c>
      <c r="CU204" s="902">
        <v>3500</v>
      </c>
      <c r="CV204" s="909" t="s">
        <v>2874</v>
      </c>
      <c r="CW204" s="909">
        <v>3</v>
      </c>
      <c r="CX204" s="909">
        <v>1</v>
      </c>
      <c r="CY204" s="909">
        <v>3</v>
      </c>
      <c r="CZ204" s="909">
        <v>14.111388999350796</v>
      </c>
      <c r="DA204" s="910">
        <v>10676.539959151998</v>
      </c>
      <c r="DB204" s="909">
        <v>2</v>
      </c>
      <c r="DC204" s="909">
        <v>3</v>
      </c>
      <c r="DD204" s="909">
        <v>7.832078521546455</v>
      </c>
      <c r="DE204" s="910">
        <v>7690.9110007672862</v>
      </c>
      <c r="DF204" s="871">
        <v>4000</v>
      </c>
      <c r="DG204" s="911">
        <v>65.973445725385659</v>
      </c>
      <c r="DH204" s="908">
        <v>4.4088742446975733</v>
      </c>
      <c r="DI204" s="902">
        <v>10.72666112608324</v>
      </c>
      <c r="DJ204" s="902">
        <v>6.3666091509103517E-2</v>
      </c>
      <c r="DK204" s="902">
        <v>0.12017224589931619</v>
      </c>
      <c r="DL204" s="902">
        <v>12.852195462473706</v>
      </c>
      <c r="DM204" s="902">
        <v>0.1452534021738168</v>
      </c>
      <c r="DN204" s="902">
        <v>2800</v>
      </c>
      <c r="DO204" s="909" t="s">
        <v>2876</v>
      </c>
      <c r="DP204" s="909">
        <v>2</v>
      </c>
      <c r="DQ204" s="909">
        <v>1</v>
      </c>
      <c r="DR204" s="909">
        <v>2</v>
      </c>
      <c r="DS204" s="909">
        <v>14.111388999350796</v>
      </c>
      <c r="DT204" s="910">
        <v>11836.843808337373</v>
      </c>
      <c r="DU204" s="909">
        <v>2</v>
      </c>
      <c r="DV204" s="909">
        <v>2</v>
      </c>
      <c r="DW204" s="909">
        <v>7.832078521546455</v>
      </c>
      <c r="DX204" s="910">
        <v>8526.742990538738</v>
      </c>
      <c r="DY204" s="871">
        <v>4000</v>
      </c>
      <c r="DZ204" s="911">
        <v>65.973445725385659</v>
      </c>
      <c r="EA204" s="908">
        <v>4.4088742446975733</v>
      </c>
      <c r="EB204" s="902">
        <v>10.72666112608324</v>
      </c>
      <c r="EC204" s="902">
        <v>6.3666091509103517E-2</v>
      </c>
      <c r="ED204" s="902">
        <v>0.12017224589931619</v>
      </c>
      <c r="EE204" s="902">
        <v>12.852195462473706</v>
      </c>
      <c r="EF204" s="902">
        <v>0.1452534021738168</v>
      </c>
      <c r="EG204" s="902">
        <v>3500</v>
      </c>
      <c r="EH204" s="909" t="s">
        <v>2876</v>
      </c>
      <c r="EI204" s="909">
        <v>2</v>
      </c>
      <c r="EJ204" s="909">
        <v>1</v>
      </c>
      <c r="EK204" s="909">
        <v>2</v>
      </c>
      <c r="EL204" s="909">
        <v>14.111388999350796</v>
      </c>
      <c r="EM204" s="910">
        <v>11836.843808337373</v>
      </c>
      <c r="EN204" s="909">
        <v>2</v>
      </c>
      <c r="EO204" s="909">
        <v>2</v>
      </c>
      <c r="EP204" s="909">
        <v>7.832078521546455</v>
      </c>
      <c r="EQ204" s="910">
        <v>8526.742990538738</v>
      </c>
      <c r="ER204" s="871">
        <v>4000</v>
      </c>
      <c r="ES204" s="911">
        <v>65.973445725385659</v>
      </c>
      <c r="ET204" s="908">
        <v>4.4088742446975733</v>
      </c>
      <c r="EU204" s="902">
        <v>10.602908911624477</v>
      </c>
      <c r="EV204" s="902">
        <v>0</v>
      </c>
      <c r="EW204" s="902">
        <v>6.0086122949658094E-2</v>
      </c>
      <c r="EX204" s="902">
        <v>12.644894780631763</v>
      </c>
      <c r="EY204" s="902">
        <v>0.14316889223546531</v>
      </c>
      <c r="EZ204" s="902">
        <v>2800</v>
      </c>
      <c r="FA204" s="909" t="s">
        <v>3889</v>
      </c>
      <c r="FB204" s="909">
        <v>2</v>
      </c>
      <c r="FC204" s="909">
        <v>0</v>
      </c>
      <c r="FD204" s="909">
        <v>0</v>
      </c>
      <c r="FE204" s="909">
        <v>0</v>
      </c>
      <c r="FF204" s="910">
        <v>5045.1123640585793</v>
      </c>
      <c r="FG204" s="909">
        <v>1</v>
      </c>
      <c r="FH204" s="909">
        <v>2</v>
      </c>
      <c r="FI204" s="909">
        <v>7.832078521546455</v>
      </c>
      <c r="FJ204" s="910">
        <v>8317.2209775843385</v>
      </c>
      <c r="FK204" s="871">
        <v>4000</v>
      </c>
      <c r="FL204" s="911">
        <v>65.973445725385659</v>
      </c>
      <c r="FM204" s="908">
        <v>4.4088742446975733</v>
      </c>
      <c r="FN204" s="902">
        <v>10.602908911624477</v>
      </c>
      <c r="FO204" s="902">
        <v>0</v>
      </c>
      <c r="FP204" s="902">
        <v>6.0086122949658094E-2</v>
      </c>
      <c r="FQ204" s="902">
        <v>12.644894780631763</v>
      </c>
      <c r="FR204" s="902">
        <v>0.14316889223546531</v>
      </c>
      <c r="FS204" s="902">
        <v>3500</v>
      </c>
      <c r="FT204" s="909" t="s">
        <v>3889</v>
      </c>
      <c r="FU204" s="909">
        <v>2</v>
      </c>
      <c r="FV204" s="909">
        <v>0</v>
      </c>
      <c r="FW204" s="909">
        <v>0</v>
      </c>
      <c r="FX204" s="909">
        <v>0</v>
      </c>
      <c r="FY204" s="910">
        <v>5045.1123640585793</v>
      </c>
      <c r="FZ204" s="909">
        <v>1</v>
      </c>
      <c r="GA204" s="909">
        <v>2</v>
      </c>
      <c r="GB204" s="909">
        <v>7.832078521546455</v>
      </c>
      <c r="GC204" s="910">
        <v>8317.2209775843385</v>
      </c>
      <c r="GD204" s="871">
        <v>4000</v>
      </c>
      <c r="GE204" s="911">
        <v>65.973445725385659</v>
      </c>
      <c r="GF204" s="908">
        <v>4.4088742446975733</v>
      </c>
      <c r="GG204" s="902">
        <v>10.602908911624477</v>
      </c>
      <c r="GH204" s="902">
        <v>0</v>
      </c>
      <c r="GI204" s="902">
        <v>6.0086122949658094E-2</v>
      </c>
      <c r="GJ204" s="902">
        <v>12.644894780631763</v>
      </c>
      <c r="GK204" s="902">
        <v>0.14316889223546531</v>
      </c>
      <c r="GL204" s="902">
        <v>2800</v>
      </c>
      <c r="GM204" s="909" t="s">
        <v>2877</v>
      </c>
      <c r="GN204" s="909">
        <v>2</v>
      </c>
      <c r="GO204" s="909">
        <v>0</v>
      </c>
      <c r="GP204" s="909">
        <v>0</v>
      </c>
      <c r="GQ204" s="909">
        <v>0</v>
      </c>
      <c r="GR204" s="910">
        <v>5936.5676290622123</v>
      </c>
      <c r="GS204" s="909">
        <v>1</v>
      </c>
      <c r="GT204" s="909">
        <v>2</v>
      </c>
      <c r="GU204" s="909">
        <v>7.832078521546455</v>
      </c>
      <c r="GV204" s="910">
        <v>9786.8473992844156</v>
      </c>
      <c r="GW204" s="871">
        <v>4000</v>
      </c>
      <c r="GX204" s="911">
        <v>65.973445725385659</v>
      </c>
      <c r="GY204" s="908">
        <v>4.4088742446975733</v>
      </c>
      <c r="GZ204" s="902">
        <v>10.602908911624477</v>
      </c>
      <c r="HA204" s="902">
        <v>0</v>
      </c>
      <c r="HB204" s="902">
        <v>6.0086122949658094E-2</v>
      </c>
      <c r="HC204" s="902">
        <v>12.644894780631763</v>
      </c>
      <c r="HD204" s="902">
        <v>0.14316889223546531</v>
      </c>
      <c r="HE204" s="902">
        <v>3500</v>
      </c>
      <c r="HF204" s="909" t="s">
        <v>2877</v>
      </c>
      <c r="HG204" s="909">
        <v>2</v>
      </c>
      <c r="HH204" s="909">
        <v>0</v>
      </c>
      <c r="HI204" s="909">
        <v>0</v>
      </c>
      <c r="HJ204" s="909">
        <v>0</v>
      </c>
      <c r="HK204" s="910">
        <v>5936.5676290622123</v>
      </c>
      <c r="HL204" s="909">
        <v>1</v>
      </c>
      <c r="HM204" s="909">
        <v>2</v>
      </c>
      <c r="HN204" s="909">
        <v>7.832078521546455</v>
      </c>
      <c r="HO204" s="910">
        <v>9786.8473992844156</v>
      </c>
      <c r="HP204" s="871">
        <v>4000</v>
      </c>
      <c r="HQ204" s="911">
        <v>65.973445725385659</v>
      </c>
      <c r="HR204" s="908">
        <v>4.4088742446975733</v>
      </c>
      <c r="HS204" s="902">
        <v>10.542822788674819</v>
      </c>
      <c r="HT204" s="902">
        <v>0</v>
      </c>
      <c r="HU204" s="902">
        <v>0</v>
      </c>
      <c r="HV204" s="902">
        <v>12.431998909194041</v>
      </c>
      <c r="HW204" s="902">
        <v>0.14175065734216988</v>
      </c>
      <c r="HX204" s="902">
        <v>2800</v>
      </c>
      <c r="HY204" s="909" t="s">
        <v>1063</v>
      </c>
      <c r="HZ204" s="909">
        <v>2</v>
      </c>
      <c r="IA204" s="909">
        <v>0</v>
      </c>
      <c r="IB204" s="909">
        <v>0</v>
      </c>
      <c r="IC204" s="909">
        <v>0</v>
      </c>
      <c r="ID204" s="910">
        <v>5235.5605292716527</v>
      </c>
      <c r="IE204" s="909">
        <v>0</v>
      </c>
      <c r="IF204" s="909">
        <v>0</v>
      </c>
      <c r="IG204" s="909">
        <v>0</v>
      </c>
      <c r="IH204" s="910">
        <v>3690.5098943806584</v>
      </c>
      <c r="II204" s="871">
        <v>3690.5098943806584</v>
      </c>
      <c r="IJ204" s="911">
        <v>60.868913553980285</v>
      </c>
      <c r="IK204" s="908">
        <v>4.4088742446975733</v>
      </c>
      <c r="IL204" s="902">
        <v>10.542822788674819</v>
      </c>
      <c r="IM204" s="902">
        <v>0</v>
      </c>
      <c r="IN204" s="902">
        <v>0</v>
      </c>
      <c r="IO204" s="902">
        <v>12.431998909194041</v>
      </c>
      <c r="IP204" s="902">
        <v>0.14175065734216988</v>
      </c>
      <c r="IQ204" s="902">
        <v>3500</v>
      </c>
      <c r="IR204" s="909" t="s">
        <v>1063</v>
      </c>
      <c r="IS204" s="909">
        <v>2</v>
      </c>
      <c r="IT204" s="909">
        <v>0</v>
      </c>
      <c r="IU204" s="909">
        <v>0</v>
      </c>
      <c r="IV204" s="909">
        <v>0</v>
      </c>
      <c r="IW204" s="910">
        <v>5235.5605292716527</v>
      </c>
      <c r="IX204" s="909">
        <v>0</v>
      </c>
      <c r="IY204" s="909">
        <v>0</v>
      </c>
      <c r="IZ204" s="909">
        <v>0</v>
      </c>
      <c r="JA204" s="910">
        <v>3690.5098943806584</v>
      </c>
      <c r="JB204" s="871">
        <v>3690.5098943806584</v>
      </c>
      <c r="JC204" s="911">
        <v>60.868913553980285</v>
      </c>
      <c r="JD204" s="908">
        <v>4.4088742446975733</v>
      </c>
      <c r="JE204" s="902">
        <v>10.542822788674819</v>
      </c>
      <c r="JF204" s="902">
        <v>0</v>
      </c>
      <c r="JG204" s="902">
        <v>0</v>
      </c>
      <c r="JH204" s="902">
        <v>12.431998909194041</v>
      </c>
      <c r="JI204" s="902">
        <v>0.14175065734216988</v>
      </c>
      <c r="JJ204" s="902">
        <v>2800</v>
      </c>
      <c r="JK204" s="909" t="s">
        <v>1064</v>
      </c>
      <c r="JL204" s="909">
        <v>2</v>
      </c>
      <c r="JM204" s="909">
        <v>0</v>
      </c>
      <c r="JN204" s="909">
        <v>0</v>
      </c>
      <c r="JO204" s="909">
        <v>0</v>
      </c>
      <c r="JP204" s="910">
        <v>7134.8663289478318</v>
      </c>
      <c r="JQ204" s="909">
        <v>0</v>
      </c>
      <c r="JR204" s="909">
        <v>0</v>
      </c>
      <c r="JS204" s="909">
        <v>0</v>
      </c>
      <c r="JT204" s="910">
        <v>5029.3172306668885</v>
      </c>
      <c r="JU204" s="871">
        <v>4000</v>
      </c>
      <c r="JV204" s="911">
        <v>65.973445725385659</v>
      </c>
      <c r="JW204" s="908">
        <v>4.4088742446975733</v>
      </c>
      <c r="JX204" s="902">
        <v>10.542822788674819</v>
      </c>
      <c r="JY204" s="902">
        <v>0</v>
      </c>
      <c r="JZ204" s="902">
        <v>0</v>
      </c>
      <c r="KA204" s="902">
        <v>12.431998909194041</v>
      </c>
      <c r="KB204" s="902">
        <v>0.14175065734216988</v>
      </c>
      <c r="KC204" s="902">
        <v>3500</v>
      </c>
      <c r="KD204" s="909" t="s">
        <v>1064</v>
      </c>
      <c r="KE204" s="909">
        <v>2</v>
      </c>
      <c r="KF204" s="909">
        <v>0</v>
      </c>
      <c r="KG204" s="909">
        <v>0</v>
      </c>
      <c r="KH204" s="909">
        <v>0</v>
      </c>
      <c r="KI204" s="910">
        <v>7134.8663289478318</v>
      </c>
      <c r="KJ204" s="909">
        <v>0</v>
      </c>
      <c r="KK204" s="909">
        <v>0</v>
      </c>
      <c r="KL204" s="909">
        <v>0</v>
      </c>
      <c r="KM204" s="910">
        <v>5029.3172306668885</v>
      </c>
      <c r="KN204" s="871">
        <v>4000</v>
      </c>
      <c r="KO204" s="912">
        <v>65.973445725385659</v>
      </c>
    </row>
    <row r="205" spans="1:301" ht="15" customHeight="1">
      <c r="A205" s="924" t="s">
        <v>1640</v>
      </c>
      <c r="B205" s="888" t="s">
        <v>1073</v>
      </c>
      <c r="C205" s="888">
        <v>190</v>
      </c>
      <c r="D205" s="888">
        <v>365</v>
      </c>
      <c r="E205" s="888">
        <v>0</v>
      </c>
      <c r="F205" s="888">
        <v>176.34107993830318</v>
      </c>
      <c r="G205" s="888">
        <v>28</v>
      </c>
      <c r="H205" s="888">
        <v>24.633890033307118</v>
      </c>
      <c r="I205" s="888">
        <v>100</v>
      </c>
      <c r="J205" s="888">
        <v>50.88</v>
      </c>
      <c r="K205" s="888">
        <v>20.45</v>
      </c>
      <c r="L205" s="888">
        <v>16</v>
      </c>
      <c r="M205" s="888">
        <v>270</v>
      </c>
      <c r="N205" s="888">
        <v>2</v>
      </c>
      <c r="O205" s="884">
        <v>1.6427643240024132</v>
      </c>
      <c r="P205" s="888">
        <v>3</v>
      </c>
      <c r="Q205" s="884">
        <v>1.1652559851246242</v>
      </c>
      <c r="R205" s="888">
        <v>9</v>
      </c>
      <c r="S205" s="888">
        <v>265</v>
      </c>
      <c r="T205" s="906">
        <v>3.8966715026369871</v>
      </c>
      <c r="U205" s="906">
        <v>39.75</v>
      </c>
      <c r="V205" s="906">
        <v>47.5</v>
      </c>
      <c r="W205" s="1141">
        <v>0.3470473057036067</v>
      </c>
      <c r="X205" s="902">
        <v>0</v>
      </c>
      <c r="Y205" s="902">
        <v>0</v>
      </c>
      <c r="Z205" s="902">
        <v>0</v>
      </c>
      <c r="AA205" s="902">
        <v>0</v>
      </c>
      <c r="AB205" s="970">
        <v>0.32055751451073855</v>
      </c>
      <c r="AC205" s="1045">
        <v>4000</v>
      </c>
      <c r="AD205" s="890"/>
      <c r="AE205" s="890"/>
      <c r="AF205" s="890"/>
      <c r="AG205" s="890"/>
      <c r="AH205" s="888"/>
      <c r="AI205" s="907">
        <v>0.90025133882109121</v>
      </c>
      <c r="AJ205" s="908">
        <v>4.2265844788095119</v>
      </c>
      <c r="AK205" s="902">
        <v>11.278323596277144</v>
      </c>
      <c r="AL205" s="902">
        <v>0</v>
      </c>
      <c r="AM205" s="902">
        <v>0</v>
      </c>
      <c r="AN205" s="902">
        <v>10.644451062877415</v>
      </c>
      <c r="AO205" s="902">
        <v>0.18065484754824118</v>
      </c>
      <c r="AP205" s="1222">
        <v>2600</v>
      </c>
      <c r="AQ205" s="909" t="s">
        <v>1064</v>
      </c>
      <c r="AR205" s="909">
        <v>2</v>
      </c>
      <c r="AS205" s="909">
        <v>0</v>
      </c>
      <c r="AT205" s="909">
        <v>0</v>
      </c>
      <c r="AU205" s="909">
        <v>0</v>
      </c>
      <c r="AV205" s="910">
        <v>6434.9684550512393</v>
      </c>
      <c r="AW205" s="909">
        <v>0</v>
      </c>
      <c r="AX205" s="909">
        <v>0</v>
      </c>
      <c r="AY205" s="909">
        <v>0</v>
      </c>
      <c r="AZ205" s="910">
        <v>4583.5090304889382</v>
      </c>
      <c r="BA205" s="871">
        <v>4000</v>
      </c>
      <c r="BB205" s="911">
        <v>76.445421237351638</v>
      </c>
      <c r="BC205" s="908">
        <v>4.2265844788095119</v>
      </c>
      <c r="BD205" s="902">
        <v>11.278323596277144</v>
      </c>
      <c r="BE205" s="902">
        <v>0</v>
      </c>
      <c r="BF205" s="902">
        <v>0</v>
      </c>
      <c r="BG205" s="902">
        <v>10.644451062877415</v>
      </c>
      <c r="BH205" s="902">
        <v>0.18065484754824118</v>
      </c>
      <c r="BI205" s="902">
        <v>3250</v>
      </c>
      <c r="BJ205" s="909" t="s">
        <v>1064</v>
      </c>
      <c r="BK205" s="909">
        <v>2</v>
      </c>
      <c r="BL205" s="909">
        <v>0</v>
      </c>
      <c r="BM205" s="909">
        <v>0</v>
      </c>
      <c r="BN205" s="909">
        <v>0</v>
      </c>
      <c r="BO205" s="910">
        <v>6434.9684550512393</v>
      </c>
      <c r="BP205" s="909">
        <v>0</v>
      </c>
      <c r="BQ205" s="909">
        <v>0</v>
      </c>
      <c r="BR205" s="909">
        <v>0</v>
      </c>
      <c r="BS205" s="910">
        <v>4583.5090304889382</v>
      </c>
      <c r="BT205" s="871">
        <v>4000</v>
      </c>
      <c r="BU205" s="911">
        <v>76.445421237351638</v>
      </c>
      <c r="BV205" s="908">
        <v>6.3398767182142679</v>
      </c>
      <c r="BW205" s="902">
        <v>13.673056647479999</v>
      </c>
      <c r="BX205" s="902">
        <v>0.10107052221612473</v>
      </c>
      <c r="BY205" s="902">
        <v>0.18037028958197437</v>
      </c>
      <c r="BZ205" s="902">
        <v>11.43447778237581</v>
      </c>
      <c r="CA205" s="902">
        <v>0.23224086062690832</v>
      </c>
      <c r="CB205" s="902">
        <v>2600</v>
      </c>
      <c r="CC205" s="909" t="s">
        <v>2874</v>
      </c>
      <c r="CD205" s="909">
        <v>3</v>
      </c>
      <c r="CE205" s="909">
        <v>1</v>
      </c>
      <c r="CF205" s="909">
        <v>3</v>
      </c>
      <c r="CG205" s="909">
        <v>14.969761264941305</v>
      </c>
      <c r="CH205" s="910">
        <v>8867.6189718378955</v>
      </c>
      <c r="CI205" s="909">
        <v>2</v>
      </c>
      <c r="CJ205" s="909">
        <v>3</v>
      </c>
      <c r="CK205" s="909">
        <v>6.7415646948697345</v>
      </c>
      <c r="CL205" s="910">
        <v>6316.1305269026243</v>
      </c>
      <c r="CM205" s="871">
        <v>4000</v>
      </c>
      <c r="CN205" s="911">
        <v>76.445421237351638</v>
      </c>
      <c r="CO205" s="908">
        <v>6.3398767182142679</v>
      </c>
      <c r="CP205" s="902">
        <v>13.673056647479999</v>
      </c>
      <c r="CQ205" s="902">
        <v>0.10107052221612473</v>
      </c>
      <c r="CR205" s="902">
        <v>0.18037028958197437</v>
      </c>
      <c r="CS205" s="902">
        <v>11.43447778237581</v>
      </c>
      <c r="CT205" s="902">
        <v>0.23224086062690832</v>
      </c>
      <c r="CU205" s="902">
        <v>3250</v>
      </c>
      <c r="CV205" s="909" t="s">
        <v>2874</v>
      </c>
      <c r="CW205" s="909">
        <v>3</v>
      </c>
      <c r="CX205" s="909">
        <v>1</v>
      </c>
      <c r="CY205" s="909">
        <v>3</v>
      </c>
      <c r="CZ205" s="909">
        <v>14.969761264941305</v>
      </c>
      <c r="DA205" s="910">
        <v>8867.6189718378955</v>
      </c>
      <c r="DB205" s="909">
        <v>2</v>
      </c>
      <c r="DC205" s="909">
        <v>3</v>
      </c>
      <c r="DD205" s="909">
        <v>6.7415646948697345</v>
      </c>
      <c r="DE205" s="910">
        <v>6316.1305269026243</v>
      </c>
      <c r="DF205" s="871">
        <v>4000</v>
      </c>
      <c r="DG205" s="911">
        <v>76.445421237351638</v>
      </c>
      <c r="DH205" s="908">
        <v>4.2265844788095119</v>
      </c>
      <c r="DI205" s="902">
        <v>11.465950804142542</v>
      </c>
      <c r="DJ205" s="902">
        <v>6.7380348144083141E-2</v>
      </c>
      <c r="DK205" s="902">
        <v>0.12024685972131624</v>
      </c>
      <c r="DL205" s="902">
        <v>11.067013001257738</v>
      </c>
      <c r="DM205" s="902">
        <v>0.1852260888975851</v>
      </c>
      <c r="DN205" s="902">
        <v>2600</v>
      </c>
      <c r="DO205" s="909" t="s">
        <v>2876</v>
      </c>
      <c r="DP205" s="909">
        <v>2</v>
      </c>
      <c r="DQ205" s="909">
        <v>1</v>
      </c>
      <c r="DR205" s="909">
        <v>2</v>
      </c>
      <c r="DS205" s="909">
        <v>14.969761264941305</v>
      </c>
      <c r="DT205" s="910">
        <v>9831.3331025861135</v>
      </c>
      <c r="DU205" s="909">
        <v>2</v>
      </c>
      <c r="DV205" s="909">
        <v>2</v>
      </c>
      <c r="DW205" s="909">
        <v>6.7415646948697345</v>
      </c>
      <c r="DX205" s="910">
        <v>7002.5542737683145</v>
      </c>
      <c r="DY205" s="871">
        <v>4000</v>
      </c>
      <c r="DZ205" s="911">
        <v>76.445421237351638</v>
      </c>
      <c r="EA205" s="908">
        <v>4.2265844788095119</v>
      </c>
      <c r="EB205" s="902">
        <v>11.465950804142542</v>
      </c>
      <c r="EC205" s="902">
        <v>6.7380348144083141E-2</v>
      </c>
      <c r="ED205" s="902">
        <v>0.12024685972131624</v>
      </c>
      <c r="EE205" s="902">
        <v>11.067013001257738</v>
      </c>
      <c r="EF205" s="902">
        <v>0.1852260888975851</v>
      </c>
      <c r="EG205" s="902">
        <v>3250</v>
      </c>
      <c r="EH205" s="909" t="s">
        <v>2876</v>
      </c>
      <c r="EI205" s="909">
        <v>2</v>
      </c>
      <c r="EJ205" s="909">
        <v>1</v>
      </c>
      <c r="EK205" s="909">
        <v>2</v>
      </c>
      <c r="EL205" s="909">
        <v>14.969761264941305</v>
      </c>
      <c r="EM205" s="910">
        <v>9831.3331025861135</v>
      </c>
      <c r="EN205" s="909">
        <v>2</v>
      </c>
      <c r="EO205" s="909">
        <v>2</v>
      </c>
      <c r="EP205" s="909">
        <v>6.7415646948697345</v>
      </c>
      <c r="EQ205" s="910">
        <v>7002.5542737683145</v>
      </c>
      <c r="ER205" s="871">
        <v>4000</v>
      </c>
      <c r="ES205" s="911">
        <v>76.445421237351638</v>
      </c>
      <c r="ET205" s="908">
        <v>4.2265844788095119</v>
      </c>
      <c r="EU205" s="902">
        <v>11.39857045599846</v>
      </c>
      <c r="EV205" s="902">
        <v>0</v>
      </c>
      <c r="EW205" s="902">
        <v>0.12024685972131624</v>
      </c>
      <c r="EX205" s="902">
        <v>11.059624280480961</v>
      </c>
      <c r="EY205" s="902">
        <v>0.18451460806412209</v>
      </c>
      <c r="EZ205" s="902">
        <v>2600</v>
      </c>
      <c r="FA205" s="909" t="s">
        <v>2877</v>
      </c>
      <c r="FB205" s="909">
        <v>2</v>
      </c>
      <c r="FC205" s="909">
        <v>0</v>
      </c>
      <c r="FD205" s="909">
        <v>0</v>
      </c>
      <c r="FE205" s="909">
        <v>0</v>
      </c>
      <c r="FF205" s="910">
        <v>5354.2173970801223</v>
      </c>
      <c r="FG205" s="909">
        <v>1</v>
      </c>
      <c r="FH205" s="909">
        <v>4</v>
      </c>
      <c r="FI205" s="909">
        <v>6.7415646948697345</v>
      </c>
      <c r="FJ205" s="910">
        <v>9518.870788416858</v>
      </c>
      <c r="FK205" s="871">
        <v>4000</v>
      </c>
      <c r="FL205" s="911">
        <v>76.445421237351638</v>
      </c>
      <c r="FM205" s="908">
        <v>4.2265844788095119</v>
      </c>
      <c r="FN205" s="902">
        <v>11.39857045599846</v>
      </c>
      <c r="FO205" s="902">
        <v>0</v>
      </c>
      <c r="FP205" s="902">
        <v>0.12024685972131624</v>
      </c>
      <c r="FQ205" s="902">
        <v>11.059624280480961</v>
      </c>
      <c r="FR205" s="902">
        <v>0.18451460806412209</v>
      </c>
      <c r="FS205" s="902">
        <v>3250</v>
      </c>
      <c r="FT205" s="909" t="s">
        <v>2877</v>
      </c>
      <c r="FU205" s="909">
        <v>2</v>
      </c>
      <c r="FV205" s="909">
        <v>0</v>
      </c>
      <c r="FW205" s="909">
        <v>0</v>
      </c>
      <c r="FX205" s="909">
        <v>0</v>
      </c>
      <c r="FY205" s="910">
        <v>5354.2173970801223</v>
      </c>
      <c r="FZ205" s="909">
        <v>1</v>
      </c>
      <c r="GA205" s="909">
        <v>4</v>
      </c>
      <c r="GB205" s="909">
        <v>6.7415646948697345</v>
      </c>
      <c r="GC205" s="910">
        <v>9518.870788416858</v>
      </c>
      <c r="GD205" s="871">
        <v>4000</v>
      </c>
      <c r="GE205" s="911">
        <v>76.445421237351638</v>
      </c>
      <c r="GF205" s="908">
        <v>4.2265844788095119</v>
      </c>
      <c r="GG205" s="902">
        <v>11.39857045599846</v>
      </c>
      <c r="GH205" s="902">
        <v>0</v>
      </c>
      <c r="GI205" s="902">
        <v>0.12024685972131624</v>
      </c>
      <c r="GJ205" s="902">
        <v>11.059624280480961</v>
      </c>
      <c r="GK205" s="902">
        <v>0.18451460806412209</v>
      </c>
      <c r="GL205" s="902">
        <v>2600</v>
      </c>
      <c r="GM205" s="909" t="s">
        <v>2877</v>
      </c>
      <c r="GN205" s="909">
        <v>2</v>
      </c>
      <c r="GO205" s="909">
        <v>0</v>
      </c>
      <c r="GP205" s="909">
        <v>0</v>
      </c>
      <c r="GQ205" s="909">
        <v>0</v>
      </c>
      <c r="GR205" s="910">
        <v>5354.2173970801223</v>
      </c>
      <c r="GS205" s="909">
        <v>1</v>
      </c>
      <c r="GT205" s="909">
        <v>4</v>
      </c>
      <c r="GU205" s="909">
        <v>6.7415646948697345</v>
      </c>
      <c r="GV205" s="910">
        <v>9518.870788416858</v>
      </c>
      <c r="GW205" s="871">
        <v>4000</v>
      </c>
      <c r="GX205" s="911">
        <v>76.445421237351638</v>
      </c>
      <c r="GY205" s="908">
        <v>4.2265844788095119</v>
      </c>
      <c r="GZ205" s="902">
        <v>11.39857045599846</v>
      </c>
      <c r="HA205" s="902">
        <v>0</v>
      </c>
      <c r="HB205" s="902">
        <v>0.12024685972131624</v>
      </c>
      <c r="HC205" s="902">
        <v>11.059624280480961</v>
      </c>
      <c r="HD205" s="902">
        <v>0.18451460806412209</v>
      </c>
      <c r="HE205" s="902">
        <v>3250</v>
      </c>
      <c r="HF205" s="909" t="s">
        <v>2877</v>
      </c>
      <c r="HG205" s="909">
        <v>2</v>
      </c>
      <c r="HH205" s="909">
        <v>0</v>
      </c>
      <c r="HI205" s="909">
        <v>0</v>
      </c>
      <c r="HJ205" s="909">
        <v>0</v>
      </c>
      <c r="HK205" s="910">
        <v>5354.2173970801223</v>
      </c>
      <c r="HL205" s="909">
        <v>1</v>
      </c>
      <c r="HM205" s="909">
        <v>4</v>
      </c>
      <c r="HN205" s="909">
        <v>6.7415646948697345</v>
      </c>
      <c r="HO205" s="910">
        <v>9518.870788416858</v>
      </c>
      <c r="HP205" s="871">
        <v>4000</v>
      </c>
      <c r="HQ205" s="911">
        <v>76.445421237351638</v>
      </c>
      <c r="HR205" s="908">
        <v>4.2265844788095119</v>
      </c>
      <c r="HS205" s="902">
        <v>11.278323596277144</v>
      </c>
      <c r="HT205" s="902">
        <v>0</v>
      </c>
      <c r="HU205" s="902">
        <v>0</v>
      </c>
      <c r="HV205" s="902">
        <v>10.644451062877415</v>
      </c>
      <c r="HW205" s="902">
        <v>0.18065484754824118</v>
      </c>
      <c r="HX205" s="902">
        <v>2600</v>
      </c>
      <c r="HY205" s="909" t="s">
        <v>1063</v>
      </c>
      <c r="HZ205" s="909">
        <v>2</v>
      </c>
      <c r="IA205" s="909">
        <v>0</v>
      </c>
      <c r="IB205" s="909">
        <v>0</v>
      </c>
      <c r="IC205" s="909">
        <v>0</v>
      </c>
      <c r="ID205" s="910">
        <v>4721.9758993498581</v>
      </c>
      <c r="IE205" s="909">
        <v>0</v>
      </c>
      <c r="IF205" s="909">
        <v>0</v>
      </c>
      <c r="IG205" s="909">
        <v>0</v>
      </c>
      <c r="IH205" s="910">
        <v>3363.376110947675</v>
      </c>
      <c r="II205" s="871">
        <v>3363.376110947675</v>
      </c>
      <c r="IJ205" s="911">
        <v>64.27867589526015</v>
      </c>
      <c r="IK205" s="908">
        <v>4.2265844788095119</v>
      </c>
      <c r="IL205" s="902">
        <v>11.39857045599846</v>
      </c>
      <c r="IM205" s="902">
        <v>0</v>
      </c>
      <c r="IN205" s="902">
        <v>0.12024685972131624</v>
      </c>
      <c r="IO205" s="902">
        <v>11.059624280480961</v>
      </c>
      <c r="IP205" s="902">
        <v>0.18451460806412209</v>
      </c>
      <c r="IQ205" s="902">
        <v>3250</v>
      </c>
      <c r="IR205" s="909" t="s">
        <v>1063</v>
      </c>
      <c r="IS205" s="909">
        <v>2</v>
      </c>
      <c r="IT205" s="909">
        <v>0</v>
      </c>
      <c r="IU205" s="909">
        <v>0</v>
      </c>
      <c r="IV205" s="909">
        <v>0</v>
      </c>
      <c r="IW205" s="910">
        <v>4721.9758993498581</v>
      </c>
      <c r="IX205" s="909">
        <v>1</v>
      </c>
      <c r="IY205" s="909">
        <v>4</v>
      </c>
      <c r="IZ205" s="909">
        <v>6.7415646948697345</v>
      </c>
      <c r="JA205" s="910">
        <v>8394.8549561027776</v>
      </c>
      <c r="JB205" s="871">
        <v>4000</v>
      </c>
      <c r="JC205" s="911">
        <v>76.445421237351638</v>
      </c>
      <c r="JD205" s="908">
        <v>4.2265844788095119</v>
      </c>
      <c r="JE205" s="902">
        <v>11.278323596277144</v>
      </c>
      <c r="JF205" s="902">
        <v>0</v>
      </c>
      <c r="JG205" s="902">
        <v>0</v>
      </c>
      <c r="JH205" s="902">
        <v>10.644451062877415</v>
      </c>
      <c r="JI205" s="902">
        <v>0.18065484754824118</v>
      </c>
      <c r="JJ205" s="902">
        <v>2600</v>
      </c>
      <c r="JK205" s="909" t="s">
        <v>1064</v>
      </c>
      <c r="JL205" s="909">
        <v>2</v>
      </c>
      <c r="JM205" s="909">
        <v>0</v>
      </c>
      <c r="JN205" s="909">
        <v>0</v>
      </c>
      <c r="JO205" s="909">
        <v>0</v>
      </c>
      <c r="JP205" s="910">
        <v>6434.9684550512393</v>
      </c>
      <c r="JQ205" s="909">
        <v>0</v>
      </c>
      <c r="JR205" s="909">
        <v>0</v>
      </c>
      <c r="JS205" s="909">
        <v>0</v>
      </c>
      <c r="JT205" s="910">
        <v>4583.5090304889382</v>
      </c>
      <c r="JU205" s="871">
        <v>4000</v>
      </c>
      <c r="JV205" s="911">
        <v>76.445421237351638</v>
      </c>
      <c r="JW205" s="908">
        <v>4.2265844788095119</v>
      </c>
      <c r="JX205" s="902">
        <v>11.278323596277144</v>
      </c>
      <c r="JY205" s="902">
        <v>0</v>
      </c>
      <c r="JZ205" s="902">
        <v>0</v>
      </c>
      <c r="KA205" s="902">
        <v>10.644451062877415</v>
      </c>
      <c r="KB205" s="902">
        <v>0.18065484754824118</v>
      </c>
      <c r="KC205" s="902">
        <v>3250</v>
      </c>
      <c r="KD205" s="909" t="s">
        <v>1064</v>
      </c>
      <c r="KE205" s="909">
        <v>2</v>
      </c>
      <c r="KF205" s="909">
        <v>0</v>
      </c>
      <c r="KG205" s="909">
        <v>0</v>
      </c>
      <c r="KH205" s="909">
        <v>0</v>
      </c>
      <c r="KI205" s="910">
        <v>6434.9684550512393</v>
      </c>
      <c r="KJ205" s="909">
        <v>0</v>
      </c>
      <c r="KK205" s="909">
        <v>0</v>
      </c>
      <c r="KL205" s="909">
        <v>0</v>
      </c>
      <c r="KM205" s="910">
        <v>4583.5090304889382</v>
      </c>
      <c r="KN205" s="871">
        <v>4000</v>
      </c>
      <c r="KO205" s="912">
        <v>76.445421237351638</v>
      </c>
    </row>
    <row r="206" spans="1:301" ht="15" customHeight="1">
      <c r="A206" s="924" t="s">
        <v>1717</v>
      </c>
      <c r="B206" s="888" t="s">
        <v>1073</v>
      </c>
      <c r="C206" s="888">
        <v>190</v>
      </c>
      <c r="D206" s="888">
        <v>365</v>
      </c>
      <c r="E206" s="888">
        <v>0</v>
      </c>
      <c r="F206" s="888">
        <v>176.34107993830318</v>
      </c>
      <c r="G206" s="888">
        <v>28</v>
      </c>
      <c r="H206" s="888">
        <v>24.633890033307118</v>
      </c>
      <c r="I206" s="888">
        <v>100</v>
      </c>
      <c r="J206" s="888">
        <v>50.88</v>
      </c>
      <c r="K206" s="888">
        <v>20.45</v>
      </c>
      <c r="L206" s="888">
        <v>16</v>
      </c>
      <c r="M206" s="888">
        <v>270</v>
      </c>
      <c r="N206" s="888">
        <v>2</v>
      </c>
      <c r="O206" s="884">
        <v>1.6427643240024132</v>
      </c>
      <c r="P206" s="888">
        <v>3</v>
      </c>
      <c r="Q206" s="884">
        <v>1.1652559851246242</v>
      </c>
      <c r="R206" s="888">
        <v>9</v>
      </c>
      <c r="S206" s="888">
        <v>265</v>
      </c>
      <c r="T206" s="906">
        <v>3.8966715026369871</v>
      </c>
      <c r="U206" s="906">
        <v>39.75</v>
      </c>
      <c r="V206" s="906">
        <v>47.5</v>
      </c>
      <c r="W206" s="1141">
        <v>0.3470473057036067</v>
      </c>
      <c r="X206" s="902">
        <v>0</v>
      </c>
      <c r="Y206" s="902">
        <v>0</v>
      </c>
      <c r="Z206" s="902">
        <v>0</v>
      </c>
      <c r="AA206" s="902">
        <v>0</v>
      </c>
      <c r="AB206" s="970">
        <v>0.32055751451073855</v>
      </c>
      <c r="AC206" s="1045">
        <v>4000</v>
      </c>
      <c r="AD206" s="890"/>
      <c r="AE206" s="890"/>
      <c r="AF206" s="890"/>
      <c r="AG206" s="890"/>
      <c r="AH206" s="888"/>
      <c r="AI206" s="907">
        <v>0.90025133882109121</v>
      </c>
      <c r="AJ206" s="908">
        <v>4.2265844788095119</v>
      </c>
      <c r="AK206" s="902">
        <v>11.278323596277144</v>
      </c>
      <c r="AL206" s="902">
        <v>0</v>
      </c>
      <c r="AM206" s="902">
        <v>0</v>
      </c>
      <c r="AN206" s="902">
        <v>10.644451062877415</v>
      </c>
      <c r="AO206" s="902">
        <v>0.18065484754824118</v>
      </c>
      <c r="AP206" s="1222">
        <v>2600</v>
      </c>
      <c r="AQ206" s="909" t="s">
        <v>1064</v>
      </c>
      <c r="AR206" s="909">
        <v>2</v>
      </c>
      <c r="AS206" s="909">
        <v>0</v>
      </c>
      <c r="AT206" s="909">
        <v>0</v>
      </c>
      <c r="AU206" s="909">
        <v>0</v>
      </c>
      <c r="AV206" s="910">
        <v>6434.9684550512393</v>
      </c>
      <c r="AW206" s="909">
        <v>0</v>
      </c>
      <c r="AX206" s="909">
        <v>0</v>
      </c>
      <c r="AY206" s="909">
        <v>0</v>
      </c>
      <c r="AZ206" s="910">
        <v>4583.5090304889382</v>
      </c>
      <c r="BA206" s="871">
        <v>4000</v>
      </c>
      <c r="BB206" s="911">
        <v>76.445421237351638</v>
      </c>
      <c r="BC206" s="908">
        <v>4.2265844788095119</v>
      </c>
      <c r="BD206" s="902">
        <v>11.278323596277144</v>
      </c>
      <c r="BE206" s="902">
        <v>0</v>
      </c>
      <c r="BF206" s="902">
        <v>0</v>
      </c>
      <c r="BG206" s="902">
        <v>10.644451062877415</v>
      </c>
      <c r="BH206" s="902">
        <v>0.18065484754824118</v>
      </c>
      <c r="BI206" s="902">
        <v>3250</v>
      </c>
      <c r="BJ206" s="909" t="s">
        <v>1064</v>
      </c>
      <c r="BK206" s="909">
        <v>2</v>
      </c>
      <c r="BL206" s="909">
        <v>0</v>
      </c>
      <c r="BM206" s="909">
        <v>0</v>
      </c>
      <c r="BN206" s="909">
        <v>0</v>
      </c>
      <c r="BO206" s="910">
        <v>6434.9684550512393</v>
      </c>
      <c r="BP206" s="909">
        <v>0</v>
      </c>
      <c r="BQ206" s="909">
        <v>0</v>
      </c>
      <c r="BR206" s="909">
        <v>0</v>
      </c>
      <c r="BS206" s="910">
        <v>4583.5090304889382</v>
      </c>
      <c r="BT206" s="871">
        <v>4000</v>
      </c>
      <c r="BU206" s="911">
        <v>76.445421237351638</v>
      </c>
      <c r="BV206" s="908">
        <v>6.3398767182142679</v>
      </c>
      <c r="BW206" s="902">
        <v>13.673056647479999</v>
      </c>
      <c r="BX206" s="902">
        <v>0.10107052221612473</v>
      </c>
      <c r="BY206" s="902">
        <v>0.18037028958197437</v>
      </c>
      <c r="BZ206" s="902">
        <v>11.43447778237581</v>
      </c>
      <c r="CA206" s="902">
        <v>0.23224086062690832</v>
      </c>
      <c r="CB206" s="902">
        <v>2600</v>
      </c>
      <c r="CC206" s="909" t="s">
        <v>2874</v>
      </c>
      <c r="CD206" s="909">
        <v>3</v>
      </c>
      <c r="CE206" s="909">
        <v>1</v>
      </c>
      <c r="CF206" s="909">
        <v>3</v>
      </c>
      <c r="CG206" s="909">
        <v>14.969761264941305</v>
      </c>
      <c r="CH206" s="910">
        <v>8867.6189718378955</v>
      </c>
      <c r="CI206" s="909">
        <v>2</v>
      </c>
      <c r="CJ206" s="909">
        <v>3</v>
      </c>
      <c r="CK206" s="909">
        <v>6.7415646948697345</v>
      </c>
      <c r="CL206" s="910">
        <v>6316.1305269026243</v>
      </c>
      <c r="CM206" s="871">
        <v>4000</v>
      </c>
      <c r="CN206" s="911">
        <v>76.445421237351638</v>
      </c>
      <c r="CO206" s="908">
        <v>6.3398767182142679</v>
      </c>
      <c r="CP206" s="902">
        <v>13.673056647479999</v>
      </c>
      <c r="CQ206" s="902">
        <v>0.10107052221612473</v>
      </c>
      <c r="CR206" s="902">
        <v>0.18037028958197437</v>
      </c>
      <c r="CS206" s="902">
        <v>11.43447778237581</v>
      </c>
      <c r="CT206" s="902">
        <v>0.23224086062690832</v>
      </c>
      <c r="CU206" s="902">
        <v>3250</v>
      </c>
      <c r="CV206" s="909" t="s">
        <v>2874</v>
      </c>
      <c r="CW206" s="909">
        <v>3</v>
      </c>
      <c r="CX206" s="909">
        <v>1</v>
      </c>
      <c r="CY206" s="909">
        <v>3</v>
      </c>
      <c r="CZ206" s="909">
        <v>14.969761264941305</v>
      </c>
      <c r="DA206" s="910">
        <v>8867.6189718378955</v>
      </c>
      <c r="DB206" s="909">
        <v>2</v>
      </c>
      <c r="DC206" s="909">
        <v>3</v>
      </c>
      <c r="DD206" s="909">
        <v>6.7415646948697345</v>
      </c>
      <c r="DE206" s="910">
        <v>6316.1305269026243</v>
      </c>
      <c r="DF206" s="871">
        <v>4000</v>
      </c>
      <c r="DG206" s="911">
        <v>76.445421237351638</v>
      </c>
      <c r="DH206" s="908">
        <v>4.2265844788095119</v>
      </c>
      <c r="DI206" s="902">
        <v>11.465950804142542</v>
      </c>
      <c r="DJ206" s="902">
        <v>6.7380348144083141E-2</v>
      </c>
      <c r="DK206" s="902">
        <v>0.12024685972131624</v>
      </c>
      <c r="DL206" s="902">
        <v>11.067013001257738</v>
      </c>
      <c r="DM206" s="902">
        <v>0.1852260888975851</v>
      </c>
      <c r="DN206" s="902">
        <v>2600</v>
      </c>
      <c r="DO206" s="909" t="s">
        <v>2876</v>
      </c>
      <c r="DP206" s="909">
        <v>2</v>
      </c>
      <c r="DQ206" s="909">
        <v>1</v>
      </c>
      <c r="DR206" s="909">
        <v>2</v>
      </c>
      <c r="DS206" s="909">
        <v>14.969761264941305</v>
      </c>
      <c r="DT206" s="910">
        <v>9831.3331025861135</v>
      </c>
      <c r="DU206" s="909">
        <v>2</v>
      </c>
      <c r="DV206" s="909">
        <v>2</v>
      </c>
      <c r="DW206" s="909">
        <v>6.7415646948697345</v>
      </c>
      <c r="DX206" s="910">
        <v>7002.5542737683145</v>
      </c>
      <c r="DY206" s="871">
        <v>4000</v>
      </c>
      <c r="DZ206" s="911">
        <v>76.445421237351638</v>
      </c>
      <c r="EA206" s="908">
        <v>4.2265844788095119</v>
      </c>
      <c r="EB206" s="902">
        <v>11.465950804142542</v>
      </c>
      <c r="EC206" s="902">
        <v>6.7380348144083141E-2</v>
      </c>
      <c r="ED206" s="902">
        <v>0.12024685972131624</v>
      </c>
      <c r="EE206" s="902">
        <v>11.067013001257738</v>
      </c>
      <c r="EF206" s="902">
        <v>0.1852260888975851</v>
      </c>
      <c r="EG206" s="902">
        <v>3250</v>
      </c>
      <c r="EH206" s="909" t="s">
        <v>2876</v>
      </c>
      <c r="EI206" s="909">
        <v>2</v>
      </c>
      <c r="EJ206" s="909">
        <v>1</v>
      </c>
      <c r="EK206" s="909">
        <v>2</v>
      </c>
      <c r="EL206" s="909">
        <v>14.969761264941305</v>
      </c>
      <c r="EM206" s="910">
        <v>9831.3331025861135</v>
      </c>
      <c r="EN206" s="909">
        <v>2</v>
      </c>
      <c r="EO206" s="909">
        <v>2</v>
      </c>
      <c r="EP206" s="909">
        <v>6.7415646948697345</v>
      </c>
      <c r="EQ206" s="910">
        <v>7002.5542737683145</v>
      </c>
      <c r="ER206" s="871">
        <v>4000</v>
      </c>
      <c r="ES206" s="911">
        <v>76.445421237351638</v>
      </c>
      <c r="ET206" s="908">
        <v>4.2265844788095119</v>
      </c>
      <c r="EU206" s="902">
        <v>11.39857045599846</v>
      </c>
      <c r="EV206" s="902">
        <v>0</v>
      </c>
      <c r="EW206" s="902">
        <v>0.12024685972131624</v>
      </c>
      <c r="EX206" s="902">
        <v>11.059624280480961</v>
      </c>
      <c r="EY206" s="902">
        <v>0.18451460806412209</v>
      </c>
      <c r="EZ206" s="902">
        <v>2600</v>
      </c>
      <c r="FA206" s="909" t="s">
        <v>2877</v>
      </c>
      <c r="FB206" s="909">
        <v>2</v>
      </c>
      <c r="FC206" s="909">
        <v>0</v>
      </c>
      <c r="FD206" s="909">
        <v>0</v>
      </c>
      <c r="FE206" s="909">
        <v>0</v>
      </c>
      <c r="FF206" s="910">
        <v>5354.2173970801223</v>
      </c>
      <c r="FG206" s="909">
        <v>1</v>
      </c>
      <c r="FH206" s="909">
        <v>4</v>
      </c>
      <c r="FI206" s="909">
        <v>6.7415646948697345</v>
      </c>
      <c r="FJ206" s="910">
        <v>9518.870788416858</v>
      </c>
      <c r="FK206" s="871">
        <v>4000</v>
      </c>
      <c r="FL206" s="911">
        <v>76.445421237351638</v>
      </c>
      <c r="FM206" s="908">
        <v>4.2265844788095119</v>
      </c>
      <c r="FN206" s="902">
        <v>11.39857045599846</v>
      </c>
      <c r="FO206" s="902">
        <v>0</v>
      </c>
      <c r="FP206" s="902">
        <v>0.12024685972131624</v>
      </c>
      <c r="FQ206" s="902">
        <v>11.059624280480961</v>
      </c>
      <c r="FR206" s="902">
        <v>0.18451460806412209</v>
      </c>
      <c r="FS206" s="902">
        <v>3250</v>
      </c>
      <c r="FT206" s="909" t="s">
        <v>2877</v>
      </c>
      <c r="FU206" s="909">
        <v>2</v>
      </c>
      <c r="FV206" s="909">
        <v>0</v>
      </c>
      <c r="FW206" s="909">
        <v>0</v>
      </c>
      <c r="FX206" s="909">
        <v>0</v>
      </c>
      <c r="FY206" s="910">
        <v>5354.2173970801223</v>
      </c>
      <c r="FZ206" s="909">
        <v>1</v>
      </c>
      <c r="GA206" s="909">
        <v>4</v>
      </c>
      <c r="GB206" s="909">
        <v>6.7415646948697345</v>
      </c>
      <c r="GC206" s="910">
        <v>9518.870788416858</v>
      </c>
      <c r="GD206" s="871">
        <v>4000</v>
      </c>
      <c r="GE206" s="911">
        <v>76.445421237351638</v>
      </c>
      <c r="GF206" s="908">
        <v>4.2265844788095119</v>
      </c>
      <c r="GG206" s="902">
        <v>11.39857045599846</v>
      </c>
      <c r="GH206" s="902">
        <v>0</v>
      </c>
      <c r="GI206" s="902">
        <v>0.12024685972131624</v>
      </c>
      <c r="GJ206" s="902">
        <v>11.059624280480961</v>
      </c>
      <c r="GK206" s="902">
        <v>0.18451460806412209</v>
      </c>
      <c r="GL206" s="902">
        <v>2600</v>
      </c>
      <c r="GM206" s="909" t="s">
        <v>2877</v>
      </c>
      <c r="GN206" s="909">
        <v>2</v>
      </c>
      <c r="GO206" s="909">
        <v>0</v>
      </c>
      <c r="GP206" s="909">
        <v>0</v>
      </c>
      <c r="GQ206" s="909">
        <v>0</v>
      </c>
      <c r="GR206" s="910">
        <v>5354.2173970801223</v>
      </c>
      <c r="GS206" s="909">
        <v>1</v>
      </c>
      <c r="GT206" s="909">
        <v>4</v>
      </c>
      <c r="GU206" s="909">
        <v>6.7415646948697345</v>
      </c>
      <c r="GV206" s="910">
        <v>9518.870788416858</v>
      </c>
      <c r="GW206" s="871">
        <v>4000</v>
      </c>
      <c r="GX206" s="911">
        <v>76.445421237351638</v>
      </c>
      <c r="GY206" s="908">
        <v>4.2265844788095119</v>
      </c>
      <c r="GZ206" s="902">
        <v>11.39857045599846</v>
      </c>
      <c r="HA206" s="902">
        <v>0</v>
      </c>
      <c r="HB206" s="902">
        <v>0.12024685972131624</v>
      </c>
      <c r="HC206" s="902">
        <v>11.059624280480961</v>
      </c>
      <c r="HD206" s="902">
        <v>0.18451460806412209</v>
      </c>
      <c r="HE206" s="902">
        <v>3250</v>
      </c>
      <c r="HF206" s="909" t="s">
        <v>2877</v>
      </c>
      <c r="HG206" s="909">
        <v>2</v>
      </c>
      <c r="HH206" s="909">
        <v>0</v>
      </c>
      <c r="HI206" s="909">
        <v>0</v>
      </c>
      <c r="HJ206" s="909">
        <v>0</v>
      </c>
      <c r="HK206" s="910">
        <v>5354.2173970801223</v>
      </c>
      <c r="HL206" s="909">
        <v>1</v>
      </c>
      <c r="HM206" s="909">
        <v>4</v>
      </c>
      <c r="HN206" s="909">
        <v>6.7415646948697345</v>
      </c>
      <c r="HO206" s="910">
        <v>9518.870788416858</v>
      </c>
      <c r="HP206" s="871">
        <v>4000</v>
      </c>
      <c r="HQ206" s="911">
        <v>76.445421237351638</v>
      </c>
      <c r="HR206" s="908">
        <v>4.2265844788095119</v>
      </c>
      <c r="HS206" s="902">
        <v>11.278323596277144</v>
      </c>
      <c r="HT206" s="902">
        <v>0</v>
      </c>
      <c r="HU206" s="902">
        <v>0</v>
      </c>
      <c r="HV206" s="902">
        <v>10.644451062877415</v>
      </c>
      <c r="HW206" s="902">
        <v>0.18065484754824118</v>
      </c>
      <c r="HX206" s="902">
        <v>2600</v>
      </c>
      <c r="HY206" s="909" t="s">
        <v>1063</v>
      </c>
      <c r="HZ206" s="909">
        <v>2</v>
      </c>
      <c r="IA206" s="909">
        <v>0</v>
      </c>
      <c r="IB206" s="909">
        <v>0</v>
      </c>
      <c r="IC206" s="909">
        <v>0</v>
      </c>
      <c r="ID206" s="910">
        <v>4721.9758993498581</v>
      </c>
      <c r="IE206" s="909">
        <v>0</v>
      </c>
      <c r="IF206" s="909">
        <v>0</v>
      </c>
      <c r="IG206" s="909">
        <v>0</v>
      </c>
      <c r="IH206" s="910">
        <v>3363.376110947675</v>
      </c>
      <c r="II206" s="871">
        <v>3363.376110947675</v>
      </c>
      <c r="IJ206" s="911">
        <v>64.27867589526015</v>
      </c>
      <c r="IK206" s="908">
        <v>4.2265844788095119</v>
      </c>
      <c r="IL206" s="902">
        <v>11.39857045599846</v>
      </c>
      <c r="IM206" s="902">
        <v>0</v>
      </c>
      <c r="IN206" s="902">
        <v>0.12024685972131624</v>
      </c>
      <c r="IO206" s="902">
        <v>11.059624280480961</v>
      </c>
      <c r="IP206" s="902">
        <v>0.18451460806412209</v>
      </c>
      <c r="IQ206" s="902">
        <v>3250</v>
      </c>
      <c r="IR206" s="909" t="s">
        <v>1063</v>
      </c>
      <c r="IS206" s="909">
        <v>2</v>
      </c>
      <c r="IT206" s="909">
        <v>0</v>
      </c>
      <c r="IU206" s="909">
        <v>0</v>
      </c>
      <c r="IV206" s="909">
        <v>0</v>
      </c>
      <c r="IW206" s="910">
        <v>4721.9758993498581</v>
      </c>
      <c r="IX206" s="909">
        <v>1</v>
      </c>
      <c r="IY206" s="909">
        <v>4</v>
      </c>
      <c r="IZ206" s="909">
        <v>6.7415646948697345</v>
      </c>
      <c r="JA206" s="910">
        <v>8394.8549561027776</v>
      </c>
      <c r="JB206" s="871">
        <v>4000</v>
      </c>
      <c r="JC206" s="911">
        <v>76.445421237351638</v>
      </c>
      <c r="JD206" s="908">
        <v>4.2265844788095119</v>
      </c>
      <c r="JE206" s="902">
        <v>11.278323596277144</v>
      </c>
      <c r="JF206" s="902">
        <v>0</v>
      </c>
      <c r="JG206" s="902">
        <v>0</v>
      </c>
      <c r="JH206" s="902">
        <v>10.644451062877415</v>
      </c>
      <c r="JI206" s="902">
        <v>0.18065484754824118</v>
      </c>
      <c r="JJ206" s="902">
        <v>2600</v>
      </c>
      <c r="JK206" s="909" t="s">
        <v>1064</v>
      </c>
      <c r="JL206" s="909">
        <v>2</v>
      </c>
      <c r="JM206" s="909">
        <v>0</v>
      </c>
      <c r="JN206" s="909">
        <v>0</v>
      </c>
      <c r="JO206" s="909">
        <v>0</v>
      </c>
      <c r="JP206" s="910">
        <v>6434.9684550512393</v>
      </c>
      <c r="JQ206" s="909">
        <v>0</v>
      </c>
      <c r="JR206" s="909">
        <v>0</v>
      </c>
      <c r="JS206" s="909">
        <v>0</v>
      </c>
      <c r="JT206" s="910">
        <v>4583.5090304889382</v>
      </c>
      <c r="JU206" s="871">
        <v>4000</v>
      </c>
      <c r="JV206" s="911">
        <v>76.445421237351638</v>
      </c>
      <c r="JW206" s="908">
        <v>4.2265844788095119</v>
      </c>
      <c r="JX206" s="902">
        <v>11.278323596277144</v>
      </c>
      <c r="JY206" s="902">
        <v>0</v>
      </c>
      <c r="JZ206" s="902">
        <v>0</v>
      </c>
      <c r="KA206" s="902">
        <v>10.644451062877415</v>
      </c>
      <c r="KB206" s="902">
        <v>0.18065484754824118</v>
      </c>
      <c r="KC206" s="902">
        <v>3250</v>
      </c>
      <c r="KD206" s="909" t="s">
        <v>1064</v>
      </c>
      <c r="KE206" s="909">
        <v>2</v>
      </c>
      <c r="KF206" s="909">
        <v>0</v>
      </c>
      <c r="KG206" s="909">
        <v>0</v>
      </c>
      <c r="KH206" s="909">
        <v>0</v>
      </c>
      <c r="KI206" s="910">
        <v>6434.9684550512393</v>
      </c>
      <c r="KJ206" s="909">
        <v>0</v>
      </c>
      <c r="KK206" s="909">
        <v>0</v>
      </c>
      <c r="KL206" s="909">
        <v>0</v>
      </c>
      <c r="KM206" s="910">
        <v>4583.5090304889382</v>
      </c>
      <c r="KN206" s="871">
        <v>4000</v>
      </c>
      <c r="KO206" s="912">
        <v>76.445421237351638</v>
      </c>
    </row>
    <row r="207" spans="1:301" ht="15" customHeight="1">
      <c r="A207" s="924" t="s">
        <v>1641</v>
      </c>
      <c r="B207" s="888" t="s">
        <v>1073</v>
      </c>
      <c r="C207" s="888">
        <v>190</v>
      </c>
      <c r="D207" s="888">
        <v>425</v>
      </c>
      <c r="E207" s="888">
        <v>0</v>
      </c>
      <c r="F207" s="888">
        <v>190</v>
      </c>
      <c r="G207" s="888">
        <v>28</v>
      </c>
      <c r="H207" s="888">
        <v>30</v>
      </c>
      <c r="I207" s="888">
        <v>130</v>
      </c>
      <c r="J207" s="888">
        <v>49.59</v>
      </c>
      <c r="K207" s="888">
        <v>33.33</v>
      </c>
      <c r="L207" s="888">
        <v>16</v>
      </c>
      <c r="M207" s="888">
        <v>270</v>
      </c>
      <c r="N207" s="888">
        <v>2</v>
      </c>
      <c r="O207" s="884">
        <v>2.2272419292395265</v>
      </c>
      <c r="P207" s="888">
        <v>3</v>
      </c>
      <c r="Q207" s="884">
        <v>1.5055847172880066</v>
      </c>
      <c r="R207" s="888">
        <v>9</v>
      </c>
      <c r="S207" s="888">
        <v>315</v>
      </c>
      <c r="T207" s="906">
        <v>5.5058345297138498</v>
      </c>
      <c r="U207" s="906">
        <v>47.25</v>
      </c>
      <c r="V207" s="906">
        <v>47.5</v>
      </c>
      <c r="W207" s="1141">
        <v>0.49036338780263977</v>
      </c>
      <c r="X207" s="902">
        <v>0</v>
      </c>
      <c r="Y207" s="902">
        <v>0</v>
      </c>
      <c r="Z207" s="902">
        <v>0</v>
      </c>
      <c r="AA207" s="902">
        <v>0</v>
      </c>
      <c r="AB207" s="970">
        <v>0.36466750893904343</v>
      </c>
      <c r="AC207" s="1045">
        <v>4000</v>
      </c>
      <c r="AD207" s="890"/>
      <c r="AE207" s="890"/>
      <c r="AF207" s="890"/>
      <c r="AG207" s="890"/>
      <c r="AH207" s="888"/>
      <c r="AI207" s="907">
        <v>1.2019444256573606</v>
      </c>
      <c r="AJ207" s="908">
        <v>5.4259200000000005</v>
      </c>
      <c r="AK207" s="902">
        <v>15.154944564044023</v>
      </c>
      <c r="AL207" s="902">
        <v>0</v>
      </c>
      <c r="AM207" s="902">
        <v>0</v>
      </c>
      <c r="AN207" s="902">
        <v>12.331738991678172</v>
      </c>
      <c r="AO207" s="902">
        <v>0.31823529997659938</v>
      </c>
      <c r="AP207" s="1222">
        <v>1900</v>
      </c>
      <c r="AQ207" s="909" t="s">
        <v>1064</v>
      </c>
      <c r="AR207" s="909">
        <v>2</v>
      </c>
      <c r="AS207" s="909">
        <v>0</v>
      </c>
      <c r="AT207" s="909">
        <v>0</v>
      </c>
      <c r="AU207" s="909">
        <v>0</v>
      </c>
      <c r="AV207" s="910">
        <v>4486.8608778992439</v>
      </c>
      <c r="AW207" s="909">
        <v>0</v>
      </c>
      <c r="AX207" s="909">
        <v>0</v>
      </c>
      <c r="AY207" s="909">
        <v>0</v>
      </c>
      <c r="AZ207" s="910">
        <v>3387.7168552309909</v>
      </c>
      <c r="BA207" s="871">
        <v>3387.7168552309909</v>
      </c>
      <c r="BB207" s="911">
        <v>75.386686892588315</v>
      </c>
      <c r="BC207" s="908">
        <v>5.4259200000000005</v>
      </c>
      <c r="BD207" s="902">
        <v>15.154944564044023</v>
      </c>
      <c r="BE207" s="902">
        <v>0</v>
      </c>
      <c r="BF207" s="902">
        <v>0</v>
      </c>
      <c r="BG207" s="902">
        <v>12.331738991678172</v>
      </c>
      <c r="BH207" s="902">
        <v>0.31823529997659938</v>
      </c>
      <c r="BI207" s="902">
        <v>2375</v>
      </c>
      <c r="BJ207" s="909" t="s">
        <v>1064</v>
      </c>
      <c r="BK207" s="909">
        <v>2</v>
      </c>
      <c r="BL207" s="909">
        <v>0</v>
      </c>
      <c r="BM207" s="909">
        <v>0</v>
      </c>
      <c r="BN207" s="909">
        <v>0</v>
      </c>
      <c r="BO207" s="910">
        <v>4486.8608778992439</v>
      </c>
      <c r="BP207" s="909">
        <v>0</v>
      </c>
      <c r="BQ207" s="909">
        <v>0</v>
      </c>
      <c r="BR207" s="909">
        <v>0</v>
      </c>
      <c r="BS207" s="910">
        <v>3387.7168552309909</v>
      </c>
      <c r="BT207" s="871">
        <v>3387.7168552309909</v>
      </c>
      <c r="BU207" s="911">
        <v>75.386686892588315</v>
      </c>
      <c r="BV207" s="908">
        <v>8.1388800000000003</v>
      </c>
      <c r="BW207" s="902">
        <v>18.15826699767603</v>
      </c>
      <c r="BX207" s="902">
        <v>0.10904163871406138</v>
      </c>
      <c r="BY207" s="902">
        <v>0.18132079491794523</v>
      </c>
      <c r="BZ207" s="902">
        <v>13.272340200657073</v>
      </c>
      <c r="CA207" s="902">
        <v>0.40064695580300586</v>
      </c>
      <c r="CB207" s="902">
        <v>1900</v>
      </c>
      <c r="CC207" s="909" t="s">
        <v>2874</v>
      </c>
      <c r="CD207" s="909">
        <v>3</v>
      </c>
      <c r="CE207" s="909">
        <v>1</v>
      </c>
      <c r="CF207" s="909">
        <v>3</v>
      </c>
      <c r="CG207" s="909">
        <v>16.205227117207542</v>
      </c>
      <c r="CH207" s="910">
        <v>7522.4330701361878</v>
      </c>
      <c r="CI207" s="909">
        <v>1</v>
      </c>
      <c r="CJ207" s="909">
        <v>3</v>
      </c>
      <c r="CK207" s="909">
        <v>11.694031607810633</v>
      </c>
      <c r="CL207" s="910">
        <v>5501.8968203229397</v>
      </c>
      <c r="CM207" s="871">
        <v>4000</v>
      </c>
      <c r="CN207" s="911">
        <v>89.011791851710797</v>
      </c>
      <c r="CO207" s="908">
        <v>8.1388800000000003</v>
      </c>
      <c r="CP207" s="902">
        <v>18.15826699767603</v>
      </c>
      <c r="CQ207" s="902">
        <v>0.10904163871406138</v>
      </c>
      <c r="CR207" s="902">
        <v>0.18132079491794523</v>
      </c>
      <c r="CS207" s="902">
        <v>13.272340200657073</v>
      </c>
      <c r="CT207" s="902">
        <v>0.40064695580300586</v>
      </c>
      <c r="CU207" s="902">
        <v>2375</v>
      </c>
      <c r="CV207" s="909" t="s">
        <v>2874</v>
      </c>
      <c r="CW207" s="909">
        <v>3</v>
      </c>
      <c r="CX207" s="909">
        <v>1</v>
      </c>
      <c r="CY207" s="909">
        <v>3</v>
      </c>
      <c r="CZ207" s="909">
        <v>16.205227117207542</v>
      </c>
      <c r="DA207" s="910">
        <v>7522.4330701361878</v>
      </c>
      <c r="DB207" s="909">
        <v>1</v>
      </c>
      <c r="DC207" s="909">
        <v>3</v>
      </c>
      <c r="DD207" s="909">
        <v>11.694031607810633</v>
      </c>
      <c r="DE207" s="910">
        <v>5501.8968203229397</v>
      </c>
      <c r="DF207" s="871">
        <v>4000</v>
      </c>
      <c r="DG207" s="911">
        <v>89.011791851710797</v>
      </c>
      <c r="DH207" s="908">
        <v>5.4259200000000005</v>
      </c>
      <c r="DI207" s="902">
        <v>15.275825093989319</v>
      </c>
      <c r="DJ207" s="902">
        <v>0</v>
      </c>
      <c r="DK207" s="902">
        <v>0.12088052994529681</v>
      </c>
      <c r="DL207" s="902">
        <v>12.74851302927096</v>
      </c>
      <c r="DM207" s="902">
        <v>0.32340169072904235</v>
      </c>
      <c r="DN207" s="902">
        <v>1900</v>
      </c>
      <c r="DO207" s="909" t="s">
        <v>2876</v>
      </c>
      <c r="DP207" s="909">
        <v>2</v>
      </c>
      <c r="DQ207" s="909">
        <v>0</v>
      </c>
      <c r="DR207" s="909">
        <v>0</v>
      </c>
      <c r="DS207" s="909">
        <v>0</v>
      </c>
      <c r="DT207" s="910">
        <v>3022.7131364985971</v>
      </c>
      <c r="DU207" s="909">
        <v>1</v>
      </c>
      <c r="DV207" s="909">
        <v>2</v>
      </c>
      <c r="DW207" s="909">
        <v>11.694031607810633</v>
      </c>
      <c r="DX207" s="910">
        <v>6099.8313649287693</v>
      </c>
      <c r="DY207" s="871">
        <v>3022.7131364985971</v>
      </c>
      <c r="DZ207" s="911">
        <v>67.264278133361259</v>
      </c>
      <c r="EA207" s="908">
        <v>5.4259200000000005</v>
      </c>
      <c r="EB207" s="902">
        <v>16.436444289306365</v>
      </c>
      <c r="EC207" s="902">
        <v>7.2694425809374241E-2</v>
      </c>
      <c r="ED207" s="902">
        <v>1.2088052994529681</v>
      </c>
      <c r="EE207" s="902">
        <v>16.216985678717926</v>
      </c>
      <c r="EF207" s="902">
        <v>0.37067673263285733</v>
      </c>
      <c r="EG207" s="902">
        <v>2375</v>
      </c>
      <c r="EH207" s="909" t="s">
        <v>2876</v>
      </c>
      <c r="EI207" s="909">
        <v>2</v>
      </c>
      <c r="EJ207" s="909">
        <v>1</v>
      </c>
      <c r="EK207" s="909">
        <v>2</v>
      </c>
      <c r="EL207" s="909">
        <v>16.205227117207542</v>
      </c>
      <c r="EM207" s="910">
        <v>8339.9552336753623</v>
      </c>
      <c r="EN207" s="909">
        <v>2</v>
      </c>
      <c r="EO207" s="909">
        <v>10</v>
      </c>
      <c r="EP207" s="909">
        <v>11.694031607810633</v>
      </c>
      <c r="EQ207" s="910">
        <v>8102.5446303096751</v>
      </c>
      <c r="ER207" s="871">
        <v>4000</v>
      </c>
      <c r="ES207" s="911">
        <v>89.011791851710797</v>
      </c>
      <c r="ET207" s="908">
        <v>5.4259200000000005</v>
      </c>
      <c r="EU207" s="902">
        <v>15.154944564044023</v>
      </c>
      <c r="EV207" s="902">
        <v>0</v>
      </c>
      <c r="EW207" s="902">
        <v>0</v>
      </c>
      <c r="EX207" s="902">
        <v>12.331738991678172</v>
      </c>
      <c r="EY207" s="902">
        <v>0.31823529997659938</v>
      </c>
      <c r="EZ207" s="902">
        <v>1900</v>
      </c>
      <c r="FA207" s="909" t="s">
        <v>2877</v>
      </c>
      <c r="FB207" s="909">
        <v>2</v>
      </c>
      <c r="FC207" s="909">
        <v>0</v>
      </c>
      <c r="FD207" s="909">
        <v>0</v>
      </c>
      <c r="FE207" s="909">
        <v>0</v>
      </c>
      <c r="FF207" s="910">
        <v>3733.2939141090219</v>
      </c>
      <c r="FG207" s="909">
        <v>0</v>
      </c>
      <c r="FH207" s="909">
        <v>0</v>
      </c>
      <c r="FI207" s="909">
        <v>0</v>
      </c>
      <c r="FJ207" s="910">
        <v>2818.7508065282209</v>
      </c>
      <c r="FK207" s="871">
        <v>2818.7508065282209</v>
      </c>
      <c r="FL207" s="911">
        <v>62.725515018132988</v>
      </c>
      <c r="FM207" s="908">
        <v>5.4259200000000005</v>
      </c>
      <c r="FN207" s="902">
        <v>15.275825093989319</v>
      </c>
      <c r="FO207" s="902">
        <v>0</v>
      </c>
      <c r="FP207" s="902">
        <v>0.12088052994529681</v>
      </c>
      <c r="FQ207" s="902">
        <v>12.74851302927096</v>
      </c>
      <c r="FR207" s="902">
        <v>0.32340169072904235</v>
      </c>
      <c r="FS207" s="902">
        <v>2375</v>
      </c>
      <c r="FT207" s="909" t="s">
        <v>2877</v>
      </c>
      <c r="FU207" s="909">
        <v>2</v>
      </c>
      <c r="FV207" s="909">
        <v>0</v>
      </c>
      <c r="FW207" s="909">
        <v>0</v>
      </c>
      <c r="FX207" s="909">
        <v>0</v>
      </c>
      <c r="FY207" s="910">
        <v>3733.2939141090219</v>
      </c>
      <c r="FZ207" s="909">
        <v>1</v>
      </c>
      <c r="GA207" s="909">
        <v>2</v>
      </c>
      <c r="GB207" s="909">
        <v>11.694031607810633</v>
      </c>
      <c r="GC207" s="910">
        <v>7533.7824938920548</v>
      </c>
      <c r="GD207" s="871">
        <v>3733.2939141090219</v>
      </c>
      <c r="GE207" s="911">
        <v>83.076795200982744</v>
      </c>
      <c r="GF207" s="908">
        <v>5.4259200000000005</v>
      </c>
      <c r="GG207" s="902">
        <v>15.154944564044023</v>
      </c>
      <c r="GH207" s="902">
        <v>0</v>
      </c>
      <c r="GI207" s="902">
        <v>0</v>
      </c>
      <c r="GJ207" s="902">
        <v>12.331738991678172</v>
      </c>
      <c r="GK207" s="902">
        <v>0.31823529997659938</v>
      </c>
      <c r="GL207" s="902">
        <v>1900</v>
      </c>
      <c r="GM207" s="909" t="s">
        <v>2877</v>
      </c>
      <c r="GN207" s="909">
        <v>2</v>
      </c>
      <c r="GO207" s="909">
        <v>0</v>
      </c>
      <c r="GP207" s="909">
        <v>0</v>
      </c>
      <c r="GQ207" s="909">
        <v>0</v>
      </c>
      <c r="GR207" s="910">
        <v>3733.2939141090219</v>
      </c>
      <c r="GS207" s="909">
        <v>0</v>
      </c>
      <c r="GT207" s="909">
        <v>0</v>
      </c>
      <c r="GU207" s="909">
        <v>0</v>
      </c>
      <c r="GV207" s="910">
        <v>2818.7508065282209</v>
      </c>
      <c r="GW207" s="871">
        <v>2818.7508065282209</v>
      </c>
      <c r="GX207" s="911">
        <v>62.725515018132988</v>
      </c>
      <c r="GY207" s="908">
        <v>5.4259200000000005</v>
      </c>
      <c r="GZ207" s="902">
        <v>15.275825093989319</v>
      </c>
      <c r="HA207" s="902">
        <v>0</v>
      </c>
      <c r="HB207" s="902">
        <v>0.12088052994529681</v>
      </c>
      <c r="HC207" s="902">
        <v>12.74851302927096</v>
      </c>
      <c r="HD207" s="902">
        <v>0.32340169072904235</v>
      </c>
      <c r="HE207" s="902">
        <v>2375</v>
      </c>
      <c r="HF207" s="909" t="s">
        <v>2877</v>
      </c>
      <c r="HG207" s="909">
        <v>2</v>
      </c>
      <c r="HH207" s="909">
        <v>0</v>
      </c>
      <c r="HI207" s="909">
        <v>0</v>
      </c>
      <c r="HJ207" s="909">
        <v>0</v>
      </c>
      <c r="HK207" s="910">
        <v>3733.2939141090219</v>
      </c>
      <c r="HL207" s="909">
        <v>1</v>
      </c>
      <c r="HM207" s="909">
        <v>2</v>
      </c>
      <c r="HN207" s="909">
        <v>11.694031607810633</v>
      </c>
      <c r="HO207" s="910">
        <v>7533.7824938920548</v>
      </c>
      <c r="HP207" s="871">
        <v>3733.2939141090219</v>
      </c>
      <c r="HQ207" s="911">
        <v>83.076795200982744</v>
      </c>
      <c r="HR207" s="908">
        <v>5.4259200000000005</v>
      </c>
      <c r="HS207" s="902">
        <v>15.154944564044023</v>
      </c>
      <c r="HT207" s="902">
        <v>0</v>
      </c>
      <c r="HU207" s="902">
        <v>0</v>
      </c>
      <c r="HV207" s="902">
        <v>12.331738991678172</v>
      </c>
      <c r="HW207" s="902">
        <v>0.31823529997659938</v>
      </c>
      <c r="HX207" s="902">
        <v>1900</v>
      </c>
      <c r="HY207" s="909" t="s">
        <v>1063</v>
      </c>
      <c r="HZ207" s="909">
        <v>2</v>
      </c>
      <c r="IA207" s="909">
        <v>0</v>
      </c>
      <c r="IB207" s="909">
        <v>0</v>
      </c>
      <c r="IC207" s="909">
        <v>0</v>
      </c>
      <c r="ID207" s="910">
        <v>3292.4557559522491</v>
      </c>
      <c r="IE207" s="909">
        <v>0</v>
      </c>
      <c r="IF207" s="909">
        <v>0</v>
      </c>
      <c r="IG207" s="909">
        <v>0</v>
      </c>
      <c r="IH207" s="910">
        <v>2485.9045473154965</v>
      </c>
      <c r="II207" s="871">
        <v>2485.9045473154965</v>
      </c>
      <c r="IJ207" s="911">
        <v>55.31870453221709</v>
      </c>
      <c r="IK207" s="908">
        <v>5.4259200000000005</v>
      </c>
      <c r="IL207" s="902">
        <v>15.154944564044023</v>
      </c>
      <c r="IM207" s="902">
        <v>0</v>
      </c>
      <c r="IN207" s="902">
        <v>0</v>
      </c>
      <c r="IO207" s="902">
        <v>12.331738991678172</v>
      </c>
      <c r="IP207" s="902">
        <v>0.31823529997659938</v>
      </c>
      <c r="IQ207" s="902">
        <v>2375</v>
      </c>
      <c r="IR207" s="909" t="s">
        <v>1063</v>
      </c>
      <c r="IS207" s="909">
        <v>2</v>
      </c>
      <c r="IT207" s="909">
        <v>0</v>
      </c>
      <c r="IU207" s="909">
        <v>0</v>
      </c>
      <c r="IV207" s="909">
        <v>0</v>
      </c>
      <c r="IW207" s="910">
        <v>3292.4557559522491</v>
      </c>
      <c r="IX207" s="909">
        <v>0</v>
      </c>
      <c r="IY207" s="909">
        <v>0</v>
      </c>
      <c r="IZ207" s="909">
        <v>0</v>
      </c>
      <c r="JA207" s="910">
        <v>2485.9045473154965</v>
      </c>
      <c r="JB207" s="871">
        <v>2485.9045473154965</v>
      </c>
      <c r="JC207" s="911">
        <v>55.31870453221709</v>
      </c>
      <c r="JD207" s="908">
        <v>5.4259200000000005</v>
      </c>
      <c r="JE207" s="902">
        <v>15.154944564044023</v>
      </c>
      <c r="JF207" s="902">
        <v>0</v>
      </c>
      <c r="JG207" s="902">
        <v>0</v>
      </c>
      <c r="JH207" s="902">
        <v>12.331738991678172</v>
      </c>
      <c r="JI207" s="902">
        <v>0.31823529997659938</v>
      </c>
      <c r="JJ207" s="902">
        <v>1900</v>
      </c>
      <c r="JK207" s="909" t="s">
        <v>1064</v>
      </c>
      <c r="JL207" s="909">
        <v>2</v>
      </c>
      <c r="JM207" s="909">
        <v>0</v>
      </c>
      <c r="JN207" s="909">
        <v>0</v>
      </c>
      <c r="JO207" s="909">
        <v>0</v>
      </c>
      <c r="JP207" s="910">
        <v>4486.8608778992439</v>
      </c>
      <c r="JQ207" s="909">
        <v>0</v>
      </c>
      <c r="JR207" s="909">
        <v>0</v>
      </c>
      <c r="JS207" s="909">
        <v>0</v>
      </c>
      <c r="JT207" s="910">
        <v>3387.7168552309909</v>
      </c>
      <c r="JU207" s="871">
        <v>3387.7168552309909</v>
      </c>
      <c r="JV207" s="911">
        <v>75.386686892588315</v>
      </c>
      <c r="JW207" s="908">
        <v>5.4259200000000005</v>
      </c>
      <c r="JX207" s="902">
        <v>15.154944564044023</v>
      </c>
      <c r="JY207" s="902">
        <v>0</v>
      </c>
      <c r="JZ207" s="902">
        <v>0</v>
      </c>
      <c r="KA207" s="902">
        <v>12.331738991678172</v>
      </c>
      <c r="KB207" s="902">
        <v>0.31823529997659938</v>
      </c>
      <c r="KC207" s="902">
        <v>2375</v>
      </c>
      <c r="KD207" s="909" t="s">
        <v>1064</v>
      </c>
      <c r="KE207" s="909">
        <v>2</v>
      </c>
      <c r="KF207" s="909">
        <v>0</v>
      </c>
      <c r="KG207" s="909">
        <v>0</v>
      </c>
      <c r="KH207" s="909">
        <v>0</v>
      </c>
      <c r="KI207" s="910">
        <v>4486.8608778992439</v>
      </c>
      <c r="KJ207" s="909">
        <v>0</v>
      </c>
      <c r="KK207" s="909">
        <v>0</v>
      </c>
      <c r="KL207" s="909">
        <v>0</v>
      </c>
      <c r="KM207" s="910">
        <v>3387.7168552309909</v>
      </c>
      <c r="KN207" s="871">
        <v>3387.7168552309909</v>
      </c>
      <c r="KO207" s="912">
        <v>75.386686892588315</v>
      </c>
    </row>
    <row r="208" spans="1:301" ht="15" customHeight="1">
      <c r="A208" s="924" t="s">
        <v>1718</v>
      </c>
      <c r="B208" s="888" t="s">
        <v>1073</v>
      </c>
      <c r="C208" s="888">
        <v>190</v>
      </c>
      <c r="D208" s="888">
        <v>425</v>
      </c>
      <c r="E208" s="888">
        <v>0</v>
      </c>
      <c r="F208" s="888">
        <v>190</v>
      </c>
      <c r="G208" s="888">
        <v>28</v>
      </c>
      <c r="H208" s="888">
        <v>30</v>
      </c>
      <c r="I208" s="888">
        <v>130</v>
      </c>
      <c r="J208" s="888">
        <v>49.59</v>
      </c>
      <c r="K208" s="888">
        <v>33.33</v>
      </c>
      <c r="L208" s="888">
        <v>16</v>
      </c>
      <c r="M208" s="888">
        <v>270</v>
      </c>
      <c r="N208" s="888">
        <v>2</v>
      </c>
      <c r="O208" s="884">
        <v>2.2272419292395265</v>
      </c>
      <c r="P208" s="888">
        <v>3</v>
      </c>
      <c r="Q208" s="884">
        <v>1.5055847172880066</v>
      </c>
      <c r="R208" s="888">
        <v>9</v>
      </c>
      <c r="S208" s="888">
        <v>315</v>
      </c>
      <c r="T208" s="906">
        <v>5.5058345297138498</v>
      </c>
      <c r="U208" s="906">
        <v>47.25</v>
      </c>
      <c r="V208" s="906">
        <v>47.5</v>
      </c>
      <c r="W208" s="1141">
        <v>0.49036338780263977</v>
      </c>
      <c r="X208" s="902">
        <v>0</v>
      </c>
      <c r="Y208" s="902">
        <v>0</v>
      </c>
      <c r="Z208" s="902">
        <v>0</v>
      </c>
      <c r="AA208" s="902">
        <v>0</v>
      </c>
      <c r="AB208" s="970">
        <v>0.36466750893904343</v>
      </c>
      <c r="AC208" s="1045">
        <v>4000</v>
      </c>
      <c r="AD208" s="890"/>
      <c r="AE208" s="890"/>
      <c r="AF208" s="890"/>
      <c r="AG208" s="890"/>
      <c r="AH208" s="888"/>
      <c r="AI208" s="907">
        <v>1.2019444256573606</v>
      </c>
      <c r="AJ208" s="908">
        <v>5.4259200000000005</v>
      </c>
      <c r="AK208" s="902">
        <v>15.154944564044023</v>
      </c>
      <c r="AL208" s="902">
        <v>0</v>
      </c>
      <c r="AM208" s="902">
        <v>0</v>
      </c>
      <c r="AN208" s="902">
        <v>12.331738991678172</v>
      </c>
      <c r="AO208" s="902">
        <v>0.31823529997659938</v>
      </c>
      <c r="AP208" s="1222">
        <v>1900</v>
      </c>
      <c r="AQ208" s="909" t="s">
        <v>1064</v>
      </c>
      <c r="AR208" s="909">
        <v>2</v>
      </c>
      <c r="AS208" s="909">
        <v>0</v>
      </c>
      <c r="AT208" s="909">
        <v>0</v>
      </c>
      <c r="AU208" s="909">
        <v>0</v>
      </c>
      <c r="AV208" s="910">
        <v>4486.8608778992439</v>
      </c>
      <c r="AW208" s="909">
        <v>0</v>
      </c>
      <c r="AX208" s="909">
        <v>0</v>
      </c>
      <c r="AY208" s="909">
        <v>0</v>
      </c>
      <c r="AZ208" s="910">
        <v>3387.7168552309909</v>
      </c>
      <c r="BA208" s="871">
        <v>3387.7168552309909</v>
      </c>
      <c r="BB208" s="911">
        <v>75.386686892588315</v>
      </c>
      <c r="BC208" s="908">
        <v>5.4259200000000005</v>
      </c>
      <c r="BD208" s="902">
        <v>15.154944564044023</v>
      </c>
      <c r="BE208" s="902">
        <v>0</v>
      </c>
      <c r="BF208" s="902">
        <v>0</v>
      </c>
      <c r="BG208" s="902">
        <v>12.331738991678172</v>
      </c>
      <c r="BH208" s="902">
        <v>0.31823529997659938</v>
      </c>
      <c r="BI208" s="902">
        <v>2375</v>
      </c>
      <c r="BJ208" s="909" t="s">
        <v>1064</v>
      </c>
      <c r="BK208" s="909">
        <v>2</v>
      </c>
      <c r="BL208" s="909">
        <v>0</v>
      </c>
      <c r="BM208" s="909">
        <v>0</v>
      </c>
      <c r="BN208" s="909">
        <v>0</v>
      </c>
      <c r="BO208" s="910">
        <v>4486.8608778992439</v>
      </c>
      <c r="BP208" s="909">
        <v>0</v>
      </c>
      <c r="BQ208" s="909">
        <v>0</v>
      </c>
      <c r="BR208" s="909">
        <v>0</v>
      </c>
      <c r="BS208" s="910">
        <v>3387.7168552309909</v>
      </c>
      <c r="BT208" s="871">
        <v>3387.7168552309909</v>
      </c>
      <c r="BU208" s="911">
        <v>75.386686892588315</v>
      </c>
      <c r="BV208" s="908">
        <v>8.1388800000000003</v>
      </c>
      <c r="BW208" s="902">
        <v>18.15826699767603</v>
      </c>
      <c r="BX208" s="902">
        <v>0.10904163871406138</v>
      </c>
      <c r="BY208" s="902">
        <v>0.18132079491794523</v>
      </c>
      <c r="BZ208" s="902">
        <v>13.272340200657073</v>
      </c>
      <c r="CA208" s="902">
        <v>0.40064695580300586</v>
      </c>
      <c r="CB208" s="902">
        <v>1900</v>
      </c>
      <c r="CC208" s="909" t="s">
        <v>2874</v>
      </c>
      <c r="CD208" s="909">
        <v>3</v>
      </c>
      <c r="CE208" s="909">
        <v>1</v>
      </c>
      <c r="CF208" s="909">
        <v>3</v>
      </c>
      <c r="CG208" s="909">
        <v>16.205227117207542</v>
      </c>
      <c r="CH208" s="910">
        <v>7522.4330701361878</v>
      </c>
      <c r="CI208" s="909">
        <v>1</v>
      </c>
      <c r="CJ208" s="909">
        <v>3</v>
      </c>
      <c r="CK208" s="909">
        <v>11.694031607810633</v>
      </c>
      <c r="CL208" s="910">
        <v>5501.8968203229397</v>
      </c>
      <c r="CM208" s="871">
        <v>4000</v>
      </c>
      <c r="CN208" s="911">
        <v>89.011791851710797</v>
      </c>
      <c r="CO208" s="908">
        <v>8.1388800000000003</v>
      </c>
      <c r="CP208" s="902">
        <v>18.15826699767603</v>
      </c>
      <c r="CQ208" s="902">
        <v>0.10904163871406138</v>
      </c>
      <c r="CR208" s="902">
        <v>0.18132079491794523</v>
      </c>
      <c r="CS208" s="902">
        <v>13.272340200657073</v>
      </c>
      <c r="CT208" s="902">
        <v>0.40064695580300586</v>
      </c>
      <c r="CU208" s="902">
        <v>2375</v>
      </c>
      <c r="CV208" s="909" t="s">
        <v>2874</v>
      </c>
      <c r="CW208" s="909">
        <v>3</v>
      </c>
      <c r="CX208" s="909">
        <v>1</v>
      </c>
      <c r="CY208" s="909">
        <v>3</v>
      </c>
      <c r="CZ208" s="909">
        <v>16.205227117207542</v>
      </c>
      <c r="DA208" s="910">
        <v>7522.4330701361878</v>
      </c>
      <c r="DB208" s="909">
        <v>1</v>
      </c>
      <c r="DC208" s="909">
        <v>3</v>
      </c>
      <c r="DD208" s="909">
        <v>11.694031607810633</v>
      </c>
      <c r="DE208" s="910">
        <v>5501.8968203229397</v>
      </c>
      <c r="DF208" s="871">
        <v>4000</v>
      </c>
      <c r="DG208" s="911">
        <v>89.011791851710797</v>
      </c>
      <c r="DH208" s="908">
        <v>5.4259200000000005</v>
      </c>
      <c r="DI208" s="902">
        <v>15.275825093989319</v>
      </c>
      <c r="DJ208" s="902">
        <v>0</v>
      </c>
      <c r="DK208" s="902">
        <v>0.12088052994529681</v>
      </c>
      <c r="DL208" s="902">
        <v>12.74851302927096</v>
      </c>
      <c r="DM208" s="902">
        <v>0.32340169072904235</v>
      </c>
      <c r="DN208" s="902">
        <v>1900</v>
      </c>
      <c r="DO208" s="909" t="s">
        <v>2876</v>
      </c>
      <c r="DP208" s="909">
        <v>2</v>
      </c>
      <c r="DQ208" s="909">
        <v>0</v>
      </c>
      <c r="DR208" s="909">
        <v>0</v>
      </c>
      <c r="DS208" s="909">
        <v>0</v>
      </c>
      <c r="DT208" s="910">
        <v>3022.7131364985971</v>
      </c>
      <c r="DU208" s="909">
        <v>1</v>
      </c>
      <c r="DV208" s="909">
        <v>2</v>
      </c>
      <c r="DW208" s="909">
        <v>11.694031607810633</v>
      </c>
      <c r="DX208" s="910">
        <v>6099.8313649287693</v>
      </c>
      <c r="DY208" s="871">
        <v>3022.7131364985971</v>
      </c>
      <c r="DZ208" s="911">
        <v>67.264278133361259</v>
      </c>
      <c r="EA208" s="908">
        <v>5.4259200000000005</v>
      </c>
      <c r="EB208" s="902">
        <v>16.436444289306365</v>
      </c>
      <c r="EC208" s="902">
        <v>7.2694425809374241E-2</v>
      </c>
      <c r="ED208" s="902">
        <v>1.2088052994529681</v>
      </c>
      <c r="EE208" s="902">
        <v>16.216985678717926</v>
      </c>
      <c r="EF208" s="902">
        <v>0.37067673263285733</v>
      </c>
      <c r="EG208" s="902">
        <v>2375</v>
      </c>
      <c r="EH208" s="909" t="s">
        <v>2876</v>
      </c>
      <c r="EI208" s="909">
        <v>2</v>
      </c>
      <c r="EJ208" s="909">
        <v>1</v>
      </c>
      <c r="EK208" s="909">
        <v>2</v>
      </c>
      <c r="EL208" s="909">
        <v>16.205227117207542</v>
      </c>
      <c r="EM208" s="910">
        <v>8339.9552336753623</v>
      </c>
      <c r="EN208" s="909">
        <v>2</v>
      </c>
      <c r="EO208" s="909">
        <v>10</v>
      </c>
      <c r="EP208" s="909">
        <v>11.694031607810633</v>
      </c>
      <c r="EQ208" s="910">
        <v>8102.5446303096751</v>
      </c>
      <c r="ER208" s="871">
        <v>4000</v>
      </c>
      <c r="ES208" s="911">
        <v>89.011791851710797</v>
      </c>
      <c r="ET208" s="908">
        <v>5.4259200000000005</v>
      </c>
      <c r="EU208" s="902">
        <v>15.154944564044023</v>
      </c>
      <c r="EV208" s="902">
        <v>0</v>
      </c>
      <c r="EW208" s="902">
        <v>0</v>
      </c>
      <c r="EX208" s="902">
        <v>12.331738991678172</v>
      </c>
      <c r="EY208" s="902">
        <v>0.31823529997659938</v>
      </c>
      <c r="EZ208" s="902">
        <v>1900</v>
      </c>
      <c r="FA208" s="909" t="s">
        <v>2877</v>
      </c>
      <c r="FB208" s="909">
        <v>2</v>
      </c>
      <c r="FC208" s="909">
        <v>0</v>
      </c>
      <c r="FD208" s="909">
        <v>0</v>
      </c>
      <c r="FE208" s="909">
        <v>0</v>
      </c>
      <c r="FF208" s="910">
        <v>3733.2939141090219</v>
      </c>
      <c r="FG208" s="909">
        <v>0</v>
      </c>
      <c r="FH208" s="909">
        <v>0</v>
      </c>
      <c r="FI208" s="909">
        <v>0</v>
      </c>
      <c r="FJ208" s="910">
        <v>2818.7508065282209</v>
      </c>
      <c r="FK208" s="871">
        <v>2818.7508065282209</v>
      </c>
      <c r="FL208" s="911">
        <v>62.725515018132988</v>
      </c>
      <c r="FM208" s="908">
        <v>5.4259200000000005</v>
      </c>
      <c r="FN208" s="902">
        <v>15.275825093989319</v>
      </c>
      <c r="FO208" s="902">
        <v>0</v>
      </c>
      <c r="FP208" s="902">
        <v>0.12088052994529681</v>
      </c>
      <c r="FQ208" s="902">
        <v>12.74851302927096</v>
      </c>
      <c r="FR208" s="902">
        <v>0.32340169072904235</v>
      </c>
      <c r="FS208" s="902">
        <v>2375</v>
      </c>
      <c r="FT208" s="909" t="s">
        <v>2877</v>
      </c>
      <c r="FU208" s="909">
        <v>2</v>
      </c>
      <c r="FV208" s="909">
        <v>0</v>
      </c>
      <c r="FW208" s="909">
        <v>0</v>
      </c>
      <c r="FX208" s="909">
        <v>0</v>
      </c>
      <c r="FY208" s="910">
        <v>3733.2939141090219</v>
      </c>
      <c r="FZ208" s="909">
        <v>1</v>
      </c>
      <c r="GA208" s="909">
        <v>2</v>
      </c>
      <c r="GB208" s="909">
        <v>11.694031607810633</v>
      </c>
      <c r="GC208" s="910">
        <v>7533.7824938920548</v>
      </c>
      <c r="GD208" s="871">
        <v>3733.2939141090219</v>
      </c>
      <c r="GE208" s="911">
        <v>83.076795200982744</v>
      </c>
      <c r="GF208" s="908">
        <v>5.4259200000000005</v>
      </c>
      <c r="GG208" s="902">
        <v>15.154944564044023</v>
      </c>
      <c r="GH208" s="902">
        <v>0</v>
      </c>
      <c r="GI208" s="902">
        <v>0</v>
      </c>
      <c r="GJ208" s="902">
        <v>12.331738991678172</v>
      </c>
      <c r="GK208" s="902">
        <v>0.31823529997659938</v>
      </c>
      <c r="GL208" s="902">
        <v>1900</v>
      </c>
      <c r="GM208" s="909" t="s">
        <v>2877</v>
      </c>
      <c r="GN208" s="909">
        <v>2</v>
      </c>
      <c r="GO208" s="909">
        <v>0</v>
      </c>
      <c r="GP208" s="909">
        <v>0</v>
      </c>
      <c r="GQ208" s="909">
        <v>0</v>
      </c>
      <c r="GR208" s="910">
        <v>3733.2939141090219</v>
      </c>
      <c r="GS208" s="909">
        <v>0</v>
      </c>
      <c r="GT208" s="909">
        <v>0</v>
      </c>
      <c r="GU208" s="909">
        <v>0</v>
      </c>
      <c r="GV208" s="910">
        <v>2818.7508065282209</v>
      </c>
      <c r="GW208" s="871">
        <v>2818.7508065282209</v>
      </c>
      <c r="GX208" s="911">
        <v>62.725515018132988</v>
      </c>
      <c r="GY208" s="908">
        <v>5.4259200000000005</v>
      </c>
      <c r="GZ208" s="902">
        <v>15.275825093989319</v>
      </c>
      <c r="HA208" s="902">
        <v>0</v>
      </c>
      <c r="HB208" s="902">
        <v>0.12088052994529681</v>
      </c>
      <c r="HC208" s="902">
        <v>12.74851302927096</v>
      </c>
      <c r="HD208" s="902">
        <v>0.32340169072904235</v>
      </c>
      <c r="HE208" s="902">
        <v>2375</v>
      </c>
      <c r="HF208" s="909" t="s">
        <v>2877</v>
      </c>
      <c r="HG208" s="909">
        <v>2</v>
      </c>
      <c r="HH208" s="909">
        <v>0</v>
      </c>
      <c r="HI208" s="909">
        <v>0</v>
      </c>
      <c r="HJ208" s="909">
        <v>0</v>
      </c>
      <c r="HK208" s="910">
        <v>3733.2939141090219</v>
      </c>
      <c r="HL208" s="909">
        <v>1</v>
      </c>
      <c r="HM208" s="909">
        <v>2</v>
      </c>
      <c r="HN208" s="909">
        <v>11.694031607810633</v>
      </c>
      <c r="HO208" s="910">
        <v>7533.7824938920548</v>
      </c>
      <c r="HP208" s="871">
        <v>3733.2939141090219</v>
      </c>
      <c r="HQ208" s="911">
        <v>83.076795200982744</v>
      </c>
      <c r="HR208" s="908">
        <v>5.4259200000000005</v>
      </c>
      <c r="HS208" s="902">
        <v>15.154944564044023</v>
      </c>
      <c r="HT208" s="902">
        <v>0</v>
      </c>
      <c r="HU208" s="902">
        <v>0</v>
      </c>
      <c r="HV208" s="902">
        <v>12.331738991678172</v>
      </c>
      <c r="HW208" s="902">
        <v>0.31823529997659938</v>
      </c>
      <c r="HX208" s="902">
        <v>1900</v>
      </c>
      <c r="HY208" s="909" t="s">
        <v>1063</v>
      </c>
      <c r="HZ208" s="909">
        <v>2</v>
      </c>
      <c r="IA208" s="909">
        <v>0</v>
      </c>
      <c r="IB208" s="909">
        <v>0</v>
      </c>
      <c r="IC208" s="909">
        <v>0</v>
      </c>
      <c r="ID208" s="910">
        <v>3292.4557559522491</v>
      </c>
      <c r="IE208" s="909">
        <v>0</v>
      </c>
      <c r="IF208" s="909">
        <v>0</v>
      </c>
      <c r="IG208" s="909">
        <v>0</v>
      </c>
      <c r="IH208" s="910">
        <v>2485.9045473154965</v>
      </c>
      <c r="II208" s="871">
        <v>2485.9045473154965</v>
      </c>
      <c r="IJ208" s="911">
        <v>55.31870453221709</v>
      </c>
      <c r="IK208" s="908">
        <v>5.4259200000000005</v>
      </c>
      <c r="IL208" s="902">
        <v>15.154944564044023</v>
      </c>
      <c r="IM208" s="902">
        <v>0</v>
      </c>
      <c r="IN208" s="902">
        <v>0</v>
      </c>
      <c r="IO208" s="902">
        <v>12.331738991678172</v>
      </c>
      <c r="IP208" s="902">
        <v>0.31823529997659938</v>
      </c>
      <c r="IQ208" s="902">
        <v>2375</v>
      </c>
      <c r="IR208" s="909" t="s">
        <v>1063</v>
      </c>
      <c r="IS208" s="909">
        <v>2</v>
      </c>
      <c r="IT208" s="909">
        <v>0</v>
      </c>
      <c r="IU208" s="909">
        <v>0</v>
      </c>
      <c r="IV208" s="909">
        <v>0</v>
      </c>
      <c r="IW208" s="910">
        <v>3292.4557559522491</v>
      </c>
      <c r="IX208" s="909">
        <v>0</v>
      </c>
      <c r="IY208" s="909">
        <v>0</v>
      </c>
      <c r="IZ208" s="909">
        <v>0</v>
      </c>
      <c r="JA208" s="910">
        <v>2485.9045473154965</v>
      </c>
      <c r="JB208" s="871">
        <v>2485.9045473154965</v>
      </c>
      <c r="JC208" s="911">
        <v>55.31870453221709</v>
      </c>
      <c r="JD208" s="908">
        <v>5.4259200000000005</v>
      </c>
      <c r="JE208" s="902">
        <v>15.154944564044023</v>
      </c>
      <c r="JF208" s="902">
        <v>0</v>
      </c>
      <c r="JG208" s="902">
        <v>0</v>
      </c>
      <c r="JH208" s="902">
        <v>12.331738991678172</v>
      </c>
      <c r="JI208" s="902">
        <v>0.31823529997659938</v>
      </c>
      <c r="JJ208" s="902">
        <v>1900</v>
      </c>
      <c r="JK208" s="909" t="s">
        <v>1064</v>
      </c>
      <c r="JL208" s="909">
        <v>2</v>
      </c>
      <c r="JM208" s="909">
        <v>0</v>
      </c>
      <c r="JN208" s="909">
        <v>0</v>
      </c>
      <c r="JO208" s="909">
        <v>0</v>
      </c>
      <c r="JP208" s="910">
        <v>4486.8608778992439</v>
      </c>
      <c r="JQ208" s="909">
        <v>0</v>
      </c>
      <c r="JR208" s="909">
        <v>0</v>
      </c>
      <c r="JS208" s="909">
        <v>0</v>
      </c>
      <c r="JT208" s="910">
        <v>3387.7168552309909</v>
      </c>
      <c r="JU208" s="871">
        <v>3387.7168552309909</v>
      </c>
      <c r="JV208" s="911">
        <v>75.386686892588315</v>
      </c>
      <c r="JW208" s="908">
        <v>5.4259200000000005</v>
      </c>
      <c r="JX208" s="902">
        <v>15.154944564044023</v>
      </c>
      <c r="JY208" s="902">
        <v>0</v>
      </c>
      <c r="JZ208" s="902">
        <v>0</v>
      </c>
      <c r="KA208" s="902">
        <v>12.331738991678172</v>
      </c>
      <c r="KB208" s="902">
        <v>0.31823529997659938</v>
      </c>
      <c r="KC208" s="902">
        <v>2375</v>
      </c>
      <c r="KD208" s="909" t="s">
        <v>1064</v>
      </c>
      <c r="KE208" s="909">
        <v>2</v>
      </c>
      <c r="KF208" s="909">
        <v>0</v>
      </c>
      <c r="KG208" s="909">
        <v>0</v>
      </c>
      <c r="KH208" s="909">
        <v>0</v>
      </c>
      <c r="KI208" s="910">
        <v>4486.8608778992439</v>
      </c>
      <c r="KJ208" s="909">
        <v>0</v>
      </c>
      <c r="KK208" s="909">
        <v>0</v>
      </c>
      <c r="KL208" s="909">
        <v>0</v>
      </c>
      <c r="KM208" s="910">
        <v>3387.7168552309909</v>
      </c>
      <c r="KN208" s="871">
        <v>3387.7168552309909</v>
      </c>
      <c r="KO208" s="912">
        <v>75.386686892588315</v>
      </c>
    </row>
    <row r="209" spans="1:301" ht="15" customHeight="1">
      <c r="A209" s="924" t="s">
        <v>1642</v>
      </c>
      <c r="B209" s="888" t="s">
        <v>1073</v>
      </c>
      <c r="C209" s="888">
        <v>190</v>
      </c>
      <c r="D209" s="888">
        <v>465</v>
      </c>
      <c r="E209" s="888">
        <v>0</v>
      </c>
      <c r="F209" s="888">
        <v>0</v>
      </c>
      <c r="G209" s="888">
        <v>28</v>
      </c>
      <c r="H209" s="888">
        <v>20</v>
      </c>
      <c r="I209" s="888">
        <v>130</v>
      </c>
      <c r="J209" s="888">
        <v>50.45</v>
      </c>
      <c r="K209" s="888">
        <v>32.340000000000003</v>
      </c>
      <c r="L209" s="888">
        <v>16</v>
      </c>
      <c r="M209" s="888">
        <v>270</v>
      </c>
      <c r="N209" s="888">
        <v>2</v>
      </c>
      <c r="O209" s="884">
        <v>2.6662166707256283</v>
      </c>
      <c r="P209" s="888">
        <v>3</v>
      </c>
      <c r="Q209" s="884">
        <v>1.5351785200848223</v>
      </c>
      <c r="R209" s="888">
        <v>11</v>
      </c>
      <c r="S209" s="888">
        <v>365</v>
      </c>
      <c r="T209" s="906">
        <v>9.0352037820132729</v>
      </c>
      <c r="U209" s="906">
        <v>54.75</v>
      </c>
      <c r="V209" s="906">
        <v>10</v>
      </c>
      <c r="W209" s="1141">
        <v>0.13860823983770362</v>
      </c>
      <c r="X209" s="902">
        <v>0</v>
      </c>
      <c r="Y209" s="902">
        <v>0</v>
      </c>
      <c r="Z209" s="902">
        <v>0</v>
      </c>
      <c r="AA209" s="902">
        <v>0</v>
      </c>
      <c r="AB209" s="970">
        <v>0.29000785431415449</v>
      </c>
      <c r="AC209" s="1045">
        <v>4000</v>
      </c>
      <c r="AD209" s="890"/>
      <c r="AE209" s="890"/>
      <c r="AF209" s="890"/>
      <c r="AG209" s="890"/>
      <c r="AH209" s="888"/>
      <c r="AI209" s="907">
        <v>1.2705851241251573</v>
      </c>
      <c r="AJ209" s="908">
        <v>5.0868000000000011</v>
      </c>
      <c r="AK209" s="902">
        <v>18.46200721266143</v>
      </c>
      <c r="AL209" s="902">
        <v>0</v>
      </c>
      <c r="AM209" s="902">
        <v>0</v>
      </c>
      <c r="AN209" s="902">
        <v>8.497546414525841</v>
      </c>
      <c r="AO209" s="902">
        <v>0.45002658341625112</v>
      </c>
      <c r="AP209" s="1222">
        <v>1800</v>
      </c>
      <c r="AQ209" s="909" t="s">
        <v>1064</v>
      </c>
      <c r="AR209" s="909">
        <v>2</v>
      </c>
      <c r="AS209" s="909">
        <v>0</v>
      </c>
      <c r="AT209" s="909">
        <v>0</v>
      </c>
      <c r="AU209" s="909">
        <v>0</v>
      </c>
      <c r="AV209" s="910">
        <v>4259.8300361717265</v>
      </c>
      <c r="AW209" s="909">
        <v>0</v>
      </c>
      <c r="AX209" s="909">
        <v>0</v>
      </c>
      <c r="AY209" s="909">
        <v>0</v>
      </c>
      <c r="AZ209" s="910">
        <v>3220.7257198432549</v>
      </c>
      <c r="BA209" s="871">
        <v>3220.7257198432549</v>
      </c>
      <c r="BB209" s="911">
        <v>78.416114020326333</v>
      </c>
      <c r="BC209" s="908">
        <v>5.0868000000000011</v>
      </c>
      <c r="BD209" s="902">
        <v>18.46200721266143</v>
      </c>
      <c r="BE209" s="902">
        <v>0</v>
      </c>
      <c r="BF209" s="902">
        <v>0</v>
      </c>
      <c r="BG209" s="902">
        <v>8.497546414525841</v>
      </c>
      <c r="BH209" s="902">
        <v>0.45002658341625112</v>
      </c>
      <c r="BI209" s="902">
        <v>2250</v>
      </c>
      <c r="BJ209" s="909" t="s">
        <v>1064</v>
      </c>
      <c r="BK209" s="909">
        <v>2</v>
      </c>
      <c r="BL209" s="909">
        <v>0</v>
      </c>
      <c r="BM209" s="909">
        <v>0</v>
      </c>
      <c r="BN209" s="909">
        <v>0</v>
      </c>
      <c r="BO209" s="910">
        <v>4259.8300361717265</v>
      </c>
      <c r="BP209" s="909">
        <v>0</v>
      </c>
      <c r="BQ209" s="909">
        <v>0</v>
      </c>
      <c r="BR209" s="909">
        <v>0</v>
      </c>
      <c r="BS209" s="910">
        <v>3220.7257198432549</v>
      </c>
      <c r="BT209" s="871">
        <v>3220.7257198432549</v>
      </c>
      <c r="BU209" s="911">
        <v>78.416114020326333</v>
      </c>
      <c r="BV209" s="908">
        <v>7.6302000000000021</v>
      </c>
      <c r="BW209" s="902">
        <v>21.308458051169779</v>
      </c>
      <c r="BX209" s="902">
        <v>0.110093481223624</v>
      </c>
      <c r="BY209" s="902">
        <v>0.19295735728472416</v>
      </c>
      <c r="BZ209" s="902">
        <v>9.1962978156407242</v>
      </c>
      <c r="CA209" s="902">
        <v>0.54136007693834476</v>
      </c>
      <c r="CB209" s="902">
        <v>1800</v>
      </c>
      <c r="CC209" s="909" t="s">
        <v>2874</v>
      </c>
      <c r="CD209" s="909">
        <v>3</v>
      </c>
      <c r="CE209" s="909">
        <v>1</v>
      </c>
      <c r="CF209" s="909">
        <v>3</v>
      </c>
      <c r="CG209" s="909">
        <v>16.368911702737172</v>
      </c>
      <c r="CH209" s="910">
        <v>6882.2494362257248</v>
      </c>
      <c r="CI209" s="909">
        <v>1</v>
      </c>
      <c r="CJ209" s="909">
        <v>3</v>
      </c>
      <c r="CK209" s="909">
        <v>11.356209765219655</v>
      </c>
      <c r="CL209" s="910">
        <v>5108.9526893028496</v>
      </c>
      <c r="CM209" s="871">
        <v>4000</v>
      </c>
      <c r="CN209" s="911">
        <v>97.389372261283583</v>
      </c>
      <c r="CO209" s="908">
        <v>7.6302000000000021</v>
      </c>
      <c r="CP209" s="902">
        <v>21.308458051169779</v>
      </c>
      <c r="CQ209" s="902">
        <v>0.110093481223624</v>
      </c>
      <c r="CR209" s="902">
        <v>0.19295735728472416</v>
      </c>
      <c r="CS209" s="902">
        <v>9.1962978156407242</v>
      </c>
      <c r="CT209" s="902">
        <v>0.54136007693834476</v>
      </c>
      <c r="CU209" s="902">
        <v>2250</v>
      </c>
      <c r="CV209" s="909" t="s">
        <v>2874</v>
      </c>
      <c r="CW209" s="909">
        <v>3</v>
      </c>
      <c r="CX209" s="909">
        <v>1</v>
      </c>
      <c r="CY209" s="909">
        <v>3</v>
      </c>
      <c r="CZ209" s="909">
        <v>16.368911702737172</v>
      </c>
      <c r="DA209" s="910">
        <v>6882.2494362257248</v>
      </c>
      <c r="DB209" s="909">
        <v>1</v>
      </c>
      <c r="DC209" s="909">
        <v>3</v>
      </c>
      <c r="DD209" s="909">
        <v>11.356209765219655</v>
      </c>
      <c r="DE209" s="910">
        <v>5108.9526893028496</v>
      </c>
      <c r="DF209" s="871">
        <v>4000</v>
      </c>
      <c r="DG209" s="911">
        <v>97.389372261283583</v>
      </c>
      <c r="DH209" s="908">
        <v>5.0868000000000011</v>
      </c>
      <c r="DI209" s="902">
        <v>18.590645450851245</v>
      </c>
      <c r="DJ209" s="902">
        <v>0</v>
      </c>
      <c r="DK209" s="902">
        <v>0.12863823818981612</v>
      </c>
      <c r="DL209" s="902">
        <v>8.8885159535799279</v>
      </c>
      <c r="DM209" s="902">
        <v>0.45664893304324417</v>
      </c>
      <c r="DN209" s="902">
        <v>1800</v>
      </c>
      <c r="DO209" s="909" t="s">
        <v>2876</v>
      </c>
      <c r="DP209" s="909">
        <v>2</v>
      </c>
      <c r="DQ209" s="909">
        <v>0</v>
      </c>
      <c r="DR209" s="909">
        <v>0</v>
      </c>
      <c r="DS209" s="909">
        <v>0</v>
      </c>
      <c r="DT209" s="910">
        <v>2869.7667612141895</v>
      </c>
      <c r="DU209" s="909">
        <v>1</v>
      </c>
      <c r="DV209" s="909">
        <v>2</v>
      </c>
      <c r="DW209" s="909">
        <v>11.356209765219655</v>
      </c>
      <c r="DX209" s="910">
        <v>5664.1828943490655</v>
      </c>
      <c r="DY209" s="871">
        <v>2869.7667612141895</v>
      </c>
      <c r="DZ209" s="911">
        <v>69.871195852736705</v>
      </c>
      <c r="EA209" s="908">
        <v>5.0868000000000011</v>
      </c>
      <c r="EB209" s="902">
        <v>18.792679343190144</v>
      </c>
      <c r="EC209" s="902">
        <v>7.3395654149082667E-2</v>
      </c>
      <c r="ED209" s="902">
        <v>0.25727647637963225</v>
      </c>
      <c r="EE209" s="902">
        <v>9.2769470237485301</v>
      </c>
      <c r="EF209" s="902">
        <v>0.46405764497463992</v>
      </c>
      <c r="EG209" s="902">
        <v>2250</v>
      </c>
      <c r="EH209" s="909" t="s">
        <v>2876</v>
      </c>
      <c r="EI209" s="909">
        <v>2</v>
      </c>
      <c r="EJ209" s="909">
        <v>1</v>
      </c>
      <c r="EK209" s="909">
        <v>2</v>
      </c>
      <c r="EL209" s="909">
        <v>16.368911702737172</v>
      </c>
      <c r="EM209" s="910">
        <v>7630.1977923840668</v>
      </c>
      <c r="EN209" s="909">
        <v>2</v>
      </c>
      <c r="EO209" s="909">
        <v>2</v>
      </c>
      <c r="EP209" s="909">
        <v>11.356209765219655</v>
      </c>
      <c r="EQ209" s="910">
        <v>6050.0074441115912</v>
      </c>
      <c r="ER209" s="871">
        <v>4000</v>
      </c>
      <c r="ES209" s="911">
        <v>97.389372261283583</v>
      </c>
      <c r="ET209" s="908">
        <v>5.0868000000000011</v>
      </c>
      <c r="EU209" s="902">
        <v>18.46200721266143</v>
      </c>
      <c r="EV209" s="902">
        <v>0</v>
      </c>
      <c r="EW209" s="902">
        <v>0</v>
      </c>
      <c r="EX209" s="902">
        <v>8.497546414525841</v>
      </c>
      <c r="EY209" s="902">
        <v>0.45002658341625112</v>
      </c>
      <c r="EZ209" s="902">
        <v>1800</v>
      </c>
      <c r="FA209" s="909" t="s">
        <v>2877</v>
      </c>
      <c r="FB209" s="909">
        <v>2</v>
      </c>
      <c r="FC209" s="909">
        <v>0</v>
      </c>
      <c r="FD209" s="909">
        <v>0</v>
      </c>
      <c r="FE209" s="909">
        <v>0</v>
      </c>
      <c r="FF209" s="910">
        <v>3544.3928354258724</v>
      </c>
      <c r="FG209" s="909">
        <v>0</v>
      </c>
      <c r="FH209" s="909">
        <v>0</v>
      </c>
      <c r="FI209" s="909">
        <v>0</v>
      </c>
      <c r="FJ209" s="910">
        <v>2679.8057831770438</v>
      </c>
      <c r="FK209" s="871">
        <v>2679.8057831770438</v>
      </c>
      <c r="FL209" s="911">
        <v>65.246150751442428</v>
      </c>
      <c r="FM209" s="908">
        <v>5.0868000000000011</v>
      </c>
      <c r="FN209" s="902">
        <v>18.590645450851245</v>
      </c>
      <c r="FO209" s="902">
        <v>0</v>
      </c>
      <c r="FP209" s="902">
        <v>0.12863823818981612</v>
      </c>
      <c r="FQ209" s="902">
        <v>8.8885159535799279</v>
      </c>
      <c r="FR209" s="902">
        <v>0.45664893304324417</v>
      </c>
      <c r="FS209" s="902">
        <v>2250</v>
      </c>
      <c r="FT209" s="909" t="s">
        <v>2877</v>
      </c>
      <c r="FU209" s="909">
        <v>2</v>
      </c>
      <c r="FV209" s="909">
        <v>0</v>
      </c>
      <c r="FW209" s="909">
        <v>0</v>
      </c>
      <c r="FX209" s="909">
        <v>0</v>
      </c>
      <c r="FY209" s="910">
        <v>3544.3928354258724</v>
      </c>
      <c r="FZ209" s="909">
        <v>1</v>
      </c>
      <c r="GA209" s="909">
        <v>2</v>
      </c>
      <c r="GB209" s="909">
        <v>11.356209765219655</v>
      </c>
      <c r="GC209" s="910">
        <v>6995.7215828946319</v>
      </c>
      <c r="GD209" s="871">
        <v>3544.3928354258724</v>
      </c>
      <c r="GE209" s="911">
        <v>86.296548322379195</v>
      </c>
      <c r="GF209" s="908">
        <v>5.0868000000000011</v>
      </c>
      <c r="GG209" s="902">
        <v>18.46200721266143</v>
      </c>
      <c r="GH209" s="902">
        <v>0</v>
      </c>
      <c r="GI209" s="902">
        <v>0</v>
      </c>
      <c r="GJ209" s="902">
        <v>8.497546414525841</v>
      </c>
      <c r="GK209" s="902">
        <v>0.45002658341625112</v>
      </c>
      <c r="GL209" s="902">
        <v>1800</v>
      </c>
      <c r="GM209" s="909" t="s">
        <v>2877</v>
      </c>
      <c r="GN209" s="909">
        <v>2</v>
      </c>
      <c r="GO209" s="909">
        <v>0</v>
      </c>
      <c r="GP209" s="909">
        <v>0</v>
      </c>
      <c r="GQ209" s="909">
        <v>0</v>
      </c>
      <c r="GR209" s="910">
        <v>3544.3928354258724</v>
      </c>
      <c r="GS209" s="909">
        <v>0</v>
      </c>
      <c r="GT209" s="909">
        <v>0</v>
      </c>
      <c r="GU209" s="909">
        <v>0</v>
      </c>
      <c r="GV209" s="910">
        <v>2679.8057831770438</v>
      </c>
      <c r="GW209" s="871">
        <v>2679.8057831770438</v>
      </c>
      <c r="GX209" s="911">
        <v>65.246150751442428</v>
      </c>
      <c r="GY209" s="908">
        <v>5.0868000000000011</v>
      </c>
      <c r="GZ209" s="902">
        <v>18.590645450851245</v>
      </c>
      <c r="HA209" s="902">
        <v>0</v>
      </c>
      <c r="HB209" s="902">
        <v>0.12863823818981612</v>
      </c>
      <c r="HC209" s="902">
        <v>8.8885159535799279</v>
      </c>
      <c r="HD209" s="902">
        <v>0.45664893304324417</v>
      </c>
      <c r="HE209" s="902">
        <v>2250</v>
      </c>
      <c r="HF209" s="909" t="s">
        <v>2877</v>
      </c>
      <c r="HG209" s="909">
        <v>2</v>
      </c>
      <c r="HH209" s="909">
        <v>0</v>
      </c>
      <c r="HI209" s="909">
        <v>0</v>
      </c>
      <c r="HJ209" s="909">
        <v>0</v>
      </c>
      <c r="HK209" s="910">
        <v>3544.3928354258724</v>
      </c>
      <c r="HL209" s="909">
        <v>1</v>
      </c>
      <c r="HM209" s="909">
        <v>2</v>
      </c>
      <c r="HN209" s="909">
        <v>11.356209765219655</v>
      </c>
      <c r="HO209" s="910">
        <v>6995.7215828946319</v>
      </c>
      <c r="HP209" s="871">
        <v>3544.3928354258724</v>
      </c>
      <c r="HQ209" s="911">
        <v>86.296548322379195</v>
      </c>
      <c r="HR209" s="908">
        <v>5.0868000000000011</v>
      </c>
      <c r="HS209" s="902">
        <v>18.46200721266143</v>
      </c>
      <c r="HT209" s="902">
        <v>0</v>
      </c>
      <c r="HU209" s="902">
        <v>0</v>
      </c>
      <c r="HV209" s="902">
        <v>8.497546414525841</v>
      </c>
      <c r="HW209" s="902">
        <v>0.45002658341625112</v>
      </c>
      <c r="HX209" s="902">
        <v>1800</v>
      </c>
      <c r="HY209" s="909" t="s">
        <v>1063</v>
      </c>
      <c r="HZ209" s="909">
        <v>2</v>
      </c>
      <c r="IA209" s="909">
        <v>0</v>
      </c>
      <c r="IB209" s="909">
        <v>0</v>
      </c>
      <c r="IC209" s="909">
        <v>0</v>
      </c>
      <c r="ID209" s="910">
        <v>3125.8606637562048</v>
      </c>
      <c r="IE209" s="909">
        <v>0</v>
      </c>
      <c r="IF209" s="909">
        <v>0</v>
      </c>
      <c r="IG209" s="909">
        <v>0</v>
      </c>
      <c r="IH209" s="910">
        <v>2363.3665547495721</v>
      </c>
      <c r="II209" s="871">
        <v>2363.3665547495721</v>
      </c>
      <c r="IJ209" s="911">
        <v>57.541696297593333</v>
      </c>
      <c r="IK209" s="908">
        <v>5.0868000000000011</v>
      </c>
      <c r="IL209" s="902">
        <v>18.46200721266143</v>
      </c>
      <c r="IM209" s="902">
        <v>0</v>
      </c>
      <c r="IN209" s="902">
        <v>0</v>
      </c>
      <c r="IO209" s="902">
        <v>8.497546414525841</v>
      </c>
      <c r="IP209" s="902">
        <v>0.45002658341625112</v>
      </c>
      <c r="IQ209" s="902">
        <v>2250</v>
      </c>
      <c r="IR209" s="909" t="s">
        <v>1063</v>
      </c>
      <c r="IS209" s="909">
        <v>2</v>
      </c>
      <c r="IT209" s="909">
        <v>0</v>
      </c>
      <c r="IU209" s="909">
        <v>0</v>
      </c>
      <c r="IV209" s="909">
        <v>0</v>
      </c>
      <c r="IW209" s="910">
        <v>3125.8606637562048</v>
      </c>
      <c r="IX209" s="909">
        <v>0</v>
      </c>
      <c r="IY209" s="909">
        <v>0</v>
      </c>
      <c r="IZ209" s="909">
        <v>0</v>
      </c>
      <c r="JA209" s="910">
        <v>2363.3665547495721</v>
      </c>
      <c r="JB209" s="871">
        <v>2363.3665547495721</v>
      </c>
      <c r="JC209" s="911">
        <v>57.541696297593333</v>
      </c>
      <c r="JD209" s="908">
        <v>5.0868000000000011</v>
      </c>
      <c r="JE209" s="902">
        <v>18.46200721266143</v>
      </c>
      <c r="JF209" s="902">
        <v>0</v>
      </c>
      <c r="JG209" s="902">
        <v>0</v>
      </c>
      <c r="JH209" s="902">
        <v>8.497546414525841</v>
      </c>
      <c r="JI209" s="902">
        <v>0.45002658341625112</v>
      </c>
      <c r="JJ209" s="902">
        <v>1800</v>
      </c>
      <c r="JK209" s="909" t="s">
        <v>1064</v>
      </c>
      <c r="JL209" s="909">
        <v>2</v>
      </c>
      <c r="JM209" s="909">
        <v>0</v>
      </c>
      <c r="JN209" s="909">
        <v>0</v>
      </c>
      <c r="JO209" s="909">
        <v>0</v>
      </c>
      <c r="JP209" s="910">
        <v>4259.8300361717265</v>
      </c>
      <c r="JQ209" s="909">
        <v>0</v>
      </c>
      <c r="JR209" s="909">
        <v>0</v>
      </c>
      <c r="JS209" s="909">
        <v>0</v>
      </c>
      <c r="JT209" s="910">
        <v>3220.7257198432549</v>
      </c>
      <c r="JU209" s="871">
        <v>3220.7257198432549</v>
      </c>
      <c r="JV209" s="911">
        <v>78.416114020326333</v>
      </c>
      <c r="JW209" s="908">
        <v>5.0868000000000011</v>
      </c>
      <c r="JX209" s="902">
        <v>18.46200721266143</v>
      </c>
      <c r="JY209" s="902">
        <v>0</v>
      </c>
      <c r="JZ209" s="902">
        <v>0</v>
      </c>
      <c r="KA209" s="902">
        <v>8.497546414525841</v>
      </c>
      <c r="KB209" s="902">
        <v>0.45002658341625112</v>
      </c>
      <c r="KC209" s="902">
        <v>2250</v>
      </c>
      <c r="KD209" s="909" t="s">
        <v>1064</v>
      </c>
      <c r="KE209" s="909">
        <v>2</v>
      </c>
      <c r="KF209" s="909">
        <v>0</v>
      </c>
      <c r="KG209" s="909">
        <v>0</v>
      </c>
      <c r="KH209" s="909">
        <v>0</v>
      </c>
      <c r="KI209" s="910">
        <v>4259.8300361717265</v>
      </c>
      <c r="KJ209" s="909">
        <v>0</v>
      </c>
      <c r="KK209" s="909">
        <v>0</v>
      </c>
      <c r="KL209" s="909">
        <v>0</v>
      </c>
      <c r="KM209" s="910">
        <v>3220.7257198432549</v>
      </c>
      <c r="KN209" s="871">
        <v>3220.7257198432549</v>
      </c>
      <c r="KO209" s="912">
        <v>78.416114020326333</v>
      </c>
    </row>
    <row r="210" spans="1:301" ht="15" customHeight="1">
      <c r="A210" s="924" t="s">
        <v>1719</v>
      </c>
      <c r="B210" s="888" t="s">
        <v>1073</v>
      </c>
      <c r="C210" s="888">
        <v>190</v>
      </c>
      <c r="D210" s="888">
        <v>465</v>
      </c>
      <c r="E210" s="888">
        <v>0</v>
      </c>
      <c r="F210" s="888">
        <v>176.34107993830318</v>
      </c>
      <c r="G210" s="888">
        <v>37.502264187537214</v>
      </c>
      <c r="H210" s="888">
        <v>24.633890033307118</v>
      </c>
      <c r="I210" s="888">
        <v>130</v>
      </c>
      <c r="J210" s="888">
        <v>50.45</v>
      </c>
      <c r="K210" s="888">
        <v>32.340000000000003</v>
      </c>
      <c r="L210" s="888">
        <v>16</v>
      </c>
      <c r="M210" s="888">
        <v>316.60876301888629</v>
      </c>
      <c r="N210" s="888">
        <v>5</v>
      </c>
      <c r="O210" s="884">
        <v>6.6655416768140707</v>
      </c>
      <c r="P210" s="888">
        <v>5</v>
      </c>
      <c r="Q210" s="884">
        <v>2.5586308668080369</v>
      </c>
      <c r="R210" s="888">
        <v>11</v>
      </c>
      <c r="S210" s="888">
        <v>365</v>
      </c>
      <c r="T210" s="906">
        <v>9.0352037820132729</v>
      </c>
      <c r="U210" s="906">
        <v>54.75</v>
      </c>
      <c r="V210" s="906">
        <v>47.5</v>
      </c>
      <c r="W210" s="1141">
        <v>0.65838913922909226</v>
      </c>
      <c r="X210" s="902">
        <v>0</v>
      </c>
      <c r="Y210" s="902">
        <v>0</v>
      </c>
      <c r="Z210" s="902">
        <v>0</v>
      </c>
      <c r="AA210" s="902">
        <v>0</v>
      </c>
      <c r="AB210" s="970">
        <v>0.5761350934132129</v>
      </c>
      <c r="AC210" s="1045">
        <v>4000</v>
      </c>
      <c r="AD210" s="890"/>
      <c r="AE210" s="890"/>
      <c r="AF210" s="890"/>
      <c r="AG210" s="890"/>
      <c r="AH210" s="888"/>
      <c r="AI210" s="907">
        <v>1.4059202384330591</v>
      </c>
      <c r="AJ210" s="908">
        <v>6.1491806473170296</v>
      </c>
      <c r="AK210" s="902">
        <v>25.066946112181505</v>
      </c>
      <c r="AL210" s="902">
        <v>0</v>
      </c>
      <c r="AM210" s="902">
        <v>0</v>
      </c>
      <c r="AN210" s="902">
        <v>12.433276843518858</v>
      </c>
      <c r="AO210" s="902">
        <v>0.63633466702102237</v>
      </c>
      <c r="AP210" s="1222">
        <v>1800</v>
      </c>
      <c r="AQ210" s="909" t="s">
        <v>1064</v>
      </c>
      <c r="AR210" s="909">
        <v>2</v>
      </c>
      <c r="AS210" s="909">
        <v>0</v>
      </c>
      <c r="AT210" s="909">
        <v>0</v>
      </c>
      <c r="AU210" s="909">
        <v>0</v>
      </c>
      <c r="AV210" s="910">
        <v>4259.8300361717265</v>
      </c>
      <c r="AW210" s="909">
        <v>0</v>
      </c>
      <c r="AX210" s="909">
        <v>0</v>
      </c>
      <c r="AY210" s="909">
        <v>0</v>
      </c>
      <c r="AZ210" s="910">
        <v>3220.7257198432549</v>
      </c>
      <c r="BA210" s="871">
        <v>3220.7257198432549</v>
      </c>
      <c r="BB210" s="911">
        <v>78.416114020326333</v>
      </c>
      <c r="BC210" s="908">
        <v>6.1491806473170296</v>
      </c>
      <c r="BD210" s="902">
        <v>25.066946112181505</v>
      </c>
      <c r="BE210" s="902">
        <v>0</v>
      </c>
      <c r="BF210" s="902">
        <v>0</v>
      </c>
      <c r="BG210" s="902">
        <v>12.433276843518858</v>
      </c>
      <c r="BH210" s="902">
        <v>0.63633466702102237</v>
      </c>
      <c r="BI210" s="902">
        <v>2250</v>
      </c>
      <c r="BJ210" s="909" t="s">
        <v>1064</v>
      </c>
      <c r="BK210" s="909">
        <v>2</v>
      </c>
      <c r="BL210" s="909">
        <v>0</v>
      </c>
      <c r="BM210" s="909">
        <v>0</v>
      </c>
      <c r="BN210" s="909">
        <v>0</v>
      </c>
      <c r="BO210" s="910">
        <v>4259.8300361717265</v>
      </c>
      <c r="BP210" s="909">
        <v>0</v>
      </c>
      <c r="BQ210" s="909">
        <v>0</v>
      </c>
      <c r="BR210" s="909">
        <v>0</v>
      </c>
      <c r="BS210" s="910">
        <v>3220.7257198432549</v>
      </c>
      <c r="BT210" s="871">
        <v>3220.7257198432549</v>
      </c>
      <c r="BU210" s="911">
        <v>78.416114020326333</v>
      </c>
      <c r="BV210" s="908">
        <v>9.2237709709755435</v>
      </c>
      <c r="BW210" s="902">
        <v>28.444587274348365</v>
      </c>
      <c r="BX210" s="902">
        <v>0.110093481223624</v>
      </c>
      <c r="BY210" s="902">
        <v>0.19295735728472416</v>
      </c>
      <c r="BZ210" s="902">
        <v>12.776845052195073</v>
      </c>
      <c r="CA210" s="902">
        <v>0.74442223534525775</v>
      </c>
      <c r="CB210" s="902">
        <v>1800</v>
      </c>
      <c r="CC210" s="909" t="s">
        <v>2874</v>
      </c>
      <c r="CD210" s="909">
        <v>3</v>
      </c>
      <c r="CE210" s="909">
        <v>1</v>
      </c>
      <c r="CF210" s="909">
        <v>3</v>
      </c>
      <c r="CG210" s="909">
        <v>16.368911702737172</v>
      </c>
      <c r="CH210" s="910">
        <v>6882.2494362257248</v>
      </c>
      <c r="CI210" s="909">
        <v>1</v>
      </c>
      <c r="CJ210" s="909">
        <v>3</v>
      </c>
      <c r="CK210" s="909">
        <v>11.356209765219655</v>
      </c>
      <c r="CL210" s="910">
        <v>5108.9526893028496</v>
      </c>
      <c r="CM210" s="871">
        <v>4000</v>
      </c>
      <c r="CN210" s="911">
        <v>97.389372261283583</v>
      </c>
      <c r="CO210" s="908">
        <v>9.2237709709755435</v>
      </c>
      <c r="CP210" s="902">
        <v>28.444587274348365</v>
      </c>
      <c r="CQ210" s="902">
        <v>0.110093481223624</v>
      </c>
      <c r="CR210" s="902">
        <v>0.19295735728472416</v>
      </c>
      <c r="CS210" s="902">
        <v>12.776845052195073</v>
      </c>
      <c r="CT210" s="902">
        <v>0.74442223534525775</v>
      </c>
      <c r="CU210" s="902">
        <v>2250</v>
      </c>
      <c r="CV210" s="909" t="s">
        <v>2874</v>
      </c>
      <c r="CW210" s="909">
        <v>3</v>
      </c>
      <c r="CX210" s="909">
        <v>1</v>
      </c>
      <c r="CY210" s="909">
        <v>3</v>
      </c>
      <c r="CZ210" s="909">
        <v>16.368911702737172</v>
      </c>
      <c r="DA210" s="910">
        <v>6882.2494362257248</v>
      </c>
      <c r="DB210" s="909">
        <v>1</v>
      </c>
      <c r="DC210" s="909">
        <v>3</v>
      </c>
      <c r="DD210" s="909">
        <v>11.356209765219655</v>
      </c>
      <c r="DE210" s="910">
        <v>5108.9526893028496</v>
      </c>
      <c r="DF210" s="871">
        <v>4000</v>
      </c>
      <c r="DG210" s="911">
        <v>97.389372261283583</v>
      </c>
      <c r="DH210" s="908">
        <v>6.1491806473170296</v>
      </c>
      <c r="DI210" s="902">
        <v>25.19558435037132</v>
      </c>
      <c r="DJ210" s="902">
        <v>0</v>
      </c>
      <c r="DK210" s="902">
        <v>0.12863823818981612</v>
      </c>
      <c r="DL210" s="902">
        <v>12.70166080160562</v>
      </c>
      <c r="DM210" s="902">
        <v>0.64295701664801541</v>
      </c>
      <c r="DN210" s="902">
        <v>1800</v>
      </c>
      <c r="DO210" s="909" t="s">
        <v>2876</v>
      </c>
      <c r="DP210" s="909">
        <v>2</v>
      </c>
      <c r="DQ210" s="909">
        <v>0</v>
      </c>
      <c r="DR210" s="909">
        <v>0</v>
      </c>
      <c r="DS210" s="909">
        <v>0</v>
      </c>
      <c r="DT210" s="910">
        <v>2869.7667612141895</v>
      </c>
      <c r="DU210" s="909">
        <v>1</v>
      </c>
      <c r="DV210" s="909">
        <v>2</v>
      </c>
      <c r="DW210" s="909">
        <v>11.356209765219655</v>
      </c>
      <c r="DX210" s="910">
        <v>5664.1828943490655</v>
      </c>
      <c r="DY210" s="871">
        <v>2869.7667612141895</v>
      </c>
      <c r="DZ210" s="911">
        <v>69.871195852736705</v>
      </c>
      <c r="EA210" s="908">
        <v>6.1491806473170296</v>
      </c>
      <c r="EB210" s="902">
        <v>25.39761824271022</v>
      </c>
      <c r="EC210" s="902">
        <v>7.3395654149082667E-2</v>
      </c>
      <c r="ED210" s="902">
        <v>0.25727647637963225</v>
      </c>
      <c r="EE210" s="902">
        <v>12.965438675735992</v>
      </c>
      <c r="EF210" s="902">
        <v>0.65036572857941111</v>
      </c>
      <c r="EG210" s="902">
        <v>2250</v>
      </c>
      <c r="EH210" s="909" t="s">
        <v>2876</v>
      </c>
      <c r="EI210" s="909">
        <v>2</v>
      </c>
      <c r="EJ210" s="909">
        <v>1</v>
      </c>
      <c r="EK210" s="909">
        <v>2</v>
      </c>
      <c r="EL210" s="909">
        <v>16.368911702737172</v>
      </c>
      <c r="EM210" s="910">
        <v>7630.1977923840668</v>
      </c>
      <c r="EN210" s="909">
        <v>2</v>
      </c>
      <c r="EO210" s="909">
        <v>2</v>
      </c>
      <c r="EP210" s="909">
        <v>11.356209765219655</v>
      </c>
      <c r="EQ210" s="910">
        <v>6050.0074441115912</v>
      </c>
      <c r="ER210" s="871">
        <v>4000</v>
      </c>
      <c r="ES210" s="911">
        <v>97.389372261283583</v>
      </c>
      <c r="ET210" s="908">
        <v>6.1491806473170296</v>
      </c>
      <c r="EU210" s="902">
        <v>25.066946112181505</v>
      </c>
      <c r="EV210" s="902">
        <v>0</v>
      </c>
      <c r="EW210" s="902">
        <v>0</v>
      </c>
      <c r="EX210" s="902">
        <v>12.433276843518858</v>
      </c>
      <c r="EY210" s="902">
        <v>0.63633466702102237</v>
      </c>
      <c r="EZ210" s="902">
        <v>1800</v>
      </c>
      <c r="FA210" s="909" t="s">
        <v>2877</v>
      </c>
      <c r="FB210" s="909">
        <v>2</v>
      </c>
      <c r="FC210" s="909">
        <v>0</v>
      </c>
      <c r="FD210" s="909">
        <v>0</v>
      </c>
      <c r="FE210" s="909">
        <v>0</v>
      </c>
      <c r="FF210" s="910">
        <v>3544.3928354258724</v>
      </c>
      <c r="FG210" s="909">
        <v>0</v>
      </c>
      <c r="FH210" s="909">
        <v>0</v>
      </c>
      <c r="FI210" s="909">
        <v>0</v>
      </c>
      <c r="FJ210" s="910">
        <v>2679.8057831770438</v>
      </c>
      <c r="FK210" s="871">
        <v>2679.8057831770438</v>
      </c>
      <c r="FL210" s="911">
        <v>65.246150751442428</v>
      </c>
      <c r="FM210" s="908">
        <v>6.1491806473170296</v>
      </c>
      <c r="FN210" s="902">
        <v>25.19558435037132</v>
      </c>
      <c r="FO210" s="902">
        <v>0</v>
      </c>
      <c r="FP210" s="902">
        <v>0.12863823818981612</v>
      </c>
      <c r="FQ210" s="902">
        <v>12.70166080160562</v>
      </c>
      <c r="FR210" s="902">
        <v>0.64295701664801541</v>
      </c>
      <c r="FS210" s="902">
        <v>2250</v>
      </c>
      <c r="FT210" s="909" t="s">
        <v>2877</v>
      </c>
      <c r="FU210" s="909">
        <v>2</v>
      </c>
      <c r="FV210" s="909">
        <v>0</v>
      </c>
      <c r="FW210" s="909">
        <v>0</v>
      </c>
      <c r="FX210" s="909">
        <v>0</v>
      </c>
      <c r="FY210" s="910">
        <v>3544.3928354258724</v>
      </c>
      <c r="FZ210" s="909">
        <v>1</v>
      </c>
      <c r="GA210" s="909">
        <v>2</v>
      </c>
      <c r="GB210" s="909">
        <v>11.356209765219655</v>
      </c>
      <c r="GC210" s="910">
        <v>6995.7215828946319</v>
      </c>
      <c r="GD210" s="871">
        <v>3544.3928354258724</v>
      </c>
      <c r="GE210" s="911">
        <v>86.296548322379195</v>
      </c>
      <c r="GF210" s="908">
        <v>6.1491806473170296</v>
      </c>
      <c r="GG210" s="902">
        <v>25.066946112181505</v>
      </c>
      <c r="GH210" s="902">
        <v>0</v>
      </c>
      <c r="GI210" s="902">
        <v>0</v>
      </c>
      <c r="GJ210" s="902">
        <v>12.433276843518858</v>
      </c>
      <c r="GK210" s="902">
        <v>0.63633466702102237</v>
      </c>
      <c r="GL210" s="902">
        <v>1800</v>
      </c>
      <c r="GM210" s="909" t="s">
        <v>2877</v>
      </c>
      <c r="GN210" s="909">
        <v>2</v>
      </c>
      <c r="GO210" s="909">
        <v>0</v>
      </c>
      <c r="GP210" s="909">
        <v>0</v>
      </c>
      <c r="GQ210" s="909">
        <v>0</v>
      </c>
      <c r="GR210" s="910">
        <v>3544.3928354258724</v>
      </c>
      <c r="GS210" s="909">
        <v>0</v>
      </c>
      <c r="GT210" s="909">
        <v>0</v>
      </c>
      <c r="GU210" s="909">
        <v>0</v>
      </c>
      <c r="GV210" s="910">
        <v>2679.8057831770438</v>
      </c>
      <c r="GW210" s="871">
        <v>2679.8057831770438</v>
      </c>
      <c r="GX210" s="911">
        <v>65.246150751442428</v>
      </c>
      <c r="GY210" s="908">
        <v>6.1491806473170296</v>
      </c>
      <c r="GZ210" s="902">
        <v>25.19558435037132</v>
      </c>
      <c r="HA210" s="902">
        <v>0</v>
      </c>
      <c r="HB210" s="902">
        <v>0.12863823818981612</v>
      </c>
      <c r="HC210" s="902">
        <v>12.70166080160562</v>
      </c>
      <c r="HD210" s="902">
        <v>0.64295701664801541</v>
      </c>
      <c r="HE210" s="902">
        <v>2250</v>
      </c>
      <c r="HF210" s="909" t="s">
        <v>2877</v>
      </c>
      <c r="HG210" s="909">
        <v>2</v>
      </c>
      <c r="HH210" s="909">
        <v>0</v>
      </c>
      <c r="HI210" s="909">
        <v>0</v>
      </c>
      <c r="HJ210" s="909">
        <v>0</v>
      </c>
      <c r="HK210" s="910">
        <v>3544.3928354258724</v>
      </c>
      <c r="HL210" s="909">
        <v>1</v>
      </c>
      <c r="HM210" s="909">
        <v>2</v>
      </c>
      <c r="HN210" s="909">
        <v>11.356209765219655</v>
      </c>
      <c r="HO210" s="910">
        <v>6995.7215828946319</v>
      </c>
      <c r="HP210" s="871">
        <v>3544.3928354258724</v>
      </c>
      <c r="HQ210" s="911">
        <v>86.296548322379195</v>
      </c>
      <c r="HR210" s="908">
        <v>6.1491806473170296</v>
      </c>
      <c r="HS210" s="902">
        <v>25.066946112181505</v>
      </c>
      <c r="HT210" s="902">
        <v>0</v>
      </c>
      <c r="HU210" s="902">
        <v>0</v>
      </c>
      <c r="HV210" s="902">
        <v>12.433276843518858</v>
      </c>
      <c r="HW210" s="902">
        <v>0.63633466702102237</v>
      </c>
      <c r="HX210" s="902">
        <v>1800</v>
      </c>
      <c r="HY210" s="909" t="s">
        <v>1063</v>
      </c>
      <c r="HZ210" s="909">
        <v>2</v>
      </c>
      <c r="IA210" s="909">
        <v>0</v>
      </c>
      <c r="IB210" s="909">
        <v>0</v>
      </c>
      <c r="IC210" s="909">
        <v>0</v>
      </c>
      <c r="ID210" s="910">
        <v>3125.8606637562048</v>
      </c>
      <c r="IE210" s="909">
        <v>0</v>
      </c>
      <c r="IF210" s="909">
        <v>0</v>
      </c>
      <c r="IG210" s="909">
        <v>0</v>
      </c>
      <c r="IH210" s="910">
        <v>2363.3665547495721</v>
      </c>
      <c r="II210" s="871">
        <v>2363.3665547495721</v>
      </c>
      <c r="IJ210" s="911">
        <v>57.541696297593333</v>
      </c>
      <c r="IK210" s="908">
        <v>6.1491806473170296</v>
      </c>
      <c r="IL210" s="902">
        <v>25.066946112181505</v>
      </c>
      <c r="IM210" s="902">
        <v>0</v>
      </c>
      <c r="IN210" s="902">
        <v>0</v>
      </c>
      <c r="IO210" s="902">
        <v>12.433276843518858</v>
      </c>
      <c r="IP210" s="902">
        <v>0.63633466702102237</v>
      </c>
      <c r="IQ210" s="902">
        <v>2250</v>
      </c>
      <c r="IR210" s="909" t="s">
        <v>1063</v>
      </c>
      <c r="IS210" s="909">
        <v>2</v>
      </c>
      <c r="IT210" s="909">
        <v>0</v>
      </c>
      <c r="IU210" s="909">
        <v>0</v>
      </c>
      <c r="IV210" s="909">
        <v>0</v>
      </c>
      <c r="IW210" s="910">
        <v>3125.8606637562048</v>
      </c>
      <c r="IX210" s="909">
        <v>0</v>
      </c>
      <c r="IY210" s="909">
        <v>0</v>
      </c>
      <c r="IZ210" s="909">
        <v>0</v>
      </c>
      <c r="JA210" s="910">
        <v>2363.3665547495721</v>
      </c>
      <c r="JB210" s="871">
        <v>2363.3665547495721</v>
      </c>
      <c r="JC210" s="911">
        <v>57.541696297593333</v>
      </c>
      <c r="JD210" s="908">
        <v>6.1491806473170296</v>
      </c>
      <c r="JE210" s="902">
        <v>25.066946112181505</v>
      </c>
      <c r="JF210" s="902">
        <v>0</v>
      </c>
      <c r="JG210" s="902">
        <v>0</v>
      </c>
      <c r="JH210" s="902">
        <v>12.433276843518858</v>
      </c>
      <c r="JI210" s="902">
        <v>0.63633466702102237</v>
      </c>
      <c r="JJ210" s="902">
        <v>1800</v>
      </c>
      <c r="JK210" s="909" t="s">
        <v>1064</v>
      </c>
      <c r="JL210" s="909">
        <v>2</v>
      </c>
      <c r="JM210" s="909">
        <v>0</v>
      </c>
      <c r="JN210" s="909">
        <v>0</v>
      </c>
      <c r="JO210" s="909">
        <v>0</v>
      </c>
      <c r="JP210" s="910">
        <v>4259.8300361717265</v>
      </c>
      <c r="JQ210" s="909">
        <v>0</v>
      </c>
      <c r="JR210" s="909">
        <v>0</v>
      </c>
      <c r="JS210" s="909">
        <v>0</v>
      </c>
      <c r="JT210" s="910">
        <v>3220.7257198432549</v>
      </c>
      <c r="JU210" s="871">
        <v>3220.7257198432549</v>
      </c>
      <c r="JV210" s="911">
        <v>78.416114020326333</v>
      </c>
      <c r="JW210" s="908">
        <v>6.1491806473170296</v>
      </c>
      <c r="JX210" s="902">
        <v>25.066946112181505</v>
      </c>
      <c r="JY210" s="902">
        <v>0</v>
      </c>
      <c r="JZ210" s="902">
        <v>0</v>
      </c>
      <c r="KA210" s="902">
        <v>12.433276843518858</v>
      </c>
      <c r="KB210" s="902">
        <v>0.63633466702102237</v>
      </c>
      <c r="KC210" s="902">
        <v>2250</v>
      </c>
      <c r="KD210" s="909" t="s">
        <v>1064</v>
      </c>
      <c r="KE210" s="909">
        <v>2</v>
      </c>
      <c r="KF210" s="909">
        <v>0</v>
      </c>
      <c r="KG210" s="909">
        <v>0</v>
      </c>
      <c r="KH210" s="909">
        <v>0</v>
      </c>
      <c r="KI210" s="910">
        <v>4259.8300361717265</v>
      </c>
      <c r="KJ210" s="909">
        <v>0</v>
      </c>
      <c r="KK210" s="909">
        <v>0</v>
      </c>
      <c r="KL210" s="909">
        <v>0</v>
      </c>
      <c r="KM210" s="910">
        <v>3220.7257198432549</v>
      </c>
      <c r="KN210" s="871">
        <v>3220.7257198432549</v>
      </c>
      <c r="KO210" s="912">
        <v>78.416114020326333</v>
      </c>
    </row>
    <row r="211" spans="1:301" ht="15" customHeight="1">
      <c r="A211" s="924" t="s">
        <v>1643</v>
      </c>
      <c r="B211" s="888" t="s">
        <v>1076</v>
      </c>
      <c r="C211" s="888">
        <v>230</v>
      </c>
      <c r="D211" s="888">
        <v>515</v>
      </c>
      <c r="E211" s="888">
        <v>0</v>
      </c>
      <c r="F211" s="888">
        <v>214.60209229843403</v>
      </c>
      <c r="G211" s="888">
        <v>45.726365485241445</v>
      </c>
      <c r="H211" s="888">
        <v>29.679130201698506</v>
      </c>
      <c r="I211" s="888">
        <v>150</v>
      </c>
      <c r="J211" s="888">
        <v>131.09</v>
      </c>
      <c r="K211" s="888">
        <v>67.040000000000006</v>
      </c>
      <c r="L211" s="888">
        <v>16</v>
      </c>
      <c r="M211" s="888">
        <v>293.20758157378646</v>
      </c>
      <c r="N211" s="888">
        <v>5</v>
      </c>
      <c r="O211" s="884">
        <v>8.1760586945682139</v>
      </c>
      <c r="P211" s="888">
        <v>5</v>
      </c>
      <c r="Q211" s="884">
        <v>2.8668996459415359</v>
      </c>
      <c r="R211" s="888">
        <v>11</v>
      </c>
      <c r="S211" s="888">
        <v>415</v>
      </c>
      <c r="T211" s="906">
        <v>11.68014990697869</v>
      </c>
      <c r="U211" s="906">
        <v>62.25</v>
      </c>
      <c r="V211" s="906">
        <v>60</v>
      </c>
      <c r="W211" s="1141">
        <v>1.0751047073469022</v>
      </c>
      <c r="X211" s="902">
        <v>0</v>
      </c>
      <c r="Y211" s="902">
        <v>0</v>
      </c>
      <c r="Z211" s="902">
        <v>0</v>
      </c>
      <c r="AA211" s="902">
        <v>0</v>
      </c>
      <c r="AB211" s="970">
        <v>0.82171646601185044</v>
      </c>
      <c r="AC211" s="1045">
        <v>4000</v>
      </c>
      <c r="AD211" s="890"/>
      <c r="AE211" s="890"/>
      <c r="AF211" s="890"/>
      <c r="AG211" s="890"/>
      <c r="AH211" s="888"/>
      <c r="AI211" s="907">
        <v>1.5930663174724471</v>
      </c>
      <c r="AJ211" s="908">
        <v>6.6170203731506234</v>
      </c>
      <c r="AK211" s="902">
        <v>30.415233327985966</v>
      </c>
      <c r="AL211" s="902">
        <v>0</v>
      </c>
      <c r="AM211" s="902">
        <v>0</v>
      </c>
      <c r="AN211" s="902">
        <v>14.614822288687407</v>
      </c>
      <c r="AO211" s="902">
        <v>0.94240923016524081</v>
      </c>
      <c r="AP211" s="1222">
        <v>1800</v>
      </c>
      <c r="AQ211" s="909" t="s">
        <v>1064</v>
      </c>
      <c r="AR211" s="909">
        <v>2</v>
      </c>
      <c r="AS211" s="909">
        <v>0</v>
      </c>
      <c r="AT211" s="909">
        <v>0</v>
      </c>
      <c r="AU211" s="909">
        <v>0</v>
      </c>
      <c r="AV211" s="910">
        <v>3951.5435573027785</v>
      </c>
      <c r="AW211" s="909">
        <v>0</v>
      </c>
      <c r="AX211" s="909">
        <v>0</v>
      </c>
      <c r="AY211" s="909">
        <v>0</v>
      </c>
      <c r="AZ211" s="910">
        <v>4503.9629082024776</v>
      </c>
      <c r="BA211" s="871">
        <v>3951.5435573027785</v>
      </c>
      <c r="BB211" s="911">
        <v>106.55470346884469</v>
      </c>
      <c r="BC211" s="908">
        <v>6.6170203731506234</v>
      </c>
      <c r="BD211" s="902">
        <v>30.415233327985966</v>
      </c>
      <c r="BE211" s="902">
        <v>0</v>
      </c>
      <c r="BF211" s="902">
        <v>0</v>
      </c>
      <c r="BG211" s="902">
        <v>14.614822288687407</v>
      </c>
      <c r="BH211" s="902">
        <v>0.94240923016524081</v>
      </c>
      <c r="BI211" s="902">
        <v>2250</v>
      </c>
      <c r="BJ211" s="909" t="s">
        <v>1064</v>
      </c>
      <c r="BK211" s="909">
        <v>2</v>
      </c>
      <c r="BL211" s="909">
        <v>0</v>
      </c>
      <c r="BM211" s="909">
        <v>0</v>
      </c>
      <c r="BN211" s="909">
        <v>0</v>
      </c>
      <c r="BO211" s="910">
        <v>3951.5435573027785</v>
      </c>
      <c r="BP211" s="909">
        <v>0</v>
      </c>
      <c r="BQ211" s="909">
        <v>0</v>
      </c>
      <c r="BR211" s="909">
        <v>0</v>
      </c>
      <c r="BS211" s="910">
        <v>4503.9629082024776</v>
      </c>
      <c r="BT211" s="871">
        <v>3951.5435573027785</v>
      </c>
      <c r="BU211" s="911">
        <v>106.55470346884469</v>
      </c>
      <c r="BV211" s="908">
        <v>9.9255305597259351</v>
      </c>
      <c r="BW211" s="902">
        <v>33.817102363123936</v>
      </c>
      <c r="BX211" s="902">
        <v>9.3358848562657484E-2</v>
      </c>
      <c r="BY211" s="902">
        <v>0</v>
      </c>
      <c r="BZ211" s="902">
        <v>14.637430541912464</v>
      </c>
      <c r="CA211" s="902">
        <v>1.075335541432388</v>
      </c>
      <c r="CB211" s="902">
        <v>1800</v>
      </c>
      <c r="CC211" s="909" t="s">
        <v>2874</v>
      </c>
      <c r="CD211" s="909">
        <v>3</v>
      </c>
      <c r="CE211" s="909">
        <v>1</v>
      </c>
      <c r="CF211" s="909">
        <v>3</v>
      </c>
      <c r="CG211" s="909">
        <v>11.247813753446485</v>
      </c>
      <c r="CH211" s="910">
        <v>6080.8891684183309</v>
      </c>
      <c r="CI211" s="909">
        <v>0</v>
      </c>
      <c r="CJ211" s="909">
        <v>0</v>
      </c>
      <c r="CK211" s="909">
        <v>0</v>
      </c>
      <c r="CL211" s="910">
        <v>3745.3219062436979</v>
      </c>
      <c r="CM211" s="871">
        <v>3745.3219062436979</v>
      </c>
      <c r="CN211" s="911">
        <v>100.99386716303039</v>
      </c>
      <c r="CO211" s="908">
        <v>9.9255305597259351</v>
      </c>
      <c r="CP211" s="902">
        <v>33.817102363123936</v>
      </c>
      <c r="CQ211" s="902">
        <v>9.3358848562657484E-2</v>
      </c>
      <c r="CR211" s="902">
        <v>0</v>
      </c>
      <c r="CS211" s="902">
        <v>14.637430541912464</v>
      </c>
      <c r="CT211" s="902">
        <v>1.075335541432388</v>
      </c>
      <c r="CU211" s="902">
        <v>2250</v>
      </c>
      <c r="CV211" s="909" t="s">
        <v>2874</v>
      </c>
      <c r="CW211" s="909">
        <v>3</v>
      </c>
      <c r="CX211" s="909">
        <v>1</v>
      </c>
      <c r="CY211" s="909">
        <v>3</v>
      </c>
      <c r="CZ211" s="909">
        <v>11.247813753446485</v>
      </c>
      <c r="DA211" s="910">
        <v>6080.8891684183309</v>
      </c>
      <c r="DB211" s="909">
        <v>0</v>
      </c>
      <c r="DC211" s="909">
        <v>0</v>
      </c>
      <c r="DD211" s="909">
        <v>0</v>
      </c>
      <c r="DE211" s="910">
        <v>3745.3219062436979</v>
      </c>
      <c r="DF211" s="871">
        <v>3745.3219062436979</v>
      </c>
      <c r="DG211" s="911">
        <v>100.99386716303039</v>
      </c>
      <c r="DH211" s="908">
        <v>6.6170203731506234</v>
      </c>
      <c r="DI211" s="902">
        <v>30.415233327985966</v>
      </c>
      <c r="DJ211" s="902">
        <v>0</v>
      </c>
      <c r="DK211" s="902">
        <v>0</v>
      </c>
      <c r="DL211" s="902">
        <v>14.614822288687407</v>
      </c>
      <c r="DM211" s="902">
        <v>0.94240923016524081</v>
      </c>
      <c r="DN211" s="902">
        <v>1800</v>
      </c>
      <c r="DO211" s="909" t="s">
        <v>2876</v>
      </c>
      <c r="DP211" s="909">
        <v>2</v>
      </c>
      <c r="DQ211" s="909">
        <v>0</v>
      </c>
      <c r="DR211" s="909">
        <v>0</v>
      </c>
      <c r="DS211" s="909">
        <v>0</v>
      </c>
      <c r="DT211" s="910">
        <v>2662.0800031798371</v>
      </c>
      <c r="DU211" s="909">
        <v>0</v>
      </c>
      <c r="DV211" s="909">
        <v>0</v>
      </c>
      <c r="DW211" s="909">
        <v>0</v>
      </c>
      <c r="DX211" s="910">
        <v>3034.2344501887555</v>
      </c>
      <c r="DY211" s="871">
        <v>2662.0800031798371</v>
      </c>
      <c r="DZ211" s="911">
        <v>71.783884255798441</v>
      </c>
      <c r="EA211" s="908">
        <v>6.6170203731506234</v>
      </c>
      <c r="EB211" s="902">
        <v>30.994069478847678</v>
      </c>
      <c r="EC211" s="902">
        <v>6.2239232375104987E-2</v>
      </c>
      <c r="ED211" s="902">
        <v>0.51659691848660649</v>
      </c>
      <c r="EE211" s="902">
        <v>15.621749906544744</v>
      </c>
      <c r="EF211" s="902">
        <v>0.97579120991224544</v>
      </c>
      <c r="EG211" s="902">
        <v>2250</v>
      </c>
      <c r="EH211" s="909" t="s">
        <v>2876</v>
      </c>
      <c r="EI211" s="909">
        <v>2</v>
      </c>
      <c r="EJ211" s="909">
        <v>1</v>
      </c>
      <c r="EK211" s="909">
        <v>2</v>
      </c>
      <c r="EL211" s="909">
        <v>11.247813753446485</v>
      </c>
      <c r="EM211" s="910">
        <v>6741.7473804964166</v>
      </c>
      <c r="EN211" s="909">
        <v>1</v>
      </c>
      <c r="EO211" s="909">
        <v>6</v>
      </c>
      <c r="EP211" s="909">
        <v>13.741586265540548</v>
      </c>
      <c r="EQ211" s="910">
        <v>6584.6998282673585</v>
      </c>
      <c r="ER211" s="871">
        <v>4000</v>
      </c>
      <c r="ES211" s="911">
        <v>107.86134777324956</v>
      </c>
      <c r="ET211" s="908">
        <v>6.6170203731506234</v>
      </c>
      <c r="EU211" s="902">
        <v>30.415233327985966</v>
      </c>
      <c r="EV211" s="902">
        <v>0</v>
      </c>
      <c r="EW211" s="902">
        <v>0</v>
      </c>
      <c r="EX211" s="902">
        <v>14.614822288687407</v>
      </c>
      <c r="EY211" s="902">
        <v>0.94240923016524081</v>
      </c>
      <c r="EZ211" s="902">
        <v>1800</v>
      </c>
      <c r="FA211" s="909" t="s">
        <v>3889</v>
      </c>
      <c r="FB211" s="909">
        <v>2</v>
      </c>
      <c r="FC211" s="909">
        <v>0</v>
      </c>
      <c r="FD211" s="909">
        <v>0</v>
      </c>
      <c r="FE211" s="909">
        <v>0</v>
      </c>
      <c r="FF211" s="910">
        <v>2794.1632455265831</v>
      </c>
      <c r="FG211" s="909">
        <v>0</v>
      </c>
      <c r="FH211" s="909">
        <v>0</v>
      </c>
      <c r="FI211" s="909">
        <v>0</v>
      </c>
      <c r="FJ211" s="910">
        <v>3184.7827146069585</v>
      </c>
      <c r="FK211" s="871">
        <v>2794.1632455265831</v>
      </c>
      <c r="FL211" s="911">
        <v>75.345553390243623</v>
      </c>
      <c r="FM211" s="908">
        <v>6.6170203731506234</v>
      </c>
      <c r="FN211" s="902">
        <v>30.477472560361072</v>
      </c>
      <c r="FO211" s="902">
        <v>6.2239232375104987E-2</v>
      </c>
      <c r="FP211" s="902">
        <v>0</v>
      </c>
      <c r="FQ211" s="902">
        <v>14.61528124472725</v>
      </c>
      <c r="FR211" s="902">
        <v>0.94331678741798308</v>
      </c>
      <c r="FS211" s="902">
        <v>2250</v>
      </c>
      <c r="FT211" s="909" t="s">
        <v>2877</v>
      </c>
      <c r="FU211" s="909">
        <v>2</v>
      </c>
      <c r="FV211" s="909">
        <v>1</v>
      </c>
      <c r="FW211" s="909">
        <v>2</v>
      </c>
      <c r="FX211" s="909">
        <v>11.247813753446485</v>
      </c>
      <c r="FY211" s="910">
        <v>8326.600418078875</v>
      </c>
      <c r="FZ211" s="909">
        <v>0</v>
      </c>
      <c r="GA211" s="909">
        <v>0</v>
      </c>
      <c r="GB211" s="909">
        <v>0</v>
      </c>
      <c r="GC211" s="910">
        <v>3747.5236634566018</v>
      </c>
      <c r="GD211" s="871">
        <v>3747.5236634566018</v>
      </c>
      <c r="GE211" s="911">
        <v>101.05323828814372</v>
      </c>
      <c r="GF211" s="908">
        <v>6.6170203731506234</v>
      </c>
      <c r="GG211" s="902">
        <v>30.415233327985966</v>
      </c>
      <c r="GH211" s="902">
        <v>0</v>
      </c>
      <c r="GI211" s="902">
        <v>0</v>
      </c>
      <c r="GJ211" s="902">
        <v>14.614822288687407</v>
      </c>
      <c r="GK211" s="902">
        <v>0.94240923016524081</v>
      </c>
      <c r="GL211" s="902">
        <v>1800</v>
      </c>
      <c r="GM211" s="909" t="s">
        <v>2877</v>
      </c>
      <c r="GN211" s="909">
        <v>2</v>
      </c>
      <c r="GO211" s="909">
        <v>0</v>
      </c>
      <c r="GP211" s="909">
        <v>0</v>
      </c>
      <c r="GQ211" s="909">
        <v>0</v>
      </c>
      <c r="GR211" s="910">
        <v>3287.8829799425866</v>
      </c>
      <c r="GS211" s="909">
        <v>0</v>
      </c>
      <c r="GT211" s="909">
        <v>0</v>
      </c>
      <c r="GU211" s="909">
        <v>0</v>
      </c>
      <c r="GV211" s="910">
        <v>3747.5236634566018</v>
      </c>
      <c r="GW211" s="871">
        <v>3287.8829799425866</v>
      </c>
      <c r="GX211" s="911">
        <v>88.658872384333876</v>
      </c>
      <c r="GY211" s="908">
        <v>6.6170203731506234</v>
      </c>
      <c r="GZ211" s="902">
        <v>30.477472560361072</v>
      </c>
      <c r="HA211" s="902">
        <v>6.2239232375104987E-2</v>
      </c>
      <c r="HB211" s="902">
        <v>0</v>
      </c>
      <c r="HC211" s="902">
        <v>14.61528124472725</v>
      </c>
      <c r="HD211" s="902">
        <v>0.94331678741798308</v>
      </c>
      <c r="HE211" s="902">
        <v>2250</v>
      </c>
      <c r="HF211" s="909" t="s">
        <v>2877</v>
      </c>
      <c r="HG211" s="909">
        <v>2</v>
      </c>
      <c r="HH211" s="909">
        <v>1</v>
      </c>
      <c r="HI211" s="909">
        <v>2</v>
      </c>
      <c r="HJ211" s="909">
        <v>11.247813753446485</v>
      </c>
      <c r="HK211" s="910">
        <v>8326.600418078875</v>
      </c>
      <c r="HL211" s="909">
        <v>0</v>
      </c>
      <c r="HM211" s="909">
        <v>0</v>
      </c>
      <c r="HN211" s="909">
        <v>0</v>
      </c>
      <c r="HO211" s="910">
        <v>3747.5236634566018</v>
      </c>
      <c r="HP211" s="871">
        <v>3747.5236634566018</v>
      </c>
      <c r="HQ211" s="911">
        <v>101.05323828814372</v>
      </c>
      <c r="HR211" s="908">
        <v>6.6170203731506234</v>
      </c>
      <c r="HS211" s="902">
        <v>30.415233327985966</v>
      </c>
      <c r="HT211" s="902">
        <v>0</v>
      </c>
      <c r="HU211" s="902">
        <v>0</v>
      </c>
      <c r="HV211" s="902">
        <v>14.614822288687407</v>
      </c>
      <c r="HW211" s="902">
        <v>0.94240923016524081</v>
      </c>
      <c r="HX211" s="902">
        <v>1800</v>
      </c>
      <c r="HY211" s="909" t="s">
        <v>1063</v>
      </c>
      <c r="HZ211" s="909">
        <v>2</v>
      </c>
      <c r="IA211" s="909">
        <v>0</v>
      </c>
      <c r="IB211" s="909">
        <v>0</v>
      </c>
      <c r="IC211" s="909">
        <v>0</v>
      </c>
      <c r="ID211" s="910">
        <v>2899.6402349406026</v>
      </c>
      <c r="IE211" s="909">
        <v>0</v>
      </c>
      <c r="IF211" s="909">
        <v>0</v>
      </c>
      <c r="IG211" s="909">
        <v>0</v>
      </c>
      <c r="IH211" s="910">
        <v>3305.0052152830926</v>
      </c>
      <c r="II211" s="871">
        <v>2899.6402349406026</v>
      </c>
      <c r="IJ211" s="911">
        <v>78.189775949558864</v>
      </c>
      <c r="IK211" s="908">
        <v>6.6170203731506234</v>
      </c>
      <c r="IL211" s="902">
        <v>30.415233327985966</v>
      </c>
      <c r="IM211" s="902">
        <v>0</v>
      </c>
      <c r="IN211" s="902">
        <v>0</v>
      </c>
      <c r="IO211" s="902">
        <v>14.614822288687407</v>
      </c>
      <c r="IP211" s="902">
        <v>0.94240923016524081</v>
      </c>
      <c r="IQ211" s="902">
        <v>2250</v>
      </c>
      <c r="IR211" s="909" t="s">
        <v>1063</v>
      </c>
      <c r="IS211" s="909">
        <v>2</v>
      </c>
      <c r="IT211" s="909">
        <v>0</v>
      </c>
      <c r="IU211" s="909">
        <v>0</v>
      </c>
      <c r="IV211" s="909">
        <v>0</v>
      </c>
      <c r="IW211" s="910">
        <v>2899.6402349406026</v>
      </c>
      <c r="IX211" s="909">
        <v>0</v>
      </c>
      <c r="IY211" s="909">
        <v>0</v>
      </c>
      <c r="IZ211" s="909">
        <v>0</v>
      </c>
      <c r="JA211" s="910">
        <v>3305.0052152830926</v>
      </c>
      <c r="JB211" s="871">
        <v>2899.6402349406026</v>
      </c>
      <c r="JC211" s="911">
        <v>78.189775949558864</v>
      </c>
      <c r="JD211" s="908">
        <v>6.6170203731506234</v>
      </c>
      <c r="JE211" s="902">
        <v>30.415233327985966</v>
      </c>
      <c r="JF211" s="902">
        <v>0</v>
      </c>
      <c r="JG211" s="902">
        <v>0</v>
      </c>
      <c r="JH211" s="902">
        <v>14.614822288687407</v>
      </c>
      <c r="JI211" s="902">
        <v>0.94240923016524081</v>
      </c>
      <c r="JJ211" s="902">
        <v>1800</v>
      </c>
      <c r="JK211" s="909" t="s">
        <v>1064</v>
      </c>
      <c r="JL211" s="909">
        <v>2</v>
      </c>
      <c r="JM211" s="909">
        <v>0</v>
      </c>
      <c r="JN211" s="909">
        <v>0</v>
      </c>
      <c r="JO211" s="909">
        <v>0</v>
      </c>
      <c r="JP211" s="910">
        <v>3951.5435573027785</v>
      </c>
      <c r="JQ211" s="909">
        <v>0</v>
      </c>
      <c r="JR211" s="909">
        <v>0</v>
      </c>
      <c r="JS211" s="909">
        <v>0</v>
      </c>
      <c r="JT211" s="910">
        <v>4503.9629082024776</v>
      </c>
      <c r="JU211" s="871">
        <v>3951.5435573027785</v>
      </c>
      <c r="JV211" s="911">
        <v>106.55470346884469</v>
      </c>
      <c r="JW211" s="908">
        <v>6.6170203731506234</v>
      </c>
      <c r="JX211" s="902">
        <v>30.415233327985966</v>
      </c>
      <c r="JY211" s="902">
        <v>0</v>
      </c>
      <c r="JZ211" s="902">
        <v>0</v>
      </c>
      <c r="KA211" s="902">
        <v>14.614822288687407</v>
      </c>
      <c r="KB211" s="902">
        <v>0.94240923016524081</v>
      </c>
      <c r="KC211" s="902">
        <v>2250</v>
      </c>
      <c r="KD211" s="909" t="s">
        <v>1064</v>
      </c>
      <c r="KE211" s="909">
        <v>2</v>
      </c>
      <c r="KF211" s="909">
        <v>0</v>
      </c>
      <c r="KG211" s="909">
        <v>0</v>
      </c>
      <c r="KH211" s="909">
        <v>0</v>
      </c>
      <c r="KI211" s="910">
        <v>3951.5435573027785</v>
      </c>
      <c r="KJ211" s="909">
        <v>0</v>
      </c>
      <c r="KK211" s="909">
        <v>0</v>
      </c>
      <c r="KL211" s="909">
        <v>0</v>
      </c>
      <c r="KM211" s="910">
        <v>4503.9629082024776</v>
      </c>
      <c r="KN211" s="871">
        <v>3951.5435573027785</v>
      </c>
      <c r="KO211" s="912">
        <v>106.55470346884469</v>
      </c>
    </row>
    <row r="212" spans="1:301" ht="15" customHeight="1">
      <c r="A212" s="924" t="s">
        <v>1644</v>
      </c>
      <c r="B212" s="888" t="s">
        <v>1074</v>
      </c>
      <c r="C212" s="888">
        <v>230</v>
      </c>
      <c r="D212" s="888">
        <v>565</v>
      </c>
      <c r="E212" s="888">
        <v>0</v>
      </c>
      <c r="F212" s="888">
        <v>212.51592415822185</v>
      </c>
      <c r="G212" s="888">
        <v>50.726365485241438</v>
      </c>
      <c r="H212" s="888">
        <v>34.284679362746786</v>
      </c>
      <c r="I212" s="888">
        <v>175</v>
      </c>
      <c r="J212" s="888">
        <v>47.51</v>
      </c>
      <c r="K212" s="888">
        <v>22.58</v>
      </c>
      <c r="L212" s="888">
        <v>16</v>
      </c>
      <c r="M212" s="888">
        <v>302.16795021896399</v>
      </c>
      <c r="N212" s="888">
        <v>5</v>
      </c>
      <c r="O212" s="884">
        <v>9.8407101018891048</v>
      </c>
      <c r="P212" s="888">
        <v>5</v>
      </c>
      <c r="Q212" s="884">
        <v>3.5982673244357608</v>
      </c>
      <c r="R212" s="888">
        <v>11</v>
      </c>
      <c r="S212" s="888">
        <v>450</v>
      </c>
      <c r="T212" s="906">
        <v>13.733374110397357</v>
      </c>
      <c r="U212" s="906">
        <v>67.5</v>
      </c>
      <c r="V212" s="906">
        <v>60</v>
      </c>
      <c r="W212" s="1141">
        <v>1.2640946624343021</v>
      </c>
      <c r="X212" s="902">
        <v>0</v>
      </c>
      <c r="Y212" s="902">
        <v>0</v>
      </c>
      <c r="Z212" s="902">
        <v>0</v>
      </c>
      <c r="AA212" s="902">
        <v>0</v>
      </c>
      <c r="AB212" s="970">
        <v>0.91812052644713227</v>
      </c>
      <c r="AC212" s="1045">
        <v>4000</v>
      </c>
      <c r="AD212" s="890"/>
      <c r="AE212" s="890"/>
      <c r="AF212" s="890"/>
      <c r="AG212" s="890"/>
      <c r="AH212" s="888"/>
      <c r="AI212" s="907">
        <v>1.93160575035914</v>
      </c>
      <c r="AJ212" s="908">
        <v>7.9428337954544537</v>
      </c>
      <c r="AK212" s="902">
        <v>36.379279994610975</v>
      </c>
      <c r="AL212" s="902">
        <v>0</v>
      </c>
      <c r="AM212" s="902">
        <v>0</v>
      </c>
      <c r="AN212" s="902">
        <v>16.382853409385103</v>
      </c>
      <c r="AO212" s="902">
        <v>1.3444302482007187</v>
      </c>
      <c r="AP212" s="1222">
        <v>1500</v>
      </c>
      <c r="AQ212" s="909" t="s">
        <v>1064</v>
      </c>
      <c r="AR212" s="909">
        <v>2</v>
      </c>
      <c r="AS212" s="909">
        <v>0</v>
      </c>
      <c r="AT212" s="909">
        <v>0</v>
      </c>
      <c r="AU212" s="909">
        <v>0</v>
      </c>
      <c r="AV212" s="910">
        <v>2688.8111469224691</v>
      </c>
      <c r="AW212" s="909">
        <v>0</v>
      </c>
      <c r="AX212" s="909">
        <v>0</v>
      </c>
      <c r="AY212" s="909">
        <v>0</v>
      </c>
      <c r="AZ212" s="910">
        <v>2040.1161890283711</v>
      </c>
      <c r="BA212" s="871">
        <v>2040.1161890283711</v>
      </c>
      <c r="BB212" s="911">
        <v>60.353432133924031</v>
      </c>
      <c r="BC212" s="908">
        <v>7.9428337954544537</v>
      </c>
      <c r="BD212" s="902">
        <v>36.379279994610975</v>
      </c>
      <c r="BE212" s="902">
        <v>0</v>
      </c>
      <c r="BF212" s="902">
        <v>0</v>
      </c>
      <c r="BG212" s="902">
        <v>16.382853409385103</v>
      </c>
      <c r="BH212" s="902">
        <v>1.3444302482007187</v>
      </c>
      <c r="BI212" s="902">
        <v>1875</v>
      </c>
      <c r="BJ212" s="909" t="s">
        <v>1064</v>
      </c>
      <c r="BK212" s="909">
        <v>2</v>
      </c>
      <c r="BL212" s="909">
        <v>0</v>
      </c>
      <c r="BM212" s="909">
        <v>0</v>
      </c>
      <c r="BN212" s="909">
        <v>0</v>
      </c>
      <c r="BO212" s="910">
        <v>2688.8111469224691</v>
      </c>
      <c r="BP212" s="909">
        <v>0</v>
      </c>
      <c r="BQ212" s="909">
        <v>0</v>
      </c>
      <c r="BR212" s="909">
        <v>0</v>
      </c>
      <c r="BS212" s="910">
        <v>2040.1161890283711</v>
      </c>
      <c r="BT212" s="871">
        <v>2040.1161890283711</v>
      </c>
      <c r="BU212" s="911">
        <v>60.353432133924031</v>
      </c>
      <c r="BV212" s="908">
        <v>11.91425069318168</v>
      </c>
      <c r="BW212" s="902">
        <v>40.977500466754464</v>
      </c>
      <c r="BX212" s="902">
        <v>0.20998324382935013</v>
      </c>
      <c r="BY212" s="902">
        <v>0.41682033058690832</v>
      </c>
      <c r="BZ212" s="902">
        <v>17.18375117483388</v>
      </c>
      <c r="CA212" s="902">
        <v>1.5645472477998541</v>
      </c>
      <c r="CB212" s="902">
        <v>1500</v>
      </c>
      <c r="CC212" s="909" t="s">
        <v>2874</v>
      </c>
      <c r="CD212" s="909">
        <v>3</v>
      </c>
      <c r="CE212" s="909">
        <v>1</v>
      </c>
      <c r="CF212" s="909">
        <v>4</v>
      </c>
      <c r="CG212" s="909">
        <v>19.321612099922941</v>
      </c>
      <c r="CH212" s="910">
        <v>5400.0055861021756</v>
      </c>
      <c r="CI212" s="909">
        <v>2</v>
      </c>
      <c r="CJ212" s="909">
        <v>3</v>
      </c>
      <c r="CK212" s="909">
        <v>10.061060491568705</v>
      </c>
      <c r="CL212" s="910">
        <v>3805.5327303702825</v>
      </c>
      <c r="CM212" s="871">
        <v>3805.5327303702825</v>
      </c>
      <c r="CN212" s="911">
        <v>112.5803337138439</v>
      </c>
      <c r="CO212" s="908">
        <v>11.91425069318168</v>
      </c>
      <c r="CP212" s="902">
        <v>40.977500466754464</v>
      </c>
      <c r="CQ212" s="902">
        <v>0.20998324382935013</v>
      </c>
      <c r="CR212" s="902">
        <v>0.41682033058690832</v>
      </c>
      <c r="CS212" s="902">
        <v>17.18375117483388</v>
      </c>
      <c r="CT212" s="902">
        <v>1.5645472477998541</v>
      </c>
      <c r="CU212" s="902">
        <v>1875</v>
      </c>
      <c r="CV212" s="909" t="s">
        <v>2874</v>
      </c>
      <c r="CW212" s="909">
        <v>3</v>
      </c>
      <c r="CX212" s="909">
        <v>1</v>
      </c>
      <c r="CY212" s="909">
        <v>4</v>
      </c>
      <c r="CZ212" s="909">
        <v>19.321612099922941</v>
      </c>
      <c r="DA212" s="910">
        <v>5400.0055861021756</v>
      </c>
      <c r="DB212" s="909">
        <v>2</v>
      </c>
      <c r="DC212" s="909">
        <v>3</v>
      </c>
      <c r="DD212" s="909">
        <v>10.061060491568705</v>
      </c>
      <c r="DE212" s="910">
        <v>3805.5327303702825</v>
      </c>
      <c r="DF212" s="871">
        <v>3805.5327303702825</v>
      </c>
      <c r="DG212" s="911">
        <v>112.5803337138439</v>
      </c>
      <c r="DH212" s="908">
        <v>7.9428337954544537</v>
      </c>
      <c r="DI212" s="902">
        <v>36.623211726721287</v>
      </c>
      <c r="DJ212" s="902">
        <v>0.10499162191467507</v>
      </c>
      <c r="DK212" s="902">
        <v>0.1389401101956361</v>
      </c>
      <c r="DL212" s="902">
        <v>16.654832938486575</v>
      </c>
      <c r="DM212" s="902">
        <v>1.3567720690334875</v>
      </c>
      <c r="DN212" s="902">
        <v>1500</v>
      </c>
      <c r="DO212" s="909" t="s">
        <v>2876</v>
      </c>
      <c r="DP212" s="909">
        <v>2</v>
      </c>
      <c r="DQ212" s="909">
        <v>1</v>
      </c>
      <c r="DR212" s="909">
        <v>2</v>
      </c>
      <c r="DS212" s="909">
        <v>19.321612099922941</v>
      </c>
      <c r="DT212" s="910">
        <v>5556.2290937464895</v>
      </c>
      <c r="DU212" s="909">
        <v>1</v>
      </c>
      <c r="DV212" s="909">
        <v>2</v>
      </c>
      <c r="DW212" s="909">
        <v>10.061060491568705</v>
      </c>
      <c r="DX212" s="910">
        <v>3859.3131561170981</v>
      </c>
      <c r="DY212" s="871">
        <v>3859.3131561170981</v>
      </c>
      <c r="DZ212" s="911">
        <v>114.17133784042251</v>
      </c>
      <c r="EA212" s="908">
        <v>7.9428337954544537</v>
      </c>
      <c r="EB212" s="902">
        <v>36.623211726721287</v>
      </c>
      <c r="EC212" s="902">
        <v>0.10499162191467507</v>
      </c>
      <c r="ED212" s="902">
        <v>0.1389401101956361</v>
      </c>
      <c r="EE212" s="902">
        <v>16.654832938486575</v>
      </c>
      <c r="EF212" s="902">
        <v>1.3567720690334875</v>
      </c>
      <c r="EG212" s="902">
        <v>1875</v>
      </c>
      <c r="EH212" s="909" t="s">
        <v>2876</v>
      </c>
      <c r="EI212" s="909">
        <v>2</v>
      </c>
      <c r="EJ212" s="909">
        <v>1</v>
      </c>
      <c r="EK212" s="909">
        <v>2</v>
      </c>
      <c r="EL212" s="909">
        <v>19.321612099922941</v>
      </c>
      <c r="EM212" s="910">
        <v>5556.2290937464895</v>
      </c>
      <c r="EN212" s="909">
        <v>1</v>
      </c>
      <c r="EO212" s="909">
        <v>2</v>
      </c>
      <c r="EP212" s="909">
        <v>10.061060491568705</v>
      </c>
      <c r="EQ212" s="910">
        <v>3859.3131561170981</v>
      </c>
      <c r="ER212" s="871">
        <v>3859.3131561170981</v>
      </c>
      <c r="ES212" s="911">
        <v>114.17133784042251</v>
      </c>
      <c r="ET212" s="908">
        <v>7.9428337954544537</v>
      </c>
      <c r="EU212" s="902">
        <v>36.518220104806609</v>
      </c>
      <c r="EV212" s="902">
        <v>0</v>
      </c>
      <c r="EW212" s="902">
        <v>0.1389401101956361</v>
      </c>
      <c r="EX212" s="902">
        <v>16.653431333384159</v>
      </c>
      <c r="EY212" s="902">
        <v>1.3551306670009733</v>
      </c>
      <c r="EZ212" s="902">
        <v>1500</v>
      </c>
      <c r="FA212" s="909" t="s">
        <v>3889</v>
      </c>
      <c r="FB212" s="909">
        <v>2</v>
      </c>
      <c r="FC212" s="909">
        <v>0</v>
      </c>
      <c r="FD212" s="909">
        <v>0</v>
      </c>
      <c r="FE212" s="909">
        <v>0</v>
      </c>
      <c r="FF212" s="910">
        <v>1901.2765953188564</v>
      </c>
      <c r="FG212" s="909">
        <v>1</v>
      </c>
      <c r="FH212" s="909">
        <v>2</v>
      </c>
      <c r="FI212" s="909">
        <v>10.061060491568705</v>
      </c>
      <c r="FJ212" s="910">
        <v>4050.798984598026</v>
      </c>
      <c r="FK212" s="871">
        <v>1901.2765953188564</v>
      </c>
      <c r="FL212" s="911">
        <v>56.246094502120037</v>
      </c>
      <c r="FM212" s="908">
        <v>7.9428337954544537</v>
      </c>
      <c r="FN212" s="902">
        <v>36.623211726721287</v>
      </c>
      <c r="FO212" s="902">
        <v>0.10499162191467507</v>
      </c>
      <c r="FP212" s="902">
        <v>0.1389401101956361</v>
      </c>
      <c r="FQ212" s="902">
        <v>16.654832938486575</v>
      </c>
      <c r="FR212" s="902">
        <v>1.3567720690334875</v>
      </c>
      <c r="FS212" s="902">
        <v>1875</v>
      </c>
      <c r="FT212" s="909" t="s">
        <v>2877</v>
      </c>
      <c r="FU212" s="909">
        <v>2</v>
      </c>
      <c r="FV212" s="909">
        <v>1</v>
      </c>
      <c r="FW212" s="909">
        <v>2</v>
      </c>
      <c r="FX212" s="909">
        <v>19.321612099922941</v>
      </c>
      <c r="FY212" s="910">
        <v>6862.3899537933912</v>
      </c>
      <c r="FZ212" s="909">
        <v>1</v>
      </c>
      <c r="GA212" s="909">
        <v>2</v>
      </c>
      <c r="GB212" s="909">
        <v>10.061060491568705</v>
      </c>
      <c r="GC212" s="910">
        <v>4766.5622464862699</v>
      </c>
      <c r="GD212" s="871">
        <v>4000</v>
      </c>
      <c r="GE212" s="911">
        <v>118.33332328521554</v>
      </c>
      <c r="GF212" s="908">
        <v>7.9428337954544537</v>
      </c>
      <c r="GG212" s="902">
        <v>36.518220104806609</v>
      </c>
      <c r="GH212" s="902">
        <v>0</v>
      </c>
      <c r="GI212" s="902">
        <v>0.1389401101956361</v>
      </c>
      <c r="GJ212" s="902">
        <v>16.653431333384159</v>
      </c>
      <c r="GK212" s="902">
        <v>1.3551306670009733</v>
      </c>
      <c r="GL212" s="902">
        <v>1500</v>
      </c>
      <c r="GM212" s="909" t="s">
        <v>2877</v>
      </c>
      <c r="GN212" s="909">
        <v>2</v>
      </c>
      <c r="GO212" s="909">
        <v>0</v>
      </c>
      <c r="GP212" s="909">
        <v>0</v>
      </c>
      <c r="GQ212" s="909">
        <v>0</v>
      </c>
      <c r="GR212" s="910">
        <v>2237.2261062157158</v>
      </c>
      <c r="GS212" s="909">
        <v>1</v>
      </c>
      <c r="GT212" s="909">
        <v>2</v>
      </c>
      <c r="GU212" s="909">
        <v>10.061060491568705</v>
      </c>
      <c r="GV212" s="910">
        <v>4766.5622464862699</v>
      </c>
      <c r="GW212" s="871">
        <v>2237.2261062157158</v>
      </c>
      <c r="GX212" s="911">
        <v>66.184600022237063</v>
      </c>
      <c r="GY212" s="908">
        <v>7.9428337954544537</v>
      </c>
      <c r="GZ212" s="902">
        <v>36.623211726721287</v>
      </c>
      <c r="HA212" s="902">
        <v>0.10499162191467507</v>
      </c>
      <c r="HB212" s="902">
        <v>0.1389401101956361</v>
      </c>
      <c r="HC212" s="902">
        <v>16.654832938486575</v>
      </c>
      <c r="HD212" s="902">
        <v>1.3567720690334875</v>
      </c>
      <c r="HE212" s="902">
        <v>1875</v>
      </c>
      <c r="HF212" s="909" t="s">
        <v>2877</v>
      </c>
      <c r="HG212" s="909">
        <v>2</v>
      </c>
      <c r="HH212" s="909">
        <v>1</v>
      </c>
      <c r="HI212" s="909">
        <v>2</v>
      </c>
      <c r="HJ212" s="909">
        <v>19.321612099922941</v>
      </c>
      <c r="HK212" s="910">
        <v>6862.3899537933912</v>
      </c>
      <c r="HL212" s="909">
        <v>1</v>
      </c>
      <c r="HM212" s="909">
        <v>2</v>
      </c>
      <c r="HN212" s="909">
        <v>10.061060491568705</v>
      </c>
      <c r="HO212" s="910">
        <v>4766.5622464862699</v>
      </c>
      <c r="HP212" s="871">
        <v>4000</v>
      </c>
      <c r="HQ212" s="911">
        <v>118.33332328521554</v>
      </c>
      <c r="HR212" s="908">
        <v>11.91425069318168</v>
      </c>
      <c r="HS212" s="902">
        <v>40.350696892338206</v>
      </c>
      <c r="HT212" s="902">
        <v>0</v>
      </c>
      <c r="HU212" s="902">
        <v>0</v>
      </c>
      <c r="HV212" s="902">
        <v>16.457603955136861</v>
      </c>
      <c r="HW212" s="902">
        <v>1.5291631873340616</v>
      </c>
      <c r="HX212" s="902">
        <v>1500</v>
      </c>
      <c r="HY212" s="909" t="s">
        <v>1063</v>
      </c>
      <c r="HZ212" s="909">
        <v>3</v>
      </c>
      <c r="IA212" s="909">
        <v>0</v>
      </c>
      <c r="IB212" s="909">
        <v>0</v>
      </c>
      <c r="IC212" s="909">
        <v>0</v>
      </c>
      <c r="ID212" s="910">
        <v>2610.5338453052941</v>
      </c>
      <c r="IE212" s="909">
        <v>0</v>
      </c>
      <c r="IF212" s="909">
        <v>0</v>
      </c>
      <c r="IG212" s="909">
        <v>0</v>
      </c>
      <c r="IH212" s="910">
        <v>1980.7238473812311</v>
      </c>
      <c r="II212" s="871">
        <v>1980.7238473812311</v>
      </c>
      <c r="IJ212" s="911">
        <v>58.596408842724784</v>
      </c>
      <c r="IK212" s="908">
        <v>11.91425069318168</v>
      </c>
      <c r="IL212" s="902">
        <v>40.350696892338206</v>
      </c>
      <c r="IM212" s="902">
        <v>0</v>
      </c>
      <c r="IN212" s="902">
        <v>0</v>
      </c>
      <c r="IO212" s="902">
        <v>16.457603955136861</v>
      </c>
      <c r="IP212" s="902">
        <v>1.5291631873340616</v>
      </c>
      <c r="IQ212" s="902">
        <v>1875</v>
      </c>
      <c r="IR212" s="909" t="s">
        <v>1063</v>
      </c>
      <c r="IS212" s="909">
        <v>3</v>
      </c>
      <c r="IT212" s="909">
        <v>0</v>
      </c>
      <c r="IU212" s="909">
        <v>0</v>
      </c>
      <c r="IV212" s="909">
        <v>0</v>
      </c>
      <c r="IW212" s="910">
        <v>2610.5338453052941</v>
      </c>
      <c r="IX212" s="909">
        <v>0</v>
      </c>
      <c r="IY212" s="909">
        <v>0</v>
      </c>
      <c r="IZ212" s="909">
        <v>0</v>
      </c>
      <c r="JA212" s="910">
        <v>1980.7238473812311</v>
      </c>
      <c r="JB212" s="871">
        <v>1980.7238473812311</v>
      </c>
      <c r="JC212" s="911">
        <v>58.596408842724784</v>
      </c>
      <c r="JD212" s="908">
        <v>7.9428337954544537</v>
      </c>
      <c r="JE212" s="902">
        <v>36.379279994610975</v>
      </c>
      <c r="JF212" s="902">
        <v>0</v>
      </c>
      <c r="JG212" s="902">
        <v>0</v>
      </c>
      <c r="JH212" s="902">
        <v>16.382853409385103</v>
      </c>
      <c r="JI212" s="902">
        <v>1.3444302482007187</v>
      </c>
      <c r="JJ212" s="902">
        <v>1500</v>
      </c>
      <c r="JK212" s="909" t="s">
        <v>1064</v>
      </c>
      <c r="JL212" s="909">
        <v>2</v>
      </c>
      <c r="JM212" s="909">
        <v>0</v>
      </c>
      <c r="JN212" s="909">
        <v>0</v>
      </c>
      <c r="JO212" s="909">
        <v>0</v>
      </c>
      <c r="JP212" s="910">
        <v>2688.8111469224691</v>
      </c>
      <c r="JQ212" s="909">
        <v>0</v>
      </c>
      <c r="JR212" s="909">
        <v>0</v>
      </c>
      <c r="JS212" s="909">
        <v>0</v>
      </c>
      <c r="JT212" s="910">
        <v>2040.1161890283711</v>
      </c>
      <c r="JU212" s="871">
        <v>2040.1161890283711</v>
      </c>
      <c r="JV212" s="911">
        <v>60.353432133924031</v>
      </c>
      <c r="JW212" s="908">
        <v>7.9428337954544537</v>
      </c>
      <c r="JX212" s="902">
        <v>36.379279994610975</v>
      </c>
      <c r="JY212" s="902">
        <v>0</v>
      </c>
      <c r="JZ212" s="902">
        <v>0</v>
      </c>
      <c r="KA212" s="902">
        <v>16.382853409385103</v>
      </c>
      <c r="KB212" s="902">
        <v>1.3444302482007187</v>
      </c>
      <c r="KC212" s="902">
        <v>1875</v>
      </c>
      <c r="KD212" s="909" t="s">
        <v>1064</v>
      </c>
      <c r="KE212" s="909">
        <v>2</v>
      </c>
      <c r="KF212" s="909">
        <v>0</v>
      </c>
      <c r="KG212" s="909">
        <v>0</v>
      </c>
      <c r="KH212" s="909">
        <v>0</v>
      </c>
      <c r="KI212" s="910">
        <v>2688.8111469224691</v>
      </c>
      <c r="KJ212" s="909">
        <v>0</v>
      </c>
      <c r="KK212" s="909">
        <v>0</v>
      </c>
      <c r="KL212" s="909">
        <v>0</v>
      </c>
      <c r="KM212" s="910">
        <v>2040.1161890283711</v>
      </c>
      <c r="KN212" s="871">
        <v>2040.1161890283711</v>
      </c>
      <c r="KO212" s="912">
        <v>60.353432133924031</v>
      </c>
    </row>
    <row r="213" spans="1:301" ht="15" customHeight="1">
      <c r="A213" s="924" t="s">
        <v>1645</v>
      </c>
      <c r="B213" s="888" t="s">
        <v>1077</v>
      </c>
      <c r="C213" s="888">
        <v>290</v>
      </c>
      <c r="D213" s="888">
        <v>615</v>
      </c>
      <c r="E213" s="888">
        <v>0</v>
      </c>
      <c r="F213" s="888">
        <v>272.37862505453455</v>
      </c>
      <c r="G213" s="888">
        <v>55.792810381633799</v>
      </c>
      <c r="H213" s="888">
        <v>35.399539369368505</v>
      </c>
      <c r="I213" s="888">
        <v>200</v>
      </c>
      <c r="J213" s="888">
        <v>45.02</v>
      </c>
      <c r="K213" s="888">
        <v>36.520000000000003</v>
      </c>
      <c r="L213" s="888">
        <v>24</v>
      </c>
      <c r="M213" s="888">
        <v>258.46259379910862</v>
      </c>
      <c r="N213" s="888">
        <v>5</v>
      </c>
      <c r="O213" s="884">
        <v>11.659495898776747</v>
      </c>
      <c r="P213" s="888">
        <v>5</v>
      </c>
      <c r="Q213" s="884">
        <v>5.4170531213234021</v>
      </c>
      <c r="R213" s="888">
        <v>11</v>
      </c>
      <c r="S213" s="888">
        <v>450</v>
      </c>
      <c r="T213" s="906">
        <v>13.733374110397357</v>
      </c>
      <c r="U213" s="906">
        <v>67.5</v>
      </c>
      <c r="V213" s="906">
        <v>72.5</v>
      </c>
      <c r="W213" s="1141">
        <v>1.5274477171081151</v>
      </c>
      <c r="X213" s="902">
        <v>0</v>
      </c>
      <c r="Y213" s="902">
        <v>0</v>
      </c>
      <c r="Z213" s="902">
        <v>0</v>
      </c>
      <c r="AA213" s="902">
        <v>0</v>
      </c>
      <c r="AB213" s="970">
        <v>1.1708769658885505</v>
      </c>
      <c r="AC213" s="1045">
        <v>4000</v>
      </c>
      <c r="AD213" s="890"/>
      <c r="AE213" s="890"/>
      <c r="AF213" s="890"/>
      <c r="AG213" s="890"/>
      <c r="AH213" s="888"/>
      <c r="AI213" s="907">
        <v>2.5163323229090859</v>
      </c>
      <c r="AJ213" s="908">
        <v>11.462628188820016</v>
      </c>
      <c r="AK213" s="902">
        <v>43.799999036425632</v>
      </c>
      <c r="AL213" s="902">
        <v>0</v>
      </c>
      <c r="AM213" s="902">
        <v>0</v>
      </c>
      <c r="AN213" s="902">
        <v>17.353261413147095</v>
      </c>
      <c r="AO213" s="902">
        <v>1.9545248556183807</v>
      </c>
      <c r="AP213" s="1222">
        <v>1500</v>
      </c>
      <c r="AQ213" s="909" t="s">
        <v>1064</v>
      </c>
      <c r="AR213" s="909">
        <v>2</v>
      </c>
      <c r="AS213" s="909">
        <v>0</v>
      </c>
      <c r="AT213" s="909">
        <v>0</v>
      </c>
      <c r="AU213" s="909">
        <v>0</v>
      </c>
      <c r="AV213" s="910">
        <v>2237.4366641367997</v>
      </c>
      <c r="AW213" s="909">
        <v>0</v>
      </c>
      <c r="AX213" s="909">
        <v>0</v>
      </c>
      <c r="AY213" s="909">
        <v>0</v>
      </c>
      <c r="AZ213" s="910">
        <v>1822.6303007645636</v>
      </c>
      <c r="BA213" s="871">
        <v>1822.6303007645636</v>
      </c>
      <c r="BB213" s="911">
        <v>58.691110121694109</v>
      </c>
      <c r="BC213" s="908">
        <v>17.193942283230022</v>
      </c>
      <c r="BD213" s="902">
        <v>49.531313130835642</v>
      </c>
      <c r="BE213" s="902">
        <v>0</v>
      </c>
      <c r="BF213" s="902">
        <v>0</v>
      </c>
      <c r="BG213" s="902">
        <v>17.393356206015692</v>
      </c>
      <c r="BH213" s="902">
        <v>2.2857410792056441</v>
      </c>
      <c r="BI213" s="902">
        <v>1875</v>
      </c>
      <c r="BJ213" s="909" t="s">
        <v>1064</v>
      </c>
      <c r="BK213" s="909">
        <v>3</v>
      </c>
      <c r="BL213" s="909">
        <v>0</v>
      </c>
      <c r="BM213" s="909">
        <v>0</v>
      </c>
      <c r="BN213" s="909">
        <v>0</v>
      </c>
      <c r="BO213" s="910">
        <v>2927.5187640761415</v>
      </c>
      <c r="BP213" s="909">
        <v>0</v>
      </c>
      <c r="BQ213" s="909">
        <v>0</v>
      </c>
      <c r="BR213" s="909">
        <v>0</v>
      </c>
      <c r="BS213" s="910">
        <v>2384.7756188980397</v>
      </c>
      <c r="BT213" s="871">
        <v>2384.7756188980397</v>
      </c>
      <c r="BU213" s="911">
        <v>76.792934039098867</v>
      </c>
      <c r="BV213" s="908">
        <v>17.193942283230022</v>
      </c>
      <c r="BW213" s="902">
        <v>50.585252554524551</v>
      </c>
      <c r="BX213" s="902">
        <v>0.28216157767684896</v>
      </c>
      <c r="BY213" s="902">
        <v>0.77177784601205912</v>
      </c>
      <c r="BZ213" s="902">
        <v>18.655392718640734</v>
      </c>
      <c r="CA213" s="902">
        <v>2.36157715568423</v>
      </c>
      <c r="CB213" s="902">
        <v>1500</v>
      </c>
      <c r="CC213" s="909" t="s">
        <v>2874</v>
      </c>
      <c r="CD213" s="909">
        <v>3</v>
      </c>
      <c r="CE213" s="909">
        <v>1</v>
      </c>
      <c r="CF213" s="909">
        <v>4</v>
      </c>
      <c r="CG213" s="909">
        <v>20.447367482052137</v>
      </c>
      <c r="CH213" s="910">
        <v>5006.2671063509233</v>
      </c>
      <c r="CI213" s="909">
        <v>2</v>
      </c>
      <c r="CJ213" s="909">
        <v>3</v>
      </c>
      <c r="CK213" s="909">
        <v>17.202566693647565</v>
      </c>
      <c r="CL213" s="910">
        <v>3881.8169072179235</v>
      </c>
      <c r="CM213" s="871">
        <v>3881.8169072179235</v>
      </c>
      <c r="CN213" s="911">
        <v>124.99964665253893</v>
      </c>
      <c r="CO213" s="908">
        <v>17.193942283230022</v>
      </c>
      <c r="CP213" s="902">
        <v>50.585252554524551</v>
      </c>
      <c r="CQ213" s="902">
        <v>0.28216157767684896</v>
      </c>
      <c r="CR213" s="902">
        <v>0.77177784601205912</v>
      </c>
      <c r="CS213" s="902">
        <v>18.655392718640734</v>
      </c>
      <c r="CT213" s="902">
        <v>2.36157715568423</v>
      </c>
      <c r="CU213" s="902">
        <v>1875</v>
      </c>
      <c r="CV213" s="909" t="s">
        <v>2874</v>
      </c>
      <c r="CW213" s="909">
        <v>3</v>
      </c>
      <c r="CX213" s="909">
        <v>1</v>
      </c>
      <c r="CY213" s="909">
        <v>4</v>
      </c>
      <c r="CZ213" s="909">
        <v>20.447367482052137</v>
      </c>
      <c r="DA213" s="910">
        <v>5006.2671063509233</v>
      </c>
      <c r="DB213" s="909">
        <v>2</v>
      </c>
      <c r="DC213" s="909">
        <v>3</v>
      </c>
      <c r="DD213" s="909">
        <v>17.202566693647565</v>
      </c>
      <c r="DE213" s="910">
        <v>3881.8169072179235</v>
      </c>
      <c r="DF213" s="871">
        <v>3881.8169072179235</v>
      </c>
      <c r="DG213" s="911">
        <v>124.99964665253893</v>
      </c>
      <c r="DH213" s="908">
        <v>11.462628188820016</v>
      </c>
      <c r="DI213" s="902">
        <v>44.455598389272097</v>
      </c>
      <c r="DJ213" s="902">
        <v>0.14108078883842448</v>
      </c>
      <c r="DK213" s="902">
        <v>0.51451856400803941</v>
      </c>
      <c r="DL213" s="902">
        <v>18.31089483751725</v>
      </c>
      <c r="DM213" s="902">
        <v>2.0039442392319495</v>
      </c>
      <c r="DN213" s="902">
        <v>1500</v>
      </c>
      <c r="DO213" s="909" t="s">
        <v>2876</v>
      </c>
      <c r="DP213" s="909">
        <v>2</v>
      </c>
      <c r="DQ213" s="909">
        <v>1</v>
      </c>
      <c r="DR213" s="909">
        <v>2</v>
      </c>
      <c r="DS213" s="909">
        <v>20.447367482052137</v>
      </c>
      <c r="DT213" s="910">
        <v>5126.7839498660287</v>
      </c>
      <c r="DU213" s="909">
        <v>2</v>
      </c>
      <c r="DV213" s="909">
        <v>2</v>
      </c>
      <c r="DW213" s="909">
        <v>17.202566693647565</v>
      </c>
      <c r="DX213" s="910">
        <v>4303.6845831232522</v>
      </c>
      <c r="DY213" s="871">
        <v>4000</v>
      </c>
      <c r="DZ213" s="911">
        <v>128.80529879718151</v>
      </c>
      <c r="EA213" s="908">
        <v>11.462628188820016</v>
      </c>
      <c r="EB213" s="902">
        <v>44.455598389272097</v>
      </c>
      <c r="EC213" s="902">
        <v>0.14108078883842448</v>
      </c>
      <c r="ED213" s="902">
        <v>0.51451856400803941</v>
      </c>
      <c r="EE213" s="902">
        <v>18.31089483751725</v>
      </c>
      <c r="EF213" s="902">
        <v>2.0039442392319495</v>
      </c>
      <c r="EG213" s="902">
        <v>1875</v>
      </c>
      <c r="EH213" s="909" t="s">
        <v>2876</v>
      </c>
      <c r="EI213" s="909">
        <v>2</v>
      </c>
      <c r="EJ213" s="909">
        <v>1</v>
      </c>
      <c r="EK213" s="909">
        <v>2</v>
      </c>
      <c r="EL213" s="909">
        <v>20.447367482052137</v>
      </c>
      <c r="EM213" s="910">
        <v>5126.7839498660287</v>
      </c>
      <c r="EN213" s="909">
        <v>2</v>
      </c>
      <c r="EO213" s="909">
        <v>2</v>
      </c>
      <c r="EP213" s="909">
        <v>17.202566693647565</v>
      </c>
      <c r="EQ213" s="910">
        <v>4303.6845831232522</v>
      </c>
      <c r="ER213" s="871">
        <v>4000</v>
      </c>
      <c r="ES213" s="911">
        <v>128.80529879718151</v>
      </c>
      <c r="ET213" s="908">
        <v>11.462628188820016</v>
      </c>
      <c r="EU213" s="902">
        <v>44.057258318429653</v>
      </c>
      <c r="EV213" s="902">
        <v>0</v>
      </c>
      <c r="EW213" s="902">
        <v>0.25725928200401971</v>
      </c>
      <c r="EX213" s="902">
        <v>17.835852510286106</v>
      </c>
      <c r="EY213" s="902">
        <v>1.977527546366932</v>
      </c>
      <c r="EZ213" s="902">
        <v>1500</v>
      </c>
      <c r="FA213" s="909" t="s">
        <v>2877</v>
      </c>
      <c r="FB213" s="909">
        <v>2</v>
      </c>
      <c r="FC213" s="909">
        <v>0</v>
      </c>
      <c r="FD213" s="909">
        <v>0</v>
      </c>
      <c r="FE213" s="909">
        <v>0</v>
      </c>
      <c r="FF213" s="910">
        <v>1861.6598349573073</v>
      </c>
      <c r="FG213" s="909">
        <v>1</v>
      </c>
      <c r="FH213" s="909">
        <v>2</v>
      </c>
      <c r="FI213" s="909">
        <v>17.202566693647565</v>
      </c>
      <c r="FJ213" s="910">
        <v>4928.8983327344667</v>
      </c>
      <c r="FK213" s="871">
        <v>1861.6598349573073</v>
      </c>
      <c r="FL213" s="911">
        <v>59.9479128250969</v>
      </c>
      <c r="FM213" s="908">
        <v>11.462628188820016</v>
      </c>
      <c r="FN213" s="902">
        <v>44.455598389272097</v>
      </c>
      <c r="FO213" s="902">
        <v>0.14108078883842448</v>
      </c>
      <c r="FP213" s="902">
        <v>0.51451856400803941</v>
      </c>
      <c r="FQ213" s="902">
        <v>18.31089483751725</v>
      </c>
      <c r="FR213" s="902">
        <v>2.0039442392319495</v>
      </c>
      <c r="FS213" s="902">
        <v>1875</v>
      </c>
      <c r="FT213" s="909" t="s">
        <v>3889</v>
      </c>
      <c r="FU213" s="909">
        <v>2</v>
      </c>
      <c r="FV213" s="909">
        <v>1</v>
      </c>
      <c r="FW213" s="909">
        <v>2</v>
      </c>
      <c r="FX213" s="909">
        <v>20.447367482052137</v>
      </c>
      <c r="FY213" s="910">
        <v>5381.1573143406877</v>
      </c>
      <c r="FZ213" s="909">
        <v>2</v>
      </c>
      <c r="GA213" s="909">
        <v>2</v>
      </c>
      <c r="GB213" s="909">
        <v>17.202566693647565</v>
      </c>
      <c r="GC213" s="910">
        <v>4517.2185915293194</v>
      </c>
      <c r="GD213" s="871">
        <v>4000</v>
      </c>
      <c r="GE213" s="911">
        <v>128.80529879718151</v>
      </c>
      <c r="GF213" s="908">
        <v>11.462628188820016</v>
      </c>
      <c r="GG213" s="902">
        <v>44.057258318429653</v>
      </c>
      <c r="GH213" s="902">
        <v>0</v>
      </c>
      <c r="GI213" s="902">
        <v>0.25725928200401971</v>
      </c>
      <c r="GJ213" s="902">
        <v>17.835852510286106</v>
      </c>
      <c r="GK213" s="902">
        <v>1.977527546366932</v>
      </c>
      <c r="GL213" s="902">
        <v>1500</v>
      </c>
      <c r="GM213" s="909" t="s">
        <v>2877</v>
      </c>
      <c r="GN213" s="909">
        <v>2</v>
      </c>
      <c r="GO213" s="909">
        <v>0</v>
      </c>
      <c r="GP213" s="909">
        <v>0</v>
      </c>
      <c r="GQ213" s="909">
        <v>0</v>
      </c>
      <c r="GR213" s="910">
        <v>1861.6598349573073</v>
      </c>
      <c r="GS213" s="909">
        <v>1</v>
      </c>
      <c r="GT213" s="909">
        <v>2</v>
      </c>
      <c r="GU213" s="909">
        <v>17.202566693647565</v>
      </c>
      <c r="GV213" s="910">
        <v>4928.8983327344667</v>
      </c>
      <c r="GW213" s="871">
        <v>1861.6598349573073</v>
      </c>
      <c r="GX213" s="911">
        <v>59.9479128250969</v>
      </c>
      <c r="GY213" s="908">
        <v>11.462628188820016</v>
      </c>
      <c r="GZ213" s="902">
        <v>44.455598389272097</v>
      </c>
      <c r="HA213" s="902">
        <v>0.14108078883842448</v>
      </c>
      <c r="HB213" s="902">
        <v>0.51451856400803941</v>
      </c>
      <c r="HC213" s="902">
        <v>18.31089483751725</v>
      </c>
      <c r="HD213" s="902">
        <v>2.0039442392319495</v>
      </c>
      <c r="HE213" s="902">
        <v>1875</v>
      </c>
      <c r="HF213" s="909" t="s">
        <v>2877</v>
      </c>
      <c r="HG213" s="909">
        <v>2</v>
      </c>
      <c r="HH213" s="909">
        <v>1</v>
      </c>
      <c r="HI213" s="909">
        <v>2</v>
      </c>
      <c r="HJ213" s="909">
        <v>20.447367482052137</v>
      </c>
      <c r="HK213" s="910">
        <v>6331.9906503543934</v>
      </c>
      <c r="HL213" s="909">
        <v>2</v>
      </c>
      <c r="HM213" s="909">
        <v>2</v>
      </c>
      <c r="HN213" s="909">
        <v>17.202566693647565</v>
      </c>
      <c r="HO213" s="910">
        <v>5315.3967104704871</v>
      </c>
      <c r="HP213" s="871">
        <v>4000</v>
      </c>
      <c r="HQ213" s="911">
        <v>128.80529879718151</v>
      </c>
      <c r="HR213" s="908">
        <v>17.193942283230022</v>
      </c>
      <c r="HS213" s="902">
        <v>49.531313130835642</v>
      </c>
      <c r="HT213" s="902">
        <v>0</v>
      </c>
      <c r="HU213" s="902">
        <v>0</v>
      </c>
      <c r="HV213" s="902">
        <v>17.393356206015692</v>
      </c>
      <c r="HW213" s="902">
        <v>2.2857410792056441</v>
      </c>
      <c r="HX213" s="902">
        <v>1500</v>
      </c>
      <c r="HY213" s="909" t="s">
        <v>1063</v>
      </c>
      <c r="HZ213" s="909">
        <v>3</v>
      </c>
      <c r="IA213" s="909">
        <v>0</v>
      </c>
      <c r="IB213" s="909">
        <v>0</v>
      </c>
      <c r="IC213" s="909">
        <v>0</v>
      </c>
      <c r="ID213" s="910">
        <v>2148.2114707199371</v>
      </c>
      <c r="IE213" s="909">
        <v>0</v>
      </c>
      <c r="IF213" s="909">
        <v>0</v>
      </c>
      <c r="IG213" s="909">
        <v>0</v>
      </c>
      <c r="IH213" s="910">
        <v>1749.9468841924604</v>
      </c>
      <c r="II213" s="871">
        <v>1749.9468841924604</v>
      </c>
      <c r="IJ213" s="911">
        <v>56.350607824401663</v>
      </c>
      <c r="IK213" s="908">
        <v>22.925256377640032</v>
      </c>
      <c r="IL213" s="902">
        <v>55.262627225245652</v>
      </c>
      <c r="IM213" s="902">
        <v>0</v>
      </c>
      <c r="IN213" s="902">
        <v>0</v>
      </c>
      <c r="IO213" s="902">
        <v>17.425134497732667</v>
      </c>
      <c r="IP213" s="902">
        <v>2.6169573027929074</v>
      </c>
      <c r="IQ213" s="902">
        <v>1875</v>
      </c>
      <c r="IR213" s="909" t="s">
        <v>1063</v>
      </c>
      <c r="IS213" s="909">
        <v>4</v>
      </c>
      <c r="IT213" s="909">
        <v>0</v>
      </c>
      <c r="IU213" s="909">
        <v>0</v>
      </c>
      <c r="IV213" s="909">
        <v>0</v>
      </c>
      <c r="IW213" s="910">
        <v>3005.1723601601766</v>
      </c>
      <c r="IX213" s="909">
        <v>0</v>
      </c>
      <c r="IY213" s="909">
        <v>0</v>
      </c>
      <c r="IZ213" s="909">
        <v>0</v>
      </c>
      <c r="JA213" s="910">
        <v>2448.0327378389679</v>
      </c>
      <c r="JB213" s="871">
        <v>2448.0327378389679</v>
      </c>
      <c r="JC213" s="911">
        <v>78.829897065657647</v>
      </c>
      <c r="JD213" s="908">
        <v>11.462628188820016</v>
      </c>
      <c r="JE213" s="902">
        <v>43.799999036425632</v>
      </c>
      <c r="JF213" s="902">
        <v>0</v>
      </c>
      <c r="JG213" s="902">
        <v>0</v>
      </c>
      <c r="JH213" s="902">
        <v>17.353261413147095</v>
      </c>
      <c r="JI213" s="902">
        <v>1.9545248556183807</v>
      </c>
      <c r="JJ213" s="902">
        <v>1500</v>
      </c>
      <c r="JK213" s="909" t="s">
        <v>1064</v>
      </c>
      <c r="JL213" s="909">
        <v>2</v>
      </c>
      <c r="JM213" s="909">
        <v>0</v>
      </c>
      <c r="JN213" s="909">
        <v>0</v>
      </c>
      <c r="JO213" s="909">
        <v>0</v>
      </c>
      <c r="JP213" s="910">
        <v>2237.4366641367997</v>
      </c>
      <c r="JQ213" s="909">
        <v>0</v>
      </c>
      <c r="JR213" s="909">
        <v>0</v>
      </c>
      <c r="JS213" s="909">
        <v>0</v>
      </c>
      <c r="JT213" s="910">
        <v>1822.6303007645636</v>
      </c>
      <c r="JU213" s="871">
        <v>1822.6303007645636</v>
      </c>
      <c r="JV213" s="911">
        <v>58.691110121694109</v>
      </c>
      <c r="JW213" s="908">
        <v>17.193942283230022</v>
      </c>
      <c r="JX213" s="902">
        <v>49.531313130835642</v>
      </c>
      <c r="JY213" s="902">
        <v>0</v>
      </c>
      <c r="JZ213" s="902">
        <v>0</v>
      </c>
      <c r="KA213" s="902">
        <v>17.393356206015692</v>
      </c>
      <c r="KB213" s="902">
        <v>2.2857410792056441</v>
      </c>
      <c r="KC213" s="902">
        <v>1875</v>
      </c>
      <c r="KD213" s="909" t="s">
        <v>1064</v>
      </c>
      <c r="KE213" s="909">
        <v>3</v>
      </c>
      <c r="KF213" s="909">
        <v>0</v>
      </c>
      <c r="KG213" s="909">
        <v>0</v>
      </c>
      <c r="KH213" s="909">
        <v>0</v>
      </c>
      <c r="KI213" s="910">
        <v>2927.5187640761415</v>
      </c>
      <c r="KJ213" s="909">
        <v>0</v>
      </c>
      <c r="KK213" s="909">
        <v>0</v>
      </c>
      <c r="KL213" s="909">
        <v>0</v>
      </c>
      <c r="KM213" s="910">
        <v>2384.7756188980397</v>
      </c>
      <c r="KN213" s="871">
        <v>2384.7756188980397</v>
      </c>
      <c r="KO213" s="912">
        <v>76.792934039098867</v>
      </c>
    </row>
    <row r="214" spans="1:301" ht="15" customHeight="1">
      <c r="A214" s="924" t="s">
        <v>1646</v>
      </c>
      <c r="B214" s="888" t="s">
        <v>1073</v>
      </c>
      <c r="C214" s="888">
        <v>230</v>
      </c>
      <c r="D214" s="888">
        <v>765</v>
      </c>
      <c r="E214" s="888">
        <v>0</v>
      </c>
      <c r="F214" s="888">
        <v>230</v>
      </c>
      <c r="G214" s="888">
        <v>28</v>
      </c>
      <c r="H214" s="888">
        <v>30</v>
      </c>
      <c r="I214" s="888">
        <v>200</v>
      </c>
      <c r="J214" s="888">
        <v>49.5</v>
      </c>
      <c r="K214" s="888">
        <v>37.799999999999997</v>
      </c>
      <c r="L214" s="888">
        <v>16</v>
      </c>
      <c r="M214" s="888">
        <v>304.75726532731699</v>
      </c>
      <c r="N214" s="888">
        <v>2</v>
      </c>
      <c r="O214" s="884">
        <v>7.2162638507360652</v>
      </c>
      <c r="P214" s="888">
        <v>3</v>
      </c>
      <c r="Q214" s="884">
        <v>6.2003640891016216</v>
      </c>
      <c r="R214" s="888">
        <v>14</v>
      </c>
      <c r="S214" s="888">
        <v>500</v>
      </c>
      <c r="T214" s="906">
        <v>21.578814539344894</v>
      </c>
      <c r="U214" s="906">
        <v>75</v>
      </c>
      <c r="V214" s="906">
        <v>60</v>
      </c>
      <c r="W214" s="1141">
        <v>1.560610694363336</v>
      </c>
      <c r="X214" s="902">
        <v>0</v>
      </c>
      <c r="Y214" s="902">
        <v>0</v>
      </c>
      <c r="Z214" s="902">
        <v>0</v>
      </c>
      <c r="AA214" s="902">
        <v>0</v>
      </c>
      <c r="AB214" s="970">
        <v>1.262932821967091</v>
      </c>
      <c r="AC214" s="1045">
        <v>2370.9770873931452</v>
      </c>
      <c r="AD214" s="890"/>
      <c r="AE214" s="890"/>
      <c r="AF214" s="890"/>
      <c r="AG214" s="890"/>
      <c r="AH214" s="888"/>
      <c r="AI214" s="907">
        <v>2.8769501714141632</v>
      </c>
      <c r="AJ214" s="908">
        <v>26.411483642326601</v>
      </c>
      <c r="AK214" s="902">
        <v>62.967536815872514</v>
      </c>
      <c r="AL214" s="902">
        <v>0</v>
      </c>
      <c r="AM214" s="902">
        <v>0</v>
      </c>
      <c r="AN214" s="902">
        <v>13.019895335818331</v>
      </c>
      <c r="AO214" s="902">
        <v>3.9562960928078499</v>
      </c>
      <c r="AP214" s="1222">
        <v>1500</v>
      </c>
      <c r="AQ214" s="909" t="s">
        <v>1062</v>
      </c>
      <c r="AR214" s="909">
        <v>6</v>
      </c>
      <c r="AS214" s="909">
        <v>0</v>
      </c>
      <c r="AT214" s="909">
        <v>0</v>
      </c>
      <c r="AU214" s="909">
        <v>0</v>
      </c>
      <c r="AV214" s="910">
        <v>2702.5285462511929</v>
      </c>
      <c r="AW214" s="909">
        <v>0</v>
      </c>
      <c r="AX214" s="909">
        <v>0</v>
      </c>
      <c r="AY214" s="909">
        <v>0</v>
      </c>
      <c r="AZ214" s="910">
        <v>2003.8413732741435</v>
      </c>
      <c r="BA214" s="871">
        <v>2003.8413732741435</v>
      </c>
      <c r="BB214" s="911">
        <v>80.264480049775969</v>
      </c>
      <c r="BC214" s="908">
        <v>26.411483642326601</v>
      </c>
      <c r="BD214" s="902">
        <v>62.967536815872514</v>
      </c>
      <c r="BE214" s="902">
        <v>0</v>
      </c>
      <c r="BF214" s="902">
        <v>0</v>
      </c>
      <c r="BG214" s="902">
        <v>13.019895335818331</v>
      </c>
      <c r="BH214" s="902">
        <v>3.9562960928078499</v>
      </c>
      <c r="BI214" s="902">
        <v>1875</v>
      </c>
      <c r="BJ214" s="909" t="s">
        <v>1062</v>
      </c>
      <c r="BK214" s="909">
        <v>6</v>
      </c>
      <c r="BL214" s="909">
        <v>0</v>
      </c>
      <c r="BM214" s="909">
        <v>0</v>
      </c>
      <c r="BN214" s="909">
        <v>0</v>
      </c>
      <c r="BO214" s="910">
        <v>2702.5285462523543</v>
      </c>
      <c r="BP214" s="909">
        <v>0</v>
      </c>
      <c r="BQ214" s="909">
        <v>0</v>
      </c>
      <c r="BR214" s="909">
        <v>0</v>
      </c>
      <c r="BS214" s="910">
        <v>2003.8413732741435</v>
      </c>
      <c r="BT214" s="871">
        <v>2003.8413732741435</v>
      </c>
      <c r="BU214" s="911">
        <v>80.264480049775969</v>
      </c>
      <c r="BV214" s="908">
        <v>26.411483642326601</v>
      </c>
      <c r="BW214" s="902">
        <v>62.967536815872514</v>
      </c>
      <c r="BX214" s="902">
        <v>0</v>
      </c>
      <c r="BY214" s="902">
        <v>0</v>
      </c>
      <c r="BZ214" s="902">
        <v>13.019895335818331</v>
      </c>
      <c r="CA214" s="902">
        <v>3.9562960928078499</v>
      </c>
      <c r="CB214" s="902">
        <v>1500</v>
      </c>
      <c r="CC214" s="909" t="s">
        <v>2874</v>
      </c>
      <c r="CD214" s="909">
        <v>6</v>
      </c>
      <c r="CE214" s="909">
        <v>0</v>
      </c>
      <c r="CF214" s="909">
        <v>0</v>
      </c>
      <c r="CG214" s="909">
        <v>0</v>
      </c>
      <c r="CH214" s="910">
        <v>2647.9263814484125</v>
      </c>
      <c r="CI214" s="909">
        <v>0</v>
      </c>
      <c r="CJ214" s="909">
        <v>0</v>
      </c>
      <c r="CK214" s="909">
        <v>0</v>
      </c>
      <c r="CL214" s="910">
        <v>1963.3555559998283</v>
      </c>
      <c r="CM214" s="871">
        <v>1963.3555559998283</v>
      </c>
      <c r="CN214" s="911">
        <v>78.642808236700475</v>
      </c>
      <c r="CO214" s="908">
        <v>26.411483642326601</v>
      </c>
      <c r="CP214" s="902">
        <v>62.967536815872514</v>
      </c>
      <c r="CQ214" s="902">
        <v>0</v>
      </c>
      <c r="CR214" s="902">
        <v>0</v>
      </c>
      <c r="CS214" s="902">
        <v>13.019895335818331</v>
      </c>
      <c r="CT214" s="902">
        <v>3.9562960928078499</v>
      </c>
      <c r="CU214" s="902">
        <v>1875</v>
      </c>
      <c r="CV214" s="909" t="s">
        <v>2874</v>
      </c>
      <c r="CW214" s="909">
        <v>6</v>
      </c>
      <c r="CX214" s="909">
        <v>0</v>
      </c>
      <c r="CY214" s="909">
        <v>0</v>
      </c>
      <c r="CZ214" s="909">
        <v>0</v>
      </c>
      <c r="DA214" s="910">
        <v>2647.9263814495498</v>
      </c>
      <c r="DB214" s="909">
        <v>0</v>
      </c>
      <c r="DC214" s="909">
        <v>0</v>
      </c>
      <c r="DD214" s="909">
        <v>0</v>
      </c>
      <c r="DE214" s="910">
        <v>1963.3555559998283</v>
      </c>
      <c r="DF214" s="871">
        <v>1963.3555559998283</v>
      </c>
      <c r="DG214" s="911">
        <v>78.642808236700475</v>
      </c>
      <c r="DH214" s="908">
        <v>22.009569701938837</v>
      </c>
      <c r="DI214" s="902">
        <v>58.565622875484749</v>
      </c>
      <c r="DJ214" s="902">
        <v>0</v>
      </c>
      <c r="DK214" s="902">
        <v>0</v>
      </c>
      <c r="DL214" s="902">
        <v>12.871066553731961</v>
      </c>
      <c r="DM214" s="902">
        <v>3.605174676156607</v>
      </c>
      <c r="DN214" s="902">
        <v>1500</v>
      </c>
      <c r="DO214" s="909" t="s">
        <v>2876</v>
      </c>
      <c r="DP214" s="909">
        <v>5</v>
      </c>
      <c r="DQ214" s="909">
        <v>0</v>
      </c>
      <c r="DR214" s="909">
        <v>0</v>
      </c>
      <c r="DS214" s="909">
        <v>0</v>
      </c>
      <c r="DT214" s="910">
        <v>2187.6401622025355</v>
      </c>
      <c r="DU214" s="909">
        <v>0</v>
      </c>
      <c r="DV214" s="909">
        <v>0</v>
      </c>
      <c r="DW214" s="909">
        <v>0</v>
      </c>
      <c r="DX214" s="910">
        <v>1622.0675533424183</v>
      </c>
      <c r="DY214" s="871">
        <v>1622.0675533424183</v>
      </c>
      <c r="DZ214" s="911">
        <v>64.972412742388116</v>
      </c>
      <c r="EA214" s="908">
        <v>26.411483642326601</v>
      </c>
      <c r="EB214" s="902">
        <v>62.967536815872514</v>
      </c>
      <c r="EC214" s="902">
        <v>0</v>
      </c>
      <c r="ED214" s="902">
        <v>0</v>
      </c>
      <c r="EE214" s="902">
        <v>13.019895335818331</v>
      </c>
      <c r="EF214" s="902">
        <v>3.9562960928078499</v>
      </c>
      <c r="EG214" s="902">
        <v>1875</v>
      </c>
      <c r="EH214" s="909" t="s">
        <v>2876</v>
      </c>
      <c r="EI214" s="909">
        <v>6</v>
      </c>
      <c r="EJ214" s="909">
        <v>0</v>
      </c>
      <c r="EK214" s="909">
        <v>0</v>
      </c>
      <c r="EL214" s="909">
        <v>0</v>
      </c>
      <c r="EM214" s="910">
        <v>2935.6974369141749</v>
      </c>
      <c r="EN214" s="909">
        <v>0</v>
      </c>
      <c r="EO214" s="909">
        <v>0</v>
      </c>
      <c r="EP214" s="909">
        <v>0</v>
      </c>
      <c r="EQ214" s="910">
        <v>2176.7288977062212</v>
      </c>
      <c r="ER214" s="871">
        <v>2176.7288977062212</v>
      </c>
      <c r="ES214" s="911">
        <v>87.189542802103517</v>
      </c>
      <c r="ET214" s="908">
        <v>22.009569701938837</v>
      </c>
      <c r="EU214" s="902">
        <v>58.565622875484749</v>
      </c>
      <c r="EV214" s="902">
        <v>0</v>
      </c>
      <c r="EW214" s="902">
        <v>0</v>
      </c>
      <c r="EX214" s="902">
        <v>12.871066553731961</v>
      </c>
      <c r="EY214" s="902">
        <v>3.605174676156607</v>
      </c>
      <c r="EZ214" s="902">
        <v>1500</v>
      </c>
      <c r="FA214" s="909" t="s">
        <v>3889</v>
      </c>
      <c r="FB214" s="909">
        <v>5</v>
      </c>
      <c r="FC214" s="909">
        <v>0</v>
      </c>
      <c r="FD214" s="909">
        <v>0</v>
      </c>
      <c r="FE214" s="909">
        <v>0</v>
      </c>
      <c r="FF214" s="910">
        <v>2296.1833334695161</v>
      </c>
      <c r="FG214" s="909">
        <v>0</v>
      </c>
      <c r="FH214" s="909">
        <v>0</v>
      </c>
      <c r="FI214" s="909">
        <v>0</v>
      </c>
      <c r="FJ214" s="910">
        <v>1702.5489594215005</v>
      </c>
      <c r="FK214" s="871">
        <v>1702.5489594215005</v>
      </c>
      <c r="FL214" s="911">
        <v>68.196120117018026</v>
      </c>
      <c r="FM214" s="908">
        <v>26.411483642326601</v>
      </c>
      <c r="FN214" s="902">
        <v>62.967536815872514</v>
      </c>
      <c r="FO214" s="902">
        <v>0</v>
      </c>
      <c r="FP214" s="902">
        <v>0</v>
      </c>
      <c r="FQ214" s="902">
        <v>13.019895335818331</v>
      </c>
      <c r="FR214" s="902">
        <v>3.9562960928078499</v>
      </c>
      <c r="FS214" s="902">
        <v>1875</v>
      </c>
      <c r="FT214" s="909" t="s">
        <v>3889</v>
      </c>
      <c r="FU214" s="909">
        <v>6</v>
      </c>
      <c r="FV214" s="909">
        <v>0</v>
      </c>
      <c r="FW214" s="909">
        <v>0</v>
      </c>
      <c r="FX214" s="909">
        <v>0</v>
      </c>
      <c r="FY214" s="910">
        <v>3081.3566340645098</v>
      </c>
      <c r="FZ214" s="909">
        <v>0</v>
      </c>
      <c r="GA214" s="909">
        <v>0</v>
      </c>
      <c r="GB214" s="909">
        <v>0</v>
      </c>
      <c r="GC214" s="910">
        <v>2284.7306896040868</v>
      </c>
      <c r="GD214" s="871">
        <v>2284.7306896040868</v>
      </c>
      <c r="GE214" s="911">
        <v>91.51558766111458</v>
      </c>
      <c r="GF214" s="908">
        <v>17.607655761551069</v>
      </c>
      <c r="GG214" s="902">
        <v>54.163708935096977</v>
      </c>
      <c r="GH214" s="902">
        <v>0</v>
      </c>
      <c r="GI214" s="902">
        <v>0</v>
      </c>
      <c r="GJ214" s="902">
        <v>12.698046980302925</v>
      </c>
      <c r="GK214" s="902">
        <v>3.2540532595053642</v>
      </c>
      <c r="GL214" s="902">
        <v>1500</v>
      </c>
      <c r="GM214" s="909" t="s">
        <v>2877</v>
      </c>
      <c r="GN214" s="909">
        <v>4</v>
      </c>
      <c r="GO214" s="909">
        <v>0</v>
      </c>
      <c r="GP214" s="909">
        <v>0</v>
      </c>
      <c r="GQ214" s="909">
        <v>0</v>
      </c>
      <c r="GR214" s="910">
        <v>2207.268843583835</v>
      </c>
      <c r="GS214" s="909">
        <v>0</v>
      </c>
      <c r="GT214" s="909">
        <v>0</v>
      </c>
      <c r="GU214" s="909">
        <v>0</v>
      </c>
      <c r="GV214" s="910">
        <v>1636.6216138015411</v>
      </c>
      <c r="GW214" s="871">
        <v>1636.6216138015411</v>
      </c>
      <c r="GX214" s="911">
        <v>65.555380092471211</v>
      </c>
      <c r="GY214" s="908">
        <v>22.009569701938837</v>
      </c>
      <c r="GZ214" s="902">
        <v>58.565622875484749</v>
      </c>
      <c r="HA214" s="902">
        <v>0</v>
      </c>
      <c r="HB214" s="902">
        <v>0</v>
      </c>
      <c r="HC214" s="902">
        <v>12.871066553731961</v>
      </c>
      <c r="HD214" s="902">
        <v>3.605174676156607</v>
      </c>
      <c r="HE214" s="902">
        <v>1875</v>
      </c>
      <c r="HF214" s="909" t="s">
        <v>2877</v>
      </c>
      <c r="HG214" s="909">
        <v>5</v>
      </c>
      <c r="HH214" s="909">
        <v>0</v>
      </c>
      <c r="HI214" s="909">
        <v>0</v>
      </c>
      <c r="HJ214" s="909">
        <v>0</v>
      </c>
      <c r="HK214" s="910">
        <v>2701.911605572574</v>
      </c>
      <c r="HL214" s="909">
        <v>0</v>
      </c>
      <c r="HM214" s="909">
        <v>0</v>
      </c>
      <c r="HN214" s="909">
        <v>0</v>
      </c>
      <c r="HO214" s="910">
        <v>2003.3839308316894</v>
      </c>
      <c r="HP214" s="871">
        <v>2003.3839308316894</v>
      </c>
      <c r="HQ214" s="911">
        <v>80.246157052613626</v>
      </c>
      <c r="HR214" s="908">
        <v>22.009569701938837</v>
      </c>
      <c r="HS214" s="902">
        <v>58.565622875484749</v>
      </c>
      <c r="HT214" s="902">
        <v>0</v>
      </c>
      <c r="HU214" s="902">
        <v>0</v>
      </c>
      <c r="HV214" s="902">
        <v>12.871066553731961</v>
      </c>
      <c r="HW214" s="902">
        <v>3.605174676156607</v>
      </c>
      <c r="HX214" s="902">
        <v>1500</v>
      </c>
      <c r="HY214" s="909" t="s">
        <v>1063</v>
      </c>
      <c r="HZ214" s="909">
        <v>5</v>
      </c>
      <c r="IA214" s="909">
        <v>0</v>
      </c>
      <c r="IB214" s="909">
        <v>0</v>
      </c>
      <c r="IC214" s="909">
        <v>0</v>
      </c>
      <c r="ID214" s="910">
        <v>2382.862057608043</v>
      </c>
      <c r="IE214" s="909">
        <v>0</v>
      </c>
      <c r="IF214" s="909">
        <v>0</v>
      </c>
      <c r="IG214" s="909">
        <v>0</v>
      </c>
      <c r="IH214" s="910">
        <v>1766.8185538545588</v>
      </c>
      <c r="II214" s="871">
        <v>1766.8185538545588</v>
      </c>
      <c r="IJ214" s="911">
        <v>70.7704584099492</v>
      </c>
      <c r="IK214" s="908">
        <v>26.411483642326601</v>
      </c>
      <c r="IL214" s="902">
        <v>62.967536815872514</v>
      </c>
      <c r="IM214" s="902">
        <v>0</v>
      </c>
      <c r="IN214" s="902">
        <v>0</v>
      </c>
      <c r="IO214" s="902">
        <v>13.019895335818331</v>
      </c>
      <c r="IP214" s="902">
        <v>3.9562960928078499</v>
      </c>
      <c r="IQ214" s="902">
        <v>1875</v>
      </c>
      <c r="IR214" s="909" t="s">
        <v>1063</v>
      </c>
      <c r="IS214" s="909">
        <v>6</v>
      </c>
      <c r="IT214" s="909">
        <v>0</v>
      </c>
      <c r="IU214" s="909">
        <v>0</v>
      </c>
      <c r="IV214" s="909">
        <v>0</v>
      </c>
      <c r="IW214" s="910">
        <v>3197.6748991452564</v>
      </c>
      <c r="IX214" s="909">
        <v>0</v>
      </c>
      <c r="IY214" s="909">
        <v>0</v>
      </c>
      <c r="IZ214" s="909">
        <v>0</v>
      </c>
      <c r="JA214" s="910">
        <v>2370.9770873931452</v>
      </c>
      <c r="JB214" s="871">
        <v>2370.9770873931452</v>
      </c>
      <c r="JC214" s="911">
        <v>94.970213544696378</v>
      </c>
      <c r="JD214" s="908">
        <v>13.205741821163301</v>
      </c>
      <c r="JE214" s="902">
        <v>49.761794994709213</v>
      </c>
      <c r="JF214" s="902">
        <v>0</v>
      </c>
      <c r="JG214" s="902">
        <v>0</v>
      </c>
      <c r="JH214" s="902">
        <v>12.494416884390999</v>
      </c>
      <c r="JI214" s="902">
        <v>2.9029318428541213</v>
      </c>
      <c r="JJ214" s="902">
        <v>1500</v>
      </c>
      <c r="JK214" s="909" t="s">
        <v>1064</v>
      </c>
      <c r="JL214" s="909">
        <v>3</v>
      </c>
      <c r="JM214" s="909">
        <v>0</v>
      </c>
      <c r="JN214" s="909">
        <v>0</v>
      </c>
      <c r="JO214" s="909">
        <v>0</v>
      </c>
      <c r="JP214" s="910">
        <v>2196.9106045497765</v>
      </c>
      <c r="JQ214" s="909">
        <v>0</v>
      </c>
      <c r="JR214" s="909">
        <v>0</v>
      </c>
      <c r="JS214" s="909">
        <v>0</v>
      </c>
      <c r="JT214" s="910">
        <v>1628.941299763974</v>
      </c>
      <c r="JU214" s="871">
        <v>1628.941299763974</v>
      </c>
      <c r="JV214" s="911">
        <v>65.247742760960747</v>
      </c>
      <c r="JW214" s="908">
        <v>17.607655761551069</v>
      </c>
      <c r="JX214" s="902">
        <v>54.163708935096977</v>
      </c>
      <c r="JY214" s="902">
        <v>0</v>
      </c>
      <c r="JZ214" s="902">
        <v>0</v>
      </c>
      <c r="KA214" s="902">
        <v>12.698046980302925</v>
      </c>
      <c r="KB214" s="902">
        <v>3.2540532595053642</v>
      </c>
      <c r="KC214" s="902">
        <v>1875</v>
      </c>
      <c r="KD214" s="909" t="s">
        <v>1064</v>
      </c>
      <c r="KE214" s="909">
        <v>4</v>
      </c>
      <c r="KF214" s="909">
        <v>0</v>
      </c>
      <c r="KG214" s="909">
        <v>0</v>
      </c>
      <c r="KH214" s="909">
        <v>0</v>
      </c>
      <c r="KI214" s="910">
        <v>2652.8069980918731</v>
      </c>
      <c r="KJ214" s="909">
        <v>0</v>
      </c>
      <c r="KK214" s="909">
        <v>0</v>
      </c>
      <c r="KL214" s="909">
        <v>0</v>
      </c>
      <c r="KM214" s="910">
        <v>1966.9743823646932</v>
      </c>
      <c r="KN214" s="871">
        <v>1966.9743823646932</v>
      </c>
      <c r="KO214" s="912">
        <v>78.787761435312049</v>
      </c>
    </row>
    <row r="215" spans="1:301" ht="15" customHeight="1">
      <c r="A215" s="924" t="s">
        <v>1647</v>
      </c>
      <c r="B215" s="888" t="s">
        <v>1079</v>
      </c>
      <c r="C215" s="888">
        <v>230</v>
      </c>
      <c r="D215" s="888">
        <v>815</v>
      </c>
      <c r="E215" s="888">
        <v>0</v>
      </c>
      <c r="F215" s="888">
        <v>214.60209229843403</v>
      </c>
      <c r="G215" s="888">
        <v>45.726365485241445</v>
      </c>
      <c r="H215" s="888">
        <v>29.679130201698506</v>
      </c>
      <c r="I215" s="888">
        <v>250</v>
      </c>
      <c r="J215" s="888">
        <v>55.45</v>
      </c>
      <c r="K215" s="888">
        <v>30.84</v>
      </c>
      <c r="L215" s="888">
        <v>16</v>
      </c>
      <c r="M215" s="888">
        <v>307.44868337613178</v>
      </c>
      <c r="N215" s="888">
        <v>5</v>
      </c>
      <c r="O215" s="884">
        <v>20.4759829819948</v>
      </c>
      <c r="P215" s="888">
        <v>5</v>
      </c>
      <c r="Q215" s="884">
        <v>11.150852413206474</v>
      </c>
      <c r="R215" s="888">
        <v>14</v>
      </c>
      <c r="S215" s="888">
        <v>550</v>
      </c>
      <c r="T215" s="906">
        <v>26.110365592607319</v>
      </c>
      <c r="U215" s="906">
        <v>82.5</v>
      </c>
      <c r="V215" s="906">
        <v>60</v>
      </c>
      <c r="W215" s="1141">
        <v>1.8883389401796367</v>
      </c>
      <c r="X215" s="902">
        <v>0</v>
      </c>
      <c r="Y215" s="902">
        <v>0</v>
      </c>
      <c r="Z215" s="902">
        <v>0</v>
      </c>
      <c r="AA215" s="902">
        <v>0</v>
      </c>
      <c r="AB215" s="970">
        <v>2.0885974574540027</v>
      </c>
      <c r="AC215" s="1045">
        <v>2498.6858224001367</v>
      </c>
      <c r="AD215" s="890"/>
      <c r="AE215" s="890"/>
      <c r="AF215" s="890"/>
      <c r="AG215" s="890"/>
      <c r="AH215" s="888"/>
      <c r="AI215" s="907">
        <v>3.3794209402159332</v>
      </c>
      <c r="AJ215" s="908">
        <v>32.399894195237167</v>
      </c>
      <c r="AK215" s="902">
        <v>92.025434123225395</v>
      </c>
      <c r="AL215" s="902">
        <v>0</v>
      </c>
      <c r="AM215" s="902">
        <v>0</v>
      </c>
      <c r="AN215" s="902">
        <v>14.732987411636817</v>
      </c>
      <c r="AO215" s="902">
        <v>6.9392034139869612</v>
      </c>
      <c r="AP215" s="1222">
        <v>1500</v>
      </c>
      <c r="AQ215" s="909" t="s">
        <v>1062</v>
      </c>
      <c r="AR215" s="909">
        <v>6</v>
      </c>
      <c r="AS215" s="909">
        <v>0</v>
      </c>
      <c r="AT215" s="909">
        <v>0</v>
      </c>
      <c r="AU215" s="909">
        <v>0</v>
      </c>
      <c r="AV215" s="910">
        <v>2734.6317902400692</v>
      </c>
      <c r="AW215" s="909">
        <v>0</v>
      </c>
      <c r="AX215" s="909">
        <v>0</v>
      </c>
      <c r="AY215" s="909">
        <v>0</v>
      </c>
      <c r="AZ215" s="910">
        <v>1862.4104511005576</v>
      </c>
      <c r="BA215" s="871">
        <v>1862.4104511005576</v>
      </c>
      <c r="BB215" s="911">
        <v>79.475200296404793</v>
      </c>
      <c r="BC215" s="908">
        <v>43.199858926982884</v>
      </c>
      <c r="BD215" s="902">
        <v>102.82539885497111</v>
      </c>
      <c r="BE215" s="902">
        <v>0</v>
      </c>
      <c r="BF215" s="902">
        <v>0</v>
      </c>
      <c r="BG215" s="902">
        <v>14.744181487200859</v>
      </c>
      <c r="BH215" s="902">
        <v>7.9073190025186042</v>
      </c>
      <c r="BI215" s="902">
        <v>1875</v>
      </c>
      <c r="BJ215" s="909" t="s">
        <v>1062</v>
      </c>
      <c r="BK215" s="909">
        <v>8</v>
      </c>
      <c r="BL215" s="909">
        <v>0</v>
      </c>
      <c r="BM215" s="909">
        <v>0</v>
      </c>
      <c r="BN215" s="909">
        <v>0</v>
      </c>
      <c r="BO215" s="910">
        <v>3190.495258302848</v>
      </c>
      <c r="BP215" s="909">
        <v>0</v>
      </c>
      <c r="BQ215" s="909">
        <v>0</v>
      </c>
      <c r="BR215" s="909">
        <v>0</v>
      </c>
      <c r="BS215" s="910">
        <v>2172.8745107334707</v>
      </c>
      <c r="BT215" s="871">
        <v>2172.8745107334707</v>
      </c>
      <c r="BU215" s="911">
        <v>92.723726317927031</v>
      </c>
      <c r="BV215" s="908">
        <v>32.399894195237167</v>
      </c>
      <c r="BW215" s="902">
        <v>92.025434123225395</v>
      </c>
      <c r="BX215" s="902">
        <v>0</v>
      </c>
      <c r="BY215" s="902">
        <v>0</v>
      </c>
      <c r="BZ215" s="902">
        <v>14.732987411636817</v>
      </c>
      <c r="CA215" s="902">
        <v>6.9392034139869612</v>
      </c>
      <c r="CB215" s="902">
        <v>1500</v>
      </c>
      <c r="CC215" s="909" t="s">
        <v>2874</v>
      </c>
      <c r="CD215" s="909">
        <v>6</v>
      </c>
      <c r="CE215" s="909">
        <v>0</v>
      </c>
      <c r="CF215" s="909">
        <v>0</v>
      </c>
      <c r="CG215" s="909">
        <v>0</v>
      </c>
      <c r="CH215" s="910">
        <v>2679.38100819274</v>
      </c>
      <c r="CI215" s="909">
        <v>0</v>
      </c>
      <c r="CJ215" s="909">
        <v>0</v>
      </c>
      <c r="CK215" s="909">
        <v>0</v>
      </c>
      <c r="CL215" s="910">
        <v>1824.7821187292027</v>
      </c>
      <c r="CM215" s="871">
        <v>1824.7821187292027</v>
      </c>
      <c r="CN215" s="911">
        <v>77.869475172672836</v>
      </c>
      <c r="CO215" s="908">
        <v>43.199858926982884</v>
      </c>
      <c r="CP215" s="902">
        <v>102.82539885497111</v>
      </c>
      <c r="CQ215" s="902">
        <v>0</v>
      </c>
      <c r="CR215" s="902">
        <v>0</v>
      </c>
      <c r="CS215" s="902">
        <v>14.744181487200859</v>
      </c>
      <c r="CT215" s="902">
        <v>7.9073190025186042</v>
      </c>
      <c r="CU215" s="902">
        <v>1875</v>
      </c>
      <c r="CV215" s="909" t="s">
        <v>2874</v>
      </c>
      <c r="CW215" s="909">
        <v>8</v>
      </c>
      <c r="CX215" s="909">
        <v>0</v>
      </c>
      <c r="CY215" s="909">
        <v>0</v>
      </c>
      <c r="CZ215" s="909">
        <v>0</v>
      </c>
      <c r="DA215" s="910">
        <v>3126.0341638444766</v>
      </c>
      <c r="DB215" s="909">
        <v>0</v>
      </c>
      <c r="DC215" s="909">
        <v>0</v>
      </c>
      <c r="DD215" s="909">
        <v>0</v>
      </c>
      <c r="DE215" s="910">
        <v>2128.9735305586614</v>
      </c>
      <c r="DF215" s="871">
        <v>2128.9735305586614</v>
      </c>
      <c r="DG215" s="911">
        <v>90.850326611358767</v>
      </c>
      <c r="DH215" s="908">
        <v>26.999911829364301</v>
      </c>
      <c r="DI215" s="902">
        <v>86.625451757352522</v>
      </c>
      <c r="DJ215" s="902">
        <v>0</v>
      </c>
      <c r="DK215" s="902">
        <v>0</v>
      </c>
      <c r="DL215" s="902">
        <v>14.726343663977588</v>
      </c>
      <c r="DM215" s="902">
        <v>6.4551456197211383</v>
      </c>
      <c r="DN215" s="902">
        <v>1500</v>
      </c>
      <c r="DO215" s="909" t="s">
        <v>2876</v>
      </c>
      <c r="DP215" s="909">
        <v>5</v>
      </c>
      <c r="DQ215" s="909">
        <v>0</v>
      </c>
      <c r="DR215" s="909">
        <v>0</v>
      </c>
      <c r="DS215" s="909">
        <v>0</v>
      </c>
      <c r="DT215" s="910">
        <v>2213.6270647218348</v>
      </c>
      <c r="DU215" s="909">
        <v>0</v>
      </c>
      <c r="DV215" s="909">
        <v>0</v>
      </c>
      <c r="DW215" s="909">
        <v>0</v>
      </c>
      <c r="DX215" s="910">
        <v>1507.582188903501</v>
      </c>
      <c r="DY215" s="871">
        <v>1507.582188903501</v>
      </c>
      <c r="DZ215" s="911">
        <v>64.33350734022963</v>
      </c>
      <c r="EA215" s="908">
        <v>32.399894195237167</v>
      </c>
      <c r="EB215" s="902">
        <v>92.025434123225395</v>
      </c>
      <c r="EC215" s="902">
        <v>0</v>
      </c>
      <c r="ED215" s="902">
        <v>0</v>
      </c>
      <c r="EE215" s="902">
        <v>14.732987411636817</v>
      </c>
      <c r="EF215" s="902">
        <v>6.9392034139869612</v>
      </c>
      <c r="EG215" s="902">
        <v>1875</v>
      </c>
      <c r="EH215" s="909" t="s">
        <v>2876</v>
      </c>
      <c r="EI215" s="909">
        <v>6</v>
      </c>
      <c r="EJ215" s="909">
        <v>0</v>
      </c>
      <c r="EK215" s="909">
        <v>0</v>
      </c>
      <c r="EL215" s="909">
        <v>0</v>
      </c>
      <c r="EM215" s="910">
        <v>2970.570486164851</v>
      </c>
      <c r="EN215" s="909">
        <v>0</v>
      </c>
      <c r="EO215" s="909">
        <v>0</v>
      </c>
      <c r="EP215" s="909">
        <v>0</v>
      </c>
      <c r="EQ215" s="910">
        <v>2023.0955914822525</v>
      </c>
      <c r="ER215" s="871">
        <v>2023.0955914822525</v>
      </c>
      <c r="ES215" s="911">
        <v>86.332165531401543</v>
      </c>
      <c r="ET215" s="908">
        <v>26.999911829364301</v>
      </c>
      <c r="EU215" s="902">
        <v>86.625451757352522</v>
      </c>
      <c r="EV215" s="902">
        <v>0</v>
      </c>
      <c r="EW215" s="902">
        <v>0</v>
      </c>
      <c r="EX215" s="902">
        <v>14.726343663977588</v>
      </c>
      <c r="EY215" s="902">
        <v>6.4551456197211383</v>
      </c>
      <c r="EZ215" s="902">
        <v>1500</v>
      </c>
      <c r="FA215" s="909" t="s">
        <v>3889</v>
      </c>
      <c r="FB215" s="909">
        <v>5</v>
      </c>
      <c r="FC215" s="909">
        <v>0</v>
      </c>
      <c r="FD215" s="909">
        <v>0</v>
      </c>
      <c r="FE215" s="909">
        <v>0</v>
      </c>
      <c r="FF215" s="910">
        <v>2323.4596166006663</v>
      </c>
      <c r="FG215" s="909">
        <v>0</v>
      </c>
      <c r="FH215" s="909">
        <v>0</v>
      </c>
      <c r="FI215" s="909">
        <v>0</v>
      </c>
      <c r="FJ215" s="910">
        <v>1582.3832254526376</v>
      </c>
      <c r="FK215" s="871">
        <v>1582.3832254526376</v>
      </c>
      <c r="FL215" s="911">
        <v>67.525514429004474</v>
      </c>
      <c r="FM215" s="908">
        <v>32.399894195237167</v>
      </c>
      <c r="FN215" s="902">
        <v>92.025434123225395</v>
      </c>
      <c r="FO215" s="902">
        <v>0</v>
      </c>
      <c r="FP215" s="902">
        <v>0</v>
      </c>
      <c r="FQ215" s="902">
        <v>14.732987411636817</v>
      </c>
      <c r="FR215" s="902">
        <v>6.9392034139869612</v>
      </c>
      <c r="FS215" s="902">
        <v>1875</v>
      </c>
      <c r="FT215" s="909" t="s">
        <v>3889</v>
      </c>
      <c r="FU215" s="909">
        <v>6</v>
      </c>
      <c r="FV215" s="909">
        <v>0</v>
      </c>
      <c r="FW215" s="909">
        <v>0</v>
      </c>
      <c r="FX215" s="909">
        <v>0</v>
      </c>
      <c r="FY215" s="910">
        <v>3117.959963926588</v>
      </c>
      <c r="FZ215" s="909">
        <v>0</v>
      </c>
      <c r="GA215" s="909">
        <v>0</v>
      </c>
      <c r="GB215" s="909">
        <v>0</v>
      </c>
      <c r="GC215" s="910">
        <v>2123.4746277926556</v>
      </c>
      <c r="GD215" s="871">
        <v>2123.4746277926556</v>
      </c>
      <c r="GE215" s="911">
        <v>90.615670282792465</v>
      </c>
      <c r="GF215" s="908">
        <v>21.599929463491442</v>
      </c>
      <c r="GG215" s="902">
        <v>81.225469391479663</v>
      </c>
      <c r="GH215" s="902">
        <v>0</v>
      </c>
      <c r="GI215" s="902">
        <v>0</v>
      </c>
      <c r="GJ215" s="902">
        <v>14.718816545117875</v>
      </c>
      <c r="GK215" s="902">
        <v>5.9710878254553172</v>
      </c>
      <c r="GL215" s="902">
        <v>1500</v>
      </c>
      <c r="GM215" s="909" t="s">
        <v>2877</v>
      </c>
      <c r="GN215" s="909">
        <v>4</v>
      </c>
      <c r="GO215" s="909">
        <v>0</v>
      </c>
      <c r="GP215" s="909">
        <v>0</v>
      </c>
      <c r="GQ215" s="909">
        <v>0</v>
      </c>
      <c r="GR215" s="910">
        <v>2233.4889145366137</v>
      </c>
      <c r="GS215" s="909">
        <v>0</v>
      </c>
      <c r="GT215" s="909">
        <v>0</v>
      </c>
      <c r="GU215" s="909">
        <v>0</v>
      </c>
      <c r="GV215" s="910">
        <v>1521.1090252422136</v>
      </c>
      <c r="GW215" s="871">
        <v>1521.1090252422136</v>
      </c>
      <c r="GX215" s="911">
        <v>64.910742088220118</v>
      </c>
      <c r="GY215" s="908">
        <v>32.399894195237167</v>
      </c>
      <c r="GZ215" s="902">
        <v>92.025434123225395</v>
      </c>
      <c r="HA215" s="902">
        <v>0</v>
      </c>
      <c r="HB215" s="902">
        <v>0</v>
      </c>
      <c r="HC215" s="902">
        <v>14.732987411636817</v>
      </c>
      <c r="HD215" s="902">
        <v>6.9392034139869612</v>
      </c>
      <c r="HE215" s="902">
        <v>1875</v>
      </c>
      <c r="HF215" s="909" t="s">
        <v>2877</v>
      </c>
      <c r="HG215" s="909">
        <v>6</v>
      </c>
      <c r="HH215" s="909">
        <v>0</v>
      </c>
      <c r="HI215" s="909">
        <v>0</v>
      </c>
      <c r="HJ215" s="909">
        <v>0</v>
      </c>
      <c r="HK215" s="910">
        <v>3668.8935458452443</v>
      </c>
      <c r="HL215" s="909">
        <v>0</v>
      </c>
      <c r="HM215" s="909">
        <v>0</v>
      </c>
      <c r="HN215" s="909">
        <v>0</v>
      </c>
      <c r="HO215" s="910">
        <v>2498.6858224001367</v>
      </c>
      <c r="HP215" s="871">
        <v>2498.6858224001367</v>
      </c>
      <c r="HQ215" s="911">
        <v>106.62717023290352</v>
      </c>
      <c r="HR215" s="908">
        <v>26.999911829364301</v>
      </c>
      <c r="HS215" s="902">
        <v>86.625451757352522</v>
      </c>
      <c r="HT215" s="902">
        <v>0</v>
      </c>
      <c r="HU215" s="902">
        <v>0</v>
      </c>
      <c r="HV215" s="902">
        <v>14.726343663977588</v>
      </c>
      <c r="HW215" s="902">
        <v>6.4551456197211383</v>
      </c>
      <c r="HX215" s="902">
        <v>1500</v>
      </c>
      <c r="HY215" s="909" t="s">
        <v>1063</v>
      </c>
      <c r="HZ215" s="909">
        <v>5</v>
      </c>
      <c r="IA215" s="909">
        <v>0</v>
      </c>
      <c r="IB215" s="909">
        <v>0</v>
      </c>
      <c r="IC215" s="909">
        <v>0</v>
      </c>
      <c r="ID215" s="910">
        <v>2411.1679943328713</v>
      </c>
      <c r="IE215" s="909">
        <v>0</v>
      </c>
      <c r="IF215" s="909">
        <v>0</v>
      </c>
      <c r="IG215" s="909">
        <v>0</v>
      </c>
      <c r="IH215" s="910">
        <v>1642.1166783878596</v>
      </c>
      <c r="II215" s="871">
        <v>1642.1166783878596</v>
      </c>
      <c r="IJ215" s="911">
        <v>70.074537998764455</v>
      </c>
      <c r="IK215" s="908">
        <v>32.399894195237167</v>
      </c>
      <c r="IL215" s="902">
        <v>92.025434123225395</v>
      </c>
      <c r="IM215" s="902">
        <v>0</v>
      </c>
      <c r="IN215" s="902">
        <v>0</v>
      </c>
      <c r="IO215" s="902">
        <v>14.732987411636817</v>
      </c>
      <c r="IP215" s="902">
        <v>6.9392034139869612</v>
      </c>
      <c r="IQ215" s="902">
        <v>1875</v>
      </c>
      <c r="IR215" s="909" t="s">
        <v>1063</v>
      </c>
      <c r="IS215" s="909">
        <v>6</v>
      </c>
      <c r="IT215" s="909">
        <v>0</v>
      </c>
      <c r="IU215" s="909">
        <v>0</v>
      </c>
      <c r="IV215" s="909">
        <v>0</v>
      </c>
      <c r="IW215" s="910">
        <v>3235.6599696921576</v>
      </c>
      <c r="IX215" s="909">
        <v>0</v>
      </c>
      <c r="IY215" s="909">
        <v>0</v>
      </c>
      <c r="IZ215" s="909">
        <v>0</v>
      </c>
      <c r="JA215" s="910">
        <v>2203.6337635178888</v>
      </c>
      <c r="JB215" s="871">
        <v>2203.6337635178888</v>
      </c>
      <c r="JC215" s="911">
        <v>94.036325146270599</v>
      </c>
      <c r="JD215" s="908">
        <v>16.199947097618583</v>
      </c>
      <c r="JE215" s="902">
        <v>75.825487025606805</v>
      </c>
      <c r="JF215" s="902">
        <v>0</v>
      </c>
      <c r="JG215" s="902">
        <v>0</v>
      </c>
      <c r="JH215" s="902">
        <v>14.710217324760292</v>
      </c>
      <c r="JI215" s="902">
        <v>5.4870300311894953</v>
      </c>
      <c r="JJ215" s="902">
        <v>1500</v>
      </c>
      <c r="JK215" s="909" t="s">
        <v>1064</v>
      </c>
      <c r="JL215" s="909">
        <v>3</v>
      </c>
      <c r="JM215" s="909">
        <v>0</v>
      </c>
      <c r="JN215" s="909">
        <v>0</v>
      </c>
      <c r="JO215" s="909">
        <v>0</v>
      </c>
      <c r="JP215" s="910">
        <v>2223.0076303360329</v>
      </c>
      <c r="JQ215" s="909">
        <v>0</v>
      </c>
      <c r="JR215" s="909">
        <v>0</v>
      </c>
      <c r="JS215" s="909">
        <v>0</v>
      </c>
      <c r="JT215" s="910">
        <v>1513.9707869953768</v>
      </c>
      <c r="JU215" s="871">
        <v>1513.9707869953768</v>
      </c>
      <c r="JV215" s="911">
        <v>64.606129904533347</v>
      </c>
      <c r="JW215" s="908">
        <v>26.999911829364301</v>
      </c>
      <c r="JX215" s="902">
        <v>86.625451757352522</v>
      </c>
      <c r="JY215" s="902">
        <v>0</v>
      </c>
      <c r="JZ215" s="902">
        <v>0</v>
      </c>
      <c r="KA215" s="902">
        <v>14.726343663977588</v>
      </c>
      <c r="KB215" s="902">
        <v>6.4551456197211383</v>
      </c>
      <c r="KC215" s="902">
        <v>1875</v>
      </c>
      <c r="KD215" s="909" t="s">
        <v>1064</v>
      </c>
      <c r="KE215" s="909">
        <v>5</v>
      </c>
      <c r="KF215" s="909">
        <v>0</v>
      </c>
      <c r="KG215" s="909">
        <v>0</v>
      </c>
      <c r="KH215" s="909">
        <v>0</v>
      </c>
      <c r="KI215" s="910">
        <v>3285.8681014228541</v>
      </c>
      <c r="KJ215" s="909">
        <v>0</v>
      </c>
      <c r="KK215" s="909">
        <v>0</v>
      </c>
      <c r="KL215" s="909">
        <v>0</v>
      </c>
      <c r="KM215" s="910">
        <v>2237.8278183068028</v>
      </c>
      <c r="KN215" s="871">
        <v>2237.8278183068028</v>
      </c>
      <c r="KO215" s="912">
        <v>95.495498311718237</v>
      </c>
    </row>
    <row r="216" spans="1:301" ht="15" customHeight="1">
      <c r="A216" s="924" t="s">
        <v>1648</v>
      </c>
      <c r="B216" s="888" t="s">
        <v>1080</v>
      </c>
      <c r="C216" s="888">
        <v>151</v>
      </c>
      <c r="D216" s="888">
        <v>1000</v>
      </c>
      <c r="E216" s="888">
        <v>0</v>
      </c>
      <c r="F216" s="888">
        <v>0</v>
      </c>
      <c r="G216" s="888">
        <v>28</v>
      </c>
      <c r="H216" s="888">
        <v>30</v>
      </c>
      <c r="I216" s="888">
        <v>250</v>
      </c>
      <c r="J216" s="888"/>
      <c r="K216" s="888"/>
      <c r="L216" s="888">
        <v>16</v>
      </c>
      <c r="M216" s="888">
        <v>28.139690635232103</v>
      </c>
      <c r="N216" s="888">
        <v>2</v>
      </c>
      <c r="O216" s="884">
        <v>12.330751165339938</v>
      </c>
      <c r="P216" s="888">
        <v>2</v>
      </c>
      <c r="Q216" s="884">
        <v>7.1210087979838148</v>
      </c>
      <c r="R216" s="888">
        <v>18</v>
      </c>
      <c r="S216" s="888">
        <v>650</v>
      </c>
      <c r="T216" s="906">
        <v>46.88768130620511</v>
      </c>
      <c r="U216" s="906">
        <v>97.5</v>
      </c>
      <c r="V216" s="906">
        <v>10</v>
      </c>
      <c r="W216" s="1141">
        <v>0.43957201224567299</v>
      </c>
      <c r="X216" s="902">
        <v>0</v>
      </c>
      <c r="Y216" s="902">
        <v>0</v>
      </c>
      <c r="Z216" s="902">
        <v>0</v>
      </c>
      <c r="AA216" s="902">
        <v>0</v>
      </c>
      <c r="AB216" s="970">
        <v>1.2800141195445456</v>
      </c>
      <c r="AC216" s="1045">
        <v>0</v>
      </c>
      <c r="AD216" s="890"/>
      <c r="AE216" s="890"/>
      <c r="AF216" s="890"/>
      <c r="AG216" s="890"/>
      <c r="AH216" s="888"/>
      <c r="AI216" s="907">
        <v>3.2318427405883825</v>
      </c>
      <c r="AJ216" s="908">
        <v>1.9792332805196855</v>
      </c>
      <c r="AK216" s="902">
        <v>68.758246562294218</v>
      </c>
      <c r="AL216" s="902">
        <v>0</v>
      </c>
      <c r="AM216" s="902">
        <v>0</v>
      </c>
      <c r="AN216" s="902">
        <v>12.084645498198503</v>
      </c>
      <c r="AO216" s="902">
        <v>5.5368491638615493</v>
      </c>
      <c r="AP216" s="1222">
        <v>1500</v>
      </c>
      <c r="AQ216" s="909"/>
      <c r="AR216" s="909">
        <v>4</v>
      </c>
      <c r="AS216" s="909">
        <v>0</v>
      </c>
      <c r="AT216" s="909"/>
      <c r="AU216" s="909"/>
      <c r="AV216" s="910">
        <v>0</v>
      </c>
      <c r="AW216" s="909">
        <v>0</v>
      </c>
      <c r="AX216" s="909"/>
      <c r="AY216" s="909"/>
      <c r="AZ216" s="910">
        <v>0</v>
      </c>
      <c r="BA216" s="871">
        <v>0</v>
      </c>
      <c r="BB216" s="911">
        <v>0</v>
      </c>
      <c r="BC216" s="908">
        <v>0</v>
      </c>
      <c r="BD216" s="902">
        <v>66.779013281774539</v>
      </c>
      <c r="BE216" s="902">
        <v>0</v>
      </c>
      <c r="BF216" s="902">
        <v>0</v>
      </c>
      <c r="BG216" s="902">
        <v>11.998238611200469</v>
      </c>
      <c r="BH216" s="902">
        <v>5.2838039415429474</v>
      </c>
      <c r="BI216" s="902">
        <v>1875</v>
      </c>
      <c r="BJ216" s="909"/>
      <c r="BK216" s="909"/>
      <c r="BL216" s="909">
        <v>0</v>
      </c>
      <c r="BM216" s="909"/>
      <c r="BN216" s="909"/>
      <c r="BO216" s="910">
        <v>0</v>
      </c>
      <c r="BP216" s="909">
        <v>0</v>
      </c>
      <c r="BQ216" s="909"/>
      <c r="BR216" s="909"/>
      <c r="BS216" s="910">
        <v>0</v>
      </c>
      <c r="BT216" s="871">
        <v>0</v>
      </c>
      <c r="BU216" s="911">
        <v>0</v>
      </c>
      <c r="BV216" s="908">
        <v>0</v>
      </c>
      <c r="BW216" s="902">
        <v>66.779013281774539</v>
      </c>
      <c r="BX216" s="902">
        <v>0</v>
      </c>
      <c r="BY216" s="902">
        <v>0</v>
      </c>
      <c r="BZ216" s="902">
        <v>11.998238611200469</v>
      </c>
      <c r="CA216" s="902">
        <v>5.2838039415429474</v>
      </c>
      <c r="CB216" s="902">
        <v>1500</v>
      </c>
      <c r="CC216" s="909"/>
      <c r="CD216" s="909"/>
      <c r="CE216" s="909">
        <v>0</v>
      </c>
      <c r="CF216" s="909"/>
      <c r="CG216" s="909"/>
      <c r="CH216" s="910">
        <v>0</v>
      </c>
      <c r="CI216" s="909">
        <v>0</v>
      </c>
      <c r="CJ216" s="909"/>
      <c r="CK216" s="909"/>
      <c r="CL216" s="910">
        <v>0</v>
      </c>
      <c r="CM216" s="871">
        <v>0</v>
      </c>
      <c r="CN216" s="911">
        <v>0</v>
      </c>
      <c r="CO216" s="908">
        <v>0</v>
      </c>
      <c r="CP216" s="902">
        <v>66.779013281774539</v>
      </c>
      <c r="CQ216" s="902">
        <v>0</v>
      </c>
      <c r="CR216" s="902">
        <v>0</v>
      </c>
      <c r="CS216" s="902">
        <v>11.998238611200469</v>
      </c>
      <c r="CT216" s="902">
        <v>5.2838039415429474</v>
      </c>
      <c r="CU216" s="902">
        <v>1875</v>
      </c>
      <c r="CV216" s="909"/>
      <c r="CW216" s="909"/>
      <c r="CX216" s="909">
        <v>0</v>
      </c>
      <c r="CY216" s="909"/>
      <c r="CZ216" s="909"/>
      <c r="DA216" s="910">
        <v>0</v>
      </c>
      <c r="DB216" s="909">
        <v>0</v>
      </c>
      <c r="DC216" s="909"/>
      <c r="DD216" s="909"/>
      <c r="DE216" s="910">
        <v>0</v>
      </c>
      <c r="DF216" s="871">
        <v>0</v>
      </c>
      <c r="DG216" s="911">
        <v>0</v>
      </c>
      <c r="DH216" s="908">
        <v>0</v>
      </c>
      <c r="DI216" s="902">
        <v>66.779013281774539</v>
      </c>
      <c r="DJ216" s="902">
        <v>0</v>
      </c>
      <c r="DK216" s="902">
        <v>0</v>
      </c>
      <c r="DL216" s="902">
        <v>11.998238611200469</v>
      </c>
      <c r="DM216" s="902">
        <v>5.2838039415429474</v>
      </c>
      <c r="DN216" s="902">
        <v>1500</v>
      </c>
      <c r="DO216" s="909"/>
      <c r="DP216" s="909"/>
      <c r="DQ216" s="909">
        <v>0</v>
      </c>
      <c r="DR216" s="909"/>
      <c r="DS216" s="909"/>
      <c r="DT216" s="910">
        <v>0</v>
      </c>
      <c r="DU216" s="909">
        <v>0</v>
      </c>
      <c r="DV216" s="909"/>
      <c r="DW216" s="909"/>
      <c r="DX216" s="910">
        <v>0</v>
      </c>
      <c r="DY216" s="871">
        <v>0</v>
      </c>
      <c r="DZ216" s="911">
        <v>0</v>
      </c>
      <c r="EA216" s="908">
        <v>0</v>
      </c>
      <c r="EB216" s="902">
        <v>66.779013281774539</v>
      </c>
      <c r="EC216" s="902">
        <v>0</v>
      </c>
      <c r="ED216" s="902">
        <v>0</v>
      </c>
      <c r="EE216" s="902">
        <v>11.998238611200469</v>
      </c>
      <c r="EF216" s="902">
        <v>5.2838039415429474</v>
      </c>
      <c r="EG216" s="902">
        <v>1875</v>
      </c>
      <c r="EH216" s="909"/>
      <c r="EI216" s="909"/>
      <c r="EJ216" s="909">
        <v>0</v>
      </c>
      <c r="EK216" s="909"/>
      <c r="EL216" s="909"/>
      <c r="EM216" s="910">
        <v>0</v>
      </c>
      <c r="EN216" s="909">
        <v>0</v>
      </c>
      <c r="EO216" s="909"/>
      <c r="EP216" s="909"/>
      <c r="EQ216" s="910">
        <v>0</v>
      </c>
      <c r="ER216" s="871">
        <v>0</v>
      </c>
      <c r="ES216" s="911">
        <v>0</v>
      </c>
      <c r="ET216" s="908">
        <v>0</v>
      </c>
      <c r="EU216" s="902">
        <v>66.779013281774539</v>
      </c>
      <c r="EV216" s="902">
        <v>0</v>
      </c>
      <c r="EW216" s="902">
        <v>0</v>
      </c>
      <c r="EX216" s="902">
        <v>11.998238611200469</v>
      </c>
      <c r="EY216" s="902">
        <v>5.2838039415429474</v>
      </c>
      <c r="EZ216" s="902">
        <v>1500</v>
      </c>
      <c r="FA216" s="909"/>
      <c r="FB216" s="909"/>
      <c r="FC216" s="909">
        <v>0</v>
      </c>
      <c r="FD216" s="909"/>
      <c r="FE216" s="909"/>
      <c r="FF216" s="910">
        <v>0</v>
      </c>
      <c r="FG216" s="909">
        <v>0</v>
      </c>
      <c r="FH216" s="909"/>
      <c r="FI216" s="909"/>
      <c r="FJ216" s="910">
        <v>0</v>
      </c>
      <c r="FK216" s="871">
        <v>0</v>
      </c>
      <c r="FL216" s="911">
        <v>0</v>
      </c>
      <c r="FM216" s="908">
        <v>0</v>
      </c>
      <c r="FN216" s="902">
        <v>66.779013281774539</v>
      </c>
      <c r="FO216" s="902">
        <v>0</v>
      </c>
      <c r="FP216" s="902">
        <v>0</v>
      </c>
      <c r="FQ216" s="902">
        <v>11.998238611200469</v>
      </c>
      <c r="FR216" s="902">
        <v>5.2838039415429474</v>
      </c>
      <c r="FS216" s="902">
        <v>1875</v>
      </c>
      <c r="FT216" s="909"/>
      <c r="FU216" s="909"/>
      <c r="FV216" s="909">
        <v>0</v>
      </c>
      <c r="FW216" s="909"/>
      <c r="FX216" s="909"/>
      <c r="FY216" s="910">
        <v>0</v>
      </c>
      <c r="FZ216" s="909">
        <v>0</v>
      </c>
      <c r="GA216" s="909"/>
      <c r="GB216" s="909"/>
      <c r="GC216" s="910">
        <v>0</v>
      </c>
      <c r="GD216" s="871">
        <v>0</v>
      </c>
      <c r="GE216" s="911">
        <v>0</v>
      </c>
      <c r="GF216" s="908">
        <v>0</v>
      </c>
      <c r="GG216" s="902">
        <v>66.779013281774539</v>
      </c>
      <c r="GH216" s="902">
        <v>0</v>
      </c>
      <c r="GI216" s="902">
        <v>0</v>
      </c>
      <c r="GJ216" s="902">
        <v>11.998238611200469</v>
      </c>
      <c r="GK216" s="902">
        <v>5.2838039415429474</v>
      </c>
      <c r="GL216" s="902">
        <v>1500</v>
      </c>
      <c r="GM216" s="909"/>
      <c r="GN216" s="909"/>
      <c r="GO216" s="909">
        <v>0</v>
      </c>
      <c r="GP216" s="909"/>
      <c r="GQ216" s="909"/>
      <c r="GR216" s="910">
        <v>0</v>
      </c>
      <c r="GS216" s="909">
        <v>0</v>
      </c>
      <c r="GT216" s="909"/>
      <c r="GU216" s="909"/>
      <c r="GV216" s="910">
        <v>0</v>
      </c>
      <c r="GW216" s="871">
        <v>0</v>
      </c>
      <c r="GX216" s="911">
        <v>0</v>
      </c>
      <c r="GY216" s="908">
        <v>0</v>
      </c>
      <c r="GZ216" s="902">
        <v>66.779013281774539</v>
      </c>
      <c r="HA216" s="902">
        <v>0</v>
      </c>
      <c r="HB216" s="902">
        <v>0</v>
      </c>
      <c r="HC216" s="902">
        <v>11.998238611200469</v>
      </c>
      <c r="HD216" s="902">
        <v>5.2838039415429474</v>
      </c>
      <c r="HE216" s="902">
        <v>1875</v>
      </c>
      <c r="HF216" s="909"/>
      <c r="HG216" s="909"/>
      <c r="HH216" s="909">
        <v>0</v>
      </c>
      <c r="HI216" s="909"/>
      <c r="HJ216" s="909"/>
      <c r="HK216" s="910">
        <v>0</v>
      </c>
      <c r="HL216" s="909">
        <v>0</v>
      </c>
      <c r="HM216" s="909"/>
      <c r="HN216" s="909"/>
      <c r="HO216" s="910">
        <v>0</v>
      </c>
      <c r="HP216" s="871">
        <v>0</v>
      </c>
      <c r="HQ216" s="911">
        <v>0</v>
      </c>
      <c r="HR216" s="908">
        <v>0</v>
      </c>
      <c r="HS216" s="902">
        <v>66.779013281774539</v>
      </c>
      <c r="HT216" s="902">
        <v>0</v>
      </c>
      <c r="HU216" s="902">
        <v>0</v>
      </c>
      <c r="HV216" s="902">
        <v>11.998238611200469</v>
      </c>
      <c r="HW216" s="902">
        <v>5.2838039415429474</v>
      </c>
      <c r="HX216" s="902">
        <v>1500</v>
      </c>
      <c r="HY216" s="909"/>
      <c r="HZ216" s="909"/>
      <c r="IA216" s="909">
        <v>0</v>
      </c>
      <c r="IB216" s="909"/>
      <c r="IC216" s="909"/>
      <c r="ID216" s="910">
        <v>0</v>
      </c>
      <c r="IE216" s="909">
        <v>0</v>
      </c>
      <c r="IF216" s="909"/>
      <c r="IG216" s="909"/>
      <c r="IH216" s="910">
        <v>0</v>
      </c>
      <c r="II216" s="871">
        <v>0</v>
      </c>
      <c r="IJ216" s="911">
        <v>0</v>
      </c>
      <c r="IK216" s="908">
        <v>0</v>
      </c>
      <c r="IL216" s="902">
        <v>66.779013281774539</v>
      </c>
      <c r="IM216" s="902">
        <v>0</v>
      </c>
      <c r="IN216" s="902">
        <v>0</v>
      </c>
      <c r="IO216" s="902">
        <v>11.998238611200469</v>
      </c>
      <c r="IP216" s="902">
        <v>5.2838039415429474</v>
      </c>
      <c r="IQ216" s="902">
        <v>1875</v>
      </c>
      <c r="IR216" s="909"/>
      <c r="IS216" s="909"/>
      <c r="IT216" s="909">
        <v>0</v>
      </c>
      <c r="IU216" s="909"/>
      <c r="IV216" s="909"/>
      <c r="IW216" s="910">
        <v>0</v>
      </c>
      <c r="IX216" s="909">
        <v>0</v>
      </c>
      <c r="IY216" s="909"/>
      <c r="IZ216" s="909"/>
      <c r="JA216" s="910">
        <v>0</v>
      </c>
      <c r="JB216" s="871">
        <v>0</v>
      </c>
      <c r="JC216" s="911">
        <v>0</v>
      </c>
      <c r="JD216" s="908">
        <v>0</v>
      </c>
      <c r="JE216" s="902">
        <v>66.779013281774539</v>
      </c>
      <c r="JF216" s="902">
        <v>0</v>
      </c>
      <c r="JG216" s="902">
        <v>0</v>
      </c>
      <c r="JH216" s="902">
        <v>11.998238611200469</v>
      </c>
      <c r="JI216" s="902">
        <v>5.2838039415429474</v>
      </c>
      <c r="JJ216" s="902">
        <v>1500</v>
      </c>
      <c r="JK216" s="909"/>
      <c r="JL216" s="909"/>
      <c r="JM216" s="909">
        <v>0</v>
      </c>
      <c r="JN216" s="909"/>
      <c r="JO216" s="909"/>
      <c r="JP216" s="910">
        <v>0</v>
      </c>
      <c r="JQ216" s="909">
        <v>0</v>
      </c>
      <c r="JR216" s="909"/>
      <c r="JS216" s="909"/>
      <c r="JT216" s="910">
        <v>0</v>
      </c>
      <c r="JU216" s="871">
        <v>0</v>
      </c>
      <c r="JV216" s="911">
        <v>0</v>
      </c>
      <c r="JW216" s="908">
        <v>0</v>
      </c>
      <c r="JX216" s="902">
        <v>66.779013281774539</v>
      </c>
      <c r="JY216" s="902">
        <v>0</v>
      </c>
      <c r="JZ216" s="902">
        <v>0</v>
      </c>
      <c r="KA216" s="902">
        <v>11.998238611200469</v>
      </c>
      <c r="KB216" s="902">
        <v>5.2838039415429474</v>
      </c>
      <c r="KC216" s="902">
        <v>1875</v>
      </c>
      <c r="KD216" s="909"/>
      <c r="KE216" s="909"/>
      <c r="KF216" s="909">
        <v>0</v>
      </c>
      <c r="KG216" s="909"/>
      <c r="KH216" s="909"/>
      <c r="KI216" s="910">
        <v>0</v>
      </c>
      <c r="KJ216" s="909">
        <v>0</v>
      </c>
      <c r="KK216" s="909"/>
      <c r="KL216" s="909"/>
      <c r="KM216" s="910">
        <v>0</v>
      </c>
      <c r="KN216" s="871">
        <v>0</v>
      </c>
      <c r="KO216" s="912">
        <v>0</v>
      </c>
    </row>
    <row r="217" spans="1:301" ht="15" customHeight="1">
      <c r="A217" s="924" t="s">
        <v>1649</v>
      </c>
      <c r="B217" s="888" t="s">
        <v>1081</v>
      </c>
      <c r="C217" s="888">
        <v>150.69999999999999</v>
      </c>
      <c r="D217" s="888">
        <v>1100</v>
      </c>
      <c r="E217" s="888">
        <v>0</v>
      </c>
      <c r="F217" s="888">
        <v>0</v>
      </c>
      <c r="G217" s="888">
        <v>28</v>
      </c>
      <c r="H217" s="888">
        <v>70</v>
      </c>
      <c r="I217" s="888">
        <v>70</v>
      </c>
      <c r="J217" s="888"/>
      <c r="K217" s="888"/>
      <c r="L217" s="888">
        <v>28</v>
      </c>
      <c r="M217" s="888">
        <v>24.705464825263359</v>
      </c>
      <c r="N217" s="888">
        <v>2</v>
      </c>
      <c r="O217" s="884">
        <v>14.920208910061325</v>
      </c>
      <c r="P217" s="888">
        <v>2</v>
      </c>
      <c r="Q217" s="884">
        <v>9.7104665427052019</v>
      </c>
      <c r="R217" s="888">
        <v>18</v>
      </c>
      <c r="S217" s="888">
        <v>650</v>
      </c>
      <c r="T217" s="906">
        <v>46.88768130620511</v>
      </c>
      <c r="U217" s="906">
        <v>97.5</v>
      </c>
      <c r="V217" s="906">
        <v>10</v>
      </c>
      <c r="W217" s="1141">
        <v>0.43957201224567299</v>
      </c>
      <c r="X217" s="902">
        <v>0</v>
      </c>
      <c r="Y217" s="902">
        <v>0</v>
      </c>
      <c r="Z217" s="902">
        <v>0</v>
      </c>
      <c r="AA217" s="902">
        <v>0</v>
      </c>
      <c r="AB217" s="970">
        <v>1.8874313415044706</v>
      </c>
      <c r="AC217" s="1045">
        <v>0</v>
      </c>
      <c r="AD217" s="890"/>
      <c r="AE217" s="890"/>
      <c r="AF217" s="890"/>
      <c r="AG217" s="890"/>
      <c r="AH217" s="888"/>
      <c r="AI217" s="907">
        <v>3.8624989786869701</v>
      </c>
      <c r="AJ217" s="908">
        <v>1.5204731272060084</v>
      </c>
      <c r="AK217" s="902">
        <v>73.478401898423314</v>
      </c>
      <c r="AL217" s="902">
        <v>0</v>
      </c>
      <c r="AM217" s="902">
        <v>0</v>
      </c>
      <c r="AN217" s="902">
        <v>20.843249199043154</v>
      </c>
      <c r="AO217" s="902">
        <v>6.9487672422102573</v>
      </c>
      <c r="AP217" s="1222">
        <v>1200</v>
      </c>
      <c r="AQ217" s="909"/>
      <c r="AR217" s="909">
        <v>4</v>
      </c>
      <c r="AS217" s="909">
        <v>0</v>
      </c>
      <c r="AT217" s="909"/>
      <c r="AU217" s="909"/>
      <c r="AV217" s="910">
        <v>0</v>
      </c>
      <c r="AW217" s="909">
        <v>0</v>
      </c>
      <c r="AX217" s="909"/>
      <c r="AY217" s="909"/>
      <c r="AZ217" s="910">
        <v>0</v>
      </c>
      <c r="BA217" s="871">
        <v>0</v>
      </c>
      <c r="BB217" s="911">
        <v>0</v>
      </c>
      <c r="BC217" s="908">
        <v>0</v>
      </c>
      <c r="BD217" s="902">
        <v>71.957928771217311</v>
      </c>
      <c r="BE217" s="902">
        <v>0</v>
      </c>
      <c r="BF217" s="902">
        <v>0</v>
      </c>
      <c r="BG217" s="902">
        <v>20.544116642993028</v>
      </c>
      <c r="BH217" s="902">
        <v>6.7144793455015135</v>
      </c>
      <c r="BI217" s="902">
        <v>1500</v>
      </c>
      <c r="BJ217" s="909"/>
      <c r="BK217" s="909"/>
      <c r="BL217" s="909">
        <v>0</v>
      </c>
      <c r="BM217" s="909"/>
      <c r="BN217" s="909"/>
      <c r="BO217" s="910">
        <v>0</v>
      </c>
      <c r="BP217" s="909">
        <v>0</v>
      </c>
      <c r="BQ217" s="909"/>
      <c r="BR217" s="909"/>
      <c r="BS217" s="910">
        <v>0</v>
      </c>
      <c r="BT217" s="871">
        <v>0</v>
      </c>
      <c r="BU217" s="911">
        <v>0</v>
      </c>
      <c r="BV217" s="908">
        <v>0</v>
      </c>
      <c r="BW217" s="902">
        <v>71.957928771217311</v>
      </c>
      <c r="BX217" s="902">
        <v>0</v>
      </c>
      <c r="BY217" s="902">
        <v>0</v>
      </c>
      <c r="BZ217" s="902">
        <v>20.544116642993028</v>
      </c>
      <c r="CA217" s="902">
        <v>6.7144793455015135</v>
      </c>
      <c r="CB217" s="902">
        <v>1200</v>
      </c>
      <c r="CC217" s="909"/>
      <c r="CD217" s="909"/>
      <c r="CE217" s="909">
        <v>0</v>
      </c>
      <c r="CF217" s="909"/>
      <c r="CG217" s="909"/>
      <c r="CH217" s="910">
        <v>0</v>
      </c>
      <c r="CI217" s="909">
        <v>0</v>
      </c>
      <c r="CJ217" s="909"/>
      <c r="CK217" s="909"/>
      <c r="CL217" s="910">
        <v>0</v>
      </c>
      <c r="CM217" s="871">
        <v>0</v>
      </c>
      <c r="CN217" s="911">
        <v>0</v>
      </c>
      <c r="CO217" s="908">
        <v>0</v>
      </c>
      <c r="CP217" s="902">
        <v>71.957928771217311</v>
      </c>
      <c r="CQ217" s="902">
        <v>0</v>
      </c>
      <c r="CR217" s="902">
        <v>0</v>
      </c>
      <c r="CS217" s="902">
        <v>20.544116642993028</v>
      </c>
      <c r="CT217" s="902">
        <v>6.7144793455015135</v>
      </c>
      <c r="CU217" s="902">
        <v>1500</v>
      </c>
      <c r="CV217" s="909"/>
      <c r="CW217" s="909"/>
      <c r="CX217" s="909">
        <v>0</v>
      </c>
      <c r="CY217" s="909"/>
      <c r="CZ217" s="909"/>
      <c r="DA217" s="910">
        <v>0</v>
      </c>
      <c r="DB217" s="909">
        <v>0</v>
      </c>
      <c r="DC217" s="909"/>
      <c r="DD217" s="909"/>
      <c r="DE217" s="910">
        <v>0</v>
      </c>
      <c r="DF217" s="871">
        <v>0</v>
      </c>
      <c r="DG217" s="911">
        <v>0</v>
      </c>
      <c r="DH217" s="908">
        <v>0</v>
      </c>
      <c r="DI217" s="902">
        <v>71.957928771217311</v>
      </c>
      <c r="DJ217" s="902">
        <v>0</v>
      </c>
      <c r="DK217" s="902">
        <v>0</v>
      </c>
      <c r="DL217" s="902">
        <v>20.544116642993028</v>
      </c>
      <c r="DM217" s="902">
        <v>6.7144793455015135</v>
      </c>
      <c r="DN217" s="902">
        <v>1200</v>
      </c>
      <c r="DO217" s="909"/>
      <c r="DP217" s="909"/>
      <c r="DQ217" s="909">
        <v>0</v>
      </c>
      <c r="DR217" s="909"/>
      <c r="DS217" s="909"/>
      <c r="DT217" s="910">
        <v>0</v>
      </c>
      <c r="DU217" s="909">
        <v>0</v>
      </c>
      <c r="DV217" s="909"/>
      <c r="DW217" s="909"/>
      <c r="DX217" s="910">
        <v>0</v>
      </c>
      <c r="DY217" s="871">
        <v>0</v>
      </c>
      <c r="DZ217" s="911">
        <v>0</v>
      </c>
      <c r="EA217" s="908">
        <v>0</v>
      </c>
      <c r="EB217" s="902">
        <v>71.957928771217311</v>
      </c>
      <c r="EC217" s="902">
        <v>0</v>
      </c>
      <c r="ED217" s="902">
        <v>0</v>
      </c>
      <c r="EE217" s="902">
        <v>20.544116642993028</v>
      </c>
      <c r="EF217" s="902">
        <v>6.7144793455015135</v>
      </c>
      <c r="EG217" s="902">
        <v>1500</v>
      </c>
      <c r="EH217" s="909"/>
      <c r="EI217" s="909"/>
      <c r="EJ217" s="909">
        <v>0</v>
      </c>
      <c r="EK217" s="909"/>
      <c r="EL217" s="909"/>
      <c r="EM217" s="910">
        <v>0</v>
      </c>
      <c r="EN217" s="909">
        <v>0</v>
      </c>
      <c r="EO217" s="909"/>
      <c r="EP217" s="909"/>
      <c r="EQ217" s="910">
        <v>0</v>
      </c>
      <c r="ER217" s="871">
        <v>0</v>
      </c>
      <c r="ES217" s="911">
        <v>0</v>
      </c>
      <c r="ET217" s="908">
        <v>0</v>
      </c>
      <c r="EU217" s="902">
        <v>71.957928771217311</v>
      </c>
      <c r="EV217" s="902">
        <v>0</v>
      </c>
      <c r="EW217" s="902">
        <v>0</v>
      </c>
      <c r="EX217" s="902">
        <v>20.544116642993028</v>
      </c>
      <c r="EY217" s="902">
        <v>6.7144793455015135</v>
      </c>
      <c r="EZ217" s="902">
        <v>1200</v>
      </c>
      <c r="FA217" s="909"/>
      <c r="FB217" s="909"/>
      <c r="FC217" s="909">
        <v>0</v>
      </c>
      <c r="FD217" s="909"/>
      <c r="FE217" s="909"/>
      <c r="FF217" s="910">
        <v>0</v>
      </c>
      <c r="FG217" s="909">
        <v>0</v>
      </c>
      <c r="FH217" s="909"/>
      <c r="FI217" s="909"/>
      <c r="FJ217" s="910">
        <v>0</v>
      </c>
      <c r="FK217" s="871">
        <v>0</v>
      </c>
      <c r="FL217" s="911">
        <v>0</v>
      </c>
      <c r="FM217" s="908">
        <v>0</v>
      </c>
      <c r="FN217" s="902">
        <v>71.957928771217311</v>
      </c>
      <c r="FO217" s="902">
        <v>0</v>
      </c>
      <c r="FP217" s="902">
        <v>0</v>
      </c>
      <c r="FQ217" s="902">
        <v>20.544116642993028</v>
      </c>
      <c r="FR217" s="902">
        <v>6.7144793455015135</v>
      </c>
      <c r="FS217" s="902">
        <v>1500</v>
      </c>
      <c r="FT217" s="909"/>
      <c r="FU217" s="909"/>
      <c r="FV217" s="909">
        <v>0</v>
      </c>
      <c r="FW217" s="909"/>
      <c r="FX217" s="909"/>
      <c r="FY217" s="910">
        <v>0</v>
      </c>
      <c r="FZ217" s="909">
        <v>0</v>
      </c>
      <c r="GA217" s="909"/>
      <c r="GB217" s="909"/>
      <c r="GC217" s="910">
        <v>0</v>
      </c>
      <c r="GD217" s="871">
        <v>0</v>
      </c>
      <c r="GE217" s="911">
        <v>0</v>
      </c>
      <c r="GF217" s="908">
        <v>0</v>
      </c>
      <c r="GG217" s="902">
        <v>71.957928771217311</v>
      </c>
      <c r="GH217" s="902">
        <v>0</v>
      </c>
      <c r="GI217" s="902">
        <v>0</v>
      </c>
      <c r="GJ217" s="902">
        <v>20.544116642993028</v>
      </c>
      <c r="GK217" s="902">
        <v>6.7144793455015135</v>
      </c>
      <c r="GL217" s="902">
        <v>1200</v>
      </c>
      <c r="GM217" s="909"/>
      <c r="GN217" s="909"/>
      <c r="GO217" s="909">
        <v>0</v>
      </c>
      <c r="GP217" s="909"/>
      <c r="GQ217" s="909"/>
      <c r="GR217" s="910">
        <v>0</v>
      </c>
      <c r="GS217" s="909">
        <v>0</v>
      </c>
      <c r="GT217" s="909"/>
      <c r="GU217" s="909"/>
      <c r="GV217" s="910">
        <v>0</v>
      </c>
      <c r="GW217" s="871">
        <v>0</v>
      </c>
      <c r="GX217" s="911">
        <v>0</v>
      </c>
      <c r="GY217" s="908">
        <v>0</v>
      </c>
      <c r="GZ217" s="902">
        <v>71.957928771217311</v>
      </c>
      <c r="HA217" s="902">
        <v>0</v>
      </c>
      <c r="HB217" s="902">
        <v>0</v>
      </c>
      <c r="HC217" s="902">
        <v>20.544116642993028</v>
      </c>
      <c r="HD217" s="902">
        <v>6.7144793455015135</v>
      </c>
      <c r="HE217" s="902">
        <v>1500</v>
      </c>
      <c r="HF217" s="909"/>
      <c r="HG217" s="909"/>
      <c r="HH217" s="909">
        <v>0</v>
      </c>
      <c r="HI217" s="909"/>
      <c r="HJ217" s="909"/>
      <c r="HK217" s="910">
        <v>0</v>
      </c>
      <c r="HL217" s="909">
        <v>0</v>
      </c>
      <c r="HM217" s="909"/>
      <c r="HN217" s="909"/>
      <c r="HO217" s="910">
        <v>0</v>
      </c>
      <c r="HP217" s="871">
        <v>0</v>
      </c>
      <c r="HQ217" s="911">
        <v>0</v>
      </c>
      <c r="HR217" s="908">
        <v>0</v>
      </c>
      <c r="HS217" s="902">
        <v>71.957928771217311</v>
      </c>
      <c r="HT217" s="902">
        <v>0</v>
      </c>
      <c r="HU217" s="902">
        <v>0</v>
      </c>
      <c r="HV217" s="902">
        <v>20.544116642993028</v>
      </c>
      <c r="HW217" s="902">
        <v>6.7144793455015135</v>
      </c>
      <c r="HX217" s="902">
        <v>1200</v>
      </c>
      <c r="HY217" s="909"/>
      <c r="HZ217" s="909"/>
      <c r="IA217" s="909">
        <v>0</v>
      </c>
      <c r="IB217" s="909"/>
      <c r="IC217" s="909"/>
      <c r="ID217" s="910">
        <v>0</v>
      </c>
      <c r="IE217" s="909">
        <v>0</v>
      </c>
      <c r="IF217" s="909"/>
      <c r="IG217" s="909"/>
      <c r="IH217" s="910">
        <v>0</v>
      </c>
      <c r="II217" s="871">
        <v>0</v>
      </c>
      <c r="IJ217" s="911">
        <v>0</v>
      </c>
      <c r="IK217" s="908">
        <v>0</v>
      </c>
      <c r="IL217" s="902">
        <v>71.957928771217311</v>
      </c>
      <c r="IM217" s="902">
        <v>0</v>
      </c>
      <c r="IN217" s="902">
        <v>0</v>
      </c>
      <c r="IO217" s="902">
        <v>20.544116642993028</v>
      </c>
      <c r="IP217" s="902">
        <v>6.7144793455015135</v>
      </c>
      <c r="IQ217" s="902">
        <v>1500</v>
      </c>
      <c r="IR217" s="909"/>
      <c r="IS217" s="909"/>
      <c r="IT217" s="909">
        <v>0</v>
      </c>
      <c r="IU217" s="909"/>
      <c r="IV217" s="909"/>
      <c r="IW217" s="910">
        <v>0</v>
      </c>
      <c r="IX217" s="909">
        <v>0</v>
      </c>
      <c r="IY217" s="909"/>
      <c r="IZ217" s="909"/>
      <c r="JA217" s="910">
        <v>0</v>
      </c>
      <c r="JB217" s="871">
        <v>0</v>
      </c>
      <c r="JC217" s="911">
        <v>0</v>
      </c>
      <c r="JD217" s="908">
        <v>0</v>
      </c>
      <c r="JE217" s="902">
        <v>71.957928771217311</v>
      </c>
      <c r="JF217" s="902">
        <v>0</v>
      </c>
      <c r="JG217" s="902">
        <v>0</v>
      </c>
      <c r="JH217" s="902">
        <v>20.544116642993028</v>
      </c>
      <c r="JI217" s="902">
        <v>6.7144793455015135</v>
      </c>
      <c r="JJ217" s="902">
        <v>1200</v>
      </c>
      <c r="JK217" s="909"/>
      <c r="JL217" s="909"/>
      <c r="JM217" s="909">
        <v>0</v>
      </c>
      <c r="JN217" s="909"/>
      <c r="JO217" s="909"/>
      <c r="JP217" s="910">
        <v>0</v>
      </c>
      <c r="JQ217" s="909">
        <v>0</v>
      </c>
      <c r="JR217" s="909"/>
      <c r="JS217" s="909"/>
      <c r="JT217" s="910">
        <v>0</v>
      </c>
      <c r="JU217" s="871">
        <v>0</v>
      </c>
      <c r="JV217" s="911">
        <v>0</v>
      </c>
      <c r="JW217" s="908">
        <v>0</v>
      </c>
      <c r="JX217" s="902">
        <v>71.957928771217311</v>
      </c>
      <c r="JY217" s="902">
        <v>0</v>
      </c>
      <c r="JZ217" s="902">
        <v>0</v>
      </c>
      <c r="KA217" s="902">
        <v>20.544116642993028</v>
      </c>
      <c r="KB217" s="902">
        <v>6.7144793455015135</v>
      </c>
      <c r="KC217" s="902">
        <v>1500</v>
      </c>
      <c r="KD217" s="909"/>
      <c r="KE217" s="909"/>
      <c r="KF217" s="909">
        <v>0</v>
      </c>
      <c r="KG217" s="909"/>
      <c r="KH217" s="909"/>
      <c r="KI217" s="910">
        <v>0</v>
      </c>
      <c r="KJ217" s="909">
        <v>0</v>
      </c>
      <c r="KK217" s="909"/>
      <c r="KL217" s="909"/>
      <c r="KM217" s="910">
        <v>0</v>
      </c>
      <c r="KN217" s="871">
        <v>0</v>
      </c>
      <c r="KO217" s="912">
        <v>0</v>
      </c>
    </row>
    <row r="218" spans="1:301" ht="15" customHeight="1">
      <c r="A218" s="924" t="s">
        <v>1650</v>
      </c>
      <c r="B218" s="888" t="s">
        <v>1073</v>
      </c>
      <c r="C218" s="888">
        <v>198</v>
      </c>
      <c r="D218" s="888">
        <v>650</v>
      </c>
      <c r="E218" s="888">
        <v>0</v>
      </c>
      <c r="F218" s="888">
        <v>0</v>
      </c>
      <c r="G218" s="888">
        <v>28</v>
      </c>
      <c r="H218" s="888">
        <v>70</v>
      </c>
      <c r="I218" s="888">
        <v>70</v>
      </c>
      <c r="J218" s="888">
        <v>44.89</v>
      </c>
      <c r="K218" s="888">
        <v>33.99</v>
      </c>
      <c r="L218" s="888">
        <v>12</v>
      </c>
      <c r="M218" s="888">
        <v>58.412747822868283</v>
      </c>
      <c r="N218" s="888">
        <v>2</v>
      </c>
      <c r="O218" s="884">
        <v>5.2097423673561236</v>
      </c>
      <c r="P218" s="888">
        <v>2</v>
      </c>
      <c r="Q218" s="884">
        <v>2.7127652563747864</v>
      </c>
      <c r="R218" s="888">
        <v>11</v>
      </c>
      <c r="S218" s="888">
        <v>450</v>
      </c>
      <c r="T218" s="906">
        <v>13.733374110397357</v>
      </c>
      <c r="U218" s="906">
        <v>67.5</v>
      </c>
      <c r="V218" s="906">
        <v>10</v>
      </c>
      <c r="W218" s="1141">
        <v>0.21068244373905035</v>
      </c>
      <c r="X218" s="902">
        <v>0</v>
      </c>
      <c r="Y218" s="902">
        <v>0</v>
      </c>
      <c r="Z218" s="902">
        <v>0</v>
      </c>
      <c r="AA218" s="902">
        <v>0</v>
      </c>
      <c r="AB218" s="970">
        <v>0.72547957280802411</v>
      </c>
      <c r="AC218" s="1045">
        <v>4000</v>
      </c>
      <c r="AD218" s="890"/>
      <c r="AE218" s="890"/>
      <c r="AF218" s="890"/>
      <c r="AG218" s="890"/>
      <c r="AH218" s="888"/>
      <c r="AI218" s="907">
        <v>1.3638748132884393</v>
      </c>
      <c r="AJ218" s="908">
        <v>0.77034731828798697</v>
      </c>
      <c r="AK218" s="902">
        <v>22.6369114961553</v>
      </c>
      <c r="AL218" s="902">
        <v>0</v>
      </c>
      <c r="AM218" s="902">
        <v>0</v>
      </c>
      <c r="AN218" s="902">
        <v>20.804245182354041</v>
      </c>
      <c r="AO218" s="902">
        <v>0.87915939138006316</v>
      </c>
      <c r="AP218" s="1222">
        <v>1500</v>
      </c>
      <c r="AQ218" s="909" t="s">
        <v>1064</v>
      </c>
      <c r="AR218" s="909">
        <v>2</v>
      </c>
      <c r="AS218" s="909">
        <v>0</v>
      </c>
      <c r="AT218" s="909">
        <v>0</v>
      </c>
      <c r="AU218" s="909">
        <v>0</v>
      </c>
      <c r="AV218" s="910">
        <v>2226.4861329104965</v>
      </c>
      <c r="AW218" s="909">
        <v>0</v>
      </c>
      <c r="AX218" s="909">
        <v>0</v>
      </c>
      <c r="AY218" s="909">
        <v>0</v>
      </c>
      <c r="AZ218" s="910">
        <v>1745.4204217724769</v>
      </c>
      <c r="BA218" s="871">
        <v>1745.4204217724769</v>
      </c>
      <c r="BB218" s="911">
        <v>59.403499723381785</v>
      </c>
      <c r="BC218" s="908">
        <v>1.1555209774319803</v>
      </c>
      <c r="BD218" s="902">
        <v>23.022085155299294</v>
      </c>
      <c r="BE218" s="902">
        <v>0</v>
      </c>
      <c r="BF218" s="902">
        <v>0</v>
      </c>
      <c r="BG218" s="902">
        <v>21.041748900654945</v>
      </c>
      <c r="BH218" s="902">
        <v>0.90138891877024041</v>
      </c>
      <c r="BI218" s="902">
        <v>1875</v>
      </c>
      <c r="BJ218" s="909" t="s">
        <v>1064</v>
      </c>
      <c r="BK218" s="909">
        <v>3</v>
      </c>
      <c r="BL218" s="909">
        <v>0</v>
      </c>
      <c r="BM218" s="909">
        <v>0</v>
      </c>
      <c r="BN218" s="909">
        <v>0</v>
      </c>
      <c r="BO218" s="910">
        <v>2913.190811846051</v>
      </c>
      <c r="BP218" s="909">
        <v>0</v>
      </c>
      <c r="BQ218" s="909">
        <v>0</v>
      </c>
      <c r="BR218" s="909">
        <v>0</v>
      </c>
      <c r="BS218" s="910">
        <v>2283.752258932413</v>
      </c>
      <c r="BT218" s="871">
        <v>2283.752258932413</v>
      </c>
      <c r="BU218" s="911">
        <v>77.725042625545939</v>
      </c>
      <c r="BV218" s="908">
        <v>1.1555209774319803</v>
      </c>
      <c r="BW218" s="902">
        <v>24.146347208024689</v>
      </c>
      <c r="BX218" s="902">
        <v>0.17374680959743566</v>
      </c>
      <c r="BY218" s="902">
        <v>0.95051524312795854</v>
      </c>
      <c r="BZ218" s="902">
        <v>21.691649769643981</v>
      </c>
      <c r="CA218" s="902">
        <v>0.99797161263020806</v>
      </c>
      <c r="CB218" s="902">
        <v>1500</v>
      </c>
      <c r="CC218" s="909" t="s">
        <v>2874</v>
      </c>
      <c r="CD218" s="909">
        <v>3</v>
      </c>
      <c r="CE218" s="909">
        <v>1</v>
      </c>
      <c r="CF218" s="909">
        <v>3</v>
      </c>
      <c r="CG218" s="909">
        <v>25.343364293579452</v>
      </c>
      <c r="CH218" s="910">
        <v>4737.4516397845</v>
      </c>
      <c r="CI218" s="909">
        <v>2</v>
      </c>
      <c r="CJ218" s="909">
        <v>3</v>
      </c>
      <c r="CK218" s="909">
        <v>20.075386093356681</v>
      </c>
      <c r="CL218" s="910">
        <v>3759.7813982784828</v>
      </c>
      <c r="CM218" s="871">
        <v>3759.7813982784828</v>
      </c>
      <c r="CN218" s="911">
        <v>127.96010088263179</v>
      </c>
      <c r="CO218" s="908">
        <v>1.1555209774319803</v>
      </c>
      <c r="CP218" s="902">
        <v>24.146347208024689</v>
      </c>
      <c r="CQ218" s="902">
        <v>0.17374680959743566</v>
      </c>
      <c r="CR218" s="902">
        <v>0.95051524312795854</v>
      </c>
      <c r="CS218" s="902">
        <v>21.691649769643981</v>
      </c>
      <c r="CT218" s="902">
        <v>0.99797161263020806</v>
      </c>
      <c r="CU218" s="902">
        <v>1875</v>
      </c>
      <c r="CV218" s="909" t="s">
        <v>2874</v>
      </c>
      <c r="CW218" s="909">
        <v>3</v>
      </c>
      <c r="CX218" s="909">
        <v>1</v>
      </c>
      <c r="CY218" s="909">
        <v>3</v>
      </c>
      <c r="CZ218" s="909">
        <v>25.343364293579452</v>
      </c>
      <c r="DA218" s="910">
        <v>4737.4516397845</v>
      </c>
      <c r="DB218" s="909">
        <v>2</v>
      </c>
      <c r="DC218" s="909">
        <v>3</v>
      </c>
      <c r="DD218" s="909">
        <v>20.075386093356681</v>
      </c>
      <c r="DE218" s="910">
        <v>3759.7813982784828</v>
      </c>
      <c r="DF218" s="871">
        <v>3759.7813982784828</v>
      </c>
      <c r="DG218" s="911">
        <v>127.96010088263179</v>
      </c>
      <c r="DH218" s="908">
        <v>0.77034731828798697</v>
      </c>
      <c r="DI218" s="902">
        <v>23.386419531305563</v>
      </c>
      <c r="DJ218" s="902">
        <v>0.11583120639829045</v>
      </c>
      <c r="DK218" s="902">
        <v>0.6336768287519724</v>
      </c>
      <c r="DL218" s="902">
        <v>21.259202910560617</v>
      </c>
      <c r="DM218" s="902">
        <v>0.94354785395337493</v>
      </c>
      <c r="DN218" s="902">
        <v>1500</v>
      </c>
      <c r="DO218" s="909" t="s">
        <v>2876</v>
      </c>
      <c r="DP218" s="909">
        <v>2</v>
      </c>
      <c r="DQ218" s="909">
        <v>1</v>
      </c>
      <c r="DR218" s="909">
        <v>2</v>
      </c>
      <c r="DS218" s="909">
        <v>25.343364293579452</v>
      </c>
      <c r="DT218" s="910">
        <v>5252.3078941517742</v>
      </c>
      <c r="DU218" s="909">
        <v>2</v>
      </c>
      <c r="DV218" s="909">
        <v>2</v>
      </c>
      <c r="DW218" s="909">
        <v>20.075386093356681</v>
      </c>
      <c r="DX218" s="910">
        <v>4168.3865124080412</v>
      </c>
      <c r="DY218" s="871">
        <v>4000</v>
      </c>
      <c r="DZ218" s="911">
        <v>136.1356816555577</v>
      </c>
      <c r="EA218" s="908">
        <v>0.77034731828798697</v>
      </c>
      <c r="EB218" s="902">
        <v>23.386419531305563</v>
      </c>
      <c r="EC218" s="902">
        <v>0.11583120639829045</v>
      </c>
      <c r="ED218" s="902">
        <v>0.6336768287519724</v>
      </c>
      <c r="EE218" s="902">
        <v>21.259202910560617</v>
      </c>
      <c r="EF218" s="902">
        <v>0.94354785395337493</v>
      </c>
      <c r="EG218" s="902">
        <v>1875</v>
      </c>
      <c r="EH218" s="909" t="s">
        <v>2876</v>
      </c>
      <c r="EI218" s="909">
        <v>2</v>
      </c>
      <c r="EJ218" s="909">
        <v>1</v>
      </c>
      <c r="EK218" s="909">
        <v>2</v>
      </c>
      <c r="EL218" s="909">
        <v>25.343364293579452</v>
      </c>
      <c r="EM218" s="910">
        <v>5252.3078941517742</v>
      </c>
      <c r="EN218" s="909">
        <v>2</v>
      </c>
      <c r="EO218" s="909">
        <v>2</v>
      </c>
      <c r="EP218" s="909">
        <v>20.075386093356681</v>
      </c>
      <c r="EQ218" s="910">
        <v>4168.3865124080412</v>
      </c>
      <c r="ER218" s="871">
        <v>4000</v>
      </c>
      <c r="ES218" s="911">
        <v>136.1356816555577</v>
      </c>
      <c r="ET218" s="908">
        <v>0.77034731828798697</v>
      </c>
      <c r="EU218" s="902">
        <v>22.953749910531286</v>
      </c>
      <c r="EV218" s="902">
        <v>0</v>
      </c>
      <c r="EW218" s="902">
        <v>0.3168384143759862</v>
      </c>
      <c r="EX218" s="902">
        <v>21.000194012711805</v>
      </c>
      <c r="EY218" s="902">
        <v>0.91062208279912737</v>
      </c>
      <c r="EZ218" s="902">
        <v>1500</v>
      </c>
      <c r="FA218" s="909" t="s">
        <v>2877</v>
      </c>
      <c r="FB218" s="909">
        <v>2</v>
      </c>
      <c r="FC218" s="909">
        <v>0</v>
      </c>
      <c r="FD218" s="909">
        <v>0</v>
      </c>
      <c r="FE218" s="909">
        <v>0</v>
      </c>
      <c r="FF218" s="910">
        <v>1852.5484422273055</v>
      </c>
      <c r="FG218" s="909">
        <v>1</v>
      </c>
      <c r="FH218" s="909">
        <v>2</v>
      </c>
      <c r="FI218" s="909">
        <v>20.075386093356681</v>
      </c>
      <c r="FJ218" s="910">
        <v>4790.7917392849649</v>
      </c>
      <c r="FK218" s="871">
        <v>1852.5484422273055</v>
      </c>
      <c r="FL218" s="911">
        <v>63.049486245638946</v>
      </c>
      <c r="FM218" s="908">
        <v>0.77034731828798697</v>
      </c>
      <c r="FN218" s="902">
        <v>23.386419531305563</v>
      </c>
      <c r="FO218" s="902">
        <v>0.11583120639829045</v>
      </c>
      <c r="FP218" s="902">
        <v>0.6336768287519724</v>
      </c>
      <c r="FQ218" s="902">
        <v>21.259202910560617</v>
      </c>
      <c r="FR218" s="902">
        <v>0.94354785395337493</v>
      </c>
      <c r="FS218" s="902">
        <v>1875</v>
      </c>
      <c r="FT218" s="909" t="s">
        <v>2877</v>
      </c>
      <c r="FU218" s="909">
        <v>2</v>
      </c>
      <c r="FV218" s="909">
        <v>1</v>
      </c>
      <c r="FW218" s="909">
        <v>2</v>
      </c>
      <c r="FX218" s="909">
        <v>25.343364293579452</v>
      </c>
      <c r="FY218" s="910">
        <v>6487.0228204995228</v>
      </c>
      <c r="FZ218" s="909">
        <v>2</v>
      </c>
      <c r="GA218" s="909">
        <v>2</v>
      </c>
      <c r="GB218" s="909">
        <v>20.075386093356681</v>
      </c>
      <c r="GC218" s="910">
        <v>5148.292707813599</v>
      </c>
      <c r="GD218" s="871">
        <v>4000</v>
      </c>
      <c r="GE218" s="911">
        <v>136.1356816555577</v>
      </c>
      <c r="GF218" s="908">
        <v>0.77034731828798697</v>
      </c>
      <c r="GG218" s="902">
        <v>22.953749910531286</v>
      </c>
      <c r="GH218" s="902">
        <v>0</v>
      </c>
      <c r="GI218" s="902">
        <v>0.3168384143759862</v>
      </c>
      <c r="GJ218" s="902">
        <v>21.000194012711805</v>
      </c>
      <c r="GK218" s="902">
        <v>0.91062208279912737</v>
      </c>
      <c r="GL218" s="902">
        <v>1500</v>
      </c>
      <c r="GM218" s="909" t="s">
        <v>2877</v>
      </c>
      <c r="GN218" s="909">
        <v>2</v>
      </c>
      <c r="GO218" s="909">
        <v>0</v>
      </c>
      <c r="GP218" s="909">
        <v>0</v>
      </c>
      <c r="GQ218" s="909">
        <v>0</v>
      </c>
      <c r="GR218" s="910">
        <v>1852.5484422273055</v>
      </c>
      <c r="GS218" s="909">
        <v>1</v>
      </c>
      <c r="GT218" s="909">
        <v>2</v>
      </c>
      <c r="GU218" s="909">
        <v>20.075386093356681</v>
      </c>
      <c r="GV218" s="910">
        <v>4790.7917392849649</v>
      </c>
      <c r="GW218" s="871">
        <v>1852.5484422273055</v>
      </c>
      <c r="GX218" s="911">
        <v>63.049486245638946</v>
      </c>
      <c r="GY218" s="908">
        <v>0.77034731828798697</v>
      </c>
      <c r="GZ218" s="902">
        <v>23.386419531305563</v>
      </c>
      <c r="HA218" s="902">
        <v>0.11583120639829045</v>
      </c>
      <c r="HB218" s="902">
        <v>0.6336768287519724</v>
      </c>
      <c r="HC218" s="902">
        <v>21.259202910560617</v>
      </c>
      <c r="HD218" s="902">
        <v>0.94354785395337493</v>
      </c>
      <c r="HE218" s="902">
        <v>1875</v>
      </c>
      <c r="HF218" s="909" t="s">
        <v>2877</v>
      </c>
      <c r="HG218" s="909">
        <v>2</v>
      </c>
      <c r="HH218" s="909">
        <v>1</v>
      </c>
      <c r="HI218" s="909">
        <v>2</v>
      </c>
      <c r="HJ218" s="909">
        <v>25.343364293579452</v>
      </c>
      <c r="HK218" s="910">
        <v>6487.0228204995228</v>
      </c>
      <c r="HL218" s="909">
        <v>2</v>
      </c>
      <c r="HM218" s="909">
        <v>2</v>
      </c>
      <c r="HN218" s="909">
        <v>20.075386093356681</v>
      </c>
      <c r="HO218" s="910">
        <v>5148.292707813599</v>
      </c>
      <c r="HP218" s="871">
        <v>4000</v>
      </c>
      <c r="HQ218" s="911">
        <v>136.1356816555577</v>
      </c>
      <c r="HR218" s="908">
        <v>1.1555209774319803</v>
      </c>
      <c r="HS218" s="902">
        <v>23.022085155299294</v>
      </c>
      <c r="HT218" s="902">
        <v>0</v>
      </c>
      <c r="HU218" s="902">
        <v>0</v>
      </c>
      <c r="HV218" s="902">
        <v>21.041748900654945</v>
      </c>
      <c r="HW218" s="902">
        <v>0.90138891877024041</v>
      </c>
      <c r="HX218" s="902">
        <v>1500</v>
      </c>
      <c r="HY218" s="909" t="s">
        <v>1063</v>
      </c>
      <c r="HZ218" s="909">
        <v>3</v>
      </c>
      <c r="IA218" s="909">
        <v>0</v>
      </c>
      <c r="IB218" s="909">
        <v>0</v>
      </c>
      <c r="IC218" s="909">
        <v>0</v>
      </c>
      <c r="ID218" s="910">
        <v>2137.6976281750813</v>
      </c>
      <c r="IE218" s="909">
        <v>0</v>
      </c>
      <c r="IF218" s="909">
        <v>0</v>
      </c>
      <c r="IG218" s="909">
        <v>0</v>
      </c>
      <c r="IH218" s="910">
        <v>1675.8160047077938</v>
      </c>
      <c r="II218" s="871">
        <v>1675.8160047077938</v>
      </c>
      <c r="IJ218" s="911">
        <v>57.034588532547204</v>
      </c>
      <c r="IK218" s="908">
        <v>1.5406946365759739</v>
      </c>
      <c r="IL218" s="902">
        <v>23.407258814443288</v>
      </c>
      <c r="IM218" s="902">
        <v>0</v>
      </c>
      <c r="IN218" s="902">
        <v>0</v>
      </c>
      <c r="IO218" s="902">
        <v>21.271436225164209</v>
      </c>
      <c r="IP218" s="902">
        <v>0.92361844616041777</v>
      </c>
      <c r="IQ218" s="902">
        <v>1875</v>
      </c>
      <c r="IR218" s="909" t="s">
        <v>1063</v>
      </c>
      <c r="IS218" s="909">
        <v>4</v>
      </c>
      <c r="IT218" s="909">
        <v>0</v>
      </c>
      <c r="IU218" s="909">
        <v>0</v>
      </c>
      <c r="IV218" s="909">
        <v>0</v>
      </c>
      <c r="IW218" s="910">
        <v>2990.4643533156336</v>
      </c>
      <c r="IX218" s="909">
        <v>0</v>
      </c>
      <c r="IY218" s="909">
        <v>0</v>
      </c>
      <c r="IZ218" s="909">
        <v>0</v>
      </c>
      <c r="JA218" s="910">
        <v>2344.3296931908435</v>
      </c>
      <c r="JB218" s="871">
        <v>2344.3296931908435</v>
      </c>
      <c r="JC218" s="911">
        <v>79.786730201974976</v>
      </c>
      <c r="JD218" s="908">
        <v>0.77034731828798697</v>
      </c>
      <c r="JE218" s="902">
        <v>22.6369114961553</v>
      </c>
      <c r="JF218" s="902">
        <v>0</v>
      </c>
      <c r="JG218" s="902">
        <v>0</v>
      </c>
      <c r="JH218" s="902">
        <v>20.804245182354041</v>
      </c>
      <c r="JI218" s="902">
        <v>0.87915939138006316</v>
      </c>
      <c r="JJ218" s="902">
        <v>1500</v>
      </c>
      <c r="JK218" s="909" t="s">
        <v>1064</v>
      </c>
      <c r="JL218" s="909">
        <v>2</v>
      </c>
      <c r="JM218" s="909">
        <v>0</v>
      </c>
      <c r="JN218" s="909">
        <v>0</v>
      </c>
      <c r="JO218" s="909">
        <v>0</v>
      </c>
      <c r="JP218" s="910">
        <v>2226.4861329104965</v>
      </c>
      <c r="JQ218" s="909">
        <v>0</v>
      </c>
      <c r="JR218" s="909">
        <v>0</v>
      </c>
      <c r="JS218" s="909">
        <v>0</v>
      </c>
      <c r="JT218" s="910">
        <v>1745.4204217724769</v>
      </c>
      <c r="JU218" s="871">
        <v>1745.4204217724769</v>
      </c>
      <c r="JV218" s="911">
        <v>59.403499723381785</v>
      </c>
      <c r="JW218" s="908">
        <v>1.1555209774319803</v>
      </c>
      <c r="JX218" s="902">
        <v>23.022085155299294</v>
      </c>
      <c r="JY218" s="902">
        <v>0</v>
      </c>
      <c r="JZ218" s="902">
        <v>0</v>
      </c>
      <c r="KA218" s="902">
        <v>21.041748900654945</v>
      </c>
      <c r="KB218" s="902">
        <v>0.90138891877024041</v>
      </c>
      <c r="KC218" s="902">
        <v>1875</v>
      </c>
      <c r="KD218" s="909" t="s">
        <v>1064</v>
      </c>
      <c r="KE218" s="909">
        <v>3</v>
      </c>
      <c r="KF218" s="909">
        <v>0</v>
      </c>
      <c r="KG218" s="909">
        <v>0</v>
      </c>
      <c r="KH218" s="909">
        <v>0</v>
      </c>
      <c r="KI218" s="910">
        <v>2913.190811846051</v>
      </c>
      <c r="KJ218" s="909">
        <v>0</v>
      </c>
      <c r="KK218" s="909">
        <v>0</v>
      </c>
      <c r="KL218" s="909">
        <v>0</v>
      </c>
      <c r="KM218" s="910">
        <v>2283.752258932413</v>
      </c>
      <c r="KN218" s="871">
        <v>2283.752258932413</v>
      </c>
      <c r="KO218" s="912">
        <v>77.725042625545939</v>
      </c>
    </row>
    <row r="219" spans="1:301" ht="15" customHeight="1">
      <c r="A219" s="924" t="s">
        <v>1651</v>
      </c>
      <c r="B219" s="888" t="s">
        <v>1073</v>
      </c>
      <c r="C219" s="888">
        <v>198</v>
      </c>
      <c r="D219" s="888">
        <v>700</v>
      </c>
      <c r="E219" s="888">
        <v>0</v>
      </c>
      <c r="F219" s="888">
        <v>0</v>
      </c>
      <c r="G219" s="888">
        <v>28</v>
      </c>
      <c r="H219" s="888">
        <v>70</v>
      </c>
      <c r="I219" s="888">
        <v>70</v>
      </c>
      <c r="J219" s="888">
        <v>48.53</v>
      </c>
      <c r="K219" s="888">
        <v>35.15</v>
      </c>
      <c r="L219" s="888">
        <v>12</v>
      </c>
      <c r="M219" s="888">
        <v>58.412747822868283</v>
      </c>
      <c r="N219" s="888">
        <v>2</v>
      </c>
      <c r="O219" s="884">
        <v>6.04206807101657</v>
      </c>
      <c r="P219" s="888">
        <v>2</v>
      </c>
      <c r="Q219" s="884">
        <v>2.9593802796815853</v>
      </c>
      <c r="R219" s="888">
        <v>11</v>
      </c>
      <c r="S219" s="888">
        <v>500</v>
      </c>
      <c r="T219" s="906">
        <v>16.954782852342415</v>
      </c>
      <c r="U219" s="906">
        <v>75</v>
      </c>
      <c r="V219" s="906">
        <v>10</v>
      </c>
      <c r="W219" s="1141">
        <v>0.26010178239388937</v>
      </c>
      <c r="X219" s="902">
        <v>0</v>
      </c>
      <c r="Y219" s="902">
        <v>0</v>
      </c>
      <c r="Z219" s="902">
        <v>0</v>
      </c>
      <c r="AA219" s="902">
        <v>0</v>
      </c>
      <c r="AB219" s="970">
        <v>0.84328663615897759</v>
      </c>
      <c r="AC219" s="1045">
        <v>4000</v>
      </c>
      <c r="AD219" s="890"/>
      <c r="AE219" s="890"/>
      <c r="AF219" s="890"/>
      <c r="AG219" s="890"/>
      <c r="AH219" s="888"/>
      <c r="AI219" s="907">
        <v>1.57593231740575</v>
      </c>
      <c r="AJ219" s="908">
        <v>0.77034731828798697</v>
      </c>
      <c r="AK219" s="902">
        <v>26.986680303722444</v>
      </c>
      <c r="AL219" s="902">
        <v>0</v>
      </c>
      <c r="AM219" s="902">
        <v>0</v>
      </c>
      <c r="AN219" s="902">
        <v>20.284751952809284</v>
      </c>
      <c r="AO219" s="902">
        <v>1.2246151696344216</v>
      </c>
      <c r="AP219" s="1222">
        <v>1500</v>
      </c>
      <c r="AQ219" s="909" t="s">
        <v>1064</v>
      </c>
      <c r="AR219" s="909">
        <v>2</v>
      </c>
      <c r="AS219" s="909">
        <v>0</v>
      </c>
      <c r="AT219" s="909">
        <v>0</v>
      </c>
      <c r="AU219" s="909">
        <v>0</v>
      </c>
      <c r="AV219" s="910">
        <v>2201.7732498441351</v>
      </c>
      <c r="AW219" s="909">
        <v>0</v>
      </c>
      <c r="AX219" s="909">
        <v>0</v>
      </c>
      <c r="AY219" s="909">
        <v>0</v>
      </c>
      <c r="AZ219" s="910">
        <v>1693.7031234017702</v>
      </c>
      <c r="BA219" s="871">
        <v>1693.7031234017702</v>
      </c>
      <c r="BB219" s="911">
        <v>62.077461714812692</v>
      </c>
      <c r="BC219" s="908">
        <v>1.1555209774319803</v>
      </c>
      <c r="BD219" s="902">
        <v>27.371853962866439</v>
      </c>
      <c r="BE219" s="902">
        <v>0</v>
      </c>
      <c r="BF219" s="902">
        <v>0</v>
      </c>
      <c r="BG219" s="902">
        <v>20.491823272977701</v>
      </c>
      <c r="BH219" s="902">
        <v>1.2500945997736264</v>
      </c>
      <c r="BI219" s="902">
        <v>1875</v>
      </c>
      <c r="BJ219" s="909" t="s">
        <v>1064</v>
      </c>
      <c r="BK219" s="909">
        <v>3</v>
      </c>
      <c r="BL219" s="909">
        <v>0</v>
      </c>
      <c r="BM219" s="909">
        <v>0</v>
      </c>
      <c r="BN219" s="909">
        <v>0</v>
      </c>
      <c r="BO219" s="910">
        <v>2880.8558501236362</v>
      </c>
      <c r="BP219" s="909">
        <v>0</v>
      </c>
      <c r="BQ219" s="909">
        <v>0</v>
      </c>
      <c r="BR219" s="909">
        <v>0</v>
      </c>
      <c r="BS219" s="910">
        <v>2216.0840367054479</v>
      </c>
      <c r="BT219" s="871">
        <v>2216.0840367054479</v>
      </c>
      <c r="BU219" s="911">
        <v>81.223722176933563</v>
      </c>
      <c r="BV219" s="908">
        <v>1.1555209774319803</v>
      </c>
      <c r="BW219" s="902">
        <v>29.170564862603577</v>
      </c>
      <c r="BX219" s="902">
        <v>0.24129030957107134</v>
      </c>
      <c r="BY219" s="902">
        <v>1.5574205901660685</v>
      </c>
      <c r="BZ219" s="902">
        <v>21.386424242726584</v>
      </c>
      <c r="CA219" s="902">
        <v>1.4331934944649316</v>
      </c>
      <c r="CB219" s="902">
        <v>1500</v>
      </c>
      <c r="CC219" s="909" t="s">
        <v>2874</v>
      </c>
      <c r="CD219" s="909">
        <v>3</v>
      </c>
      <c r="CE219" s="909">
        <v>1</v>
      </c>
      <c r="CF219" s="909">
        <v>4</v>
      </c>
      <c r="CG219" s="909">
        <v>26.477663327847459</v>
      </c>
      <c r="CH219" s="910">
        <v>4720.087528315089</v>
      </c>
      <c r="CI219" s="909">
        <v>3</v>
      </c>
      <c r="CJ219" s="909">
        <v>3</v>
      </c>
      <c r="CK219" s="909">
        <v>20.34384326220561</v>
      </c>
      <c r="CL219" s="910">
        <v>3664.2171507693342</v>
      </c>
      <c r="CM219" s="871">
        <v>3664.2171507693342</v>
      </c>
      <c r="CN219" s="911">
        <v>134.30057295683775</v>
      </c>
      <c r="CO219" s="908">
        <v>1.1555209774319803</v>
      </c>
      <c r="CP219" s="902">
        <v>29.170564862603577</v>
      </c>
      <c r="CQ219" s="902">
        <v>0.24129030957107134</v>
      </c>
      <c r="CR219" s="902">
        <v>1.5574205901660685</v>
      </c>
      <c r="CS219" s="902">
        <v>21.386424242726584</v>
      </c>
      <c r="CT219" s="902">
        <v>1.4331934944649316</v>
      </c>
      <c r="CU219" s="902">
        <v>1875</v>
      </c>
      <c r="CV219" s="909" t="s">
        <v>2874</v>
      </c>
      <c r="CW219" s="909">
        <v>3</v>
      </c>
      <c r="CX219" s="909">
        <v>1</v>
      </c>
      <c r="CY219" s="909">
        <v>4</v>
      </c>
      <c r="CZ219" s="909">
        <v>26.477663327847459</v>
      </c>
      <c r="DA219" s="910">
        <v>4720.087528315089</v>
      </c>
      <c r="DB219" s="909">
        <v>3</v>
      </c>
      <c r="DC219" s="909">
        <v>3</v>
      </c>
      <c r="DD219" s="909">
        <v>20.34384326220561</v>
      </c>
      <c r="DE219" s="910">
        <v>3664.2171507693342</v>
      </c>
      <c r="DF219" s="871">
        <v>3664.2171507693342</v>
      </c>
      <c r="DG219" s="911">
        <v>134.30057295683775</v>
      </c>
      <c r="DH219" s="908">
        <v>0.77034731828798697</v>
      </c>
      <c r="DI219" s="902">
        <v>27.799512387470678</v>
      </c>
      <c r="DJ219" s="902">
        <v>0.12064515478553567</v>
      </c>
      <c r="DK219" s="902">
        <v>0.69218692896269696</v>
      </c>
      <c r="DL219" s="902">
        <v>20.715012223793785</v>
      </c>
      <c r="DM219" s="902">
        <v>1.306163676062434</v>
      </c>
      <c r="DN219" s="902">
        <v>1500</v>
      </c>
      <c r="DO219" s="909" t="s">
        <v>2876</v>
      </c>
      <c r="DP219" s="909">
        <v>2</v>
      </c>
      <c r="DQ219" s="909">
        <v>1</v>
      </c>
      <c r="DR219" s="909">
        <v>2</v>
      </c>
      <c r="DS219" s="909">
        <v>26.477663327847459</v>
      </c>
      <c r="DT219" s="910">
        <v>4860.5525505787591</v>
      </c>
      <c r="DU219" s="909">
        <v>2</v>
      </c>
      <c r="DV219" s="909">
        <v>2</v>
      </c>
      <c r="DW219" s="909">
        <v>20.34384326220561</v>
      </c>
      <c r="DX219" s="910">
        <v>3868.9646205929871</v>
      </c>
      <c r="DY219" s="871">
        <v>3868.9646205929871</v>
      </c>
      <c r="DZ219" s="911">
        <v>141.80495967229373</v>
      </c>
      <c r="EA219" s="908">
        <v>0.77034731828798697</v>
      </c>
      <c r="EB219" s="902">
        <v>27.799512387470678</v>
      </c>
      <c r="EC219" s="902">
        <v>0.12064515478553567</v>
      </c>
      <c r="ED219" s="902">
        <v>0.69218692896269696</v>
      </c>
      <c r="EE219" s="902">
        <v>20.715012223793785</v>
      </c>
      <c r="EF219" s="902">
        <v>1.306163676062434</v>
      </c>
      <c r="EG219" s="902">
        <v>1875</v>
      </c>
      <c r="EH219" s="909" t="s">
        <v>2876</v>
      </c>
      <c r="EI219" s="909">
        <v>2</v>
      </c>
      <c r="EJ219" s="909">
        <v>1</v>
      </c>
      <c r="EK219" s="909">
        <v>2</v>
      </c>
      <c r="EL219" s="909">
        <v>26.477663327847459</v>
      </c>
      <c r="EM219" s="910">
        <v>4860.5525505787591</v>
      </c>
      <c r="EN219" s="909">
        <v>2</v>
      </c>
      <c r="EO219" s="909">
        <v>2</v>
      </c>
      <c r="EP219" s="909">
        <v>20.34384326220561</v>
      </c>
      <c r="EQ219" s="910">
        <v>3868.9646205929871</v>
      </c>
      <c r="ER219" s="871">
        <v>3868.9646205929871</v>
      </c>
      <c r="ES219" s="911">
        <v>141.80495967229373</v>
      </c>
      <c r="ET219" s="908">
        <v>0.77034731828798697</v>
      </c>
      <c r="EU219" s="902">
        <v>27.332773768203793</v>
      </c>
      <c r="EV219" s="902">
        <v>0</v>
      </c>
      <c r="EW219" s="902">
        <v>0.34609346448134848</v>
      </c>
      <c r="EX219" s="902">
        <v>20.471079590850874</v>
      </c>
      <c r="EY219" s="902">
        <v>1.2646189333049831</v>
      </c>
      <c r="EZ219" s="902">
        <v>1500</v>
      </c>
      <c r="FA219" s="909" t="s">
        <v>2877</v>
      </c>
      <c r="FB219" s="909">
        <v>2</v>
      </c>
      <c r="FC219" s="909">
        <v>0</v>
      </c>
      <c r="FD219" s="909">
        <v>0</v>
      </c>
      <c r="FE219" s="909">
        <v>0</v>
      </c>
      <c r="FF219" s="910">
        <v>1831.9860805980034</v>
      </c>
      <c r="FG219" s="909">
        <v>1</v>
      </c>
      <c r="FH219" s="909">
        <v>2</v>
      </c>
      <c r="FI219" s="909">
        <v>20.34384326220561</v>
      </c>
      <c r="FJ219" s="910">
        <v>4446.3632206111834</v>
      </c>
      <c r="FK219" s="871">
        <v>1831.9860805980034</v>
      </c>
      <c r="FL219" s="911">
        <v>67.145796809996867</v>
      </c>
      <c r="FM219" s="908">
        <v>0.77034731828798697</v>
      </c>
      <c r="FN219" s="902">
        <v>27.799512387470678</v>
      </c>
      <c r="FO219" s="902">
        <v>0.12064515478553567</v>
      </c>
      <c r="FP219" s="902">
        <v>0.69218692896269696</v>
      </c>
      <c r="FQ219" s="902">
        <v>20.715012223793785</v>
      </c>
      <c r="FR219" s="902">
        <v>1.306163676062434</v>
      </c>
      <c r="FS219" s="902">
        <v>1875</v>
      </c>
      <c r="FT219" s="909" t="s">
        <v>2877</v>
      </c>
      <c r="FU219" s="909">
        <v>2</v>
      </c>
      <c r="FV219" s="909">
        <v>1</v>
      </c>
      <c r="FW219" s="909">
        <v>2</v>
      </c>
      <c r="FX219" s="909">
        <v>26.477663327847459</v>
      </c>
      <c r="FY219" s="910">
        <v>6003.173452750073</v>
      </c>
      <c r="FZ219" s="909">
        <v>2</v>
      </c>
      <c r="GA219" s="909">
        <v>2</v>
      </c>
      <c r="GB219" s="909">
        <v>20.34384326220561</v>
      </c>
      <c r="GC219" s="910">
        <v>4778.4825816166704</v>
      </c>
      <c r="GD219" s="871">
        <v>4000</v>
      </c>
      <c r="GE219" s="911">
        <v>146.60765716752366</v>
      </c>
      <c r="GF219" s="908">
        <v>0.77034731828798697</v>
      </c>
      <c r="GG219" s="902">
        <v>27.332773768203793</v>
      </c>
      <c r="GH219" s="902">
        <v>0</v>
      </c>
      <c r="GI219" s="902">
        <v>0.34609346448134848</v>
      </c>
      <c r="GJ219" s="902">
        <v>20.471079590850874</v>
      </c>
      <c r="GK219" s="902">
        <v>1.2646189333049831</v>
      </c>
      <c r="GL219" s="902">
        <v>1500</v>
      </c>
      <c r="GM219" s="909" t="s">
        <v>2877</v>
      </c>
      <c r="GN219" s="909">
        <v>2</v>
      </c>
      <c r="GO219" s="909">
        <v>0</v>
      </c>
      <c r="GP219" s="909">
        <v>0</v>
      </c>
      <c r="GQ219" s="909">
        <v>0</v>
      </c>
      <c r="GR219" s="910">
        <v>1831.9860805980034</v>
      </c>
      <c r="GS219" s="909">
        <v>1</v>
      </c>
      <c r="GT219" s="909">
        <v>2</v>
      </c>
      <c r="GU219" s="909">
        <v>20.34384326220561</v>
      </c>
      <c r="GV219" s="910">
        <v>4446.3632206111834</v>
      </c>
      <c r="GW219" s="871">
        <v>1831.9860805980034</v>
      </c>
      <c r="GX219" s="911">
        <v>67.145796809996867</v>
      </c>
      <c r="GY219" s="908">
        <v>0.77034731828798697</v>
      </c>
      <c r="GZ219" s="902">
        <v>27.799512387470678</v>
      </c>
      <c r="HA219" s="902">
        <v>0.12064515478553567</v>
      </c>
      <c r="HB219" s="902">
        <v>0.69218692896269696</v>
      </c>
      <c r="HC219" s="902">
        <v>20.715012223793785</v>
      </c>
      <c r="HD219" s="902">
        <v>1.306163676062434</v>
      </c>
      <c r="HE219" s="902">
        <v>1875</v>
      </c>
      <c r="HF219" s="909" t="s">
        <v>2877</v>
      </c>
      <c r="HG219" s="909">
        <v>2</v>
      </c>
      <c r="HH219" s="909">
        <v>1</v>
      </c>
      <c r="HI219" s="909">
        <v>2</v>
      </c>
      <c r="HJ219" s="909">
        <v>26.477663327847459</v>
      </c>
      <c r="HK219" s="910">
        <v>6003.173452750073</v>
      </c>
      <c r="HL219" s="909">
        <v>2</v>
      </c>
      <c r="HM219" s="909">
        <v>2</v>
      </c>
      <c r="HN219" s="909">
        <v>20.34384326220561</v>
      </c>
      <c r="HO219" s="910">
        <v>4778.4825816166704</v>
      </c>
      <c r="HP219" s="871">
        <v>4000</v>
      </c>
      <c r="HQ219" s="911">
        <v>146.60765716752366</v>
      </c>
      <c r="HR219" s="908">
        <v>1.1555209774319803</v>
      </c>
      <c r="HS219" s="902">
        <v>27.371853962866439</v>
      </c>
      <c r="HT219" s="902">
        <v>0</v>
      </c>
      <c r="HU219" s="902">
        <v>0</v>
      </c>
      <c r="HV219" s="902">
        <v>20.491823272977701</v>
      </c>
      <c r="HW219" s="902">
        <v>1.2500945997736264</v>
      </c>
      <c r="HX219" s="902">
        <v>1500</v>
      </c>
      <c r="HY219" s="909" t="s">
        <v>1063</v>
      </c>
      <c r="HZ219" s="909">
        <v>3</v>
      </c>
      <c r="IA219" s="909">
        <v>0</v>
      </c>
      <c r="IB219" s="909">
        <v>0</v>
      </c>
      <c r="IC219" s="909">
        <v>0</v>
      </c>
      <c r="ID219" s="910">
        <v>2113.970253126367</v>
      </c>
      <c r="IE219" s="909">
        <v>0</v>
      </c>
      <c r="IF219" s="909">
        <v>0</v>
      </c>
      <c r="IG219" s="909">
        <v>0</v>
      </c>
      <c r="IH219" s="910">
        <v>1626.1611048058744</v>
      </c>
      <c r="II219" s="871">
        <v>1626.1611048058744</v>
      </c>
      <c r="IJ219" s="911">
        <v>59.601917438135295</v>
      </c>
      <c r="IK219" s="908">
        <v>1.5406946365759739</v>
      </c>
      <c r="IL219" s="902">
        <v>27.757027622010433</v>
      </c>
      <c r="IM219" s="902">
        <v>0</v>
      </c>
      <c r="IN219" s="902">
        <v>0</v>
      </c>
      <c r="IO219" s="902">
        <v>20.693147694077592</v>
      </c>
      <c r="IP219" s="902">
        <v>1.2755740299128311</v>
      </c>
      <c r="IQ219" s="902">
        <v>1875</v>
      </c>
      <c r="IR219" s="909" t="s">
        <v>1063</v>
      </c>
      <c r="IS219" s="909">
        <v>4</v>
      </c>
      <c r="IT219" s="909">
        <v>0</v>
      </c>
      <c r="IU219" s="909">
        <v>0</v>
      </c>
      <c r="IV219" s="909">
        <v>0</v>
      </c>
      <c r="IW219" s="910">
        <v>2957.2716939115503</v>
      </c>
      <c r="IX219" s="909">
        <v>0</v>
      </c>
      <c r="IY219" s="909">
        <v>0</v>
      </c>
      <c r="IZ219" s="909">
        <v>0</v>
      </c>
      <c r="JA219" s="910">
        <v>2274.866544536414</v>
      </c>
      <c r="JB219" s="871">
        <v>2274.866544536414</v>
      </c>
      <c r="JC219" s="911">
        <v>83.378213615815952</v>
      </c>
      <c r="JD219" s="908">
        <v>0.77034731828798697</v>
      </c>
      <c r="JE219" s="902">
        <v>26.986680303722444</v>
      </c>
      <c r="JF219" s="902">
        <v>0</v>
      </c>
      <c r="JG219" s="902">
        <v>0</v>
      </c>
      <c r="JH219" s="902">
        <v>20.284751952809284</v>
      </c>
      <c r="JI219" s="902">
        <v>1.2246151696344216</v>
      </c>
      <c r="JJ219" s="902">
        <v>1500</v>
      </c>
      <c r="JK219" s="909" t="s">
        <v>1064</v>
      </c>
      <c r="JL219" s="909">
        <v>2</v>
      </c>
      <c r="JM219" s="909">
        <v>0</v>
      </c>
      <c r="JN219" s="909">
        <v>0</v>
      </c>
      <c r="JO219" s="909">
        <v>0</v>
      </c>
      <c r="JP219" s="910">
        <v>2201.7732498441351</v>
      </c>
      <c r="JQ219" s="909">
        <v>0</v>
      </c>
      <c r="JR219" s="909">
        <v>0</v>
      </c>
      <c r="JS219" s="909">
        <v>0</v>
      </c>
      <c r="JT219" s="910">
        <v>1693.7031234017702</v>
      </c>
      <c r="JU219" s="871">
        <v>1693.7031234017702</v>
      </c>
      <c r="JV219" s="911">
        <v>62.077461714812692</v>
      </c>
      <c r="JW219" s="908">
        <v>1.1555209774319803</v>
      </c>
      <c r="JX219" s="902">
        <v>27.371853962866439</v>
      </c>
      <c r="JY219" s="902">
        <v>0</v>
      </c>
      <c r="JZ219" s="902">
        <v>0</v>
      </c>
      <c r="KA219" s="902">
        <v>20.491823272977701</v>
      </c>
      <c r="KB219" s="902">
        <v>1.2500945997736264</v>
      </c>
      <c r="KC219" s="902">
        <v>1875</v>
      </c>
      <c r="KD219" s="909" t="s">
        <v>1064</v>
      </c>
      <c r="KE219" s="909">
        <v>3</v>
      </c>
      <c r="KF219" s="909">
        <v>0</v>
      </c>
      <c r="KG219" s="909">
        <v>0</v>
      </c>
      <c r="KH219" s="909">
        <v>0</v>
      </c>
      <c r="KI219" s="910">
        <v>2880.8558501236362</v>
      </c>
      <c r="KJ219" s="909">
        <v>0</v>
      </c>
      <c r="KK219" s="909">
        <v>0</v>
      </c>
      <c r="KL219" s="909">
        <v>0</v>
      </c>
      <c r="KM219" s="910">
        <v>2216.0840367054479</v>
      </c>
      <c r="KN219" s="871">
        <v>2216.0840367054479</v>
      </c>
      <c r="KO219" s="912">
        <v>81.223722176933563</v>
      </c>
    </row>
    <row r="220" spans="1:301" ht="15" customHeight="1">
      <c r="A220" s="1047" t="s">
        <v>1652</v>
      </c>
      <c r="B220" s="888" t="s">
        <v>1073</v>
      </c>
      <c r="C220" s="888">
        <v>196.3</v>
      </c>
      <c r="D220" s="888">
        <v>315</v>
      </c>
      <c r="E220" s="888"/>
      <c r="F220" s="888"/>
      <c r="G220" s="888">
        <v>28</v>
      </c>
      <c r="H220" s="888">
        <v>100</v>
      </c>
      <c r="I220" s="888">
        <v>100</v>
      </c>
      <c r="J220" s="888">
        <v>131.47</v>
      </c>
      <c r="K220" s="888">
        <v>64.56</v>
      </c>
      <c r="L220" s="888">
        <v>14</v>
      </c>
      <c r="M220" s="888">
        <v>59.935473719032224</v>
      </c>
      <c r="N220" s="888">
        <v>2</v>
      </c>
      <c r="O220" s="884">
        <v>1.2235187843808555</v>
      </c>
      <c r="P220" s="888">
        <v>2</v>
      </c>
      <c r="Q220" s="884">
        <v>0.35759178379485823</v>
      </c>
      <c r="R220" s="888">
        <v>7</v>
      </c>
      <c r="S220" s="888">
        <v>265</v>
      </c>
      <c r="T220" s="906">
        <v>3.03074450205099</v>
      </c>
      <c r="U220" s="906">
        <v>39.75</v>
      </c>
      <c r="V220" s="906">
        <v>10</v>
      </c>
      <c r="W220" s="1141">
        <v>7.3062590674443512E-2</v>
      </c>
      <c r="X220" s="902">
        <v>0</v>
      </c>
      <c r="Y220" s="902">
        <v>0</v>
      </c>
      <c r="Z220" s="902">
        <v>0</v>
      </c>
      <c r="AA220" s="902">
        <v>0</v>
      </c>
      <c r="AB220" s="970">
        <v>0.67629110355569422</v>
      </c>
      <c r="AC220" s="1045">
        <v>4000</v>
      </c>
      <c r="AD220" s="890"/>
      <c r="AE220" s="890"/>
      <c r="AF220" s="890"/>
      <c r="AG220" s="890"/>
      <c r="AH220" s="888"/>
      <c r="AI220" s="907">
        <v>0.41901527875588424</v>
      </c>
      <c r="AJ220" s="908">
        <v>1.3173817123443283</v>
      </c>
      <c r="AK220" s="902">
        <v>6.0022993732454761</v>
      </c>
      <c r="AL220" s="902">
        <v>0</v>
      </c>
      <c r="AM220" s="902">
        <v>0</v>
      </c>
      <c r="AN220" s="902">
        <v>33.245838326412716</v>
      </c>
      <c r="AO220" s="902">
        <v>7.2039048840408931E-2</v>
      </c>
      <c r="AP220" s="1222">
        <v>3300</v>
      </c>
      <c r="AQ220" s="909" t="s">
        <v>1064</v>
      </c>
      <c r="AR220" s="909">
        <v>2</v>
      </c>
      <c r="AS220" s="909">
        <v>0</v>
      </c>
      <c r="AT220" s="909">
        <v>0</v>
      </c>
      <c r="AU220" s="909">
        <v>0</v>
      </c>
      <c r="AV220" s="910">
        <v>7434.3882294878131</v>
      </c>
      <c r="AW220" s="909">
        <v>0</v>
      </c>
      <c r="AX220" s="909">
        <v>0</v>
      </c>
      <c r="AY220" s="909">
        <v>0</v>
      </c>
      <c r="AZ220" s="910">
        <v>7286.836570066278</v>
      </c>
      <c r="BA220" s="871">
        <v>4000</v>
      </c>
      <c r="BB220" s="911">
        <v>65.973445725385659</v>
      </c>
      <c r="BC220" s="908">
        <v>1.3173817123443283</v>
      </c>
      <c r="BD220" s="902">
        <v>6.0022993732454761</v>
      </c>
      <c r="BE220" s="902">
        <v>0</v>
      </c>
      <c r="BF220" s="902">
        <v>0</v>
      </c>
      <c r="BG220" s="902">
        <v>33.245838326412716</v>
      </c>
      <c r="BH220" s="902">
        <v>7.2039048840408931E-2</v>
      </c>
      <c r="BI220" s="902">
        <v>3600</v>
      </c>
      <c r="BJ220" s="909" t="s">
        <v>1064</v>
      </c>
      <c r="BK220" s="909">
        <v>2</v>
      </c>
      <c r="BL220" s="909">
        <v>0</v>
      </c>
      <c r="BM220" s="909">
        <v>0</v>
      </c>
      <c r="BN220" s="909">
        <v>0</v>
      </c>
      <c r="BO220" s="910">
        <v>7434.3882294878131</v>
      </c>
      <c r="BP220" s="909">
        <v>0</v>
      </c>
      <c r="BQ220" s="909">
        <v>0</v>
      </c>
      <c r="BR220" s="909">
        <v>0</v>
      </c>
      <c r="BS220" s="910">
        <v>7286.836570066278</v>
      </c>
      <c r="BT220" s="871">
        <v>4000</v>
      </c>
      <c r="BU220" s="911">
        <v>65.973445725385659</v>
      </c>
      <c r="BV220" s="908">
        <v>1.9760725685164924</v>
      </c>
      <c r="BW220" s="902">
        <v>6.8944717150336494</v>
      </c>
      <c r="BX220" s="902">
        <v>7.9197485416042074E-2</v>
      </c>
      <c r="BY220" s="902">
        <v>0.15428400019996685</v>
      </c>
      <c r="BZ220" s="902">
        <v>35.413894164893897</v>
      </c>
      <c r="CA220" s="902">
        <v>8.774933794112956E-2</v>
      </c>
      <c r="CB220" s="902">
        <v>3300</v>
      </c>
      <c r="CC220" s="909" t="s">
        <v>2874</v>
      </c>
      <c r="CD220" s="909">
        <v>3</v>
      </c>
      <c r="CE220" s="909">
        <v>1</v>
      </c>
      <c r="CF220" s="909">
        <v>3</v>
      </c>
      <c r="CG220" s="909">
        <v>11.227451050345543</v>
      </c>
      <c r="CH220" s="910">
        <v>11708.972922815759</v>
      </c>
      <c r="CI220" s="909">
        <v>1</v>
      </c>
      <c r="CJ220" s="909">
        <v>3</v>
      </c>
      <c r="CK220" s="909">
        <v>13.530966910513785</v>
      </c>
      <c r="CL220" s="910">
        <v>8448.9059775064652</v>
      </c>
      <c r="CM220" s="871">
        <v>4000</v>
      </c>
      <c r="CN220" s="911">
        <v>65.973445725385659</v>
      </c>
      <c r="CO220" s="908">
        <v>1.9760725685164924</v>
      </c>
      <c r="CP220" s="902">
        <v>6.8944717150336494</v>
      </c>
      <c r="CQ220" s="902">
        <v>7.9197485416042074E-2</v>
      </c>
      <c r="CR220" s="902">
        <v>0.15428400019996685</v>
      </c>
      <c r="CS220" s="902">
        <v>35.413894164893897</v>
      </c>
      <c r="CT220" s="902">
        <v>8.774933794112956E-2</v>
      </c>
      <c r="CU220" s="902">
        <v>3600</v>
      </c>
      <c r="CV220" s="909" t="s">
        <v>2874</v>
      </c>
      <c r="CW220" s="909">
        <v>3</v>
      </c>
      <c r="CX220" s="909">
        <v>1</v>
      </c>
      <c r="CY220" s="909">
        <v>3</v>
      </c>
      <c r="CZ220" s="909">
        <v>11.227451050345543</v>
      </c>
      <c r="DA220" s="910">
        <v>11708.972922815759</v>
      </c>
      <c r="DB220" s="909">
        <v>1</v>
      </c>
      <c r="DC220" s="909">
        <v>3</v>
      </c>
      <c r="DD220" s="909">
        <v>13.530966910513785</v>
      </c>
      <c r="DE220" s="910">
        <v>8448.9059775064652</v>
      </c>
      <c r="DF220" s="871">
        <v>4000</v>
      </c>
      <c r="DG220" s="911">
        <v>65.973445725385659</v>
      </c>
      <c r="DH220" s="908">
        <v>1.3173817123443283</v>
      </c>
      <c r="DI220" s="902">
        <v>6.4665216973894157</v>
      </c>
      <c r="DJ220" s="902">
        <v>5.2798323610694718E-2</v>
      </c>
      <c r="DK220" s="902">
        <v>0.41142400053324502</v>
      </c>
      <c r="DL220" s="902">
        <v>34.448595579100186</v>
      </c>
      <c r="DM220" s="902">
        <v>8.1975940464579788E-2</v>
      </c>
      <c r="DN220" s="902">
        <v>3300</v>
      </c>
      <c r="DO220" s="909" t="s">
        <v>2876</v>
      </c>
      <c r="DP220" s="909">
        <v>2</v>
      </c>
      <c r="DQ220" s="909">
        <v>1</v>
      </c>
      <c r="DR220" s="909">
        <v>2</v>
      </c>
      <c r="DS220" s="909">
        <v>11.227451050345543</v>
      </c>
      <c r="DT220" s="910">
        <v>12981.47940940503</v>
      </c>
      <c r="DU220" s="909">
        <v>1</v>
      </c>
      <c r="DV220" s="909">
        <v>8</v>
      </c>
      <c r="DW220" s="909">
        <v>13.530966910513785</v>
      </c>
      <c r="DX220" s="910">
        <v>10990.784474461263</v>
      </c>
      <c r="DY220" s="871">
        <v>4000</v>
      </c>
      <c r="DZ220" s="911">
        <v>65.973445725385659</v>
      </c>
      <c r="EA220" s="908">
        <v>1.3173817123443283</v>
      </c>
      <c r="EB220" s="902">
        <v>6.4665216973894157</v>
      </c>
      <c r="EC220" s="902">
        <v>5.2798323610694718E-2</v>
      </c>
      <c r="ED220" s="902">
        <v>0.41142400053324502</v>
      </c>
      <c r="EE220" s="902">
        <v>34.448595579100186</v>
      </c>
      <c r="EF220" s="902">
        <v>8.1975940464579788E-2</v>
      </c>
      <c r="EG220" s="902">
        <v>3600</v>
      </c>
      <c r="EH220" s="909" t="s">
        <v>2876</v>
      </c>
      <c r="EI220" s="909">
        <v>2</v>
      </c>
      <c r="EJ220" s="909">
        <v>1</v>
      </c>
      <c r="EK220" s="909">
        <v>2</v>
      </c>
      <c r="EL220" s="909">
        <v>11.227451050345543</v>
      </c>
      <c r="EM220" s="910">
        <v>12981.47940940503</v>
      </c>
      <c r="EN220" s="909">
        <v>1</v>
      </c>
      <c r="EO220" s="909">
        <v>8</v>
      </c>
      <c r="EP220" s="909">
        <v>13.530966910513785</v>
      </c>
      <c r="EQ220" s="910">
        <v>10990.784474461263</v>
      </c>
      <c r="ER220" s="871">
        <v>4000</v>
      </c>
      <c r="ES220" s="911">
        <v>65.973445725385659</v>
      </c>
      <c r="ET220" s="908">
        <v>1.3173817123443283</v>
      </c>
      <c r="EU220" s="902">
        <v>6.0022993732454761</v>
      </c>
      <c r="EV220" s="902">
        <v>0</v>
      </c>
      <c r="EW220" s="902">
        <v>0</v>
      </c>
      <c r="EX220" s="902">
        <v>33.245838326412716</v>
      </c>
      <c r="EY220" s="902">
        <v>7.2039048840408931E-2</v>
      </c>
      <c r="EZ220" s="902">
        <v>3300</v>
      </c>
      <c r="FA220" s="909" t="s">
        <v>2877</v>
      </c>
      <c r="FB220" s="909">
        <v>2</v>
      </c>
      <c r="FC220" s="909">
        <v>0</v>
      </c>
      <c r="FD220" s="909">
        <v>0</v>
      </c>
      <c r="FE220" s="909">
        <v>0</v>
      </c>
      <c r="FF220" s="910">
        <v>6185.7849145671362</v>
      </c>
      <c r="FG220" s="909">
        <v>0</v>
      </c>
      <c r="FH220" s="909">
        <v>0</v>
      </c>
      <c r="FI220" s="909">
        <v>0</v>
      </c>
      <c r="FJ220" s="910">
        <v>6063.0145129154089</v>
      </c>
      <c r="FK220" s="871">
        <v>4000</v>
      </c>
      <c r="FL220" s="911">
        <v>65.973445725385659</v>
      </c>
      <c r="FM220" s="908">
        <v>1.3173817123443283</v>
      </c>
      <c r="FN220" s="902">
        <v>6.0022993732454761</v>
      </c>
      <c r="FO220" s="902">
        <v>0</v>
      </c>
      <c r="FP220" s="902">
        <v>0</v>
      </c>
      <c r="FQ220" s="902">
        <v>33.245838326412716</v>
      </c>
      <c r="FR220" s="902">
        <v>7.2039048840408931E-2</v>
      </c>
      <c r="FS220" s="902">
        <v>3600</v>
      </c>
      <c r="FT220" s="909" t="s">
        <v>2877</v>
      </c>
      <c r="FU220" s="909">
        <v>2</v>
      </c>
      <c r="FV220" s="909">
        <v>0</v>
      </c>
      <c r="FW220" s="909">
        <v>0</v>
      </c>
      <c r="FX220" s="909">
        <v>0</v>
      </c>
      <c r="FY220" s="910">
        <v>6185.7849145671362</v>
      </c>
      <c r="FZ220" s="909">
        <v>0</v>
      </c>
      <c r="GA220" s="909">
        <v>0</v>
      </c>
      <c r="GB220" s="909">
        <v>0</v>
      </c>
      <c r="GC220" s="910">
        <v>6063.0145129154089</v>
      </c>
      <c r="GD220" s="871">
        <v>4000</v>
      </c>
      <c r="GE220" s="911">
        <v>65.973445725385659</v>
      </c>
      <c r="GF220" s="908">
        <v>1.3173817123443283</v>
      </c>
      <c r="GG220" s="902">
        <v>6.0022993732454761</v>
      </c>
      <c r="GH220" s="902">
        <v>0</v>
      </c>
      <c r="GI220" s="902">
        <v>0</v>
      </c>
      <c r="GJ220" s="902">
        <v>33.245838326412716</v>
      </c>
      <c r="GK220" s="902">
        <v>7.2039048840408931E-2</v>
      </c>
      <c r="GL220" s="902">
        <v>3300</v>
      </c>
      <c r="GM220" s="909" t="s">
        <v>2877</v>
      </c>
      <c r="GN220" s="909">
        <v>2</v>
      </c>
      <c r="GO220" s="909">
        <v>0</v>
      </c>
      <c r="GP220" s="909">
        <v>0</v>
      </c>
      <c r="GQ220" s="909">
        <v>0</v>
      </c>
      <c r="GR220" s="910">
        <v>6185.7849145671362</v>
      </c>
      <c r="GS220" s="909">
        <v>0</v>
      </c>
      <c r="GT220" s="909">
        <v>0</v>
      </c>
      <c r="GU220" s="909">
        <v>0</v>
      </c>
      <c r="GV220" s="910">
        <v>6063.0145129154089</v>
      </c>
      <c r="GW220" s="871">
        <v>4000</v>
      </c>
      <c r="GX220" s="911">
        <v>65.973445725385659</v>
      </c>
      <c r="GY220" s="908">
        <v>1.3173817123443283</v>
      </c>
      <c r="GZ220" s="902">
        <v>6.0022993732454761</v>
      </c>
      <c r="HA220" s="902">
        <v>0</v>
      </c>
      <c r="HB220" s="902">
        <v>0</v>
      </c>
      <c r="HC220" s="902">
        <v>33.245838326412716</v>
      </c>
      <c r="HD220" s="902">
        <v>7.2039048840408931E-2</v>
      </c>
      <c r="HE220" s="902">
        <v>3600</v>
      </c>
      <c r="HF220" s="909" t="s">
        <v>2877</v>
      </c>
      <c r="HG220" s="909">
        <v>2</v>
      </c>
      <c r="HH220" s="909">
        <v>0</v>
      </c>
      <c r="HI220" s="909">
        <v>0</v>
      </c>
      <c r="HJ220" s="909">
        <v>0</v>
      </c>
      <c r="HK220" s="910">
        <v>6185.7849145671362</v>
      </c>
      <c r="HL220" s="909">
        <v>0</v>
      </c>
      <c r="HM220" s="909">
        <v>0</v>
      </c>
      <c r="HN220" s="909">
        <v>0</v>
      </c>
      <c r="HO220" s="910">
        <v>6063.0145129154089</v>
      </c>
      <c r="HP220" s="871">
        <v>4000</v>
      </c>
      <c r="HQ220" s="911">
        <v>65.973445725385659</v>
      </c>
      <c r="HR220" s="908">
        <v>1.3173817123443283</v>
      </c>
      <c r="HS220" s="902">
        <v>6.0022993732454761</v>
      </c>
      <c r="HT220" s="902">
        <v>0</v>
      </c>
      <c r="HU220" s="902">
        <v>0</v>
      </c>
      <c r="HV220" s="902">
        <v>33.245838326412716</v>
      </c>
      <c r="HW220" s="902">
        <v>7.2039048840408931E-2</v>
      </c>
      <c r="HX220" s="902">
        <v>3300</v>
      </c>
      <c r="HY220" s="909" t="s">
        <v>1063</v>
      </c>
      <c r="HZ220" s="909">
        <v>2</v>
      </c>
      <c r="IA220" s="909">
        <v>0</v>
      </c>
      <c r="IB220" s="909">
        <v>0</v>
      </c>
      <c r="IC220" s="909">
        <v>0</v>
      </c>
      <c r="ID220" s="910">
        <v>5455.3495158931901</v>
      </c>
      <c r="IE220" s="909">
        <v>0</v>
      </c>
      <c r="IF220" s="909">
        <v>0</v>
      </c>
      <c r="IG220" s="909">
        <v>0</v>
      </c>
      <c r="IH220" s="910">
        <v>5347.0761988498616</v>
      </c>
      <c r="II220" s="871">
        <v>4000</v>
      </c>
      <c r="IJ220" s="911">
        <v>65.973445725385659</v>
      </c>
      <c r="IK220" s="908">
        <v>1.3173817123443283</v>
      </c>
      <c r="IL220" s="902">
        <v>6.0022993732454761</v>
      </c>
      <c r="IM220" s="902">
        <v>0</v>
      </c>
      <c r="IN220" s="902">
        <v>0</v>
      </c>
      <c r="IO220" s="902">
        <v>33.245838326412716</v>
      </c>
      <c r="IP220" s="902">
        <v>7.2039048840408931E-2</v>
      </c>
      <c r="IQ220" s="902">
        <v>3600</v>
      </c>
      <c r="IR220" s="909" t="s">
        <v>1063</v>
      </c>
      <c r="IS220" s="909">
        <v>2</v>
      </c>
      <c r="IT220" s="909">
        <v>0</v>
      </c>
      <c r="IU220" s="909">
        <v>0</v>
      </c>
      <c r="IV220" s="909">
        <v>0</v>
      </c>
      <c r="IW220" s="910">
        <v>5455.3495158931901</v>
      </c>
      <c r="IX220" s="909">
        <v>0</v>
      </c>
      <c r="IY220" s="909">
        <v>0</v>
      </c>
      <c r="IZ220" s="909">
        <v>0</v>
      </c>
      <c r="JA220" s="910">
        <v>5347.0761988498616</v>
      </c>
      <c r="JB220" s="871">
        <v>4000</v>
      </c>
      <c r="JC220" s="911">
        <v>65.973445725385659</v>
      </c>
      <c r="JD220" s="908">
        <v>1.3173817123443283</v>
      </c>
      <c r="JE220" s="902">
        <v>6.0022993732454761</v>
      </c>
      <c r="JF220" s="902">
        <v>0</v>
      </c>
      <c r="JG220" s="902">
        <v>0</v>
      </c>
      <c r="JH220" s="902">
        <v>33.245838326412716</v>
      </c>
      <c r="JI220" s="902">
        <v>7.2039048840408931E-2</v>
      </c>
      <c r="JJ220" s="902">
        <v>3300</v>
      </c>
      <c r="JK220" s="909" t="s">
        <v>1064</v>
      </c>
      <c r="JL220" s="909">
        <v>2</v>
      </c>
      <c r="JM220" s="909">
        <v>0</v>
      </c>
      <c r="JN220" s="909">
        <v>0</v>
      </c>
      <c r="JO220" s="909">
        <v>0</v>
      </c>
      <c r="JP220" s="910">
        <v>7434.3882294878131</v>
      </c>
      <c r="JQ220" s="909">
        <v>0</v>
      </c>
      <c r="JR220" s="909">
        <v>0</v>
      </c>
      <c r="JS220" s="909">
        <v>0</v>
      </c>
      <c r="JT220" s="910">
        <v>7286.836570066278</v>
      </c>
      <c r="JU220" s="871">
        <v>4000</v>
      </c>
      <c r="JV220" s="911">
        <v>65.973445725385659</v>
      </c>
      <c r="JW220" s="908">
        <v>1.3173817123443283</v>
      </c>
      <c r="JX220" s="902">
        <v>6.0022993732454761</v>
      </c>
      <c r="JY220" s="902">
        <v>0</v>
      </c>
      <c r="JZ220" s="902">
        <v>0</v>
      </c>
      <c r="KA220" s="902">
        <v>33.245838326412716</v>
      </c>
      <c r="KB220" s="902">
        <v>7.2039048840408931E-2</v>
      </c>
      <c r="KC220" s="902">
        <v>3600</v>
      </c>
      <c r="KD220" s="909" t="s">
        <v>1064</v>
      </c>
      <c r="KE220" s="909">
        <v>2</v>
      </c>
      <c r="KF220" s="909">
        <v>0</v>
      </c>
      <c r="KG220" s="909">
        <v>0</v>
      </c>
      <c r="KH220" s="909">
        <v>0</v>
      </c>
      <c r="KI220" s="910">
        <v>7434.3882294878131</v>
      </c>
      <c r="KJ220" s="909">
        <v>0</v>
      </c>
      <c r="KK220" s="909">
        <v>0</v>
      </c>
      <c r="KL220" s="909">
        <v>0</v>
      </c>
      <c r="KM220" s="910">
        <v>7286.836570066278</v>
      </c>
      <c r="KN220" s="871">
        <v>4000</v>
      </c>
      <c r="KO220" s="912">
        <v>65.973445725385659</v>
      </c>
    </row>
    <row r="221" spans="1:301" ht="15" customHeight="1">
      <c r="A221" s="1047" t="s">
        <v>1720</v>
      </c>
      <c r="B221" s="888" t="s">
        <v>1073</v>
      </c>
      <c r="C221" s="888">
        <v>196.3</v>
      </c>
      <c r="D221" s="888">
        <v>315</v>
      </c>
      <c r="E221" s="888"/>
      <c r="F221" s="888"/>
      <c r="G221" s="888">
        <v>28</v>
      </c>
      <c r="H221" s="888">
        <v>100</v>
      </c>
      <c r="I221" s="888">
        <v>100</v>
      </c>
      <c r="J221" s="888">
        <v>131.47</v>
      </c>
      <c r="K221" s="888">
        <v>64.56</v>
      </c>
      <c r="L221" s="888">
        <v>14</v>
      </c>
      <c r="M221" s="888">
        <v>59.935473719032224</v>
      </c>
      <c r="N221" s="888">
        <v>2</v>
      </c>
      <c r="O221" s="884">
        <v>1.2235187843808555</v>
      </c>
      <c r="P221" s="888">
        <v>2</v>
      </c>
      <c r="Q221" s="884">
        <v>0.35759178379485823</v>
      </c>
      <c r="R221" s="888">
        <v>7</v>
      </c>
      <c r="S221" s="888">
        <v>265</v>
      </c>
      <c r="T221" s="906">
        <v>3.03074450205099</v>
      </c>
      <c r="U221" s="906">
        <v>39.75</v>
      </c>
      <c r="V221" s="906">
        <v>10</v>
      </c>
      <c r="W221" s="1141">
        <v>7.3062590674443512E-2</v>
      </c>
      <c r="X221" s="902">
        <v>0</v>
      </c>
      <c r="Y221" s="902">
        <v>0</v>
      </c>
      <c r="Z221" s="902">
        <v>0</v>
      </c>
      <c r="AA221" s="902">
        <v>0</v>
      </c>
      <c r="AB221" s="970">
        <v>0.67629110355569422</v>
      </c>
      <c r="AC221" s="1045">
        <v>4000</v>
      </c>
      <c r="AD221" s="890"/>
      <c r="AE221" s="890"/>
      <c r="AF221" s="890"/>
      <c r="AG221" s="890"/>
      <c r="AH221" s="888"/>
      <c r="AI221" s="907">
        <v>0.41901527875588424</v>
      </c>
      <c r="AJ221" s="908">
        <v>1.3173817123443283</v>
      </c>
      <c r="AK221" s="902">
        <v>6.0022993732454761</v>
      </c>
      <c r="AL221" s="902">
        <v>0</v>
      </c>
      <c r="AM221" s="902">
        <v>0</v>
      </c>
      <c r="AN221" s="902">
        <v>33.245838326412716</v>
      </c>
      <c r="AO221" s="902">
        <v>7.2039048840408931E-2</v>
      </c>
      <c r="AP221" s="1222">
        <v>3300</v>
      </c>
      <c r="AQ221" s="909" t="s">
        <v>1064</v>
      </c>
      <c r="AR221" s="909">
        <v>2</v>
      </c>
      <c r="AS221" s="909">
        <v>0</v>
      </c>
      <c r="AT221" s="909">
        <v>0</v>
      </c>
      <c r="AU221" s="909">
        <v>0</v>
      </c>
      <c r="AV221" s="910">
        <v>7434.3882294878131</v>
      </c>
      <c r="AW221" s="909">
        <v>0</v>
      </c>
      <c r="AX221" s="909">
        <v>0</v>
      </c>
      <c r="AY221" s="909">
        <v>0</v>
      </c>
      <c r="AZ221" s="910">
        <v>7286.836570066278</v>
      </c>
      <c r="BA221" s="871">
        <v>4000</v>
      </c>
      <c r="BB221" s="911">
        <v>65.973445725385659</v>
      </c>
      <c r="BC221" s="908">
        <v>1.3173817123443283</v>
      </c>
      <c r="BD221" s="902">
        <v>6.0022993732454761</v>
      </c>
      <c r="BE221" s="902">
        <v>0</v>
      </c>
      <c r="BF221" s="902">
        <v>0</v>
      </c>
      <c r="BG221" s="902">
        <v>33.245838326412716</v>
      </c>
      <c r="BH221" s="902">
        <v>7.2039048840408931E-2</v>
      </c>
      <c r="BI221" s="902">
        <v>3600</v>
      </c>
      <c r="BJ221" s="909" t="s">
        <v>1064</v>
      </c>
      <c r="BK221" s="909">
        <v>2</v>
      </c>
      <c r="BL221" s="909">
        <v>0</v>
      </c>
      <c r="BM221" s="909">
        <v>0</v>
      </c>
      <c r="BN221" s="909">
        <v>0</v>
      </c>
      <c r="BO221" s="910">
        <v>7434.3882294878131</v>
      </c>
      <c r="BP221" s="909">
        <v>0</v>
      </c>
      <c r="BQ221" s="909">
        <v>0</v>
      </c>
      <c r="BR221" s="909">
        <v>0</v>
      </c>
      <c r="BS221" s="910">
        <v>7286.836570066278</v>
      </c>
      <c r="BT221" s="871">
        <v>4000</v>
      </c>
      <c r="BU221" s="911">
        <v>65.973445725385659</v>
      </c>
      <c r="BV221" s="908">
        <v>1.9760725685164924</v>
      </c>
      <c r="BW221" s="902">
        <v>6.8944717150336494</v>
      </c>
      <c r="BX221" s="902">
        <v>7.9197485416042074E-2</v>
      </c>
      <c r="BY221" s="902">
        <v>0.15428400019996685</v>
      </c>
      <c r="BZ221" s="902">
        <v>35.413894164893897</v>
      </c>
      <c r="CA221" s="902">
        <v>8.774933794112956E-2</v>
      </c>
      <c r="CB221" s="902">
        <v>3300</v>
      </c>
      <c r="CC221" s="909" t="s">
        <v>2874</v>
      </c>
      <c r="CD221" s="909">
        <v>3</v>
      </c>
      <c r="CE221" s="909">
        <v>1</v>
      </c>
      <c r="CF221" s="909">
        <v>3</v>
      </c>
      <c r="CG221" s="909">
        <v>11.227451050345543</v>
      </c>
      <c r="CH221" s="910">
        <v>11708.972922815759</v>
      </c>
      <c r="CI221" s="909">
        <v>1</v>
      </c>
      <c r="CJ221" s="909">
        <v>3</v>
      </c>
      <c r="CK221" s="909">
        <v>13.530966910513785</v>
      </c>
      <c r="CL221" s="910">
        <v>8448.9059775064652</v>
      </c>
      <c r="CM221" s="871">
        <v>4000</v>
      </c>
      <c r="CN221" s="911">
        <v>65.973445725385659</v>
      </c>
      <c r="CO221" s="908">
        <v>1.9760725685164924</v>
      </c>
      <c r="CP221" s="902">
        <v>6.8944717150336494</v>
      </c>
      <c r="CQ221" s="902">
        <v>7.9197485416042074E-2</v>
      </c>
      <c r="CR221" s="902">
        <v>0.15428400019996685</v>
      </c>
      <c r="CS221" s="902">
        <v>35.413894164893897</v>
      </c>
      <c r="CT221" s="902">
        <v>8.774933794112956E-2</v>
      </c>
      <c r="CU221" s="902">
        <v>3600</v>
      </c>
      <c r="CV221" s="909" t="s">
        <v>2874</v>
      </c>
      <c r="CW221" s="909">
        <v>3</v>
      </c>
      <c r="CX221" s="909">
        <v>1</v>
      </c>
      <c r="CY221" s="909">
        <v>3</v>
      </c>
      <c r="CZ221" s="909">
        <v>11.227451050345543</v>
      </c>
      <c r="DA221" s="910">
        <v>11708.972922815759</v>
      </c>
      <c r="DB221" s="909">
        <v>1</v>
      </c>
      <c r="DC221" s="909">
        <v>3</v>
      </c>
      <c r="DD221" s="909">
        <v>13.530966910513785</v>
      </c>
      <c r="DE221" s="910">
        <v>8448.9059775064652</v>
      </c>
      <c r="DF221" s="871">
        <v>4000</v>
      </c>
      <c r="DG221" s="911">
        <v>65.973445725385659</v>
      </c>
      <c r="DH221" s="908">
        <v>1.3173817123443283</v>
      </c>
      <c r="DI221" s="902">
        <v>6.4665216973894157</v>
      </c>
      <c r="DJ221" s="902">
        <v>5.2798323610694718E-2</v>
      </c>
      <c r="DK221" s="902">
        <v>0.41142400053324502</v>
      </c>
      <c r="DL221" s="902">
        <v>34.448595579100186</v>
      </c>
      <c r="DM221" s="902">
        <v>8.1975940464579788E-2</v>
      </c>
      <c r="DN221" s="902">
        <v>3300</v>
      </c>
      <c r="DO221" s="909" t="s">
        <v>2876</v>
      </c>
      <c r="DP221" s="909">
        <v>2</v>
      </c>
      <c r="DQ221" s="909">
        <v>1</v>
      </c>
      <c r="DR221" s="909">
        <v>2</v>
      </c>
      <c r="DS221" s="909">
        <v>11.227451050345543</v>
      </c>
      <c r="DT221" s="910">
        <v>12981.47940940503</v>
      </c>
      <c r="DU221" s="909">
        <v>1</v>
      </c>
      <c r="DV221" s="909">
        <v>8</v>
      </c>
      <c r="DW221" s="909">
        <v>13.530966910513785</v>
      </c>
      <c r="DX221" s="910">
        <v>10990.784474461263</v>
      </c>
      <c r="DY221" s="871">
        <v>4000</v>
      </c>
      <c r="DZ221" s="911">
        <v>65.973445725385659</v>
      </c>
      <c r="EA221" s="908">
        <v>1.3173817123443283</v>
      </c>
      <c r="EB221" s="902">
        <v>6.4665216973894157</v>
      </c>
      <c r="EC221" s="902">
        <v>5.2798323610694718E-2</v>
      </c>
      <c r="ED221" s="902">
        <v>0.41142400053324502</v>
      </c>
      <c r="EE221" s="902">
        <v>34.448595579100186</v>
      </c>
      <c r="EF221" s="902">
        <v>8.1975940464579788E-2</v>
      </c>
      <c r="EG221" s="902">
        <v>3600</v>
      </c>
      <c r="EH221" s="909" t="s">
        <v>2876</v>
      </c>
      <c r="EI221" s="909">
        <v>2</v>
      </c>
      <c r="EJ221" s="909">
        <v>1</v>
      </c>
      <c r="EK221" s="909">
        <v>2</v>
      </c>
      <c r="EL221" s="909">
        <v>11.227451050345543</v>
      </c>
      <c r="EM221" s="910">
        <v>12981.47940940503</v>
      </c>
      <c r="EN221" s="909">
        <v>1</v>
      </c>
      <c r="EO221" s="909">
        <v>8</v>
      </c>
      <c r="EP221" s="909">
        <v>13.530966910513785</v>
      </c>
      <c r="EQ221" s="910">
        <v>10990.784474461263</v>
      </c>
      <c r="ER221" s="871">
        <v>4000</v>
      </c>
      <c r="ES221" s="911">
        <v>65.973445725385659</v>
      </c>
      <c r="ET221" s="908">
        <v>1.3173817123443283</v>
      </c>
      <c r="EU221" s="902">
        <v>6.0022993732454761</v>
      </c>
      <c r="EV221" s="902">
        <v>0</v>
      </c>
      <c r="EW221" s="902">
        <v>0</v>
      </c>
      <c r="EX221" s="902">
        <v>33.245838326412716</v>
      </c>
      <c r="EY221" s="902">
        <v>7.2039048840408931E-2</v>
      </c>
      <c r="EZ221" s="902">
        <v>3300</v>
      </c>
      <c r="FA221" s="909" t="s">
        <v>2877</v>
      </c>
      <c r="FB221" s="909">
        <v>2</v>
      </c>
      <c r="FC221" s="909">
        <v>0</v>
      </c>
      <c r="FD221" s="909">
        <v>0</v>
      </c>
      <c r="FE221" s="909">
        <v>0</v>
      </c>
      <c r="FF221" s="910">
        <v>6185.7849145671362</v>
      </c>
      <c r="FG221" s="909">
        <v>0</v>
      </c>
      <c r="FH221" s="909">
        <v>0</v>
      </c>
      <c r="FI221" s="909">
        <v>0</v>
      </c>
      <c r="FJ221" s="910">
        <v>6063.0145129154089</v>
      </c>
      <c r="FK221" s="871">
        <v>4000</v>
      </c>
      <c r="FL221" s="911">
        <v>65.973445725385659</v>
      </c>
      <c r="FM221" s="908">
        <v>1.3173817123443283</v>
      </c>
      <c r="FN221" s="902">
        <v>6.0022993732454761</v>
      </c>
      <c r="FO221" s="902">
        <v>0</v>
      </c>
      <c r="FP221" s="902">
        <v>0</v>
      </c>
      <c r="FQ221" s="902">
        <v>33.245838326412716</v>
      </c>
      <c r="FR221" s="902">
        <v>7.2039048840408931E-2</v>
      </c>
      <c r="FS221" s="902">
        <v>3600</v>
      </c>
      <c r="FT221" s="909" t="s">
        <v>2877</v>
      </c>
      <c r="FU221" s="909">
        <v>2</v>
      </c>
      <c r="FV221" s="909">
        <v>0</v>
      </c>
      <c r="FW221" s="909">
        <v>0</v>
      </c>
      <c r="FX221" s="909">
        <v>0</v>
      </c>
      <c r="FY221" s="910">
        <v>6185.7849145671362</v>
      </c>
      <c r="FZ221" s="909">
        <v>0</v>
      </c>
      <c r="GA221" s="909">
        <v>0</v>
      </c>
      <c r="GB221" s="909">
        <v>0</v>
      </c>
      <c r="GC221" s="910">
        <v>6063.0145129154089</v>
      </c>
      <c r="GD221" s="871">
        <v>4000</v>
      </c>
      <c r="GE221" s="911">
        <v>65.973445725385659</v>
      </c>
      <c r="GF221" s="908">
        <v>1.3173817123443283</v>
      </c>
      <c r="GG221" s="902">
        <v>6.0022993732454761</v>
      </c>
      <c r="GH221" s="902">
        <v>0</v>
      </c>
      <c r="GI221" s="902">
        <v>0</v>
      </c>
      <c r="GJ221" s="902">
        <v>33.245838326412716</v>
      </c>
      <c r="GK221" s="902">
        <v>7.2039048840408931E-2</v>
      </c>
      <c r="GL221" s="902">
        <v>3300</v>
      </c>
      <c r="GM221" s="909" t="s">
        <v>2877</v>
      </c>
      <c r="GN221" s="909">
        <v>2</v>
      </c>
      <c r="GO221" s="909">
        <v>0</v>
      </c>
      <c r="GP221" s="909">
        <v>0</v>
      </c>
      <c r="GQ221" s="909">
        <v>0</v>
      </c>
      <c r="GR221" s="910">
        <v>6185.7849145671362</v>
      </c>
      <c r="GS221" s="909">
        <v>0</v>
      </c>
      <c r="GT221" s="909">
        <v>0</v>
      </c>
      <c r="GU221" s="909">
        <v>0</v>
      </c>
      <c r="GV221" s="910">
        <v>6063.0145129154089</v>
      </c>
      <c r="GW221" s="871">
        <v>4000</v>
      </c>
      <c r="GX221" s="911">
        <v>65.973445725385659</v>
      </c>
      <c r="GY221" s="908">
        <v>1.3173817123443283</v>
      </c>
      <c r="GZ221" s="902">
        <v>6.0022993732454761</v>
      </c>
      <c r="HA221" s="902">
        <v>0</v>
      </c>
      <c r="HB221" s="902">
        <v>0</v>
      </c>
      <c r="HC221" s="902">
        <v>33.245838326412716</v>
      </c>
      <c r="HD221" s="902">
        <v>7.2039048840408931E-2</v>
      </c>
      <c r="HE221" s="902">
        <v>3600</v>
      </c>
      <c r="HF221" s="909" t="s">
        <v>2877</v>
      </c>
      <c r="HG221" s="909">
        <v>2</v>
      </c>
      <c r="HH221" s="909">
        <v>0</v>
      </c>
      <c r="HI221" s="909">
        <v>0</v>
      </c>
      <c r="HJ221" s="909">
        <v>0</v>
      </c>
      <c r="HK221" s="910">
        <v>6185.7849145671362</v>
      </c>
      <c r="HL221" s="909">
        <v>0</v>
      </c>
      <c r="HM221" s="909">
        <v>0</v>
      </c>
      <c r="HN221" s="909">
        <v>0</v>
      </c>
      <c r="HO221" s="910">
        <v>6063.0145129154089</v>
      </c>
      <c r="HP221" s="871">
        <v>4000</v>
      </c>
      <c r="HQ221" s="911">
        <v>65.973445725385659</v>
      </c>
      <c r="HR221" s="908">
        <v>1.3173817123443283</v>
      </c>
      <c r="HS221" s="902">
        <v>6.0022993732454761</v>
      </c>
      <c r="HT221" s="902">
        <v>0</v>
      </c>
      <c r="HU221" s="902">
        <v>0</v>
      </c>
      <c r="HV221" s="902">
        <v>33.245838326412716</v>
      </c>
      <c r="HW221" s="902">
        <v>7.2039048840408931E-2</v>
      </c>
      <c r="HX221" s="902">
        <v>3300</v>
      </c>
      <c r="HY221" s="909" t="s">
        <v>1063</v>
      </c>
      <c r="HZ221" s="909">
        <v>2</v>
      </c>
      <c r="IA221" s="909">
        <v>0</v>
      </c>
      <c r="IB221" s="909">
        <v>0</v>
      </c>
      <c r="IC221" s="909">
        <v>0</v>
      </c>
      <c r="ID221" s="910">
        <v>5455.3495158931901</v>
      </c>
      <c r="IE221" s="909">
        <v>0</v>
      </c>
      <c r="IF221" s="909">
        <v>0</v>
      </c>
      <c r="IG221" s="909">
        <v>0</v>
      </c>
      <c r="IH221" s="910">
        <v>5347.0761988498616</v>
      </c>
      <c r="II221" s="871">
        <v>4000</v>
      </c>
      <c r="IJ221" s="911">
        <v>65.973445725385659</v>
      </c>
      <c r="IK221" s="908">
        <v>1.3173817123443283</v>
      </c>
      <c r="IL221" s="902">
        <v>6.0022993732454761</v>
      </c>
      <c r="IM221" s="902">
        <v>0</v>
      </c>
      <c r="IN221" s="902">
        <v>0</v>
      </c>
      <c r="IO221" s="902">
        <v>33.245838326412716</v>
      </c>
      <c r="IP221" s="902">
        <v>7.2039048840408931E-2</v>
      </c>
      <c r="IQ221" s="902">
        <v>3600</v>
      </c>
      <c r="IR221" s="909" t="s">
        <v>1063</v>
      </c>
      <c r="IS221" s="909">
        <v>2</v>
      </c>
      <c r="IT221" s="909">
        <v>0</v>
      </c>
      <c r="IU221" s="909">
        <v>0</v>
      </c>
      <c r="IV221" s="909">
        <v>0</v>
      </c>
      <c r="IW221" s="910">
        <v>5455.3495158931901</v>
      </c>
      <c r="IX221" s="909">
        <v>0</v>
      </c>
      <c r="IY221" s="909">
        <v>0</v>
      </c>
      <c r="IZ221" s="909">
        <v>0</v>
      </c>
      <c r="JA221" s="910">
        <v>5347.0761988498616</v>
      </c>
      <c r="JB221" s="871">
        <v>4000</v>
      </c>
      <c r="JC221" s="911">
        <v>65.973445725385659</v>
      </c>
      <c r="JD221" s="908">
        <v>1.3173817123443283</v>
      </c>
      <c r="JE221" s="902">
        <v>6.0022993732454761</v>
      </c>
      <c r="JF221" s="902">
        <v>0</v>
      </c>
      <c r="JG221" s="902">
        <v>0</v>
      </c>
      <c r="JH221" s="902">
        <v>33.245838326412716</v>
      </c>
      <c r="JI221" s="902">
        <v>7.2039048840408931E-2</v>
      </c>
      <c r="JJ221" s="902">
        <v>3300</v>
      </c>
      <c r="JK221" s="909" t="s">
        <v>1064</v>
      </c>
      <c r="JL221" s="909">
        <v>2</v>
      </c>
      <c r="JM221" s="909">
        <v>0</v>
      </c>
      <c r="JN221" s="909">
        <v>0</v>
      </c>
      <c r="JO221" s="909">
        <v>0</v>
      </c>
      <c r="JP221" s="910">
        <v>7434.3882294878131</v>
      </c>
      <c r="JQ221" s="909">
        <v>0</v>
      </c>
      <c r="JR221" s="909">
        <v>0</v>
      </c>
      <c r="JS221" s="909">
        <v>0</v>
      </c>
      <c r="JT221" s="910">
        <v>7286.836570066278</v>
      </c>
      <c r="JU221" s="871">
        <v>4000</v>
      </c>
      <c r="JV221" s="911">
        <v>65.973445725385659</v>
      </c>
      <c r="JW221" s="908">
        <v>1.3173817123443283</v>
      </c>
      <c r="JX221" s="902">
        <v>6.0022993732454761</v>
      </c>
      <c r="JY221" s="902">
        <v>0</v>
      </c>
      <c r="JZ221" s="902">
        <v>0</v>
      </c>
      <c r="KA221" s="902">
        <v>33.245838326412716</v>
      </c>
      <c r="KB221" s="902">
        <v>7.2039048840408931E-2</v>
      </c>
      <c r="KC221" s="902">
        <v>3600</v>
      </c>
      <c r="KD221" s="909" t="s">
        <v>1064</v>
      </c>
      <c r="KE221" s="909">
        <v>2</v>
      </c>
      <c r="KF221" s="909">
        <v>0</v>
      </c>
      <c r="KG221" s="909">
        <v>0</v>
      </c>
      <c r="KH221" s="909">
        <v>0</v>
      </c>
      <c r="KI221" s="910">
        <v>7434.3882294878131</v>
      </c>
      <c r="KJ221" s="909">
        <v>0</v>
      </c>
      <c r="KK221" s="909">
        <v>0</v>
      </c>
      <c r="KL221" s="909">
        <v>0</v>
      </c>
      <c r="KM221" s="910">
        <v>7286.836570066278</v>
      </c>
      <c r="KN221" s="871">
        <v>4000</v>
      </c>
      <c r="KO221" s="912">
        <v>65.973445725385659</v>
      </c>
    </row>
    <row r="222" spans="1:301" ht="15" customHeight="1">
      <c r="A222" s="1047" t="s">
        <v>1653</v>
      </c>
      <c r="B222" s="888" t="s">
        <v>1073</v>
      </c>
      <c r="C222" s="888">
        <v>246.6</v>
      </c>
      <c r="D222" s="888">
        <v>365</v>
      </c>
      <c r="E222" s="888"/>
      <c r="F222" s="888"/>
      <c r="G222" s="888">
        <v>28</v>
      </c>
      <c r="H222" s="888">
        <v>100</v>
      </c>
      <c r="I222" s="888">
        <v>100</v>
      </c>
      <c r="J222" s="888">
        <v>131.4</v>
      </c>
      <c r="K222" s="888">
        <v>65.47</v>
      </c>
      <c r="L222" s="888">
        <v>16</v>
      </c>
      <c r="M222" s="888">
        <v>59.847374353983454</v>
      </c>
      <c r="N222" s="888">
        <v>2</v>
      </c>
      <c r="O222" s="884">
        <v>1.6427643240024132</v>
      </c>
      <c r="P222" s="888">
        <v>2</v>
      </c>
      <c r="Q222" s="884">
        <v>0.41924553962155792</v>
      </c>
      <c r="R222" s="888">
        <v>7</v>
      </c>
      <c r="S222" s="888">
        <v>315</v>
      </c>
      <c r="T222" s="906">
        <v>4.2823157453329941</v>
      </c>
      <c r="U222" s="906">
        <v>47.25</v>
      </c>
      <c r="V222" s="906">
        <v>10</v>
      </c>
      <c r="W222" s="1141">
        <v>0.10323439743213468</v>
      </c>
      <c r="X222" s="902">
        <v>0</v>
      </c>
      <c r="Y222" s="902">
        <v>0</v>
      </c>
      <c r="Z222" s="902">
        <v>0</v>
      </c>
      <c r="AA222" s="902">
        <v>0</v>
      </c>
      <c r="AB222" s="970">
        <v>0.78677936416734717</v>
      </c>
      <c r="AC222" s="1045">
        <v>4000</v>
      </c>
      <c r="AD222" s="890"/>
      <c r="AE222" s="890"/>
      <c r="AF222" s="890"/>
      <c r="AG222" s="890"/>
      <c r="AH222" s="888"/>
      <c r="AI222" s="907">
        <v>0.51452770413257976</v>
      </c>
      <c r="AJ222" s="908">
        <v>1.5033660437720646</v>
      </c>
      <c r="AK222" s="902">
        <v>7.9509260501611649</v>
      </c>
      <c r="AL222" s="902">
        <v>0</v>
      </c>
      <c r="AM222" s="902">
        <v>0</v>
      </c>
      <c r="AN222" s="902">
        <v>32.118052112824763</v>
      </c>
      <c r="AO222" s="902">
        <v>0.12911645726690749</v>
      </c>
      <c r="AP222" s="1222">
        <v>3000</v>
      </c>
      <c r="AQ222" s="909" t="s">
        <v>1064</v>
      </c>
      <c r="AR222" s="909">
        <v>2</v>
      </c>
      <c r="AS222" s="909">
        <v>0</v>
      </c>
      <c r="AT222" s="909">
        <v>0</v>
      </c>
      <c r="AU222" s="909">
        <v>0</v>
      </c>
      <c r="AV222" s="910">
        <v>6637.5743460890735</v>
      </c>
      <c r="AW222" s="909">
        <v>0</v>
      </c>
      <c r="AX222" s="909">
        <v>0</v>
      </c>
      <c r="AY222" s="909">
        <v>0</v>
      </c>
      <c r="AZ222" s="910">
        <v>6885.7280440269224</v>
      </c>
      <c r="BA222" s="871">
        <v>4000</v>
      </c>
      <c r="BB222" s="911">
        <v>76.445421237351638</v>
      </c>
      <c r="BC222" s="908">
        <v>1.5033660437720646</v>
      </c>
      <c r="BD222" s="902">
        <v>7.9509260501611649</v>
      </c>
      <c r="BE222" s="902">
        <v>0</v>
      </c>
      <c r="BF222" s="902">
        <v>0</v>
      </c>
      <c r="BG222" s="902">
        <v>32.118052112824763</v>
      </c>
      <c r="BH222" s="902">
        <v>0.12911645726690749</v>
      </c>
      <c r="BI222" s="902">
        <v>3600</v>
      </c>
      <c r="BJ222" s="909" t="s">
        <v>1064</v>
      </c>
      <c r="BK222" s="909">
        <v>2</v>
      </c>
      <c r="BL222" s="909">
        <v>0</v>
      </c>
      <c r="BM222" s="909">
        <v>0</v>
      </c>
      <c r="BN222" s="909">
        <v>0</v>
      </c>
      <c r="BO222" s="910">
        <v>6637.5743460890735</v>
      </c>
      <c r="BP222" s="909">
        <v>0</v>
      </c>
      <c r="BQ222" s="909">
        <v>0</v>
      </c>
      <c r="BR222" s="909">
        <v>0</v>
      </c>
      <c r="BS222" s="910">
        <v>6885.7280440269224</v>
      </c>
      <c r="BT222" s="871">
        <v>4000</v>
      </c>
      <c r="BU222" s="911">
        <v>76.445421237351638</v>
      </c>
      <c r="BV222" s="908">
        <v>2.2550490656580968</v>
      </c>
      <c r="BW222" s="902">
        <v>8.9830165327958476</v>
      </c>
      <c r="BX222" s="902">
        <v>0.10005015175887237</v>
      </c>
      <c r="BY222" s="902">
        <v>0.1803573089897787</v>
      </c>
      <c r="BZ222" s="902">
        <v>34.172572235095856</v>
      </c>
      <c r="CA222" s="902">
        <v>0.15458971723993226</v>
      </c>
      <c r="CB222" s="902">
        <v>3000</v>
      </c>
      <c r="CC222" s="909" t="s">
        <v>2874</v>
      </c>
      <c r="CD222" s="909">
        <v>3</v>
      </c>
      <c r="CE222" s="909">
        <v>1</v>
      </c>
      <c r="CF222" s="909">
        <v>3</v>
      </c>
      <c r="CG222" s="909">
        <v>11.223044497810264</v>
      </c>
      <c r="CH222" s="910">
        <v>9552.8053914492339</v>
      </c>
      <c r="CI222" s="909">
        <v>1</v>
      </c>
      <c r="CJ222" s="909">
        <v>3</v>
      </c>
      <c r="CK222" s="909">
        <v>13.611447632218573</v>
      </c>
      <c r="CL222" s="910">
        <v>7319.5779782119444</v>
      </c>
      <c r="CM222" s="871">
        <v>4000</v>
      </c>
      <c r="CN222" s="911">
        <v>76.445421237351638</v>
      </c>
      <c r="CO222" s="908">
        <v>2.2550490656580968</v>
      </c>
      <c r="CP222" s="902">
        <v>8.9830165327958476</v>
      </c>
      <c r="CQ222" s="902">
        <v>0.10005015175887237</v>
      </c>
      <c r="CR222" s="902">
        <v>0.1803573089897787</v>
      </c>
      <c r="CS222" s="902">
        <v>34.172572235095856</v>
      </c>
      <c r="CT222" s="902">
        <v>0.15458971723993226</v>
      </c>
      <c r="CU222" s="902">
        <v>3600</v>
      </c>
      <c r="CV222" s="909" t="s">
        <v>2874</v>
      </c>
      <c r="CW222" s="909">
        <v>3</v>
      </c>
      <c r="CX222" s="909">
        <v>1</v>
      </c>
      <c r="CY222" s="909">
        <v>3</v>
      </c>
      <c r="CZ222" s="909">
        <v>11.223044497810264</v>
      </c>
      <c r="DA222" s="910">
        <v>9552.8053914492339</v>
      </c>
      <c r="DB222" s="909">
        <v>1</v>
      </c>
      <c r="DC222" s="909">
        <v>3</v>
      </c>
      <c r="DD222" s="909">
        <v>13.611447632218573</v>
      </c>
      <c r="DE222" s="910">
        <v>7319.5779782119444</v>
      </c>
      <c r="DF222" s="871">
        <v>4000</v>
      </c>
      <c r="DG222" s="911">
        <v>76.445421237351638</v>
      </c>
      <c r="DH222" s="908">
        <v>1.5033660437720646</v>
      </c>
      <c r="DI222" s="902">
        <v>8.1378643573269329</v>
      </c>
      <c r="DJ222" s="902">
        <v>6.6700101172581572E-2</v>
      </c>
      <c r="DK222" s="902">
        <v>0.1202382059931858</v>
      </c>
      <c r="DL222" s="902">
        <v>32.528825863783794</v>
      </c>
      <c r="DM222" s="902">
        <v>0.13394413160082647</v>
      </c>
      <c r="DN222" s="902">
        <v>3000</v>
      </c>
      <c r="DO222" s="909" t="s">
        <v>2876</v>
      </c>
      <c r="DP222" s="909">
        <v>2</v>
      </c>
      <c r="DQ222" s="909">
        <v>1</v>
      </c>
      <c r="DR222" s="909">
        <v>2</v>
      </c>
      <c r="DS222" s="909">
        <v>11.223044497810264</v>
      </c>
      <c r="DT222" s="910">
        <v>10590.984137431067</v>
      </c>
      <c r="DU222" s="909">
        <v>1</v>
      </c>
      <c r="DV222" s="909">
        <v>2</v>
      </c>
      <c r="DW222" s="909">
        <v>13.611447632218573</v>
      </c>
      <c r="DX222" s="910">
        <v>8115.0542781204776</v>
      </c>
      <c r="DY222" s="871">
        <v>4000</v>
      </c>
      <c r="DZ222" s="911">
        <v>76.445421237351638</v>
      </c>
      <c r="EA222" s="908">
        <v>1.5033660437720646</v>
      </c>
      <c r="EB222" s="902">
        <v>8.1378643573269329</v>
      </c>
      <c r="EC222" s="902">
        <v>6.6700101172581572E-2</v>
      </c>
      <c r="ED222" s="902">
        <v>0.1202382059931858</v>
      </c>
      <c r="EE222" s="902">
        <v>32.528825863783794</v>
      </c>
      <c r="EF222" s="902">
        <v>0.13394413160082647</v>
      </c>
      <c r="EG222" s="902">
        <v>3600</v>
      </c>
      <c r="EH222" s="909" t="s">
        <v>2876</v>
      </c>
      <c r="EI222" s="909">
        <v>2</v>
      </c>
      <c r="EJ222" s="909">
        <v>1</v>
      </c>
      <c r="EK222" s="909">
        <v>2</v>
      </c>
      <c r="EL222" s="909">
        <v>11.223044497810264</v>
      </c>
      <c r="EM222" s="910">
        <v>10590.984137431067</v>
      </c>
      <c r="EN222" s="909">
        <v>1</v>
      </c>
      <c r="EO222" s="909">
        <v>2</v>
      </c>
      <c r="EP222" s="909">
        <v>13.611447632218573</v>
      </c>
      <c r="EQ222" s="910">
        <v>8115.0542781204776</v>
      </c>
      <c r="ER222" s="871">
        <v>4000</v>
      </c>
      <c r="ES222" s="911">
        <v>76.445421237351638</v>
      </c>
      <c r="ET222" s="908">
        <v>1.5033660437720646</v>
      </c>
      <c r="EU222" s="902">
        <v>7.9509260501611649</v>
      </c>
      <c r="EV222" s="902">
        <v>0</v>
      </c>
      <c r="EW222" s="902">
        <v>0</v>
      </c>
      <c r="EX222" s="902">
        <v>32.118052112824763</v>
      </c>
      <c r="EY222" s="902">
        <v>0.12911645726690749</v>
      </c>
      <c r="EZ222" s="902">
        <v>3000</v>
      </c>
      <c r="FA222" s="909" t="s">
        <v>2877</v>
      </c>
      <c r="FB222" s="909">
        <v>2</v>
      </c>
      <c r="FC222" s="909">
        <v>0</v>
      </c>
      <c r="FD222" s="909">
        <v>0</v>
      </c>
      <c r="FE222" s="909">
        <v>0</v>
      </c>
      <c r="FF222" s="910">
        <v>5522.795688352734</v>
      </c>
      <c r="FG222" s="909">
        <v>0</v>
      </c>
      <c r="FH222" s="909">
        <v>0</v>
      </c>
      <c r="FI222" s="909">
        <v>0</v>
      </c>
      <c r="FJ222" s="910">
        <v>5729.2720457629448</v>
      </c>
      <c r="FK222" s="871">
        <v>4000</v>
      </c>
      <c r="FL222" s="911">
        <v>76.445421237351638</v>
      </c>
      <c r="FM222" s="908">
        <v>1.5033660437720646</v>
      </c>
      <c r="FN222" s="902">
        <v>7.9509260501611649</v>
      </c>
      <c r="FO222" s="902">
        <v>0</v>
      </c>
      <c r="FP222" s="902">
        <v>0</v>
      </c>
      <c r="FQ222" s="902">
        <v>32.118052112824763</v>
      </c>
      <c r="FR222" s="902">
        <v>0.12911645726690749</v>
      </c>
      <c r="FS222" s="902">
        <v>3600</v>
      </c>
      <c r="FT222" s="909" t="s">
        <v>2877</v>
      </c>
      <c r="FU222" s="909">
        <v>2</v>
      </c>
      <c r="FV222" s="909">
        <v>0</v>
      </c>
      <c r="FW222" s="909">
        <v>0</v>
      </c>
      <c r="FX222" s="909">
        <v>0</v>
      </c>
      <c r="FY222" s="910">
        <v>5522.795688352734</v>
      </c>
      <c r="FZ222" s="909">
        <v>0</v>
      </c>
      <c r="GA222" s="909">
        <v>0</v>
      </c>
      <c r="GB222" s="909">
        <v>0</v>
      </c>
      <c r="GC222" s="910">
        <v>5729.2720457629448</v>
      </c>
      <c r="GD222" s="871">
        <v>4000</v>
      </c>
      <c r="GE222" s="911">
        <v>76.445421237351638</v>
      </c>
      <c r="GF222" s="908">
        <v>1.5033660437720646</v>
      </c>
      <c r="GG222" s="902">
        <v>7.9509260501611649</v>
      </c>
      <c r="GH222" s="902">
        <v>0</v>
      </c>
      <c r="GI222" s="902">
        <v>0</v>
      </c>
      <c r="GJ222" s="902">
        <v>32.118052112824763</v>
      </c>
      <c r="GK222" s="902">
        <v>0.12911645726690749</v>
      </c>
      <c r="GL222" s="902">
        <v>3000</v>
      </c>
      <c r="GM222" s="909" t="s">
        <v>2877</v>
      </c>
      <c r="GN222" s="909">
        <v>2</v>
      </c>
      <c r="GO222" s="909">
        <v>0</v>
      </c>
      <c r="GP222" s="909">
        <v>0</v>
      </c>
      <c r="GQ222" s="909">
        <v>0</v>
      </c>
      <c r="GR222" s="910">
        <v>5522.795688352734</v>
      </c>
      <c r="GS222" s="909">
        <v>0</v>
      </c>
      <c r="GT222" s="909">
        <v>0</v>
      </c>
      <c r="GU222" s="909">
        <v>0</v>
      </c>
      <c r="GV222" s="910">
        <v>5729.2720457629448</v>
      </c>
      <c r="GW222" s="871">
        <v>4000</v>
      </c>
      <c r="GX222" s="911">
        <v>76.445421237351638</v>
      </c>
      <c r="GY222" s="908">
        <v>1.5033660437720646</v>
      </c>
      <c r="GZ222" s="902">
        <v>7.9509260501611649</v>
      </c>
      <c r="HA222" s="902">
        <v>0</v>
      </c>
      <c r="HB222" s="902">
        <v>0</v>
      </c>
      <c r="HC222" s="902">
        <v>32.118052112824763</v>
      </c>
      <c r="HD222" s="902">
        <v>0.12911645726690749</v>
      </c>
      <c r="HE222" s="902">
        <v>3600</v>
      </c>
      <c r="HF222" s="909" t="s">
        <v>2877</v>
      </c>
      <c r="HG222" s="909">
        <v>2</v>
      </c>
      <c r="HH222" s="909">
        <v>0</v>
      </c>
      <c r="HI222" s="909">
        <v>0</v>
      </c>
      <c r="HJ222" s="909">
        <v>0</v>
      </c>
      <c r="HK222" s="910">
        <v>5522.795688352734</v>
      </c>
      <c r="HL222" s="909">
        <v>0</v>
      </c>
      <c r="HM222" s="909">
        <v>0</v>
      </c>
      <c r="HN222" s="909">
        <v>0</v>
      </c>
      <c r="HO222" s="910">
        <v>5729.2720457629448</v>
      </c>
      <c r="HP222" s="871">
        <v>4000</v>
      </c>
      <c r="HQ222" s="911">
        <v>76.445421237351638</v>
      </c>
      <c r="HR222" s="908">
        <v>1.5033660437720646</v>
      </c>
      <c r="HS222" s="902">
        <v>7.9509260501611649</v>
      </c>
      <c r="HT222" s="902">
        <v>0</v>
      </c>
      <c r="HU222" s="902">
        <v>0</v>
      </c>
      <c r="HV222" s="902">
        <v>32.118052112824763</v>
      </c>
      <c r="HW222" s="902">
        <v>0.12911645726690749</v>
      </c>
      <c r="HX222" s="902">
        <v>3000</v>
      </c>
      <c r="HY222" s="909" t="s">
        <v>1063</v>
      </c>
      <c r="HZ222" s="909">
        <v>2</v>
      </c>
      <c r="IA222" s="909">
        <v>0</v>
      </c>
      <c r="IB222" s="909">
        <v>0</v>
      </c>
      <c r="IC222" s="909">
        <v>0</v>
      </c>
      <c r="ID222" s="910">
        <v>4870.6479777337045</v>
      </c>
      <c r="IE222" s="909">
        <v>0</v>
      </c>
      <c r="IF222" s="909">
        <v>0</v>
      </c>
      <c r="IG222" s="909">
        <v>0</v>
      </c>
      <c r="IH222" s="910">
        <v>5052.7430088410074</v>
      </c>
      <c r="II222" s="871">
        <v>4000</v>
      </c>
      <c r="IJ222" s="911">
        <v>76.445421237351638</v>
      </c>
      <c r="IK222" s="908">
        <v>1.5033660437720646</v>
      </c>
      <c r="IL222" s="902">
        <v>7.9509260501611649</v>
      </c>
      <c r="IM222" s="902">
        <v>0</v>
      </c>
      <c r="IN222" s="902">
        <v>0</v>
      </c>
      <c r="IO222" s="902">
        <v>32.118052112824763</v>
      </c>
      <c r="IP222" s="902">
        <v>0.12911645726690749</v>
      </c>
      <c r="IQ222" s="902">
        <v>3600</v>
      </c>
      <c r="IR222" s="909" t="s">
        <v>1063</v>
      </c>
      <c r="IS222" s="909">
        <v>2</v>
      </c>
      <c r="IT222" s="909">
        <v>0</v>
      </c>
      <c r="IU222" s="909">
        <v>0</v>
      </c>
      <c r="IV222" s="909">
        <v>0</v>
      </c>
      <c r="IW222" s="910">
        <v>4870.6479777337045</v>
      </c>
      <c r="IX222" s="909">
        <v>0</v>
      </c>
      <c r="IY222" s="909">
        <v>0</v>
      </c>
      <c r="IZ222" s="909">
        <v>0</v>
      </c>
      <c r="JA222" s="910">
        <v>5052.7430088410074</v>
      </c>
      <c r="JB222" s="871">
        <v>4000</v>
      </c>
      <c r="JC222" s="911">
        <v>76.445421237351638</v>
      </c>
      <c r="JD222" s="908">
        <v>1.5033660437720646</v>
      </c>
      <c r="JE222" s="902">
        <v>7.9509260501611649</v>
      </c>
      <c r="JF222" s="902">
        <v>0</v>
      </c>
      <c r="JG222" s="902">
        <v>0</v>
      </c>
      <c r="JH222" s="902">
        <v>32.118052112824763</v>
      </c>
      <c r="JI222" s="902">
        <v>0.12911645726690749</v>
      </c>
      <c r="JJ222" s="902">
        <v>3000</v>
      </c>
      <c r="JK222" s="909" t="s">
        <v>1064</v>
      </c>
      <c r="JL222" s="909">
        <v>2</v>
      </c>
      <c r="JM222" s="909">
        <v>0</v>
      </c>
      <c r="JN222" s="909">
        <v>0</v>
      </c>
      <c r="JO222" s="909">
        <v>0</v>
      </c>
      <c r="JP222" s="910">
        <v>6637.5743460890735</v>
      </c>
      <c r="JQ222" s="909">
        <v>0</v>
      </c>
      <c r="JR222" s="909">
        <v>0</v>
      </c>
      <c r="JS222" s="909">
        <v>0</v>
      </c>
      <c r="JT222" s="910">
        <v>6885.7280440269224</v>
      </c>
      <c r="JU222" s="871">
        <v>4000</v>
      </c>
      <c r="JV222" s="911">
        <v>76.445421237351638</v>
      </c>
      <c r="JW222" s="908">
        <v>1.5033660437720646</v>
      </c>
      <c r="JX222" s="902">
        <v>7.9509260501611649</v>
      </c>
      <c r="JY222" s="902">
        <v>0</v>
      </c>
      <c r="JZ222" s="902">
        <v>0</v>
      </c>
      <c r="KA222" s="902">
        <v>32.118052112824763</v>
      </c>
      <c r="KB222" s="902">
        <v>0.12911645726690749</v>
      </c>
      <c r="KC222" s="902">
        <v>3600</v>
      </c>
      <c r="KD222" s="909" t="s">
        <v>1064</v>
      </c>
      <c r="KE222" s="909">
        <v>2</v>
      </c>
      <c r="KF222" s="909">
        <v>0</v>
      </c>
      <c r="KG222" s="909">
        <v>0</v>
      </c>
      <c r="KH222" s="909">
        <v>0</v>
      </c>
      <c r="KI222" s="910">
        <v>6637.5743460890735</v>
      </c>
      <c r="KJ222" s="909">
        <v>0</v>
      </c>
      <c r="KK222" s="909">
        <v>0</v>
      </c>
      <c r="KL222" s="909">
        <v>0</v>
      </c>
      <c r="KM222" s="910">
        <v>6885.7280440269224</v>
      </c>
      <c r="KN222" s="871">
        <v>4000</v>
      </c>
      <c r="KO222" s="912">
        <v>76.445421237351638</v>
      </c>
    </row>
    <row r="223" spans="1:301" ht="15" customHeight="1">
      <c r="A223" s="1047" t="s">
        <v>1721</v>
      </c>
      <c r="B223" s="888" t="s">
        <v>1073</v>
      </c>
      <c r="C223" s="888">
        <v>246.6</v>
      </c>
      <c r="D223" s="888">
        <v>365</v>
      </c>
      <c r="E223" s="888"/>
      <c r="F223" s="888"/>
      <c r="G223" s="888">
        <v>28</v>
      </c>
      <c r="H223" s="888">
        <v>100</v>
      </c>
      <c r="I223" s="888">
        <v>100</v>
      </c>
      <c r="J223" s="888">
        <v>131.4</v>
      </c>
      <c r="K223" s="888">
        <v>65.47</v>
      </c>
      <c r="L223" s="888">
        <v>16</v>
      </c>
      <c r="M223" s="888">
        <v>59.847374353983454</v>
      </c>
      <c r="N223" s="888">
        <v>2</v>
      </c>
      <c r="O223" s="884">
        <v>1.6427643240024132</v>
      </c>
      <c r="P223" s="888">
        <v>2</v>
      </c>
      <c r="Q223" s="884">
        <v>0.41924553962155792</v>
      </c>
      <c r="R223" s="888">
        <v>7</v>
      </c>
      <c r="S223" s="888">
        <v>315</v>
      </c>
      <c r="T223" s="906">
        <v>4.2823157453329941</v>
      </c>
      <c r="U223" s="906">
        <v>47.25</v>
      </c>
      <c r="V223" s="906">
        <v>10</v>
      </c>
      <c r="W223" s="1141">
        <v>0.10323439743213468</v>
      </c>
      <c r="X223" s="902">
        <v>0</v>
      </c>
      <c r="Y223" s="902">
        <v>0</v>
      </c>
      <c r="Z223" s="902">
        <v>0</v>
      </c>
      <c r="AA223" s="902">
        <v>0</v>
      </c>
      <c r="AB223" s="970">
        <v>0.78677936416734717</v>
      </c>
      <c r="AC223" s="1045">
        <v>4000</v>
      </c>
      <c r="AD223" s="890"/>
      <c r="AE223" s="890"/>
      <c r="AF223" s="890"/>
      <c r="AG223" s="890"/>
      <c r="AH223" s="888"/>
      <c r="AI223" s="907">
        <v>0.51452770413257976</v>
      </c>
      <c r="AJ223" s="908">
        <v>1.5033660437720646</v>
      </c>
      <c r="AK223" s="902">
        <v>7.9509260501611649</v>
      </c>
      <c r="AL223" s="902">
        <v>0</v>
      </c>
      <c r="AM223" s="902">
        <v>0</v>
      </c>
      <c r="AN223" s="902">
        <v>32.118052112824763</v>
      </c>
      <c r="AO223" s="902">
        <v>0.12911645726690749</v>
      </c>
      <c r="AP223" s="1222">
        <v>3000</v>
      </c>
      <c r="AQ223" s="909" t="s">
        <v>1064</v>
      </c>
      <c r="AR223" s="909">
        <v>2</v>
      </c>
      <c r="AS223" s="909">
        <v>0</v>
      </c>
      <c r="AT223" s="909">
        <v>0</v>
      </c>
      <c r="AU223" s="909">
        <v>0</v>
      </c>
      <c r="AV223" s="910">
        <v>6637.5743460890735</v>
      </c>
      <c r="AW223" s="909">
        <v>0</v>
      </c>
      <c r="AX223" s="909">
        <v>0</v>
      </c>
      <c r="AY223" s="909">
        <v>0</v>
      </c>
      <c r="AZ223" s="910">
        <v>6885.7280440269224</v>
      </c>
      <c r="BA223" s="871">
        <v>4000</v>
      </c>
      <c r="BB223" s="911">
        <v>76.445421237351638</v>
      </c>
      <c r="BC223" s="908">
        <v>1.5033660437720646</v>
      </c>
      <c r="BD223" s="902">
        <v>7.9509260501611649</v>
      </c>
      <c r="BE223" s="902">
        <v>0</v>
      </c>
      <c r="BF223" s="902">
        <v>0</v>
      </c>
      <c r="BG223" s="902">
        <v>32.118052112824763</v>
      </c>
      <c r="BH223" s="902">
        <v>0.12911645726690749</v>
      </c>
      <c r="BI223" s="902">
        <v>3600</v>
      </c>
      <c r="BJ223" s="909" t="s">
        <v>1064</v>
      </c>
      <c r="BK223" s="909">
        <v>2</v>
      </c>
      <c r="BL223" s="909">
        <v>0</v>
      </c>
      <c r="BM223" s="909">
        <v>0</v>
      </c>
      <c r="BN223" s="909">
        <v>0</v>
      </c>
      <c r="BO223" s="910">
        <v>6637.5743460890735</v>
      </c>
      <c r="BP223" s="909">
        <v>0</v>
      </c>
      <c r="BQ223" s="909">
        <v>0</v>
      </c>
      <c r="BR223" s="909">
        <v>0</v>
      </c>
      <c r="BS223" s="910">
        <v>6885.7280440269224</v>
      </c>
      <c r="BT223" s="871">
        <v>4000</v>
      </c>
      <c r="BU223" s="911">
        <v>76.445421237351638</v>
      </c>
      <c r="BV223" s="908">
        <v>2.2550490656580968</v>
      </c>
      <c r="BW223" s="902">
        <v>8.9830165327958476</v>
      </c>
      <c r="BX223" s="902">
        <v>0.10005015175887237</v>
      </c>
      <c r="BY223" s="902">
        <v>0.1803573089897787</v>
      </c>
      <c r="BZ223" s="902">
        <v>34.172572235095856</v>
      </c>
      <c r="CA223" s="902">
        <v>0.15458971723993226</v>
      </c>
      <c r="CB223" s="902">
        <v>3000</v>
      </c>
      <c r="CC223" s="909" t="s">
        <v>2874</v>
      </c>
      <c r="CD223" s="909">
        <v>3</v>
      </c>
      <c r="CE223" s="909">
        <v>1</v>
      </c>
      <c r="CF223" s="909">
        <v>3</v>
      </c>
      <c r="CG223" s="909">
        <v>11.223044497810264</v>
      </c>
      <c r="CH223" s="910">
        <v>9552.8053914492339</v>
      </c>
      <c r="CI223" s="909">
        <v>1</v>
      </c>
      <c r="CJ223" s="909">
        <v>3</v>
      </c>
      <c r="CK223" s="909">
        <v>13.611447632218573</v>
      </c>
      <c r="CL223" s="910">
        <v>7319.5779782119444</v>
      </c>
      <c r="CM223" s="871">
        <v>4000</v>
      </c>
      <c r="CN223" s="911">
        <v>76.445421237351638</v>
      </c>
      <c r="CO223" s="908">
        <v>2.2550490656580968</v>
      </c>
      <c r="CP223" s="902">
        <v>8.9830165327958476</v>
      </c>
      <c r="CQ223" s="902">
        <v>0.10005015175887237</v>
      </c>
      <c r="CR223" s="902">
        <v>0.1803573089897787</v>
      </c>
      <c r="CS223" s="902">
        <v>34.172572235095856</v>
      </c>
      <c r="CT223" s="902">
        <v>0.15458971723993226</v>
      </c>
      <c r="CU223" s="902">
        <v>3600</v>
      </c>
      <c r="CV223" s="909" t="s">
        <v>2874</v>
      </c>
      <c r="CW223" s="909">
        <v>3</v>
      </c>
      <c r="CX223" s="909">
        <v>1</v>
      </c>
      <c r="CY223" s="909">
        <v>3</v>
      </c>
      <c r="CZ223" s="909">
        <v>11.223044497810264</v>
      </c>
      <c r="DA223" s="910">
        <v>9552.8053914492339</v>
      </c>
      <c r="DB223" s="909">
        <v>1</v>
      </c>
      <c r="DC223" s="909">
        <v>3</v>
      </c>
      <c r="DD223" s="909">
        <v>13.611447632218573</v>
      </c>
      <c r="DE223" s="910">
        <v>7319.5779782119444</v>
      </c>
      <c r="DF223" s="871">
        <v>4000</v>
      </c>
      <c r="DG223" s="911">
        <v>76.445421237351638</v>
      </c>
      <c r="DH223" s="908">
        <v>1.5033660437720646</v>
      </c>
      <c r="DI223" s="902">
        <v>8.1378643573269329</v>
      </c>
      <c r="DJ223" s="902">
        <v>6.6700101172581572E-2</v>
      </c>
      <c r="DK223" s="902">
        <v>0.1202382059931858</v>
      </c>
      <c r="DL223" s="902">
        <v>32.528825863783794</v>
      </c>
      <c r="DM223" s="902">
        <v>0.13394413160082647</v>
      </c>
      <c r="DN223" s="902">
        <v>3000</v>
      </c>
      <c r="DO223" s="909" t="s">
        <v>2876</v>
      </c>
      <c r="DP223" s="909">
        <v>2</v>
      </c>
      <c r="DQ223" s="909">
        <v>1</v>
      </c>
      <c r="DR223" s="909">
        <v>2</v>
      </c>
      <c r="DS223" s="909">
        <v>11.223044497810264</v>
      </c>
      <c r="DT223" s="910">
        <v>10590.984137431067</v>
      </c>
      <c r="DU223" s="909">
        <v>1</v>
      </c>
      <c r="DV223" s="909">
        <v>2</v>
      </c>
      <c r="DW223" s="909">
        <v>13.611447632218573</v>
      </c>
      <c r="DX223" s="910">
        <v>8115.0542781204776</v>
      </c>
      <c r="DY223" s="871">
        <v>4000</v>
      </c>
      <c r="DZ223" s="911">
        <v>76.445421237351638</v>
      </c>
      <c r="EA223" s="908">
        <v>1.5033660437720646</v>
      </c>
      <c r="EB223" s="902">
        <v>8.1378643573269329</v>
      </c>
      <c r="EC223" s="902">
        <v>6.6700101172581572E-2</v>
      </c>
      <c r="ED223" s="902">
        <v>0.1202382059931858</v>
      </c>
      <c r="EE223" s="902">
        <v>32.528825863783794</v>
      </c>
      <c r="EF223" s="902">
        <v>0.13394413160082647</v>
      </c>
      <c r="EG223" s="902">
        <v>3600</v>
      </c>
      <c r="EH223" s="909" t="s">
        <v>2876</v>
      </c>
      <c r="EI223" s="909">
        <v>2</v>
      </c>
      <c r="EJ223" s="909">
        <v>1</v>
      </c>
      <c r="EK223" s="909">
        <v>2</v>
      </c>
      <c r="EL223" s="909">
        <v>11.223044497810264</v>
      </c>
      <c r="EM223" s="910">
        <v>10590.984137431067</v>
      </c>
      <c r="EN223" s="909">
        <v>1</v>
      </c>
      <c r="EO223" s="909">
        <v>2</v>
      </c>
      <c r="EP223" s="909">
        <v>13.611447632218573</v>
      </c>
      <c r="EQ223" s="910">
        <v>8115.0542781204776</v>
      </c>
      <c r="ER223" s="871">
        <v>4000</v>
      </c>
      <c r="ES223" s="911">
        <v>76.445421237351638</v>
      </c>
      <c r="ET223" s="908">
        <v>1.5033660437720646</v>
      </c>
      <c r="EU223" s="902">
        <v>7.9509260501611649</v>
      </c>
      <c r="EV223" s="902">
        <v>0</v>
      </c>
      <c r="EW223" s="902">
        <v>0</v>
      </c>
      <c r="EX223" s="902">
        <v>32.118052112824763</v>
      </c>
      <c r="EY223" s="902">
        <v>0.12911645726690749</v>
      </c>
      <c r="EZ223" s="902">
        <v>3000</v>
      </c>
      <c r="FA223" s="909" t="s">
        <v>2877</v>
      </c>
      <c r="FB223" s="909">
        <v>2</v>
      </c>
      <c r="FC223" s="909">
        <v>0</v>
      </c>
      <c r="FD223" s="909">
        <v>0</v>
      </c>
      <c r="FE223" s="909">
        <v>0</v>
      </c>
      <c r="FF223" s="910">
        <v>5522.795688352734</v>
      </c>
      <c r="FG223" s="909">
        <v>0</v>
      </c>
      <c r="FH223" s="909">
        <v>0</v>
      </c>
      <c r="FI223" s="909">
        <v>0</v>
      </c>
      <c r="FJ223" s="910">
        <v>5729.2720457629448</v>
      </c>
      <c r="FK223" s="871">
        <v>4000</v>
      </c>
      <c r="FL223" s="911">
        <v>76.445421237351638</v>
      </c>
      <c r="FM223" s="908">
        <v>1.5033660437720646</v>
      </c>
      <c r="FN223" s="902">
        <v>7.9509260501611649</v>
      </c>
      <c r="FO223" s="902">
        <v>0</v>
      </c>
      <c r="FP223" s="902">
        <v>0</v>
      </c>
      <c r="FQ223" s="902">
        <v>32.118052112824763</v>
      </c>
      <c r="FR223" s="902">
        <v>0.12911645726690749</v>
      </c>
      <c r="FS223" s="902">
        <v>3600</v>
      </c>
      <c r="FT223" s="909" t="s">
        <v>2877</v>
      </c>
      <c r="FU223" s="909">
        <v>2</v>
      </c>
      <c r="FV223" s="909">
        <v>0</v>
      </c>
      <c r="FW223" s="909">
        <v>0</v>
      </c>
      <c r="FX223" s="909">
        <v>0</v>
      </c>
      <c r="FY223" s="910">
        <v>5522.795688352734</v>
      </c>
      <c r="FZ223" s="909">
        <v>0</v>
      </c>
      <c r="GA223" s="909">
        <v>0</v>
      </c>
      <c r="GB223" s="909">
        <v>0</v>
      </c>
      <c r="GC223" s="910">
        <v>5729.2720457629448</v>
      </c>
      <c r="GD223" s="871">
        <v>4000</v>
      </c>
      <c r="GE223" s="911">
        <v>76.445421237351638</v>
      </c>
      <c r="GF223" s="908">
        <v>1.5033660437720646</v>
      </c>
      <c r="GG223" s="902">
        <v>7.9509260501611649</v>
      </c>
      <c r="GH223" s="902">
        <v>0</v>
      </c>
      <c r="GI223" s="902">
        <v>0</v>
      </c>
      <c r="GJ223" s="902">
        <v>32.118052112824763</v>
      </c>
      <c r="GK223" s="902">
        <v>0.12911645726690749</v>
      </c>
      <c r="GL223" s="902">
        <v>3000</v>
      </c>
      <c r="GM223" s="909" t="s">
        <v>2877</v>
      </c>
      <c r="GN223" s="909">
        <v>2</v>
      </c>
      <c r="GO223" s="909">
        <v>0</v>
      </c>
      <c r="GP223" s="909">
        <v>0</v>
      </c>
      <c r="GQ223" s="909">
        <v>0</v>
      </c>
      <c r="GR223" s="910">
        <v>5522.795688352734</v>
      </c>
      <c r="GS223" s="909">
        <v>0</v>
      </c>
      <c r="GT223" s="909">
        <v>0</v>
      </c>
      <c r="GU223" s="909">
        <v>0</v>
      </c>
      <c r="GV223" s="910">
        <v>5729.2720457629448</v>
      </c>
      <c r="GW223" s="871">
        <v>4000</v>
      </c>
      <c r="GX223" s="911">
        <v>76.445421237351638</v>
      </c>
      <c r="GY223" s="908">
        <v>1.5033660437720646</v>
      </c>
      <c r="GZ223" s="902">
        <v>7.9509260501611649</v>
      </c>
      <c r="HA223" s="902">
        <v>0</v>
      </c>
      <c r="HB223" s="902">
        <v>0</v>
      </c>
      <c r="HC223" s="902">
        <v>32.118052112824763</v>
      </c>
      <c r="HD223" s="902">
        <v>0.12911645726690749</v>
      </c>
      <c r="HE223" s="902">
        <v>3600</v>
      </c>
      <c r="HF223" s="909" t="s">
        <v>2877</v>
      </c>
      <c r="HG223" s="909">
        <v>2</v>
      </c>
      <c r="HH223" s="909">
        <v>0</v>
      </c>
      <c r="HI223" s="909">
        <v>0</v>
      </c>
      <c r="HJ223" s="909">
        <v>0</v>
      </c>
      <c r="HK223" s="910">
        <v>5522.795688352734</v>
      </c>
      <c r="HL223" s="909">
        <v>0</v>
      </c>
      <c r="HM223" s="909">
        <v>0</v>
      </c>
      <c r="HN223" s="909">
        <v>0</v>
      </c>
      <c r="HO223" s="910">
        <v>5729.2720457629448</v>
      </c>
      <c r="HP223" s="871">
        <v>4000</v>
      </c>
      <c r="HQ223" s="911">
        <v>76.445421237351638</v>
      </c>
      <c r="HR223" s="908">
        <v>1.5033660437720646</v>
      </c>
      <c r="HS223" s="902">
        <v>7.9509260501611649</v>
      </c>
      <c r="HT223" s="902">
        <v>0</v>
      </c>
      <c r="HU223" s="902">
        <v>0</v>
      </c>
      <c r="HV223" s="902">
        <v>32.118052112824763</v>
      </c>
      <c r="HW223" s="902">
        <v>0.12911645726690749</v>
      </c>
      <c r="HX223" s="902">
        <v>3000</v>
      </c>
      <c r="HY223" s="909" t="s">
        <v>1063</v>
      </c>
      <c r="HZ223" s="909">
        <v>2</v>
      </c>
      <c r="IA223" s="909">
        <v>0</v>
      </c>
      <c r="IB223" s="909">
        <v>0</v>
      </c>
      <c r="IC223" s="909">
        <v>0</v>
      </c>
      <c r="ID223" s="910">
        <v>4870.6479777337045</v>
      </c>
      <c r="IE223" s="909">
        <v>0</v>
      </c>
      <c r="IF223" s="909">
        <v>0</v>
      </c>
      <c r="IG223" s="909">
        <v>0</v>
      </c>
      <c r="IH223" s="910">
        <v>5052.7430088410074</v>
      </c>
      <c r="II223" s="871">
        <v>4000</v>
      </c>
      <c r="IJ223" s="911">
        <v>76.445421237351638</v>
      </c>
      <c r="IK223" s="908">
        <v>1.5033660437720646</v>
      </c>
      <c r="IL223" s="902">
        <v>7.9509260501611649</v>
      </c>
      <c r="IM223" s="902">
        <v>0</v>
      </c>
      <c r="IN223" s="902">
        <v>0</v>
      </c>
      <c r="IO223" s="902">
        <v>32.118052112824763</v>
      </c>
      <c r="IP223" s="902">
        <v>0.12911645726690749</v>
      </c>
      <c r="IQ223" s="902">
        <v>3600</v>
      </c>
      <c r="IR223" s="909" t="s">
        <v>1063</v>
      </c>
      <c r="IS223" s="909">
        <v>2</v>
      </c>
      <c r="IT223" s="909">
        <v>0</v>
      </c>
      <c r="IU223" s="909">
        <v>0</v>
      </c>
      <c r="IV223" s="909">
        <v>0</v>
      </c>
      <c r="IW223" s="910">
        <v>4870.6479777337045</v>
      </c>
      <c r="IX223" s="909">
        <v>0</v>
      </c>
      <c r="IY223" s="909">
        <v>0</v>
      </c>
      <c r="IZ223" s="909">
        <v>0</v>
      </c>
      <c r="JA223" s="910">
        <v>5052.7430088410074</v>
      </c>
      <c r="JB223" s="871">
        <v>4000</v>
      </c>
      <c r="JC223" s="911">
        <v>76.445421237351638</v>
      </c>
      <c r="JD223" s="908">
        <v>1.5033660437720646</v>
      </c>
      <c r="JE223" s="902">
        <v>7.9509260501611649</v>
      </c>
      <c r="JF223" s="902">
        <v>0</v>
      </c>
      <c r="JG223" s="902">
        <v>0</v>
      </c>
      <c r="JH223" s="902">
        <v>32.118052112824763</v>
      </c>
      <c r="JI223" s="902">
        <v>0.12911645726690749</v>
      </c>
      <c r="JJ223" s="902">
        <v>3000</v>
      </c>
      <c r="JK223" s="909" t="s">
        <v>1064</v>
      </c>
      <c r="JL223" s="909">
        <v>2</v>
      </c>
      <c r="JM223" s="909">
        <v>0</v>
      </c>
      <c r="JN223" s="909">
        <v>0</v>
      </c>
      <c r="JO223" s="909">
        <v>0</v>
      </c>
      <c r="JP223" s="910">
        <v>6637.5743460890735</v>
      </c>
      <c r="JQ223" s="909">
        <v>0</v>
      </c>
      <c r="JR223" s="909">
        <v>0</v>
      </c>
      <c r="JS223" s="909">
        <v>0</v>
      </c>
      <c r="JT223" s="910">
        <v>6885.7280440269224</v>
      </c>
      <c r="JU223" s="871">
        <v>4000</v>
      </c>
      <c r="JV223" s="911">
        <v>76.445421237351638</v>
      </c>
      <c r="JW223" s="908">
        <v>1.5033660437720646</v>
      </c>
      <c r="JX223" s="902">
        <v>7.9509260501611649</v>
      </c>
      <c r="JY223" s="902">
        <v>0</v>
      </c>
      <c r="JZ223" s="902">
        <v>0</v>
      </c>
      <c r="KA223" s="902">
        <v>32.118052112824763</v>
      </c>
      <c r="KB223" s="902">
        <v>0.12911645726690749</v>
      </c>
      <c r="KC223" s="902">
        <v>3600</v>
      </c>
      <c r="KD223" s="909" t="s">
        <v>1064</v>
      </c>
      <c r="KE223" s="909">
        <v>2</v>
      </c>
      <c r="KF223" s="909">
        <v>0</v>
      </c>
      <c r="KG223" s="909">
        <v>0</v>
      </c>
      <c r="KH223" s="909">
        <v>0</v>
      </c>
      <c r="KI223" s="910">
        <v>6637.5743460890735</v>
      </c>
      <c r="KJ223" s="909">
        <v>0</v>
      </c>
      <c r="KK223" s="909">
        <v>0</v>
      </c>
      <c r="KL223" s="909">
        <v>0</v>
      </c>
      <c r="KM223" s="910">
        <v>6885.7280440269224</v>
      </c>
      <c r="KN223" s="871">
        <v>4000</v>
      </c>
      <c r="KO223" s="912">
        <v>76.445421237351638</v>
      </c>
    </row>
    <row r="224" spans="1:301" ht="15" customHeight="1">
      <c r="A224" s="1047" t="s">
        <v>1654</v>
      </c>
      <c r="B224" s="888" t="s">
        <v>1073</v>
      </c>
      <c r="C224" s="888">
        <v>306.86</v>
      </c>
      <c r="D224" s="888">
        <v>425</v>
      </c>
      <c r="E224" s="888"/>
      <c r="F224" s="888"/>
      <c r="G224" s="888">
        <v>28</v>
      </c>
      <c r="H224" s="888">
        <v>130</v>
      </c>
      <c r="I224" s="888">
        <v>130</v>
      </c>
      <c r="J224" s="888">
        <v>131.25</v>
      </c>
      <c r="K224" s="888">
        <v>66.25</v>
      </c>
      <c r="L224" s="888">
        <v>16</v>
      </c>
      <c r="M224" s="888">
        <v>59.76558108990303</v>
      </c>
      <c r="N224" s="888">
        <v>2</v>
      </c>
      <c r="O224" s="884">
        <v>2.2272419292395265</v>
      </c>
      <c r="P224" s="888">
        <v>2</v>
      </c>
      <c r="Q224" s="884">
        <v>1.003723144858671</v>
      </c>
      <c r="R224" s="888">
        <v>9</v>
      </c>
      <c r="S224" s="888">
        <v>315</v>
      </c>
      <c r="T224" s="906">
        <v>5.5058345297138498</v>
      </c>
      <c r="U224" s="906">
        <v>47.25</v>
      </c>
      <c r="V224" s="906">
        <v>10</v>
      </c>
      <c r="W224" s="1141">
        <v>0.10323439743213468</v>
      </c>
      <c r="X224" s="902">
        <v>0</v>
      </c>
      <c r="Y224" s="902">
        <v>0</v>
      </c>
      <c r="Z224" s="902">
        <v>0</v>
      </c>
      <c r="AA224" s="902">
        <v>0</v>
      </c>
      <c r="AB224" s="970">
        <v>0.90929071283213914</v>
      </c>
      <c r="AC224" s="1045">
        <v>4000</v>
      </c>
      <c r="AD224" s="890"/>
      <c r="AE224" s="890"/>
      <c r="AF224" s="890"/>
      <c r="AG224" s="890"/>
      <c r="AH224" s="888"/>
      <c r="AI224" s="907">
        <v>0.66816400224920391</v>
      </c>
      <c r="AJ224" s="908">
        <v>1.9517048160718737</v>
      </c>
      <c r="AK224" s="902">
        <v>10.791738817316055</v>
      </c>
      <c r="AL224" s="902">
        <v>0</v>
      </c>
      <c r="AM224" s="902">
        <v>0</v>
      </c>
      <c r="AN224" s="902">
        <v>41.021972626987889</v>
      </c>
      <c r="AO224" s="902">
        <v>0.22072613826110132</v>
      </c>
      <c r="AP224" s="1222">
        <v>2000</v>
      </c>
      <c r="AQ224" s="909" t="s">
        <v>1064</v>
      </c>
      <c r="AR224" s="909">
        <v>2</v>
      </c>
      <c r="AS224" s="909">
        <v>0</v>
      </c>
      <c r="AT224" s="909">
        <v>0</v>
      </c>
      <c r="AU224" s="909">
        <v>0</v>
      </c>
      <c r="AV224" s="910">
        <v>4488.003327473245</v>
      </c>
      <c r="AW224" s="909">
        <v>0</v>
      </c>
      <c r="AX224" s="909">
        <v>0</v>
      </c>
      <c r="AY224" s="909">
        <v>0</v>
      </c>
      <c r="AZ224" s="910">
        <v>4879.4343899908663</v>
      </c>
      <c r="BA224" s="871">
        <v>4000</v>
      </c>
      <c r="BB224" s="911">
        <v>89.011791851710797</v>
      </c>
      <c r="BC224" s="908">
        <v>1.9517048160718737</v>
      </c>
      <c r="BD224" s="902">
        <v>10.791738817316055</v>
      </c>
      <c r="BE224" s="902">
        <v>0</v>
      </c>
      <c r="BF224" s="902">
        <v>0</v>
      </c>
      <c r="BG224" s="902">
        <v>41.021972626987889</v>
      </c>
      <c r="BH224" s="902">
        <v>0.22072613826110132</v>
      </c>
      <c r="BI224" s="902">
        <v>2500</v>
      </c>
      <c r="BJ224" s="909" t="s">
        <v>1064</v>
      </c>
      <c r="BK224" s="909">
        <v>2</v>
      </c>
      <c r="BL224" s="909">
        <v>0</v>
      </c>
      <c r="BM224" s="909">
        <v>0</v>
      </c>
      <c r="BN224" s="909">
        <v>0</v>
      </c>
      <c r="BO224" s="910">
        <v>4488.003327473245</v>
      </c>
      <c r="BP224" s="909">
        <v>0</v>
      </c>
      <c r="BQ224" s="909">
        <v>0</v>
      </c>
      <c r="BR224" s="909">
        <v>0</v>
      </c>
      <c r="BS224" s="910">
        <v>4879.4343899908663</v>
      </c>
      <c r="BT224" s="871">
        <v>4000</v>
      </c>
      <c r="BU224" s="911">
        <v>89.011791851710797</v>
      </c>
      <c r="BV224" s="908">
        <v>2.9275572241078107</v>
      </c>
      <c r="BW224" s="902">
        <v>11.892773995771329</v>
      </c>
      <c r="BX224" s="902">
        <v>0.1251827704193354</v>
      </c>
      <c r="BY224" s="902">
        <v>0</v>
      </c>
      <c r="BZ224" s="902">
        <v>43.241862760024723</v>
      </c>
      <c r="CA224" s="902">
        <v>0.25741576887875178</v>
      </c>
      <c r="CB224" s="902">
        <v>2000</v>
      </c>
      <c r="CC224" s="909" t="s">
        <v>2874</v>
      </c>
      <c r="CD224" s="909">
        <v>3</v>
      </c>
      <c r="CE224" s="909">
        <v>1</v>
      </c>
      <c r="CF224" s="909">
        <v>3</v>
      </c>
      <c r="CG224" s="909">
        <v>11.233535745125476</v>
      </c>
      <c r="CH224" s="910">
        <v>7596.5546185042331</v>
      </c>
      <c r="CI224" s="909">
        <v>0</v>
      </c>
      <c r="CJ224" s="909">
        <v>0</v>
      </c>
      <c r="CK224" s="909">
        <v>0</v>
      </c>
      <c r="CL224" s="910">
        <v>4057.5495143687099</v>
      </c>
      <c r="CM224" s="871">
        <v>4000</v>
      </c>
      <c r="CN224" s="911">
        <v>89.011791851710797</v>
      </c>
      <c r="CO224" s="908">
        <v>2.9275572241078107</v>
      </c>
      <c r="CP224" s="902">
        <v>11.892773995771329</v>
      </c>
      <c r="CQ224" s="902">
        <v>0.1251827704193354</v>
      </c>
      <c r="CR224" s="902">
        <v>0</v>
      </c>
      <c r="CS224" s="902">
        <v>43.241862760024723</v>
      </c>
      <c r="CT224" s="902">
        <v>0.25741576887875178</v>
      </c>
      <c r="CU224" s="902">
        <v>2500</v>
      </c>
      <c r="CV224" s="909" t="s">
        <v>2874</v>
      </c>
      <c r="CW224" s="909">
        <v>3</v>
      </c>
      <c r="CX224" s="909">
        <v>1</v>
      </c>
      <c r="CY224" s="909">
        <v>3</v>
      </c>
      <c r="CZ224" s="909">
        <v>11.233535745125476</v>
      </c>
      <c r="DA224" s="910">
        <v>7596.5546185042331</v>
      </c>
      <c r="DB224" s="909">
        <v>0</v>
      </c>
      <c r="DC224" s="909">
        <v>0</v>
      </c>
      <c r="DD224" s="909">
        <v>0</v>
      </c>
      <c r="DE224" s="910">
        <v>4057.5495143687099</v>
      </c>
      <c r="DF224" s="871">
        <v>4000</v>
      </c>
      <c r="DG224" s="911">
        <v>89.011791851710797</v>
      </c>
      <c r="DH224" s="908">
        <v>1.9517048160718737</v>
      </c>
      <c r="DI224" s="902">
        <v>10.791738817316055</v>
      </c>
      <c r="DJ224" s="902">
        <v>0</v>
      </c>
      <c r="DK224" s="902">
        <v>0</v>
      </c>
      <c r="DL224" s="902">
        <v>41.021972626987889</v>
      </c>
      <c r="DM224" s="902">
        <v>0.22072613826110132</v>
      </c>
      <c r="DN224" s="902">
        <v>2000</v>
      </c>
      <c r="DO224" s="909" t="s">
        <v>2876</v>
      </c>
      <c r="DP224" s="909">
        <v>2</v>
      </c>
      <c r="DQ224" s="909">
        <v>0</v>
      </c>
      <c r="DR224" s="909">
        <v>0</v>
      </c>
      <c r="DS224" s="909">
        <v>0</v>
      </c>
      <c r="DT224" s="910">
        <v>3023.4827831243988</v>
      </c>
      <c r="DU224" s="909">
        <v>0</v>
      </c>
      <c r="DV224" s="909">
        <v>0</v>
      </c>
      <c r="DW224" s="909">
        <v>0</v>
      </c>
      <c r="DX224" s="910">
        <v>3287.1824713704896</v>
      </c>
      <c r="DY224" s="871">
        <v>3023.4827831243988</v>
      </c>
      <c r="DZ224" s="911">
        <v>67.281405039675064</v>
      </c>
      <c r="EA224" s="908">
        <v>1.9517048160718737</v>
      </c>
      <c r="EB224" s="902">
        <v>11.157262204361146</v>
      </c>
      <c r="EC224" s="902">
        <v>8.3455180279556937E-2</v>
      </c>
      <c r="ED224" s="902">
        <v>0.28206820676553263</v>
      </c>
      <c r="EE224" s="902">
        <v>41.807517469397112</v>
      </c>
      <c r="EF224" s="902">
        <v>0.23478362912209355</v>
      </c>
      <c r="EG224" s="902">
        <v>2500</v>
      </c>
      <c r="EH224" s="909" t="s">
        <v>2876</v>
      </c>
      <c r="EI224" s="909">
        <v>2</v>
      </c>
      <c r="EJ224" s="909">
        <v>1</v>
      </c>
      <c r="EK224" s="909">
        <v>2</v>
      </c>
      <c r="EL224" s="909">
        <v>11.233535745125476</v>
      </c>
      <c r="EM224" s="910">
        <v>8422.1321556202456</v>
      </c>
      <c r="EN224" s="909">
        <v>1</v>
      </c>
      <c r="EO224" s="909">
        <v>4</v>
      </c>
      <c r="EP224" s="909">
        <v>13.676030606958099</v>
      </c>
      <c r="EQ224" s="910">
        <v>7605.3054372829829</v>
      </c>
      <c r="ER224" s="871">
        <v>4000</v>
      </c>
      <c r="ES224" s="911">
        <v>89.011791851710797</v>
      </c>
      <c r="ET224" s="908">
        <v>1.9517048160718737</v>
      </c>
      <c r="EU224" s="902">
        <v>10.791738817316055</v>
      </c>
      <c r="EV224" s="902">
        <v>0</v>
      </c>
      <c r="EW224" s="902">
        <v>0</v>
      </c>
      <c r="EX224" s="902">
        <v>41.021972626987889</v>
      </c>
      <c r="EY224" s="902">
        <v>0.22072613826110132</v>
      </c>
      <c r="EZ224" s="902">
        <v>2000</v>
      </c>
      <c r="FA224" s="909" t="s">
        <v>3889</v>
      </c>
      <c r="FB224" s="909">
        <v>2</v>
      </c>
      <c r="FC224" s="909">
        <v>0</v>
      </c>
      <c r="FD224" s="909">
        <v>0</v>
      </c>
      <c r="FE224" s="909">
        <v>0</v>
      </c>
      <c r="FF224" s="910">
        <v>3173.4975868484098</v>
      </c>
      <c r="FG224" s="909">
        <v>0</v>
      </c>
      <c r="FH224" s="909">
        <v>0</v>
      </c>
      <c r="FI224" s="909">
        <v>0</v>
      </c>
      <c r="FJ224" s="910">
        <v>3450.2811455220481</v>
      </c>
      <c r="FK224" s="871">
        <v>3173.4975868484098</v>
      </c>
      <c r="FL224" s="911">
        <v>70.619676660614289</v>
      </c>
      <c r="FM224" s="908">
        <v>1.9517048160718737</v>
      </c>
      <c r="FN224" s="902">
        <v>10.791738817316055</v>
      </c>
      <c r="FO224" s="902">
        <v>0</v>
      </c>
      <c r="FP224" s="902">
        <v>0</v>
      </c>
      <c r="FQ224" s="902">
        <v>41.021972626987889</v>
      </c>
      <c r="FR224" s="902">
        <v>0.22072613826110132</v>
      </c>
      <c r="FS224" s="902">
        <v>2500</v>
      </c>
      <c r="FT224" s="909" t="s">
        <v>2877</v>
      </c>
      <c r="FU224" s="909">
        <v>2</v>
      </c>
      <c r="FV224" s="909">
        <v>0</v>
      </c>
      <c r="FW224" s="909">
        <v>0</v>
      </c>
      <c r="FX224" s="909">
        <v>0</v>
      </c>
      <c r="FY224" s="910">
        <v>3734.2444896133361</v>
      </c>
      <c r="FZ224" s="909">
        <v>0</v>
      </c>
      <c r="GA224" s="909">
        <v>0</v>
      </c>
      <c r="GB224" s="909">
        <v>0</v>
      </c>
      <c r="GC224" s="910">
        <v>4059.9348203940963</v>
      </c>
      <c r="GD224" s="871">
        <v>3734.2444896133361</v>
      </c>
      <c r="GE224" s="911">
        <v>83.097948308215081</v>
      </c>
      <c r="GF224" s="908">
        <v>1.9517048160718737</v>
      </c>
      <c r="GG224" s="902">
        <v>10.791738817316055</v>
      </c>
      <c r="GH224" s="902">
        <v>0</v>
      </c>
      <c r="GI224" s="902">
        <v>0</v>
      </c>
      <c r="GJ224" s="902">
        <v>41.021972626987889</v>
      </c>
      <c r="GK224" s="902">
        <v>0.22072613826110132</v>
      </c>
      <c r="GL224" s="902">
        <v>2000</v>
      </c>
      <c r="GM224" s="909" t="s">
        <v>2877</v>
      </c>
      <c r="GN224" s="909">
        <v>2</v>
      </c>
      <c r="GO224" s="909">
        <v>0</v>
      </c>
      <c r="GP224" s="909">
        <v>0</v>
      </c>
      <c r="GQ224" s="909">
        <v>0</v>
      </c>
      <c r="GR224" s="910">
        <v>3734.2444896133361</v>
      </c>
      <c r="GS224" s="909">
        <v>0</v>
      </c>
      <c r="GT224" s="909">
        <v>0</v>
      </c>
      <c r="GU224" s="909">
        <v>0</v>
      </c>
      <c r="GV224" s="910">
        <v>4059.9348203940963</v>
      </c>
      <c r="GW224" s="871">
        <v>3734.2444896133361</v>
      </c>
      <c r="GX224" s="911">
        <v>83.097948308215081</v>
      </c>
      <c r="GY224" s="908">
        <v>1.9517048160718737</v>
      </c>
      <c r="GZ224" s="902">
        <v>10.791738817316055</v>
      </c>
      <c r="HA224" s="902">
        <v>0</v>
      </c>
      <c r="HB224" s="902">
        <v>0</v>
      </c>
      <c r="HC224" s="902">
        <v>41.021972626987889</v>
      </c>
      <c r="HD224" s="902">
        <v>0.22072613826110132</v>
      </c>
      <c r="HE224" s="902">
        <v>2500</v>
      </c>
      <c r="HF224" s="909" t="s">
        <v>2877</v>
      </c>
      <c r="HG224" s="909">
        <v>2</v>
      </c>
      <c r="HH224" s="909">
        <v>0</v>
      </c>
      <c r="HI224" s="909">
        <v>0</v>
      </c>
      <c r="HJ224" s="909">
        <v>0</v>
      </c>
      <c r="HK224" s="910">
        <v>3734.2444896133361</v>
      </c>
      <c r="HL224" s="909">
        <v>0</v>
      </c>
      <c r="HM224" s="909">
        <v>0</v>
      </c>
      <c r="HN224" s="909">
        <v>0</v>
      </c>
      <c r="HO224" s="910">
        <v>4059.9348203940963</v>
      </c>
      <c r="HP224" s="871">
        <v>3734.2444896133361</v>
      </c>
      <c r="HQ224" s="911">
        <v>83.097948308215081</v>
      </c>
      <c r="HR224" s="908">
        <v>1.9517048160718737</v>
      </c>
      <c r="HS224" s="902">
        <v>10.791738817316055</v>
      </c>
      <c r="HT224" s="902">
        <v>0</v>
      </c>
      <c r="HU224" s="902">
        <v>0</v>
      </c>
      <c r="HV224" s="902">
        <v>41.021972626987889</v>
      </c>
      <c r="HW224" s="902">
        <v>0.22072613826110132</v>
      </c>
      <c r="HX224" s="902">
        <v>2000</v>
      </c>
      <c r="HY224" s="909" t="s">
        <v>1063</v>
      </c>
      <c r="HZ224" s="909">
        <v>2</v>
      </c>
      <c r="IA224" s="909">
        <v>0</v>
      </c>
      <c r="IB224" s="909">
        <v>0</v>
      </c>
      <c r="IC224" s="909">
        <v>0</v>
      </c>
      <c r="ID224" s="910">
        <v>3293.2940847478521</v>
      </c>
      <c r="IE224" s="909">
        <v>0</v>
      </c>
      <c r="IF224" s="909">
        <v>0</v>
      </c>
      <c r="IG224" s="909">
        <v>0</v>
      </c>
      <c r="IH224" s="910">
        <v>3580.5259579696594</v>
      </c>
      <c r="II224" s="871">
        <v>3293.2940847478521</v>
      </c>
      <c r="IJ224" s="911">
        <v>73.285501894511569</v>
      </c>
      <c r="IK224" s="908">
        <v>1.9517048160718737</v>
      </c>
      <c r="IL224" s="902">
        <v>10.791738817316055</v>
      </c>
      <c r="IM224" s="902">
        <v>0</v>
      </c>
      <c r="IN224" s="902">
        <v>0</v>
      </c>
      <c r="IO224" s="902">
        <v>41.021972626987889</v>
      </c>
      <c r="IP224" s="902">
        <v>0.22072613826110132</v>
      </c>
      <c r="IQ224" s="902">
        <v>2500</v>
      </c>
      <c r="IR224" s="909" t="s">
        <v>1063</v>
      </c>
      <c r="IS224" s="909">
        <v>2</v>
      </c>
      <c r="IT224" s="909">
        <v>0</v>
      </c>
      <c r="IU224" s="909">
        <v>0</v>
      </c>
      <c r="IV224" s="909">
        <v>0</v>
      </c>
      <c r="IW224" s="910">
        <v>3293.2940847478521</v>
      </c>
      <c r="IX224" s="909">
        <v>0</v>
      </c>
      <c r="IY224" s="909">
        <v>0</v>
      </c>
      <c r="IZ224" s="909">
        <v>0</v>
      </c>
      <c r="JA224" s="910">
        <v>3580.5259579696594</v>
      </c>
      <c r="JB224" s="871">
        <v>3293.2940847478521</v>
      </c>
      <c r="JC224" s="911">
        <v>73.285501894511569</v>
      </c>
      <c r="JD224" s="908">
        <v>1.9517048160718737</v>
      </c>
      <c r="JE224" s="902">
        <v>10.791738817316055</v>
      </c>
      <c r="JF224" s="902">
        <v>0</v>
      </c>
      <c r="JG224" s="902">
        <v>0</v>
      </c>
      <c r="JH224" s="902">
        <v>41.021972626987889</v>
      </c>
      <c r="JI224" s="902">
        <v>0.22072613826110132</v>
      </c>
      <c r="JJ224" s="902">
        <v>2000</v>
      </c>
      <c r="JK224" s="909" t="s">
        <v>1064</v>
      </c>
      <c r="JL224" s="909">
        <v>2</v>
      </c>
      <c r="JM224" s="909">
        <v>0</v>
      </c>
      <c r="JN224" s="909">
        <v>0</v>
      </c>
      <c r="JO224" s="909">
        <v>0</v>
      </c>
      <c r="JP224" s="910">
        <v>4488.003327473245</v>
      </c>
      <c r="JQ224" s="909">
        <v>0</v>
      </c>
      <c r="JR224" s="909">
        <v>0</v>
      </c>
      <c r="JS224" s="909">
        <v>0</v>
      </c>
      <c r="JT224" s="910">
        <v>4879.4343899908663</v>
      </c>
      <c r="JU224" s="871">
        <v>4000</v>
      </c>
      <c r="JV224" s="911">
        <v>89.011791851710797</v>
      </c>
      <c r="JW224" s="908">
        <v>1.9517048160718737</v>
      </c>
      <c r="JX224" s="902">
        <v>10.791738817316055</v>
      </c>
      <c r="JY224" s="902">
        <v>0</v>
      </c>
      <c r="JZ224" s="902">
        <v>0</v>
      </c>
      <c r="KA224" s="902">
        <v>41.021972626987889</v>
      </c>
      <c r="KB224" s="902">
        <v>0.22072613826110132</v>
      </c>
      <c r="KC224" s="902">
        <v>2500</v>
      </c>
      <c r="KD224" s="909" t="s">
        <v>1064</v>
      </c>
      <c r="KE224" s="909">
        <v>2</v>
      </c>
      <c r="KF224" s="909">
        <v>0</v>
      </c>
      <c r="KG224" s="909">
        <v>0</v>
      </c>
      <c r="KH224" s="909">
        <v>0</v>
      </c>
      <c r="KI224" s="910">
        <v>4488.003327473245</v>
      </c>
      <c r="KJ224" s="909">
        <v>0</v>
      </c>
      <c r="KK224" s="909">
        <v>0</v>
      </c>
      <c r="KL224" s="909">
        <v>0</v>
      </c>
      <c r="KM224" s="910">
        <v>4879.4343899908663</v>
      </c>
      <c r="KN224" s="871">
        <v>4000</v>
      </c>
      <c r="KO224" s="912">
        <v>89.011791851710797</v>
      </c>
    </row>
    <row r="225" spans="1:301" ht="15" customHeight="1">
      <c r="A225" s="1047" t="s">
        <v>1722</v>
      </c>
      <c r="B225" s="888" t="s">
        <v>1073</v>
      </c>
      <c r="C225" s="888">
        <v>306.86</v>
      </c>
      <c r="D225" s="888">
        <v>425</v>
      </c>
      <c r="E225" s="888"/>
      <c r="F225" s="888"/>
      <c r="G225" s="888">
        <v>28</v>
      </c>
      <c r="H225" s="888">
        <v>130</v>
      </c>
      <c r="I225" s="888">
        <v>130</v>
      </c>
      <c r="J225" s="888">
        <v>131.25</v>
      </c>
      <c r="K225" s="888">
        <v>66.25</v>
      </c>
      <c r="L225" s="888">
        <v>16</v>
      </c>
      <c r="M225" s="888">
        <v>59.76558108990303</v>
      </c>
      <c r="N225" s="888">
        <v>2</v>
      </c>
      <c r="O225" s="884">
        <v>2.2272419292395265</v>
      </c>
      <c r="P225" s="888">
        <v>2</v>
      </c>
      <c r="Q225" s="884">
        <v>1.003723144858671</v>
      </c>
      <c r="R225" s="888">
        <v>9</v>
      </c>
      <c r="S225" s="888">
        <v>315</v>
      </c>
      <c r="T225" s="906">
        <v>5.5058345297138498</v>
      </c>
      <c r="U225" s="906">
        <v>47.25</v>
      </c>
      <c r="V225" s="906">
        <v>10</v>
      </c>
      <c r="W225" s="1141">
        <v>0.10323439743213468</v>
      </c>
      <c r="X225" s="902">
        <v>0</v>
      </c>
      <c r="Y225" s="902">
        <v>0</v>
      </c>
      <c r="Z225" s="902">
        <v>0</v>
      </c>
      <c r="AA225" s="902">
        <v>0</v>
      </c>
      <c r="AB225" s="970">
        <v>0.90929071283213914</v>
      </c>
      <c r="AC225" s="1045">
        <v>4000</v>
      </c>
      <c r="AD225" s="890"/>
      <c r="AE225" s="890"/>
      <c r="AF225" s="890"/>
      <c r="AG225" s="890"/>
      <c r="AH225" s="888"/>
      <c r="AI225" s="907">
        <v>0.66816400224920391</v>
      </c>
      <c r="AJ225" s="908">
        <v>1.9517048160718737</v>
      </c>
      <c r="AK225" s="902">
        <v>10.791738817316055</v>
      </c>
      <c r="AL225" s="902">
        <v>0</v>
      </c>
      <c r="AM225" s="902">
        <v>0</v>
      </c>
      <c r="AN225" s="902">
        <v>41.021972626987889</v>
      </c>
      <c r="AO225" s="902">
        <v>0.22072613826110132</v>
      </c>
      <c r="AP225" s="1222">
        <v>2000</v>
      </c>
      <c r="AQ225" s="909" t="s">
        <v>1064</v>
      </c>
      <c r="AR225" s="909">
        <v>2</v>
      </c>
      <c r="AS225" s="909">
        <v>0</v>
      </c>
      <c r="AT225" s="909">
        <v>0</v>
      </c>
      <c r="AU225" s="909">
        <v>0</v>
      </c>
      <c r="AV225" s="910">
        <v>4488.003327473245</v>
      </c>
      <c r="AW225" s="909">
        <v>0</v>
      </c>
      <c r="AX225" s="909">
        <v>0</v>
      </c>
      <c r="AY225" s="909">
        <v>0</v>
      </c>
      <c r="AZ225" s="910">
        <v>4879.4343899908663</v>
      </c>
      <c r="BA225" s="871">
        <v>4000</v>
      </c>
      <c r="BB225" s="911">
        <v>89.011791851710797</v>
      </c>
      <c r="BC225" s="908">
        <v>1.9517048160718737</v>
      </c>
      <c r="BD225" s="902">
        <v>10.791738817316055</v>
      </c>
      <c r="BE225" s="902">
        <v>0</v>
      </c>
      <c r="BF225" s="902">
        <v>0</v>
      </c>
      <c r="BG225" s="902">
        <v>41.021972626987889</v>
      </c>
      <c r="BH225" s="902">
        <v>0.22072613826110132</v>
      </c>
      <c r="BI225" s="902">
        <v>2500</v>
      </c>
      <c r="BJ225" s="909" t="s">
        <v>1064</v>
      </c>
      <c r="BK225" s="909">
        <v>2</v>
      </c>
      <c r="BL225" s="909">
        <v>0</v>
      </c>
      <c r="BM225" s="909">
        <v>0</v>
      </c>
      <c r="BN225" s="909">
        <v>0</v>
      </c>
      <c r="BO225" s="910">
        <v>4488.003327473245</v>
      </c>
      <c r="BP225" s="909">
        <v>0</v>
      </c>
      <c r="BQ225" s="909">
        <v>0</v>
      </c>
      <c r="BR225" s="909">
        <v>0</v>
      </c>
      <c r="BS225" s="910">
        <v>4879.4343899908663</v>
      </c>
      <c r="BT225" s="871">
        <v>4000</v>
      </c>
      <c r="BU225" s="911">
        <v>89.011791851710797</v>
      </c>
      <c r="BV225" s="908">
        <v>2.9275572241078107</v>
      </c>
      <c r="BW225" s="902">
        <v>11.892773995771329</v>
      </c>
      <c r="BX225" s="902">
        <v>0.1251827704193354</v>
      </c>
      <c r="BY225" s="902">
        <v>0</v>
      </c>
      <c r="BZ225" s="902">
        <v>43.241862760024723</v>
      </c>
      <c r="CA225" s="902">
        <v>0.25741576887875178</v>
      </c>
      <c r="CB225" s="902">
        <v>2000</v>
      </c>
      <c r="CC225" s="909" t="s">
        <v>2874</v>
      </c>
      <c r="CD225" s="909">
        <v>3</v>
      </c>
      <c r="CE225" s="909">
        <v>1</v>
      </c>
      <c r="CF225" s="909">
        <v>3</v>
      </c>
      <c r="CG225" s="909">
        <v>11.233535745125476</v>
      </c>
      <c r="CH225" s="910">
        <v>7596.5546185042331</v>
      </c>
      <c r="CI225" s="909">
        <v>0</v>
      </c>
      <c r="CJ225" s="909">
        <v>0</v>
      </c>
      <c r="CK225" s="909">
        <v>0</v>
      </c>
      <c r="CL225" s="910">
        <v>4057.5495143687099</v>
      </c>
      <c r="CM225" s="871">
        <v>4000</v>
      </c>
      <c r="CN225" s="911">
        <v>89.011791851710797</v>
      </c>
      <c r="CO225" s="908">
        <v>2.9275572241078107</v>
      </c>
      <c r="CP225" s="902">
        <v>11.892773995771329</v>
      </c>
      <c r="CQ225" s="902">
        <v>0.1251827704193354</v>
      </c>
      <c r="CR225" s="902">
        <v>0</v>
      </c>
      <c r="CS225" s="902">
        <v>43.241862760024723</v>
      </c>
      <c r="CT225" s="902">
        <v>0.25741576887875178</v>
      </c>
      <c r="CU225" s="902">
        <v>2500</v>
      </c>
      <c r="CV225" s="909" t="s">
        <v>2874</v>
      </c>
      <c r="CW225" s="909">
        <v>3</v>
      </c>
      <c r="CX225" s="909">
        <v>1</v>
      </c>
      <c r="CY225" s="909">
        <v>3</v>
      </c>
      <c r="CZ225" s="909">
        <v>11.233535745125476</v>
      </c>
      <c r="DA225" s="910">
        <v>7596.5546185042331</v>
      </c>
      <c r="DB225" s="909">
        <v>0</v>
      </c>
      <c r="DC225" s="909">
        <v>0</v>
      </c>
      <c r="DD225" s="909">
        <v>0</v>
      </c>
      <c r="DE225" s="910">
        <v>4057.5495143687099</v>
      </c>
      <c r="DF225" s="871">
        <v>4000</v>
      </c>
      <c r="DG225" s="911">
        <v>89.011791851710797</v>
      </c>
      <c r="DH225" s="908">
        <v>1.9517048160718737</v>
      </c>
      <c r="DI225" s="902">
        <v>10.791738817316055</v>
      </c>
      <c r="DJ225" s="902">
        <v>0</v>
      </c>
      <c r="DK225" s="902">
        <v>0</v>
      </c>
      <c r="DL225" s="902">
        <v>41.021972626987889</v>
      </c>
      <c r="DM225" s="902">
        <v>0.22072613826110132</v>
      </c>
      <c r="DN225" s="902">
        <v>2000</v>
      </c>
      <c r="DO225" s="909" t="s">
        <v>2876</v>
      </c>
      <c r="DP225" s="909">
        <v>2</v>
      </c>
      <c r="DQ225" s="909">
        <v>0</v>
      </c>
      <c r="DR225" s="909">
        <v>0</v>
      </c>
      <c r="DS225" s="909">
        <v>0</v>
      </c>
      <c r="DT225" s="910">
        <v>3023.4827831243988</v>
      </c>
      <c r="DU225" s="909">
        <v>0</v>
      </c>
      <c r="DV225" s="909">
        <v>0</v>
      </c>
      <c r="DW225" s="909">
        <v>0</v>
      </c>
      <c r="DX225" s="910">
        <v>3287.1824713704896</v>
      </c>
      <c r="DY225" s="871">
        <v>3023.4827831243988</v>
      </c>
      <c r="DZ225" s="911">
        <v>67.281405039675064</v>
      </c>
      <c r="EA225" s="908">
        <v>1.9517048160718737</v>
      </c>
      <c r="EB225" s="902">
        <v>11.157262204361146</v>
      </c>
      <c r="EC225" s="902">
        <v>8.3455180279556937E-2</v>
      </c>
      <c r="ED225" s="902">
        <v>0.28206820676553263</v>
      </c>
      <c r="EE225" s="902">
        <v>41.807517469397112</v>
      </c>
      <c r="EF225" s="902">
        <v>0.23478362912209355</v>
      </c>
      <c r="EG225" s="902">
        <v>2500</v>
      </c>
      <c r="EH225" s="909" t="s">
        <v>2876</v>
      </c>
      <c r="EI225" s="909">
        <v>2</v>
      </c>
      <c r="EJ225" s="909">
        <v>1</v>
      </c>
      <c r="EK225" s="909">
        <v>2</v>
      </c>
      <c r="EL225" s="909">
        <v>11.233535745125476</v>
      </c>
      <c r="EM225" s="910">
        <v>8422.1321556202456</v>
      </c>
      <c r="EN225" s="909">
        <v>1</v>
      </c>
      <c r="EO225" s="909">
        <v>4</v>
      </c>
      <c r="EP225" s="909">
        <v>13.676030606958099</v>
      </c>
      <c r="EQ225" s="910">
        <v>7605.3054372829829</v>
      </c>
      <c r="ER225" s="871">
        <v>4000</v>
      </c>
      <c r="ES225" s="911">
        <v>89.011791851710797</v>
      </c>
      <c r="ET225" s="908">
        <v>1.9517048160718737</v>
      </c>
      <c r="EU225" s="902">
        <v>10.791738817316055</v>
      </c>
      <c r="EV225" s="902">
        <v>0</v>
      </c>
      <c r="EW225" s="902">
        <v>0</v>
      </c>
      <c r="EX225" s="902">
        <v>41.021972626987889</v>
      </c>
      <c r="EY225" s="902">
        <v>0.22072613826110132</v>
      </c>
      <c r="EZ225" s="902">
        <v>2000</v>
      </c>
      <c r="FA225" s="909" t="s">
        <v>3889</v>
      </c>
      <c r="FB225" s="909">
        <v>2</v>
      </c>
      <c r="FC225" s="909">
        <v>0</v>
      </c>
      <c r="FD225" s="909">
        <v>0</v>
      </c>
      <c r="FE225" s="909">
        <v>0</v>
      </c>
      <c r="FF225" s="910">
        <v>3173.4975868484098</v>
      </c>
      <c r="FG225" s="909">
        <v>0</v>
      </c>
      <c r="FH225" s="909">
        <v>0</v>
      </c>
      <c r="FI225" s="909">
        <v>0</v>
      </c>
      <c r="FJ225" s="910">
        <v>3450.2811455220481</v>
      </c>
      <c r="FK225" s="871">
        <v>3173.4975868484098</v>
      </c>
      <c r="FL225" s="911">
        <v>70.619676660614289</v>
      </c>
      <c r="FM225" s="908">
        <v>1.9517048160718737</v>
      </c>
      <c r="FN225" s="902">
        <v>10.791738817316055</v>
      </c>
      <c r="FO225" s="902">
        <v>0</v>
      </c>
      <c r="FP225" s="902">
        <v>0</v>
      </c>
      <c r="FQ225" s="902">
        <v>41.021972626987889</v>
      </c>
      <c r="FR225" s="902">
        <v>0.22072613826110132</v>
      </c>
      <c r="FS225" s="902">
        <v>2500</v>
      </c>
      <c r="FT225" s="909" t="s">
        <v>2877</v>
      </c>
      <c r="FU225" s="909">
        <v>2</v>
      </c>
      <c r="FV225" s="909">
        <v>0</v>
      </c>
      <c r="FW225" s="909">
        <v>0</v>
      </c>
      <c r="FX225" s="909">
        <v>0</v>
      </c>
      <c r="FY225" s="910">
        <v>3734.2444896133361</v>
      </c>
      <c r="FZ225" s="909">
        <v>0</v>
      </c>
      <c r="GA225" s="909">
        <v>0</v>
      </c>
      <c r="GB225" s="909">
        <v>0</v>
      </c>
      <c r="GC225" s="910">
        <v>4059.9348203940963</v>
      </c>
      <c r="GD225" s="871">
        <v>3734.2444896133361</v>
      </c>
      <c r="GE225" s="911">
        <v>83.097948308215081</v>
      </c>
      <c r="GF225" s="908">
        <v>1.9517048160718737</v>
      </c>
      <c r="GG225" s="902">
        <v>10.791738817316055</v>
      </c>
      <c r="GH225" s="902">
        <v>0</v>
      </c>
      <c r="GI225" s="902">
        <v>0</v>
      </c>
      <c r="GJ225" s="902">
        <v>41.021972626987889</v>
      </c>
      <c r="GK225" s="902">
        <v>0.22072613826110132</v>
      </c>
      <c r="GL225" s="902">
        <v>2000</v>
      </c>
      <c r="GM225" s="909" t="s">
        <v>2877</v>
      </c>
      <c r="GN225" s="909">
        <v>2</v>
      </c>
      <c r="GO225" s="909">
        <v>0</v>
      </c>
      <c r="GP225" s="909">
        <v>0</v>
      </c>
      <c r="GQ225" s="909">
        <v>0</v>
      </c>
      <c r="GR225" s="910">
        <v>3734.2444896133361</v>
      </c>
      <c r="GS225" s="909">
        <v>0</v>
      </c>
      <c r="GT225" s="909">
        <v>0</v>
      </c>
      <c r="GU225" s="909">
        <v>0</v>
      </c>
      <c r="GV225" s="910">
        <v>4059.9348203940963</v>
      </c>
      <c r="GW225" s="871">
        <v>3734.2444896133361</v>
      </c>
      <c r="GX225" s="911">
        <v>83.097948308215081</v>
      </c>
      <c r="GY225" s="908">
        <v>1.9517048160718737</v>
      </c>
      <c r="GZ225" s="902">
        <v>10.791738817316055</v>
      </c>
      <c r="HA225" s="902">
        <v>0</v>
      </c>
      <c r="HB225" s="902">
        <v>0</v>
      </c>
      <c r="HC225" s="902">
        <v>41.021972626987889</v>
      </c>
      <c r="HD225" s="902">
        <v>0.22072613826110132</v>
      </c>
      <c r="HE225" s="902">
        <v>2500</v>
      </c>
      <c r="HF225" s="909" t="s">
        <v>2877</v>
      </c>
      <c r="HG225" s="909">
        <v>2</v>
      </c>
      <c r="HH225" s="909">
        <v>0</v>
      </c>
      <c r="HI225" s="909">
        <v>0</v>
      </c>
      <c r="HJ225" s="909">
        <v>0</v>
      </c>
      <c r="HK225" s="910">
        <v>3734.2444896133361</v>
      </c>
      <c r="HL225" s="909">
        <v>0</v>
      </c>
      <c r="HM225" s="909">
        <v>0</v>
      </c>
      <c r="HN225" s="909">
        <v>0</v>
      </c>
      <c r="HO225" s="910">
        <v>4059.9348203940963</v>
      </c>
      <c r="HP225" s="871">
        <v>3734.2444896133361</v>
      </c>
      <c r="HQ225" s="911">
        <v>83.097948308215081</v>
      </c>
      <c r="HR225" s="908">
        <v>1.9517048160718737</v>
      </c>
      <c r="HS225" s="902">
        <v>10.791738817316055</v>
      </c>
      <c r="HT225" s="902">
        <v>0</v>
      </c>
      <c r="HU225" s="902">
        <v>0</v>
      </c>
      <c r="HV225" s="902">
        <v>41.021972626987889</v>
      </c>
      <c r="HW225" s="902">
        <v>0.22072613826110132</v>
      </c>
      <c r="HX225" s="902">
        <v>2000</v>
      </c>
      <c r="HY225" s="909" t="s">
        <v>1063</v>
      </c>
      <c r="HZ225" s="909">
        <v>2</v>
      </c>
      <c r="IA225" s="909">
        <v>0</v>
      </c>
      <c r="IB225" s="909">
        <v>0</v>
      </c>
      <c r="IC225" s="909">
        <v>0</v>
      </c>
      <c r="ID225" s="910">
        <v>3293.2940847478521</v>
      </c>
      <c r="IE225" s="909">
        <v>0</v>
      </c>
      <c r="IF225" s="909">
        <v>0</v>
      </c>
      <c r="IG225" s="909">
        <v>0</v>
      </c>
      <c r="IH225" s="910">
        <v>3580.5259579696594</v>
      </c>
      <c r="II225" s="871">
        <v>3293.2940847478521</v>
      </c>
      <c r="IJ225" s="911">
        <v>73.285501894511569</v>
      </c>
      <c r="IK225" s="908">
        <v>1.9517048160718737</v>
      </c>
      <c r="IL225" s="902">
        <v>10.791738817316055</v>
      </c>
      <c r="IM225" s="902">
        <v>0</v>
      </c>
      <c r="IN225" s="902">
        <v>0</v>
      </c>
      <c r="IO225" s="902">
        <v>41.021972626987889</v>
      </c>
      <c r="IP225" s="902">
        <v>0.22072613826110132</v>
      </c>
      <c r="IQ225" s="902">
        <v>2500</v>
      </c>
      <c r="IR225" s="909" t="s">
        <v>1063</v>
      </c>
      <c r="IS225" s="909">
        <v>2</v>
      </c>
      <c r="IT225" s="909">
        <v>0</v>
      </c>
      <c r="IU225" s="909">
        <v>0</v>
      </c>
      <c r="IV225" s="909">
        <v>0</v>
      </c>
      <c r="IW225" s="910">
        <v>3293.2940847478521</v>
      </c>
      <c r="IX225" s="909">
        <v>0</v>
      </c>
      <c r="IY225" s="909">
        <v>0</v>
      </c>
      <c r="IZ225" s="909">
        <v>0</v>
      </c>
      <c r="JA225" s="910">
        <v>3580.5259579696594</v>
      </c>
      <c r="JB225" s="871">
        <v>3293.2940847478521</v>
      </c>
      <c r="JC225" s="911">
        <v>73.285501894511569</v>
      </c>
      <c r="JD225" s="908">
        <v>1.9517048160718737</v>
      </c>
      <c r="JE225" s="902">
        <v>10.791738817316055</v>
      </c>
      <c r="JF225" s="902">
        <v>0</v>
      </c>
      <c r="JG225" s="902">
        <v>0</v>
      </c>
      <c r="JH225" s="902">
        <v>41.021972626987889</v>
      </c>
      <c r="JI225" s="902">
        <v>0.22072613826110132</v>
      </c>
      <c r="JJ225" s="902">
        <v>2000</v>
      </c>
      <c r="JK225" s="909" t="s">
        <v>1064</v>
      </c>
      <c r="JL225" s="909">
        <v>2</v>
      </c>
      <c r="JM225" s="909">
        <v>0</v>
      </c>
      <c r="JN225" s="909">
        <v>0</v>
      </c>
      <c r="JO225" s="909">
        <v>0</v>
      </c>
      <c r="JP225" s="910">
        <v>4488.003327473245</v>
      </c>
      <c r="JQ225" s="909">
        <v>0</v>
      </c>
      <c r="JR225" s="909">
        <v>0</v>
      </c>
      <c r="JS225" s="909">
        <v>0</v>
      </c>
      <c r="JT225" s="910">
        <v>4879.4343899908663</v>
      </c>
      <c r="JU225" s="871">
        <v>4000</v>
      </c>
      <c r="JV225" s="911">
        <v>89.011791851710797</v>
      </c>
      <c r="JW225" s="908">
        <v>1.9517048160718737</v>
      </c>
      <c r="JX225" s="902">
        <v>10.791738817316055</v>
      </c>
      <c r="JY225" s="902">
        <v>0</v>
      </c>
      <c r="JZ225" s="902">
        <v>0</v>
      </c>
      <c r="KA225" s="902">
        <v>41.021972626987889</v>
      </c>
      <c r="KB225" s="902">
        <v>0.22072613826110132</v>
      </c>
      <c r="KC225" s="902">
        <v>2500</v>
      </c>
      <c r="KD225" s="909" t="s">
        <v>1064</v>
      </c>
      <c r="KE225" s="909">
        <v>2</v>
      </c>
      <c r="KF225" s="909">
        <v>0</v>
      </c>
      <c r="KG225" s="909">
        <v>0</v>
      </c>
      <c r="KH225" s="909">
        <v>0</v>
      </c>
      <c r="KI225" s="910">
        <v>4488.003327473245</v>
      </c>
      <c r="KJ225" s="909">
        <v>0</v>
      </c>
      <c r="KK225" s="909">
        <v>0</v>
      </c>
      <c r="KL225" s="909">
        <v>0</v>
      </c>
      <c r="KM225" s="910">
        <v>4879.4343899908663</v>
      </c>
      <c r="KN225" s="871">
        <v>4000</v>
      </c>
      <c r="KO225" s="912">
        <v>89.011791851710797</v>
      </c>
    </row>
    <row r="226" spans="1:301" s="878" customFormat="1" ht="15" customHeight="1">
      <c r="A226" s="1047" t="s">
        <v>1655</v>
      </c>
      <c r="B226" s="888" t="s">
        <v>1073</v>
      </c>
      <c r="C226" s="888">
        <v>257.60000000000002</v>
      </c>
      <c r="D226" s="888">
        <v>370</v>
      </c>
      <c r="E226" s="888"/>
      <c r="F226" s="888"/>
      <c r="G226" s="888">
        <v>28</v>
      </c>
      <c r="H226" s="888">
        <v>130</v>
      </c>
      <c r="I226" s="888">
        <v>130</v>
      </c>
      <c r="J226" s="888">
        <v>141.4</v>
      </c>
      <c r="K226" s="888">
        <v>72.489999999999995</v>
      </c>
      <c r="L226" s="888">
        <v>16</v>
      </c>
      <c r="M226" s="888">
        <v>58.750661618799995</v>
      </c>
      <c r="N226" s="888">
        <v>2</v>
      </c>
      <c r="O226" s="884">
        <v>1.6880798345350376</v>
      </c>
      <c r="P226" s="888">
        <v>2</v>
      </c>
      <c r="Q226" s="884">
        <v>0.4645610501541822</v>
      </c>
      <c r="R226" s="888">
        <v>9</v>
      </c>
      <c r="S226" s="888">
        <v>315</v>
      </c>
      <c r="T226" s="906">
        <v>5.5058345297138498</v>
      </c>
      <c r="U226" s="906">
        <v>47.25</v>
      </c>
      <c r="V226" s="906">
        <v>10</v>
      </c>
      <c r="W226" s="1141">
        <v>0.10323439743213468</v>
      </c>
      <c r="X226" s="902">
        <v>0</v>
      </c>
      <c r="Y226" s="902">
        <v>0</v>
      </c>
      <c r="Z226" s="902">
        <v>0</v>
      </c>
      <c r="AA226" s="902">
        <v>0</v>
      </c>
      <c r="AB226" s="970">
        <v>0.7597932063887527</v>
      </c>
      <c r="AC226" s="1045">
        <v>4000</v>
      </c>
      <c r="AD226" s="890"/>
      <c r="AE226" s="890"/>
      <c r="AF226" s="890"/>
      <c r="AG226" s="890"/>
      <c r="AH226" s="888"/>
      <c r="AI226" s="907">
        <v>0.57025226094831338</v>
      </c>
      <c r="AJ226" s="908">
        <v>1.9185616058235329</v>
      </c>
      <c r="AK226" s="902">
        <v>9.6802714176587372</v>
      </c>
      <c r="AL226" s="902">
        <v>0</v>
      </c>
      <c r="AM226" s="902">
        <v>0</v>
      </c>
      <c r="AN226" s="902">
        <v>38.213171442105988</v>
      </c>
      <c r="AO226" s="902">
        <v>0.15963394661850674</v>
      </c>
      <c r="AP226" s="1222">
        <v>2000</v>
      </c>
      <c r="AQ226" s="909" t="s">
        <v>1064</v>
      </c>
      <c r="AR226" s="909">
        <v>2</v>
      </c>
      <c r="AS226" s="909">
        <v>0</v>
      </c>
      <c r="AT226" s="909">
        <v>0</v>
      </c>
      <c r="AU226" s="909">
        <v>0</v>
      </c>
      <c r="AV226" s="910">
        <v>4499.2158474781381</v>
      </c>
      <c r="AW226" s="909">
        <v>0</v>
      </c>
      <c r="AX226" s="909">
        <v>0</v>
      </c>
      <c r="AY226" s="909">
        <v>0</v>
      </c>
      <c r="AZ226" s="910">
        <v>6050.4546305995336</v>
      </c>
      <c r="BA226" s="871">
        <v>4000</v>
      </c>
      <c r="BB226" s="911">
        <v>77.492618788548228</v>
      </c>
      <c r="BC226" s="908">
        <v>1.9185616058235329</v>
      </c>
      <c r="BD226" s="902">
        <v>9.6802714176587372</v>
      </c>
      <c r="BE226" s="902">
        <v>0</v>
      </c>
      <c r="BF226" s="902">
        <v>0</v>
      </c>
      <c r="BG226" s="902">
        <v>38.213171442105988</v>
      </c>
      <c r="BH226" s="902">
        <v>0.15963394661850674</v>
      </c>
      <c r="BI226" s="902">
        <v>2500</v>
      </c>
      <c r="BJ226" s="909" t="s">
        <v>1064</v>
      </c>
      <c r="BK226" s="909">
        <v>2</v>
      </c>
      <c r="BL226" s="909">
        <v>0</v>
      </c>
      <c r="BM226" s="909">
        <v>0</v>
      </c>
      <c r="BN226" s="909">
        <v>0</v>
      </c>
      <c r="BO226" s="910">
        <v>4499.2158474781381</v>
      </c>
      <c r="BP226" s="909">
        <v>0</v>
      </c>
      <c r="BQ226" s="909">
        <v>0</v>
      </c>
      <c r="BR226" s="909">
        <v>0</v>
      </c>
      <c r="BS226" s="910">
        <v>6050.4546305995336</v>
      </c>
      <c r="BT226" s="871">
        <v>4000</v>
      </c>
      <c r="BU226" s="911">
        <v>77.492618788548228</v>
      </c>
      <c r="BV226" s="908">
        <v>2.8778424087352992</v>
      </c>
      <c r="BW226" s="902">
        <v>10.811084684814951</v>
      </c>
      <c r="BX226" s="902">
        <v>0.17153246424444682</v>
      </c>
      <c r="BY226" s="902">
        <v>0</v>
      </c>
      <c r="BZ226" s="902">
        <v>41.015008815635355</v>
      </c>
      <c r="CA226" s="902">
        <v>0.18706188310123692</v>
      </c>
      <c r="CB226" s="902">
        <v>2000</v>
      </c>
      <c r="CC226" s="909" t="s">
        <v>2874</v>
      </c>
      <c r="CD226" s="909">
        <v>3</v>
      </c>
      <c r="CE226" s="909">
        <v>1</v>
      </c>
      <c r="CF226" s="909">
        <v>6</v>
      </c>
      <c r="CG226" s="909">
        <v>9.1633347692866369</v>
      </c>
      <c r="CH226" s="910">
        <v>9784.8247340098642</v>
      </c>
      <c r="CI226" s="909">
        <v>0</v>
      </c>
      <c r="CJ226" s="909">
        <v>0</v>
      </c>
      <c r="CK226" s="909">
        <v>0</v>
      </c>
      <c r="CL226" s="910">
        <v>5031.324798312332</v>
      </c>
      <c r="CM226" s="871">
        <v>4000</v>
      </c>
      <c r="CN226" s="911">
        <v>77.492618788548228</v>
      </c>
      <c r="CO226" s="908">
        <v>2.8778424087352992</v>
      </c>
      <c r="CP226" s="902">
        <v>10.811084684814951</v>
      </c>
      <c r="CQ226" s="902">
        <v>0.17153246424444682</v>
      </c>
      <c r="CR226" s="902">
        <v>0</v>
      </c>
      <c r="CS226" s="902">
        <v>41.015008815635355</v>
      </c>
      <c r="CT226" s="902">
        <v>0.18706188310123692</v>
      </c>
      <c r="CU226" s="902">
        <v>2500</v>
      </c>
      <c r="CV226" s="909" t="s">
        <v>2874</v>
      </c>
      <c r="CW226" s="909">
        <v>3</v>
      </c>
      <c r="CX226" s="909">
        <v>1</v>
      </c>
      <c r="CY226" s="909">
        <v>6</v>
      </c>
      <c r="CZ226" s="909">
        <v>9.1633347692866369</v>
      </c>
      <c r="DA226" s="910">
        <v>9784.8247340098642</v>
      </c>
      <c r="DB226" s="909">
        <v>0</v>
      </c>
      <c r="DC226" s="909">
        <v>0</v>
      </c>
      <c r="DD226" s="909">
        <v>0</v>
      </c>
      <c r="DE226" s="910">
        <v>5031.324798312332</v>
      </c>
      <c r="DF226" s="871">
        <v>4000</v>
      </c>
      <c r="DG226" s="911">
        <v>77.492618788548228</v>
      </c>
      <c r="DH226" s="908">
        <v>1.9185616058235329</v>
      </c>
      <c r="DI226" s="902">
        <v>9.6802714176587372</v>
      </c>
      <c r="DJ226" s="902">
        <v>0</v>
      </c>
      <c r="DK226" s="902">
        <v>0</v>
      </c>
      <c r="DL226" s="902">
        <v>38.213171442105988</v>
      </c>
      <c r="DM226" s="902">
        <v>0.15963394661850674</v>
      </c>
      <c r="DN226" s="902">
        <v>2000</v>
      </c>
      <c r="DO226" s="909" t="s">
        <v>2876</v>
      </c>
      <c r="DP226" s="909">
        <v>2</v>
      </c>
      <c r="DQ226" s="909">
        <v>0</v>
      </c>
      <c r="DR226" s="909">
        <v>0</v>
      </c>
      <c r="DS226" s="909">
        <v>0</v>
      </c>
      <c r="DT226" s="910">
        <v>3031.0364453471316</v>
      </c>
      <c r="DU226" s="909">
        <v>0</v>
      </c>
      <c r="DV226" s="909">
        <v>0</v>
      </c>
      <c r="DW226" s="909">
        <v>0</v>
      </c>
      <c r="DX226" s="910">
        <v>4076.0766137827763</v>
      </c>
      <c r="DY226" s="871">
        <v>3031.0364453471316</v>
      </c>
      <c r="DZ226" s="911">
        <v>58.720737948370385</v>
      </c>
      <c r="EA226" s="908">
        <v>1.9185616058235329</v>
      </c>
      <c r="EB226" s="902">
        <v>9.7374489057402194</v>
      </c>
      <c r="EC226" s="902">
        <v>5.7177488081482278E-2</v>
      </c>
      <c r="ED226" s="902">
        <v>0</v>
      </c>
      <c r="EE226" s="902">
        <v>38.370461465954719</v>
      </c>
      <c r="EF226" s="902">
        <v>0.16065237264563151</v>
      </c>
      <c r="EG226" s="902">
        <v>2500</v>
      </c>
      <c r="EH226" s="909" t="s">
        <v>2876</v>
      </c>
      <c r="EI226" s="909">
        <v>2</v>
      </c>
      <c r="EJ226" s="909">
        <v>1</v>
      </c>
      <c r="EK226" s="909">
        <v>2</v>
      </c>
      <c r="EL226" s="909">
        <v>9.1633347692866369</v>
      </c>
      <c r="EM226" s="910">
        <v>9070.815104450021</v>
      </c>
      <c r="EN226" s="909">
        <v>0</v>
      </c>
      <c r="EO226" s="909">
        <v>0</v>
      </c>
      <c r="EP226" s="909">
        <v>0</v>
      </c>
      <c r="EQ226" s="910">
        <v>4076.0766137827763</v>
      </c>
      <c r="ER226" s="871">
        <v>4000</v>
      </c>
      <c r="ES226" s="911">
        <v>77.492618788548228</v>
      </c>
      <c r="ET226" s="908">
        <v>1.9185616058235329</v>
      </c>
      <c r="EU226" s="902">
        <v>9.6802714176587372</v>
      </c>
      <c r="EV226" s="902">
        <v>0</v>
      </c>
      <c r="EW226" s="902">
        <v>0</v>
      </c>
      <c r="EX226" s="902">
        <v>38.213171442105988</v>
      </c>
      <c r="EY226" s="902">
        <v>0.15963394661850674</v>
      </c>
      <c r="EZ226" s="902">
        <v>2000</v>
      </c>
      <c r="FA226" s="909" t="s">
        <v>3889</v>
      </c>
      <c r="FB226" s="909">
        <v>2</v>
      </c>
      <c r="FC226" s="909">
        <v>0</v>
      </c>
      <c r="FD226" s="909">
        <v>0</v>
      </c>
      <c r="FE226" s="909">
        <v>0</v>
      </c>
      <c r="FF226" s="910">
        <v>3181.4260357780699</v>
      </c>
      <c r="FG226" s="909">
        <v>0</v>
      </c>
      <c r="FH226" s="909">
        <v>0</v>
      </c>
      <c r="FI226" s="909">
        <v>0</v>
      </c>
      <c r="FJ226" s="910">
        <v>4278.3174985642581</v>
      </c>
      <c r="FK226" s="871">
        <v>3181.4260357780699</v>
      </c>
      <c r="FL226" s="911">
        <v>61.634258748628035</v>
      </c>
      <c r="FM226" s="908">
        <v>1.9185616058235329</v>
      </c>
      <c r="FN226" s="902">
        <v>9.6802714176587372</v>
      </c>
      <c r="FO226" s="902">
        <v>0</v>
      </c>
      <c r="FP226" s="902">
        <v>0</v>
      </c>
      <c r="FQ226" s="902">
        <v>38.213171442105988</v>
      </c>
      <c r="FR226" s="902">
        <v>0.15963394661850674</v>
      </c>
      <c r="FS226" s="902">
        <v>2500</v>
      </c>
      <c r="FT226" s="909" t="s">
        <v>2877</v>
      </c>
      <c r="FU226" s="909">
        <v>2</v>
      </c>
      <c r="FV226" s="909">
        <v>0</v>
      </c>
      <c r="FW226" s="909">
        <v>0</v>
      </c>
      <c r="FX226" s="909">
        <v>0</v>
      </c>
      <c r="FY226" s="910">
        <v>3743.5738701836763</v>
      </c>
      <c r="FZ226" s="909">
        <v>0</v>
      </c>
      <c r="GA226" s="909">
        <v>0</v>
      </c>
      <c r="GB226" s="909">
        <v>0</v>
      </c>
      <c r="GC226" s="910">
        <v>5034.282556268111</v>
      </c>
      <c r="GD226" s="871">
        <v>3743.5738701836763</v>
      </c>
      <c r="GE226" s="911">
        <v>72.524835707228434</v>
      </c>
      <c r="GF226" s="908">
        <v>1.9185616058235329</v>
      </c>
      <c r="GG226" s="902">
        <v>9.6802714176587372</v>
      </c>
      <c r="GH226" s="902">
        <v>0</v>
      </c>
      <c r="GI226" s="902">
        <v>0</v>
      </c>
      <c r="GJ226" s="902">
        <v>38.213171442105988</v>
      </c>
      <c r="GK226" s="902">
        <v>0.15963394661850674</v>
      </c>
      <c r="GL226" s="902">
        <v>2000</v>
      </c>
      <c r="GM226" s="909" t="s">
        <v>2877</v>
      </c>
      <c r="GN226" s="909">
        <v>2</v>
      </c>
      <c r="GO226" s="909">
        <v>0</v>
      </c>
      <c r="GP226" s="909">
        <v>0</v>
      </c>
      <c r="GQ226" s="909">
        <v>0</v>
      </c>
      <c r="GR226" s="910">
        <v>3743.5738701836763</v>
      </c>
      <c r="GS226" s="909">
        <v>0</v>
      </c>
      <c r="GT226" s="909">
        <v>0</v>
      </c>
      <c r="GU226" s="909">
        <v>0</v>
      </c>
      <c r="GV226" s="910">
        <v>5034.282556268111</v>
      </c>
      <c r="GW226" s="871">
        <v>3743.5738701836763</v>
      </c>
      <c r="GX226" s="911">
        <v>72.524835707228434</v>
      </c>
      <c r="GY226" s="908">
        <v>1.9185616058235329</v>
      </c>
      <c r="GZ226" s="902">
        <v>9.6802714176587372</v>
      </c>
      <c r="HA226" s="902">
        <v>0</v>
      </c>
      <c r="HB226" s="902">
        <v>0</v>
      </c>
      <c r="HC226" s="902">
        <v>38.213171442105988</v>
      </c>
      <c r="HD226" s="902">
        <v>0.15963394661850674</v>
      </c>
      <c r="HE226" s="902">
        <v>2500</v>
      </c>
      <c r="HF226" s="909" t="s">
        <v>2877</v>
      </c>
      <c r="HG226" s="909">
        <v>2</v>
      </c>
      <c r="HH226" s="909">
        <v>0</v>
      </c>
      <c r="HI226" s="909">
        <v>0</v>
      </c>
      <c r="HJ226" s="909">
        <v>0</v>
      </c>
      <c r="HK226" s="910">
        <v>3743.5738701836763</v>
      </c>
      <c r="HL226" s="909">
        <v>0</v>
      </c>
      <c r="HM226" s="909">
        <v>0</v>
      </c>
      <c r="HN226" s="909">
        <v>0</v>
      </c>
      <c r="HO226" s="910">
        <v>5034.282556268111</v>
      </c>
      <c r="HP226" s="871">
        <v>3743.5738701836763</v>
      </c>
      <c r="HQ226" s="911">
        <v>72.524835707228434</v>
      </c>
      <c r="HR226" s="908">
        <v>1.9185616058235329</v>
      </c>
      <c r="HS226" s="902">
        <v>9.6802714176587372</v>
      </c>
      <c r="HT226" s="902">
        <v>0</v>
      </c>
      <c r="HU226" s="902">
        <v>0</v>
      </c>
      <c r="HV226" s="902">
        <v>38.213171442105988</v>
      </c>
      <c r="HW226" s="902">
        <v>0.15963394661850674</v>
      </c>
      <c r="HX226" s="902">
        <v>2000</v>
      </c>
      <c r="HY226" s="909" t="s">
        <v>1063</v>
      </c>
      <c r="HZ226" s="909">
        <v>2</v>
      </c>
      <c r="IA226" s="909">
        <v>0</v>
      </c>
      <c r="IB226" s="909">
        <v>0</v>
      </c>
      <c r="IC226" s="909">
        <v>0</v>
      </c>
      <c r="ID226" s="910">
        <v>3301.5218250396624</v>
      </c>
      <c r="IE226" s="909">
        <v>0</v>
      </c>
      <c r="IF226" s="909">
        <v>0</v>
      </c>
      <c r="IG226" s="909">
        <v>0</v>
      </c>
      <c r="IH226" s="910">
        <v>4439.8198911779828</v>
      </c>
      <c r="II226" s="871">
        <v>3301.5218250396624</v>
      </c>
      <c r="IJ226" s="911">
        <v>63.96089305246764</v>
      </c>
      <c r="IK226" s="908">
        <v>1.9185616058235329</v>
      </c>
      <c r="IL226" s="902">
        <v>9.6802714176587372</v>
      </c>
      <c r="IM226" s="902">
        <v>0</v>
      </c>
      <c r="IN226" s="902">
        <v>0</v>
      </c>
      <c r="IO226" s="902">
        <v>38.213171442105988</v>
      </c>
      <c r="IP226" s="902">
        <v>0.15963394661850674</v>
      </c>
      <c r="IQ226" s="902">
        <v>2500</v>
      </c>
      <c r="IR226" s="909" t="s">
        <v>1063</v>
      </c>
      <c r="IS226" s="909">
        <v>2</v>
      </c>
      <c r="IT226" s="909">
        <v>0</v>
      </c>
      <c r="IU226" s="909">
        <v>0</v>
      </c>
      <c r="IV226" s="909">
        <v>0</v>
      </c>
      <c r="IW226" s="910">
        <v>3301.5218250396624</v>
      </c>
      <c r="IX226" s="909">
        <v>0</v>
      </c>
      <c r="IY226" s="909">
        <v>0</v>
      </c>
      <c r="IZ226" s="909">
        <v>0</v>
      </c>
      <c r="JA226" s="910">
        <v>4439.8198911779828</v>
      </c>
      <c r="JB226" s="871">
        <v>3301.5218250396624</v>
      </c>
      <c r="JC226" s="911">
        <v>63.96089305246764</v>
      </c>
      <c r="JD226" s="908">
        <v>1.9185616058235329</v>
      </c>
      <c r="JE226" s="902">
        <v>9.6802714176587372</v>
      </c>
      <c r="JF226" s="902">
        <v>0</v>
      </c>
      <c r="JG226" s="902">
        <v>0</v>
      </c>
      <c r="JH226" s="902">
        <v>38.213171442105988</v>
      </c>
      <c r="JI226" s="902">
        <v>0.15963394661850674</v>
      </c>
      <c r="JJ226" s="902">
        <v>2000</v>
      </c>
      <c r="JK226" s="909" t="s">
        <v>1064</v>
      </c>
      <c r="JL226" s="909">
        <v>2</v>
      </c>
      <c r="JM226" s="909">
        <v>0</v>
      </c>
      <c r="JN226" s="909">
        <v>0</v>
      </c>
      <c r="JO226" s="909">
        <v>0</v>
      </c>
      <c r="JP226" s="910">
        <v>4499.2158474781381</v>
      </c>
      <c r="JQ226" s="909">
        <v>0</v>
      </c>
      <c r="JR226" s="909">
        <v>0</v>
      </c>
      <c r="JS226" s="909">
        <v>0</v>
      </c>
      <c r="JT226" s="910">
        <v>6050.4546305995336</v>
      </c>
      <c r="JU226" s="871">
        <v>4000</v>
      </c>
      <c r="JV226" s="911">
        <v>77.492618788548228</v>
      </c>
      <c r="JW226" s="908">
        <v>1.9185616058235329</v>
      </c>
      <c r="JX226" s="902">
        <v>9.6802714176587372</v>
      </c>
      <c r="JY226" s="902">
        <v>0</v>
      </c>
      <c r="JZ226" s="902">
        <v>0</v>
      </c>
      <c r="KA226" s="902">
        <v>38.213171442105988</v>
      </c>
      <c r="KB226" s="902">
        <v>0.15963394661850674</v>
      </c>
      <c r="KC226" s="902">
        <v>2500</v>
      </c>
      <c r="KD226" s="909" t="s">
        <v>1064</v>
      </c>
      <c r="KE226" s="909">
        <v>2</v>
      </c>
      <c r="KF226" s="909">
        <v>0</v>
      </c>
      <c r="KG226" s="909">
        <v>0</v>
      </c>
      <c r="KH226" s="909">
        <v>0</v>
      </c>
      <c r="KI226" s="910">
        <v>4499.2158474781381</v>
      </c>
      <c r="KJ226" s="909">
        <v>0</v>
      </c>
      <c r="KK226" s="909">
        <v>0</v>
      </c>
      <c r="KL226" s="909">
        <v>0</v>
      </c>
      <c r="KM226" s="910">
        <v>6050.4546305995336</v>
      </c>
      <c r="KN226" s="871">
        <v>4000</v>
      </c>
      <c r="KO226" s="912">
        <v>77.492618788548228</v>
      </c>
    </row>
    <row r="227" spans="1:301" ht="15" customHeight="1">
      <c r="A227" s="1047" t="s">
        <v>1723</v>
      </c>
      <c r="B227" s="888" t="s">
        <v>1073</v>
      </c>
      <c r="C227" s="888">
        <v>281.78300000000002</v>
      </c>
      <c r="D227" s="888">
        <v>400</v>
      </c>
      <c r="E227" s="888"/>
      <c r="F227" s="888"/>
      <c r="G227" s="888">
        <v>28</v>
      </c>
      <c r="H227" s="888">
        <v>130</v>
      </c>
      <c r="I227" s="888">
        <v>130</v>
      </c>
      <c r="J227" s="888">
        <v>131.30000000000001</v>
      </c>
      <c r="K227" s="888">
        <v>65.959999999999994</v>
      </c>
      <c r="L227" s="888">
        <v>16</v>
      </c>
      <c r="M227" s="888">
        <v>59.785393272205312</v>
      </c>
      <c r="N227" s="888">
        <v>2</v>
      </c>
      <c r="O227" s="884">
        <v>1.9729201864543902</v>
      </c>
      <c r="P227" s="888">
        <v>2</v>
      </c>
      <c r="Q227" s="884">
        <v>0.74940140207353478</v>
      </c>
      <c r="R227" s="888">
        <v>9</v>
      </c>
      <c r="S227" s="888">
        <v>315</v>
      </c>
      <c r="T227" s="906">
        <v>5.5058345297138498</v>
      </c>
      <c r="U227" s="906">
        <v>47.25</v>
      </c>
      <c r="V227" s="906">
        <v>10</v>
      </c>
      <c r="W227" s="1141">
        <v>0.10323439743213468</v>
      </c>
      <c r="X227" s="902">
        <v>0</v>
      </c>
      <c r="Y227" s="902">
        <v>0</v>
      </c>
      <c r="Z227" s="902">
        <v>0</v>
      </c>
      <c r="AA227" s="902">
        <v>0</v>
      </c>
      <c r="AB227" s="970">
        <v>0.8829939432139251</v>
      </c>
      <c r="AC227" s="1045">
        <v>4000</v>
      </c>
      <c r="AD227" s="890"/>
      <c r="AE227" s="890"/>
      <c r="AF227" s="890"/>
      <c r="AG227" s="890"/>
      <c r="AH227" s="888"/>
      <c r="AI227" s="907">
        <v>0.62663822614831932</v>
      </c>
      <c r="AJ227" s="908">
        <v>1.9523518026971369</v>
      </c>
      <c r="AK227" s="902">
        <v>10.283742318371045</v>
      </c>
      <c r="AL227" s="902">
        <v>0</v>
      </c>
      <c r="AM227" s="902">
        <v>0</v>
      </c>
      <c r="AN227" s="902">
        <v>39.812775107747392</v>
      </c>
      <c r="AO227" s="902">
        <v>0.19045543752339572</v>
      </c>
      <c r="AP227" s="1222">
        <v>2100</v>
      </c>
      <c r="AQ227" s="909" t="s">
        <v>1064</v>
      </c>
      <c r="AR227" s="909">
        <v>2</v>
      </c>
      <c r="AS227" s="909">
        <v>0</v>
      </c>
      <c r="AT227" s="909">
        <v>0</v>
      </c>
      <c r="AU227" s="909">
        <v>0</v>
      </c>
      <c r="AV227" s="910">
        <v>4681.1227209863864</v>
      </c>
      <c r="AW227" s="909">
        <v>0</v>
      </c>
      <c r="AX227" s="909">
        <v>0</v>
      </c>
      <c r="AY227" s="909">
        <v>0</v>
      </c>
      <c r="AZ227" s="910">
        <v>5000.9569757817335</v>
      </c>
      <c r="BA227" s="871">
        <v>4000</v>
      </c>
      <c r="BB227" s="911">
        <v>83.775804095727821</v>
      </c>
      <c r="BC227" s="908">
        <v>1.9523518026971369</v>
      </c>
      <c r="BD227" s="902">
        <v>10.283742318371045</v>
      </c>
      <c r="BE227" s="902">
        <v>0</v>
      </c>
      <c r="BF227" s="902">
        <v>0</v>
      </c>
      <c r="BG227" s="902">
        <v>39.812775107747392</v>
      </c>
      <c r="BH227" s="902">
        <v>0.19045543752339572</v>
      </c>
      <c r="BI227" s="902">
        <v>2625</v>
      </c>
      <c r="BJ227" s="909" t="s">
        <v>1064</v>
      </c>
      <c r="BK227" s="909">
        <v>2</v>
      </c>
      <c r="BL227" s="909">
        <v>0</v>
      </c>
      <c r="BM227" s="909">
        <v>0</v>
      </c>
      <c r="BN227" s="909">
        <v>0</v>
      </c>
      <c r="BO227" s="910">
        <v>4681.1227209863864</v>
      </c>
      <c r="BP227" s="909">
        <v>0</v>
      </c>
      <c r="BQ227" s="909">
        <v>0</v>
      </c>
      <c r="BR227" s="909">
        <v>0</v>
      </c>
      <c r="BS227" s="910">
        <v>5000.9569757817335</v>
      </c>
      <c r="BT227" s="871">
        <v>4000</v>
      </c>
      <c r="BU227" s="911">
        <v>83.775804095727821</v>
      </c>
      <c r="BV227" s="908">
        <v>2.9285277040457052</v>
      </c>
      <c r="BW227" s="902">
        <v>11.840825498928199</v>
      </c>
      <c r="BX227" s="902">
        <v>0.38237694610640993</v>
      </c>
      <c r="BY227" s="902">
        <v>0.19853033310217685</v>
      </c>
      <c r="BZ227" s="902">
        <v>43.124926295870807</v>
      </c>
      <c r="CA227" s="902">
        <v>0.23530480290117969</v>
      </c>
      <c r="CB227" s="902">
        <v>2100</v>
      </c>
      <c r="CC227" s="909" t="s">
        <v>2874</v>
      </c>
      <c r="CD227" s="909">
        <v>3</v>
      </c>
      <c r="CE227" s="909">
        <v>1</v>
      </c>
      <c r="CF227" s="909">
        <v>10</v>
      </c>
      <c r="CG227" s="909">
        <v>11.228655418202488</v>
      </c>
      <c r="CH227" s="910">
        <v>10222.393500845215</v>
      </c>
      <c r="CI227" s="909">
        <v>1</v>
      </c>
      <c r="CJ227" s="909">
        <v>3</v>
      </c>
      <c r="CK227" s="909">
        <v>13.649921185743894</v>
      </c>
      <c r="CL227" s="910">
        <v>6470.8795857366258</v>
      </c>
      <c r="CM227" s="871">
        <v>4000</v>
      </c>
      <c r="CN227" s="911">
        <v>83.775804095727821</v>
      </c>
      <c r="CO227" s="908">
        <v>2.9285277040457052</v>
      </c>
      <c r="CP227" s="902">
        <v>11.840825498928199</v>
      </c>
      <c r="CQ227" s="902">
        <v>0.38237694610640993</v>
      </c>
      <c r="CR227" s="902">
        <v>0.19853033310217685</v>
      </c>
      <c r="CS227" s="902">
        <v>43.124926295870807</v>
      </c>
      <c r="CT227" s="902">
        <v>0.23530480290117969</v>
      </c>
      <c r="CU227" s="902">
        <v>2625</v>
      </c>
      <c r="CV227" s="909" t="s">
        <v>2874</v>
      </c>
      <c r="CW227" s="909">
        <v>3</v>
      </c>
      <c r="CX227" s="909">
        <v>1</v>
      </c>
      <c r="CY227" s="909">
        <v>10</v>
      </c>
      <c r="CZ227" s="909">
        <v>11.228655418202488</v>
      </c>
      <c r="DA227" s="910">
        <v>10222.393500845215</v>
      </c>
      <c r="DB227" s="909">
        <v>1</v>
      </c>
      <c r="DC227" s="909">
        <v>3</v>
      </c>
      <c r="DD227" s="909">
        <v>13.649921185743894</v>
      </c>
      <c r="DE227" s="910">
        <v>6470.8795857366258</v>
      </c>
      <c r="DF227" s="871">
        <v>4000</v>
      </c>
      <c r="DG227" s="911">
        <v>83.775804095727821</v>
      </c>
      <c r="DH227" s="908">
        <v>1.9523518026971369</v>
      </c>
      <c r="DI227" s="902">
        <v>10.283742318371045</v>
      </c>
      <c r="DJ227" s="902">
        <v>0</v>
      </c>
      <c r="DK227" s="902">
        <v>0</v>
      </c>
      <c r="DL227" s="902">
        <v>39.812775107747392</v>
      </c>
      <c r="DM227" s="902">
        <v>0.19045543752339572</v>
      </c>
      <c r="DN227" s="902">
        <v>2100</v>
      </c>
      <c r="DO227" s="909" t="s">
        <v>2876</v>
      </c>
      <c r="DP227" s="909">
        <v>2</v>
      </c>
      <c r="DQ227" s="909">
        <v>0</v>
      </c>
      <c r="DR227" s="909">
        <v>0</v>
      </c>
      <c r="DS227" s="909">
        <v>0</v>
      </c>
      <c r="DT227" s="910">
        <v>3153.5836584513208</v>
      </c>
      <c r="DU227" s="909">
        <v>0</v>
      </c>
      <c r="DV227" s="909">
        <v>0</v>
      </c>
      <c r="DW227" s="909">
        <v>0</v>
      </c>
      <c r="DX227" s="910">
        <v>3369.049934268809</v>
      </c>
      <c r="DY227" s="871">
        <v>3153.5836584513208</v>
      </c>
      <c r="DZ227" s="911">
        <v>66.04850169247662</v>
      </c>
      <c r="EA227" s="908">
        <v>1.9523518026971369</v>
      </c>
      <c r="EB227" s="902">
        <v>10.624924818395229</v>
      </c>
      <c r="EC227" s="902">
        <v>7.6475389221281984E-2</v>
      </c>
      <c r="ED227" s="902">
        <v>0.26470711080290249</v>
      </c>
      <c r="EE227" s="902">
        <v>40.621575217328605</v>
      </c>
      <c r="EF227" s="902">
        <v>0.20198961094012102</v>
      </c>
      <c r="EG227" s="902">
        <v>2625</v>
      </c>
      <c r="EH227" s="909" t="s">
        <v>2876</v>
      </c>
      <c r="EI227" s="909">
        <v>2</v>
      </c>
      <c r="EJ227" s="909">
        <v>1</v>
      </c>
      <c r="EK227" s="909">
        <v>2</v>
      </c>
      <c r="EL227" s="909">
        <v>11.228655418202488</v>
      </c>
      <c r="EM227" s="910">
        <v>8967.4653927335894</v>
      </c>
      <c r="EN227" s="909">
        <v>1</v>
      </c>
      <c r="EO227" s="909">
        <v>4</v>
      </c>
      <c r="EP227" s="909">
        <v>13.649921185743894</v>
      </c>
      <c r="EQ227" s="910">
        <v>8019.0025780565838</v>
      </c>
      <c r="ER227" s="871">
        <v>4000</v>
      </c>
      <c r="ES227" s="911">
        <v>83.775804095727821</v>
      </c>
      <c r="ET227" s="908">
        <v>1.9523518026971369</v>
      </c>
      <c r="EU227" s="902">
        <v>10.283742318371045</v>
      </c>
      <c r="EV227" s="902">
        <v>0</v>
      </c>
      <c r="EW227" s="902">
        <v>0</v>
      </c>
      <c r="EX227" s="902">
        <v>39.812775107747392</v>
      </c>
      <c r="EY227" s="902">
        <v>0.19045543752339572</v>
      </c>
      <c r="EZ227" s="902">
        <v>2100</v>
      </c>
      <c r="FA227" s="909" t="s">
        <v>3889</v>
      </c>
      <c r="FB227" s="909">
        <v>2</v>
      </c>
      <c r="FC227" s="909">
        <v>0</v>
      </c>
      <c r="FD227" s="909">
        <v>0</v>
      </c>
      <c r="FE227" s="909">
        <v>0</v>
      </c>
      <c r="FF227" s="910">
        <v>3310.0536195803688</v>
      </c>
      <c r="FG227" s="909">
        <v>0</v>
      </c>
      <c r="FH227" s="909">
        <v>0</v>
      </c>
      <c r="FI227" s="909">
        <v>0</v>
      </c>
      <c r="FJ227" s="910">
        <v>3536.2105900022116</v>
      </c>
      <c r="FK227" s="871">
        <v>3310.0536195803688</v>
      </c>
      <c r="FL227" s="911">
        <v>69.325600895079944</v>
      </c>
      <c r="FM227" s="908">
        <v>1.9523518026971369</v>
      </c>
      <c r="FN227" s="902">
        <v>10.283742318371045</v>
      </c>
      <c r="FO227" s="902">
        <v>0</v>
      </c>
      <c r="FP227" s="902">
        <v>0</v>
      </c>
      <c r="FQ227" s="902">
        <v>39.812775107747392</v>
      </c>
      <c r="FR227" s="902">
        <v>0.19045543752339572</v>
      </c>
      <c r="FS227" s="902">
        <v>2625</v>
      </c>
      <c r="FT227" s="909" t="s">
        <v>2877</v>
      </c>
      <c r="FU227" s="909">
        <v>2</v>
      </c>
      <c r="FV227" s="909">
        <v>0</v>
      </c>
      <c r="FW227" s="909">
        <v>0</v>
      </c>
      <c r="FX227" s="909">
        <v>0</v>
      </c>
      <c r="FY227" s="910">
        <v>3894.9295378282891</v>
      </c>
      <c r="FZ227" s="909">
        <v>0</v>
      </c>
      <c r="GA227" s="909">
        <v>0</v>
      </c>
      <c r="GB227" s="909">
        <v>0</v>
      </c>
      <c r="GC227" s="910">
        <v>4161.0477236700854</v>
      </c>
      <c r="GD227" s="871">
        <v>3894.9295378282891</v>
      </c>
      <c r="GE227" s="911">
        <v>81.575213481941603</v>
      </c>
      <c r="GF227" s="908">
        <v>1.9523518026971369</v>
      </c>
      <c r="GG227" s="902">
        <v>10.283742318371045</v>
      </c>
      <c r="GH227" s="902">
        <v>0</v>
      </c>
      <c r="GI227" s="902">
        <v>0</v>
      </c>
      <c r="GJ227" s="902">
        <v>39.812775107747392</v>
      </c>
      <c r="GK227" s="902">
        <v>0.19045543752339572</v>
      </c>
      <c r="GL227" s="902">
        <v>2100</v>
      </c>
      <c r="GM227" s="909" t="s">
        <v>2877</v>
      </c>
      <c r="GN227" s="909">
        <v>2</v>
      </c>
      <c r="GO227" s="909">
        <v>0</v>
      </c>
      <c r="GP227" s="909">
        <v>0</v>
      </c>
      <c r="GQ227" s="909">
        <v>0</v>
      </c>
      <c r="GR227" s="910">
        <v>3894.9295378282891</v>
      </c>
      <c r="GS227" s="909">
        <v>0</v>
      </c>
      <c r="GT227" s="909">
        <v>0</v>
      </c>
      <c r="GU227" s="909">
        <v>0</v>
      </c>
      <c r="GV227" s="910">
        <v>4161.0477236700854</v>
      </c>
      <c r="GW227" s="871">
        <v>3894.9295378282891</v>
      </c>
      <c r="GX227" s="911">
        <v>81.575213481941603</v>
      </c>
      <c r="GY227" s="908">
        <v>1.9523518026971369</v>
      </c>
      <c r="GZ227" s="902">
        <v>10.283742318371045</v>
      </c>
      <c r="HA227" s="902">
        <v>0</v>
      </c>
      <c r="HB227" s="902">
        <v>0</v>
      </c>
      <c r="HC227" s="902">
        <v>39.812775107747392</v>
      </c>
      <c r="HD227" s="902">
        <v>0.19045543752339572</v>
      </c>
      <c r="HE227" s="902">
        <v>2625</v>
      </c>
      <c r="HF227" s="909" t="s">
        <v>2877</v>
      </c>
      <c r="HG227" s="909">
        <v>2</v>
      </c>
      <c r="HH227" s="909">
        <v>0</v>
      </c>
      <c r="HI227" s="909">
        <v>0</v>
      </c>
      <c r="HJ227" s="909">
        <v>0</v>
      </c>
      <c r="HK227" s="910">
        <v>3894.9295378282891</v>
      </c>
      <c r="HL227" s="909">
        <v>0</v>
      </c>
      <c r="HM227" s="909">
        <v>0</v>
      </c>
      <c r="HN227" s="909">
        <v>0</v>
      </c>
      <c r="HO227" s="910">
        <v>4161.0477236700854</v>
      </c>
      <c r="HP227" s="871">
        <v>3894.9295378282891</v>
      </c>
      <c r="HQ227" s="911">
        <v>81.575213481941603</v>
      </c>
      <c r="HR227" s="908">
        <v>1.9523518026971369</v>
      </c>
      <c r="HS227" s="902">
        <v>10.283742318371045</v>
      </c>
      <c r="HT227" s="902">
        <v>0</v>
      </c>
      <c r="HU227" s="902">
        <v>0</v>
      </c>
      <c r="HV227" s="902">
        <v>39.812775107747392</v>
      </c>
      <c r="HW227" s="902">
        <v>0.19045543752339572</v>
      </c>
      <c r="HX227" s="902">
        <v>2100</v>
      </c>
      <c r="HY227" s="909" t="s">
        <v>1063</v>
      </c>
      <c r="HZ227" s="909">
        <v>2</v>
      </c>
      <c r="IA227" s="909">
        <v>0</v>
      </c>
      <c r="IB227" s="909">
        <v>0</v>
      </c>
      <c r="IC227" s="909">
        <v>0</v>
      </c>
      <c r="ID227" s="910">
        <v>3435.0049770757741</v>
      </c>
      <c r="IE227" s="909">
        <v>0</v>
      </c>
      <c r="IF227" s="909">
        <v>0</v>
      </c>
      <c r="IG227" s="909">
        <v>0</v>
      </c>
      <c r="IH227" s="910">
        <v>3669.699156772444</v>
      </c>
      <c r="II227" s="871">
        <v>3435.0049770757741</v>
      </c>
      <c r="IJ227" s="911">
        <v>71.942576006837513</v>
      </c>
      <c r="IK227" s="908">
        <v>1.9523518026971369</v>
      </c>
      <c r="IL227" s="902">
        <v>10.283742318371045</v>
      </c>
      <c r="IM227" s="902">
        <v>0</v>
      </c>
      <c r="IN227" s="902">
        <v>0</v>
      </c>
      <c r="IO227" s="902">
        <v>39.812775107747392</v>
      </c>
      <c r="IP227" s="902">
        <v>0.19045543752339572</v>
      </c>
      <c r="IQ227" s="902">
        <v>2625</v>
      </c>
      <c r="IR227" s="909" t="s">
        <v>1063</v>
      </c>
      <c r="IS227" s="909">
        <v>2</v>
      </c>
      <c r="IT227" s="909">
        <v>0</v>
      </c>
      <c r="IU227" s="909">
        <v>0</v>
      </c>
      <c r="IV227" s="909">
        <v>0</v>
      </c>
      <c r="IW227" s="910">
        <v>3435.0049770757741</v>
      </c>
      <c r="IX227" s="909">
        <v>0</v>
      </c>
      <c r="IY227" s="909">
        <v>0</v>
      </c>
      <c r="IZ227" s="909">
        <v>0</v>
      </c>
      <c r="JA227" s="910">
        <v>3669.699156772444</v>
      </c>
      <c r="JB227" s="871">
        <v>3435.0049770757741</v>
      </c>
      <c r="JC227" s="911">
        <v>71.942576006837513</v>
      </c>
      <c r="JD227" s="908">
        <v>1.9523518026971369</v>
      </c>
      <c r="JE227" s="902">
        <v>10.283742318371045</v>
      </c>
      <c r="JF227" s="902">
        <v>0</v>
      </c>
      <c r="JG227" s="902">
        <v>0</v>
      </c>
      <c r="JH227" s="902">
        <v>39.812775107747392</v>
      </c>
      <c r="JI227" s="902">
        <v>0.19045543752339572</v>
      </c>
      <c r="JJ227" s="902">
        <v>2100</v>
      </c>
      <c r="JK227" s="909" t="s">
        <v>1064</v>
      </c>
      <c r="JL227" s="909">
        <v>2</v>
      </c>
      <c r="JM227" s="909">
        <v>0</v>
      </c>
      <c r="JN227" s="909">
        <v>0</v>
      </c>
      <c r="JO227" s="909">
        <v>0</v>
      </c>
      <c r="JP227" s="910">
        <v>4681.1227209863864</v>
      </c>
      <c r="JQ227" s="909">
        <v>0</v>
      </c>
      <c r="JR227" s="909">
        <v>0</v>
      </c>
      <c r="JS227" s="909">
        <v>0</v>
      </c>
      <c r="JT227" s="910">
        <v>5000.9569757817335</v>
      </c>
      <c r="JU227" s="871">
        <v>4000</v>
      </c>
      <c r="JV227" s="911">
        <v>83.775804095727821</v>
      </c>
      <c r="JW227" s="908">
        <v>1.9523518026971369</v>
      </c>
      <c r="JX227" s="902">
        <v>10.283742318371045</v>
      </c>
      <c r="JY227" s="902">
        <v>0</v>
      </c>
      <c r="JZ227" s="902">
        <v>0</v>
      </c>
      <c r="KA227" s="902">
        <v>39.812775107747392</v>
      </c>
      <c r="KB227" s="902">
        <v>0.19045543752339572</v>
      </c>
      <c r="KC227" s="902">
        <v>2625</v>
      </c>
      <c r="KD227" s="909" t="s">
        <v>1064</v>
      </c>
      <c r="KE227" s="909">
        <v>2</v>
      </c>
      <c r="KF227" s="909">
        <v>0</v>
      </c>
      <c r="KG227" s="909">
        <v>0</v>
      </c>
      <c r="KH227" s="909">
        <v>0</v>
      </c>
      <c r="KI227" s="910">
        <v>4681.1227209863864</v>
      </c>
      <c r="KJ227" s="909">
        <v>0</v>
      </c>
      <c r="KK227" s="909">
        <v>0</v>
      </c>
      <c r="KL227" s="909">
        <v>0</v>
      </c>
      <c r="KM227" s="910">
        <v>5000.9569757817335</v>
      </c>
      <c r="KN227" s="871">
        <v>4000</v>
      </c>
      <c r="KO227" s="912">
        <v>83.775804095727821</v>
      </c>
    </row>
    <row r="228" spans="1:301" ht="15" customHeight="1">
      <c r="A228" s="1047" t="s">
        <v>1656</v>
      </c>
      <c r="B228" s="888" t="s">
        <v>1073</v>
      </c>
      <c r="C228" s="888">
        <v>346.98</v>
      </c>
      <c r="D228" s="888">
        <v>465</v>
      </c>
      <c r="E228" s="888"/>
      <c r="F228" s="888"/>
      <c r="G228" s="888">
        <v>28</v>
      </c>
      <c r="H228" s="888">
        <v>130</v>
      </c>
      <c r="I228" s="888">
        <v>130</v>
      </c>
      <c r="J228" s="888">
        <v>131.16999999999999</v>
      </c>
      <c r="K228" s="888">
        <v>66.64</v>
      </c>
      <c r="L228" s="888">
        <v>18</v>
      </c>
      <c r="M228" s="888">
        <v>59.729963417751563</v>
      </c>
      <c r="N228" s="888">
        <v>2</v>
      </c>
      <c r="O228" s="884">
        <v>2.6662166707256283</v>
      </c>
      <c r="P228" s="888">
        <v>2</v>
      </c>
      <c r="Q228" s="884">
        <v>1.0234523467232148</v>
      </c>
      <c r="R228" s="888">
        <v>11</v>
      </c>
      <c r="S228" s="888">
        <v>365</v>
      </c>
      <c r="T228" s="906">
        <v>9.0352037820132729</v>
      </c>
      <c r="U228" s="906">
        <v>54.75</v>
      </c>
      <c r="V228" s="906">
        <v>10</v>
      </c>
      <c r="W228" s="1141">
        <v>0.13860823983770362</v>
      </c>
      <c r="X228" s="902">
        <v>0</v>
      </c>
      <c r="Y228" s="902">
        <v>0</v>
      </c>
      <c r="Z228" s="902">
        <v>0</v>
      </c>
      <c r="AA228" s="902">
        <v>0</v>
      </c>
      <c r="AB228" s="970">
        <v>1.0549598241040063</v>
      </c>
      <c r="AC228" s="1045">
        <v>4000</v>
      </c>
      <c r="AD228" s="890"/>
      <c r="AE228" s="890"/>
      <c r="AF228" s="890"/>
      <c r="AG228" s="890"/>
      <c r="AH228" s="888"/>
      <c r="AI228" s="907">
        <v>0.76971088742918115</v>
      </c>
      <c r="AJ228" s="908">
        <v>2.1943593960413574</v>
      </c>
      <c r="AK228" s="902">
        <v>15.057840435341177</v>
      </c>
      <c r="AL228" s="902">
        <v>0</v>
      </c>
      <c r="AM228" s="902">
        <v>0</v>
      </c>
      <c r="AN228" s="902">
        <v>35.904992127229612</v>
      </c>
      <c r="AO228" s="902">
        <v>0.35956608376813848</v>
      </c>
      <c r="AP228" s="1222">
        <v>1900</v>
      </c>
      <c r="AQ228" s="909" t="s">
        <v>1064</v>
      </c>
      <c r="AR228" s="909">
        <v>2</v>
      </c>
      <c r="AS228" s="909">
        <v>0</v>
      </c>
      <c r="AT228" s="909">
        <v>0</v>
      </c>
      <c r="AU228" s="909">
        <v>0</v>
      </c>
      <c r="AV228" s="910">
        <v>4223.9357544061659</v>
      </c>
      <c r="AW228" s="909">
        <v>0</v>
      </c>
      <c r="AX228" s="909">
        <v>0</v>
      </c>
      <c r="AY228" s="909">
        <v>0</v>
      </c>
      <c r="AZ228" s="910">
        <v>4701.4084956563556</v>
      </c>
      <c r="BA228" s="871">
        <v>4000</v>
      </c>
      <c r="BB228" s="911">
        <v>97.389372261283583</v>
      </c>
      <c r="BC228" s="908">
        <v>2.1943593960413574</v>
      </c>
      <c r="BD228" s="902">
        <v>15.057840435341177</v>
      </c>
      <c r="BE228" s="902">
        <v>0</v>
      </c>
      <c r="BF228" s="902">
        <v>0</v>
      </c>
      <c r="BG228" s="902">
        <v>35.904992127229612</v>
      </c>
      <c r="BH228" s="902">
        <v>0.35956608376813848</v>
      </c>
      <c r="BI228" s="902">
        <v>2375</v>
      </c>
      <c r="BJ228" s="909" t="s">
        <v>1064</v>
      </c>
      <c r="BK228" s="909">
        <v>2</v>
      </c>
      <c r="BL228" s="909">
        <v>0</v>
      </c>
      <c r="BM228" s="909">
        <v>0</v>
      </c>
      <c r="BN228" s="909">
        <v>0</v>
      </c>
      <c r="BO228" s="910">
        <v>4223.9357544061659</v>
      </c>
      <c r="BP228" s="909">
        <v>0</v>
      </c>
      <c r="BQ228" s="909">
        <v>0</v>
      </c>
      <c r="BR228" s="909">
        <v>0</v>
      </c>
      <c r="BS228" s="910">
        <v>4701.4084956563556</v>
      </c>
      <c r="BT228" s="871">
        <v>4000</v>
      </c>
      <c r="BU228" s="911">
        <v>97.389372261283583</v>
      </c>
      <c r="BV228" s="908">
        <v>3.2915390940620362</v>
      </c>
      <c r="BW228" s="902">
        <v>16.296962377107199</v>
      </c>
      <c r="BX228" s="902">
        <v>0.14194224374534323</v>
      </c>
      <c r="BY228" s="902">
        <v>0</v>
      </c>
      <c r="BZ228" s="902">
        <v>38.117199642763211</v>
      </c>
      <c r="CA228" s="902">
        <v>0.41029074015594569</v>
      </c>
      <c r="CB228" s="902">
        <v>1900</v>
      </c>
      <c r="CC228" s="909" t="s">
        <v>2874</v>
      </c>
      <c r="CD228" s="909">
        <v>3</v>
      </c>
      <c r="CE228" s="909">
        <v>1</v>
      </c>
      <c r="CF228" s="909">
        <v>3</v>
      </c>
      <c r="CG228" s="909">
        <v>11.240577257225461</v>
      </c>
      <c r="CH228" s="910">
        <v>6729.0622868837063</v>
      </c>
      <c r="CI228" s="909">
        <v>0</v>
      </c>
      <c r="CJ228" s="909">
        <v>0</v>
      </c>
      <c r="CK228" s="909">
        <v>0</v>
      </c>
      <c r="CL228" s="910">
        <v>3909.5100443465722</v>
      </c>
      <c r="CM228" s="871">
        <v>3909.5100443465722</v>
      </c>
      <c r="CN228" s="911">
        <v>95.186182267023909</v>
      </c>
      <c r="CO228" s="908">
        <v>3.2915390940620362</v>
      </c>
      <c r="CP228" s="902">
        <v>16.296962377107199</v>
      </c>
      <c r="CQ228" s="902">
        <v>0.14194224374534323</v>
      </c>
      <c r="CR228" s="902">
        <v>0</v>
      </c>
      <c r="CS228" s="902">
        <v>38.117199642763211</v>
      </c>
      <c r="CT228" s="902">
        <v>0.41029074015594569</v>
      </c>
      <c r="CU228" s="902">
        <v>2375</v>
      </c>
      <c r="CV228" s="909" t="s">
        <v>2874</v>
      </c>
      <c r="CW228" s="909">
        <v>3</v>
      </c>
      <c r="CX228" s="909">
        <v>1</v>
      </c>
      <c r="CY228" s="909">
        <v>3</v>
      </c>
      <c r="CZ228" s="909">
        <v>11.240577257225461</v>
      </c>
      <c r="DA228" s="910">
        <v>6729.0622868837063</v>
      </c>
      <c r="DB228" s="909">
        <v>0</v>
      </c>
      <c r="DC228" s="909">
        <v>0</v>
      </c>
      <c r="DD228" s="909">
        <v>0</v>
      </c>
      <c r="DE228" s="910">
        <v>3909.5100443465722</v>
      </c>
      <c r="DF228" s="871">
        <v>3909.5100443465722</v>
      </c>
      <c r="DG228" s="911">
        <v>95.186182267023909</v>
      </c>
      <c r="DH228" s="908">
        <v>2.1943593960413574</v>
      </c>
      <c r="DI228" s="902">
        <v>15.057840435341177</v>
      </c>
      <c r="DJ228" s="902">
        <v>0</v>
      </c>
      <c r="DK228" s="902">
        <v>0</v>
      </c>
      <c r="DL228" s="902">
        <v>35.904992127229612</v>
      </c>
      <c r="DM228" s="902">
        <v>0.35956608376813848</v>
      </c>
      <c r="DN228" s="902">
        <v>1900</v>
      </c>
      <c r="DO228" s="909" t="s">
        <v>2876</v>
      </c>
      <c r="DP228" s="909">
        <v>2</v>
      </c>
      <c r="DQ228" s="909">
        <v>0</v>
      </c>
      <c r="DR228" s="909">
        <v>0</v>
      </c>
      <c r="DS228" s="909">
        <v>0</v>
      </c>
      <c r="DT228" s="910">
        <v>2845.5854638727978</v>
      </c>
      <c r="DU228" s="909">
        <v>0</v>
      </c>
      <c r="DV228" s="909">
        <v>0</v>
      </c>
      <c r="DW228" s="909">
        <v>0</v>
      </c>
      <c r="DX228" s="910">
        <v>3167.2498003816409</v>
      </c>
      <c r="DY228" s="871">
        <v>2845.5854638727978</v>
      </c>
      <c r="DZ228" s="911">
        <v>69.282445510601306</v>
      </c>
      <c r="EA228" s="908">
        <v>2.1943593960413574</v>
      </c>
      <c r="EB228" s="902">
        <v>15.462241272479339</v>
      </c>
      <c r="EC228" s="902">
        <v>9.4628162496895471E-2</v>
      </c>
      <c r="ED228" s="902">
        <v>0.30977267464126629</v>
      </c>
      <c r="EE228" s="902">
        <v>36.665945557779921</v>
      </c>
      <c r="EF228" s="902">
        <v>0.37839173147294247</v>
      </c>
      <c r="EG228" s="902">
        <v>2375</v>
      </c>
      <c r="EH228" s="909" t="s">
        <v>2876</v>
      </c>
      <c r="EI228" s="909">
        <v>2</v>
      </c>
      <c r="EJ228" s="909">
        <v>1</v>
      </c>
      <c r="EK228" s="909">
        <v>2</v>
      </c>
      <c r="EL228" s="909">
        <v>11.240577257225461</v>
      </c>
      <c r="EM228" s="910">
        <v>7460.3625866766606</v>
      </c>
      <c r="EN228" s="909">
        <v>1</v>
      </c>
      <c r="EO228" s="909">
        <v>4</v>
      </c>
      <c r="EP228" s="909">
        <v>13.708499419934098</v>
      </c>
      <c r="EQ228" s="910">
        <v>6930.3665090606919</v>
      </c>
      <c r="ER228" s="871">
        <v>4000</v>
      </c>
      <c r="ES228" s="911">
        <v>97.389372261283583</v>
      </c>
      <c r="ET228" s="908">
        <v>2.1943593960413574</v>
      </c>
      <c r="EU228" s="902">
        <v>15.057840435341177</v>
      </c>
      <c r="EV228" s="902">
        <v>0</v>
      </c>
      <c r="EW228" s="902">
        <v>0</v>
      </c>
      <c r="EX228" s="902">
        <v>35.904992127229612</v>
      </c>
      <c r="EY228" s="902">
        <v>0.35956608376813848</v>
      </c>
      <c r="EZ228" s="902">
        <v>1900</v>
      </c>
      <c r="FA228" s="909" t="s">
        <v>3889</v>
      </c>
      <c r="FB228" s="909">
        <v>2</v>
      </c>
      <c r="FC228" s="909">
        <v>0</v>
      </c>
      <c r="FD228" s="909">
        <v>0</v>
      </c>
      <c r="FE228" s="909">
        <v>0</v>
      </c>
      <c r="FF228" s="910">
        <v>2986.773615240952</v>
      </c>
      <c r="FG228" s="909">
        <v>0</v>
      </c>
      <c r="FH228" s="909">
        <v>0</v>
      </c>
      <c r="FI228" s="909">
        <v>0</v>
      </c>
      <c r="FJ228" s="910">
        <v>3324.3978284111467</v>
      </c>
      <c r="FK228" s="871">
        <v>2986.773615240952</v>
      </c>
      <c r="FL228" s="911">
        <v>72.720001868720217</v>
      </c>
      <c r="FM228" s="908">
        <v>2.1943593960413574</v>
      </c>
      <c r="FN228" s="902">
        <v>15.057840435341177</v>
      </c>
      <c r="FO228" s="902">
        <v>0</v>
      </c>
      <c r="FP228" s="902">
        <v>0</v>
      </c>
      <c r="FQ228" s="902">
        <v>35.904992127229612</v>
      </c>
      <c r="FR228" s="902">
        <v>0.35956608376813848</v>
      </c>
      <c r="FS228" s="902">
        <v>2375</v>
      </c>
      <c r="FT228" s="909" t="s">
        <v>2877</v>
      </c>
      <c r="FU228" s="909">
        <v>2</v>
      </c>
      <c r="FV228" s="909">
        <v>0</v>
      </c>
      <c r="FW228" s="909">
        <v>0</v>
      </c>
      <c r="FX228" s="909">
        <v>0</v>
      </c>
      <c r="FY228" s="910">
        <v>3514.5269877177925</v>
      </c>
      <c r="FZ228" s="909">
        <v>0</v>
      </c>
      <c r="GA228" s="909">
        <v>0</v>
      </c>
      <c r="GB228" s="909">
        <v>0</v>
      </c>
      <c r="GC228" s="910">
        <v>3911.8083226133099</v>
      </c>
      <c r="GD228" s="871">
        <v>3514.5269877177925</v>
      </c>
      <c r="GE228" s="911">
        <v>85.569394282293928</v>
      </c>
      <c r="GF228" s="908">
        <v>2.1943593960413574</v>
      </c>
      <c r="GG228" s="902">
        <v>15.057840435341177</v>
      </c>
      <c r="GH228" s="902">
        <v>0</v>
      </c>
      <c r="GI228" s="902">
        <v>0</v>
      </c>
      <c r="GJ228" s="902">
        <v>35.904992127229612</v>
      </c>
      <c r="GK228" s="902">
        <v>0.35956608376813848</v>
      </c>
      <c r="GL228" s="902">
        <v>1900</v>
      </c>
      <c r="GM228" s="909" t="s">
        <v>2877</v>
      </c>
      <c r="GN228" s="909">
        <v>2</v>
      </c>
      <c r="GO228" s="909">
        <v>0</v>
      </c>
      <c r="GP228" s="909">
        <v>0</v>
      </c>
      <c r="GQ228" s="909">
        <v>0</v>
      </c>
      <c r="GR228" s="910">
        <v>3514.5269877177925</v>
      </c>
      <c r="GS228" s="909">
        <v>0</v>
      </c>
      <c r="GT228" s="909">
        <v>0</v>
      </c>
      <c r="GU228" s="909">
        <v>0</v>
      </c>
      <c r="GV228" s="910">
        <v>3911.8083226133099</v>
      </c>
      <c r="GW228" s="871">
        <v>3514.5269877177925</v>
      </c>
      <c r="GX228" s="911">
        <v>85.569394282293928</v>
      </c>
      <c r="GY228" s="908">
        <v>2.1943593960413574</v>
      </c>
      <c r="GZ228" s="902">
        <v>15.057840435341177</v>
      </c>
      <c r="HA228" s="902">
        <v>0</v>
      </c>
      <c r="HB228" s="902">
        <v>0</v>
      </c>
      <c r="HC228" s="902">
        <v>35.904992127229612</v>
      </c>
      <c r="HD228" s="902">
        <v>0.35956608376813848</v>
      </c>
      <c r="HE228" s="902">
        <v>2375</v>
      </c>
      <c r="HF228" s="909" t="s">
        <v>2877</v>
      </c>
      <c r="HG228" s="909">
        <v>2</v>
      </c>
      <c r="HH228" s="909">
        <v>0</v>
      </c>
      <c r="HI228" s="909">
        <v>0</v>
      </c>
      <c r="HJ228" s="909">
        <v>0</v>
      </c>
      <c r="HK228" s="910">
        <v>3514.5269877177925</v>
      </c>
      <c r="HL228" s="909">
        <v>0</v>
      </c>
      <c r="HM228" s="909">
        <v>0</v>
      </c>
      <c r="HN228" s="909">
        <v>0</v>
      </c>
      <c r="HO228" s="910">
        <v>3911.8083226133099</v>
      </c>
      <c r="HP228" s="871">
        <v>3514.5269877177925</v>
      </c>
      <c r="HQ228" s="911">
        <v>85.569394282293928</v>
      </c>
      <c r="HR228" s="908">
        <v>2.1943593960413574</v>
      </c>
      <c r="HS228" s="902">
        <v>15.057840435341177</v>
      </c>
      <c r="HT228" s="902">
        <v>0</v>
      </c>
      <c r="HU228" s="902">
        <v>0</v>
      </c>
      <c r="HV228" s="902">
        <v>35.904992127229612</v>
      </c>
      <c r="HW228" s="902">
        <v>0.35956608376813848</v>
      </c>
      <c r="HX228" s="902">
        <v>1900</v>
      </c>
      <c r="HY228" s="909" t="s">
        <v>1063</v>
      </c>
      <c r="HZ228" s="909">
        <v>2</v>
      </c>
      <c r="IA228" s="909">
        <v>0</v>
      </c>
      <c r="IB228" s="909">
        <v>0</v>
      </c>
      <c r="IC228" s="909">
        <v>0</v>
      </c>
      <c r="ID228" s="910">
        <v>3099.5214618462674</v>
      </c>
      <c r="IE228" s="909">
        <v>0</v>
      </c>
      <c r="IF228" s="909">
        <v>0</v>
      </c>
      <c r="IG228" s="909">
        <v>0</v>
      </c>
      <c r="IH228" s="910">
        <v>3449.890666067176</v>
      </c>
      <c r="II228" s="871">
        <v>3099.5214618462674</v>
      </c>
      <c r="IJ228" s="911">
        <v>75.465112369895991</v>
      </c>
      <c r="IK228" s="908">
        <v>2.1943593960413574</v>
      </c>
      <c r="IL228" s="902">
        <v>15.057840435341177</v>
      </c>
      <c r="IM228" s="902">
        <v>0</v>
      </c>
      <c r="IN228" s="902">
        <v>0</v>
      </c>
      <c r="IO228" s="902">
        <v>35.904992127229612</v>
      </c>
      <c r="IP228" s="902">
        <v>0.35956608376813848</v>
      </c>
      <c r="IQ228" s="902">
        <v>2375</v>
      </c>
      <c r="IR228" s="909" t="s">
        <v>1063</v>
      </c>
      <c r="IS228" s="909">
        <v>2</v>
      </c>
      <c r="IT228" s="909">
        <v>0</v>
      </c>
      <c r="IU228" s="909">
        <v>0</v>
      </c>
      <c r="IV228" s="909">
        <v>0</v>
      </c>
      <c r="IW228" s="910">
        <v>3099.5214618462674</v>
      </c>
      <c r="IX228" s="909">
        <v>0</v>
      </c>
      <c r="IY228" s="909">
        <v>0</v>
      </c>
      <c r="IZ228" s="909">
        <v>0</v>
      </c>
      <c r="JA228" s="910">
        <v>3449.890666067176</v>
      </c>
      <c r="JB228" s="871">
        <v>3099.5214618462674</v>
      </c>
      <c r="JC228" s="911">
        <v>75.465112369895991</v>
      </c>
      <c r="JD228" s="908">
        <v>2.1943593960413574</v>
      </c>
      <c r="JE228" s="902">
        <v>15.057840435341177</v>
      </c>
      <c r="JF228" s="902">
        <v>0</v>
      </c>
      <c r="JG228" s="902">
        <v>0</v>
      </c>
      <c r="JH228" s="902">
        <v>35.904992127229612</v>
      </c>
      <c r="JI228" s="902">
        <v>0.35956608376813848</v>
      </c>
      <c r="JJ228" s="902">
        <v>1900</v>
      </c>
      <c r="JK228" s="909" t="s">
        <v>1064</v>
      </c>
      <c r="JL228" s="909">
        <v>2</v>
      </c>
      <c r="JM228" s="909">
        <v>0</v>
      </c>
      <c r="JN228" s="909">
        <v>0</v>
      </c>
      <c r="JO228" s="909">
        <v>0</v>
      </c>
      <c r="JP228" s="910">
        <v>4223.9357544061659</v>
      </c>
      <c r="JQ228" s="909">
        <v>0</v>
      </c>
      <c r="JR228" s="909">
        <v>0</v>
      </c>
      <c r="JS228" s="909">
        <v>0</v>
      </c>
      <c r="JT228" s="910">
        <v>4701.4084956563556</v>
      </c>
      <c r="JU228" s="871">
        <v>4000</v>
      </c>
      <c r="JV228" s="911">
        <v>97.389372261283583</v>
      </c>
      <c r="JW228" s="908">
        <v>2.1943593960413574</v>
      </c>
      <c r="JX228" s="902">
        <v>15.057840435341177</v>
      </c>
      <c r="JY228" s="902">
        <v>0</v>
      </c>
      <c r="JZ228" s="902">
        <v>0</v>
      </c>
      <c r="KA228" s="902">
        <v>35.904992127229612</v>
      </c>
      <c r="KB228" s="902">
        <v>0.35956608376813848</v>
      </c>
      <c r="KC228" s="902">
        <v>2375</v>
      </c>
      <c r="KD228" s="909" t="s">
        <v>1064</v>
      </c>
      <c r="KE228" s="909">
        <v>2</v>
      </c>
      <c r="KF228" s="909">
        <v>0</v>
      </c>
      <c r="KG228" s="909">
        <v>0</v>
      </c>
      <c r="KH228" s="909">
        <v>0</v>
      </c>
      <c r="KI228" s="910">
        <v>4223.9357544061659</v>
      </c>
      <c r="KJ228" s="909">
        <v>0</v>
      </c>
      <c r="KK228" s="909">
        <v>0</v>
      </c>
      <c r="KL228" s="909">
        <v>0</v>
      </c>
      <c r="KM228" s="910">
        <v>4701.4084956563556</v>
      </c>
      <c r="KN228" s="871">
        <v>4000</v>
      </c>
      <c r="KO228" s="912">
        <v>97.389372261283583</v>
      </c>
    </row>
    <row r="229" spans="1:301" ht="15" customHeight="1">
      <c r="A229" s="1047" t="s">
        <v>1724</v>
      </c>
      <c r="B229" s="888" t="s">
        <v>1073</v>
      </c>
      <c r="C229" s="888">
        <v>346.98</v>
      </c>
      <c r="D229" s="888">
        <v>465</v>
      </c>
      <c r="E229" s="888"/>
      <c r="F229" s="888"/>
      <c r="G229" s="888">
        <v>28</v>
      </c>
      <c r="H229" s="888">
        <v>130</v>
      </c>
      <c r="I229" s="888">
        <v>130</v>
      </c>
      <c r="J229" s="888">
        <v>131.16999999999999</v>
      </c>
      <c r="K229" s="888">
        <v>66.64</v>
      </c>
      <c r="L229" s="888">
        <v>18</v>
      </c>
      <c r="M229" s="888">
        <v>59.729963417751563</v>
      </c>
      <c r="N229" s="888">
        <v>2</v>
      </c>
      <c r="O229" s="884">
        <v>2.6662166707256283</v>
      </c>
      <c r="P229" s="888">
        <v>2</v>
      </c>
      <c r="Q229" s="884">
        <v>1.0234523467232148</v>
      </c>
      <c r="R229" s="888">
        <v>11</v>
      </c>
      <c r="S229" s="888">
        <v>365</v>
      </c>
      <c r="T229" s="906">
        <v>9.0352037820132729</v>
      </c>
      <c r="U229" s="906">
        <v>54.75</v>
      </c>
      <c r="V229" s="906">
        <v>10</v>
      </c>
      <c r="W229" s="1141">
        <v>0.13860823983770362</v>
      </c>
      <c r="X229" s="902">
        <v>0</v>
      </c>
      <c r="Y229" s="902">
        <v>0</v>
      </c>
      <c r="Z229" s="902">
        <v>0</v>
      </c>
      <c r="AA229" s="902">
        <v>0</v>
      </c>
      <c r="AB229" s="970">
        <v>1.0549598241040063</v>
      </c>
      <c r="AC229" s="1045">
        <v>4000</v>
      </c>
      <c r="AD229" s="890"/>
      <c r="AE229" s="890"/>
      <c r="AF229" s="890"/>
      <c r="AG229" s="890"/>
      <c r="AH229" s="888"/>
      <c r="AI229" s="907">
        <v>0.76971088742918115</v>
      </c>
      <c r="AJ229" s="908">
        <v>2.1943593960413574</v>
      </c>
      <c r="AK229" s="902">
        <v>15.057840435341177</v>
      </c>
      <c r="AL229" s="902">
        <v>0</v>
      </c>
      <c r="AM229" s="902">
        <v>0</v>
      </c>
      <c r="AN229" s="902">
        <v>35.904992127229612</v>
      </c>
      <c r="AO229" s="902">
        <v>0.35956608376813848</v>
      </c>
      <c r="AP229" s="1222">
        <v>1900</v>
      </c>
      <c r="AQ229" s="909" t="s">
        <v>1064</v>
      </c>
      <c r="AR229" s="909">
        <v>2</v>
      </c>
      <c r="AS229" s="909">
        <v>0</v>
      </c>
      <c r="AT229" s="909">
        <v>0</v>
      </c>
      <c r="AU229" s="909">
        <v>0</v>
      </c>
      <c r="AV229" s="910">
        <v>4223.9357544061659</v>
      </c>
      <c r="AW229" s="909">
        <v>0</v>
      </c>
      <c r="AX229" s="909">
        <v>0</v>
      </c>
      <c r="AY229" s="909">
        <v>0</v>
      </c>
      <c r="AZ229" s="910">
        <v>4701.4084956563556</v>
      </c>
      <c r="BA229" s="871">
        <v>4000</v>
      </c>
      <c r="BB229" s="911">
        <v>97.389372261283583</v>
      </c>
      <c r="BC229" s="908">
        <v>2.1943593960413574</v>
      </c>
      <c r="BD229" s="902">
        <v>15.057840435341177</v>
      </c>
      <c r="BE229" s="902">
        <v>0</v>
      </c>
      <c r="BF229" s="902">
        <v>0</v>
      </c>
      <c r="BG229" s="902">
        <v>35.904992127229612</v>
      </c>
      <c r="BH229" s="902">
        <v>0.35956608376813848</v>
      </c>
      <c r="BI229" s="902">
        <v>2375</v>
      </c>
      <c r="BJ229" s="909" t="s">
        <v>1064</v>
      </c>
      <c r="BK229" s="909">
        <v>2</v>
      </c>
      <c r="BL229" s="909">
        <v>0</v>
      </c>
      <c r="BM229" s="909">
        <v>0</v>
      </c>
      <c r="BN229" s="909">
        <v>0</v>
      </c>
      <c r="BO229" s="910">
        <v>4223.9357544061659</v>
      </c>
      <c r="BP229" s="909">
        <v>0</v>
      </c>
      <c r="BQ229" s="909">
        <v>0</v>
      </c>
      <c r="BR229" s="909">
        <v>0</v>
      </c>
      <c r="BS229" s="910">
        <v>4701.4084956563556</v>
      </c>
      <c r="BT229" s="871">
        <v>4000</v>
      </c>
      <c r="BU229" s="911">
        <v>97.389372261283583</v>
      </c>
      <c r="BV229" s="908">
        <v>3.2915390940620362</v>
      </c>
      <c r="BW229" s="902">
        <v>16.296962377107199</v>
      </c>
      <c r="BX229" s="902">
        <v>0.14194224374534323</v>
      </c>
      <c r="BY229" s="902">
        <v>0</v>
      </c>
      <c r="BZ229" s="902">
        <v>38.117199642763211</v>
      </c>
      <c r="CA229" s="902">
        <v>0.41029074015594569</v>
      </c>
      <c r="CB229" s="902">
        <v>1900</v>
      </c>
      <c r="CC229" s="909" t="s">
        <v>2874</v>
      </c>
      <c r="CD229" s="909">
        <v>3</v>
      </c>
      <c r="CE229" s="909">
        <v>1</v>
      </c>
      <c r="CF229" s="909">
        <v>3</v>
      </c>
      <c r="CG229" s="909">
        <v>11.240577257225461</v>
      </c>
      <c r="CH229" s="910">
        <v>6729.0622868837063</v>
      </c>
      <c r="CI229" s="909">
        <v>0</v>
      </c>
      <c r="CJ229" s="909">
        <v>0</v>
      </c>
      <c r="CK229" s="909">
        <v>0</v>
      </c>
      <c r="CL229" s="910">
        <v>3909.5100443465722</v>
      </c>
      <c r="CM229" s="871">
        <v>3909.5100443465722</v>
      </c>
      <c r="CN229" s="911">
        <v>95.186182267023909</v>
      </c>
      <c r="CO229" s="908">
        <v>3.2915390940620362</v>
      </c>
      <c r="CP229" s="902">
        <v>16.296962377107199</v>
      </c>
      <c r="CQ229" s="902">
        <v>0.14194224374534323</v>
      </c>
      <c r="CR229" s="902">
        <v>0</v>
      </c>
      <c r="CS229" s="902">
        <v>38.117199642763211</v>
      </c>
      <c r="CT229" s="902">
        <v>0.41029074015594569</v>
      </c>
      <c r="CU229" s="902">
        <v>2375</v>
      </c>
      <c r="CV229" s="909" t="s">
        <v>2874</v>
      </c>
      <c r="CW229" s="909">
        <v>3</v>
      </c>
      <c r="CX229" s="909">
        <v>1</v>
      </c>
      <c r="CY229" s="909">
        <v>3</v>
      </c>
      <c r="CZ229" s="909">
        <v>11.240577257225461</v>
      </c>
      <c r="DA229" s="910">
        <v>6729.0622868837063</v>
      </c>
      <c r="DB229" s="909">
        <v>0</v>
      </c>
      <c r="DC229" s="909">
        <v>0</v>
      </c>
      <c r="DD229" s="909">
        <v>0</v>
      </c>
      <c r="DE229" s="910">
        <v>3909.5100443465722</v>
      </c>
      <c r="DF229" s="871">
        <v>3909.5100443465722</v>
      </c>
      <c r="DG229" s="911">
        <v>95.186182267023909</v>
      </c>
      <c r="DH229" s="908">
        <v>2.1943593960413574</v>
      </c>
      <c r="DI229" s="902">
        <v>15.057840435341177</v>
      </c>
      <c r="DJ229" s="902">
        <v>0</v>
      </c>
      <c r="DK229" s="902">
        <v>0</v>
      </c>
      <c r="DL229" s="902">
        <v>35.904992127229612</v>
      </c>
      <c r="DM229" s="902">
        <v>0.35956608376813848</v>
      </c>
      <c r="DN229" s="902">
        <v>1900</v>
      </c>
      <c r="DO229" s="909" t="s">
        <v>2876</v>
      </c>
      <c r="DP229" s="909">
        <v>2</v>
      </c>
      <c r="DQ229" s="909">
        <v>0</v>
      </c>
      <c r="DR229" s="909">
        <v>0</v>
      </c>
      <c r="DS229" s="909">
        <v>0</v>
      </c>
      <c r="DT229" s="910">
        <v>2845.5854638727978</v>
      </c>
      <c r="DU229" s="909">
        <v>0</v>
      </c>
      <c r="DV229" s="909">
        <v>0</v>
      </c>
      <c r="DW229" s="909">
        <v>0</v>
      </c>
      <c r="DX229" s="910">
        <v>3167.2498003816409</v>
      </c>
      <c r="DY229" s="871">
        <v>2845.5854638727978</v>
      </c>
      <c r="DZ229" s="911">
        <v>69.282445510601306</v>
      </c>
      <c r="EA229" s="908">
        <v>2.1943593960413574</v>
      </c>
      <c r="EB229" s="902">
        <v>15.462241272479339</v>
      </c>
      <c r="EC229" s="902">
        <v>9.4628162496895471E-2</v>
      </c>
      <c r="ED229" s="902">
        <v>0.30977267464126629</v>
      </c>
      <c r="EE229" s="902">
        <v>36.665945557779921</v>
      </c>
      <c r="EF229" s="902">
        <v>0.37839173147294247</v>
      </c>
      <c r="EG229" s="902">
        <v>2375</v>
      </c>
      <c r="EH229" s="909" t="s">
        <v>2876</v>
      </c>
      <c r="EI229" s="909">
        <v>2</v>
      </c>
      <c r="EJ229" s="909">
        <v>1</v>
      </c>
      <c r="EK229" s="909">
        <v>2</v>
      </c>
      <c r="EL229" s="909">
        <v>11.240577257225461</v>
      </c>
      <c r="EM229" s="910">
        <v>7460.3625866766606</v>
      </c>
      <c r="EN229" s="909">
        <v>1</v>
      </c>
      <c r="EO229" s="909">
        <v>4</v>
      </c>
      <c r="EP229" s="909">
        <v>13.708499419934098</v>
      </c>
      <c r="EQ229" s="910">
        <v>6930.3665090606919</v>
      </c>
      <c r="ER229" s="871">
        <v>4000</v>
      </c>
      <c r="ES229" s="911">
        <v>97.389372261283583</v>
      </c>
      <c r="ET229" s="908">
        <v>2.1943593960413574</v>
      </c>
      <c r="EU229" s="902">
        <v>15.057840435341177</v>
      </c>
      <c r="EV229" s="902">
        <v>0</v>
      </c>
      <c r="EW229" s="902">
        <v>0</v>
      </c>
      <c r="EX229" s="902">
        <v>35.904992127229612</v>
      </c>
      <c r="EY229" s="902">
        <v>0.35956608376813848</v>
      </c>
      <c r="EZ229" s="902">
        <v>1900</v>
      </c>
      <c r="FA229" s="909" t="s">
        <v>3889</v>
      </c>
      <c r="FB229" s="909">
        <v>2</v>
      </c>
      <c r="FC229" s="909">
        <v>0</v>
      </c>
      <c r="FD229" s="909">
        <v>0</v>
      </c>
      <c r="FE229" s="909">
        <v>0</v>
      </c>
      <c r="FF229" s="910">
        <v>2986.773615240952</v>
      </c>
      <c r="FG229" s="909">
        <v>0</v>
      </c>
      <c r="FH229" s="909">
        <v>0</v>
      </c>
      <c r="FI229" s="909">
        <v>0</v>
      </c>
      <c r="FJ229" s="910">
        <v>3324.3978284111467</v>
      </c>
      <c r="FK229" s="871">
        <v>2986.773615240952</v>
      </c>
      <c r="FL229" s="911">
        <v>72.720001868720217</v>
      </c>
      <c r="FM229" s="908">
        <v>2.1943593960413574</v>
      </c>
      <c r="FN229" s="902">
        <v>15.057840435341177</v>
      </c>
      <c r="FO229" s="902">
        <v>0</v>
      </c>
      <c r="FP229" s="902">
        <v>0</v>
      </c>
      <c r="FQ229" s="902">
        <v>35.904992127229612</v>
      </c>
      <c r="FR229" s="902">
        <v>0.35956608376813848</v>
      </c>
      <c r="FS229" s="902">
        <v>2375</v>
      </c>
      <c r="FT229" s="909" t="s">
        <v>2877</v>
      </c>
      <c r="FU229" s="909">
        <v>2</v>
      </c>
      <c r="FV229" s="909">
        <v>0</v>
      </c>
      <c r="FW229" s="909">
        <v>0</v>
      </c>
      <c r="FX229" s="909">
        <v>0</v>
      </c>
      <c r="FY229" s="910">
        <v>3514.5269877177925</v>
      </c>
      <c r="FZ229" s="909">
        <v>0</v>
      </c>
      <c r="GA229" s="909">
        <v>0</v>
      </c>
      <c r="GB229" s="909">
        <v>0</v>
      </c>
      <c r="GC229" s="910">
        <v>3911.8083226133099</v>
      </c>
      <c r="GD229" s="871">
        <v>3514.5269877177925</v>
      </c>
      <c r="GE229" s="911">
        <v>85.569394282293928</v>
      </c>
      <c r="GF229" s="908">
        <v>2.1943593960413574</v>
      </c>
      <c r="GG229" s="902">
        <v>15.057840435341177</v>
      </c>
      <c r="GH229" s="902">
        <v>0</v>
      </c>
      <c r="GI229" s="902">
        <v>0</v>
      </c>
      <c r="GJ229" s="902">
        <v>35.904992127229612</v>
      </c>
      <c r="GK229" s="902">
        <v>0.35956608376813848</v>
      </c>
      <c r="GL229" s="902">
        <v>1900</v>
      </c>
      <c r="GM229" s="909" t="s">
        <v>2877</v>
      </c>
      <c r="GN229" s="909">
        <v>2</v>
      </c>
      <c r="GO229" s="909">
        <v>0</v>
      </c>
      <c r="GP229" s="909">
        <v>0</v>
      </c>
      <c r="GQ229" s="909">
        <v>0</v>
      </c>
      <c r="GR229" s="910">
        <v>3514.5269877177925</v>
      </c>
      <c r="GS229" s="909">
        <v>0</v>
      </c>
      <c r="GT229" s="909">
        <v>0</v>
      </c>
      <c r="GU229" s="909">
        <v>0</v>
      </c>
      <c r="GV229" s="910">
        <v>3911.8083226133099</v>
      </c>
      <c r="GW229" s="871">
        <v>3514.5269877177925</v>
      </c>
      <c r="GX229" s="911">
        <v>85.569394282293928</v>
      </c>
      <c r="GY229" s="908">
        <v>2.1943593960413574</v>
      </c>
      <c r="GZ229" s="902">
        <v>15.057840435341177</v>
      </c>
      <c r="HA229" s="902">
        <v>0</v>
      </c>
      <c r="HB229" s="902">
        <v>0</v>
      </c>
      <c r="HC229" s="902">
        <v>35.904992127229612</v>
      </c>
      <c r="HD229" s="902">
        <v>0.35956608376813848</v>
      </c>
      <c r="HE229" s="902">
        <v>2375</v>
      </c>
      <c r="HF229" s="909" t="s">
        <v>2877</v>
      </c>
      <c r="HG229" s="909">
        <v>2</v>
      </c>
      <c r="HH229" s="909">
        <v>0</v>
      </c>
      <c r="HI229" s="909">
        <v>0</v>
      </c>
      <c r="HJ229" s="909">
        <v>0</v>
      </c>
      <c r="HK229" s="910">
        <v>3514.5269877177925</v>
      </c>
      <c r="HL229" s="909">
        <v>0</v>
      </c>
      <c r="HM229" s="909">
        <v>0</v>
      </c>
      <c r="HN229" s="909">
        <v>0</v>
      </c>
      <c r="HO229" s="910">
        <v>3911.8083226133099</v>
      </c>
      <c r="HP229" s="871">
        <v>3514.5269877177925</v>
      </c>
      <c r="HQ229" s="911">
        <v>85.569394282293928</v>
      </c>
      <c r="HR229" s="908">
        <v>2.1943593960413574</v>
      </c>
      <c r="HS229" s="902">
        <v>15.057840435341177</v>
      </c>
      <c r="HT229" s="902">
        <v>0</v>
      </c>
      <c r="HU229" s="902">
        <v>0</v>
      </c>
      <c r="HV229" s="902">
        <v>35.904992127229612</v>
      </c>
      <c r="HW229" s="902">
        <v>0.35956608376813848</v>
      </c>
      <c r="HX229" s="902">
        <v>1900</v>
      </c>
      <c r="HY229" s="909" t="s">
        <v>1063</v>
      </c>
      <c r="HZ229" s="909">
        <v>2</v>
      </c>
      <c r="IA229" s="909">
        <v>0</v>
      </c>
      <c r="IB229" s="909">
        <v>0</v>
      </c>
      <c r="IC229" s="909">
        <v>0</v>
      </c>
      <c r="ID229" s="910">
        <v>3099.5214618462674</v>
      </c>
      <c r="IE229" s="909">
        <v>0</v>
      </c>
      <c r="IF229" s="909">
        <v>0</v>
      </c>
      <c r="IG229" s="909">
        <v>0</v>
      </c>
      <c r="IH229" s="910">
        <v>3449.890666067176</v>
      </c>
      <c r="II229" s="871">
        <v>3099.5214618462674</v>
      </c>
      <c r="IJ229" s="911">
        <v>75.465112369895991</v>
      </c>
      <c r="IK229" s="908">
        <v>2.1943593960413574</v>
      </c>
      <c r="IL229" s="902">
        <v>15.057840435341177</v>
      </c>
      <c r="IM229" s="902">
        <v>0</v>
      </c>
      <c r="IN229" s="902">
        <v>0</v>
      </c>
      <c r="IO229" s="902">
        <v>35.904992127229612</v>
      </c>
      <c r="IP229" s="902">
        <v>0.35956608376813848</v>
      </c>
      <c r="IQ229" s="902">
        <v>2375</v>
      </c>
      <c r="IR229" s="909" t="s">
        <v>1063</v>
      </c>
      <c r="IS229" s="909">
        <v>2</v>
      </c>
      <c r="IT229" s="909">
        <v>0</v>
      </c>
      <c r="IU229" s="909">
        <v>0</v>
      </c>
      <c r="IV229" s="909">
        <v>0</v>
      </c>
      <c r="IW229" s="910">
        <v>3099.5214618462674</v>
      </c>
      <c r="IX229" s="909">
        <v>0</v>
      </c>
      <c r="IY229" s="909">
        <v>0</v>
      </c>
      <c r="IZ229" s="909">
        <v>0</v>
      </c>
      <c r="JA229" s="910">
        <v>3449.890666067176</v>
      </c>
      <c r="JB229" s="871">
        <v>3099.5214618462674</v>
      </c>
      <c r="JC229" s="911">
        <v>75.465112369895991</v>
      </c>
      <c r="JD229" s="908">
        <v>2.1943593960413574</v>
      </c>
      <c r="JE229" s="902">
        <v>15.057840435341177</v>
      </c>
      <c r="JF229" s="902">
        <v>0</v>
      </c>
      <c r="JG229" s="902">
        <v>0</v>
      </c>
      <c r="JH229" s="902">
        <v>35.904992127229612</v>
      </c>
      <c r="JI229" s="902">
        <v>0.35956608376813848</v>
      </c>
      <c r="JJ229" s="902">
        <v>1900</v>
      </c>
      <c r="JK229" s="909" t="s">
        <v>1064</v>
      </c>
      <c r="JL229" s="909">
        <v>2</v>
      </c>
      <c r="JM229" s="909">
        <v>0</v>
      </c>
      <c r="JN229" s="909">
        <v>0</v>
      </c>
      <c r="JO229" s="909">
        <v>0</v>
      </c>
      <c r="JP229" s="910">
        <v>4223.9357544061659</v>
      </c>
      <c r="JQ229" s="909">
        <v>0</v>
      </c>
      <c r="JR229" s="909">
        <v>0</v>
      </c>
      <c r="JS229" s="909">
        <v>0</v>
      </c>
      <c r="JT229" s="910">
        <v>4701.4084956563556</v>
      </c>
      <c r="JU229" s="871">
        <v>4000</v>
      </c>
      <c r="JV229" s="911">
        <v>97.389372261283583</v>
      </c>
      <c r="JW229" s="908">
        <v>2.1943593960413574</v>
      </c>
      <c r="JX229" s="902">
        <v>15.057840435341177</v>
      </c>
      <c r="JY229" s="902">
        <v>0</v>
      </c>
      <c r="JZ229" s="902">
        <v>0</v>
      </c>
      <c r="KA229" s="902">
        <v>35.904992127229612</v>
      </c>
      <c r="KB229" s="902">
        <v>0.35956608376813848</v>
      </c>
      <c r="KC229" s="902">
        <v>2375</v>
      </c>
      <c r="KD229" s="909" t="s">
        <v>1064</v>
      </c>
      <c r="KE229" s="909">
        <v>2</v>
      </c>
      <c r="KF229" s="909">
        <v>0</v>
      </c>
      <c r="KG229" s="909">
        <v>0</v>
      </c>
      <c r="KH229" s="909">
        <v>0</v>
      </c>
      <c r="KI229" s="910">
        <v>4223.9357544061659</v>
      </c>
      <c r="KJ229" s="909">
        <v>0</v>
      </c>
      <c r="KK229" s="909">
        <v>0</v>
      </c>
      <c r="KL229" s="909">
        <v>0</v>
      </c>
      <c r="KM229" s="910">
        <v>4701.4084956563556</v>
      </c>
      <c r="KN229" s="871">
        <v>4000</v>
      </c>
      <c r="KO229" s="912">
        <v>97.389372261283583</v>
      </c>
    </row>
    <row r="230" spans="1:301" ht="15" customHeight="1">
      <c r="A230" s="1047" t="s">
        <v>1657</v>
      </c>
      <c r="B230" s="888" t="s">
        <v>1076</v>
      </c>
      <c r="C230" s="888">
        <v>397.1</v>
      </c>
      <c r="D230" s="888">
        <v>515</v>
      </c>
      <c r="E230" s="888"/>
      <c r="F230" s="888"/>
      <c r="G230" s="888">
        <v>28</v>
      </c>
      <c r="H230" s="888">
        <v>130</v>
      </c>
      <c r="I230" s="888">
        <v>130</v>
      </c>
      <c r="J230" s="888">
        <v>131.09</v>
      </c>
      <c r="K230" s="888">
        <v>67.040000000000006</v>
      </c>
      <c r="L230" s="888">
        <v>18</v>
      </c>
      <c r="M230" s="888">
        <v>59.695583766186616</v>
      </c>
      <c r="N230" s="888">
        <v>2</v>
      </c>
      <c r="O230" s="884">
        <v>3.2704234778272854</v>
      </c>
      <c r="P230" s="888">
        <v>2</v>
      </c>
      <c r="Q230" s="884">
        <v>1.1467598583766143</v>
      </c>
      <c r="R230" s="888">
        <v>11</v>
      </c>
      <c r="S230" s="888">
        <v>415</v>
      </c>
      <c r="T230" s="906">
        <v>11.68014990697869</v>
      </c>
      <c r="U230" s="906">
        <v>62.25</v>
      </c>
      <c r="V230" s="906">
        <v>10</v>
      </c>
      <c r="W230" s="1141">
        <v>0.17918411789115035</v>
      </c>
      <c r="X230" s="902">
        <v>0</v>
      </c>
      <c r="Y230" s="902">
        <v>0</v>
      </c>
      <c r="Z230" s="902">
        <v>0</v>
      </c>
      <c r="AA230" s="902">
        <v>0</v>
      </c>
      <c r="AB230" s="970">
        <v>1.1719783337121883</v>
      </c>
      <c r="AC230" s="1045">
        <v>4000</v>
      </c>
      <c r="AD230" s="890"/>
      <c r="AE230" s="890"/>
      <c r="AF230" s="890"/>
      <c r="AG230" s="890"/>
      <c r="AH230" s="888"/>
      <c r="AI230" s="907">
        <v>0.86490786836797862</v>
      </c>
      <c r="AJ230" s="908">
        <v>2.1930963564021644</v>
      </c>
      <c r="AK230" s="902">
        <v>18.469613717475905</v>
      </c>
      <c r="AL230" s="902">
        <v>0</v>
      </c>
      <c r="AM230" s="902">
        <v>0</v>
      </c>
      <c r="AN230" s="902">
        <v>34.326100692621587</v>
      </c>
      <c r="AO230" s="902">
        <v>0.53851898040345147</v>
      </c>
      <c r="AP230" s="1222">
        <v>1800</v>
      </c>
      <c r="AQ230" s="909" t="s">
        <v>1064</v>
      </c>
      <c r="AR230" s="909">
        <v>2</v>
      </c>
      <c r="AS230" s="909">
        <v>0</v>
      </c>
      <c r="AT230" s="909">
        <v>0</v>
      </c>
      <c r="AU230" s="909">
        <v>0</v>
      </c>
      <c r="AV230" s="910">
        <v>3951.5435573027785</v>
      </c>
      <c r="AW230" s="909">
        <v>0</v>
      </c>
      <c r="AX230" s="909">
        <v>0</v>
      </c>
      <c r="AY230" s="909">
        <v>0</v>
      </c>
      <c r="AZ230" s="910">
        <v>4503.9629082024776</v>
      </c>
      <c r="BA230" s="871">
        <v>3951.5435573027785</v>
      </c>
      <c r="BB230" s="911">
        <v>106.55470346884469</v>
      </c>
      <c r="BC230" s="908">
        <v>2.1930963564021644</v>
      </c>
      <c r="BD230" s="902">
        <v>18.469613717475905</v>
      </c>
      <c r="BE230" s="902">
        <v>0</v>
      </c>
      <c r="BF230" s="902">
        <v>0</v>
      </c>
      <c r="BG230" s="902">
        <v>34.326100692621587</v>
      </c>
      <c r="BH230" s="902">
        <v>0.53851898040345147</v>
      </c>
      <c r="BI230" s="902">
        <v>2250</v>
      </c>
      <c r="BJ230" s="909" t="s">
        <v>1064</v>
      </c>
      <c r="BK230" s="909">
        <v>2</v>
      </c>
      <c r="BL230" s="909">
        <v>0</v>
      </c>
      <c r="BM230" s="909">
        <v>0</v>
      </c>
      <c r="BN230" s="909">
        <v>0</v>
      </c>
      <c r="BO230" s="910">
        <v>3951.5435573027785</v>
      </c>
      <c r="BP230" s="909">
        <v>0</v>
      </c>
      <c r="BQ230" s="909">
        <v>0</v>
      </c>
      <c r="BR230" s="909">
        <v>0</v>
      </c>
      <c r="BS230" s="910">
        <v>4503.9629082024776</v>
      </c>
      <c r="BT230" s="871">
        <v>3951.5435573027785</v>
      </c>
      <c r="BU230" s="911">
        <v>106.55470346884469</v>
      </c>
      <c r="BV230" s="908">
        <v>3.2896445346032466</v>
      </c>
      <c r="BW230" s="902">
        <v>19.729048042703877</v>
      </c>
      <c r="BX230" s="902">
        <v>0.16288614702688883</v>
      </c>
      <c r="BY230" s="902">
        <v>0</v>
      </c>
      <c r="BZ230" s="902">
        <v>36.284216542543987</v>
      </c>
      <c r="CA230" s="902">
        <v>0.60328248062460543</v>
      </c>
      <c r="CB230" s="902">
        <v>1800</v>
      </c>
      <c r="CC230" s="909" t="s">
        <v>2874</v>
      </c>
      <c r="CD230" s="909">
        <v>3</v>
      </c>
      <c r="CE230" s="909">
        <v>1</v>
      </c>
      <c r="CF230" s="909">
        <v>3</v>
      </c>
      <c r="CG230" s="909">
        <v>11.247813753446485</v>
      </c>
      <c r="CH230" s="910">
        <v>6080.8891684183309</v>
      </c>
      <c r="CI230" s="909">
        <v>0</v>
      </c>
      <c r="CJ230" s="909">
        <v>0</v>
      </c>
      <c r="CK230" s="909">
        <v>0</v>
      </c>
      <c r="CL230" s="910">
        <v>3745.3219062436979</v>
      </c>
      <c r="CM230" s="871">
        <v>3745.3219062436979</v>
      </c>
      <c r="CN230" s="911">
        <v>100.99386716303039</v>
      </c>
      <c r="CO230" s="908">
        <v>3.2896445346032466</v>
      </c>
      <c r="CP230" s="902">
        <v>19.729048042703877</v>
      </c>
      <c r="CQ230" s="902">
        <v>0.16288614702688883</v>
      </c>
      <c r="CR230" s="902">
        <v>0</v>
      </c>
      <c r="CS230" s="902">
        <v>36.284216542543987</v>
      </c>
      <c r="CT230" s="902">
        <v>0.60328248062460543</v>
      </c>
      <c r="CU230" s="902">
        <v>2250</v>
      </c>
      <c r="CV230" s="909" t="s">
        <v>2874</v>
      </c>
      <c r="CW230" s="909">
        <v>3</v>
      </c>
      <c r="CX230" s="909">
        <v>1</v>
      </c>
      <c r="CY230" s="909">
        <v>3</v>
      </c>
      <c r="CZ230" s="909">
        <v>11.247813753446485</v>
      </c>
      <c r="DA230" s="910">
        <v>6080.8891684183309</v>
      </c>
      <c r="DB230" s="909">
        <v>0</v>
      </c>
      <c r="DC230" s="909">
        <v>0</v>
      </c>
      <c r="DD230" s="909">
        <v>0</v>
      </c>
      <c r="DE230" s="910">
        <v>3745.3219062436979</v>
      </c>
      <c r="DF230" s="871">
        <v>3745.3219062436979</v>
      </c>
      <c r="DG230" s="911">
        <v>100.99386716303039</v>
      </c>
      <c r="DH230" s="908">
        <v>2.1930963564021644</v>
      </c>
      <c r="DI230" s="902">
        <v>18.469613717475905</v>
      </c>
      <c r="DJ230" s="902">
        <v>0</v>
      </c>
      <c r="DK230" s="902">
        <v>0</v>
      </c>
      <c r="DL230" s="902">
        <v>34.326100692621587</v>
      </c>
      <c r="DM230" s="902">
        <v>0.53851898040345147</v>
      </c>
      <c r="DN230" s="902">
        <v>1800</v>
      </c>
      <c r="DO230" s="909" t="s">
        <v>2876</v>
      </c>
      <c r="DP230" s="909">
        <v>2</v>
      </c>
      <c r="DQ230" s="909">
        <v>0</v>
      </c>
      <c r="DR230" s="909">
        <v>0</v>
      </c>
      <c r="DS230" s="909">
        <v>0</v>
      </c>
      <c r="DT230" s="910">
        <v>2662.0800031798371</v>
      </c>
      <c r="DU230" s="909">
        <v>0</v>
      </c>
      <c r="DV230" s="909">
        <v>0</v>
      </c>
      <c r="DW230" s="909">
        <v>0</v>
      </c>
      <c r="DX230" s="910">
        <v>3034.2344501887555</v>
      </c>
      <c r="DY230" s="871">
        <v>2662.0800031798371</v>
      </c>
      <c r="DZ230" s="911">
        <v>71.783884255798441</v>
      </c>
      <c r="EA230" s="908">
        <v>2.1930963564021644</v>
      </c>
      <c r="EB230" s="902">
        <v>19.094801400647103</v>
      </c>
      <c r="EC230" s="902">
        <v>0.10859076468459256</v>
      </c>
      <c r="ED230" s="902">
        <v>0.51659691848660649</v>
      </c>
      <c r="EE230" s="902">
        <v>35.330402525326519</v>
      </c>
      <c r="EF230" s="902">
        <v>0.57552365893912427</v>
      </c>
      <c r="EG230" s="902">
        <v>2250</v>
      </c>
      <c r="EH230" s="909" t="s">
        <v>2876</v>
      </c>
      <c r="EI230" s="909">
        <v>2</v>
      </c>
      <c r="EJ230" s="909">
        <v>1</v>
      </c>
      <c r="EK230" s="909">
        <v>2</v>
      </c>
      <c r="EL230" s="909">
        <v>11.247813753446485</v>
      </c>
      <c r="EM230" s="910">
        <v>6741.7473804964166</v>
      </c>
      <c r="EN230" s="909">
        <v>1</v>
      </c>
      <c r="EO230" s="909">
        <v>6</v>
      </c>
      <c r="EP230" s="909">
        <v>13.741586265540548</v>
      </c>
      <c r="EQ230" s="910">
        <v>6584.6998282673585</v>
      </c>
      <c r="ER230" s="871">
        <v>4000</v>
      </c>
      <c r="ES230" s="911">
        <v>107.86134777324956</v>
      </c>
      <c r="ET230" s="908">
        <v>2.1930963564021644</v>
      </c>
      <c r="EU230" s="902">
        <v>18.469613717475905</v>
      </c>
      <c r="EV230" s="902">
        <v>0</v>
      </c>
      <c r="EW230" s="902">
        <v>0</v>
      </c>
      <c r="EX230" s="902">
        <v>34.326100692621587</v>
      </c>
      <c r="EY230" s="902">
        <v>0.53851898040345147</v>
      </c>
      <c r="EZ230" s="902">
        <v>1800</v>
      </c>
      <c r="FA230" s="909" t="s">
        <v>3889</v>
      </c>
      <c r="FB230" s="909">
        <v>2</v>
      </c>
      <c r="FC230" s="909">
        <v>0</v>
      </c>
      <c r="FD230" s="909">
        <v>0</v>
      </c>
      <c r="FE230" s="909">
        <v>0</v>
      </c>
      <c r="FF230" s="910">
        <v>2794.1632455265831</v>
      </c>
      <c r="FG230" s="909">
        <v>0</v>
      </c>
      <c r="FH230" s="909">
        <v>0</v>
      </c>
      <c r="FI230" s="909">
        <v>0</v>
      </c>
      <c r="FJ230" s="910">
        <v>3184.7827146069585</v>
      </c>
      <c r="FK230" s="871">
        <v>2794.1632455265831</v>
      </c>
      <c r="FL230" s="911">
        <v>75.345553390243623</v>
      </c>
      <c r="FM230" s="908">
        <v>2.1930963564021644</v>
      </c>
      <c r="FN230" s="902">
        <v>18.578204482160498</v>
      </c>
      <c r="FO230" s="902">
        <v>0.10859076468459256</v>
      </c>
      <c r="FP230" s="902">
        <v>0</v>
      </c>
      <c r="FQ230" s="902">
        <v>34.505391548465319</v>
      </c>
      <c r="FR230" s="902">
        <v>0.54304923644486192</v>
      </c>
      <c r="FS230" s="902">
        <v>2250</v>
      </c>
      <c r="FT230" s="909" t="s">
        <v>2877</v>
      </c>
      <c r="FU230" s="909">
        <v>2</v>
      </c>
      <c r="FV230" s="909">
        <v>1</v>
      </c>
      <c r="FW230" s="909">
        <v>2</v>
      </c>
      <c r="FX230" s="909">
        <v>11.247813753446485</v>
      </c>
      <c r="FY230" s="910">
        <v>8326.600418078875</v>
      </c>
      <c r="FZ230" s="909">
        <v>0</v>
      </c>
      <c r="GA230" s="909">
        <v>0</v>
      </c>
      <c r="GB230" s="909">
        <v>0</v>
      </c>
      <c r="GC230" s="910">
        <v>3747.5236634566018</v>
      </c>
      <c r="GD230" s="871">
        <v>3747.5236634566018</v>
      </c>
      <c r="GE230" s="911">
        <v>101.05323828814372</v>
      </c>
      <c r="GF230" s="908">
        <v>2.1930963564021644</v>
      </c>
      <c r="GG230" s="902">
        <v>18.469613717475905</v>
      </c>
      <c r="GH230" s="902">
        <v>0</v>
      </c>
      <c r="GI230" s="902">
        <v>0</v>
      </c>
      <c r="GJ230" s="902">
        <v>34.326100692621587</v>
      </c>
      <c r="GK230" s="902">
        <v>0.53851898040345147</v>
      </c>
      <c r="GL230" s="902">
        <v>1800</v>
      </c>
      <c r="GM230" s="909" t="s">
        <v>2877</v>
      </c>
      <c r="GN230" s="909">
        <v>2</v>
      </c>
      <c r="GO230" s="909">
        <v>0</v>
      </c>
      <c r="GP230" s="909">
        <v>0</v>
      </c>
      <c r="GQ230" s="909">
        <v>0</v>
      </c>
      <c r="GR230" s="910">
        <v>3287.8829799425866</v>
      </c>
      <c r="GS230" s="909">
        <v>0</v>
      </c>
      <c r="GT230" s="909">
        <v>0</v>
      </c>
      <c r="GU230" s="909">
        <v>0</v>
      </c>
      <c r="GV230" s="910">
        <v>3747.5236634566018</v>
      </c>
      <c r="GW230" s="871">
        <v>3287.8829799425866</v>
      </c>
      <c r="GX230" s="911">
        <v>88.658872384333876</v>
      </c>
      <c r="GY230" s="908">
        <v>2.1930963564021644</v>
      </c>
      <c r="GZ230" s="902">
        <v>18.578204482160498</v>
      </c>
      <c r="HA230" s="902">
        <v>0.10859076468459256</v>
      </c>
      <c r="HB230" s="902">
        <v>0</v>
      </c>
      <c r="HC230" s="902">
        <v>34.505391548465319</v>
      </c>
      <c r="HD230" s="902">
        <v>0.54304923644486192</v>
      </c>
      <c r="HE230" s="902">
        <v>2250</v>
      </c>
      <c r="HF230" s="909" t="s">
        <v>2877</v>
      </c>
      <c r="HG230" s="909">
        <v>2</v>
      </c>
      <c r="HH230" s="909">
        <v>1</v>
      </c>
      <c r="HI230" s="909">
        <v>2</v>
      </c>
      <c r="HJ230" s="909">
        <v>11.247813753446485</v>
      </c>
      <c r="HK230" s="910">
        <v>8326.600418078875</v>
      </c>
      <c r="HL230" s="909">
        <v>0</v>
      </c>
      <c r="HM230" s="909">
        <v>0</v>
      </c>
      <c r="HN230" s="909">
        <v>0</v>
      </c>
      <c r="HO230" s="910">
        <v>3747.5236634566018</v>
      </c>
      <c r="HP230" s="871">
        <v>3747.5236634566018</v>
      </c>
      <c r="HQ230" s="911">
        <v>101.05323828814372</v>
      </c>
      <c r="HR230" s="908">
        <v>2.1930963564021644</v>
      </c>
      <c r="HS230" s="902">
        <v>18.469613717475905</v>
      </c>
      <c r="HT230" s="902">
        <v>0</v>
      </c>
      <c r="HU230" s="902">
        <v>0</v>
      </c>
      <c r="HV230" s="902">
        <v>34.326100692621587</v>
      </c>
      <c r="HW230" s="902">
        <v>0.53851898040345147</v>
      </c>
      <c r="HX230" s="902">
        <v>1800</v>
      </c>
      <c r="HY230" s="909" t="s">
        <v>1063</v>
      </c>
      <c r="HZ230" s="909">
        <v>2</v>
      </c>
      <c r="IA230" s="909">
        <v>0</v>
      </c>
      <c r="IB230" s="909">
        <v>0</v>
      </c>
      <c r="IC230" s="909">
        <v>0</v>
      </c>
      <c r="ID230" s="910">
        <v>2899.6402349406026</v>
      </c>
      <c r="IE230" s="909">
        <v>0</v>
      </c>
      <c r="IF230" s="909">
        <v>0</v>
      </c>
      <c r="IG230" s="909">
        <v>0</v>
      </c>
      <c r="IH230" s="910">
        <v>3305.0052152830926</v>
      </c>
      <c r="II230" s="871">
        <v>2899.6402349406026</v>
      </c>
      <c r="IJ230" s="911">
        <v>78.189775949558864</v>
      </c>
      <c r="IK230" s="908">
        <v>2.1930963564021644</v>
      </c>
      <c r="IL230" s="902">
        <v>18.469613717475905</v>
      </c>
      <c r="IM230" s="902">
        <v>0</v>
      </c>
      <c r="IN230" s="902">
        <v>0</v>
      </c>
      <c r="IO230" s="902">
        <v>34.326100692621587</v>
      </c>
      <c r="IP230" s="902">
        <v>0.53851898040345147</v>
      </c>
      <c r="IQ230" s="902">
        <v>2250</v>
      </c>
      <c r="IR230" s="909" t="s">
        <v>1063</v>
      </c>
      <c r="IS230" s="909">
        <v>2</v>
      </c>
      <c r="IT230" s="909">
        <v>0</v>
      </c>
      <c r="IU230" s="909">
        <v>0</v>
      </c>
      <c r="IV230" s="909">
        <v>0</v>
      </c>
      <c r="IW230" s="910">
        <v>2899.6402349406026</v>
      </c>
      <c r="IX230" s="909">
        <v>0</v>
      </c>
      <c r="IY230" s="909">
        <v>0</v>
      </c>
      <c r="IZ230" s="909">
        <v>0</v>
      </c>
      <c r="JA230" s="910">
        <v>3305.0052152830926</v>
      </c>
      <c r="JB230" s="871">
        <v>2899.6402349406026</v>
      </c>
      <c r="JC230" s="911">
        <v>78.189775949558864</v>
      </c>
      <c r="JD230" s="908">
        <v>2.1930963564021644</v>
      </c>
      <c r="JE230" s="902">
        <v>18.469613717475905</v>
      </c>
      <c r="JF230" s="902">
        <v>0</v>
      </c>
      <c r="JG230" s="902">
        <v>0</v>
      </c>
      <c r="JH230" s="902">
        <v>34.326100692621587</v>
      </c>
      <c r="JI230" s="902">
        <v>0.53851898040345147</v>
      </c>
      <c r="JJ230" s="902">
        <v>1800</v>
      </c>
      <c r="JK230" s="909" t="s">
        <v>1064</v>
      </c>
      <c r="JL230" s="909">
        <v>2</v>
      </c>
      <c r="JM230" s="909">
        <v>0</v>
      </c>
      <c r="JN230" s="909">
        <v>0</v>
      </c>
      <c r="JO230" s="909">
        <v>0</v>
      </c>
      <c r="JP230" s="910">
        <v>3951.5435573027785</v>
      </c>
      <c r="JQ230" s="909">
        <v>0</v>
      </c>
      <c r="JR230" s="909">
        <v>0</v>
      </c>
      <c r="JS230" s="909">
        <v>0</v>
      </c>
      <c r="JT230" s="910">
        <v>4503.9629082024776</v>
      </c>
      <c r="JU230" s="871">
        <v>3951.5435573027785</v>
      </c>
      <c r="JV230" s="911">
        <v>106.55470346884469</v>
      </c>
      <c r="JW230" s="908">
        <v>2.1930963564021644</v>
      </c>
      <c r="JX230" s="902">
        <v>18.469613717475905</v>
      </c>
      <c r="JY230" s="902">
        <v>0</v>
      </c>
      <c r="JZ230" s="902">
        <v>0</v>
      </c>
      <c r="KA230" s="902">
        <v>34.326100692621587</v>
      </c>
      <c r="KB230" s="902">
        <v>0.53851898040345147</v>
      </c>
      <c r="KC230" s="902">
        <v>2250</v>
      </c>
      <c r="KD230" s="909" t="s">
        <v>1064</v>
      </c>
      <c r="KE230" s="909">
        <v>2</v>
      </c>
      <c r="KF230" s="909">
        <v>0</v>
      </c>
      <c r="KG230" s="909">
        <v>0</v>
      </c>
      <c r="KH230" s="909">
        <v>0</v>
      </c>
      <c r="KI230" s="910">
        <v>3951.5435573027785</v>
      </c>
      <c r="KJ230" s="909">
        <v>0</v>
      </c>
      <c r="KK230" s="909">
        <v>0</v>
      </c>
      <c r="KL230" s="909">
        <v>0</v>
      </c>
      <c r="KM230" s="910">
        <v>4503.9629082024776</v>
      </c>
      <c r="KN230" s="871">
        <v>3951.5435573027785</v>
      </c>
      <c r="KO230" s="912">
        <v>106.55470346884469</v>
      </c>
    </row>
    <row r="231" spans="1:301" ht="15" customHeight="1">
      <c r="A231" s="1047" t="s">
        <v>1658</v>
      </c>
      <c r="B231" s="888" t="s">
        <v>1073</v>
      </c>
      <c r="C231" s="888">
        <v>225</v>
      </c>
      <c r="D231" s="888">
        <v>315</v>
      </c>
      <c r="E231" s="888"/>
      <c r="F231" s="888"/>
      <c r="G231" s="888">
        <v>28</v>
      </c>
      <c r="H231" s="888">
        <v>100</v>
      </c>
      <c r="I231" s="888">
        <v>100</v>
      </c>
      <c r="J231" s="888">
        <v>51.2</v>
      </c>
      <c r="K231" s="888">
        <v>25.6</v>
      </c>
      <c r="L231" s="888">
        <v>14</v>
      </c>
      <c r="M231" s="888">
        <v>72.446527909730875</v>
      </c>
      <c r="N231" s="888">
        <v>2</v>
      </c>
      <c r="O231" s="884">
        <v>1.2235187843808555</v>
      </c>
      <c r="P231" s="888">
        <v>2</v>
      </c>
      <c r="Q231" s="884">
        <v>0.35759178379485823</v>
      </c>
      <c r="R231" s="888">
        <v>7</v>
      </c>
      <c r="S231" s="888">
        <v>265</v>
      </c>
      <c r="T231" s="906">
        <v>3.03074450205099</v>
      </c>
      <c r="U231" s="906">
        <v>39.75</v>
      </c>
      <c r="V231" s="906">
        <v>10</v>
      </c>
      <c r="W231" s="1141">
        <v>7.3062590674443512E-2</v>
      </c>
      <c r="X231" s="902">
        <v>0</v>
      </c>
      <c r="Y231" s="902">
        <v>0</v>
      </c>
      <c r="Z231" s="902">
        <v>0</v>
      </c>
      <c r="AA231" s="902">
        <v>0</v>
      </c>
      <c r="AB231" s="970">
        <v>0.63526646985205037</v>
      </c>
      <c r="AC231" s="1045">
        <v>4000</v>
      </c>
      <c r="AD231" s="890"/>
      <c r="AE231" s="890"/>
      <c r="AF231" s="890"/>
      <c r="AG231" s="890"/>
      <c r="AH231" s="888"/>
      <c r="AI231" s="907">
        <v>0.43505324515570204</v>
      </c>
      <c r="AJ231" s="908">
        <v>1.5923746834558847</v>
      </c>
      <c r="AK231" s="902">
        <v>6.2772923443570328</v>
      </c>
      <c r="AL231" s="902">
        <v>0</v>
      </c>
      <c r="AM231" s="902">
        <v>0</v>
      </c>
      <c r="AN231" s="902">
        <v>33.979797563032442</v>
      </c>
      <c r="AO231" s="902">
        <v>7.9181119764578034E-2</v>
      </c>
      <c r="AP231" s="1222">
        <v>2900</v>
      </c>
      <c r="AQ231" s="909" t="s">
        <v>1064</v>
      </c>
      <c r="AR231" s="909">
        <v>2</v>
      </c>
      <c r="AS231" s="909">
        <v>0</v>
      </c>
      <c r="AT231" s="909">
        <v>0</v>
      </c>
      <c r="AU231" s="909">
        <v>0</v>
      </c>
      <c r="AV231" s="910">
        <v>7138.7359267097527</v>
      </c>
      <c r="AW231" s="909">
        <v>0</v>
      </c>
      <c r="AX231" s="909">
        <v>0</v>
      </c>
      <c r="AY231" s="909">
        <v>0</v>
      </c>
      <c r="AZ231" s="910">
        <v>5029.1069067682738</v>
      </c>
      <c r="BA231" s="871">
        <v>4000</v>
      </c>
      <c r="BB231" s="911">
        <v>65.973445725385659</v>
      </c>
      <c r="BC231" s="908">
        <v>1.5923746834558847</v>
      </c>
      <c r="BD231" s="902">
        <v>6.2772923443570328</v>
      </c>
      <c r="BE231" s="902">
        <v>0</v>
      </c>
      <c r="BF231" s="902">
        <v>0</v>
      </c>
      <c r="BG231" s="902">
        <v>33.979797563032442</v>
      </c>
      <c r="BH231" s="902">
        <v>7.9181119764578034E-2</v>
      </c>
      <c r="BI231" s="902">
        <v>3600</v>
      </c>
      <c r="BJ231" s="909" t="s">
        <v>1064</v>
      </c>
      <c r="BK231" s="909">
        <v>2</v>
      </c>
      <c r="BL231" s="909">
        <v>0</v>
      </c>
      <c r="BM231" s="909">
        <v>0</v>
      </c>
      <c r="BN231" s="909">
        <v>0</v>
      </c>
      <c r="BO231" s="910">
        <v>7138.7359267097527</v>
      </c>
      <c r="BP231" s="909">
        <v>0</v>
      </c>
      <c r="BQ231" s="909">
        <v>0</v>
      </c>
      <c r="BR231" s="909">
        <v>0</v>
      </c>
      <c r="BS231" s="910">
        <v>5029.1069067682738</v>
      </c>
      <c r="BT231" s="871">
        <v>4000</v>
      </c>
      <c r="BU231" s="911">
        <v>65.973445725385659</v>
      </c>
      <c r="BV231" s="908">
        <v>2.3885620251838269</v>
      </c>
      <c r="BW231" s="902">
        <v>7.3673932443412822</v>
      </c>
      <c r="BX231" s="902">
        <v>0.11379837295478243</v>
      </c>
      <c r="BY231" s="902">
        <v>0.18011518530152471</v>
      </c>
      <c r="BZ231" s="902">
        <v>36.350193239669039</v>
      </c>
      <c r="CA231" s="902">
        <v>9.9978501580457999E-2</v>
      </c>
      <c r="CB231" s="902">
        <v>2900</v>
      </c>
      <c r="CC231" s="909" t="s">
        <v>2874</v>
      </c>
      <c r="CD231" s="909">
        <v>3</v>
      </c>
      <c r="CE231" s="909">
        <v>1</v>
      </c>
      <c r="CF231" s="909">
        <v>3</v>
      </c>
      <c r="CG231" s="909">
        <v>14.115082406880225</v>
      </c>
      <c r="CH231" s="910">
        <v>10678.348752765611</v>
      </c>
      <c r="CI231" s="909">
        <v>2</v>
      </c>
      <c r="CJ231" s="909">
        <v>3</v>
      </c>
      <c r="CK231" s="909">
        <v>7.8257780649949433</v>
      </c>
      <c r="CL231" s="910">
        <v>7690.2475460589758</v>
      </c>
      <c r="CM231" s="871">
        <v>4000</v>
      </c>
      <c r="CN231" s="911">
        <v>65.973445725385659</v>
      </c>
      <c r="CO231" s="908">
        <v>2.3885620251838269</v>
      </c>
      <c r="CP231" s="902">
        <v>7.3673932443412822</v>
      </c>
      <c r="CQ231" s="902">
        <v>0.11379837295478243</v>
      </c>
      <c r="CR231" s="902">
        <v>0.18011518530152471</v>
      </c>
      <c r="CS231" s="902">
        <v>36.350193239669039</v>
      </c>
      <c r="CT231" s="902">
        <v>9.9978501580457999E-2</v>
      </c>
      <c r="CU231" s="902">
        <v>3600</v>
      </c>
      <c r="CV231" s="909" t="s">
        <v>2874</v>
      </c>
      <c r="CW231" s="909">
        <v>3</v>
      </c>
      <c r="CX231" s="909">
        <v>1</v>
      </c>
      <c r="CY231" s="909">
        <v>3</v>
      </c>
      <c r="CZ231" s="909">
        <v>14.115082406880225</v>
      </c>
      <c r="DA231" s="910">
        <v>10678.348752765611</v>
      </c>
      <c r="DB231" s="909">
        <v>2</v>
      </c>
      <c r="DC231" s="909">
        <v>3</v>
      </c>
      <c r="DD231" s="909">
        <v>7.8257780649949433</v>
      </c>
      <c r="DE231" s="910">
        <v>7690.2475460589758</v>
      </c>
      <c r="DF231" s="871">
        <v>4000</v>
      </c>
      <c r="DG231" s="911">
        <v>65.973445725385659</v>
      </c>
      <c r="DH231" s="908">
        <v>1.5923746834558847</v>
      </c>
      <c r="DI231" s="902">
        <v>6.4732347165279043</v>
      </c>
      <c r="DJ231" s="902">
        <v>7.5865581969854962E-2</v>
      </c>
      <c r="DK231" s="902">
        <v>0.12007679020101647</v>
      </c>
      <c r="DL231" s="902">
        <v>34.464723045518376</v>
      </c>
      <c r="DM231" s="902">
        <v>8.3103651545337012E-2</v>
      </c>
      <c r="DN231" s="902">
        <v>2900</v>
      </c>
      <c r="DO231" s="909" t="s">
        <v>2876</v>
      </c>
      <c r="DP231" s="909">
        <v>2</v>
      </c>
      <c r="DQ231" s="909">
        <v>1</v>
      </c>
      <c r="DR231" s="909">
        <v>2</v>
      </c>
      <c r="DS231" s="909">
        <v>14.115082406880225</v>
      </c>
      <c r="DT231" s="910">
        <v>11838.849177826718</v>
      </c>
      <c r="DU231" s="909">
        <v>2</v>
      </c>
      <c r="DV231" s="909">
        <v>2</v>
      </c>
      <c r="DW231" s="909">
        <v>7.8257780649949433</v>
      </c>
      <c r="DX231" s="910">
        <v>8526.0074329717536</v>
      </c>
      <c r="DY231" s="871">
        <v>4000</v>
      </c>
      <c r="DZ231" s="911">
        <v>65.973445725385659</v>
      </c>
      <c r="EA231" s="908">
        <v>1.5923746834558847</v>
      </c>
      <c r="EB231" s="902">
        <v>6.4732347165279043</v>
      </c>
      <c r="EC231" s="902">
        <v>7.5865581969854962E-2</v>
      </c>
      <c r="ED231" s="902">
        <v>0.12007679020101647</v>
      </c>
      <c r="EE231" s="902">
        <v>34.464723045518376</v>
      </c>
      <c r="EF231" s="902">
        <v>8.3103651545337012E-2</v>
      </c>
      <c r="EG231" s="902">
        <v>3600</v>
      </c>
      <c r="EH231" s="909" t="s">
        <v>2876</v>
      </c>
      <c r="EI231" s="909">
        <v>2</v>
      </c>
      <c r="EJ231" s="909">
        <v>1</v>
      </c>
      <c r="EK231" s="909">
        <v>2</v>
      </c>
      <c r="EL231" s="909">
        <v>14.115082406880225</v>
      </c>
      <c r="EM231" s="910">
        <v>11838.849177826718</v>
      </c>
      <c r="EN231" s="909">
        <v>2</v>
      </c>
      <c r="EO231" s="909">
        <v>2</v>
      </c>
      <c r="EP231" s="909">
        <v>7.8257780649949433</v>
      </c>
      <c r="EQ231" s="910">
        <v>8526.0074329717536</v>
      </c>
      <c r="ER231" s="871">
        <v>4000</v>
      </c>
      <c r="ES231" s="911">
        <v>65.973445725385659</v>
      </c>
      <c r="ET231" s="908">
        <v>1.5923746834558847</v>
      </c>
      <c r="EU231" s="902">
        <v>6.3373307394575411</v>
      </c>
      <c r="EV231" s="902">
        <v>0</v>
      </c>
      <c r="EW231" s="902">
        <v>6.0038395100508235E-2</v>
      </c>
      <c r="EX231" s="902">
        <v>34.131569228903103</v>
      </c>
      <c r="EY231" s="902">
        <v>8.059828473584045E-2</v>
      </c>
      <c r="EZ231" s="902">
        <v>2900</v>
      </c>
      <c r="FA231" s="909" t="s">
        <v>2877</v>
      </c>
      <c r="FB231" s="909">
        <v>2</v>
      </c>
      <c r="FC231" s="909">
        <v>0</v>
      </c>
      <c r="FD231" s="909">
        <v>0</v>
      </c>
      <c r="FE231" s="909">
        <v>0</v>
      </c>
      <c r="FF231" s="910">
        <v>5939.7873290189891</v>
      </c>
      <c r="FG231" s="909">
        <v>1</v>
      </c>
      <c r="FH231" s="909">
        <v>2</v>
      </c>
      <c r="FI231" s="909">
        <v>7.8257780649949433</v>
      </c>
      <c r="FJ231" s="910">
        <v>9785.8752447103961</v>
      </c>
      <c r="FK231" s="871">
        <v>4000</v>
      </c>
      <c r="FL231" s="911">
        <v>65.973445725385659</v>
      </c>
      <c r="FM231" s="908">
        <v>1.5923746834558847</v>
      </c>
      <c r="FN231" s="902">
        <v>6.3373307394575411</v>
      </c>
      <c r="FO231" s="902">
        <v>0</v>
      </c>
      <c r="FP231" s="902">
        <v>6.0038395100508235E-2</v>
      </c>
      <c r="FQ231" s="902">
        <v>34.131569228903103</v>
      </c>
      <c r="FR231" s="902">
        <v>8.059828473584045E-2</v>
      </c>
      <c r="FS231" s="902">
        <v>3600</v>
      </c>
      <c r="FT231" s="909" t="s">
        <v>2877</v>
      </c>
      <c r="FU231" s="909">
        <v>2</v>
      </c>
      <c r="FV231" s="909">
        <v>0</v>
      </c>
      <c r="FW231" s="909">
        <v>0</v>
      </c>
      <c r="FX231" s="909">
        <v>0</v>
      </c>
      <c r="FY231" s="910">
        <v>5939.7873290189891</v>
      </c>
      <c r="FZ231" s="909">
        <v>1</v>
      </c>
      <c r="GA231" s="909">
        <v>2</v>
      </c>
      <c r="GB231" s="909">
        <v>7.8257780649949433</v>
      </c>
      <c r="GC231" s="910">
        <v>9785.8752447103961</v>
      </c>
      <c r="GD231" s="871">
        <v>4000</v>
      </c>
      <c r="GE231" s="911">
        <v>65.973445725385659</v>
      </c>
      <c r="GF231" s="908">
        <v>1.5923746834558847</v>
      </c>
      <c r="GG231" s="902">
        <v>6.3373307394575411</v>
      </c>
      <c r="GH231" s="902">
        <v>0</v>
      </c>
      <c r="GI231" s="902">
        <v>6.0038395100508235E-2</v>
      </c>
      <c r="GJ231" s="902">
        <v>34.131569228903103</v>
      </c>
      <c r="GK231" s="902">
        <v>8.059828473584045E-2</v>
      </c>
      <c r="GL231" s="902">
        <v>2900</v>
      </c>
      <c r="GM231" s="909" t="s">
        <v>2877</v>
      </c>
      <c r="GN231" s="909">
        <v>2</v>
      </c>
      <c r="GO231" s="909">
        <v>0</v>
      </c>
      <c r="GP231" s="909">
        <v>0</v>
      </c>
      <c r="GQ231" s="909">
        <v>0</v>
      </c>
      <c r="GR231" s="910">
        <v>5939.7873290189891</v>
      </c>
      <c r="GS231" s="909">
        <v>1</v>
      </c>
      <c r="GT231" s="909">
        <v>2</v>
      </c>
      <c r="GU231" s="909">
        <v>7.8257780649949433</v>
      </c>
      <c r="GV231" s="910">
        <v>9785.8752447103961</v>
      </c>
      <c r="GW231" s="871">
        <v>4000</v>
      </c>
      <c r="GX231" s="911">
        <v>65.973445725385659</v>
      </c>
      <c r="GY231" s="908">
        <v>1.5923746834558847</v>
      </c>
      <c r="GZ231" s="902">
        <v>6.3373307394575411</v>
      </c>
      <c r="HA231" s="902">
        <v>0</v>
      </c>
      <c r="HB231" s="902">
        <v>6.0038395100508235E-2</v>
      </c>
      <c r="HC231" s="902">
        <v>34.131569228903103</v>
      </c>
      <c r="HD231" s="902">
        <v>8.059828473584045E-2</v>
      </c>
      <c r="HE231" s="902">
        <v>3600</v>
      </c>
      <c r="HF231" s="909" t="s">
        <v>2877</v>
      </c>
      <c r="HG231" s="909">
        <v>2</v>
      </c>
      <c r="HH231" s="909">
        <v>0</v>
      </c>
      <c r="HI231" s="909">
        <v>0</v>
      </c>
      <c r="HJ231" s="909">
        <v>0</v>
      </c>
      <c r="HK231" s="910">
        <v>5939.7873290189891</v>
      </c>
      <c r="HL231" s="909">
        <v>1</v>
      </c>
      <c r="HM231" s="909">
        <v>2</v>
      </c>
      <c r="HN231" s="909">
        <v>7.8257780649949433</v>
      </c>
      <c r="HO231" s="910">
        <v>9785.8752447103961</v>
      </c>
      <c r="HP231" s="871">
        <v>4000</v>
      </c>
      <c r="HQ231" s="911">
        <v>65.973445725385659</v>
      </c>
      <c r="HR231" s="908">
        <v>1.5923746834558847</v>
      </c>
      <c r="HS231" s="902">
        <v>6.2772923443570328</v>
      </c>
      <c r="HT231" s="902">
        <v>0</v>
      </c>
      <c r="HU231" s="902">
        <v>0</v>
      </c>
      <c r="HV231" s="902">
        <v>33.979797563032442</v>
      </c>
      <c r="HW231" s="902">
        <v>7.9181119764578034E-2</v>
      </c>
      <c r="HX231" s="902">
        <v>2900</v>
      </c>
      <c r="HY231" s="909" t="s">
        <v>1063</v>
      </c>
      <c r="HZ231" s="909">
        <v>2</v>
      </c>
      <c r="IA231" s="909">
        <v>0</v>
      </c>
      <c r="IB231" s="909">
        <v>0</v>
      </c>
      <c r="IC231" s="909">
        <v>0</v>
      </c>
      <c r="ID231" s="910">
        <v>5238.4000377322773</v>
      </c>
      <c r="IE231" s="909">
        <v>0</v>
      </c>
      <c r="IF231" s="909">
        <v>0</v>
      </c>
      <c r="IG231" s="909">
        <v>0</v>
      </c>
      <c r="IH231" s="910">
        <v>3690.3555588330551</v>
      </c>
      <c r="II231" s="871">
        <v>3690.3555588330551</v>
      </c>
      <c r="IJ231" s="911">
        <v>60.866368042011956</v>
      </c>
      <c r="IK231" s="908">
        <v>1.5923746834558847</v>
      </c>
      <c r="IL231" s="902">
        <v>6.2772923443570328</v>
      </c>
      <c r="IM231" s="902">
        <v>0</v>
      </c>
      <c r="IN231" s="902">
        <v>0</v>
      </c>
      <c r="IO231" s="902">
        <v>33.979797563032442</v>
      </c>
      <c r="IP231" s="902">
        <v>7.9181119764578034E-2</v>
      </c>
      <c r="IQ231" s="902">
        <v>3600</v>
      </c>
      <c r="IR231" s="909" t="s">
        <v>1063</v>
      </c>
      <c r="IS231" s="909">
        <v>2</v>
      </c>
      <c r="IT231" s="909">
        <v>0</v>
      </c>
      <c r="IU231" s="909">
        <v>0</v>
      </c>
      <c r="IV231" s="909">
        <v>0</v>
      </c>
      <c r="IW231" s="910">
        <v>5238.4000377322773</v>
      </c>
      <c r="IX231" s="909">
        <v>0</v>
      </c>
      <c r="IY231" s="909">
        <v>0</v>
      </c>
      <c r="IZ231" s="909">
        <v>0</v>
      </c>
      <c r="JA231" s="910">
        <v>3690.3555588330551</v>
      </c>
      <c r="JB231" s="871">
        <v>3690.3555588330551</v>
      </c>
      <c r="JC231" s="911">
        <v>60.866368042011956</v>
      </c>
      <c r="JD231" s="908">
        <v>1.5923746834558847</v>
      </c>
      <c r="JE231" s="902">
        <v>6.2772923443570328</v>
      </c>
      <c r="JF231" s="902">
        <v>0</v>
      </c>
      <c r="JG231" s="902">
        <v>0</v>
      </c>
      <c r="JH231" s="902">
        <v>33.979797563032442</v>
      </c>
      <c r="JI231" s="902">
        <v>7.9181119764578034E-2</v>
      </c>
      <c r="JJ231" s="902">
        <v>2900</v>
      </c>
      <c r="JK231" s="909" t="s">
        <v>1064</v>
      </c>
      <c r="JL231" s="909">
        <v>2</v>
      </c>
      <c r="JM231" s="909">
        <v>0</v>
      </c>
      <c r="JN231" s="909">
        <v>0</v>
      </c>
      <c r="JO231" s="909">
        <v>0</v>
      </c>
      <c r="JP231" s="910">
        <v>7138.7359267097527</v>
      </c>
      <c r="JQ231" s="909">
        <v>0</v>
      </c>
      <c r="JR231" s="909">
        <v>0</v>
      </c>
      <c r="JS231" s="909">
        <v>0</v>
      </c>
      <c r="JT231" s="910">
        <v>5029.1069067682738</v>
      </c>
      <c r="JU231" s="871">
        <v>4000</v>
      </c>
      <c r="JV231" s="911">
        <v>65.973445725385659</v>
      </c>
      <c r="JW231" s="908">
        <v>1.5923746834558847</v>
      </c>
      <c r="JX231" s="902">
        <v>6.2772923443570328</v>
      </c>
      <c r="JY231" s="902">
        <v>0</v>
      </c>
      <c r="JZ231" s="902">
        <v>0</v>
      </c>
      <c r="KA231" s="902">
        <v>33.979797563032442</v>
      </c>
      <c r="KB231" s="902">
        <v>7.9181119764578034E-2</v>
      </c>
      <c r="KC231" s="902">
        <v>3600</v>
      </c>
      <c r="KD231" s="909" t="s">
        <v>1064</v>
      </c>
      <c r="KE231" s="909">
        <v>2</v>
      </c>
      <c r="KF231" s="909">
        <v>0</v>
      </c>
      <c r="KG231" s="909">
        <v>0</v>
      </c>
      <c r="KH231" s="909">
        <v>0</v>
      </c>
      <c r="KI231" s="910">
        <v>7138.7359267097527</v>
      </c>
      <c r="KJ231" s="909">
        <v>0</v>
      </c>
      <c r="KK231" s="909">
        <v>0</v>
      </c>
      <c r="KL231" s="909">
        <v>0</v>
      </c>
      <c r="KM231" s="910">
        <v>5029.1069067682738</v>
      </c>
      <c r="KN231" s="871">
        <v>4000</v>
      </c>
      <c r="KO231" s="912">
        <v>65.973445725385659</v>
      </c>
    </row>
    <row r="232" spans="1:301" ht="15" customHeight="1">
      <c r="A232" s="1047" t="s">
        <v>1725</v>
      </c>
      <c r="B232" s="888" t="s">
        <v>1073</v>
      </c>
      <c r="C232" s="888">
        <v>225</v>
      </c>
      <c r="D232" s="888">
        <v>315</v>
      </c>
      <c r="E232" s="888"/>
      <c r="F232" s="888"/>
      <c r="G232" s="888">
        <v>28</v>
      </c>
      <c r="H232" s="888">
        <v>100</v>
      </c>
      <c r="I232" s="888">
        <v>100</v>
      </c>
      <c r="J232" s="888">
        <v>51.2</v>
      </c>
      <c r="K232" s="888">
        <v>25.6</v>
      </c>
      <c r="L232" s="888">
        <v>14</v>
      </c>
      <c r="M232" s="888">
        <v>72.446527909730875</v>
      </c>
      <c r="N232" s="888">
        <v>2</v>
      </c>
      <c r="O232" s="884">
        <v>1.2235187843808555</v>
      </c>
      <c r="P232" s="888">
        <v>2</v>
      </c>
      <c r="Q232" s="884">
        <v>0.35759178379485823</v>
      </c>
      <c r="R232" s="888">
        <v>7</v>
      </c>
      <c r="S232" s="888">
        <v>265</v>
      </c>
      <c r="T232" s="906">
        <v>3.03074450205099</v>
      </c>
      <c r="U232" s="906">
        <v>39.75</v>
      </c>
      <c r="V232" s="906">
        <v>10</v>
      </c>
      <c r="W232" s="1141">
        <v>7.3062590674443512E-2</v>
      </c>
      <c r="X232" s="902">
        <v>0</v>
      </c>
      <c r="Y232" s="902">
        <v>0</v>
      </c>
      <c r="Z232" s="902">
        <v>0</v>
      </c>
      <c r="AA232" s="902">
        <v>0</v>
      </c>
      <c r="AB232" s="970">
        <v>0.63526646985205037</v>
      </c>
      <c r="AC232" s="1045">
        <v>4000</v>
      </c>
      <c r="AD232" s="890"/>
      <c r="AE232" s="890"/>
      <c r="AF232" s="890"/>
      <c r="AG232" s="890"/>
      <c r="AH232" s="888"/>
      <c r="AI232" s="907">
        <v>0.43505324515570204</v>
      </c>
      <c r="AJ232" s="908">
        <v>1.5923746834558847</v>
      </c>
      <c r="AK232" s="902">
        <v>6.2772923443570328</v>
      </c>
      <c r="AL232" s="902">
        <v>0</v>
      </c>
      <c r="AM232" s="902">
        <v>0</v>
      </c>
      <c r="AN232" s="902">
        <v>33.979797563032442</v>
      </c>
      <c r="AO232" s="902">
        <v>7.9181119764578034E-2</v>
      </c>
      <c r="AP232" s="1222">
        <v>2900</v>
      </c>
      <c r="AQ232" s="909" t="s">
        <v>1064</v>
      </c>
      <c r="AR232" s="909">
        <v>2</v>
      </c>
      <c r="AS232" s="909">
        <v>0</v>
      </c>
      <c r="AT232" s="909">
        <v>0</v>
      </c>
      <c r="AU232" s="909">
        <v>0</v>
      </c>
      <c r="AV232" s="910">
        <v>7138.7359267097527</v>
      </c>
      <c r="AW232" s="909">
        <v>0</v>
      </c>
      <c r="AX232" s="909">
        <v>0</v>
      </c>
      <c r="AY232" s="909">
        <v>0</v>
      </c>
      <c r="AZ232" s="910">
        <v>5029.1069067682738</v>
      </c>
      <c r="BA232" s="871">
        <v>4000</v>
      </c>
      <c r="BB232" s="911">
        <v>65.973445725385659</v>
      </c>
      <c r="BC232" s="908">
        <v>1.5923746834558847</v>
      </c>
      <c r="BD232" s="902">
        <v>6.2772923443570328</v>
      </c>
      <c r="BE232" s="902">
        <v>0</v>
      </c>
      <c r="BF232" s="902">
        <v>0</v>
      </c>
      <c r="BG232" s="902">
        <v>33.979797563032442</v>
      </c>
      <c r="BH232" s="902">
        <v>7.9181119764578034E-2</v>
      </c>
      <c r="BI232" s="902">
        <v>3600</v>
      </c>
      <c r="BJ232" s="909" t="s">
        <v>1064</v>
      </c>
      <c r="BK232" s="909">
        <v>2</v>
      </c>
      <c r="BL232" s="909">
        <v>0</v>
      </c>
      <c r="BM232" s="909">
        <v>0</v>
      </c>
      <c r="BN232" s="909">
        <v>0</v>
      </c>
      <c r="BO232" s="910">
        <v>7138.7359267097527</v>
      </c>
      <c r="BP232" s="909">
        <v>0</v>
      </c>
      <c r="BQ232" s="909">
        <v>0</v>
      </c>
      <c r="BR232" s="909">
        <v>0</v>
      </c>
      <c r="BS232" s="910">
        <v>5029.1069067682738</v>
      </c>
      <c r="BT232" s="871">
        <v>4000</v>
      </c>
      <c r="BU232" s="911">
        <v>65.973445725385659</v>
      </c>
      <c r="BV232" s="908">
        <v>2.3885620251838269</v>
      </c>
      <c r="BW232" s="902">
        <v>7.3673932443412822</v>
      </c>
      <c r="BX232" s="902">
        <v>0.11379837295478243</v>
      </c>
      <c r="BY232" s="902">
        <v>0.18011518530152471</v>
      </c>
      <c r="BZ232" s="902">
        <v>36.350193239669039</v>
      </c>
      <c r="CA232" s="902">
        <v>9.9978501580457999E-2</v>
      </c>
      <c r="CB232" s="902">
        <v>2900</v>
      </c>
      <c r="CC232" s="909" t="s">
        <v>2874</v>
      </c>
      <c r="CD232" s="909">
        <v>3</v>
      </c>
      <c r="CE232" s="909">
        <v>1</v>
      </c>
      <c r="CF232" s="909">
        <v>3</v>
      </c>
      <c r="CG232" s="909">
        <v>14.115082406880225</v>
      </c>
      <c r="CH232" s="910">
        <v>10678.348752765611</v>
      </c>
      <c r="CI232" s="909">
        <v>2</v>
      </c>
      <c r="CJ232" s="909">
        <v>3</v>
      </c>
      <c r="CK232" s="909">
        <v>7.8257780649949433</v>
      </c>
      <c r="CL232" s="910">
        <v>7690.2475460589758</v>
      </c>
      <c r="CM232" s="871">
        <v>4000</v>
      </c>
      <c r="CN232" s="911">
        <v>65.973445725385659</v>
      </c>
      <c r="CO232" s="908">
        <v>2.3885620251838269</v>
      </c>
      <c r="CP232" s="902">
        <v>7.3673932443412822</v>
      </c>
      <c r="CQ232" s="902">
        <v>0.11379837295478243</v>
      </c>
      <c r="CR232" s="902">
        <v>0.18011518530152471</v>
      </c>
      <c r="CS232" s="902">
        <v>36.350193239669039</v>
      </c>
      <c r="CT232" s="902">
        <v>9.9978501580457999E-2</v>
      </c>
      <c r="CU232" s="902">
        <v>3600</v>
      </c>
      <c r="CV232" s="909" t="s">
        <v>2874</v>
      </c>
      <c r="CW232" s="909">
        <v>3</v>
      </c>
      <c r="CX232" s="909">
        <v>1</v>
      </c>
      <c r="CY232" s="909">
        <v>3</v>
      </c>
      <c r="CZ232" s="909">
        <v>14.115082406880225</v>
      </c>
      <c r="DA232" s="910">
        <v>10678.348752765611</v>
      </c>
      <c r="DB232" s="909">
        <v>2</v>
      </c>
      <c r="DC232" s="909">
        <v>3</v>
      </c>
      <c r="DD232" s="909">
        <v>7.8257780649949433</v>
      </c>
      <c r="DE232" s="910">
        <v>7690.2475460589758</v>
      </c>
      <c r="DF232" s="871">
        <v>4000</v>
      </c>
      <c r="DG232" s="911">
        <v>65.973445725385659</v>
      </c>
      <c r="DH232" s="908">
        <v>1.5923746834558847</v>
      </c>
      <c r="DI232" s="902">
        <v>6.4732347165279043</v>
      </c>
      <c r="DJ232" s="902">
        <v>7.5865581969854962E-2</v>
      </c>
      <c r="DK232" s="902">
        <v>0.12007679020101647</v>
      </c>
      <c r="DL232" s="902">
        <v>34.464723045518376</v>
      </c>
      <c r="DM232" s="902">
        <v>8.3103651545337012E-2</v>
      </c>
      <c r="DN232" s="902">
        <v>2900</v>
      </c>
      <c r="DO232" s="909" t="s">
        <v>2876</v>
      </c>
      <c r="DP232" s="909">
        <v>2</v>
      </c>
      <c r="DQ232" s="909">
        <v>1</v>
      </c>
      <c r="DR232" s="909">
        <v>2</v>
      </c>
      <c r="DS232" s="909">
        <v>14.115082406880225</v>
      </c>
      <c r="DT232" s="910">
        <v>11838.849177826718</v>
      </c>
      <c r="DU232" s="909">
        <v>2</v>
      </c>
      <c r="DV232" s="909">
        <v>2</v>
      </c>
      <c r="DW232" s="909">
        <v>7.8257780649949433</v>
      </c>
      <c r="DX232" s="910">
        <v>8526.0074329717536</v>
      </c>
      <c r="DY232" s="871">
        <v>4000</v>
      </c>
      <c r="DZ232" s="911">
        <v>65.973445725385659</v>
      </c>
      <c r="EA232" s="908">
        <v>1.5923746834558847</v>
      </c>
      <c r="EB232" s="902">
        <v>6.4732347165279043</v>
      </c>
      <c r="EC232" s="902">
        <v>7.5865581969854962E-2</v>
      </c>
      <c r="ED232" s="902">
        <v>0.12007679020101647</v>
      </c>
      <c r="EE232" s="902">
        <v>34.464723045518376</v>
      </c>
      <c r="EF232" s="902">
        <v>8.3103651545337012E-2</v>
      </c>
      <c r="EG232" s="902">
        <v>3600</v>
      </c>
      <c r="EH232" s="909" t="s">
        <v>2876</v>
      </c>
      <c r="EI232" s="909">
        <v>2</v>
      </c>
      <c r="EJ232" s="909">
        <v>1</v>
      </c>
      <c r="EK232" s="909">
        <v>2</v>
      </c>
      <c r="EL232" s="909">
        <v>14.115082406880225</v>
      </c>
      <c r="EM232" s="910">
        <v>11838.849177826718</v>
      </c>
      <c r="EN232" s="909">
        <v>2</v>
      </c>
      <c r="EO232" s="909">
        <v>2</v>
      </c>
      <c r="EP232" s="909">
        <v>7.8257780649949433</v>
      </c>
      <c r="EQ232" s="910">
        <v>8526.0074329717536</v>
      </c>
      <c r="ER232" s="871">
        <v>4000</v>
      </c>
      <c r="ES232" s="911">
        <v>65.973445725385659</v>
      </c>
      <c r="ET232" s="908">
        <v>1.5923746834558847</v>
      </c>
      <c r="EU232" s="902">
        <v>6.3373307394575411</v>
      </c>
      <c r="EV232" s="902">
        <v>0</v>
      </c>
      <c r="EW232" s="902">
        <v>6.0038395100508235E-2</v>
      </c>
      <c r="EX232" s="902">
        <v>34.131569228903103</v>
      </c>
      <c r="EY232" s="902">
        <v>8.059828473584045E-2</v>
      </c>
      <c r="EZ232" s="902">
        <v>2900</v>
      </c>
      <c r="FA232" s="909" t="s">
        <v>2877</v>
      </c>
      <c r="FB232" s="909">
        <v>2</v>
      </c>
      <c r="FC232" s="909">
        <v>0</v>
      </c>
      <c r="FD232" s="909">
        <v>0</v>
      </c>
      <c r="FE232" s="909">
        <v>0</v>
      </c>
      <c r="FF232" s="910">
        <v>5939.7873290189891</v>
      </c>
      <c r="FG232" s="909">
        <v>1</v>
      </c>
      <c r="FH232" s="909">
        <v>2</v>
      </c>
      <c r="FI232" s="909">
        <v>7.8257780649949433</v>
      </c>
      <c r="FJ232" s="910">
        <v>9785.8752447103961</v>
      </c>
      <c r="FK232" s="871">
        <v>4000</v>
      </c>
      <c r="FL232" s="911">
        <v>65.973445725385659</v>
      </c>
      <c r="FM232" s="908">
        <v>1.5923746834558847</v>
      </c>
      <c r="FN232" s="902">
        <v>6.3373307394575411</v>
      </c>
      <c r="FO232" s="902">
        <v>0</v>
      </c>
      <c r="FP232" s="902">
        <v>6.0038395100508235E-2</v>
      </c>
      <c r="FQ232" s="902">
        <v>34.131569228903103</v>
      </c>
      <c r="FR232" s="902">
        <v>8.059828473584045E-2</v>
      </c>
      <c r="FS232" s="902">
        <v>3600</v>
      </c>
      <c r="FT232" s="909" t="s">
        <v>2877</v>
      </c>
      <c r="FU232" s="909">
        <v>2</v>
      </c>
      <c r="FV232" s="909">
        <v>0</v>
      </c>
      <c r="FW232" s="909">
        <v>0</v>
      </c>
      <c r="FX232" s="909">
        <v>0</v>
      </c>
      <c r="FY232" s="910">
        <v>5939.7873290189891</v>
      </c>
      <c r="FZ232" s="909">
        <v>1</v>
      </c>
      <c r="GA232" s="909">
        <v>2</v>
      </c>
      <c r="GB232" s="909">
        <v>7.8257780649949433</v>
      </c>
      <c r="GC232" s="910">
        <v>9785.8752447103961</v>
      </c>
      <c r="GD232" s="871">
        <v>4000</v>
      </c>
      <c r="GE232" s="911">
        <v>65.973445725385659</v>
      </c>
      <c r="GF232" s="908">
        <v>1.5923746834558847</v>
      </c>
      <c r="GG232" s="902">
        <v>6.3373307394575411</v>
      </c>
      <c r="GH232" s="902">
        <v>0</v>
      </c>
      <c r="GI232" s="902">
        <v>6.0038395100508235E-2</v>
      </c>
      <c r="GJ232" s="902">
        <v>34.131569228903103</v>
      </c>
      <c r="GK232" s="902">
        <v>8.059828473584045E-2</v>
      </c>
      <c r="GL232" s="902">
        <v>2900</v>
      </c>
      <c r="GM232" s="909" t="s">
        <v>2877</v>
      </c>
      <c r="GN232" s="909">
        <v>2</v>
      </c>
      <c r="GO232" s="909">
        <v>0</v>
      </c>
      <c r="GP232" s="909">
        <v>0</v>
      </c>
      <c r="GQ232" s="909">
        <v>0</v>
      </c>
      <c r="GR232" s="910">
        <v>5939.7873290189891</v>
      </c>
      <c r="GS232" s="909">
        <v>1</v>
      </c>
      <c r="GT232" s="909">
        <v>2</v>
      </c>
      <c r="GU232" s="909">
        <v>7.8257780649949433</v>
      </c>
      <c r="GV232" s="910">
        <v>9785.8752447103961</v>
      </c>
      <c r="GW232" s="871">
        <v>4000</v>
      </c>
      <c r="GX232" s="911">
        <v>65.973445725385659</v>
      </c>
      <c r="GY232" s="908">
        <v>1.5923746834558847</v>
      </c>
      <c r="GZ232" s="902">
        <v>6.3373307394575411</v>
      </c>
      <c r="HA232" s="902">
        <v>0</v>
      </c>
      <c r="HB232" s="902">
        <v>6.0038395100508235E-2</v>
      </c>
      <c r="HC232" s="902">
        <v>34.131569228903103</v>
      </c>
      <c r="HD232" s="902">
        <v>8.059828473584045E-2</v>
      </c>
      <c r="HE232" s="902">
        <v>3600</v>
      </c>
      <c r="HF232" s="909" t="s">
        <v>2877</v>
      </c>
      <c r="HG232" s="909">
        <v>2</v>
      </c>
      <c r="HH232" s="909">
        <v>0</v>
      </c>
      <c r="HI232" s="909">
        <v>0</v>
      </c>
      <c r="HJ232" s="909">
        <v>0</v>
      </c>
      <c r="HK232" s="910">
        <v>5939.7873290189891</v>
      </c>
      <c r="HL232" s="909">
        <v>1</v>
      </c>
      <c r="HM232" s="909">
        <v>2</v>
      </c>
      <c r="HN232" s="909">
        <v>7.8257780649949433</v>
      </c>
      <c r="HO232" s="910">
        <v>9785.8752447103961</v>
      </c>
      <c r="HP232" s="871">
        <v>4000</v>
      </c>
      <c r="HQ232" s="911">
        <v>65.973445725385659</v>
      </c>
      <c r="HR232" s="908">
        <v>1.5923746834558847</v>
      </c>
      <c r="HS232" s="902">
        <v>6.2772923443570328</v>
      </c>
      <c r="HT232" s="902">
        <v>0</v>
      </c>
      <c r="HU232" s="902">
        <v>0</v>
      </c>
      <c r="HV232" s="902">
        <v>33.979797563032442</v>
      </c>
      <c r="HW232" s="902">
        <v>7.9181119764578034E-2</v>
      </c>
      <c r="HX232" s="902">
        <v>2900</v>
      </c>
      <c r="HY232" s="909" t="s">
        <v>1063</v>
      </c>
      <c r="HZ232" s="909">
        <v>2</v>
      </c>
      <c r="IA232" s="909">
        <v>0</v>
      </c>
      <c r="IB232" s="909">
        <v>0</v>
      </c>
      <c r="IC232" s="909">
        <v>0</v>
      </c>
      <c r="ID232" s="910">
        <v>5238.4000377322773</v>
      </c>
      <c r="IE232" s="909">
        <v>0</v>
      </c>
      <c r="IF232" s="909">
        <v>0</v>
      </c>
      <c r="IG232" s="909">
        <v>0</v>
      </c>
      <c r="IH232" s="910">
        <v>3690.3555588330551</v>
      </c>
      <c r="II232" s="871">
        <v>3690.3555588330551</v>
      </c>
      <c r="IJ232" s="911">
        <v>60.866368042011956</v>
      </c>
      <c r="IK232" s="908">
        <v>1.5923746834558847</v>
      </c>
      <c r="IL232" s="902">
        <v>6.2772923443570328</v>
      </c>
      <c r="IM232" s="902">
        <v>0</v>
      </c>
      <c r="IN232" s="902">
        <v>0</v>
      </c>
      <c r="IO232" s="902">
        <v>33.979797563032442</v>
      </c>
      <c r="IP232" s="902">
        <v>7.9181119764578034E-2</v>
      </c>
      <c r="IQ232" s="902">
        <v>3600</v>
      </c>
      <c r="IR232" s="909" t="s">
        <v>1063</v>
      </c>
      <c r="IS232" s="909">
        <v>2</v>
      </c>
      <c r="IT232" s="909">
        <v>0</v>
      </c>
      <c r="IU232" s="909">
        <v>0</v>
      </c>
      <c r="IV232" s="909">
        <v>0</v>
      </c>
      <c r="IW232" s="910">
        <v>5238.4000377322773</v>
      </c>
      <c r="IX232" s="909">
        <v>0</v>
      </c>
      <c r="IY232" s="909">
        <v>0</v>
      </c>
      <c r="IZ232" s="909">
        <v>0</v>
      </c>
      <c r="JA232" s="910">
        <v>3690.3555588330551</v>
      </c>
      <c r="JB232" s="871">
        <v>3690.3555588330551</v>
      </c>
      <c r="JC232" s="911">
        <v>60.866368042011956</v>
      </c>
      <c r="JD232" s="908">
        <v>1.5923746834558847</v>
      </c>
      <c r="JE232" s="902">
        <v>6.2772923443570328</v>
      </c>
      <c r="JF232" s="902">
        <v>0</v>
      </c>
      <c r="JG232" s="902">
        <v>0</v>
      </c>
      <c r="JH232" s="902">
        <v>33.979797563032442</v>
      </c>
      <c r="JI232" s="902">
        <v>7.9181119764578034E-2</v>
      </c>
      <c r="JJ232" s="902">
        <v>2900</v>
      </c>
      <c r="JK232" s="909" t="s">
        <v>1064</v>
      </c>
      <c r="JL232" s="909">
        <v>2</v>
      </c>
      <c r="JM232" s="909">
        <v>0</v>
      </c>
      <c r="JN232" s="909">
        <v>0</v>
      </c>
      <c r="JO232" s="909">
        <v>0</v>
      </c>
      <c r="JP232" s="910">
        <v>7138.7359267097527</v>
      </c>
      <c r="JQ232" s="909">
        <v>0</v>
      </c>
      <c r="JR232" s="909">
        <v>0</v>
      </c>
      <c r="JS232" s="909">
        <v>0</v>
      </c>
      <c r="JT232" s="910">
        <v>5029.1069067682738</v>
      </c>
      <c r="JU232" s="871">
        <v>4000</v>
      </c>
      <c r="JV232" s="911">
        <v>65.973445725385659</v>
      </c>
      <c r="JW232" s="908">
        <v>1.5923746834558847</v>
      </c>
      <c r="JX232" s="902">
        <v>6.2772923443570328</v>
      </c>
      <c r="JY232" s="902">
        <v>0</v>
      </c>
      <c r="JZ232" s="902">
        <v>0</v>
      </c>
      <c r="KA232" s="902">
        <v>33.979797563032442</v>
      </c>
      <c r="KB232" s="902">
        <v>7.9181119764578034E-2</v>
      </c>
      <c r="KC232" s="902">
        <v>3600</v>
      </c>
      <c r="KD232" s="909" t="s">
        <v>1064</v>
      </c>
      <c r="KE232" s="909">
        <v>2</v>
      </c>
      <c r="KF232" s="909">
        <v>0</v>
      </c>
      <c r="KG232" s="909">
        <v>0</v>
      </c>
      <c r="KH232" s="909">
        <v>0</v>
      </c>
      <c r="KI232" s="910">
        <v>7138.7359267097527</v>
      </c>
      <c r="KJ232" s="909">
        <v>0</v>
      </c>
      <c r="KK232" s="909">
        <v>0</v>
      </c>
      <c r="KL232" s="909">
        <v>0</v>
      </c>
      <c r="KM232" s="910">
        <v>5029.1069067682738</v>
      </c>
      <c r="KN232" s="871">
        <v>4000</v>
      </c>
      <c r="KO232" s="912">
        <v>65.973445725385659</v>
      </c>
    </row>
    <row r="233" spans="1:301" ht="15" customHeight="1">
      <c r="A233" s="1047" t="s">
        <v>1659</v>
      </c>
      <c r="B233" s="888" t="s">
        <v>1073</v>
      </c>
      <c r="C233" s="888">
        <v>275</v>
      </c>
      <c r="D233" s="888">
        <v>365</v>
      </c>
      <c r="E233" s="888"/>
      <c r="F233" s="888"/>
      <c r="G233" s="888">
        <v>28</v>
      </c>
      <c r="H233" s="888">
        <v>100</v>
      </c>
      <c r="I233" s="888">
        <v>100</v>
      </c>
      <c r="J233" s="888">
        <v>50.9</v>
      </c>
      <c r="K233" s="888">
        <v>20.5</v>
      </c>
      <c r="L233" s="888">
        <v>16</v>
      </c>
      <c r="M233" s="888">
        <v>77.115376128144376</v>
      </c>
      <c r="N233" s="888">
        <v>2</v>
      </c>
      <c r="O233" s="884">
        <v>1.6427643240024132</v>
      </c>
      <c r="P233" s="888">
        <v>2</v>
      </c>
      <c r="Q233" s="884">
        <v>0.41924553962155792</v>
      </c>
      <c r="R233" s="888">
        <v>7</v>
      </c>
      <c r="S233" s="888">
        <v>315</v>
      </c>
      <c r="T233" s="906">
        <v>4.2823157453329941</v>
      </c>
      <c r="U233" s="906">
        <v>47.25</v>
      </c>
      <c r="V233" s="906">
        <v>10</v>
      </c>
      <c r="W233" s="1141">
        <v>0.10323439743213468</v>
      </c>
      <c r="X233" s="902">
        <v>0</v>
      </c>
      <c r="Y233" s="902">
        <v>0</v>
      </c>
      <c r="Z233" s="902">
        <v>0</v>
      </c>
      <c r="AA233" s="902">
        <v>0</v>
      </c>
      <c r="AB233" s="970">
        <v>0.82514773280438192</v>
      </c>
      <c r="AC233" s="1045">
        <v>4000</v>
      </c>
      <c r="AD233" s="890"/>
      <c r="AE233" s="890"/>
      <c r="AF233" s="890"/>
      <c r="AG233" s="890"/>
      <c r="AH233" s="888"/>
      <c r="AI233" s="907">
        <v>0.54651641267069806</v>
      </c>
      <c r="AJ233" s="908">
        <v>1.937138248338987</v>
      </c>
      <c r="AK233" s="902">
        <v>8.3846982547280877</v>
      </c>
      <c r="AL233" s="902">
        <v>0</v>
      </c>
      <c r="AM233" s="902">
        <v>0</v>
      </c>
      <c r="AN233" s="902">
        <v>33.043153019419329</v>
      </c>
      <c r="AO233" s="902">
        <v>0.14322437571831453</v>
      </c>
      <c r="AP233" s="1222">
        <v>2900</v>
      </c>
      <c r="AQ233" s="909" t="s">
        <v>1064</v>
      </c>
      <c r="AR233" s="909">
        <v>2</v>
      </c>
      <c r="AS233" s="909">
        <v>0</v>
      </c>
      <c r="AT233" s="909">
        <v>0</v>
      </c>
      <c r="AU233" s="909">
        <v>0</v>
      </c>
      <c r="AV233" s="910">
        <v>6436.3501019814576</v>
      </c>
      <c r="AW233" s="909">
        <v>0</v>
      </c>
      <c r="AX233" s="909">
        <v>0</v>
      </c>
      <c r="AY233" s="909">
        <v>0</v>
      </c>
      <c r="AZ233" s="910">
        <v>4584.2558412630478</v>
      </c>
      <c r="BA233" s="871">
        <v>4000</v>
      </c>
      <c r="BB233" s="911">
        <v>76.445421237351638</v>
      </c>
      <c r="BC233" s="908">
        <v>1.937138248338987</v>
      </c>
      <c r="BD233" s="902">
        <v>8.3846982547280877</v>
      </c>
      <c r="BE233" s="902">
        <v>0</v>
      </c>
      <c r="BF233" s="902">
        <v>0</v>
      </c>
      <c r="BG233" s="902">
        <v>33.043153019419329</v>
      </c>
      <c r="BH233" s="902">
        <v>0.14322437571831453</v>
      </c>
      <c r="BI233" s="902">
        <v>3600</v>
      </c>
      <c r="BJ233" s="909" t="s">
        <v>1064</v>
      </c>
      <c r="BK233" s="909">
        <v>2</v>
      </c>
      <c r="BL233" s="909">
        <v>0</v>
      </c>
      <c r="BM233" s="909">
        <v>0</v>
      </c>
      <c r="BN233" s="909">
        <v>0</v>
      </c>
      <c r="BO233" s="910">
        <v>6436.3501019814576</v>
      </c>
      <c r="BP233" s="909">
        <v>0</v>
      </c>
      <c r="BQ233" s="909">
        <v>0</v>
      </c>
      <c r="BR233" s="909">
        <v>0</v>
      </c>
      <c r="BS233" s="910">
        <v>4584.2558412630478</v>
      </c>
      <c r="BT233" s="871">
        <v>4000</v>
      </c>
      <c r="BU233" s="911">
        <v>76.445421237351638</v>
      </c>
      <c r="BV233" s="908">
        <v>2.9057073725084805</v>
      </c>
      <c r="BW233" s="902">
        <v>9.772280494170932</v>
      </c>
      <c r="BX233" s="902">
        <v>0.14805895833971713</v>
      </c>
      <c r="BY233" s="902">
        <v>0.27095415693363428</v>
      </c>
      <c r="BZ233" s="902">
        <v>35.45088371454608</v>
      </c>
      <c r="CA233" s="902">
        <v>0.18032725916102071</v>
      </c>
      <c r="CB233" s="902">
        <v>2900</v>
      </c>
      <c r="CC233" s="909" t="s">
        <v>2874</v>
      </c>
      <c r="CD233" s="909">
        <v>3</v>
      </c>
      <c r="CE233" s="909">
        <v>1</v>
      </c>
      <c r="CF233" s="909">
        <v>3</v>
      </c>
      <c r="CG233" s="909">
        <v>14.961277643457931</v>
      </c>
      <c r="CH233" s="910">
        <v>8868.2062160622336</v>
      </c>
      <c r="CI233" s="909">
        <v>3</v>
      </c>
      <c r="CJ233" s="909">
        <v>3</v>
      </c>
      <c r="CK233" s="909">
        <v>6.7515934821690724</v>
      </c>
      <c r="CL233" s="910">
        <v>6678.819666283368</v>
      </c>
      <c r="CM233" s="871">
        <v>4000</v>
      </c>
      <c r="CN233" s="911">
        <v>76.445421237351638</v>
      </c>
      <c r="CO233" s="908">
        <v>2.9057073725084805</v>
      </c>
      <c r="CP233" s="902">
        <v>9.772280494170932</v>
      </c>
      <c r="CQ233" s="902">
        <v>0.14805895833971713</v>
      </c>
      <c r="CR233" s="902">
        <v>0.27095415693363428</v>
      </c>
      <c r="CS233" s="902">
        <v>35.45088371454608</v>
      </c>
      <c r="CT233" s="902">
        <v>0.18032725916102071</v>
      </c>
      <c r="CU233" s="902">
        <v>3600</v>
      </c>
      <c r="CV233" s="909" t="s">
        <v>2874</v>
      </c>
      <c r="CW233" s="909">
        <v>3</v>
      </c>
      <c r="CX233" s="909">
        <v>1</v>
      </c>
      <c r="CY233" s="909">
        <v>3</v>
      </c>
      <c r="CZ233" s="909">
        <v>14.961277643457931</v>
      </c>
      <c r="DA233" s="910">
        <v>8868.2062160622336</v>
      </c>
      <c r="DB233" s="909">
        <v>3</v>
      </c>
      <c r="DC233" s="909">
        <v>3</v>
      </c>
      <c r="DD233" s="909">
        <v>6.7515934821690724</v>
      </c>
      <c r="DE233" s="910">
        <v>6678.819666283368</v>
      </c>
      <c r="DF233" s="871">
        <v>4000</v>
      </c>
      <c r="DG233" s="911">
        <v>76.445421237351638</v>
      </c>
      <c r="DH233" s="908">
        <v>1.937138248338987</v>
      </c>
      <c r="DI233" s="902">
        <v>8.6038282967028472</v>
      </c>
      <c r="DJ233" s="902">
        <v>9.8705972226478089E-2</v>
      </c>
      <c r="DK233" s="902">
        <v>0.1204240697482819</v>
      </c>
      <c r="DL233" s="902">
        <v>33.475025258436247</v>
      </c>
      <c r="DM233" s="902">
        <v>0.14916987465264064</v>
      </c>
      <c r="DN233" s="902">
        <v>2900</v>
      </c>
      <c r="DO233" s="909" t="s">
        <v>2876</v>
      </c>
      <c r="DP233" s="909">
        <v>2</v>
      </c>
      <c r="DQ233" s="909">
        <v>1</v>
      </c>
      <c r="DR233" s="909">
        <v>2</v>
      </c>
      <c r="DS233" s="909">
        <v>14.961277643457931</v>
      </c>
      <c r="DT233" s="910">
        <v>9831.9841672744333</v>
      </c>
      <c r="DU233" s="909">
        <v>2</v>
      </c>
      <c r="DV233" s="909">
        <v>2</v>
      </c>
      <c r="DW233" s="909">
        <v>6.7515934821690724</v>
      </c>
      <c r="DX233" s="910">
        <v>7006.836291184698</v>
      </c>
      <c r="DY233" s="871">
        <v>4000</v>
      </c>
      <c r="DZ233" s="911">
        <v>76.445421237351638</v>
      </c>
      <c r="EA233" s="908">
        <v>1.937138248338987</v>
      </c>
      <c r="EB233" s="902">
        <v>8.6038282967028472</v>
      </c>
      <c r="EC233" s="902">
        <v>9.8705972226478089E-2</v>
      </c>
      <c r="ED233" s="902">
        <v>0.1204240697482819</v>
      </c>
      <c r="EE233" s="902">
        <v>33.475025258436247</v>
      </c>
      <c r="EF233" s="902">
        <v>0.14916987465264064</v>
      </c>
      <c r="EG233" s="902">
        <v>3600</v>
      </c>
      <c r="EH233" s="909" t="s">
        <v>2876</v>
      </c>
      <c r="EI233" s="909">
        <v>2</v>
      </c>
      <c r="EJ233" s="909">
        <v>1</v>
      </c>
      <c r="EK233" s="909">
        <v>2</v>
      </c>
      <c r="EL233" s="909">
        <v>14.961277643457931</v>
      </c>
      <c r="EM233" s="910">
        <v>9831.9841672744333</v>
      </c>
      <c r="EN233" s="909">
        <v>2</v>
      </c>
      <c r="EO233" s="909">
        <v>2</v>
      </c>
      <c r="EP233" s="909">
        <v>6.7515934821690724</v>
      </c>
      <c r="EQ233" s="910">
        <v>7006.836291184698</v>
      </c>
      <c r="ER233" s="871">
        <v>4000</v>
      </c>
      <c r="ES233" s="911">
        <v>76.445421237351638</v>
      </c>
      <c r="ET233" s="908">
        <v>1.937138248338987</v>
      </c>
      <c r="EU233" s="902">
        <v>8.5051223244763694</v>
      </c>
      <c r="EV233" s="902">
        <v>0</v>
      </c>
      <c r="EW233" s="902">
        <v>0.1204240697482819</v>
      </c>
      <c r="EX233" s="902">
        <v>33.28324510106097</v>
      </c>
      <c r="EY233" s="902">
        <v>0.14708961217613734</v>
      </c>
      <c r="EZ233" s="902">
        <v>2900</v>
      </c>
      <c r="FA233" s="909" t="s">
        <v>2877</v>
      </c>
      <c r="FB233" s="909">
        <v>2</v>
      </c>
      <c r="FC233" s="909">
        <v>0</v>
      </c>
      <c r="FD233" s="909">
        <v>0</v>
      </c>
      <c r="FE233" s="909">
        <v>0</v>
      </c>
      <c r="FF233" s="910">
        <v>5355.3669968150807</v>
      </c>
      <c r="FG233" s="909">
        <v>1</v>
      </c>
      <c r="FH233" s="909">
        <v>4</v>
      </c>
      <c r="FI233" s="909">
        <v>6.7515934821690724</v>
      </c>
      <c r="FJ233" s="910">
        <v>9523.5705610877103</v>
      </c>
      <c r="FK233" s="871">
        <v>4000</v>
      </c>
      <c r="FL233" s="911">
        <v>76.445421237351638</v>
      </c>
      <c r="FM233" s="908">
        <v>1.937138248338987</v>
      </c>
      <c r="FN233" s="902">
        <v>8.5051223244763694</v>
      </c>
      <c r="FO233" s="902">
        <v>0</v>
      </c>
      <c r="FP233" s="902">
        <v>0.1204240697482819</v>
      </c>
      <c r="FQ233" s="902">
        <v>33.28324510106097</v>
      </c>
      <c r="FR233" s="902">
        <v>0.14708961217613734</v>
      </c>
      <c r="FS233" s="902">
        <v>3600</v>
      </c>
      <c r="FT233" s="909" t="s">
        <v>2877</v>
      </c>
      <c r="FU233" s="909">
        <v>2</v>
      </c>
      <c r="FV233" s="909">
        <v>0</v>
      </c>
      <c r="FW233" s="909">
        <v>0</v>
      </c>
      <c r="FX233" s="909">
        <v>0</v>
      </c>
      <c r="FY233" s="910">
        <v>5355.3669968150807</v>
      </c>
      <c r="FZ233" s="909">
        <v>1</v>
      </c>
      <c r="GA233" s="909">
        <v>4</v>
      </c>
      <c r="GB233" s="909">
        <v>6.7515934821690724</v>
      </c>
      <c r="GC233" s="910">
        <v>9523.5705610877103</v>
      </c>
      <c r="GD233" s="871">
        <v>4000</v>
      </c>
      <c r="GE233" s="911">
        <v>76.445421237351638</v>
      </c>
      <c r="GF233" s="908">
        <v>1.937138248338987</v>
      </c>
      <c r="GG233" s="902">
        <v>8.5051223244763694</v>
      </c>
      <c r="GH233" s="902">
        <v>0</v>
      </c>
      <c r="GI233" s="902">
        <v>0.1204240697482819</v>
      </c>
      <c r="GJ233" s="902">
        <v>33.28324510106097</v>
      </c>
      <c r="GK233" s="902">
        <v>0.14708961217613734</v>
      </c>
      <c r="GL233" s="902">
        <v>2900</v>
      </c>
      <c r="GM233" s="909" t="s">
        <v>2877</v>
      </c>
      <c r="GN233" s="909">
        <v>2</v>
      </c>
      <c r="GO233" s="909">
        <v>0</v>
      </c>
      <c r="GP233" s="909">
        <v>0</v>
      </c>
      <c r="GQ233" s="909">
        <v>0</v>
      </c>
      <c r="GR233" s="910">
        <v>5355.3669968150807</v>
      </c>
      <c r="GS233" s="909">
        <v>1</v>
      </c>
      <c r="GT233" s="909">
        <v>4</v>
      </c>
      <c r="GU233" s="909">
        <v>6.7515934821690724</v>
      </c>
      <c r="GV233" s="910">
        <v>9523.5705610877103</v>
      </c>
      <c r="GW233" s="871">
        <v>4000</v>
      </c>
      <c r="GX233" s="911">
        <v>76.445421237351638</v>
      </c>
      <c r="GY233" s="908">
        <v>1.937138248338987</v>
      </c>
      <c r="GZ233" s="902">
        <v>8.5051223244763694</v>
      </c>
      <c r="HA233" s="902">
        <v>0</v>
      </c>
      <c r="HB233" s="902">
        <v>0.1204240697482819</v>
      </c>
      <c r="HC233" s="902">
        <v>33.28324510106097</v>
      </c>
      <c r="HD233" s="902">
        <v>0.14708961217613734</v>
      </c>
      <c r="HE233" s="902">
        <v>3600</v>
      </c>
      <c r="HF233" s="909" t="s">
        <v>2877</v>
      </c>
      <c r="HG233" s="909">
        <v>2</v>
      </c>
      <c r="HH233" s="909">
        <v>0</v>
      </c>
      <c r="HI233" s="909">
        <v>0</v>
      </c>
      <c r="HJ233" s="909">
        <v>0</v>
      </c>
      <c r="HK233" s="910">
        <v>5355.3669968150807</v>
      </c>
      <c r="HL233" s="909">
        <v>1</v>
      </c>
      <c r="HM233" s="909">
        <v>4</v>
      </c>
      <c r="HN233" s="909">
        <v>6.7515934821690724</v>
      </c>
      <c r="HO233" s="910">
        <v>9523.5705610877103</v>
      </c>
      <c r="HP233" s="871">
        <v>4000</v>
      </c>
      <c r="HQ233" s="911">
        <v>76.445421237351638</v>
      </c>
      <c r="HR233" s="908">
        <v>1.937138248338987</v>
      </c>
      <c r="HS233" s="902">
        <v>8.3846982547280877</v>
      </c>
      <c r="HT233" s="902">
        <v>0</v>
      </c>
      <c r="HU233" s="902">
        <v>0</v>
      </c>
      <c r="HV233" s="902">
        <v>33.043153019419329</v>
      </c>
      <c r="HW233" s="902">
        <v>0.14322437571831453</v>
      </c>
      <c r="HX233" s="902">
        <v>2900</v>
      </c>
      <c r="HY233" s="909" t="s">
        <v>1063</v>
      </c>
      <c r="HZ233" s="909">
        <v>2</v>
      </c>
      <c r="IA233" s="909">
        <v>0</v>
      </c>
      <c r="IB233" s="909">
        <v>0</v>
      </c>
      <c r="IC233" s="909">
        <v>0</v>
      </c>
      <c r="ID233" s="910">
        <v>4722.9897510185137</v>
      </c>
      <c r="IE233" s="909">
        <v>0</v>
      </c>
      <c r="IF233" s="909">
        <v>0</v>
      </c>
      <c r="IG233" s="909">
        <v>0</v>
      </c>
      <c r="IH233" s="910">
        <v>3363.924120234954</v>
      </c>
      <c r="II233" s="871">
        <v>3363.924120234954</v>
      </c>
      <c r="IJ233" s="911">
        <v>64.28914909546215</v>
      </c>
      <c r="IK233" s="908">
        <v>1.937138248338987</v>
      </c>
      <c r="IL233" s="902">
        <v>8.5051223244763694</v>
      </c>
      <c r="IM233" s="902">
        <v>0</v>
      </c>
      <c r="IN233" s="902">
        <v>0.1204240697482819</v>
      </c>
      <c r="IO233" s="902">
        <v>33.28324510106097</v>
      </c>
      <c r="IP233" s="902">
        <v>0.14708961217613734</v>
      </c>
      <c r="IQ233" s="902">
        <v>3600</v>
      </c>
      <c r="IR233" s="909" t="s">
        <v>1063</v>
      </c>
      <c r="IS233" s="909">
        <v>2</v>
      </c>
      <c r="IT233" s="909">
        <v>0</v>
      </c>
      <c r="IU233" s="909">
        <v>0</v>
      </c>
      <c r="IV233" s="909">
        <v>0</v>
      </c>
      <c r="IW233" s="910">
        <v>4722.9897510185137</v>
      </c>
      <c r="IX233" s="909">
        <v>1</v>
      </c>
      <c r="IY233" s="909">
        <v>4</v>
      </c>
      <c r="IZ233" s="909">
        <v>6.7515934821690724</v>
      </c>
      <c r="JA233" s="910">
        <v>8398.9997660046483</v>
      </c>
      <c r="JB233" s="871">
        <v>4000</v>
      </c>
      <c r="JC233" s="911">
        <v>76.445421237351638</v>
      </c>
      <c r="JD233" s="908">
        <v>1.937138248338987</v>
      </c>
      <c r="JE233" s="902">
        <v>8.3846982547280877</v>
      </c>
      <c r="JF233" s="902">
        <v>0</v>
      </c>
      <c r="JG233" s="902">
        <v>0</v>
      </c>
      <c r="JH233" s="902">
        <v>33.043153019419329</v>
      </c>
      <c r="JI233" s="902">
        <v>0.14322437571831453</v>
      </c>
      <c r="JJ233" s="902">
        <v>2900</v>
      </c>
      <c r="JK233" s="909" t="s">
        <v>1064</v>
      </c>
      <c r="JL233" s="909">
        <v>2</v>
      </c>
      <c r="JM233" s="909">
        <v>0</v>
      </c>
      <c r="JN233" s="909">
        <v>0</v>
      </c>
      <c r="JO233" s="909">
        <v>0</v>
      </c>
      <c r="JP233" s="910">
        <v>6436.3501019814576</v>
      </c>
      <c r="JQ233" s="909">
        <v>0</v>
      </c>
      <c r="JR233" s="909">
        <v>0</v>
      </c>
      <c r="JS233" s="909">
        <v>0</v>
      </c>
      <c r="JT233" s="910">
        <v>4584.2558412630478</v>
      </c>
      <c r="JU233" s="871">
        <v>4000</v>
      </c>
      <c r="JV233" s="911">
        <v>76.445421237351638</v>
      </c>
      <c r="JW233" s="908">
        <v>1.937138248338987</v>
      </c>
      <c r="JX233" s="902">
        <v>8.3846982547280877</v>
      </c>
      <c r="JY233" s="902">
        <v>0</v>
      </c>
      <c r="JZ233" s="902">
        <v>0</v>
      </c>
      <c r="KA233" s="902">
        <v>33.043153019419329</v>
      </c>
      <c r="KB233" s="902">
        <v>0.14322437571831453</v>
      </c>
      <c r="KC233" s="902">
        <v>3600</v>
      </c>
      <c r="KD233" s="909" t="s">
        <v>1064</v>
      </c>
      <c r="KE233" s="909">
        <v>2</v>
      </c>
      <c r="KF233" s="909">
        <v>0</v>
      </c>
      <c r="KG233" s="909">
        <v>0</v>
      </c>
      <c r="KH233" s="909">
        <v>0</v>
      </c>
      <c r="KI233" s="910">
        <v>6436.3501019814576</v>
      </c>
      <c r="KJ233" s="909">
        <v>0</v>
      </c>
      <c r="KK233" s="909">
        <v>0</v>
      </c>
      <c r="KL233" s="909">
        <v>0</v>
      </c>
      <c r="KM233" s="910">
        <v>4584.2558412630478</v>
      </c>
      <c r="KN233" s="871">
        <v>4000</v>
      </c>
      <c r="KO233" s="912">
        <v>76.445421237351638</v>
      </c>
    </row>
    <row r="234" spans="1:301" ht="15" customHeight="1">
      <c r="A234" s="1047" t="s">
        <v>1726</v>
      </c>
      <c r="B234" s="888" t="s">
        <v>1073</v>
      </c>
      <c r="C234" s="888">
        <v>275</v>
      </c>
      <c r="D234" s="888">
        <v>365</v>
      </c>
      <c r="E234" s="888"/>
      <c r="F234" s="888"/>
      <c r="G234" s="888">
        <v>28</v>
      </c>
      <c r="H234" s="888">
        <v>100</v>
      </c>
      <c r="I234" s="888">
        <v>100</v>
      </c>
      <c r="J234" s="888">
        <v>50.9</v>
      </c>
      <c r="K234" s="888">
        <v>20.5</v>
      </c>
      <c r="L234" s="888">
        <v>16</v>
      </c>
      <c r="M234" s="888">
        <v>77.115376128144376</v>
      </c>
      <c r="N234" s="888">
        <v>2</v>
      </c>
      <c r="O234" s="884">
        <v>1.6427643240024132</v>
      </c>
      <c r="P234" s="888">
        <v>2</v>
      </c>
      <c r="Q234" s="884">
        <v>0.41924553962155792</v>
      </c>
      <c r="R234" s="888">
        <v>7</v>
      </c>
      <c r="S234" s="888">
        <v>315</v>
      </c>
      <c r="T234" s="906">
        <v>4.2823157453329941</v>
      </c>
      <c r="U234" s="906">
        <v>47.25</v>
      </c>
      <c r="V234" s="906">
        <v>10</v>
      </c>
      <c r="W234" s="1141">
        <v>0.10323439743213468</v>
      </c>
      <c r="X234" s="902">
        <v>0</v>
      </c>
      <c r="Y234" s="902">
        <v>0</v>
      </c>
      <c r="Z234" s="902">
        <v>0</v>
      </c>
      <c r="AA234" s="902">
        <v>0</v>
      </c>
      <c r="AB234" s="970">
        <v>0.82514773280438192</v>
      </c>
      <c r="AC234" s="1045">
        <v>4000</v>
      </c>
      <c r="AD234" s="890"/>
      <c r="AE234" s="890"/>
      <c r="AF234" s="890"/>
      <c r="AG234" s="890"/>
      <c r="AH234" s="888"/>
      <c r="AI234" s="907">
        <v>0.54651641267069806</v>
      </c>
      <c r="AJ234" s="908">
        <v>1.937138248338987</v>
      </c>
      <c r="AK234" s="902">
        <v>8.3846982547280877</v>
      </c>
      <c r="AL234" s="902">
        <v>0</v>
      </c>
      <c r="AM234" s="902">
        <v>0</v>
      </c>
      <c r="AN234" s="902">
        <v>33.043153019419329</v>
      </c>
      <c r="AO234" s="902">
        <v>0.14322437571831453</v>
      </c>
      <c r="AP234" s="1222">
        <v>2900</v>
      </c>
      <c r="AQ234" s="909" t="s">
        <v>1064</v>
      </c>
      <c r="AR234" s="909">
        <v>2</v>
      </c>
      <c r="AS234" s="909">
        <v>0</v>
      </c>
      <c r="AT234" s="909">
        <v>0</v>
      </c>
      <c r="AU234" s="909">
        <v>0</v>
      </c>
      <c r="AV234" s="910">
        <v>6436.3501019814576</v>
      </c>
      <c r="AW234" s="909">
        <v>0</v>
      </c>
      <c r="AX234" s="909">
        <v>0</v>
      </c>
      <c r="AY234" s="909">
        <v>0</v>
      </c>
      <c r="AZ234" s="910">
        <v>4584.2558412630478</v>
      </c>
      <c r="BA234" s="871">
        <v>4000</v>
      </c>
      <c r="BB234" s="911">
        <v>76.445421237351638</v>
      </c>
      <c r="BC234" s="908">
        <v>1.937138248338987</v>
      </c>
      <c r="BD234" s="902">
        <v>8.3846982547280877</v>
      </c>
      <c r="BE234" s="902">
        <v>0</v>
      </c>
      <c r="BF234" s="902">
        <v>0</v>
      </c>
      <c r="BG234" s="902">
        <v>33.043153019419329</v>
      </c>
      <c r="BH234" s="902">
        <v>0.14322437571831453</v>
      </c>
      <c r="BI234" s="902">
        <v>3600</v>
      </c>
      <c r="BJ234" s="909" t="s">
        <v>1064</v>
      </c>
      <c r="BK234" s="909">
        <v>2</v>
      </c>
      <c r="BL234" s="909">
        <v>0</v>
      </c>
      <c r="BM234" s="909">
        <v>0</v>
      </c>
      <c r="BN234" s="909">
        <v>0</v>
      </c>
      <c r="BO234" s="910">
        <v>6436.3501019814576</v>
      </c>
      <c r="BP234" s="909">
        <v>0</v>
      </c>
      <c r="BQ234" s="909">
        <v>0</v>
      </c>
      <c r="BR234" s="909">
        <v>0</v>
      </c>
      <c r="BS234" s="910">
        <v>4584.2558412630478</v>
      </c>
      <c r="BT234" s="871">
        <v>4000</v>
      </c>
      <c r="BU234" s="911">
        <v>76.445421237351638</v>
      </c>
      <c r="BV234" s="908">
        <v>2.9057073725084805</v>
      </c>
      <c r="BW234" s="902">
        <v>9.772280494170932</v>
      </c>
      <c r="BX234" s="902">
        <v>0.14805895833971713</v>
      </c>
      <c r="BY234" s="902">
        <v>0.27095415693363428</v>
      </c>
      <c r="BZ234" s="902">
        <v>35.45088371454608</v>
      </c>
      <c r="CA234" s="902">
        <v>0.18032725916102071</v>
      </c>
      <c r="CB234" s="902">
        <v>2900</v>
      </c>
      <c r="CC234" s="909" t="s">
        <v>2874</v>
      </c>
      <c r="CD234" s="909">
        <v>3</v>
      </c>
      <c r="CE234" s="909">
        <v>1</v>
      </c>
      <c r="CF234" s="909">
        <v>3</v>
      </c>
      <c r="CG234" s="909">
        <v>14.961277643457931</v>
      </c>
      <c r="CH234" s="910">
        <v>8868.2062160622336</v>
      </c>
      <c r="CI234" s="909">
        <v>3</v>
      </c>
      <c r="CJ234" s="909">
        <v>3</v>
      </c>
      <c r="CK234" s="909">
        <v>6.7515934821690724</v>
      </c>
      <c r="CL234" s="910">
        <v>6678.819666283368</v>
      </c>
      <c r="CM234" s="871">
        <v>4000</v>
      </c>
      <c r="CN234" s="911">
        <v>76.445421237351638</v>
      </c>
      <c r="CO234" s="908">
        <v>2.9057073725084805</v>
      </c>
      <c r="CP234" s="902">
        <v>9.772280494170932</v>
      </c>
      <c r="CQ234" s="902">
        <v>0.14805895833971713</v>
      </c>
      <c r="CR234" s="902">
        <v>0.27095415693363428</v>
      </c>
      <c r="CS234" s="902">
        <v>35.45088371454608</v>
      </c>
      <c r="CT234" s="902">
        <v>0.18032725916102071</v>
      </c>
      <c r="CU234" s="902">
        <v>3600</v>
      </c>
      <c r="CV234" s="909" t="s">
        <v>2874</v>
      </c>
      <c r="CW234" s="909">
        <v>3</v>
      </c>
      <c r="CX234" s="909">
        <v>1</v>
      </c>
      <c r="CY234" s="909">
        <v>3</v>
      </c>
      <c r="CZ234" s="909">
        <v>14.961277643457931</v>
      </c>
      <c r="DA234" s="910">
        <v>8868.2062160622336</v>
      </c>
      <c r="DB234" s="909">
        <v>3</v>
      </c>
      <c r="DC234" s="909">
        <v>3</v>
      </c>
      <c r="DD234" s="909">
        <v>6.7515934821690724</v>
      </c>
      <c r="DE234" s="910">
        <v>6678.819666283368</v>
      </c>
      <c r="DF234" s="871">
        <v>4000</v>
      </c>
      <c r="DG234" s="911">
        <v>76.445421237351638</v>
      </c>
      <c r="DH234" s="908">
        <v>1.937138248338987</v>
      </c>
      <c r="DI234" s="902">
        <v>8.6038282967028472</v>
      </c>
      <c r="DJ234" s="902">
        <v>9.8705972226478089E-2</v>
      </c>
      <c r="DK234" s="902">
        <v>0.1204240697482819</v>
      </c>
      <c r="DL234" s="902">
        <v>33.475025258436247</v>
      </c>
      <c r="DM234" s="902">
        <v>0.14916987465264064</v>
      </c>
      <c r="DN234" s="902">
        <v>2900</v>
      </c>
      <c r="DO234" s="909" t="s">
        <v>2876</v>
      </c>
      <c r="DP234" s="909">
        <v>2</v>
      </c>
      <c r="DQ234" s="909">
        <v>1</v>
      </c>
      <c r="DR234" s="909">
        <v>2</v>
      </c>
      <c r="DS234" s="909">
        <v>14.961277643457931</v>
      </c>
      <c r="DT234" s="910">
        <v>9831.9841672744333</v>
      </c>
      <c r="DU234" s="909">
        <v>2</v>
      </c>
      <c r="DV234" s="909">
        <v>2</v>
      </c>
      <c r="DW234" s="909">
        <v>6.7515934821690724</v>
      </c>
      <c r="DX234" s="910">
        <v>7006.836291184698</v>
      </c>
      <c r="DY234" s="871">
        <v>4000</v>
      </c>
      <c r="DZ234" s="911">
        <v>76.445421237351638</v>
      </c>
      <c r="EA234" s="908">
        <v>1.937138248338987</v>
      </c>
      <c r="EB234" s="902">
        <v>8.6038282967028472</v>
      </c>
      <c r="EC234" s="902">
        <v>9.8705972226478089E-2</v>
      </c>
      <c r="ED234" s="902">
        <v>0.1204240697482819</v>
      </c>
      <c r="EE234" s="902">
        <v>33.475025258436247</v>
      </c>
      <c r="EF234" s="902">
        <v>0.14916987465264064</v>
      </c>
      <c r="EG234" s="902">
        <v>3600</v>
      </c>
      <c r="EH234" s="909" t="s">
        <v>2876</v>
      </c>
      <c r="EI234" s="909">
        <v>2</v>
      </c>
      <c r="EJ234" s="909">
        <v>1</v>
      </c>
      <c r="EK234" s="909">
        <v>2</v>
      </c>
      <c r="EL234" s="909">
        <v>14.961277643457931</v>
      </c>
      <c r="EM234" s="910">
        <v>9831.9841672744333</v>
      </c>
      <c r="EN234" s="909">
        <v>2</v>
      </c>
      <c r="EO234" s="909">
        <v>2</v>
      </c>
      <c r="EP234" s="909">
        <v>6.7515934821690724</v>
      </c>
      <c r="EQ234" s="910">
        <v>7006.836291184698</v>
      </c>
      <c r="ER234" s="871">
        <v>4000</v>
      </c>
      <c r="ES234" s="911">
        <v>76.445421237351638</v>
      </c>
      <c r="ET234" s="908">
        <v>1.937138248338987</v>
      </c>
      <c r="EU234" s="902">
        <v>8.5051223244763694</v>
      </c>
      <c r="EV234" s="902">
        <v>0</v>
      </c>
      <c r="EW234" s="902">
        <v>0.1204240697482819</v>
      </c>
      <c r="EX234" s="902">
        <v>33.28324510106097</v>
      </c>
      <c r="EY234" s="902">
        <v>0.14708961217613734</v>
      </c>
      <c r="EZ234" s="902">
        <v>2900</v>
      </c>
      <c r="FA234" s="909" t="s">
        <v>2877</v>
      </c>
      <c r="FB234" s="909">
        <v>2</v>
      </c>
      <c r="FC234" s="909">
        <v>0</v>
      </c>
      <c r="FD234" s="909">
        <v>0</v>
      </c>
      <c r="FE234" s="909">
        <v>0</v>
      </c>
      <c r="FF234" s="910">
        <v>5355.3669968150807</v>
      </c>
      <c r="FG234" s="909">
        <v>1</v>
      </c>
      <c r="FH234" s="909">
        <v>4</v>
      </c>
      <c r="FI234" s="909">
        <v>6.7515934821690724</v>
      </c>
      <c r="FJ234" s="910">
        <v>9523.5705610877103</v>
      </c>
      <c r="FK234" s="871">
        <v>4000</v>
      </c>
      <c r="FL234" s="911">
        <v>76.445421237351638</v>
      </c>
      <c r="FM234" s="908">
        <v>1.937138248338987</v>
      </c>
      <c r="FN234" s="902">
        <v>8.5051223244763694</v>
      </c>
      <c r="FO234" s="902">
        <v>0</v>
      </c>
      <c r="FP234" s="902">
        <v>0.1204240697482819</v>
      </c>
      <c r="FQ234" s="902">
        <v>33.28324510106097</v>
      </c>
      <c r="FR234" s="902">
        <v>0.14708961217613734</v>
      </c>
      <c r="FS234" s="902">
        <v>3600</v>
      </c>
      <c r="FT234" s="909" t="s">
        <v>2877</v>
      </c>
      <c r="FU234" s="909">
        <v>2</v>
      </c>
      <c r="FV234" s="909">
        <v>0</v>
      </c>
      <c r="FW234" s="909">
        <v>0</v>
      </c>
      <c r="FX234" s="909">
        <v>0</v>
      </c>
      <c r="FY234" s="910">
        <v>5355.3669968150807</v>
      </c>
      <c r="FZ234" s="909">
        <v>1</v>
      </c>
      <c r="GA234" s="909">
        <v>4</v>
      </c>
      <c r="GB234" s="909">
        <v>6.7515934821690724</v>
      </c>
      <c r="GC234" s="910">
        <v>9523.5705610877103</v>
      </c>
      <c r="GD234" s="871">
        <v>4000</v>
      </c>
      <c r="GE234" s="911">
        <v>76.445421237351638</v>
      </c>
      <c r="GF234" s="908">
        <v>1.937138248338987</v>
      </c>
      <c r="GG234" s="902">
        <v>8.5051223244763694</v>
      </c>
      <c r="GH234" s="902">
        <v>0</v>
      </c>
      <c r="GI234" s="902">
        <v>0.1204240697482819</v>
      </c>
      <c r="GJ234" s="902">
        <v>33.28324510106097</v>
      </c>
      <c r="GK234" s="902">
        <v>0.14708961217613734</v>
      </c>
      <c r="GL234" s="902">
        <v>2900</v>
      </c>
      <c r="GM234" s="909" t="s">
        <v>2877</v>
      </c>
      <c r="GN234" s="909">
        <v>2</v>
      </c>
      <c r="GO234" s="909">
        <v>0</v>
      </c>
      <c r="GP234" s="909">
        <v>0</v>
      </c>
      <c r="GQ234" s="909">
        <v>0</v>
      </c>
      <c r="GR234" s="910">
        <v>5355.3669968150807</v>
      </c>
      <c r="GS234" s="909">
        <v>1</v>
      </c>
      <c r="GT234" s="909">
        <v>4</v>
      </c>
      <c r="GU234" s="909">
        <v>6.7515934821690724</v>
      </c>
      <c r="GV234" s="910">
        <v>9523.5705610877103</v>
      </c>
      <c r="GW234" s="871">
        <v>4000</v>
      </c>
      <c r="GX234" s="911">
        <v>76.445421237351638</v>
      </c>
      <c r="GY234" s="908">
        <v>1.937138248338987</v>
      </c>
      <c r="GZ234" s="902">
        <v>8.5051223244763694</v>
      </c>
      <c r="HA234" s="902">
        <v>0</v>
      </c>
      <c r="HB234" s="902">
        <v>0.1204240697482819</v>
      </c>
      <c r="HC234" s="902">
        <v>33.28324510106097</v>
      </c>
      <c r="HD234" s="902">
        <v>0.14708961217613734</v>
      </c>
      <c r="HE234" s="902">
        <v>3600</v>
      </c>
      <c r="HF234" s="909" t="s">
        <v>2877</v>
      </c>
      <c r="HG234" s="909">
        <v>2</v>
      </c>
      <c r="HH234" s="909">
        <v>0</v>
      </c>
      <c r="HI234" s="909">
        <v>0</v>
      </c>
      <c r="HJ234" s="909">
        <v>0</v>
      </c>
      <c r="HK234" s="910">
        <v>5355.3669968150807</v>
      </c>
      <c r="HL234" s="909">
        <v>1</v>
      </c>
      <c r="HM234" s="909">
        <v>4</v>
      </c>
      <c r="HN234" s="909">
        <v>6.7515934821690724</v>
      </c>
      <c r="HO234" s="910">
        <v>9523.5705610877103</v>
      </c>
      <c r="HP234" s="871">
        <v>4000</v>
      </c>
      <c r="HQ234" s="911">
        <v>76.445421237351638</v>
      </c>
      <c r="HR234" s="908">
        <v>1.937138248338987</v>
      </c>
      <c r="HS234" s="902">
        <v>8.3846982547280877</v>
      </c>
      <c r="HT234" s="902">
        <v>0</v>
      </c>
      <c r="HU234" s="902">
        <v>0</v>
      </c>
      <c r="HV234" s="902">
        <v>33.043153019419329</v>
      </c>
      <c r="HW234" s="902">
        <v>0.14322437571831453</v>
      </c>
      <c r="HX234" s="902">
        <v>2900</v>
      </c>
      <c r="HY234" s="909" t="s">
        <v>1063</v>
      </c>
      <c r="HZ234" s="909">
        <v>2</v>
      </c>
      <c r="IA234" s="909">
        <v>0</v>
      </c>
      <c r="IB234" s="909">
        <v>0</v>
      </c>
      <c r="IC234" s="909">
        <v>0</v>
      </c>
      <c r="ID234" s="910">
        <v>4722.9897510185137</v>
      </c>
      <c r="IE234" s="909">
        <v>0</v>
      </c>
      <c r="IF234" s="909">
        <v>0</v>
      </c>
      <c r="IG234" s="909">
        <v>0</v>
      </c>
      <c r="IH234" s="910">
        <v>3363.924120234954</v>
      </c>
      <c r="II234" s="871">
        <v>3363.924120234954</v>
      </c>
      <c r="IJ234" s="911">
        <v>64.28914909546215</v>
      </c>
      <c r="IK234" s="908">
        <v>1.937138248338987</v>
      </c>
      <c r="IL234" s="902">
        <v>8.5051223244763694</v>
      </c>
      <c r="IM234" s="902">
        <v>0</v>
      </c>
      <c r="IN234" s="902">
        <v>0.1204240697482819</v>
      </c>
      <c r="IO234" s="902">
        <v>33.28324510106097</v>
      </c>
      <c r="IP234" s="902">
        <v>0.14708961217613734</v>
      </c>
      <c r="IQ234" s="902">
        <v>3600</v>
      </c>
      <c r="IR234" s="909" t="s">
        <v>1063</v>
      </c>
      <c r="IS234" s="909">
        <v>2</v>
      </c>
      <c r="IT234" s="909">
        <v>0</v>
      </c>
      <c r="IU234" s="909">
        <v>0</v>
      </c>
      <c r="IV234" s="909">
        <v>0</v>
      </c>
      <c r="IW234" s="910">
        <v>4722.9897510185137</v>
      </c>
      <c r="IX234" s="909">
        <v>1</v>
      </c>
      <c r="IY234" s="909">
        <v>4</v>
      </c>
      <c r="IZ234" s="909">
        <v>6.7515934821690724</v>
      </c>
      <c r="JA234" s="910">
        <v>8398.9997660046483</v>
      </c>
      <c r="JB234" s="871">
        <v>4000</v>
      </c>
      <c r="JC234" s="911">
        <v>76.445421237351638</v>
      </c>
      <c r="JD234" s="908">
        <v>1.937138248338987</v>
      </c>
      <c r="JE234" s="902">
        <v>8.3846982547280877</v>
      </c>
      <c r="JF234" s="902">
        <v>0</v>
      </c>
      <c r="JG234" s="902">
        <v>0</v>
      </c>
      <c r="JH234" s="902">
        <v>33.043153019419329</v>
      </c>
      <c r="JI234" s="902">
        <v>0.14322437571831453</v>
      </c>
      <c r="JJ234" s="902">
        <v>2900</v>
      </c>
      <c r="JK234" s="909" t="s">
        <v>1064</v>
      </c>
      <c r="JL234" s="909">
        <v>2</v>
      </c>
      <c r="JM234" s="909">
        <v>0</v>
      </c>
      <c r="JN234" s="909">
        <v>0</v>
      </c>
      <c r="JO234" s="909">
        <v>0</v>
      </c>
      <c r="JP234" s="910">
        <v>6436.3501019814576</v>
      </c>
      <c r="JQ234" s="909">
        <v>0</v>
      </c>
      <c r="JR234" s="909">
        <v>0</v>
      </c>
      <c r="JS234" s="909">
        <v>0</v>
      </c>
      <c r="JT234" s="910">
        <v>4584.2558412630478</v>
      </c>
      <c r="JU234" s="871">
        <v>4000</v>
      </c>
      <c r="JV234" s="911">
        <v>76.445421237351638</v>
      </c>
      <c r="JW234" s="908">
        <v>1.937138248338987</v>
      </c>
      <c r="JX234" s="902">
        <v>8.3846982547280877</v>
      </c>
      <c r="JY234" s="902">
        <v>0</v>
      </c>
      <c r="JZ234" s="902">
        <v>0</v>
      </c>
      <c r="KA234" s="902">
        <v>33.043153019419329</v>
      </c>
      <c r="KB234" s="902">
        <v>0.14322437571831453</v>
      </c>
      <c r="KC234" s="902">
        <v>3600</v>
      </c>
      <c r="KD234" s="909" t="s">
        <v>1064</v>
      </c>
      <c r="KE234" s="909">
        <v>2</v>
      </c>
      <c r="KF234" s="909">
        <v>0</v>
      </c>
      <c r="KG234" s="909">
        <v>0</v>
      </c>
      <c r="KH234" s="909">
        <v>0</v>
      </c>
      <c r="KI234" s="910">
        <v>6436.3501019814576</v>
      </c>
      <c r="KJ234" s="909">
        <v>0</v>
      </c>
      <c r="KK234" s="909">
        <v>0</v>
      </c>
      <c r="KL234" s="909">
        <v>0</v>
      </c>
      <c r="KM234" s="910">
        <v>4584.2558412630478</v>
      </c>
      <c r="KN234" s="871">
        <v>4000</v>
      </c>
      <c r="KO234" s="912">
        <v>76.445421237351638</v>
      </c>
    </row>
    <row r="235" spans="1:301" ht="15" customHeight="1">
      <c r="A235" s="1047" t="s">
        <v>1660</v>
      </c>
      <c r="B235" s="888" t="s">
        <v>1073</v>
      </c>
      <c r="C235" s="888">
        <v>302.69</v>
      </c>
      <c r="D235" s="888">
        <v>425</v>
      </c>
      <c r="E235" s="888"/>
      <c r="F235" s="888"/>
      <c r="G235" s="888">
        <v>28</v>
      </c>
      <c r="H235" s="888">
        <v>100</v>
      </c>
      <c r="I235" s="888">
        <v>100</v>
      </c>
      <c r="J235" s="888">
        <v>50</v>
      </c>
      <c r="K235" s="888">
        <v>32.590000000000003</v>
      </c>
      <c r="L235" s="888">
        <v>16</v>
      </c>
      <c r="M235" s="888">
        <v>92.668062120400151</v>
      </c>
      <c r="N235" s="888">
        <v>2</v>
      </c>
      <c r="O235" s="884">
        <v>2.2272419292395265</v>
      </c>
      <c r="P235" s="888">
        <v>2</v>
      </c>
      <c r="Q235" s="884">
        <v>1.003723144858671</v>
      </c>
      <c r="R235" s="888">
        <v>9</v>
      </c>
      <c r="S235" s="888">
        <v>315</v>
      </c>
      <c r="T235" s="906">
        <v>5.5058345297138498</v>
      </c>
      <c r="U235" s="906">
        <v>47.25</v>
      </c>
      <c r="V235" s="906">
        <v>10</v>
      </c>
      <c r="W235" s="1141">
        <v>0.10323439743213468</v>
      </c>
      <c r="X235" s="902">
        <v>0</v>
      </c>
      <c r="Y235" s="902">
        <v>0</v>
      </c>
      <c r="Z235" s="902">
        <v>0</v>
      </c>
      <c r="AA235" s="902">
        <v>0</v>
      </c>
      <c r="AB235" s="970">
        <v>1.088290701235439</v>
      </c>
      <c r="AC235" s="1045">
        <v>4000</v>
      </c>
      <c r="AD235" s="890"/>
      <c r="AE235" s="890"/>
      <c r="AF235" s="890"/>
      <c r="AG235" s="890"/>
      <c r="AH235" s="888"/>
      <c r="AI235" s="907">
        <v>0.72006967071764882</v>
      </c>
      <c r="AJ235" s="908">
        <v>2.3278217204644522</v>
      </c>
      <c r="AK235" s="902">
        <v>11.167855721708634</v>
      </c>
      <c r="AL235" s="902">
        <v>0</v>
      </c>
      <c r="AM235" s="902">
        <v>0</v>
      </c>
      <c r="AN235" s="902">
        <v>32.719927492670053</v>
      </c>
      <c r="AO235" s="902">
        <v>0.23290557855958982</v>
      </c>
      <c r="AP235" s="1222">
        <v>2900</v>
      </c>
      <c r="AQ235" s="909" t="s">
        <v>1064</v>
      </c>
      <c r="AR235" s="909">
        <v>2</v>
      </c>
      <c r="AS235" s="909">
        <v>0</v>
      </c>
      <c r="AT235" s="909">
        <v>0</v>
      </c>
      <c r="AU235" s="909">
        <v>0</v>
      </c>
      <c r="AV235" s="910">
        <v>6076.8190861334479</v>
      </c>
      <c r="AW235" s="909">
        <v>0</v>
      </c>
      <c r="AX235" s="909">
        <v>0</v>
      </c>
      <c r="AY235" s="909">
        <v>0</v>
      </c>
      <c r="AZ235" s="910">
        <v>4479.3779619776833</v>
      </c>
      <c r="BA235" s="871">
        <v>4000</v>
      </c>
      <c r="BB235" s="911">
        <v>89.011791851710797</v>
      </c>
      <c r="BC235" s="908">
        <v>2.3278217204644522</v>
      </c>
      <c r="BD235" s="902">
        <v>11.167855721708634</v>
      </c>
      <c r="BE235" s="902">
        <v>0</v>
      </c>
      <c r="BF235" s="902">
        <v>0</v>
      </c>
      <c r="BG235" s="902">
        <v>32.719927492670053</v>
      </c>
      <c r="BH235" s="902">
        <v>0.23290557855958982</v>
      </c>
      <c r="BI235" s="902">
        <v>3600</v>
      </c>
      <c r="BJ235" s="909" t="s">
        <v>1064</v>
      </c>
      <c r="BK235" s="909">
        <v>2</v>
      </c>
      <c r="BL235" s="909">
        <v>0</v>
      </c>
      <c r="BM235" s="909">
        <v>0</v>
      </c>
      <c r="BN235" s="909">
        <v>0</v>
      </c>
      <c r="BO235" s="910">
        <v>6076.8190861334479</v>
      </c>
      <c r="BP235" s="909">
        <v>0</v>
      </c>
      <c r="BQ235" s="909">
        <v>0</v>
      </c>
      <c r="BR235" s="909">
        <v>0</v>
      </c>
      <c r="BS235" s="910">
        <v>4479.3779619776833</v>
      </c>
      <c r="BT235" s="871">
        <v>4000</v>
      </c>
      <c r="BU235" s="911">
        <v>89.011791851710797</v>
      </c>
      <c r="BV235" s="908">
        <v>3.4917325806966781</v>
      </c>
      <c r="BW235" s="902">
        <v>13.104557960275928</v>
      </c>
      <c r="BX235" s="902">
        <v>0.1928905950474944</v>
      </c>
      <c r="BY235" s="902">
        <v>0.57990078328757555</v>
      </c>
      <c r="BZ235" s="902">
        <v>35.27372253169375</v>
      </c>
      <c r="CA235" s="902">
        <v>0.30217465900549084</v>
      </c>
      <c r="CB235" s="902">
        <v>2900</v>
      </c>
      <c r="CC235" s="909" t="s">
        <v>2874</v>
      </c>
      <c r="CD235" s="909">
        <v>3</v>
      </c>
      <c r="CE235" s="909">
        <v>1</v>
      </c>
      <c r="CF235" s="909">
        <v>3</v>
      </c>
      <c r="CG235" s="909">
        <v>17.7469635104842</v>
      </c>
      <c r="CH235" s="910">
        <v>8210.9293002950926</v>
      </c>
      <c r="CI235" s="909">
        <v>3</v>
      </c>
      <c r="CJ235" s="909">
        <v>3</v>
      </c>
      <c r="CK235" s="909">
        <v>12.47830457541852</v>
      </c>
      <c r="CL235" s="910">
        <v>6438.2617153377378</v>
      </c>
      <c r="CM235" s="871">
        <v>4000</v>
      </c>
      <c r="CN235" s="911">
        <v>89.011791851710797</v>
      </c>
      <c r="CO235" s="908">
        <v>3.4917325806966781</v>
      </c>
      <c r="CP235" s="902">
        <v>13.104557960275928</v>
      </c>
      <c r="CQ235" s="902">
        <v>0.1928905950474944</v>
      </c>
      <c r="CR235" s="902">
        <v>0.57990078328757555</v>
      </c>
      <c r="CS235" s="902">
        <v>35.27372253169375</v>
      </c>
      <c r="CT235" s="902">
        <v>0.30217465900549084</v>
      </c>
      <c r="CU235" s="902">
        <v>3600</v>
      </c>
      <c r="CV235" s="909" t="s">
        <v>2874</v>
      </c>
      <c r="CW235" s="909">
        <v>3</v>
      </c>
      <c r="CX235" s="909">
        <v>1</v>
      </c>
      <c r="CY235" s="909">
        <v>3</v>
      </c>
      <c r="CZ235" s="909">
        <v>17.7469635104842</v>
      </c>
      <c r="DA235" s="910">
        <v>8210.9293002950926</v>
      </c>
      <c r="DB235" s="909">
        <v>3</v>
      </c>
      <c r="DC235" s="909">
        <v>3</v>
      </c>
      <c r="DD235" s="909">
        <v>12.47830457541852</v>
      </c>
      <c r="DE235" s="910">
        <v>6438.2617153377378</v>
      </c>
      <c r="DF235" s="871">
        <v>4000</v>
      </c>
      <c r="DG235" s="911">
        <v>89.011791851710797</v>
      </c>
      <c r="DH235" s="908">
        <v>2.3278217204644522</v>
      </c>
      <c r="DI235" s="902">
        <v>11.554183133201441</v>
      </c>
      <c r="DJ235" s="902">
        <v>0.12859373003166294</v>
      </c>
      <c r="DK235" s="902">
        <v>0.25773368146114461</v>
      </c>
      <c r="DL235" s="902">
        <v>33.29770660567214</v>
      </c>
      <c r="DM235" s="902">
        <v>0.24719163530487129</v>
      </c>
      <c r="DN235" s="902">
        <v>2900</v>
      </c>
      <c r="DO235" s="909" t="s">
        <v>2876</v>
      </c>
      <c r="DP235" s="909">
        <v>2</v>
      </c>
      <c r="DQ235" s="909">
        <v>1</v>
      </c>
      <c r="DR235" s="909">
        <v>2</v>
      </c>
      <c r="DS235" s="909">
        <v>17.7469635104842</v>
      </c>
      <c r="DT235" s="910">
        <v>9103.2757822988078</v>
      </c>
      <c r="DU235" s="909">
        <v>2</v>
      </c>
      <c r="DV235" s="909">
        <v>2</v>
      </c>
      <c r="DW235" s="909">
        <v>12.47830457541852</v>
      </c>
      <c r="DX235" s="910">
        <v>6861.6642362320372</v>
      </c>
      <c r="DY235" s="871">
        <v>4000</v>
      </c>
      <c r="DZ235" s="911">
        <v>89.011791851710797</v>
      </c>
      <c r="EA235" s="908">
        <v>2.3278217204644522</v>
      </c>
      <c r="EB235" s="902">
        <v>11.554183133201441</v>
      </c>
      <c r="EC235" s="902">
        <v>0.12859373003166294</v>
      </c>
      <c r="ED235" s="902">
        <v>0.25773368146114461</v>
      </c>
      <c r="EE235" s="902">
        <v>33.29770660567214</v>
      </c>
      <c r="EF235" s="902">
        <v>0.24719163530487129</v>
      </c>
      <c r="EG235" s="902">
        <v>3600</v>
      </c>
      <c r="EH235" s="909" t="s">
        <v>2876</v>
      </c>
      <c r="EI235" s="909">
        <v>2</v>
      </c>
      <c r="EJ235" s="909">
        <v>1</v>
      </c>
      <c r="EK235" s="909">
        <v>2</v>
      </c>
      <c r="EL235" s="909">
        <v>17.7469635104842</v>
      </c>
      <c r="EM235" s="910">
        <v>9103.2757822988078</v>
      </c>
      <c r="EN235" s="909">
        <v>2</v>
      </c>
      <c r="EO235" s="909">
        <v>2</v>
      </c>
      <c r="EP235" s="909">
        <v>12.47830457541852</v>
      </c>
      <c r="EQ235" s="910">
        <v>6861.6642362320372</v>
      </c>
      <c r="ER235" s="871">
        <v>4000</v>
      </c>
      <c r="ES235" s="911">
        <v>89.011791851710797</v>
      </c>
      <c r="ET235" s="908">
        <v>2.3278217204644522</v>
      </c>
      <c r="EU235" s="902">
        <v>11.425589403169779</v>
      </c>
      <c r="EV235" s="902">
        <v>0</v>
      </c>
      <c r="EW235" s="902">
        <v>0.25773368146114461</v>
      </c>
      <c r="EX235" s="902">
        <v>33.109724162765168</v>
      </c>
      <c r="EY235" s="902">
        <v>0.24388051385453879</v>
      </c>
      <c r="EZ235" s="902">
        <v>2900</v>
      </c>
      <c r="FA235" s="909" t="s">
        <v>2877</v>
      </c>
      <c r="FB235" s="909">
        <v>2</v>
      </c>
      <c r="FC235" s="909">
        <v>0</v>
      </c>
      <c r="FD235" s="909">
        <v>0</v>
      </c>
      <c r="FE235" s="909">
        <v>0</v>
      </c>
      <c r="FF235" s="910">
        <v>5056.2191092551602</v>
      </c>
      <c r="FG235" s="909">
        <v>1</v>
      </c>
      <c r="FH235" s="909">
        <v>4</v>
      </c>
      <c r="FI235" s="909">
        <v>12.47830457541852</v>
      </c>
      <c r="FJ235" s="910">
        <v>9067.7674514148075</v>
      </c>
      <c r="FK235" s="871">
        <v>4000</v>
      </c>
      <c r="FL235" s="911">
        <v>89.011791851710797</v>
      </c>
      <c r="FM235" s="908">
        <v>2.3278217204644522</v>
      </c>
      <c r="FN235" s="902">
        <v>11.425589403169779</v>
      </c>
      <c r="FO235" s="902">
        <v>0</v>
      </c>
      <c r="FP235" s="902">
        <v>0.25773368146114461</v>
      </c>
      <c r="FQ235" s="902">
        <v>33.109724162765168</v>
      </c>
      <c r="FR235" s="902">
        <v>0.24388051385453879</v>
      </c>
      <c r="FS235" s="902">
        <v>3600</v>
      </c>
      <c r="FT235" s="909" t="s">
        <v>2877</v>
      </c>
      <c r="FU235" s="909">
        <v>2</v>
      </c>
      <c r="FV235" s="909">
        <v>0</v>
      </c>
      <c r="FW235" s="909">
        <v>0</v>
      </c>
      <c r="FX235" s="909">
        <v>0</v>
      </c>
      <c r="FY235" s="910">
        <v>5056.2191092551602</v>
      </c>
      <c r="FZ235" s="909">
        <v>1</v>
      </c>
      <c r="GA235" s="909">
        <v>4</v>
      </c>
      <c r="GB235" s="909">
        <v>12.47830457541852</v>
      </c>
      <c r="GC235" s="910">
        <v>9067.7674514148075</v>
      </c>
      <c r="GD235" s="871">
        <v>4000</v>
      </c>
      <c r="GE235" s="911">
        <v>89.011791851710797</v>
      </c>
      <c r="GF235" s="908">
        <v>2.3278217204644522</v>
      </c>
      <c r="GG235" s="902">
        <v>11.425589403169779</v>
      </c>
      <c r="GH235" s="902">
        <v>0</v>
      </c>
      <c r="GI235" s="902">
        <v>0.25773368146114461</v>
      </c>
      <c r="GJ235" s="902">
        <v>33.109724162765168</v>
      </c>
      <c r="GK235" s="902">
        <v>0.24388051385453879</v>
      </c>
      <c r="GL235" s="902">
        <v>2900</v>
      </c>
      <c r="GM235" s="909" t="s">
        <v>2877</v>
      </c>
      <c r="GN235" s="909">
        <v>2</v>
      </c>
      <c r="GO235" s="909">
        <v>0</v>
      </c>
      <c r="GP235" s="909">
        <v>0</v>
      </c>
      <c r="GQ235" s="909">
        <v>0</v>
      </c>
      <c r="GR235" s="910">
        <v>5056.2191092551602</v>
      </c>
      <c r="GS235" s="909">
        <v>1</v>
      </c>
      <c r="GT235" s="909">
        <v>4</v>
      </c>
      <c r="GU235" s="909">
        <v>12.47830457541852</v>
      </c>
      <c r="GV235" s="910">
        <v>9067.7674514148075</v>
      </c>
      <c r="GW235" s="871">
        <v>4000</v>
      </c>
      <c r="GX235" s="911">
        <v>89.011791851710797</v>
      </c>
      <c r="GY235" s="908">
        <v>2.3278217204644522</v>
      </c>
      <c r="GZ235" s="902">
        <v>11.425589403169779</v>
      </c>
      <c r="HA235" s="902">
        <v>0</v>
      </c>
      <c r="HB235" s="902">
        <v>0.25773368146114461</v>
      </c>
      <c r="HC235" s="902">
        <v>33.109724162765168</v>
      </c>
      <c r="HD235" s="902">
        <v>0.24388051385453879</v>
      </c>
      <c r="HE235" s="902">
        <v>3600</v>
      </c>
      <c r="HF235" s="909" t="s">
        <v>2877</v>
      </c>
      <c r="HG235" s="909">
        <v>2</v>
      </c>
      <c r="HH235" s="909">
        <v>0</v>
      </c>
      <c r="HI235" s="909">
        <v>0</v>
      </c>
      <c r="HJ235" s="909">
        <v>0</v>
      </c>
      <c r="HK235" s="910">
        <v>5056.2191092551602</v>
      </c>
      <c r="HL235" s="909">
        <v>1</v>
      </c>
      <c r="HM235" s="909">
        <v>4</v>
      </c>
      <c r="HN235" s="909">
        <v>12.47830457541852</v>
      </c>
      <c r="HO235" s="910">
        <v>9067.7674514148075</v>
      </c>
      <c r="HP235" s="871">
        <v>4000</v>
      </c>
      <c r="HQ235" s="911">
        <v>89.011791851710797</v>
      </c>
      <c r="HR235" s="908">
        <v>2.3278217204644522</v>
      </c>
      <c r="HS235" s="902">
        <v>11.167855721708634</v>
      </c>
      <c r="HT235" s="902">
        <v>0</v>
      </c>
      <c r="HU235" s="902">
        <v>0</v>
      </c>
      <c r="HV235" s="902">
        <v>32.719927492670053</v>
      </c>
      <c r="HW235" s="902">
        <v>0.23290557855958982</v>
      </c>
      <c r="HX235" s="902">
        <v>2900</v>
      </c>
      <c r="HY235" s="909" t="s">
        <v>1063</v>
      </c>
      <c r="HZ235" s="909">
        <v>2</v>
      </c>
      <c r="IA235" s="909">
        <v>0</v>
      </c>
      <c r="IB235" s="909">
        <v>0</v>
      </c>
      <c r="IC235" s="909">
        <v>0</v>
      </c>
      <c r="ID235" s="910">
        <v>4459.1661124472275</v>
      </c>
      <c r="IE235" s="909">
        <v>0</v>
      </c>
      <c r="IF235" s="909">
        <v>0</v>
      </c>
      <c r="IG235" s="909">
        <v>0</v>
      </c>
      <c r="IH235" s="910">
        <v>3286.9647968412742</v>
      </c>
      <c r="II235" s="871">
        <v>3286.9647968412742</v>
      </c>
      <c r="IJ235" s="911">
        <v>73.144656580084103</v>
      </c>
      <c r="IK235" s="908">
        <v>2.3278217204644522</v>
      </c>
      <c r="IL235" s="902">
        <v>11.425589403169779</v>
      </c>
      <c r="IM235" s="902">
        <v>0</v>
      </c>
      <c r="IN235" s="902">
        <v>0.25773368146114461</v>
      </c>
      <c r="IO235" s="902">
        <v>33.109724162765168</v>
      </c>
      <c r="IP235" s="902">
        <v>0.24388051385453879</v>
      </c>
      <c r="IQ235" s="902">
        <v>3600</v>
      </c>
      <c r="IR235" s="909" t="s">
        <v>1063</v>
      </c>
      <c r="IS235" s="909">
        <v>2</v>
      </c>
      <c r="IT235" s="909">
        <v>0</v>
      </c>
      <c r="IU235" s="909">
        <v>0</v>
      </c>
      <c r="IV235" s="909">
        <v>0</v>
      </c>
      <c r="IW235" s="910">
        <v>4459.1661124472275</v>
      </c>
      <c r="IX235" s="909">
        <v>1</v>
      </c>
      <c r="IY235" s="909">
        <v>4</v>
      </c>
      <c r="IZ235" s="909">
        <v>12.47830457541852</v>
      </c>
      <c r="JA235" s="910">
        <v>7997.0192076698486</v>
      </c>
      <c r="JB235" s="871">
        <v>4000</v>
      </c>
      <c r="JC235" s="911">
        <v>89.011791851710797</v>
      </c>
      <c r="JD235" s="908">
        <v>2.3278217204644522</v>
      </c>
      <c r="JE235" s="902">
        <v>11.167855721708634</v>
      </c>
      <c r="JF235" s="902">
        <v>0</v>
      </c>
      <c r="JG235" s="902">
        <v>0</v>
      </c>
      <c r="JH235" s="902">
        <v>32.719927492670053</v>
      </c>
      <c r="JI235" s="902">
        <v>0.23290557855958982</v>
      </c>
      <c r="JJ235" s="902">
        <v>2900</v>
      </c>
      <c r="JK235" s="909" t="s">
        <v>1064</v>
      </c>
      <c r="JL235" s="909">
        <v>2</v>
      </c>
      <c r="JM235" s="909">
        <v>0</v>
      </c>
      <c r="JN235" s="909">
        <v>0</v>
      </c>
      <c r="JO235" s="909">
        <v>0</v>
      </c>
      <c r="JP235" s="910">
        <v>6076.8190861334479</v>
      </c>
      <c r="JQ235" s="909">
        <v>0</v>
      </c>
      <c r="JR235" s="909">
        <v>0</v>
      </c>
      <c r="JS235" s="909">
        <v>0</v>
      </c>
      <c r="JT235" s="910">
        <v>4479.3779619776833</v>
      </c>
      <c r="JU235" s="871">
        <v>4000</v>
      </c>
      <c r="JV235" s="911">
        <v>89.011791851710797</v>
      </c>
      <c r="JW235" s="908">
        <v>2.3278217204644522</v>
      </c>
      <c r="JX235" s="902">
        <v>11.167855721708634</v>
      </c>
      <c r="JY235" s="902">
        <v>0</v>
      </c>
      <c r="JZ235" s="902">
        <v>0</v>
      </c>
      <c r="KA235" s="902">
        <v>32.719927492670053</v>
      </c>
      <c r="KB235" s="902">
        <v>0.23290557855958982</v>
      </c>
      <c r="KC235" s="902">
        <v>3600</v>
      </c>
      <c r="KD235" s="909" t="s">
        <v>1064</v>
      </c>
      <c r="KE235" s="909">
        <v>2</v>
      </c>
      <c r="KF235" s="909">
        <v>0</v>
      </c>
      <c r="KG235" s="909">
        <v>0</v>
      </c>
      <c r="KH235" s="909">
        <v>0</v>
      </c>
      <c r="KI235" s="910">
        <v>6076.8190861334479</v>
      </c>
      <c r="KJ235" s="909">
        <v>0</v>
      </c>
      <c r="KK235" s="909">
        <v>0</v>
      </c>
      <c r="KL235" s="909">
        <v>0</v>
      </c>
      <c r="KM235" s="910">
        <v>4479.3779619776833</v>
      </c>
      <c r="KN235" s="871">
        <v>4000</v>
      </c>
      <c r="KO235" s="912">
        <v>89.011791851710797</v>
      </c>
    </row>
    <row r="236" spans="1:301" ht="15" customHeight="1">
      <c r="A236" s="1047" t="s">
        <v>1727</v>
      </c>
      <c r="B236" s="888" t="s">
        <v>1073</v>
      </c>
      <c r="C236" s="888">
        <v>302.69</v>
      </c>
      <c r="D236" s="888">
        <v>425</v>
      </c>
      <c r="E236" s="888"/>
      <c r="F236" s="888"/>
      <c r="G236" s="888">
        <v>28</v>
      </c>
      <c r="H236" s="888">
        <v>100</v>
      </c>
      <c r="I236" s="888">
        <v>100</v>
      </c>
      <c r="J236" s="888">
        <v>50</v>
      </c>
      <c r="K236" s="888">
        <v>32.590000000000003</v>
      </c>
      <c r="L236" s="888">
        <v>16</v>
      </c>
      <c r="M236" s="888">
        <v>92.668062120400151</v>
      </c>
      <c r="N236" s="888">
        <v>2</v>
      </c>
      <c r="O236" s="884">
        <v>2.2272419292395265</v>
      </c>
      <c r="P236" s="888">
        <v>2</v>
      </c>
      <c r="Q236" s="884">
        <v>1.003723144858671</v>
      </c>
      <c r="R236" s="888">
        <v>9</v>
      </c>
      <c r="S236" s="888">
        <v>315</v>
      </c>
      <c r="T236" s="906">
        <v>5.5058345297138498</v>
      </c>
      <c r="U236" s="906">
        <v>47.25</v>
      </c>
      <c r="V236" s="906">
        <v>10</v>
      </c>
      <c r="W236" s="1141">
        <v>0.10323439743213468</v>
      </c>
      <c r="X236" s="902">
        <v>0</v>
      </c>
      <c r="Y236" s="902">
        <v>0</v>
      </c>
      <c r="Z236" s="902">
        <v>0</v>
      </c>
      <c r="AA236" s="902">
        <v>0</v>
      </c>
      <c r="AB236" s="970">
        <v>1.088290701235439</v>
      </c>
      <c r="AC236" s="1045">
        <v>4000</v>
      </c>
      <c r="AD236" s="890"/>
      <c r="AE236" s="890"/>
      <c r="AF236" s="890"/>
      <c r="AG236" s="890"/>
      <c r="AH236" s="888"/>
      <c r="AI236" s="907">
        <v>0.72006967071764882</v>
      </c>
      <c r="AJ236" s="908">
        <v>2.3278217204644522</v>
      </c>
      <c r="AK236" s="902">
        <v>11.167855721708634</v>
      </c>
      <c r="AL236" s="902">
        <v>0</v>
      </c>
      <c r="AM236" s="902">
        <v>0</v>
      </c>
      <c r="AN236" s="902">
        <v>32.719927492670053</v>
      </c>
      <c r="AO236" s="902">
        <v>0.23290557855958982</v>
      </c>
      <c r="AP236" s="1222">
        <v>2900</v>
      </c>
      <c r="AQ236" s="909" t="s">
        <v>1064</v>
      </c>
      <c r="AR236" s="909">
        <v>2</v>
      </c>
      <c r="AS236" s="909">
        <v>0</v>
      </c>
      <c r="AT236" s="909">
        <v>0</v>
      </c>
      <c r="AU236" s="909">
        <v>0</v>
      </c>
      <c r="AV236" s="910">
        <v>6076.8190861334479</v>
      </c>
      <c r="AW236" s="909">
        <v>0</v>
      </c>
      <c r="AX236" s="909">
        <v>0</v>
      </c>
      <c r="AY236" s="909">
        <v>0</v>
      </c>
      <c r="AZ236" s="910">
        <v>4479.3779619776833</v>
      </c>
      <c r="BA236" s="871">
        <v>4000</v>
      </c>
      <c r="BB236" s="911">
        <v>89.011791851710797</v>
      </c>
      <c r="BC236" s="908">
        <v>2.3278217204644522</v>
      </c>
      <c r="BD236" s="902">
        <v>11.167855721708634</v>
      </c>
      <c r="BE236" s="902">
        <v>0</v>
      </c>
      <c r="BF236" s="902">
        <v>0</v>
      </c>
      <c r="BG236" s="902">
        <v>32.719927492670053</v>
      </c>
      <c r="BH236" s="902">
        <v>0.23290557855958982</v>
      </c>
      <c r="BI236" s="902">
        <v>3600</v>
      </c>
      <c r="BJ236" s="909" t="s">
        <v>1064</v>
      </c>
      <c r="BK236" s="909">
        <v>2</v>
      </c>
      <c r="BL236" s="909">
        <v>0</v>
      </c>
      <c r="BM236" s="909">
        <v>0</v>
      </c>
      <c r="BN236" s="909">
        <v>0</v>
      </c>
      <c r="BO236" s="910">
        <v>6076.8190861334479</v>
      </c>
      <c r="BP236" s="909">
        <v>0</v>
      </c>
      <c r="BQ236" s="909">
        <v>0</v>
      </c>
      <c r="BR236" s="909">
        <v>0</v>
      </c>
      <c r="BS236" s="910">
        <v>4479.3779619776833</v>
      </c>
      <c r="BT236" s="871">
        <v>4000</v>
      </c>
      <c r="BU236" s="911">
        <v>89.011791851710797</v>
      </c>
      <c r="BV236" s="908">
        <v>3.4917325806966781</v>
      </c>
      <c r="BW236" s="902">
        <v>13.104557960275928</v>
      </c>
      <c r="BX236" s="902">
        <v>0.1928905950474944</v>
      </c>
      <c r="BY236" s="902">
        <v>0.57990078328757555</v>
      </c>
      <c r="BZ236" s="902">
        <v>35.27372253169375</v>
      </c>
      <c r="CA236" s="902">
        <v>0.30217465900549084</v>
      </c>
      <c r="CB236" s="902">
        <v>2900</v>
      </c>
      <c r="CC236" s="909" t="s">
        <v>2874</v>
      </c>
      <c r="CD236" s="909">
        <v>3</v>
      </c>
      <c r="CE236" s="909">
        <v>1</v>
      </c>
      <c r="CF236" s="909">
        <v>3</v>
      </c>
      <c r="CG236" s="909">
        <v>17.7469635104842</v>
      </c>
      <c r="CH236" s="910">
        <v>8210.9293002950926</v>
      </c>
      <c r="CI236" s="909">
        <v>3</v>
      </c>
      <c r="CJ236" s="909">
        <v>3</v>
      </c>
      <c r="CK236" s="909">
        <v>12.47830457541852</v>
      </c>
      <c r="CL236" s="910">
        <v>6438.2617153377378</v>
      </c>
      <c r="CM236" s="871">
        <v>4000</v>
      </c>
      <c r="CN236" s="911">
        <v>89.011791851710797</v>
      </c>
      <c r="CO236" s="908">
        <v>3.4917325806966781</v>
      </c>
      <c r="CP236" s="902">
        <v>13.104557960275928</v>
      </c>
      <c r="CQ236" s="902">
        <v>0.1928905950474944</v>
      </c>
      <c r="CR236" s="902">
        <v>0.57990078328757555</v>
      </c>
      <c r="CS236" s="902">
        <v>35.27372253169375</v>
      </c>
      <c r="CT236" s="902">
        <v>0.30217465900549084</v>
      </c>
      <c r="CU236" s="902">
        <v>3600</v>
      </c>
      <c r="CV236" s="909" t="s">
        <v>2874</v>
      </c>
      <c r="CW236" s="909">
        <v>3</v>
      </c>
      <c r="CX236" s="909">
        <v>1</v>
      </c>
      <c r="CY236" s="909">
        <v>3</v>
      </c>
      <c r="CZ236" s="909">
        <v>17.7469635104842</v>
      </c>
      <c r="DA236" s="910">
        <v>8210.9293002950926</v>
      </c>
      <c r="DB236" s="909">
        <v>3</v>
      </c>
      <c r="DC236" s="909">
        <v>3</v>
      </c>
      <c r="DD236" s="909">
        <v>12.47830457541852</v>
      </c>
      <c r="DE236" s="910">
        <v>6438.2617153377378</v>
      </c>
      <c r="DF236" s="871">
        <v>4000</v>
      </c>
      <c r="DG236" s="911">
        <v>89.011791851710797</v>
      </c>
      <c r="DH236" s="908">
        <v>2.3278217204644522</v>
      </c>
      <c r="DI236" s="902">
        <v>11.554183133201441</v>
      </c>
      <c r="DJ236" s="902">
        <v>0.12859373003166294</v>
      </c>
      <c r="DK236" s="902">
        <v>0.25773368146114461</v>
      </c>
      <c r="DL236" s="902">
        <v>33.29770660567214</v>
      </c>
      <c r="DM236" s="902">
        <v>0.24719163530487129</v>
      </c>
      <c r="DN236" s="902">
        <v>2900</v>
      </c>
      <c r="DO236" s="909" t="s">
        <v>2876</v>
      </c>
      <c r="DP236" s="909">
        <v>2</v>
      </c>
      <c r="DQ236" s="909">
        <v>1</v>
      </c>
      <c r="DR236" s="909">
        <v>2</v>
      </c>
      <c r="DS236" s="909">
        <v>17.7469635104842</v>
      </c>
      <c r="DT236" s="910">
        <v>9103.2757822988078</v>
      </c>
      <c r="DU236" s="909">
        <v>2</v>
      </c>
      <c r="DV236" s="909">
        <v>2</v>
      </c>
      <c r="DW236" s="909">
        <v>12.47830457541852</v>
      </c>
      <c r="DX236" s="910">
        <v>6861.6642362320372</v>
      </c>
      <c r="DY236" s="871">
        <v>4000</v>
      </c>
      <c r="DZ236" s="911">
        <v>89.011791851710797</v>
      </c>
      <c r="EA236" s="908">
        <v>2.3278217204644522</v>
      </c>
      <c r="EB236" s="902">
        <v>11.554183133201441</v>
      </c>
      <c r="EC236" s="902">
        <v>0.12859373003166294</v>
      </c>
      <c r="ED236" s="902">
        <v>0.25773368146114461</v>
      </c>
      <c r="EE236" s="902">
        <v>33.29770660567214</v>
      </c>
      <c r="EF236" s="902">
        <v>0.24719163530487129</v>
      </c>
      <c r="EG236" s="902">
        <v>3600</v>
      </c>
      <c r="EH236" s="909" t="s">
        <v>2876</v>
      </c>
      <c r="EI236" s="909">
        <v>2</v>
      </c>
      <c r="EJ236" s="909">
        <v>1</v>
      </c>
      <c r="EK236" s="909">
        <v>2</v>
      </c>
      <c r="EL236" s="909">
        <v>17.7469635104842</v>
      </c>
      <c r="EM236" s="910">
        <v>9103.2757822988078</v>
      </c>
      <c r="EN236" s="909">
        <v>2</v>
      </c>
      <c r="EO236" s="909">
        <v>2</v>
      </c>
      <c r="EP236" s="909">
        <v>12.47830457541852</v>
      </c>
      <c r="EQ236" s="910">
        <v>6861.6642362320372</v>
      </c>
      <c r="ER236" s="871">
        <v>4000</v>
      </c>
      <c r="ES236" s="911">
        <v>89.011791851710797</v>
      </c>
      <c r="ET236" s="908">
        <v>2.3278217204644522</v>
      </c>
      <c r="EU236" s="902">
        <v>11.425589403169779</v>
      </c>
      <c r="EV236" s="902">
        <v>0</v>
      </c>
      <c r="EW236" s="902">
        <v>0.25773368146114461</v>
      </c>
      <c r="EX236" s="902">
        <v>33.109724162765168</v>
      </c>
      <c r="EY236" s="902">
        <v>0.24388051385453879</v>
      </c>
      <c r="EZ236" s="902">
        <v>2900</v>
      </c>
      <c r="FA236" s="909" t="s">
        <v>2877</v>
      </c>
      <c r="FB236" s="909">
        <v>2</v>
      </c>
      <c r="FC236" s="909">
        <v>0</v>
      </c>
      <c r="FD236" s="909">
        <v>0</v>
      </c>
      <c r="FE236" s="909">
        <v>0</v>
      </c>
      <c r="FF236" s="910">
        <v>5056.2191092551602</v>
      </c>
      <c r="FG236" s="909">
        <v>1</v>
      </c>
      <c r="FH236" s="909">
        <v>4</v>
      </c>
      <c r="FI236" s="909">
        <v>12.47830457541852</v>
      </c>
      <c r="FJ236" s="910">
        <v>9067.7674514148075</v>
      </c>
      <c r="FK236" s="871">
        <v>4000</v>
      </c>
      <c r="FL236" s="911">
        <v>89.011791851710797</v>
      </c>
      <c r="FM236" s="908">
        <v>2.3278217204644522</v>
      </c>
      <c r="FN236" s="902">
        <v>11.425589403169779</v>
      </c>
      <c r="FO236" s="902">
        <v>0</v>
      </c>
      <c r="FP236" s="902">
        <v>0.25773368146114461</v>
      </c>
      <c r="FQ236" s="902">
        <v>33.109724162765168</v>
      </c>
      <c r="FR236" s="902">
        <v>0.24388051385453879</v>
      </c>
      <c r="FS236" s="902">
        <v>3600</v>
      </c>
      <c r="FT236" s="909" t="s">
        <v>2877</v>
      </c>
      <c r="FU236" s="909">
        <v>2</v>
      </c>
      <c r="FV236" s="909">
        <v>0</v>
      </c>
      <c r="FW236" s="909">
        <v>0</v>
      </c>
      <c r="FX236" s="909">
        <v>0</v>
      </c>
      <c r="FY236" s="910">
        <v>5056.2191092551602</v>
      </c>
      <c r="FZ236" s="909">
        <v>1</v>
      </c>
      <c r="GA236" s="909">
        <v>4</v>
      </c>
      <c r="GB236" s="909">
        <v>12.47830457541852</v>
      </c>
      <c r="GC236" s="910">
        <v>9067.7674514148075</v>
      </c>
      <c r="GD236" s="871">
        <v>4000</v>
      </c>
      <c r="GE236" s="911">
        <v>89.011791851710797</v>
      </c>
      <c r="GF236" s="908">
        <v>2.3278217204644522</v>
      </c>
      <c r="GG236" s="902">
        <v>11.425589403169779</v>
      </c>
      <c r="GH236" s="902">
        <v>0</v>
      </c>
      <c r="GI236" s="902">
        <v>0.25773368146114461</v>
      </c>
      <c r="GJ236" s="902">
        <v>33.109724162765168</v>
      </c>
      <c r="GK236" s="902">
        <v>0.24388051385453879</v>
      </c>
      <c r="GL236" s="902">
        <v>2900</v>
      </c>
      <c r="GM236" s="909" t="s">
        <v>2877</v>
      </c>
      <c r="GN236" s="909">
        <v>2</v>
      </c>
      <c r="GO236" s="909">
        <v>0</v>
      </c>
      <c r="GP236" s="909">
        <v>0</v>
      </c>
      <c r="GQ236" s="909">
        <v>0</v>
      </c>
      <c r="GR236" s="910">
        <v>5056.2191092551602</v>
      </c>
      <c r="GS236" s="909">
        <v>1</v>
      </c>
      <c r="GT236" s="909">
        <v>4</v>
      </c>
      <c r="GU236" s="909">
        <v>12.47830457541852</v>
      </c>
      <c r="GV236" s="910">
        <v>9067.7674514148075</v>
      </c>
      <c r="GW236" s="871">
        <v>4000</v>
      </c>
      <c r="GX236" s="911">
        <v>89.011791851710797</v>
      </c>
      <c r="GY236" s="908">
        <v>2.3278217204644522</v>
      </c>
      <c r="GZ236" s="902">
        <v>11.425589403169779</v>
      </c>
      <c r="HA236" s="902">
        <v>0</v>
      </c>
      <c r="HB236" s="902">
        <v>0.25773368146114461</v>
      </c>
      <c r="HC236" s="902">
        <v>33.109724162765168</v>
      </c>
      <c r="HD236" s="902">
        <v>0.24388051385453879</v>
      </c>
      <c r="HE236" s="902">
        <v>3600</v>
      </c>
      <c r="HF236" s="909" t="s">
        <v>2877</v>
      </c>
      <c r="HG236" s="909">
        <v>2</v>
      </c>
      <c r="HH236" s="909">
        <v>0</v>
      </c>
      <c r="HI236" s="909">
        <v>0</v>
      </c>
      <c r="HJ236" s="909">
        <v>0</v>
      </c>
      <c r="HK236" s="910">
        <v>5056.2191092551602</v>
      </c>
      <c r="HL236" s="909">
        <v>1</v>
      </c>
      <c r="HM236" s="909">
        <v>4</v>
      </c>
      <c r="HN236" s="909">
        <v>12.47830457541852</v>
      </c>
      <c r="HO236" s="910">
        <v>9067.7674514148075</v>
      </c>
      <c r="HP236" s="871">
        <v>4000</v>
      </c>
      <c r="HQ236" s="911">
        <v>89.011791851710797</v>
      </c>
      <c r="HR236" s="908">
        <v>2.3278217204644522</v>
      </c>
      <c r="HS236" s="902">
        <v>11.167855721708634</v>
      </c>
      <c r="HT236" s="902">
        <v>0</v>
      </c>
      <c r="HU236" s="902">
        <v>0</v>
      </c>
      <c r="HV236" s="902">
        <v>32.719927492670053</v>
      </c>
      <c r="HW236" s="902">
        <v>0.23290557855958982</v>
      </c>
      <c r="HX236" s="902">
        <v>2900</v>
      </c>
      <c r="HY236" s="909" t="s">
        <v>1063</v>
      </c>
      <c r="HZ236" s="909">
        <v>2</v>
      </c>
      <c r="IA236" s="909">
        <v>0</v>
      </c>
      <c r="IB236" s="909">
        <v>0</v>
      </c>
      <c r="IC236" s="909">
        <v>0</v>
      </c>
      <c r="ID236" s="910">
        <v>4459.1661124472275</v>
      </c>
      <c r="IE236" s="909">
        <v>0</v>
      </c>
      <c r="IF236" s="909">
        <v>0</v>
      </c>
      <c r="IG236" s="909">
        <v>0</v>
      </c>
      <c r="IH236" s="910">
        <v>3286.9647968412742</v>
      </c>
      <c r="II236" s="871">
        <v>3286.9647968412742</v>
      </c>
      <c r="IJ236" s="911">
        <v>73.144656580084103</v>
      </c>
      <c r="IK236" s="908">
        <v>2.3278217204644522</v>
      </c>
      <c r="IL236" s="902">
        <v>11.425589403169779</v>
      </c>
      <c r="IM236" s="902">
        <v>0</v>
      </c>
      <c r="IN236" s="902">
        <v>0.25773368146114461</v>
      </c>
      <c r="IO236" s="902">
        <v>33.109724162765168</v>
      </c>
      <c r="IP236" s="902">
        <v>0.24388051385453879</v>
      </c>
      <c r="IQ236" s="902">
        <v>3600</v>
      </c>
      <c r="IR236" s="909" t="s">
        <v>1063</v>
      </c>
      <c r="IS236" s="909">
        <v>2</v>
      </c>
      <c r="IT236" s="909">
        <v>0</v>
      </c>
      <c r="IU236" s="909">
        <v>0</v>
      </c>
      <c r="IV236" s="909">
        <v>0</v>
      </c>
      <c r="IW236" s="910">
        <v>4459.1661124472275</v>
      </c>
      <c r="IX236" s="909">
        <v>1</v>
      </c>
      <c r="IY236" s="909">
        <v>4</v>
      </c>
      <c r="IZ236" s="909">
        <v>12.47830457541852</v>
      </c>
      <c r="JA236" s="910">
        <v>7997.0192076698486</v>
      </c>
      <c r="JB236" s="871">
        <v>4000</v>
      </c>
      <c r="JC236" s="911">
        <v>89.011791851710797</v>
      </c>
      <c r="JD236" s="908">
        <v>2.3278217204644522</v>
      </c>
      <c r="JE236" s="902">
        <v>11.167855721708634</v>
      </c>
      <c r="JF236" s="902">
        <v>0</v>
      </c>
      <c r="JG236" s="902">
        <v>0</v>
      </c>
      <c r="JH236" s="902">
        <v>32.719927492670053</v>
      </c>
      <c r="JI236" s="902">
        <v>0.23290557855958982</v>
      </c>
      <c r="JJ236" s="902">
        <v>2900</v>
      </c>
      <c r="JK236" s="909" t="s">
        <v>1064</v>
      </c>
      <c r="JL236" s="909">
        <v>2</v>
      </c>
      <c r="JM236" s="909">
        <v>0</v>
      </c>
      <c r="JN236" s="909">
        <v>0</v>
      </c>
      <c r="JO236" s="909">
        <v>0</v>
      </c>
      <c r="JP236" s="910">
        <v>6076.8190861334479</v>
      </c>
      <c r="JQ236" s="909">
        <v>0</v>
      </c>
      <c r="JR236" s="909">
        <v>0</v>
      </c>
      <c r="JS236" s="909">
        <v>0</v>
      </c>
      <c r="JT236" s="910">
        <v>4479.3779619776833</v>
      </c>
      <c r="JU236" s="871">
        <v>4000</v>
      </c>
      <c r="JV236" s="911">
        <v>89.011791851710797</v>
      </c>
      <c r="JW236" s="908">
        <v>2.3278217204644522</v>
      </c>
      <c r="JX236" s="902">
        <v>11.167855721708634</v>
      </c>
      <c r="JY236" s="902">
        <v>0</v>
      </c>
      <c r="JZ236" s="902">
        <v>0</v>
      </c>
      <c r="KA236" s="902">
        <v>32.719927492670053</v>
      </c>
      <c r="KB236" s="902">
        <v>0.23290557855958982</v>
      </c>
      <c r="KC236" s="902">
        <v>3600</v>
      </c>
      <c r="KD236" s="909" t="s">
        <v>1064</v>
      </c>
      <c r="KE236" s="909">
        <v>2</v>
      </c>
      <c r="KF236" s="909">
        <v>0</v>
      </c>
      <c r="KG236" s="909">
        <v>0</v>
      </c>
      <c r="KH236" s="909">
        <v>0</v>
      </c>
      <c r="KI236" s="910">
        <v>6076.8190861334479</v>
      </c>
      <c r="KJ236" s="909">
        <v>0</v>
      </c>
      <c r="KK236" s="909">
        <v>0</v>
      </c>
      <c r="KL236" s="909">
        <v>0</v>
      </c>
      <c r="KM236" s="910">
        <v>4479.3779619776833</v>
      </c>
      <c r="KN236" s="871">
        <v>4000</v>
      </c>
      <c r="KO236" s="912">
        <v>89.011791851710797</v>
      </c>
    </row>
    <row r="237" spans="1:301" ht="15" customHeight="1">
      <c r="A237" s="1047" t="s">
        <v>1661</v>
      </c>
      <c r="B237" s="888" t="s">
        <v>1073</v>
      </c>
      <c r="C237" s="888">
        <v>260</v>
      </c>
      <c r="D237" s="888">
        <v>370</v>
      </c>
      <c r="E237" s="888"/>
      <c r="F237" s="888"/>
      <c r="G237" s="888">
        <v>28</v>
      </c>
      <c r="H237" s="888">
        <v>130</v>
      </c>
      <c r="I237" s="888">
        <v>130</v>
      </c>
      <c r="J237" s="888">
        <v>40.590000000000003</v>
      </c>
      <c r="K237" s="888">
        <v>56.99</v>
      </c>
      <c r="L237" s="888">
        <v>16</v>
      </c>
      <c r="M237" s="888">
        <v>73.109138366574413</v>
      </c>
      <c r="N237" s="888">
        <v>2</v>
      </c>
      <c r="O237" s="884">
        <v>1.6880798345350376</v>
      </c>
      <c r="P237" s="888">
        <v>2</v>
      </c>
      <c r="Q237" s="884">
        <v>0.4645610501541822</v>
      </c>
      <c r="R237" s="888">
        <v>9</v>
      </c>
      <c r="S237" s="888">
        <v>315</v>
      </c>
      <c r="T237" s="906">
        <v>5.5058345297138498</v>
      </c>
      <c r="U237" s="906">
        <v>47.25</v>
      </c>
      <c r="V237" s="906">
        <v>10</v>
      </c>
      <c r="W237" s="1141">
        <v>0.10323439743213468</v>
      </c>
      <c r="X237" s="902">
        <v>0</v>
      </c>
      <c r="Y237" s="902">
        <v>0</v>
      </c>
      <c r="Z237" s="902">
        <v>0</v>
      </c>
      <c r="AA237" s="902">
        <v>0</v>
      </c>
      <c r="AB237" s="970">
        <v>1.0691121368931067</v>
      </c>
      <c r="AC237" s="1045">
        <v>4000</v>
      </c>
      <c r="AD237" s="890"/>
      <c r="AE237" s="890"/>
      <c r="AF237" s="890"/>
      <c r="AG237" s="890"/>
      <c r="AH237" s="888"/>
      <c r="AI237" s="907">
        <v>0.62803221819005728</v>
      </c>
      <c r="AJ237" s="908">
        <v>2.3874520224988545</v>
      </c>
      <c r="AK237" s="902">
        <v>10.149161834334059</v>
      </c>
      <c r="AL237" s="902">
        <v>0</v>
      </c>
      <c r="AM237" s="902">
        <v>0</v>
      </c>
      <c r="AN237" s="902">
        <v>39.450720651483181</v>
      </c>
      <c r="AO237" s="902">
        <v>0.17191787214092191</v>
      </c>
      <c r="AP237" s="1222">
        <v>2600</v>
      </c>
      <c r="AQ237" s="909" t="s">
        <v>1064</v>
      </c>
      <c r="AR237" s="909">
        <v>2</v>
      </c>
      <c r="AS237" s="909">
        <v>0</v>
      </c>
      <c r="AT237" s="909">
        <v>0</v>
      </c>
      <c r="AU237" s="909">
        <v>0</v>
      </c>
      <c r="AV237" s="910">
        <v>4543.2045596730031</v>
      </c>
      <c r="AW237" s="909">
        <v>0</v>
      </c>
      <c r="AX237" s="909">
        <v>0</v>
      </c>
      <c r="AY237" s="909">
        <v>0</v>
      </c>
      <c r="AZ237" s="910">
        <v>4496.4145508379979</v>
      </c>
      <c r="BA237" s="871">
        <v>4000</v>
      </c>
      <c r="BB237" s="911">
        <v>77.492618788548228</v>
      </c>
      <c r="BC237" s="908">
        <v>2.3874520224988545</v>
      </c>
      <c r="BD237" s="902">
        <v>10.149161834334059</v>
      </c>
      <c r="BE237" s="902">
        <v>0</v>
      </c>
      <c r="BF237" s="902">
        <v>0</v>
      </c>
      <c r="BG237" s="902">
        <v>39.450720651483181</v>
      </c>
      <c r="BH237" s="902">
        <v>0.17191787214092191</v>
      </c>
      <c r="BI237" s="902">
        <v>3250</v>
      </c>
      <c r="BJ237" s="909" t="s">
        <v>1064</v>
      </c>
      <c r="BK237" s="909">
        <v>2</v>
      </c>
      <c r="BL237" s="909">
        <v>0</v>
      </c>
      <c r="BM237" s="909">
        <v>0</v>
      </c>
      <c r="BN237" s="909">
        <v>0</v>
      </c>
      <c r="BO237" s="910">
        <v>4543.2045596730031</v>
      </c>
      <c r="BP237" s="909">
        <v>0</v>
      </c>
      <c r="BQ237" s="909">
        <v>0</v>
      </c>
      <c r="BR237" s="909">
        <v>0</v>
      </c>
      <c r="BS237" s="910">
        <v>4496.4145508379979</v>
      </c>
      <c r="BT237" s="871">
        <v>4000</v>
      </c>
      <c r="BU237" s="911">
        <v>77.492618788548228</v>
      </c>
      <c r="BV237" s="908">
        <v>3.5811780337482819</v>
      </c>
      <c r="BW237" s="902">
        <v>11.977282140416792</v>
      </c>
      <c r="BX237" s="902">
        <v>0.22352207161283713</v>
      </c>
      <c r="BY237" s="902">
        <v>0.41087222322046796</v>
      </c>
      <c r="BZ237" s="902">
        <v>43.350366316937844</v>
      </c>
      <c r="CA237" s="902">
        <v>0.21951672082104021</v>
      </c>
      <c r="CB237" s="902">
        <v>2600</v>
      </c>
      <c r="CC237" s="909" t="s">
        <v>2874</v>
      </c>
      <c r="CD237" s="909">
        <v>3</v>
      </c>
      <c r="CE237" s="909">
        <v>2</v>
      </c>
      <c r="CF237" s="909">
        <v>3</v>
      </c>
      <c r="CG237" s="909">
        <v>11.89196332640552</v>
      </c>
      <c r="CH237" s="910">
        <v>8913.6257810962124</v>
      </c>
      <c r="CI237" s="909">
        <v>2</v>
      </c>
      <c r="CJ237" s="909">
        <v>3</v>
      </c>
      <c r="CK237" s="909">
        <v>15.326883023558674</v>
      </c>
      <c r="CL237" s="910">
        <v>7164.8499914984641</v>
      </c>
      <c r="CM237" s="871">
        <v>4000</v>
      </c>
      <c r="CN237" s="911">
        <v>77.492618788548228</v>
      </c>
      <c r="CO237" s="908">
        <v>3.5811780337482819</v>
      </c>
      <c r="CP237" s="902">
        <v>11.977282140416792</v>
      </c>
      <c r="CQ237" s="902">
        <v>0.22352207161283713</v>
      </c>
      <c r="CR237" s="902">
        <v>0.41087222322046796</v>
      </c>
      <c r="CS237" s="902">
        <v>43.350366316937844</v>
      </c>
      <c r="CT237" s="902">
        <v>0.21951672082104021</v>
      </c>
      <c r="CU237" s="902">
        <v>3250</v>
      </c>
      <c r="CV237" s="909" t="s">
        <v>2874</v>
      </c>
      <c r="CW237" s="909">
        <v>3</v>
      </c>
      <c r="CX237" s="909">
        <v>2</v>
      </c>
      <c r="CY237" s="909">
        <v>3</v>
      </c>
      <c r="CZ237" s="909">
        <v>11.89196332640552</v>
      </c>
      <c r="DA237" s="910">
        <v>8913.6257810962124</v>
      </c>
      <c r="DB237" s="909">
        <v>2</v>
      </c>
      <c r="DC237" s="909">
        <v>3</v>
      </c>
      <c r="DD237" s="909">
        <v>15.326883023558674</v>
      </c>
      <c r="DE237" s="910">
        <v>7164.8499914984641</v>
      </c>
      <c r="DF237" s="871">
        <v>4000</v>
      </c>
      <c r="DG237" s="911">
        <v>77.492618788548228</v>
      </c>
      <c r="DH237" s="908">
        <v>2.3874520224988545</v>
      </c>
      <c r="DI237" s="902">
        <v>10.360626599278493</v>
      </c>
      <c r="DJ237" s="902">
        <v>7.4507357204279034E-2</v>
      </c>
      <c r="DK237" s="902">
        <v>0.13695740774015597</v>
      </c>
      <c r="DL237" s="902">
        <v>39.972192234322591</v>
      </c>
      <c r="DM237" s="902">
        <v>0.17761261464677353</v>
      </c>
      <c r="DN237" s="902">
        <v>2600</v>
      </c>
      <c r="DO237" s="909" t="s">
        <v>2876</v>
      </c>
      <c r="DP237" s="909">
        <v>2</v>
      </c>
      <c r="DQ237" s="909">
        <v>1</v>
      </c>
      <c r="DR237" s="909">
        <v>2</v>
      </c>
      <c r="DS237" s="909">
        <v>11.89196332640552</v>
      </c>
      <c r="DT237" s="910">
        <v>9125.3492360446144</v>
      </c>
      <c r="DU237" s="909">
        <v>1</v>
      </c>
      <c r="DV237" s="909">
        <v>2</v>
      </c>
      <c r="DW237" s="909">
        <v>15.326883023558674</v>
      </c>
      <c r="DX237" s="910">
        <v>7494.981720614066</v>
      </c>
      <c r="DY237" s="871">
        <v>4000</v>
      </c>
      <c r="DZ237" s="911">
        <v>77.492618788548228</v>
      </c>
      <c r="EA237" s="908">
        <v>2.3874520224988545</v>
      </c>
      <c r="EB237" s="902">
        <v>10.360626599278493</v>
      </c>
      <c r="EC237" s="902">
        <v>7.4507357204279034E-2</v>
      </c>
      <c r="ED237" s="902">
        <v>0.13695740774015597</v>
      </c>
      <c r="EE237" s="902">
        <v>39.972192234322591</v>
      </c>
      <c r="EF237" s="902">
        <v>0.17761261464677353</v>
      </c>
      <c r="EG237" s="902">
        <v>3250</v>
      </c>
      <c r="EH237" s="909" t="s">
        <v>2876</v>
      </c>
      <c r="EI237" s="909">
        <v>2</v>
      </c>
      <c r="EJ237" s="909">
        <v>1</v>
      </c>
      <c r="EK237" s="909">
        <v>2</v>
      </c>
      <c r="EL237" s="909">
        <v>11.89196332640552</v>
      </c>
      <c r="EM237" s="910">
        <v>9125.3492360446144</v>
      </c>
      <c r="EN237" s="909">
        <v>1</v>
      </c>
      <c r="EO237" s="909">
        <v>2</v>
      </c>
      <c r="EP237" s="909">
        <v>15.326883023558674</v>
      </c>
      <c r="EQ237" s="910">
        <v>7494.981720614066</v>
      </c>
      <c r="ER237" s="871">
        <v>4000</v>
      </c>
      <c r="ES237" s="911">
        <v>77.492618788548228</v>
      </c>
      <c r="ET237" s="908">
        <v>2.3874520224988545</v>
      </c>
      <c r="EU237" s="902">
        <v>10.360626599278493</v>
      </c>
      <c r="EV237" s="902">
        <v>7.4507357204279034E-2</v>
      </c>
      <c r="EW237" s="902">
        <v>0.13695740774015597</v>
      </c>
      <c r="EX237" s="902">
        <v>39.972192234322591</v>
      </c>
      <c r="EY237" s="902">
        <v>0.17761261464677353</v>
      </c>
      <c r="EZ237" s="902">
        <v>2600</v>
      </c>
      <c r="FA237" s="909" t="s">
        <v>3889</v>
      </c>
      <c r="FB237" s="909">
        <v>2</v>
      </c>
      <c r="FC237" s="909">
        <v>1</v>
      </c>
      <c r="FD237" s="909">
        <v>2</v>
      </c>
      <c r="FE237" s="909">
        <v>11.89196332640552</v>
      </c>
      <c r="FF237" s="910">
        <v>9578.1176401509711</v>
      </c>
      <c r="FG237" s="909">
        <v>1</v>
      </c>
      <c r="FH237" s="909">
        <v>2</v>
      </c>
      <c r="FI237" s="909">
        <v>15.326883023558674</v>
      </c>
      <c r="FJ237" s="910">
        <v>7866.8569031051265</v>
      </c>
      <c r="FK237" s="871">
        <v>4000</v>
      </c>
      <c r="FL237" s="911">
        <v>77.492618788548228</v>
      </c>
      <c r="FM237" s="908">
        <v>2.3874520224988545</v>
      </c>
      <c r="FN237" s="902">
        <v>10.360626599278493</v>
      </c>
      <c r="FO237" s="902">
        <v>7.4507357204279034E-2</v>
      </c>
      <c r="FP237" s="902">
        <v>0.13695740774015597</v>
      </c>
      <c r="FQ237" s="902">
        <v>39.972192234322591</v>
      </c>
      <c r="FR237" s="902">
        <v>0.17761261464677353</v>
      </c>
      <c r="FS237" s="902">
        <v>3250</v>
      </c>
      <c r="FT237" s="909" t="s">
        <v>3889</v>
      </c>
      <c r="FU237" s="909">
        <v>2</v>
      </c>
      <c r="FV237" s="909">
        <v>1</v>
      </c>
      <c r="FW237" s="909">
        <v>2</v>
      </c>
      <c r="FX237" s="909">
        <v>11.89196332640552</v>
      </c>
      <c r="FY237" s="910">
        <v>9578.1176401509711</v>
      </c>
      <c r="FZ237" s="909">
        <v>1</v>
      </c>
      <c r="GA237" s="909">
        <v>2</v>
      </c>
      <c r="GB237" s="909">
        <v>15.326883023558674</v>
      </c>
      <c r="GC237" s="910">
        <v>7866.8569031051265</v>
      </c>
      <c r="GD237" s="871">
        <v>4000</v>
      </c>
      <c r="GE237" s="911">
        <v>77.492618788548228</v>
      </c>
      <c r="GF237" s="908">
        <v>2.3874520224988545</v>
      </c>
      <c r="GG237" s="902">
        <v>10.360626599278493</v>
      </c>
      <c r="GH237" s="902">
        <v>7.4507357204279034E-2</v>
      </c>
      <c r="GI237" s="902">
        <v>0.13695740774015597</v>
      </c>
      <c r="GJ237" s="902">
        <v>39.972192234322591</v>
      </c>
      <c r="GK237" s="902">
        <v>0.17761261464677353</v>
      </c>
      <c r="GL237" s="902">
        <v>2600</v>
      </c>
      <c r="GM237" s="909" t="s">
        <v>2877</v>
      </c>
      <c r="GN237" s="909">
        <v>2</v>
      </c>
      <c r="GO237" s="909">
        <v>1</v>
      </c>
      <c r="GP237" s="909">
        <v>2</v>
      </c>
      <c r="GQ237" s="909">
        <v>11.89196332640552</v>
      </c>
      <c r="GR237" s="910">
        <v>11270.540480911632</v>
      </c>
      <c r="GS237" s="909">
        <v>1</v>
      </c>
      <c r="GT237" s="909">
        <v>2</v>
      </c>
      <c r="GU237" s="909">
        <v>15.326883023558674</v>
      </c>
      <c r="GV237" s="910">
        <v>9256.9054291327247</v>
      </c>
      <c r="GW237" s="871">
        <v>4000</v>
      </c>
      <c r="GX237" s="911">
        <v>77.492618788548228</v>
      </c>
      <c r="GY237" s="908">
        <v>2.3874520224988545</v>
      </c>
      <c r="GZ237" s="902">
        <v>10.360626599278493</v>
      </c>
      <c r="HA237" s="902">
        <v>7.4507357204279034E-2</v>
      </c>
      <c r="HB237" s="902">
        <v>0.13695740774015597</v>
      </c>
      <c r="HC237" s="902">
        <v>39.972192234322591</v>
      </c>
      <c r="HD237" s="902">
        <v>0.17761261464677353</v>
      </c>
      <c r="HE237" s="902">
        <v>3250</v>
      </c>
      <c r="HF237" s="909" t="s">
        <v>2877</v>
      </c>
      <c r="HG237" s="909">
        <v>2</v>
      </c>
      <c r="HH237" s="909">
        <v>1</v>
      </c>
      <c r="HI237" s="909">
        <v>2</v>
      </c>
      <c r="HJ237" s="909">
        <v>11.89196332640552</v>
      </c>
      <c r="HK237" s="910">
        <v>11270.540480911632</v>
      </c>
      <c r="HL237" s="909">
        <v>1</v>
      </c>
      <c r="HM237" s="909">
        <v>2</v>
      </c>
      <c r="HN237" s="909">
        <v>15.326883023558674</v>
      </c>
      <c r="HO237" s="910">
        <v>9256.9054291327247</v>
      </c>
      <c r="HP237" s="871">
        <v>4000</v>
      </c>
      <c r="HQ237" s="911">
        <v>77.492618788548228</v>
      </c>
      <c r="HR237" s="908">
        <v>2.3874520224988545</v>
      </c>
      <c r="HS237" s="902">
        <v>10.149161834334059</v>
      </c>
      <c r="HT237" s="902">
        <v>0</v>
      </c>
      <c r="HU237" s="902">
        <v>0</v>
      </c>
      <c r="HV237" s="902">
        <v>39.450720651483181</v>
      </c>
      <c r="HW237" s="902">
        <v>0.17191787214092191</v>
      </c>
      <c r="HX237" s="902">
        <v>2600</v>
      </c>
      <c r="HY237" s="909" t="s">
        <v>1063</v>
      </c>
      <c r="HZ237" s="909">
        <v>2</v>
      </c>
      <c r="IA237" s="909">
        <v>0</v>
      </c>
      <c r="IB237" s="909">
        <v>0</v>
      </c>
      <c r="IC237" s="909">
        <v>0</v>
      </c>
      <c r="ID237" s="910">
        <v>3333.800715026267</v>
      </c>
      <c r="IE237" s="909">
        <v>0</v>
      </c>
      <c r="IF237" s="909">
        <v>0</v>
      </c>
      <c r="IG237" s="909">
        <v>0</v>
      </c>
      <c r="IH237" s="910">
        <v>3299.4662352859464</v>
      </c>
      <c r="II237" s="871">
        <v>3299.4662352859464</v>
      </c>
      <c r="IJ237" s="911">
        <v>63.921069794175054</v>
      </c>
      <c r="IK237" s="908">
        <v>2.3874520224988545</v>
      </c>
      <c r="IL237" s="902">
        <v>10.149161834334059</v>
      </c>
      <c r="IM237" s="902">
        <v>0</v>
      </c>
      <c r="IN237" s="902">
        <v>0</v>
      </c>
      <c r="IO237" s="902">
        <v>39.450720651483181</v>
      </c>
      <c r="IP237" s="902">
        <v>0.17191787214092191</v>
      </c>
      <c r="IQ237" s="902">
        <v>3250</v>
      </c>
      <c r="IR237" s="909" t="s">
        <v>1063</v>
      </c>
      <c r="IS237" s="909">
        <v>2</v>
      </c>
      <c r="IT237" s="909">
        <v>0</v>
      </c>
      <c r="IU237" s="909">
        <v>0</v>
      </c>
      <c r="IV237" s="909">
        <v>0</v>
      </c>
      <c r="IW237" s="910">
        <v>3333.800715026267</v>
      </c>
      <c r="IX237" s="909">
        <v>0</v>
      </c>
      <c r="IY237" s="909">
        <v>0</v>
      </c>
      <c r="IZ237" s="909">
        <v>0</v>
      </c>
      <c r="JA237" s="910">
        <v>3299.4662352859464</v>
      </c>
      <c r="JB237" s="871">
        <v>3299.4662352859464</v>
      </c>
      <c r="JC237" s="911">
        <v>63.921069794175054</v>
      </c>
      <c r="JD237" s="908">
        <v>2.3874520224988545</v>
      </c>
      <c r="JE237" s="902">
        <v>10.149161834334059</v>
      </c>
      <c r="JF237" s="902">
        <v>0</v>
      </c>
      <c r="JG237" s="902">
        <v>0</v>
      </c>
      <c r="JH237" s="902">
        <v>39.450720651483181</v>
      </c>
      <c r="JI237" s="902">
        <v>0.17191787214092191</v>
      </c>
      <c r="JJ237" s="902">
        <v>2600</v>
      </c>
      <c r="JK237" s="909" t="s">
        <v>1064</v>
      </c>
      <c r="JL237" s="909">
        <v>2</v>
      </c>
      <c r="JM237" s="909">
        <v>0</v>
      </c>
      <c r="JN237" s="909">
        <v>0</v>
      </c>
      <c r="JO237" s="909">
        <v>0</v>
      </c>
      <c r="JP237" s="910">
        <v>4543.2045596730031</v>
      </c>
      <c r="JQ237" s="909">
        <v>0</v>
      </c>
      <c r="JR237" s="909">
        <v>0</v>
      </c>
      <c r="JS237" s="909">
        <v>0</v>
      </c>
      <c r="JT237" s="910">
        <v>4496.4145508379979</v>
      </c>
      <c r="JU237" s="871">
        <v>4000</v>
      </c>
      <c r="JV237" s="911">
        <v>77.492618788548228</v>
      </c>
      <c r="JW237" s="908">
        <v>2.3874520224988545</v>
      </c>
      <c r="JX237" s="902">
        <v>10.149161834334059</v>
      </c>
      <c r="JY237" s="902">
        <v>0</v>
      </c>
      <c r="JZ237" s="902">
        <v>0</v>
      </c>
      <c r="KA237" s="902">
        <v>39.450720651483181</v>
      </c>
      <c r="KB237" s="902">
        <v>0.17191787214092191</v>
      </c>
      <c r="KC237" s="902">
        <v>3250</v>
      </c>
      <c r="KD237" s="909" t="s">
        <v>1064</v>
      </c>
      <c r="KE237" s="909">
        <v>2</v>
      </c>
      <c r="KF237" s="909">
        <v>0</v>
      </c>
      <c r="KG237" s="909">
        <v>0</v>
      </c>
      <c r="KH237" s="909">
        <v>0</v>
      </c>
      <c r="KI237" s="910">
        <v>4543.2045596730031</v>
      </c>
      <c r="KJ237" s="909">
        <v>0</v>
      </c>
      <c r="KK237" s="909">
        <v>0</v>
      </c>
      <c r="KL237" s="909">
        <v>0</v>
      </c>
      <c r="KM237" s="910">
        <v>4496.4145508379979</v>
      </c>
      <c r="KN237" s="871">
        <v>4000</v>
      </c>
      <c r="KO237" s="912">
        <v>77.492618788548228</v>
      </c>
    </row>
    <row r="238" spans="1:301" ht="15" customHeight="1">
      <c r="A238" s="1047" t="s">
        <v>1728</v>
      </c>
      <c r="B238" s="888" t="s">
        <v>1073</v>
      </c>
      <c r="C238" s="888">
        <v>275.10000000000002</v>
      </c>
      <c r="D238" s="888">
        <v>415</v>
      </c>
      <c r="E238" s="888"/>
      <c r="F238" s="888"/>
      <c r="G238" s="888">
        <v>28</v>
      </c>
      <c r="H238" s="888">
        <v>100</v>
      </c>
      <c r="I238" s="888">
        <v>100</v>
      </c>
      <c r="J238" s="888">
        <v>59.3</v>
      </c>
      <c r="K238" s="888">
        <v>39.880000000000003</v>
      </c>
      <c r="L238" s="888">
        <v>16</v>
      </c>
      <c r="M238" s="888">
        <v>91.867201204825349</v>
      </c>
      <c r="N238" s="888">
        <v>2</v>
      </c>
      <c r="O238" s="884">
        <v>2.1236636194506708</v>
      </c>
      <c r="P238" s="888">
        <v>2</v>
      </c>
      <c r="Q238" s="884">
        <v>0.90014483506981546</v>
      </c>
      <c r="R238" s="888">
        <v>9</v>
      </c>
      <c r="S238" s="888">
        <v>315</v>
      </c>
      <c r="T238" s="906">
        <v>5.5058345297138498</v>
      </c>
      <c r="U238" s="906">
        <v>47.25</v>
      </c>
      <c r="V238" s="906">
        <v>10</v>
      </c>
      <c r="W238" s="1141">
        <v>0.10323439743213468</v>
      </c>
      <c r="X238" s="902">
        <v>0</v>
      </c>
      <c r="Y238" s="902">
        <v>0</v>
      </c>
      <c r="Z238" s="902">
        <v>0</v>
      </c>
      <c r="AA238" s="902">
        <v>0</v>
      </c>
      <c r="AB238" s="970">
        <v>1.0541381139854902</v>
      </c>
      <c r="AC238" s="1045">
        <v>4000</v>
      </c>
      <c r="AD238" s="890"/>
      <c r="AE238" s="890"/>
      <c r="AF238" s="890"/>
      <c r="AG238" s="890"/>
      <c r="AH238" s="888"/>
      <c r="AI238" s="907">
        <v>0.71615795690014217</v>
      </c>
      <c r="AJ238" s="908">
        <v>2.3077040942652132</v>
      </c>
      <c r="AK238" s="902">
        <v>10.940581475931683</v>
      </c>
      <c r="AL238" s="902">
        <v>0</v>
      </c>
      <c r="AM238" s="902">
        <v>0</v>
      </c>
      <c r="AN238" s="902">
        <v>32.351492436020564</v>
      </c>
      <c r="AO238" s="902">
        <v>0.21606251501453858</v>
      </c>
      <c r="AP238" s="1222">
        <v>2900</v>
      </c>
      <c r="AQ238" s="909" t="s">
        <v>1064</v>
      </c>
      <c r="AR238" s="909">
        <v>2</v>
      </c>
      <c r="AS238" s="909">
        <v>0</v>
      </c>
      <c r="AT238" s="909">
        <v>0</v>
      </c>
      <c r="AU238" s="909">
        <v>0</v>
      </c>
      <c r="AV238" s="910">
        <v>7152.332055140404</v>
      </c>
      <c r="AW238" s="909">
        <v>0</v>
      </c>
      <c r="AX238" s="909">
        <v>0</v>
      </c>
      <c r="AY238" s="909">
        <v>0</v>
      </c>
      <c r="AZ238" s="910">
        <v>4749.8211310829247</v>
      </c>
      <c r="BA238" s="871">
        <v>4000</v>
      </c>
      <c r="BB238" s="911">
        <v>86.917396749317604</v>
      </c>
      <c r="BC238" s="908">
        <v>2.3077040942652132</v>
      </c>
      <c r="BD238" s="902">
        <v>10.940581475931683</v>
      </c>
      <c r="BE238" s="902">
        <v>0</v>
      </c>
      <c r="BF238" s="902">
        <v>0</v>
      </c>
      <c r="BG238" s="902">
        <v>32.351492436020564</v>
      </c>
      <c r="BH238" s="902">
        <v>0.21606251501453858</v>
      </c>
      <c r="BI238" s="902">
        <v>3600</v>
      </c>
      <c r="BJ238" s="909" t="s">
        <v>1064</v>
      </c>
      <c r="BK238" s="909">
        <v>2</v>
      </c>
      <c r="BL238" s="909">
        <v>0</v>
      </c>
      <c r="BM238" s="909">
        <v>0</v>
      </c>
      <c r="BN238" s="909">
        <v>0</v>
      </c>
      <c r="BO238" s="910">
        <v>7152.332055140404</v>
      </c>
      <c r="BP238" s="909">
        <v>0</v>
      </c>
      <c r="BQ238" s="909">
        <v>0</v>
      </c>
      <c r="BR238" s="909">
        <v>0</v>
      </c>
      <c r="BS238" s="910">
        <v>4749.8211310829247</v>
      </c>
      <c r="BT238" s="871">
        <v>4000</v>
      </c>
      <c r="BU238" s="911">
        <v>86.917396749317604</v>
      </c>
      <c r="BV238" s="908">
        <v>3.4615561413978195</v>
      </c>
      <c r="BW238" s="902">
        <v>12.954361283806479</v>
      </c>
      <c r="BX238" s="902">
        <v>0.19375422245164092</v>
      </c>
      <c r="BY238" s="902">
        <v>0.66617353829054826</v>
      </c>
      <c r="BZ238" s="902">
        <v>35.094986105283454</v>
      </c>
      <c r="CA238" s="902">
        <v>0.28276773198900051</v>
      </c>
      <c r="CB238" s="902">
        <v>2900</v>
      </c>
      <c r="CC238" s="909" t="s">
        <v>2874</v>
      </c>
      <c r="CD238" s="909">
        <v>3</v>
      </c>
      <c r="CE238" s="909">
        <v>1</v>
      </c>
      <c r="CF238" s="909">
        <v>3</v>
      </c>
      <c r="CG238" s="909">
        <v>19.748055410304023</v>
      </c>
      <c r="CH238" s="910">
        <v>9074.4695809222758</v>
      </c>
      <c r="CI238" s="909">
        <v>3</v>
      </c>
      <c r="CJ238" s="909">
        <v>3</v>
      </c>
      <c r="CK238" s="909">
        <v>14.725894388123676</v>
      </c>
      <c r="CL238" s="910">
        <v>6750.1740939765905</v>
      </c>
      <c r="CM238" s="871">
        <v>4000</v>
      </c>
      <c r="CN238" s="911">
        <v>86.917396749317604</v>
      </c>
      <c r="CO238" s="908">
        <v>3.4615561413978195</v>
      </c>
      <c r="CP238" s="902">
        <v>12.954361283806479</v>
      </c>
      <c r="CQ238" s="902">
        <v>0.19375422245164092</v>
      </c>
      <c r="CR238" s="902">
        <v>0.66617353829054826</v>
      </c>
      <c r="CS238" s="902">
        <v>35.094986105283454</v>
      </c>
      <c r="CT238" s="902">
        <v>0.28276773198900051</v>
      </c>
      <c r="CU238" s="902">
        <v>3600</v>
      </c>
      <c r="CV238" s="909" t="s">
        <v>2874</v>
      </c>
      <c r="CW238" s="909">
        <v>3</v>
      </c>
      <c r="CX238" s="909">
        <v>1</v>
      </c>
      <c r="CY238" s="909">
        <v>3</v>
      </c>
      <c r="CZ238" s="909">
        <v>19.748055410304023</v>
      </c>
      <c r="DA238" s="910">
        <v>9074.4695809222758</v>
      </c>
      <c r="DB238" s="909">
        <v>3</v>
      </c>
      <c r="DC238" s="909">
        <v>3</v>
      </c>
      <c r="DD238" s="909">
        <v>14.725894388123676</v>
      </c>
      <c r="DE238" s="910">
        <v>6750.1740939765905</v>
      </c>
      <c r="DF238" s="871">
        <v>4000</v>
      </c>
      <c r="DG238" s="911">
        <v>86.917396749317604</v>
      </c>
      <c r="DH238" s="908">
        <v>2.3077040942652132</v>
      </c>
      <c r="DI238" s="902">
        <v>11.494997567329671</v>
      </c>
      <c r="DJ238" s="902">
        <v>0.25833896326885458</v>
      </c>
      <c r="DK238" s="902">
        <v>0.29607712812913251</v>
      </c>
      <c r="DL238" s="902">
        <v>33.202698930438487</v>
      </c>
      <c r="DM238" s="902">
        <v>0.23357777404575064</v>
      </c>
      <c r="DN238" s="902">
        <v>2900</v>
      </c>
      <c r="DO238" s="909" t="s">
        <v>2876</v>
      </c>
      <c r="DP238" s="909">
        <v>2</v>
      </c>
      <c r="DQ238" s="909">
        <v>1</v>
      </c>
      <c r="DR238" s="909">
        <v>4</v>
      </c>
      <c r="DS238" s="909">
        <v>19.748055410304023</v>
      </c>
      <c r="DT238" s="910">
        <v>11395.73452813831</v>
      </c>
      <c r="DU238" s="909">
        <v>2</v>
      </c>
      <c r="DV238" s="909">
        <v>2</v>
      </c>
      <c r="DW238" s="909">
        <v>14.725894388123676</v>
      </c>
      <c r="DX238" s="910">
        <v>7221.0871430963916</v>
      </c>
      <c r="DY238" s="871">
        <v>4000</v>
      </c>
      <c r="DZ238" s="911">
        <v>86.917396749317604</v>
      </c>
      <c r="EA238" s="908">
        <v>2.3077040942652132</v>
      </c>
      <c r="EB238" s="902">
        <v>11.494997567329671</v>
      </c>
      <c r="EC238" s="902">
        <v>0.25833896326885458</v>
      </c>
      <c r="ED238" s="902">
        <v>0.29607712812913251</v>
      </c>
      <c r="EE238" s="902">
        <v>33.202698930438487</v>
      </c>
      <c r="EF238" s="902">
        <v>0.23357777404575064</v>
      </c>
      <c r="EG238" s="902">
        <v>3600</v>
      </c>
      <c r="EH238" s="909" t="s">
        <v>2876</v>
      </c>
      <c r="EI238" s="909">
        <v>2</v>
      </c>
      <c r="EJ238" s="909">
        <v>1</v>
      </c>
      <c r="EK238" s="909">
        <v>4</v>
      </c>
      <c r="EL238" s="909">
        <v>19.748055410304023</v>
      </c>
      <c r="EM238" s="910">
        <v>11395.73452813831</v>
      </c>
      <c r="EN238" s="909">
        <v>2</v>
      </c>
      <c r="EO238" s="909">
        <v>2</v>
      </c>
      <c r="EP238" s="909">
        <v>14.725894388123676</v>
      </c>
      <c r="EQ238" s="910">
        <v>7221.0871430963916</v>
      </c>
      <c r="ER238" s="871">
        <v>4000</v>
      </c>
      <c r="ES238" s="911">
        <v>86.917396749317604</v>
      </c>
      <c r="ET238" s="908">
        <v>2.3077040942652132</v>
      </c>
      <c r="EU238" s="902">
        <v>11.236658604060816</v>
      </c>
      <c r="EV238" s="902">
        <v>0</v>
      </c>
      <c r="EW238" s="902">
        <v>0.29607712812913251</v>
      </c>
      <c r="EX238" s="902">
        <v>32.816516747911642</v>
      </c>
      <c r="EY238" s="902">
        <v>0.22793788820832972</v>
      </c>
      <c r="EZ238" s="902">
        <v>2900</v>
      </c>
      <c r="FA238" s="909" t="s">
        <v>2877</v>
      </c>
      <c r="FB238" s="909">
        <v>2</v>
      </c>
      <c r="FC238" s="909">
        <v>0</v>
      </c>
      <c r="FD238" s="909">
        <v>0</v>
      </c>
      <c r="FE238" s="909">
        <v>0</v>
      </c>
      <c r="FF238" s="910">
        <v>5951.0999916815681</v>
      </c>
      <c r="FG238" s="909">
        <v>1</v>
      </c>
      <c r="FH238" s="909">
        <v>4</v>
      </c>
      <c r="FI238" s="909">
        <v>14.725894388123676</v>
      </c>
      <c r="FJ238" s="910">
        <v>9480.107290927901</v>
      </c>
      <c r="FK238" s="871">
        <v>4000</v>
      </c>
      <c r="FL238" s="911">
        <v>86.917396749317604</v>
      </c>
      <c r="FM238" s="908">
        <v>2.3077040942652132</v>
      </c>
      <c r="FN238" s="902">
        <v>11.236658604060816</v>
      </c>
      <c r="FO238" s="902">
        <v>0</v>
      </c>
      <c r="FP238" s="902">
        <v>0.29607712812913251</v>
      </c>
      <c r="FQ238" s="902">
        <v>32.816516747911642</v>
      </c>
      <c r="FR238" s="902">
        <v>0.22793788820832972</v>
      </c>
      <c r="FS238" s="902">
        <v>3600</v>
      </c>
      <c r="FT238" s="909" t="s">
        <v>2877</v>
      </c>
      <c r="FU238" s="909">
        <v>2</v>
      </c>
      <c r="FV238" s="909">
        <v>0</v>
      </c>
      <c r="FW238" s="909">
        <v>0</v>
      </c>
      <c r="FX238" s="909">
        <v>0</v>
      </c>
      <c r="FY238" s="910">
        <v>5951.0999916815681</v>
      </c>
      <c r="FZ238" s="909">
        <v>1</v>
      </c>
      <c r="GA238" s="909">
        <v>4</v>
      </c>
      <c r="GB238" s="909">
        <v>14.725894388123676</v>
      </c>
      <c r="GC238" s="910">
        <v>9480.107290927901</v>
      </c>
      <c r="GD238" s="871">
        <v>4000</v>
      </c>
      <c r="GE238" s="911">
        <v>86.917396749317604</v>
      </c>
      <c r="GF238" s="908">
        <v>2.3077040942652132</v>
      </c>
      <c r="GG238" s="902">
        <v>11.236658604060816</v>
      </c>
      <c r="GH238" s="902">
        <v>0</v>
      </c>
      <c r="GI238" s="902">
        <v>0.29607712812913251</v>
      </c>
      <c r="GJ238" s="902">
        <v>32.816516747911642</v>
      </c>
      <c r="GK238" s="902">
        <v>0.22793788820832972</v>
      </c>
      <c r="GL238" s="902">
        <v>2900</v>
      </c>
      <c r="GM238" s="909" t="s">
        <v>2877</v>
      </c>
      <c r="GN238" s="909">
        <v>2</v>
      </c>
      <c r="GO238" s="909">
        <v>0</v>
      </c>
      <c r="GP238" s="909">
        <v>0</v>
      </c>
      <c r="GQ238" s="909">
        <v>0</v>
      </c>
      <c r="GR238" s="910">
        <v>5951.0999916815681</v>
      </c>
      <c r="GS238" s="909">
        <v>1</v>
      </c>
      <c r="GT238" s="909">
        <v>4</v>
      </c>
      <c r="GU238" s="909">
        <v>14.725894388123676</v>
      </c>
      <c r="GV238" s="910">
        <v>9480.107290927901</v>
      </c>
      <c r="GW238" s="871">
        <v>4000</v>
      </c>
      <c r="GX238" s="911">
        <v>86.917396749317604</v>
      </c>
      <c r="GY238" s="908">
        <v>2.3077040942652132</v>
      </c>
      <c r="GZ238" s="902">
        <v>11.236658604060816</v>
      </c>
      <c r="HA238" s="902">
        <v>0</v>
      </c>
      <c r="HB238" s="902">
        <v>0.29607712812913251</v>
      </c>
      <c r="HC238" s="902">
        <v>32.816516747911642</v>
      </c>
      <c r="HD238" s="902">
        <v>0.22793788820832972</v>
      </c>
      <c r="HE238" s="902">
        <v>3600</v>
      </c>
      <c r="HF238" s="909" t="s">
        <v>2877</v>
      </c>
      <c r="HG238" s="909">
        <v>2</v>
      </c>
      <c r="HH238" s="909">
        <v>0</v>
      </c>
      <c r="HI238" s="909">
        <v>0</v>
      </c>
      <c r="HJ238" s="909">
        <v>0</v>
      </c>
      <c r="HK238" s="910">
        <v>5951.0999916815681</v>
      </c>
      <c r="HL238" s="909">
        <v>1</v>
      </c>
      <c r="HM238" s="909">
        <v>4</v>
      </c>
      <c r="HN238" s="909">
        <v>14.725894388123676</v>
      </c>
      <c r="HO238" s="910">
        <v>9480.107290927901</v>
      </c>
      <c r="HP238" s="871">
        <v>4000</v>
      </c>
      <c r="HQ238" s="911">
        <v>86.917396749317604</v>
      </c>
      <c r="HR238" s="908">
        <v>2.3077040942652132</v>
      </c>
      <c r="HS238" s="902">
        <v>10.940581475931683</v>
      </c>
      <c r="HT238" s="902">
        <v>0</v>
      </c>
      <c r="HU238" s="902">
        <v>0</v>
      </c>
      <c r="HV238" s="902">
        <v>32.351492436020564</v>
      </c>
      <c r="HW238" s="902">
        <v>0.21606251501453858</v>
      </c>
      <c r="HX238" s="902">
        <v>2900</v>
      </c>
      <c r="HY238" s="909" t="s">
        <v>1063</v>
      </c>
      <c r="HZ238" s="909">
        <v>2</v>
      </c>
      <c r="IA238" s="909">
        <v>0</v>
      </c>
      <c r="IB238" s="909">
        <v>0</v>
      </c>
      <c r="IC238" s="909">
        <v>0</v>
      </c>
      <c r="ID238" s="910">
        <v>5248.3768684226598</v>
      </c>
      <c r="IE238" s="909">
        <v>0</v>
      </c>
      <c r="IF238" s="909">
        <v>0</v>
      </c>
      <c r="IG238" s="909">
        <v>0</v>
      </c>
      <c r="IH238" s="910">
        <v>3485.4158281989057</v>
      </c>
      <c r="II238" s="871">
        <v>3485.4158281989057</v>
      </c>
      <c r="IJ238" s="911">
        <v>75.735817593978922</v>
      </c>
      <c r="IK238" s="908">
        <v>2.3077040942652132</v>
      </c>
      <c r="IL238" s="902">
        <v>11.236658604060816</v>
      </c>
      <c r="IM238" s="902">
        <v>0</v>
      </c>
      <c r="IN238" s="902">
        <v>0.29607712812913251</v>
      </c>
      <c r="IO238" s="902">
        <v>32.816516747911642</v>
      </c>
      <c r="IP238" s="902">
        <v>0.22793788820832972</v>
      </c>
      <c r="IQ238" s="902">
        <v>3600</v>
      </c>
      <c r="IR238" s="909" t="s">
        <v>1063</v>
      </c>
      <c r="IS238" s="909">
        <v>2</v>
      </c>
      <c r="IT238" s="909">
        <v>0</v>
      </c>
      <c r="IU238" s="909">
        <v>0</v>
      </c>
      <c r="IV238" s="909">
        <v>0</v>
      </c>
      <c r="IW238" s="910">
        <v>5248.3768684226598</v>
      </c>
      <c r="IX238" s="909">
        <v>1</v>
      </c>
      <c r="IY238" s="909">
        <v>4</v>
      </c>
      <c r="IZ238" s="909">
        <v>14.725894388123676</v>
      </c>
      <c r="JA238" s="910">
        <v>8360.6687646684932</v>
      </c>
      <c r="JB238" s="871">
        <v>4000</v>
      </c>
      <c r="JC238" s="911">
        <v>86.917396749317604</v>
      </c>
      <c r="JD238" s="908">
        <v>2.3077040942652132</v>
      </c>
      <c r="JE238" s="902">
        <v>10.940581475931683</v>
      </c>
      <c r="JF238" s="902">
        <v>0</v>
      </c>
      <c r="JG238" s="902">
        <v>0</v>
      </c>
      <c r="JH238" s="902">
        <v>32.351492436020564</v>
      </c>
      <c r="JI238" s="902">
        <v>0.21606251501453858</v>
      </c>
      <c r="JJ238" s="902">
        <v>2900</v>
      </c>
      <c r="JK238" s="909" t="s">
        <v>1064</v>
      </c>
      <c r="JL238" s="909">
        <v>2</v>
      </c>
      <c r="JM238" s="909">
        <v>0</v>
      </c>
      <c r="JN238" s="909">
        <v>0</v>
      </c>
      <c r="JO238" s="909">
        <v>0</v>
      </c>
      <c r="JP238" s="910">
        <v>7152.332055140404</v>
      </c>
      <c r="JQ238" s="909">
        <v>0</v>
      </c>
      <c r="JR238" s="909">
        <v>0</v>
      </c>
      <c r="JS238" s="909">
        <v>0</v>
      </c>
      <c r="JT238" s="910">
        <v>4749.8211310829247</v>
      </c>
      <c r="JU238" s="871">
        <v>4000</v>
      </c>
      <c r="JV238" s="911">
        <v>86.917396749317604</v>
      </c>
      <c r="JW238" s="908">
        <v>2.3077040942652132</v>
      </c>
      <c r="JX238" s="902">
        <v>10.940581475931683</v>
      </c>
      <c r="JY238" s="902">
        <v>0</v>
      </c>
      <c r="JZ238" s="902">
        <v>0</v>
      </c>
      <c r="KA238" s="902">
        <v>32.351492436020564</v>
      </c>
      <c r="KB238" s="902">
        <v>0.21606251501453858</v>
      </c>
      <c r="KC238" s="902">
        <v>3600</v>
      </c>
      <c r="KD238" s="909" t="s">
        <v>1064</v>
      </c>
      <c r="KE238" s="909">
        <v>2</v>
      </c>
      <c r="KF238" s="909">
        <v>0</v>
      </c>
      <c r="KG238" s="909">
        <v>0</v>
      </c>
      <c r="KH238" s="909">
        <v>0</v>
      </c>
      <c r="KI238" s="910">
        <v>7152.332055140404</v>
      </c>
      <c r="KJ238" s="909">
        <v>0</v>
      </c>
      <c r="KK238" s="909">
        <v>0</v>
      </c>
      <c r="KL238" s="909">
        <v>0</v>
      </c>
      <c r="KM238" s="910">
        <v>4749.8211310829247</v>
      </c>
      <c r="KN238" s="871">
        <v>4000</v>
      </c>
      <c r="KO238" s="912">
        <v>86.917396749317604</v>
      </c>
    </row>
    <row r="239" spans="1:301" ht="15" customHeight="1" thickBot="1">
      <c r="A239" s="925" t="s">
        <v>88</v>
      </c>
      <c r="B239" s="926"/>
      <c r="C239" s="927"/>
      <c r="D239" s="927"/>
      <c r="E239" s="927"/>
      <c r="F239" s="927"/>
      <c r="G239" s="927"/>
      <c r="H239" s="927"/>
      <c r="I239" s="927"/>
      <c r="J239" s="927"/>
      <c r="K239" s="927"/>
      <c r="L239" s="927"/>
      <c r="M239" s="927"/>
      <c r="N239" s="927"/>
      <c r="O239" s="927"/>
      <c r="P239" s="927"/>
      <c r="Q239" s="927"/>
      <c r="R239" s="927"/>
      <c r="S239" s="927"/>
      <c r="T239" s="928"/>
      <c r="U239" s="928"/>
      <c r="V239" s="928"/>
      <c r="W239" s="928"/>
      <c r="X239" s="929"/>
      <c r="Y239" s="929"/>
      <c r="Z239" s="929"/>
      <c r="AA239" s="929"/>
      <c r="AB239" s="1008"/>
      <c r="AC239" s="1046"/>
      <c r="AD239" s="930"/>
      <c r="AE239" s="930"/>
      <c r="AF239" s="930"/>
      <c r="AG239" s="930"/>
      <c r="AH239" s="927"/>
      <c r="AI239" s="931"/>
      <c r="AJ239" s="932"/>
      <c r="AK239" s="929"/>
      <c r="AL239" s="929"/>
      <c r="AM239" s="929"/>
      <c r="AN239" s="929"/>
      <c r="AO239" s="929"/>
      <c r="AP239" s="933"/>
      <c r="AQ239" s="934"/>
      <c r="AR239" s="934"/>
      <c r="AS239" s="934"/>
      <c r="AT239" s="934"/>
      <c r="AU239" s="934"/>
      <c r="AV239" s="935"/>
      <c r="AW239" s="934"/>
      <c r="AX239" s="934"/>
      <c r="AY239" s="934"/>
      <c r="AZ239" s="935"/>
      <c r="BA239" s="933"/>
      <c r="BB239" s="936"/>
      <c r="BC239" s="932"/>
      <c r="BD239" s="929"/>
      <c r="BE239" s="929"/>
      <c r="BF239" s="929"/>
      <c r="BG239" s="929"/>
      <c r="BH239" s="929"/>
      <c r="BI239" s="933"/>
      <c r="BJ239" s="934"/>
      <c r="BK239" s="934"/>
      <c r="BL239" s="934"/>
      <c r="BM239" s="934"/>
      <c r="BN239" s="934"/>
      <c r="BO239" s="935"/>
      <c r="BP239" s="934"/>
      <c r="BQ239" s="934"/>
      <c r="BR239" s="934"/>
      <c r="BS239" s="935"/>
      <c r="BT239" s="933"/>
      <c r="BU239" s="936"/>
      <c r="BV239" s="932"/>
      <c r="BW239" s="929"/>
      <c r="BX239" s="929"/>
      <c r="BY239" s="929"/>
      <c r="BZ239" s="929"/>
      <c r="CA239" s="929"/>
      <c r="CB239" s="934"/>
      <c r="CC239" s="934"/>
      <c r="CD239" s="935"/>
      <c r="CE239" s="934"/>
      <c r="CF239" s="934"/>
      <c r="CG239" s="934"/>
      <c r="CH239" s="935"/>
      <c r="CI239" s="933"/>
      <c r="CJ239" s="933"/>
      <c r="CK239" s="933"/>
      <c r="CL239" s="933"/>
      <c r="CM239" s="933"/>
      <c r="CN239" s="936"/>
      <c r="CO239" s="932"/>
      <c r="CP239" s="929"/>
      <c r="CQ239" s="929"/>
      <c r="CR239" s="929"/>
      <c r="CS239" s="929"/>
      <c r="CT239" s="929"/>
      <c r="CU239" s="934"/>
      <c r="CV239" s="934"/>
      <c r="CW239" s="935"/>
      <c r="CX239" s="934"/>
      <c r="CY239" s="934"/>
      <c r="CZ239" s="934"/>
      <c r="DA239" s="935"/>
      <c r="DB239" s="933"/>
      <c r="DC239" s="933"/>
      <c r="DD239" s="933"/>
      <c r="DE239" s="933"/>
      <c r="DF239" s="933"/>
      <c r="DG239" s="936"/>
      <c r="DH239" s="932"/>
      <c r="DI239" s="929"/>
      <c r="DJ239" s="929"/>
      <c r="DK239" s="929"/>
      <c r="DL239" s="929"/>
      <c r="DM239" s="929"/>
      <c r="DN239" s="934"/>
      <c r="DO239" s="934"/>
      <c r="DP239" s="935"/>
      <c r="DQ239" s="934"/>
      <c r="DR239" s="934"/>
      <c r="DS239" s="934"/>
      <c r="DT239" s="935"/>
      <c r="DU239" s="933"/>
      <c r="DV239" s="933"/>
      <c r="DW239" s="933"/>
      <c r="DX239" s="933"/>
      <c r="DY239" s="933"/>
      <c r="DZ239" s="936"/>
      <c r="EA239" s="932"/>
      <c r="EB239" s="929"/>
      <c r="EC239" s="929"/>
      <c r="ED239" s="929"/>
      <c r="EE239" s="929"/>
      <c r="EF239" s="929"/>
      <c r="EG239" s="934"/>
      <c r="EH239" s="934"/>
      <c r="EI239" s="935"/>
      <c r="EJ239" s="934"/>
      <c r="EK239" s="934"/>
      <c r="EL239" s="934"/>
      <c r="EM239" s="935"/>
      <c r="EN239" s="933"/>
      <c r="EO239" s="933"/>
      <c r="EP239" s="933"/>
      <c r="EQ239" s="933"/>
      <c r="ER239" s="933"/>
      <c r="ES239" s="936"/>
      <c r="ET239" s="932"/>
      <c r="EU239" s="929"/>
      <c r="EV239" s="929"/>
      <c r="EW239" s="929"/>
      <c r="EX239" s="929"/>
      <c r="EY239" s="929"/>
      <c r="EZ239" s="934"/>
      <c r="FA239" s="934"/>
      <c r="FB239" s="935"/>
      <c r="FC239" s="934"/>
      <c r="FD239" s="934"/>
      <c r="FE239" s="934"/>
      <c r="FF239" s="935"/>
      <c r="FG239" s="933"/>
      <c r="FH239" s="933"/>
      <c r="FI239" s="933"/>
      <c r="FJ239" s="933"/>
      <c r="FK239" s="933"/>
      <c r="FL239" s="936"/>
      <c r="FM239" s="932"/>
      <c r="FN239" s="929"/>
      <c r="FO239" s="929"/>
      <c r="FP239" s="929"/>
      <c r="FQ239" s="929"/>
      <c r="FR239" s="929"/>
      <c r="FS239" s="934"/>
      <c r="FT239" s="934"/>
      <c r="FU239" s="935"/>
      <c r="FV239" s="934"/>
      <c r="FW239" s="934"/>
      <c r="FX239" s="934"/>
      <c r="FY239" s="935"/>
      <c r="FZ239" s="933"/>
      <c r="GA239" s="933"/>
      <c r="GB239" s="933"/>
      <c r="GC239" s="933"/>
      <c r="GD239" s="933"/>
      <c r="GE239" s="936"/>
      <c r="GF239" s="932"/>
      <c r="GG239" s="929"/>
      <c r="GH239" s="929"/>
      <c r="GI239" s="929"/>
      <c r="GJ239" s="929"/>
      <c r="GK239" s="929"/>
      <c r="GL239" s="934"/>
      <c r="GM239" s="934"/>
      <c r="GN239" s="935"/>
      <c r="GO239" s="934"/>
      <c r="GP239" s="934"/>
      <c r="GQ239" s="934"/>
      <c r="GR239" s="935"/>
      <c r="GS239" s="933"/>
      <c r="GT239" s="933"/>
      <c r="GU239" s="933"/>
      <c r="GV239" s="933"/>
      <c r="GW239" s="933"/>
      <c r="GX239" s="936"/>
      <c r="GY239" s="932"/>
      <c r="GZ239" s="929"/>
      <c r="HA239" s="929"/>
      <c r="HB239" s="929"/>
      <c r="HC239" s="929"/>
      <c r="HD239" s="929"/>
      <c r="HE239" s="934"/>
      <c r="HF239" s="934"/>
      <c r="HG239" s="935"/>
      <c r="HH239" s="934"/>
      <c r="HI239" s="934"/>
      <c r="HJ239" s="934"/>
      <c r="HK239" s="935"/>
      <c r="HL239" s="933"/>
      <c r="HM239" s="933"/>
      <c r="HN239" s="933"/>
      <c r="HO239" s="933"/>
      <c r="HP239" s="933"/>
      <c r="HQ239" s="936"/>
      <c r="HR239" s="932"/>
      <c r="HS239" s="929"/>
      <c r="HT239" s="929"/>
      <c r="HU239" s="929"/>
      <c r="HV239" s="929"/>
      <c r="HW239" s="929"/>
      <c r="HX239" s="934"/>
      <c r="HY239" s="934"/>
      <c r="HZ239" s="935"/>
      <c r="IA239" s="934"/>
      <c r="IB239" s="934"/>
      <c r="IC239" s="934"/>
      <c r="ID239" s="935"/>
      <c r="IE239" s="933"/>
      <c r="IF239" s="933"/>
      <c r="IG239" s="933"/>
      <c r="IH239" s="933"/>
      <c r="II239" s="933"/>
      <c r="IJ239" s="936"/>
      <c r="IK239" s="932"/>
      <c r="IL239" s="929"/>
      <c r="IM239" s="929"/>
      <c r="IN239" s="929"/>
      <c r="IO239" s="929"/>
      <c r="IP239" s="929"/>
      <c r="IQ239" s="934"/>
      <c r="IR239" s="934"/>
      <c r="IS239" s="935"/>
      <c r="IT239" s="934"/>
      <c r="IU239" s="934"/>
      <c r="IV239" s="934"/>
      <c r="IW239" s="935"/>
      <c r="IX239" s="933"/>
      <c r="IY239" s="933"/>
      <c r="IZ239" s="933"/>
      <c r="JA239" s="933"/>
      <c r="JB239" s="933"/>
      <c r="JC239" s="936"/>
      <c r="JD239" s="932"/>
      <c r="JE239" s="929"/>
      <c r="JF239" s="929"/>
      <c r="JG239" s="929"/>
      <c r="JH239" s="929"/>
      <c r="JI239" s="929"/>
      <c r="JJ239" s="934"/>
      <c r="JK239" s="934"/>
      <c r="JL239" s="935"/>
      <c r="JM239" s="934"/>
      <c r="JN239" s="934"/>
      <c r="JO239" s="934"/>
      <c r="JP239" s="935"/>
      <c r="JQ239" s="933"/>
      <c r="JR239" s="933"/>
      <c r="JS239" s="933"/>
      <c r="JT239" s="933"/>
      <c r="JU239" s="933"/>
      <c r="JV239" s="936"/>
      <c r="JW239" s="932"/>
      <c r="JX239" s="929"/>
      <c r="JY239" s="929"/>
      <c r="JZ239" s="929"/>
      <c r="KA239" s="929"/>
      <c r="KB239" s="929"/>
      <c r="KC239" s="934"/>
      <c r="KD239" s="934"/>
      <c r="KE239" s="935"/>
      <c r="KF239" s="934"/>
      <c r="KG239" s="934"/>
      <c r="KH239" s="934"/>
      <c r="KI239" s="935"/>
      <c r="KJ239" s="933"/>
      <c r="KK239" s="933"/>
      <c r="KL239" s="1009"/>
      <c r="KM239" s="1009"/>
      <c r="KN239" s="1009"/>
      <c r="KO239" s="1010"/>
    </row>
    <row r="240" spans="1:301" ht="15" customHeight="1" thickTop="1"/>
  </sheetData>
  <phoneticPr fontId="170" type="noConversion"/>
  <conditionalFormatting sqref="BA11">
    <cfRule type="expression" dxfId="235" priority="3641">
      <formula>$BA11&lt;$AP11</formula>
    </cfRule>
  </conditionalFormatting>
  <conditionalFormatting sqref="BT11">
    <cfRule type="expression" dxfId="234" priority="3642">
      <formula>$BT11&lt;$BI11</formula>
    </cfRule>
  </conditionalFormatting>
  <conditionalFormatting sqref="CM11">
    <cfRule type="expression" dxfId="233" priority="3643">
      <formula>$CM11&lt;$CB11</formula>
    </cfRule>
  </conditionalFormatting>
  <conditionalFormatting sqref="DF11">
    <cfRule type="expression" dxfId="232" priority="3644">
      <formula>$DF11&lt;$CU11</formula>
    </cfRule>
  </conditionalFormatting>
  <conditionalFormatting sqref="DY11">
    <cfRule type="expression" dxfId="231" priority="3645">
      <formula>$DY11&lt;$DN11</formula>
    </cfRule>
  </conditionalFormatting>
  <conditionalFormatting sqref="ER11">
    <cfRule type="expression" dxfId="230" priority="3646">
      <formula>$ER11&lt;$EG11</formula>
    </cfRule>
  </conditionalFormatting>
  <conditionalFormatting sqref="FK11">
    <cfRule type="expression" dxfId="229" priority="3647">
      <formula>$FK11&lt;$EZ11</formula>
    </cfRule>
  </conditionalFormatting>
  <conditionalFormatting sqref="GD11">
    <cfRule type="expression" dxfId="228" priority="3648">
      <formula>$GD11&lt;$FS11</formula>
    </cfRule>
  </conditionalFormatting>
  <conditionalFormatting sqref="GW11">
    <cfRule type="expression" dxfId="227" priority="3649">
      <formula>$GW11&lt;$GL11</formula>
    </cfRule>
  </conditionalFormatting>
  <conditionalFormatting sqref="HP11">
    <cfRule type="expression" dxfId="226" priority="3650">
      <formula>$HP11&lt;$HE11</formula>
    </cfRule>
  </conditionalFormatting>
  <conditionalFormatting sqref="II11">
    <cfRule type="expression" dxfId="225" priority="3651">
      <formula>$II11&lt;$HX11</formula>
    </cfRule>
  </conditionalFormatting>
  <conditionalFormatting sqref="JB11">
    <cfRule type="expression" dxfId="224" priority="3652">
      <formula>$JB11&lt;$IQ11</formula>
    </cfRule>
  </conditionalFormatting>
  <conditionalFormatting sqref="JU11">
    <cfRule type="expression" dxfId="223" priority="3653">
      <formula>$JU11&lt;$JJ11</formula>
    </cfRule>
  </conditionalFormatting>
  <conditionalFormatting sqref="KN11">
    <cfRule type="expression" dxfId="222" priority="3654">
      <formula>$KN11&lt;$KC11</formula>
    </cfRule>
  </conditionalFormatting>
  <conditionalFormatting sqref="AT11">
    <cfRule type="expression" dxfId="221" priority="3655">
      <formula>$AT11&gt;$H11*0.1</formula>
    </cfRule>
  </conditionalFormatting>
  <conditionalFormatting sqref="AX11">
    <cfRule type="expression" dxfId="220" priority="3656">
      <formula>$AX11&gt;$I11*0.1</formula>
    </cfRule>
  </conditionalFormatting>
  <conditionalFormatting sqref="BA17:BA81 BA83:BA93 BA106:BA239">
    <cfRule type="expression" dxfId="219" priority="193">
      <formula>$BA17&lt;$AP17</formula>
    </cfRule>
  </conditionalFormatting>
  <conditionalFormatting sqref="BT17:BT81 BT83:BT93 BT106:BT238">
    <cfRule type="expression" dxfId="218" priority="194">
      <formula>$BT17&lt;$BI17</formula>
    </cfRule>
  </conditionalFormatting>
  <conditionalFormatting sqref="CM17:CM81 CM83:CM93 CM106:CM238">
    <cfRule type="expression" dxfId="217" priority="195">
      <formula>$CM17&lt;$CB17</formula>
    </cfRule>
  </conditionalFormatting>
  <conditionalFormatting sqref="DF17:DF81 DF83:DF93 DF106:DF238">
    <cfRule type="expression" dxfId="216" priority="196">
      <formula>$DF17&lt;$CU17</formula>
    </cfRule>
  </conditionalFormatting>
  <conditionalFormatting sqref="DY17:DY81 DY83:DY93 DY106:DY238">
    <cfRule type="expression" dxfId="215" priority="197">
      <formula>$DY17&lt;$DN17</formula>
    </cfRule>
  </conditionalFormatting>
  <conditionalFormatting sqref="ER17:ER81 ER83:ER93 ER106:ER238">
    <cfRule type="expression" dxfId="214" priority="198">
      <formula>$ER17&lt;$EG17</formula>
    </cfRule>
  </conditionalFormatting>
  <conditionalFormatting sqref="FK17:FK81 FK83:FK93 FK106:FK238">
    <cfRule type="expression" dxfId="213" priority="199">
      <formula>$FK17&lt;$EZ17</formula>
    </cfRule>
  </conditionalFormatting>
  <conditionalFormatting sqref="GD17:GD81 GD83:GD93 GD106:GD238">
    <cfRule type="expression" dxfId="212" priority="200">
      <formula>$GD17&lt;$FS17</formula>
    </cfRule>
  </conditionalFormatting>
  <conditionalFormatting sqref="GW17:GW81 GW83:GW93 GW106:GW238">
    <cfRule type="expression" dxfId="211" priority="201">
      <formula>$GW17&lt;$GL17</formula>
    </cfRule>
  </conditionalFormatting>
  <conditionalFormatting sqref="HP17:HP81 HP83:HP93 HP106:HP238">
    <cfRule type="expression" dxfId="210" priority="202">
      <formula>$HP17&lt;$HE17</formula>
    </cfRule>
  </conditionalFormatting>
  <conditionalFormatting sqref="II17:II81 II83:II93 II106:II238">
    <cfRule type="expression" dxfId="209" priority="203">
      <formula>$II17&lt;$HX17</formula>
    </cfRule>
  </conditionalFormatting>
  <conditionalFormatting sqref="JB17:JB81 JB83:JB93 JB106:JB238">
    <cfRule type="expression" dxfId="208" priority="204">
      <formula>$JB17&lt;$IQ17</formula>
    </cfRule>
  </conditionalFormatting>
  <conditionalFormatting sqref="JU17:JU81 JU83:JU93 JU106:JU238">
    <cfRule type="expression" dxfId="207" priority="205">
      <formula>$JU17&lt;$JJ17</formula>
    </cfRule>
  </conditionalFormatting>
  <conditionalFormatting sqref="KN17:KN81 KN83:KN93 KN106:KN238">
    <cfRule type="expression" dxfId="206" priority="206">
      <formula>$KN17&lt;$KC17</formula>
    </cfRule>
  </conditionalFormatting>
  <conditionalFormatting sqref="CF17 BM17 CY17 DR17 EK17 FD17 FW17 GP17 HI17 IB17 IU17 JN17 KG17 AT17:AT100 AT106:AT239">
    <cfRule type="expression" dxfId="205" priority="207">
      <formula>$AT17&gt;$H17*0.1</formula>
    </cfRule>
  </conditionalFormatting>
  <conditionalFormatting sqref="CJ17 BQ17 DC17 DV17 EO17 FH17 GA17 GT17 HM17 IF17 IY17 JR17 KK17 AX17:AX100 AX106:AX239">
    <cfRule type="expression" dxfId="204" priority="208">
      <formula>$AX17&gt;$I17*0.1</formula>
    </cfRule>
  </conditionalFormatting>
  <conditionalFormatting sqref="DB239">
    <cfRule type="expression" dxfId="203" priority="209">
      <formula>$DB239&lt;$CR239</formula>
    </cfRule>
  </conditionalFormatting>
  <conditionalFormatting sqref="EN239">
    <cfRule type="expression" dxfId="202" priority="210">
      <formula>$EN239&lt;$ED239</formula>
    </cfRule>
  </conditionalFormatting>
  <conditionalFormatting sqref="FG239">
    <cfRule type="expression" dxfId="201" priority="211">
      <formula>$FG239&lt;$EW239</formula>
    </cfRule>
  </conditionalFormatting>
  <conditionalFormatting sqref="FZ239">
    <cfRule type="expression" dxfId="200" priority="212">
      <formula>$FZ239&lt;$FP239</formula>
    </cfRule>
  </conditionalFormatting>
  <conditionalFormatting sqref="GS239">
    <cfRule type="expression" dxfId="199" priority="213">
      <formula>$GS239&lt;$GI239</formula>
    </cfRule>
  </conditionalFormatting>
  <conditionalFormatting sqref="HL239">
    <cfRule type="expression" dxfId="198" priority="214">
      <formula>$HL239&lt;$HB239</formula>
    </cfRule>
  </conditionalFormatting>
  <conditionalFormatting sqref="IE239">
    <cfRule type="expression" dxfId="197" priority="215">
      <formula>$IE239&lt;$HU239</formula>
    </cfRule>
  </conditionalFormatting>
  <conditionalFormatting sqref="IX239">
    <cfRule type="expression" dxfId="196" priority="216">
      <formula>$IX239&lt;$IN239</formula>
    </cfRule>
  </conditionalFormatting>
  <conditionalFormatting sqref="JQ239">
    <cfRule type="expression" dxfId="195" priority="217">
      <formula>$JQ239&lt;$JG239</formula>
    </cfRule>
  </conditionalFormatting>
  <conditionalFormatting sqref="KJ239">
    <cfRule type="expression" dxfId="194" priority="218">
      <formula>$KJ239&lt;$JZ239</formula>
    </cfRule>
  </conditionalFormatting>
  <conditionalFormatting sqref="CI239">
    <cfRule type="expression" dxfId="193" priority="219">
      <formula>$CI239&lt;$BY239</formula>
    </cfRule>
  </conditionalFormatting>
  <conditionalFormatting sqref="DU239">
    <cfRule type="expression" dxfId="192" priority="220">
      <formula>$DU239&lt;$DK239</formula>
    </cfRule>
  </conditionalFormatting>
  <conditionalFormatting sqref="BA82">
    <cfRule type="expression" dxfId="191" priority="179">
      <formula>$BA82&lt;$AP82</formula>
    </cfRule>
  </conditionalFormatting>
  <conditionalFormatting sqref="BT82">
    <cfRule type="expression" dxfId="190" priority="180">
      <formula>$BT82&lt;$BI82</formula>
    </cfRule>
  </conditionalFormatting>
  <conditionalFormatting sqref="CM82">
    <cfRule type="expression" dxfId="189" priority="181">
      <formula>$CM82&lt;$CB82</formula>
    </cfRule>
  </conditionalFormatting>
  <conditionalFormatting sqref="DF82">
    <cfRule type="expression" dxfId="188" priority="182">
      <formula>$DF82&lt;$CU82</formula>
    </cfRule>
  </conditionalFormatting>
  <conditionalFormatting sqref="DY82">
    <cfRule type="expression" dxfId="187" priority="183">
      <formula>$DY82&lt;$DN82</formula>
    </cfRule>
  </conditionalFormatting>
  <conditionalFormatting sqref="ER82">
    <cfRule type="expression" dxfId="186" priority="184">
      <formula>$ER82&lt;$EG82</formula>
    </cfRule>
  </conditionalFormatting>
  <conditionalFormatting sqref="FK82">
    <cfRule type="expression" dxfId="185" priority="185">
      <formula>$FK82&lt;$EZ82</formula>
    </cfRule>
  </conditionalFormatting>
  <conditionalFormatting sqref="GD82">
    <cfRule type="expression" dxfId="184" priority="186">
      <formula>$GD82&lt;$FS82</formula>
    </cfRule>
  </conditionalFormatting>
  <conditionalFormatting sqref="GW82">
    <cfRule type="expression" dxfId="183" priority="187">
      <formula>$GW82&lt;$GL82</formula>
    </cfRule>
  </conditionalFormatting>
  <conditionalFormatting sqref="HP82">
    <cfRule type="expression" dxfId="182" priority="188">
      <formula>$HP82&lt;$HE82</formula>
    </cfRule>
  </conditionalFormatting>
  <conditionalFormatting sqref="II82">
    <cfRule type="expression" dxfId="181" priority="189">
      <formula>$II82&lt;$HX82</formula>
    </cfRule>
  </conditionalFormatting>
  <conditionalFormatting sqref="JB82">
    <cfRule type="expression" dxfId="180" priority="190">
      <formula>$JB82&lt;$IQ82</formula>
    </cfRule>
  </conditionalFormatting>
  <conditionalFormatting sqref="JU82">
    <cfRule type="expression" dxfId="179" priority="191">
      <formula>$JU82&lt;$JJ82</formula>
    </cfRule>
  </conditionalFormatting>
  <conditionalFormatting sqref="KN82">
    <cfRule type="expression" dxfId="178" priority="192">
      <formula>$KN82&lt;$KC82</formula>
    </cfRule>
  </conditionalFormatting>
  <conditionalFormatting sqref="BA94">
    <cfRule type="expression" dxfId="177" priority="165">
      <formula>$BA94&lt;$AP94</formula>
    </cfRule>
  </conditionalFormatting>
  <conditionalFormatting sqref="BT94">
    <cfRule type="expression" dxfId="176" priority="166">
      <formula>$BT94&lt;$BI94</formula>
    </cfRule>
  </conditionalFormatting>
  <conditionalFormatting sqref="CM94">
    <cfRule type="expression" dxfId="175" priority="167">
      <formula>$CM94&lt;$CB94</formula>
    </cfRule>
  </conditionalFormatting>
  <conditionalFormatting sqref="DF94">
    <cfRule type="expression" dxfId="174" priority="168">
      <formula>$DF94&lt;$CU94</formula>
    </cfRule>
  </conditionalFormatting>
  <conditionalFormatting sqref="DY94">
    <cfRule type="expression" dxfId="173" priority="169">
      <formula>$DY94&lt;$DN94</formula>
    </cfRule>
  </conditionalFormatting>
  <conditionalFormatting sqref="ER94">
    <cfRule type="expression" dxfId="172" priority="170">
      <formula>$ER94&lt;$EG94</formula>
    </cfRule>
  </conditionalFormatting>
  <conditionalFormatting sqref="FK94">
    <cfRule type="expression" dxfId="171" priority="171">
      <formula>$FK94&lt;$EZ94</formula>
    </cfRule>
  </conditionalFormatting>
  <conditionalFormatting sqref="GD94">
    <cfRule type="expression" dxfId="170" priority="172">
      <formula>$GD94&lt;$FS94</formula>
    </cfRule>
  </conditionalFormatting>
  <conditionalFormatting sqref="GW94">
    <cfRule type="expression" dxfId="169" priority="173">
      <formula>$GW94&lt;$GL94</formula>
    </cfRule>
  </conditionalFormatting>
  <conditionalFormatting sqref="HP94">
    <cfRule type="expression" dxfId="168" priority="174">
      <formula>$HP94&lt;$HE94</formula>
    </cfRule>
  </conditionalFormatting>
  <conditionalFormatting sqref="II94">
    <cfRule type="expression" dxfId="167" priority="175">
      <formula>$II94&lt;$HX94</formula>
    </cfRule>
  </conditionalFormatting>
  <conditionalFormatting sqref="JB94">
    <cfRule type="expression" dxfId="166" priority="176">
      <formula>$JB94&lt;$IQ94</formula>
    </cfRule>
  </conditionalFormatting>
  <conditionalFormatting sqref="JU94">
    <cfRule type="expression" dxfId="165" priority="177">
      <formula>$JU94&lt;$JJ94</formula>
    </cfRule>
  </conditionalFormatting>
  <conditionalFormatting sqref="KN94">
    <cfRule type="expression" dxfId="164" priority="178">
      <formula>$KN94&lt;$KC94</formula>
    </cfRule>
  </conditionalFormatting>
  <conditionalFormatting sqref="BA95">
    <cfRule type="expression" dxfId="163" priority="151">
      <formula>$BA95&lt;$AP95</formula>
    </cfRule>
  </conditionalFormatting>
  <conditionalFormatting sqref="BT95">
    <cfRule type="expression" dxfId="162" priority="152">
      <formula>$BT95&lt;$BI95</formula>
    </cfRule>
  </conditionalFormatting>
  <conditionalFormatting sqref="CM95">
    <cfRule type="expression" dxfId="161" priority="153">
      <formula>$CM95&lt;$CB95</formula>
    </cfRule>
  </conditionalFormatting>
  <conditionalFormatting sqref="DF95">
    <cfRule type="expression" dxfId="160" priority="154">
      <formula>$DF95&lt;$CU95</formula>
    </cfRule>
  </conditionalFormatting>
  <conditionalFormatting sqref="DY95">
    <cfRule type="expression" dxfId="159" priority="155">
      <formula>$DY95&lt;$DN95</formula>
    </cfRule>
  </conditionalFormatting>
  <conditionalFormatting sqref="ER95">
    <cfRule type="expression" dxfId="158" priority="156">
      <formula>$ER95&lt;$EG95</formula>
    </cfRule>
  </conditionalFormatting>
  <conditionalFormatting sqref="FK95">
    <cfRule type="expression" dxfId="157" priority="157">
      <formula>$FK95&lt;$EZ95</formula>
    </cfRule>
  </conditionalFormatting>
  <conditionalFormatting sqref="GD95">
    <cfRule type="expression" dxfId="156" priority="158">
      <formula>$GD95&lt;$FS95</formula>
    </cfRule>
  </conditionalFormatting>
  <conditionalFormatting sqref="GW95">
    <cfRule type="expression" dxfId="155" priority="159">
      <formula>$GW95&lt;$GL95</formula>
    </cfRule>
  </conditionalFormatting>
  <conditionalFormatting sqref="HP95">
    <cfRule type="expression" dxfId="154" priority="160">
      <formula>$HP95&lt;$HE95</formula>
    </cfRule>
  </conditionalFormatting>
  <conditionalFormatting sqref="II95">
    <cfRule type="expression" dxfId="153" priority="161">
      <formula>$II95&lt;$HX95</formula>
    </cfRule>
  </conditionalFormatting>
  <conditionalFormatting sqref="JB95">
    <cfRule type="expression" dxfId="152" priority="162">
      <formula>$JB95&lt;$IQ95</formula>
    </cfRule>
  </conditionalFormatting>
  <conditionalFormatting sqref="JU95">
    <cfRule type="expression" dxfId="151" priority="163">
      <formula>$JU95&lt;$JJ95</formula>
    </cfRule>
  </conditionalFormatting>
  <conditionalFormatting sqref="KN95">
    <cfRule type="expression" dxfId="150" priority="164">
      <formula>$KN95&lt;$KC95</formula>
    </cfRule>
  </conditionalFormatting>
  <conditionalFormatting sqref="BA96">
    <cfRule type="expression" dxfId="149" priority="137">
      <formula>$BA96&lt;$AP96</formula>
    </cfRule>
  </conditionalFormatting>
  <conditionalFormatting sqref="BT96">
    <cfRule type="expression" dxfId="148" priority="138">
      <formula>$BT96&lt;$BI96</formula>
    </cfRule>
  </conditionalFormatting>
  <conditionalFormatting sqref="CM96">
    <cfRule type="expression" dxfId="147" priority="139">
      <formula>$CM96&lt;$CB96</formula>
    </cfRule>
  </conditionalFormatting>
  <conditionalFormatting sqref="DF96">
    <cfRule type="expression" dxfId="146" priority="140">
      <formula>$DF96&lt;$CU96</formula>
    </cfRule>
  </conditionalFormatting>
  <conditionalFormatting sqref="DY96">
    <cfRule type="expression" dxfId="145" priority="141">
      <formula>$DY96&lt;$DN96</formula>
    </cfRule>
  </conditionalFormatting>
  <conditionalFormatting sqref="ER96">
    <cfRule type="expression" dxfId="144" priority="142">
      <formula>$ER96&lt;$EG96</formula>
    </cfRule>
  </conditionalFormatting>
  <conditionalFormatting sqref="FK96">
    <cfRule type="expression" dxfId="143" priority="143">
      <formula>$FK96&lt;$EZ96</formula>
    </cfRule>
  </conditionalFormatting>
  <conditionalFormatting sqref="GD96">
    <cfRule type="expression" dxfId="142" priority="144">
      <formula>$GD96&lt;$FS96</formula>
    </cfRule>
  </conditionalFormatting>
  <conditionalFormatting sqref="GW96">
    <cfRule type="expression" dxfId="141" priority="145">
      <formula>$GW96&lt;$GL96</formula>
    </cfRule>
  </conditionalFormatting>
  <conditionalFormatting sqref="HP96">
    <cfRule type="expression" dxfId="140" priority="146">
      <formula>$HP96&lt;$HE96</formula>
    </cfRule>
  </conditionalFormatting>
  <conditionalFormatting sqref="II96">
    <cfRule type="expression" dxfId="139" priority="147">
      <formula>$II96&lt;$HX96</formula>
    </cfRule>
  </conditionalFormatting>
  <conditionalFormatting sqref="JB96">
    <cfRule type="expression" dxfId="138" priority="148">
      <formula>$JB96&lt;$IQ96</formula>
    </cfRule>
  </conditionalFormatting>
  <conditionalFormatting sqref="JU96">
    <cfRule type="expression" dxfId="137" priority="149">
      <formula>$JU96&lt;$JJ96</formula>
    </cfRule>
  </conditionalFormatting>
  <conditionalFormatting sqref="KN96">
    <cfRule type="expression" dxfId="136" priority="150">
      <formula>$KN96&lt;$KC96</formula>
    </cfRule>
  </conditionalFormatting>
  <conditionalFormatting sqref="BA97">
    <cfRule type="expression" dxfId="135" priority="123">
      <formula>$BA97&lt;$AP97</formula>
    </cfRule>
  </conditionalFormatting>
  <conditionalFormatting sqref="BT97">
    <cfRule type="expression" dxfId="134" priority="124">
      <formula>$BT97&lt;$BI97</formula>
    </cfRule>
  </conditionalFormatting>
  <conditionalFormatting sqref="CM97">
    <cfRule type="expression" dxfId="133" priority="125">
      <formula>$CM97&lt;$CB97</formula>
    </cfRule>
  </conditionalFormatting>
  <conditionalFormatting sqref="DF97">
    <cfRule type="expression" dxfId="132" priority="126">
      <formula>$DF97&lt;$CU97</formula>
    </cfRule>
  </conditionalFormatting>
  <conditionalFormatting sqref="DY97">
    <cfRule type="expression" dxfId="131" priority="127">
      <formula>$DY97&lt;$DN97</formula>
    </cfRule>
  </conditionalFormatting>
  <conditionalFormatting sqref="ER97">
    <cfRule type="expression" dxfId="130" priority="128">
      <formula>$ER97&lt;$EG97</formula>
    </cfRule>
  </conditionalFormatting>
  <conditionalFormatting sqref="FK97">
    <cfRule type="expression" dxfId="129" priority="129">
      <formula>$FK97&lt;$EZ97</formula>
    </cfRule>
  </conditionalFormatting>
  <conditionalFormatting sqref="GD97">
    <cfRule type="expression" dxfId="128" priority="130">
      <formula>$GD97&lt;$FS97</formula>
    </cfRule>
  </conditionalFormatting>
  <conditionalFormatting sqref="GW97">
    <cfRule type="expression" dxfId="127" priority="131">
      <formula>$GW97&lt;$GL97</formula>
    </cfRule>
  </conditionalFormatting>
  <conditionalFormatting sqref="HP97">
    <cfRule type="expression" dxfId="126" priority="132">
      <formula>$HP97&lt;$HE97</formula>
    </cfRule>
  </conditionalFormatting>
  <conditionalFormatting sqref="II97">
    <cfRule type="expression" dxfId="125" priority="133">
      <formula>$II97&lt;$HX97</formula>
    </cfRule>
  </conditionalFormatting>
  <conditionalFormatting sqref="JB97">
    <cfRule type="expression" dxfId="124" priority="134">
      <formula>$JB97&lt;$IQ97</formula>
    </cfRule>
  </conditionalFormatting>
  <conditionalFormatting sqref="JU97">
    <cfRule type="expression" dxfId="123" priority="135">
      <formula>$JU97&lt;$JJ97</formula>
    </cfRule>
  </conditionalFormatting>
  <conditionalFormatting sqref="KN97">
    <cfRule type="expression" dxfId="122" priority="136">
      <formula>$KN97&lt;$KC97</formula>
    </cfRule>
  </conditionalFormatting>
  <conditionalFormatting sqref="BA98">
    <cfRule type="expression" dxfId="121" priority="109">
      <formula>$BA98&lt;$AP98</formula>
    </cfRule>
  </conditionalFormatting>
  <conditionalFormatting sqref="BT98">
    <cfRule type="expression" dxfId="120" priority="110">
      <formula>$BT98&lt;$BI98</formula>
    </cfRule>
  </conditionalFormatting>
  <conditionalFormatting sqref="CM98">
    <cfRule type="expression" dxfId="119" priority="111">
      <formula>$CM98&lt;$CB98</formula>
    </cfRule>
  </conditionalFormatting>
  <conditionalFormatting sqref="DF98">
    <cfRule type="expression" dxfId="118" priority="112">
      <formula>$DF98&lt;$CU98</formula>
    </cfRule>
  </conditionalFormatting>
  <conditionalFormatting sqref="DY98">
    <cfRule type="expression" dxfId="117" priority="113">
      <formula>$DY98&lt;$DN98</formula>
    </cfRule>
  </conditionalFormatting>
  <conditionalFormatting sqref="ER98">
    <cfRule type="expression" dxfId="116" priority="114">
      <formula>$ER98&lt;$EG98</formula>
    </cfRule>
  </conditionalFormatting>
  <conditionalFormatting sqref="FK98">
    <cfRule type="expression" dxfId="115" priority="115">
      <formula>$FK98&lt;$EZ98</formula>
    </cfRule>
  </conditionalFormatting>
  <conditionalFormatting sqref="GD98">
    <cfRule type="expression" dxfId="114" priority="116">
      <formula>$GD98&lt;$FS98</formula>
    </cfRule>
  </conditionalFormatting>
  <conditionalFormatting sqref="GW98">
    <cfRule type="expression" dxfId="113" priority="117">
      <formula>$GW98&lt;$GL98</formula>
    </cfRule>
  </conditionalFormatting>
  <conditionalFormatting sqref="HP98">
    <cfRule type="expression" dxfId="112" priority="118">
      <formula>$HP98&lt;$HE98</formula>
    </cfRule>
  </conditionalFormatting>
  <conditionalFormatting sqref="II98">
    <cfRule type="expression" dxfId="111" priority="119">
      <formula>$II98&lt;$HX98</formula>
    </cfRule>
  </conditionalFormatting>
  <conditionalFormatting sqref="JB98">
    <cfRule type="expression" dxfId="110" priority="120">
      <formula>$JB98&lt;$IQ98</formula>
    </cfRule>
  </conditionalFormatting>
  <conditionalFormatting sqref="JU98">
    <cfRule type="expression" dxfId="109" priority="121">
      <formula>$JU98&lt;$JJ98</formula>
    </cfRule>
  </conditionalFormatting>
  <conditionalFormatting sqref="KN98">
    <cfRule type="expression" dxfId="108" priority="122">
      <formula>$KN98&lt;$KC98</formula>
    </cfRule>
  </conditionalFormatting>
  <conditionalFormatting sqref="BA99">
    <cfRule type="expression" dxfId="107" priority="95">
      <formula>$BA99&lt;$AP99</formula>
    </cfRule>
  </conditionalFormatting>
  <conditionalFormatting sqref="BT99">
    <cfRule type="expression" dxfId="106" priority="96">
      <formula>$BT99&lt;$BI99</formula>
    </cfRule>
  </conditionalFormatting>
  <conditionalFormatting sqref="CM99">
    <cfRule type="expression" dxfId="105" priority="97">
      <formula>$CM99&lt;$CB99</formula>
    </cfRule>
  </conditionalFormatting>
  <conditionalFormatting sqref="DF99">
    <cfRule type="expression" dxfId="104" priority="98">
      <formula>$DF99&lt;$CU99</formula>
    </cfRule>
  </conditionalFormatting>
  <conditionalFormatting sqref="DY99">
    <cfRule type="expression" dxfId="103" priority="99">
      <formula>$DY99&lt;$DN99</formula>
    </cfRule>
  </conditionalFormatting>
  <conditionalFormatting sqref="ER99">
    <cfRule type="expression" dxfId="102" priority="100">
      <formula>$ER99&lt;$EG99</formula>
    </cfRule>
  </conditionalFormatting>
  <conditionalFormatting sqref="FK99">
    <cfRule type="expression" dxfId="101" priority="101">
      <formula>$FK99&lt;$EZ99</formula>
    </cfRule>
  </conditionalFormatting>
  <conditionalFormatting sqref="GD99">
    <cfRule type="expression" dxfId="100" priority="102">
      <formula>$GD99&lt;$FS99</formula>
    </cfRule>
  </conditionalFormatting>
  <conditionalFormatting sqref="GW99">
    <cfRule type="expression" dxfId="99" priority="103">
      <formula>$GW99&lt;$GL99</formula>
    </cfRule>
  </conditionalFormatting>
  <conditionalFormatting sqref="HP99">
    <cfRule type="expression" dxfId="98" priority="104">
      <formula>$HP99&lt;$HE99</formula>
    </cfRule>
  </conditionalFormatting>
  <conditionalFormatting sqref="II99">
    <cfRule type="expression" dxfId="97" priority="105">
      <formula>$II99&lt;$HX99</formula>
    </cfRule>
  </conditionalFormatting>
  <conditionalFormatting sqref="JB99">
    <cfRule type="expression" dxfId="96" priority="106">
      <formula>$JB99&lt;$IQ99</formula>
    </cfRule>
  </conditionalFormatting>
  <conditionalFormatting sqref="JU99">
    <cfRule type="expression" dxfId="95" priority="107">
      <formula>$JU99&lt;$JJ99</formula>
    </cfRule>
  </conditionalFormatting>
  <conditionalFormatting sqref="KN99">
    <cfRule type="expression" dxfId="94" priority="108">
      <formula>$KN99&lt;$KC99</formula>
    </cfRule>
  </conditionalFormatting>
  <conditionalFormatting sqref="BA100">
    <cfRule type="expression" dxfId="93" priority="81">
      <formula>$BA100&lt;$AP100</formula>
    </cfRule>
  </conditionalFormatting>
  <conditionalFormatting sqref="BT100">
    <cfRule type="expression" dxfId="92" priority="82">
      <formula>$BT100&lt;$BI100</formula>
    </cfRule>
  </conditionalFormatting>
  <conditionalFormatting sqref="CM100">
    <cfRule type="expression" dxfId="91" priority="83">
      <formula>$CM100&lt;$CB100</formula>
    </cfRule>
  </conditionalFormatting>
  <conditionalFormatting sqref="DF100">
    <cfRule type="expression" dxfId="90" priority="84">
      <formula>$DF100&lt;$CU100</formula>
    </cfRule>
  </conditionalFormatting>
  <conditionalFormatting sqref="DY100">
    <cfRule type="expression" dxfId="89" priority="85">
      <formula>$DY100&lt;$DN100</formula>
    </cfRule>
  </conditionalFormatting>
  <conditionalFormatting sqref="ER100">
    <cfRule type="expression" dxfId="88" priority="86">
      <formula>$ER100&lt;$EG100</formula>
    </cfRule>
  </conditionalFormatting>
  <conditionalFormatting sqref="FK100">
    <cfRule type="expression" dxfId="87" priority="87">
      <formula>$FK100&lt;$EZ100</formula>
    </cfRule>
  </conditionalFormatting>
  <conditionalFormatting sqref="GD100">
    <cfRule type="expression" dxfId="86" priority="88">
      <formula>$GD100&lt;$FS100</formula>
    </cfRule>
  </conditionalFormatting>
  <conditionalFormatting sqref="GW100">
    <cfRule type="expression" dxfId="85" priority="89">
      <formula>$GW100&lt;$GL100</formula>
    </cfRule>
  </conditionalFormatting>
  <conditionalFormatting sqref="HP100">
    <cfRule type="expression" dxfId="84" priority="90">
      <formula>$HP100&lt;$HE100</formula>
    </cfRule>
  </conditionalFormatting>
  <conditionalFormatting sqref="II100">
    <cfRule type="expression" dxfId="83" priority="91">
      <formula>$II100&lt;$HX100</formula>
    </cfRule>
  </conditionalFormatting>
  <conditionalFormatting sqref="JB100">
    <cfRule type="expression" dxfId="82" priority="92">
      <formula>$JB100&lt;$IQ100</formula>
    </cfRule>
  </conditionalFormatting>
  <conditionalFormatting sqref="JU100">
    <cfRule type="expression" dxfId="81" priority="93">
      <formula>$JU100&lt;$JJ100</formula>
    </cfRule>
  </conditionalFormatting>
  <conditionalFormatting sqref="KN100">
    <cfRule type="expression" dxfId="80" priority="94">
      <formula>$KN100&lt;$KC100</formula>
    </cfRule>
  </conditionalFormatting>
  <conditionalFormatting sqref="AT101">
    <cfRule type="expression" dxfId="79" priority="79">
      <formula>$AT101&gt;$H101*0.1</formula>
    </cfRule>
  </conditionalFormatting>
  <conditionalFormatting sqref="AX101">
    <cfRule type="expression" dxfId="78" priority="80">
      <formula>$AX101&gt;$I101*0.1</formula>
    </cfRule>
  </conditionalFormatting>
  <conditionalFormatting sqref="BA101">
    <cfRule type="expression" dxfId="77" priority="65">
      <formula>$BA101&lt;$AP101</formula>
    </cfRule>
  </conditionalFormatting>
  <conditionalFormatting sqref="BT101">
    <cfRule type="expression" dxfId="76" priority="66">
      <formula>$BT101&lt;$BI101</formula>
    </cfRule>
  </conditionalFormatting>
  <conditionalFormatting sqref="CM101">
    <cfRule type="expression" dxfId="75" priority="67">
      <formula>$CM101&lt;$CB101</formula>
    </cfRule>
  </conditionalFormatting>
  <conditionalFormatting sqref="DF101">
    <cfRule type="expression" dxfId="74" priority="68">
      <formula>$DF101&lt;$CU101</formula>
    </cfRule>
  </conditionalFormatting>
  <conditionalFormatting sqref="DY101">
    <cfRule type="expression" dxfId="73" priority="69">
      <formula>$DY101&lt;$DN101</formula>
    </cfRule>
  </conditionalFormatting>
  <conditionalFormatting sqref="ER101">
    <cfRule type="expression" dxfId="72" priority="70">
      <formula>$ER101&lt;$EG101</formula>
    </cfRule>
  </conditionalFormatting>
  <conditionalFormatting sqref="FK101">
    <cfRule type="expression" dxfId="71" priority="71">
      <formula>$FK101&lt;$EZ101</formula>
    </cfRule>
  </conditionalFormatting>
  <conditionalFormatting sqref="GD101">
    <cfRule type="expression" dxfId="70" priority="72">
      <formula>$GD101&lt;$FS101</formula>
    </cfRule>
  </conditionalFormatting>
  <conditionalFormatting sqref="GW101">
    <cfRule type="expression" dxfId="69" priority="73">
      <formula>$GW101&lt;$GL101</formula>
    </cfRule>
  </conditionalFormatting>
  <conditionalFormatting sqref="HP101">
    <cfRule type="expression" dxfId="68" priority="74">
      <formula>$HP101&lt;$HE101</formula>
    </cfRule>
  </conditionalFormatting>
  <conditionalFormatting sqref="II101">
    <cfRule type="expression" dxfId="67" priority="75">
      <formula>$II101&lt;$HX101</formula>
    </cfRule>
  </conditionalFormatting>
  <conditionalFormatting sqref="JB101">
    <cfRule type="expression" dxfId="66" priority="76">
      <formula>$JB101&lt;$IQ101</formula>
    </cfRule>
  </conditionalFormatting>
  <conditionalFormatting sqref="JU101">
    <cfRule type="expression" dxfId="65" priority="77">
      <formula>$JU101&lt;$JJ101</formula>
    </cfRule>
  </conditionalFormatting>
  <conditionalFormatting sqref="KN101">
    <cfRule type="expression" dxfId="64" priority="78">
      <formula>$KN101&lt;$KC101</formula>
    </cfRule>
  </conditionalFormatting>
  <conditionalFormatting sqref="AT102">
    <cfRule type="expression" dxfId="63" priority="63">
      <formula>$AT102&gt;$H102*0.1</formula>
    </cfRule>
  </conditionalFormatting>
  <conditionalFormatting sqref="AX102">
    <cfRule type="expression" dxfId="62" priority="64">
      <formula>$AX102&gt;$I102*0.1</formula>
    </cfRule>
  </conditionalFormatting>
  <conditionalFormatting sqref="BA102">
    <cfRule type="expression" dxfId="61" priority="49">
      <formula>$BA102&lt;$AP102</formula>
    </cfRule>
  </conditionalFormatting>
  <conditionalFormatting sqref="BT102">
    <cfRule type="expression" dxfId="60" priority="50">
      <formula>$BT102&lt;$BI102</formula>
    </cfRule>
  </conditionalFormatting>
  <conditionalFormatting sqref="CM102">
    <cfRule type="expression" dxfId="59" priority="51">
      <formula>$CM102&lt;$CB102</formula>
    </cfRule>
  </conditionalFormatting>
  <conditionalFormatting sqref="DF102">
    <cfRule type="expression" dxfId="58" priority="52">
      <formula>$DF102&lt;$CU102</formula>
    </cfRule>
  </conditionalFormatting>
  <conditionalFormatting sqref="DY102">
    <cfRule type="expression" dxfId="57" priority="53">
      <formula>$DY102&lt;$DN102</formula>
    </cfRule>
  </conditionalFormatting>
  <conditionalFormatting sqref="ER102">
    <cfRule type="expression" dxfId="56" priority="54">
      <formula>$ER102&lt;$EG102</formula>
    </cfRule>
  </conditionalFormatting>
  <conditionalFormatting sqref="FK102">
    <cfRule type="expression" dxfId="55" priority="55">
      <formula>$FK102&lt;$EZ102</formula>
    </cfRule>
  </conditionalFormatting>
  <conditionalFormatting sqref="GD102">
    <cfRule type="expression" dxfId="54" priority="56">
      <formula>$GD102&lt;$FS102</formula>
    </cfRule>
  </conditionalFormatting>
  <conditionalFormatting sqref="GW102">
    <cfRule type="expression" dxfId="53" priority="57">
      <formula>$GW102&lt;$GL102</formula>
    </cfRule>
  </conditionalFormatting>
  <conditionalFormatting sqref="HP102">
    <cfRule type="expression" dxfId="52" priority="58">
      <formula>$HP102&lt;$HE102</formula>
    </cfRule>
  </conditionalFormatting>
  <conditionalFormatting sqref="II102">
    <cfRule type="expression" dxfId="51" priority="59">
      <formula>$II102&lt;$HX102</formula>
    </cfRule>
  </conditionalFormatting>
  <conditionalFormatting sqref="JB102">
    <cfRule type="expression" dxfId="50" priority="60">
      <formula>$JB102&lt;$IQ102</formula>
    </cfRule>
  </conditionalFormatting>
  <conditionalFormatting sqref="JU102">
    <cfRule type="expression" dxfId="49" priority="61">
      <formula>$JU102&lt;$JJ102</formula>
    </cfRule>
  </conditionalFormatting>
  <conditionalFormatting sqref="KN102">
    <cfRule type="expression" dxfId="48" priority="62">
      <formula>$KN102&lt;$KC102</formula>
    </cfRule>
  </conditionalFormatting>
  <conditionalFormatting sqref="AT103">
    <cfRule type="expression" dxfId="47" priority="47">
      <formula>$AT103&gt;$H103*0.1</formula>
    </cfRule>
  </conditionalFormatting>
  <conditionalFormatting sqref="AX103">
    <cfRule type="expression" dxfId="46" priority="48">
      <formula>$AX103&gt;$I103*0.1</formula>
    </cfRule>
  </conditionalFormatting>
  <conditionalFormatting sqref="BA103">
    <cfRule type="expression" dxfId="45" priority="33">
      <formula>$BA103&lt;$AP103</formula>
    </cfRule>
  </conditionalFormatting>
  <conditionalFormatting sqref="BT103">
    <cfRule type="expression" dxfId="44" priority="34">
      <formula>$BT103&lt;$BI103</formula>
    </cfRule>
  </conditionalFormatting>
  <conditionalFormatting sqref="CM103">
    <cfRule type="expression" dxfId="43" priority="35">
      <formula>$CM103&lt;$CB103</formula>
    </cfRule>
  </conditionalFormatting>
  <conditionalFormatting sqref="DF103">
    <cfRule type="expression" dxfId="42" priority="36">
      <formula>$DF103&lt;$CU103</formula>
    </cfRule>
  </conditionalFormatting>
  <conditionalFormatting sqref="DY103">
    <cfRule type="expression" dxfId="41" priority="37">
      <formula>$DY103&lt;$DN103</formula>
    </cfRule>
  </conditionalFormatting>
  <conditionalFormatting sqref="ER103">
    <cfRule type="expression" dxfId="40" priority="38">
      <formula>$ER103&lt;$EG103</formula>
    </cfRule>
  </conditionalFormatting>
  <conditionalFormatting sqref="FK103">
    <cfRule type="expression" dxfId="39" priority="39">
      <formula>$FK103&lt;$EZ103</formula>
    </cfRule>
  </conditionalFormatting>
  <conditionalFormatting sqref="GD103">
    <cfRule type="expression" dxfId="38" priority="40">
      <formula>$GD103&lt;$FS103</formula>
    </cfRule>
  </conditionalFormatting>
  <conditionalFormatting sqref="GW103">
    <cfRule type="expression" dxfId="37" priority="41">
      <formula>$GW103&lt;$GL103</formula>
    </cfRule>
  </conditionalFormatting>
  <conditionalFormatting sqref="HP103">
    <cfRule type="expression" dxfId="36" priority="42">
      <formula>$HP103&lt;$HE103</formula>
    </cfRule>
  </conditionalFormatting>
  <conditionalFormatting sqref="II103">
    <cfRule type="expression" dxfId="35" priority="43">
      <formula>$II103&lt;$HX103</formula>
    </cfRule>
  </conditionalFormatting>
  <conditionalFormatting sqref="JB103">
    <cfRule type="expression" dxfId="34" priority="44">
      <formula>$JB103&lt;$IQ103</formula>
    </cfRule>
  </conditionalFormatting>
  <conditionalFormatting sqref="JU103">
    <cfRule type="expression" dxfId="33" priority="45">
      <formula>$JU103&lt;$JJ103</formula>
    </cfRule>
  </conditionalFormatting>
  <conditionalFormatting sqref="KN103">
    <cfRule type="expression" dxfId="32" priority="46">
      <formula>$KN103&lt;$KC103</formula>
    </cfRule>
  </conditionalFormatting>
  <conditionalFormatting sqref="AT104">
    <cfRule type="expression" dxfId="31" priority="31">
      <formula>$AT104&gt;$H104*0.1</formula>
    </cfRule>
  </conditionalFormatting>
  <conditionalFormatting sqref="AX104">
    <cfRule type="expression" dxfId="30" priority="32">
      <formula>$AX104&gt;$I104*0.1</formula>
    </cfRule>
  </conditionalFormatting>
  <conditionalFormatting sqref="BA104">
    <cfRule type="expression" dxfId="29" priority="17">
      <formula>$BA104&lt;$AP104</formula>
    </cfRule>
  </conditionalFormatting>
  <conditionalFormatting sqref="BT104">
    <cfRule type="expression" dxfId="28" priority="18">
      <formula>$BT104&lt;$BI104</formula>
    </cfRule>
  </conditionalFormatting>
  <conditionalFormatting sqref="CM104">
    <cfRule type="expression" dxfId="27" priority="19">
      <formula>$CM104&lt;$CB104</formula>
    </cfRule>
  </conditionalFormatting>
  <conditionalFormatting sqref="DF104">
    <cfRule type="expression" dxfId="26" priority="20">
      <formula>$DF104&lt;$CU104</formula>
    </cfRule>
  </conditionalFormatting>
  <conditionalFormatting sqref="DY104">
    <cfRule type="expression" dxfId="25" priority="21">
      <formula>$DY104&lt;$DN104</formula>
    </cfRule>
  </conditionalFormatting>
  <conditionalFormatting sqref="ER104">
    <cfRule type="expression" dxfId="24" priority="22">
      <formula>$ER104&lt;$EG104</formula>
    </cfRule>
  </conditionalFormatting>
  <conditionalFormatting sqref="FK104">
    <cfRule type="expression" dxfId="23" priority="23">
      <formula>$FK104&lt;$EZ104</formula>
    </cfRule>
  </conditionalFormatting>
  <conditionalFormatting sqref="GD104">
    <cfRule type="expression" dxfId="22" priority="24">
      <formula>$GD104&lt;$FS104</formula>
    </cfRule>
  </conditionalFormatting>
  <conditionalFormatting sqref="GW104">
    <cfRule type="expression" dxfId="21" priority="25">
      <formula>$GW104&lt;$GL104</formula>
    </cfRule>
  </conditionalFormatting>
  <conditionalFormatting sqref="HP104">
    <cfRule type="expression" dxfId="20" priority="26">
      <formula>$HP104&lt;$HE104</formula>
    </cfRule>
  </conditionalFormatting>
  <conditionalFormatting sqref="II104">
    <cfRule type="expression" dxfId="19" priority="27">
      <formula>$II104&lt;$HX104</formula>
    </cfRule>
  </conditionalFormatting>
  <conditionalFormatting sqref="JB104">
    <cfRule type="expression" dxfId="18" priority="28">
      <formula>$JB104&lt;$IQ104</formula>
    </cfRule>
  </conditionalFormatting>
  <conditionalFormatting sqref="JU104">
    <cfRule type="expression" dxfId="17" priority="29">
      <formula>$JU104&lt;$JJ104</formula>
    </cfRule>
  </conditionalFormatting>
  <conditionalFormatting sqref="KN104">
    <cfRule type="expression" dxfId="16" priority="30">
      <formula>$KN104&lt;$KC104</formula>
    </cfRule>
  </conditionalFormatting>
  <conditionalFormatting sqref="AT105">
    <cfRule type="expression" dxfId="15" priority="15">
      <formula>$AT105&gt;$H105*0.1</formula>
    </cfRule>
  </conditionalFormatting>
  <conditionalFormatting sqref="AX105">
    <cfRule type="expression" dxfId="14" priority="16">
      <formula>$AX105&gt;$I105*0.1</formula>
    </cfRule>
  </conditionalFormatting>
  <conditionalFormatting sqref="BA105">
    <cfRule type="expression" dxfId="13" priority="1">
      <formula>$BA105&lt;$AP105</formula>
    </cfRule>
  </conditionalFormatting>
  <conditionalFormatting sqref="BT105">
    <cfRule type="expression" dxfId="12" priority="2">
      <formula>$BT105&lt;$BI105</formula>
    </cfRule>
  </conditionalFormatting>
  <conditionalFormatting sqref="CM105">
    <cfRule type="expression" dxfId="11" priority="3">
      <formula>$CM105&lt;$CB105</formula>
    </cfRule>
  </conditionalFormatting>
  <conditionalFormatting sqref="DF105">
    <cfRule type="expression" dxfId="10" priority="4">
      <formula>$DF105&lt;$CU105</formula>
    </cfRule>
  </conditionalFormatting>
  <conditionalFormatting sqref="DY105">
    <cfRule type="expression" dxfId="9" priority="5">
      <formula>$DY105&lt;$DN105</formula>
    </cfRule>
  </conditionalFormatting>
  <conditionalFormatting sqref="ER105">
    <cfRule type="expression" dxfId="8" priority="6">
      <formula>$ER105&lt;$EG105</formula>
    </cfRule>
  </conditionalFormatting>
  <conditionalFormatting sqref="FK105">
    <cfRule type="expression" dxfId="7" priority="7">
      <formula>$FK105&lt;$EZ105</formula>
    </cfRule>
  </conditionalFormatting>
  <conditionalFormatting sqref="GD105">
    <cfRule type="expression" dxfId="6" priority="8">
      <formula>$GD105&lt;$FS105</formula>
    </cfRule>
  </conditionalFormatting>
  <conditionalFormatting sqref="GW105">
    <cfRule type="expression" dxfId="5" priority="9">
      <formula>$GW105&lt;$GL105</formula>
    </cfRule>
  </conditionalFormatting>
  <conditionalFormatting sqref="HP105">
    <cfRule type="expression" dxfId="4" priority="10">
      <formula>$HP105&lt;$HE105</formula>
    </cfRule>
  </conditionalFormatting>
  <conditionalFormatting sqref="II105">
    <cfRule type="expression" dxfId="3" priority="11">
      <formula>$II105&lt;$HX105</formula>
    </cfRule>
  </conditionalFormatting>
  <conditionalFormatting sqref="JB105">
    <cfRule type="expression" dxfId="2" priority="12">
      <formula>$JB105&lt;$IQ105</formula>
    </cfRule>
  </conditionalFormatting>
  <conditionalFormatting sqref="JU105">
    <cfRule type="expression" dxfId="1" priority="13">
      <formula>$JU105&lt;$JJ105</formula>
    </cfRule>
  </conditionalFormatting>
  <conditionalFormatting sqref="KN105">
    <cfRule type="expression" dxfId="0" priority="14">
      <formula>$KN105&lt;$KC105</formula>
    </cfRule>
  </conditionalFormatting>
  <pageMargins left="0.74803149606299213" right="0.74803149606299213" top="0.98425196850393704" bottom="0.98425196850393704" header="0.51181102362204722" footer="0.51181102362204722"/>
  <pageSetup paperSize="9" scale="10" orientation="landscape" r:id="rId1"/>
  <headerFooter alignWithMargins="0">
    <oddHeader>&amp;L&amp;F / &amp;A&amp;C &amp;R&amp;D</oddHeader>
    <oddFooter>&amp;LCONFIDENTIAL&amp;C BARKER JET&amp;RPage &amp;P/&amp;N</oddFooter>
  </headerFooter>
  <rowBreaks count="1" manualBreakCount="1">
    <brk id="162" max="16383" man="1"/>
  </rowBreaks>
  <legacy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42"/>
  <sheetViews>
    <sheetView workbookViewId="0">
      <selection activeCell="D33" sqref="D33"/>
    </sheetView>
  </sheetViews>
  <sheetFormatPr defaultColWidth="10" defaultRowHeight="12"/>
  <cols>
    <col min="1" max="1" width="24.140625" style="1558" customWidth="1"/>
    <col min="2" max="2" width="10" style="1558" customWidth="1"/>
    <col min="3" max="16384" width="10" style="1558"/>
  </cols>
  <sheetData>
    <row r="1" spans="1:11">
      <c r="A1" s="4041" t="s">
        <v>2853</v>
      </c>
      <c r="B1" s="4042"/>
      <c r="C1" s="4042"/>
      <c r="D1" s="1556"/>
      <c r="E1" s="1556"/>
      <c r="F1" s="1556"/>
      <c r="G1" s="1556"/>
      <c r="H1" s="1557"/>
      <c r="I1" s="1557"/>
      <c r="J1" s="1557"/>
      <c r="K1" s="1557"/>
    </row>
    <row r="2" spans="1:11">
      <c r="A2" s="1559"/>
      <c r="B2" s="1560"/>
      <c r="C2" s="1560"/>
      <c r="D2" s="1560"/>
      <c r="E2" s="1560"/>
      <c r="F2" s="1560"/>
      <c r="G2" s="1560"/>
      <c r="H2" s="1560"/>
      <c r="I2" s="1560"/>
      <c r="J2" s="1560"/>
      <c r="K2" s="1560"/>
    </row>
    <row r="3" spans="1:11">
      <c r="A3" s="1559" t="s">
        <v>2854</v>
      </c>
      <c r="B3" s="1561">
        <v>0</v>
      </c>
      <c r="C3" s="1562"/>
      <c r="D3" s="1563"/>
      <c r="E3" s="1564"/>
      <c r="F3" s="1565"/>
      <c r="G3" s="1563"/>
      <c r="H3" s="1560"/>
      <c r="I3" s="1560"/>
      <c r="J3" s="1560"/>
      <c r="K3" s="1560"/>
    </row>
    <row r="4" spans="1:11">
      <c r="A4" s="1559" t="s">
        <v>2855</v>
      </c>
      <c r="B4" s="1566">
        <v>0</v>
      </c>
      <c r="C4" s="1567"/>
      <c r="D4" s="1563"/>
      <c r="E4" s="1564"/>
      <c r="F4" s="1565"/>
      <c r="G4" s="1563"/>
      <c r="H4" s="1560"/>
      <c r="I4" s="1560"/>
      <c r="J4" s="1560"/>
      <c r="K4" s="1560"/>
    </row>
    <row r="5" spans="1:11">
      <c r="A5" s="1568" t="s">
        <v>2856</v>
      </c>
      <c r="B5" s="1569">
        <v>0</v>
      </c>
      <c r="C5" s="1567"/>
      <c r="D5" s="1567"/>
      <c r="E5" s="1567"/>
      <c r="F5" s="1567"/>
      <c r="G5" s="1567"/>
      <c r="H5" s="1560"/>
      <c r="I5" s="1560"/>
      <c r="J5" s="1560"/>
      <c r="K5" s="1560"/>
    </row>
    <row r="6" spans="1:11">
      <c r="A6" s="1559" t="s">
        <v>2857</v>
      </c>
      <c r="B6" s="1570">
        <f>(1+NGB_freight_DK)*(1+NGB_OH)*(1+NGB_labor)</f>
        <v>1</v>
      </c>
      <c r="C6" s="1567"/>
      <c r="D6" s="1567"/>
      <c r="E6" s="1567"/>
      <c r="F6" s="1567"/>
      <c r="G6" s="1567"/>
      <c r="H6" s="1560"/>
      <c r="I6" s="1560"/>
      <c r="J6" s="1560"/>
      <c r="K6" s="1560"/>
    </row>
    <row r="7" spans="1:11">
      <c r="A7" s="1571" t="s">
        <v>2858</v>
      </c>
      <c r="B7" s="1570">
        <v>85</v>
      </c>
      <c r="C7" s="1570" t="s">
        <v>2859</v>
      </c>
      <c r="D7" s="1567"/>
      <c r="E7" s="1567"/>
      <c r="F7" s="1567"/>
      <c r="G7" s="1567"/>
      <c r="H7" s="1560"/>
      <c r="I7" s="1560"/>
      <c r="J7" s="1560"/>
      <c r="K7" s="1560"/>
    </row>
    <row r="8" spans="1:11">
      <c r="A8" s="1571" t="s">
        <v>2860</v>
      </c>
      <c r="B8" s="1566">
        <v>0.17</v>
      </c>
      <c r="C8" s="1572"/>
      <c r="D8" s="1570"/>
      <c r="E8" s="1570"/>
      <c r="F8" s="1570"/>
      <c r="G8" s="1570"/>
      <c r="H8" s="1573"/>
      <c r="I8" s="1573"/>
      <c r="J8" s="1573"/>
      <c r="K8" s="1573"/>
    </row>
    <row r="9" spans="1:11" ht="12.75" thickBot="1">
      <c r="A9" s="1574"/>
      <c r="B9" s="1575"/>
      <c r="C9" s="1575"/>
      <c r="D9" s="1575"/>
      <c r="E9" s="1575"/>
      <c r="F9" s="1575"/>
      <c r="G9" s="1575"/>
      <c r="H9" s="1575"/>
      <c r="I9" s="1575"/>
      <c r="J9" s="1575"/>
      <c r="K9" s="1575"/>
    </row>
    <row r="10" spans="1:11">
      <c r="A10" s="1576"/>
      <c r="B10" s="1576"/>
      <c r="C10" s="1577"/>
      <c r="D10" s="1577"/>
      <c r="E10" s="1577"/>
      <c r="F10" s="1577"/>
      <c r="G10" s="1577"/>
      <c r="H10" s="1577"/>
      <c r="I10" s="1577"/>
      <c r="J10" s="1577"/>
      <c r="K10" s="1577"/>
    </row>
    <row r="12" spans="1:11" ht="25.5">
      <c r="A12" s="1605" t="s">
        <v>2861</v>
      </c>
      <c r="B12" s="1605"/>
      <c r="C12" s="1605"/>
      <c r="D12" s="1578" t="s">
        <v>2863</v>
      </c>
      <c r="E12" s="1578" t="s">
        <v>2263</v>
      </c>
      <c r="F12" s="1578"/>
      <c r="G12" s="1578"/>
      <c r="H12" s="1578"/>
    </row>
    <row r="13" spans="1:11">
      <c r="A13" s="1578" t="s">
        <v>2862</v>
      </c>
      <c r="B13" s="1578"/>
      <c r="C13" s="1578"/>
      <c r="D13" s="1578"/>
      <c r="E13" s="1578"/>
      <c r="F13" s="1578"/>
      <c r="G13" s="1578"/>
      <c r="H13" s="1578"/>
    </row>
    <row r="14" spans="1:11">
      <c r="A14" s="1578"/>
      <c r="B14" s="1578"/>
      <c r="C14" s="1578"/>
      <c r="D14" s="1578"/>
      <c r="E14" s="1578"/>
      <c r="F14" s="1578"/>
      <c r="G14" s="1578"/>
      <c r="H14" s="1578"/>
    </row>
    <row r="15" spans="1:11">
      <c r="A15" s="1578"/>
      <c r="B15" s="1578"/>
      <c r="C15" s="1578"/>
      <c r="F15" s="1578"/>
      <c r="G15" s="1578"/>
      <c r="H15" s="1578"/>
    </row>
    <row r="16" spans="1:11" ht="12.75" thickBot="1">
      <c r="A16" s="1591" t="s">
        <v>2864</v>
      </c>
      <c r="B16" s="1591"/>
      <c r="C16" s="1591"/>
      <c r="D16" s="1591"/>
      <c r="E16" s="1578"/>
      <c r="F16" s="1578"/>
      <c r="G16" s="1578"/>
    </row>
    <row r="17" spans="1:9" ht="12.75" thickBot="1">
      <c r="A17" s="1578"/>
      <c r="B17" s="1578" t="s">
        <v>2865</v>
      </c>
      <c r="C17" s="1578" t="s">
        <v>2866</v>
      </c>
      <c r="D17" s="1578" t="s">
        <v>2867</v>
      </c>
      <c r="E17" s="1578"/>
      <c r="F17" s="1578"/>
      <c r="G17" s="1578"/>
    </row>
    <row r="18" spans="1:9" ht="12.75" thickBot="1">
      <c r="A18" s="1578"/>
      <c r="B18" s="1578" t="s">
        <v>2868</v>
      </c>
      <c r="C18" s="1592" t="s">
        <v>2869</v>
      </c>
      <c r="D18" s="1609">
        <v>13.25</v>
      </c>
      <c r="E18" s="1578" t="s">
        <v>2870</v>
      </c>
      <c r="F18" s="1578"/>
      <c r="G18" s="1578"/>
    </row>
    <row r="19" spans="1:9" ht="12.75" thickBot="1">
      <c r="A19" s="1578"/>
      <c r="B19" s="1578" t="s">
        <v>2868</v>
      </c>
      <c r="C19" s="1592" t="s">
        <v>2871</v>
      </c>
      <c r="D19" s="1609">
        <v>17.95</v>
      </c>
      <c r="E19" s="1578" t="s">
        <v>2870</v>
      </c>
      <c r="F19" s="1578"/>
      <c r="G19" s="1578"/>
    </row>
    <row r="20" spans="1:9">
      <c r="A20" s="1578"/>
      <c r="B20" s="1578"/>
      <c r="C20" s="1592"/>
      <c r="D20" s="1592"/>
      <c r="E20" s="1592"/>
      <c r="F20" s="1578"/>
      <c r="G20" s="1578"/>
      <c r="H20" s="1578"/>
    </row>
    <row r="21" spans="1:9" ht="12.75" thickBot="1">
      <c r="A21" s="1591" t="s">
        <v>2872</v>
      </c>
      <c r="B21" s="1580"/>
      <c r="C21" s="1593"/>
      <c r="D21" s="1593"/>
      <c r="E21" s="1593"/>
      <c r="F21" s="1578"/>
      <c r="G21" s="1578"/>
      <c r="H21" s="1578"/>
    </row>
    <row r="22" spans="1:9" ht="12.75" thickBot="1">
      <c r="A22" s="1578"/>
      <c r="B22" s="1594" t="s">
        <v>2873</v>
      </c>
      <c r="C22" s="1595" t="s">
        <v>2874</v>
      </c>
      <c r="D22" s="1595" t="s">
        <v>2875</v>
      </c>
      <c r="E22" s="1595" t="s">
        <v>2876</v>
      </c>
      <c r="F22" s="1595" t="s">
        <v>2877</v>
      </c>
      <c r="G22" s="1595" t="s">
        <v>2878</v>
      </c>
      <c r="H22" s="1596" t="s">
        <v>2879</v>
      </c>
    </row>
    <row r="23" spans="1:9">
      <c r="A23" s="1578" t="s">
        <v>2880</v>
      </c>
      <c r="B23" s="1597">
        <v>8.5500000000000007</v>
      </c>
      <c r="C23" s="1593">
        <v>32.909999999999997</v>
      </c>
      <c r="D23" s="1593">
        <v>36.32</v>
      </c>
      <c r="E23" s="1593">
        <v>42.74</v>
      </c>
      <c r="F23" s="1593">
        <v>64.959999999999994</v>
      </c>
      <c r="G23" s="1593">
        <v>15.04</v>
      </c>
      <c r="H23" s="1598">
        <v>15.04</v>
      </c>
      <c r="I23" s="1558" t="s">
        <v>2870</v>
      </c>
    </row>
    <row r="24" spans="1:9">
      <c r="A24" s="1578" t="s">
        <v>110</v>
      </c>
      <c r="B24" s="1597">
        <v>8.5500000000000007</v>
      </c>
      <c r="C24" s="1593">
        <v>32.909999999999997</v>
      </c>
      <c r="D24" s="1593">
        <v>36.32</v>
      </c>
      <c r="E24" s="1593">
        <v>42.74</v>
      </c>
      <c r="F24" s="1593">
        <v>64.959999999999994</v>
      </c>
      <c r="G24" s="1593">
        <v>15.04</v>
      </c>
      <c r="H24" s="1598">
        <v>15.04</v>
      </c>
      <c r="I24" s="1558" t="s">
        <v>2870</v>
      </c>
    </row>
    <row r="25" spans="1:9">
      <c r="A25" s="1578" t="s">
        <v>112</v>
      </c>
      <c r="B25" s="1597">
        <v>10.26</v>
      </c>
      <c r="C25" s="1593">
        <v>32.909999999999997</v>
      </c>
      <c r="D25" s="1593">
        <v>36.32</v>
      </c>
      <c r="E25" s="1593">
        <v>42.74</v>
      </c>
      <c r="F25" s="1593">
        <v>64.959999999999994</v>
      </c>
      <c r="G25" s="1593">
        <v>15.04</v>
      </c>
      <c r="H25" s="1598">
        <v>15.04</v>
      </c>
      <c r="I25" s="1558" t="s">
        <v>2870</v>
      </c>
    </row>
    <row r="26" spans="1:9">
      <c r="A26" s="1578" t="s">
        <v>1022</v>
      </c>
      <c r="B26" s="1579"/>
      <c r="C26" s="1580"/>
      <c r="D26" s="1560"/>
      <c r="E26" s="1560"/>
      <c r="F26" s="1560"/>
      <c r="G26" s="1560"/>
      <c r="H26" s="1581"/>
      <c r="I26" s="1558" t="s">
        <v>2870</v>
      </c>
    </row>
    <row r="27" spans="1:9">
      <c r="A27" s="1578" t="s">
        <v>2881</v>
      </c>
      <c r="B27" s="1579"/>
      <c r="C27" s="1580"/>
      <c r="D27" s="1560"/>
      <c r="E27" s="1560"/>
      <c r="F27" s="1560"/>
      <c r="G27" s="1560"/>
      <c r="H27" s="1581"/>
      <c r="I27" s="1558" t="s">
        <v>2870</v>
      </c>
    </row>
    <row r="28" spans="1:9" ht="12.75" thickBot="1">
      <c r="A28" s="1578"/>
      <c r="B28" s="1582"/>
      <c r="C28" s="1583"/>
      <c r="D28" s="1584"/>
      <c r="E28" s="1584"/>
      <c r="F28" s="1584"/>
      <c r="G28" s="1584"/>
      <c r="H28" s="1585"/>
    </row>
    <row r="29" spans="1:9">
      <c r="A29" s="1578"/>
      <c r="B29" s="1592"/>
      <c r="C29" s="1578"/>
      <c r="D29" s="1578"/>
      <c r="E29" s="1592"/>
      <c r="F29" s="1578"/>
      <c r="G29" s="1578"/>
      <c r="H29" s="1578"/>
    </row>
    <row r="30" spans="1:9" ht="12.75" thickBot="1">
      <c r="A30" s="1591" t="s">
        <v>2882</v>
      </c>
      <c r="B30" s="1591"/>
      <c r="C30" s="1591"/>
      <c r="D30" s="1591"/>
      <c r="E30" s="1578"/>
      <c r="F30" s="1578"/>
      <c r="G30" s="1578"/>
    </row>
    <row r="31" spans="1:9">
      <c r="A31" s="1578"/>
      <c r="B31" s="1578" t="s">
        <v>2865</v>
      </c>
      <c r="C31" s="1578" t="s">
        <v>2866</v>
      </c>
      <c r="D31" s="1578" t="s">
        <v>2867</v>
      </c>
      <c r="E31" s="1578"/>
      <c r="F31" s="1578"/>
      <c r="G31" s="1578"/>
    </row>
    <row r="32" spans="1:9" ht="12.75" thickBot="1">
      <c r="A32" s="1578"/>
      <c r="B32" s="1578" t="s">
        <v>2868</v>
      </c>
      <c r="C32" s="1592" t="s">
        <v>2883</v>
      </c>
      <c r="D32" s="1592">
        <v>7.56</v>
      </c>
      <c r="E32" s="1578" t="s">
        <v>2870</v>
      </c>
      <c r="F32" s="1578"/>
      <c r="G32" s="1578"/>
    </row>
    <row r="33" spans="1:9" ht="12.75" thickBot="1">
      <c r="A33" s="1578"/>
      <c r="B33" s="1578" t="s">
        <v>2868</v>
      </c>
      <c r="C33" s="1592" t="s">
        <v>2884</v>
      </c>
      <c r="D33" s="1609">
        <v>12.48</v>
      </c>
      <c r="E33" s="1578" t="s">
        <v>2870</v>
      </c>
      <c r="F33" s="1578"/>
      <c r="G33" s="1578"/>
    </row>
    <row r="34" spans="1:9">
      <c r="A34" s="1578"/>
      <c r="B34" s="1578"/>
      <c r="C34" s="1592"/>
      <c r="D34" s="1599"/>
      <c r="E34" s="1592"/>
      <c r="F34" s="1578"/>
      <c r="G34" s="1578"/>
      <c r="H34" s="1578"/>
    </row>
    <row r="35" spans="1:9" ht="12.75" thickBot="1">
      <c r="A35" s="1600" t="s">
        <v>2885</v>
      </c>
      <c r="B35" s="1560"/>
      <c r="C35" s="1560"/>
      <c r="D35" s="1560"/>
      <c r="E35" s="1560"/>
      <c r="F35" s="1560"/>
      <c r="G35" s="1560"/>
    </row>
    <row r="36" spans="1:9" ht="13.5" thickBot="1">
      <c r="A36" s="1601"/>
      <c r="B36" s="1602" t="s">
        <v>2886</v>
      </c>
      <c r="C36" s="1603" t="s">
        <v>2887</v>
      </c>
      <c r="D36" s="1603" t="s">
        <v>2888</v>
      </c>
      <c r="E36" s="1603" t="s">
        <v>2889</v>
      </c>
      <c r="F36" s="1603" t="s">
        <v>2890</v>
      </c>
      <c r="G36" s="1603" t="s">
        <v>2891</v>
      </c>
      <c r="H36" s="1604" t="s">
        <v>2892</v>
      </c>
    </row>
    <row r="37" spans="1:9" ht="12.75">
      <c r="A37" s="1578" t="s">
        <v>2880</v>
      </c>
      <c r="B37" s="1587">
        <v>0</v>
      </c>
      <c r="C37" s="1588">
        <v>78</v>
      </c>
      <c r="D37" s="1588">
        <v>132</v>
      </c>
      <c r="E37" s="1588">
        <v>106</v>
      </c>
      <c r="F37" s="1588">
        <v>26</v>
      </c>
      <c r="G37" s="1588">
        <v>340</v>
      </c>
      <c r="H37" s="1589">
        <v>66</v>
      </c>
      <c r="I37" s="1558" t="s">
        <v>2893</v>
      </c>
    </row>
    <row r="38" spans="1:9" ht="12.75">
      <c r="A38" s="1578" t="s">
        <v>110</v>
      </c>
      <c r="B38" s="1590">
        <v>0</v>
      </c>
      <c r="C38" s="1560">
        <v>78</v>
      </c>
      <c r="D38" s="1560">
        <v>132</v>
      </c>
      <c r="E38" s="1560">
        <v>106</v>
      </c>
      <c r="F38" s="1560">
        <v>26</v>
      </c>
      <c r="G38" s="1560">
        <v>340</v>
      </c>
      <c r="H38" s="1581">
        <v>66</v>
      </c>
      <c r="I38" s="1558" t="s">
        <v>2893</v>
      </c>
    </row>
    <row r="39" spans="1:9" ht="12.75">
      <c r="A39" s="1578" t="s">
        <v>112</v>
      </c>
      <c r="B39" s="1590">
        <v>0</v>
      </c>
      <c r="C39" s="1560">
        <v>78</v>
      </c>
      <c r="D39" s="1560">
        <v>132</v>
      </c>
      <c r="E39" s="1560">
        <v>106</v>
      </c>
      <c r="F39" s="1560">
        <v>26</v>
      </c>
      <c r="G39" s="1560">
        <v>340</v>
      </c>
      <c r="H39" s="1581">
        <v>66</v>
      </c>
      <c r="I39" s="1558" t="s">
        <v>2893</v>
      </c>
    </row>
    <row r="40" spans="1:9" ht="12.75">
      <c r="A40" s="1578" t="s">
        <v>1022</v>
      </c>
      <c r="B40" s="1590">
        <v>0</v>
      </c>
      <c r="C40" s="1560">
        <v>78</v>
      </c>
      <c r="D40" s="1560">
        <v>132</v>
      </c>
      <c r="E40" s="1560">
        <v>106</v>
      </c>
      <c r="F40" s="1560">
        <v>26</v>
      </c>
      <c r="G40" s="1560">
        <v>340</v>
      </c>
      <c r="H40" s="1581">
        <v>66</v>
      </c>
      <c r="I40" s="1558" t="s">
        <v>2893</v>
      </c>
    </row>
    <row r="41" spans="1:9" ht="12.75">
      <c r="A41" s="1578"/>
      <c r="B41" s="1590"/>
      <c r="C41" s="1560"/>
      <c r="D41" s="1560"/>
      <c r="E41" s="1560"/>
      <c r="F41" s="1560"/>
      <c r="G41" s="1560"/>
      <c r="H41" s="1581"/>
      <c r="I41" s="1558" t="s">
        <v>2893</v>
      </c>
    </row>
    <row r="42" spans="1:9" ht="12.75" thickBot="1">
      <c r="A42" s="1578"/>
      <c r="B42" s="1586"/>
      <c r="C42" s="1584"/>
      <c r="D42" s="1584"/>
      <c r="E42" s="1584"/>
      <c r="F42" s="1584"/>
      <c r="G42" s="1584"/>
      <c r="H42" s="1585"/>
      <c r="I42" s="1558" t="s">
        <v>2893</v>
      </c>
    </row>
  </sheetData>
  <mergeCells count="1">
    <mergeCell ref="A1:C1"/>
  </mergeCells>
  <phoneticPr fontId="170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46</vt:i4>
      </vt:variant>
      <vt:variant>
        <vt:lpstr>命名范围</vt:lpstr>
      </vt:variant>
      <vt:variant>
        <vt:i4>539</vt:i4>
      </vt:variant>
    </vt:vector>
  </HeadingPairs>
  <TitlesOfParts>
    <vt:vector size="585" baseType="lpstr">
      <vt:lpstr>Select Drive &amp; Motor</vt:lpstr>
      <vt:lpstr>DATA</vt:lpstr>
      <vt:lpstr>OUT</vt:lpstr>
      <vt:lpstr>OUT (C)</vt:lpstr>
      <vt:lpstr>name_change</vt:lpstr>
      <vt:lpstr>Direct driven</vt:lpstr>
      <vt:lpstr>Coupling driven</vt:lpstr>
      <vt:lpstr>Drawings</vt:lpstr>
      <vt:lpstr>inlet</vt:lpstr>
      <vt:lpstr>vb</vt:lpstr>
      <vt:lpstr>IFB data</vt:lpstr>
      <vt:lpstr>S_HUB_Cone (2)</vt:lpstr>
      <vt:lpstr>C_HUB_Cone (2)</vt:lpstr>
      <vt:lpstr>D_HUB_Cone</vt:lpstr>
      <vt:lpstr>REG. Axle &amp; Bearing Calculation</vt:lpstr>
      <vt:lpstr>PDN Axle &amp; Bearing Calculation</vt:lpstr>
      <vt:lpstr>Axle &amp; Accessories Specs</vt:lpstr>
      <vt:lpstr>House</vt:lpstr>
      <vt:lpstr>Inlet_cone2</vt:lpstr>
      <vt:lpstr>Inlet Cone</vt:lpstr>
      <vt:lpstr>House reinf, Central Frame Side</vt:lpstr>
      <vt:lpstr>House reinf, Support Plate Side</vt:lpstr>
      <vt:lpstr>House reinf, Drive Side</vt:lpstr>
      <vt:lpstr>House reinf, Inlet Side</vt:lpstr>
      <vt:lpstr>Definition</vt:lpstr>
      <vt:lpstr>Frame Dimensions - D</vt:lpstr>
      <vt:lpstr>Frame Dimensions - C</vt:lpstr>
      <vt:lpstr>Frame Dimensions</vt:lpstr>
      <vt:lpstr>MFrame</vt:lpstr>
      <vt:lpstr>BFrame</vt:lpstr>
      <vt:lpstr>HFrame</vt:lpstr>
      <vt:lpstr>SFrame</vt:lpstr>
      <vt:lpstr>Iron Dim.</vt:lpstr>
      <vt:lpstr>HUB_data</vt:lpstr>
      <vt:lpstr>stop</vt:lpstr>
      <vt:lpstr>版本控制</vt:lpstr>
      <vt:lpstr>Vibration Calculation</vt:lpstr>
      <vt:lpstr>Bearing Data</vt:lpstr>
      <vt:lpstr>Coupling Data</vt:lpstr>
      <vt:lpstr>Motor Data</vt:lpstr>
      <vt:lpstr>Motor Key Fb</vt:lpstr>
      <vt:lpstr>Hub Key DB</vt:lpstr>
      <vt:lpstr>Fan Name List</vt:lpstr>
      <vt:lpstr>House C Data</vt:lpstr>
      <vt:lpstr>Impeller C &amp; Run Data</vt:lpstr>
      <vt:lpstr>Cost structures, ALL</vt:lpstr>
      <vt:lpstr>A_imp</vt:lpstr>
      <vt:lpstr>A_NGB</vt:lpstr>
      <vt:lpstr>AD</vt:lpstr>
      <vt:lpstr>AE_M</vt:lpstr>
      <vt:lpstr>AE_PDN</vt:lpstr>
      <vt:lpstr>AE_Reg</vt:lpstr>
      <vt:lpstr>All_Dampers</vt:lpstr>
      <vt:lpstr>Axle_Construction</vt:lpstr>
      <vt:lpstr>Axle_Hub_Type</vt:lpstr>
      <vt:lpstr>Axle_Hub_Type_PDN</vt:lpstr>
      <vt:lpstr>Axle_Hub_Type_REG</vt:lpstr>
      <vt:lpstr>AYS</vt:lpstr>
      <vt:lpstr>b_1_bladeFP</vt:lpstr>
      <vt:lpstr>b_11</vt:lpstr>
      <vt:lpstr>b_12</vt:lpstr>
      <vt:lpstr>b_13</vt:lpstr>
      <vt:lpstr>b_14</vt:lpstr>
      <vt:lpstr>b_2</vt:lpstr>
      <vt:lpstr>B_A</vt:lpstr>
      <vt:lpstr>B_AA</vt:lpstr>
      <vt:lpstr>B_da</vt:lpstr>
      <vt:lpstr>B_H</vt:lpstr>
      <vt:lpstr>B_H1</vt:lpstr>
      <vt:lpstr>B_H2</vt:lpstr>
      <vt:lpstr>b_in</vt:lpstr>
      <vt:lpstr>B_J</vt:lpstr>
      <vt:lpstr>B_L</vt:lpstr>
      <vt:lpstr>B_Mass</vt:lpstr>
      <vt:lpstr>B_N1</vt:lpstr>
      <vt:lpstr>B_Type</vt:lpstr>
      <vt:lpstr>Back_P_T</vt:lpstr>
      <vt:lpstr>Bearing_H1</vt:lpstr>
      <vt:lpstr>Bearing_name</vt:lpstr>
      <vt:lpstr>Belt_force</vt:lpstr>
      <vt:lpstr>beta1</vt:lpstr>
      <vt:lpstr>beta2</vt:lpstr>
      <vt:lpstr>BF_Ra</vt:lpstr>
      <vt:lpstr>BF_Tr</vt:lpstr>
      <vt:lpstr>BFHe</vt:lpstr>
      <vt:lpstr>BFL</vt:lpstr>
      <vt:lpstr>BFRa</vt:lpstr>
      <vt:lpstr>BFTr</vt:lpstr>
      <vt:lpstr>BFTr5_Hefactor</vt:lpstr>
      <vt:lpstr>BFTr5Hefactor</vt:lpstr>
      <vt:lpstr>BFTr6_Hefactor</vt:lpstr>
      <vt:lpstr>BFTr6Hefactor</vt:lpstr>
      <vt:lpstr>BFW</vt:lpstr>
      <vt:lpstr>BHW</vt:lpstr>
      <vt:lpstr>BJ2_index</vt:lpstr>
      <vt:lpstr>Blade_L</vt:lpstr>
      <vt:lpstr>Blade_Ring_mat</vt:lpstr>
      <vt:lpstr>Blades_t</vt:lpstr>
      <vt:lpstr>Blades_TW</vt:lpstr>
      <vt:lpstr>Boss_no</vt:lpstr>
      <vt:lpstr>BPHole_D</vt:lpstr>
      <vt:lpstr>BS_Hemm</vt:lpstr>
      <vt:lpstr>BS_P</vt:lpstr>
      <vt:lpstr>BSBB_He</vt:lpstr>
      <vt:lpstr>BSBB_w</vt:lpstr>
      <vt:lpstr>BSHemm</vt:lpstr>
      <vt:lpstr>BSP</vt:lpstr>
      <vt:lpstr>BTY_it</vt:lpstr>
      <vt:lpstr>C_Gap</vt:lpstr>
      <vt:lpstr>C_Gap_PDN</vt:lpstr>
      <vt:lpstr>C_Gap_REG</vt:lpstr>
      <vt:lpstr>c_hub_L1</vt:lpstr>
      <vt:lpstr>C_imp</vt:lpstr>
      <vt:lpstr>C_slack</vt:lpstr>
      <vt:lpstr>Center_H</vt:lpstr>
      <vt:lpstr>CF_max_reinf_area</vt:lpstr>
      <vt:lpstr>CF_reinf_req</vt:lpstr>
      <vt:lpstr>CF_smallF_xy_pos</vt:lpstr>
      <vt:lpstr>CFmin_reinf_area</vt:lpstr>
      <vt:lpstr>CFRe_start_angle</vt:lpstr>
      <vt:lpstr>CFRe_stop_angle</vt:lpstr>
      <vt:lpstr>Chosen_PDN</vt:lpstr>
      <vt:lpstr>Chosen_REG</vt:lpstr>
      <vt:lpstr>Cone_D</vt:lpstr>
      <vt:lpstr>Cone_H</vt:lpstr>
      <vt:lpstr>Cone_T</vt:lpstr>
      <vt:lpstr>Cone_W</vt:lpstr>
      <vt:lpstr>Construction_error_C</vt:lpstr>
      <vt:lpstr>Construction_error_D</vt:lpstr>
      <vt:lpstr>Coupling_name</vt:lpstr>
      <vt:lpstr>Coupling_OK</vt:lpstr>
      <vt:lpstr>Coupling_Selection</vt:lpstr>
      <vt:lpstr>CouplingName</vt:lpstr>
      <vt:lpstr>crit_a</vt:lpstr>
      <vt:lpstr>crit_w_i</vt:lpstr>
      <vt:lpstr>Cust_Fan_ID</vt:lpstr>
      <vt:lpstr>Cust_Proj_ID</vt:lpstr>
      <vt:lpstr>d_1</vt:lpstr>
      <vt:lpstr>d_2</vt:lpstr>
      <vt:lpstr>d_5</vt:lpstr>
      <vt:lpstr>d_in</vt:lpstr>
      <vt:lpstr>D_Name</vt:lpstr>
      <vt:lpstr>DBB</vt:lpstr>
      <vt:lpstr>DBB_PDN</vt:lpstr>
      <vt:lpstr>DBB_REG</vt:lpstr>
      <vt:lpstr>DBdRa6</vt:lpstr>
      <vt:lpstr>DBdRa6_PDN</vt:lpstr>
      <vt:lpstr>DBdRa6_REG</vt:lpstr>
      <vt:lpstr>DBeBe</vt:lpstr>
      <vt:lpstr>DBeBe_multiplier</vt:lpstr>
      <vt:lpstr>DBH</vt:lpstr>
      <vt:lpstr>DBH_PDN</vt:lpstr>
      <vt:lpstr>DBH_REG</vt:lpstr>
      <vt:lpstr>DBI</vt:lpstr>
      <vt:lpstr>DBI_PDN</vt:lpstr>
      <vt:lpstr>DBI_REG</vt:lpstr>
      <vt:lpstr>DBndRa5</vt:lpstr>
      <vt:lpstr>DBndRa5_PDN</vt:lpstr>
      <vt:lpstr>DBndRa5_REG</vt:lpstr>
      <vt:lpstr>DCB</vt:lpstr>
      <vt:lpstr>DCB_PDN</vt:lpstr>
      <vt:lpstr>DCB_REG</vt:lpstr>
      <vt:lpstr>DCRa5</vt:lpstr>
      <vt:lpstr>DCRa5_PDN</vt:lpstr>
      <vt:lpstr>DCRa5_REG</vt:lpstr>
      <vt:lpstr>DIB_D</vt:lpstr>
      <vt:lpstr>DIBe</vt:lpstr>
      <vt:lpstr>DIHo</vt:lpstr>
      <vt:lpstr>DIHo_C_PDN</vt:lpstr>
      <vt:lpstr>DIHo_C_REG</vt:lpstr>
      <vt:lpstr>DIHo_D</vt:lpstr>
      <vt:lpstr>dist_mult</vt:lpstr>
      <vt:lpstr>DMF_BF</vt:lpstr>
      <vt:lpstr>DMHmin</vt:lpstr>
      <vt:lpstr>DRa2H_D</vt:lpstr>
      <vt:lpstr>DRa5Ra6</vt:lpstr>
      <vt:lpstr>DRa5Ra6_PDN</vt:lpstr>
      <vt:lpstr>DRa5Ra6_REG</vt:lpstr>
      <vt:lpstr>DRa6H_C</vt:lpstr>
      <vt:lpstr>DRa6H_PDN</vt:lpstr>
      <vt:lpstr>DRa6H_REG</vt:lpstr>
      <vt:lpstr>DRaH</vt:lpstr>
      <vt:lpstr>drainx</vt:lpstr>
      <vt:lpstr>drainy</vt:lpstr>
      <vt:lpstr>Drive</vt:lpstr>
      <vt:lpstr>Drive_Frame</vt:lpstr>
      <vt:lpstr>DRIVE_Type</vt:lpstr>
      <vt:lpstr>E_Nmm2</vt:lpstr>
      <vt:lpstr>eqdist_reinf</vt:lpstr>
      <vt:lpstr>ext_cyl1</vt:lpstr>
      <vt:lpstr>ext_cyl2</vt:lpstr>
      <vt:lpstr>ext_inl_D</vt:lpstr>
      <vt:lpstr>ext_inl_H</vt:lpstr>
      <vt:lpstr>ext_Ring_D_rad</vt:lpstr>
      <vt:lpstr>ext_Ring_T_ax</vt:lpstr>
      <vt:lpstr>ext_Ring_TW</vt:lpstr>
      <vt:lpstr>Fan_Max_rpm</vt:lpstr>
      <vt:lpstr>Fan_name_list</vt:lpstr>
      <vt:lpstr>fan_number</vt:lpstr>
      <vt:lpstr>Fan_orientation</vt:lpstr>
      <vt:lpstr>Fan_Type</vt:lpstr>
      <vt:lpstr>FAXA</vt:lpstr>
      <vt:lpstr>FAXB</vt:lpstr>
      <vt:lpstr>Force_BIG_F</vt:lpstr>
      <vt:lpstr>Force_R_limit</vt:lpstr>
      <vt:lpstr>Forced_PDN_B</vt:lpstr>
      <vt:lpstr>Forced_REG_B</vt:lpstr>
      <vt:lpstr>FP_tool</vt:lpstr>
      <vt:lpstr>FPHole_D</vt:lpstr>
      <vt:lpstr>FRA</vt:lpstr>
      <vt:lpstr>Frame_Area</vt:lpstr>
      <vt:lpstr>Frame_mat</vt:lpstr>
      <vt:lpstr>Frame_rmb_kg_XOE</vt:lpstr>
      <vt:lpstr>Frame_Type</vt:lpstr>
      <vt:lpstr>Frame_Weight</vt:lpstr>
      <vt:lpstr>FRB</vt:lpstr>
      <vt:lpstr>Front_P_T</vt:lpstr>
      <vt:lpstr>Funnel_height</vt:lpstr>
      <vt:lpstr>g</vt:lpstr>
      <vt:lpstr>h_1</vt:lpstr>
      <vt:lpstr>h_2</vt:lpstr>
      <vt:lpstr>h_3</vt:lpstr>
      <vt:lpstr>H_alfaend</vt:lpstr>
      <vt:lpstr>H_alfastart</vt:lpstr>
      <vt:lpstr>H_avg_oR</vt:lpstr>
      <vt:lpstr>H_CurveL</vt:lpstr>
      <vt:lpstr>H_extF_SURe</vt:lpstr>
      <vt:lpstr>H_rotation</vt:lpstr>
      <vt:lpstr>H_STD_Re</vt:lpstr>
      <vt:lpstr>H_STDRe</vt:lpstr>
      <vt:lpstr>HF_V</vt:lpstr>
      <vt:lpstr>HFHi_He</vt:lpstr>
      <vt:lpstr>HFV</vt:lpstr>
      <vt:lpstr>Hole_Clearance_factor</vt:lpstr>
      <vt:lpstr>HoleD_mult</vt:lpstr>
      <vt:lpstr>House_Area</vt:lpstr>
      <vt:lpstr>House_B_ins</vt:lpstr>
      <vt:lpstr>House_C_ins</vt:lpstr>
      <vt:lpstr>House_mat</vt:lpstr>
      <vt:lpstr>House_P_T</vt:lpstr>
      <vt:lpstr>House_rmb_kg_big</vt:lpstr>
      <vt:lpstr>House_rmb_kg_small</vt:lpstr>
      <vt:lpstr>House_W</vt:lpstr>
      <vt:lpstr>HouseFB_C</vt:lpstr>
      <vt:lpstr>HouseFB_SA</vt:lpstr>
      <vt:lpstr>HS_F</vt:lpstr>
      <vt:lpstr>HS_P</vt:lpstr>
      <vt:lpstr>HSF</vt:lpstr>
      <vt:lpstr>Hub_C_eD</vt:lpstr>
      <vt:lpstr>Hub_C_eD_D</vt:lpstr>
      <vt:lpstr>Hub_C_eD_PDN</vt:lpstr>
      <vt:lpstr>Hub_C_eD_REG</vt:lpstr>
      <vt:lpstr>Hub_C_eMult</vt:lpstr>
      <vt:lpstr>Hub_C_iD</vt:lpstr>
      <vt:lpstr>Hub_C_iD_D</vt:lpstr>
      <vt:lpstr>Hub_C_iD_PDN</vt:lpstr>
      <vt:lpstr>Hub_C_iD_REG</vt:lpstr>
      <vt:lpstr>Hub_C_iHe</vt:lpstr>
      <vt:lpstr>Hub_C_iMult</vt:lpstr>
      <vt:lpstr>Hub_C_tL</vt:lpstr>
      <vt:lpstr>Hub_C_tL_D</vt:lpstr>
      <vt:lpstr>Hub_C_tL_PDN</vt:lpstr>
      <vt:lpstr>Hub_C_tL_REG</vt:lpstr>
      <vt:lpstr>'C_HUB_Cone (2)'!hub_out_d2</vt:lpstr>
      <vt:lpstr>'S_HUB_Cone (2)'!hub_out_d2</vt:lpstr>
      <vt:lpstr>hub_out_d2</vt:lpstr>
      <vt:lpstr>'C_HUB_Cone (2)'!hub_outd1</vt:lpstr>
      <vt:lpstr>'S_HUB_Cone (2)'!hub_outd1</vt:lpstr>
      <vt:lpstr>hub_outd1</vt:lpstr>
      <vt:lpstr>Hub_P_D</vt:lpstr>
      <vt:lpstr>Hub_P_T</vt:lpstr>
      <vt:lpstr>HubKey_b</vt:lpstr>
      <vt:lpstr>HubKey_DB</vt:lpstr>
      <vt:lpstr>HubKey_h</vt:lpstr>
      <vt:lpstr>HubKey_t</vt:lpstr>
      <vt:lpstr>I_alfaend</vt:lpstr>
      <vt:lpstr>I_alfastart</vt:lpstr>
      <vt:lpstr>ICOM</vt:lpstr>
      <vt:lpstr>ID</vt:lpstr>
      <vt:lpstr>IE1_2p50_kW</vt:lpstr>
      <vt:lpstr>IE1_2p60_kW</vt:lpstr>
      <vt:lpstr>IE1_4p50_kW</vt:lpstr>
      <vt:lpstr>IE1_4p60_kW</vt:lpstr>
      <vt:lpstr>IE1_6p50_kW</vt:lpstr>
      <vt:lpstr>IE1_6p60_kW</vt:lpstr>
      <vt:lpstr>IE1_8p50_kW</vt:lpstr>
      <vt:lpstr>IE1_8p60_kW</vt:lpstr>
      <vt:lpstr>IE2_2p50_kW</vt:lpstr>
      <vt:lpstr>IE2_2p60_kW</vt:lpstr>
      <vt:lpstr>IE2_4p50_kW</vt:lpstr>
      <vt:lpstr>IE2_4p60_kW</vt:lpstr>
      <vt:lpstr>IE2_6p50_kW</vt:lpstr>
      <vt:lpstr>IE2_6p60_kW</vt:lpstr>
      <vt:lpstr>IE3_2p50_kW</vt:lpstr>
      <vt:lpstr>IE3_2p60_kW</vt:lpstr>
      <vt:lpstr>IE3_4p50_kW</vt:lpstr>
      <vt:lpstr>IE3_4p60_kW</vt:lpstr>
      <vt:lpstr>IE3_6p50_kW</vt:lpstr>
      <vt:lpstr>IE3_6p60_kW</vt:lpstr>
      <vt:lpstr>Imoi_1</vt:lpstr>
      <vt:lpstr>Imoi_3</vt:lpstr>
      <vt:lpstr>Impeller_Area</vt:lpstr>
      <vt:lpstr>Impeller_mat</vt:lpstr>
      <vt:lpstr>Impeller_type</vt:lpstr>
      <vt:lpstr>Impeller_W</vt:lpstr>
      <vt:lpstr>ImpellerHole_D</vt:lpstr>
      <vt:lpstr>Inlet_Area</vt:lpstr>
      <vt:lpstr>Inlet_cone_W</vt:lpstr>
      <vt:lpstr>Inlet_D</vt:lpstr>
      <vt:lpstr>inlet_D_ext</vt:lpstr>
      <vt:lpstr>Inlet_P_T</vt:lpstr>
      <vt:lpstr>Inlet_R_m</vt:lpstr>
      <vt:lpstr>Inlet_Type</vt:lpstr>
      <vt:lpstr>Inlet_W</vt:lpstr>
      <vt:lpstr>InletHole_D</vt:lpstr>
      <vt:lpstr>InlP_D</vt:lpstr>
      <vt:lpstr>InlQ_D</vt:lpstr>
      <vt:lpstr>InlQ_H</vt:lpstr>
      <vt:lpstr>INS</vt:lpstr>
      <vt:lpstr>int_cyl1</vt:lpstr>
      <vt:lpstr>int_cyl2</vt:lpstr>
      <vt:lpstr>int_Inl_D</vt:lpstr>
      <vt:lpstr>int_Inl_H</vt:lpstr>
      <vt:lpstr>int_reinf_offs</vt:lpstr>
      <vt:lpstr>int_reinf_oR</vt:lpstr>
      <vt:lpstr>int_reinf_req</vt:lpstr>
      <vt:lpstr>int_Ring_D_rad</vt:lpstr>
      <vt:lpstr>int_Ring_T_ax</vt:lpstr>
      <vt:lpstr>int_Ring_TW</vt:lpstr>
      <vt:lpstr>Iron_dim</vt:lpstr>
      <vt:lpstr>J_2_max</vt:lpstr>
      <vt:lpstr>J_2_range</vt:lpstr>
      <vt:lpstr>K_House</vt:lpstr>
      <vt:lpstr>l_1</vt:lpstr>
      <vt:lpstr>l_2</vt:lpstr>
      <vt:lpstr>l_3</vt:lpstr>
      <vt:lpstr>l_4</vt:lpstr>
      <vt:lpstr>L_HSP_He</vt:lpstr>
      <vt:lpstr>L_Iron_dim</vt:lpstr>
      <vt:lpstr>L_NGB</vt:lpstr>
      <vt:lpstr>laser_Cut_Mat_cost</vt:lpstr>
      <vt:lpstr>Laser_cut_Material</vt:lpstr>
      <vt:lpstr>laser_WImp</vt:lpstr>
      <vt:lpstr>Lift_He</vt:lpstr>
      <vt:lpstr>M_S_Frame_Total_Length</vt:lpstr>
      <vt:lpstr>MA</vt:lpstr>
      <vt:lpstr>MAA</vt:lpstr>
      <vt:lpstr>MAB</vt:lpstr>
      <vt:lpstr>MAC</vt:lpstr>
      <vt:lpstr>MAD</vt:lpstr>
      <vt:lpstr>MADit_reg</vt:lpstr>
      <vt:lpstr>max_life</vt:lpstr>
      <vt:lpstr>Max_Vib_no</vt:lpstr>
      <vt:lpstr>max_xcurve</vt:lpstr>
      <vt:lpstr>max_ycurve</vt:lpstr>
      <vt:lpstr>MB</vt:lpstr>
      <vt:lpstr>MBe_1</vt:lpstr>
      <vt:lpstr>MBe_2</vt:lpstr>
      <vt:lpstr>MBeW</vt:lpstr>
      <vt:lpstr>MC</vt:lpstr>
      <vt:lpstr>MDH</vt:lpstr>
      <vt:lpstr>MF_Ra</vt:lpstr>
      <vt:lpstr>MF_Ra_error</vt:lpstr>
      <vt:lpstr>MF_Tr</vt:lpstr>
      <vt:lpstr>MFHe</vt:lpstr>
      <vt:lpstr>MFL</vt:lpstr>
      <vt:lpstr>MFRa</vt:lpstr>
      <vt:lpstr>MFRa_angle</vt:lpstr>
      <vt:lpstr>MFrame</vt:lpstr>
      <vt:lpstr>MFrameUh</vt:lpstr>
      <vt:lpstr>MFTr</vt:lpstr>
      <vt:lpstr>MFTr1_Hefactor</vt:lpstr>
      <vt:lpstr>MFTr1Hefactor</vt:lpstr>
      <vt:lpstr>MFTr2_Hefactor</vt:lpstr>
      <vt:lpstr>MFTr2Hefactor</vt:lpstr>
      <vt:lpstr>MFW</vt:lpstr>
      <vt:lpstr>MH</vt:lpstr>
      <vt:lpstr>MHD</vt:lpstr>
      <vt:lpstr>min_Blade_T</vt:lpstr>
      <vt:lpstr>min_Critical_B_rpm</vt:lpstr>
      <vt:lpstr>min_Critical_V_rpm</vt:lpstr>
      <vt:lpstr>min_life</vt:lpstr>
      <vt:lpstr>MIN_PDN_BHW</vt:lpstr>
      <vt:lpstr>MIN_PDN_DBB</vt:lpstr>
      <vt:lpstr>MIN_PDN_H1</vt:lpstr>
      <vt:lpstr>MIN_PDN_N1</vt:lpstr>
      <vt:lpstr>min_re_L</vt:lpstr>
      <vt:lpstr>MIN_REG_BHW</vt:lpstr>
      <vt:lpstr>MIN_REG_DBB</vt:lpstr>
      <vt:lpstr>MIN_REG_H1</vt:lpstr>
      <vt:lpstr>MIN_REG_N1</vt:lpstr>
      <vt:lpstr>Min_Vib_no</vt:lpstr>
      <vt:lpstr>min_xcurve</vt:lpstr>
      <vt:lpstr>min_ycurve</vt:lpstr>
      <vt:lpstr>minbolt_D</vt:lpstr>
      <vt:lpstr>minK</vt:lpstr>
      <vt:lpstr>minL</vt:lpstr>
      <vt:lpstr>minM</vt:lpstr>
      <vt:lpstr>minN</vt:lpstr>
      <vt:lpstr>minP</vt:lpstr>
      <vt:lpstr>minQ</vt:lpstr>
      <vt:lpstr>minR1</vt:lpstr>
      <vt:lpstr>mirror</vt:lpstr>
      <vt:lpstr>MJ_2</vt:lpstr>
      <vt:lpstr>MK</vt:lpstr>
      <vt:lpstr>MK_mult</vt:lpstr>
      <vt:lpstr>ML</vt:lpstr>
      <vt:lpstr>MMOM</vt:lpstr>
      <vt:lpstr>modified_d_2</vt:lpstr>
      <vt:lpstr>MOM_ratio</vt:lpstr>
      <vt:lpstr>MOT_B_OK</vt:lpstr>
      <vt:lpstr>Motor_Bearing_Strength</vt:lpstr>
      <vt:lpstr>Motor_Bearing_Type</vt:lpstr>
      <vt:lpstr>Motor_Calculation_data</vt:lpstr>
      <vt:lpstr>Motor_Data_All</vt:lpstr>
      <vt:lpstr>Motor_Fa_Co</vt:lpstr>
      <vt:lpstr>Motor_Frame_Size</vt:lpstr>
      <vt:lpstr>Motor_freq.</vt:lpstr>
      <vt:lpstr>Motor_IE1_2P</vt:lpstr>
      <vt:lpstr>Motor_IE1_4p</vt:lpstr>
      <vt:lpstr>Motor_IE1_6p</vt:lpstr>
      <vt:lpstr>Motor_IE1_8p</vt:lpstr>
      <vt:lpstr>Motor_IE2_2p</vt:lpstr>
      <vt:lpstr>Motor_IE2_4p</vt:lpstr>
      <vt:lpstr>Motor_IE2_6p</vt:lpstr>
      <vt:lpstr>Motor_IE3_2p</vt:lpstr>
      <vt:lpstr>Motor_IE3_4p</vt:lpstr>
      <vt:lpstr>Motor_IE3_6p</vt:lpstr>
      <vt:lpstr>Motor_Name</vt:lpstr>
      <vt:lpstr>Motor_parameter</vt:lpstr>
      <vt:lpstr>Motor_Possible_SD</vt:lpstr>
      <vt:lpstr>Motor_types</vt:lpstr>
      <vt:lpstr>MotorKey_Fb</vt:lpstr>
      <vt:lpstr>MPoles</vt:lpstr>
      <vt:lpstr>MPower</vt:lpstr>
      <vt:lpstr>MS_Hemm</vt:lpstr>
      <vt:lpstr>MS_P</vt:lpstr>
      <vt:lpstr>MSHemm</vt:lpstr>
      <vt:lpstr>MSMB_He</vt:lpstr>
      <vt:lpstr>MSMB_w</vt:lpstr>
      <vt:lpstr>MSMM_He</vt:lpstr>
      <vt:lpstr>MSMM_w</vt:lpstr>
      <vt:lpstr>MSP</vt:lpstr>
      <vt:lpstr>Mweight</vt:lpstr>
      <vt:lpstr>Natural_max_rpm</vt:lpstr>
      <vt:lpstr>NGB_freight_DK</vt:lpstr>
      <vt:lpstr>NGB_labor</vt:lpstr>
      <vt:lpstr>NGB_Liq_rate</vt:lpstr>
      <vt:lpstr>NGB_OH</vt:lpstr>
      <vt:lpstr>no_blades</vt:lpstr>
      <vt:lpstr>no_ext_Rings</vt:lpstr>
      <vt:lpstr>no_int_Rings</vt:lpstr>
      <vt:lpstr>No_SidePlate_reinf</vt:lpstr>
      <vt:lpstr>Obl_MB</vt:lpstr>
      <vt:lpstr>OblMB</vt:lpstr>
      <vt:lpstr>OMOM_ratio</vt:lpstr>
      <vt:lpstr>P_NGB</vt:lpstr>
      <vt:lpstr>PDN_Acolumn</vt:lpstr>
      <vt:lpstr>PDN_Axle_Diameter</vt:lpstr>
      <vt:lpstr>PDN_B_OK</vt:lpstr>
      <vt:lpstr>PDN_B_Specs</vt:lpstr>
      <vt:lpstr>PDN_Bearing_Type</vt:lpstr>
      <vt:lpstr>PDN_Calculation_data</vt:lpstr>
      <vt:lpstr>PDN_constr_data</vt:lpstr>
      <vt:lpstr>PDN_Fa_Co</vt:lpstr>
      <vt:lpstr>PDN_H1_it</vt:lpstr>
      <vt:lpstr>Possible_Axle_Diameter</vt:lpstr>
      <vt:lpstr>Possible_Imp_mat</vt:lpstr>
      <vt:lpstr>Possible_PDN_Bearings</vt:lpstr>
      <vt:lpstr>Possible_REG_Bearings</vt:lpstr>
      <vt:lpstr>Powersafe</vt:lpstr>
      <vt:lpstr>'Axle &amp; Accessories Specs'!Print_Area</vt:lpstr>
      <vt:lpstr>'Coupling driven'!Print_Area</vt:lpstr>
      <vt:lpstr>Drawings!Print_Area</vt:lpstr>
      <vt:lpstr>'IFB data'!Print_Area</vt:lpstr>
      <vt:lpstr>OUT!Print_Area</vt:lpstr>
      <vt:lpstr>'OUT (C)'!Print_Area</vt:lpstr>
      <vt:lpstr>'PDN Axle &amp; Bearing Calculation'!Print_Area</vt:lpstr>
      <vt:lpstr>'REG. Axle &amp; Bearing Calculation'!Print_Area</vt:lpstr>
      <vt:lpstr>'Select Drive &amp; Motor'!Print_Area</vt:lpstr>
      <vt:lpstr>'House C Data'!Print_Titles</vt:lpstr>
      <vt:lpstr>'Impeller C &amp; Run Data'!Print_Titles</vt:lpstr>
      <vt:lpstr>'Vibration Calculation'!Prot_dampers</vt:lpstr>
      <vt:lpstr>Pt</vt:lpstr>
      <vt:lpstr>Q</vt:lpstr>
      <vt:lpstr>R_angle</vt:lpstr>
      <vt:lpstr>R_HSP_He</vt:lpstr>
      <vt:lpstr>r_in_m</vt:lpstr>
      <vt:lpstr>r0</vt:lpstr>
      <vt:lpstr>rad_CF_reinf_req</vt:lpstr>
      <vt:lpstr>rad_SP_reinf_req</vt:lpstr>
      <vt:lpstr>REG_Axle_Diameter</vt:lpstr>
      <vt:lpstr>REG_B_constr_data</vt:lpstr>
      <vt:lpstr>REG_B_OK</vt:lpstr>
      <vt:lpstr>REG_B_Specs</vt:lpstr>
      <vt:lpstr>REG_Bearing_Type</vt:lpstr>
      <vt:lpstr>REG_H1_it</vt:lpstr>
      <vt:lpstr>Reinf_Area</vt:lpstr>
      <vt:lpstr>Reinf_HousePT</vt:lpstr>
      <vt:lpstr>reinf_strt_stp</vt:lpstr>
      <vt:lpstr>REQ_Axle_Diam</vt:lpstr>
      <vt:lpstr>REQ_FrameX</vt:lpstr>
      <vt:lpstr>rho_medium</vt:lpstr>
      <vt:lpstr>RPM</vt:lpstr>
      <vt:lpstr>RPM_index</vt:lpstr>
      <vt:lpstr>RPM_range</vt:lpstr>
      <vt:lpstr>RPMSafe</vt:lpstr>
      <vt:lpstr>S_NGB</vt:lpstr>
      <vt:lpstr>SD</vt:lpstr>
      <vt:lpstr>SE</vt:lpstr>
      <vt:lpstr>Seal_Axle_Diameter</vt:lpstr>
      <vt:lpstr>Seal_Cooling_Selection</vt:lpstr>
      <vt:lpstr>Seals_Cooling</vt:lpstr>
      <vt:lpstr>SealThickness</vt:lpstr>
      <vt:lpstr>SF</vt:lpstr>
      <vt:lpstr>SF_Base</vt:lpstr>
      <vt:lpstr>SF_Hefactor</vt:lpstr>
      <vt:lpstr>SF_P</vt:lpstr>
      <vt:lpstr>SFb</vt:lpstr>
      <vt:lpstr>SFBase</vt:lpstr>
      <vt:lpstr>SFBase_He_L</vt:lpstr>
      <vt:lpstr>SFBase_He_R</vt:lpstr>
      <vt:lpstr>SFBase_l_L</vt:lpstr>
      <vt:lpstr>SFBase_l_R</vt:lpstr>
      <vt:lpstr>SFBB_He</vt:lpstr>
      <vt:lpstr>SFHefactor</vt:lpstr>
      <vt:lpstr>SFMM_He</vt:lpstr>
      <vt:lpstr>SFP</vt:lpstr>
      <vt:lpstr>SFX_He</vt:lpstr>
      <vt:lpstr>SFX_l</vt:lpstr>
      <vt:lpstr>SFX_w</vt:lpstr>
      <vt:lpstr>SG</vt:lpstr>
      <vt:lpstr>ShaftC</vt:lpstr>
      <vt:lpstr>ShaftD</vt:lpstr>
      <vt:lpstr>ShaftL</vt:lpstr>
      <vt:lpstr>ShaftPD</vt:lpstr>
      <vt:lpstr>ShaftPL</vt:lpstr>
      <vt:lpstr>ShaftThr</vt:lpstr>
      <vt:lpstr>SidePlate_reinf_dist</vt:lpstr>
      <vt:lpstr>Small_F</vt:lpstr>
      <vt:lpstr>Small_hub_l1</vt:lpstr>
      <vt:lpstr>SP_eF_xy_pos</vt:lpstr>
      <vt:lpstr>SP_iD</vt:lpstr>
      <vt:lpstr>SP_iF_xy_pos</vt:lpstr>
      <vt:lpstr>SP_max_reinf_area</vt:lpstr>
      <vt:lpstr>SP_oD</vt:lpstr>
      <vt:lpstr>SP_reinf_req</vt:lpstr>
      <vt:lpstr>SP_T</vt:lpstr>
      <vt:lpstr>SP_Type</vt:lpstr>
      <vt:lpstr>SPmin_reinf_area</vt:lpstr>
      <vt:lpstr>SPRe_start_angle_e</vt:lpstr>
      <vt:lpstr>SPRe_stop_angle_e</vt:lpstr>
      <vt:lpstr>'Vibration Calculation'!Std_dampers</vt:lpstr>
      <vt:lpstr>stdCH</vt:lpstr>
      <vt:lpstr>stdJ_2</vt:lpstr>
      <vt:lpstr>steel_density</vt:lpstr>
      <vt:lpstr>Surace_Treatment_type</vt:lpstr>
      <vt:lpstr>Surface_treatment_cost</vt:lpstr>
      <vt:lpstr>sysJ2_index</vt:lpstr>
      <vt:lpstr>System_weight_safe</vt:lpstr>
      <vt:lpstr>T_House_weight</vt:lpstr>
      <vt:lpstr>T_HR_weight</vt:lpstr>
      <vt:lpstr>Temp</vt:lpstr>
      <vt:lpstr>TMO0</vt:lpstr>
      <vt:lpstr>Tongue_delta</vt:lpstr>
      <vt:lpstr>Tongue_X</vt:lpstr>
      <vt:lpstr>Tongue_Y</vt:lpstr>
      <vt:lpstr>UNP_NGB</vt:lpstr>
      <vt:lpstr>V_type</vt:lpstr>
      <vt:lpstr>Ventilator_liste</vt:lpstr>
      <vt:lpstr>version</vt:lpstr>
      <vt:lpstr>VHFL_He</vt:lpstr>
      <vt:lpstr>VHFL_Z</vt:lpstr>
      <vt:lpstr>VHFR_He</vt:lpstr>
      <vt:lpstr>VHFR_Z</vt:lpstr>
      <vt:lpstr>WB_P</vt:lpstr>
      <vt:lpstr>Weld_space</vt:lpstr>
      <vt:lpstr>WF_P</vt:lpstr>
      <vt:lpstr>WHub_C</vt:lpstr>
      <vt:lpstr>WHub_C_D</vt:lpstr>
      <vt:lpstr>WHub_C_PDN</vt:lpstr>
      <vt:lpstr>WHub_C_REG</vt:lpstr>
      <vt:lpstr>WHub_P</vt:lpstr>
      <vt:lpstr>Wsafe</vt:lpstr>
      <vt:lpstr>x0</vt:lpstr>
    </vt:vector>
  </TitlesOfParts>
  <Company>Kleinberg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Kleinberg Standard User</dc:creator>
  <cp:lastModifiedBy>Administrator</cp:lastModifiedBy>
  <cp:lastPrinted>2019-09-23T10:29:16Z</cp:lastPrinted>
  <dcterms:created xsi:type="dcterms:W3CDTF">2011-01-12T15:21:55Z</dcterms:created>
  <dcterms:modified xsi:type="dcterms:W3CDTF">2019-12-26T03:02:35Z</dcterms:modified>
</cp:coreProperties>
</file>